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5.xml" ContentType="application/vnd.openxmlformats-officedocument.spreadsheetml.comments+xml"/>
  <Override PartName="/xl/drawings/drawing15.xml" ContentType="application/vnd.openxmlformats-officedocument.drawing+xml"/>
  <Override PartName="/xl/comments6.xml" ContentType="application/vnd.openxmlformats-officedocument.spreadsheetml.comments+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7.xml" ContentType="application/vnd.openxmlformats-officedocument.spreadsheetml.comments+xml"/>
  <Override PartName="/xl/drawings/drawing20.xml" ContentType="application/vnd.openxmlformats-officedocument.drawing+xml"/>
  <Override PartName="/xl/comments8.xml" ContentType="application/vnd.openxmlformats-officedocument.spreadsheetml.comments+xml"/>
  <Override PartName="/xl/drawings/drawing21.xml" ContentType="application/vnd.openxmlformats-officedocument.drawing+xml"/>
  <Override PartName="/xl/drawings/drawing22.xml" ContentType="application/vnd.openxmlformats-officedocument.drawing+xml"/>
  <Override PartName="/xl/comments9.xml" ContentType="application/vnd.openxmlformats-officedocument.spreadsheetml.comments+xml"/>
  <Override PartName="/xl/drawings/drawing23.xml" ContentType="application/vnd.openxmlformats-officedocument.drawing+xml"/>
  <Override PartName="/xl/comments10.xml" ContentType="application/vnd.openxmlformats-officedocument.spreadsheetml.comments+xml"/>
  <Override PartName="/xl/drawings/drawing24.xml" ContentType="application/vnd.openxmlformats-officedocument.drawing+xml"/>
  <Override PartName="/xl/comments11.xml" ContentType="application/vnd.openxmlformats-officedocument.spreadsheetml.comments+xml"/>
  <Override PartName="/xl/drawings/drawing25.xml" ContentType="application/vnd.openxmlformats-officedocument.drawing+xml"/>
  <Override PartName="/xl/comments12.xml" ContentType="application/vnd.openxmlformats-officedocument.spreadsheetml.comments+xml"/>
  <Override PartName="/xl/drawings/drawing26.xml" ContentType="application/vnd.openxmlformats-officedocument.drawing+xml"/>
  <Override PartName="/xl/pivotTables/pivotTable1.xml" ContentType="application/vnd.openxmlformats-officedocument.spreadsheetml.pivotTable+xml"/>
  <Override PartName="/xl/drawings/drawing27.xml" ContentType="application/vnd.openxmlformats-officedocument.drawing+xml"/>
  <Override PartName="/xl/pivotTables/pivotTable2.xml" ContentType="application/vnd.openxmlformats-officedocument.spreadsheetml.pivotTable+xml"/>
  <Override PartName="/xl/drawings/drawing28.xml" ContentType="application/vnd.openxmlformats-officedocument.drawing+xml"/>
  <Override PartName="/xl/comments13.xml" ContentType="application/vnd.openxmlformats-officedocument.spreadsheetml.comments+xml"/>
  <Override PartName="/xl/drawings/drawing29.xml" ContentType="application/vnd.openxmlformats-officedocument.drawing+xml"/>
  <Override PartName="/xl/drawings/drawing30.xml" ContentType="application/vnd.openxmlformats-officedocument.drawing+xml"/>
  <Override PartName="/xl/comments14.xml" ContentType="application/vnd.openxmlformats-officedocument.spreadsheetml.comments+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omments15.xml" ContentType="application/vnd.openxmlformats-officedocument.spreadsheetml.comments+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6.xml" ContentType="application/vnd.openxmlformats-officedocument.spreadsheetml.comments+xml"/>
  <Override PartName="/xl/drawings/drawing39.xml" ContentType="application/vnd.openxmlformats-officedocument.drawing+xml"/>
  <Override PartName="/xl/ctrlProps/ctrlProp3.xml" ContentType="application/vnd.ms-excel.controlproperties+xml"/>
  <Override PartName="/xl/ctrlProps/ctrlProp4.xml" ContentType="application/vnd.ms-excel.controlproperties+xml"/>
  <Override PartName="/xl/comments17.xml" ContentType="application/vnd.openxmlformats-officedocument.spreadsheetml.comments+xml"/>
  <Override PartName="/xl/drawings/drawing40.xml" ContentType="application/vnd.openxmlformats-officedocument.drawing+xml"/>
  <Override PartName="/xl/ctrlProps/ctrlProp5.xml" ContentType="application/vnd.ms-excel.controlproperties+xml"/>
  <Override PartName="/xl/ctrlProps/ctrlProp6.xml" ContentType="application/vnd.ms-excel.controlproperties+xml"/>
  <Override PartName="/xl/comments18.xml" ContentType="application/vnd.openxmlformats-officedocument.spreadsheetml.comments+xml"/>
  <Override PartName="/xl/drawings/drawing41.xml" ContentType="application/vnd.openxmlformats-officedocument.drawing+xml"/>
  <Override PartName="/xl/comments19.xml" ContentType="application/vnd.openxmlformats-officedocument.spreadsheetml.comments+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omments20.xml" ContentType="application/vnd.openxmlformats-officedocument.spreadsheetml.comments+xml"/>
  <Override PartName="/xl/comments2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Questa_cartella_di_lavoro" defaultThemeVersion="124226"/>
  <mc:AlternateContent xmlns:mc="http://schemas.openxmlformats.org/markup-compatibility/2006">
    <mc:Choice Requires="x15">
      <x15ac:absPath xmlns:x15ac="http://schemas.microsoft.com/office/spreadsheetml/2010/11/ac" url="https://arera.sharepoint.com/sites/DTAC-TSI/Documenti condivisi/TSI/DB Idrico/RDT2026/05.File RDT2026/"/>
    </mc:Choice>
  </mc:AlternateContent>
  <xr:revisionPtr revIDLastSave="234" documentId="13_ncr:1_{A44DCBB6-9EBF-46F6-81EA-204C3DA0D5CF}" xr6:coauthVersionLast="47" xr6:coauthVersionMax="47" xr10:uidLastSave="{370B4EB1-82A9-4F99-94E4-D3CDC0B747BF}"/>
  <workbookProtection workbookAlgorithmName="SHA-512" workbookHashValue="v6HtHZb4kv6XIICegkqs9NY4cbF0LEUmKf69o8PW5yffXxGO+oIQSCvCTUoMfArwY8XO9FL6JYpyQypkRtN17w==" workbookSaltValue="mDQbCJdEGNOcvDBE724T2A==" workbookSpinCount="100000" lockStructure="1"/>
  <bookViews>
    <workbookView xWindow="-120" yWindow="-120" windowWidth="38640" windowHeight="21120" tabRatio="883" firstSheet="1" activeTab="1" xr2:uid="{00000000-000D-0000-FFFF-FFFF00000000}"/>
  </bookViews>
  <sheets>
    <sheet name="Controllo_UPLOAD" sheetId="1" state="hidden" r:id="rId1"/>
    <sheet name="Menu" sheetId="2" r:id="rId2"/>
    <sheet name="Dati_tecnici" sheetId="3" r:id="rId3"/>
    <sheet name="Affidamento" sheetId="110" r:id="rId4"/>
    <sheet name="Dati_conto_economico" sheetId="4" r:id="rId5"/>
    <sheet name="Altri_dati_eco_fin" sheetId="7" r:id="rId6"/>
    <sheet name="Finanziamenti" sheetId="87" r:id="rId7"/>
    <sheet name="Soggetti_proprietari" sheetId="8" r:id="rId8"/>
    <sheet name="Corrispettivi_proprietari" sheetId="9" r:id="rId9"/>
    <sheet name="Soggetti_Scambio" sheetId="15" r:id="rId10"/>
    <sheet name="Vendita_Servizi_ingrosso" sheetId="16" r:id="rId11"/>
    <sheet name="Acquisto_Servizi_ingrosso" sheetId="17" r:id="rId12"/>
    <sheet name="Nuovi_Investimenti" sheetId="18" r:id="rId13"/>
    <sheet name="Dismissioni" sheetId="19" r:id="rId14"/>
    <sheet name="Ammortamento_Finanziario" sheetId="95" r:id="rId15"/>
    <sheet name="Info_eventuali_aggregazioni" sheetId="21" r:id="rId16"/>
    <sheet name="Elenco_Bacini_Tariffari" sheetId="10" r:id="rId17"/>
    <sheet name="Bacini_Tariffari_Comuni" sheetId="11" r:id="rId18"/>
    <sheet name="Struttura_corrispettivi" sheetId="12" r:id="rId19"/>
    <sheet name="Titolo 6 TIMSII ut_raggruppate" sheetId="101" r:id="rId20"/>
    <sheet name="Ricavi_Coll_Dep" sheetId="79" r:id="rId21"/>
    <sheet name="Ricavi_bacini_tariffari" sheetId="14" r:id="rId22"/>
    <sheet name="Dati_Anni_precedenti" sheetId="102" r:id="rId23"/>
    <sheet name="IMN_cespiti_anni_precedenti" sheetId="25" r:id="rId24"/>
    <sheet name="Conferma_investimenti" sheetId="26" r:id="rId25"/>
    <sheet name="IMN_Proprietari" sheetId="27" r:id="rId26"/>
    <sheet name="Storico_Piano_Tariffario" sheetId="103" r:id="rId27"/>
    <sheet name="DCUIT" sheetId="39" r:id="rId28"/>
    <sheet name="IMN_consolidamento" sheetId="34" r:id="rId29"/>
    <sheet name="IMN_gestore" sheetId="35" r:id="rId30"/>
    <sheet name="Framework_schemi" sheetId="37" r:id="rId31"/>
    <sheet name="VRG_Teta" sheetId="38" r:id="rId32"/>
    <sheet name="Capex" sheetId="40" r:id="rId33"/>
    <sheet name="ERC" sheetId="43" r:id="rId34"/>
    <sheet name="FoNI" sheetId="41" r:id="rId35"/>
    <sheet name="Opex" sheetId="42" r:id="rId36"/>
    <sheet name="Rc" sheetId="44" r:id="rId37"/>
    <sheet name="Schema di convergenza" sheetId="45" r:id="rId38"/>
    <sheet name="Input_per_calcoli_finali" sheetId="46" r:id="rId39"/>
    <sheet name="VRG_riepilogo" sheetId="47" r:id="rId40"/>
    <sheet name="Piano_Tariffario" sheetId="49" r:id="rId41"/>
    <sheet name="Conto_Economico" sheetId="51" r:id="rId42"/>
    <sheet name="Rendiconto_Finanziario" sheetId="52" r:id="rId43"/>
    <sheet name="Stato_Patrimoniale" sheetId="69" r:id="rId44"/>
    <sheet name="TT_Gestori" sheetId="53" r:id="rId45"/>
    <sheet name="TT_Comuni_ATO" sheetId="54" r:id="rId46"/>
    <sheet name="TT_Tabelle_Riferimento" sheetId="55" r:id="rId47"/>
    <sheet name="TT_parametri" sheetId="56" r:id="rId48"/>
    <sheet name="TT_riepilogo_IMN" sheetId="58" r:id="rId49"/>
    <sheet name="PdI-legenda" sheetId="72" r:id="rId50"/>
    <sheet name="PdI-crono_inv" sheetId="73" r:id="rId51"/>
    <sheet name="POS-Piano_Opere_Strategiche" sheetId="74" r:id="rId52"/>
    <sheet name="PdI-crono_ges" sheetId="75" r:id="rId53"/>
    <sheet name="PdI-riepilogo" sheetId="76" r:id="rId54"/>
    <sheet name="PdI_consolidamento" sheetId="77" r:id="rId55"/>
    <sheet name="QT-Acquedotto" sheetId="104" state="hidden" r:id="rId56"/>
    <sheet name="QT-Fognatura" sheetId="105" state="hidden" r:id="rId57"/>
    <sheet name="QT-Depurazione" sheetId="106" state="hidden" r:id="rId58"/>
    <sheet name="QT-Altri dati" sheetId="107" state="hidden" r:id="rId59"/>
    <sheet name="QT-Resilienza" sheetId="108" state="hidden" r:id="rId60"/>
    <sheet name="Riepilogo_RQTI" sheetId="109" r:id="rId61"/>
    <sheet name="Riepilogo_RQSII" sheetId="88" r:id="rId62"/>
  </sheets>
  <functionGroups builtInGroupCount="19"/>
  <definedNames>
    <definedName name="_dap">Dati_Anni_precedenti!$A$1</definedName>
    <definedName name="_xlnm._FilterDatabase" localSheetId="23" hidden="1">IMN_cespiti_anni_precedenti!$A$5:$R$5</definedName>
    <definedName name="_xlnm._FilterDatabase" localSheetId="28" hidden="1">IMN_consolidamento!$A$5:$R$2059</definedName>
    <definedName name="_xlnm._FilterDatabase" localSheetId="29" hidden="1">IMN_gestore!$A$5:$BE$6</definedName>
    <definedName name="_xlnm._FilterDatabase" localSheetId="25" hidden="1">IMN_Proprietari!$A$5:$O$5</definedName>
    <definedName name="_xlnm._FilterDatabase" localSheetId="54" hidden="1">PdI_consolidamento!$A$5:$S$1373</definedName>
    <definedName name="_xlnm._FilterDatabase" localSheetId="50" hidden="1">'PdI-crono_inv'!$A$4:$AN$4</definedName>
    <definedName name="_xlnm._FilterDatabase" localSheetId="49" hidden="1">'PdI-legenda'!$F$3:$X$63</definedName>
    <definedName name="_xlnm._FilterDatabase" localSheetId="43" hidden="1">Stato_Patrimoniale!$A$4:$AO$48</definedName>
    <definedName name="_xlnm._FilterDatabase" localSheetId="45" hidden="1">TT_Comuni_ATO!$A$1:$J$7979</definedName>
    <definedName name="_xlnm._FilterDatabase" localSheetId="44" hidden="1">TT_Gestori!$A$7:$C$8</definedName>
    <definedName name="_input">Input_per_calcoli_finali!$E$4</definedName>
    <definedName name="_storici" localSheetId="39">VRG_riepilogo!$A$1</definedName>
    <definedName name="_xleta.AND" hidden="1" xlm="1">#NAME?</definedName>
    <definedName name="_xleta.IFERROR" hidden="1" xlm="1">#NAME?</definedName>
    <definedName name="_xleta.OR" hidden="1" xlm="1">#NAME?</definedName>
    <definedName name="Acquisto_Servizi" localSheetId="60">OFFSET(Acquisto_Servizi_ingrosso!$A$5,1,0,COUNTA(Acquisto_Servizi_ingrosso!$A:$A)-1,26)</definedName>
    <definedName name="Acquisto_Servizi">OFFSET(Acquisto_Servizi_ingrosso!$A$5,1,0,COUNTA(Acquisto_Servizi_ingrosso!$A:$A)-1,26)</definedName>
    <definedName name="AMMFIN">TT_Tabelle_Riferimento!$K$2:$L$19</definedName>
    <definedName name="AmmortamentoFinanziario" localSheetId="60">OFFSET(Ammortamento_Finanziario!$A$7,1,0,COUNTA(Ammortamento_Finanziario!$A:$A)-2,14)</definedName>
    <definedName name="AmmortamentoFinanziario">OFFSET(Ammortamento_Finanziario!$A$7,1,0,COUNTA(Ammortamento_Finanziario!$A:$A)-2,14)</definedName>
    <definedName name="anni_new">TT_riepilogo_IMN!$M$27:$RC$27</definedName>
    <definedName name="anni_old">TT_riepilogo_IMN!$M$6:$JW$6</definedName>
    <definedName name="Anno_Cespite">TT_Tabelle_Riferimento!$I$3:$I$4</definedName>
    <definedName name="Anno_Cespite_adj">TT_Tabelle_Riferimento!$I$3:$I$6</definedName>
    <definedName name="ato">Menu!$C$4</definedName>
    <definedName name="ATO_tutte" localSheetId="60">TT_Comuni_ATO!$L$2:$L$93</definedName>
    <definedName name="ATO_tutte">TT_Comuni_ATO!$L$2:$L$93</definedName>
    <definedName name="attività" localSheetId="60">TT_Tabelle_Riferimento!$B$63:$B$66</definedName>
    <definedName name="attività">TT_Tabelle_Riferimento!$B$63:$B$66</definedName>
    <definedName name="Bacini_Tariffari_Comuni" localSheetId="60">OFFSET(Bacini_Tariffari_Comuni!$A$7,1,0,COUNTA(Bacini_Tariffari_Comuni!$A:$A)-1,7)</definedName>
    <definedName name="Bacini_Tariffari_Comuni">OFFSET(Bacini_Tariffari_Comuni!$A$7,1,0,COUNTA(Bacini_Tariffari_Comuni!$A:$A)-1,7)</definedName>
    <definedName name="Bacini_Tariffari_Ricavi" localSheetId="60">OFFSET(Ricavi_bacini_tariffari!$B$11,0,0,COUNTA(Ricavi_bacini_tariffari!$D:$D)-2,40)</definedName>
    <definedName name="Bacini_Tariffari_Ricavi">OFFSET(Ricavi_bacini_tariffari!$B$11,0,0,COUNTA(Ricavi_bacini_tariffari!$D:$D)-2,40)</definedName>
    <definedName name="BaciniTariffariElenco" localSheetId="60">OFFSET(Elenco_Bacini_Tariffari!$B$7,1,0,COUNTA(Elenco_Bacini_Tariffari!$D:$D)-1,6)</definedName>
    <definedName name="BaciniTariffariElenco">OFFSET(Elenco_Bacini_Tariffari!$B$7,1,0,COUNTA(Elenco_Bacini_Tariffari!$D:$D)-1,6)</definedName>
    <definedName name="canc_pt" localSheetId="60">Piano_Tariffario!$E$6:$E$15,Piano_Tariffario!$E$22:$F$28,Piano_Tariffario!$E$30:$F$33,Piano_Tariffario!$E$35:$F$36,Piano_Tariffario!$E$37:$F$37,Piano_Tariffario!$E$38:$F$42,Piano_Tariffario!$E$47:$F$49,Piano_Tariffario!$E$54:$F$58,Piano_Tariffario!$E$63:$F$66,Piano_Tariffario!$E$70:$F$72,Piano_Tariffario!$E$76:$F$77,Piano_Tariffario!$E$82:$F$86,Piano_Tariffario!$E$90:$E$95</definedName>
    <definedName name="canc_pt">Piano_Tariffario!$E$6:$E$15,Piano_Tariffario!$E$22:$F$28,Piano_Tariffario!$E$30:$F$33,Piano_Tariffario!$E$35:$F$36,Piano_Tariffario!$E$37:$F$37,Piano_Tariffario!$E$38:$F$42,Piano_Tariffario!$E$47:$F$49,Piano_Tariffario!$E$54:$F$58,Piano_Tariffario!$E$63:$F$66,Piano_Tariffario!$E$70:$F$72,Piano_Tariffario!$E$76:$F$77,Piano_Tariffario!$E$82:$F$86,Piano_Tariffario!$E$90:$E$95</definedName>
    <definedName name="cap">Framework_schemi!$C$89</definedName>
    <definedName name="cap_ds">Framework_schemi!$C$96</definedName>
    <definedName name="capex">Capex!$A$1</definedName>
    <definedName name="cat_imm_new" localSheetId="60">TT_Tabelle_Riferimento!$G$171:$H$175</definedName>
    <definedName name="cat_imm_new">TT_Tabelle_Riferimento!$G$171:$H$175</definedName>
    <definedName name="cat_imm_nuovi_inv" localSheetId="60">TT_Tabelle_Riferimento!$G$127:$G$164</definedName>
    <definedName name="cat_imm_nuovi_inv">TT_Tabelle_Riferimento!$G$127:$G$164</definedName>
    <definedName name="Cat_Immobilizzazione" localSheetId="60">TT_Tabelle_Riferimento!$G$3:$G$6</definedName>
    <definedName name="Cat_Immobilizzazione">TT_Tabelle_Riferimento!$G$3:$G$6</definedName>
    <definedName name="categ_new">TT_riepilogo_IMN!$M$7:$M$24</definedName>
    <definedName name="categ_old">TT_riepilogo_IMN!$M$32:$M$48</definedName>
    <definedName name="CategorieCespiti" localSheetId="60">TT_Tabelle_Riferimento!$G$32:$G$50</definedName>
    <definedName name="CategorieCespiti">TT_Tabelle_Riferimento!$G$32:$G$50</definedName>
    <definedName name="cespiti_proprietari" localSheetId="60">OFFSET(IMN_Proprietari!$A$6,0,0,COUNTA(IMN_Proprietari!$P:$P)-1,76)</definedName>
    <definedName name="cespiti_proprietari">OFFSET(IMN_Proprietari!$A$6,0,0,COUNTA(IMN_Proprietari!$P:$P)-1,76)</definedName>
    <definedName name="check">Capex!$D$39</definedName>
    <definedName name="Codice_ARERA" localSheetId="60">Menu!$E$4</definedName>
    <definedName name="Codice_ARERA">Menu!$E$4</definedName>
    <definedName name="Comuni_ATO_elenco" localSheetId="60">OFFSET(TT_Comuni_ATO!$L$2,0,0,COUNTA(TT_Comuni_ATO!$L:$L)-1,1)</definedName>
    <definedName name="Comuni_ATO_elenco">OFFSET(TT_Comuni_ATO!$L$2,0,0,COUNTA(TT_Comuni_ATO!$L:$L)-1,1)</definedName>
    <definedName name="ConfermaInvestimenti" localSheetId="60">OFFSET(Conferma_investimenti!$A$6,1,0,COUNTA(Conferma_investimenti!$B:$B)-1,51)</definedName>
    <definedName name="ConfermaInvestimenti">OFFSET(Conferma_investimenti!$A$6,1,0,COUNTA(Conferma_investimenti!$B:$B)-1,51)</definedName>
    <definedName name="Conto_Economico">Conto_Economico!$B$2:$AG$19</definedName>
    <definedName name="Corrispettivi_Proprietari" localSheetId="60">OFFSET(Corrispettivi_proprietari!$A$8,0,0,COUNTA(Corrispettivi_proprietari!$A:$A)-1,37)</definedName>
    <definedName name="Corrispettivi_Proprietari">OFFSET(Corrispettivi_proprietari!$A$8,0,0,COUNTA(Corrispettivi_proprietari!$A:$A)-1,37)</definedName>
    <definedName name="costo_sotteso" localSheetId="60">TT_Tabelle_Riferimento!$B$58:$B$60</definedName>
    <definedName name="costo_sotteso">TT_Tabelle_Riferimento!$B$58:$B$60</definedName>
    <definedName name="_xlnm.Criteria" localSheetId="45">TT_Comuni_ATO!$V$1:$V$2</definedName>
    <definedName name="crono_gestionale" localSheetId="60">OFFSET('PdI-crono_ges'!$A$3,1,0,COUNTA('PdI-crono_ges'!$AD:$AD)-1,30)</definedName>
    <definedName name="crono_gestionale">OFFSET('PdI-crono_ges'!$A$3,1,0,COUNTA('PdI-crono_ges'!$AD:$AD)-1,30)</definedName>
    <definedName name="crono_investimenti" localSheetId="60">OFFSET('PdI-crono_inv'!$A$4,1,0,COUNTA('PdI-crono_inv'!$CB:$CB)-1,84)</definedName>
    <definedName name="crono_investimenti">OFFSET('PdI-crono_inv'!$A$4,1,0,COUNTA('PdI-crono_inv'!$CB:$CB)-1,84)</definedName>
    <definedName name="crono_pos" localSheetId="60">OFFSET('POS-Piano_Opere_Strategiche'!$A$4,1,0,COUNTA('POS-Piano_Opere_Strategiche'!$AX:$AX)-1,COUNTA('POS-Piano_Opere_Strategiche'!$4:$4))</definedName>
    <definedName name="crono_pos">OFFSET('POS-Piano_Opere_Strategiche'!$A$4,1,0,COUNTA('POS-Piano_Opere_Strategiche'!$AX:$AX)-1,COUNTA('POS-Piano_Opere_Strategiche'!$4:$4))</definedName>
    <definedName name="DaCancellare">Dati_Anni_precedenti!$E$4:$G$4,Dati_Anni_precedenti!$G$5:$G$6,Dati_Anni_precedenti!$E$7:$F$8,Dati_Anni_precedenti!#REF!,Dati_Anni_precedenti!$E$9:$F$9,Dati_Anni_precedenti!$E$10,Dati_Anni_precedenti!$G$10,Dati_Anni_precedenti!$E$11:$F$34,Dati_Anni_precedenti!$E$39:$F$39,Dati_Anni_precedenti!$G$34:$G$39</definedName>
    <definedName name="dichiarazione_corrispettivi">Controllo_UPLOAD!$D$10</definedName>
    <definedName name="Dismissioni" localSheetId="60">OFFSET(Dismissioni!$A$7,1,0,COUNTA(Dismissioni!$A:$A)-2,32)</definedName>
    <definedName name="Dismissioni">OFFSET(Dismissioni!$A$7,1,0,COUNTA(Dismissioni!$A:$A)-2,32)</definedName>
    <definedName name="elenco" localSheetId="60">TT_parametri!$BB$67:$BB$68</definedName>
    <definedName name="elenco">TT_parametri!$BB$67:$BB$68</definedName>
    <definedName name="Elenco_Proprietari" localSheetId="60">OFFSET(Soggetti_proprietari!$A$7,1,0,COUNTA(Soggetti_proprietari!$A:$A)-1,17)</definedName>
    <definedName name="Elenco_Proprietari">OFFSET(Soggetti_proprietari!$A$7,1,0,COUNTA(Soggetti_proprietari!$A:$A)-1,17)</definedName>
    <definedName name="excipe" localSheetId="39">VRG_riepilogo!$I$114</definedName>
    <definedName name="_xlnm.Extract" localSheetId="45">TT_Comuni_ATO!$X$1:$AF$1</definedName>
    <definedName name="finanziamenti" localSheetId="60">OFFSET(Finanziamenti!$A$7,1,0,COUNTA(Finanziamenti!$A:$A)-1,COUNTA(Finanziamenti!$7:$7))</definedName>
    <definedName name="finanziamenti">OFFSET(Finanziamenti!$A$7,1,0,COUNTA(Finanziamenti!$A:$A)-1,COUNTA(Finanziamenti!$7:$7))</definedName>
    <definedName name="foni">FoNI!$A$1</definedName>
    <definedName name="Gestioni_Aggregate_Ricavi">OFFSET(#REF!,0,0,COUNTA(#REF!)-1,15)</definedName>
    <definedName name="GESTORE">Menu!$E$3</definedName>
    <definedName name="gestore_incorporato" localSheetId="60">OFFSET(Info_eventuali_aggregazioni!$B$9,1,0,COUNTA(Info_eventuali_aggregazioni!L:L)-1,COUNTA(Info_eventuali_aggregazioni!$9:$9)+2)</definedName>
    <definedName name="gestore_incorporato">OFFSET(Info_eventuali_aggregazioni!$B$9,1,0,COUNTA(Info_eventuali_aggregazioni!L:L)-1,COUNTA(Info_eventuali_aggregazioni!$9:$9)+2)</definedName>
    <definedName name="gestore_proprietario" localSheetId="60">TT_Tabelle_Riferimento!$B$49:$B$50</definedName>
    <definedName name="gestore_proprietario">TT_Tabelle_Riferimento!$B$49:$B$50</definedName>
    <definedName name="iAF" localSheetId="60">Altri_dati_eco_fin!$E$66</definedName>
    <definedName name="iAF">Altri_dati_eco_fin!$E$67</definedName>
    <definedName name="ID_ATO">Menu!$B$4</definedName>
    <definedName name="id_cat_ces" localSheetId="60">TT_Tabelle_Riferimento!$G$32:$H$50</definedName>
    <definedName name="id_cat_ces">TT_Tabelle_Riferimento!$G$32:$H$50</definedName>
    <definedName name="id_cat_ces_n">TT_Tabelle_Riferimento!$D$127:$D$164</definedName>
    <definedName name="id_cat_imm" localSheetId="60">TT_Tabelle_Riferimento!$G$3:$H$6</definedName>
    <definedName name="id_cat_imm">TT_Tabelle_Riferimento!$G$3:$H$6</definedName>
    <definedName name="idato" localSheetId="60">Menu!$B$4</definedName>
    <definedName name="idato">Menu!$B$4</definedName>
    <definedName name="idgestore" localSheetId="60">Menu!$E$4</definedName>
    <definedName name="idgestore">Menu!$E$4</definedName>
    <definedName name="ifl" localSheetId="60">TT_parametri!$A$6:$AS$101</definedName>
    <definedName name="ifl">TT_parametri!$A$6:$AS$101</definedName>
    <definedName name="imm_nuovi_inv" localSheetId="60">TT_Tabelle_Riferimento!$G$126:$K$164</definedName>
    <definedName name="imm_nuovi_inv">TT_Tabelle_Riferimento!$G$126:$K$164</definedName>
    <definedName name="Immobilizzazioni">TT_Tabelle_Riferimento!$G$3:$G$6</definedName>
    <definedName name="IMN_ante2019" localSheetId="60">OFFSET(IMN_cespiti_anni_precedenti!$A$5,1,0,COUNTA(IMN_cespiti_anni_precedenti!$A:$A)-2,23)</definedName>
    <definedName name="IMN_ante2019">OFFSET(IMN_cespiti_anni_precedenti!$A$5,1,0,COUNTA(IMN_cespiti_anni_precedenti!$A:$A)-2,23)</definedName>
    <definedName name="IMN_cespiti_anni_prec" localSheetId="60">OFFSET(IMN_cespiti_anni_precedenti!$A$6,0,0,COUNTA(IMN_cespiti_anni_precedenti!$A:$A)-2,23)</definedName>
    <definedName name="IMN_cespiti_anni_prec">OFFSET(IMN_cespiti_anni_precedenti!$A$6,0,0,COUNTA(IMN_cespiti_anni_precedenti!$A:$A)-2,23)</definedName>
    <definedName name="IMN_PROPRIETARI" localSheetId="60">OFFSET(IMN_Proprietari!$A$4,1,0,COUNTA(IMN_Proprietari!$P:$P),75)</definedName>
    <definedName name="IMN_PROPRIETARI">OFFSET(IMN_Proprietari!$A$4,1,0,COUNTA(IMN_Proprietari!$P:$P),75)</definedName>
    <definedName name="imnvirt2011" localSheetId="39">VRG_riepilogo!$I$115</definedName>
    <definedName name="incid" localSheetId="60">Input_per_calcoli_finali!$K$25</definedName>
    <definedName name="incid">Input_per_calcoli_finali!$K$26</definedName>
    <definedName name="Indicatori_Redditivita_Liquidita">Rendiconto_Finanziario!$B$39:$D$44</definedName>
    <definedName name="Info_Soggetti_Aggregati" localSheetId="60">OFFSET(Info_eventuali_aggregazioni!$A$9,1,0,COUNTA(Info_eventuali_aggregazioni!$A:$A),50)</definedName>
    <definedName name="Info_Soggetti_Aggregati">OFFSET(Info_eventuali_aggregazioni!$A$9,1,0,COUNTA(Info_eventuali_aggregazioni!$A:$A),50)</definedName>
    <definedName name="infrastrutture_new" localSheetId="60">TT_Tabelle_Riferimento!$B$87:$B$88</definedName>
    <definedName name="infrastrutture_new">TT_Tabelle_Riferimento!$B$87:$B$88</definedName>
    <definedName name="integr" localSheetId="60">Input_per_calcoli_finali!$K$27</definedName>
    <definedName name="integr">Input_per_calcoli_finali!$K$28</definedName>
    <definedName name="integr_ap" localSheetId="60">Input_per_calcoli_finali!#REF!</definedName>
    <definedName name="integr_ap">Input_per_calcoli_finali!#REF!</definedName>
    <definedName name="kschema" localSheetId="60">Framework_schemi!$C$60</definedName>
    <definedName name="kschema">Framework_schemi!$C$60</definedName>
    <definedName name="kteta">Framework_schemi!$C$60</definedName>
    <definedName name="matrice_gamma">#REF!</definedName>
    <definedName name="menu_QT">Menu!$L$9:$O$12</definedName>
    <definedName name="ModuloBaseQV">Struttura_corrispettivi!$B$11:$AP$22</definedName>
    <definedName name="mti_4" localSheetId="60">Framework_schemi!$D$8</definedName>
    <definedName name="mti_4">Framework_schemi!$D$8</definedName>
    <definedName name="Natura_Giuridica">TT_Tabelle_Riferimento!$C$14:$C$24</definedName>
    <definedName name="Nome_ATO">Menu!$C$4</definedName>
    <definedName name="Nuovi_Investimenti" localSheetId="60">OFFSET(Nuovi_Investimenti!$A$15,1,0,COUNTA(Nuovi_Investimenti!$Q:$Q)-1,29)</definedName>
    <definedName name="Nuovi_Investimenti">OFFSET(Nuovi_Investimenti!$A$15,1,0,COUNTA(Nuovi_Investimenti!$Q:$Q)-1,29)</definedName>
    <definedName name="omega" localSheetId="60">Framework_schemi!$C$58</definedName>
    <definedName name="omega">Framework_schemi!$C$58</definedName>
    <definedName name="OPMi" localSheetId="60">Framework_schemi!$C$78</definedName>
    <definedName name="OPMi">Framework_schemi!$C$78</definedName>
    <definedName name="pdi_inv" localSheetId="60">OFFSET('PdI-crono_inv'!$A$4,0,0,COUNTA('PdI-crono_inv'!$A:$A)-1,84)</definedName>
    <definedName name="pdi_inv">OFFSET('PdI-crono_inv'!$A$4,0,0,COUNTA('PdI-crono_inv'!$A:$A)-1,84)</definedName>
    <definedName name="PINF" localSheetId="60">TT_parametri!$BB$6:$BS$22</definedName>
    <definedName name="PINF">TT_parametri!$BB$6:$BS$22</definedName>
    <definedName name="popolazione_ato" localSheetId="60">Dati_Anni_precedenti!$E$138</definedName>
    <definedName name="popolazione_ato">Dati_Anni_precedenti!$E$138</definedName>
    <definedName name="_xlnm.Print_Area" localSheetId="32">Capex!$A$1:$L$139</definedName>
    <definedName name="_xlnm.Print_Area" localSheetId="1">Menu!$A$1:$R$49</definedName>
    <definedName name="_xlnm.Print_Area" localSheetId="40">Piano_Tariffario!$C$2:$J$104</definedName>
    <definedName name="_xlnm.Print_Area" localSheetId="31">VRG_Teta!$A$1:$L$145</definedName>
    <definedName name="Quad" localSheetId="60">Framework_schemi!$C$86</definedName>
    <definedName name="Quad">Framework_schemi!$C$86</definedName>
    <definedName name="Ragione_Sociale">Menu!$F$4</definedName>
    <definedName name="Rendiconto_Finanziario">Rendiconto_Finanziario!$B$2:$AG$35</definedName>
    <definedName name="Ricavi_Quota_Variabile">Struttura_corrispettivi!$F$10:$AO$20</definedName>
    <definedName name="rif_metodo" localSheetId="60">TT_Tabelle_Riferimento!$J$2:$L$19</definedName>
    <definedName name="rif_metodo">TT_Tabelle_Riferimento!$J$2:$L$19</definedName>
    <definedName name="rpi" localSheetId="60">Framework_schemi!$C$59</definedName>
    <definedName name="rpi">Framework_schemi!$C$59</definedName>
    <definedName name="schede">Menu!$C$9:$G$67</definedName>
    <definedName name="schedeQ">Menu!$L$9:$P$20</definedName>
    <definedName name="schema" localSheetId="60">TRIM(MID(Riepilogo_RQTI!Quad,8,99))</definedName>
    <definedName name="schema">TRIM(MID(Quad,8,99))</definedName>
    <definedName name="schema_regolatorio">TT_Tabelle_Riferimento!$B$22:$B$27</definedName>
    <definedName name="servizi_idrici">TT_Tabelle_Riferimento!$D$14:$D$16</definedName>
    <definedName name="Servizio_Dettaglio" localSheetId="60">TT_Tabelle_Riferimento!$B$3:$B$10</definedName>
    <definedName name="Servizio_Dettaglio">TT_Tabelle_Riferimento!$B$3:$B$10</definedName>
    <definedName name="SheetNames">REPLACE(GET.WORKBOOK(1),1,FIND("]",GET.WORKBOOK(1)),"")</definedName>
    <definedName name="si_no" localSheetId="60">TT_Tabelle_Riferimento!$E$3:$E$4</definedName>
    <definedName name="si_no">TT_Tabelle_Riferimento!$E$3:$E$4</definedName>
    <definedName name="sIMN_new" localSheetId="28">OFFSET(IMN_consolidamento!$A$5,0,0,COUNTA(IMN_consolidamento!$R:$R),18)</definedName>
    <definedName name="soggetti_aggr" localSheetId="60">OFFSET(Info_eventuali_aggregazioni!$N$9,0,0,COUNTA(Info_eventuali_aggregazioni!$N:$N),4)</definedName>
    <definedName name="soggetti_aggr">OFFSET(Info_eventuali_aggregazioni!$N$9,0,0,COUNTA(Info_eventuali_aggregazioni!$N:$N),4)</definedName>
    <definedName name="Soggetti_Elenco" localSheetId="60">OFFSET(Soggetti_Scambio!$A$7,1,0,COUNTA(Soggetti_Scambio!$A:$A),13)</definedName>
    <definedName name="Soggetti_Elenco">OFFSET(Soggetti_Scambio!$A$7,1,0,COUNTA(Soggetti_Scambio!$A:$A),13)</definedName>
    <definedName name="soggetto_j" localSheetId="60">OFFSET(Soggetti_Scambio!$H$7,0,0,COUNTA(Soggetti_Scambio!$H$7:XFD13),2)</definedName>
    <definedName name="soggetto_j">OFFSET(Soggetti_Scambio!$H$7,0,0,COUNTA(Soggetti_Scambio!$H$7:XFD13),2)</definedName>
    <definedName name="tabella_X">TT_Tabelle_Riferimento!$B$29</definedName>
    <definedName name="Territorio_Gestito_Affidamento">Menu!$B$3:$R$4</definedName>
    <definedName name="ticsi_t_s" localSheetId="60">TT_Tabelle_Riferimento!$H$76:$I$90</definedName>
    <definedName name="ticsi_t_s">TT_Tabelle_Riferimento!$H$76:$I$90</definedName>
    <definedName name="ticsi_tipol" localSheetId="60">TT_Tabelle_Riferimento!$G$64:$G$70</definedName>
    <definedName name="ticsi_tipol">TT_Tabelle_Riferimento!$G$64:$G$70</definedName>
    <definedName name="tipo_affidamento" localSheetId="60">TT_Tabelle_Riferimento!$G$14:$G$18</definedName>
    <definedName name="tipo_affidamento">TT_Tabelle_Riferimento!$G$14:$G$18</definedName>
    <definedName name="tipo_integrazione">TT_Tabelle_Riferimento!$G$21:$G$23</definedName>
    <definedName name="Tipologia_Proprietario" localSheetId="60">TT_Tabelle_Riferimento!$B$14:$B$19</definedName>
    <definedName name="Tipologia_Proprietario">TT_Tabelle_Riferimento!$B$14:$B$19</definedName>
    <definedName name="Tipologia_uso">TT_Tabelle_Riferimento!$E$14:$E$23</definedName>
    <definedName name="UltimoModuloQV">Struttura_corrispettivi!$B$11:$AP$22</definedName>
    <definedName name="var" localSheetId="60">Input_per_calcoli_finali!$K$26</definedName>
    <definedName name="var">Input_per_calcoli_finali!$K$27</definedName>
    <definedName name="Vendita_Servizi" localSheetId="60">OFFSET(Vendita_Servizi_ingrosso!$A$5,1,0,COUNTA(Vendita_Servizi_ingrosso!$A:$A)-1,39)</definedName>
    <definedName name="Vendita_Servizi">OFFSET(Vendita_Servizi_ingrosso!$A$5,1,0,COUNTA(Vendita_Servizi_ingrosso!$A:$A)-1,39)</definedName>
    <definedName name="vite_regolatorie" localSheetId="60">TT_riepilogo_IMN!$M$6:$RV$24</definedName>
    <definedName name="vite_regolatorie">TT_riepilogo_IMN!$M$6:$RV$24</definedName>
    <definedName name="vite_regolatorie_new" localSheetId="60">TT_riepilogo_IMN!$M$27:$RV$66</definedName>
    <definedName name="vite_regolatorie_new">TT_riepilogo_IMN!$M$27:$RV$66</definedName>
    <definedName name="ViteRegolatorieProp_new" localSheetId="60">TT_riepilogo_IMN!$M$102:$AF$141</definedName>
    <definedName name="ViteRegolatorieProp_new">TT_riepilogo_IMN!$M$102:$AF$141</definedName>
    <definedName name="ViteRegolatorieProp_old" localSheetId="60">TT_riepilogo_IMN!$M$81:$AF$97</definedName>
    <definedName name="ViteRegolatorieProp_old">TT_riepilogo_IMN!$M$81:$AF$97</definedName>
    <definedName name="VRG_PM">TT_parametri!$BC$46</definedName>
    <definedName name="vu_new" localSheetId="60">TT_Tabelle_Riferimento!$G$127:$K$164</definedName>
    <definedName name="vu_new">TT_Tabelle_Riferimento!$G$127:$K$164</definedName>
    <definedName name="xschema" localSheetId="60">Framework_schemi!$C$61</definedName>
    <definedName name="xschema">Framework_schemi!$C$61</definedName>
    <definedName name="Z_1E1889AA_9C00_49BF_A07E_295053EABBEF_.wvu.Cols" localSheetId="11" hidden="1">Acquisto_Servizi_ingrosso!$X:$Y</definedName>
    <definedName name="Z_1E1889AA_9C00_49BF_A07E_295053EABBEF_.wvu.Cols" localSheetId="13" hidden="1">Dismissioni!$P:$AA</definedName>
    <definedName name="Z_1E1889AA_9C00_49BF_A07E_295053EABBEF_.wvu.Cols" localSheetId="29" hidden="1">IMN_gestore!$A:$C</definedName>
    <definedName name="Z_1E1889AA_9C00_49BF_A07E_295053EABBEF_.wvu.Cols" localSheetId="38" hidden="1">Input_per_calcoli_finali!$B:$D,Input_per_calcoli_finali!$Q:$AA</definedName>
    <definedName name="Z_1E1889AA_9C00_49BF_A07E_295053EABBEF_.wvu.Cols" localSheetId="12" hidden="1">Nuovi_Investimenti!$N:$V</definedName>
    <definedName name="Z_1E1889AA_9C00_49BF_A07E_295053EABBEF_.wvu.Cols" localSheetId="40" hidden="1">Piano_Tariffario!#REF!</definedName>
    <definedName name="Z_1E1889AA_9C00_49BF_A07E_295053EABBEF_.wvu.Cols" localSheetId="42" hidden="1">Rendiconto_Finanziario!#REF!,Rendiconto_Finanziario!#REF!</definedName>
    <definedName name="Z_1E1889AA_9C00_49BF_A07E_295053EABBEF_.wvu.Cols" localSheetId="21" hidden="1">Ricavi_bacini_tariffari!#REF!</definedName>
    <definedName name="Z_1E1889AA_9C00_49BF_A07E_295053EABBEF_.wvu.Cols" localSheetId="18" hidden="1">Struttura_corrispettivi!$AD:$AD</definedName>
    <definedName name="Z_1E1889AA_9C00_49BF_A07E_295053EABBEF_.wvu.FilterData" localSheetId="23" hidden="1">IMN_cespiti_anni_precedenti!$F$5:$S$6</definedName>
    <definedName name="Z_1E1889AA_9C00_49BF_A07E_295053EABBEF_.wvu.FilterData" localSheetId="28" hidden="1">IMN_consolidamento!$E$5:$T$5</definedName>
    <definedName name="Z_1E1889AA_9C00_49BF_A07E_295053EABBEF_.wvu.FilterData" localSheetId="29" hidden="1">IMN_gestore!$A$5:$BF$6</definedName>
    <definedName name="Z_1E1889AA_9C00_49BF_A07E_295053EABBEF_.wvu.FilterData" localSheetId="25" hidden="1">IMN_Proprietari!$A$5:$O$5</definedName>
    <definedName name="Z_1E1889AA_9C00_49BF_A07E_295053EABBEF_.wvu.FilterData" localSheetId="45" hidden="1">TT_Comuni_ATO!$A$1:$J$7803</definedName>
    <definedName name="Z_1E1889AA_9C00_49BF_A07E_295053EABBEF_.wvu.FilterData" localSheetId="44" hidden="1">TT_Gestori!$A$7:$C$7</definedName>
    <definedName name="Z_1E1889AA_9C00_49BF_A07E_295053EABBEF_.wvu.Rows" localSheetId="11" hidden="1">Acquisto_Servizi_ingrosso!#REF!</definedName>
    <definedName name="Z_1E1889AA_9C00_49BF_A07E_295053EABBEF_.wvu.Rows" localSheetId="17" hidden="1">Bacini_Tariffari_Comuni!#REF!</definedName>
    <definedName name="Z_1E1889AA_9C00_49BF_A07E_295053EABBEF_.wvu.Rows" localSheetId="16" hidden="1">Elenco_Bacini_Tariffari!#REF!</definedName>
    <definedName name="Z_1E1889AA_9C00_49BF_A07E_295053EABBEF_.wvu.Rows" localSheetId="15" hidden="1">Info_eventuali_aggregazioni!#REF!</definedName>
    <definedName name="Z_1E1889AA_9C00_49BF_A07E_295053EABBEF_.wvu.Rows" localSheetId="1" hidden="1">Menu!$50:$53</definedName>
    <definedName name="Z_1E1889AA_9C00_49BF_A07E_295053EABBEF_.wvu.Rows" localSheetId="40" hidden="1">Piano_Tariffario!$5:$5</definedName>
    <definedName name="Z_1E1889AA_9C00_49BF_A07E_295053EABBEF_.wvu.Rows" localSheetId="21" hidden="1">Ricavi_bacini_tariffari!#REF!</definedName>
    <definedName name="Z_1E1889AA_9C00_49BF_A07E_295053EABBEF_.wvu.Rows" localSheetId="9" hidden="1">Soggetti_Scambio!#REF!</definedName>
    <definedName name="Z_1E1889AA_9C00_49BF_A07E_295053EABBEF_.wvu.Rows" localSheetId="18" hidden="1">Struttura_corrispettivi!$10:$10</definedName>
    <definedName name="Z_1E1889AA_9C00_49BF_A07E_295053EABBEF_.wvu.Rows" localSheetId="10" hidden="1">Vendita_Servizi_ingrosso!#REF!</definedName>
    <definedName name="Z_55E02C46_28B2_434E_B40C_06F6710E314E_.wvu.Cols" localSheetId="57" hidden="1">'QT-Depurazione'!#REF!</definedName>
    <definedName name="Z_55E02C46_28B2_434E_B40C_06F6710E314E_.wvu.Cols" localSheetId="56" hidden="1">'QT-Fognatura'!#REF!</definedName>
    <definedName name="Z_55E02C46_28B2_434E_B40C_06F6710E314E_.wvu.PrintArea" localSheetId="55" hidden="1">'QT-Acquedotto'!$A$2:$J$150</definedName>
    <definedName name="Z_55E02C46_28B2_434E_B40C_06F6710E314E_.wvu.PrintArea" localSheetId="58" hidden="1">'QT-Altri dati'!$A$2:$J$38</definedName>
    <definedName name="Z_55E02C46_28B2_434E_B40C_06F6710E314E_.wvu.PrintArea" localSheetId="57" hidden="1">'QT-Depurazione'!$A$2:$J$56</definedName>
    <definedName name="Z_55E02C46_28B2_434E_B40C_06F6710E314E_.wvu.PrintArea" localSheetId="56" hidden="1">'QT-Fognatura'!$A$2:$J$48</definedName>
    <definedName name="Z_55E02C46_28B2_434E_B40C_06F6710E314E_.wvu.PrintArea" localSheetId="59" hidden="1">'QT-Resilienza'!$A$2:$J$7</definedName>
    <definedName name="Z_55E02C46_28B2_434E_B40C_06F6710E314E_.wvu.PrintTitles" localSheetId="55" hidden="1">'QT-Acquedotto'!$2:$2</definedName>
    <definedName name="Z_55E02C46_28B2_434E_B40C_06F6710E314E_.wvu.PrintTitles" localSheetId="58" hidden="1">'QT-Altri dati'!$2:$2</definedName>
    <definedName name="Z_55E02C46_28B2_434E_B40C_06F6710E314E_.wvu.PrintTitles" localSheetId="57" hidden="1">'QT-Depurazione'!$2:$2</definedName>
    <definedName name="Z_55E02C46_28B2_434E_B40C_06F6710E314E_.wvu.PrintTitles" localSheetId="56" hidden="1">'QT-Fognatura'!$2:$2</definedName>
    <definedName name="Z_55E02C46_28B2_434E_B40C_06F6710E314E_.wvu.PrintTitles" localSheetId="59" hidden="1">'QT-Resilienza'!$2:$2</definedName>
    <definedName name="Z_83029BA9_344F_4783_B8F2_6704FB40A582_.wvu.Cols" localSheetId="5" hidden="1">Altri_dati_eco_fin!$M:$N</definedName>
    <definedName name="Z_83029BA9_344F_4783_B8F2_6704FB40A582_.wvu.Cols" localSheetId="41" hidden="1">Conto_Economico!$AI:$AI</definedName>
    <definedName name="Z_83029BA9_344F_4783_B8F2_6704FB40A582_.wvu.Cols" localSheetId="38" hidden="1">Input_per_calcoli_finali!$B:$C,Input_per_calcoli_finali!$Q:$AA</definedName>
    <definedName name="Z_83029BA9_344F_4783_B8F2_6704FB40A582_.wvu.Cols" localSheetId="1" hidden="1">Menu!$G:$I,Menu!$K:$M,Menu!$S:$U</definedName>
    <definedName name="Z_83029BA9_344F_4783_B8F2_6704FB40A582_.wvu.Cols" localSheetId="35" hidden="1">Opex!$L:$O</definedName>
    <definedName name="Z_83029BA9_344F_4783_B8F2_6704FB40A582_.wvu.Cols" localSheetId="40" hidden="1">Piano_Tariffario!#REF!,Piano_Tariffario!$AJ:$AJ</definedName>
    <definedName name="Z_83029BA9_344F_4783_B8F2_6704FB40A582_.wvu.Cols" localSheetId="42" hidden="1">Rendiconto_Finanziario!#REF!,Rendiconto_Finanziario!#REF!,Rendiconto_Finanziario!$AI:$AI</definedName>
    <definedName name="Z_83029BA9_344F_4783_B8F2_6704FB40A582_.wvu.Cols" localSheetId="7" hidden="1">Soggetti_proprietari!$N:$N</definedName>
    <definedName name="Z_83029BA9_344F_4783_B8F2_6704FB40A582_.wvu.Cols" localSheetId="18" hidden="1">Struttura_corrispettivi!#REF!,Struttura_corrispettivi!$N:$N,Struttura_corrispettivi!$Q:$R,Struttura_corrispettivi!$U:$U,Struttura_corrispettivi!$AH:$AK,Struttura_corrispettivi!$AK:$AK</definedName>
    <definedName name="Z_83029BA9_344F_4783_B8F2_6704FB40A582_.wvu.Cols" localSheetId="47" hidden="1">TT_parametri!$J:$AS</definedName>
    <definedName name="Z_83029BA9_344F_4783_B8F2_6704FB40A582_.wvu.Cols" localSheetId="48" hidden="1">TT_riepilogo_IMN!$V:$AX,TT_riepilogo_IMN!$BE:$CG,TT_riepilogo_IMN!$CM:$DO,TT_riepilogo_IMN!$DT:$EV,TT_riepilogo_IMN!$EZ:$GB,TT_riepilogo_IMN!$GE:$HG,TT_riepilogo_IMN!$HI:$IK</definedName>
    <definedName name="Z_83029BA9_344F_4783_B8F2_6704FB40A582_.wvu.Cols" localSheetId="39" hidden="1">VRG_riepilogo!$Q:$AA</definedName>
    <definedName name="Z_83029BA9_344F_4783_B8F2_6704FB40A582_.wvu.FilterData" localSheetId="23" hidden="1">IMN_cespiti_anni_precedenti!$A$5:$R$5</definedName>
    <definedName name="Z_83029BA9_344F_4783_B8F2_6704FB40A582_.wvu.FilterData" localSheetId="28" hidden="1">IMN_consolidamento!$A$5:$R$5</definedName>
    <definedName name="Z_83029BA9_344F_4783_B8F2_6704FB40A582_.wvu.FilterData" localSheetId="29" hidden="1">IMN_gestore!$A$5:$BE$6</definedName>
    <definedName name="Z_83029BA9_344F_4783_B8F2_6704FB40A582_.wvu.FilterData" localSheetId="25" hidden="1">IMN_Proprietari!$A$5:$O$5</definedName>
    <definedName name="Z_83029BA9_344F_4783_B8F2_6704FB40A582_.wvu.FilterData" localSheetId="45" hidden="1">TT_Comuni_ATO!$Q$1:$S$67</definedName>
    <definedName name="Z_83029BA9_344F_4783_B8F2_6704FB40A582_.wvu.FilterData" localSheetId="44" hidden="1">TT_Gestori!$A$7:$C$7</definedName>
    <definedName name="Z_83029BA9_344F_4783_B8F2_6704FB40A582_.wvu.PrintArea" localSheetId="32" hidden="1">Capex!$A$1:$L$139</definedName>
    <definedName name="Z_83029BA9_344F_4783_B8F2_6704FB40A582_.wvu.PrintArea" localSheetId="1" hidden="1">Menu!$A$1:$R$49</definedName>
    <definedName name="Z_83029BA9_344F_4783_B8F2_6704FB40A582_.wvu.PrintArea" localSheetId="40" hidden="1">Piano_Tariffario!$C$2:$J$104</definedName>
    <definedName name="Z_83029BA9_344F_4783_B8F2_6704FB40A582_.wvu.PrintArea" localSheetId="31" hidden="1">VRG_Teta!$A$1:$L$145</definedName>
    <definedName name="Z_83029BA9_344F_4783_B8F2_6704FB40A582_.wvu.Rows" localSheetId="32" hidden="1">Capex!$15:$15</definedName>
    <definedName name="Z_83029BA9_344F_4783_B8F2_6704FB40A582_.wvu.Rows" localSheetId="24" hidden="1">Conferma_investimenti!$5:$5,Conferma_investimenti!$7:$7</definedName>
    <definedName name="Z_83029BA9_344F_4783_B8F2_6704FB40A582_.wvu.Rows" localSheetId="13" hidden="1">Dismissioni!#REF!</definedName>
    <definedName name="Z_83029BA9_344F_4783_B8F2_6704FB40A582_.wvu.Rows" localSheetId="30" hidden="1">Framework_schemi!$12:$12</definedName>
    <definedName name="Z_83029BA9_344F_4783_B8F2_6704FB40A582_.wvu.Rows" localSheetId="23" hidden="1">IMN_cespiti_anni_precedenti!$6:$6</definedName>
    <definedName name="Z_83029BA9_344F_4783_B8F2_6704FB40A582_.wvu.Rows" localSheetId="25" hidden="1">IMN_Proprietari!$4:$4,IMN_Proprietari!$6:$6</definedName>
    <definedName name="Z_83029BA9_344F_4783_B8F2_6704FB40A582_.wvu.Rows" localSheetId="15" hidden="1">Info_eventuali_aggregazioni!$7:$8</definedName>
    <definedName name="Z_83029BA9_344F_4783_B8F2_6704FB40A582_.wvu.Rows" localSheetId="38" hidden="1">Input_per_calcoli_finali!#REF!,Input_per_calcoli_finali!$50:$50,Input_per_calcoli_finali!$62:$65,Input_per_calcoli_finali!$73:$74,Input_per_calcoli_finali!$219:$219</definedName>
    <definedName name="Z_83029BA9_344F_4783_B8F2_6704FB40A582_.wvu.Rows" localSheetId="1" hidden="1">Menu!$3:$3,Menu!$50:$54</definedName>
    <definedName name="Z_83029BA9_344F_4783_B8F2_6704FB40A582_.wvu.Rows" localSheetId="12" hidden="1">Nuovi_Investimenti!$16:$16</definedName>
    <definedName name="Z_83029BA9_344F_4783_B8F2_6704FB40A582_.wvu.Rows" localSheetId="35" hidden="1">Opex!$14:$14,Opex!#REF!,Opex!$259:$259,Opex!$269:$269,Opex!$295:$295,Opex!#REF!</definedName>
    <definedName name="Z_83029BA9_344F_4783_B8F2_6704FB40A582_.wvu.Rows" localSheetId="40" hidden="1">Piano_Tariffario!$5:$5</definedName>
    <definedName name="Z_83029BA9_344F_4783_B8F2_6704FB40A582_.wvu.Rows" localSheetId="36" hidden="1">'Rc'!$49:$49,'Rc'!$223:$223</definedName>
    <definedName name="Z_83029BA9_344F_4783_B8F2_6704FB40A582_.wvu.Rows" localSheetId="21" hidden="1">Ricavi_bacini_tariffari!$7:$8</definedName>
    <definedName name="Z_83029BA9_344F_4783_B8F2_6704FB40A582_.wvu.Rows" localSheetId="37" hidden="1">'Schema di convergenza'!$33:$40</definedName>
    <definedName name="Z_83029BA9_344F_4783_B8F2_6704FB40A582_.wvu.Rows" localSheetId="7" hidden="1">Soggetti_proprietari!$8:$8</definedName>
    <definedName name="Z_83029BA9_344F_4783_B8F2_6704FB40A582_.wvu.Rows" localSheetId="18" hidden="1">Struttura_corrispettivi!$7:$8,Struttura_corrispettivi!$10:$10</definedName>
    <definedName name="Z_83029BA9_344F_4783_B8F2_6704FB40A582_.wvu.Rows" localSheetId="47" hidden="1">TT_parametri!$66:$101</definedName>
    <definedName name="Z_849F61E1_F6D3_48F4_A6FF_68F8FE186D80_.wvu.Cols" localSheetId="5" hidden="1">Altri_dati_eco_fin!$M:$N</definedName>
    <definedName name="Z_849F61E1_F6D3_48F4_A6FF_68F8FE186D80_.wvu.Cols" localSheetId="41" hidden="1">Conto_Economico!$AI:$AI</definedName>
    <definedName name="Z_849F61E1_F6D3_48F4_A6FF_68F8FE186D80_.wvu.Cols" localSheetId="38" hidden="1">Input_per_calcoli_finali!$B:$C,Input_per_calcoli_finali!$Q:$AA</definedName>
    <definedName name="Z_849F61E1_F6D3_48F4_A6FF_68F8FE186D80_.wvu.Cols" localSheetId="1" hidden="1">Menu!$G:$I,Menu!$K:$M,Menu!$S:$U</definedName>
    <definedName name="Z_849F61E1_F6D3_48F4_A6FF_68F8FE186D80_.wvu.Cols" localSheetId="35" hidden="1">Opex!$L:$O</definedName>
    <definedName name="Z_849F61E1_F6D3_48F4_A6FF_68F8FE186D80_.wvu.Cols" localSheetId="40" hidden="1">Piano_Tariffario!#REF!,Piano_Tariffario!$AJ:$AJ</definedName>
    <definedName name="Z_849F61E1_F6D3_48F4_A6FF_68F8FE186D80_.wvu.Cols" localSheetId="42" hidden="1">Rendiconto_Finanziario!#REF!,Rendiconto_Finanziario!#REF!,Rendiconto_Finanziario!$AI:$AI</definedName>
    <definedName name="Z_849F61E1_F6D3_48F4_A6FF_68F8FE186D80_.wvu.Cols" localSheetId="7" hidden="1">Soggetti_proprietari!$N:$N</definedName>
    <definedName name="Z_849F61E1_F6D3_48F4_A6FF_68F8FE186D80_.wvu.Cols" localSheetId="18" hidden="1">Struttura_corrispettivi!#REF!,Struttura_corrispettivi!$N:$N,Struttura_corrispettivi!$Q:$R,Struttura_corrispettivi!$U:$U,Struttura_corrispettivi!$AH:$AK,Struttura_corrispettivi!$AK:$AK</definedName>
    <definedName name="Z_849F61E1_F6D3_48F4_A6FF_68F8FE186D80_.wvu.Cols" localSheetId="47" hidden="1">TT_parametri!$J:$AS</definedName>
    <definedName name="Z_849F61E1_F6D3_48F4_A6FF_68F8FE186D80_.wvu.Cols" localSheetId="48" hidden="1">TT_riepilogo_IMN!$V:$AX,TT_riepilogo_IMN!$BE:$CG,TT_riepilogo_IMN!$CM:$DO,TT_riepilogo_IMN!$DT:$EV,TT_riepilogo_IMN!$EZ:$GB,TT_riepilogo_IMN!$GE:$HG,TT_riepilogo_IMN!$HI:$IK</definedName>
    <definedName name="Z_849F61E1_F6D3_48F4_A6FF_68F8FE186D80_.wvu.Cols" localSheetId="39" hidden="1">VRG_riepilogo!$Q:$AA</definedName>
    <definedName name="Z_849F61E1_F6D3_48F4_A6FF_68F8FE186D80_.wvu.FilterData" localSheetId="23" hidden="1">IMN_cespiti_anni_precedenti!$A$5:$R$5</definedName>
    <definedName name="Z_849F61E1_F6D3_48F4_A6FF_68F8FE186D80_.wvu.FilterData" localSheetId="28" hidden="1">IMN_consolidamento!$A$5:$R$5</definedName>
    <definedName name="Z_849F61E1_F6D3_48F4_A6FF_68F8FE186D80_.wvu.FilterData" localSheetId="29" hidden="1">IMN_gestore!$A$5:$BE$6</definedName>
    <definedName name="Z_849F61E1_F6D3_48F4_A6FF_68F8FE186D80_.wvu.FilterData" localSheetId="25" hidden="1">IMN_Proprietari!$A$5:$O$5</definedName>
    <definedName name="Z_849F61E1_F6D3_48F4_A6FF_68F8FE186D80_.wvu.FilterData" localSheetId="45" hidden="1">TT_Comuni_ATO!$Q$1:$S$67</definedName>
    <definedName name="Z_849F61E1_F6D3_48F4_A6FF_68F8FE186D80_.wvu.FilterData" localSheetId="44" hidden="1">TT_Gestori!$A$7:$C$7</definedName>
    <definedName name="Z_849F61E1_F6D3_48F4_A6FF_68F8FE186D80_.wvu.PrintArea" localSheetId="32" hidden="1">Capex!$A$1:$L$139</definedName>
    <definedName name="Z_849F61E1_F6D3_48F4_A6FF_68F8FE186D80_.wvu.PrintArea" localSheetId="1" hidden="1">Menu!$A$1:$R$49</definedName>
    <definedName name="Z_849F61E1_F6D3_48F4_A6FF_68F8FE186D80_.wvu.PrintArea" localSheetId="40" hidden="1">Piano_Tariffario!$C$2:$J$104</definedName>
    <definedName name="Z_849F61E1_F6D3_48F4_A6FF_68F8FE186D80_.wvu.PrintArea" localSheetId="31" hidden="1">VRG_Teta!$A$1:$L$145</definedName>
    <definedName name="Z_849F61E1_F6D3_48F4_A6FF_68F8FE186D80_.wvu.Rows" localSheetId="32" hidden="1">Capex!$15:$15</definedName>
    <definedName name="Z_849F61E1_F6D3_48F4_A6FF_68F8FE186D80_.wvu.Rows" localSheetId="24" hidden="1">Conferma_investimenti!$5:$5,Conferma_investimenti!$7:$7</definedName>
    <definedName name="Z_849F61E1_F6D3_48F4_A6FF_68F8FE186D80_.wvu.Rows" localSheetId="13" hidden="1">Dismissioni!#REF!</definedName>
    <definedName name="Z_849F61E1_F6D3_48F4_A6FF_68F8FE186D80_.wvu.Rows" localSheetId="30" hidden="1">Framework_schemi!$12:$12</definedName>
    <definedName name="Z_849F61E1_F6D3_48F4_A6FF_68F8FE186D80_.wvu.Rows" localSheetId="23" hidden="1">IMN_cespiti_anni_precedenti!$6:$6</definedName>
    <definedName name="Z_849F61E1_F6D3_48F4_A6FF_68F8FE186D80_.wvu.Rows" localSheetId="25" hidden="1">IMN_Proprietari!$4:$4,IMN_Proprietari!$6:$6</definedName>
    <definedName name="Z_849F61E1_F6D3_48F4_A6FF_68F8FE186D80_.wvu.Rows" localSheetId="15" hidden="1">Info_eventuali_aggregazioni!$7:$8</definedName>
    <definedName name="Z_849F61E1_F6D3_48F4_A6FF_68F8FE186D80_.wvu.Rows" localSheetId="38" hidden="1">Input_per_calcoli_finali!#REF!,Input_per_calcoli_finali!$50:$50,Input_per_calcoli_finali!$62:$65,Input_per_calcoli_finali!$73:$74,Input_per_calcoli_finali!$219:$219</definedName>
    <definedName name="Z_849F61E1_F6D3_48F4_A6FF_68F8FE186D80_.wvu.Rows" localSheetId="1" hidden="1">Menu!$3:$3,Menu!$50:$54</definedName>
    <definedName name="Z_849F61E1_F6D3_48F4_A6FF_68F8FE186D80_.wvu.Rows" localSheetId="12" hidden="1">Nuovi_Investimenti!$16:$16</definedName>
    <definedName name="Z_849F61E1_F6D3_48F4_A6FF_68F8FE186D80_.wvu.Rows" localSheetId="35" hidden="1">Opex!$14:$14,Opex!#REF!,Opex!$259:$259,Opex!$269:$269,Opex!$295:$295,Opex!#REF!</definedName>
    <definedName name="Z_849F61E1_F6D3_48F4_A6FF_68F8FE186D80_.wvu.Rows" localSheetId="40" hidden="1">Piano_Tariffario!$5:$5</definedName>
    <definedName name="Z_849F61E1_F6D3_48F4_A6FF_68F8FE186D80_.wvu.Rows" localSheetId="36" hidden="1">'Rc'!$49:$49,'Rc'!$223:$223</definedName>
    <definedName name="Z_849F61E1_F6D3_48F4_A6FF_68F8FE186D80_.wvu.Rows" localSheetId="21" hidden="1">Ricavi_bacini_tariffari!$7:$8</definedName>
    <definedName name="Z_849F61E1_F6D3_48F4_A6FF_68F8FE186D80_.wvu.Rows" localSheetId="37" hidden="1">'Schema di convergenza'!$33:$40</definedName>
    <definedName name="Z_849F61E1_F6D3_48F4_A6FF_68F8FE186D80_.wvu.Rows" localSheetId="7" hidden="1">Soggetti_proprietari!$8:$8</definedName>
    <definedName name="Z_849F61E1_F6D3_48F4_A6FF_68F8FE186D80_.wvu.Rows" localSheetId="18" hidden="1">Struttura_corrispettivi!$7:$8,Struttura_corrispettivi!$10:$10</definedName>
    <definedName name="Z_849F61E1_F6D3_48F4_A6FF_68F8FE186D80_.wvu.Rows" localSheetId="47" hidden="1">TT_parametri!$66:$101</definedName>
  </definedNames>
  <calcPr calcId="191029"/>
  <customWorkbookViews>
    <customWorkbookView name="Ivano D'Antonio - Visualizzazione personale" guid="{849F61E1-F6D3-48F4-A6FF-68F8FE186D80}" mergeInterval="0" personalView="1" maximized="1" xWindow="-8" yWindow="-8" windowWidth="1936" windowHeight="1066" tabRatio="931" activeSheetId="4" showComments="commIndAndComment"/>
    <customWorkbookView name="Aldo Basile - Visualizzazione personale" guid="{1E1889AA-9C00-49BF-A07E-295053EABBEF}" mergeInterval="0" personalView="1" maximized="1" windowWidth="1676" windowHeight="805" tabRatio="931" activeSheetId="2"/>
    <customWorkbookView name="D'Antonio Ivano - Visualizzazione personale" guid="{83029BA9-344F-4783-B8F2-6704FB40A582}" mergeInterval="0" personalView="1" xWindow="2" yWindow="43" windowWidth="1917" windowHeight="1040" tabRatio="931" activeSheetId="2"/>
  </customWorkbookViews>
  <pivotCaches>
    <pivotCache cacheId="0" r:id="rId63"/>
    <pivotCache cacheId="1" r:id="rId64"/>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35" i="4" l="1"/>
  <c r="H109" i="38"/>
  <c r="G109" i="38"/>
  <c r="F109" i="38"/>
  <c r="E109" i="38"/>
  <c r="F138" i="38"/>
  <c r="E138" i="38"/>
  <c r="H138" i="38"/>
  <c r="G138" i="38"/>
  <c r="H67" i="40" l="1"/>
  <c r="G67" i="40"/>
  <c r="F67" i="40"/>
  <c r="E67" i="40"/>
  <c r="H54" i="40"/>
  <c r="G54" i="40"/>
  <c r="F54" i="40"/>
  <c r="E54" i="40"/>
  <c r="H53" i="40"/>
  <c r="G53" i="40"/>
  <c r="F53" i="40"/>
  <c r="E53" i="40"/>
  <c r="H185" i="43"/>
  <c r="G185" i="43"/>
  <c r="F185" i="43"/>
  <c r="E77" i="38"/>
  <c r="C125" i="40" l="1"/>
  <c r="D125" i="40"/>
  <c r="F125" i="40"/>
  <c r="E125" i="40"/>
  <c r="E128" i="76"/>
  <c r="E127" i="76"/>
  <c r="E126" i="76"/>
  <c r="E125" i="76"/>
  <c r="E124" i="76"/>
  <c r="E42" i="58"/>
  <c r="H189" i="43"/>
  <c r="G189" i="43"/>
  <c r="F189" i="43"/>
  <c r="E189" i="43"/>
  <c r="E180" i="43"/>
  <c r="F180" i="43"/>
  <c r="H98" i="44"/>
  <c r="D201" i="43"/>
  <c r="C201" i="43"/>
  <c r="D200" i="43"/>
  <c r="C200" i="43"/>
  <c r="M3" i="3"/>
  <c r="S6" i="34"/>
  <c r="AI6" i="35"/>
  <c r="AX6" i="35" a="1"/>
  <c r="BB6" i="35"/>
  <c r="BX6" i="35"/>
  <c r="BC6" i="35"/>
  <c r="AG6" i="35"/>
  <c r="AZ6" i="35"/>
  <c r="BH6" i="35" a="1"/>
  <c r="AF6" i="35"/>
  <c r="AB6" i="35" a="1"/>
  <c r="Q6" i="35" a="1"/>
  <c r="S6" i="35"/>
  <c r="AO6" i="35"/>
  <c r="CA6" i="35"/>
  <c r="AT6" i="35"/>
  <c r="BM6" i="35"/>
  <c r="X6" i="35"/>
  <c r="BY6" i="35"/>
  <c r="V6" i="35"/>
  <c r="AR6" i="35"/>
  <c r="BK6" i="35"/>
  <c r="AM6" i="35" a="1"/>
  <c r="AD6" i="35"/>
  <c r="BS6" i="35" a="1"/>
  <c r="BI6" i="35" a="1"/>
  <c r="AQ6" i="35"/>
  <c r="AW6" i="35" a="1"/>
  <c r="U6" i="35"/>
  <c r="BV6" i="35"/>
  <c r="BT6" i="35" a="1"/>
  <c r="AA6" i="35" a="1"/>
  <c r="P6" i="35" a="1"/>
  <c r="AL6" i="35" a="1"/>
  <c r="BP6" i="35"/>
  <c r="BE6" i="35"/>
  <c r="BN6" i="35"/>
  <c r="AL6" i="35" l="1"/>
  <c r="BS6" i="35"/>
  <c r="AM6" i="35"/>
  <c r="BH6" i="35"/>
  <c r="AB6" i="35"/>
  <c r="BI6" i="35"/>
  <c r="P6" i="35"/>
  <c r="AW6" i="35"/>
  <c r="BT6" i="35"/>
  <c r="AA6" i="35"/>
  <c r="Q6" i="35"/>
  <c r="AX6" i="35"/>
  <c r="E92" i="109" l="1"/>
  <c r="K57" i="40"/>
  <c r="G94" i="109"/>
  <c r="G91" i="109"/>
  <c r="E93" i="109"/>
  <c r="D2086" i="53" l="1"/>
  <c r="D2085" i="53"/>
  <c r="D2084" i="53"/>
  <c r="D2083" i="53"/>
  <c r="D2082" i="53"/>
  <c r="D2081" i="53"/>
  <c r="D2080" i="53"/>
  <c r="D2079" i="53"/>
  <c r="D2078" i="53"/>
  <c r="D2077" i="53"/>
  <c r="D2076" i="53"/>
  <c r="D2075" i="53"/>
  <c r="D2074" i="53"/>
  <c r="D2073" i="53"/>
  <c r="D2072" i="53"/>
  <c r="D2071" i="53"/>
  <c r="D2070" i="53"/>
  <c r="D2069" i="53"/>
  <c r="D2068" i="53"/>
  <c r="D2067" i="53"/>
  <c r="D2066" i="53"/>
  <c r="D2065" i="53"/>
  <c r="D2064" i="53"/>
  <c r="D2063" i="53"/>
  <c r="D2062" i="53"/>
  <c r="D2061" i="53"/>
  <c r="D2060" i="53"/>
  <c r="D2059" i="53"/>
  <c r="D2058" i="53"/>
  <c r="D2057" i="53"/>
  <c r="D2056" i="53"/>
  <c r="D2055" i="53"/>
  <c r="D2054" i="53"/>
  <c r="D2053" i="53"/>
  <c r="D2052" i="53"/>
  <c r="D2051" i="53"/>
  <c r="D2050" i="53"/>
  <c r="D2049" i="53"/>
  <c r="D2048" i="53"/>
  <c r="D2047" i="53"/>
  <c r="D2046" i="53"/>
  <c r="D2045" i="53"/>
  <c r="D2044" i="53"/>
  <c r="D2043" i="53"/>
  <c r="D2042" i="53"/>
  <c r="D2041" i="53"/>
  <c r="D2040" i="53"/>
  <c r="D2039" i="53"/>
  <c r="D2038" i="53"/>
  <c r="D2037" i="53"/>
  <c r="D2036" i="53"/>
  <c r="D2035" i="53"/>
  <c r="D2034" i="53"/>
  <c r="D2033" i="53"/>
  <c r="D2032" i="53"/>
  <c r="D2031" i="53"/>
  <c r="D2030" i="53"/>
  <c r="D2029" i="53"/>
  <c r="D2028" i="53"/>
  <c r="D2027" i="53"/>
  <c r="D2026" i="53"/>
  <c r="D2025" i="53"/>
  <c r="D2024" i="53"/>
  <c r="D2023" i="53"/>
  <c r="D2022" i="53"/>
  <c r="D2021" i="53"/>
  <c r="D2020" i="53"/>
  <c r="D2019" i="53"/>
  <c r="D2018" i="53"/>
  <c r="D2017" i="53"/>
  <c r="D2016" i="53"/>
  <c r="D2015" i="53"/>
  <c r="D2014" i="53"/>
  <c r="D2013" i="53"/>
  <c r="D2012" i="53"/>
  <c r="D2011" i="53"/>
  <c r="D2010" i="53"/>
  <c r="D2009" i="53"/>
  <c r="D2008" i="53"/>
  <c r="D2007" i="53"/>
  <c r="D2006" i="53"/>
  <c r="D2005" i="53"/>
  <c r="D2004" i="53"/>
  <c r="D2003" i="53"/>
  <c r="D2002" i="53"/>
  <c r="D2001" i="53"/>
  <c r="D2000" i="53"/>
  <c r="D1999" i="53"/>
  <c r="D1998" i="53"/>
  <c r="D1997" i="53"/>
  <c r="D1996" i="53"/>
  <c r="D1995" i="53"/>
  <c r="D1994" i="53"/>
  <c r="D1993" i="53"/>
  <c r="D1992" i="53"/>
  <c r="D1991" i="53"/>
  <c r="D1990" i="53"/>
  <c r="D1989" i="53"/>
  <c r="D1988" i="53"/>
  <c r="D1987" i="53"/>
  <c r="D1986" i="53"/>
  <c r="D1985" i="53"/>
  <c r="D1984" i="53"/>
  <c r="D1983" i="53"/>
  <c r="D1982" i="53"/>
  <c r="D1981" i="53"/>
  <c r="D1980" i="53"/>
  <c r="D1979" i="53"/>
  <c r="D1978" i="53"/>
  <c r="D1977" i="53"/>
  <c r="D1976" i="53"/>
  <c r="D1975" i="53"/>
  <c r="D1974" i="53"/>
  <c r="D1973" i="53"/>
  <c r="D1972" i="53"/>
  <c r="D1971" i="53"/>
  <c r="D1970" i="53"/>
  <c r="D1969" i="53"/>
  <c r="D1968" i="53"/>
  <c r="D1967" i="53"/>
  <c r="D1966" i="53"/>
  <c r="D1965" i="53"/>
  <c r="D1964" i="53"/>
  <c r="D1963" i="53"/>
  <c r="D1962" i="53"/>
  <c r="D1961" i="53"/>
  <c r="D1960" i="53"/>
  <c r="D1959" i="53"/>
  <c r="D1958" i="53"/>
  <c r="D1957" i="53"/>
  <c r="D1956" i="53"/>
  <c r="D1955" i="53"/>
  <c r="D1954" i="53"/>
  <c r="D1953" i="53"/>
  <c r="D1952" i="53"/>
  <c r="D1951" i="53"/>
  <c r="D1950" i="53"/>
  <c r="D1949" i="53"/>
  <c r="D1948" i="53"/>
  <c r="D1947" i="53"/>
  <c r="D1946" i="53"/>
  <c r="D1945" i="53"/>
  <c r="D1944" i="53"/>
  <c r="D1943" i="53"/>
  <c r="D1942" i="53"/>
  <c r="D1941" i="53"/>
  <c r="D1940" i="53"/>
  <c r="D1939" i="53"/>
  <c r="D1938" i="53"/>
  <c r="D1937" i="53"/>
  <c r="D1936" i="53"/>
  <c r="D1935" i="53"/>
  <c r="D1934" i="53"/>
  <c r="D1933" i="53"/>
  <c r="D1932" i="53"/>
  <c r="D1931" i="53"/>
  <c r="D1930" i="53"/>
  <c r="D1929" i="53"/>
  <c r="D1928" i="53"/>
  <c r="D1927" i="53"/>
  <c r="D1926" i="53"/>
  <c r="D1925" i="53"/>
  <c r="D1924" i="53"/>
  <c r="D1923" i="53"/>
  <c r="D1922" i="53"/>
  <c r="D1921" i="53"/>
  <c r="D1920" i="53"/>
  <c r="D1919" i="53"/>
  <c r="D1918" i="53"/>
  <c r="D1917" i="53"/>
  <c r="D1916" i="53"/>
  <c r="D1915" i="53"/>
  <c r="D1914" i="53"/>
  <c r="D1913" i="53"/>
  <c r="D1912" i="53"/>
  <c r="D1911" i="53"/>
  <c r="D1910" i="53"/>
  <c r="D1909" i="53"/>
  <c r="D1908" i="53"/>
  <c r="D1907" i="53"/>
  <c r="D1906" i="53"/>
  <c r="D1905" i="53"/>
  <c r="D1904" i="53"/>
  <c r="D1903" i="53"/>
  <c r="D1902" i="53"/>
  <c r="D1901" i="53"/>
  <c r="D1900" i="53"/>
  <c r="D1899" i="53"/>
  <c r="D1898" i="53"/>
  <c r="D1897" i="53"/>
  <c r="D1896" i="53"/>
  <c r="D1895" i="53"/>
  <c r="D1894" i="53"/>
  <c r="D1893" i="53"/>
  <c r="D1892" i="53"/>
  <c r="D1891" i="53"/>
  <c r="D1890" i="53"/>
  <c r="D1889" i="53"/>
  <c r="D1888" i="53"/>
  <c r="D1887" i="53"/>
  <c r="D1886" i="53"/>
  <c r="D1885" i="53"/>
  <c r="D1884" i="53"/>
  <c r="D1883" i="53"/>
  <c r="D1882" i="53"/>
  <c r="D1881" i="53"/>
  <c r="D1880" i="53"/>
  <c r="D1879" i="53"/>
  <c r="D1878" i="53"/>
  <c r="D1877" i="53"/>
  <c r="D1876" i="53"/>
  <c r="D1875" i="53"/>
  <c r="D1874" i="53"/>
  <c r="D1873" i="53"/>
  <c r="D1872" i="53"/>
  <c r="D1871" i="53"/>
  <c r="D1870" i="53"/>
  <c r="D1869" i="53"/>
  <c r="D1868" i="53"/>
  <c r="D1867" i="53"/>
  <c r="D1866" i="53"/>
  <c r="D1865" i="53"/>
  <c r="D1864" i="53"/>
  <c r="D1863" i="53"/>
  <c r="D1862" i="53"/>
  <c r="D1861" i="53"/>
  <c r="D1860" i="53"/>
  <c r="D1859" i="53"/>
  <c r="D1858" i="53"/>
  <c r="D1857" i="53"/>
  <c r="D1856" i="53"/>
  <c r="D1855" i="53"/>
  <c r="D1854" i="53"/>
  <c r="D1853" i="53"/>
  <c r="D1852" i="53"/>
  <c r="D1851" i="53"/>
  <c r="D1850" i="53"/>
  <c r="D1849" i="53"/>
  <c r="D1848" i="53"/>
  <c r="D1847" i="53"/>
  <c r="D1846" i="53"/>
  <c r="D1845" i="53"/>
  <c r="D1844" i="53"/>
  <c r="D1843" i="53"/>
  <c r="D1842" i="53"/>
  <c r="D1841" i="53"/>
  <c r="D1840" i="53"/>
  <c r="D1839" i="53"/>
  <c r="D1838" i="53"/>
  <c r="D1837" i="53"/>
  <c r="D1836" i="53"/>
  <c r="D1835" i="53"/>
  <c r="D1834" i="53"/>
  <c r="D1833" i="53"/>
  <c r="D1832" i="53"/>
  <c r="D1831" i="53"/>
  <c r="D1830" i="53"/>
  <c r="D1829" i="53"/>
  <c r="D1828" i="53"/>
  <c r="D1827" i="53"/>
  <c r="D1826" i="53"/>
  <c r="D1825" i="53"/>
  <c r="D1824" i="53"/>
  <c r="D1823" i="53"/>
  <c r="D1822" i="53"/>
  <c r="D1821" i="53"/>
  <c r="D1820" i="53"/>
  <c r="D1819" i="53"/>
  <c r="D1818" i="53"/>
  <c r="D1817" i="53"/>
  <c r="D1816" i="53"/>
  <c r="D1815" i="53"/>
  <c r="D1814" i="53"/>
  <c r="D1813" i="53"/>
  <c r="D1812" i="53"/>
  <c r="D1811" i="53"/>
  <c r="D1810" i="53"/>
  <c r="D1809" i="53"/>
  <c r="D1808" i="53"/>
  <c r="D1807" i="53"/>
  <c r="D1806" i="53"/>
  <c r="D1805" i="53"/>
  <c r="D1804" i="53"/>
  <c r="D1803" i="53"/>
  <c r="D1802" i="53"/>
  <c r="D1801" i="53"/>
  <c r="D1800" i="53"/>
  <c r="D1799" i="53"/>
  <c r="D1798" i="53"/>
  <c r="D1797" i="53"/>
  <c r="D1796" i="53"/>
  <c r="D1795" i="53"/>
  <c r="D1794" i="53"/>
  <c r="D1793" i="53"/>
  <c r="D1792" i="53"/>
  <c r="D1791" i="53"/>
  <c r="D1790" i="53"/>
  <c r="D1789" i="53"/>
  <c r="D1788" i="53"/>
  <c r="D1787" i="53"/>
  <c r="D1786" i="53"/>
  <c r="D1785" i="53"/>
  <c r="D1784" i="53"/>
  <c r="D1783" i="53"/>
  <c r="D1782" i="53"/>
  <c r="D1781" i="53"/>
  <c r="D1780" i="53"/>
  <c r="D1779" i="53"/>
  <c r="D1778" i="53"/>
  <c r="D1777" i="53"/>
  <c r="D1776" i="53"/>
  <c r="D1775" i="53"/>
  <c r="D1774" i="53"/>
  <c r="D1773" i="53"/>
  <c r="D1772" i="53"/>
  <c r="D1771" i="53"/>
  <c r="D1770" i="53"/>
  <c r="D1769" i="53"/>
  <c r="D1768" i="53"/>
  <c r="D1767" i="53"/>
  <c r="D1766" i="53"/>
  <c r="D1765" i="53"/>
  <c r="D1764" i="53"/>
  <c r="D1763" i="53"/>
  <c r="D1762" i="53"/>
  <c r="D1761" i="53"/>
  <c r="D1760" i="53"/>
  <c r="D1759" i="53"/>
  <c r="D1758" i="53"/>
  <c r="D1757" i="53"/>
  <c r="D1756" i="53"/>
  <c r="D1755" i="53"/>
  <c r="D1754" i="53"/>
  <c r="D1753" i="53"/>
  <c r="D1752" i="53"/>
  <c r="D1751" i="53"/>
  <c r="D1750" i="53"/>
  <c r="D1749" i="53"/>
  <c r="D1748" i="53"/>
  <c r="D1747" i="53"/>
  <c r="D1746" i="53"/>
  <c r="D1745" i="53"/>
  <c r="D1744" i="53"/>
  <c r="D1743" i="53"/>
  <c r="D1742" i="53"/>
  <c r="D1741" i="53"/>
  <c r="D1740" i="53"/>
  <c r="D1739" i="53"/>
  <c r="D1738" i="53"/>
  <c r="D1737" i="53"/>
  <c r="D1736" i="53"/>
  <c r="D1735" i="53"/>
  <c r="D1734" i="53"/>
  <c r="D1733" i="53"/>
  <c r="D1732" i="53"/>
  <c r="D1731" i="53"/>
  <c r="D1730" i="53"/>
  <c r="D1729" i="53"/>
  <c r="D1728" i="53"/>
  <c r="D1727" i="53"/>
  <c r="D1726" i="53"/>
  <c r="D1725" i="53"/>
  <c r="D1724" i="53"/>
  <c r="D1723" i="53"/>
  <c r="D1722" i="53"/>
  <c r="D1721" i="53"/>
  <c r="D1720" i="53"/>
  <c r="D1719" i="53"/>
  <c r="D1718" i="53"/>
  <c r="D1717" i="53"/>
  <c r="D1716" i="53"/>
  <c r="D1715" i="53"/>
  <c r="D1714" i="53"/>
  <c r="D1713" i="53"/>
  <c r="D1712" i="53"/>
  <c r="D1711" i="53"/>
  <c r="D1710" i="53"/>
  <c r="D1709" i="53"/>
  <c r="D1708" i="53"/>
  <c r="D1707" i="53"/>
  <c r="D1706" i="53"/>
  <c r="D1705" i="53"/>
  <c r="D1704" i="53"/>
  <c r="D1703" i="53"/>
  <c r="D1702" i="53"/>
  <c r="D1701" i="53"/>
  <c r="D1700" i="53"/>
  <c r="D1699" i="53"/>
  <c r="D1698" i="53"/>
  <c r="D1697" i="53"/>
  <c r="D1696" i="53"/>
  <c r="D1695" i="53"/>
  <c r="D1694" i="53"/>
  <c r="D1693" i="53"/>
  <c r="D1692" i="53"/>
  <c r="D1691" i="53"/>
  <c r="D1690" i="53"/>
  <c r="D1689" i="53"/>
  <c r="D1688" i="53"/>
  <c r="D1687" i="53"/>
  <c r="D1686" i="53"/>
  <c r="D1685" i="53"/>
  <c r="D1684" i="53"/>
  <c r="D1683" i="53"/>
  <c r="D1682" i="53"/>
  <c r="D1681" i="53"/>
  <c r="D1680" i="53"/>
  <c r="D1679" i="53"/>
  <c r="D1678" i="53"/>
  <c r="D1677" i="53"/>
  <c r="D1676" i="53"/>
  <c r="D1675" i="53"/>
  <c r="D1674" i="53"/>
  <c r="D1673" i="53"/>
  <c r="D1672" i="53"/>
  <c r="D1671" i="53"/>
  <c r="D1670" i="53"/>
  <c r="D1669" i="53"/>
  <c r="D1668" i="53"/>
  <c r="D1667" i="53"/>
  <c r="D1666" i="53"/>
  <c r="D1665" i="53"/>
  <c r="D1664" i="53"/>
  <c r="D1663" i="53"/>
  <c r="D1662" i="53"/>
  <c r="D1661" i="53"/>
  <c r="D1660" i="53"/>
  <c r="D1659" i="53"/>
  <c r="D1658" i="53"/>
  <c r="D1657" i="53"/>
  <c r="D1656" i="53"/>
  <c r="D1655" i="53"/>
  <c r="D1654" i="53"/>
  <c r="D1653" i="53"/>
  <c r="D1652" i="53"/>
  <c r="D1651" i="53"/>
  <c r="D1650" i="53"/>
  <c r="D1649" i="53"/>
  <c r="D1648" i="53"/>
  <c r="D1647" i="53"/>
  <c r="D1646" i="53"/>
  <c r="D1645" i="53"/>
  <c r="D1644" i="53"/>
  <c r="D1643" i="53"/>
  <c r="D1642" i="53"/>
  <c r="D1641" i="53"/>
  <c r="D1640" i="53"/>
  <c r="D1639" i="53"/>
  <c r="D1638" i="53"/>
  <c r="D1637" i="53"/>
  <c r="D1636" i="53"/>
  <c r="D1635" i="53"/>
  <c r="D1634" i="53"/>
  <c r="D1633" i="53"/>
  <c r="D1632" i="53"/>
  <c r="D1631" i="53"/>
  <c r="D1630" i="53"/>
  <c r="D1629" i="53"/>
  <c r="D1628" i="53"/>
  <c r="D1627" i="53"/>
  <c r="D1626" i="53"/>
  <c r="D1625" i="53"/>
  <c r="D1624" i="53"/>
  <c r="D1623" i="53"/>
  <c r="D1622" i="53"/>
  <c r="D1621" i="53"/>
  <c r="D1620" i="53"/>
  <c r="D1619" i="53"/>
  <c r="D1618" i="53"/>
  <c r="D1617" i="53"/>
  <c r="D1616" i="53"/>
  <c r="D1615" i="53"/>
  <c r="D1614" i="53"/>
  <c r="D1613" i="53"/>
  <c r="D1612" i="53"/>
  <c r="D1611" i="53"/>
  <c r="D1610" i="53"/>
  <c r="D1609" i="53"/>
  <c r="D1608" i="53"/>
  <c r="D1607" i="53"/>
  <c r="D1606" i="53"/>
  <c r="D1605" i="53"/>
  <c r="D1604" i="53"/>
  <c r="D1603" i="53"/>
  <c r="D1602" i="53"/>
  <c r="D1601" i="53"/>
  <c r="D1600" i="53"/>
  <c r="D1599" i="53"/>
  <c r="D1598" i="53"/>
  <c r="D1597" i="53"/>
  <c r="D1596" i="53"/>
  <c r="D1595" i="53"/>
  <c r="D1594" i="53"/>
  <c r="D1593" i="53"/>
  <c r="D1592" i="53"/>
  <c r="D1591" i="53"/>
  <c r="D1590" i="53"/>
  <c r="D1589" i="53"/>
  <c r="D1588" i="53"/>
  <c r="D1587" i="53"/>
  <c r="D1586" i="53"/>
  <c r="D1585" i="53"/>
  <c r="D1584" i="53"/>
  <c r="D1583" i="53"/>
  <c r="D1582" i="53"/>
  <c r="D1581" i="53"/>
  <c r="D1580" i="53"/>
  <c r="D1579" i="53"/>
  <c r="D1578" i="53"/>
  <c r="D1577" i="53"/>
  <c r="D1576" i="53"/>
  <c r="D1575" i="53"/>
  <c r="D1574" i="53"/>
  <c r="D1573" i="53"/>
  <c r="D1572" i="53"/>
  <c r="D1571" i="53"/>
  <c r="D1570" i="53"/>
  <c r="D1569" i="53"/>
  <c r="D1568" i="53"/>
  <c r="D1567" i="53"/>
  <c r="D1566" i="53"/>
  <c r="D1565" i="53"/>
  <c r="D1564" i="53"/>
  <c r="D1563" i="53"/>
  <c r="D1562" i="53"/>
  <c r="D1561" i="53"/>
  <c r="D1560" i="53"/>
  <c r="D1559" i="53"/>
  <c r="D1558" i="53"/>
  <c r="D1557" i="53"/>
  <c r="D1556" i="53"/>
  <c r="D1555" i="53"/>
  <c r="D1554" i="53"/>
  <c r="D1553" i="53"/>
  <c r="D1552" i="53"/>
  <c r="D1551" i="53"/>
  <c r="D1550" i="53"/>
  <c r="D1549" i="53"/>
  <c r="D1548" i="53"/>
  <c r="D1547" i="53"/>
  <c r="D1546" i="53"/>
  <c r="D1545" i="53"/>
  <c r="D1544" i="53"/>
  <c r="D1543" i="53"/>
  <c r="D1542" i="53"/>
  <c r="D1541" i="53"/>
  <c r="D1540" i="53"/>
  <c r="D1539" i="53"/>
  <c r="D1538" i="53"/>
  <c r="D1537" i="53"/>
  <c r="D1536" i="53"/>
  <c r="D1535" i="53"/>
  <c r="D1534" i="53"/>
  <c r="D1533" i="53"/>
  <c r="D1532" i="53"/>
  <c r="D1531" i="53"/>
  <c r="D1530" i="53"/>
  <c r="D1529" i="53"/>
  <c r="D1528" i="53"/>
  <c r="D1527" i="53"/>
  <c r="D1526" i="53"/>
  <c r="D1525" i="53"/>
  <c r="D1524" i="53"/>
  <c r="D1523" i="53"/>
  <c r="D1522" i="53"/>
  <c r="D1521" i="53"/>
  <c r="D1520" i="53"/>
  <c r="D1519" i="53"/>
  <c r="D1518" i="53"/>
  <c r="D1517" i="53"/>
  <c r="D1516" i="53"/>
  <c r="D1515" i="53"/>
  <c r="D1514" i="53"/>
  <c r="D1513" i="53"/>
  <c r="D1512" i="53"/>
  <c r="D1511" i="53"/>
  <c r="D1510" i="53"/>
  <c r="D1509" i="53"/>
  <c r="D1508" i="53"/>
  <c r="D1507" i="53"/>
  <c r="D1506" i="53"/>
  <c r="D1505" i="53"/>
  <c r="D1504" i="53"/>
  <c r="D1503" i="53"/>
  <c r="D1502" i="53"/>
  <c r="D1501" i="53"/>
  <c r="D1500" i="53"/>
  <c r="D1499" i="53"/>
  <c r="D1498" i="53"/>
  <c r="D1497" i="53"/>
  <c r="D1496" i="53"/>
  <c r="D1495" i="53"/>
  <c r="D1494" i="53"/>
  <c r="D1493" i="53"/>
  <c r="D1492" i="53"/>
  <c r="D1491" i="53"/>
  <c r="D1490" i="53"/>
  <c r="D1489" i="53"/>
  <c r="D1488" i="53"/>
  <c r="D1487" i="53"/>
  <c r="D1486" i="53"/>
  <c r="D1485" i="53"/>
  <c r="D1484" i="53"/>
  <c r="D1483" i="53"/>
  <c r="D1482" i="53"/>
  <c r="D1481" i="53"/>
  <c r="D1480" i="53"/>
  <c r="D1479" i="53"/>
  <c r="D1478" i="53"/>
  <c r="D1477" i="53"/>
  <c r="D1476" i="53"/>
  <c r="D1475" i="53"/>
  <c r="D1474" i="53"/>
  <c r="D1473" i="53"/>
  <c r="D1472" i="53"/>
  <c r="D1471" i="53"/>
  <c r="D1470" i="53"/>
  <c r="D1469" i="53"/>
  <c r="D1468" i="53"/>
  <c r="D1467" i="53"/>
  <c r="D1466" i="53"/>
  <c r="D1465" i="53"/>
  <c r="D1464" i="53"/>
  <c r="D1463" i="53"/>
  <c r="D1462" i="53"/>
  <c r="D1461" i="53"/>
  <c r="D1460" i="53"/>
  <c r="D1459" i="53"/>
  <c r="D1458" i="53"/>
  <c r="D1457" i="53"/>
  <c r="D1456" i="53"/>
  <c r="D1455" i="53"/>
  <c r="D1454" i="53"/>
  <c r="D1453" i="53"/>
  <c r="D1452" i="53"/>
  <c r="D1451" i="53"/>
  <c r="D1450" i="53"/>
  <c r="D1449" i="53"/>
  <c r="D1448" i="53"/>
  <c r="D1447" i="53"/>
  <c r="D1446" i="53"/>
  <c r="D1445" i="53"/>
  <c r="D1444" i="53"/>
  <c r="D1443" i="53"/>
  <c r="D1442" i="53"/>
  <c r="D1441" i="53"/>
  <c r="D1440" i="53"/>
  <c r="D1439" i="53"/>
  <c r="D1438" i="53"/>
  <c r="D1437" i="53"/>
  <c r="D1436" i="53"/>
  <c r="D1435" i="53"/>
  <c r="D1434" i="53"/>
  <c r="D1433" i="53"/>
  <c r="D1432" i="53"/>
  <c r="D1431" i="53"/>
  <c r="D1430" i="53"/>
  <c r="D1429" i="53"/>
  <c r="D1428" i="53"/>
  <c r="D1427" i="53"/>
  <c r="D1426" i="53"/>
  <c r="D1425" i="53"/>
  <c r="D1424" i="53"/>
  <c r="D1423" i="53"/>
  <c r="D1422" i="53"/>
  <c r="D1421" i="53"/>
  <c r="D1420" i="53"/>
  <c r="D1419" i="53"/>
  <c r="D1418" i="53"/>
  <c r="D1417" i="53"/>
  <c r="D1416" i="53"/>
  <c r="D1415" i="53"/>
  <c r="D1414" i="53"/>
  <c r="D1413" i="53"/>
  <c r="D1412" i="53"/>
  <c r="D1411" i="53"/>
  <c r="D1410" i="53"/>
  <c r="D1409" i="53"/>
  <c r="D1408" i="53"/>
  <c r="D1407" i="53"/>
  <c r="D1406" i="53"/>
  <c r="D1405" i="53"/>
  <c r="D1404" i="53"/>
  <c r="D1403" i="53"/>
  <c r="D1402" i="53"/>
  <c r="D1401" i="53"/>
  <c r="D1400" i="53"/>
  <c r="D1399" i="53"/>
  <c r="D1398" i="53"/>
  <c r="D1397" i="53"/>
  <c r="D1396" i="53"/>
  <c r="D1395" i="53"/>
  <c r="D1394" i="53"/>
  <c r="D1393" i="53"/>
  <c r="D1392" i="53"/>
  <c r="D1391" i="53"/>
  <c r="D1390" i="53"/>
  <c r="D1389" i="53"/>
  <c r="D1388" i="53"/>
  <c r="D1387" i="53"/>
  <c r="D1386" i="53"/>
  <c r="D1385" i="53"/>
  <c r="D1384" i="53"/>
  <c r="D1383" i="53"/>
  <c r="D1382" i="53"/>
  <c r="D1381" i="53"/>
  <c r="D1380" i="53"/>
  <c r="D1379" i="53"/>
  <c r="D1378" i="53"/>
  <c r="D1377" i="53"/>
  <c r="D1376" i="53"/>
  <c r="D1375" i="53"/>
  <c r="D1374" i="53"/>
  <c r="D1373" i="53"/>
  <c r="D1372" i="53"/>
  <c r="D1371" i="53"/>
  <c r="D1370" i="53"/>
  <c r="D1369" i="53"/>
  <c r="D1368" i="53"/>
  <c r="D1367" i="53"/>
  <c r="D1366" i="53"/>
  <c r="D1365" i="53"/>
  <c r="D1364" i="53"/>
  <c r="D1363" i="53"/>
  <c r="D1362" i="53"/>
  <c r="D1361" i="53"/>
  <c r="D1360" i="53"/>
  <c r="D1359" i="53"/>
  <c r="D1358" i="53"/>
  <c r="D1357" i="53"/>
  <c r="D1356" i="53"/>
  <c r="D1355" i="53"/>
  <c r="D1354" i="53"/>
  <c r="D1353" i="53"/>
  <c r="D1352" i="53"/>
  <c r="D1351" i="53"/>
  <c r="D1350" i="53"/>
  <c r="D1349" i="53"/>
  <c r="D1348" i="53"/>
  <c r="D1347" i="53"/>
  <c r="D1346" i="53"/>
  <c r="D1345" i="53"/>
  <c r="D1344" i="53"/>
  <c r="D1343" i="53"/>
  <c r="D1342" i="53"/>
  <c r="D1341" i="53"/>
  <c r="D1340" i="53"/>
  <c r="D1339" i="53"/>
  <c r="D1338" i="53"/>
  <c r="D1337" i="53"/>
  <c r="D1336" i="53"/>
  <c r="D1335" i="53"/>
  <c r="D1334" i="53"/>
  <c r="D1333" i="53"/>
  <c r="D1332" i="53"/>
  <c r="D1331" i="53"/>
  <c r="D1330" i="53"/>
  <c r="D1329" i="53"/>
  <c r="D1328" i="53"/>
  <c r="D1327" i="53"/>
  <c r="D1326" i="53"/>
  <c r="D1325" i="53"/>
  <c r="D1324" i="53"/>
  <c r="D1323" i="53"/>
  <c r="D1322" i="53"/>
  <c r="D1321" i="53"/>
  <c r="D1320" i="53"/>
  <c r="D1319" i="53"/>
  <c r="D1318" i="53"/>
  <c r="D1317" i="53"/>
  <c r="D1316" i="53"/>
  <c r="D1315" i="53"/>
  <c r="D1314" i="53"/>
  <c r="D1313" i="53"/>
  <c r="D1312" i="53"/>
  <c r="D1311" i="53"/>
  <c r="D1310" i="53"/>
  <c r="D1309" i="53"/>
  <c r="D1308" i="53"/>
  <c r="D1307" i="53"/>
  <c r="D1306" i="53"/>
  <c r="D1305" i="53"/>
  <c r="D1304" i="53"/>
  <c r="D1303" i="53"/>
  <c r="D1302" i="53"/>
  <c r="D1301" i="53"/>
  <c r="D1300" i="53"/>
  <c r="D1299" i="53"/>
  <c r="D1298" i="53"/>
  <c r="D1297" i="53"/>
  <c r="D1296" i="53"/>
  <c r="D1295" i="53"/>
  <c r="D1294" i="53"/>
  <c r="D1293" i="53"/>
  <c r="D1292" i="53"/>
  <c r="D1291" i="53"/>
  <c r="D1290" i="53"/>
  <c r="D1289" i="53"/>
  <c r="D1288" i="53"/>
  <c r="D1287" i="53"/>
  <c r="D1286" i="53"/>
  <c r="D1285" i="53"/>
  <c r="D1284" i="53"/>
  <c r="D1283" i="53"/>
  <c r="D1282" i="53"/>
  <c r="D1281" i="53"/>
  <c r="D1280" i="53"/>
  <c r="D1279" i="53"/>
  <c r="D1278" i="53"/>
  <c r="D1277" i="53"/>
  <c r="D1276" i="53"/>
  <c r="D1275" i="53"/>
  <c r="D1274" i="53"/>
  <c r="D1273" i="53"/>
  <c r="D1272" i="53"/>
  <c r="D1271" i="53"/>
  <c r="D1270" i="53"/>
  <c r="D1269" i="53"/>
  <c r="D1268" i="53"/>
  <c r="D1267" i="53"/>
  <c r="D1266" i="53"/>
  <c r="D1265" i="53"/>
  <c r="D1264" i="53"/>
  <c r="D1263" i="53"/>
  <c r="D1262" i="53"/>
  <c r="D1261" i="53"/>
  <c r="D1260" i="53"/>
  <c r="D1259" i="53"/>
  <c r="D1258" i="53"/>
  <c r="D1257" i="53"/>
  <c r="D1256" i="53"/>
  <c r="D1255" i="53"/>
  <c r="D1254" i="53"/>
  <c r="D1253" i="53"/>
  <c r="D1252" i="53"/>
  <c r="D1251" i="53"/>
  <c r="D1250" i="53"/>
  <c r="D1249" i="53"/>
  <c r="D1248" i="53"/>
  <c r="D1247" i="53"/>
  <c r="D1246" i="53"/>
  <c r="D1245" i="53"/>
  <c r="D1244" i="53"/>
  <c r="D1243" i="53"/>
  <c r="D1242" i="53"/>
  <c r="D1241" i="53"/>
  <c r="D1240" i="53"/>
  <c r="D1239" i="53"/>
  <c r="D1238" i="53"/>
  <c r="D1237" i="53"/>
  <c r="D1236" i="53"/>
  <c r="D1235" i="53"/>
  <c r="D1234" i="53"/>
  <c r="D1233" i="53"/>
  <c r="D1232" i="53"/>
  <c r="D1231" i="53"/>
  <c r="D1230" i="53"/>
  <c r="D1229" i="53"/>
  <c r="D1228" i="53"/>
  <c r="D1227" i="53"/>
  <c r="D1226" i="53"/>
  <c r="D1225" i="53"/>
  <c r="D1224" i="53"/>
  <c r="D1223" i="53"/>
  <c r="D1222" i="53"/>
  <c r="D1221" i="53"/>
  <c r="D1220" i="53"/>
  <c r="D1219" i="53"/>
  <c r="D1218" i="53"/>
  <c r="D1217" i="53"/>
  <c r="D1216" i="53"/>
  <c r="D1215" i="53"/>
  <c r="D1214" i="53"/>
  <c r="D1213" i="53"/>
  <c r="D1212" i="53"/>
  <c r="D1211" i="53"/>
  <c r="D1210" i="53"/>
  <c r="D1209" i="53"/>
  <c r="D1208" i="53"/>
  <c r="D1207" i="53"/>
  <c r="D1206" i="53"/>
  <c r="D1205" i="53"/>
  <c r="D1204" i="53"/>
  <c r="D1203" i="53"/>
  <c r="D1202" i="53"/>
  <c r="D1201" i="53"/>
  <c r="D1200" i="53"/>
  <c r="D1199" i="53"/>
  <c r="D1198" i="53"/>
  <c r="D1197" i="53"/>
  <c r="D1196" i="53"/>
  <c r="D1195" i="53"/>
  <c r="D1194" i="53"/>
  <c r="D1193" i="53"/>
  <c r="D1192" i="53"/>
  <c r="D1191" i="53"/>
  <c r="D1190" i="53"/>
  <c r="D1189" i="53"/>
  <c r="D1188" i="53"/>
  <c r="D1187" i="53"/>
  <c r="D1186" i="53"/>
  <c r="D1185" i="53"/>
  <c r="D1184" i="53"/>
  <c r="D1183" i="53"/>
  <c r="D1182" i="53"/>
  <c r="D1181" i="53"/>
  <c r="D1180" i="53"/>
  <c r="D1179" i="53"/>
  <c r="D1178" i="53"/>
  <c r="D1177" i="53"/>
  <c r="D1176" i="53"/>
  <c r="D1175" i="53"/>
  <c r="D1174" i="53"/>
  <c r="D1173" i="53"/>
  <c r="D1172" i="53"/>
  <c r="D1171" i="53"/>
  <c r="D1170" i="53"/>
  <c r="D1169" i="53"/>
  <c r="D1168" i="53"/>
  <c r="D1167" i="53"/>
  <c r="D1166" i="53"/>
  <c r="D1165" i="53"/>
  <c r="D1164" i="53"/>
  <c r="D1163" i="53"/>
  <c r="D1162" i="53"/>
  <c r="D1161" i="53"/>
  <c r="D1160" i="53"/>
  <c r="D1159" i="53"/>
  <c r="D1158" i="53"/>
  <c r="D1157" i="53"/>
  <c r="D1156" i="53"/>
  <c r="D1155" i="53"/>
  <c r="D1154" i="53"/>
  <c r="D1153" i="53"/>
  <c r="D1152" i="53"/>
  <c r="D1151" i="53"/>
  <c r="D1150" i="53"/>
  <c r="D1149" i="53"/>
  <c r="D1148" i="53"/>
  <c r="D1147" i="53"/>
  <c r="D1146" i="53"/>
  <c r="D1145" i="53"/>
  <c r="D1144" i="53"/>
  <c r="D1143" i="53"/>
  <c r="D1142" i="53"/>
  <c r="D1141" i="53"/>
  <c r="D1140" i="53"/>
  <c r="D1139" i="53"/>
  <c r="D1138" i="53"/>
  <c r="D1137" i="53"/>
  <c r="D1136" i="53"/>
  <c r="D1135" i="53"/>
  <c r="D1134" i="53"/>
  <c r="D1133" i="53"/>
  <c r="D1132" i="53"/>
  <c r="D1131" i="53"/>
  <c r="D1130" i="53"/>
  <c r="D1129" i="53"/>
  <c r="D1128" i="53"/>
  <c r="D1127" i="53"/>
  <c r="D1126" i="53"/>
  <c r="D1125" i="53"/>
  <c r="D1124" i="53"/>
  <c r="D1123" i="53"/>
  <c r="D1122" i="53"/>
  <c r="D1121" i="53"/>
  <c r="D1120" i="53"/>
  <c r="D1119" i="53"/>
  <c r="D1118" i="53"/>
  <c r="D1117" i="53"/>
  <c r="D1116" i="53"/>
  <c r="D1115" i="53"/>
  <c r="D1114" i="53"/>
  <c r="D1113" i="53"/>
  <c r="D1112" i="53"/>
  <c r="D1111" i="53"/>
  <c r="D1110" i="53"/>
  <c r="D1109" i="53"/>
  <c r="D1108" i="53"/>
  <c r="D1107" i="53"/>
  <c r="D1106" i="53"/>
  <c r="D1105" i="53"/>
  <c r="D1104" i="53"/>
  <c r="D1103" i="53"/>
  <c r="D1102" i="53"/>
  <c r="D1101" i="53"/>
  <c r="D1100" i="53"/>
  <c r="D1099" i="53"/>
  <c r="D1098" i="53"/>
  <c r="D1097" i="53"/>
  <c r="D1096" i="53"/>
  <c r="D1095" i="53"/>
  <c r="D1094" i="53"/>
  <c r="D1093" i="53"/>
  <c r="D1092" i="53"/>
  <c r="D1091" i="53"/>
  <c r="D1090" i="53"/>
  <c r="D1089" i="53"/>
  <c r="D1088" i="53"/>
  <c r="D1087" i="53"/>
  <c r="D1086" i="53"/>
  <c r="D1085" i="53"/>
  <c r="D1084" i="53"/>
  <c r="D1083" i="53"/>
  <c r="D1082" i="53"/>
  <c r="D1081" i="53"/>
  <c r="D1080" i="53"/>
  <c r="D1079" i="53"/>
  <c r="D1078" i="53"/>
  <c r="D1077" i="53"/>
  <c r="D1076" i="53"/>
  <c r="D1075" i="53"/>
  <c r="D1074" i="53"/>
  <c r="D1073" i="53"/>
  <c r="D1072" i="53"/>
  <c r="D1071" i="53"/>
  <c r="D1070" i="53"/>
  <c r="D1069" i="53"/>
  <c r="D1068" i="53"/>
  <c r="D1067" i="53"/>
  <c r="D1066" i="53"/>
  <c r="D1065" i="53"/>
  <c r="D1064" i="53"/>
  <c r="D1063" i="53"/>
  <c r="D1062" i="53"/>
  <c r="D1061" i="53"/>
  <c r="D1060" i="53"/>
  <c r="D1059" i="53"/>
  <c r="D1058" i="53"/>
  <c r="D1057" i="53"/>
  <c r="D1056" i="53"/>
  <c r="D1055" i="53"/>
  <c r="D1054" i="53"/>
  <c r="D1053" i="53"/>
  <c r="D1052" i="53"/>
  <c r="D1051" i="53"/>
  <c r="D1050" i="53"/>
  <c r="D1049" i="53"/>
  <c r="D1048" i="53"/>
  <c r="D1047" i="53"/>
  <c r="D1046" i="53"/>
  <c r="D1045" i="53"/>
  <c r="D1044" i="53"/>
  <c r="D1043" i="53"/>
  <c r="D1042" i="53"/>
  <c r="D1041" i="53"/>
  <c r="D1040" i="53"/>
  <c r="D1039" i="53"/>
  <c r="D1038" i="53"/>
  <c r="D1037" i="53"/>
  <c r="D1036" i="53"/>
  <c r="D1035" i="53"/>
  <c r="D1034" i="53"/>
  <c r="D1033" i="53"/>
  <c r="D1032" i="53"/>
  <c r="D1031" i="53"/>
  <c r="D1030" i="53"/>
  <c r="D1029" i="53"/>
  <c r="D1028" i="53"/>
  <c r="D1027" i="53"/>
  <c r="D1026" i="53"/>
  <c r="D1025" i="53"/>
  <c r="D1024" i="53"/>
  <c r="D1023" i="53"/>
  <c r="D1022" i="53"/>
  <c r="D1021" i="53"/>
  <c r="D1020" i="53"/>
  <c r="D1019" i="53"/>
  <c r="D1018" i="53"/>
  <c r="D1017" i="53"/>
  <c r="D1016" i="53"/>
  <c r="D1015" i="53"/>
  <c r="D1014" i="53"/>
  <c r="D1013" i="53"/>
  <c r="D1012" i="53"/>
  <c r="D1011" i="53"/>
  <c r="D1010" i="53"/>
  <c r="D1009" i="53"/>
  <c r="D1008" i="53"/>
  <c r="D1007" i="53"/>
  <c r="D1006" i="53"/>
  <c r="D1005" i="53"/>
  <c r="D1004" i="53"/>
  <c r="D1003" i="53"/>
  <c r="D1002" i="53"/>
  <c r="D1001" i="53"/>
  <c r="D1000" i="53"/>
  <c r="D999" i="53"/>
  <c r="D998" i="53"/>
  <c r="D997" i="53"/>
  <c r="D996" i="53"/>
  <c r="D995" i="53"/>
  <c r="D994" i="53"/>
  <c r="D993" i="53"/>
  <c r="D992" i="53"/>
  <c r="D991" i="53"/>
  <c r="D990" i="53"/>
  <c r="D989" i="53"/>
  <c r="D988" i="53"/>
  <c r="D987" i="53"/>
  <c r="D986" i="53"/>
  <c r="D985" i="53"/>
  <c r="D984" i="53"/>
  <c r="D983" i="53"/>
  <c r="D982" i="53"/>
  <c r="D981" i="53"/>
  <c r="D980" i="53"/>
  <c r="D979" i="53"/>
  <c r="D978" i="53"/>
  <c r="D977" i="53"/>
  <c r="D976" i="53"/>
  <c r="D975" i="53"/>
  <c r="D974" i="53"/>
  <c r="D973" i="53"/>
  <c r="D972" i="53"/>
  <c r="D971" i="53"/>
  <c r="D970" i="53"/>
  <c r="D969" i="53"/>
  <c r="D968" i="53"/>
  <c r="D967" i="53"/>
  <c r="D966" i="53"/>
  <c r="D965" i="53"/>
  <c r="D964" i="53"/>
  <c r="D963" i="53"/>
  <c r="D962" i="53"/>
  <c r="D961" i="53"/>
  <c r="D960" i="53"/>
  <c r="D959" i="53"/>
  <c r="D958" i="53"/>
  <c r="D957" i="53"/>
  <c r="D956" i="53"/>
  <c r="D955" i="53"/>
  <c r="D954" i="53"/>
  <c r="D953" i="53"/>
  <c r="D952" i="53"/>
  <c r="D951" i="53"/>
  <c r="D950" i="53"/>
  <c r="D949" i="53"/>
  <c r="D948" i="53"/>
  <c r="D947" i="53"/>
  <c r="D946" i="53"/>
  <c r="D945" i="53"/>
  <c r="D944" i="53"/>
  <c r="D943" i="53"/>
  <c r="D942" i="53"/>
  <c r="D941" i="53"/>
  <c r="D940" i="53"/>
  <c r="D939" i="53"/>
  <c r="D938" i="53"/>
  <c r="D937" i="53"/>
  <c r="D936" i="53"/>
  <c r="D935" i="53"/>
  <c r="D934" i="53"/>
  <c r="D933" i="53"/>
  <c r="D932" i="53"/>
  <c r="D931" i="53"/>
  <c r="D930" i="53"/>
  <c r="D929" i="53"/>
  <c r="D928" i="53"/>
  <c r="D927" i="53"/>
  <c r="D926" i="53"/>
  <c r="D925" i="53"/>
  <c r="D924" i="53"/>
  <c r="D923" i="53"/>
  <c r="D922" i="53"/>
  <c r="D921" i="53"/>
  <c r="D920" i="53"/>
  <c r="D919" i="53"/>
  <c r="D918" i="53"/>
  <c r="D917" i="53"/>
  <c r="D916" i="53"/>
  <c r="D915" i="53"/>
  <c r="D914" i="53"/>
  <c r="D913" i="53"/>
  <c r="D912" i="53"/>
  <c r="D911" i="53"/>
  <c r="D910" i="53"/>
  <c r="D909" i="53"/>
  <c r="D908" i="53"/>
  <c r="D907" i="53"/>
  <c r="D906" i="53"/>
  <c r="D905" i="53"/>
  <c r="D904" i="53"/>
  <c r="D903" i="53"/>
  <c r="D902" i="53"/>
  <c r="D901" i="53"/>
  <c r="D900" i="53"/>
  <c r="D899" i="53"/>
  <c r="D898" i="53"/>
  <c r="D897" i="53"/>
  <c r="D896" i="53"/>
  <c r="D895" i="53"/>
  <c r="D894" i="53"/>
  <c r="D893" i="53"/>
  <c r="D892" i="53"/>
  <c r="D891" i="53"/>
  <c r="D890" i="53"/>
  <c r="D889" i="53"/>
  <c r="D888" i="53"/>
  <c r="D887" i="53"/>
  <c r="D886" i="53"/>
  <c r="D885" i="53"/>
  <c r="D884" i="53"/>
  <c r="D883" i="53"/>
  <c r="D882" i="53"/>
  <c r="D881" i="53"/>
  <c r="D880" i="53"/>
  <c r="D879" i="53"/>
  <c r="D878" i="53"/>
  <c r="D877" i="53"/>
  <c r="D876" i="53"/>
  <c r="D875" i="53"/>
  <c r="D874" i="53"/>
  <c r="D873" i="53"/>
  <c r="D872" i="53"/>
  <c r="D871" i="53"/>
  <c r="D870" i="53"/>
  <c r="D869" i="53"/>
  <c r="D868" i="53"/>
  <c r="D867" i="53"/>
  <c r="D866" i="53"/>
  <c r="D865" i="53"/>
  <c r="D864" i="53"/>
  <c r="D863" i="53"/>
  <c r="D862" i="53"/>
  <c r="D861" i="53"/>
  <c r="D860" i="53"/>
  <c r="D859" i="53"/>
  <c r="D858" i="53"/>
  <c r="D857" i="53"/>
  <c r="D856" i="53"/>
  <c r="D855" i="53"/>
  <c r="D854" i="53"/>
  <c r="D853" i="53"/>
  <c r="D852" i="53"/>
  <c r="D851" i="53"/>
  <c r="D850" i="53"/>
  <c r="D849" i="53"/>
  <c r="D848" i="53"/>
  <c r="D847" i="53"/>
  <c r="D846" i="53"/>
  <c r="D845" i="53"/>
  <c r="D844" i="53"/>
  <c r="D843" i="53"/>
  <c r="D842" i="53"/>
  <c r="D841" i="53"/>
  <c r="D840" i="53"/>
  <c r="D839" i="53"/>
  <c r="D838" i="53"/>
  <c r="D837" i="53"/>
  <c r="D836" i="53"/>
  <c r="D835" i="53"/>
  <c r="D834" i="53"/>
  <c r="D833" i="53"/>
  <c r="D832" i="53"/>
  <c r="D831" i="53"/>
  <c r="D830" i="53"/>
  <c r="D829" i="53"/>
  <c r="D828" i="53"/>
  <c r="D827" i="53"/>
  <c r="D826" i="53"/>
  <c r="D825" i="53"/>
  <c r="D824" i="53"/>
  <c r="D823" i="53"/>
  <c r="D822" i="53"/>
  <c r="D821" i="53"/>
  <c r="D820" i="53"/>
  <c r="D819" i="53"/>
  <c r="D818" i="53"/>
  <c r="D817" i="53"/>
  <c r="D816" i="53"/>
  <c r="D815" i="53"/>
  <c r="D814" i="53"/>
  <c r="D813" i="53"/>
  <c r="D812" i="53"/>
  <c r="D811" i="53"/>
  <c r="D810" i="53"/>
  <c r="D809" i="53"/>
  <c r="D808" i="53"/>
  <c r="D807" i="53"/>
  <c r="D806" i="53"/>
  <c r="D805" i="53"/>
  <c r="D804" i="53"/>
  <c r="D803" i="53"/>
  <c r="D802" i="53"/>
  <c r="D801" i="53"/>
  <c r="D800" i="53"/>
  <c r="D799" i="53"/>
  <c r="D798" i="53"/>
  <c r="D797" i="53"/>
  <c r="D796" i="53"/>
  <c r="D795" i="53"/>
  <c r="D794" i="53"/>
  <c r="D793" i="53"/>
  <c r="D792" i="53"/>
  <c r="D791" i="53"/>
  <c r="D790" i="53"/>
  <c r="D789" i="53"/>
  <c r="D788" i="53"/>
  <c r="D787" i="53"/>
  <c r="D786" i="53"/>
  <c r="D785" i="53"/>
  <c r="D784" i="53"/>
  <c r="D783" i="53"/>
  <c r="D782" i="53"/>
  <c r="D781" i="53"/>
  <c r="D780" i="53"/>
  <c r="D779" i="53"/>
  <c r="D778" i="53"/>
  <c r="D777" i="53"/>
  <c r="D776" i="53"/>
  <c r="D775" i="53"/>
  <c r="D774" i="53"/>
  <c r="D773" i="53"/>
  <c r="D772" i="53"/>
  <c r="D771" i="53"/>
  <c r="D770" i="53"/>
  <c r="D769" i="53"/>
  <c r="D768" i="53"/>
  <c r="D767" i="53"/>
  <c r="D766" i="53"/>
  <c r="D765" i="53"/>
  <c r="D764" i="53"/>
  <c r="D763" i="53"/>
  <c r="D762" i="53"/>
  <c r="D761" i="53"/>
  <c r="D760" i="53"/>
  <c r="D759" i="53"/>
  <c r="D758" i="53"/>
  <c r="D757" i="53"/>
  <c r="D756" i="53"/>
  <c r="D755" i="53"/>
  <c r="D754" i="53"/>
  <c r="D753" i="53"/>
  <c r="D752" i="53"/>
  <c r="D751" i="53"/>
  <c r="D750" i="53"/>
  <c r="D749" i="53"/>
  <c r="D748" i="53"/>
  <c r="D747" i="53"/>
  <c r="D746" i="53"/>
  <c r="D745" i="53"/>
  <c r="D744" i="53"/>
  <c r="D743" i="53"/>
  <c r="D742" i="53"/>
  <c r="D741" i="53"/>
  <c r="D740" i="53"/>
  <c r="D739" i="53"/>
  <c r="D738" i="53"/>
  <c r="D737" i="53"/>
  <c r="D736" i="53"/>
  <c r="D735" i="53"/>
  <c r="D734" i="53"/>
  <c r="D733" i="53"/>
  <c r="D732" i="53"/>
  <c r="D731" i="53"/>
  <c r="D730" i="53"/>
  <c r="D729" i="53"/>
  <c r="D728" i="53"/>
  <c r="D727" i="53"/>
  <c r="D726" i="53"/>
  <c r="D725" i="53"/>
  <c r="D724" i="53"/>
  <c r="D723" i="53"/>
  <c r="D722" i="53"/>
  <c r="D721" i="53"/>
  <c r="D720" i="53"/>
  <c r="D719" i="53"/>
  <c r="D718" i="53"/>
  <c r="D717" i="53"/>
  <c r="D716" i="53"/>
  <c r="D715" i="53"/>
  <c r="D714" i="53"/>
  <c r="D713" i="53"/>
  <c r="D712" i="53"/>
  <c r="D711" i="53"/>
  <c r="D710" i="53"/>
  <c r="D709" i="53"/>
  <c r="D708" i="53"/>
  <c r="D707" i="53"/>
  <c r="D706" i="53"/>
  <c r="D705" i="53"/>
  <c r="D704" i="53"/>
  <c r="D703" i="53"/>
  <c r="D702" i="53"/>
  <c r="D701" i="53"/>
  <c r="D700" i="53"/>
  <c r="D699" i="53"/>
  <c r="D698" i="53"/>
  <c r="D697" i="53"/>
  <c r="D696" i="53"/>
  <c r="D695" i="53"/>
  <c r="D694" i="53"/>
  <c r="D693" i="53"/>
  <c r="D692" i="53"/>
  <c r="D691" i="53"/>
  <c r="D690" i="53"/>
  <c r="D689" i="53"/>
  <c r="D688" i="53"/>
  <c r="D687" i="53"/>
  <c r="D686" i="53"/>
  <c r="D685" i="53"/>
  <c r="D684" i="53"/>
  <c r="D683" i="53"/>
  <c r="D682" i="53"/>
  <c r="D681" i="53"/>
  <c r="D680" i="53"/>
  <c r="D679" i="53"/>
  <c r="D678" i="53"/>
  <c r="D677" i="53"/>
  <c r="D676" i="53"/>
  <c r="D675" i="53"/>
  <c r="D674" i="53"/>
  <c r="D673" i="53"/>
  <c r="D672" i="53"/>
  <c r="D671" i="53"/>
  <c r="D670" i="53"/>
  <c r="D669" i="53"/>
  <c r="D668" i="53"/>
  <c r="D667" i="53"/>
  <c r="D666" i="53"/>
  <c r="D665" i="53"/>
  <c r="D664" i="53"/>
  <c r="D663" i="53"/>
  <c r="D662" i="53"/>
  <c r="D661" i="53"/>
  <c r="D660" i="53"/>
  <c r="D659" i="53"/>
  <c r="D658" i="53"/>
  <c r="D657" i="53"/>
  <c r="D656" i="53"/>
  <c r="D655" i="53"/>
  <c r="D654" i="53"/>
  <c r="D653" i="53"/>
  <c r="D652" i="53"/>
  <c r="D651" i="53"/>
  <c r="D650" i="53"/>
  <c r="D649" i="53"/>
  <c r="D648" i="53"/>
  <c r="D647" i="53"/>
  <c r="D646" i="53"/>
  <c r="D645" i="53"/>
  <c r="D644" i="53"/>
  <c r="D643" i="53"/>
  <c r="D642" i="53"/>
  <c r="D641" i="53"/>
  <c r="D640" i="53"/>
  <c r="D639" i="53"/>
  <c r="D638" i="53"/>
  <c r="D637" i="53"/>
  <c r="D636" i="53"/>
  <c r="D635" i="53"/>
  <c r="D634" i="53"/>
  <c r="D633" i="53"/>
  <c r="D632" i="53"/>
  <c r="D631" i="53"/>
  <c r="D630" i="53"/>
  <c r="D629" i="53"/>
  <c r="D628" i="53"/>
  <c r="D627" i="53"/>
  <c r="D626" i="53"/>
  <c r="D625" i="53"/>
  <c r="D624" i="53"/>
  <c r="D623" i="53"/>
  <c r="D622" i="53"/>
  <c r="D621" i="53"/>
  <c r="D620" i="53"/>
  <c r="D619" i="53"/>
  <c r="D618" i="53"/>
  <c r="D617" i="53"/>
  <c r="D616" i="53"/>
  <c r="D615" i="53"/>
  <c r="D614" i="53"/>
  <c r="D613" i="53"/>
  <c r="D612" i="53"/>
  <c r="D611" i="53"/>
  <c r="D610" i="53"/>
  <c r="D609" i="53"/>
  <c r="D608" i="53"/>
  <c r="D607" i="53"/>
  <c r="D606" i="53"/>
  <c r="D605" i="53"/>
  <c r="D604" i="53"/>
  <c r="D603" i="53"/>
  <c r="D602" i="53"/>
  <c r="D601" i="53"/>
  <c r="D600" i="53"/>
  <c r="D599" i="53"/>
  <c r="D598" i="53"/>
  <c r="D597" i="53"/>
  <c r="D596" i="53"/>
  <c r="D595" i="53"/>
  <c r="D594" i="53"/>
  <c r="D593" i="53"/>
  <c r="D592" i="53"/>
  <c r="D591" i="53"/>
  <c r="D590" i="53"/>
  <c r="D589" i="53"/>
  <c r="D588" i="53"/>
  <c r="D587" i="53"/>
  <c r="D586" i="53"/>
  <c r="D585" i="53"/>
  <c r="D584" i="53"/>
  <c r="D583" i="53"/>
  <c r="D582" i="53"/>
  <c r="D581" i="53"/>
  <c r="D580" i="53"/>
  <c r="D579" i="53"/>
  <c r="D578" i="53"/>
  <c r="D577" i="53"/>
  <c r="D576" i="53"/>
  <c r="D575" i="53"/>
  <c r="D574" i="53"/>
  <c r="D573" i="53"/>
  <c r="D572" i="53"/>
  <c r="D571" i="53"/>
  <c r="D570" i="53"/>
  <c r="D569" i="53"/>
  <c r="D568" i="53"/>
  <c r="D567" i="53"/>
  <c r="D566" i="53"/>
  <c r="D565" i="53"/>
  <c r="D564" i="53"/>
  <c r="D563" i="53"/>
  <c r="D562" i="53"/>
  <c r="D561" i="53"/>
  <c r="D560" i="53"/>
  <c r="D559" i="53"/>
  <c r="D558" i="53"/>
  <c r="D557" i="53"/>
  <c r="D556" i="53"/>
  <c r="D555" i="53"/>
  <c r="D554" i="53"/>
  <c r="D553" i="53"/>
  <c r="D552" i="53"/>
  <c r="D551" i="53"/>
  <c r="D550" i="53"/>
  <c r="D549" i="53"/>
  <c r="D548" i="53"/>
  <c r="D547" i="53"/>
  <c r="D546" i="53"/>
  <c r="D545" i="53"/>
  <c r="D544" i="53"/>
  <c r="D543" i="53"/>
  <c r="D542" i="53"/>
  <c r="D541" i="53"/>
  <c r="D540" i="53"/>
  <c r="D539" i="53"/>
  <c r="D538" i="53"/>
  <c r="D537" i="53"/>
  <c r="D536" i="53"/>
  <c r="D535" i="53"/>
  <c r="D534" i="53"/>
  <c r="D533" i="53"/>
  <c r="D532" i="53"/>
  <c r="D531" i="53"/>
  <c r="D530" i="53"/>
  <c r="D529" i="53"/>
  <c r="D528" i="53"/>
  <c r="D527" i="53"/>
  <c r="D526" i="53"/>
  <c r="D525" i="53"/>
  <c r="D524" i="53"/>
  <c r="D523" i="53"/>
  <c r="D522" i="53"/>
  <c r="D521" i="53"/>
  <c r="D520" i="53"/>
  <c r="D519" i="53"/>
  <c r="D518" i="53"/>
  <c r="D517" i="53"/>
  <c r="D516" i="53"/>
  <c r="D515" i="53"/>
  <c r="D514" i="53"/>
  <c r="D513" i="53"/>
  <c r="D512" i="53"/>
  <c r="D511" i="53"/>
  <c r="D510" i="53"/>
  <c r="D509" i="53"/>
  <c r="D508" i="53"/>
  <c r="D507" i="53"/>
  <c r="D506" i="53"/>
  <c r="D505" i="53"/>
  <c r="D504" i="53"/>
  <c r="D503" i="53"/>
  <c r="D502" i="53"/>
  <c r="D501" i="53"/>
  <c r="D500" i="53"/>
  <c r="D499" i="53"/>
  <c r="D498" i="53"/>
  <c r="D497" i="53"/>
  <c r="D496" i="53"/>
  <c r="D495" i="53"/>
  <c r="D494" i="53"/>
  <c r="D493" i="53"/>
  <c r="D492" i="53"/>
  <c r="D491" i="53"/>
  <c r="D490" i="53"/>
  <c r="D489" i="53"/>
  <c r="D488" i="53"/>
  <c r="D487" i="53"/>
  <c r="D486" i="53"/>
  <c r="D485" i="53"/>
  <c r="D484" i="53"/>
  <c r="D483" i="53"/>
  <c r="D482" i="53"/>
  <c r="D481" i="53"/>
  <c r="D480" i="53"/>
  <c r="D479" i="53"/>
  <c r="D478" i="53"/>
  <c r="D477" i="53"/>
  <c r="D476" i="53"/>
  <c r="D475" i="53"/>
  <c r="D474" i="53"/>
  <c r="D473" i="53"/>
  <c r="D472" i="53"/>
  <c r="D471" i="53"/>
  <c r="D470" i="53"/>
  <c r="D469" i="53"/>
  <c r="D468" i="53"/>
  <c r="D467" i="53"/>
  <c r="D466" i="53"/>
  <c r="D465" i="53"/>
  <c r="D464" i="53"/>
  <c r="D463" i="53"/>
  <c r="D462" i="53"/>
  <c r="D461" i="53"/>
  <c r="D460" i="53"/>
  <c r="D459" i="53"/>
  <c r="D458" i="53"/>
  <c r="D457" i="53"/>
  <c r="D456" i="53"/>
  <c r="D455" i="53"/>
  <c r="D454" i="53"/>
  <c r="D453" i="53"/>
  <c r="D452" i="53"/>
  <c r="D451" i="53"/>
  <c r="D450" i="53"/>
  <c r="D449" i="53"/>
  <c r="D448" i="53"/>
  <c r="D447" i="53"/>
  <c r="D446" i="53"/>
  <c r="D445" i="53"/>
  <c r="D444" i="53"/>
  <c r="D443" i="53"/>
  <c r="D442" i="53"/>
  <c r="D441" i="53"/>
  <c r="D440" i="53"/>
  <c r="D439" i="53"/>
  <c r="D438" i="53"/>
  <c r="D437" i="53"/>
  <c r="D436" i="53"/>
  <c r="D435" i="53"/>
  <c r="D434" i="53"/>
  <c r="D433" i="53"/>
  <c r="D432" i="53"/>
  <c r="D431" i="53"/>
  <c r="D430" i="53"/>
  <c r="D429" i="53"/>
  <c r="D428" i="53"/>
  <c r="D427" i="53"/>
  <c r="D426" i="53"/>
  <c r="D425" i="53"/>
  <c r="D424" i="53"/>
  <c r="D423" i="53"/>
  <c r="D422" i="53"/>
  <c r="D421" i="53"/>
  <c r="D420" i="53"/>
  <c r="D419" i="53"/>
  <c r="D418" i="53"/>
  <c r="D417" i="53"/>
  <c r="D416" i="53"/>
  <c r="D415" i="53"/>
  <c r="D414" i="53"/>
  <c r="D413" i="53"/>
  <c r="D412" i="53"/>
  <c r="D411" i="53"/>
  <c r="D410" i="53"/>
  <c r="D409" i="53"/>
  <c r="D408" i="53"/>
  <c r="D407" i="53"/>
  <c r="D406" i="53"/>
  <c r="D405" i="53"/>
  <c r="D404" i="53"/>
  <c r="D403" i="53"/>
  <c r="D402" i="53"/>
  <c r="D401" i="53"/>
  <c r="D400" i="53"/>
  <c r="D399" i="53"/>
  <c r="D398" i="53"/>
  <c r="D397" i="53"/>
  <c r="D396" i="53"/>
  <c r="D395" i="53"/>
  <c r="D394" i="53"/>
  <c r="D393" i="53"/>
  <c r="D392" i="53"/>
  <c r="D391" i="53"/>
  <c r="D390" i="53"/>
  <c r="D389" i="53"/>
  <c r="D388" i="53"/>
  <c r="D387" i="53"/>
  <c r="D386" i="53"/>
  <c r="D385" i="53"/>
  <c r="D384" i="53"/>
  <c r="D383" i="53"/>
  <c r="D382" i="53"/>
  <c r="D381" i="53"/>
  <c r="D380" i="53"/>
  <c r="D379" i="53"/>
  <c r="D378" i="53"/>
  <c r="D377" i="53"/>
  <c r="D376" i="53"/>
  <c r="D375" i="53"/>
  <c r="D374" i="53"/>
  <c r="D373" i="53"/>
  <c r="D372" i="53"/>
  <c r="D371" i="53"/>
  <c r="D370" i="53"/>
  <c r="D369" i="53"/>
  <c r="D368" i="53"/>
  <c r="D367" i="53"/>
  <c r="D366" i="53"/>
  <c r="D365" i="53"/>
  <c r="D364" i="53"/>
  <c r="D363" i="53"/>
  <c r="D362" i="53"/>
  <c r="D361" i="53"/>
  <c r="D360" i="53"/>
  <c r="D359" i="53"/>
  <c r="D358" i="53"/>
  <c r="D357" i="53"/>
  <c r="D356" i="53"/>
  <c r="D355" i="53"/>
  <c r="D354" i="53"/>
  <c r="D353" i="53"/>
  <c r="D352" i="53"/>
  <c r="D351" i="53"/>
  <c r="D350" i="53"/>
  <c r="D349" i="53"/>
  <c r="D348" i="53"/>
  <c r="D347" i="53"/>
  <c r="D346" i="53"/>
  <c r="D345" i="53"/>
  <c r="D344" i="53"/>
  <c r="D343" i="53"/>
  <c r="D342" i="53"/>
  <c r="D341" i="53"/>
  <c r="D340" i="53"/>
  <c r="D339" i="53"/>
  <c r="D338" i="53"/>
  <c r="D337" i="53"/>
  <c r="D336" i="53"/>
  <c r="D335" i="53"/>
  <c r="D334" i="53"/>
  <c r="D333" i="53"/>
  <c r="D332" i="53"/>
  <c r="D331" i="53"/>
  <c r="D330" i="53"/>
  <c r="D329" i="53"/>
  <c r="D328" i="53"/>
  <c r="D327" i="53"/>
  <c r="D326" i="53"/>
  <c r="D325" i="53"/>
  <c r="D324" i="53"/>
  <c r="D323" i="53"/>
  <c r="D322" i="53"/>
  <c r="D321" i="53"/>
  <c r="D320" i="53"/>
  <c r="D319" i="53"/>
  <c r="D318" i="53"/>
  <c r="D317" i="53"/>
  <c r="D316" i="53"/>
  <c r="D315" i="53"/>
  <c r="D314" i="53"/>
  <c r="D313" i="53"/>
  <c r="D312" i="53"/>
  <c r="D311" i="53"/>
  <c r="D310" i="53"/>
  <c r="D309" i="53"/>
  <c r="D308" i="53"/>
  <c r="D307" i="53"/>
  <c r="D306" i="53"/>
  <c r="D305" i="53"/>
  <c r="D304" i="53"/>
  <c r="D303" i="53"/>
  <c r="D302" i="53"/>
  <c r="D301" i="53"/>
  <c r="D300" i="53"/>
  <c r="D299" i="53"/>
  <c r="D298" i="53"/>
  <c r="D297" i="53"/>
  <c r="D296" i="53"/>
  <c r="D295" i="53"/>
  <c r="D294" i="53"/>
  <c r="D293" i="53"/>
  <c r="D292" i="53"/>
  <c r="D291" i="53"/>
  <c r="D290" i="53"/>
  <c r="D289" i="53"/>
  <c r="D288" i="53"/>
  <c r="D287" i="53"/>
  <c r="D286" i="53"/>
  <c r="D285" i="53"/>
  <c r="D284" i="53"/>
  <c r="D283" i="53"/>
  <c r="D282" i="53"/>
  <c r="D281" i="53"/>
  <c r="D280" i="53"/>
  <c r="D279" i="53"/>
  <c r="D278" i="53"/>
  <c r="D277" i="53"/>
  <c r="D276" i="53"/>
  <c r="D275" i="53"/>
  <c r="D274" i="53"/>
  <c r="D273" i="53"/>
  <c r="D272" i="53"/>
  <c r="D271" i="53"/>
  <c r="D270" i="53"/>
  <c r="D269" i="53"/>
  <c r="D268" i="53"/>
  <c r="D267" i="53"/>
  <c r="D266" i="53"/>
  <c r="D265" i="53"/>
  <c r="D264" i="53"/>
  <c r="D263" i="53"/>
  <c r="D262" i="53"/>
  <c r="D261" i="53"/>
  <c r="D260" i="53"/>
  <c r="D259" i="53"/>
  <c r="D258" i="53"/>
  <c r="D257" i="53"/>
  <c r="D256" i="53"/>
  <c r="D255" i="53"/>
  <c r="D254" i="53"/>
  <c r="D253" i="53"/>
  <c r="D252" i="53"/>
  <c r="D251" i="53"/>
  <c r="D250" i="53"/>
  <c r="D249" i="53"/>
  <c r="D248" i="53"/>
  <c r="D247" i="53"/>
  <c r="D246" i="53"/>
  <c r="D245" i="53"/>
  <c r="D244" i="53"/>
  <c r="D243" i="53"/>
  <c r="D242" i="53"/>
  <c r="D241" i="53"/>
  <c r="D240" i="53"/>
  <c r="D239" i="53"/>
  <c r="D238" i="53"/>
  <c r="D237" i="53"/>
  <c r="D236" i="53"/>
  <c r="D235" i="53"/>
  <c r="D234" i="53"/>
  <c r="D233" i="53"/>
  <c r="D232" i="53"/>
  <c r="D231" i="53"/>
  <c r="D230" i="53"/>
  <c r="D229" i="53"/>
  <c r="D228" i="53"/>
  <c r="D227" i="53"/>
  <c r="D226" i="53"/>
  <c r="D225" i="53"/>
  <c r="D224" i="53"/>
  <c r="D223" i="53"/>
  <c r="D222" i="53"/>
  <c r="D221" i="53"/>
  <c r="D220" i="53"/>
  <c r="D219" i="53"/>
  <c r="D218" i="53"/>
  <c r="D217" i="53"/>
  <c r="D216" i="53"/>
  <c r="D215" i="53"/>
  <c r="D214" i="53"/>
  <c r="D213" i="53"/>
  <c r="D212" i="53"/>
  <c r="D211" i="53"/>
  <c r="D210" i="53"/>
  <c r="D209" i="53"/>
  <c r="D208" i="53"/>
  <c r="D207" i="53"/>
  <c r="D206" i="53"/>
  <c r="D205" i="53"/>
  <c r="D204" i="53"/>
  <c r="D203" i="53"/>
  <c r="D202" i="53"/>
  <c r="D201" i="53"/>
  <c r="D200" i="53"/>
  <c r="D199" i="53"/>
  <c r="D198" i="53"/>
  <c r="D197" i="53"/>
  <c r="D196" i="53"/>
  <c r="D195" i="53"/>
  <c r="D194" i="53"/>
  <c r="D193" i="53"/>
  <c r="D192" i="53"/>
  <c r="D191" i="53"/>
  <c r="D190" i="53"/>
  <c r="D189" i="53"/>
  <c r="D188" i="53"/>
  <c r="D187" i="53"/>
  <c r="D186" i="53"/>
  <c r="D185" i="53"/>
  <c r="D184" i="53"/>
  <c r="D183" i="53"/>
  <c r="D182" i="53"/>
  <c r="D181" i="53"/>
  <c r="D180" i="53"/>
  <c r="D179" i="53"/>
  <c r="D178" i="53"/>
  <c r="D177" i="53"/>
  <c r="D176" i="53"/>
  <c r="D175" i="53"/>
  <c r="D174" i="53"/>
  <c r="D173" i="53"/>
  <c r="D172" i="53"/>
  <c r="D171" i="53"/>
  <c r="D170" i="53"/>
  <c r="D169" i="53"/>
  <c r="D168" i="53"/>
  <c r="D167" i="53"/>
  <c r="D166" i="53"/>
  <c r="D165" i="53"/>
  <c r="D164" i="53"/>
  <c r="D163" i="53"/>
  <c r="D162" i="53"/>
  <c r="D161" i="53"/>
  <c r="D160" i="53"/>
  <c r="D159" i="53"/>
  <c r="D158" i="53"/>
  <c r="D157" i="53"/>
  <c r="D156" i="53"/>
  <c r="D155" i="53"/>
  <c r="D154" i="53"/>
  <c r="D153" i="53"/>
  <c r="D152" i="53"/>
  <c r="D151" i="53"/>
  <c r="D150" i="53"/>
  <c r="D149" i="53"/>
  <c r="D148" i="53"/>
  <c r="D147" i="53"/>
  <c r="D146" i="53"/>
  <c r="D145" i="53"/>
  <c r="D144" i="53"/>
  <c r="D143" i="53"/>
  <c r="D142" i="53"/>
  <c r="D141" i="53"/>
  <c r="D140" i="53"/>
  <c r="D139" i="53"/>
  <c r="D138" i="53"/>
  <c r="D137" i="53"/>
  <c r="D136" i="53"/>
  <c r="D135" i="53"/>
  <c r="D134" i="53"/>
  <c r="D133" i="53"/>
  <c r="D132" i="53"/>
  <c r="D131" i="53"/>
  <c r="D130" i="53"/>
  <c r="D129" i="53"/>
  <c r="D128" i="53"/>
  <c r="D127" i="53"/>
  <c r="D126" i="53"/>
  <c r="D125" i="53"/>
  <c r="D124" i="53"/>
  <c r="D123" i="53"/>
  <c r="D122" i="53"/>
  <c r="D121" i="53"/>
  <c r="D120" i="53"/>
  <c r="D119" i="53"/>
  <c r="D118" i="53"/>
  <c r="D117" i="53"/>
  <c r="D116" i="53"/>
  <c r="D115" i="53"/>
  <c r="D114" i="53"/>
  <c r="D113" i="53"/>
  <c r="D112" i="53"/>
  <c r="D111" i="53"/>
  <c r="D110" i="53"/>
  <c r="D109" i="53"/>
  <c r="D108" i="53"/>
  <c r="D107" i="53"/>
  <c r="D106" i="53"/>
  <c r="D105" i="53"/>
  <c r="D104" i="53"/>
  <c r="D103" i="53"/>
  <c r="D102" i="53"/>
  <c r="D101" i="53"/>
  <c r="D100" i="53"/>
  <c r="D99" i="53"/>
  <c r="D98" i="53"/>
  <c r="D97" i="53"/>
  <c r="D96" i="53"/>
  <c r="D95" i="53"/>
  <c r="D94" i="53"/>
  <c r="D93" i="53"/>
  <c r="D92" i="53"/>
  <c r="D91" i="53"/>
  <c r="D90" i="53"/>
  <c r="D89" i="53"/>
  <c r="D88" i="53"/>
  <c r="D87" i="53"/>
  <c r="D86" i="53"/>
  <c r="D85" i="53"/>
  <c r="D84" i="53"/>
  <c r="D83" i="53"/>
  <c r="D82" i="53"/>
  <c r="D81" i="53"/>
  <c r="D80" i="53"/>
  <c r="D79" i="53"/>
  <c r="D78" i="53"/>
  <c r="D77" i="53"/>
  <c r="D76" i="53"/>
  <c r="D75" i="53"/>
  <c r="D74" i="53"/>
  <c r="D73" i="53"/>
  <c r="D72" i="53"/>
  <c r="D71" i="53"/>
  <c r="D70" i="53"/>
  <c r="D69" i="53"/>
  <c r="D68" i="53"/>
  <c r="D67" i="53"/>
  <c r="D66" i="53"/>
  <c r="D65" i="53"/>
  <c r="D64" i="53"/>
  <c r="D63" i="53"/>
  <c r="D62" i="53"/>
  <c r="D61" i="53"/>
  <c r="D60" i="53"/>
  <c r="D59" i="53"/>
  <c r="D58" i="53"/>
  <c r="D57" i="53"/>
  <c r="D56" i="53"/>
  <c r="D55" i="53"/>
  <c r="D54" i="53"/>
  <c r="D53" i="53"/>
  <c r="D52" i="53"/>
  <c r="D51" i="53"/>
  <c r="D50" i="53"/>
  <c r="D49" i="53"/>
  <c r="D48" i="53"/>
  <c r="D47" i="53"/>
  <c r="D46" i="53"/>
  <c r="D45" i="53"/>
  <c r="D44" i="53"/>
  <c r="D43" i="53"/>
  <c r="D42" i="53"/>
  <c r="D41" i="53"/>
  <c r="D40" i="53"/>
  <c r="D39" i="53"/>
  <c r="D38" i="53"/>
  <c r="D37" i="53"/>
  <c r="D36" i="53"/>
  <c r="D35" i="53"/>
  <c r="D34" i="53"/>
  <c r="D33" i="53"/>
  <c r="D32" i="53"/>
  <c r="D31" i="53"/>
  <c r="D30" i="53"/>
  <c r="D29" i="53"/>
  <c r="D28" i="53"/>
  <c r="D27" i="53"/>
  <c r="D26" i="53"/>
  <c r="D25" i="53"/>
  <c r="D24" i="53"/>
  <c r="D23" i="53"/>
  <c r="D22" i="53"/>
  <c r="D21" i="53"/>
  <c r="D20" i="53"/>
  <c r="D19" i="53"/>
  <c r="D18" i="53"/>
  <c r="D17" i="53"/>
  <c r="D16" i="53"/>
  <c r="D15" i="53"/>
  <c r="D14" i="53"/>
  <c r="D13" i="53"/>
  <c r="D12" i="53"/>
  <c r="D11" i="53"/>
  <c r="D10" i="53"/>
  <c r="D9" i="53"/>
  <c r="O92" i="47"/>
  <c r="U11" i="47"/>
  <c r="R95" i="47"/>
  <c r="R94" i="47"/>
  <c r="R93" i="47"/>
  <c r="P95" i="47"/>
  <c r="P94" i="47"/>
  <c r="P93" i="47"/>
  <c r="P92" i="47"/>
  <c r="R98" i="47"/>
  <c r="Q98" i="47"/>
  <c r="P98" i="47"/>
  <c r="O98" i="47"/>
  <c r="P96" i="47"/>
  <c r="O96" i="47"/>
  <c r="T91" i="47"/>
  <c r="S91" i="47"/>
  <c r="R91" i="47"/>
  <c r="Q91" i="47"/>
  <c r="P91" i="47"/>
  <c r="O91" i="47"/>
  <c r="R90" i="47"/>
  <c r="Q90" i="47"/>
  <c r="P90" i="47"/>
  <c r="O90" i="47"/>
  <c r="R89" i="47"/>
  <c r="Q89" i="47"/>
  <c r="P89" i="47"/>
  <c r="O89" i="47"/>
  <c r="T88" i="47"/>
  <c r="S88" i="47"/>
  <c r="T86" i="47"/>
  <c r="S86" i="47"/>
  <c r="T85" i="47"/>
  <c r="S85" i="47"/>
  <c r="R88" i="47"/>
  <c r="Q88" i="47"/>
  <c r="P88" i="47"/>
  <c r="O88" i="47"/>
  <c r="P87" i="47"/>
  <c r="O87" i="47"/>
  <c r="R86" i="47"/>
  <c r="Q86" i="47"/>
  <c r="P86" i="47"/>
  <c r="O86" i="47"/>
  <c r="R85" i="47"/>
  <c r="Q85" i="47"/>
  <c r="P85" i="47"/>
  <c r="O85" i="47"/>
  <c r="R84" i="47"/>
  <c r="Q84" i="47"/>
  <c r="P84" i="47"/>
  <c r="O84" i="47"/>
  <c r="R83" i="47"/>
  <c r="Q83" i="47"/>
  <c r="P83" i="47"/>
  <c r="O83" i="47"/>
  <c r="P82" i="47"/>
  <c r="O82" i="47"/>
  <c r="R81" i="47"/>
  <c r="Q81" i="47"/>
  <c r="P81" i="47"/>
  <c r="O81" i="47"/>
  <c r="P80" i="47"/>
  <c r="R79" i="47"/>
  <c r="Q79" i="47"/>
  <c r="P79" i="47"/>
  <c r="O79" i="47"/>
  <c r="T78" i="47"/>
  <c r="S78" i="47"/>
  <c r="R78" i="47"/>
  <c r="Q78" i="47"/>
  <c r="P78" i="47"/>
  <c r="O78" i="47"/>
  <c r="T77" i="47"/>
  <c r="S77" i="47"/>
  <c r="R77" i="47"/>
  <c r="Q77" i="47"/>
  <c r="P77" i="47"/>
  <c r="O77" i="47"/>
  <c r="P76" i="47"/>
  <c r="O76" i="47"/>
  <c r="P75" i="47"/>
  <c r="O75" i="47"/>
  <c r="P74" i="47"/>
  <c r="O74" i="47"/>
  <c r="P73" i="47"/>
  <c r="O73" i="47"/>
  <c r="S72" i="47"/>
  <c r="R72" i="47"/>
  <c r="Q72" i="47"/>
  <c r="P72" i="47"/>
  <c r="O72" i="47"/>
  <c r="T71" i="47"/>
  <c r="S71" i="47"/>
  <c r="R71" i="47"/>
  <c r="Q71" i="47"/>
  <c r="P71" i="47"/>
  <c r="O71" i="47"/>
  <c r="T70" i="47"/>
  <c r="S70" i="47"/>
  <c r="P70" i="47"/>
  <c r="O70" i="47"/>
  <c r="T69" i="47"/>
  <c r="S69" i="47"/>
  <c r="R69" i="47"/>
  <c r="Q69" i="47"/>
  <c r="P69" i="47"/>
  <c r="O69" i="47"/>
  <c r="P67" i="47"/>
  <c r="O67" i="47"/>
  <c r="P66" i="47"/>
  <c r="O66" i="47"/>
  <c r="T65" i="47"/>
  <c r="S65" i="47"/>
  <c r="P65" i="47"/>
  <c r="O65" i="47"/>
  <c r="T64" i="47"/>
  <c r="S64" i="47"/>
  <c r="R64" i="47"/>
  <c r="Q64" i="47"/>
  <c r="P64" i="47"/>
  <c r="O64" i="47"/>
  <c r="P63" i="47"/>
  <c r="O63" i="47"/>
  <c r="T62" i="47"/>
  <c r="S62" i="47"/>
  <c r="R62" i="47"/>
  <c r="Q62" i="47"/>
  <c r="P62" i="47"/>
  <c r="O62" i="47"/>
  <c r="P61" i="47"/>
  <c r="O61" i="47"/>
  <c r="P60" i="47"/>
  <c r="O60" i="47"/>
  <c r="P59" i="47"/>
  <c r="O59" i="47"/>
  <c r="P58" i="47"/>
  <c r="O58" i="47"/>
  <c r="T57" i="47"/>
  <c r="S57" i="47"/>
  <c r="R57" i="47"/>
  <c r="Q57" i="47"/>
  <c r="P57" i="47"/>
  <c r="O57" i="47"/>
  <c r="T56" i="47"/>
  <c r="S56" i="47"/>
  <c r="R56" i="47"/>
  <c r="Q56" i="47"/>
  <c r="P56" i="47"/>
  <c r="O56" i="47"/>
  <c r="P55" i="47"/>
  <c r="O55" i="47"/>
  <c r="T54" i="47"/>
  <c r="S54" i="47"/>
  <c r="R54" i="47"/>
  <c r="Q54" i="47"/>
  <c r="P54" i="47"/>
  <c r="O54" i="47"/>
  <c r="T53" i="47"/>
  <c r="S53" i="47"/>
  <c r="R53" i="47"/>
  <c r="Q53" i="47"/>
  <c r="P53" i="47"/>
  <c r="O53" i="47"/>
  <c r="T52" i="47"/>
  <c r="S52" i="47"/>
  <c r="R52" i="47"/>
  <c r="Q52" i="47"/>
  <c r="P52" i="47"/>
  <c r="O52" i="47"/>
  <c r="T51" i="47"/>
  <c r="S51" i="47"/>
  <c r="R51" i="47"/>
  <c r="Q51" i="47"/>
  <c r="P51" i="47"/>
  <c r="O51" i="47"/>
  <c r="T50" i="47"/>
  <c r="S50" i="47"/>
  <c r="R50" i="47"/>
  <c r="Q50" i="47"/>
  <c r="P50" i="47"/>
  <c r="O50" i="47"/>
  <c r="T49" i="47"/>
  <c r="S49" i="47"/>
  <c r="R49" i="47"/>
  <c r="Q49" i="47"/>
  <c r="P49" i="47"/>
  <c r="O49" i="47"/>
  <c r="T48" i="47"/>
  <c r="S48" i="47"/>
  <c r="R48" i="47"/>
  <c r="Q48" i="47"/>
  <c r="P48" i="47"/>
  <c r="O48" i="47"/>
  <c r="T47" i="47"/>
  <c r="S47" i="47"/>
  <c r="R47" i="47"/>
  <c r="Q47" i="47"/>
  <c r="P47" i="47"/>
  <c r="O47" i="47"/>
  <c r="T46" i="47"/>
  <c r="S46" i="47"/>
  <c r="R46" i="47"/>
  <c r="Q46" i="47"/>
  <c r="P46" i="47"/>
  <c r="O46" i="47"/>
  <c r="T45" i="47"/>
  <c r="S45" i="47"/>
  <c r="R45" i="47"/>
  <c r="Q45" i="47"/>
  <c r="P45" i="47"/>
  <c r="O45" i="47"/>
  <c r="T44" i="47"/>
  <c r="S44" i="47"/>
  <c r="R44" i="47"/>
  <c r="Q44" i="47"/>
  <c r="T43" i="47"/>
  <c r="S43" i="47"/>
  <c r="R43" i="47"/>
  <c r="Q43" i="47"/>
  <c r="P43" i="47"/>
  <c r="O43" i="47"/>
  <c r="T42" i="47"/>
  <c r="S42" i="47"/>
  <c r="R42" i="47"/>
  <c r="Q42" i="47"/>
  <c r="T41" i="47"/>
  <c r="S41" i="47"/>
  <c r="R41" i="47"/>
  <c r="Q41" i="47"/>
  <c r="P41" i="47"/>
  <c r="O41" i="47"/>
  <c r="T40" i="47"/>
  <c r="S40" i="47"/>
  <c r="R40" i="47"/>
  <c r="Q40" i="47"/>
  <c r="T39" i="47"/>
  <c r="S39" i="47"/>
  <c r="R39" i="47"/>
  <c r="Q39" i="47"/>
  <c r="P39" i="47"/>
  <c r="O39" i="47"/>
  <c r="T38" i="47"/>
  <c r="S38" i="47"/>
  <c r="R38" i="47"/>
  <c r="Q38" i="47"/>
  <c r="P38" i="47"/>
  <c r="O38" i="47"/>
  <c r="P36" i="47"/>
  <c r="O36" i="47"/>
  <c r="P35" i="47"/>
  <c r="O35" i="47"/>
  <c r="P34" i="47"/>
  <c r="O34" i="47"/>
  <c r="P33" i="47"/>
  <c r="O33" i="47"/>
  <c r="P32" i="47"/>
  <c r="O32" i="47"/>
  <c r="P31" i="47"/>
  <c r="O31" i="47"/>
  <c r="P30" i="47"/>
  <c r="O30" i="47"/>
  <c r="P29" i="47"/>
  <c r="O29" i="47"/>
  <c r="P28" i="47"/>
  <c r="O28" i="47"/>
  <c r="P27" i="47"/>
  <c r="O27" i="47"/>
  <c r="T26" i="47"/>
  <c r="S26" i="47"/>
  <c r="R26" i="47"/>
  <c r="Q26" i="47"/>
  <c r="P26" i="47"/>
  <c r="O26" i="47"/>
  <c r="P25" i="47"/>
  <c r="O25" i="47"/>
  <c r="P24" i="47"/>
  <c r="O24" i="47"/>
  <c r="P23" i="47"/>
  <c r="O23" i="47"/>
  <c r="P22" i="47"/>
  <c r="O22" i="47"/>
  <c r="P21" i="47"/>
  <c r="O21" i="47"/>
  <c r="T20" i="47"/>
  <c r="S20" i="47"/>
  <c r="R20" i="47"/>
  <c r="Q20" i="47"/>
  <c r="P20" i="47"/>
  <c r="O20" i="47"/>
  <c r="T19" i="47"/>
  <c r="S19" i="47"/>
  <c r="R19" i="47"/>
  <c r="Q19" i="47"/>
  <c r="P19" i="47"/>
  <c r="O19" i="47"/>
  <c r="P18" i="47"/>
  <c r="O18" i="47"/>
  <c r="P17" i="47"/>
  <c r="O17" i="47"/>
  <c r="P16" i="47"/>
  <c r="O16" i="47"/>
  <c r="P15" i="47"/>
  <c r="O15" i="47"/>
  <c r="P14" i="47"/>
  <c r="O14" i="47"/>
  <c r="P13" i="47"/>
  <c r="O13" i="47"/>
  <c r="T11" i="47"/>
  <c r="S11" i="47"/>
  <c r="R11" i="47"/>
  <c r="Q11" i="47"/>
  <c r="P11" i="47"/>
  <c r="O11" i="47"/>
  <c r="U10" i="47"/>
  <c r="U8" i="47"/>
  <c r="P5" i="47"/>
  <c r="O5" i="47"/>
  <c r="C96" i="37" l="1"/>
  <c r="M3" i="18" a="1"/>
  <c r="M3" i="18" s="1"/>
  <c r="AG6" i="16"/>
  <c r="AB6" i="16"/>
  <c r="AF6" i="16"/>
  <c r="AA6" i="16"/>
  <c r="AK8" i="9"/>
  <c r="C78" i="109"/>
  <c r="I166" i="76" l="1"/>
  <c r="H166" i="76"/>
  <c r="G166" i="76"/>
  <c r="F166" i="76"/>
  <c r="BD106" i="56"/>
  <c r="BE106" i="56"/>
  <c r="BF106" i="56"/>
  <c r="BG106" i="56"/>
  <c r="C9" i="88"/>
  <c r="C4" i="88"/>
  <c r="C5" i="88" s="1"/>
  <c r="C6" i="88" l="1"/>
  <c r="C11" i="88" l="1"/>
  <c r="D8" i="88" s="1"/>
  <c r="C10" i="88"/>
  <c r="D9" i="88" l="1"/>
  <c r="D10" i="88" s="1"/>
  <c r="E82" i="109"/>
  <c r="E81" i="109"/>
  <c r="D11" i="88" l="1"/>
  <c r="D3" i="88"/>
  <c r="V70" i="109"/>
  <c r="V72" i="109"/>
  <c r="V71" i="109"/>
  <c r="V64" i="109"/>
  <c r="V63" i="109"/>
  <c r="V62" i="109"/>
  <c r="V56" i="109"/>
  <c r="V55" i="109"/>
  <c r="V54" i="109"/>
  <c r="V52" i="109"/>
  <c r="V53" i="109"/>
  <c r="V44" i="109"/>
  <c r="V43" i="109"/>
  <c r="V42" i="109"/>
  <c r="V40" i="109"/>
  <c r="V41" i="109"/>
  <c r="V32" i="109"/>
  <c r="V31" i="109"/>
  <c r="V30" i="109"/>
  <c r="V28" i="109"/>
  <c r="V29" i="109"/>
  <c r="V22" i="109"/>
  <c r="V21" i="109"/>
  <c r="V15" i="109"/>
  <c r="V14" i="109"/>
  <c r="V13" i="109"/>
  <c r="V12" i="109"/>
  <c r="V6" i="109"/>
  <c r="V5" i="109"/>
  <c r="V3" i="109"/>
  <c r="D27" i="79"/>
  <c r="E27" i="79"/>
  <c r="C45" i="109" l="1"/>
  <c r="C7" i="109"/>
  <c r="C8" i="109" s="1"/>
  <c r="V4" i="109"/>
  <c r="C73" i="109"/>
  <c r="C65" i="109"/>
  <c r="D30" i="109"/>
  <c r="C23" i="109"/>
  <c r="C57" i="109"/>
  <c r="C16" i="109"/>
  <c r="D7" i="109" l="1"/>
  <c r="D8" i="109" s="1"/>
  <c r="C46" i="109"/>
  <c r="C47" i="109"/>
  <c r="D42" i="109" s="1"/>
  <c r="D45" i="109" s="1"/>
  <c r="C48" i="109"/>
  <c r="D43" i="109"/>
  <c r="C75" i="109"/>
  <c r="E72" i="109" s="1"/>
  <c r="E73" i="109" s="1"/>
  <c r="C74" i="109"/>
  <c r="C66" i="109"/>
  <c r="C67" i="109"/>
  <c r="D64" i="109" s="1"/>
  <c r="D65" i="109" s="1"/>
  <c r="C59" i="109"/>
  <c r="D54" i="109" s="1"/>
  <c r="C58" i="109"/>
  <c r="D57" i="109"/>
  <c r="D44" i="109"/>
  <c r="C49" i="109"/>
  <c r="E30" i="109"/>
  <c r="C33" i="109"/>
  <c r="C24" i="109"/>
  <c r="C25" i="109"/>
  <c r="D22" i="109" s="1"/>
  <c r="D23" i="109" s="1"/>
  <c r="C18" i="109"/>
  <c r="D14" i="109" s="1"/>
  <c r="C17" i="109"/>
  <c r="D15" i="109"/>
  <c r="C9" i="109"/>
  <c r="D6" i="109" s="1"/>
  <c r="D9" i="109" l="1"/>
  <c r="E6" i="109" s="1"/>
  <c r="E7" i="109"/>
  <c r="D49" i="109"/>
  <c r="D46" i="109"/>
  <c r="D47" i="109"/>
  <c r="E44" i="109"/>
  <c r="E43" i="109"/>
  <c r="D16" i="109"/>
  <c r="E15" i="109" s="1"/>
  <c r="E42" i="109"/>
  <c r="E45" i="109" s="1"/>
  <c r="D48" i="109"/>
  <c r="D66" i="109"/>
  <c r="D67" i="109"/>
  <c r="E64" i="109" s="1"/>
  <c r="E65" i="109" s="1"/>
  <c r="D59" i="109"/>
  <c r="E54" i="109" s="1"/>
  <c r="D58" i="109"/>
  <c r="E57" i="109"/>
  <c r="C36" i="109"/>
  <c r="D31" i="109" s="1"/>
  <c r="D33" i="109" s="1"/>
  <c r="D34" i="109"/>
  <c r="C34" i="109"/>
  <c r="D24" i="109"/>
  <c r="D25" i="109"/>
  <c r="E22" i="109" s="1"/>
  <c r="E23" i="109" s="1"/>
  <c r="D17" i="109" l="1"/>
  <c r="D18" i="109"/>
  <c r="E14" i="109" s="1"/>
  <c r="E16" i="109" s="1"/>
  <c r="D36" i="109"/>
  <c r="E31" i="109" s="1"/>
  <c r="E33" i="109" s="1"/>
  <c r="AA4" i="75" l="1"/>
  <c r="Z4" i="75"/>
  <c r="BX5" i="73"/>
  <c r="H30" i="45" l="1"/>
  <c r="G30" i="45"/>
  <c r="F30" i="45"/>
  <c r="E30" i="45"/>
  <c r="H28" i="45"/>
  <c r="G28" i="45"/>
  <c r="F28" i="45"/>
  <c r="E28" i="45"/>
  <c r="P3" i="110"/>
  <c r="H18" i="110"/>
  <c r="G18" i="110"/>
  <c r="F18" i="110"/>
  <c r="E18" i="110"/>
  <c r="N225" i="46" l="1"/>
  <c r="M225" i="46"/>
  <c r="L225" i="46"/>
  <c r="K225" i="46"/>
  <c r="J225" i="46"/>
  <c r="I225" i="46"/>
  <c r="E41" i="47"/>
  <c r="F41" i="47"/>
  <c r="G41" i="47"/>
  <c r="H41" i="47"/>
  <c r="E42" i="47"/>
  <c r="F42" i="47"/>
  <c r="G42" i="47"/>
  <c r="H42" i="47"/>
  <c r="H115" i="42"/>
  <c r="G115" i="42"/>
  <c r="F115" i="42"/>
  <c r="E115" i="42"/>
  <c r="H114" i="42"/>
  <c r="G114" i="42"/>
  <c r="F114" i="42"/>
  <c r="H113" i="42"/>
  <c r="G113" i="42"/>
  <c r="F113" i="42"/>
  <c r="E114" i="42"/>
  <c r="E113" i="42"/>
  <c r="E85" i="7"/>
  <c r="F85" i="7"/>
  <c r="S1373" i="77"/>
  <c r="S1372" i="77"/>
  <c r="S1371" i="77"/>
  <c r="S1370" i="77"/>
  <c r="S1369" i="77"/>
  <c r="S1368" i="77"/>
  <c r="S1367" i="77"/>
  <c r="S1366" i="77"/>
  <c r="S1365" i="77"/>
  <c r="S1364" i="77"/>
  <c r="S1363" i="77"/>
  <c r="S1362" i="77"/>
  <c r="S1361" i="77"/>
  <c r="S1360" i="77"/>
  <c r="S1359" i="77"/>
  <c r="S1358" i="77"/>
  <c r="S1357" i="77"/>
  <c r="S1356" i="77"/>
  <c r="S1355" i="77"/>
  <c r="S1354" i="77"/>
  <c r="S1353" i="77"/>
  <c r="S1352" i="77"/>
  <c r="S1351" i="77"/>
  <c r="S1350" i="77"/>
  <c r="S1349" i="77"/>
  <c r="S1348" i="77"/>
  <c r="S1347" i="77"/>
  <c r="S1346" i="77"/>
  <c r="S1345" i="77"/>
  <c r="S1344" i="77"/>
  <c r="S1343" i="77"/>
  <c r="S1342" i="77"/>
  <c r="S1341" i="77"/>
  <c r="S1340" i="77"/>
  <c r="S1339" i="77"/>
  <c r="S1338" i="77"/>
  <c r="S1337" i="77"/>
  <c r="S1336" i="77"/>
  <c r="S1335" i="77"/>
  <c r="S1334" i="77"/>
  <c r="S1333" i="77"/>
  <c r="S1332" i="77"/>
  <c r="S1331" i="77"/>
  <c r="S1330" i="77"/>
  <c r="S1329" i="77"/>
  <c r="S1328" i="77"/>
  <c r="S1327" i="77"/>
  <c r="S1326" i="77"/>
  <c r="S1325" i="77"/>
  <c r="S1324" i="77"/>
  <c r="S1323" i="77"/>
  <c r="S1322" i="77"/>
  <c r="S1321" i="77"/>
  <c r="S1320" i="77"/>
  <c r="S1319" i="77"/>
  <c r="S1318" i="77"/>
  <c r="S1317" i="77"/>
  <c r="S1316" i="77"/>
  <c r="S1315" i="77"/>
  <c r="S1314" i="77"/>
  <c r="S1313" i="77"/>
  <c r="S1312" i="77"/>
  <c r="S1311" i="77"/>
  <c r="S1310" i="77"/>
  <c r="S1309" i="77"/>
  <c r="S1308" i="77"/>
  <c r="S1307" i="77"/>
  <c r="S1306" i="77"/>
  <c r="S1305" i="77"/>
  <c r="S1304" i="77"/>
  <c r="S1303" i="77"/>
  <c r="S1302" i="77"/>
  <c r="S1301" i="77"/>
  <c r="S1300" i="77"/>
  <c r="S1299" i="77"/>
  <c r="S1298" i="77"/>
  <c r="S1297" i="77"/>
  <c r="S1296" i="77"/>
  <c r="S1295" i="77"/>
  <c r="S1294" i="77"/>
  <c r="S1293" i="77"/>
  <c r="S1292" i="77"/>
  <c r="S1291" i="77"/>
  <c r="S1290" i="77"/>
  <c r="S1289" i="77"/>
  <c r="S1288" i="77"/>
  <c r="S1287" i="77"/>
  <c r="S1286" i="77"/>
  <c r="S1285" i="77"/>
  <c r="S1284" i="77"/>
  <c r="S1283" i="77"/>
  <c r="S1282" i="77"/>
  <c r="S1281" i="77"/>
  <c r="S1280" i="77"/>
  <c r="S1279" i="77"/>
  <c r="S1278" i="77"/>
  <c r="S1277" i="77"/>
  <c r="S1276" i="77"/>
  <c r="S1275" i="77"/>
  <c r="S1274" i="77"/>
  <c r="S1273" i="77"/>
  <c r="S1272" i="77"/>
  <c r="S1271" i="77"/>
  <c r="S1270" i="77"/>
  <c r="S1269" i="77"/>
  <c r="S1268" i="77"/>
  <c r="S1267" i="77"/>
  <c r="S1266" i="77"/>
  <c r="S1265" i="77"/>
  <c r="S1264" i="77"/>
  <c r="S1263" i="77"/>
  <c r="S1262" i="77"/>
  <c r="S1261" i="77"/>
  <c r="S1260" i="77"/>
  <c r="S1259" i="77"/>
  <c r="S1258" i="77"/>
  <c r="S1257" i="77"/>
  <c r="S1256" i="77"/>
  <c r="S1255" i="77"/>
  <c r="S1254" i="77"/>
  <c r="S1253" i="77"/>
  <c r="S1252" i="77"/>
  <c r="S1251" i="77"/>
  <c r="S1250" i="77"/>
  <c r="S1249" i="77"/>
  <c r="S1248" i="77"/>
  <c r="S1247" i="77"/>
  <c r="S1246" i="77"/>
  <c r="S1245" i="77"/>
  <c r="S1244" i="77"/>
  <c r="S1243" i="77"/>
  <c r="S1242" i="77"/>
  <c r="S1241" i="77"/>
  <c r="S1240" i="77"/>
  <c r="S1239" i="77"/>
  <c r="S1238" i="77"/>
  <c r="S1237" i="77"/>
  <c r="S1236" i="77"/>
  <c r="S1235" i="77"/>
  <c r="S1234" i="77"/>
  <c r="S1233" i="77"/>
  <c r="S1232" i="77"/>
  <c r="S1231" i="77"/>
  <c r="S1230" i="77"/>
  <c r="S1229" i="77"/>
  <c r="S1228" i="77"/>
  <c r="S1227" i="77"/>
  <c r="S1226" i="77"/>
  <c r="S1225" i="77"/>
  <c r="S1224" i="77"/>
  <c r="S1223" i="77"/>
  <c r="S1222" i="77"/>
  <c r="S1221" i="77"/>
  <c r="S1220" i="77"/>
  <c r="S1219" i="77"/>
  <c r="S1218" i="77"/>
  <c r="S1217" i="77"/>
  <c r="S1216" i="77"/>
  <c r="S1215" i="77"/>
  <c r="S1214" i="77"/>
  <c r="S1213" i="77"/>
  <c r="S1212" i="77"/>
  <c r="S1211" i="77"/>
  <c r="S1210" i="77"/>
  <c r="S1209" i="77"/>
  <c r="S1208" i="77"/>
  <c r="S1207" i="77"/>
  <c r="S1206" i="77"/>
  <c r="S1205" i="77"/>
  <c r="S1204" i="77"/>
  <c r="S1203" i="77"/>
  <c r="S1202" i="77"/>
  <c r="S1201" i="77"/>
  <c r="S1200" i="77"/>
  <c r="S1199" i="77"/>
  <c r="S1198" i="77"/>
  <c r="S1197" i="77"/>
  <c r="S1196" i="77"/>
  <c r="S1195" i="77"/>
  <c r="S1194" i="77"/>
  <c r="S1193" i="77"/>
  <c r="S1192" i="77"/>
  <c r="S1191" i="77"/>
  <c r="S1190" i="77"/>
  <c r="S1189" i="77"/>
  <c r="S1188" i="77"/>
  <c r="S1187" i="77"/>
  <c r="S1186" i="77"/>
  <c r="S1185" i="77"/>
  <c r="S1184" i="77"/>
  <c r="S1183" i="77"/>
  <c r="S1182" i="77"/>
  <c r="S1181" i="77"/>
  <c r="S1180" i="77"/>
  <c r="S1179" i="77"/>
  <c r="S1178" i="77"/>
  <c r="S1177" i="77"/>
  <c r="S1176" i="77"/>
  <c r="S1175" i="77"/>
  <c r="S1174" i="77"/>
  <c r="S1173" i="77"/>
  <c r="S1172" i="77"/>
  <c r="S1171" i="77"/>
  <c r="S1170" i="77"/>
  <c r="S1169" i="77"/>
  <c r="S1168" i="77"/>
  <c r="S1167" i="77"/>
  <c r="S1166" i="77"/>
  <c r="S1165" i="77"/>
  <c r="S1164" i="77"/>
  <c r="S1163" i="77"/>
  <c r="S1162" i="77"/>
  <c r="S1161" i="77"/>
  <c r="S1160" i="77"/>
  <c r="S1159" i="77"/>
  <c r="S1158" i="77"/>
  <c r="S1157" i="77"/>
  <c r="S1156" i="77"/>
  <c r="S1155" i="77"/>
  <c r="S1154" i="77"/>
  <c r="S1153" i="77"/>
  <c r="S1152" i="77"/>
  <c r="S1151" i="77"/>
  <c r="S1150" i="77"/>
  <c r="S1149" i="77"/>
  <c r="S1148" i="77"/>
  <c r="S1147" i="77"/>
  <c r="S1146" i="77"/>
  <c r="S1145" i="77"/>
  <c r="S1144" i="77"/>
  <c r="S1143" i="77"/>
  <c r="S1142" i="77"/>
  <c r="S1141" i="77"/>
  <c r="S1140" i="77"/>
  <c r="S1139" i="77"/>
  <c r="S1138" i="77"/>
  <c r="S1137" i="77"/>
  <c r="S1136" i="77"/>
  <c r="S1135" i="77"/>
  <c r="S1134" i="77"/>
  <c r="S1133" i="77"/>
  <c r="S1132" i="77"/>
  <c r="S1131" i="77"/>
  <c r="S1130" i="77"/>
  <c r="S1129" i="77"/>
  <c r="S1128" i="77"/>
  <c r="S1127" i="77"/>
  <c r="S1126" i="77"/>
  <c r="S1125" i="77"/>
  <c r="S1124" i="77"/>
  <c r="S1123" i="77"/>
  <c r="S1122" i="77"/>
  <c r="S1121" i="77"/>
  <c r="S1120" i="77"/>
  <c r="S1119" i="77"/>
  <c r="S1118" i="77"/>
  <c r="S1117" i="77"/>
  <c r="S1116" i="77"/>
  <c r="S1115" i="77"/>
  <c r="S1114" i="77"/>
  <c r="S1113" i="77"/>
  <c r="S1112" i="77"/>
  <c r="S1111" i="77"/>
  <c r="S1110" i="77"/>
  <c r="S1109" i="77"/>
  <c r="S1108" i="77"/>
  <c r="S1107" i="77"/>
  <c r="S1106" i="77"/>
  <c r="S1105" i="77"/>
  <c r="S1104" i="77"/>
  <c r="S1103" i="77"/>
  <c r="S1102" i="77"/>
  <c r="S1101" i="77"/>
  <c r="S1100" i="77"/>
  <c r="S1099" i="77"/>
  <c r="S1098" i="77"/>
  <c r="S1097" i="77"/>
  <c r="S1096" i="77"/>
  <c r="S1095" i="77"/>
  <c r="S1094" i="77"/>
  <c r="S1093" i="77"/>
  <c r="S1092" i="77"/>
  <c r="S1091" i="77"/>
  <c r="S1090" i="77"/>
  <c r="S1089" i="77"/>
  <c r="S1088" i="77"/>
  <c r="S1087" i="77"/>
  <c r="S1086" i="77"/>
  <c r="S1085" i="77"/>
  <c r="S1084" i="77"/>
  <c r="S1083" i="77"/>
  <c r="S1082" i="77"/>
  <c r="S1081" i="77"/>
  <c r="S1080" i="77"/>
  <c r="S1079" i="77"/>
  <c r="S1078" i="77"/>
  <c r="S1077" i="77"/>
  <c r="S1076" i="77"/>
  <c r="S1075" i="77"/>
  <c r="S1074" i="77"/>
  <c r="S1073" i="77"/>
  <c r="S1072" i="77"/>
  <c r="S1071" i="77"/>
  <c r="S1070" i="77"/>
  <c r="S1069" i="77"/>
  <c r="S1068" i="77"/>
  <c r="S1067" i="77"/>
  <c r="S1066" i="77"/>
  <c r="S1065" i="77"/>
  <c r="S1064" i="77"/>
  <c r="S1063" i="77"/>
  <c r="S1062" i="77"/>
  <c r="S1061" i="77"/>
  <c r="S1060" i="77"/>
  <c r="S1059" i="77"/>
  <c r="S1058" i="77"/>
  <c r="S1057" i="77"/>
  <c r="S1056" i="77"/>
  <c r="S1055" i="77"/>
  <c r="S1054" i="77"/>
  <c r="S1053" i="77"/>
  <c r="S1052" i="77"/>
  <c r="S1051" i="77"/>
  <c r="S1050" i="77"/>
  <c r="S1049" i="77"/>
  <c r="S1048" i="77"/>
  <c r="S1047" i="77"/>
  <c r="S1046" i="77"/>
  <c r="S1045" i="77"/>
  <c r="S1044" i="77"/>
  <c r="S1043" i="77"/>
  <c r="S1042" i="77"/>
  <c r="S1041" i="77"/>
  <c r="S1040" i="77"/>
  <c r="S1039" i="77"/>
  <c r="S1038" i="77"/>
  <c r="S1037" i="77"/>
  <c r="S1036" i="77"/>
  <c r="S1035" i="77"/>
  <c r="S1034" i="77"/>
  <c r="S1033" i="77"/>
  <c r="S1032" i="77"/>
  <c r="S1031" i="77"/>
  <c r="S1030" i="77"/>
  <c r="S1029" i="77"/>
  <c r="S1028" i="77"/>
  <c r="S1027" i="77"/>
  <c r="S1026" i="77"/>
  <c r="S1025" i="77"/>
  <c r="S1024" i="77"/>
  <c r="S1023" i="77"/>
  <c r="S1022" i="77"/>
  <c r="S1021" i="77"/>
  <c r="S1020" i="77"/>
  <c r="S1019" i="77"/>
  <c r="S1018" i="77"/>
  <c r="S1017" i="77"/>
  <c r="S1016" i="77"/>
  <c r="S1015" i="77"/>
  <c r="S1014" i="77"/>
  <c r="S1013" i="77"/>
  <c r="S1012" i="77"/>
  <c r="S1011" i="77"/>
  <c r="S1010" i="77"/>
  <c r="S1009" i="77"/>
  <c r="S1008" i="77"/>
  <c r="S1007" i="77"/>
  <c r="S1006" i="77"/>
  <c r="S1005" i="77"/>
  <c r="S1004" i="77"/>
  <c r="S1003" i="77"/>
  <c r="S1002" i="77"/>
  <c r="S1001" i="77"/>
  <c r="S1000" i="77"/>
  <c r="S999" i="77"/>
  <c r="S998" i="77"/>
  <c r="S997" i="77"/>
  <c r="S996" i="77"/>
  <c r="S995" i="77"/>
  <c r="S994" i="77"/>
  <c r="S993" i="77"/>
  <c r="S992" i="77"/>
  <c r="S991" i="77"/>
  <c r="S990" i="77"/>
  <c r="S989" i="77"/>
  <c r="S988" i="77"/>
  <c r="S987" i="77"/>
  <c r="S986" i="77"/>
  <c r="S985" i="77"/>
  <c r="S984" i="77"/>
  <c r="S983" i="77"/>
  <c r="S982" i="77"/>
  <c r="S981" i="77"/>
  <c r="S980" i="77"/>
  <c r="S979" i="77"/>
  <c r="S978" i="77"/>
  <c r="S977" i="77"/>
  <c r="S976" i="77"/>
  <c r="S975" i="77"/>
  <c r="S974" i="77"/>
  <c r="S973" i="77"/>
  <c r="S972" i="77"/>
  <c r="S971" i="77"/>
  <c r="S970" i="77"/>
  <c r="S969" i="77"/>
  <c r="S968" i="77"/>
  <c r="S967" i="77"/>
  <c r="S966" i="77"/>
  <c r="S965" i="77"/>
  <c r="S964" i="77"/>
  <c r="S963" i="77"/>
  <c r="S962" i="77"/>
  <c r="S961" i="77"/>
  <c r="S960" i="77"/>
  <c r="S959" i="77"/>
  <c r="S958" i="77"/>
  <c r="S957" i="77"/>
  <c r="S956" i="77"/>
  <c r="S955" i="77"/>
  <c r="S954" i="77"/>
  <c r="S953" i="77"/>
  <c r="S952" i="77"/>
  <c r="S951" i="77"/>
  <c r="S950" i="77"/>
  <c r="S949" i="77"/>
  <c r="S948" i="77"/>
  <c r="S947" i="77"/>
  <c r="S946" i="77"/>
  <c r="S945" i="77"/>
  <c r="S944" i="77"/>
  <c r="S943" i="77"/>
  <c r="S942" i="77"/>
  <c r="S941" i="77"/>
  <c r="S940" i="77"/>
  <c r="S939" i="77"/>
  <c r="S938" i="77"/>
  <c r="S937" i="77"/>
  <c r="S936" i="77"/>
  <c r="S935" i="77"/>
  <c r="S934" i="77"/>
  <c r="S933" i="77"/>
  <c r="S932" i="77"/>
  <c r="S931" i="77"/>
  <c r="S930" i="77"/>
  <c r="S929" i="77"/>
  <c r="S928" i="77"/>
  <c r="S927" i="77"/>
  <c r="S926" i="77"/>
  <c r="S925" i="77"/>
  <c r="S924" i="77"/>
  <c r="S923" i="77"/>
  <c r="S922" i="77"/>
  <c r="S921" i="77"/>
  <c r="S920" i="77"/>
  <c r="S919" i="77"/>
  <c r="S918" i="77"/>
  <c r="S917" i="77"/>
  <c r="S916" i="77"/>
  <c r="S915" i="77"/>
  <c r="S914" i="77"/>
  <c r="S913" i="77"/>
  <c r="S912" i="77"/>
  <c r="S911" i="77"/>
  <c r="S910" i="77"/>
  <c r="S909" i="77"/>
  <c r="S908" i="77"/>
  <c r="S907" i="77"/>
  <c r="S906" i="77"/>
  <c r="S905" i="77"/>
  <c r="S904" i="77"/>
  <c r="S903" i="77"/>
  <c r="S902" i="77"/>
  <c r="S901" i="77"/>
  <c r="S900" i="77"/>
  <c r="S899" i="77"/>
  <c r="S898" i="77"/>
  <c r="S897" i="77"/>
  <c r="S896" i="77"/>
  <c r="S895" i="77"/>
  <c r="S894" i="77"/>
  <c r="S893" i="77"/>
  <c r="S892" i="77"/>
  <c r="S891" i="77"/>
  <c r="S890" i="77"/>
  <c r="S889" i="77"/>
  <c r="S888" i="77"/>
  <c r="S887" i="77"/>
  <c r="S886" i="77"/>
  <c r="S885" i="77"/>
  <c r="S884" i="77"/>
  <c r="S883" i="77"/>
  <c r="S882" i="77"/>
  <c r="S881" i="77"/>
  <c r="S880" i="77"/>
  <c r="S879" i="77"/>
  <c r="S878" i="77"/>
  <c r="S877" i="77"/>
  <c r="S876" i="77"/>
  <c r="S875" i="77"/>
  <c r="S874" i="77"/>
  <c r="S873" i="77"/>
  <c r="S872" i="77"/>
  <c r="S871" i="77"/>
  <c r="S870" i="77"/>
  <c r="S869" i="77"/>
  <c r="S868" i="77"/>
  <c r="S867" i="77"/>
  <c r="S866" i="77"/>
  <c r="S865" i="77"/>
  <c r="S864" i="77"/>
  <c r="S863" i="77"/>
  <c r="S862" i="77"/>
  <c r="S861" i="77"/>
  <c r="S860" i="77"/>
  <c r="S859" i="77"/>
  <c r="S858" i="77"/>
  <c r="S857" i="77"/>
  <c r="S856" i="77"/>
  <c r="S855" i="77"/>
  <c r="S854" i="77"/>
  <c r="S853" i="77"/>
  <c r="S852" i="77"/>
  <c r="S851" i="77"/>
  <c r="S850" i="77"/>
  <c r="S849" i="77"/>
  <c r="S848" i="77"/>
  <c r="S847" i="77"/>
  <c r="S846" i="77"/>
  <c r="S845" i="77"/>
  <c r="S844" i="77"/>
  <c r="S843" i="77"/>
  <c r="S842" i="77"/>
  <c r="S841" i="77"/>
  <c r="S840" i="77"/>
  <c r="S839" i="77"/>
  <c r="S838" i="77"/>
  <c r="S837" i="77"/>
  <c r="S836" i="77"/>
  <c r="S835" i="77"/>
  <c r="S834" i="77"/>
  <c r="S833" i="77"/>
  <c r="S832" i="77"/>
  <c r="S831" i="77"/>
  <c r="S830" i="77"/>
  <c r="S829" i="77"/>
  <c r="S828" i="77"/>
  <c r="S827" i="77"/>
  <c r="S826" i="77"/>
  <c r="S825" i="77"/>
  <c r="S824" i="77"/>
  <c r="S823" i="77"/>
  <c r="S822" i="77"/>
  <c r="S821" i="77"/>
  <c r="S820" i="77"/>
  <c r="S819" i="77"/>
  <c r="S818" i="77"/>
  <c r="S817" i="77"/>
  <c r="S816" i="77"/>
  <c r="S815" i="77"/>
  <c r="S814" i="77"/>
  <c r="S813" i="77"/>
  <c r="S812" i="77"/>
  <c r="S811" i="77"/>
  <c r="S810" i="77"/>
  <c r="S809" i="77"/>
  <c r="S808" i="77"/>
  <c r="S807" i="77"/>
  <c r="S806" i="77"/>
  <c r="S805" i="77"/>
  <c r="S804" i="77"/>
  <c r="S803" i="77"/>
  <c r="S802" i="77"/>
  <c r="S801" i="77"/>
  <c r="S800" i="77"/>
  <c r="S799" i="77"/>
  <c r="S798" i="77"/>
  <c r="S797" i="77"/>
  <c r="S796" i="77"/>
  <c r="S795" i="77"/>
  <c r="S794" i="77"/>
  <c r="S793" i="77"/>
  <c r="S792" i="77"/>
  <c r="S791" i="77"/>
  <c r="S790" i="77"/>
  <c r="S789" i="77"/>
  <c r="S788" i="77"/>
  <c r="S787" i="77"/>
  <c r="S786" i="77"/>
  <c r="S785" i="77"/>
  <c r="S784" i="77"/>
  <c r="S783" i="77"/>
  <c r="S782" i="77"/>
  <c r="S781" i="77"/>
  <c r="S780" i="77"/>
  <c r="S779" i="77"/>
  <c r="S778" i="77"/>
  <c r="S777" i="77"/>
  <c r="S776" i="77"/>
  <c r="S775" i="77"/>
  <c r="S774" i="77"/>
  <c r="S773" i="77"/>
  <c r="S772" i="77"/>
  <c r="S771" i="77"/>
  <c r="S770" i="77"/>
  <c r="S769" i="77"/>
  <c r="S768" i="77"/>
  <c r="S767" i="77"/>
  <c r="S766" i="77"/>
  <c r="S765" i="77"/>
  <c r="S764" i="77"/>
  <c r="S763" i="77"/>
  <c r="S762" i="77"/>
  <c r="S761" i="77"/>
  <c r="S760" i="77"/>
  <c r="S759" i="77"/>
  <c r="S758" i="77"/>
  <c r="S757" i="77"/>
  <c r="S756" i="77"/>
  <c r="S755" i="77"/>
  <c r="S754" i="77"/>
  <c r="S753" i="77"/>
  <c r="S752" i="77"/>
  <c r="S751" i="77"/>
  <c r="S750" i="77"/>
  <c r="S749" i="77"/>
  <c r="S748" i="77"/>
  <c r="S747" i="77"/>
  <c r="S746" i="77"/>
  <c r="S745" i="77"/>
  <c r="S744" i="77"/>
  <c r="S743" i="77"/>
  <c r="S742" i="77"/>
  <c r="S741" i="77"/>
  <c r="S740" i="77"/>
  <c r="S739" i="77"/>
  <c r="S738" i="77"/>
  <c r="S737" i="77"/>
  <c r="S736" i="77"/>
  <c r="S735" i="77"/>
  <c r="S734" i="77"/>
  <c r="S733" i="77"/>
  <c r="S732" i="77"/>
  <c r="S731" i="77"/>
  <c r="S730" i="77"/>
  <c r="S729" i="77"/>
  <c r="S728" i="77"/>
  <c r="S727" i="77"/>
  <c r="S726" i="77"/>
  <c r="S725" i="77"/>
  <c r="S724" i="77"/>
  <c r="S723" i="77"/>
  <c r="S722" i="77"/>
  <c r="S721" i="77"/>
  <c r="S720" i="77"/>
  <c r="S719" i="77"/>
  <c r="S718" i="77"/>
  <c r="S717" i="77"/>
  <c r="S716" i="77"/>
  <c r="S715" i="77"/>
  <c r="S714" i="77"/>
  <c r="S713" i="77"/>
  <c r="S712" i="77"/>
  <c r="S711" i="77"/>
  <c r="S710" i="77"/>
  <c r="S709" i="77"/>
  <c r="S708" i="77"/>
  <c r="S707" i="77"/>
  <c r="S706" i="77"/>
  <c r="S705" i="77"/>
  <c r="S704" i="77"/>
  <c r="S703" i="77"/>
  <c r="S702" i="77"/>
  <c r="S701" i="77"/>
  <c r="S700" i="77"/>
  <c r="S699" i="77"/>
  <c r="S698" i="77"/>
  <c r="S697" i="77"/>
  <c r="S696" i="77"/>
  <c r="S695" i="77"/>
  <c r="S694" i="77"/>
  <c r="S693" i="77"/>
  <c r="S692" i="77"/>
  <c r="S691" i="77"/>
  <c r="S690" i="77"/>
  <c r="I24" i="76"/>
  <c r="H24" i="76"/>
  <c r="G24" i="76"/>
  <c r="F24" i="76"/>
  <c r="J78" i="46"/>
  <c r="I78" i="46"/>
  <c r="AB4" i="75" l="1"/>
  <c r="CC5" i="73"/>
  <c r="E5" i="108"/>
  <c r="E4" i="108"/>
  <c r="E3" i="108"/>
  <c r="I10" i="108" s="1"/>
  <c r="L10" i="108" s="1"/>
  <c r="E45" i="104"/>
  <c r="I45" i="104" s="1"/>
  <c r="L45" i="104" s="1"/>
  <c r="C84" i="109"/>
  <c r="C77" i="109"/>
  <c r="C69" i="109"/>
  <c r="C61" i="109"/>
  <c r="C51" i="109"/>
  <c r="C39" i="109"/>
  <c r="C27" i="109"/>
  <c r="C20" i="109"/>
  <c r="E88" i="108"/>
  <c r="E24" i="108"/>
  <c r="I24" i="108" s="1"/>
  <c r="L24" i="108" s="1"/>
  <c r="I22" i="108"/>
  <c r="I21" i="108"/>
  <c r="I19" i="108"/>
  <c r="E19" i="108"/>
  <c r="I62" i="108" s="1"/>
  <c r="L62" i="108" s="1"/>
  <c r="L90" i="108"/>
  <c r="E90" i="108"/>
  <c r="I89" i="108"/>
  <c r="L89" i="108" s="1"/>
  <c r="L88" i="108"/>
  <c r="I87" i="108"/>
  <c r="L87" i="108" s="1"/>
  <c r="I86" i="108"/>
  <c r="L86" i="108" s="1"/>
  <c r="L85" i="108"/>
  <c r="L84" i="108"/>
  <c r="L83" i="108"/>
  <c r="L82" i="108"/>
  <c r="L81" i="108"/>
  <c r="L80" i="108"/>
  <c r="L79" i="108"/>
  <c r="L78" i="108"/>
  <c r="L77" i="108"/>
  <c r="L76" i="108"/>
  <c r="L75" i="108"/>
  <c r="L74" i="108"/>
  <c r="L73" i="108"/>
  <c r="L72" i="108"/>
  <c r="L71" i="108"/>
  <c r="L70" i="108"/>
  <c r="L69" i="108"/>
  <c r="L65" i="108"/>
  <c r="I65" i="108"/>
  <c r="L64" i="108"/>
  <c r="I64" i="108"/>
  <c r="L63" i="108"/>
  <c r="I63" i="108"/>
  <c r="I61" i="108"/>
  <c r="L61" i="108" s="1"/>
  <c r="I60" i="108"/>
  <c r="L60" i="108" s="1"/>
  <c r="L59" i="108"/>
  <c r="I59" i="108"/>
  <c r="L58" i="108"/>
  <c r="I58" i="108"/>
  <c r="I57" i="108"/>
  <c r="L57" i="108" s="1"/>
  <c r="I55" i="108"/>
  <c r="L55" i="108" s="1"/>
  <c r="L54" i="108"/>
  <c r="E54" i="108"/>
  <c r="E56" i="108" s="1"/>
  <c r="L53" i="108"/>
  <c r="L52" i="108"/>
  <c r="I51" i="108"/>
  <c r="L51" i="108" s="1"/>
  <c r="L50" i="108"/>
  <c r="I50" i="108"/>
  <c r="E48" i="108"/>
  <c r="I48" i="108" s="1"/>
  <c r="L48" i="108" s="1"/>
  <c r="L47" i="108"/>
  <c r="L46" i="108"/>
  <c r="L45" i="108"/>
  <c r="L44" i="108"/>
  <c r="L43" i="108"/>
  <c r="L42" i="108"/>
  <c r="I41" i="108"/>
  <c r="L41" i="108" s="1"/>
  <c r="I40" i="108"/>
  <c r="L40" i="108" s="1"/>
  <c r="I39" i="108"/>
  <c r="L39" i="108" s="1"/>
  <c r="I38" i="108"/>
  <c r="L38" i="108" s="1"/>
  <c r="I37" i="108"/>
  <c r="L37" i="108" s="1"/>
  <c r="I36" i="108"/>
  <c r="L36" i="108" s="1"/>
  <c r="I35" i="108"/>
  <c r="L35" i="108" s="1"/>
  <c r="I34" i="108"/>
  <c r="L34" i="108" s="1"/>
  <c r="L33" i="108"/>
  <c r="E33" i="108"/>
  <c r="L31" i="108"/>
  <c r="L30" i="108"/>
  <c r="I29" i="108"/>
  <c r="L29" i="108" s="1"/>
  <c r="L28" i="108"/>
  <c r="L23" i="108"/>
  <c r="E23" i="108"/>
  <c r="L22" i="108"/>
  <c r="L21" i="108"/>
  <c r="L20" i="108"/>
  <c r="I20" i="108"/>
  <c r="I18" i="108"/>
  <c r="L18" i="108" s="1"/>
  <c r="I17" i="108"/>
  <c r="L17" i="108" s="1"/>
  <c r="I16" i="108"/>
  <c r="L16" i="108" s="1"/>
  <c r="I15" i="108"/>
  <c r="L15" i="108" s="1"/>
  <c r="L14" i="108"/>
  <c r="L11" i="108"/>
  <c r="L7" i="108"/>
  <c r="I7" i="108"/>
  <c r="L6" i="108"/>
  <c r="L5" i="108"/>
  <c r="L4" i="108"/>
  <c r="L3" i="108"/>
  <c r="E135" i="107"/>
  <c r="E141" i="107" s="1"/>
  <c r="E120" i="107"/>
  <c r="J166" i="107" s="1"/>
  <c r="E104" i="107"/>
  <c r="E85" i="107"/>
  <c r="I80" i="107"/>
  <c r="L80" i="107" s="1"/>
  <c r="I79" i="107"/>
  <c r="L79" i="107" s="1"/>
  <c r="I78" i="107"/>
  <c r="I77" i="107"/>
  <c r="L77" i="107" s="1"/>
  <c r="E68" i="107"/>
  <c r="I65" i="107"/>
  <c r="L65" i="107" s="1"/>
  <c r="E62" i="107"/>
  <c r="I63" i="107" s="1"/>
  <c r="L63" i="107" s="1"/>
  <c r="I58" i="107"/>
  <c r="L58" i="107" s="1"/>
  <c r="E53" i="107"/>
  <c r="I54" i="107" s="1"/>
  <c r="L54" i="107" s="1"/>
  <c r="E13" i="107"/>
  <c r="I7" i="107"/>
  <c r="L7" i="107" s="1"/>
  <c r="I6" i="107"/>
  <c r="L6" i="107" s="1"/>
  <c r="I5" i="107"/>
  <c r="E52" i="106"/>
  <c r="H177" i="107"/>
  <c r="G177" i="107"/>
  <c r="D177" i="107"/>
  <c r="I176" i="107"/>
  <c r="I177" i="107" s="1"/>
  <c r="H176" i="107"/>
  <c r="G176" i="107"/>
  <c r="F176" i="107"/>
  <c r="F177" i="107" s="1"/>
  <c r="E176" i="107"/>
  <c r="E177" i="107" s="1"/>
  <c r="D176" i="107"/>
  <c r="E143" i="107" s="1"/>
  <c r="C176" i="107"/>
  <c r="C177" i="107" s="1"/>
  <c r="L175" i="107"/>
  <c r="J175" i="107"/>
  <c r="K175" i="107" s="1"/>
  <c r="J174" i="107"/>
  <c r="L174" i="107" s="1"/>
  <c r="J173" i="107"/>
  <c r="L173" i="107" s="1"/>
  <c r="J172" i="107"/>
  <c r="L172" i="107" s="1"/>
  <c r="L171" i="107"/>
  <c r="J171" i="107"/>
  <c r="K171" i="107" s="1"/>
  <c r="H167" i="107"/>
  <c r="G167" i="107"/>
  <c r="E167" i="107"/>
  <c r="D167" i="107"/>
  <c r="I166" i="107"/>
  <c r="I167" i="107" s="1"/>
  <c r="H166" i="107"/>
  <c r="E132" i="107" s="1"/>
  <c r="G166" i="107"/>
  <c r="F166" i="107"/>
  <c r="F167" i="107" s="1"/>
  <c r="E166" i="107"/>
  <c r="D166" i="107"/>
  <c r="C166" i="107"/>
  <c r="C167" i="107" s="1"/>
  <c r="L167" i="107" s="1"/>
  <c r="L165" i="107"/>
  <c r="J165" i="107"/>
  <c r="K165" i="107" s="1"/>
  <c r="L164" i="107"/>
  <c r="J164" i="107"/>
  <c r="K164" i="107" s="1"/>
  <c r="J163" i="107"/>
  <c r="L163" i="107" s="1"/>
  <c r="J162" i="107"/>
  <c r="L162" i="107" s="1"/>
  <c r="L161" i="107"/>
  <c r="J161" i="107"/>
  <c r="K161" i="107" s="1"/>
  <c r="L157" i="107"/>
  <c r="I157" i="107"/>
  <c r="I156" i="107"/>
  <c r="L156" i="107" s="1"/>
  <c r="L153" i="107"/>
  <c r="L152" i="107"/>
  <c r="L151" i="107"/>
  <c r="L150" i="107"/>
  <c r="I150" i="107"/>
  <c r="L149" i="107"/>
  <c r="I149" i="107"/>
  <c r="L148" i="107"/>
  <c r="L147" i="107"/>
  <c r="E147" i="107"/>
  <c r="L146" i="107"/>
  <c r="E146" i="107"/>
  <c r="L145" i="107"/>
  <c r="L144" i="107"/>
  <c r="E144" i="107"/>
  <c r="L143" i="107"/>
  <c r="L141" i="107"/>
  <c r="L140" i="107"/>
  <c r="E140" i="107"/>
  <c r="L139" i="107"/>
  <c r="E139" i="107"/>
  <c r="L138" i="107"/>
  <c r="L137" i="107"/>
  <c r="E136" i="107"/>
  <c r="L135" i="107"/>
  <c r="L134" i="107"/>
  <c r="I134" i="107"/>
  <c r="L133" i="107"/>
  <c r="E133" i="107"/>
  <c r="L132" i="107"/>
  <c r="L131" i="107"/>
  <c r="E131" i="107"/>
  <c r="L130" i="107"/>
  <c r="E130" i="107"/>
  <c r="L129" i="107"/>
  <c r="E129" i="107"/>
  <c r="L128" i="107"/>
  <c r="E128" i="107"/>
  <c r="L126" i="107"/>
  <c r="E126" i="107"/>
  <c r="L125" i="107"/>
  <c r="E125" i="107"/>
  <c r="L124" i="107"/>
  <c r="E124" i="107"/>
  <c r="L123" i="107"/>
  <c r="E123" i="107"/>
  <c r="L122" i="107"/>
  <c r="E122" i="107"/>
  <c r="L120" i="107"/>
  <c r="L119" i="107"/>
  <c r="L118" i="107"/>
  <c r="L117" i="107"/>
  <c r="I116" i="107"/>
  <c r="L116" i="107" s="1"/>
  <c r="I115" i="107"/>
  <c r="L115" i="107" s="1"/>
  <c r="L114" i="107"/>
  <c r="L113" i="107"/>
  <c r="I113" i="107"/>
  <c r="L112" i="107"/>
  <c r="I112" i="107"/>
  <c r="L111" i="107"/>
  <c r="L110" i="107"/>
  <c r="L109" i="107"/>
  <c r="L108" i="107"/>
  <c r="L107" i="107"/>
  <c r="L106" i="107"/>
  <c r="I105" i="107"/>
  <c r="L105" i="107" s="1"/>
  <c r="I104" i="107"/>
  <c r="L104" i="107" s="1"/>
  <c r="L103" i="107"/>
  <c r="E103" i="107"/>
  <c r="L102" i="107"/>
  <c r="I102" i="107"/>
  <c r="I101" i="107"/>
  <c r="L101" i="107" s="1"/>
  <c r="I100" i="107"/>
  <c r="L100" i="107" s="1"/>
  <c r="L99" i="107"/>
  <c r="I99" i="107"/>
  <c r="I98" i="107"/>
  <c r="L98" i="107" s="1"/>
  <c r="L97" i="107"/>
  <c r="L96" i="107"/>
  <c r="I96" i="107"/>
  <c r="I95" i="107"/>
  <c r="L95" i="107" s="1"/>
  <c r="L92" i="107"/>
  <c r="I92" i="107"/>
  <c r="L91" i="107"/>
  <c r="L90" i="107"/>
  <c r="L89" i="107"/>
  <c r="L88" i="107"/>
  <c r="L87" i="107"/>
  <c r="L85" i="107"/>
  <c r="I94" i="107"/>
  <c r="L94" i="107" s="1"/>
  <c r="L84" i="107"/>
  <c r="L83" i="107"/>
  <c r="L82" i="107"/>
  <c r="I82" i="107"/>
  <c r="I81" i="107"/>
  <c r="L81" i="107" s="1"/>
  <c r="L78" i="107"/>
  <c r="I75" i="107"/>
  <c r="L75" i="107" s="1"/>
  <c r="L74" i="107"/>
  <c r="E74" i="107"/>
  <c r="I69" i="107" s="1"/>
  <c r="L69" i="107" s="1"/>
  <c r="L73" i="107"/>
  <c r="L72" i="107"/>
  <c r="L71" i="107"/>
  <c r="L70" i="107"/>
  <c r="L68" i="107"/>
  <c r="I76" i="107"/>
  <c r="L76" i="107" s="1"/>
  <c r="I67" i="107"/>
  <c r="L67" i="107" s="1"/>
  <c r="I66" i="107"/>
  <c r="L66" i="107" s="1"/>
  <c r="I64" i="107"/>
  <c r="L64" i="107" s="1"/>
  <c r="L62" i="107"/>
  <c r="L61" i="107"/>
  <c r="L60" i="107"/>
  <c r="I59" i="107"/>
  <c r="L59" i="107" s="1"/>
  <c r="L57" i="107"/>
  <c r="L56" i="107"/>
  <c r="L55" i="107"/>
  <c r="L53" i="107"/>
  <c r="L52" i="107"/>
  <c r="I52" i="107"/>
  <c r="I51" i="107"/>
  <c r="L51" i="107" s="1"/>
  <c r="L50" i="107"/>
  <c r="L49" i="107"/>
  <c r="L48" i="107"/>
  <c r="I48" i="107"/>
  <c r="I47" i="107"/>
  <c r="L47" i="107" s="1"/>
  <c r="I46" i="107"/>
  <c r="L46" i="107" s="1"/>
  <c r="L45" i="107"/>
  <c r="I45" i="107"/>
  <c r="I44" i="107"/>
  <c r="L44" i="107" s="1"/>
  <c r="L43" i="107"/>
  <c r="L42" i="107"/>
  <c r="L41" i="107"/>
  <c r="L39" i="107"/>
  <c r="E39" i="107"/>
  <c r="I40" i="107" s="1"/>
  <c r="L40" i="107" s="1"/>
  <c r="L38" i="107"/>
  <c r="L37" i="107"/>
  <c r="L36" i="107"/>
  <c r="I35" i="107"/>
  <c r="L35" i="107" s="1"/>
  <c r="I34" i="107"/>
  <c r="L34" i="107" s="1"/>
  <c r="L33" i="107"/>
  <c r="I33" i="107"/>
  <c r="I32" i="107"/>
  <c r="L32" i="107" s="1"/>
  <c r="I31" i="107"/>
  <c r="L31" i="107" s="1"/>
  <c r="L30" i="107"/>
  <c r="I30" i="107"/>
  <c r="I29" i="107"/>
  <c r="L29" i="107" s="1"/>
  <c r="I28" i="107"/>
  <c r="L28" i="107" s="1"/>
  <c r="L27" i="107"/>
  <c r="I27" i="107"/>
  <c r="I26" i="107"/>
  <c r="L26" i="107" s="1"/>
  <c r="I25" i="107"/>
  <c r="L25" i="107" s="1"/>
  <c r="L24" i="107"/>
  <c r="I24" i="107"/>
  <c r="L23" i="107"/>
  <c r="L22" i="107"/>
  <c r="I22" i="107"/>
  <c r="L21" i="107"/>
  <c r="E21" i="107"/>
  <c r="L19" i="107"/>
  <c r="I19" i="107"/>
  <c r="I18" i="107"/>
  <c r="L18" i="107" s="1"/>
  <c r="L17" i="107"/>
  <c r="L16" i="107"/>
  <c r="L15" i="107"/>
  <c r="I15" i="107"/>
  <c r="I14" i="107"/>
  <c r="L14" i="107" s="1"/>
  <c r="L13" i="107"/>
  <c r="I20" i="107"/>
  <c r="L20" i="107" s="1"/>
  <c r="L12" i="107"/>
  <c r="L11" i="107"/>
  <c r="L10" i="107"/>
  <c r="L9" i="107"/>
  <c r="I9" i="107"/>
  <c r="I8" i="107"/>
  <c r="L8" i="107" s="1"/>
  <c r="L5" i="107"/>
  <c r="L4" i="107"/>
  <c r="L3" i="107"/>
  <c r="I144" i="106"/>
  <c r="L144" i="106" s="1"/>
  <c r="E144" i="106"/>
  <c r="I143" i="106"/>
  <c r="L143" i="106" s="1"/>
  <c r="I142" i="106"/>
  <c r="L142" i="106" s="1"/>
  <c r="L141" i="106"/>
  <c r="I141" i="106"/>
  <c r="I139" i="106"/>
  <c r="L139" i="106" s="1"/>
  <c r="L138" i="106"/>
  <c r="I138" i="106"/>
  <c r="I137" i="106"/>
  <c r="L137" i="106" s="1"/>
  <c r="L136" i="106"/>
  <c r="E136" i="106"/>
  <c r="E135" i="106"/>
  <c r="I134" i="106"/>
  <c r="L132" i="106"/>
  <c r="E132" i="106"/>
  <c r="I133" i="106" s="1"/>
  <c r="L133" i="106" s="1"/>
  <c r="L131" i="106"/>
  <c r="E131" i="106"/>
  <c r="I129" i="106"/>
  <c r="L129" i="106" s="1"/>
  <c r="L128" i="106"/>
  <c r="E128" i="106"/>
  <c r="L127" i="106"/>
  <c r="E127" i="106"/>
  <c r="L125" i="106"/>
  <c r="I125" i="106"/>
  <c r="L124" i="106"/>
  <c r="L123" i="106"/>
  <c r="E123" i="106"/>
  <c r="E124" i="106" s="1"/>
  <c r="L122" i="106"/>
  <c r="I122" i="106"/>
  <c r="E122" i="106"/>
  <c r="I121" i="106"/>
  <c r="L121" i="106" s="1"/>
  <c r="L120" i="106"/>
  <c r="E120" i="106"/>
  <c r="L119" i="106"/>
  <c r="E119" i="106"/>
  <c r="I112" i="106" s="1"/>
  <c r="L112" i="106" s="1"/>
  <c r="L118" i="106"/>
  <c r="L117" i="106"/>
  <c r="L116" i="106"/>
  <c r="L115" i="106"/>
  <c r="L114" i="106"/>
  <c r="L113" i="106"/>
  <c r="H112" i="106"/>
  <c r="I110" i="106"/>
  <c r="L110" i="106" s="1"/>
  <c r="I109" i="106"/>
  <c r="L109" i="106" s="1"/>
  <c r="L108" i="106"/>
  <c r="I108" i="106"/>
  <c r="I107" i="106"/>
  <c r="L107" i="106" s="1"/>
  <c r="I106" i="106"/>
  <c r="L106" i="106" s="1"/>
  <c r="L104" i="106"/>
  <c r="I104" i="106"/>
  <c r="L103" i="106"/>
  <c r="I101" i="106"/>
  <c r="L101" i="106" s="1"/>
  <c r="L95" i="106"/>
  <c r="E95" i="106"/>
  <c r="E98" i="106" s="1"/>
  <c r="L94" i="106"/>
  <c r="I94" i="106"/>
  <c r="I93" i="106"/>
  <c r="L93" i="106" s="1"/>
  <c r="I92" i="106"/>
  <c r="L92" i="106" s="1"/>
  <c r="L91" i="106"/>
  <c r="L90" i="106"/>
  <c r="I89" i="106"/>
  <c r="L89" i="106" s="1"/>
  <c r="L88" i="106"/>
  <c r="L87" i="106"/>
  <c r="L86" i="106"/>
  <c r="L85" i="106"/>
  <c r="I85" i="106"/>
  <c r="E84" i="106"/>
  <c r="I84" i="106" s="1"/>
  <c r="L84" i="106" s="1"/>
  <c r="L83" i="106"/>
  <c r="E83" i="106"/>
  <c r="L82" i="106"/>
  <c r="E82" i="106"/>
  <c r="L81" i="106"/>
  <c r="L79" i="106"/>
  <c r="E79" i="106"/>
  <c r="L78" i="106"/>
  <c r="I78" i="106"/>
  <c r="I77" i="106"/>
  <c r="L77" i="106" s="1"/>
  <c r="L76" i="106"/>
  <c r="L75" i="106"/>
  <c r="I74" i="106"/>
  <c r="L74" i="106" s="1"/>
  <c r="I73" i="106"/>
  <c r="L73" i="106" s="1"/>
  <c r="L72" i="106"/>
  <c r="E72" i="106"/>
  <c r="L71" i="106"/>
  <c r="I71" i="106"/>
  <c r="I70" i="106"/>
  <c r="L70" i="106" s="1"/>
  <c r="L69" i="106"/>
  <c r="L68" i="106"/>
  <c r="L67" i="106"/>
  <c r="I66" i="106"/>
  <c r="L66" i="106" s="1"/>
  <c r="I65" i="106"/>
  <c r="L65" i="106" s="1"/>
  <c r="L64" i="106"/>
  <c r="L63" i="106"/>
  <c r="L62" i="106"/>
  <c r="L61" i="106"/>
  <c r="I60" i="106"/>
  <c r="L60" i="106" s="1"/>
  <c r="L59" i="106"/>
  <c r="I59" i="106"/>
  <c r="I58" i="106"/>
  <c r="L58" i="106" s="1"/>
  <c r="I57" i="106"/>
  <c r="L57" i="106" s="1"/>
  <c r="L56" i="106"/>
  <c r="I56" i="106"/>
  <c r="I55" i="106"/>
  <c r="L55" i="106" s="1"/>
  <c r="I54" i="106"/>
  <c r="L54" i="106" s="1"/>
  <c r="L53" i="106"/>
  <c r="I53" i="106"/>
  <c r="L52" i="106"/>
  <c r="I51" i="106"/>
  <c r="L51" i="106" s="1"/>
  <c r="L50" i="106"/>
  <c r="I50" i="106"/>
  <c r="L49" i="106"/>
  <c r="I48" i="106"/>
  <c r="L48" i="106" s="1"/>
  <c r="L47" i="106"/>
  <c r="L46" i="106"/>
  <c r="E46" i="106"/>
  <c r="I45" i="106"/>
  <c r="L45" i="106" s="1"/>
  <c r="I44" i="106"/>
  <c r="L44" i="106" s="1"/>
  <c r="L43" i="106"/>
  <c r="L42" i="106"/>
  <c r="I42" i="106"/>
  <c r="I41" i="106"/>
  <c r="L41" i="106" s="1"/>
  <c r="L40" i="106"/>
  <c r="E40" i="106"/>
  <c r="I39" i="106"/>
  <c r="L39" i="106" s="1"/>
  <c r="I38" i="106"/>
  <c r="L38" i="106" s="1"/>
  <c r="I37" i="106"/>
  <c r="L37" i="106" s="1"/>
  <c r="I36" i="106"/>
  <c r="L36" i="106" s="1"/>
  <c r="L35" i="106"/>
  <c r="L34" i="106"/>
  <c r="E33" i="106"/>
  <c r="I33" i="106" s="1"/>
  <c r="L33" i="106" s="1"/>
  <c r="E32" i="106"/>
  <c r="I32" i="106" s="1"/>
  <c r="L32" i="106" s="1"/>
  <c r="I31" i="106"/>
  <c r="L31" i="106" s="1"/>
  <c r="I30" i="106"/>
  <c r="L30" i="106" s="1"/>
  <c r="L29" i="106"/>
  <c r="L28" i="106"/>
  <c r="L27" i="106"/>
  <c r="L26" i="106"/>
  <c r="I25" i="106"/>
  <c r="L25" i="106" s="1"/>
  <c r="L24" i="106"/>
  <c r="L23" i="106"/>
  <c r="I23" i="106"/>
  <c r="I22" i="106"/>
  <c r="L22" i="106" s="1"/>
  <c r="L21" i="106"/>
  <c r="L20" i="106"/>
  <c r="L19" i="106"/>
  <c r="I18" i="106"/>
  <c r="L18" i="106" s="1"/>
  <c r="E17" i="106"/>
  <c r="I17" i="106" s="1"/>
  <c r="L17" i="106" s="1"/>
  <c r="L16" i="106"/>
  <c r="I16" i="106"/>
  <c r="I15" i="106"/>
  <c r="L15" i="106" s="1"/>
  <c r="L14" i="106"/>
  <c r="L13" i="106"/>
  <c r="L12" i="106"/>
  <c r="I12" i="106"/>
  <c r="I11" i="106"/>
  <c r="L11" i="106" s="1"/>
  <c r="L10" i="106"/>
  <c r="I9" i="106"/>
  <c r="L9" i="106" s="1"/>
  <c r="I8" i="106"/>
  <c r="L8" i="106" s="1"/>
  <c r="I7" i="106"/>
  <c r="L7" i="106" s="1"/>
  <c r="I6" i="106"/>
  <c r="L6" i="106" s="1"/>
  <c r="I5" i="106"/>
  <c r="L5" i="106" s="1"/>
  <c r="I4" i="106"/>
  <c r="L4" i="106" s="1"/>
  <c r="L3" i="106"/>
  <c r="L48" i="105"/>
  <c r="E48" i="105"/>
  <c r="L47" i="105"/>
  <c r="L46" i="105"/>
  <c r="E46" i="105"/>
  <c r="E47" i="105" s="1"/>
  <c r="L45" i="105"/>
  <c r="I45" i="105"/>
  <c r="I44" i="105"/>
  <c r="L44" i="105" s="1"/>
  <c r="I43" i="105"/>
  <c r="L43" i="105" s="1"/>
  <c r="I42" i="105"/>
  <c r="L42" i="105" s="1"/>
  <c r="I41" i="105"/>
  <c r="L41" i="105" s="1"/>
  <c r="I40" i="105"/>
  <c r="L40" i="105" s="1"/>
  <c r="L39" i="105"/>
  <c r="I39" i="105"/>
  <c r="L38" i="105"/>
  <c r="L37" i="105"/>
  <c r="E36" i="105"/>
  <c r="I36" i="105" s="1"/>
  <c r="L36" i="105" s="1"/>
  <c r="I35" i="105"/>
  <c r="L35" i="105" s="1"/>
  <c r="I34" i="105"/>
  <c r="L34" i="105" s="1"/>
  <c r="L33" i="105"/>
  <c r="I33" i="105"/>
  <c r="E32" i="105"/>
  <c r="I32" i="105" s="1"/>
  <c r="L32" i="105" s="1"/>
  <c r="I31" i="105"/>
  <c r="L31" i="105" s="1"/>
  <c r="I30" i="105"/>
  <c r="L30" i="105" s="1"/>
  <c r="I29" i="105"/>
  <c r="L29" i="105" s="1"/>
  <c r="I27" i="105"/>
  <c r="L27" i="105" s="1"/>
  <c r="I26" i="105"/>
  <c r="L26" i="105" s="1"/>
  <c r="I25" i="105"/>
  <c r="L25" i="105" s="1"/>
  <c r="E24" i="105"/>
  <c r="E28" i="105" s="1"/>
  <c r="L23" i="105"/>
  <c r="I23" i="105"/>
  <c r="L22" i="105"/>
  <c r="I22" i="105"/>
  <c r="I21" i="105"/>
  <c r="L21" i="105" s="1"/>
  <c r="L20" i="105"/>
  <c r="L19" i="105"/>
  <c r="L18" i="105"/>
  <c r="I17" i="105"/>
  <c r="L17" i="105" s="1"/>
  <c r="I16" i="105"/>
  <c r="L16" i="105" s="1"/>
  <c r="E16" i="105"/>
  <c r="L15" i="105"/>
  <c r="I15" i="105"/>
  <c r="I14" i="105"/>
  <c r="L14" i="105" s="1"/>
  <c r="L13" i="105"/>
  <c r="L12" i="105"/>
  <c r="I11" i="105"/>
  <c r="L11" i="105" s="1"/>
  <c r="I10" i="105"/>
  <c r="L10" i="105" s="1"/>
  <c r="L9" i="105"/>
  <c r="I9" i="105"/>
  <c r="L8" i="105"/>
  <c r="I8" i="105"/>
  <c r="I7" i="105"/>
  <c r="L7" i="105" s="1"/>
  <c r="L6" i="105"/>
  <c r="L5" i="105"/>
  <c r="L4" i="105"/>
  <c r="L3" i="105"/>
  <c r="L150" i="104"/>
  <c r="I149" i="104"/>
  <c r="L149" i="104" s="1"/>
  <c r="L148" i="104"/>
  <c r="L147" i="104"/>
  <c r="E147" i="104"/>
  <c r="L146" i="104"/>
  <c r="L145" i="104"/>
  <c r="E144" i="104"/>
  <c r="I144" i="104" s="1"/>
  <c r="L144" i="104" s="1"/>
  <c r="L143" i="104"/>
  <c r="L142" i="104"/>
  <c r="L141" i="104"/>
  <c r="I140" i="104"/>
  <c r="L140" i="104" s="1"/>
  <c r="I139" i="104"/>
  <c r="L139" i="104" s="1"/>
  <c r="I138" i="104"/>
  <c r="L138" i="104" s="1"/>
  <c r="E137" i="104"/>
  <c r="I137" i="104" s="1"/>
  <c r="L137" i="104" s="1"/>
  <c r="L136" i="104"/>
  <c r="L135" i="104"/>
  <c r="I135" i="104"/>
  <c r="I134" i="104"/>
  <c r="L134" i="104" s="1"/>
  <c r="I133" i="104"/>
  <c r="L133" i="104" s="1"/>
  <c r="E132" i="104"/>
  <c r="E145" i="104" s="1"/>
  <c r="E146" i="104" s="1"/>
  <c r="I131" i="104"/>
  <c r="L131" i="104" s="1"/>
  <c r="I130" i="104"/>
  <c r="L130" i="104" s="1"/>
  <c r="I129" i="104"/>
  <c r="L129" i="104" s="1"/>
  <c r="L128" i="104"/>
  <c r="I128" i="104"/>
  <c r="L127" i="104"/>
  <c r="L126" i="104"/>
  <c r="L125" i="104"/>
  <c r="L124" i="104"/>
  <c r="I124" i="104"/>
  <c r="E123" i="104"/>
  <c r="I123" i="104" s="1"/>
  <c r="L123" i="104" s="1"/>
  <c r="L122" i="104"/>
  <c r="E122" i="104"/>
  <c r="L121" i="104"/>
  <c r="I121" i="104"/>
  <c r="I120" i="104"/>
  <c r="L120" i="104" s="1"/>
  <c r="I119" i="104"/>
  <c r="L119" i="104" s="1"/>
  <c r="L118" i="104"/>
  <c r="L117" i="104"/>
  <c r="L116" i="104"/>
  <c r="L115" i="104"/>
  <c r="L114" i="104"/>
  <c r="I113" i="104"/>
  <c r="L113" i="104" s="1"/>
  <c r="I112" i="104"/>
  <c r="L112" i="104" s="1"/>
  <c r="I111" i="104"/>
  <c r="L111" i="104" s="1"/>
  <c r="L110" i="104"/>
  <c r="I110" i="104"/>
  <c r="I109" i="104"/>
  <c r="L109" i="104" s="1"/>
  <c r="L108" i="104"/>
  <c r="I108" i="104"/>
  <c r="I107" i="104"/>
  <c r="L107" i="104" s="1"/>
  <c r="L106" i="104"/>
  <c r="I105" i="104"/>
  <c r="L105" i="104" s="1"/>
  <c r="I104" i="104"/>
  <c r="L104" i="104" s="1"/>
  <c r="L103" i="104"/>
  <c r="L102" i="104"/>
  <c r="L101" i="104"/>
  <c r="L100" i="104"/>
  <c r="L99" i="104"/>
  <c r="L98" i="104"/>
  <c r="L97" i="104"/>
  <c r="E97" i="104"/>
  <c r="L96" i="104"/>
  <c r="L95" i="104"/>
  <c r="L94" i="104"/>
  <c r="L93" i="104"/>
  <c r="L92" i="104"/>
  <c r="L90" i="104"/>
  <c r="I90" i="104"/>
  <c r="I89" i="104"/>
  <c r="L89" i="104" s="1"/>
  <c r="I88" i="104"/>
  <c r="L88" i="104" s="1"/>
  <c r="L87" i="104"/>
  <c r="E87" i="104"/>
  <c r="E150" i="104" s="1"/>
  <c r="L86" i="104"/>
  <c r="L85" i="104"/>
  <c r="I85" i="104"/>
  <c r="I84" i="104"/>
  <c r="L84" i="104" s="1"/>
  <c r="I83" i="104"/>
  <c r="L83" i="104" s="1"/>
  <c r="L82" i="104"/>
  <c r="I81" i="104"/>
  <c r="L81" i="104" s="1"/>
  <c r="L80" i="104"/>
  <c r="I80" i="104"/>
  <c r="L79" i="104"/>
  <c r="L78" i="104"/>
  <c r="L77" i="104"/>
  <c r="I76" i="104"/>
  <c r="L76" i="104" s="1"/>
  <c r="L75" i="104"/>
  <c r="L72" i="104"/>
  <c r="E72" i="104"/>
  <c r="E73" i="104" s="1"/>
  <c r="I73" i="104" s="1"/>
  <c r="L73" i="104" s="1"/>
  <c r="L71" i="104"/>
  <c r="I70" i="104"/>
  <c r="L70" i="104" s="1"/>
  <c r="L69" i="104"/>
  <c r="I68" i="104"/>
  <c r="L68" i="104" s="1"/>
  <c r="L67" i="104"/>
  <c r="E67" i="104"/>
  <c r="I66" i="104"/>
  <c r="L66" i="104" s="1"/>
  <c r="L65" i="104"/>
  <c r="I65" i="104"/>
  <c r="L64" i="104"/>
  <c r="E64" i="104"/>
  <c r="L63" i="104"/>
  <c r="I63" i="104"/>
  <c r="I62" i="104"/>
  <c r="L62" i="104" s="1"/>
  <c r="L61" i="104"/>
  <c r="E61" i="104"/>
  <c r="I60" i="104"/>
  <c r="L60" i="104" s="1"/>
  <c r="L59" i="104"/>
  <c r="E59" i="104"/>
  <c r="L58" i="104"/>
  <c r="I57" i="104"/>
  <c r="L57" i="104" s="1"/>
  <c r="I56" i="104"/>
  <c r="L56" i="104" s="1"/>
  <c r="L54" i="104"/>
  <c r="L53" i="104"/>
  <c r="I52" i="104"/>
  <c r="L52" i="104" s="1"/>
  <c r="I51" i="104"/>
  <c r="L51" i="104" s="1"/>
  <c r="L50" i="104"/>
  <c r="I50" i="104"/>
  <c r="I49" i="104"/>
  <c r="L49" i="104" s="1"/>
  <c r="L48" i="104"/>
  <c r="L47" i="104"/>
  <c r="E46" i="104"/>
  <c r="I46" i="104" s="1"/>
  <c r="L46" i="104" s="1"/>
  <c r="L44" i="104"/>
  <c r="L43" i="104"/>
  <c r="I43" i="104"/>
  <c r="I42" i="104"/>
  <c r="L42" i="104" s="1"/>
  <c r="E41" i="104"/>
  <c r="I41" i="104" s="1"/>
  <c r="L41" i="104" s="1"/>
  <c r="I40" i="104"/>
  <c r="L40" i="104" s="1"/>
  <c r="I39" i="104"/>
  <c r="L39" i="104" s="1"/>
  <c r="L38" i="104"/>
  <c r="L37" i="104"/>
  <c r="L36" i="104"/>
  <c r="I35" i="104"/>
  <c r="L35" i="104" s="1"/>
  <c r="L34" i="104"/>
  <c r="E34" i="104"/>
  <c r="I33" i="104"/>
  <c r="L33" i="104" s="1"/>
  <c r="I32" i="104"/>
  <c r="L32" i="104" s="1"/>
  <c r="I31" i="104"/>
  <c r="L31" i="104" s="1"/>
  <c r="L30" i="104"/>
  <c r="I29" i="104"/>
  <c r="L29" i="104" s="1"/>
  <c r="L28" i="104"/>
  <c r="I28" i="104"/>
  <c r="L27" i="104"/>
  <c r="L26" i="104"/>
  <c r="L25" i="104"/>
  <c r="I24" i="104"/>
  <c r="L24" i="104" s="1"/>
  <c r="I23" i="104"/>
  <c r="L23" i="104" s="1"/>
  <c r="E21" i="104"/>
  <c r="I21" i="104" s="1"/>
  <c r="L21" i="104" s="1"/>
  <c r="I20" i="104"/>
  <c r="L20" i="104" s="1"/>
  <c r="I19" i="104"/>
  <c r="L19" i="104" s="1"/>
  <c r="E18" i="104"/>
  <c r="E22" i="104" s="1"/>
  <c r="I22" i="104" s="1"/>
  <c r="L22" i="104" s="1"/>
  <c r="I17" i="104"/>
  <c r="L17" i="104" s="1"/>
  <c r="L16" i="104"/>
  <c r="I16" i="104"/>
  <c r="L15" i="104"/>
  <c r="L14" i="104"/>
  <c r="I13" i="104"/>
  <c r="L13" i="104" s="1"/>
  <c r="I12" i="104"/>
  <c r="L12" i="104" s="1"/>
  <c r="I11" i="104"/>
  <c r="L11" i="104" s="1"/>
  <c r="I10" i="104"/>
  <c r="L10" i="104" s="1"/>
  <c r="L9" i="104"/>
  <c r="I9" i="104"/>
  <c r="I8" i="104"/>
  <c r="L8" i="104" s="1"/>
  <c r="L7" i="104"/>
  <c r="L6" i="104"/>
  <c r="L5" i="104"/>
  <c r="L4" i="104"/>
  <c r="L3" i="104"/>
  <c r="I32" i="108" l="1"/>
  <c r="L32" i="108" s="1"/>
  <c r="Y2" i="109"/>
  <c r="Z2" i="109" s="1"/>
  <c r="E52" i="108"/>
  <c r="I56" i="108"/>
  <c r="L56" i="108" s="1"/>
  <c r="E66" i="108"/>
  <c r="I66" i="108" s="1"/>
  <c r="L66" i="108" s="1"/>
  <c r="E14" i="108"/>
  <c r="E71" i="108" s="1"/>
  <c r="E25" i="108"/>
  <c r="I25" i="108" s="1"/>
  <c r="L25" i="108" s="1"/>
  <c r="I49" i="108"/>
  <c r="L49" i="108" s="1"/>
  <c r="L19" i="108"/>
  <c r="I155" i="107"/>
  <c r="L155" i="107" s="1"/>
  <c r="I154" i="107"/>
  <c r="L154" i="107" s="1"/>
  <c r="L177" i="107"/>
  <c r="L166" i="107"/>
  <c r="K166" i="107"/>
  <c r="E142" i="107"/>
  <c r="I142" i="107" s="1"/>
  <c r="L142" i="107" s="1"/>
  <c r="E91" i="107"/>
  <c r="I86" i="107" s="1"/>
  <c r="L86" i="107" s="1"/>
  <c r="E148" i="107"/>
  <c r="K163" i="107"/>
  <c r="K174" i="107"/>
  <c r="J176" i="107"/>
  <c r="E121" i="107"/>
  <c r="I121" i="107" s="1"/>
  <c r="L121" i="107" s="1"/>
  <c r="E137" i="107"/>
  <c r="E127" i="107"/>
  <c r="I127" i="107" s="1"/>
  <c r="L127" i="107" s="1"/>
  <c r="E138" i="107"/>
  <c r="I93" i="107"/>
  <c r="L93" i="107" s="1"/>
  <c r="E145" i="107"/>
  <c r="K172" i="107"/>
  <c r="K162" i="107"/>
  <c r="K173" i="107"/>
  <c r="I140" i="106"/>
  <c r="L140" i="106" s="1"/>
  <c r="E34" i="106"/>
  <c r="E35" i="106" s="1"/>
  <c r="I99" i="106"/>
  <c r="L99" i="106" s="1"/>
  <c r="I100" i="106"/>
  <c r="L100" i="106" s="1"/>
  <c r="I102" i="106"/>
  <c r="L102" i="106" s="1"/>
  <c r="I126" i="106"/>
  <c r="L126" i="106" s="1"/>
  <c r="I130" i="106"/>
  <c r="L130" i="106" s="1"/>
  <c r="I96" i="106"/>
  <c r="L96" i="106" s="1"/>
  <c r="L2" i="106" s="1"/>
  <c r="I97" i="106"/>
  <c r="L97" i="106" s="1"/>
  <c r="I111" i="106"/>
  <c r="L111" i="106" s="1"/>
  <c r="I28" i="105"/>
  <c r="L28" i="105" s="1"/>
  <c r="E37" i="105"/>
  <c r="E38" i="105" s="1"/>
  <c r="I24" i="105"/>
  <c r="L24" i="105" s="1"/>
  <c r="L2" i="105" s="1"/>
  <c r="I18" i="104"/>
  <c r="L18" i="104" s="1"/>
  <c r="I132" i="104"/>
  <c r="L132" i="104" s="1"/>
  <c r="E47" i="104"/>
  <c r="E48" i="104" s="1"/>
  <c r="E91" i="104"/>
  <c r="L2" i="108" l="1"/>
  <c r="E69" i="108"/>
  <c r="E70" i="108" s="1"/>
  <c r="E76" i="108"/>
  <c r="E85" i="108"/>
  <c r="L176" i="107"/>
  <c r="K176" i="107"/>
  <c r="I136" i="107"/>
  <c r="L136" i="107" s="1"/>
  <c r="L2" i="107" s="1"/>
  <c r="E92" i="104"/>
  <c r="E93" i="104" s="1"/>
  <c r="I91" i="104"/>
  <c r="L91" i="104" s="1"/>
  <c r="L2" i="104" s="1"/>
  <c r="D55" i="76" l="1"/>
  <c r="D53" i="76"/>
  <c r="G10" i="76"/>
  <c r="F10" i="76"/>
  <c r="E10" i="76"/>
  <c r="G7" i="76"/>
  <c r="F7" i="76"/>
  <c r="E7" i="76"/>
  <c r="G4" i="76"/>
  <c r="F4" i="76"/>
  <c r="E4" i="76"/>
  <c r="G3" i="76"/>
  <c r="F3" i="76"/>
  <c r="E3" i="76"/>
  <c r="CA5" i="73"/>
  <c r="BZ5" i="73"/>
  <c r="AD4" i="75"/>
  <c r="AC4" i="75"/>
  <c r="K58" i="4"/>
  <c r="K57" i="4"/>
  <c r="K56" i="4"/>
  <c r="K55" i="4"/>
  <c r="K54" i="4"/>
  <c r="K53" i="4"/>
  <c r="K52" i="4"/>
  <c r="K51" i="4"/>
  <c r="K50" i="4"/>
  <c r="K49" i="4"/>
  <c r="K48" i="4"/>
  <c r="K47" i="4"/>
  <c r="E58" i="4"/>
  <c r="E57" i="4"/>
  <c r="E56" i="4"/>
  <c r="E55" i="4"/>
  <c r="E54" i="4"/>
  <c r="E53" i="4"/>
  <c r="E52" i="4"/>
  <c r="E51" i="4"/>
  <c r="E50" i="4"/>
  <c r="E49" i="4"/>
  <c r="E48" i="4"/>
  <c r="E47" i="4"/>
  <c r="F277" i="42"/>
  <c r="G277" i="42" s="1"/>
  <c r="H277" i="42" s="1"/>
  <c r="E277" i="42"/>
  <c r="D277" i="42"/>
  <c r="C277" i="42"/>
  <c r="G8" i="95"/>
  <c r="F257" i="44"/>
  <c r="E257" i="44"/>
  <c r="F86" i="49"/>
  <c r="E86" i="49"/>
  <c r="F85" i="49"/>
  <c r="E85" i="49"/>
  <c r="F84" i="49"/>
  <c r="E84" i="49"/>
  <c r="F83" i="49"/>
  <c r="E83" i="49"/>
  <c r="F82" i="49"/>
  <c r="E82" i="49"/>
  <c r="F81" i="49"/>
  <c r="E81" i="49"/>
  <c r="F77" i="49"/>
  <c r="E77" i="49"/>
  <c r="F76" i="49"/>
  <c r="E76" i="49"/>
  <c r="F72" i="49"/>
  <c r="E72" i="49"/>
  <c r="F71" i="49"/>
  <c r="E71" i="49"/>
  <c r="F70" i="49"/>
  <c r="E70" i="49"/>
  <c r="F66" i="49"/>
  <c r="E66" i="49"/>
  <c r="F65" i="49"/>
  <c r="E65" i="49"/>
  <c r="F64" i="49"/>
  <c r="E64" i="49"/>
  <c r="F63" i="49"/>
  <c r="E63" i="49"/>
  <c r="F59" i="49"/>
  <c r="E59" i="49"/>
  <c r="F58" i="49"/>
  <c r="E58" i="49"/>
  <c r="F57" i="49"/>
  <c r="E57" i="49"/>
  <c r="F56" i="49"/>
  <c r="E56" i="49"/>
  <c r="F55" i="49"/>
  <c r="E55" i="49"/>
  <c r="F54" i="49"/>
  <c r="E54" i="49"/>
  <c r="F50" i="49"/>
  <c r="E50" i="49"/>
  <c r="F49" i="49"/>
  <c r="E49" i="49"/>
  <c r="F48" i="49"/>
  <c r="E48" i="49"/>
  <c r="F47" i="49"/>
  <c r="E47" i="49"/>
  <c r="E22" i="49"/>
  <c r="F22" i="49"/>
  <c r="E23" i="49"/>
  <c r="F23" i="49"/>
  <c r="E24" i="49"/>
  <c r="F24" i="49"/>
  <c r="E25" i="49"/>
  <c r="F25" i="49"/>
  <c r="E26" i="49"/>
  <c r="F26" i="49"/>
  <c r="E27" i="49"/>
  <c r="F27" i="49"/>
  <c r="E28" i="49"/>
  <c r="F28" i="49"/>
  <c r="E29" i="49"/>
  <c r="F29" i="49"/>
  <c r="E30" i="49"/>
  <c r="F30" i="49"/>
  <c r="E31" i="49"/>
  <c r="F31" i="49"/>
  <c r="E32" i="49"/>
  <c r="F32" i="49"/>
  <c r="E33" i="49"/>
  <c r="F33" i="49"/>
  <c r="E34" i="49"/>
  <c r="F34" i="49"/>
  <c r="E35" i="49"/>
  <c r="F35" i="49"/>
  <c r="E36" i="49"/>
  <c r="F36" i="49"/>
  <c r="E37" i="49"/>
  <c r="F37" i="49"/>
  <c r="E38" i="49"/>
  <c r="F38" i="49"/>
  <c r="E39" i="49"/>
  <c r="F39" i="49"/>
  <c r="E40" i="49"/>
  <c r="F40" i="49"/>
  <c r="E41" i="49"/>
  <c r="F41" i="49"/>
  <c r="E42" i="49"/>
  <c r="F42" i="49"/>
  <c r="E43" i="49"/>
  <c r="F43" i="49"/>
  <c r="F20" i="47"/>
  <c r="G20" i="47" s="1"/>
  <c r="H20" i="47" s="1"/>
  <c r="E20" i="47"/>
  <c r="C5" i="47"/>
  <c r="D5" i="47"/>
  <c r="C6" i="47"/>
  <c r="D6" i="47"/>
  <c r="C11" i="47"/>
  <c r="D11" i="47"/>
  <c r="C13" i="47"/>
  <c r="D13" i="47"/>
  <c r="C14" i="47"/>
  <c r="D14" i="47"/>
  <c r="C15" i="47"/>
  <c r="D15" i="47"/>
  <c r="C16" i="47"/>
  <c r="D16" i="47"/>
  <c r="C17" i="47"/>
  <c r="D17" i="47"/>
  <c r="C18" i="47"/>
  <c r="D18" i="47"/>
  <c r="C19" i="47"/>
  <c r="D19" i="47"/>
  <c r="C20" i="47"/>
  <c r="D20" i="47"/>
  <c r="C21" i="47"/>
  <c r="D21" i="47"/>
  <c r="C22" i="47"/>
  <c r="D22" i="47"/>
  <c r="C23" i="47"/>
  <c r="D23" i="47"/>
  <c r="C24" i="47"/>
  <c r="D24" i="47"/>
  <c r="C25" i="47"/>
  <c r="D25" i="47"/>
  <c r="C26" i="47"/>
  <c r="D26" i="47"/>
  <c r="C27" i="47"/>
  <c r="D27" i="47"/>
  <c r="C28" i="47"/>
  <c r="D28" i="47"/>
  <c r="C29" i="47"/>
  <c r="D29" i="47"/>
  <c r="C30" i="47"/>
  <c r="D30" i="47"/>
  <c r="C31" i="47"/>
  <c r="D31" i="47"/>
  <c r="C32" i="47"/>
  <c r="D32" i="47"/>
  <c r="C33" i="47"/>
  <c r="D33" i="47"/>
  <c r="C34" i="47"/>
  <c r="D34" i="47"/>
  <c r="C35" i="47"/>
  <c r="D35" i="47"/>
  <c r="C36" i="47"/>
  <c r="D36" i="47"/>
  <c r="C38" i="47"/>
  <c r="D38" i="47"/>
  <c r="C39" i="47"/>
  <c r="D39" i="47"/>
  <c r="C41" i="47"/>
  <c r="D41" i="47"/>
  <c r="C43" i="47"/>
  <c r="D43" i="47"/>
  <c r="C45" i="47"/>
  <c r="D45" i="47"/>
  <c r="C46" i="47"/>
  <c r="D46" i="47"/>
  <c r="C47" i="47"/>
  <c r="D47" i="47"/>
  <c r="C48" i="47"/>
  <c r="D48" i="47"/>
  <c r="C49" i="47"/>
  <c r="D49" i="47"/>
  <c r="C50" i="47"/>
  <c r="D50" i="47"/>
  <c r="C51" i="47"/>
  <c r="D51" i="47"/>
  <c r="C52" i="47"/>
  <c r="D52" i="47"/>
  <c r="C53" i="47"/>
  <c r="D53" i="47"/>
  <c r="C54" i="47"/>
  <c r="D54" i="47"/>
  <c r="C55" i="47"/>
  <c r="D55" i="47"/>
  <c r="C56" i="47"/>
  <c r="D56" i="47"/>
  <c r="C57" i="47"/>
  <c r="D57" i="47"/>
  <c r="C58" i="47"/>
  <c r="D58" i="47"/>
  <c r="C59" i="47"/>
  <c r="D59" i="47"/>
  <c r="C60" i="47"/>
  <c r="D60" i="47"/>
  <c r="C61" i="47"/>
  <c r="D61" i="47"/>
  <c r="C62" i="47"/>
  <c r="D62" i="47"/>
  <c r="C63" i="47"/>
  <c r="D63" i="47"/>
  <c r="C64" i="47"/>
  <c r="D64" i="47"/>
  <c r="C65" i="47"/>
  <c r="D65" i="47"/>
  <c r="C66" i="47"/>
  <c r="D66" i="47"/>
  <c r="C67" i="47"/>
  <c r="D67" i="47"/>
  <c r="C69" i="47"/>
  <c r="D69" i="47"/>
  <c r="C70" i="47"/>
  <c r="D70" i="47"/>
  <c r="C71" i="47"/>
  <c r="D71" i="47"/>
  <c r="C72" i="47"/>
  <c r="D72" i="47"/>
  <c r="C73" i="47"/>
  <c r="D73" i="47"/>
  <c r="C74" i="47"/>
  <c r="D74" i="47"/>
  <c r="C75" i="47"/>
  <c r="D75" i="47"/>
  <c r="D76" i="47" s="1"/>
  <c r="C77" i="47"/>
  <c r="D77" i="47"/>
  <c r="C78" i="47"/>
  <c r="D78" i="47"/>
  <c r="C79" i="47"/>
  <c r="D79" i="47"/>
  <c r="C80" i="47"/>
  <c r="D80" i="47"/>
  <c r="C81" i="47"/>
  <c r="D81" i="47"/>
  <c r="C82" i="47"/>
  <c r="D82" i="47"/>
  <c r="C83" i="47"/>
  <c r="D83" i="47"/>
  <c r="C84" i="47"/>
  <c r="D84" i="47"/>
  <c r="C85" i="47"/>
  <c r="D85" i="47"/>
  <c r="C86" i="47"/>
  <c r="D86" i="47"/>
  <c r="C87" i="47"/>
  <c r="D87" i="47"/>
  <c r="C88" i="47"/>
  <c r="D88" i="47"/>
  <c r="C89" i="47"/>
  <c r="D89" i="47"/>
  <c r="C90" i="47"/>
  <c r="D90" i="47"/>
  <c r="C91" i="47"/>
  <c r="D91" i="47"/>
  <c r="C92" i="47"/>
  <c r="D92" i="47"/>
  <c r="D93" i="47"/>
  <c r="D94" i="47"/>
  <c r="D95" i="47"/>
  <c r="C96" i="47"/>
  <c r="D96" i="47"/>
  <c r="C97" i="47"/>
  <c r="D97" i="47"/>
  <c r="C98" i="47"/>
  <c r="D98" i="47"/>
  <c r="F24" i="45"/>
  <c r="E24" i="45"/>
  <c r="F317" i="44"/>
  <c r="D340" i="44"/>
  <c r="D322" i="44"/>
  <c r="D301" i="44"/>
  <c r="C273" i="44"/>
  <c r="D273" i="44"/>
  <c r="C259" i="44"/>
  <c r="D259" i="44"/>
  <c r="C243" i="44"/>
  <c r="D243" i="44"/>
  <c r="C227" i="44"/>
  <c r="D227" i="44"/>
  <c r="C211" i="44"/>
  <c r="D211" i="44"/>
  <c r="C195" i="44"/>
  <c r="D195" i="44"/>
  <c r="C178" i="44"/>
  <c r="C180" i="44" s="1"/>
  <c r="D178" i="44"/>
  <c r="D180" i="44" s="1"/>
  <c r="C179" i="44"/>
  <c r="D179" i="44"/>
  <c r="D151" i="44"/>
  <c r="D152" i="44"/>
  <c r="D153" i="44"/>
  <c r="C149" i="44"/>
  <c r="D149" i="44"/>
  <c r="C150" i="44"/>
  <c r="D150" i="44"/>
  <c r="C144" i="44"/>
  <c r="D144" i="44"/>
  <c r="C143" i="44"/>
  <c r="D143" i="44"/>
  <c r="C142" i="44"/>
  <c r="D142" i="44"/>
  <c r="C141" i="44"/>
  <c r="D141" i="44"/>
  <c r="C140" i="44"/>
  <c r="D140" i="44"/>
  <c r="C102" i="44"/>
  <c r="D102" i="44"/>
  <c r="C82" i="44"/>
  <c r="D82" i="44"/>
  <c r="C53" i="44"/>
  <c r="D53" i="44"/>
  <c r="C76" i="47" l="1"/>
  <c r="D137" i="44"/>
  <c r="C137" i="44"/>
  <c r="D20" i="44" l="1"/>
  <c r="C20" i="44"/>
  <c r="H175" i="44" l="1"/>
  <c r="G175" i="44"/>
  <c r="F175" i="44"/>
  <c r="E175" i="44"/>
  <c r="F46" i="44"/>
  <c r="E46" i="44"/>
  <c r="J247" i="46"/>
  <c r="I247" i="46"/>
  <c r="J246" i="46"/>
  <c r="I246" i="46"/>
  <c r="J245" i="46"/>
  <c r="I245" i="46"/>
  <c r="G39" i="46"/>
  <c r="G38" i="46"/>
  <c r="J222" i="46"/>
  <c r="I222" i="46"/>
  <c r="G78" i="46"/>
  <c r="N79" i="46" s="1"/>
  <c r="G49" i="46"/>
  <c r="J45" i="46"/>
  <c r="I45" i="46"/>
  <c r="J44" i="46"/>
  <c r="I44" i="46"/>
  <c r="J30" i="46"/>
  <c r="I30" i="46"/>
  <c r="O130" i="46"/>
  <c r="K52" i="46"/>
  <c r="O12" i="46"/>
  <c r="K13" i="46" s="1"/>
  <c r="K14" i="46" s="1"/>
  <c r="K15" i="46" s="1"/>
  <c r="K16" i="46" s="1"/>
  <c r="K17" i="46" s="1"/>
  <c r="K18" i="46" s="1"/>
  <c r="K19" i="46" s="1"/>
  <c r="D17" i="37" s="1"/>
  <c r="C17" i="37" s="1"/>
  <c r="L79" i="46" l="1"/>
  <c r="I79" i="46"/>
  <c r="J79" i="46"/>
  <c r="K79" i="46"/>
  <c r="M79" i="46"/>
  <c r="K80" i="46" l="1"/>
  <c r="O13" i="46"/>
  <c r="O14" i="46" s="1"/>
  <c r="O15" i="46" s="1"/>
  <c r="O16" i="46" s="1"/>
  <c r="O17" i="46" s="1"/>
  <c r="O18" i="46" s="1"/>
  <c r="O19" i="46" s="1"/>
  <c r="O25" i="46" s="1"/>
  <c r="O28" i="46" l="1"/>
  <c r="O26" i="46"/>
  <c r="O27" i="46" s="1"/>
  <c r="O34" i="46" l="1"/>
  <c r="O33" i="46"/>
  <c r="O32" i="46"/>
  <c r="O31" i="46"/>
  <c r="O39" i="46" l="1"/>
  <c r="G40" i="46"/>
  <c r="K30" i="46"/>
  <c r="M30" i="46"/>
  <c r="N30" i="46"/>
  <c r="L30" i="46"/>
  <c r="H203" i="42" l="1"/>
  <c r="G203" i="42"/>
  <c r="F203" i="42"/>
  <c r="E203" i="42"/>
  <c r="D203" i="42"/>
  <c r="C203" i="42"/>
  <c r="D190" i="42"/>
  <c r="C190" i="42"/>
  <c r="D191" i="42"/>
  <c r="C191" i="42"/>
  <c r="C192" i="42" s="1"/>
  <c r="D140" i="42"/>
  <c r="C140" i="42"/>
  <c r="D128" i="42"/>
  <c r="D126" i="42"/>
  <c r="C126" i="42"/>
  <c r="C128" i="42"/>
  <c r="D113" i="42"/>
  <c r="D111" i="42"/>
  <c r="D110" i="42"/>
  <c r="D115" i="42" s="1"/>
  <c r="D69" i="42" s="1"/>
  <c r="C113" i="42"/>
  <c r="C111" i="42"/>
  <c r="C110" i="42"/>
  <c r="C115" i="42" s="1"/>
  <c r="C69" i="42" s="1"/>
  <c r="D83" i="42"/>
  <c r="C83" i="42"/>
  <c r="D97" i="42"/>
  <c r="Y40" i="76" s="1"/>
  <c r="D96" i="42"/>
  <c r="P40" i="76" s="1"/>
  <c r="D95" i="42"/>
  <c r="C97" i="42"/>
  <c r="V40" i="76" s="1"/>
  <c r="C96" i="42"/>
  <c r="M40" i="76" s="1"/>
  <c r="C95" i="42"/>
  <c r="D40" i="76" s="1"/>
  <c r="D99" i="42" l="1"/>
  <c r="D68" i="42" s="1"/>
  <c r="G40" i="76"/>
  <c r="C99" i="42"/>
  <c r="C68" i="42" s="1"/>
  <c r="D129" i="42"/>
  <c r="D70" i="42" s="1"/>
  <c r="C129" i="42"/>
  <c r="C70" i="42" s="1"/>
  <c r="D192" i="42"/>
  <c r="C217" i="43"/>
  <c r="D217" i="43"/>
  <c r="C218" i="43"/>
  <c r="D218" i="43"/>
  <c r="C219" i="43"/>
  <c r="D219" i="43"/>
  <c r="C220" i="43"/>
  <c r="D220" i="43"/>
  <c r="C221" i="43"/>
  <c r="D221" i="43"/>
  <c r="C222" i="43"/>
  <c r="D222" i="43"/>
  <c r="D170" i="43"/>
  <c r="D145" i="43" s="1"/>
  <c r="D189" i="43"/>
  <c r="D144" i="43" s="1"/>
  <c r="C189" i="43"/>
  <c r="C144" i="43" s="1"/>
  <c r="C170" i="43"/>
  <c r="C145" i="43" s="1"/>
  <c r="D204" i="43"/>
  <c r="C204" i="43"/>
  <c r="D198" i="43"/>
  <c r="C198" i="43"/>
  <c r="C46" i="43"/>
  <c r="D46" i="43"/>
  <c r="C47" i="43"/>
  <c r="D47" i="43"/>
  <c r="C51" i="43" l="1"/>
  <c r="D123" i="44"/>
  <c r="D23" i="44" s="1"/>
  <c r="C123" i="44"/>
  <c r="C23" i="44" s="1"/>
  <c r="J75" i="7"/>
  <c r="I75" i="7"/>
  <c r="H75" i="7"/>
  <c r="J74" i="7"/>
  <c r="I74" i="7"/>
  <c r="H74" i="7"/>
  <c r="G75" i="7"/>
  <c r="G74" i="7"/>
  <c r="J73" i="7"/>
  <c r="I73" i="7"/>
  <c r="H73" i="7"/>
  <c r="G73" i="7"/>
  <c r="J72" i="7"/>
  <c r="I72" i="7"/>
  <c r="H72" i="7"/>
  <c r="G72" i="7"/>
  <c r="F74" i="7" l="1"/>
  <c r="E74" i="7"/>
  <c r="F73" i="7"/>
  <c r="E73" i="7"/>
  <c r="F72" i="7"/>
  <c r="E72" i="7"/>
  <c r="H111" i="42"/>
  <c r="G111" i="42"/>
  <c r="F111" i="42"/>
  <c r="E111" i="42"/>
  <c r="H110" i="42"/>
  <c r="G110" i="42"/>
  <c r="F110" i="42"/>
  <c r="E110" i="42"/>
  <c r="D170" i="42"/>
  <c r="D169" i="42"/>
  <c r="F111" i="38" l="1"/>
  <c r="F56" i="38" s="1"/>
  <c r="E111" i="38"/>
  <c r="E56" i="38" s="1"/>
  <c r="AI13" i="12" l="1"/>
  <c r="AI14" i="12"/>
  <c r="AI15" i="12"/>
  <c r="AI16" i="12"/>
  <c r="AI17" i="12"/>
  <c r="AI18" i="12"/>
  <c r="AI19" i="12"/>
  <c r="AI20" i="12"/>
  <c r="AI21" i="12"/>
  <c r="AI22" i="12"/>
  <c r="AI12" i="12"/>
  <c r="AH12" i="12"/>
  <c r="AI11" i="12"/>
  <c r="AH11" i="12"/>
  <c r="AH13" i="12"/>
  <c r="AH14" i="12"/>
  <c r="AH15" i="12"/>
  <c r="AH16" i="12"/>
  <c r="AH17" i="12"/>
  <c r="AH18" i="12"/>
  <c r="AH19" i="12"/>
  <c r="AH20" i="12"/>
  <c r="AH21" i="12"/>
  <c r="AH22" i="12"/>
  <c r="AK11" i="12"/>
  <c r="AJ11" i="12"/>
  <c r="C95" i="37" l="1"/>
  <c r="D13" i="37"/>
  <c r="F225" i="44" l="1"/>
  <c r="E225" i="44"/>
  <c r="D288" i="44"/>
  <c r="C288" i="44"/>
  <c r="P3" i="7" a="1"/>
  <c r="P3" i="7" s="1"/>
  <c r="Q3" i="7"/>
  <c r="F320" i="44" l="1"/>
  <c r="F319" i="44" l="1"/>
  <c r="F272" i="44"/>
  <c r="E272" i="44"/>
  <c r="F258" i="44"/>
  <c r="E258" i="44"/>
  <c r="F242" i="44"/>
  <c r="E242" i="44"/>
  <c r="F119" i="44"/>
  <c r="E119" i="44"/>
  <c r="F226" i="44"/>
  <c r="E226" i="44"/>
  <c r="F210" i="44"/>
  <c r="E210" i="44"/>
  <c r="F194" i="44"/>
  <c r="E194" i="44"/>
  <c r="F117" i="44" l="1"/>
  <c r="E117" i="44"/>
  <c r="F99" i="44"/>
  <c r="E99" i="44"/>
  <c r="F78" i="44"/>
  <c r="E78" i="44"/>
  <c r="F45" i="44"/>
  <c r="E45" i="44"/>
  <c r="L5" i="55"/>
  <c r="L4" i="55"/>
  <c r="L7" i="55"/>
  <c r="L6" i="55"/>
  <c r="L9" i="55"/>
  <c r="L8" i="55"/>
  <c r="L11" i="55"/>
  <c r="L10" i="55"/>
  <c r="L13" i="55"/>
  <c r="L12" i="55"/>
  <c r="E13" i="49" l="1"/>
  <c r="E14" i="49"/>
  <c r="E15" i="49"/>
  <c r="E12" i="49"/>
  <c r="E10" i="49"/>
  <c r="E11" i="49"/>
  <c r="E8" i="49"/>
  <c r="E9" i="49"/>
  <c r="E7" i="49"/>
  <c r="E6" i="49"/>
  <c r="G8" i="49" s="1"/>
  <c r="D325" i="42"/>
  <c r="C325" i="42"/>
  <c r="D326" i="42"/>
  <c r="C326" i="42"/>
  <c r="G190" i="42"/>
  <c r="H190" i="42"/>
  <c r="G310" i="42"/>
  <c r="H310" i="42"/>
  <c r="F310" i="42"/>
  <c r="E310" i="42"/>
  <c r="D312" i="42"/>
  <c r="C312" i="42"/>
  <c r="D298" i="42"/>
  <c r="C298" i="42"/>
  <c r="D279" i="42"/>
  <c r="C279" i="42"/>
  <c r="D265" i="42"/>
  <c r="C265" i="42"/>
  <c r="D223" i="42"/>
  <c r="C223" i="42"/>
  <c r="D222" i="42"/>
  <c r="C222" i="42"/>
  <c r="D209" i="42"/>
  <c r="C209" i="42"/>
  <c r="D179" i="42" l="1"/>
  <c r="C179" i="42"/>
  <c r="F172" i="42"/>
  <c r="G172" i="42" s="1"/>
  <c r="H172" i="42" s="1"/>
  <c r="E172" i="42"/>
  <c r="G171" i="42"/>
  <c r="G74" i="44" s="1"/>
  <c r="E171" i="42"/>
  <c r="E74" i="44" s="1"/>
  <c r="F171" i="42"/>
  <c r="F74" i="44" s="1"/>
  <c r="G167" i="42"/>
  <c r="H167" i="42"/>
  <c r="F169" i="42"/>
  <c r="F170" i="42"/>
  <c r="E170" i="42"/>
  <c r="E73" i="44" s="1"/>
  <c r="E169" i="42"/>
  <c r="E72" i="44" s="1"/>
  <c r="E85" i="44" s="1"/>
  <c r="D73" i="44"/>
  <c r="D72" i="44"/>
  <c r="C170" i="42"/>
  <c r="C73" i="44" s="1"/>
  <c r="C169" i="42"/>
  <c r="C72" i="44" s="1"/>
  <c r="D141" i="42"/>
  <c r="D71" i="42" s="1"/>
  <c r="C141" i="42"/>
  <c r="C71" i="42" s="1"/>
  <c r="F127" i="42"/>
  <c r="F44" i="47" s="1"/>
  <c r="G127" i="42"/>
  <c r="G44" i="47" s="1"/>
  <c r="H127" i="42"/>
  <c r="H44" i="47" s="1"/>
  <c r="E127" i="42"/>
  <c r="E44" i="47" s="1"/>
  <c r="F112" i="42"/>
  <c r="F40" i="47" s="1"/>
  <c r="G112" i="42"/>
  <c r="G40" i="47" s="1"/>
  <c r="H112" i="42"/>
  <c r="H40" i="47" s="1"/>
  <c r="E112" i="42"/>
  <c r="E40" i="47" s="1"/>
  <c r="D84" i="42"/>
  <c r="D67" i="42" s="1"/>
  <c r="C84" i="42"/>
  <c r="C67" i="42" s="1"/>
  <c r="G169" i="42" l="1"/>
  <c r="F72" i="44"/>
  <c r="F85" i="44" s="1"/>
  <c r="G170" i="42"/>
  <c r="F73" i="44"/>
  <c r="H51" i="42"/>
  <c r="G51" i="42"/>
  <c r="F51" i="42"/>
  <c r="E51" i="42"/>
  <c r="H171" i="42" l="1"/>
  <c r="H170" i="42"/>
  <c r="H73" i="44" s="1"/>
  <c r="G73" i="44"/>
  <c r="H169" i="42"/>
  <c r="G72" i="44"/>
  <c r="H72" i="44" l="1"/>
  <c r="H74" i="44"/>
  <c r="C76" i="37"/>
  <c r="C77" i="37"/>
  <c r="C67" i="37"/>
  <c r="G11" i="49" s="1"/>
  <c r="C62" i="37"/>
  <c r="C61" i="37"/>
  <c r="C60" i="37"/>
  <c r="C59" i="37"/>
  <c r="C58" i="37"/>
  <c r="J50" i="37" l="1"/>
  <c r="C78" i="37"/>
  <c r="J45" i="37"/>
  <c r="H50" i="37"/>
  <c r="H49" i="37"/>
  <c r="J48" i="37"/>
  <c r="J46" i="37"/>
  <c r="G45" i="37"/>
  <c r="G50" i="37"/>
  <c r="G49" i="37"/>
  <c r="G48" i="37"/>
  <c r="I48" i="37"/>
  <c r="H47" i="37"/>
  <c r="J47" i="37"/>
  <c r="H46" i="37"/>
  <c r="I45" i="37"/>
  <c r="I47" i="37"/>
  <c r="I50" i="37"/>
  <c r="I49" i="37"/>
  <c r="G46" i="37"/>
  <c r="I46" i="37"/>
  <c r="J49" i="37"/>
  <c r="H48" i="37"/>
  <c r="G47" i="37"/>
  <c r="H45" i="37"/>
  <c r="E35" i="4" l="1"/>
  <c r="D57" i="42"/>
  <c r="C57" i="42"/>
  <c r="D50" i="42"/>
  <c r="E50" i="42" s="1"/>
  <c r="F50" i="42" s="1"/>
  <c r="G50" i="42" s="1"/>
  <c r="H50" i="42" s="1"/>
  <c r="C50" i="42"/>
  <c r="C75" i="37" l="1"/>
  <c r="C13" i="37"/>
  <c r="C74" i="38"/>
  <c r="D74" i="38"/>
  <c r="D75" i="38"/>
  <c r="C75" i="38"/>
  <c r="D82" i="38"/>
  <c r="C82" i="38"/>
  <c r="D81" i="38"/>
  <c r="C81" i="38"/>
  <c r="G111" i="38"/>
  <c r="AJ6" i="16"/>
  <c r="F18" i="47" s="1"/>
  <c r="AI6" i="16"/>
  <c r="E18" i="47" s="1"/>
  <c r="Q18" i="47" s="1"/>
  <c r="D56" i="38"/>
  <c r="D55" i="38"/>
  <c r="C56" i="38"/>
  <c r="C55" i="38"/>
  <c r="G18" i="47" l="1"/>
  <c r="R18" i="47"/>
  <c r="H147" i="76"/>
  <c r="G147" i="76"/>
  <c r="F147" i="76"/>
  <c r="H18" i="47" l="1"/>
  <c r="T18" i="47" s="1"/>
  <c r="S18" i="47"/>
  <c r="O127" i="76"/>
  <c r="N127" i="76"/>
  <c r="O126" i="76"/>
  <c r="C128" i="76"/>
  <c r="C127" i="76"/>
  <c r="C126" i="76"/>
  <c r="M125" i="76" s="1"/>
  <c r="C125" i="76"/>
  <c r="L125" i="76" s="1"/>
  <c r="C124" i="76"/>
  <c r="L124" i="76" s="1"/>
  <c r="P71" i="56"/>
  <c r="P70" i="56"/>
  <c r="O70" i="56"/>
  <c r="H70" i="44"/>
  <c r="G70" i="44"/>
  <c r="F70" i="44"/>
  <c r="E70" i="44"/>
  <c r="F69" i="44"/>
  <c r="E69" i="44"/>
  <c r="BP7" i="56"/>
  <c r="E52" i="42" s="1"/>
  <c r="BO7" i="56"/>
  <c r="M318" i="44"/>
  <c r="M317" i="44"/>
  <c r="Q1337" i="77"/>
  <c r="I1337" i="77"/>
  <c r="G1337" i="77"/>
  <c r="H144" i="44"/>
  <c r="F144" i="44"/>
  <c r="E76" i="44" l="1"/>
  <c r="E77" i="44" s="1"/>
  <c r="E80" i="44" s="1"/>
  <c r="G69" i="44"/>
  <c r="F76" i="44"/>
  <c r="F77" i="44" s="1"/>
  <c r="F80" i="44" s="1"/>
  <c r="O124" i="76"/>
  <c r="M126" i="76"/>
  <c r="N126" i="76"/>
  <c r="M127" i="76"/>
  <c r="O125" i="76"/>
  <c r="L127" i="76"/>
  <c r="N125" i="76"/>
  <c r="N124" i="76"/>
  <c r="L126" i="76"/>
  <c r="M124" i="76"/>
  <c r="H69" i="44"/>
  <c r="H80" i="44" l="1"/>
  <c r="H76" i="44"/>
  <c r="H77" i="44" s="1"/>
  <c r="G80" i="44"/>
  <c r="G76" i="44"/>
  <c r="G77" i="44" s="1"/>
  <c r="Q125" i="76"/>
  <c r="P125" i="76"/>
  <c r="Q127" i="76"/>
  <c r="E143" i="76" s="1"/>
  <c r="D4" i="18" s="1"/>
  <c r="P127" i="76"/>
  <c r="E139" i="76" s="1"/>
  <c r="P124" i="76"/>
  <c r="Q126" i="76"/>
  <c r="F143" i="76" s="1"/>
  <c r="E4" i="18" s="1"/>
  <c r="P126" i="76"/>
  <c r="F139" i="76" s="1"/>
  <c r="Q124" i="76"/>
  <c r="F222" i="43" l="1"/>
  <c r="G222" i="43"/>
  <c r="H222" i="43"/>
  <c r="F204" i="43"/>
  <c r="G204" i="43"/>
  <c r="H204" i="43"/>
  <c r="H137" i="40" l="1"/>
  <c r="G137" i="40"/>
  <c r="F120" i="41"/>
  <c r="E120" i="41"/>
  <c r="C122" i="41"/>
  <c r="D122" i="41"/>
  <c r="C107" i="41"/>
  <c r="D107" i="41"/>
  <c r="C93" i="41"/>
  <c r="D93" i="41"/>
  <c r="C79" i="41"/>
  <c r="D79" i="41"/>
  <c r="C139" i="40"/>
  <c r="D139" i="40"/>
  <c r="C92" i="40"/>
  <c r="D92" i="40"/>
  <c r="C81" i="40"/>
  <c r="D81" i="40"/>
  <c r="C73" i="40"/>
  <c r="D73" i="40"/>
  <c r="C50" i="40"/>
  <c r="D50" i="40"/>
  <c r="F4" i="95" l="1"/>
  <c r="G4" i="95"/>
  <c r="F167" i="42" l="1"/>
  <c r="E167" i="42"/>
  <c r="F140" i="42"/>
  <c r="G140" i="42"/>
  <c r="H140" i="42"/>
  <c r="E140" i="42"/>
  <c r="F128" i="42"/>
  <c r="G128" i="42"/>
  <c r="H128" i="42"/>
  <c r="E128" i="42"/>
  <c r="F126" i="42"/>
  <c r="F129" i="42" s="1"/>
  <c r="G126" i="42"/>
  <c r="G129" i="42" s="1"/>
  <c r="H126" i="42"/>
  <c r="E126" i="42"/>
  <c r="I8" i="15"/>
  <c r="H8" i="15" s="1"/>
  <c r="B6" i="16" s="1"/>
  <c r="H258" i="44" l="1"/>
  <c r="H257" i="44"/>
  <c r="E129" i="42"/>
  <c r="H129" i="42"/>
  <c r="J8" i="15"/>
  <c r="G258" i="44" l="1"/>
  <c r="G257" i="44"/>
  <c r="G85" i="58"/>
  <c r="F85" i="58"/>
  <c r="E85" i="58"/>
  <c r="G84" i="58"/>
  <c r="F84" i="58"/>
  <c r="E84" i="58"/>
  <c r="G83" i="58"/>
  <c r="F83" i="58"/>
  <c r="E83" i="58"/>
  <c r="G82" i="58"/>
  <c r="F82" i="58"/>
  <c r="E82" i="58"/>
  <c r="G81" i="58"/>
  <c r="F81" i="58"/>
  <c r="E81" i="58"/>
  <c r="G80" i="58"/>
  <c r="F80" i="58"/>
  <c r="E80" i="58"/>
  <c r="G79" i="58"/>
  <c r="F79" i="58"/>
  <c r="E79" i="58"/>
  <c r="G78" i="58"/>
  <c r="F78" i="58"/>
  <c r="E78" i="58"/>
  <c r="E73" i="58"/>
  <c r="E72" i="58"/>
  <c r="E71" i="58"/>
  <c r="E70" i="58"/>
  <c r="E69" i="58"/>
  <c r="E68" i="58"/>
  <c r="E67" i="58"/>
  <c r="E66" i="58"/>
  <c r="F61" i="58"/>
  <c r="E61" i="58"/>
  <c r="F60" i="58"/>
  <c r="E60" i="58"/>
  <c r="F59" i="58"/>
  <c r="E59" i="58"/>
  <c r="G58" i="58"/>
  <c r="F58" i="58"/>
  <c r="E58" i="58"/>
  <c r="F57" i="58"/>
  <c r="E57" i="58"/>
  <c r="F56" i="58"/>
  <c r="E56" i="58"/>
  <c r="F55" i="58"/>
  <c r="E55" i="58"/>
  <c r="G54" i="58"/>
  <c r="F54" i="58"/>
  <c r="E54" i="58"/>
  <c r="E49" i="58"/>
  <c r="E48" i="58"/>
  <c r="E47" i="58"/>
  <c r="E46" i="58"/>
  <c r="E45" i="58"/>
  <c r="E44" i="58"/>
  <c r="E43" i="58"/>
  <c r="I8" i="95"/>
  <c r="H8" i="95" l="1"/>
  <c r="K8" i="95" s="1"/>
  <c r="J8" i="95" l="1"/>
  <c r="L8" i="95" s="1"/>
  <c r="E3" i="3"/>
  <c r="F3" i="3"/>
  <c r="G3" i="3"/>
  <c r="F150" i="44" l="1"/>
  <c r="F149" i="44"/>
  <c r="E150" i="44"/>
  <c r="E149" i="44"/>
  <c r="I73" i="4"/>
  <c r="K80" i="4"/>
  <c r="E80" i="4"/>
  <c r="M73" i="4" l="1"/>
  <c r="L73" i="4"/>
  <c r="J73" i="4"/>
  <c r="G73" i="4"/>
  <c r="F73" i="4"/>
  <c r="D73" i="4"/>
  <c r="C73" i="4"/>
  <c r="AW2" i="69"/>
  <c r="AW2" i="52"/>
  <c r="AY2" i="52"/>
  <c r="AX2" i="52"/>
  <c r="AW2" i="51"/>
  <c r="F98" i="44" l="1"/>
  <c r="E98" i="44"/>
  <c r="E191" i="42"/>
  <c r="AK22" i="12" l="1"/>
  <c r="AJ22" i="12"/>
  <c r="AK21" i="12"/>
  <c r="AJ21" i="12"/>
  <c r="AK20" i="12"/>
  <c r="AJ20" i="12"/>
  <c r="AK19" i="12"/>
  <c r="AJ19" i="12"/>
  <c r="AK18" i="12"/>
  <c r="AJ18" i="12"/>
  <c r="AK17" i="12"/>
  <c r="AJ17" i="12"/>
  <c r="AK16" i="12"/>
  <c r="AJ16" i="12"/>
  <c r="AK15" i="12"/>
  <c r="AJ15" i="12"/>
  <c r="AK14" i="12"/>
  <c r="AJ14" i="12"/>
  <c r="AK13" i="12"/>
  <c r="AJ13" i="12"/>
  <c r="AK12" i="12"/>
  <c r="AJ12" i="12"/>
  <c r="E92" i="49" l="1"/>
  <c r="E90" i="49"/>
  <c r="E147" i="76" l="1"/>
  <c r="B158" i="76"/>
  <c r="J158" i="76" s="1"/>
  <c r="B159" i="76"/>
  <c r="J159" i="76" s="1"/>
  <c r="E222" i="43" l="1"/>
  <c r="E62" i="47" s="1"/>
  <c r="F62" i="47"/>
  <c r="G62" i="47"/>
  <c r="H62" i="47"/>
  <c r="I159" i="76" l="1"/>
  <c r="I161" i="76" s="1"/>
  <c r="H159" i="76"/>
  <c r="H161" i="76" s="1"/>
  <c r="G159" i="76"/>
  <c r="G161" i="76" s="1"/>
  <c r="F159" i="76"/>
  <c r="F161" i="76" s="1"/>
  <c r="E159" i="76"/>
  <c r="E161" i="76" s="1"/>
  <c r="D159" i="76"/>
  <c r="D161" i="76" s="1"/>
  <c r="I158" i="76"/>
  <c r="I160" i="76" s="1"/>
  <c r="H158" i="76"/>
  <c r="H160" i="76" s="1"/>
  <c r="G158" i="76"/>
  <c r="G160" i="76" s="1"/>
  <c r="F158" i="76"/>
  <c r="F160" i="76" s="1"/>
  <c r="E158" i="76"/>
  <c r="E160" i="76" s="1"/>
  <c r="D158" i="76"/>
  <c r="D160" i="76" s="1"/>
  <c r="H136" i="76"/>
  <c r="G136" i="76"/>
  <c r="D136" i="76"/>
  <c r="C136" i="76"/>
  <c r="F136" i="76"/>
  <c r="E136" i="76"/>
  <c r="B133" i="76"/>
  <c r="E39" i="47"/>
  <c r="K3" i="76" l="1" a="1"/>
  <c r="K3" i="76" s="1"/>
  <c r="E38" i="47"/>
  <c r="H143" i="76"/>
  <c r="G4" i="18" s="1"/>
  <c r="G143" i="76"/>
  <c r="F4" i="18" s="1"/>
  <c r="H139" i="76" l="1"/>
  <c r="G139" i="76"/>
  <c r="F166" i="42"/>
  <c r="G166" i="42" s="1"/>
  <c r="H166" i="42" s="1"/>
  <c r="E166" i="42"/>
  <c r="E168" i="42" s="1"/>
  <c r="E173" i="42" l="1"/>
  <c r="F168" i="42"/>
  <c r="F173" i="42" s="1"/>
  <c r="AA8" i="19"/>
  <c r="H168" i="42" l="1"/>
  <c r="H173" i="42" s="1"/>
  <c r="G168" i="42"/>
  <c r="G173" i="42" s="1"/>
  <c r="H3" i="101"/>
  <c r="D17" i="101"/>
  <c r="D14" i="101"/>
  <c r="AX5" i="74" l="1"/>
  <c r="AB22" i="12" l="1"/>
  <c r="AB21" i="12"/>
  <c r="AB11" i="12"/>
  <c r="AP22" i="12"/>
  <c r="AP21" i="12"/>
  <c r="AP11" i="12"/>
  <c r="AP12" i="12" l="1"/>
  <c r="AP13" i="12" s="1"/>
  <c r="AP14" i="12" s="1"/>
  <c r="AP15" i="12" s="1"/>
  <c r="AP16" i="12" s="1"/>
  <c r="AP17" i="12" s="1"/>
  <c r="AP18" i="12" s="1"/>
  <c r="AP19" i="12" s="1"/>
  <c r="AP20" i="12" s="1"/>
  <c r="AU3" i="12" l="1" a="1"/>
  <c r="AU3" i="12" s="1"/>
  <c r="I28" i="76"/>
  <c r="H28" i="76"/>
  <c r="BW5" i="73"/>
  <c r="H29" i="76" l="1"/>
  <c r="L5" i="73"/>
  <c r="Q1373" i="77"/>
  <c r="Q1372" i="77"/>
  <c r="Q1371" i="77"/>
  <c r="Q1370" i="77"/>
  <c r="Q1369" i="77"/>
  <c r="Q1368" i="77"/>
  <c r="Q1367" i="77"/>
  <c r="Q1366" i="77"/>
  <c r="Q1365" i="77"/>
  <c r="Q1364" i="77"/>
  <c r="Q1363" i="77"/>
  <c r="Q1362" i="77"/>
  <c r="Q1361" i="77"/>
  <c r="Q1360" i="77"/>
  <c r="Q1359" i="77"/>
  <c r="Q1358" i="77"/>
  <c r="Q1357" i="77"/>
  <c r="Q1356" i="77"/>
  <c r="Q1355" i="77"/>
  <c r="Q1354" i="77"/>
  <c r="Q1353" i="77"/>
  <c r="Q1352" i="77"/>
  <c r="Q1351" i="77"/>
  <c r="Q1350" i="77"/>
  <c r="Q1349" i="77"/>
  <c r="Q1348" i="77"/>
  <c r="Q1347" i="77"/>
  <c r="Q1346" i="77"/>
  <c r="Q1345" i="77"/>
  <c r="Q1344" i="77"/>
  <c r="Q1343" i="77"/>
  <c r="Q1342" i="77"/>
  <c r="Q1341" i="77"/>
  <c r="Q1340" i="77"/>
  <c r="Q1339" i="77"/>
  <c r="Q1338" i="77"/>
  <c r="Q1336" i="77"/>
  <c r="Q1335" i="77"/>
  <c r="Q1334" i="77"/>
  <c r="Q1333" i="77"/>
  <c r="Q1332" i="77"/>
  <c r="Q1331" i="77"/>
  <c r="Q1330" i="77"/>
  <c r="Q1329" i="77"/>
  <c r="Q1328" i="77"/>
  <c r="Q1327" i="77"/>
  <c r="Q1326" i="77"/>
  <c r="Q1325" i="77"/>
  <c r="Q1324" i="77"/>
  <c r="Q1323" i="77"/>
  <c r="Q1322" i="77"/>
  <c r="Q1321" i="77"/>
  <c r="Q1320" i="77"/>
  <c r="Q1319" i="77"/>
  <c r="Q1318" i="77"/>
  <c r="Q1317" i="77"/>
  <c r="Q1316" i="77"/>
  <c r="Q1315" i="77"/>
  <c r="Q1314" i="77"/>
  <c r="Q1313" i="77"/>
  <c r="Q1312" i="77"/>
  <c r="Q1311" i="77"/>
  <c r="Q1310" i="77"/>
  <c r="Q1309" i="77"/>
  <c r="Q1308" i="77"/>
  <c r="Q1307" i="77"/>
  <c r="Q1306" i="77"/>
  <c r="Q1305" i="77"/>
  <c r="Q1304" i="77"/>
  <c r="Q1303" i="77"/>
  <c r="Q1302" i="77"/>
  <c r="Q1301" i="77"/>
  <c r="Q1300" i="77"/>
  <c r="Q1299" i="77"/>
  <c r="Q1298" i="77"/>
  <c r="Q1297" i="77"/>
  <c r="Q1296" i="77"/>
  <c r="Q1295" i="77"/>
  <c r="Q1294" i="77"/>
  <c r="Q1293" i="77"/>
  <c r="Q1292" i="77"/>
  <c r="Q1291" i="77"/>
  <c r="Q1290" i="77"/>
  <c r="Q1289" i="77"/>
  <c r="Q1288" i="77"/>
  <c r="Q1287" i="77"/>
  <c r="Q1286" i="77"/>
  <c r="Q1285" i="77"/>
  <c r="Q1284" i="77"/>
  <c r="Q1283" i="77"/>
  <c r="Q1282" i="77"/>
  <c r="Q1281" i="77"/>
  <c r="Q1280" i="77"/>
  <c r="Q1279" i="77"/>
  <c r="Q1278" i="77"/>
  <c r="Q1277" i="77"/>
  <c r="Q1276" i="77"/>
  <c r="Q1275" i="77"/>
  <c r="Q1274" i="77"/>
  <c r="Q1273" i="77"/>
  <c r="Q1272" i="77"/>
  <c r="Q1271" i="77"/>
  <c r="Q1270" i="77"/>
  <c r="Q1269" i="77"/>
  <c r="Q1268" i="77"/>
  <c r="Q1267" i="77"/>
  <c r="Q1266" i="77"/>
  <c r="Q1265" i="77"/>
  <c r="Q1264" i="77"/>
  <c r="Q1263" i="77"/>
  <c r="Q1262" i="77"/>
  <c r="Q1261" i="77"/>
  <c r="Q1260" i="77"/>
  <c r="Q1259" i="77"/>
  <c r="Q1258" i="77"/>
  <c r="Q1257" i="77"/>
  <c r="Q1256" i="77"/>
  <c r="Q1255" i="77"/>
  <c r="Q1254" i="77"/>
  <c r="Q1253" i="77"/>
  <c r="Q1252" i="77"/>
  <c r="Q1251" i="77"/>
  <c r="Q1250" i="77"/>
  <c r="Q1249" i="77"/>
  <c r="Q1248" i="77"/>
  <c r="Q1247" i="77"/>
  <c r="Q1246" i="77"/>
  <c r="Q1245" i="77"/>
  <c r="Q1244" i="77"/>
  <c r="Q1243" i="77"/>
  <c r="Q1242" i="77"/>
  <c r="Q1241" i="77"/>
  <c r="Q1240" i="77"/>
  <c r="Q1239" i="77"/>
  <c r="Q1238" i="77"/>
  <c r="Q1237" i="77"/>
  <c r="Q1236" i="77"/>
  <c r="Q1235" i="77"/>
  <c r="Q1234" i="77"/>
  <c r="Q1233" i="77"/>
  <c r="Q1232" i="77"/>
  <c r="Q1231" i="77"/>
  <c r="Q1230" i="77"/>
  <c r="Q1229" i="77"/>
  <c r="Q1228" i="77"/>
  <c r="Q1227" i="77"/>
  <c r="Q1226" i="77"/>
  <c r="Q1225" i="77"/>
  <c r="Q1224" i="77"/>
  <c r="Q1223" i="77"/>
  <c r="Q1222" i="77"/>
  <c r="Q1221" i="77"/>
  <c r="Q1220" i="77"/>
  <c r="Q1219" i="77"/>
  <c r="Q1218" i="77"/>
  <c r="Q1217" i="77"/>
  <c r="Q1216" i="77"/>
  <c r="Q1215" i="77"/>
  <c r="Q1214" i="77"/>
  <c r="Q1213" i="77"/>
  <c r="Q1212" i="77"/>
  <c r="Q1211" i="77"/>
  <c r="Q1210" i="77"/>
  <c r="Q1209" i="77"/>
  <c r="Q1208" i="77"/>
  <c r="Q1207" i="77"/>
  <c r="Q1206" i="77"/>
  <c r="Q1205" i="77"/>
  <c r="Q1204" i="77"/>
  <c r="Q1203" i="77"/>
  <c r="Q1202" i="77"/>
  <c r="Q1201" i="77"/>
  <c r="Q1200" i="77"/>
  <c r="Q1199" i="77"/>
  <c r="Q1198" i="77"/>
  <c r="Q1197" i="77"/>
  <c r="Q1196" i="77"/>
  <c r="Q1195" i="77"/>
  <c r="Q1194" i="77"/>
  <c r="Q1193" i="77"/>
  <c r="Q1192" i="77"/>
  <c r="Q1191" i="77"/>
  <c r="Q1190" i="77"/>
  <c r="Q1189" i="77"/>
  <c r="Q1188" i="77"/>
  <c r="Q1187" i="77"/>
  <c r="Q1186" i="77"/>
  <c r="Q1185" i="77"/>
  <c r="Q1184" i="77"/>
  <c r="Q1183" i="77"/>
  <c r="Q1182" i="77"/>
  <c r="Q1181" i="77"/>
  <c r="Q1180" i="77"/>
  <c r="Q1179" i="77"/>
  <c r="Q1178" i="77"/>
  <c r="Q1177" i="77"/>
  <c r="Q1176" i="77"/>
  <c r="Q1175" i="77"/>
  <c r="Q1174" i="77"/>
  <c r="Q1173" i="77"/>
  <c r="Q1172" i="77"/>
  <c r="Q1171" i="77"/>
  <c r="Q1170" i="77"/>
  <c r="Q1169" i="77"/>
  <c r="Q1168" i="77"/>
  <c r="Q1167" i="77"/>
  <c r="Q1166" i="77"/>
  <c r="Q1165" i="77"/>
  <c r="Q1164" i="77"/>
  <c r="Q1163" i="77"/>
  <c r="Q1162" i="77"/>
  <c r="Q1161" i="77"/>
  <c r="Q1160" i="77"/>
  <c r="Q1159" i="77"/>
  <c r="Q1158" i="77"/>
  <c r="Q1157" i="77"/>
  <c r="Q1156" i="77"/>
  <c r="Q1155" i="77"/>
  <c r="Q1154" i="77"/>
  <c r="Q1153" i="77"/>
  <c r="Q1152" i="77"/>
  <c r="Q1151" i="77"/>
  <c r="Q1150" i="77"/>
  <c r="Q1149" i="77"/>
  <c r="Q1148" i="77"/>
  <c r="Q1147" i="77"/>
  <c r="Q1146" i="77"/>
  <c r="Q1145" i="77"/>
  <c r="Q1144" i="77"/>
  <c r="Q1143" i="77"/>
  <c r="Q1142" i="77"/>
  <c r="Q1141" i="77"/>
  <c r="Q1140" i="77"/>
  <c r="Q1139" i="77"/>
  <c r="Q1138" i="77"/>
  <c r="Q1137" i="77"/>
  <c r="Q1136" i="77"/>
  <c r="Q1135" i="77"/>
  <c r="Q1134" i="77"/>
  <c r="Q1133" i="77"/>
  <c r="Q1132" i="77"/>
  <c r="Q1131" i="77"/>
  <c r="Q1130" i="77"/>
  <c r="Q1129" i="77"/>
  <c r="Q1128" i="77"/>
  <c r="Q1127" i="77"/>
  <c r="Q1126" i="77"/>
  <c r="Q1125" i="77"/>
  <c r="Q1124" i="77"/>
  <c r="Q1123" i="77"/>
  <c r="Q1122" i="77"/>
  <c r="Q1121" i="77"/>
  <c r="Q1120" i="77"/>
  <c r="Q1119" i="77"/>
  <c r="Q1118" i="77"/>
  <c r="Q1117" i="77"/>
  <c r="Q1116" i="77"/>
  <c r="Q1115" i="77"/>
  <c r="Q1114" i="77"/>
  <c r="Q1113" i="77"/>
  <c r="Q1112" i="77"/>
  <c r="Q1111" i="77"/>
  <c r="Q1110" i="77"/>
  <c r="Q1109" i="77"/>
  <c r="Q1108" i="77"/>
  <c r="Q1107" i="77"/>
  <c r="Q1106" i="77"/>
  <c r="Q1105" i="77"/>
  <c r="Q1104" i="77"/>
  <c r="Q1103" i="77"/>
  <c r="Q1102" i="77"/>
  <c r="Q1101" i="77"/>
  <c r="Q1100" i="77"/>
  <c r="Q1099" i="77"/>
  <c r="Q1098" i="77"/>
  <c r="Q1097" i="77"/>
  <c r="Q1096" i="77"/>
  <c r="Q1095" i="77"/>
  <c r="Q1094" i="77"/>
  <c r="Q1093" i="77"/>
  <c r="Q1092" i="77"/>
  <c r="Q1091" i="77"/>
  <c r="Q1090" i="77"/>
  <c r="Q1089" i="77"/>
  <c r="Q1088" i="77"/>
  <c r="Q1087" i="77"/>
  <c r="Q1086" i="77"/>
  <c r="Q1085" i="77"/>
  <c r="Q1084" i="77"/>
  <c r="Q1083" i="77"/>
  <c r="Q1082" i="77"/>
  <c r="Q1081" i="77"/>
  <c r="Q1080" i="77"/>
  <c r="Q1079" i="77"/>
  <c r="Q1078" i="77"/>
  <c r="Q1077" i="77"/>
  <c r="Q1076" i="77"/>
  <c r="Q1075" i="77"/>
  <c r="Q1074" i="77"/>
  <c r="Q1073" i="77"/>
  <c r="Q1072" i="77"/>
  <c r="Q1071" i="77"/>
  <c r="Q1070" i="77"/>
  <c r="Q1069" i="77"/>
  <c r="Q1068" i="77"/>
  <c r="Q1067" i="77"/>
  <c r="Q1066" i="77"/>
  <c r="Q1065" i="77"/>
  <c r="Q1064" i="77"/>
  <c r="Q1063" i="77"/>
  <c r="Q1062" i="77"/>
  <c r="Q1061" i="77"/>
  <c r="Q1060" i="77"/>
  <c r="Q1059" i="77"/>
  <c r="Q1058" i="77"/>
  <c r="Q1057" i="77"/>
  <c r="Q1056" i="77"/>
  <c r="Q1055" i="77"/>
  <c r="Q1054" i="77"/>
  <c r="Q1053" i="77"/>
  <c r="Q1052" i="77"/>
  <c r="Q1051" i="77"/>
  <c r="Q1050" i="77"/>
  <c r="Q1049" i="77"/>
  <c r="Q1048" i="77"/>
  <c r="Q1047" i="77"/>
  <c r="Q1046" i="77"/>
  <c r="Q1045" i="77"/>
  <c r="Q1044" i="77"/>
  <c r="Q1043" i="77"/>
  <c r="Q1042" i="77"/>
  <c r="Q1041" i="77"/>
  <c r="Q1040" i="77"/>
  <c r="Q1039" i="77"/>
  <c r="Q1038" i="77"/>
  <c r="Q1037" i="77"/>
  <c r="Q1036" i="77"/>
  <c r="Q1035" i="77"/>
  <c r="Q1034" i="77"/>
  <c r="Q1033" i="77"/>
  <c r="Q1032" i="77"/>
  <c r="Q1031" i="77"/>
  <c r="Q1030" i="77"/>
  <c r="Q1029" i="77"/>
  <c r="Q1028" i="77"/>
  <c r="Q1027" i="77"/>
  <c r="Q1026" i="77"/>
  <c r="Q1025" i="77"/>
  <c r="Q1024" i="77"/>
  <c r="Q1023" i="77"/>
  <c r="Q1022" i="77"/>
  <c r="Q1021" i="77"/>
  <c r="Q1020" i="77"/>
  <c r="Q1019" i="77"/>
  <c r="Q1018" i="77"/>
  <c r="Q1017" i="77"/>
  <c r="Q1016" i="77"/>
  <c r="Q1015" i="77"/>
  <c r="Q1014" i="77"/>
  <c r="Q1013" i="77"/>
  <c r="Q1012" i="77"/>
  <c r="Q1011" i="77"/>
  <c r="Q1010" i="77"/>
  <c r="Q1009" i="77"/>
  <c r="Q1008" i="77"/>
  <c r="Q1007" i="77"/>
  <c r="Q1006" i="77"/>
  <c r="Q1005" i="77"/>
  <c r="Q1004" i="77"/>
  <c r="Q1003" i="77"/>
  <c r="Q1002" i="77"/>
  <c r="Q1001" i="77"/>
  <c r="Q1000" i="77"/>
  <c r="Q999" i="77"/>
  <c r="Q998" i="77"/>
  <c r="Q997" i="77"/>
  <c r="Q996" i="77"/>
  <c r="Q995" i="77"/>
  <c r="Q994" i="77"/>
  <c r="Q993" i="77"/>
  <c r="Q992" i="77"/>
  <c r="Q991" i="77"/>
  <c r="Q990" i="77"/>
  <c r="Q989" i="77"/>
  <c r="Q988" i="77"/>
  <c r="Q987" i="77"/>
  <c r="Q986" i="77"/>
  <c r="Q985" i="77"/>
  <c r="Q984" i="77"/>
  <c r="Q983" i="77"/>
  <c r="Q982" i="77"/>
  <c r="Q981" i="77"/>
  <c r="Q980" i="77"/>
  <c r="Q979" i="77"/>
  <c r="Q978" i="77"/>
  <c r="Q977" i="77"/>
  <c r="Q976" i="77"/>
  <c r="Q975" i="77"/>
  <c r="Q974" i="77"/>
  <c r="Q973" i="77"/>
  <c r="Q972" i="77"/>
  <c r="Q971" i="77"/>
  <c r="Q970" i="77"/>
  <c r="Q969" i="77"/>
  <c r="Q968" i="77"/>
  <c r="Q967" i="77"/>
  <c r="Q966" i="77"/>
  <c r="Q965" i="77"/>
  <c r="Q964" i="77"/>
  <c r="Q963" i="77"/>
  <c r="Q962" i="77"/>
  <c r="Q961" i="77"/>
  <c r="Q960" i="77"/>
  <c r="Q959" i="77"/>
  <c r="Q958" i="77"/>
  <c r="Q957" i="77"/>
  <c r="Q956" i="77"/>
  <c r="Q955" i="77"/>
  <c r="Q954" i="77"/>
  <c r="Q953" i="77"/>
  <c r="Q952" i="77"/>
  <c r="Q951" i="77"/>
  <c r="Q950" i="77"/>
  <c r="Q949" i="77"/>
  <c r="Q948" i="77"/>
  <c r="Q947" i="77"/>
  <c r="Q946" i="77"/>
  <c r="Q945" i="77"/>
  <c r="Q944" i="77"/>
  <c r="Q943" i="77"/>
  <c r="Q942" i="77"/>
  <c r="Q941" i="77"/>
  <c r="Q940" i="77"/>
  <c r="Q939" i="77"/>
  <c r="Q938" i="77"/>
  <c r="Q937" i="77"/>
  <c r="Q936" i="77"/>
  <c r="Q935" i="77"/>
  <c r="Q934" i="77"/>
  <c r="Q933" i="77"/>
  <c r="Q932" i="77"/>
  <c r="Q931" i="77"/>
  <c r="Q930" i="77"/>
  <c r="Q929" i="77"/>
  <c r="Q928" i="77"/>
  <c r="Q927" i="77"/>
  <c r="Q926" i="77"/>
  <c r="Q925" i="77"/>
  <c r="Q924" i="77"/>
  <c r="Q923" i="77"/>
  <c r="Q922" i="77"/>
  <c r="Q921" i="77"/>
  <c r="Q920" i="77"/>
  <c r="Q919" i="77"/>
  <c r="Q918" i="77"/>
  <c r="Q917" i="77"/>
  <c r="Q916" i="77"/>
  <c r="Q915" i="77"/>
  <c r="Q914" i="77"/>
  <c r="Q913" i="77"/>
  <c r="Q912" i="77"/>
  <c r="Q911" i="77"/>
  <c r="Q910" i="77"/>
  <c r="Q909" i="77"/>
  <c r="Q908" i="77"/>
  <c r="Q907" i="77"/>
  <c r="Q906" i="77"/>
  <c r="Q905" i="77"/>
  <c r="Q904" i="77"/>
  <c r="Q903" i="77"/>
  <c r="Q902" i="77"/>
  <c r="Q901" i="77"/>
  <c r="Q900" i="77"/>
  <c r="Q899" i="77"/>
  <c r="Q898" i="77"/>
  <c r="Q897" i="77"/>
  <c r="Q896" i="77"/>
  <c r="Q895" i="77"/>
  <c r="Q894" i="77"/>
  <c r="Q893" i="77"/>
  <c r="Q892" i="77"/>
  <c r="Q891" i="77"/>
  <c r="Q890" i="77"/>
  <c r="Q889" i="77"/>
  <c r="Q888" i="77"/>
  <c r="Q887" i="77"/>
  <c r="Q886" i="77"/>
  <c r="Q885" i="77"/>
  <c r="Q884" i="77"/>
  <c r="Q883" i="77"/>
  <c r="Q882" i="77"/>
  <c r="Q881" i="77"/>
  <c r="Q880" i="77"/>
  <c r="Q879" i="77"/>
  <c r="Q878" i="77"/>
  <c r="Q877" i="77"/>
  <c r="Q876" i="77"/>
  <c r="Q875" i="77"/>
  <c r="Q874" i="77"/>
  <c r="Q873" i="77"/>
  <c r="Q872" i="77"/>
  <c r="Q871" i="77"/>
  <c r="Q870" i="77"/>
  <c r="Q869" i="77"/>
  <c r="Q868" i="77"/>
  <c r="Q867" i="77"/>
  <c r="Q866" i="77"/>
  <c r="Q865" i="77"/>
  <c r="Q864" i="77"/>
  <c r="Q863" i="77"/>
  <c r="Q862" i="77"/>
  <c r="Q861" i="77"/>
  <c r="Q860" i="77"/>
  <c r="Q859" i="77"/>
  <c r="Q858" i="77"/>
  <c r="Q857" i="77"/>
  <c r="Q856" i="77"/>
  <c r="Q855" i="77"/>
  <c r="Q854" i="77"/>
  <c r="Q853" i="77"/>
  <c r="Q852" i="77"/>
  <c r="Q851" i="77"/>
  <c r="Q850" i="77"/>
  <c r="Q849" i="77"/>
  <c r="Q848" i="77"/>
  <c r="Q847" i="77"/>
  <c r="Q846" i="77"/>
  <c r="Q845" i="77"/>
  <c r="Q844" i="77"/>
  <c r="Q843" i="77"/>
  <c r="Q842" i="77"/>
  <c r="Q841" i="77"/>
  <c r="Q840" i="77"/>
  <c r="Q839" i="77"/>
  <c r="Q838" i="77"/>
  <c r="Q837" i="77"/>
  <c r="Q836" i="77"/>
  <c r="Q835" i="77"/>
  <c r="Q834" i="77"/>
  <c r="Q833" i="77"/>
  <c r="Q832" i="77"/>
  <c r="Q831" i="77"/>
  <c r="Q830" i="77"/>
  <c r="Q829" i="77"/>
  <c r="Q828" i="77"/>
  <c r="Q827" i="77"/>
  <c r="Q826" i="77"/>
  <c r="Q825" i="77"/>
  <c r="Q824" i="77"/>
  <c r="Q823" i="77"/>
  <c r="Q822" i="77"/>
  <c r="Q821" i="77"/>
  <c r="Q820" i="77"/>
  <c r="Q819" i="77"/>
  <c r="Q818" i="77"/>
  <c r="Q817" i="77"/>
  <c r="Q816" i="77"/>
  <c r="Q815" i="77"/>
  <c r="Q814" i="77"/>
  <c r="Q813" i="77"/>
  <c r="Q812" i="77"/>
  <c r="Q811" i="77"/>
  <c r="Q810" i="77"/>
  <c r="Q809" i="77"/>
  <c r="Q808" i="77"/>
  <c r="Q807" i="77"/>
  <c r="Q806" i="77"/>
  <c r="Q805" i="77"/>
  <c r="Q804" i="77"/>
  <c r="Q803" i="77"/>
  <c r="Q802" i="77"/>
  <c r="Q801" i="77"/>
  <c r="Q800" i="77"/>
  <c r="Q799" i="77"/>
  <c r="Q798" i="77"/>
  <c r="Q797" i="77"/>
  <c r="Q796" i="77"/>
  <c r="Q795" i="77"/>
  <c r="Q794" i="77"/>
  <c r="Q793" i="77"/>
  <c r="Q792" i="77"/>
  <c r="Q791" i="77"/>
  <c r="Q790" i="77"/>
  <c r="Q789" i="77"/>
  <c r="Q788" i="77"/>
  <c r="Q787" i="77"/>
  <c r="Q786" i="77"/>
  <c r="Q785" i="77"/>
  <c r="Q784" i="77"/>
  <c r="Q783" i="77"/>
  <c r="Q782" i="77"/>
  <c r="Q781" i="77"/>
  <c r="Q780" i="77"/>
  <c r="Q779" i="77"/>
  <c r="Q778" i="77"/>
  <c r="Q777" i="77"/>
  <c r="Q776" i="77"/>
  <c r="Q775" i="77"/>
  <c r="Q774" i="77"/>
  <c r="Q773" i="77"/>
  <c r="Q772" i="77"/>
  <c r="Q771" i="77"/>
  <c r="Q770" i="77"/>
  <c r="Q769" i="77"/>
  <c r="Q768" i="77"/>
  <c r="Q767" i="77"/>
  <c r="Q766" i="77"/>
  <c r="Q765" i="77"/>
  <c r="Q764" i="77"/>
  <c r="Q763" i="77"/>
  <c r="Q762" i="77"/>
  <c r="Q761" i="77"/>
  <c r="Q760" i="77"/>
  <c r="Q759" i="77"/>
  <c r="Q758" i="77"/>
  <c r="Q757" i="77"/>
  <c r="Q756" i="77"/>
  <c r="Q755" i="77"/>
  <c r="Q754" i="77"/>
  <c r="Q753" i="77"/>
  <c r="Q752" i="77"/>
  <c r="Q751" i="77"/>
  <c r="Q750" i="77"/>
  <c r="Q749" i="77"/>
  <c r="Q748" i="77"/>
  <c r="Q747" i="77"/>
  <c r="Q746" i="77"/>
  <c r="Q745" i="77"/>
  <c r="Q744" i="77"/>
  <c r="Q743" i="77"/>
  <c r="Q742" i="77"/>
  <c r="Q741" i="77"/>
  <c r="Q740" i="77"/>
  <c r="Q739" i="77"/>
  <c r="Q738" i="77"/>
  <c r="Q737" i="77"/>
  <c r="Q736" i="77"/>
  <c r="Q735" i="77"/>
  <c r="Q734" i="77"/>
  <c r="Q733" i="77"/>
  <c r="Q732" i="77"/>
  <c r="Q731" i="77"/>
  <c r="Q730" i="77"/>
  <c r="Q729" i="77"/>
  <c r="Q728" i="77"/>
  <c r="Q727" i="77"/>
  <c r="Q726" i="77"/>
  <c r="Q725" i="77"/>
  <c r="Q724" i="77"/>
  <c r="Q723" i="77"/>
  <c r="Q722" i="77"/>
  <c r="Q721" i="77"/>
  <c r="Q720" i="77"/>
  <c r="Q719" i="77"/>
  <c r="Q718" i="77"/>
  <c r="Q717" i="77"/>
  <c r="Q716" i="77"/>
  <c r="Q715" i="77"/>
  <c r="Q714" i="77"/>
  <c r="Q713" i="77"/>
  <c r="Q712" i="77"/>
  <c r="Q711" i="77"/>
  <c r="Q710" i="77"/>
  <c r="Q709" i="77"/>
  <c r="Q708" i="77"/>
  <c r="Q707" i="77"/>
  <c r="Q706" i="77"/>
  <c r="Q705" i="77"/>
  <c r="Q704" i="77"/>
  <c r="Q703" i="77"/>
  <c r="Q702" i="77"/>
  <c r="Q701" i="77"/>
  <c r="Q700" i="77"/>
  <c r="Q699" i="77"/>
  <c r="Q698" i="77"/>
  <c r="Q697" i="77"/>
  <c r="Q696" i="77"/>
  <c r="Q695" i="77"/>
  <c r="Q694" i="77"/>
  <c r="Q693" i="77"/>
  <c r="Q692" i="77"/>
  <c r="Q691" i="77"/>
  <c r="Q690" i="77"/>
  <c r="Q689" i="77"/>
  <c r="Q688" i="77"/>
  <c r="Q687" i="77"/>
  <c r="Q686" i="77"/>
  <c r="Q685" i="77"/>
  <c r="Q684" i="77"/>
  <c r="Q683" i="77"/>
  <c r="Q682" i="77"/>
  <c r="Q681" i="77"/>
  <c r="Q680" i="77"/>
  <c r="Q679" i="77"/>
  <c r="Q678" i="77"/>
  <c r="Q677" i="77"/>
  <c r="Q676" i="77"/>
  <c r="Q675" i="77"/>
  <c r="Q674" i="77"/>
  <c r="Q673" i="77"/>
  <c r="Q672" i="77"/>
  <c r="Q671" i="77"/>
  <c r="Q670" i="77"/>
  <c r="Q669" i="77"/>
  <c r="Q668" i="77"/>
  <c r="Q667" i="77"/>
  <c r="Q666" i="77"/>
  <c r="Q665" i="77"/>
  <c r="Q664" i="77"/>
  <c r="Q663" i="77"/>
  <c r="Q662" i="77"/>
  <c r="Q661" i="77"/>
  <c r="Q660" i="77"/>
  <c r="Q659" i="77"/>
  <c r="Q658" i="77"/>
  <c r="Q657" i="77"/>
  <c r="Q656" i="77"/>
  <c r="Q655" i="77"/>
  <c r="Q654" i="77"/>
  <c r="Q653" i="77"/>
  <c r="Q652" i="77"/>
  <c r="Q651" i="77"/>
  <c r="Q650" i="77"/>
  <c r="Q649" i="77"/>
  <c r="Q648" i="77"/>
  <c r="Q647" i="77"/>
  <c r="Q646" i="77"/>
  <c r="Q645" i="77"/>
  <c r="Q644" i="77"/>
  <c r="Q643" i="77"/>
  <c r="Q642" i="77"/>
  <c r="Q641" i="77"/>
  <c r="Q640" i="77"/>
  <c r="Q639" i="77"/>
  <c r="Q638" i="77"/>
  <c r="Q637" i="77"/>
  <c r="Q636" i="77"/>
  <c r="Q635" i="77"/>
  <c r="Q634" i="77"/>
  <c r="Q633" i="77"/>
  <c r="Q632" i="77"/>
  <c r="Q631" i="77"/>
  <c r="Q630" i="77"/>
  <c r="Q629" i="77"/>
  <c r="Q628" i="77"/>
  <c r="Q627" i="77"/>
  <c r="Q626" i="77"/>
  <c r="Q625" i="77"/>
  <c r="Q624" i="77"/>
  <c r="Q623" i="77"/>
  <c r="Q622" i="77"/>
  <c r="Q621" i="77"/>
  <c r="Q620" i="77"/>
  <c r="Q619" i="77"/>
  <c r="Q618" i="77"/>
  <c r="Q617" i="77"/>
  <c r="Q616" i="77"/>
  <c r="Q615" i="77"/>
  <c r="Q614" i="77"/>
  <c r="Q613" i="77"/>
  <c r="Q612" i="77"/>
  <c r="Q611" i="77"/>
  <c r="Q610" i="77"/>
  <c r="Q609" i="77"/>
  <c r="Q608" i="77"/>
  <c r="Q607" i="77"/>
  <c r="Q606" i="77"/>
  <c r="Q605" i="77"/>
  <c r="Q604" i="77"/>
  <c r="Q603" i="77"/>
  <c r="Q602" i="77"/>
  <c r="Q601" i="77"/>
  <c r="Q600" i="77"/>
  <c r="Q599" i="77"/>
  <c r="Q598" i="77"/>
  <c r="Q597" i="77"/>
  <c r="Q596" i="77"/>
  <c r="Q595" i="77"/>
  <c r="Q594" i="77"/>
  <c r="Q593" i="77"/>
  <c r="Q592" i="77"/>
  <c r="Q591" i="77"/>
  <c r="Q590" i="77"/>
  <c r="Q589" i="77"/>
  <c r="Q588" i="77"/>
  <c r="Q587" i="77"/>
  <c r="Q586" i="77"/>
  <c r="Q585" i="77"/>
  <c r="Q584" i="77"/>
  <c r="Q583" i="77"/>
  <c r="Q582" i="77"/>
  <c r="Q581" i="77"/>
  <c r="Q580" i="77"/>
  <c r="Q579" i="77"/>
  <c r="Q578" i="77"/>
  <c r="Q577" i="77"/>
  <c r="Q576" i="77"/>
  <c r="Q575" i="77"/>
  <c r="Q574" i="77"/>
  <c r="Q573" i="77"/>
  <c r="Q572" i="77"/>
  <c r="Q571" i="77"/>
  <c r="Q570" i="77"/>
  <c r="Q569" i="77"/>
  <c r="Q568" i="77"/>
  <c r="Q567" i="77"/>
  <c r="Q566" i="77"/>
  <c r="Q565" i="77"/>
  <c r="Q564" i="77"/>
  <c r="Q563" i="77"/>
  <c r="Q562" i="77"/>
  <c r="Q561" i="77"/>
  <c r="Q560" i="77"/>
  <c r="Q559" i="77"/>
  <c r="Q558" i="77"/>
  <c r="Q557" i="77"/>
  <c r="Q556" i="77"/>
  <c r="Q555" i="77"/>
  <c r="Q554" i="77"/>
  <c r="Q553" i="77"/>
  <c r="Q552" i="77"/>
  <c r="Q551" i="77"/>
  <c r="Q550" i="77"/>
  <c r="Q549" i="77"/>
  <c r="Q548" i="77"/>
  <c r="Q547" i="77"/>
  <c r="Q546" i="77"/>
  <c r="Q545" i="77"/>
  <c r="Q544" i="77"/>
  <c r="Q543" i="77"/>
  <c r="Q542" i="77"/>
  <c r="Q541" i="77"/>
  <c r="Q540" i="77"/>
  <c r="Q539" i="77"/>
  <c r="Q538" i="77"/>
  <c r="Q537" i="77"/>
  <c r="Q536" i="77"/>
  <c r="Q535" i="77"/>
  <c r="Q534" i="77"/>
  <c r="Q533" i="77"/>
  <c r="Q532" i="77"/>
  <c r="Q531" i="77"/>
  <c r="Q530" i="77"/>
  <c r="Q529" i="77"/>
  <c r="Q528" i="77"/>
  <c r="Q527" i="77"/>
  <c r="Q526" i="77"/>
  <c r="Q525" i="77"/>
  <c r="Q524" i="77"/>
  <c r="Q523" i="77"/>
  <c r="Q522" i="77"/>
  <c r="Q521" i="77"/>
  <c r="Q520" i="77"/>
  <c r="Q519" i="77"/>
  <c r="Q518" i="77"/>
  <c r="Q517" i="77"/>
  <c r="Q516" i="77"/>
  <c r="Q515" i="77"/>
  <c r="Q514" i="77"/>
  <c r="Q513" i="77"/>
  <c r="Q512" i="77"/>
  <c r="Q511" i="77"/>
  <c r="Q510" i="77"/>
  <c r="Q509" i="77"/>
  <c r="Q508" i="77"/>
  <c r="Q507" i="77"/>
  <c r="Q506" i="77"/>
  <c r="Q505" i="77"/>
  <c r="Q504" i="77"/>
  <c r="Q503" i="77"/>
  <c r="Q502" i="77"/>
  <c r="Q501" i="77"/>
  <c r="Q500" i="77"/>
  <c r="Q499" i="77"/>
  <c r="Q498" i="77"/>
  <c r="Q497" i="77"/>
  <c r="Q496" i="77"/>
  <c r="Q495" i="77"/>
  <c r="Q494" i="77"/>
  <c r="Q493" i="77"/>
  <c r="Q492" i="77"/>
  <c r="Q491" i="77"/>
  <c r="Q490" i="77"/>
  <c r="Q489" i="77"/>
  <c r="Q488" i="77"/>
  <c r="Q487" i="77"/>
  <c r="Q486" i="77"/>
  <c r="Q485" i="77"/>
  <c r="Q484" i="77"/>
  <c r="Q483" i="77"/>
  <c r="Q482" i="77"/>
  <c r="Q481" i="77"/>
  <c r="Q480" i="77"/>
  <c r="Q479" i="77"/>
  <c r="Q478" i="77"/>
  <c r="Q477" i="77"/>
  <c r="Q476" i="77"/>
  <c r="Q475" i="77"/>
  <c r="Q474" i="77"/>
  <c r="Q473" i="77"/>
  <c r="Q472" i="77"/>
  <c r="Q471" i="77"/>
  <c r="Q470" i="77"/>
  <c r="Q469" i="77"/>
  <c r="Q468" i="77"/>
  <c r="Q467" i="77"/>
  <c r="Q466" i="77"/>
  <c r="Q465" i="77"/>
  <c r="Q464" i="77"/>
  <c r="Q463" i="77"/>
  <c r="Q462" i="77"/>
  <c r="Q461" i="77"/>
  <c r="Q460" i="77"/>
  <c r="Q459" i="77"/>
  <c r="Q458" i="77"/>
  <c r="Q457" i="77"/>
  <c r="Q456" i="77"/>
  <c r="Q455" i="77"/>
  <c r="Q454" i="77"/>
  <c r="Q453" i="77"/>
  <c r="Q452" i="77"/>
  <c r="Q451" i="77"/>
  <c r="Q450" i="77"/>
  <c r="Q449" i="77"/>
  <c r="Q448" i="77"/>
  <c r="Q447" i="77"/>
  <c r="Q446" i="77"/>
  <c r="Q445" i="77"/>
  <c r="Q444" i="77"/>
  <c r="Q443" i="77"/>
  <c r="Q442" i="77"/>
  <c r="Q441" i="77"/>
  <c r="Q440" i="77"/>
  <c r="Q439" i="77"/>
  <c r="Q438" i="77"/>
  <c r="Q437" i="77"/>
  <c r="Q436" i="77"/>
  <c r="Q435" i="77"/>
  <c r="Q434" i="77"/>
  <c r="Q433" i="77"/>
  <c r="Q432" i="77"/>
  <c r="Q431" i="77"/>
  <c r="Q430" i="77"/>
  <c r="Q429" i="77"/>
  <c r="Q428" i="77"/>
  <c r="Q427" i="77"/>
  <c r="Q426" i="77"/>
  <c r="Q425" i="77"/>
  <c r="Q424" i="77"/>
  <c r="Q423" i="77"/>
  <c r="Q422" i="77"/>
  <c r="Q421" i="77"/>
  <c r="Q420" i="77"/>
  <c r="Q419" i="77"/>
  <c r="Q418" i="77"/>
  <c r="Q417" i="77"/>
  <c r="Q416" i="77"/>
  <c r="Q415" i="77"/>
  <c r="Q414" i="77"/>
  <c r="Q413" i="77"/>
  <c r="Q412" i="77"/>
  <c r="Q411" i="77"/>
  <c r="Q410" i="77"/>
  <c r="Q409" i="77"/>
  <c r="Q408" i="77"/>
  <c r="Q407" i="77"/>
  <c r="Q406" i="77"/>
  <c r="Q405" i="77"/>
  <c r="Q404" i="77"/>
  <c r="Q403" i="77"/>
  <c r="Q402" i="77"/>
  <c r="Q401" i="77"/>
  <c r="Q400" i="77"/>
  <c r="Q399" i="77"/>
  <c r="Q398" i="77"/>
  <c r="Q397" i="77"/>
  <c r="Q396" i="77"/>
  <c r="Q395" i="77"/>
  <c r="Q394" i="77"/>
  <c r="Q393" i="77"/>
  <c r="Q392" i="77"/>
  <c r="Q391" i="77"/>
  <c r="Q390" i="77"/>
  <c r="Q389" i="77"/>
  <c r="Q388" i="77"/>
  <c r="Q387" i="77"/>
  <c r="Q386" i="77"/>
  <c r="Q385" i="77"/>
  <c r="Q384" i="77"/>
  <c r="Q383" i="77"/>
  <c r="Q382" i="77"/>
  <c r="Q381" i="77"/>
  <c r="Q380" i="77"/>
  <c r="Q379" i="77"/>
  <c r="Q378" i="77"/>
  <c r="Q377" i="77"/>
  <c r="Q376" i="77"/>
  <c r="Q375" i="77"/>
  <c r="Q374" i="77"/>
  <c r="Q373" i="77"/>
  <c r="Q372" i="77"/>
  <c r="Q371" i="77"/>
  <c r="Q370" i="77"/>
  <c r="Q369" i="77"/>
  <c r="Q368" i="77"/>
  <c r="Q367" i="77"/>
  <c r="Q366" i="77"/>
  <c r="Q365" i="77"/>
  <c r="Q364" i="77"/>
  <c r="Q363" i="77"/>
  <c r="Q362" i="77"/>
  <c r="Q361" i="77"/>
  <c r="Q360" i="77"/>
  <c r="Q359" i="77"/>
  <c r="Q358" i="77"/>
  <c r="Q357" i="77"/>
  <c r="Q356" i="77"/>
  <c r="Q355" i="77"/>
  <c r="Q354" i="77"/>
  <c r="Q353" i="77"/>
  <c r="Q352" i="77"/>
  <c r="Q351" i="77"/>
  <c r="Q350" i="77"/>
  <c r="Q349" i="77"/>
  <c r="Q348" i="77"/>
  <c r="Q347" i="77"/>
  <c r="Q346" i="77"/>
  <c r="Q345" i="77"/>
  <c r="Q344" i="77"/>
  <c r="Q343" i="77"/>
  <c r="Q342" i="77"/>
  <c r="Q341" i="77"/>
  <c r="Q340" i="77"/>
  <c r="Q339" i="77"/>
  <c r="Q338" i="77"/>
  <c r="Q337" i="77"/>
  <c r="Q336" i="77"/>
  <c r="Q335" i="77"/>
  <c r="Q334" i="77"/>
  <c r="Q333" i="77"/>
  <c r="Q332" i="77"/>
  <c r="Q331" i="77"/>
  <c r="Q330" i="77"/>
  <c r="Q329" i="77"/>
  <c r="Q328" i="77"/>
  <c r="Q327" i="77"/>
  <c r="Q326" i="77"/>
  <c r="Q325" i="77"/>
  <c r="Q324" i="77"/>
  <c r="Q323" i="77"/>
  <c r="Q322" i="77"/>
  <c r="Q321" i="77"/>
  <c r="Q320" i="77"/>
  <c r="Q319" i="77"/>
  <c r="Q318" i="77"/>
  <c r="Q317" i="77"/>
  <c r="Q316" i="77"/>
  <c r="Q315" i="77"/>
  <c r="Q314" i="77"/>
  <c r="Q313" i="77"/>
  <c r="Q312" i="77"/>
  <c r="Q311" i="77"/>
  <c r="Q310" i="77"/>
  <c r="Q309" i="77"/>
  <c r="Q308" i="77"/>
  <c r="Q307" i="77"/>
  <c r="Q306" i="77"/>
  <c r="Q305" i="77"/>
  <c r="Q304" i="77"/>
  <c r="Q303" i="77"/>
  <c r="Q302" i="77"/>
  <c r="Q301" i="77"/>
  <c r="Q300" i="77"/>
  <c r="Q299" i="77"/>
  <c r="Q298" i="77"/>
  <c r="Q297" i="77"/>
  <c r="Q296" i="77"/>
  <c r="Q295" i="77"/>
  <c r="Q294" i="77"/>
  <c r="Q293" i="77"/>
  <c r="Q292" i="77"/>
  <c r="Q291" i="77"/>
  <c r="Q290" i="77"/>
  <c r="Q289" i="77"/>
  <c r="Q288" i="77"/>
  <c r="Q287" i="77"/>
  <c r="Q286" i="77"/>
  <c r="Q285" i="77"/>
  <c r="Q284" i="77"/>
  <c r="Q283" i="77"/>
  <c r="Q282" i="77"/>
  <c r="Q281" i="77"/>
  <c r="Q280" i="77"/>
  <c r="Q279" i="77"/>
  <c r="Q278" i="77"/>
  <c r="Q277" i="77"/>
  <c r="Q276" i="77"/>
  <c r="Q275" i="77"/>
  <c r="Q274" i="77"/>
  <c r="Q273" i="77"/>
  <c r="Q272" i="77"/>
  <c r="Q271" i="77"/>
  <c r="Q270" i="77"/>
  <c r="Q269" i="77"/>
  <c r="Q268" i="77"/>
  <c r="Q267" i="77"/>
  <c r="Q266" i="77"/>
  <c r="Q265" i="77"/>
  <c r="Q264" i="77"/>
  <c r="Q263" i="77"/>
  <c r="Q262" i="77"/>
  <c r="Q261" i="77"/>
  <c r="Q260" i="77"/>
  <c r="Q259" i="77"/>
  <c r="Q258" i="77"/>
  <c r="Q257" i="77"/>
  <c r="Q256" i="77"/>
  <c r="Q255" i="77"/>
  <c r="Q254" i="77"/>
  <c r="Q253" i="77"/>
  <c r="Q252" i="77"/>
  <c r="Q251" i="77"/>
  <c r="Q250" i="77"/>
  <c r="Q249" i="77"/>
  <c r="Q248" i="77"/>
  <c r="Q247" i="77"/>
  <c r="Q246" i="77"/>
  <c r="Q245" i="77"/>
  <c r="Q244" i="77"/>
  <c r="Q243" i="77"/>
  <c r="Q242" i="77"/>
  <c r="Q241" i="77"/>
  <c r="Q240" i="77"/>
  <c r="Q239" i="77"/>
  <c r="Q238" i="77"/>
  <c r="Q237" i="77"/>
  <c r="Q236" i="77"/>
  <c r="Q235" i="77"/>
  <c r="Q234" i="77"/>
  <c r="Q233" i="77"/>
  <c r="Q232" i="77"/>
  <c r="Q231" i="77"/>
  <c r="Q230" i="77"/>
  <c r="Q229" i="77"/>
  <c r="Q228" i="77"/>
  <c r="Q227" i="77"/>
  <c r="Q226" i="77"/>
  <c r="Q225" i="77"/>
  <c r="Q224" i="77"/>
  <c r="Q223" i="77"/>
  <c r="Q222" i="77"/>
  <c r="Q221" i="77"/>
  <c r="Q220" i="77"/>
  <c r="Q219" i="77"/>
  <c r="Q218" i="77"/>
  <c r="Q217" i="77"/>
  <c r="Q216" i="77"/>
  <c r="Q215" i="77"/>
  <c r="Q214" i="77"/>
  <c r="Q213" i="77"/>
  <c r="Q212" i="77"/>
  <c r="Q211" i="77"/>
  <c r="Q210" i="77"/>
  <c r="Q209" i="77"/>
  <c r="Q208" i="77"/>
  <c r="Q207" i="77"/>
  <c r="Q206" i="77"/>
  <c r="Q205" i="77"/>
  <c r="Q204" i="77"/>
  <c r="Q203" i="77"/>
  <c r="Q202" i="77"/>
  <c r="Q201" i="77"/>
  <c r="Q200" i="77"/>
  <c r="Q199" i="77"/>
  <c r="Q198" i="77"/>
  <c r="Q197" i="77"/>
  <c r="Q196" i="77"/>
  <c r="Q195" i="77"/>
  <c r="Q194" i="77"/>
  <c r="Q193" i="77"/>
  <c r="Q192" i="77"/>
  <c r="Q191" i="77"/>
  <c r="Q190" i="77"/>
  <c r="Q189" i="77"/>
  <c r="Q188" i="77"/>
  <c r="Q187" i="77"/>
  <c r="Q186" i="77"/>
  <c r="Q185" i="77"/>
  <c r="Q184" i="77"/>
  <c r="Q183" i="77"/>
  <c r="Q182" i="77"/>
  <c r="Q181" i="77"/>
  <c r="Q180" i="77"/>
  <c r="Q179" i="77"/>
  <c r="Q178" i="77"/>
  <c r="Q177" i="77"/>
  <c r="Q176" i="77"/>
  <c r="Q175" i="77"/>
  <c r="Q174" i="77"/>
  <c r="Q173" i="77"/>
  <c r="Q172" i="77"/>
  <c r="Q171" i="77"/>
  <c r="Q170" i="77"/>
  <c r="Q169" i="77"/>
  <c r="Q168" i="77"/>
  <c r="Q167" i="77"/>
  <c r="Q166" i="77"/>
  <c r="Q165" i="77"/>
  <c r="Q164" i="77"/>
  <c r="Q163" i="77"/>
  <c r="Q162" i="77"/>
  <c r="Q161" i="77"/>
  <c r="Q160" i="77"/>
  <c r="Q159" i="77"/>
  <c r="Q158" i="77"/>
  <c r="Q157" i="77"/>
  <c r="Q156" i="77"/>
  <c r="Q155" i="77"/>
  <c r="Q154" i="77"/>
  <c r="Q153" i="77"/>
  <c r="Q152" i="77"/>
  <c r="Q151" i="77"/>
  <c r="Q150" i="77"/>
  <c r="Q149" i="77"/>
  <c r="Q148" i="77"/>
  <c r="Q147" i="77"/>
  <c r="Q146" i="77"/>
  <c r="Q145" i="77"/>
  <c r="Q144" i="77"/>
  <c r="Q143" i="77"/>
  <c r="Q142" i="77"/>
  <c r="Q141" i="77"/>
  <c r="Q140" i="77"/>
  <c r="Q139" i="77"/>
  <c r="Q138" i="77"/>
  <c r="Q137" i="77"/>
  <c r="Q136" i="77"/>
  <c r="Q135" i="77"/>
  <c r="Q134" i="77"/>
  <c r="Q133" i="77"/>
  <c r="Q132" i="77"/>
  <c r="Q131" i="77"/>
  <c r="Q130" i="77"/>
  <c r="Q129" i="77"/>
  <c r="Q128" i="77"/>
  <c r="Q127" i="77"/>
  <c r="Q126" i="77"/>
  <c r="Q125" i="77"/>
  <c r="Q124" i="77"/>
  <c r="Q123" i="77"/>
  <c r="Q122" i="77"/>
  <c r="Q121" i="77"/>
  <c r="Q120" i="77"/>
  <c r="Q119" i="77"/>
  <c r="Q118" i="77"/>
  <c r="Q117" i="77"/>
  <c r="Q116" i="77"/>
  <c r="Q115" i="77"/>
  <c r="Q114" i="77"/>
  <c r="Q113" i="77"/>
  <c r="Q112" i="77"/>
  <c r="Q111" i="77"/>
  <c r="Q110" i="77"/>
  <c r="Q109" i="77"/>
  <c r="Q108" i="77"/>
  <c r="Q107" i="77"/>
  <c r="Q106" i="77"/>
  <c r="Q105" i="77"/>
  <c r="Q104" i="77"/>
  <c r="Q103" i="77"/>
  <c r="Q102" i="77"/>
  <c r="Q101" i="77"/>
  <c r="Q100" i="77"/>
  <c r="Q99" i="77"/>
  <c r="Q98" i="77"/>
  <c r="Q97" i="77"/>
  <c r="Q96" i="77"/>
  <c r="Q95" i="77"/>
  <c r="Q94" i="77"/>
  <c r="Q93" i="77"/>
  <c r="Q92" i="77"/>
  <c r="Q91" i="77"/>
  <c r="Q90" i="77"/>
  <c r="Q89" i="77"/>
  <c r="Q88" i="77"/>
  <c r="Q87" i="77"/>
  <c r="Q86" i="77"/>
  <c r="Q85" i="77"/>
  <c r="Q84" i="77"/>
  <c r="Q83" i="77"/>
  <c r="Q82" i="77"/>
  <c r="Q81" i="77"/>
  <c r="Q80" i="77"/>
  <c r="Q79" i="77"/>
  <c r="Q78" i="77"/>
  <c r="Q77" i="77"/>
  <c r="Q76" i="77"/>
  <c r="Q75" i="77"/>
  <c r="Q74" i="77"/>
  <c r="Q73" i="77"/>
  <c r="Q72" i="77"/>
  <c r="Q71" i="77"/>
  <c r="Q70" i="77"/>
  <c r="Q69" i="77"/>
  <c r="Q68" i="77"/>
  <c r="Q67" i="77"/>
  <c r="Q66" i="77"/>
  <c r="Q65" i="77"/>
  <c r="Q64" i="77"/>
  <c r="Q63" i="77"/>
  <c r="Q62" i="77"/>
  <c r="Q61" i="77"/>
  <c r="Q60" i="77"/>
  <c r="Q59" i="77"/>
  <c r="Q58" i="77"/>
  <c r="Q57" i="77"/>
  <c r="Q56" i="77"/>
  <c r="Q55" i="77"/>
  <c r="Q54" i="77"/>
  <c r="Q53" i="77"/>
  <c r="Q52" i="77"/>
  <c r="Q51" i="77"/>
  <c r="Q50" i="77"/>
  <c r="Q49" i="77"/>
  <c r="Q48" i="77"/>
  <c r="Q47" i="77"/>
  <c r="Q46" i="77"/>
  <c r="Q45" i="77"/>
  <c r="Q44" i="77"/>
  <c r="Q43" i="77"/>
  <c r="Q42" i="77"/>
  <c r="Q41" i="77"/>
  <c r="Q40" i="77"/>
  <c r="Q39" i="77"/>
  <c r="Q38" i="77"/>
  <c r="Q37" i="77"/>
  <c r="Q36" i="77"/>
  <c r="Q35" i="77"/>
  <c r="Q34" i="77"/>
  <c r="Q33" i="77"/>
  <c r="Q32" i="77"/>
  <c r="Q31" i="77"/>
  <c r="Q30" i="77"/>
  <c r="Q29" i="77"/>
  <c r="Q28" i="77"/>
  <c r="Q27" i="77"/>
  <c r="Q26" i="77"/>
  <c r="Q25" i="77"/>
  <c r="Q24" i="77"/>
  <c r="Q23" i="77"/>
  <c r="Q22" i="77"/>
  <c r="Q21" i="77"/>
  <c r="Q20" i="77"/>
  <c r="Q19" i="77"/>
  <c r="Q18" i="77"/>
  <c r="Q17" i="77"/>
  <c r="Q16" i="77"/>
  <c r="Q15" i="77"/>
  <c r="Q14" i="77"/>
  <c r="Q13" i="77"/>
  <c r="Q12" i="77"/>
  <c r="Q11" i="77"/>
  <c r="Q10" i="77"/>
  <c r="Q9" i="77"/>
  <c r="Q8" i="77"/>
  <c r="Q7" i="77"/>
  <c r="Q6" i="77"/>
  <c r="I1373" i="77"/>
  <c r="I1372" i="77"/>
  <c r="I1371" i="77"/>
  <c r="I1370" i="77"/>
  <c r="I1369" i="77"/>
  <c r="I1368" i="77"/>
  <c r="I1367" i="77"/>
  <c r="I1366" i="77"/>
  <c r="I1365" i="77"/>
  <c r="I1364" i="77"/>
  <c r="I1363" i="77"/>
  <c r="I1362" i="77"/>
  <c r="I1361" i="77"/>
  <c r="I1360" i="77"/>
  <c r="I1359" i="77"/>
  <c r="I1358" i="77"/>
  <c r="I1357" i="77"/>
  <c r="I1356" i="77"/>
  <c r="I1355" i="77"/>
  <c r="I1354" i="77"/>
  <c r="I1353" i="77"/>
  <c r="I1352" i="77"/>
  <c r="I1351" i="77"/>
  <c r="I1350" i="77"/>
  <c r="I1349" i="77"/>
  <c r="I1348" i="77"/>
  <c r="I1347" i="77"/>
  <c r="I1346" i="77"/>
  <c r="I1345" i="77"/>
  <c r="I1344" i="77"/>
  <c r="I1343" i="77"/>
  <c r="I1342" i="77"/>
  <c r="I1341" i="77"/>
  <c r="I1340" i="77"/>
  <c r="I1339" i="77"/>
  <c r="I1338" i="77"/>
  <c r="I1336" i="77"/>
  <c r="I1335" i="77"/>
  <c r="I1334" i="77"/>
  <c r="I1333" i="77"/>
  <c r="I1332" i="77"/>
  <c r="I1331" i="77"/>
  <c r="I1330" i="77"/>
  <c r="I1329" i="77"/>
  <c r="I1328" i="77"/>
  <c r="I1327" i="77"/>
  <c r="I1326" i="77"/>
  <c r="I1325" i="77"/>
  <c r="I1324" i="77"/>
  <c r="I1323" i="77"/>
  <c r="I1322" i="77"/>
  <c r="I1321" i="77"/>
  <c r="I1320" i="77"/>
  <c r="I1319" i="77"/>
  <c r="I1318" i="77"/>
  <c r="I1317" i="77"/>
  <c r="I1316" i="77"/>
  <c r="I1315" i="77"/>
  <c r="I1314" i="77"/>
  <c r="I1313" i="77"/>
  <c r="I1312" i="77"/>
  <c r="I1311" i="77"/>
  <c r="I1310" i="77"/>
  <c r="I1309" i="77"/>
  <c r="I1308" i="77"/>
  <c r="I1307" i="77"/>
  <c r="I1306" i="77"/>
  <c r="I1305" i="77"/>
  <c r="I1304" i="77"/>
  <c r="I1303" i="77"/>
  <c r="I1302" i="77"/>
  <c r="I1301" i="77"/>
  <c r="I1300" i="77"/>
  <c r="I1299" i="77"/>
  <c r="I1298" i="77"/>
  <c r="I1297" i="77"/>
  <c r="I1296" i="77"/>
  <c r="I1295" i="77"/>
  <c r="I1294" i="77"/>
  <c r="I1293" i="77"/>
  <c r="I1292" i="77"/>
  <c r="I1291" i="77"/>
  <c r="I1290" i="77"/>
  <c r="I1289" i="77"/>
  <c r="I1288" i="77"/>
  <c r="I1287" i="77"/>
  <c r="I1286" i="77"/>
  <c r="I1285" i="77"/>
  <c r="I1284" i="77"/>
  <c r="I1283" i="77"/>
  <c r="I1282" i="77"/>
  <c r="I1281" i="77"/>
  <c r="I1280" i="77"/>
  <c r="I1279" i="77"/>
  <c r="I1278" i="77"/>
  <c r="I1277" i="77"/>
  <c r="I1276" i="77"/>
  <c r="I1275" i="77"/>
  <c r="I1274" i="77"/>
  <c r="I1273" i="77"/>
  <c r="I1272" i="77"/>
  <c r="I1271" i="77"/>
  <c r="I1270" i="77"/>
  <c r="I1269" i="77"/>
  <c r="I1268" i="77"/>
  <c r="I1267" i="77"/>
  <c r="I1266" i="77"/>
  <c r="I1265" i="77"/>
  <c r="I1264" i="77"/>
  <c r="I1263" i="77"/>
  <c r="I1262" i="77"/>
  <c r="I1261" i="77"/>
  <c r="I1260" i="77"/>
  <c r="I1259" i="77"/>
  <c r="I1258" i="77"/>
  <c r="I1257" i="77"/>
  <c r="I1256" i="77"/>
  <c r="I1255" i="77"/>
  <c r="I1254" i="77"/>
  <c r="I1253" i="77"/>
  <c r="I1252" i="77"/>
  <c r="I1251" i="77"/>
  <c r="I1250" i="77"/>
  <c r="I1249" i="77"/>
  <c r="I1248" i="77"/>
  <c r="I1247" i="77"/>
  <c r="I1246" i="77"/>
  <c r="I1245" i="77"/>
  <c r="I1244" i="77"/>
  <c r="I1243" i="77"/>
  <c r="I1242" i="77"/>
  <c r="I1241" i="77"/>
  <c r="I1240" i="77"/>
  <c r="I1239" i="77"/>
  <c r="I1238" i="77"/>
  <c r="I1237" i="77"/>
  <c r="I1236" i="77"/>
  <c r="I1235" i="77"/>
  <c r="I1234" i="77"/>
  <c r="I1233" i="77"/>
  <c r="I1232" i="77"/>
  <c r="I1231" i="77"/>
  <c r="I1230" i="77"/>
  <c r="I1229" i="77"/>
  <c r="I1228" i="77"/>
  <c r="I1227" i="77"/>
  <c r="I1226" i="77"/>
  <c r="I1225" i="77"/>
  <c r="I1224" i="77"/>
  <c r="I1223" i="77"/>
  <c r="I1222" i="77"/>
  <c r="I1221" i="77"/>
  <c r="I1220" i="77"/>
  <c r="I1219" i="77"/>
  <c r="I1218" i="77"/>
  <c r="I1217" i="77"/>
  <c r="I1216" i="77"/>
  <c r="I1215" i="77"/>
  <c r="I1214" i="77"/>
  <c r="I1213" i="77"/>
  <c r="I1212" i="77"/>
  <c r="I1211" i="77"/>
  <c r="I1210" i="77"/>
  <c r="I1209" i="77"/>
  <c r="I1208" i="77"/>
  <c r="I1207" i="77"/>
  <c r="I1206" i="77"/>
  <c r="I1205" i="77"/>
  <c r="I1204" i="77"/>
  <c r="I1203" i="77"/>
  <c r="I1202" i="77"/>
  <c r="I1201" i="77"/>
  <c r="I1200" i="77"/>
  <c r="I1199" i="77"/>
  <c r="I1198" i="77"/>
  <c r="I1197" i="77"/>
  <c r="I1196" i="77"/>
  <c r="I1195" i="77"/>
  <c r="I1194" i="77"/>
  <c r="I1193" i="77"/>
  <c r="I1192" i="77"/>
  <c r="I1191" i="77"/>
  <c r="I1190" i="77"/>
  <c r="I1189" i="77"/>
  <c r="I1188" i="77"/>
  <c r="I1187" i="77"/>
  <c r="I1186" i="77"/>
  <c r="I1185" i="77"/>
  <c r="I1184" i="77"/>
  <c r="I1183" i="77"/>
  <c r="I1182" i="77"/>
  <c r="I1181" i="77"/>
  <c r="I1180" i="77"/>
  <c r="I1179" i="77"/>
  <c r="I1178" i="77"/>
  <c r="I1177" i="77"/>
  <c r="I1176" i="77"/>
  <c r="I1175" i="77"/>
  <c r="I1174" i="77"/>
  <c r="I1173" i="77"/>
  <c r="I1172" i="77"/>
  <c r="I1171" i="77"/>
  <c r="I1170" i="77"/>
  <c r="I1169" i="77"/>
  <c r="I1168" i="77"/>
  <c r="I1167" i="77"/>
  <c r="I1166" i="77"/>
  <c r="I1165" i="77"/>
  <c r="I1164" i="77"/>
  <c r="I1163" i="77"/>
  <c r="I1162" i="77"/>
  <c r="I1161" i="77"/>
  <c r="I1160" i="77"/>
  <c r="I1159" i="77"/>
  <c r="I1158" i="77"/>
  <c r="I1157" i="77"/>
  <c r="I1156" i="77"/>
  <c r="I1155" i="77"/>
  <c r="I1154" i="77"/>
  <c r="I1153" i="77"/>
  <c r="I1152" i="77"/>
  <c r="I1151" i="77"/>
  <c r="I1150" i="77"/>
  <c r="I1149" i="77"/>
  <c r="I1148" i="77"/>
  <c r="I1147" i="77"/>
  <c r="I1146" i="77"/>
  <c r="I1145" i="77"/>
  <c r="I1144" i="77"/>
  <c r="I1143" i="77"/>
  <c r="I1142" i="77"/>
  <c r="I1141" i="77"/>
  <c r="I1140" i="77"/>
  <c r="I1139" i="77"/>
  <c r="I1138" i="77"/>
  <c r="I1137" i="77"/>
  <c r="I1136" i="77"/>
  <c r="I1135" i="77"/>
  <c r="I1134" i="77"/>
  <c r="I1133" i="77"/>
  <c r="I1132" i="77"/>
  <c r="I1131" i="77"/>
  <c r="I1130" i="77"/>
  <c r="I1129" i="77"/>
  <c r="I1128" i="77"/>
  <c r="I1127" i="77"/>
  <c r="I1126" i="77"/>
  <c r="I1125" i="77"/>
  <c r="I1124" i="77"/>
  <c r="I1123" i="77"/>
  <c r="I1122" i="77"/>
  <c r="I1121" i="77"/>
  <c r="I1120" i="77"/>
  <c r="I1119" i="77"/>
  <c r="I1118" i="77"/>
  <c r="I1117" i="77"/>
  <c r="I1116" i="77"/>
  <c r="I1115" i="77"/>
  <c r="I1114" i="77"/>
  <c r="I1113" i="77"/>
  <c r="I1112" i="77"/>
  <c r="I1111" i="77"/>
  <c r="I1110" i="77"/>
  <c r="I1109" i="77"/>
  <c r="I1108" i="77"/>
  <c r="I1107" i="77"/>
  <c r="I1106" i="77"/>
  <c r="I1105" i="77"/>
  <c r="I1104" i="77"/>
  <c r="I1103" i="77"/>
  <c r="I1102" i="77"/>
  <c r="I1101" i="77"/>
  <c r="I1100" i="77"/>
  <c r="I1099" i="77"/>
  <c r="I1098" i="77"/>
  <c r="I1097" i="77"/>
  <c r="I1096" i="77"/>
  <c r="I1095" i="77"/>
  <c r="I1094" i="77"/>
  <c r="I1093" i="77"/>
  <c r="I1092" i="77"/>
  <c r="I1091" i="77"/>
  <c r="I1090" i="77"/>
  <c r="I1089" i="77"/>
  <c r="I1088" i="77"/>
  <c r="I1087" i="77"/>
  <c r="I1086" i="77"/>
  <c r="I1085" i="77"/>
  <c r="I1084" i="77"/>
  <c r="I1083" i="77"/>
  <c r="I1082" i="77"/>
  <c r="I1081" i="77"/>
  <c r="I1080" i="77"/>
  <c r="I1079" i="77"/>
  <c r="I1078" i="77"/>
  <c r="I1077" i="77"/>
  <c r="I1076" i="77"/>
  <c r="I1075" i="77"/>
  <c r="I1074" i="77"/>
  <c r="I1073" i="77"/>
  <c r="I1072" i="77"/>
  <c r="I1071" i="77"/>
  <c r="I1070" i="77"/>
  <c r="I1069" i="77"/>
  <c r="I1068" i="77"/>
  <c r="I1067" i="77"/>
  <c r="I1066" i="77"/>
  <c r="I1065" i="77"/>
  <c r="I1064" i="77"/>
  <c r="I1063" i="77"/>
  <c r="I1062" i="77"/>
  <c r="I1061" i="77"/>
  <c r="I1060" i="77"/>
  <c r="I1059" i="77"/>
  <c r="I1058" i="77"/>
  <c r="I1057" i="77"/>
  <c r="I1056" i="77"/>
  <c r="I1055" i="77"/>
  <c r="I1054" i="77"/>
  <c r="I1053" i="77"/>
  <c r="I1052" i="77"/>
  <c r="I1051" i="77"/>
  <c r="I1050" i="77"/>
  <c r="I1049" i="77"/>
  <c r="I1048" i="77"/>
  <c r="I1047" i="77"/>
  <c r="I1046" i="77"/>
  <c r="I1045" i="77"/>
  <c r="I1044" i="77"/>
  <c r="I1043" i="77"/>
  <c r="I1042" i="77"/>
  <c r="I1041" i="77"/>
  <c r="I1040" i="77"/>
  <c r="I1039" i="77"/>
  <c r="I1038" i="77"/>
  <c r="I1037" i="77"/>
  <c r="I1036" i="77"/>
  <c r="I1035" i="77"/>
  <c r="I1034" i="77"/>
  <c r="I1033" i="77"/>
  <c r="I1032" i="77"/>
  <c r="I1031" i="77"/>
  <c r="I1030" i="77"/>
  <c r="I1029" i="77"/>
  <c r="I1028" i="77"/>
  <c r="I1027" i="77"/>
  <c r="I1026" i="77"/>
  <c r="I1025" i="77"/>
  <c r="I1024" i="77"/>
  <c r="I1023" i="77"/>
  <c r="I1022" i="77"/>
  <c r="I1021" i="77"/>
  <c r="I1020" i="77"/>
  <c r="I1019" i="77"/>
  <c r="I1018" i="77"/>
  <c r="I1017" i="77"/>
  <c r="I1016" i="77"/>
  <c r="I1015" i="77"/>
  <c r="I1014" i="77"/>
  <c r="I1013" i="77"/>
  <c r="I1012" i="77"/>
  <c r="I1011" i="77"/>
  <c r="I1010" i="77"/>
  <c r="I1009" i="77"/>
  <c r="I1008" i="77"/>
  <c r="I1007" i="77"/>
  <c r="I1006" i="77"/>
  <c r="I1005" i="77"/>
  <c r="I1004" i="77"/>
  <c r="I1003" i="77"/>
  <c r="I1002" i="77"/>
  <c r="I1001" i="77"/>
  <c r="I1000" i="77"/>
  <c r="I999" i="77"/>
  <c r="I998" i="77"/>
  <c r="I997" i="77"/>
  <c r="I996" i="77"/>
  <c r="I995" i="77"/>
  <c r="I994" i="77"/>
  <c r="I993" i="77"/>
  <c r="I992" i="77"/>
  <c r="I991" i="77"/>
  <c r="I990" i="77"/>
  <c r="I989" i="77"/>
  <c r="I988" i="77"/>
  <c r="I987" i="77"/>
  <c r="I986" i="77"/>
  <c r="I985" i="77"/>
  <c r="I984" i="77"/>
  <c r="I983" i="77"/>
  <c r="I982" i="77"/>
  <c r="I981" i="77"/>
  <c r="I980" i="77"/>
  <c r="I979" i="77"/>
  <c r="I978" i="77"/>
  <c r="I977" i="77"/>
  <c r="I976" i="77"/>
  <c r="I975" i="77"/>
  <c r="I974" i="77"/>
  <c r="I973" i="77"/>
  <c r="I972" i="77"/>
  <c r="I971" i="77"/>
  <c r="I970" i="77"/>
  <c r="I969" i="77"/>
  <c r="I968" i="77"/>
  <c r="I967" i="77"/>
  <c r="I966" i="77"/>
  <c r="I965" i="77"/>
  <c r="I964" i="77"/>
  <c r="I963" i="77"/>
  <c r="I962" i="77"/>
  <c r="I961" i="77"/>
  <c r="I960" i="77"/>
  <c r="I959" i="77"/>
  <c r="I958" i="77"/>
  <c r="I957" i="77"/>
  <c r="I956" i="77"/>
  <c r="I955" i="77"/>
  <c r="I954" i="77"/>
  <c r="I953" i="77"/>
  <c r="I952" i="77"/>
  <c r="I951" i="77"/>
  <c r="I950" i="77"/>
  <c r="I949" i="77"/>
  <c r="I948" i="77"/>
  <c r="I947" i="77"/>
  <c r="I946" i="77"/>
  <c r="I945" i="77"/>
  <c r="I944" i="77"/>
  <c r="I943" i="77"/>
  <c r="I942" i="77"/>
  <c r="I941" i="77"/>
  <c r="I940" i="77"/>
  <c r="I939" i="77"/>
  <c r="I938" i="77"/>
  <c r="I937" i="77"/>
  <c r="I936" i="77"/>
  <c r="I935" i="77"/>
  <c r="I934" i="77"/>
  <c r="I933" i="77"/>
  <c r="I932" i="77"/>
  <c r="I931" i="77"/>
  <c r="I930" i="77"/>
  <c r="I929" i="77"/>
  <c r="I928" i="77"/>
  <c r="I927" i="77"/>
  <c r="I926" i="77"/>
  <c r="I925" i="77"/>
  <c r="I924" i="77"/>
  <c r="I923" i="77"/>
  <c r="I922" i="77"/>
  <c r="I921" i="77"/>
  <c r="I920" i="77"/>
  <c r="I919" i="77"/>
  <c r="I918" i="77"/>
  <c r="I917" i="77"/>
  <c r="I916" i="77"/>
  <c r="I915" i="77"/>
  <c r="I914" i="77"/>
  <c r="I913" i="77"/>
  <c r="I912" i="77"/>
  <c r="I911" i="77"/>
  <c r="I910" i="77"/>
  <c r="I909" i="77"/>
  <c r="I908" i="77"/>
  <c r="I907" i="77"/>
  <c r="I906" i="77"/>
  <c r="I905" i="77"/>
  <c r="I904" i="77"/>
  <c r="I903" i="77"/>
  <c r="I902" i="77"/>
  <c r="I901" i="77"/>
  <c r="I900" i="77"/>
  <c r="I899" i="77"/>
  <c r="I898" i="77"/>
  <c r="I897" i="77"/>
  <c r="I896" i="77"/>
  <c r="I895" i="77"/>
  <c r="I894" i="77"/>
  <c r="I893" i="77"/>
  <c r="I892" i="77"/>
  <c r="I891" i="77"/>
  <c r="I890" i="77"/>
  <c r="I889" i="77"/>
  <c r="I888" i="77"/>
  <c r="I887" i="77"/>
  <c r="I886" i="77"/>
  <c r="I885" i="77"/>
  <c r="I884" i="77"/>
  <c r="I883" i="77"/>
  <c r="I882" i="77"/>
  <c r="I881" i="77"/>
  <c r="I880" i="77"/>
  <c r="I879" i="77"/>
  <c r="I878" i="77"/>
  <c r="I877" i="77"/>
  <c r="I876" i="77"/>
  <c r="I875" i="77"/>
  <c r="I874" i="77"/>
  <c r="I873" i="77"/>
  <c r="I872" i="77"/>
  <c r="I871" i="77"/>
  <c r="I870" i="77"/>
  <c r="I869" i="77"/>
  <c r="I868" i="77"/>
  <c r="I867" i="77"/>
  <c r="I866" i="77"/>
  <c r="I865" i="77"/>
  <c r="I864" i="77"/>
  <c r="I863" i="77"/>
  <c r="I862" i="77"/>
  <c r="I861" i="77"/>
  <c r="I860" i="77"/>
  <c r="I859" i="77"/>
  <c r="I858" i="77"/>
  <c r="I857" i="77"/>
  <c r="I856" i="77"/>
  <c r="I855" i="77"/>
  <c r="I854" i="77"/>
  <c r="I853" i="77"/>
  <c r="I852" i="77"/>
  <c r="I851" i="77"/>
  <c r="I850" i="77"/>
  <c r="I849" i="77"/>
  <c r="I848" i="77"/>
  <c r="I847" i="77"/>
  <c r="I846" i="77"/>
  <c r="I845" i="77"/>
  <c r="I844" i="77"/>
  <c r="I843" i="77"/>
  <c r="I842" i="77"/>
  <c r="I841" i="77"/>
  <c r="I840" i="77"/>
  <c r="I839" i="77"/>
  <c r="I838" i="77"/>
  <c r="I837" i="77"/>
  <c r="I836" i="77"/>
  <c r="I835" i="77"/>
  <c r="I834" i="77"/>
  <c r="I833" i="77"/>
  <c r="I832" i="77"/>
  <c r="I831" i="77"/>
  <c r="I830" i="77"/>
  <c r="I829" i="77"/>
  <c r="I828" i="77"/>
  <c r="I827" i="77"/>
  <c r="I826" i="77"/>
  <c r="I825" i="77"/>
  <c r="I824" i="77"/>
  <c r="I823" i="77"/>
  <c r="I822" i="77"/>
  <c r="I821" i="77"/>
  <c r="I820" i="77"/>
  <c r="I819" i="77"/>
  <c r="I818" i="77"/>
  <c r="I817" i="77"/>
  <c r="I816" i="77"/>
  <c r="I815" i="77"/>
  <c r="I814" i="77"/>
  <c r="I813" i="77"/>
  <c r="I812" i="77"/>
  <c r="I811" i="77"/>
  <c r="I810" i="77"/>
  <c r="I809" i="77"/>
  <c r="I808" i="77"/>
  <c r="I807" i="77"/>
  <c r="I806" i="77"/>
  <c r="I805" i="77"/>
  <c r="I804" i="77"/>
  <c r="I803" i="77"/>
  <c r="I802" i="77"/>
  <c r="I801" i="77"/>
  <c r="I800" i="77"/>
  <c r="I799" i="77"/>
  <c r="I798" i="77"/>
  <c r="I797" i="77"/>
  <c r="I796" i="77"/>
  <c r="I795" i="77"/>
  <c r="I794" i="77"/>
  <c r="I793" i="77"/>
  <c r="I792" i="77"/>
  <c r="I791" i="77"/>
  <c r="I790" i="77"/>
  <c r="I789" i="77"/>
  <c r="I788" i="77"/>
  <c r="I787" i="77"/>
  <c r="I786" i="77"/>
  <c r="I785" i="77"/>
  <c r="I784" i="77"/>
  <c r="I783" i="77"/>
  <c r="I782" i="77"/>
  <c r="I781" i="77"/>
  <c r="I780" i="77"/>
  <c r="I779" i="77"/>
  <c r="I778" i="77"/>
  <c r="I777" i="77"/>
  <c r="I776" i="77"/>
  <c r="I775" i="77"/>
  <c r="I774" i="77"/>
  <c r="I773" i="77"/>
  <c r="I772" i="77"/>
  <c r="I771" i="77"/>
  <c r="I770" i="77"/>
  <c r="I769" i="77"/>
  <c r="I768" i="77"/>
  <c r="I767" i="77"/>
  <c r="I766" i="77"/>
  <c r="I765" i="77"/>
  <c r="I764" i="77"/>
  <c r="I763" i="77"/>
  <c r="I762" i="77"/>
  <c r="I761" i="77"/>
  <c r="I760" i="77"/>
  <c r="I759" i="77"/>
  <c r="I758" i="77"/>
  <c r="I757" i="77"/>
  <c r="I756" i="77"/>
  <c r="I755" i="77"/>
  <c r="I754" i="77"/>
  <c r="I753" i="77"/>
  <c r="I752" i="77"/>
  <c r="I751" i="77"/>
  <c r="I750" i="77"/>
  <c r="I749" i="77"/>
  <c r="I748" i="77"/>
  <c r="I747" i="77"/>
  <c r="I746" i="77"/>
  <c r="I745" i="77"/>
  <c r="I744" i="77"/>
  <c r="I743" i="77"/>
  <c r="I742" i="77"/>
  <c r="I741" i="77"/>
  <c r="I740" i="77"/>
  <c r="I739" i="77"/>
  <c r="I738" i="77"/>
  <c r="I737" i="77"/>
  <c r="I736" i="77"/>
  <c r="I735" i="77"/>
  <c r="I734" i="77"/>
  <c r="I733" i="77"/>
  <c r="I732" i="77"/>
  <c r="I731" i="77"/>
  <c r="I730" i="77"/>
  <c r="I729" i="77"/>
  <c r="I728" i="77"/>
  <c r="I727" i="77"/>
  <c r="I726" i="77"/>
  <c r="I725" i="77"/>
  <c r="I724" i="77"/>
  <c r="I723" i="77"/>
  <c r="I722" i="77"/>
  <c r="I721" i="77"/>
  <c r="I720" i="77"/>
  <c r="I719" i="77"/>
  <c r="I718" i="77"/>
  <c r="I717" i="77"/>
  <c r="I716" i="77"/>
  <c r="I715" i="77"/>
  <c r="I714" i="77"/>
  <c r="I713" i="77"/>
  <c r="I712" i="77"/>
  <c r="I711" i="77"/>
  <c r="I710" i="77"/>
  <c r="I709" i="77"/>
  <c r="I708" i="77"/>
  <c r="I707" i="77"/>
  <c r="I706" i="77"/>
  <c r="I705" i="77"/>
  <c r="I704" i="77"/>
  <c r="I703" i="77"/>
  <c r="I702" i="77"/>
  <c r="I701" i="77"/>
  <c r="I700" i="77"/>
  <c r="I699" i="77"/>
  <c r="I698" i="77"/>
  <c r="I697" i="77"/>
  <c r="I696" i="77"/>
  <c r="I695" i="77"/>
  <c r="I694" i="77"/>
  <c r="I693" i="77"/>
  <c r="I692" i="77"/>
  <c r="I691" i="77"/>
  <c r="I690" i="77"/>
  <c r="I689" i="77"/>
  <c r="I688" i="77"/>
  <c r="I687" i="77"/>
  <c r="I686" i="77"/>
  <c r="I685" i="77"/>
  <c r="I684" i="77"/>
  <c r="I683" i="77"/>
  <c r="I682" i="77"/>
  <c r="I681" i="77"/>
  <c r="I680" i="77"/>
  <c r="I679" i="77"/>
  <c r="I678" i="77"/>
  <c r="I677" i="77"/>
  <c r="I676" i="77"/>
  <c r="I675" i="77"/>
  <c r="I674" i="77"/>
  <c r="I673" i="77"/>
  <c r="I672" i="77"/>
  <c r="I671" i="77"/>
  <c r="I670" i="77"/>
  <c r="I669" i="77"/>
  <c r="I668" i="77"/>
  <c r="I667" i="77"/>
  <c r="I666" i="77"/>
  <c r="I665" i="77"/>
  <c r="I664" i="77"/>
  <c r="I663" i="77"/>
  <c r="I662" i="77"/>
  <c r="I661" i="77"/>
  <c r="I660" i="77"/>
  <c r="I659" i="77"/>
  <c r="I658" i="77"/>
  <c r="I657" i="77"/>
  <c r="I656" i="77"/>
  <c r="I655" i="77"/>
  <c r="I654" i="77"/>
  <c r="I653" i="77"/>
  <c r="I652" i="77"/>
  <c r="I651" i="77"/>
  <c r="I650" i="77"/>
  <c r="I649" i="77"/>
  <c r="I648" i="77"/>
  <c r="I647" i="77"/>
  <c r="I646" i="77"/>
  <c r="I645" i="77"/>
  <c r="I644" i="77"/>
  <c r="I643" i="77"/>
  <c r="I642" i="77"/>
  <c r="I641" i="77"/>
  <c r="I640" i="77"/>
  <c r="I639" i="77"/>
  <c r="I638" i="77"/>
  <c r="I637" i="77"/>
  <c r="I636" i="77"/>
  <c r="I635" i="77"/>
  <c r="I634" i="77"/>
  <c r="I633" i="77"/>
  <c r="I632" i="77"/>
  <c r="I631" i="77"/>
  <c r="I630" i="77"/>
  <c r="I629" i="77"/>
  <c r="I628" i="77"/>
  <c r="I627" i="77"/>
  <c r="I626" i="77"/>
  <c r="I625" i="77"/>
  <c r="I624" i="77"/>
  <c r="I623" i="77"/>
  <c r="I622" i="77"/>
  <c r="I621" i="77"/>
  <c r="I620" i="77"/>
  <c r="I619" i="77"/>
  <c r="I618" i="77"/>
  <c r="I617" i="77"/>
  <c r="I616" i="77"/>
  <c r="I615" i="77"/>
  <c r="I614" i="77"/>
  <c r="I613" i="77"/>
  <c r="I612" i="77"/>
  <c r="I611" i="77"/>
  <c r="I610" i="77"/>
  <c r="I609" i="77"/>
  <c r="I608" i="77"/>
  <c r="I607" i="77"/>
  <c r="I606" i="77"/>
  <c r="I605" i="77"/>
  <c r="I604" i="77"/>
  <c r="I603" i="77"/>
  <c r="I602" i="77"/>
  <c r="I601" i="77"/>
  <c r="I600" i="77"/>
  <c r="I599" i="77"/>
  <c r="I598" i="77"/>
  <c r="I597" i="77"/>
  <c r="I596" i="77"/>
  <c r="I595" i="77"/>
  <c r="I594" i="77"/>
  <c r="I593" i="77"/>
  <c r="I592" i="77"/>
  <c r="I591" i="77"/>
  <c r="I590" i="77"/>
  <c r="I589" i="77"/>
  <c r="I588" i="77"/>
  <c r="I587" i="77"/>
  <c r="I586" i="77"/>
  <c r="I585" i="77"/>
  <c r="I584" i="77"/>
  <c r="I583" i="77"/>
  <c r="I582" i="77"/>
  <c r="I581" i="77"/>
  <c r="I580" i="77"/>
  <c r="I579" i="77"/>
  <c r="I578" i="77"/>
  <c r="I577" i="77"/>
  <c r="I576" i="77"/>
  <c r="I575" i="77"/>
  <c r="I574" i="77"/>
  <c r="I573" i="77"/>
  <c r="I572" i="77"/>
  <c r="I571" i="77"/>
  <c r="I570" i="77"/>
  <c r="I569" i="77"/>
  <c r="I568" i="77"/>
  <c r="I567" i="77"/>
  <c r="I566" i="77"/>
  <c r="I565" i="77"/>
  <c r="I564" i="77"/>
  <c r="I563" i="77"/>
  <c r="I562" i="77"/>
  <c r="I561" i="77"/>
  <c r="I560" i="77"/>
  <c r="I559" i="77"/>
  <c r="I558" i="77"/>
  <c r="I557" i="77"/>
  <c r="I556" i="77"/>
  <c r="I555" i="77"/>
  <c r="I554" i="77"/>
  <c r="I553" i="77"/>
  <c r="I552" i="77"/>
  <c r="I551" i="77"/>
  <c r="I550" i="77"/>
  <c r="I549" i="77"/>
  <c r="I548" i="77"/>
  <c r="I547" i="77"/>
  <c r="I546" i="77"/>
  <c r="I545" i="77"/>
  <c r="I544" i="77"/>
  <c r="I543" i="77"/>
  <c r="I542" i="77"/>
  <c r="I541" i="77"/>
  <c r="I540" i="77"/>
  <c r="I539" i="77"/>
  <c r="I538" i="77"/>
  <c r="I537" i="77"/>
  <c r="I536" i="77"/>
  <c r="I535" i="77"/>
  <c r="I534" i="77"/>
  <c r="I533" i="77"/>
  <c r="I532" i="77"/>
  <c r="I531" i="77"/>
  <c r="I530" i="77"/>
  <c r="I529" i="77"/>
  <c r="I528" i="77"/>
  <c r="I527" i="77"/>
  <c r="I526" i="77"/>
  <c r="I525" i="77"/>
  <c r="I524" i="77"/>
  <c r="I523" i="77"/>
  <c r="I522" i="77"/>
  <c r="I521" i="77"/>
  <c r="I520" i="77"/>
  <c r="I519" i="77"/>
  <c r="I518" i="77"/>
  <c r="I517" i="77"/>
  <c r="I516" i="77"/>
  <c r="I515" i="77"/>
  <c r="I514" i="77"/>
  <c r="I513" i="77"/>
  <c r="I512" i="77"/>
  <c r="I511" i="77"/>
  <c r="I510" i="77"/>
  <c r="I509" i="77"/>
  <c r="I508" i="77"/>
  <c r="I507" i="77"/>
  <c r="I506" i="77"/>
  <c r="I505" i="77"/>
  <c r="I504" i="77"/>
  <c r="I503" i="77"/>
  <c r="I502" i="77"/>
  <c r="I501" i="77"/>
  <c r="I500" i="77"/>
  <c r="I499" i="77"/>
  <c r="I498" i="77"/>
  <c r="I497" i="77"/>
  <c r="I496" i="77"/>
  <c r="I495" i="77"/>
  <c r="I494" i="77"/>
  <c r="I493" i="77"/>
  <c r="I492" i="77"/>
  <c r="I491" i="77"/>
  <c r="I490" i="77"/>
  <c r="I489" i="77"/>
  <c r="I488" i="77"/>
  <c r="I487" i="77"/>
  <c r="I486" i="77"/>
  <c r="I485" i="77"/>
  <c r="I484" i="77"/>
  <c r="I483" i="77"/>
  <c r="I482" i="77"/>
  <c r="I481" i="77"/>
  <c r="I480" i="77"/>
  <c r="I479" i="77"/>
  <c r="I478" i="77"/>
  <c r="I477" i="77"/>
  <c r="I476" i="77"/>
  <c r="I475" i="77"/>
  <c r="I474" i="77"/>
  <c r="I473" i="77"/>
  <c r="I472" i="77"/>
  <c r="I471" i="77"/>
  <c r="I470" i="77"/>
  <c r="I469" i="77"/>
  <c r="I468" i="77"/>
  <c r="I467" i="77"/>
  <c r="I466" i="77"/>
  <c r="I465" i="77"/>
  <c r="I464" i="77"/>
  <c r="I463" i="77"/>
  <c r="I462" i="77"/>
  <c r="I461" i="77"/>
  <c r="I460" i="77"/>
  <c r="I459" i="77"/>
  <c r="I458" i="77"/>
  <c r="I457" i="77"/>
  <c r="I456" i="77"/>
  <c r="I455" i="77"/>
  <c r="I454" i="77"/>
  <c r="I453" i="77"/>
  <c r="I452" i="77"/>
  <c r="I451" i="77"/>
  <c r="I450" i="77"/>
  <c r="I449" i="77"/>
  <c r="I448" i="77"/>
  <c r="I447" i="77"/>
  <c r="I446" i="77"/>
  <c r="I445" i="77"/>
  <c r="I444" i="77"/>
  <c r="I443" i="77"/>
  <c r="I442" i="77"/>
  <c r="I441" i="77"/>
  <c r="I440" i="77"/>
  <c r="I439" i="77"/>
  <c r="I438" i="77"/>
  <c r="I437" i="77"/>
  <c r="I436" i="77"/>
  <c r="I435" i="77"/>
  <c r="I434" i="77"/>
  <c r="I433" i="77"/>
  <c r="I432" i="77"/>
  <c r="I431" i="77"/>
  <c r="I430" i="77"/>
  <c r="I429" i="77"/>
  <c r="I428" i="77"/>
  <c r="I427" i="77"/>
  <c r="I426" i="77"/>
  <c r="I425" i="77"/>
  <c r="I424" i="77"/>
  <c r="I423" i="77"/>
  <c r="I422" i="77"/>
  <c r="I421" i="77"/>
  <c r="I420" i="77"/>
  <c r="I419" i="77"/>
  <c r="I418" i="77"/>
  <c r="I417" i="77"/>
  <c r="I416" i="77"/>
  <c r="I415" i="77"/>
  <c r="I414" i="77"/>
  <c r="I413" i="77"/>
  <c r="I412" i="77"/>
  <c r="I411" i="77"/>
  <c r="I410" i="77"/>
  <c r="I409" i="77"/>
  <c r="I408" i="77"/>
  <c r="I407" i="77"/>
  <c r="I406" i="77"/>
  <c r="I405" i="77"/>
  <c r="I404" i="77"/>
  <c r="I403" i="77"/>
  <c r="I402" i="77"/>
  <c r="I401" i="77"/>
  <c r="I400" i="77"/>
  <c r="I399" i="77"/>
  <c r="I398" i="77"/>
  <c r="I397" i="77"/>
  <c r="I396" i="77"/>
  <c r="I395" i="77"/>
  <c r="I394" i="77"/>
  <c r="I393" i="77"/>
  <c r="I392" i="77"/>
  <c r="I391" i="77"/>
  <c r="I390" i="77"/>
  <c r="I389" i="77"/>
  <c r="I388" i="77"/>
  <c r="I387" i="77"/>
  <c r="I386" i="77"/>
  <c r="I385" i="77"/>
  <c r="I384" i="77"/>
  <c r="I383" i="77"/>
  <c r="I382" i="77"/>
  <c r="I381" i="77"/>
  <c r="I380" i="77"/>
  <c r="I379" i="77"/>
  <c r="I378" i="77"/>
  <c r="I377" i="77"/>
  <c r="I376" i="77"/>
  <c r="I375" i="77"/>
  <c r="I374" i="77"/>
  <c r="I373" i="77"/>
  <c r="I372" i="77"/>
  <c r="I371" i="77"/>
  <c r="I370" i="77"/>
  <c r="I369" i="77"/>
  <c r="I368" i="77"/>
  <c r="I367" i="77"/>
  <c r="I366" i="77"/>
  <c r="I365" i="77"/>
  <c r="I364" i="77"/>
  <c r="I363" i="77"/>
  <c r="I362" i="77"/>
  <c r="I361" i="77"/>
  <c r="I360" i="77"/>
  <c r="I359" i="77"/>
  <c r="I358" i="77"/>
  <c r="I357" i="77"/>
  <c r="I356" i="77"/>
  <c r="I355" i="77"/>
  <c r="I354" i="77"/>
  <c r="I353" i="77"/>
  <c r="I352" i="77"/>
  <c r="I351" i="77"/>
  <c r="I350" i="77"/>
  <c r="I349" i="77"/>
  <c r="I348" i="77"/>
  <c r="I347" i="77"/>
  <c r="I346" i="77"/>
  <c r="I345" i="77"/>
  <c r="I344" i="77"/>
  <c r="I343" i="77"/>
  <c r="I342" i="77"/>
  <c r="I341" i="77"/>
  <c r="I340" i="77"/>
  <c r="I339" i="77"/>
  <c r="I338" i="77"/>
  <c r="I337" i="77"/>
  <c r="I336" i="77"/>
  <c r="I335" i="77"/>
  <c r="I334" i="77"/>
  <c r="I333" i="77"/>
  <c r="I332" i="77"/>
  <c r="I331" i="77"/>
  <c r="I330" i="77"/>
  <c r="I329" i="77"/>
  <c r="I328" i="77"/>
  <c r="I327" i="77"/>
  <c r="I326" i="77"/>
  <c r="I325" i="77"/>
  <c r="I324" i="77"/>
  <c r="I323" i="77"/>
  <c r="I322" i="77"/>
  <c r="I321" i="77"/>
  <c r="I320" i="77"/>
  <c r="I319" i="77"/>
  <c r="I318" i="77"/>
  <c r="I317" i="77"/>
  <c r="I316" i="77"/>
  <c r="I315" i="77"/>
  <c r="I314" i="77"/>
  <c r="I313" i="77"/>
  <c r="I312" i="77"/>
  <c r="I311" i="77"/>
  <c r="I310" i="77"/>
  <c r="I309" i="77"/>
  <c r="I308" i="77"/>
  <c r="I307" i="77"/>
  <c r="I306" i="77"/>
  <c r="I305" i="77"/>
  <c r="I304" i="77"/>
  <c r="I303" i="77"/>
  <c r="I302" i="77"/>
  <c r="I301" i="77"/>
  <c r="I300" i="77"/>
  <c r="I299" i="77"/>
  <c r="I298" i="77"/>
  <c r="I297" i="77"/>
  <c r="I296" i="77"/>
  <c r="I295" i="77"/>
  <c r="I294" i="77"/>
  <c r="I293" i="77"/>
  <c r="I292" i="77"/>
  <c r="I291" i="77"/>
  <c r="I290" i="77"/>
  <c r="I289" i="77"/>
  <c r="I288" i="77"/>
  <c r="I287" i="77"/>
  <c r="I286" i="77"/>
  <c r="I285" i="77"/>
  <c r="I284" i="77"/>
  <c r="I283" i="77"/>
  <c r="I282" i="77"/>
  <c r="I281" i="77"/>
  <c r="I280" i="77"/>
  <c r="I279" i="77"/>
  <c r="I278" i="77"/>
  <c r="I277" i="77"/>
  <c r="I276" i="77"/>
  <c r="I275" i="77"/>
  <c r="I274" i="77"/>
  <c r="I273" i="77"/>
  <c r="I272" i="77"/>
  <c r="I271" i="77"/>
  <c r="I270" i="77"/>
  <c r="I269" i="77"/>
  <c r="I268" i="77"/>
  <c r="I267" i="77"/>
  <c r="I266" i="77"/>
  <c r="I265" i="77"/>
  <c r="I264" i="77"/>
  <c r="I263" i="77"/>
  <c r="I262" i="77"/>
  <c r="I261" i="77"/>
  <c r="I260" i="77"/>
  <c r="I259" i="77"/>
  <c r="I258" i="77"/>
  <c r="I257" i="77"/>
  <c r="I256" i="77"/>
  <c r="I255" i="77"/>
  <c r="I254" i="77"/>
  <c r="I253" i="77"/>
  <c r="I252" i="77"/>
  <c r="I251" i="77"/>
  <c r="I250" i="77"/>
  <c r="I249" i="77"/>
  <c r="I248" i="77"/>
  <c r="I247" i="77"/>
  <c r="I246" i="77"/>
  <c r="I245" i="77"/>
  <c r="I244" i="77"/>
  <c r="I243" i="77"/>
  <c r="I242" i="77"/>
  <c r="I241" i="77"/>
  <c r="I240" i="77"/>
  <c r="I239" i="77"/>
  <c r="I238" i="77"/>
  <c r="I237" i="77"/>
  <c r="I236" i="77"/>
  <c r="I235" i="77"/>
  <c r="I234" i="77"/>
  <c r="I233" i="77"/>
  <c r="I232" i="77"/>
  <c r="I231" i="77"/>
  <c r="I230" i="77"/>
  <c r="I229" i="77"/>
  <c r="I228" i="77"/>
  <c r="I227" i="77"/>
  <c r="I226" i="77"/>
  <c r="I225" i="77"/>
  <c r="I224" i="77"/>
  <c r="I223" i="77"/>
  <c r="I222" i="77"/>
  <c r="I221" i="77"/>
  <c r="I220" i="77"/>
  <c r="I219" i="77"/>
  <c r="I218" i="77"/>
  <c r="I217" i="77"/>
  <c r="I216" i="77"/>
  <c r="I215" i="77"/>
  <c r="I214" i="77"/>
  <c r="I213" i="77"/>
  <c r="I212" i="77"/>
  <c r="I211" i="77"/>
  <c r="I210" i="77"/>
  <c r="I209" i="77"/>
  <c r="I208" i="77"/>
  <c r="I207" i="77"/>
  <c r="I206" i="77"/>
  <c r="I205" i="77"/>
  <c r="I204" i="77"/>
  <c r="I203" i="77"/>
  <c r="I202" i="77"/>
  <c r="I201" i="77"/>
  <c r="I200" i="77"/>
  <c r="I199" i="77"/>
  <c r="I198" i="77"/>
  <c r="I197" i="77"/>
  <c r="I196" i="77"/>
  <c r="I195" i="77"/>
  <c r="I194" i="77"/>
  <c r="I193" i="77"/>
  <c r="I192" i="77"/>
  <c r="I191" i="77"/>
  <c r="I190" i="77"/>
  <c r="I189" i="77"/>
  <c r="I188" i="77"/>
  <c r="I187" i="77"/>
  <c r="I186" i="77"/>
  <c r="I185" i="77"/>
  <c r="I184" i="77"/>
  <c r="I183" i="77"/>
  <c r="I182" i="77"/>
  <c r="I181" i="77"/>
  <c r="I180" i="77"/>
  <c r="I179" i="77"/>
  <c r="I178" i="77"/>
  <c r="I177" i="77"/>
  <c r="I176" i="77"/>
  <c r="I175" i="77"/>
  <c r="I174" i="77"/>
  <c r="I173" i="77"/>
  <c r="I172" i="77"/>
  <c r="I171" i="77"/>
  <c r="I170" i="77"/>
  <c r="I169" i="77"/>
  <c r="I168" i="77"/>
  <c r="I167" i="77"/>
  <c r="I166" i="77"/>
  <c r="I165" i="77"/>
  <c r="I164" i="77"/>
  <c r="I163" i="77"/>
  <c r="I162" i="77"/>
  <c r="I161" i="77"/>
  <c r="I160" i="77"/>
  <c r="I159" i="77"/>
  <c r="I158" i="77"/>
  <c r="I157" i="77"/>
  <c r="I156" i="77"/>
  <c r="I155" i="77"/>
  <c r="I154" i="77"/>
  <c r="I153" i="77"/>
  <c r="I152" i="77"/>
  <c r="I151" i="77"/>
  <c r="I150" i="77"/>
  <c r="I149" i="77"/>
  <c r="I148" i="77"/>
  <c r="I147" i="77"/>
  <c r="I146" i="77"/>
  <c r="I145" i="77"/>
  <c r="I144" i="77"/>
  <c r="I143" i="77"/>
  <c r="I142" i="77"/>
  <c r="I141" i="77"/>
  <c r="I140" i="77"/>
  <c r="I139" i="77"/>
  <c r="I138" i="77"/>
  <c r="I137" i="77"/>
  <c r="I136" i="77"/>
  <c r="I135" i="77"/>
  <c r="I134" i="77"/>
  <c r="I133" i="77"/>
  <c r="I132" i="77"/>
  <c r="I131" i="77"/>
  <c r="I130" i="77"/>
  <c r="I129" i="77"/>
  <c r="I128" i="77"/>
  <c r="I127" i="77"/>
  <c r="I126" i="77"/>
  <c r="I125" i="77"/>
  <c r="I124" i="77"/>
  <c r="I123" i="77"/>
  <c r="I122" i="77"/>
  <c r="I121" i="77"/>
  <c r="I120" i="77"/>
  <c r="I119" i="77"/>
  <c r="I118" i="77"/>
  <c r="I117" i="77"/>
  <c r="I116" i="77"/>
  <c r="I115" i="77"/>
  <c r="I114" i="77"/>
  <c r="I113" i="77"/>
  <c r="I112" i="77"/>
  <c r="I111" i="77"/>
  <c r="I110" i="77"/>
  <c r="I109" i="77"/>
  <c r="I108" i="77"/>
  <c r="I107" i="77"/>
  <c r="I106" i="77"/>
  <c r="I105" i="77"/>
  <c r="I104" i="77"/>
  <c r="I103" i="77"/>
  <c r="I102" i="77"/>
  <c r="I101" i="77"/>
  <c r="I100" i="77"/>
  <c r="I99" i="77"/>
  <c r="I98" i="77"/>
  <c r="I97" i="77"/>
  <c r="I96" i="77"/>
  <c r="I95" i="77"/>
  <c r="I94" i="77"/>
  <c r="I93" i="77"/>
  <c r="I92" i="77"/>
  <c r="I91" i="77"/>
  <c r="I90" i="77"/>
  <c r="I89" i="77"/>
  <c r="I88" i="77"/>
  <c r="I87" i="77"/>
  <c r="I86" i="77"/>
  <c r="I85" i="77"/>
  <c r="I84" i="77"/>
  <c r="I83" i="77"/>
  <c r="I82" i="77"/>
  <c r="I81" i="77"/>
  <c r="I80" i="77"/>
  <c r="I79" i="77"/>
  <c r="I78" i="77"/>
  <c r="I77" i="77"/>
  <c r="I76" i="77"/>
  <c r="I75" i="77"/>
  <c r="I74" i="77"/>
  <c r="I73" i="77"/>
  <c r="I72" i="77"/>
  <c r="I71" i="77"/>
  <c r="I70" i="77"/>
  <c r="I69" i="77"/>
  <c r="I68" i="77"/>
  <c r="I67" i="77"/>
  <c r="I66" i="77"/>
  <c r="I65" i="77"/>
  <c r="I64" i="77"/>
  <c r="I63" i="77"/>
  <c r="I62" i="77"/>
  <c r="I61" i="77"/>
  <c r="I60" i="77"/>
  <c r="I59" i="77"/>
  <c r="I58" i="77"/>
  <c r="I57" i="77"/>
  <c r="I56" i="77"/>
  <c r="I55" i="77"/>
  <c r="I54" i="77"/>
  <c r="I53" i="77"/>
  <c r="I52" i="77"/>
  <c r="I51" i="77"/>
  <c r="I50" i="77"/>
  <c r="I49" i="77"/>
  <c r="I48" i="77"/>
  <c r="I47" i="77"/>
  <c r="I46" i="77"/>
  <c r="I45" i="77"/>
  <c r="I44" i="77"/>
  <c r="I43" i="77"/>
  <c r="I42" i="77"/>
  <c r="I41" i="77"/>
  <c r="I40" i="77"/>
  <c r="I39" i="77"/>
  <c r="I38" i="77"/>
  <c r="I37" i="77"/>
  <c r="I36" i="77"/>
  <c r="I35" i="77"/>
  <c r="I34" i="77"/>
  <c r="I33" i="77"/>
  <c r="I32" i="77"/>
  <c r="I31" i="77"/>
  <c r="I30" i="77"/>
  <c r="I29" i="77"/>
  <c r="I28" i="77"/>
  <c r="I27" i="77"/>
  <c r="I26" i="77"/>
  <c r="I25" i="77"/>
  <c r="I24" i="77"/>
  <c r="I23" i="77"/>
  <c r="I22" i="77"/>
  <c r="I21" i="77"/>
  <c r="I20" i="77"/>
  <c r="I19" i="77"/>
  <c r="I18" i="77"/>
  <c r="I17" i="77"/>
  <c r="I16" i="77"/>
  <c r="I15" i="77"/>
  <c r="I14" i="77"/>
  <c r="I13" i="77"/>
  <c r="I12" i="77"/>
  <c r="I11" i="77"/>
  <c r="I10" i="77"/>
  <c r="I9" i="77"/>
  <c r="I8" i="77"/>
  <c r="I7" i="77"/>
  <c r="I6" i="77"/>
  <c r="G1373" i="77"/>
  <c r="G1372" i="77"/>
  <c r="G1371" i="77"/>
  <c r="G1370" i="77"/>
  <c r="G1369" i="77"/>
  <c r="G1368" i="77"/>
  <c r="G1367" i="77"/>
  <c r="G1366" i="77"/>
  <c r="G1365" i="77"/>
  <c r="G1364" i="77"/>
  <c r="G1363" i="77"/>
  <c r="G1362" i="77"/>
  <c r="G1361" i="77"/>
  <c r="G1360" i="77"/>
  <c r="G1359" i="77"/>
  <c r="G1358" i="77"/>
  <c r="G1357" i="77"/>
  <c r="G1356" i="77"/>
  <c r="G1355" i="77"/>
  <c r="G1354" i="77"/>
  <c r="G1353" i="77"/>
  <c r="G1352" i="77"/>
  <c r="G1351" i="77"/>
  <c r="G1350" i="77"/>
  <c r="G1349" i="77"/>
  <c r="G1348" i="77"/>
  <c r="G1347" i="77"/>
  <c r="G1346" i="77"/>
  <c r="G1345" i="77"/>
  <c r="G1344" i="77"/>
  <c r="G1343" i="77"/>
  <c r="G1342" i="77"/>
  <c r="G1341" i="77"/>
  <c r="G1340" i="77"/>
  <c r="G1339" i="77"/>
  <c r="G1338" i="77"/>
  <c r="G1336" i="77"/>
  <c r="G1335" i="77"/>
  <c r="G1334" i="77"/>
  <c r="G1333" i="77"/>
  <c r="G1332" i="77"/>
  <c r="G1331" i="77"/>
  <c r="G1330" i="77"/>
  <c r="G1329" i="77"/>
  <c r="G1328" i="77"/>
  <c r="G1327" i="77"/>
  <c r="G1326" i="77"/>
  <c r="G1325" i="77"/>
  <c r="G1324" i="77"/>
  <c r="G1323" i="77"/>
  <c r="G1322" i="77"/>
  <c r="G1321" i="77"/>
  <c r="G1320" i="77"/>
  <c r="G1319" i="77"/>
  <c r="G1318" i="77"/>
  <c r="G1317" i="77"/>
  <c r="G1316" i="77"/>
  <c r="G1315" i="77"/>
  <c r="G1314" i="77"/>
  <c r="G1313" i="77"/>
  <c r="G1312" i="77"/>
  <c r="G1311" i="77"/>
  <c r="G1310" i="77"/>
  <c r="G1309" i="77"/>
  <c r="G1308" i="77"/>
  <c r="G1307" i="77"/>
  <c r="G1306" i="77"/>
  <c r="G1305" i="77"/>
  <c r="G1304" i="77"/>
  <c r="G1303" i="77"/>
  <c r="G1302" i="77"/>
  <c r="G1301" i="77"/>
  <c r="G1300" i="77"/>
  <c r="G1299" i="77"/>
  <c r="G1298" i="77"/>
  <c r="G1297" i="77"/>
  <c r="G1296" i="77"/>
  <c r="G1295" i="77"/>
  <c r="G1294" i="77"/>
  <c r="G1293" i="77"/>
  <c r="G1292" i="77"/>
  <c r="G1291" i="77"/>
  <c r="G1290" i="77"/>
  <c r="G1289" i="77"/>
  <c r="G1288" i="77"/>
  <c r="G1287" i="77"/>
  <c r="G1286" i="77"/>
  <c r="G1285" i="77"/>
  <c r="G1284" i="77"/>
  <c r="G1283" i="77"/>
  <c r="G1282" i="77"/>
  <c r="G1281" i="77"/>
  <c r="G1280" i="77"/>
  <c r="G1279" i="77"/>
  <c r="G1278" i="77"/>
  <c r="G1277" i="77"/>
  <c r="G1276" i="77"/>
  <c r="G1275" i="77"/>
  <c r="G1274" i="77"/>
  <c r="G1273" i="77"/>
  <c r="G1272" i="77"/>
  <c r="G1271" i="77"/>
  <c r="G1270" i="77"/>
  <c r="G1269" i="77"/>
  <c r="G1268" i="77"/>
  <c r="G1267" i="77"/>
  <c r="G1266" i="77"/>
  <c r="G1265" i="77"/>
  <c r="G1264" i="77"/>
  <c r="G1263" i="77"/>
  <c r="G1262" i="77"/>
  <c r="G1261" i="77"/>
  <c r="G1260" i="77"/>
  <c r="G1259" i="77"/>
  <c r="G1258" i="77"/>
  <c r="G1257" i="77"/>
  <c r="G1256" i="77"/>
  <c r="G1255" i="77"/>
  <c r="G1254" i="77"/>
  <c r="G1253" i="77"/>
  <c r="G1252" i="77"/>
  <c r="G1251" i="77"/>
  <c r="G1250" i="77"/>
  <c r="G1249" i="77"/>
  <c r="G1248" i="77"/>
  <c r="G1247" i="77"/>
  <c r="G1246" i="77"/>
  <c r="G1245" i="77"/>
  <c r="G1244" i="77"/>
  <c r="G1243" i="77"/>
  <c r="G1242" i="77"/>
  <c r="G1241" i="77"/>
  <c r="G1240" i="77"/>
  <c r="G1239" i="77"/>
  <c r="G1238" i="77"/>
  <c r="G1237" i="77"/>
  <c r="G1236" i="77"/>
  <c r="G1235" i="77"/>
  <c r="G1234" i="77"/>
  <c r="G1233" i="77"/>
  <c r="G1232" i="77"/>
  <c r="G1231" i="77"/>
  <c r="G1230" i="77"/>
  <c r="G1229" i="77"/>
  <c r="G1228" i="77"/>
  <c r="G1227" i="77"/>
  <c r="G1226" i="77"/>
  <c r="G1225" i="77"/>
  <c r="G1224" i="77"/>
  <c r="G1223" i="77"/>
  <c r="G1222" i="77"/>
  <c r="G1221" i="77"/>
  <c r="G1220" i="77"/>
  <c r="G1219" i="77"/>
  <c r="G1218" i="77"/>
  <c r="G1217" i="77"/>
  <c r="G1216" i="77"/>
  <c r="G1215" i="77"/>
  <c r="G1214" i="77"/>
  <c r="G1213" i="77"/>
  <c r="G1212" i="77"/>
  <c r="G1211" i="77"/>
  <c r="G1210" i="77"/>
  <c r="G1209" i="77"/>
  <c r="G1208" i="77"/>
  <c r="G1207" i="77"/>
  <c r="G1206" i="77"/>
  <c r="G1205" i="77"/>
  <c r="G1204" i="77"/>
  <c r="G1203" i="77"/>
  <c r="G1202" i="77"/>
  <c r="G1201" i="77"/>
  <c r="G1200" i="77"/>
  <c r="G1199" i="77"/>
  <c r="G1198" i="77"/>
  <c r="G1197" i="77"/>
  <c r="G1196" i="77"/>
  <c r="G1195" i="77"/>
  <c r="G1194" i="77"/>
  <c r="G1193" i="77"/>
  <c r="G1192" i="77"/>
  <c r="G1191" i="77"/>
  <c r="G1190" i="77"/>
  <c r="G1189" i="77"/>
  <c r="G1188" i="77"/>
  <c r="G1187" i="77"/>
  <c r="G1186" i="77"/>
  <c r="G1185" i="77"/>
  <c r="G1184" i="77"/>
  <c r="G1183" i="77"/>
  <c r="G1182" i="77"/>
  <c r="G1181" i="77"/>
  <c r="G1180" i="77"/>
  <c r="G1179" i="77"/>
  <c r="G1178" i="77"/>
  <c r="G1177" i="77"/>
  <c r="G1176" i="77"/>
  <c r="G1175" i="77"/>
  <c r="G1174" i="77"/>
  <c r="G1173" i="77"/>
  <c r="G1172" i="77"/>
  <c r="G1171" i="77"/>
  <c r="G1170" i="77"/>
  <c r="G1169" i="77"/>
  <c r="G1168" i="77"/>
  <c r="G1167" i="77"/>
  <c r="G1166" i="77"/>
  <c r="G1165" i="77"/>
  <c r="G1164" i="77"/>
  <c r="G1163" i="77"/>
  <c r="G1162" i="77"/>
  <c r="G1161" i="77"/>
  <c r="G1160" i="77"/>
  <c r="G1159" i="77"/>
  <c r="G1158" i="77"/>
  <c r="G1157" i="77"/>
  <c r="G1156" i="77"/>
  <c r="G1155" i="77"/>
  <c r="G1154" i="77"/>
  <c r="G1153" i="77"/>
  <c r="G1152" i="77"/>
  <c r="G1151" i="77"/>
  <c r="G1150" i="77"/>
  <c r="G1149" i="77"/>
  <c r="G1148" i="77"/>
  <c r="G1147" i="77"/>
  <c r="G1146" i="77"/>
  <c r="G1145" i="77"/>
  <c r="G1144" i="77"/>
  <c r="G1143" i="77"/>
  <c r="G1142" i="77"/>
  <c r="G1141" i="77"/>
  <c r="G1140" i="77"/>
  <c r="G1139" i="77"/>
  <c r="G1138" i="77"/>
  <c r="G1137" i="77"/>
  <c r="G1136" i="77"/>
  <c r="G1135" i="77"/>
  <c r="G1134" i="77"/>
  <c r="G1133" i="77"/>
  <c r="G1132" i="77"/>
  <c r="G1131" i="77"/>
  <c r="G1130" i="77"/>
  <c r="G1129" i="77"/>
  <c r="G1128" i="77"/>
  <c r="G1127" i="77"/>
  <c r="G1126" i="77"/>
  <c r="G1125" i="77"/>
  <c r="G1124" i="77"/>
  <c r="G1123" i="77"/>
  <c r="G1122" i="77"/>
  <c r="G1121" i="77"/>
  <c r="G1120" i="77"/>
  <c r="G1119" i="77"/>
  <c r="G1118" i="77"/>
  <c r="G1117" i="77"/>
  <c r="G1116" i="77"/>
  <c r="G1115" i="77"/>
  <c r="G1114" i="77"/>
  <c r="G1113" i="77"/>
  <c r="G1112" i="77"/>
  <c r="G1111" i="77"/>
  <c r="G1110" i="77"/>
  <c r="G1109" i="77"/>
  <c r="G1108" i="77"/>
  <c r="G1107" i="77"/>
  <c r="G1106" i="77"/>
  <c r="G1105" i="77"/>
  <c r="G1104" i="77"/>
  <c r="G1103" i="77"/>
  <c r="G1102" i="77"/>
  <c r="G1101" i="77"/>
  <c r="G1100" i="77"/>
  <c r="G1099" i="77"/>
  <c r="G1098" i="77"/>
  <c r="G1097" i="77"/>
  <c r="G1096" i="77"/>
  <c r="G1095" i="77"/>
  <c r="G1094" i="77"/>
  <c r="G1093" i="77"/>
  <c r="G1092" i="77"/>
  <c r="G1091" i="77"/>
  <c r="G1090" i="77"/>
  <c r="G1089" i="77"/>
  <c r="G1088" i="77"/>
  <c r="G1087" i="77"/>
  <c r="G1086" i="77"/>
  <c r="G1085" i="77"/>
  <c r="G1084" i="77"/>
  <c r="G1083" i="77"/>
  <c r="G1082" i="77"/>
  <c r="G1081" i="77"/>
  <c r="G1080" i="77"/>
  <c r="G1079" i="77"/>
  <c r="G1078" i="77"/>
  <c r="G1077" i="77"/>
  <c r="G1076" i="77"/>
  <c r="G1075" i="77"/>
  <c r="G1074" i="77"/>
  <c r="G1073" i="77"/>
  <c r="G1072" i="77"/>
  <c r="G1071" i="77"/>
  <c r="G1070" i="77"/>
  <c r="G1069" i="77"/>
  <c r="G1068" i="77"/>
  <c r="G1067" i="77"/>
  <c r="G1066" i="77"/>
  <c r="G1065" i="77"/>
  <c r="G1064" i="77"/>
  <c r="G1063" i="77"/>
  <c r="G1062" i="77"/>
  <c r="G1061" i="77"/>
  <c r="G1060" i="77"/>
  <c r="G1059" i="77"/>
  <c r="G1058" i="77"/>
  <c r="G1057" i="77"/>
  <c r="G1056" i="77"/>
  <c r="G1055" i="77"/>
  <c r="G1054" i="77"/>
  <c r="G1053" i="77"/>
  <c r="G1052" i="77"/>
  <c r="G1051" i="77"/>
  <c r="G1050" i="77"/>
  <c r="G1049" i="77"/>
  <c r="G1048" i="77"/>
  <c r="G1047" i="77"/>
  <c r="G1046" i="77"/>
  <c r="G1045" i="77"/>
  <c r="G1044" i="77"/>
  <c r="G1043" i="77"/>
  <c r="G1042" i="77"/>
  <c r="G1041" i="77"/>
  <c r="G1040" i="77"/>
  <c r="G1039" i="77"/>
  <c r="G1038" i="77"/>
  <c r="G1037" i="77"/>
  <c r="G1036" i="77"/>
  <c r="G1035" i="77"/>
  <c r="G1034" i="77"/>
  <c r="G1033" i="77"/>
  <c r="G1032" i="77"/>
  <c r="G1031" i="77"/>
  <c r="G1030" i="77"/>
  <c r="G1029" i="77"/>
  <c r="G1028" i="77"/>
  <c r="G1027" i="77"/>
  <c r="G1026" i="77"/>
  <c r="G1025" i="77"/>
  <c r="G1024" i="77"/>
  <c r="G1023" i="77"/>
  <c r="G1022" i="77"/>
  <c r="G1021" i="77"/>
  <c r="G1020" i="77"/>
  <c r="G1019" i="77"/>
  <c r="G1018" i="77"/>
  <c r="G1017" i="77"/>
  <c r="G1016" i="77"/>
  <c r="G1015" i="77"/>
  <c r="G1014" i="77"/>
  <c r="G1013" i="77"/>
  <c r="G1012" i="77"/>
  <c r="G1011" i="77"/>
  <c r="G1010" i="77"/>
  <c r="G1009" i="77"/>
  <c r="G1008" i="77"/>
  <c r="G1007" i="77"/>
  <c r="G1006" i="77"/>
  <c r="G1005" i="77"/>
  <c r="G1004" i="77"/>
  <c r="G1003" i="77"/>
  <c r="G1002" i="77"/>
  <c r="G1001" i="77"/>
  <c r="G1000" i="77"/>
  <c r="G999" i="77"/>
  <c r="G998" i="77"/>
  <c r="G997" i="77"/>
  <c r="G996" i="77"/>
  <c r="G995" i="77"/>
  <c r="G994" i="77"/>
  <c r="G993" i="77"/>
  <c r="G992" i="77"/>
  <c r="G991" i="77"/>
  <c r="G990" i="77"/>
  <c r="G989" i="77"/>
  <c r="G988" i="77"/>
  <c r="G987" i="77"/>
  <c r="G986" i="77"/>
  <c r="G985" i="77"/>
  <c r="G984" i="77"/>
  <c r="G983" i="77"/>
  <c r="G982" i="77"/>
  <c r="G981" i="77"/>
  <c r="G980" i="77"/>
  <c r="G979" i="77"/>
  <c r="G978" i="77"/>
  <c r="G977" i="77"/>
  <c r="G976" i="77"/>
  <c r="G975" i="77"/>
  <c r="G974" i="77"/>
  <c r="G973" i="77"/>
  <c r="G972" i="77"/>
  <c r="G971" i="77"/>
  <c r="G970" i="77"/>
  <c r="G969" i="77"/>
  <c r="G968" i="77"/>
  <c r="G967" i="77"/>
  <c r="G966" i="77"/>
  <c r="G965" i="77"/>
  <c r="G964" i="77"/>
  <c r="G963" i="77"/>
  <c r="G962" i="77"/>
  <c r="G961" i="77"/>
  <c r="G960" i="77"/>
  <c r="G959" i="77"/>
  <c r="G958" i="77"/>
  <c r="G957" i="77"/>
  <c r="G956" i="77"/>
  <c r="G955" i="77"/>
  <c r="G954" i="77"/>
  <c r="G953" i="77"/>
  <c r="G952" i="77"/>
  <c r="G951" i="77"/>
  <c r="G950" i="77"/>
  <c r="G949" i="77"/>
  <c r="G948" i="77"/>
  <c r="G947" i="77"/>
  <c r="G946" i="77"/>
  <c r="G945" i="77"/>
  <c r="G944" i="77"/>
  <c r="G943" i="77"/>
  <c r="G942" i="77"/>
  <c r="G941" i="77"/>
  <c r="G940" i="77"/>
  <c r="G939" i="77"/>
  <c r="G938" i="77"/>
  <c r="G937" i="77"/>
  <c r="G936" i="77"/>
  <c r="G935" i="77"/>
  <c r="G934" i="77"/>
  <c r="G933" i="77"/>
  <c r="G932" i="77"/>
  <c r="G931" i="77"/>
  <c r="G930" i="77"/>
  <c r="G929" i="77"/>
  <c r="G928" i="77"/>
  <c r="G927" i="77"/>
  <c r="G926" i="77"/>
  <c r="G925" i="77"/>
  <c r="G924" i="77"/>
  <c r="G923" i="77"/>
  <c r="G922" i="77"/>
  <c r="G921" i="77"/>
  <c r="G920" i="77"/>
  <c r="G919" i="77"/>
  <c r="G918" i="77"/>
  <c r="G917" i="77"/>
  <c r="G916" i="77"/>
  <c r="G915" i="77"/>
  <c r="G914" i="77"/>
  <c r="G913" i="77"/>
  <c r="G912" i="77"/>
  <c r="G911" i="77"/>
  <c r="G910" i="77"/>
  <c r="G909" i="77"/>
  <c r="G908" i="77"/>
  <c r="G907" i="77"/>
  <c r="G906" i="77"/>
  <c r="G905" i="77"/>
  <c r="G904" i="77"/>
  <c r="G903" i="77"/>
  <c r="G902" i="77"/>
  <c r="G901" i="77"/>
  <c r="G900" i="77"/>
  <c r="G899" i="77"/>
  <c r="G898" i="77"/>
  <c r="G897" i="77"/>
  <c r="G896" i="77"/>
  <c r="G895" i="77"/>
  <c r="G894" i="77"/>
  <c r="G893" i="77"/>
  <c r="G892" i="77"/>
  <c r="G891" i="77"/>
  <c r="G890" i="77"/>
  <c r="G889" i="77"/>
  <c r="G888" i="77"/>
  <c r="G887" i="77"/>
  <c r="G886" i="77"/>
  <c r="G885" i="77"/>
  <c r="G884" i="77"/>
  <c r="G883" i="77"/>
  <c r="G882" i="77"/>
  <c r="G881" i="77"/>
  <c r="G880" i="77"/>
  <c r="G879" i="77"/>
  <c r="G878" i="77"/>
  <c r="G877" i="77"/>
  <c r="G876" i="77"/>
  <c r="G875" i="77"/>
  <c r="G874" i="77"/>
  <c r="G873" i="77"/>
  <c r="G872" i="77"/>
  <c r="G871" i="77"/>
  <c r="G870" i="77"/>
  <c r="G869" i="77"/>
  <c r="G868" i="77"/>
  <c r="G867" i="77"/>
  <c r="G866" i="77"/>
  <c r="G865" i="77"/>
  <c r="G864" i="77"/>
  <c r="G863" i="77"/>
  <c r="G862" i="77"/>
  <c r="G861" i="77"/>
  <c r="G860" i="77"/>
  <c r="G859" i="77"/>
  <c r="G858" i="77"/>
  <c r="G857" i="77"/>
  <c r="G856" i="77"/>
  <c r="G855" i="77"/>
  <c r="G854" i="77"/>
  <c r="G853" i="77"/>
  <c r="G852" i="77"/>
  <c r="G851" i="77"/>
  <c r="G850" i="77"/>
  <c r="G849" i="77"/>
  <c r="G848" i="77"/>
  <c r="G847" i="77"/>
  <c r="G846" i="77"/>
  <c r="G845" i="77"/>
  <c r="G844" i="77"/>
  <c r="G843" i="77"/>
  <c r="G842" i="77"/>
  <c r="G841" i="77"/>
  <c r="G840" i="77"/>
  <c r="G839" i="77"/>
  <c r="G838" i="77"/>
  <c r="G837" i="77"/>
  <c r="G836" i="77"/>
  <c r="G835" i="77"/>
  <c r="G834" i="77"/>
  <c r="G833" i="77"/>
  <c r="G832" i="77"/>
  <c r="G831" i="77"/>
  <c r="G830" i="77"/>
  <c r="G829" i="77"/>
  <c r="G828" i="77"/>
  <c r="G827" i="77"/>
  <c r="G826" i="77"/>
  <c r="G825" i="77"/>
  <c r="G824" i="77"/>
  <c r="G823" i="77"/>
  <c r="G822" i="77"/>
  <c r="G821" i="77"/>
  <c r="G820" i="77"/>
  <c r="G819" i="77"/>
  <c r="G818" i="77"/>
  <c r="G817" i="77"/>
  <c r="G816" i="77"/>
  <c r="G815" i="77"/>
  <c r="G814" i="77"/>
  <c r="G813" i="77"/>
  <c r="G812" i="77"/>
  <c r="G811" i="77"/>
  <c r="G810" i="77"/>
  <c r="G809" i="77"/>
  <c r="G808" i="77"/>
  <c r="G807" i="77"/>
  <c r="G806" i="77"/>
  <c r="G805" i="77"/>
  <c r="G804" i="77"/>
  <c r="G803" i="77"/>
  <c r="G802" i="77"/>
  <c r="G801" i="77"/>
  <c r="G800" i="77"/>
  <c r="G799" i="77"/>
  <c r="G798" i="77"/>
  <c r="G797" i="77"/>
  <c r="G796" i="77"/>
  <c r="G795" i="77"/>
  <c r="G794" i="77"/>
  <c r="G793" i="77"/>
  <c r="G792" i="77"/>
  <c r="G791" i="77"/>
  <c r="G790" i="77"/>
  <c r="G789" i="77"/>
  <c r="G788" i="77"/>
  <c r="G787" i="77"/>
  <c r="G786" i="77"/>
  <c r="G785" i="77"/>
  <c r="G784" i="77"/>
  <c r="G783" i="77"/>
  <c r="G782" i="77"/>
  <c r="G781" i="77"/>
  <c r="G780" i="77"/>
  <c r="G779" i="77"/>
  <c r="G778" i="77"/>
  <c r="G777" i="77"/>
  <c r="G776" i="77"/>
  <c r="G775" i="77"/>
  <c r="G774" i="77"/>
  <c r="G773" i="77"/>
  <c r="G772" i="77"/>
  <c r="G771" i="77"/>
  <c r="G770" i="77"/>
  <c r="G769" i="77"/>
  <c r="G768" i="77"/>
  <c r="G767" i="77"/>
  <c r="G766" i="77"/>
  <c r="G765" i="77"/>
  <c r="G764" i="77"/>
  <c r="G763" i="77"/>
  <c r="G762" i="77"/>
  <c r="G761" i="77"/>
  <c r="G760" i="77"/>
  <c r="G759" i="77"/>
  <c r="G758" i="77"/>
  <c r="G757" i="77"/>
  <c r="G756" i="77"/>
  <c r="G755" i="77"/>
  <c r="G754" i="77"/>
  <c r="G753" i="77"/>
  <c r="G752" i="77"/>
  <c r="G751" i="77"/>
  <c r="G750" i="77"/>
  <c r="G749" i="77"/>
  <c r="G748" i="77"/>
  <c r="G747" i="77"/>
  <c r="G746" i="77"/>
  <c r="G745" i="77"/>
  <c r="G744" i="77"/>
  <c r="G743" i="77"/>
  <c r="G742" i="77"/>
  <c r="G741" i="77"/>
  <c r="G740" i="77"/>
  <c r="G739" i="77"/>
  <c r="G738" i="77"/>
  <c r="G737" i="77"/>
  <c r="G736" i="77"/>
  <c r="G735" i="77"/>
  <c r="G734" i="77"/>
  <c r="G733" i="77"/>
  <c r="G732" i="77"/>
  <c r="G731" i="77"/>
  <c r="G730" i="77"/>
  <c r="G729" i="77"/>
  <c r="G728" i="77"/>
  <c r="G727" i="77"/>
  <c r="G726" i="77"/>
  <c r="G725" i="77"/>
  <c r="G724" i="77"/>
  <c r="G723" i="77"/>
  <c r="G722" i="77"/>
  <c r="G721" i="77"/>
  <c r="G720" i="77"/>
  <c r="G719" i="77"/>
  <c r="G718" i="77"/>
  <c r="G717" i="77"/>
  <c r="G716" i="77"/>
  <c r="G715" i="77"/>
  <c r="G714" i="77"/>
  <c r="G713" i="77"/>
  <c r="G712" i="77"/>
  <c r="G711" i="77"/>
  <c r="G710" i="77"/>
  <c r="G709" i="77"/>
  <c r="G708" i="77"/>
  <c r="G707" i="77"/>
  <c r="G706" i="77"/>
  <c r="G705" i="77"/>
  <c r="G704" i="77"/>
  <c r="G703" i="77"/>
  <c r="G702" i="77"/>
  <c r="G701" i="77"/>
  <c r="G700" i="77"/>
  <c r="G699" i="77"/>
  <c r="G698" i="77"/>
  <c r="G697" i="77"/>
  <c r="G696" i="77"/>
  <c r="G695" i="77"/>
  <c r="G694" i="77"/>
  <c r="G693" i="77"/>
  <c r="G692" i="77"/>
  <c r="G691" i="77"/>
  <c r="G690" i="77"/>
  <c r="G689" i="77"/>
  <c r="G688" i="77"/>
  <c r="G687" i="77"/>
  <c r="G686" i="77"/>
  <c r="G685" i="77"/>
  <c r="G684" i="77"/>
  <c r="G683" i="77"/>
  <c r="G682" i="77"/>
  <c r="G681" i="77"/>
  <c r="G680" i="77"/>
  <c r="G679" i="77"/>
  <c r="G678" i="77"/>
  <c r="G677" i="77"/>
  <c r="G676" i="77"/>
  <c r="G675" i="77"/>
  <c r="G674" i="77"/>
  <c r="G673" i="77"/>
  <c r="G672" i="77"/>
  <c r="G671" i="77"/>
  <c r="G670" i="77"/>
  <c r="G669" i="77"/>
  <c r="G668" i="77"/>
  <c r="G667" i="77"/>
  <c r="G666" i="77"/>
  <c r="G665" i="77"/>
  <c r="G664" i="77"/>
  <c r="G663" i="77"/>
  <c r="G662" i="77"/>
  <c r="G661" i="77"/>
  <c r="G660" i="77"/>
  <c r="G659" i="77"/>
  <c r="G658" i="77"/>
  <c r="G657" i="77"/>
  <c r="G656" i="77"/>
  <c r="G655" i="77"/>
  <c r="G654" i="77"/>
  <c r="G653" i="77"/>
  <c r="G652" i="77"/>
  <c r="G651" i="77"/>
  <c r="G650" i="77"/>
  <c r="G649" i="77"/>
  <c r="G648" i="77"/>
  <c r="G647" i="77"/>
  <c r="G646" i="77"/>
  <c r="G645" i="77"/>
  <c r="G644" i="77"/>
  <c r="G643" i="77"/>
  <c r="G642" i="77"/>
  <c r="G641" i="77"/>
  <c r="G640" i="77"/>
  <c r="G639" i="77"/>
  <c r="G638" i="77"/>
  <c r="G637" i="77"/>
  <c r="G636" i="77"/>
  <c r="G635" i="77"/>
  <c r="G634" i="77"/>
  <c r="G633" i="77"/>
  <c r="G632" i="77"/>
  <c r="G631" i="77"/>
  <c r="G630" i="77"/>
  <c r="G629" i="77"/>
  <c r="G628" i="77"/>
  <c r="G627" i="77"/>
  <c r="G626" i="77"/>
  <c r="G625" i="77"/>
  <c r="G624" i="77"/>
  <c r="G623" i="77"/>
  <c r="G622" i="77"/>
  <c r="G621" i="77"/>
  <c r="G620" i="77"/>
  <c r="G619" i="77"/>
  <c r="G618" i="77"/>
  <c r="G617" i="77"/>
  <c r="G616" i="77"/>
  <c r="G615" i="77"/>
  <c r="G614" i="77"/>
  <c r="G613" i="77"/>
  <c r="G612" i="77"/>
  <c r="G611" i="77"/>
  <c r="G610" i="77"/>
  <c r="G609" i="77"/>
  <c r="G608" i="77"/>
  <c r="G607" i="77"/>
  <c r="G606" i="77"/>
  <c r="G605" i="77"/>
  <c r="G604" i="77"/>
  <c r="G603" i="77"/>
  <c r="G602" i="77"/>
  <c r="G601" i="77"/>
  <c r="G600" i="77"/>
  <c r="G599" i="77"/>
  <c r="G598" i="77"/>
  <c r="G597" i="77"/>
  <c r="G596" i="77"/>
  <c r="G595" i="77"/>
  <c r="G594" i="77"/>
  <c r="G593" i="77"/>
  <c r="G592" i="77"/>
  <c r="G591" i="77"/>
  <c r="G590" i="77"/>
  <c r="G589" i="77"/>
  <c r="G588" i="77"/>
  <c r="G587" i="77"/>
  <c r="G586" i="77"/>
  <c r="G585" i="77"/>
  <c r="G584" i="77"/>
  <c r="G583" i="77"/>
  <c r="G582" i="77"/>
  <c r="G581" i="77"/>
  <c r="G580" i="77"/>
  <c r="G579" i="77"/>
  <c r="G578" i="77"/>
  <c r="G577" i="77"/>
  <c r="G576" i="77"/>
  <c r="G575" i="77"/>
  <c r="G574" i="77"/>
  <c r="G573" i="77"/>
  <c r="G572" i="77"/>
  <c r="G571" i="77"/>
  <c r="G570" i="77"/>
  <c r="G569" i="77"/>
  <c r="G568" i="77"/>
  <c r="G567" i="77"/>
  <c r="G566" i="77"/>
  <c r="G565" i="77"/>
  <c r="G564" i="77"/>
  <c r="G563" i="77"/>
  <c r="G562" i="77"/>
  <c r="G561" i="77"/>
  <c r="G560" i="77"/>
  <c r="G559" i="77"/>
  <c r="G558" i="77"/>
  <c r="G557" i="77"/>
  <c r="G556" i="77"/>
  <c r="G555" i="77"/>
  <c r="G554" i="77"/>
  <c r="G553" i="77"/>
  <c r="G552" i="77"/>
  <c r="G551" i="77"/>
  <c r="G550" i="77"/>
  <c r="G549" i="77"/>
  <c r="G548" i="77"/>
  <c r="G547" i="77"/>
  <c r="G546" i="77"/>
  <c r="G545" i="77"/>
  <c r="G544" i="77"/>
  <c r="G543" i="77"/>
  <c r="G542" i="77"/>
  <c r="G541" i="77"/>
  <c r="G540" i="77"/>
  <c r="G539" i="77"/>
  <c r="G538" i="77"/>
  <c r="G537" i="77"/>
  <c r="G536" i="77"/>
  <c r="G535" i="77"/>
  <c r="G534" i="77"/>
  <c r="G533" i="77"/>
  <c r="G532" i="77"/>
  <c r="G531" i="77"/>
  <c r="G530" i="77"/>
  <c r="G529" i="77"/>
  <c r="G528" i="77"/>
  <c r="G527" i="77"/>
  <c r="G526" i="77"/>
  <c r="G525" i="77"/>
  <c r="G524" i="77"/>
  <c r="G523" i="77"/>
  <c r="G522" i="77"/>
  <c r="G521" i="77"/>
  <c r="G520" i="77"/>
  <c r="G519" i="77"/>
  <c r="G518" i="77"/>
  <c r="G517" i="77"/>
  <c r="G516" i="77"/>
  <c r="G515" i="77"/>
  <c r="G514" i="77"/>
  <c r="G513" i="77"/>
  <c r="G512" i="77"/>
  <c r="G511" i="77"/>
  <c r="G510" i="77"/>
  <c r="G509" i="77"/>
  <c r="G508" i="77"/>
  <c r="G507" i="77"/>
  <c r="G506" i="77"/>
  <c r="G505" i="77"/>
  <c r="G504" i="77"/>
  <c r="G503" i="77"/>
  <c r="G502" i="77"/>
  <c r="G501" i="77"/>
  <c r="G500" i="77"/>
  <c r="G499" i="77"/>
  <c r="G498" i="77"/>
  <c r="G497" i="77"/>
  <c r="G496" i="77"/>
  <c r="G495" i="77"/>
  <c r="G494" i="77"/>
  <c r="G493" i="77"/>
  <c r="G492" i="77"/>
  <c r="G491" i="77"/>
  <c r="G490" i="77"/>
  <c r="G489" i="77"/>
  <c r="G488" i="77"/>
  <c r="G487" i="77"/>
  <c r="G486" i="77"/>
  <c r="G485" i="77"/>
  <c r="G484" i="77"/>
  <c r="G483" i="77"/>
  <c r="G482" i="77"/>
  <c r="G481" i="77"/>
  <c r="G480" i="77"/>
  <c r="G479" i="77"/>
  <c r="G478" i="77"/>
  <c r="G477" i="77"/>
  <c r="G476" i="77"/>
  <c r="G475" i="77"/>
  <c r="G474" i="77"/>
  <c r="G473" i="77"/>
  <c r="G472" i="77"/>
  <c r="G471" i="77"/>
  <c r="G470" i="77"/>
  <c r="G469" i="77"/>
  <c r="G468" i="77"/>
  <c r="G467" i="77"/>
  <c r="G466" i="77"/>
  <c r="G465" i="77"/>
  <c r="G464" i="77"/>
  <c r="G463" i="77"/>
  <c r="G462" i="77"/>
  <c r="G461" i="77"/>
  <c r="G460" i="77"/>
  <c r="G459" i="77"/>
  <c r="G458" i="77"/>
  <c r="G457" i="77"/>
  <c r="G456" i="77"/>
  <c r="G455" i="77"/>
  <c r="G454" i="77"/>
  <c r="G453" i="77"/>
  <c r="G452" i="77"/>
  <c r="G451" i="77"/>
  <c r="G450" i="77"/>
  <c r="G449" i="77"/>
  <c r="G448" i="77"/>
  <c r="G447" i="77"/>
  <c r="G446" i="77"/>
  <c r="G445" i="77"/>
  <c r="G444" i="77"/>
  <c r="G443" i="77"/>
  <c r="G442" i="77"/>
  <c r="G441" i="77"/>
  <c r="G440" i="77"/>
  <c r="G439" i="77"/>
  <c r="G438" i="77"/>
  <c r="G437" i="77"/>
  <c r="G436" i="77"/>
  <c r="G435" i="77"/>
  <c r="G434" i="77"/>
  <c r="G433" i="77"/>
  <c r="G432" i="77"/>
  <c r="G431" i="77"/>
  <c r="G430" i="77"/>
  <c r="G429" i="77"/>
  <c r="G428" i="77"/>
  <c r="G427" i="77"/>
  <c r="G426" i="77"/>
  <c r="G425" i="77"/>
  <c r="G424" i="77"/>
  <c r="G423" i="77"/>
  <c r="G422" i="77"/>
  <c r="G421" i="77"/>
  <c r="G420" i="77"/>
  <c r="G419" i="77"/>
  <c r="G418" i="77"/>
  <c r="G417" i="77"/>
  <c r="G416" i="77"/>
  <c r="G415" i="77"/>
  <c r="G414" i="77"/>
  <c r="G413" i="77"/>
  <c r="G412" i="77"/>
  <c r="G411" i="77"/>
  <c r="G410" i="77"/>
  <c r="G409" i="77"/>
  <c r="G408" i="77"/>
  <c r="G407" i="77"/>
  <c r="G406" i="77"/>
  <c r="G405" i="77"/>
  <c r="G404" i="77"/>
  <c r="G403" i="77"/>
  <c r="G402" i="77"/>
  <c r="G401" i="77"/>
  <c r="G400" i="77"/>
  <c r="G399" i="77"/>
  <c r="G398" i="77"/>
  <c r="G397" i="77"/>
  <c r="G396" i="77"/>
  <c r="G395" i="77"/>
  <c r="G394" i="77"/>
  <c r="G393" i="77"/>
  <c r="G392" i="77"/>
  <c r="G391" i="77"/>
  <c r="G390" i="77"/>
  <c r="G389" i="77"/>
  <c r="G388" i="77"/>
  <c r="G387" i="77"/>
  <c r="G386" i="77"/>
  <c r="G385" i="77"/>
  <c r="G384" i="77"/>
  <c r="G383" i="77"/>
  <c r="G382" i="77"/>
  <c r="G381" i="77"/>
  <c r="G380" i="77"/>
  <c r="G379" i="77"/>
  <c r="G378" i="77"/>
  <c r="G377" i="77"/>
  <c r="G376" i="77"/>
  <c r="G375" i="77"/>
  <c r="G374" i="77"/>
  <c r="G373" i="77"/>
  <c r="G372" i="77"/>
  <c r="G371" i="77"/>
  <c r="G370" i="77"/>
  <c r="G369" i="77"/>
  <c r="G368" i="77"/>
  <c r="G367" i="77"/>
  <c r="G366" i="77"/>
  <c r="G365" i="77"/>
  <c r="G364" i="77"/>
  <c r="G363" i="77"/>
  <c r="G362" i="77"/>
  <c r="G361" i="77"/>
  <c r="G360" i="77"/>
  <c r="G359" i="77"/>
  <c r="G358" i="77"/>
  <c r="G357" i="77"/>
  <c r="G356" i="77"/>
  <c r="G355" i="77"/>
  <c r="G354" i="77"/>
  <c r="G353" i="77"/>
  <c r="G352" i="77"/>
  <c r="G351" i="77"/>
  <c r="G350" i="77"/>
  <c r="G349" i="77"/>
  <c r="G348" i="77"/>
  <c r="G347" i="77"/>
  <c r="G346" i="77"/>
  <c r="G345" i="77"/>
  <c r="G344" i="77"/>
  <c r="G343" i="77"/>
  <c r="G342" i="77"/>
  <c r="G341" i="77"/>
  <c r="G340" i="77"/>
  <c r="G339" i="77"/>
  <c r="G338" i="77"/>
  <c r="G337" i="77"/>
  <c r="G336" i="77"/>
  <c r="G335" i="77"/>
  <c r="G334" i="77"/>
  <c r="G333" i="77"/>
  <c r="G332" i="77"/>
  <c r="G331" i="77"/>
  <c r="G330" i="77"/>
  <c r="G329" i="77"/>
  <c r="G328" i="77"/>
  <c r="G327" i="77"/>
  <c r="G326" i="77"/>
  <c r="G325" i="77"/>
  <c r="G324" i="77"/>
  <c r="G323" i="77"/>
  <c r="G322" i="77"/>
  <c r="G321" i="77"/>
  <c r="G320" i="77"/>
  <c r="G319" i="77"/>
  <c r="G318" i="77"/>
  <c r="G317" i="77"/>
  <c r="G316" i="77"/>
  <c r="G315" i="77"/>
  <c r="G314" i="77"/>
  <c r="G313" i="77"/>
  <c r="G312" i="77"/>
  <c r="G311" i="77"/>
  <c r="G310" i="77"/>
  <c r="G309" i="77"/>
  <c r="G308" i="77"/>
  <c r="G307" i="77"/>
  <c r="G306" i="77"/>
  <c r="G305" i="77"/>
  <c r="G304" i="77"/>
  <c r="G303" i="77"/>
  <c r="G302" i="77"/>
  <c r="G301" i="77"/>
  <c r="G300" i="77"/>
  <c r="G299" i="77"/>
  <c r="G298" i="77"/>
  <c r="G297" i="77"/>
  <c r="G296" i="77"/>
  <c r="G295" i="77"/>
  <c r="G294" i="77"/>
  <c r="G293" i="77"/>
  <c r="G292" i="77"/>
  <c r="G291" i="77"/>
  <c r="G290" i="77"/>
  <c r="G289" i="77"/>
  <c r="G288" i="77"/>
  <c r="G287" i="77"/>
  <c r="G286" i="77"/>
  <c r="G285" i="77"/>
  <c r="G284" i="77"/>
  <c r="G283" i="77"/>
  <c r="G282" i="77"/>
  <c r="G281" i="77"/>
  <c r="G280" i="77"/>
  <c r="G279" i="77"/>
  <c r="G278" i="77"/>
  <c r="G277" i="77"/>
  <c r="G276" i="77"/>
  <c r="G275" i="77"/>
  <c r="G274" i="77"/>
  <c r="G273" i="77"/>
  <c r="G272" i="77"/>
  <c r="G271" i="77"/>
  <c r="G270" i="77"/>
  <c r="G269" i="77"/>
  <c r="G268" i="77"/>
  <c r="G267" i="77"/>
  <c r="G266" i="77"/>
  <c r="G265" i="77"/>
  <c r="G264" i="77"/>
  <c r="G263" i="77"/>
  <c r="G262" i="77"/>
  <c r="G261" i="77"/>
  <c r="G260" i="77"/>
  <c r="G259" i="77"/>
  <c r="G258" i="77"/>
  <c r="G257" i="77"/>
  <c r="G256" i="77"/>
  <c r="G255" i="77"/>
  <c r="G254" i="77"/>
  <c r="G253" i="77"/>
  <c r="G252" i="77"/>
  <c r="G251" i="77"/>
  <c r="G250" i="77"/>
  <c r="G249" i="77"/>
  <c r="G248" i="77"/>
  <c r="G247" i="77"/>
  <c r="G246" i="77"/>
  <c r="G245" i="77"/>
  <c r="G244" i="77"/>
  <c r="G243" i="77"/>
  <c r="G242" i="77"/>
  <c r="G241" i="77"/>
  <c r="G240" i="77"/>
  <c r="G239" i="77"/>
  <c r="G238" i="77"/>
  <c r="G237" i="77"/>
  <c r="G236" i="77"/>
  <c r="G235" i="77"/>
  <c r="G234" i="77"/>
  <c r="G233" i="77"/>
  <c r="G232" i="77"/>
  <c r="G231" i="77"/>
  <c r="G230" i="77"/>
  <c r="G229" i="77"/>
  <c r="G228" i="77"/>
  <c r="G227" i="77"/>
  <c r="G226" i="77"/>
  <c r="G225" i="77"/>
  <c r="G224" i="77"/>
  <c r="G223" i="77"/>
  <c r="G222" i="77"/>
  <c r="G221" i="77"/>
  <c r="G220" i="77"/>
  <c r="G219" i="77"/>
  <c r="G218" i="77"/>
  <c r="G217" i="77"/>
  <c r="G216" i="77"/>
  <c r="G215" i="77"/>
  <c r="G214" i="77"/>
  <c r="G213" i="77"/>
  <c r="G212" i="77"/>
  <c r="G211" i="77"/>
  <c r="G210" i="77"/>
  <c r="G209" i="77"/>
  <c r="G208" i="77"/>
  <c r="G207" i="77"/>
  <c r="G206" i="77"/>
  <c r="G205" i="77"/>
  <c r="G204" i="77"/>
  <c r="G203" i="77"/>
  <c r="G202" i="77"/>
  <c r="G201" i="77"/>
  <c r="G200" i="77"/>
  <c r="G199" i="77"/>
  <c r="G198" i="77"/>
  <c r="G197" i="77"/>
  <c r="G196" i="77"/>
  <c r="G195" i="77"/>
  <c r="G194" i="77"/>
  <c r="G193" i="77"/>
  <c r="G192" i="77"/>
  <c r="G191" i="77"/>
  <c r="G190" i="77"/>
  <c r="G189" i="77"/>
  <c r="G188" i="77"/>
  <c r="G187" i="77"/>
  <c r="G186" i="77"/>
  <c r="G185" i="77"/>
  <c r="G184" i="77"/>
  <c r="G183" i="77"/>
  <c r="G182" i="77"/>
  <c r="G181" i="77"/>
  <c r="G180" i="77"/>
  <c r="G179" i="77"/>
  <c r="G178" i="77"/>
  <c r="G177" i="77"/>
  <c r="G176" i="77"/>
  <c r="G175" i="77"/>
  <c r="G174" i="77"/>
  <c r="G173" i="77"/>
  <c r="G172" i="77"/>
  <c r="G171" i="77"/>
  <c r="G170" i="77"/>
  <c r="G169" i="77"/>
  <c r="G168" i="77"/>
  <c r="G167" i="77"/>
  <c r="G166" i="77"/>
  <c r="G165" i="77"/>
  <c r="G164" i="77"/>
  <c r="G163" i="77"/>
  <c r="G162" i="77"/>
  <c r="G161" i="77"/>
  <c r="G160" i="77"/>
  <c r="G159" i="77"/>
  <c r="G158" i="77"/>
  <c r="G157" i="77"/>
  <c r="G156" i="77"/>
  <c r="G155" i="77"/>
  <c r="G154" i="77"/>
  <c r="G153" i="77"/>
  <c r="G152" i="77"/>
  <c r="G151" i="77"/>
  <c r="G150" i="77"/>
  <c r="G149" i="77"/>
  <c r="G148" i="77"/>
  <c r="G147" i="77"/>
  <c r="G146" i="77"/>
  <c r="G145" i="77"/>
  <c r="G144" i="77"/>
  <c r="G143" i="77"/>
  <c r="G142" i="77"/>
  <c r="G141" i="77"/>
  <c r="G140" i="77"/>
  <c r="G139" i="77"/>
  <c r="G138" i="77"/>
  <c r="G137" i="77"/>
  <c r="G136" i="77"/>
  <c r="G135" i="77"/>
  <c r="G134" i="77"/>
  <c r="G133" i="77"/>
  <c r="G132" i="77"/>
  <c r="G131" i="77"/>
  <c r="G130" i="77"/>
  <c r="G129" i="77"/>
  <c r="G128" i="77"/>
  <c r="G127" i="77"/>
  <c r="G126" i="77"/>
  <c r="G125" i="77"/>
  <c r="G124" i="77"/>
  <c r="G123" i="77"/>
  <c r="G122" i="77"/>
  <c r="G121" i="77"/>
  <c r="G120" i="77"/>
  <c r="G119" i="77"/>
  <c r="G118" i="77"/>
  <c r="G117" i="77"/>
  <c r="G116" i="77"/>
  <c r="G115" i="77"/>
  <c r="G114" i="77"/>
  <c r="G113" i="77"/>
  <c r="G112" i="77"/>
  <c r="G111" i="77"/>
  <c r="G110" i="77"/>
  <c r="G109" i="77"/>
  <c r="G108" i="77"/>
  <c r="G107" i="77"/>
  <c r="G106" i="77"/>
  <c r="G105" i="77"/>
  <c r="G104" i="77"/>
  <c r="G103" i="77"/>
  <c r="G102" i="77"/>
  <c r="G101" i="77"/>
  <c r="G100" i="77"/>
  <c r="G99" i="77"/>
  <c r="G98" i="77"/>
  <c r="G97" i="77"/>
  <c r="G96" i="77"/>
  <c r="G95" i="77"/>
  <c r="G94" i="77"/>
  <c r="G93" i="77"/>
  <c r="G92" i="77"/>
  <c r="G91" i="77"/>
  <c r="G90" i="77"/>
  <c r="G89" i="77"/>
  <c r="G88" i="77"/>
  <c r="G87" i="77"/>
  <c r="G86" i="77"/>
  <c r="G85" i="77"/>
  <c r="G84" i="77"/>
  <c r="G83" i="77"/>
  <c r="G82" i="77"/>
  <c r="G81" i="77"/>
  <c r="G80" i="77"/>
  <c r="G79" i="77"/>
  <c r="G78" i="77"/>
  <c r="G77" i="77"/>
  <c r="G76" i="77"/>
  <c r="G75" i="77"/>
  <c r="G74" i="77"/>
  <c r="G73" i="77"/>
  <c r="G72" i="77"/>
  <c r="G71" i="77"/>
  <c r="G70" i="77"/>
  <c r="G69" i="77"/>
  <c r="G68" i="77"/>
  <c r="G67" i="77"/>
  <c r="G66" i="77"/>
  <c r="G65" i="77"/>
  <c r="G64" i="77"/>
  <c r="G63" i="77"/>
  <c r="G62" i="77"/>
  <c r="G61" i="77"/>
  <c r="G60" i="77"/>
  <c r="G59" i="77"/>
  <c r="G58" i="77"/>
  <c r="G57" i="77"/>
  <c r="G56" i="77"/>
  <c r="G55" i="77"/>
  <c r="G54" i="77"/>
  <c r="G53" i="77"/>
  <c r="G52" i="77"/>
  <c r="G51" i="77"/>
  <c r="G50" i="77"/>
  <c r="G49" i="77"/>
  <c r="G48" i="77"/>
  <c r="G47" i="77"/>
  <c r="G46" i="77"/>
  <c r="G45" i="77"/>
  <c r="G44" i="77"/>
  <c r="G43" i="77"/>
  <c r="G42" i="77"/>
  <c r="G41" i="77"/>
  <c r="G40" i="77"/>
  <c r="G39" i="77"/>
  <c r="G38" i="77"/>
  <c r="G37" i="77"/>
  <c r="G36" i="77"/>
  <c r="G35" i="77"/>
  <c r="G34" i="77"/>
  <c r="G33" i="77"/>
  <c r="G32" i="77"/>
  <c r="G31" i="77"/>
  <c r="G30" i="77"/>
  <c r="G29" i="77"/>
  <c r="G28" i="77"/>
  <c r="G27" i="77"/>
  <c r="G26" i="77"/>
  <c r="G25" i="77"/>
  <c r="G24" i="77"/>
  <c r="G23" i="77"/>
  <c r="G22" i="77"/>
  <c r="G21" i="77"/>
  <c r="G20" i="77"/>
  <c r="G19" i="77"/>
  <c r="G18" i="77"/>
  <c r="G17" i="77"/>
  <c r="G16" i="77"/>
  <c r="G15" i="77"/>
  <c r="G14" i="77"/>
  <c r="G13" i="77"/>
  <c r="G12" i="77"/>
  <c r="G11" i="77"/>
  <c r="G10" i="77"/>
  <c r="G9" i="77"/>
  <c r="G8" i="77"/>
  <c r="G7" i="77"/>
  <c r="G6" i="77"/>
  <c r="B1373" i="77"/>
  <c r="A1373" i="77"/>
  <c r="B1372" i="77"/>
  <c r="A1372" i="77"/>
  <c r="B1371" i="77"/>
  <c r="A1371" i="77"/>
  <c r="B1370" i="77"/>
  <c r="A1370" i="77"/>
  <c r="B1369" i="77"/>
  <c r="A1369" i="77"/>
  <c r="B1368" i="77"/>
  <c r="A1368" i="77"/>
  <c r="B1367" i="77"/>
  <c r="A1367" i="77"/>
  <c r="B1366" i="77"/>
  <c r="A1366" i="77"/>
  <c r="B1365" i="77"/>
  <c r="A1365" i="77"/>
  <c r="B1364" i="77"/>
  <c r="A1364" i="77"/>
  <c r="B1363" i="77"/>
  <c r="A1363" i="77"/>
  <c r="B1362" i="77"/>
  <c r="A1362" i="77"/>
  <c r="B1361" i="77"/>
  <c r="A1361" i="77"/>
  <c r="B1360" i="77"/>
  <c r="A1360" i="77"/>
  <c r="B1359" i="77"/>
  <c r="A1359" i="77"/>
  <c r="B1358" i="77"/>
  <c r="A1358" i="77"/>
  <c r="B1357" i="77"/>
  <c r="A1357" i="77"/>
  <c r="B1356" i="77"/>
  <c r="A1356" i="77"/>
  <c r="B1355" i="77"/>
  <c r="A1355" i="77"/>
  <c r="B1354" i="77"/>
  <c r="A1354" i="77"/>
  <c r="B1353" i="77"/>
  <c r="A1353" i="77"/>
  <c r="B1352" i="77"/>
  <c r="A1352" i="77"/>
  <c r="B1351" i="77"/>
  <c r="A1351" i="77"/>
  <c r="B1350" i="77"/>
  <c r="A1350" i="77"/>
  <c r="B1349" i="77"/>
  <c r="A1349" i="77"/>
  <c r="B1348" i="77"/>
  <c r="A1348" i="77"/>
  <c r="B1347" i="77"/>
  <c r="A1347" i="77"/>
  <c r="B1346" i="77"/>
  <c r="A1346" i="77"/>
  <c r="B1345" i="77"/>
  <c r="A1345" i="77"/>
  <c r="B1344" i="77"/>
  <c r="A1344" i="77"/>
  <c r="B1343" i="77"/>
  <c r="A1343" i="77"/>
  <c r="B1342" i="77"/>
  <c r="A1342" i="77"/>
  <c r="B1341" i="77"/>
  <c r="A1341" i="77"/>
  <c r="B1340" i="77"/>
  <c r="A1340" i="77"/>
  <c r="B1339" i="77"/>
  <c r="A1339" i="77"/>
  <c r="B1338" i="77"/>
  <c r="A1338" i="77"/>
  <c r="B1337" i="77"/>
  <c r="A1337" i="77"/>
  <c r="B1336" i="77"/>
  <c r="A1336" i="77"/>
  <c r="B1332" i="77"/>
  <c r="A1332" i="77"/>
  <c r="B1331" i="77"/>
  <c r="A1331" i="77"/>
  <c r="B1330" i="77"/>
  <c r="A1330" i="77"/>
  <c r="B1329" i="77"/>
  <c r="A1329" i="77"/>
  <c r="B1328" i="77"/>
  <c r="A1328" i="77"/>
  <c r="B1327" i="77"/>
  <c r="A1327" i="77"/>
  <c r="B1326" i="77"/>
  <c r="A1326" i="77"/>
  <c r="B1325" i="77"/>
  <c r="A1325" i="77"/>
  <c r="B1324" i="77"/>
  <c r="A1324" i="77"/>
  <c r="B1323" i="77"/>
  <c r="A1323" i="77"/>
  <c r="B1322" i="77"/>
  <c r="A1322" i="77"/>
  <c r="B1321" i="77"/>
  <c r="A1321" i="77"/>
  <c r="B1320" i="77"/>
  <c r="A1320" i="77"/>
  <c r="B1319" i="77"/>
  <c r="A1319" i="77"/>
  <c r="B1318" i="77"/>
  <c r="A1318" i="77"/>
  <c r="B1317" i="77"/>
  <c r="A1317" i="77"/>
  <c r="B1316" i="77"/>
  <c r="A1316" i="77"/>
  <c r="B1315" i="77"/>
  <c r="A1315" i="77"/>
  <c r="B1314" i="77"/>
  <c r="A1314" i="77"/>
  <c r="B1313" i="77"/>
  <c r="A1313" i="77"/>
  <c r="B1312" i="77"/>
  <c r="A1312" i="77"/>
  <c r="B1311" i="77"/>
  <c r="A1311" i="77"/>
  <c r="B1310" i="77"/>
  <c r="A1310" i="77"/>
  <c r="B1309" i="77"/>
  <c r="A1309" i="77"/>
  <c r="B1308" i="77"/>
  <c r="A1308" i="77"/>
  <c r="B1307" i="77"/>
  <c r="A1307" i="77"/>
  <c r="B1306" i="77"/>
  <c r="A1306" i="77"/>
  <c r="B1305" i="77"/>
  <c r="A1305" i="77"/>
  <c r="B1304" i="77"/>
  <c r="A1304" i="77"/>
  <c r="B1303" i="77"/>
  <c r="A1303" i="77"/>
  <c r="B1302" i="77"/>
  <c r="A1302" i="77"/>
  <c r="B1301" i="77"/>
  <c r="A1301" i="77"/>
  <c r="B1300" i="77"/>
  <c r="A1300" i="77"/>
  <c r="B1299" i="77"/>
  <c r="A1299" i="77"/>
  <c r="B1298" i="77"/>
  <c r="A1298" i="77"/>
  <c r="B1294" i="77"/>
  <c r="A1294" i="77"/>
  <c r="B1293" i="77"/>
  <c r="A1293" i="77"/>
  <c r="B1292" i="77"/>
  <c r="A1292" i="77"/>
  <c r="B1291" i="77"/>
  <c r="A1291" i="77"/>
  <c r="B1290" i="77"/>
  <c r="A1290" i="77"/>
  <c r="B1289" i="77"/>
  <c r="A1289" i="77"/>
  <c r="B1288" i="77"/>
  <c r="A1288" i="77"/>
  <c r="B1287" i="77"/>
  <c r="A1287" i="77"/>
  <c r="B1286" i="77"/>
  <c r="A1286" i="77"/>
  <c r="B1285" i="77"/>
  <c r="A1285" i="77"/>
  <c r="B1284" i="77"/>
  <c r="A1284" i="77"/>
  <c r="B1283" i="77"/>
  <c r="A1283" i="77"/>
  <c r="B1282" i="77"/>
  <c r="A1282" i="77"/>
  <c r="B1281" i="77"/>
  <c r="A1281" i="77"/>
  <c r="B1280" i="77"/>
  <c r="A1280" i="77"/>
  <c r="B1279" i="77"/>
  <c r="A1279" i="77"/>
  <c r="B1278" i="77"/>
  <c r="A1278" i="77"/>
  <c r="B1277" i="77"/>
  <c r="A1277" i="77"/>
  <c r="B1276" i="77"/>
  <c r="A1276" i="77"/>
  <c r="B1275" i="77"/>
  <c r="A1275" i="77"/>
  <c r="B1274" i="77"/>
  <c r="A1274" i="77"/>
  <c r="B1273" i="77"/>
  <c r="A1273" i="77"/>
  <c r="B1272" i="77"/>
  <c r="A1272" i="77"/>
  <c r="B1271" i="77"/>
  <c r="A1271" i="77"/>
  <c r="B1270" i="77"/>
  <c r="A1270" i="77"/>
  <c r="B1269" i="77"/>
  <c r="A1269" i="77"/>
  <c r="B1268" i="77"/>
  <c r="A1268" i="77"/>
  <c r="B1267" i="77"/>
  <c r="A1267" i="77"/>
  <c r="B1266" i="77"/>
  <c r="A1266" i="77"/>
  <c r="B1265" i="77"/>
  <c r="A1265" i="77"/>
  <c r="B1264" i="77"/>
  <c r="A1264" i="77"/>
  <c r="B1263" i="77"/>
  <c r="A1263" i="77"/>
  <c r="B1262" i="77"/>
  <c r="A1262" i="77"/>
  <c r="B1261" i="77"/>
  <c r="A1261" i="77"/>
  <c r="B1260" i="77"/>
  <c r="A1260" i="77"/>
  <c r="B1259" i="77"/>
  <c r="A1259" i="77"/>
  <c r="B1258" i="77"/>
  <c r="A1258" i="77"/>
  <c r="B1257" i="77"/>
  <c r="A1257" i="77"/>
  <c r="B1256" i="77"/>
  <c r="A1256" i="77"/>
  <c r="B1255" i="77"/>
  <c r="A1255" i="77"/>
  <c r="B1254" i="77"/>
  <c r="A1254" i="77"/>
  <c r="B1253" i="77"/>
  <c r="A1253" i="77"/>
  <c r="B1252" i="77"/>
  <c r="A1252" i="77"/>
  <c r="B1251" i="77"/>
  <c r="A1251" i="77"/>
  <c r="B1250" i="77"/>
  <c r="A1250" i="77"/>
  <c r="B1249" i="77"/>
  <c r="A1249" i="77"/>
  <c r="B1248" i="77"/>
  <c r="A1248" i="77"/>
  <c r="B1247" i="77"/>
  <c r="A1247" i="77"/>
  <c r="B1246" i="77"/>
  <c r="A1246" i="77"/>
  <c r="B1245" i="77"/>
  <c r="A1245" i="77"/>
  <c r="B1244" i="77"/>
  <c r="A1244" i="77"/>
  <c r="B1243" i="77"/>
  <c r="A1243" i="77"/>
  <c r="B1242" i="77"/>
  <c r="A1242" i="77"/>
  <c r="B1241" i="77"/>
  <c r="A1241" i="77"/>
  <c r="B1240" i="77"/>
  <c r="A1240" i="77"/>
  <c r="B1239" i="77"/>
  <c r="A1239" i="77"/>
  <c r="B1238" i="77"/>
  <c r="A1238" i="77"/>
  <c r="B1237" i="77"/>
  <c r="A1237" i="77"/>
  <c r="B1236" i="77"/>
  <c r="A1236" i="77"/>
  <c r="B1235" i="77"/>
  <c r="A1235" i="77"/>
  <c r="B1234" i="77"/>
  <c r="A1234" i="77"/>
  <c r="B1233" i="77"/>
  <c r="A1233" i="77"/>
  <c r="B1232" i="77"/>
  <c r="A1232" i="77"/>
  <c r="B1231" i="77"/>
  <c r="A1231" i="77"/>
  <c r="B1230" i="77"/>
  <c r="A1230" i="77"/>
  <c r="B1229" i="77"/>
  <c r="A1229" i="77"/>
  <c r="B1228" i="77"/>
  <c r="A1228" i="77"/>
  <c r="B1227" i="77"/>
  <c r="A1227" i="77"/>
  <c r="B1226" i="77"/>
  <c r="A1226" i="77"/>
  <c r="B1225" i="77"/>
  <c r="A1225" i="77"/>
  <c r="B1224" i="77"/>
  <c r="A1224" i="77"/>
  <c r="B1223" i="77"/>
  <c r="A1223" i="77"/>
  <c r="B1222" i="77"/>
  <c r="A1222" i="77"/>
  <c r="B1218" i="77"/>
  <c r="A1218" i="77"/>
  <c r="B1217" i="77"/>
  <c r="A1217" i="77"/>
  <c r="B1216" i="77"/>
  <c r="A1216" i="77"/>
  <c r="B1215" i="77"/>
  <c r="A1215" i="77"/>
  <c r="B1214" i="77"/>
  <c r="A1214" i="77"/>
  <c r="B1213" i="77"/>
  <c r="A1213" i="77"/>
  <c r="B1212" i="77"/>
  <c r="A1212" i="77"/>
  <c r="B1211" i="77"/>
  <c r="A1211" i="77"/>
  <c r="B1210" i="77"/>
  <c r="A1210" i="77"/>
  <c r="B1209" i="77"/>
  <c r="A1209" i="77"/>
  <c r="B1208" i="77"/>
  <c r="A1208" i="77"/>
  <c r="B1207" i="77"/>
  <c r="A1207" i="77"/>
  <c r="B1206" i="77"/>
  <c r="A1206" i="77"/>
  <c r="B1205" i="77"/>
  <c r="A1205" i="77"/>
  <c r="B1204" i="77"/>
  <c r="A1204" i="77"/>
  <c r="B1203" i="77"/>
  <c r="A1203" i="77"/>
  <c r="B1202" i="77"/>
  <c r="A1202" i="77"/>
  <c r="B1201" i="77"/>
  <c r="A1201" i="77"/>
  <c r="B1200" i="77"/>
  <c r="A1200" i="77"/>
  <c r="B1199" i="77"/>
  <c r="A1199" i="77"/>
  <c r="B1198" i="77"/>
  <c r="A1198" i="77"/>
  <c r="B1197" i="77"/>
  <c r="A1197" i="77"/>
  <c r="B1196" i="77"/>
  <c r="A1196" i="77"/>
  <c r="B1195" i="77"/>
  <c r="A1195" i="77"/>
  <c r="B1194" i="77"/>
  <c r="A1194" i="77"/>
  <c r="B1193" i="77"/>
  <c r="A1193" i="77"/>
  <c r="B1192" i="77"/>
  <c r="A1192" i="77"/>
  <c r="B1191" i="77"/>
  <c r="A1191" i="77"/>
  <c r="B1190" i="77"/>
  <c r="A1190" i="77"/>
  <c r="B1189" i="77"/>
  <c r="A1189" i="77"/>
  <c r="B1188" i="77"/>
  <c r="A1188" i="77"/>
  <c r="B1187" i="77"/>
  <c r="A1187" i="77"/>
  <c r="B1186" i="77"/>
  <c r="A1186" i="77"/>
  <c r="B1185" i="77"/>
  <c r="A1185" i="77"/>
  <c r="B1184" i="77"/>
  <c r="A1184" i="77"/>
  <c r="B1180" i="77"/>
  <c r="A1180" i="77"/>
  <c r="B1179" i="77"/>
  <c r="A1179" i="77"/>
  <c r="B1178" i="77"/>
  <c r="A1178" i="77"/>
  <c r="B1177" i="77"/>
  <c r="A1177" i="77"/>
  <c r="B1176" i="77"/>
  <c r="A1176" i="77"/>
  <c r="B1175" i="77"/>
  <c r="A1175" i="77"/>
  <c r="B1174" i="77"/>
  <c r="A1174" i="77"/>
  <c r="B1173" i="77"/>
  <c r="A1173" i="77"/>
  <c r="B1172" i="77"/>
  <c r="A1172" i="77"/>
  <c r="B1171" i="77"/>
  <c r="A1171" i="77"/>
  <c r="B1170" i="77"/>
  <c r="A1170" i="77"/>
  <c r="B1169" i="77"/>
  <c r="A1169" i="77"/>
  <c r="B1168" i="77"/>
  <c r="A1168" i="77"/>
  <c r="B1167" i="77"/>
  <c r="A1167" i="77"/>
  <c r="B1166" i="77"/>
  <c r="A1166" i="77"/>
  <c r="B1165" i="77"/>
  <c r="A1165" i="77"/>
  <c r="B1164" i="77"/>
  <c r="A1164" i="77"/>
  <c r="B1163" i="77"/>
  <c r="A1163" i="77"/>
  <c r="B1162" i="77"/>
  <c r="A1162" i="77"/>
  <c r="B1161" i="77"/>
  <c r="A1161" i="77"/>
  <c r="B1160" i="77"/>
  <c r="A1160" i="77"/>
  <c r="B1159" i="77"/>
  <c r="A1159" i="77"/>
  <c r="B1158" i="77"/>
  <c r="A1158" i="77"/>
  <c r="B1157" i="77"/>
  <c r="A1157" i="77"/>
  <c r="B1156" i="77"/>
  <c r="A1156" i="77"/>
  <c r="B1155" i="77"/>
  <c r="A1155" i="77"/>
  <c r="B1154" i="77"/>
  <c r="A1154" i="77"/>
  <c r="B1153" i="77"/>
  <c r="A1153" i="77"/>
  <c r="B1152" i="77"/>
  <c r="A1152" i="77"/>
  <c r="B1151" i="77"/>
  <c r="A1151" i="77"/>
  <c r="B1150" i="77"/>
  <c r="A1150" i="77"/>
  <c r="B1149" i="77"/>
  <c r="A1149" i="77"/>
  <c r="B1148" i="77"/>
  <c r="A1148" i="77"/>
  <c r="B1147" i="77"/>
  <c r="A1147" i="77"/>
  <c r="B1146" i="77"/>
  <c r="A1146" i="77"/>
  <c r="B1145" i="77"/>
  <c r="A1145" i="77"/>
  <c r="B1144" i="77"/>
  <c r="A1144" i="77"/>
  <c r="B1143" i="77"/>
  <c r="A1143" i="77"/>
  <c r="B1142" i="77"/>
  <c r="A1142" i="77"/>
  <c r="B1141" i="77"/>
  <c r="A1141" i="77"/>
  <c r="B1140" i="77"/>
  <c r="A1140" i="77"/>
  <c r="B1139" i="77"/>
  <c r="A1139" i="77"/>
  <c r="B1138" i="77"/>
  <c r="A1138" i="77"/>
  <c r="B1137" i="77"/>
  <c r="A1137" i="77"/>
  <c r="B1136" i="77"/>
  <c r="A1136" i="77"/>
  <c r="B1135" i="77"/>
  <c r="A1135" i="77"/>
  <c r="B1134" i="77"/>
  <c r="A1134" i="77"/>
  <c r="B1133" i="77"/>
  <c r="A1133" i="77"/>
  <c r="B1132" i="77"/>
  <c r="A1132" i="77"/>
  <c r="B1131" i="77"/>
  <c r="A1131" i="77"/>
  <c r="B1130" i="77"/>
  <c r="A1130" i="77"/>
  <c r="B1129" i="77"/>
  <c r="A1129" i="77"/>
  <c r="B1128" i="77"/>
  <c r="A1128" i="77"/>
  <c r="B1127" i="77"/>
  <c r="A1127" i="77"/>
  <c r="B1126" i="77"/>
  <c r="A1126" i="77"/>
  <c r="B1125" i="77"/>
  <c r="A1125" i="77"/>
  <c r="B1124" i="77"/>
  <c r="A1124" i="77"/>
  <c r="B1123" i="77"/>
  <c r="A1123" i="77"/>
  <c r="B1122" i="77"/>
  <c r="A1122" i="77"/>
  <c r="B1121" i="77"/>
  <c r="A1121" i="77"/>
  <c r="B1120" i="77"/>
  <c r="A1120" i="77"/>
  <c r="B1119" i="77"/>
  <c r="A1119" i="77"/>
  <c r="B1118" i="77"/>
  <c r="A1118" i="77"/>
  <c r="B1117" i="77"/>
  <c r="A1117" i="77"/>
  <c r="B1116" i="77"/>
  <c r="A1116" i="77"/>
  <c r="B1115" i="77"/>
  <c r="A1115" i="77"/>
  <c r="B1114" i="77"/>
  <c r="A1114" i="77"/>
  <c r="B1113" i="77"/>
  <c r="A1113" i="77"/>
  <c r="B1112" i="77"/>
  <c r="A1112" i="77"/>
  <c r="B1111" i="77"/>
  <c r="A1111" i="77"/>
  <c r="B1110" i="77"/>
  <c r="A1110" i="77"/>
  <c r="B1109" i="77"/>
  <c r="A1109" i="77"/>
  <c r="B1108" i="77"/>
  <c r="A1108" i="77"/>
  <c r="B1104" i="77"/>
  <c r="A1104" i="77"/>
  <c r="B1103" i="77"/>
  <c r="A1103" i="77"/>
  <c r="B1102" i="77"/>
  <c r="A1102" i="77"/>
  <c r="B1101" i="77"/>
  <c r="A1101" i="77"/>
  <c r="B1100" i="77"/>
  <c r="A1100" i="77"/>
  <c r="B1099" i="77"/>
  <c r="A1099" i="77"/>
  <c r="B1098" i="77"/>
  <c r="A1098" i="77"/>
  <c r="B1097" i="77"/>
  <c r="A1097" i="77"/>
  <c r="B1096" i="77"/>
  <c r="A1096" i="77"/>
  <c r="B1095" i="77"/>
  <c r="A1095" i="77"/>
  <c r="B1094" i="77"/>
  <c r="A1094" i="77"/>
  <c r="B1093" i="77"/>
  <c r="A1093" i="77"/>
  <c r="B1092" i="77"/>
  <c r="A1092" i="77"/>
  <c r="B1091" i="77"/>
  <c r="A1091" i="77"/>
  <c r="B1090" i="77"/>
  <c r="A1090" i="77"/>
  <c r="B1089" i="77"/>
  <c r="A1089" i="77"/>
  <c r="B1088" i="77"/>
  <c r="A1088" i="77"/>
  <c r="B1087" i="77"/>
  <c r="A1087" i="77"/>
  <c r="B1086" i="77"/>
  <c r="A1086" i="77"/>
  <c r="B1085" i="77"/>
  <c r="A1085" i="77"/>
  <c r="B1084" i="77"/>
  <c r="A1084" i="77"/>
  <c r="B1083" i="77"/>
  <c r="A1083" i="77"/>
  <c r="B1082" i="77"/>
  <c r="A1082" i="77"/>
  <c r="B1081" i="77"/>
  <c r="A1081" i="77"/>
  <c r="B1080" i="77"/>
  <c r="A1080" i="77"/>
  <c r="B1079" i="77"/>
  <c r="A1079" i="77"/>
  <c r="B1078" i="77"/>
  <c r="A1078" i="77"/>
  <c r="B1077" i="77"/>
  <c r="A1077" i="77"/>
  <c r="B1076" i="77"/>
  <c r="A1076" i="77"/>
  <c r="B1075" i="77"/>
  <c r="A1075" i="77"/>
  <c r="B1074" i="77"/>
  <c r="A1074" i="77"/>
  <c r="B1073" i="77"/>
  <c r="A1073" i="77"/>
  <c r="B1072" i="77"/>
  <c r="A1072" i="77"/>
  <c r="B1071" i="77"/>
  <c r="A1071" i="77"/>
  <c r="B1070" i="77"/>
  <c r="A1070" i="77"/>
  <c r="B1066" i="77"/>
  <c r="A1066" i="77"/>
  <c r="B1065" i="77"/>
  <c r="A1065" i="77"/>
  <c r="B1064" i="77"/>
  <c r="A1064" i="77"/>
  <c r="B1063" i="77"/>
  <c r="A1063" i="77"/>
  <c r="B1062" i="77"/>
  <c r="A1062" i="77"/>
  <c r="B1061" i="77"/>
  <c r="A1061" i="77"/>
  <c r="B1060" i="77"/>
  <c r="A1060" i="77"/>
  <c r="B1059" i="77"/>
  <c r="A1059" i="77"/>
  <c r="B1058" i="77"/>
  <c r="A1058" i="77"/>
  <c r="B1057" i="77"/>
  <c r="A1057" i="77"/>
  <c r="B1056" i="77"/>
  <c r="A1056" i="77"/>
  <c r="B1055" i="77"/>
  <c r="A1055" i="77"/>
  <c r="B1054" i="77"/>
  <c r="A1054" i="77"/>
  <c r="B1053" i="77"/>
  <c r="A1053" i="77"/>
  <c r="B1052" i="77"/>
  <c r="A1052" i="77"/>
  <c r="B1051" i="77"/>
  <c r="A1051" i="77"/>
  <c r="B1050" i="77"/>
  <c r="A1050" i="77"/>
  <c r="B1049" i="77"/>
  <c r="A1049" i="77"/>
  <c r="B1048" i="77"/>
  <c r="A1048" i="77"/>
  <c r="B1047" i="77"/>
  <c r="A1047" i="77"/>
  <c r="B1046" i="77"/>
  <c r="A1046" i="77"/>
  <c r="B1045" i="77"/>
  <c r="A1045" i="77"/>
  <c r="B1044" i="77"/>
  <c r="A1044" i="77"/>
  <c r="B1043" i="77"/>
  <c r="A1043" i="77"/>
  <c r="B1042" i="77"/>
  <c r="A1042" i="77"/>
  <c r="B1041" i="77"/>
  <c r="A1041" i="77"/>
  <c r="B1040" i="77"/>
  <c r="A1040" i="77"/>
  <c r="B1039" i="77"/>
  <c r="A1039" i="77"/>
  <c r="B1038" i="77"/>
  <c r="A1038" i="77"/>
  <c r="B1037" i="77"/>
  <c r="A1037" i="77"/>
  <c r="B1036" i="77"/>
  <c r="A1036" i="77"/>
  <c r="B1035" i="77"/>
  <c r="A1035" i="77"/>
  <c r="B1034" i="77"/>
  <c r="A1034" i="77"/>
  <c r="B1033" i="77"/>
  <c r="A1033" i="77"/>
  <c r="B1032" i="77"/>
  <c r="A1032" i="77"/>
  <c r="B1031" i="77"/>
  <c r="A1031" i="77"/>
  <c r="B1030" i="77"/>
  <c r="A1030" i="77"/>
  <c r="B1029" i="77"/>
  <c r="A1029" i="77"/>
  <c r="B1028" i="77"/>
  <c r="A1028" i="77"/>
  <c r="B1027" i="77"/>
  <c r="A1027" i="77"/>
  <c r="B1026" i="77"/>
  <c r="A1026" i="77"/>
  <c r="B1025" i="77"/>
  <c r="A1025" i="77"/>
  <c r="B1024" i="77"/>
  <c r="A1024" i="77"/>
  <c r="B1023" i="77"/>
  <c r="A1023" i="77"/>
  <c r="B1022" i="77"/>
  <c r="A1022" i="77"/>
  <c r="B1021" i="77"/>
  <c r="A1021" i="77"/>
  <c r="B1020" i="77"/>
  <c r="A1020" i="77"/>
  <c r="B1019" i="77"/>
  <c r="A1019" i="77"/>
  <c r="B1018" i="77"/>
  <c r="A1018" i="77"/>
  <c r="B1017" i="77"/>
  <c r="A1017" i="77"/>
  <c r="B1016" i="77"/>
  <c r="A1016" i="77"/>
  <c r="B1015" i="77"/>
  <c r="A1015" i="77"/>
  <c r="B1014" i="77"/>
  <c r="A1014" i="77"/>
  <c r="B1013" i="77"/>
  <c r="A1013" i="77"/>
  <c r="B1012" i="77"/>
  <c r="A1012" i="77"/>
  <c r="B1011" i="77"/>
  <c r="A1011" i="77"/>
  <c r="B1010" i="77"/>
  <c r="A1010" i="77"/>
  <c r="B1009" i="77"/>
  <c r="A1009" i="77"/>
  <c r="B1008" i="77"/>
  <c r="A1008" i="77"/>
  <c r="B1007" i="77"/>
  <c r="A1007" i="77"/>
  <c r="B1006" i="77"/>
  <c r="A1006" i="77"/>
  <c r="B1005" i="77"/>
  <c r="A1005" i="77"/>
  <c r="B1004" i="77"/>
  <c r="A1004" i="77"/>
  <c r="B1003" i="77"/>
  <c r="A1003" i="77"/>
  <c r="B1002" i="77"/>
  <c r="A1002" i="77"/>
  <c r="B1001" i="77"/>
  <c r="A1001" i="77"/>
  <c r="B1000" i="77"/>
  <c r="A1000" i="77"/>
  <c r="B999" i="77"/>
  <c r="A999" i="77"/>
  <c r="B998" i="77"/>
  <c r="A998" i="77"/>
  <c r="B997" i="77"/>
  <c r="A997" i="77"/>
  <c r="B996" i="77"/>
  <c r="A996" i="77"/>
  <c r="B995" i="77"/>
  <c r="A995" i="77"/>
  <c r="B994" i="77"/>
  <c r="A994" i="77"/>
  <c r="B990" i="77"/>
  <c r="A990" i="77"/>
  <c r="B989" i="77"/>
  <c r="A989" i="77"/>
  <c r="B988" i="77"/>
  <c r="A988" i="77"/>
  <c r="B987" i="77"/>
  <c r="A987" i="77"/>
  <c r="B986" i="77"/>
  <c r="A986" i="77"/>
  <c r="B985" i="77"/>
  <c r="A985" i="77"/>
  <c r="B984" i="77"/>
  <c r="A984" i="77"/>
  <c r="B983" i="77"/>
  <c r="A983" i="77"/>
  <c r="B982" i="77"/>
  <c r="A982" i="77"/>
  <c r="B981" i="77"/>
  <c r="A981" i="77"/>
  <c r="B980" i="77"/>
  <c r="A980" i="77"/>
  <c r="B979" i="77"/>
  <c r="A979" i="77"/>
  <c r="B978" i="77"/>
  <c r="A978" i="77"/>
  <c r="B977" i="77"/>
  <c r="A977" i="77"/>
  <c r="B976" i="77"/>
  <c r="A976" i="77"/>
  <c r="B975" i="77"/>
  <c r="A975" i="77"/>
  <c r="B974" i="77"/>
  <c r="A974" i="77"/>
  <c r="B973" i="77"/>
  <c r="A973" i="77"/>
  <c r="B972" i="77"/>
  <c r="A972" i="77"/>
  <c r="B971" i="77"/>
  <c r="A971" i="77"/>
  <c r="B970" i="77"/>
  <c r="A970" i="77"/>
  <c r="B969" i="77"/>
  <c r="A969" i="77"/>
  <c r="B968" i="77"/>
  <c r="A968" i="77"/>
  <c r="B967" i="77"/>
  <c r="A967" i="77"/>
  <c r="B966" i="77"/>
  <c r="A966" i="77"/>
  <c r="B965" i="77"/>
  <c r="A965" i="77"/>
  <c r="B964" i="77"/>
  <c r="A964" i="77"/>
  <c r="B963" i="77"/>
  <c r="A963" i="77"/>
  <c r="B962" i="77"/>
  <c r="A962" i="77"/>
  <c r="B961" i="77"/>
  <c r="A961" i="77"/>
  <c r="B960" i="77"/>
  <c r="A960" i="77"/>
  <c r="B959" i="77"/>
  <c r="A959" i="77"/>
  <c r="B958" i="77"/>
  <c r="A958" i="77"/>
  <c r="B957" i="77"/>
  <c r="A957" i="77"/>
  <c r="B956" i="77"/>
  <c r="A956" i="77"/>
  <c r="B952" i="77"/>
  <c r="A952" i="77"/>
  <c r="B951" i="77"/>
  <c r="A951" i="77"/>
  <c r="B950" i="77"/>
  <c r="A950" i="77"/>
  <c r="B949" i="77"/>
  <c r="A949" i="77"/>
  <c r="B948" i="77"/>
  <c r="A948" i="77"/>
  <c r="B947" i="77"/>
  <c r="A947" i="77"/>
  <c r="B946" i="77"/>
  <c r="A946" i="77"/>
  <c r="B945" i="77"/>
  <c r="A945" i="77"/>
  <c r="B944" i="77"/>
  <c r="A944" i="77"/>
  <c r="B943" i="77"/>
  <c r="A943" i="77"/>
  <c r="B942" i="77"/>
  <c r="A942" i="77"/>
  <c r="B941" i="77"/>
  <c r="A941" i="77"/>
  <c r="B940" i="77"/>
  <c r="A940" i="77"/>
  <c r="B939" i="77"/>
  <c r="A939" i="77"/>
  <c r="B938" i="77"/>
  <c r="A938" i="77"/>
  <c r="B937" i="77"/>
  <c r="A937" i="77"/>
  <c r="B936" i="77"/>
  <c r="A936" i="77"/>
  <c r="B935" i="77"/>
  <c r="A935" i="77"/>
  <c r="B934" i="77"/>
  <c r="A934" i="77"/>
  <c r="B933" i="77"/>
  <c r="A933" i="77"/>
  <c r="B932" i="77"/>
  <c r="A932" i="77"/>
  <c r="B931" i="77"/>
  <c r="A931" i="77"/>
  <c r="B930" i="77"/>
  <c r="A930" i="77"/>
  <c r="B929" i="77"/>
  <c r="A929" i="77"/>
  <c r="B928" i="77"/>
  <c r="A928" i="77"/>
  <c r="B927" i="77"/>
  <c r="A927" i="77"/>
  <c r="B926" i="77"/>
  <c r="A926" i="77"/>
  <c r="B925" i="77"/>
  <c r="A925" i="77"/>
  <c r="B924" i="77"/>
  <c r="A924" i="77"/>
  <c r="B923" i="77"/>
  <c r="A923" i="77"/>
  <c r="B922" i="77"/>
  <c r="A922" i="77"/>
  <c r="B921" i="77"/>
  <c r="A921" i="77"/>
  <c r="B920" i="77"/>
  <c r="A920" i="77"/>
  <c r="B919" i="77"/>
  <c r="A919" i="77"/>
  <c r="B918" i="77"/>
  <c r="A918" i="77"/>
  <c r="B917" i="77"/>
  <c r="A917" i="77"/>
  <c r="B916" i="77"/>
  <c r="A916" i="77"/>
  <c r="B915" i="77"/>
  <c r="A915" i="77"/>
  <c r="B914" i="77"/>
  <c r="A914" i="77"/>
  <c r="B913" i="77"/>
  <c r="A913" i="77"/>
  <c r="B912" i="77"/>
  <c r="A912" i="77"/>
  <c r="B911" i="77"/>
  <c r="A911" i="77"/>
  <c r="B910" i="77"/>
  <c r="A910" i="77"/>
  <c r="B909" i="77"/>
  <c r="A909" i="77"/>
  <c r="B908" i="77"/>
  <c r="A908" i="77"/>
  <c r="B907" i="77"/>
  <c r="A907" i="77"/>
  <c r="B906" i="77"/>
  <c r="A906" i="77"/>
  <c r="B905" i="77"/>
  <c r="A905" i="77"/>
  <c r="B904" i="77"/>
  <c r="A904" i="77"/>
  <c r="B903" i="77"/>
  <c r="A903" i="77"/>
  <c r="B902" i="77"/>
  <c r="A902" i="77"/>
  <c r="B901" i="77"/>
  <c r="A901" i="77"/>
  <c r="B900" i="77"/>
  <c r="A900" i="77"/>
  <c r="B899" i="77"/>
  <c r="A899" i="77"/>
  <c r="B898" i="77"/>
  <c r="A898" i="77"/>
  <c r="B897" i="77"/>
  <c r="A897" i="77"/>
  <c r="B896" i="77"/>
  <c r="A896" i="77"/>
  <c r="B895" i="77"/>
  <c r="A895" i="77"/>
  <c r="B894" i="77"/>
  <c r="A894" i="77"/>
  <c r="B893" i="77"/>
  <c r="A893" i="77"/>
  <c r="B892" i="77"/>
  <c r="A892" i="77"/>
  <c r="B891" i="77"/>
  <c r="A891" i="77"/>
  <c r="B890" i="77"/>
  <c r="A890" i="77"/>
  <c r="B889" i="77"/>
  <c r="A889" i="77"/>
  <c r="B888" i="77"/>
  <c r="A888" i="77"/>
  <c r="B887" i="77"/>
  <c r="A887" i="77"/>
  <c r="B886" i="77"/>
  <c r="A886" i="77"/>
  <c r="B885" i="77"/>
  <c r="A885" i="77"/>
  <c r="B884" i="77"/>
  <c r="A884" i="77"/>
  <c r="B883" i="77"/>
  <c r="A883" i="77"/>
  <c r="B882" i="77"/>
  <c r="A882" i="77"/>
  <c r="B881" i="77"/>
  <c r="A881" i="77"/>
  <c r="B880" i="77"/>
  <c r="A880" i="77"/>
  <c r="B876" i="77"/>
  <c r="A876" i="77"/>
  <c r="B875" i="77"/>
  <c r="A875" i="77"/>
  <c r="B874" i="77"/>
  <c r="A874" i="77"/>
  <c r="B873" i="77"/>
  <c r="A873" i="77"/>
  <c r="B872" i="77"/>
  <c r="A872" i="77"/>
  <c r="B871" i="77"/>
  <c r="A871" i="77"/>
  <c r="B870" i="77"/>
  <c r="A870" i="77"/>
  <c r="B869" i="77"/>
  <c r="A869" i="77"/>
  <c r="B868" i="77"/>
  <c r="A868" i="77"/>
  <c r="B867" i="77"/>
  <c r="A867" i="77"/>
  <c r="B866" i="77"/>
  <c r="A866" i="77"/>
  <c r="B865" i="77"/>
  <c r="A865" i="77"/>
  <c r="B864" i="77"/>
  <c r="A864" i="77"/>
  <c r="B863" i="77"/>
  <c r="A863" i="77"/>
  <c r="B862" i="77"/>
  <c r="A862" i="77"/>
  <c r="B861" i="77"/>
  <c r="A861" i="77"/>
  <c r="B860" i="77"/>
  <c r="A860" i="77"/>
  <c r="B859" i="77"/>
  <c r="A859" i="77"/>
  <c r="B858" i="77"/>
  <c r="A858" i="77"/>
  <c r="B857" i="77"/>
  <c r="A857" i="77"/>
  <c r="B856" i="77"/>
  <c r="A856" i="77"/>
  <c r="B855" i="77"/>
  <c r="A855" i="77"/>
  <c r="B854" i="77"/>
  <c r="A854" i="77"/>
  <c r="B853" i="77"/>
  <c r="A853" i="77"/>
  <c r="B852" i="77"/>
  <c r="A852" i="77"/>
  <c r="B851" i="77"/>
  <c r="A851" i="77"/>
  <c r="B850" i="77"/>
  <c r="A850" i="77"/>
  <c r="B849" i="77"/>
  <c r="A849" i="77"/>
  <c r="B848" i="77"/>
  <c r="A848" i="77"/>
  <c r="B847" i="77"/>
  <c r="A847" i="77"/>
  <c r="B846" i="77"/>
  <c r="A846" i="77"/>
  <c r="B845" i="77"/>
  <c r="A845" i="77"/>
  <c r="B844" i="77"/>
  <c r="A844" i="77"/>
  <c r="B843" i="77"/>
  <c r="A843" i="77"/>
  <c r="B842" i="77"/>
  <c r="A842" i="77"/>
  <c r="B838" i="77"/>
  <c r="A838" i="77"/>
  <c r="B837" i="77"/>
  <c r="A837" i="77"/>
  <c r="B836" i="77"/>
  <c r="A836" i="77"/>
  <c r="B835" i="77"/>
  <c r="A835" i="77"/>
  <c r="B834" i="77"/>
  <c r="A834" i="77"/>
  <c r="B833" i="77"/>
  <c r="A833" i="77"/>
  <c r="B832" i="77"/>
  <c r="A832" i="77"/>
  <c r="B831" i="77"/>
  <c r="A831" i="77"/>
  <c r="B830" i="77"/>
  <c r="A830" i="77"/>
  <c r="B829" i="77"/>
  <c r="A829" i="77"/>
  <c r="B828" i="77"/>
  <c r="A828" i="77"/>
  <c r="B827" i="77"/>
  <c r="A827" i="77"/>
  <c r="B826" i="77"/>
  <c r="A826" i="77"/>
  <c r="B825" i="77"/>
  <c r="A825" i="77"/>
  <c r="B824" i="77"/>
  <c r="A824" i="77"/>
  <c r="B823" i="77"/>
  <c r="A823" i="77"/>
  <c r="B822" i="77"/>
  <c r="A822" i="77"/>
  <c r="B821" i="77"/>
  <c r="A821" i="77"/>
  <c r="B820" i="77"/>
  <c r="A820" i="77"/>
  <c r="B819" i="77"/>
  <c r="A819" i="77"/>
  <c r="B818" i="77"/>
  <c r="A818" i="77"/>
  <c r="B817" i="77"/>
  <c r="A817" i="77"/>
  <c r="B816" i="77"/>
  <c r="A816" i="77"/>
  <c r="B815" i="77"/>
  <c r="A815" i="77"/>
  <c r="B814" i="77"/>
  <c r="A814" i="77"/>
  <c r="B813" i="77"/>
  <c r="A813" i="77"/>
  <c r="B812" i="77"/>
  <c r="A812" i="77"/>
  <c r="B811" i="77"/>
  <c r="A811" i="77"/>
  <c r="B810" i="77"/>
  <c r="A810" i="77"/>
  <c r="B809" i="77"/>
  <c r="A809" i="77"/>
  <c r="B808" i="77"/>
  <c r="A808" i="77"/>
  <c r="B807" i="77"/>
  <c r="A807" i="77"/>
  <c r="B806" i="77"/>
  <c r="A806" i="77"/>
  <c r="B805" i="77"/>
  <c r="A805" i="77"/>
  <c r="B804" i="77"/>
  <c r="A804" i="77"/>
  <c r="B803" i="77"/>
  <c r="A803" i="77"/>
  <c r="B802" i="77"/>
  <c r="A802" i="77"/>
  <c r="B801" i="77"/>
  <c r="A801" i="77"/>
  <c r="B800" i="77"/>
  <c r="A800" i="77"/>
  <c r="B799" i="77"/>
  <c r="A799" i="77"/>
  <c r="B798" i="77"/>
  <c r="A798" i="77"/>
  <c r="B797" i="77"/>
  <c r="A797" i="77"/>
  <c r="B796" i="77"/>
  <c r="A796" i="77"/>
  <c r="B795" i="77"/>
  <c r="A795" i="77"/>
  <c r="B794" i="77"/>
  <c r="A794" i="77"/>
  <c r="B793" i="77"/>
  <c r="A793" i="77"/>
  <c r="B792" i="77"/>
  <c r="A792" i="77"/>
  <c r="B791" i="77"/>
  <c r="A791" i="77"/>
  <c r="B790" i="77"/>
  <c r="A790" i="77"/>
  <c r="B789" i="77"/>
  <c r="A789" i="77"/>
  <c r="B788" i="77"/>
  <c r="A788" i="77"/>
  <c r="B787" i="77"/>
  <c r="A787" i="77"/>
  <c r="B786" i="77"/>
  <c r="A786" i="77"/>
  <c r="B785" i="77"/>
  <c r="A785" i="77"/>
  <c r="B784" i="77"/>
  <c r="A784" i="77"/>
  <c r="B783" i="77"/>
  <c r="A783" i="77"/>
  <c r="B782" i="77"/>
  <c r="A782" i="77"/>
  <c r="B781" i="77"/>
  <c r="A781" i="77"/>
  <c r="B780" i="77"/>
  <c r="A780" i="77"/>
  <c r="B779" i="77"/>
  <c r="A779" i="77"/>
  <c r="B778" i="77"/>
  <c r="A778" i="77"/>
  <c r="B777" i="77"/>
  <c r="A777" i="77"/>
  <c r="B776" i="77"/>
  <c r="A776" i="77"/>
  <c r="B775" i="77"/>
  <c r="A775" i="77"/>
  <c r="B774" i="77"/>
  <c r="A774" i="77"/>
  <c r="B773" i="77"/>
  <c r="A773" i="77"/>
  <c r="B772" i="77"/>
  <c r="A772" i="77"/>
  <c r="B771" i="77"/>
  <c r="A771" i="77"/>
  <c r="B770" i="77"/>
  <c r="A770" i="77"/>
  <c r="B769" i="77"/>
  <c r="A769" i="77"/>
  <c r="B768" i="77"/>
  <c r="A768" i="77"/>
  <c r="B767" i="77"/>
  <c r="A767" i="77"/>
  <c r="B766" i="77"/>
  <c r="A766" i="77"/>
  <c r="B762" i="77"/>
  <c r="A762" i="77"/>
  <c r="B761" i="77"/>
  <c r="A761" i="77"/>
  <c r="B760" i="77"/>
  <c r="A760" i="77"/>
  <c r="B759" i="77"/>
  <c r="A759" i="77"/>
  <c r="B758" i="77"/>
  <c r="A758" i="77"/>
  <c r="B757" i="77"/>
  <c r="A757" i="77"/>
  <c r="B756" i="77"/>
  <c r="A756" i="77"/>
  <c r="B755" i="77"/>
  <c r="A755" i="77"/>
  <c r="B754" i="77"/>
  <c r="A754" i="77"/>
  <c r="B753" i="77"/>
  <c r="A753" i="77"/>
  <c r="B752" i="77"/>
  <c r="A752" i="77"/>
  <c r="B751" i="77"/>
  <c r="A751" i="77"/>
  <c r="B750" i="77"/>
  <c r="A750" i="77"/>
  <c r="B749" i="77"/>
  <c r="A749" i="77"/>
  <c r="B748" i="77"/>
  <c r="A748" i="77"/>
  <c r="B747" i="77"/>
  <c r="A747" i="77"/>
  <c r="B746" i="77"/>
  <c r="A746" i="77"/>
  <c r="B745" i="77"/>
  <c r="A745" i="77"/>
  <c r="B744" i="77"/>
  <c r="A744" i="77"/>
  <c r="B743" i="77"/>
  <c r="A743" i="77"/>
  <c r="B742" i="77"/>
  <c r="A742" i="77"/>
  <c r="B741" i="77"/>
  <c r="A741" i="77"/>
  <c r="B740" i="77"/>
  <c r="A740" i="77"/>
  <c r="B739" i="77"/>
  <c r="A739" i="77"/>
  <c r="B738" i="77"/>
  <c r="A738" i="77"/>
  <c r="B737" i="77"/>
  <c r="A737" i="77"/>
  <c r="B736" i="77"/>
  <c r="A736" i="77"/>
  <c r="B735" i="77"/>
  <c r="A735" i="77"/>
  <c r="B734" i="77"/>
  <c r="A734" i="77"/>
  <c r="B733" i="77"/>
  <c r="A733" i="77"/>
  <c r="B732" i="77"/>
  <c r="A732" i="77"/>
  <c r="B731" i="77"/>
  <c r="A731" i="77"/>
  <c r="B730" i="77"/>
  <c r="A730" i="77"/>
  <c r="B729" i="77"/>
  <c r="A729" i="77"/>
  <c r="B728" i="77"/>
  <c r="A728" i="77"/>
  <c r="B724" i="77"/>
  <c r="A724" i="77"/>
  <c r="B723" i="77"/>
  <c r="A723" i="77"/>
  <c r="B722" i="77"/>
  <c r="A722" i="77"/>
  <c r="B721" i="77"/>
  <c r="A721" i="77"/>
  <c r="B720" i="77"/>
  <c r="A720" i="77"/>
  <c r="B719" i="77"/>
  <c r="A719" i="77"/>
  <c r="B718" i="77"/>
  <c r="A718" i="77"/>
  <c r="B717" i="77"/>
  <c r="A717" i="77"/>
  <c r="B716" i="77"/>
  <c r="A716" i="77"/>
  <c r="B715" i="77"/>
  <c r="A715" i="77"/>
  <c r="B714" i="77"/>
  <c r="A714" i="77"/>
  <c r="B713" i="77"/>
  <c r="A713" i="77"/>
  <c r="B712" i="77"/>
  <c r="A712" i="77"/>
  <c r="B711" i="77"/>
  <c r="A711" i="77"/>
  <c r="B710" i="77"/>
  <c r="A710" i="77"/>
  <c r="B709" i="77"/>
  <c r="A709" i="77"/>
  <c r="B708" i="77"/>
  <c r="A708" i="77"/>
  <c r="B707" i="77"/>
  <c r="A707" i="77"/>
  <c r="B706" i="77"/>
  <c r="A706" i="77"/>
  <c r="B705" i="77"/>
  <c r="A705" i="77"/>
  <c r="B704" i="77"/>
  <c r="A704" i="77"/>
  <c r="B703" i="77"/>
  <c r="A703" i="77"/>
  <c r="B702" i="77"/>
  <c r="A702" i="77"/>
  <c r="B701" i="77"/>
  <c r="A701" i="77"/>
  <c r="B700" i="77"/>
  <c r="A700" i="77"/>
  <c r="B699" i="77"/>
  <c r="A699" i="77"/>
  <c r="B698" i="77"/>
  <c r="A698" i="77"/>
  <c r="B697" i="77"/>
  <c r="A697" i="77"/>
  <c r="B696" i="77"/>
  <c r="A696" i="77"/>
  <c r="B695" i="77"/>
  <c r="A695" i="77"/>
  <c r="B694" i="77"/>
  <c r="A694" i="77"/>
  <c r="B693" i="77"/>
  <c r="A693" i="77"/>
  <c r="B692" i="77"/>
  <c r="A692" i="77"/>
  <c r="B691" i="77"/>
  <c r="A691" i="77"/>
  <c r="B690" i="77"/>
  <c r="A690" i="77"/>
  <c r="B689" i="77"/>
  <c r="A689" i="77"/>
  <c r="B688" i="77"/>
  <c r="A688" i="77"/>
  <c r="B687" i="77"/>
  <c r="A687" i="77"/>
  <c r="B686" i="77"/>
  <c r="A686" i="77"/>
  <c r="B685" i="77"/>
  <c r="A685" i="77"/>
  <c r="B684" i="77"/>
  <c r="A684" i="77"/>
  <c r="B683" i="77"/>
  <c r="A683" i="77"/>
  <c r="B682" i="77"/>
  <c r="A682" i="77"/>
  <c r="B681" i="77"/>
  <c r="A681" i="77"/>
  <c r="B680" i="77"/>
  <c r="A680" i="77"/>
  <c r="B679" i="77"/>
  <c r="A679" i="77"/>
  <c r="B678" i="77"/>
  <c r="A678" i="77"/>
  <c r="B677" i="77"/>
  <c r="A677" i="77"/>
  <c r="B676" i="77"/>
  <c r="A676" i="77"/>
  <c r="B675" i="77"/>
  <c r="A675" i="77"/>
  <c r="B674" i="77"/>
  <c r="A674" i="77"/>
  <c r="B673" i="77"/>
  <c r="A673" i="77"/>
  <c r="B672" i="77"/>
  <c r="A672" i="77"/>
  <c r="B671" i="77"/>
  <c r="A671" i="77"/>
  <c r="B670" i="77"/>
  <c r="A670" i="77"/>
  <c r="B669" i="77"/>
  <c r="A669" i="77"/>
  <c r="B668" i="77"/>
  <c r="A668" i="77"/>
  <c r="B667" i="77"/>
  <c r="A667" i="77"/>
  <c r="B666" i="77"/>
  <c r="A666" i="77"/>
  <c r="B665" i="77"/>
  <c r="A665" i="77"/>
  <c r="B664" i="77"/>
  <c r="A664" i="77"/>
  <c r="B663" i="77"/>
  <c r="A663" i="77"/>
  <c r="B662" i="77"/>
  <c r="A662" i="77"/>
  <c r="B661" i="77"/>
  <c r="A661" i="77"/>
  <c r="B660" i="77"/>
  <c r="A660" i="77"/>
  <c r="B659" i="77"/>
  <c r="A659" i="77"/>
  <c r="B658" i="77"/>
  <c r="A658" i="77"/>
  <c r="B657" i="77"/>
  <c r="A657" i="77"/>
  <c r="B656" i="77"/>
  <c r="A656" i="77"/>
  <c r="B655" i="77"/>
  <c r="A655" i="77"/>
  <c r="B654" i="77"/>
  <c r="A654" i="77"/>
  <c r="B653" i="77"/>
  <c r="A653" i="77"/>
  <c r="B652" i="77"/>
  <c r="A652" i="77"/>
  <c r="B648" i="77"/>
  <c r="A648" i="77"/>
  <c r="B647" i="77"/>
  <c r="A647" i="77"/>
  <c r="B646" i="77"/>
  <c r="A646" i="77"/>
  <c r="B645" i="77"/>
  <c r="A645" i="77"/>
  <c r="B644" i="77"/>
  <c r="A644" i="77"/>
  <c r="B643" i="77"/>
  <c r="A643" i="77"/>
  <c r="B642" i="77"/>
  <c r="A642" i="77"/>
  <c r="B641" i="77"/>
  <c r="A641" i="77"/>
  <c r="B640" i="77"/>
  <c r="A640" i="77"/>
  <c r="B639" i="77"/>
  <c r="A639" i="77"/>
  <c r="B638" i="77"/>
  <c r="A638" i="77"/>
  <c r="B637" i="77"/>
  <c r="A637" i="77"/>
  <c r="B636" i="77"/>
  <c r="A636" i="77"/>
  <c r="B635" i="77"/>
  <c r="A635" i="77"/>
  <c r="B634" i="77"/>
  <c r="A634" i="77"/>
  <c r="B633" i="77"/>
  <c r="A633" i="77"/>
  <c r="B632" i="77"/>
  <c r="A632" i="77"/>
  <c r="B631" i="77"/>
  <c r="A631" i="77"/>
  <c r="B630" i="77"/>
  <c r="A630" i="77"/>
  <c r="B629" i="77"/>
  <c r="A629" i="77"/>
  <c r="B628" i="77"/>
  <c r="A628" i="77"/>
  <c r="B627" i="77"/>
  <c r="A627" i="77"/>
  <c r="B626" i="77"/>
  <c r="A626" i="77"/>
  <c r="B625" i="77"/>
  <c r="A625" i="77"/>
  <c r="B624" i="77"/>
  <c r="A624" i="77"/>
  <c r="B623" i="77"/>
  <c r="A623" i="77"/>
  <c r="B622" i="77"/>
  <c r="A622" i="77"/>
  <c r="B621" i="77"/>
  <c r="A621" i="77"/>
  <c r="B620" i="77"/>
  <c r="A620" i="77"/>
  <c r="B619" i="77"/>
  <c r="A619" i="77"/>
  <c r="B618" i="77"/>
  <c r="A618" i="77"/>
  <c r="B617" i="77"/>
  <c r="A617" i="77"/>
  <c r="B616" i="77"/>
  <c r="A616" i="77"/>
  <c r="B615" i="77"/>
  <c r="A615" i="77"/>
  <c r="B614" i="77"/>
  <c r="A614" i="77"/>
  <c r="B610" i="77"/>
  <c r="A610" i="77"/>
  <c r="B609" i="77"/>
  <c r="A609" i="77"/>
  <c r="B608" i="77"/>
  <c r="A608" i="77"/>
  <c r="B607" i="77"/>
  <c r="A607" i="77"/>
  <c r="B606" i="77"/>
  <c r="A606" i="77"/>
  <c r="B605" i="77"/>
  <c r="A605" i="77"/>
  <c r="B604" i="77"/>
  <c r="A604" i="77"/>
  <c r="B603" i="77"/>
  <c r="A603" i="77"/>
  <c r="B602" i="77"/>
  <c r="A602" i="77"/>
  <c r="B601" i="77"/>
  <c r="A601" i="77"/>
  <c r="B600" i="77"/>
  <c r="A600" i="77"/>
  <c r="B599" i="77"/>
  <c r="A599" i="77"/>
  <c r="B598" i="77"/>
  <c r="A598" i="77"/>
  <c r="B597" i="77"/>
  <c r="A597" i="77"/>
  <c r="B596" i="77"/>
  <c r="A596" i="77"/>
  <c r="B595" i="77"/>
  <c r="A595" i="77"/>
  <c r="B594" i="77"/>
  <c r="A594" i="77"/>
  <c r="B593" i="77"/>
  <c r="A593" i="77"/>
  <c r="B592" i="77"/>
  <c r="A592" i="77"/>
  <c r="B591" i="77"/>
  <c r="A591" i="77"/>
  <c r="B590" i="77"/>
  <c r="A590" i="77"/>
  <c r="B589" i="77"/>
  <c r="A589" i="77"/>
  <c r="B588" i="77"/>
  <c r="A588" i="77"/>
  <c r="B587" i="77"/>
  <c r="A587" i="77"/>
  <c r="B586" i="77"/>
  <c r="A586" i="77"/>
  <c r="B585" i="77"/>
  <c r="A585" i="77"/>
  <c r="B584" i="77"/>
  <c r="A584" i="77"/>
  <c r="B583" i="77"/>
  <c r="A583" i="77"/>
  <c r="B582" i="77"/>
  <c r="A582" i="77"/>
  <c r="B581" i="77"/>
  <c r="A581" i="77"/>
  <c r="B580" i="77"/>
  <c r="A580" i="77"/>
  <c r="B579" i="77"/>
  <c r="A579" i="77"/>
  <c r="B578" i="77"/>
  <c r="A578" i="77"/>
  <c r="B577" i="77"/>
  <c r="A577" i="77"/>
  <c r="B576" i="77"/>
  <c r="A576" i="77"/>
  <c r="B575" i="77"/>
  <c r="A575" i="77"/>
  <c r="B574" i="77"/>
  <c r="A574" i="77"/>
  <c r="B573" i="77"/>
  <c r="A573" i="77"/>
  <c r="B572" i="77"/>
  <c r="A572" i="77"/>
  <c r="B571" i="77"/>
  <c r="A571" i="77"/>
  <c r="B570" i="77"/>
  <c r="A570" i="77"/>
  <c r="B569" i="77"/>
  <c r="A569" i="77"/>
  <c r="B568" i="77"/>
  <c r="A568" i="77"/>
  <c r="B567" i="77"/>
  <c r="A567" i="77"/>
  <c r="B566" i="77"/>
  <c r="A566" i="77"/>
  <c r="B565" i="77"/>
  <c r="A565" i="77"/>
  <c r="B564" i="77"/>
  <c r="A564" i="77"/>
  <c r="B563" i="77"/>
  <c r="A563" i="77"/>
  <c r="B562" i="77"/>
  <c r="A562" i="77"/>
  <c r="B561" i="77"/>
  <c r="A561" i="77"/>
  <c r="B560" i="77"/>
  <c r="A560" i="77"/>
  <c r="B559" i="77"/>
  <c r="A559" i="77"/>
  <c r="B558" i="77"/>
  <c r="A558" i="77"/>
  <c r="B557" i="77"/>
  <c r="A557" i="77"/>
  <c r="B556" i="77"/>
  <c r="A556" i="77"/>
  <c r="B555" i="77"/>
  <c r="A555" i="77"/>
  <c r="B554" i="77"/>
  <c r="A554" i="77"/>
  <c r="B553" i="77"/>
  <c r="A553" i="77"/>
  <c r="B552" i="77"/>
  <c r="A552" i="77"/>
  <c r="B551" i="77"/>
  <c r="A551" i="77"/>
  <c r="B550" i="77"/>
  <c r="A550" i="77"/>
  <c r="B549" i="77"/>
  <c r="A549" i="77"/>
  <c r="B548" i="77"/>
  <c r="A548" i="77"/>
  <c r="B547" i="77"/>
  <c r="A547" i="77"/>
  <c r="B546" i="77"/>
  <c r="A546" i="77"/>
  <c r="B545" i="77"/>
  <c r="A545" i="77"/>
  <c r="B544" i="77"/>
  <c r="A544" i="77"/>
  <c r="B543" i="77"/>
  <c r="A543" i="77"/>
  <c r="B542" i="77"/>
  <c r="A542" i="77"/>
  <c r="B541" i="77"/>
  <c r="A541" i="77"/>
  <c r="B540" i="77"/>
  <c r="A540" i="77"/>
  <c r="B539" i="77"/>
  <c r="A539" i="77"/>
  <c r="B538" i="77"/>
  <c r="A538" i="77"/>
  <c r="B534" i="77"/>
  <c r="A534" i="77"/>
  <c r="B533" i="77"/>
  <c r="A533" i="77"/>
  <c r="B532" i="77"/>
  <c r="A532" i="77"/>
  <c r="B531" i="77"/>
  <c r="A531" i="77"/>
  <c r="B530" i="77"/>
  <c r="A530" i="77"/>
  <c r="B529" i="77"/>
  <c r="A529" i="77"/>
  <c r="B528" i="77"/>
  <c r="A528" i="77"/>
  <c r="B527" i="77"/>
  <c r="A527" i="77"/>
  <c r="B526" i="77"/>
  <c r="A526" i="77"/>
  <c r="B525" i="77"/>
  <c r="A525" i="77"/>
  <c r="B524" i="77"/>
  <c r="A524" i="77"/>
  <c r="B523" i="77"/>
  <c r="A523" i="77"/>
  <c r="B522" i="77"/>
  <c r="A522" i="77"/>
  <c r="B521" i="77"/>
  <c r="A521" i="77"/>
  <c r="B520" i="77"/>
  <c r="A520" i="77"/>
  <c r="B519" i="77"/>
  <c r="A519" i="77"/>
  <c r="B518" i="77"/>
  <c r="A518" i="77"/>
  <c r="B517" i="77"/>
  <c r="A517" i="77"/>
  <c r="B516" i="77"/>
  <c r="A516" i="77"/>
  <c r="B515" i="77"/>
  <c r="A515" i="77"/>
  <c r="B514" i="77"/>
  <c r="A514" i="77"/>
  <c r="B513" i="77"/>
  <c r="A513" i="77"/>
  <c r="B512" i="77"/>
  <c r="A512" i="77"/>
  <c r="B511" i="77"/>
  <c r="A511" i="77"/>
  <c r="B510" i="77"/>
  <c r="A510" i="77"/>
  <c r="B509" i="77"/>
  <c r="A509" i="77"/>
  <c r="B508" i="77"/>
  <c r="A508" i="77"/>
  <c r="B507" i="77"/>
  <c r="A507" i="77"/>
  <c r="B506" i="77"/>
  <c r="A506" i="77"/>
  <c r="B505" i="77"/>
  <c r="A505" i="77"/>
  <c r="B504" i="77"/>
  <c r="A504" i="77"/>
  <c r="B503" i="77"/>
  <c r="A503" i="77"/>
  <c r="B502" i="77"/>
  <c r="A502" i="77"/>
  <c r="B501" i="77"/>
  <c r="A501" i="77"/>
  <c r="B500" i="77"/>
  <c r="A500" i="77"/>
  <c r="B496" i="77"/>
  <c r="A496" i="77"/>
  <c r="B495" i="77"/>
  <c r="A495" i="77"/>
  <c r="B494" i="77"/>
  <c r="A494" i="77"/>
  <c r="B493" i="77"/>
  <c r="A493" i="77"/>
  <c r="B492" i="77"/>
  <c r="A492" i="77"/>
  <c r="B491" i="77"/>
  <c r="A491" i="77"/>
  <c r="B490" i="77"/>
  <c r="A490" i="77"/>
  <c r="B489" i="77"/>
  <c r="A489" i="77"/>
  <c r="B488" i="77"/>
  <c r="A488" i="77"/>
  <c r="B487" i="77"/>
  <c r="A487" i="77"/>
  <c r="B486" i="77"/>
  <c r="A486" i="77"/>
  <c r="B485" i="77"/>
  <c r="A485" i="77"/>
  <c r="B484" i="77"/>
  <c r="A484" i="77"/>
  <c r="B483" i="77"/>
  <c r="A483" i="77"/>
  <c r="B482" i="77"/>
  <c r="A482" i="77"/>
  <c r="B481" i="77"/>
  <c r="A481" i="77"/>
  <c r="B480" i="77"/>
  <c r="A480" i="77"/>
  <c r="B479" i="77"/>
  <c r="A479" i="77"/>
  <c r="B478" i="77"/>
  <c r="A478" i="77"/>
  <c r="B477" i="77"/>
  <c r="A477" i="77"/>
  <c r="B476" i="77"/>
  <c r="A476" i="77"/>
  <c r="B475" i="77"/>
  <c r="A475" i="77"/>
  <c r="B474" i="77"/>
  <c r="A474" i="77"/>
  <c r="B473" i="77"/>
  <c r="A473" i="77"/>
  <c r="B472" i="77"/>
  <c r="A472" i="77"/>
  <c r="B471" i="77"/>
  <c r="A471" i="77"/>
  <c r="B470" i="77"/>
  <c r="A470" i="77"/>
  <c r="B469" i="77"/>
  <c r="A469" i="77"/>
  <c r="B468" i="77"/>
  <c r="A468" i="77"/>
  <c r="B467" i="77"/>
  <c r="A467" i="77"/>
  <c r="B466" i="77"/>
  <c r="A466" i="77"/>
  <c r="B465" i="77"/>
  <c r="A465" i="77"/>
  <c r="B464" i="77"/>
  <c r="A464" i="77"/>
  <c r="B463" i="77"/>
  <c r="A463" i="77"/>
  <c r="B462" i="77"/>
  <c r="A462" i="77"/>
  <c r="B461" i="77"/>
  <c r="A461" i="77"/>
  <c r="B460" i="77"/>
  <c r="A460" i="77"/>
  <c r="B459" i="77"/>
  <c r="A459" i="77"/>
  <c r="B458" i="77"/>
  <c r="A458" i="77"/>
  <c r="B457" i="77"/>
  <c r="A457" i="77"/>
  <c r="B456" i="77"/>
  <c r="A456" i="77"/>
  <c r="B455" i="77"/>
  <c r="A455" i="77"/>
  <c r="B454" i="77"/>
  <c r="A454" i="77"/>
  <c r="B453" i="77"/>
  <c r="A453" i="77"/>
  <c r="B452" i="77"/>
  <c r="A452" i="77"/>
  <c r="B451" i="77"/>
  <c r="A451" i="77"/>
  <c r="B450" i="77"/>
  <c r="A450" i="77"/>
  <c r="B449" i="77"/>
  <c r="A449" i="77"/>
  <c r="B448" i="77"/>
  <c r="A448" i="77"/>
  <c r="B447" i="77"/>
  <c r="A447" i="77"/>
  <c r="B446" i="77"/>
  <c r="A446" i="77"/>
  <c r="B445" i="77"/>
  <c r="A445" i="77"/>
  <c r="B444" i="77"/>
  <c r="A444" i="77"/>
  <c r="B443" i="77"/>
  <c r="A443" i="77"/>
  <c r="B442" i="77"/>
  <c r="A442" i="77"/>
  <c r="B441" i="77"/>
  <c r="A441" i="77"/>
  <c r="B440" i="77"/>
  <c r="A440" i="77"/>
  <c r="B439" i="77"/>
  <c r="A439" i="77"/>
  <c r="B438" i="77"/>
  <c r="A438" i="77"/>
  <c r="B437" i="77"/>
  <c r="A437" i="77"/>
  <c r="B436" i="77"/>
  <c r="A436" i="77"/>
  <c r="B435" i="77"/>
  <c r="A435" i="77"/>
  <c r="B434" i="77"/>
  <c r="A434" i="77"/>
  <c r="B433" i="77"/>
  <c r="A433" i="77"/>
  <c r="B432" i="77"/>
  <c r="A432" i="77"/>
  <c r="B431" i="77"/>
  <c r="A431" i="77"/>
  <c r="B430" i="77"/>
  <c r="A430" i="77"/>
  <c r="B429" i="77"/>
  <c r="A429" i="77"/>
  <c r="B428" i="77"/>
  <c r="A428" i="77"/>
  <c r="B427" i="77"/>
  <c r="A427" i="77"/>
  <c r="B426" i="77"/>
  <c r="A426" i="77"/>
  <c r="B425" i="77"/>
  <c r="A425" i="77"/>
  <c r="B424" i="77"/>
  <c r="A424" i="77"/>
  <c r="B420" i="77"/>
  <c r="A420" i="77"/>
  <c r="B419" i="77"/>
  <c r="A419" i="77"/>
  <c r="B418" i="77"/>
  <c r="A418" i="77"/>
  <c r="B417" i="77"/>
  <c r="A417" i="77"/>
  <c r="B416" i="77"/>
  <c r="A416" i="77"/>
  <c r="B415" i="77"/>
  <c r="A415" i="77"/>
  <c r="B414" i="77"/>
  <c r="A414" i="77"/>
  <c r="B413" i="77"/>
  <c r="A413" i="77"/>
  <c r="B412" i="77"/>
  <c r="A412" i="77"/>
  <c r="B411" i="77"/>
  <c r="A411" i="77"/>
  <c r="B410" i="77"/>
  <c r="A410" i="77"/>
  <c r="B409" i="77"/>
  <c r="A409" i="77"/>
  <c r="B408" i="77"/>
  <c r="A408" i="77"/>
  <c r="B407" i="77"/>
  <c r="A407" i="77"/>
  <c r="B406" i="77"/>
  <c r="A406" i="77"/>
  <c r="B405" i="77"/>
  <c r="A405" i="77"/>
  <c r="B404" i="77"/>
  <c r="A404" i="77"/>
  <c r="B403" i="77"/>
  <c r="A403" i="77"/>
  <c r="B402" i="77"/>
  <c r="A402" i="77"/>
  <c r="B401" i="77"/>
  <c r="A401" i="77"/>
  <c r="B400" i="77"/>
  <c r="A400" i="77"/>
  <c r="B399" i="77"/>
  <c r="A399" i="77"/>
  <c r="B398" i="77"/>
  <c r="A398" i="77"/>
  <c r="B397" i="77"/>
  <c r="A397" i="77"/>
  <c r="B396" i="77"/>
  <c r="A396" i="77"/>
  <c r="B395" i="77"/>
  <c r="A395" i="77"/>
  <c r="B394" i="77"/>
  <c r="A394" i="77"/>
  <c r="B393" i="77"/>
  <c r="A393" i="77"/>
  <c r="B392" i="77"/>
  <c r="A392" i="77"/>
  <c r="B391" i="77"/>
  <c r="A391" i="77"/>
  <c r="B390" i="77"/>
  <c r="A390" i="77"/>
  <c r="B389" i="77"/>
  <c r="A389" i="77"/>
  <c r="B388" i="77"/>
  <c r="A388" i="77"/>
  <c r="B387" i="77"/>
  <c r="A387" i="77"/>
  <c r="B386" i="77"/>
  <c r="A386" i="77"/>
  <c r="B382" i="77"/>
  <c r="A382" i="77"/>
  <c r="B381" i="77"/>
  <c r="A381" i="77"/>
  <c r="B380" i="77"/>
  <c r="A380" i="77"/>
  <c r="B379" i="77"/>
  <c r="A379" i="77"/>
  <c r="B378" i="77"/>
  <c r="A378" i="77"/>
  <c r="B377" i="77"/>
  <c r="A377" i="77"/>
  <c r="B376" i="77"/>
  <c r="A376" i="77"/>
  <c r="B375" i="77"/>
  <c r="A375" i="77"/>
  <c r="B374" i="77"/>
  <c r="A374" i="77"/>
  <c r="B373" i="77"/>
  <c r="A373" i="77"/>
  <c r="B372" i="77"/>
  <c r="A372" i="77"/>
  <c r="B371" i="77"/>
  <c r="A371" i="77"/>
  <c r="B370" i="77"/>
  <c r="A370" i="77"/>
  <c r="B369" i="77"/>
  <c r="A369" i="77"/>
  <c r="B368" i="77"/>
  <c r="A368" i="77"/>
  <c r="B367" i="77"/>
  <c r="A367" i="77"/>
  <c r="B366" i="77"/>
  <c r="A366" i="77"/>
  <c r="B365" i="77"/>
  <c r="A365" i="77"/>
  <c r="B364" i="77"/>
  <c r="A364" i="77"/>
  <c r="B363" i="77"/>
  <c r="A363" i="77"/>
  <c r="B362" i="77"/>
  <c r="A362" i="77"/>
  <c r="B361" i="77"/>
  <c r="A361" i="77"/>
  <c r="B360" i="77"/>
  <c r="A360" i="77"/>
  <c r="B359" i="77"/>
  <c r="A359" i="77"/>
  <c r="B358" i="77"/>
  <c r="A358" i="77"/>
  <c r="B357" i="77"/>
  <c r="A357" i="77"/>
  <c r="B356" i="77"/>
  <c r="A356" i="77"/>
  <c r="B355" i="77"/>
  <c r="A355" i="77"/>
  <c r="B354" i="77"/>
  <c r="A354" i="77"/>
  <c r="B353" i="77"/>
  <c r="A353" i="77"/>
  <c r="B352" i="77"/>
  <c r="A352" i="77"/>
  <c r="B351" i="77"/>
  <c r="A351" i="77"/>
  <c r="B350" i="77"/>
  <c r="A350" i="77"/>
  <c r="B349" i="77"/>
  <c r="A349" i="77"/>
  <c r="B348" i="77"/>
  <c r="A348" i="77"/>
  <c r="B347" i="77"/>
  <c r="A347" i="77"/>
  <c r="B346" i="77"/>
  <c r="A346" i="77"/>
  <c r="B345" i="77"/>
  <c r="A345" i="77"/>
  <c r="B344" i="77"/>
  <c r="A344" i="77"/>
  <c r="B343" i="77"/>
  <c r="A343" i="77"/>
  <c r="B342" i="77"/>
  <c r="A342" i="77"/>
  <c r="B341" i="77"/>
  <c r="A341" i="77"/>
  <c r="B340" i="77"/>
  <c r="A340" i="77"/>
  <c r="B339" i="77"/>
  <c r="A339" i="77"/>
  <c r="B338" i="77"/>
  <c r="A338" i="77"/>
  <c r="B337" i="77"/>
  <c r="A337" i="77"/>
  <c r="B336" i="77"/>
  <c r="A336" i="77"/>
  <c r="B335" i="77"/>
  <c r="A335" i="77"/>
  <c r="B334" i="77"/>
  <c r="A334" i="77"/>
  <c r="B333" i="77"/>
  <c r="A333" i="77"/>
  <c r="B332" i="77"/>
  <c r="A332" i="77"/>
  <c r="B331" i="77"/>
  <c r="A331" i="77"/>
  <c r="B330" i="77"/>
  <c r="A330" i="77"/>
  <c r="B329" i="77"/>
  <c r="A329" i="77"/>
  <c r="B328" i="77"/>
  <c r="A328" i="77"/>
  <c r="B327" i="77"/>
  <c r="A327" i="77"/>
  <c r="B326" i="77"/>
  <c r="A326" i="77"/>
  <c r="B325" i="77"/>
  <c r="A325" i="77"/>
  <c r="B324" i="77"/>
  <c r="A324" i="77"/>
  <c r="B323" i="77"/>
  <c r="A323" i="77"/>
  <c r="B322" i="77"/>
  <c r="A322" i="77"/>
  <c r="B321" i="77"/>
  <c r="A321" i="77"/>
  <c r="B320" i="77"/>
  <c r="A320" i="77"/>
  <c r="B319" i="77"/>
  <c r="A319" i="77"/>
  <c r="B318" i="77"/>
  <c r="A318" i="77"/>
  <c r="B317" i="77"/>
  <c r="A317" i="77"/>
  <c r="B316" i="77"/>
  <c r="A316" i="77"/>
  <c r="B315" i="77"/>
  <c r="A315" i="77"/>
  <c r="B314" i="77"/>
  <c r="A314" i="77"/>
  <c r="B313" i="77"/>
  <c r="A313" i="77"/>
  <c r="B312" i="77"/>
  <c r="A312" i="77"/>
  <c r="B311" i="77"/>
  <c r="A311" i="77"/>
  <c r="B310" i="77"/>
  <c r="A310" i="77"/>
  <c r="B306" i="77"/>
  <c r="A306" i="77"/>
  <c r="B305" i="77"/>
  <c r="A305" i="77"/>
  <c r="B304" i="77"/>
  <c r="A304" i="77"/>
  <c r="B303" i="77"/>
  <c r="A303" i="77"/>
  <c r="B302" i="77"/>
  <c r="A302" i="77"/>
  <c r="B301" i="77"/>
  <c r="A301" i="77"/>
  <c r="B300" i="77"/>
  <c r="A300" i="77"/>
  <c r="B299" i="77"/>
  <c r="A299" i="77"/>
  <c r="B298" i="77"/>
  <c r="A298" i="77"/>
  <c r="B297" i="77"/>
  <c r="A297" i="77"/>
  <c r="B296" i="77"/>
  <c r="A296" i="77"/>
  <c r="B295" i="77"/>
  <c r="A295" i="77"/>
  <c r="B294" i="77"/>
  <c r="A294" i="77"/>
  <c r="B293" i="77"/>
  <c r="A293" i="77"/>
  <c r="B292" i="77"/>
  <c r="A292" i="77"/>
  <c r="B291" i="77"/>
  <c r="A291" i="77"/>
  <c r="B290" i="77"/>
  <c r="A290" i="77"/>
  <c r="B289" i="77"/>
  <c r="A289" i="77"/>
  <c r="B288" i="77"/>
  <c r="A288" i="77"/>
  <c r="B287" i="77"/>
  <c r="A287" i="77"/>
  <c r="B286" i="77"/>
  <c r="A286" i="77"/>
  <c r="B285" i="77"/>
  <c r="A285" i="77"/>
  <c r="B284" i="77"/>
  <c r="A284" i="77"/>
  <c r="B283" i="77"/>
  <c r="A283" i="77"/>
  <c r="B282" i="77"/>
  <c r="A282" i="77"/>
  <c r="B281" i="77"/>
  <c r="A281" i="77"/>
  <c r="B280" i="77"/>
  <c r="A280" i="77"/>
  <c r="B279" i="77"/>
  <c r="A279" i="77"/>
  <c r="B278" i="77"/>
  <c r="A278" i="77"/>
  <c r="B277" i="77"/>
  <c r="A277" i="77"/>
  <c r="B276" i="77"/>
  <c r="A276" i="77"/>
  <c r="B275" i="77"/>
  <c r="A275" i="77"/>
  <c r="B274" i="77"/>
  <c r="A274" i="77"/>
  <c r="B273" i="77"/>
  <c r="A273" i="77"/>
  <c r="B272" i="77"/>
  <c r="A272" i="77"/>
  <c r="B268" i="77"/>
  <c r="A268" i="77"/>
  <c r="B267" i="77"/>
  <c r="A267" i="77"/>
  <c r="B266" i="77"/>
  <c r="A266" i="77"/>
  <c r="B265" i="77"/>
  <c r="A265" i="77"/>
  <c r="B264" i="77"/>
  <c r="A264" i="77"/>
  <c r="B263" i="77"/>
  <c r="A263" i="77"/>
  <c r="B262" i="77"/>
  <c r="A262" i="77"/>
  <c r="B261" i="77"/>
  <c r="A261" i="77"/>
  <c r="B260" i="77"/>
  <c r="A260" i="77"/>
  <c r="B259" i="77"/>
  <c r="A259" i="77"/>
  <c r="B258" i="77"/>
  <c r="A258" i="77"/>
  <c r="B257" i="77"/>
  <c r="A257" i="77"/>
  <c r="B256" i="77"/>
  <c r="A256" i="77"/>
  <c r="B255" i="77"/>
  <c r="A255" i="77"/>
  <c r="B254" i="77"/>
  <c r="A254" i="77"/>
  <c r="B253" i="77"/>
  <c r="A253" i="77"/>
  <c r="B252" i="77"/>
  <c r="A252" i="77"/>
  <c r="B251" i="77"/>
  <c r="A251" i="77"/>
  <c r="B250" i="77"/>
  <c r="A250" i="77"/>
  <c r="B249" i="77"/>
  <c r="A249" i="77"/>
  <c r="B248" i="77"/>
  <c r="A248" i="77"/>
  <c r="B247" i="77"/>
  <c r="A247" i="77"/>
  <c r="B246" i="77"/>
  <c r="A246" i="77"/>
  <c r="B245" i="77"/>
  <c r="A245" i="77"/>
  <c r="B244" i="77"/>
  <c r="A244" i="77"/>
  <c r="B243" i="77"/>
  <c r="A243" i="77"/>
  <c r="B242" i="77"/>
  <c r="A242" i="77"/>
  <c r="B241" i="77"/>
  <c r="A241" i="77"/>
  <c r="B240" i="77"/>
  <c r="A240" i="77"/>
  <c r="B239" i="77"/>
  <c r="A239" i="77"/>
  <c r="B238" i="77"/>
  <c r="A238" i="77"/>
  <c r="B237" i="77"/>
  <c r="A237" i="77"/>
  <c r="B236" i="77"/>
  <c r="A236" i="77"/>
  <c r="B235" i="77"/>
  <c r="A235" i="77"/>
  <c r="B234" i="77"/>
  <c r="A234" i="77"/>
  <c r="B233" i="77"/>
  <c r="A233" i="77"/>
  <c r="B232" i="77"/>
  <c r="A232" i="77"/>
  <c r="B231" i="77"/>
  <c r="A231" i="77"/>
  <c r="B230" i="77"/>
  <c r="A230" i="77"/>
  <c r="B229" i="77"/>
  <c r="A229" i="77"/>
  <c r="B228" i="77"/>
  <c r="A228" i="77"/>
  <c r="B227" i="77"/>
  <c r="A227" i="77"/>
  <c r="B226" i="77"/>
  <c r="A226" i="77"/>
  <c r="B225" i="77"/>
  <c r="A225" i="77"/>
  <c r="B224" i="77"/>
  <c r="A224" i="77"/>
  <c r="B223" i="77"/>
  <c r="A223" i="77"/>
  <c r="B222" i="77"/>
  <c r="A222" i="77"/>
  <c r="B221" i="77"/>
  <c r="A221" i="77"/>
  <c r="B220" i="77"/>
  <c r="A220" i="77"/>
  <c r="B219" i="77"/>
  <c r="A219" i="77"/>
  <c r="B218" i="77"/>
  <c r="A218" i="77"/>
  <c r="B217" i="77"/>
  <c r="A217" i="77"/>
  <c r="B216" i="77"/>
  <c r="A216" i="77"/>
  <c r="B215" i="77"/>
  <c r="A215" i="77"/>
  <c r="B214" i="77"/>
  <c r="A214" i="77"/>
  <c r="B213" i="77"/>
  <c r="A213" i="77"/>
  <c r="B212" i="77"/>
  <c r="A212" i="77"/>
  <c r="B211" i="77"/>
  <c r="A211" i="77"/>
  <c r="B210" i="77"/>
  <c r="A210" i="77"/>
  <c r="B209" i="77"/>
  <c r="A209" i="77"/>
  <c r="B208" i="77"/>
  <c r="A208" i="77"/>
  <c r="B207" i="77"/>
  <c r="A207" i="77"/>
  <c r="B206" i="77"/>
  <c r="A206" i="77"/>
  <c r="B205" i="77"/>
  <c r="A205" i="77"/>
  <c r="B204" i="77"/>
  <c r="A204" i="77"/>
  <c r="B203" i="77"/>
  <c r="A203" i="77"/>
  <c r="B202" i="77"/>
  <c r="A202" i="77"/>
  <c r="B201" i="77"/>
  <c r="A201" i="77"/>
  <c r="B200" i="77"/>
  <c r="A200" i="77"/>
  <c r="B199" i="77"/>
  <c r="A199" i="77"/>
  <c r="B198" i="77"/>
  <c r="A198" i="77"/>
  <c r="B197" i="77"/>
  <c r="A197" i="77"/>
  <c r="B196" i="77"/>
  <c r="A196" i="77"/>
  <c r="B192" i="77"/>
  <c r="A192" i="77"/>
  <c r="B191" i="77"/>
  <c r="A191" i="77"/>
  <c r="B190" i="77"/>
  <c r="A190" i="77"/>
  <c r="B189" i="77"/>
  <c r="A189" i="77"/>
  <c r="B188" i="77"/>
  <c r="A188" i="77"/>
  <c r="B187" i="77"/>
  <c r="A187" i="77"/>
  <c r="B186" i="77"/>
  <c r="A186" i="77"/>
  <c r="B185" i="77"/>
  <c r="A185" i="77"/>
  <c r="B184" i="77"/>
  <c r="A184" i="77"/>
  <c r="B183" i="77"/>
  <c r="A183" i="77"/>
  <c r="B182" i="77"/>
  <c r="A182" i="77"/>
  <c r="B181" i="77"/>
  <c r="A181" i="77"/>
  <c r="B180" i="77"/>
  <c r="A180" i="77"/>
  <c r="B179" i="77"/>
  <c r="A179" i="77"/>
  <c r="B178" i="77"/>
  <c r="A178" i="77"/>
  <c r="B177" i="77"/>
  <c r="A177" i="77"/>
  <c r="B176" i="77"/>
  <c r="A176" i="77"/>
  <c r="B175" i="77"/>
  <c r="A175" i="77"/>
  <c r="B174" i="77"/>
  <c r="A174" i="77"/>
  <c r="B173" i="77"/>
  <c r="A173" i="77"/>
  <c r="B172" i="77"/>
  <c r="A172" i="77"/>
  <c r="B171" i="77"/>
  <c r="A171" i="77"/>
  <c r="B170" i="77"/>
  <c r="A170" i="77"/>
  <c r="B169" i="77"/>
  <c r="A169" i="77"/>
  <c r="B168" i="77"/>
  <c r="A168" i="77"/>
  <c r="B167" i="77"/>
  <c r="A167" i="77"/>
  <c r="B166" i="77"/>
  <c r="A166" i="77"/>
  <c r="B165" i="77"/>
  <c r="A165" i="77"/>
  <c r="B164" i="77"/>
  <c r="A164" i="77"/>
  <c r="B163" i="77"/>
  <c r="A163" i="77"/>
  <c r="B162" i="77"/>
  <c r="A162" i="77"/>
  <c r="B161" i="77"/>
  <c r="A161" i="77"/>
  <c r="B160" i="77"/>
  <c r="A160" i="77"/>
  <c r="B159" i="77"/>
  <c r="A159" i="77"/>
  <c r="B158" i="77"/>
  <c r="A158" i="77"/>
  <c r="B154" i="77"/>
  <c r="A154" i="77"/>
  <c r="B153" i="77"/>
  <c r="A153" i="77"/>
  <c r="B152" i="77"/>
  <c r="A152" i="77"/>
  <c r="B151" i="77"/>
  <c r="A151" i="77"/>
  <c r="B150" i="77"/>
  <c r="A150" i="77"/>
  <c r="B149" i="77"/>
  <c r="A149" i="77"/>
  <c r="B148" i="77"/>
  <c r="A148" i="77"/>
  <c r="B147" i="77"/>
  <c r="A147" i="77"/>
  <c r="B146" i="77"/>
  <c r="A146" i="77"/>
  <c r="B145" i="77"/>
  <c r="A145" i="77"/>
  <c r="B144" i="77"/>
  <c r="A144" i="77"/>
  <c r="B143" i="77"/>
  <c r="A143" i="77"/>
  <c r="B142" i="77"/>
  <c r="A142" i="77"/>
  <c r="B141" i="77"/>
  <c r="A141" i="77"/>
  <c r="B140" i="77"/>
  <c r="A140" i="77"/>
  <c r="B139" i="77"/>
  <c r="A139" i="77"/>
  <c r="B138" i="77"/>
  <c r="A138" i="77"/>
  <c r="B137" i="77"/>
  <c r="A137" i="77"/>
  <c r="B136" i="77"/>
  <c r="A136" i="77"/>
  <c r="B135" i="77"/>
  <c r="A135" i="77"/>
  <c r="B134" i="77"/>
  <c r="A134" i="77"/>
  <c r="B133" i="77"/>
  <c r="A133" i="77"/>
  <c r="B132" i="77"/>
  <c r="A132" i="77"/>
  <c r="B131" i="77"/>
  <c r="A131" i="77"/>
  <c r="B130" i="77"/>
  <c r="A130" i="77"/>
  <c r="B129" i="77"/>
  <c r="A129" i="77"/>
  <c r="B128" i="77"/>
  <c r="A128" i="77"/>
  <c r="B127" i="77"/>
  <c r="A127" i="77"/>
  <c r="B126" i="77"/>
  <c r="A126" i="77"/>
  <c r="B125" i="77"/>
  <c r="A125" i="77"/>
  <c r="B124" i="77"/>
  <c r="A124" i="77"/>
  <c r="B123" i="77"/>
  <c r="A123" i="77"/>
  <c r="B122" i="77"/>
  <c r="A122" i="77"/>
  <c r="B121" i="77"/>
  <c r="A121" i="77"/>
  <c r="B120" i="77"/>
  <c r="A120" i="77"/>
  <c r="B119" i="77"/>
  <c r="A119" i="77"/>
  <c r="B118" i="77"/>
  <c r="A118" i="77"/>
  <c r="B117" i="77"/>
  <c r="A117" i="77"/>
  <c r="B116" i="77"/>
  <c r="A116" i="77"/>
  <c r="B115" i="77"/>
  <c r="A115" i="77"/>
  <c r="B114" i="77"/>
  <c r="A114" i="77"/>
  <c r="B113" i="77"/>
  <c r="A113" i="77"/>
  <c r="B112" i="77"/>
  <c r="A112" i="77"/>
  <c r="B111" i="77"/>
  <c r="A111" i="77"/>
  <c r="B110" i="77"/>
  <c r="A110" i="77"/>
  <c r="B109" i="77"/>
  <c r="A109" i="77"/>
  <c r="B108" i="77"/>
  <c r="A108" i="77"/>
  <c r="B107" i="77"/>
  <c r="A107" i="77"/>
  <c r="B106" i="77"/>
  <c r="A106" i="77"/>
  <c r="B105" i="77"/>
  <c r="A105" i="77"/>
  <c r="B104" i="77"/>
  <c r="A104" i="77"/>
  <c r="B103" i="77"/>
  <c r="A103" i="77"/>
  <c r="B102" i="77"/>
  <c r="A102" i="77"/>
  <c r="B101" i="77"/>
  <c r="A101" i="77"/>
  <c r="B100" i="77"/>
  <c r="A100" i="77"/>
  <c r="B99" i="77"/>
  <c r="A99" i="77"/>
  <c r="B98" i="77"/>
  <c r="A98" i="77"/>
  <c r="B97" i="77"/>
  <c r="A97" i="77"/>
  <c r="B96" i="77"/>
  <c r="A96" i="77"/>
  <c r="B95" i="77"/>
  <c r="A95" i="77"/>
  <c r="B94" i="77"/>
  <c r="A94" i="77"/>
  <c r="B93" i="77"/>
  <c r="A93" i="77"/>
  <c r="B92" i="77"/>
  <c r="A92" i="77"/>
  <c r="B91" i="77"/>
  <c r="A91" i="77"/>
  <c r="B90" i="77"/>
  <c r="A90" i="77"/>
  <c r="B89" i="77"/>
  <c r="A89" i="77"/>
  <c r="B88" i="77"/>
  <c r="A88" i="77"/>
  <c r="B87" i="77"/>
  <c r="A87" i="77"/>
  <c r="B86" i="77"/>
  <c r="A86" i="77"/>
  <c r="B85" i="77"/>
  <c r="A85" i="77"/>
  <c r="B84" i="77"/>
  <c r="A84" i="77"/>
  <c r="B83" i="77"/>
  <c r="A83" i="77"/>
  <c r="B82" i="77"/>
  <c r="A82" i="77"/>
  <c r="B78" i="77"/>
  <c r="A78" i="77"/>
  <c r="B77" i="77"/>
  <c r="A77" i="77"/>
  <c r="B76" i="77"/>
  <c r="A76" i="77"/>
  <c r="B75" i="77"/>
  <c r="A75" i="77"/>
  <c r="B74" i="77"/>
  <c r="A74" i="77"/>
  <c r="B73" i="77"/>
  <c r="A73" i="77"/>
  <c r="B72" i="77"/>
  <c r="A72" i="77"/>
  <c r="B71" i="77"/>
  <c r="A71" i="77"/>
  <c r="B70" i="77"/>
  <c r="A70" i="77"/>
  <c r="B69" i="77"/>
  <c r="A69" i="77"/>
  <c r="B68" i="77"/>
  <c r="A68" i="77"/>
  <c r="B67" i="77"/>
  <c r="A67" i="77"/>
  <c r="B66" i="77"/>
  <c r="A66" i="77"/>
  <c r="B65" i="77"/>
  <c r="A65" i="77"/>
  <c r="B64" i="77"/>
  <c r="A64" i="77"/>
  <c r="B63" i="77"/>
  <c r="A63" i="77"/>
  <c r="B62" i="77"/>
  <c r="A62" i="77"/>
  <c r="B61" i="77"/>
  <c r="A61" i="77"/>
  <c r="B60" i="77"/>
  <c r="A60" i="77"/>
  <c r="B59" i="77"/>
  <c r="A59" i="77"/>
  <c r="B58" i="77"/>
  <c r="A58" i="77"/>
  <c r="B57" i="77"/>
  <c r="A57" i="77"/>
  <c r="B56" i="77"/>
  <c r="A56" i="77"/>
  <c r="B55" i="77"/>
  <c r="A55" i="77"/>
  <c r="B54" i="77"/>
  <c r="A54" i="77"/>
  <c r="B53" i="77"/>
  <c r="A53" i="77"/>
  <c r="B52" i="77"/>
  <c r="A52" i="77"/>
  <c r="B51" i="77"/>
  <c r="A51" i="77"/>
  <c r="B50" i="77"/>
  <c r="A50" i="77"/>
  <c r="B49" i="77"/>
  <c r="A49" i="77"/>
  <c r="B48" i="77"/>
  <c r="A48" i="77"/>
  <c r="B47" i="77"/>
  <c r="A47" i="77"/>
  <c r="B46" i="77"/>
  <c r="A46" i="77"/>
  <c r="B45" i="77"/>
  <c r="A45" i="77"/>
  <c r="B44" i="77"/>
  <c r="A44" i="77"/>
  <c r="B40" i="77"/>
  <c r="A40" i="77"/>
  <c r="B39" i="77"/>
  <c r="A39" i="77"/>
  <c r="B38" i="77"/>
  <c r="A38" i="77"/>
  <c r="B37" i="77"/>
  <c r="A37" i="77"/>
  <c r="B36" i="77"/>
  <c r="A36" i="77"/>
  <c r="B35" i="77"/>
  <c r="A35" i="77"/>
  <c r="B34" i="77"/>
  <c r="A34" i="77"/>
  <c r="B33" i="77"/>
  <c r="A33" i="77"/>
  <c r="B32" i="77"/>
  <c r="A32" i="77"/>
  <c r="B31" i="77"/>
  <c r="A31" i="77"/>
  <c r="B30" i="77"/>
  <c r="A30" i="77"/>
  <c r="B29" i="77"/>
  <c r="A29" i="77"/>
  <c r="B28" i="77"/>
  <c r="A28" i="77"/>
  <c r="B27" i="77"/>
  <c r="A27" i="77"/>
  <c r="B26" i="77"/>
  <c r="A26" i="77"/>
  <c r="B25" i="77"/>
  <c r="A25" i="77"/>
  <c r="B24" i="77"/>
  <c r="A24" i="77"/>
  <c r="B23" i="77"/>
  <c r="A23" i="77"/>
  <c r="B22" i="77"/>
  <c r="A22" i="77"/>
  <c r="B21" i="77"/>
  <c r="A21" i="77"/>
  <c r="B20" i="77"/>
  <c r="A20" i="77"/>
  <c r="B19" i="77"/>
  <c r="A19" i="77"/>
  <c r="B18" i="77"/>
  <c r="A18" i="77"/>
  <c r="B17" i="77"/>
  <c r="A17" i="77"/>
  <c r="B16" i="77"/>
  <c r="A16" i="77"/>
  <c r="B15" i="77"/>
  <c r="A15" i="77"/>
  <c r="B14" i="77"/>
  <c r="A14" i="77"/>
  <c r="B13" i="77"/>
  <c r="A13" i="77"/>
  <c r="B12" i="77"/>
  <c r="A12" i="77"/>
  <c r="B11" i="77"/>
  <c r="A11" i="77"/>
  <c r="B10" i="77"/>
  <c r="A10" i="77"/>
  <c r="B9" i="77"/>
  <c r="A9" i="77"/>
  <c r="B8" i="77"/>
  <c r="A8" i="77"/>
  <c r="B7" i="77"/>
  <c r="A7" i="77"/>
  <c r="B6" i="77"/>
  <c r="A6" i="77"/>
  <c r="BO6" i="27"/>
  <c r="BE6" i="27"/>
  <c r="AU6" i="27"/>
  <c r="AK6" i="27"/>
  <c r="J28" i="76" l="1"/>
  <c r="I29" i="76"/>
  <c r="I30" i="76" s="1"/>
  <c r="F11" i="47"/>
  <c r="E11" i="47"/>
  <c r="L3" i="55"/>
  <c r="D7" i="26"/>
  <c r="I7" i="26" s="1"/>
  <c r="I11" i="47"/>
  <c r="F338" i="44"/>
  <c r="F339" i="44" s="1"/>
  <c r="F301" i="44"/>
  <c r="J29" i="76" l="1"/>
  <c r="J30" i="76" s="1"/>
  <c r="K28" i="76"/>
  <c r="E204" i="43"/>
  <c r="E69" i="47" s="1"/>
  <c r="F69" i="47"/>
  <c r="G69" i="47"/>
  <c r="H69" i="47"/>
  <c r="K29" i="76" l="1"/>
  <c r="F137" i="40"/>
  <c r="G11" i="47" l="1"/>
  <c r="A7" i="26"/>
  <c r="H11" i="47" l="1"/>
  <c r="H141" i="42"/>
  <c r="G141" i="42"/>
  <c r="F141" i="42"/>
  <c r="H271" i="44" s="1"/>
  <c r="E141" i="42"/>
  <c r="G271" i="44" s="1"/>
  <c r="G272" i="44" l="1"/>
  <c r="H272" i="44"/>
  <c r="K28" i="4"/>
  <c r="E28" i="4"/>
  <c r="E6" i="27"/>
  <c r="F276" i="42"/>
  <c r="G276" i="42" s="1"/>
  <c r="H276" i="42" s="1"/>
  <c r="C10" i="45" l="1"/>
  <c r="C9" i="45"/>
  <c r="H20" i="45" l="1"/>
  <c r="G20" i="45"/>
  <c r="F20" i="45"/>
  <c r="E20" i="45"/>
  <c r="H29" i="45"/>
  <c r="G29" i="45"/>
  <c r="F29" i="45"/>
  <c r="E29" i="45"/>
  <c r="H27" i="45"/>
  <c r="G27" i="45"/>
  <c r="F27" i="45"/>
  <c r="E27" i="45"/>
  <c r="G26" i="45"/>
  <c r="F26" i="45"/>
  <c r="E26" i="45"/>
  <c r="H26" i="45"/>
  <c r="E19" i="45"/>
  <c r="H19" i="45"/>
  <c r="F19" i="45"/>
  <c r="G19" i="45"/>
  <c r="E21" i="45" l="1"/>
  <c r="F21" i="45"/>
  <c r="H21" i="45"/>
  <c r="G21" i="45"/>
  <c r="G12" i="12"/>
  <c r="G13" i="12"/>
  <c r="G14" i="12"/>
  <c r="G15" i="12"/>
  <c r="G16" i="12"/>
  <c r="G17" i="12"/>
  <c r="G18" i="12"/>
  <c r="G19" i="12"/>
  <c r="G20" i="12"/>
  <c r="E18" i="45" l="1"/>
  <c r="F18" i="45" s="1"/>
  <c r="G18" i="45" s="1"/>
  <c r="H18" i="45" s="1"/>
  <c r="F104" i="40"/>
  <c r="G104" i="40" s="1"/>
  <c r="H104" i="40" s="1"/>
  <c r="E104" i="40"/>
  <c r="F340" i="44" l="1"/>
  <c r="E144" i="44"/>
  <c r="F153" i="44" l="1"/>
  <c r="F292" i="42" l="1"/>
  <c r="H294" i="42"/>
  <c r="G294" i="42"/>
  <c r="D294" i="42"/>
  <c r="C294" i="42"/>
  <c r="F294" i="42"/>
  <c r="E294" i="42"/>
  <c r="E208" i="42"/>
  <c r="E209" i="42" s="1"/>
  <c r="H49" i="47"/>
  <c r="G49" i="47"/>
  <c r="F190" i="42"/>
  <c r="E190" i="42"/>
  <c r="L67" i="46" l="1"/>
  <c r="G292" i="42"/>
  <c r="E49" i="47"/>
  <c r="F49" i="47"/>
  <c r="C292" i="42"/>
  <c r="I67" i="46" s="1"/>
  <c r="D292" i="42" l="1"/>
  <c r="J67" i="46" s="1"/>
  <c r="H71" i="42"/>
  <c r="J28" i="49" s="1"/>
  <c r="G71" i="42"/>
  <c r="I28" i="49" s="1"/>
  <c r="F71" i="42"/>
  <c r="H28" i="49" s="1"/>
  <c r="H45" i="47"/>
  <c r="G45" i="47"/>
  <c r="F45" i="47"/>
  <c r="E45" i="47"/>
  <c r="H43" i="47"/>
  <c r="G43" i="47"/>
  <c r="F43" i="47"/>
  <c r="E43" i="47"/>
  <c r="F39" i="47"/>
  <c r="F46" i="47" l="1"/>
  <c r="G46" i="47"/>
  <c r="H46" i="47"/>
  <c r="M67" i="46"/>
  <c r="G226" i="44" l="1"/>
  <c r="G225" i="44"/>
  <c r="G70" i="42"/>
  <c r="I27" i="49" s="1"/>
  <c r="H70" i="42"/>
  <c r="J27" i="49" s="1"/>
  <c r="H292" i="42"/>
  <c r="N67" i="46" s="1"/>
  <c r="F70" i="42"/>
  <c r="H27" i="49" s="1"/>
  <c r="G39" i="47" l="1"/>
  <c r="H326" i="42"/>
  <c r="J77" i="49" s="1"/>
  <c r="F326" i="42"/>
  <c r="H77" i="49" s="1"/>
  <c r="G326" i="42"/>
  <c r="I77" i="49" s="1"/>
  <c r="H39" i="47" l="1"/>
  <c r="I12" i="12" l="1"/>
  <c r="K12" i="12"/>
  <c r="I13" i="12"/>
  <c r="K13" i="12"/>
  <c r="I14" i="12"/>
  <c r="K14" i="12"/>
  <c r="I15" i="12"/>
  <c r="K15" i="12"/>
  <c r="I16" i="12"/>
  <c r="K16" i="12"/>
  <c r="I17" i="12"/>
  <c r="K17" i="12"/>
  <c r="I18" i="12"/>
  <c r="K18" i="12"/>
  <c r="I19" i="12"/>
  <c r="K19" i="12"/>
  <c r="I20" i="12"/>
  <c r="K20" i="12"/>
  <c r="H76" i="41"/>
  <c r="G76" i="41"/>
  <c r="F76" i="41"/>
  <c r="G12" i="18"/>
  <c r="H101" i="43" s="1"/>
  <c r="F12" i="18"/>
  <c r="G101" i="43" s="1"/>
  <c r="E12" i="18"/>
  <c r="G11" i="18"/>
  <c r="H60" i="43" s="1"/>
  <c r="F11" i="18"/>
  <c r="G60" i="43" s="1"/>
  <c r="E11" i="18"/>
  <c r="D12" i="18"/>
  <c r="D11" i="18"/>
  <c r="E137" i="40"/>
  <c r="E44" i="40" l="1"/>
  <c r="F44" i="40"/>
  <c r="G44" i="40"/>
  <c r="H44" i="40"/>
  <c r="F112" i="40" l="1"/>
  <c r="G112" i="40" s="1"/>
  <c r="H112" i="40" s="1"/>
  <c r="E112" i="40"/>
  <c r="F111" i="40"/>
  <c r="G111" i="40" s="1"/>
  <c r="H111" i="40" s="1"/>
  <c r="E111" i="40"/>
  <c r="A8" i="95"/>
  <c r="I37" i="58"/>
  <c r="I36" i="58"/>
  <c r="I35" i="58"/>
  <c r="I34" i="58"/>
  <c r="I33" i="58"/>
  <c r="I32" i="58"/>
  <c r="I31" i="58"/>
  <c r="I30" i="58"/>
  <c r="N8" i="95" l="1"/>
  <c r="R6" i="25" l="1"/>
  <c r="F6" i="25"/>
  <c r="V7" i="26"/>
  <c r="U7" i="26" s="1"/>
  <c r="Q16" i="18"/>
  <c r="P16" i="18" s="1"/>
  <c r="S8" i="19"/>
  <c r="D8" i="19"/>
  <c r="R8" i="19"/>
  <c r="BS7" i="39" l="1"/>
  <c r="BR7" i="39"/>
  <c r="BQ7" i="39"/>
  <c r="BP7" i="39"/>
  <c r="AO7" i="39" l="1"/>
  <c r="AN7" i="39"/>
  <c r="AT7" i="39" s="1"/>
  <c r="D16" i="18"/>
  <c r="AU7" i="39" l="1"/>
  <c r="BC33" i="56"/>
  <c r="N69" i="56"/>
  <c r="O69" i="56" s="1"/>
  <c r="P69" i="56" s="1"/>
  <c r="BS11" i="56" l="1"/>
  <c r="BR10" i="56"/>
  <c r="BS10" i="56"/>
  <c r="H52" i="42" s="1"/>
  <c r="BQ9" i="56"/>
  <c r="BR9" i="56"/>
  <c r="G52" i="42" s="1"/>
  <c r="BS9" i="56"/>
  <c r="BP8" i="56"/>
  <c r="BQ8" i="56"/>
  <c r="BR8" i="56"/>
  <c r="BS8" i="56"/>
  <c r="BN7" i="56"/>
  <c r="H175" i="42" l="1"/>
  <c r="H261" i="42"/>
  <c r="G175" i="42"/>
  <c r="G261" i="42"/>
  <c r="F52" i="42"/>
  <c r="F89" i="47"/>
  <c r="F90" i="47"/>
  <c r="E89" i="47"/>
  <c r="E90" i="47"/>
  <c r="F261" i="42"/>
  <c r="F175" i="42"/>
  <c r="F81" i="47"/>
  <c r="F83" i="47"/>
  <c r="E175" i="42"/>
  <c r="E261" i="42"/>
  <c r="E83" i="47"/>
  <c r="E81" i="47"/>
  <c r="H85" i="47"/>
  <c r="BP9" i="56"/>
  <c r="BO8" i="56"/>
  <c r="D185" i="43" s="1"/>
  <c r="BS12" i="56"/>
  <c r="BR11" i="56"/>
  <c r="H125" i="40"/>
  <c r="H113" i="40" s="1"/>
  <c r="H115" i="40" s="1"/>
  <c r="BQ10" i="56"/>
  <c r="G125" i="40"/>
  <c r="G113" i="40" s="1"/>
  <c r="G115" i="40" s="1"/>
  <c r="D175" i="42" l="1"/>
  <c r="D261" i="42"/>
  <c r="F113" i="40"/>
  <c r="F115" i="40" s="1"/>
  <c r="F95" i="47"/>
  <c r="F85" i="47"/>
  <c r="N3" i="3"/>
  <c r="F208" i="42" l="1"/>
  <c r="F209" i="42" s="1"/>
  <c r="F50" i="47" l="1"/>
  <c r="M290" i="42"/>
  <c r="E293" i="42" s="1"/>
  <c r="K66" i="46" s="1"/>
  <c r="K91" i="4"/>
  <c r="E91" i="4"/>
  <c r="F293" i="42" l="1"/>
  <c r="L66" i="46" s="1"/>
  <c r="C293" i="42"/>
  <c r="I66" i="46" s="1"/>
  <c r="D293" i="42"/>
  <c r="J66" i="46" s="1"/>
  <c r="AO11" i="12"/>
  <c r="G293" i="42" l="1"/>
  <c r="M66" i="46" s="1"/>
  <c r="G208" i="42"/>
  <c r="G209" i="42" s="1"/>
  <c r="H293" i="42" l="1"/>
  <c r="N66" i="46" s="1"/>
  <c r="H208" i="42"/>
  <c r="G50" i="47"/>
  <c r="H209" i="42" l="1"/>
  <c r="H50" i="47" s="1"/>
  <c r="AE11" i="12" l="1"/>
  <c r="AD11" i="12"/>
  <c r="F8" i="11"/>
  <c r="Q8" i="8"/>
  <c r="P8" i="8"/>
  <c r="D57" i="76" l="1"/>
  <c r="E95" i="49" s="1"/>
  <c r="D56" i="76"/>
  <c r="E94" i="49" s="1"/>
  <c r="E93" i="49" s="1"/>
  <c r="CF5" i="73"/>
  <c r="K1337" i="77" s="1"/>
  <c r="M1337" i="77" s="1"/>
  <c r="R1337" i="77" s="1"/>
  <c r="CE5" i="73"/>
  <c r="CB5" i="73"/>
  <c r="BY5" i="73"/>
  <c r="BV5" i="73"/>
  <c r="CD5" i="73"/>
  <c r="AS100" i="56"/>
  <c r="AR99" i="56"/>
  <c r="AS99" i="56" s="1"/>
  <c r="AQ98" i="56"/>
  <c r="AR98" i="56" s="1"/>
  <c r="AS98" i="56" s="1"/>
  <c r="AP97" i="56"/>
  <c r="AQ97" i="56" s="1"/>
  <c r="AR97" i="56" s="1"/>
  <c r="AS97" i="56" s="1"/>
  <c r="AO96" i="56"/>
  <c r="AP96" i="56" s="1"/>
  <c r="AQ96" i="56" s="1"/>
  <c r="AR96" i="56" s="1"/>
  <c r="AS96" i="56" s="1"/>
  <c r="AN95" i="56"/>
  <c r="AO95" i="56" s="1"/>
  <c r="AP95" i="56" s="1"/>
  <c r="AQ95" i="56" s="1"/>
  <c r="AR95" i="56" s="1"/>
  <c r="AS95" i="56" s="1"/>
  <c r="AM94" i="56"/>
  <c r="AN94" i="56" s="1"/>
  <c r="AO94" i="56" s="1"/>
  <c r="AP94" i="56" s="1"/>
  <c r="AQ94" i="56" s="1"/>
  <c r="AR94" i="56" s="1"/>
  <c r="AS94" i="56" s="1"/>
  <c r="AL93" i="56"/>
  <c r="AM93" i="56" s="1"/>
  <c r="AN93" i="56" s="1"/>
  <c r="AO93" i="56" s="1"/>
  <c r="AP93" i="56" s="1"/>
  <c r="AQ93" i="56" s="1"/>
  <c r="AR93" i="56" s="1"/>
  <c r="AS93" i="56" s="1"/>
  <c r="AK92" i="56"/>
  <c r="AL92" i="56" s="1"/>
  <c r="AM92" i="56" s="1"/>
  <c r="AN92" i="56" s="1"/>
  <c r="AO92" i="56" s="1"/>
  <c r="AP92" i="56" s="1"/>
  <c r="AQ92" i="56" s="1"/>
  <c r="AR92" i="56" s="1"/>
  <c r="AS92" i="56" s="1"/>
  <c r="AJ91" i="56"/>
  <c r="AK91" i="56" s="1"/>
  <c r="AL91" i="56" s="1"/>
  <c r="AM91" i="56" s="1"/>
  <c r="AN91" i="56" s="1"/>
  <c r="AO91" i="56" s="1"/>
  <c r="AP91" i="56" s="1"/>
  <c r="AQ91" i="56" s="1"/>
  <c r="AR91" i="56" s="1"/>
  <c r="AS91" i="56" s="1"/>
  <c r="AI90" i="56"/>
  <c r="AJ90" i="56" s="1"/>
  <c r="AK90" i="56" s="1"/>
  <c r="AL90" i="56" s="1"/>
  <c r="AM90" i="56" s="1"/>
  <c r="AN90" i="56" s="1"/>
  <c r="AO90" i="56" s="1"/>
  <c r="AP90" i="56" s="1"/>
  <c r="AQ90" i="56" s="1"/>
  <c r="AR90" i="56" s="1"/>
  <c r="AS90" i="56" s="1"/>
  <c r="AH89" i="56"/>
  <c r="AI89" i="56" s="1"/>
  <c r="AJ89" i="56" s="1"/>
  <c r="AK89" i="56" s="1"/>
  <c r="AL89" i="56" s="1"/>
  <c r="AM89" i="56" s="1"/>
  <c r="AN89" i="56" s="1"/>
  <c r="AO89" i="56" s="1"/>
  <c r="AP89" i="56" s="1"/>
  <c r="AQ89" i="56" s="1"/>
  <c r="AR89" i="56" s="1"/>
  <c r="AS89" i="56" s="1"/>
  <c r="AG88" i="56"/>
  <c r="AH88" i="56" s="1"/>
  <c r="AI88" i="56" s="1"/>
  <c r="AJ88" i="56" s="1"/>
  <c r="AK88" i="56" s="1"/>
  <c r="AL88" i="56" s="1"/>
  <c r="AM88" i="56" s="1"/>
  <c r="AN88" i="56" s="1"/>
  <c r="AO88" i="56" s="1"/>
  <c r="AP88" i="56" s="1"/>
  <c r="AQ88" i="56" s="1"/>
  <c r="AR88" i="56" s="1"/>
  <c r="AS88" i="56" s="1"/>
  <c r="AF87" i="56"/>
  <c r="AG87" i="56" s="1"/>
  <c r="AH87" i="56" s="1"/>
  <c r="AI87" i="56" s="1"/>
  <c r="AJ87" i="56" s="1"/>
  <c r="AK87" i="56" s="1"/>
  <c r="AL87" i="56" s="1"/>
  <c r="AM87" i="56" s="1"/>
  <c r="AN87" i="56" s="1"/>
  <c r="AO87" i="56" s="1"/>
  <c r="AP87" i="56" s="1"/>
  <c r="AQ87" i="56" s="1"/>
  <c r="AR87" i="56" s="1"/>
  <c r="AS87" i="56" s="1"/>
  <c r="AE86" i="56"/>
  <c r="AF86" i="56" s="1"/>
  <c r="AG86" i="56" s="1"/>
  <c r="AH86" i="56" s="1"/>
  <c r="AI86" i="56" s="1"/>
  <c r="AJ86" i="56" s="1"/>
  <c r="AK86" i="56" s="1"/>
  <c r="AL86" i="56" s="1"/>
  <c r="AM86" i="56" s="1"/>
  <c r="AN86" i="56" s="1"/>
  <c r="AO86" i="56" s="1"/>
  <c r="AP86" i="56" s="1"/>
  <c r="AQ86" i="56" s="1"/>
  <c r="AR86" i="56" s="1"/>
  <c r="AS86" i="56" s="1"/>
  <c r="AD85" i="56"/>
  <c r="AE85" i="56" s="1"/>
  <c r="AF85" i="56" s="1"/>
  <c r="AG85" i="56" s="1"/>
  <c r="AH85" i="56" s="1"/>
  <c r="AI85" i="56" s="1"/>
  <c r="AJ85" i="56" s="1"/>
  <c r="AK85" i="56" s="1"/>
  <c r="AL85" i="56" s="1"/>
  <c r="AM85" i="56" s="1"/>
  <c r="AN85" i="56" s="1"/>
  <c r="AO85" i="56" s="1"/>
  <c r="AP85" i="56" s="1"/>
  <c r="AQ85" i="56" s="1"/>
  <c r="AR85" i="56" s="1"/>
  <c r="AS85" i="56" s="1"/>
  <c r="AC84" i="56"/>
  <c r="AD84" i="56" s="1"/>
  <c r="AE84" i="56" s="1"/>
  <c r="AF84" i="56" s="1"/>
  <c r="AG84" i="56" s="1"/>
  <c r="AH84" i="56" s="1"/>
  <c r="AI84" i="56" s="1"/>
  <c r="AJ84" i="56" s="1"/>
  <c r="AK84" i="56" s="1"/>
  <c r="AL84" i="56" s="1"/>
  <c r="AM84" i="56" s="1"/>
  <c r="AN84" i="56" s="1"/>
  <c r="AO84" i="56" s="1"/>
  <c r="AP84" i="56" s="1"/>
  <c r="AQ84" i="56" s="1"/>
  <c r="AR84" i="56" s="1"/>
  <c r="AS84" i="56" s="1"/>
  <c r="AB83" i="56"/>
  <c r="AC83" i="56" s="1"/>
  <c r="AD83" i="56" s="1"/>
  <c r="AE83" i="56" s="1"/>
  <c r="AF83" i="56" s="1"/>
  <c r="AG83" i="56" s="1"/>
  <c r="AH83" i="56" s="1"/>
  <c r="AI83" i="56" s="1"/>
  <c r="AJ83" i="56" s="1"/>
  <c r="AK83" i="56" s="1"/>
  <c r="AL83" i="56" s="1"/>
  <c r="AM83" i="56" s="1"/>
  <c r="AN83" i="56" s="1"/>
  <c r="AO83" i="56" s="1"/>
  <c r="AP83" i="56" s="1"/>
  <c r="AQ83" i="56" s="1"/>
  <c r="AR83" i="56" s="1"/>
  <c r="AS83" i="56" s="1"/>
  <c r="AA82" i="56"/>
  <c r="AB82" i="56" s="1"/>
  <c r="AC82" i="56" s="1"/>
  <c r="AD82" i="56" s="1"/>
  <c r="AE82" i="56" s="1"/>
  <c r="AF82" i="56" s="1"/>
  <c r="AG82" i="56" s="1"/>
  <c r="AH82" i="56" s="1"/>
  <c r="AI82" i="56" s="1"/>
  <c r="AJ82" i="56" s="1"/>
  <c r="AK82" i="56" s="1"/>
  <c r="AL82" i="56" s="1"/>
  <c r="AM82" i="56" s="1"/>
  <c r="AN82" i="56" s="1"/>
  <c r="AO82" i="56" s="1"/>
  <c r="AP82" i="56" s="1"/>
  <c r="AQ82" i="56" s="1"/>
  <c r="AR82" i="56" s="1"/>
  <c r="AS82" i="56" s="1"/>
  <c r="Z81" i="56"/>
  <c r="AA81" i="56" s="1"/>
  <c r="AB81" i="56" s="1"/>
  <c r="AC81" i="56" s="1"/>
  <c r="AD81" i="56" s="1"/>
  <c r="AE81" i="56" s="1"/>
  <c r="AF81" i="56" s="1"/>
  <c r="AG81" i="56" s="1"/>
  <c r="AH81" i="56" s="1"/>
  <c r="AI81" i="56" s="1"/>
  <c r="AJ81" i="56" s="1"/>
  <c r="AK81" i="56" s="1"/>
  <c r="AL81" i="56" s="1"/>
  <c r="AM81" i="56" s="1"/>
  <c r="AN81" i="56" s="1"/>
  <c r="AO81" i="56" s="1"/>
  <c r="AP81" i="56" s="1"/>
  <c r="AQ81" i="56" s="1"/>
  <c r="AR81" i="56" s="1"/>
  <c r="AS81" i="56" s="1"/>
  <c r="Y80" i="56"/>
  <c r="Z80" i="56" s="1"/>
  <c r="AA80" i="56" s="1"/>
  <c r="AB80" i="56" s="1"/>
  <c r="AC80" i="56" s="1"/>
  <c r="AD80" i="56" s="1"/>
  <c r="AE80" i="56" s="1"/>
  <c r="AF80" i="56" s="1"/>
  <c r="AG80" i="56" s="1"/>
  <c r="AH80" i="56" s="1"/>
  <c r="AI80" i="56" s="1"/>
  <c r="AJ80" i="56" s="1"/>
  <c r="AK80" i="56" s="1"/>
  <c r="AL80" i="56" s="1"/>
  <c r="AM80" i="56" s="1"/>
  <c r="AN80" i="56" s="1"/>
  <c r="AO80" i="56" s="1"/>
  <c r="AP80" i="56" s="1"/>
  <c r="AQ80" i="56" s="1"/>
  <c r="AR80" i="56" s="1"/>
  <c r="AS80" i="56" s="1"/>
  <c r="X79" i="56"/>
  <c r="Y79" i="56" s="1"/>
  <c r="Z79" i="56" s="1"/>
  <c r="AA79" i="56" s="1"/>
  <c r="AB79" i="56" s="1"/>
  <c r="AC79" i="56" s="1"/>
  <c r="AD79" i="56" s="1"/>
  <c r="AE79" i="56" s="1"/>
  <c r="AF79" i="56" s="1"/>
  <c r="AG79" i="56" s="1"/>
  <c r="AH79" i="56" s="1"/>
  <c r="AI79" i="56" s="1"/>
  <c r="AJ79" i="56" s="1"/>
  <c r="AK79" i="56" s="1"/>
  <c r="AL79" i="56" s="1"/>
  <c r="AM79" i="56" s="1"/>
  <c r="AN79" i="56" s="1"/>
  <c r="AO79" i="56" s="1"/>
  <c r="AP79" i="56" s="1"/>
  <c r="AQ79" i="56" s="1"/>
  <c r="AR79" i="56" s="1"/>
  <c r="AS79" i="56" s="1"/>
  <c r="W78" i="56"/>
  <c r="X78" i="56" s="1"/>
  <c r="Y78" i="56" s="1"/>
  <c r="Z78" i="56" s="1"/>
  <c r="AA78" i="56" s="1"/>
  <c r="AB78" i="56" s="1"/>
  <c r="AC78" i="56" s="1"/>
  <c r="AD78" i="56" s="1"/>
  <c r="AE78" i="56" s="1"/>
  <c r="AF78" i="56" s="1"/>
  <c r="AG78" i="56" s="1"/>
  <c r="AH78" i="56" s="1"/>
  <c r="AI78" i="56" s="1"/>
  <c r="AJ78" i="56" s="1"/>
  <c r="AK78" i="56" s="1"/>
  <c r="AL78" i="56" s="1"/>
  <c r="AM78" i="56" s="1"/>
  <c r="AN78" i="56" s="1"/>
  <c r="AO78" i="56" s="1"/>
  <c r="AP78" i="56" s="1"/>
  <c r="AQ78" i="56" s="1"/>
  <c r="AR78" i="56" s="1"/>
  <c r="AS78" i="56" s="1"/>
  <c r="V77" i="56"/>
  <c r="W77" i="56" s="1"/>
  <c r="X77" i="56" s="1"/>
  <c r="Y77" i="56" s="1"/>
  <c r="Z77" i="56" s="1"/>
  <c r="AA77" i="56" s="1"/>
  <c r="AB77" i="56" s="1"/>
  <c r="AC77" i="56" s="1"/>
  <c r="AD77" i="56" s="1"/>
  <c r="AE77" i="56" s="1"/>
  <c r="AF77" i="56" s="1"/>
  <c r="AG77" i="56" s="1"/>
  <c r="AH77" i="56" s="1"/>
  <c r="AI77" i="56" s="1"/>
  <c r="AJ77" i="56" s="1"/>
  <c r="AK77" i="56" s="1"/>
  <c r="AL77" i="56" s="1"/>
  <c r="AM77" i="56" s="1"/>
  <c r="AN77" i="56" s="1"/>
  <c r="AO77" i="56" s="1"/>
  <c r="AP77" i="56" s="1"/>
  <c r="AQ77" i="56" s="1"/>
  <c r="AR77" i="56" s="1"/>
  <c r="AS77" i="56" s="1"/>
  <c r="U76" i="56"/>
  <c r="V76" i="56" s="1"/>
  <c r="W76" i="56" s="1"/>
  <c r="X76" i="56" s="1"/>
  <c r="Y76" i="56" s="1"/>
  <c r="Z76" i="56" s="1"/>
  <c r="AA76" i="56" s="1"/>
  <c r="AB76" i="56" s="1"/>
  <c r="AC76" i="56" s="1"/>
  <c r="AD76" i="56" s="1"/>
  <c r="AE76" i="56" s="1"/>
  <c r="AF76" i="56" s="1"/>
  <c r="AG76" i="56" s="1"/>
  <c r="AH76" i="56" s="1"/>
  <c r="AI76" i="56" s="1"/>
  <c r="AJ76" i="56" s="1"/>
  <c r="AK76" i="56" s="1"/>
  <c r="AL76" i="56" s="1"/>
  <c r="AM76" i="56" s="1"/>
  <c r="AN76" i="56" s="1"/>
  <c r="AO76" i="56" s="1"/>
  <c r="AP76" i="56" s="1"/>
  <c r="AQ76" i="56" s="1"/>
  <c r="AR76" i="56" s="1"/>
  <c r="AS76" i="56" s="1"/>
  <c r="T75" i="56"/>
  <c r="U75" i="56" s="1"/>
  <c r="V75" i="56" s="1"/>
  <c r="W75" i="56" s="1"/>
  <c r="X75" i="56" s="1"/>
  <c r="Y75" i="56" s="1"/>
  <c r="Z75" i="56" s="1"/>
  <c r="AA75" i="56" s="1"/>
  <c r="AB75" i="56" s="1"/>
  <c r="AC75" i="56" s="1"/>
  <c r="AD75" i="56" s="1"/>
  <c r="AE75" i="56" s="1"/>
  <c r="AF75" i="56" s="1"/>
  <c r="AG75" i="56" s="1"/>
  <c r="AH75" i="56" s="1"/>
  <c r="AI75" i="56" s="1"/>
  <c r="AJ75" i="56" s="1"/>
  <c r="AK75" i="56" s="1"/>
  <c r="AL75" i="56" s="1"/>
  <c r="AM75" i="56" s="1"/>
  <c r="AN75" i="56" s="1"/>
  <c r="AO75" i="56" s="1"/>
  <c r="AP75" i="56" s="1"/>
  <c r="AQ75" i="56" s="1"/>
  <c r="AR75" i="56" s="1"/>
  <c r="AS75" i="56" s="1"/>
  <c r="S74" i="56"/>
  <c r="R73" i="56"/>
  <c r="Q72" i="56"/>
  <c r="M68" i="56"/>
  <c r="L67" i="56"/>
  <c r="M67" i="56" s="1"/>
  <c r="K66" i="56"/>
  <c r="L66" i="56" s="1"/>
  <c r="M66" i="56" s="1"/>
  <c r="J65" i="56"/>
  <c r="K65" i="56" s="1"/>
  <c r="L65" i="56" s="1"/>
  <c r="M65" i="56" s="1"/>
  <c r="I64" i="56"/>
  <c r="J64" i="56" s="1"/>
  <c r="K64" i="56" s="1"/>
  <c r="L64" i="56" s="1"/>
  <c r="M64" i="56" s="1"/>
  <c r="H63" i="56"/>
  <c r="I63" i="56" s="1"/>
  <c r="J63" i="56" s="1"/>
  <c r="K63" i="56" s="1"/>
  <c r="L63" i="56" s="1"/>
  <c r="M63" i="56" s="1"/>
  <c r="G62" i="56"/>
  <c r="H62" i="56" s="1"/>
  <c r="I62" i="56" s="1"/>
  <c r="J62" i="56" s="1"/>
  <c r="K62" i="56" s="1"/>
  <c r="L62" i="56" s="1"/>
  <c r="M62" i="56" s="1"/>
  <c r="G61" i="56"/>
  <c r="H61" i="56" s="1"/>
  <c r="I61" i="56" s="1"/>
  <c r="J61" i="56" s="1"/>
  <c r="K61" i="56" s="1"/>
  <c r="L61" i="56" s="1"/>
  <c r="M61" i="56" s="1"/>
  <c r="G60" i="56"/>
  <c r="H60" i="56" s="1"/>
  <c r="I60" i="56" s="1"/>
  <c r="J60" i="56" s="1"/>
  <c r="K60" i="56" s="1"/>
  <c r="L60" i="56" s="1"/>
  <c r="M60" i="56" s="1"/>
  <c r="G59" i="56"/>
  <c r="H59" i="56" s="1"/>
  <c r="I59" i="56" s="1"/>
  <c r="J59" i="56" s="1"/>
  <c r="K59" i="56" s="1"/>
  <c r="L59" i="56" s="1"/>
  <c r="M59" i="56" s="1"/>
  <c r="G58" i="56"/>
  <c r="H58" i="56" s="1"/>
  <c r="I58" i="56" s="1"/>
  <c r="J58" i="56" s="1"/>
  <c r="K58" i="56" s="1"/>
  <c r="L58" i="56" s="1"/>
  <c r="M58" i="56" s="1"/>
  <c r="G57" i="56"/>
  <c r="H57" i="56" s="1"/>
  <c r="I57" i="56" s="1"/>
  <c r="J57" i="56" s="1"/>
  <c r="K57" i="56" s="1"/>
  <c r="L57" i="56" s="1"/>
  <c r="M57" i="56" s="1"/>
  <c r="G56" i="56"/>
  <c r="H56" i="56" s="1"/>
  <c r="I56" i="56" s="1"/>
  <c r="J56" i="56" s="1"/>
  <c r="K56" i="56" s="1"/>
  <c r="L56" i="56" s="1"/>
  <c r="M56" i="56" s="1"/>
  <c r="G55" i="56"/>
  <c r="H55" i="56" s="1"/>
  <c r="I55" i="56" s="1"/>
  <c r="J55" i="56" s="1"/>
  <c r="K55" i="56" s="1"/>
  <c r="L55" i="56" s="1"/>
  <c r="M55" i="56" s="1"/>
  <c r="G54" i="56"/>
  <c r="H54" i="56" s="1"/>
  <c r="I54" i="56" s="1"/>
  <c r="J54" i="56" s="1"/>
  <c r="K54" i="56" s="1"/>
  <c r="L54" i="56" s="1"/>
  <c r="M54" i="56" s="1"/>
  <c r="G53" i="56"/>
  <c r="H53" i="56" s="1"/>
  <c r="I53" i="56" s="1"/>
  <c r="J53" i="56" s="1"/>
  <c r="K53" i="56" s="1"/>
  <c r="L53" i="56" s="1"/>
  <c r="M53" i="56" s="1"/>
  <c r="G52" i="56"/>
  <c r="H52" i="56" s="1"/>
  <c r="I52" i="56" s="1"/>
  <c r="J52" i="56" s="1"/>
  <c r="K52" i="56" s="1"/>
  <c r="L52" i="56" s="1"/>
  <c r="M52" i="56" s="1"/>
  <c r="BC57" i="56"/>
  <c r="G51" i="56"/>
  <c r="H51" i="56" s="1"/>
  <c r="I51" i="56" s="1"/>
  <c r="J51" i="56" s="1"/>
  <c r="K51" i="56" s="1"/>
  <c r="L51" i="56" s="1"/>
  <c r="M51" i="56" s="1"/>
  <c r="BC56" i="56"/>
  <c r="G50" i="56"/>
  <c r="H50" i="56" s="1"/>
  <c r="I50" i="56" s="1"/>
  <c r="J50" i="56" s="1"/>
  <c r="K50" i="56" s="1"/>
  <c r="L50" i="56" s="1"/>
  <c r="M50" i="56" s="1"/>
  <c r="BC55" i="56"/>
  <c r="G49" i="56"/>
  <c r="H49" i="56" s="1"/>
  <c r="I49" i="56" s="1"/>
  <c r="J49" i="56" s="1"/>
  <c r="K49" i="56" s="1"/>
  <c r="L49" i="56" s="1"/>
  <c r="M49" i="56" s="1"/>
  <c r="BC54" i="56"/>
  <c r="G48" i="56"/>
  <c r="H48" i="56" s="1"/>
  <c r="I48" i="56" s="1"/>
  <c r="J48" i="56" s="1"/>
  <c r="K48" i="56" s="1"/>
  <c r="L48" i="56" s="1"/>
  <c r="M48" i="56" s="1"/>
  <c r="BC53" i="56"/>
  <c r="G47" i="56"/>
  <c r="H47" i="56" s="1"/>
  <c r="I47" i="56" s="1"/>
  <c r="J47" i="56" s="1"/>
  <c r="K47" i="56" s="1"/>
  <c r="L47" i="56" s="1"/>
  <c r="M47" i="56" s="1"/>
  <c r="BC52" i="56"/>
  <c r="G46" i="56"/>
  <c r="H46" i="56" s="1"/>
  <c r="I46" i="56" s="1"/>
  <c r="J46" i="56" s="1"/>
  <c r="K46" i="56" s="1"/>
  <c r="L46" i="56" s="1"/>
  <c r="M46" i="56" s="1"/>
  <c r="AV50" i="56"/>
  <c r="E252" i="42" s="1"/>
  <c r="G45" i="56"/>
  <c r="H45" i="56" s="1"/>
  <c r="I45" i="56" s="1"/>
  <c r="J45" i="56" s="1"/>
  <c r="K45" i="56" s="1"/>
  <c r="L45" i="56" s="1"/>
  <c r="M45" i="56" s="1"/>
  <c r="G44" i="56"/>
  <c r="H44" i="56" s="1"/>
  <c r="I44" i="56" s="1"/>
  <c r="J44" i="56" s="1"/>
  <c r="K44" i="56" s="1"/>
  <c r="L44" i="56" s="1"/>
  <c r="M44" i="56" s="1"/>
  <c r="G43" i="56"/>
  <c r="H43" i="56" s="1"/>
  <c r="I43" i="56" s="1"/>
  <c r="J43" i="56" s="1"/>
  <c r="K43" i="56" s="1"/>
  <c r="L43" i="56" s="1"/>
  <c r="M43" i="56" s="1"/>
  <c r="G42" i="56"/>
  <c r="H42" i="56" s="1"/>
  <c r="I42" i="56" s="1"/>
  <c r="J42" i="56" s="1"/>
  <c r="K42" i="56" s="1"/>
  <c r="L42" i="56" s="1"/>
  <c r="M42" i="56" s="1"/>
  <c r="G41" i="56"/>
  <c r="H41" i="56" s="1"/>
  <c r="I41" i="56" s="1"/>
  <c r="J41" i="56" s="1"/>
  <c r="K41" i="56" s="1"/>
  <c r="L41" i="56" s="1"/>
  <c r="M41" i="56" s="1"/>
  <c r="G40" i="56"/>
  <c r="H40" i="56" s="1"/>
  <c r="I40" i="56" s="1"/>
  <c r="J40" i="56" s="1"/>
  <c r="K40" i="56" s="1"/>
  <c r="L40" i="56" s="1"/>
  <c r="M40" i="56" s="1"/>
  <c r="G39" i="56"/>
  <c r="H39" i="56" s="1"/>
  <c r="I39" i="56" s="1"/>
  <c r="J39" i="56" s="1"/>
  <c r="K39" i="56" s="1"/>
  <c r="L39" i="56" s="1"/>
  <c r="M39" i="56" s="1"/>
  <c r="G38" i="56"/>
  <c r="H38" i="56" s="1"/>
  <c r="I38" i="56" s="1"/>
  <c r="J38" i="56" s="1"/>
  <c r="K38" i="56" s="1"/>
  <c r="L38" i="56" s="1"/>
  <c r="M38" i="56" s="1"/>
  <c r="G37" i="56"/>
  <c r="H37" i="56" s="1"/>
  <c r="I37" i="56" s="1"/>
  <c r="J37" i="56" s="1"/>
  <c r="K37" i="56" s="1"/>
  <c r="L37" i="56" s="1"/>
  <c r="M37" i="56" s="1"/>
  <c r="G36" i="56"/>
  <c r="H36" i="56" s="1"/>
  <c r="I36" i="56" s="1"/>
  <c r="J36" i="56" s="1"/>
  <c r="K36" i="56" s="1"/>
  <c r="L36" i="56" s="1"/>
  <c r="M36" i="56" s="1"/>
  <c r="G35" i="56"/>
  <c r="H35" i="56" s="1"/>
  <c r="I35" i="56" s="1"/>
  <c r="J35" i="56" s="1"/>
  <c r="K35" i="56" s="1"/>
  <c r="L35" i="56" s="1"/>
  <c r="M35" i="56" s="1"/>
  <c r="G34" i="56"/>
  <c r="H34" i="56" s="1"/>
  <c r="I34" i="56" s="1"/>
  <c r="J34" i="56" s="1"/>
  <c r="K34" i="56" s="1"/>
  <c r="L34" i="56" s="1"/>
  <c r="M34" i="56" s="1"/>
  <c r="G33" i="56"/>
  <c r="H33" i="56" s="1"/>
  <c r="I33" i="56" s="1"/>
  <c r="J33" i="56" s="1"/>
  <c r="K33" i="56" s="1"/>
  <c r="L33" i="56" s="1"/>
  <c r="M33" i="56" s="1"/>
  <c r="G32" i="56"/>
  <c r="H32" i="56" s="1"/>
  <c r="I32" i="56" s="1"/>
  <c r="J32" i="56" s="1"/>
  <c r="K32" i="56" s="1"/>
  <c r="L32" i="56" s="1"/>
  <c r="M32" i="56" s="1"/>
  <c r="G31" i="56"/>
  <c r="H31" i="56" s="1"/>
  <c r="I31" i="56" s="1"/>
  <c r="J31" i="56" s="1"/>
  <c r="K31" i="56" s="1"/>
  <c r="L31" i="56" s="1"/>
  <c r="M31" i="56" s="1"/>
  <c r="G30" i="56"/>
  <c r="H30" i="56" s="1"/>
  <c r="I30" i="56" s="1"/>
  <c r="J30" i="56" s="1"/>
  <c r="K30" i="56" s="1"/>
  <c r="L30" i="56" s="1"/>
  <c r="M30" i="56" s="1"/>
  <c r="BF35" i="56"/>
  <c r="G29" i="56"/>
  <c r="H29" i="56" s="1"/>
  <c r="I29" i="56" s="1"/>
  <c r="J29" i="56" s="1"/>
  <c r="K29" i="56" s="1"/>
  <c r="L29" i="56" s="1"/>
  <c r="M29" i="56" s="1"/>
  <c r="BF34" i="56"/>
  <c r="G28" i="56"/>
  <c r="H28" i="56" s="1"/>
  <c r="I28" i="56" s="1"/>
  <c r="J28" i="56" s="1"/>
  <c r="K28" i="56" s="1"/>
  <c r="L28" i="56" s="1"/>
  <c r="M28" i="56" s="1"/>
  <c r="BF33" i="56"/>
  <c r="G27" i="56"/>
  <c r="H27" i="56" s="1"/>
  <c r="I27" i="56" s="1"/>
  <c r="J27" i="56" s="1"/>
  <c r="K27" i="56" s="1"/>
  <c r="L27" i="56" s="1"/>
  <c r="M27" i="56" s="1"/>
  <c r="BF32" i="56"/>
  <c r="G26" i="56"/>
  <c r="H26" i="56" s="1"/>
  <c r="I26" i="56" s="1"/>
  <c r="J26" i="56" s="1"/>
  <c r="K26" i="56" s="1"/>
  <c r="L26" i="56" s="1"/>
  <c r="M26" i="56" s="1"/>
  <c r="BF31" i="56"/>
  <c r="G25" i="56"/>
  <c r="H25" i="56" s="1"/>
  <c r="I25" i="56" s="1"/>
  <c r="J25" i="56" s="1"/>
  <c r="K25" i="56" s="1"/>
  <c r="L25" i="56" s="1"/>
  <c r="M25" i="56" s="1"/>
  <c r="BF30" i="56"/>
  <c r="G24" i="56"/>
  <c r="H24" i="56" s="1"/>
  <c r="I24" i="56" s="1"/>
  <c r="J24" i="56" s="1"/>
  <c r="K24" i="56" s="1"/>
  <c r="L24" i="56" s="1"/>
  <c r="M24" i="56" s="1"/>
  <c r="BF29" i="56"/>
  <c r="G23" i="56"/>
  <c r="H23" i="56" s="1"/>
  <c r="I23" i="56" s="1"/>
  <c r="J23" i="56" s="1"/>
  <c r="K23" i="56" s="1"/>
  <c r="L23" i="56" s="1"/>
  <c r="M23" i="56" s="1"/>
  <c r="BF28" i="56"/>
  <c r="G22" i="56"/>
  <c r="H22" i="56" s="1"/>
  <c r="I22" i="56" s="1"/>
  <c r="J22" i="56" s="1"/>
  <c r="K22" i="56" s="1"/>
  <c r="L22" i="56" s="1"/>
  <c r="M22" i="56" s="1"/>
  <c r="BF27" i="56"/>
  <c r="G21" i="56"/>
  <c r="H21" i="56" s="1"/>
  <c r="I21" i="56" s="1"/>
  <c r="J21" i="56" s="1"/>
  <c r="K21" i="56" s="1"/>
  <c r="L21" i="56" s="1"/>
  <c r="M21" i="56" s="1"/>
  <c r="G20" i="56"/>
  <c r="H20" i="56" s="1"/>
  <c r="I20" i="56" s="1"/>
  <c r="J20" i="56" s="1"/>
  <c r="K20" i="56" s="1"/>
  <c r="L20" i="56" s="1"/>
  <c r="M20" i="56" s="1"/>
  <c r="G19" i="56"/>
  <c r="H19" i="56" s="1"/>
  <c r="I19" i="56" s="1"/>
  <c r="J19" i="56" s="1"/>
  <c r="K19" i="56" s="1"/>
  <c r="L19" i="56" s="1"/>
  <c r="M19" i="56" s="1"/>
  <c r="G18" i="56"/>
  <c r="H18" i="56" s="1"/>
  <c r="I18" i="56" s="1"/>
  <c r="J18" i="56" s="1"/>
  <c r="K18" i="56" s="1"/>
  <c r="L18" i="56" s="1"/>
  <c r="M18" i="56" s="1"/>
  <c r="G17" i="56"/>
  <c r="H17" i="56" s="1"/>
  <c r="I17" i="56" s="1"/>
  <c r="J17" i="56" s="1"/>
  <c r="K17" i="56" s="1"/>
  <c r="L17" i="56" s="1"/>
  <c r="M17" i="56" s="1"/>
  <c r="G16" i="56"/>
  <c r="H16" i="56" s="1"/>
  <c r="I16" i="56" s="1"/>
  <c r="J16" i="56" s="1"/>
  <c r="K16" i="56" s="1"/>
  <c r="L16" i="56" s="1"/>
  <c r="M16" i="56" s="1"/>
  <c r="G15" i="56"/>
  <c r="H15" i="56" s="1"/>
  <c r="I15" i="56" s="1"/>
  <c r="J15" i="56" s="1"/>
  <c r="K15" i="56" s="1"/>
  <c r="L15" i="56" s="1"/>
  <c r="M15" i="56" s="1"/>
  <c r="G14" i="56"/>
  <c r="H14" i="56" s="1"/>
  <c r="I14" i="56" s="1"/>
  <c r="J14" i="56" s="1"/>
  <c r="K14" i="56" s="1"/>
  <c r="L14" i="56" s="1"/>
  <c r="M14" i="56" s="1"/>
  <c r="G13" i="56"/>
  <c r="H13" i="56" s="1"/>
  <c r="I13" i="56" s="1"/>
  <c r="J13" i="56" s="1"/>
  <c r="K13" i="56" s="1"/>
  <c r="L13" i="56" s="1"/>
  <c r="M13" i="56" s="1"/>
  <c r="G12" i="56"/>
  <c r="H12" i="56" s="1"/>
  <c r="I12" i="56" s="1"/>
  <c r="J12" i="56" s="1"/>
  <c r="K12" i="56" s="1"/>
  <c r="L12" i="56" s="1"/>
  <c r="M12" i="56" s="1"/>
  <c r="G11" i="56"/>
  <c r="H11" i="56" s="1"/>
  <c r="I11" i="56" s="1"/>
  <c r="J11" i="56" s="1"/>
  <c r="K11" i="56" s="1"/>
  <c r="L11" i="56" s="1"/>
  <c r="M11" i="56" s="1"/>
  <c r="G10" i="56"/>
  <c r="H10" i="56" s="1"/>
  <c r="I10" i="56" s="1"/>
  <c r="J10" i="56" s="1"/>
  <c r="K10" i="56" s="1"/>
  <c r="L10" i="56" s="1"/>
  <c r="M10" i="56" s="1"/>
  <c r="G9" i="56"/>
  <c r="H9" i="56" s="1"/>
  <c r="I9" i="56" s="1"/>
  <c r="J9" i="56" s="1"/>
  <c r="K9" i="56" s="1"/>
  <c r="L9" i="56" s="1"/>
  <c r="M9" i="56" s="1"/>
  <c r="G8" i="56"/>
  <c r="H8" i="56" s="1"/>
  <c r="I8" i="56" s="1"/>
  <c r="J8" i="56" s="1"/>
  <c r="K8" i="56" s="1"/>
  <c r="L8" i="56" s="1"/>
  <c r="M8" i="56" s="1"/>
  <c r="BM7" i="56"/>
  <c r="BL7" i="56"/>
  <c r="BK7" i="56"/>
  <c r="BJ7" i="56"/>
  <c r="BI7" i="56"/>
  <c r="BS17" i="56" s="1"/>
  <c r="BH7" i="56"/>
  <c r="BG7" i="56"/>
  <c r="BF7" i="56"/>
  <c r="BE7" i="56"/>
  <c r="BD7" i="56"/>
  <c r="BC7" i="56"/>
  <c r="G7" i="56"/>
  <c r="H7" i="56" s="1"/>
  <c r="I7" i="56" s="1"/>
  <c r="J7" i="56" s="1"/>
  <c r="K7" i="56" s="1"/>
  <c r="L7" i="56" s="1"/>
  <c r="M7" i="56" s="1"/>
  <c r="D8" i="53"/>
  <c r="D7" i="53"/>
  <c r="I10" i="47"/>
  <c r="N318" i="44"/>
  <c r="N317" i="44"/>
  <c r="F316" i="44"/>
  <c r="F151" i="44"/>
  <c r="F93" i="47" s="1"/>
  <c r="F271" i="44"/>
  <c r="E271" i="44"/>
  <c r="F209" i="44"/>
  <c r="E209" i="44"/>
  <c r="F143" i="44"/>
  <c r="F84" i="47" s="1"/>
  <c r="E143" i="44"/>
  <c r="F142" i="44"/>
  <c r="E142" i="44"/>
  <c r="E141" i="44"/>
  <c r="E80" i="47" s="1"/>
  <c r="F140" i="44"/>
  <c r="F79" i="47" s="1"/>
  <c r="E140" i="44"/>
  <c r="F116" i="44"/>
  <c r="G116" i="44" s="1"/>
  <c r="H116" i="44" s="1"/>
  <c r="E116" i="44"/>
  <c r="F100" i="44"/>
  <c r="F32" i="44" s="1"/>
  <c r="L183" i="46" s="1"/>
  <c r="L185" i="46" s="1"/>
  <c r="E56" i="44"/>
  <c r="F183" i="43"/>
  <c r="E183" i="43"/>
  <c r="F182" i="43"/>
  <c r="E182" i="43"/>
  <c r="F179" i="43"/>
  <c r="E179" i="43"/>
  <c r="F165" i="43"/>
  <c r="E165" i="43"/>
  <c r="F164" i="43"/>
  <c r="E164" i="43"/>
  <c r="F163" i="43"/>
  <c r="E163" i="43"/>
  <c r="F162" i="43"/>
  <c r="E162" i="43"/>
  <c r="F161" i="43"/>
  <c r="G161" i="43" s="1"/>
  <c r="E161" i="43"/>
  <c r="F333" i="42"/>
  <c r="G333" i="42" s="1"/>
  <c r="E333" i="42"/>
  <c r="F332" i="42"/>
  <c r="E332" i="42"/>
  <c r="F331" i="42"/>
  <c r="E331" i="42"/>
  <c r="F330" i="42"/>
  <c r="G330" i="42" s="1"/>
  <c r="E330" i="42"/>
  <c r="E292" i="42"/>
  <c r="K67" i="46" s="1"/>
  <c r="L290" i="42"/>
  <c r="E57" i="47"/>
  <c r="E276" i="42"/>
  <c r="F258" i="42"/>
  <c r="E258" i="42"/>
  <c r="E253" i="42"/>
  <c r="E50" i="47"/>
  <c r="F204" i="42"/>
  <c r="E204" i="42"/>
  <c r="F121" i="41"/>
  <c r="E121" i="41"/>
  <c r="E76" i="41"/>
  <c r="F106" i="40"/>
  <c r="G106" i="40" s="1"/>
  <c r="H106" i="40" s="1"/>
  <c r="E106" i="40"/>
  <c r="F105" i="40"/>
  <c r="G105" i="40" s="1"/>
  <c r="H105" i="40" s="1"/>
  <c r="E105" i="40"/>
  <c r="F103" i="40"/>
  <c r="G103" i="40" s="1"/>
  <c r="H103" i="40" s="1"/>
  <c r="E103" i="40"/>
  <c r="F102" i="40"/>
  <c r="G102" i="40" s="1"/>
  <c r="H102" i="40" s="1"/>
  <c r="E102" i="40"/>
  <c r="F101" i="40"/>
  <c r="G101" i="40" s="1"/>
  <c r="H101" i="40" s="1"/>
  <c r="E101" i="40"/>
  <c r="F100" i="40"/>
  <c r="G100" i="40" s="1"/>
  <c r="H100" i="40" s="1"/>
  <c r="E100" i="40"/>
  <c r="F99" i="40"/>
  <c r="E99" i="40"/>
  <c r="M62" i="40"/>
  <c r="E119" i="43" s="1"/>
  <c r="K62" i="40"/>
  <c r="M61" i="40"/>
  <c r="K61" i="40"/>
  <c r="M60" i="40"/>
  <c r="K60" i="40"/>
  <c r="M59" i="40"/>
  <c r="K59" i="40"/>
  <c r="M58" i="40"/>
  <c r="K58" i="40"/>
  <c r="M57" i="40"/>
  <c r="E177" i="44"/>
  <c r="F135" i="38"/>
  <c r="G135" i="38" s="1"/>
  <c r="H135" i="38" s="1"/>
  <c r="E135" i="38"/>
  <c r="F134" i="38"/>
  <c r="G134" i="38" s="1"/>
  <c r="H134" i="38" s="1"/>
  <c r="E134" i="38"/>
  <c r="F133" i="38"/>
  <c r="G133" i="38" s="1"/>
  <c r="H133" i="38" s="1"/>
  <c r="E133" i="38"/>
  <c r="F132" i="38"/>
  <c r="G132" i="38" s="1"/>
  <c r="H132" i="38" s="1"/>
  <c r="E132" i="38"/>
  <c r="F131" i="38"/>
  <c r="G131" i="38" s="1"/>
  <c r="H131" i="38" s="1"/>
  <c r="E131" i="38"/>
  <c r="F130" i="38"/>
  <c r="G130" i="38" s="1"/>
  <c r="H130" i="38" s="1"/>
  <c r="E130" i="38"/>
  <c r="F129" i="38"/>
  <c r="G129" i="38" s="1"/>
  <c r="H129" i="38" s="1"/>
  <c r="E129" i="38"/>
  <c r="F128" i="38"/>
  <c r="G128" i="38" s="1"/>
  <c r="H128" i="38" s="1"/>
  <c r="E128" i="38"/>
  <c r="F127" i="38"/>
  <c r="G127" i="38" s="1"/>
  <c r="H127" i="38" s="1"/>
  <c r="E127" i="38"/>
  <c r="F126" i="38"/>
  <c r="G126" i="38" s="1"/>
  <c r="H126" i="38" s="1"/>
  <c r="E126" i="38"/>
  <c r="F125" i="38"/>
  <c r="G125" i="38" s="1"/>
  <c r="H125" i="38" s="1"/>
  <c r="E125" i="38"/>
  <c r="F124" i="38"/>
  <c r="G124" i="38" s="1"/>
  <c r="H124" i="38" s="1"/>
  <c r="E124" i="38"/>
  <c r="F123" i="38"/>
  <c r="G123" i="38" s="1"/>
  <c r="H123" i="38" s="1"/>
  <c r="E123" i="38"/>
  <c r="F122" i="38"/>
  <c r="G122" i="38" s="1"/>
  <c r="H122" i="38" s="1"/>
  <c r="E122" i="38"/>
  <c r="E176" i="44"/>
  <c r="F106" i="38"/>
  <c r="E106" i="38"/>
  <c r="F105" i="38"/>
  <c r="E105" i="38"/>
  <c r="F103" i="38"/>
  <c r="E103" i="38"/>
  <c r="F102" i="38"/>
  <c r="E102" i="38"/>
  <c r="F101" i="38"/>
  <c r="E101" i="38"/>
  <c r="F100" i="38"/>
  <c r="E100" i="38"/>
  <c r="F99" i="38"/>
  <c r="E99" i="38"/>
  <c r="F98" i="38"/>
  <c r="E98" i="38"/>
  <c r="F97" i="38"/>
  <c r="E97" i="38"/>
  <c r="F96" i="38"/>
  <c r="E96" i="38"/>
  <c r="F95" i="38"/>
  <c r="E95" i="38"/>
  <c r="F94" i="38"/>
  <c r="E94" i="38"/>
  <c r="F93" i="38"/>
  <c r="E93" i="38"/>
  <c r="AM7" i="39"/>
  <c r="AS7" i="39" s="1"/>
  <c r="AL7" i="39"/>
  <c r="AR7" i="39" s="1"/>
  <c r="AA6" i="27"/>
  <c r="G6" i="27"/>
  <c r="B6" i="27"/>
  <c r="A6" i="27"/>
  <c r="AF7" i="26"/>
  <c r="AE7" i="26"/>
  <c r="Z7" i="26"/>
  <c r="Y7" i="26"/>
  <c r="X7" i="26"/>
  <c r="W7" i="26" s="1"/>
  <c r="Q7" i="26"/>
  <c r="P7" i="26"/>
  <c r="F7" i="26"/>
  <c r="C7" i="26"/>
  <c r="B7" i="26"/>
  <c r="S6" i="25"/>
  <c r="T6" i="25" s="1"/>
  <c r="H6" i="25"/>
  <c r="B6" i="25"/>
  <c r="A6" i="25"/>
  <c r="B11" i="14"/>
  <c r="AL12" i="12"/>
  <c r="AO12" i="12"/>
  <c r="AO13" i="12" s="1"/>
  <c r="AO14" i="12" s="1"/>
  <c r="AO15" i="12" s="1"/>
  <c r="AO16" i="12" s="1"/>
  <c r="AO17" i="12" s="1"/>
  <c r="AO18" i="12" s="1"/>
  <c r="AO19" i="12" s="1"/>
  <c r="AO20" i="12" s="1"/>
  <c r="AO21" i="12" s="1"/>
  <c r="AO22" i="12" s="1"/>
  <c r="AN11" i="12"/>
  <c r="AN12" i="12" s="1"/>
  <c r="AN13" i="12" s="1"/>
  <c r="AN14" i="12" s="1"/>
  <c r="AN15" i="12" s="1"/>
  <c r="AN16" i="12" s="1"/>
  <c r="AN17" i="12" s="1"/>
  <c r="AN18" i="12" s="1"/>
  <c r="AN19" i="12" s="1"/>
  <c r="AN20" i="12" s="1"/>
  <c r="AN21" i="12" s="1"/>
  <c r="AN22" i="12" s="1"/>
  <c r="AF11" i="12"/>
  <c r="AF12" i="12" s="1"/>
  <c r="AF13" i="12" s="1"/>
  <c r="AF14" i="12" s="1"/>
  <c r="AF15" i="12" s="1"/>
  <c r="AF16" i="12" s="1"/>
  <c r="AF17" i="12" s="1"/>
  <c r="AF18" i="12" s="1"/>
  <c r="AF19" i="12" s="1"/>
  <c r="AF20" i="12" s="1"/>
  <c r="AF21" i="12" s="1"/>
  <c r="AF22" i="12" s="1"/>
  <c r="AE12" i="12"/>
  <c r="D8" i="11"/>
  <c r="G8" i="11" s="1"/>
  <c r="A8" i="11"/>
  <c r="F8" i="10"/>
  <c r="G3" i="10" s="1" a="1"/>
  <c r="B8" i="10"/>
  <c r="D8" i="10" s="1"/>
  <c r="S10" i="21"/>
  <c r="N3" i="21" s="1" a="1"/>
  <c r="Q10" i="21"/>
  <c r="P10" i="21"/>
  <c r="O10" i="21"/>
  <c r="N10" i="21"/>
  <c r="A10" i="21"/>
  <c r="AE8" i="19"/>
  <c r="AB8" i="19"/>
  <c r="V8" i="19"/>
  <c r="U8" i="19"/>
  <c r="T8" i="19" s="1"/>
  <c r="N8" i="19"/>
  <c r="M8" i="19"/>
  <c r="AC8" i="19"/>
  <c r="A8" i="19"/>
  <c r="Z16" i="18"/>
  <c r="U16" i="18"/>
  <c r="T16" i="18"/>
  <c r="S16" i="18"/>
  <c r="R16" i="18" s="1"/>
  <c r="L16" i="18"/>
  <c r="K16" i="18"/>
  <c r="AA16" i="18"/>
  <c r="A16" i="18"/>
  <c r="E9" i="18"/>
  <c r="D9" i="18"/>
  <c r="W6" i="17"/>
  <c r="L6" i="17"/>
  <c r="F191" i="42" s="1"/>
  <c r="G191" i="42" s="1"/>
  <c r="A6" i="17"/>
  <c r="W6" i="16"/>
  <c r="AL6" i="16" s="1"/>
  <c r="Q6" i="16"/>
  <c r="AK6" i="16" s="1"/>
  <c r="K6" i="16"/>
  <c r="A6" i="16"/>
  <c r="K8" i="15"/>
  <c r="A8" i="15"/>
  <c r="F8" i="9"/>
  <c r="E8" i="9"/>
  <c r="D8" i="9"/>
  <c r="A8" i="9"/>
  <c r="N8" i="8"/>
  <c r="B8" i="8"/>
  <c r="A8" i="8"/>
  <c r="A8" i="87"/>
  <c r="O3" i="7"/>
  <c r="K103" i="4"/>
  <c r="F193" i="44" s="1"/>
  <c r="G193" i="44" s="1"/>
  <c r="H193" i="44" s="1"/>
  <c r="E103" i="4"/>
  <c r="E193" i="44" s="1"/>
  <c r="K102" i="4"/>
  <c r="E102" i="4"/>
  <c r="K101" i="4"/>
  <c r="E101" i="4"/>
  <c r="K100" i="4"/>
  <c r="E100" i="4"/>
  <c r="K99" i="4"/>
  <c r="E99" i="4"/>
  <c r="K98" i="4"/>
  <c r="F309" i="42" s="1"/>
  <c r="E98" i="4"/>
  <c r="E309" i="42" s="1"/>
  <c r="M97" i="4"/>
  <c r="L97" i="4"/>
  <c r="J97" i="4"/>
  <c r="I97" i="4"/>
  <c r="K97" i="4" s="1"/>
  <c r="G97" i="4"/>
  <c r="F97" i="4"/>
  <c r="D97" i="4"/>
  <c r="C97" i="4"/>
  <c r="E97" i="4" s="1"/>
  <c r="K96" i="4"/>
  <c r="E96" i="4"/>
  <c r="K95" i="4"/>
  <c r="E95" i="4"/>
  <c r="K94" i="4"/>
  <c r="E94" i="4"/>
  <c r="M93" i="4"/>
  <c r="L93" i="4"/>
  <c r="K93" i="4"/>
  <c r="J93" i="4"/>
  <c r="I93" i="4"/>
  <c r="G93" i="4"/>
  <c r="F93" i="4"/>
  <c r="D93" i="4"/>
  <c r="C93" i="4"/>
  <c r="E93" i="4" s="1"/>
  <c r="K90" i="4"/>
  <c r="E90" i="4"/>
  <c r="K89" i="4"/>
  <c r="E89" i="4"/>
  <c r="K88" i="4"/>
  <c r="E88" i="4"/>
  <c r="K87" i="4"/>
  <c r="E87" i="4"/>
  <c r="K86" i="4"/>
  <c r="E86" i="4"/>
  <c r="K85" i="4"/>
  <c r="E85" i="4"/>
  <c r="K84" i="4"/>
  <c r="E84" i="4"/>
  <c r="K83" i="4"/>
  <c r="E83" i="4"/>
  <c r="K82" i="4"/>
  <c r="E82" i="4"/>
  <c r="K81" i="4"/>
  <c r="E81" i="4"/>
  <c r="K79" i="4"/>
  <c r="E79" i="4"/>
  <c r="K78" i="4"/>
  <c r="E78" i="4"/>
  <c r="K77" i="4"/>
  <c r="E77" i="4"/>
  <c r="K76" i="4"/>
  <c r="E76" i="4"/>
  <c r="K75" i="4"/>
  <c r="E75" i="4"/>
  <c r="K74" i="4"/>
  <c r="E74" i="4"/>
  <c r="K72" i="4"/>
  <c r="E72" i="4"/>
  <c r="K71" i="4"/>
  <c r="E71" i="4"/>
  <c r="K70" i="4"/>
  <c r="E70" i="4"/>
  <c r="K69" i="4"/>
  <c r="E69" i="4"/>
  <c r="K68" i="4"/>
  <c r="E68" i="4"/>
  <c r="K67" i="4"/>
  <c r="E67" i="4"/>
  <c r="K66" i="4"/>
  <c r="E66" i="4"/>
  <c r="P65" i="4"/>
  <c r="K65" i="4"/>
  <c r="E65" i="4"/>
  <c r="K64" i="4"/>
  <c r="E64" i="4"/>
  <c r="K63" i="4"/>
  <c r="E63" i="4"/>
  <c r="P62" i="4"/>
  <c r="K62" i="4"/>
  <c r="E62" i="4"/>
  <c r="K61" i="4"/>
  <c r="E61" i="4"/>
  <c r="K60" i="4"/>
  <c r="E60" i="4"/>
  <c r="P59" i="4"/>
  <c r="K59" i="4"/>
  <c r="E59" i="4"/>
  <c r="M46" i="4"/>
  <c r="L46" i="4"/>
  <c r="L42" i="4" s="1"/>
  <c r="F121" i="38" s="1"/>
  <c r="F140" i="38" s="1"/>
  <c r="G140" i="38" s="1"/>
  <c r="H140" i="38" s="1"/>
  <c r="J46" i="4"/>
  <c r="J42" i="4" s="1"/>
  <c r="I46" i="4"/>
  <c r="I42" i="4" s="1"/>
  <c r="G46" i="4"/>
  <c r="G42" i="4" s="1"/>
  <c r="F46" i="4"/>
  <c r="F42" i="4" s="1"/>
  <c r="D46" i="4"/>
  <c r="D42" i="4" s="1"/>
  <c r="C46" i="4"/>
  <c r="E46" i="4" s="1"/>
  <c r="K45" i="4"/>
  <c r="E45" i="4"/>
  <c r="K44" i="4"/>
  <c r="E44" i="4"/>
  <c r="K43" i="4"/>
  <c r="E43" i="4"/>
  <c r="M42" i="4"/>
  <c r="K39" i="4"/>
  <c r="E39" i="4"/>
  <c r="K38" i="4"/>
  <c r="E38" i="4"/>
  <c r="K37" i="4"/>
  <c r="E37" i="4"/>
  <c r="K31" i="4"/>
  <c r="E31" i="4"/>
  <c r="K27" i="4"/>
  <c r="E27" i="4"/>
  <c r="K24" i="4"/>
  <c r="E24" i="4"/>
  <c r="K23" i="4"/>
  <c r="E23" i="4"/>
  <c r="K22" i="4"/>
  <c r="E22" i="4"/>
  <c r="K21" i="4"/>
  <c r="E21" i="4"/>
  <c r="K20" i="4"/>
  <c r="E20" i="4"/>
  <c r="K19" i="4"/>
  <c r="E19" i="4"/>
  <c r="K18" i="4"/>
  <c r="E18" i="4"/>
  <c r="K17" i="4"/>
  <c r="E17" i="4"/>
  <c r="K16" i="4"/>
  <c r="E16" i="4"/>
  <c r="K15" i="4"/>
  <c r="E15" i="4"/>
  <c r="K14" i="4"/>
  <c r="E14" i="4"/>
  <c r="M13" i="4"/>
  <c r="L13" i="4"/>
  <c r="I13" i="4"/>
  <c r="K13" i="4" s="1"/>
  <c r="G13" i="4"/>
  <c r="F13" i="4"/>
  <c r="C13" i="4"/>
  <c r="E13" i="4" s="1"/>
  <c r="P12" i="4"/>
  <c r="K12" i="4"/>
  <c r="E12" i="4"/>
  <c r="K11" i="4"/>
  <c r="E11" i="4"/>
  <c r="P10" i="4"/>
  <c r="K10" i="4"/>
  <c r="E10" i="4"/>
  <c r="K9" i="4"/>
  <c r="E9" i="4"/>
  <c r="K8" i="4"/>
  <c r="E8" i="4"/>
  <c r="K7" i="4"/>
  <c r="E7" i="4"/>
  <c r="P6" i="4"/>
  <c r="K6" i="4"/>
  <c r="E6" i="4"/>
  <c r="K5" i="4"/>
  <c r="E5" i="4"/>
  <c r="M4" i="4"/>
  <c r="L4" i="4"/>
  <c r="I4" i="4"/>
  <c r="K4" i="4" s="1"/>
  <c r="G4" i="4"/>
  <c r="F4" i="4"/>
  <c r="E4" i="4"/>
  <c r="C4" i="4"/>
  <c r="O3" i="3"/>
  <c r="P3" i="3" s="1" a="1"/>
  <c r="P3" i="3" s="1"/>
  <c r="B2" i="1"/>
  <c r="A2" i="1"/>
  <c r="AH7" i="26"/>
  <c r="D4" i="88" l="1"/>
  <c r="D5" i="88" s="1"/>
  <c r="E254" i="42"/>
  <c r="F291" i="42"/>
  <c r="E291" i="42"/>
  <c r="E298" i="42" s="1"/>
  <c r="P115" i="4"/>
  <c r="G165" i="43"/>
  <c r="G164" i="43"/>
  <c r="G179" i="43"/>
  <c r="H179" i="43" s="1"/>
  <c r="G182" i="43"/>
  <c r="H182" i="43" s="1"/>
  <c r="G183" i="43"/>
  <c r="H183" i="43" s="1"/>
  <c r="G180" i="43"/>
  <c r="H180" i="43" s="1"/>
  <c r="G163" i="43"/>
  <c r="G162" i="43"/>
  <c r="G258" i="42"/>
  <c r="H258" i="42" s="1"/>
  <c r="H194" i="44"/>
  <c r="G309" i="42"/>
  <c r="G194" i="44"/>
  <c r="G204" i="42"/>
  <c r="H204" i="42" s="1"/>
  <c r="G95" i="38"/>
  <c r="H95" i="38" s="1"/>
  <c r="G101" i="38"/>
  <c r="H101" i="38" s="1"/>
  <c r="G96" i="38"/>
  <c r="H96" i="38" s="1"/>
  <c r="G102" i="38"/>
  <c r="H102" i="38" s="1"/>
  <c r="G97" i="38"/>
  <c r="H97" i="38" s="1"/>
  <c r="G103" i="38"/>
  <c r="H103" i="38" s="1"/>
  <c r="G98" i="38"/>
  <c r="H98" i="38" s="1"/>
  <c r="G105" i="38"/>
  <c r="H105" i="38" s="1"/>
  <c r="G93" i="38"/>
  <c r="H93" i="38" s="1"/>
  <c r="G99" i="38"/>
  <c r="H99" i="38" s="1"/>
  <c r="G106" i="38"/>
  <c r="H106" i="38" s="1"/>
  <c r="G94" i="38"/>
  <c r="H94" i="38" s="1"/>
  <c r="G100" i="38"/>
  <c r="H100" i="38" s="1"/>
  <c r="G332" i="42"/>
  <c r="H332" i="42" s="1"/>
  <c r="G331" i="42"/>
  <c r="H331" i="42" s="1"/>
  <c r="G121" i="38"/>
  <c r="H121" i="38" s="1"/>
  <c r="G209" i="44"/>
  <c r="H209" i="44" s="1"/>
  <c r="F46" i="58"/>
  <c r="F70" i="58"/>
  <c r="G57" i="58"/>
  <c r="E103" i="43" s="1"/>
  <c r="G60" i="58"/>
  <c r="E122" i="43" s="1"/>
  <c r="G59" i="58"/>
  <c r="G61" i="58"/>
  <c r="G8" i="76"/>
  <c r="G9" i="76" s="1"/>
  <c r="E334" i="42"/>
  <c r="E327" i="42" s="1"/>
  <c r="K1373" i="77"/>
  <c r="K1361" i="77"/>
  <c r="K1349" i="77"/>
  <c r="K1336" i="77"/>
  <c r="K1324" i="77"/>
  <c r="K1312" i="77"/>
  <c r="K1299" i="77"/>
  <c r="K1287" i="77"/>
  <c r="K1275" i="77"/>
  <c r="K1263" i="77"/>
  <c r="K1250" i="77"/>
  <c r="K1238" i="77"/>
  <c r="K1226" i="77"/>
  <c r="K1213" i="77"/>
  <c r="K1201" i="77"/>
  <c r="K1189" i="77"/>
  <c r="K1176" i="77"/>
  <c r="K1164" i="77"/>
  <c r="K1152" i="77"/>
  <c r="K1139" i="77"/>
  <c r="K1127" i="77"/>
  <c r="K1115" i="77"/>
  <c r="K1102" i="77"/>
  <c r="K1090" i="77"/>
  <c r="K1078" i="77"/>
  <c r="K1065" i="77"/>
  <c r="K1053" i="77"/>
  <c r="K1041" i="77"/>
  <c r="K1028" i="77"/>
  <c r="K1016" i="77"/>
  <c r="K1004" i="77"/>
  <c r="K991" i="77"/>
  <c r="K979" i="77"/>
  <c r="K967" i="77"/>
  <c r="K954" i="77"/>
  <c r="K942" i="77"/>
  <c r="K930" i="77"/>
  <c r="K917" i="77"/>
  <c r="K905" i="77"/>
  <c r="K893" i="77"/>
  <c r="K880" i="77"/>
  <c r="K868" i="77"/>
  <c r="K856" i="77"/>
  <c r="K843" i="77"/>
  <c r="K831" i="77"/>
  <c r="K819" i="77"/>
  <c r="K807" i="77"/>
  <c r="K794" i="77"/>
  <c r="K782" i="77"/>
  <c r="K770" i="77"/>
  <c r="K757" i="77"/>
  <c r="K745" i="77"/>
  <c r="K733" i="77"/>
  <c r="K720" i="77"/>
  <c r="K708" i="77"/>
  <c r="K696" i="77"/>
  <c r="K683" i="77"/>
  <c r="K671" i="77"/>
  <c r="K659" i="77"/>
  <c r="K646" i="77"/>
  <c r="K634" i="77"/>
  <c r="K622" i="77"/>
  <c r="K609" i="77"/>
  <c r="K1372" i="77"/>
  <c r="K1360" i="77"/>
  <c r="K1348" i="77"/>
  <c r="K1335" i="77"/>
  <c r="K1323" i="77"/>
  <c r="K1311" i="77"/>
  <c r="K1298" i="77"/>
  <c r="K1286" i="77"/>
  <c r="K1274" i="77"/>
  <c r="K1261" i="77"/>
  <c r="K1249" i="77"/>
  <c r="K1237" i="77"/>
  <c r="K1225" i="77"/>
  <c r="K1212" i="77"/>
  <c r="K1200" i="77"/>
  <c r="K1188" i="77"/>
  <c r="K1175" i="77"/>
  <c r="K1163" i="77"/>
  <c r="K1151" i="77"/>
  <c r="K1138" i="77"/>
  <c r="K1126" i="77"/>
  <c r="K1114" i="77"/>
  <c r="K1101" i="77"/>
  <c r="K1089" i="77"/>
  <c r="K1077" i="77"/>
  <c r="K1064" i="77"/>
  <c r="K1052" i="77"/>
  <c r="K1040" i="77"/>
  <c r="K1027" i="77"/>
  <c r="K1015" i="77"/>
  <c r="K1003" i="77"/>
  <c r="K990" i="77"/>
  <c r="K978" i="77"/>
  <c r="K966" i="77"/>
  <c r="K953" i="77"/>
  <c r="K941" i="77"/>
  <c r="K929" i="77"/>
  <c r="K916" i="77"/>
  <c r="K904" i="77"/>
  <c r="K892" i="77"/>
  <c r="K879" i="77"/>
  <c r="K867" i="77"/>
  <c r="K855" i="77"/>
  <c r="K842" i="77"/>
  <c r="K830" i="77"/>
  <c r="K818" i="77"/>
  <c r="K805" i="77"/>
  <c r="K793" i="77"/>
  <c r="K781" i="77"/>
  <c r="K769" i="77"/>
  <c r="K756" i="77"/>
  <c r="K744" i="77"/>
  <c r="K732" i="77"/>
  <c r="K719" i="77"/>
  <c r="K707" i="77"/>
  <c r="K695" i="77"/>
  <c r="K682" i="77"/>
  <c r="K670" i="77"/>
  <c r="K658" i="77"/>
  <c r="K645" i="77"/>
  <c r="K633" i="77"/>
  <c r="K621" i="77"/>
  <c r="K1371" i="77"/>
  <c r="K1359" i="77"/>
  <c r="K1347" i="77"/>
  <c r="K1334" i="77"/>
  <c r="K1322" i="77"/>
  <c r="K1310" i="77"/>
  <c r="K1297" i="77"/>
  <c r="K1285" i="77"/>
  <c r="K1273" i="77"/>
  <c r="K1260" i="77"/>
  <c r="K1248" i="77"/>
  <c r="K1236" i="77"/>
  <c r="K1223" i="77"/>
  <c r="K1211" i="77"/>
  <c r="K1199" i="77"/>
  <c r="K1187" i="77"/>
  <c r="K1174" i="77"/>
  <c r="K1162" i="77"/>
  <c r="K1150" i="77"/>
  <c r="K1137" i="77"/>
  <c r="K1125" i="77"/>
  <c r="K1113" i="77"/>
  <c r="K1100" i="77"/>
  <c r="K1088" i="77"/>
  <c r="K1076" i="77"/>
  <c r="K1063" i="77"/>
  <c r="K1051" i="77"/>
  <c r="K1039" i="77"/>
  <c r="K1026" i="77"/>
  <c r="K1014" i="77"/>
  <c r="K1002" i="77"/>
  <c r="K989" i="77"/>
  <c r="K977" i="77"/>
  <c r="K965" i="77"/>
  <c r="K952" i="77"/>
  <c r="K940" i="77"/>
  <c r="K928" i="77"/>
  <c r="K915" i="77"/>
  <c r="K903" i="77"/>
  <c r="K891" i="77"/>
  <c r="K878" i="77"/>
  <c r="K866" i="77"/>
  <c r="K854" i="77"/>
  <c r="K841" i="77"/>
  <c r="K829" i="77"/>
  <c r="K817" i="77"/>
  <c r="K804" i="77"/>
  <c r="K792" i="77"/>
  <c r="K780" i="77"/>
  <c r="K767" i="77"/>
  <c r="K755" i="77"/>
  <c r="K743" i="77"/>
  <c r="K731" i="77"/>
  <c r="K718" i="77"/>
  <c r="K706" i="77"/>
  <c r="K694" i="77"/>
  <c r="K681" i="77"/>
  <c r="K669" i="77"/>
  <c r="K657" i="77"/>
  <c r="K644" i="77"/>
  <c r="K632" i="77"/>
  <c r="K620" i="77"/>
  <c r="K607" i="77"/>
  <c r="K595" i="77"/>
  <c r="K583" i="77"/>
  <c r="K570" i="77"/>
  <c r="K558" i="77"/>
  <c r="K546" i="77"/>
  <c r="K533" i="77"/>
  <c r="K521" i="77"/>
  <c r="K509" i="77"/>
  <c r="K496" i="77"/>
  <c r="K484" i="77"/>
  <c r="K1370" i="77"/>
  <c r="K1358" i="77"/>
  <c r="K1346" i="77"/>
  <c r="K1333" i="77"/>
  <c r="K1321" i="77"/>
  <c r="K1309" i="77"/>
  <c r="K1296" i="77"/>
  <c r="K1284" i="77"/>
  <c r="K1272" i="77"/>
  <c r="K1259" i="77"/>
  <c r="K1247" i="77"/>
  <c r="K1235" i="77"/>
  <c r="K1222" i="77"/>
  <c r="K1210" i="77"/>
  <c r="K1198" i="77"/>
  <c r="K1185" i="77"/>
  <c r="K1173" i="77"/>
  <c r="K1161" i="77"/>
  <c r="K1149" i="77"/>
  <c r="K1136" i="77"/>
  <c r="K1124" i="77"/>
  <c r="K1112" i="77"/>
  <c r="K1099" i="77"/>
  <c r="K1087" i="77"/>
  <c r="K1075" i="77"/>
  <c r="K1062" i="77"/>
  <c r="K1050" i="77"/>
  <c r="K1038" i="77"/>
  <c r="K1025" i="77"/>
  <c r="K1013" i="77"/>
  <c r="K1001" i="77"/>
  <c r="K988" i="77"/>
  <c r="K976" i="77"/>
  <c r="K964" i="77"/>
  <c r="K951" i="77"/>
  <c r="K939" i="77"/>
  <c r="K927" i="77"/>
  <c r="K914" i="77"/>
  <c r="K902" i="77"/>
  <c r="K890" i="77"/>
  <c r="K877" i="77"/>
  <c r="K865" i="77"/>
  <c r="K853" i="77"/>
  <c r="K840" i="77"/>
  <c r="K828" i="77"/>
  <c r="K816" i="77"/>
  <c r="K803" i="77"/>
  <c r="K791" i="77"/>
  <c r="K779" i="77"/>
  <c r="K766" i="77"/>
  <c r="K754" i="77"/>
  <c r="K742" i="77"/>
  <c r="K729" i="77"/>
  <c r="K717" i="77"/>
  <c r="K705" i="77"/>
  <c r="K693" i="77"/>
  <c r="K680" i="77"/>
  <c r="K668" i="77"/>
  <c r="K656" i="77"/>
  <c r="K643" i="77"/>
  <c r="K631" i="77"/>
  <c r="K619" i="77"/>
  <c r="K606" i="77"/>
  <c r="K594" i="77"/>
  <c r="K582" i="77"/>
  <c r="K569" i="77"/>
  <c r="K557" i="77"/>
  <c r="K1369" i="77"/>
  <c r="K1357" i="77"/>
  <c r="K1345" i="77"/>
  <c r="K1332" i="77"/>
  <c r="K1320" i="77"/>
  <c r="K1308" i="77"/>
  <c r="K1295" i="77"/>
  <c r="K1283" i="77"/>
  <c r="K1271" i="77"/>
  <c r="K1258" i="77"/>
  <c r="K1246" i="77"/>
  <c r="K1234" i="77"/>
  <c r="K1221" i="77"/>
  <c r="K1209" i="77"/>
  <c r="K1197" i="77"/>
  <c r="K1184" i="77"/>
  <c r="K1172" i="77"/>
  <c r="K1160" i="77"/>
  <c r="K1147" i="77"/>
  <c r="K1135" i="77"/>
  <c r="K1123" i="77"/>
  <c r="K1111" i="77"/>
  <c r="K1098" i="77"/>
  <c r="K1086" i="77"/>
  <c r="K1074" i="77"/>
  <c r="K1061" i="77"/>
  <c r="K1049" i="77"/>
  <c r="K1037" i="77"/>
  <c r="K1024" i="77"/>
  <c r="K1012" i="77"/>
  <c r="K1000" i="77"/>
  <c r="K987" i="77"/>
  <c r="K975" i="77"/>
  <c r="K963" i="77"/>
  <c r="K950" i="77"/>
  <c r="K938" i="77"/>
  <c r="K926" i="77"/>
  <c r="K913" i="77"/>
  <c r="K901" i="77"/>
  <c r="K889" i="77"/>
  <c r="K876" i="77"/>
  <c r="K864" i="77"/>
  <c r="K852" i="77"/>
  <c r="K839" i="77"/>
  <c r="K827" i="77"/>
  <c r="K815" i="77"/>
  <c r="K802" i="77"/>
  <c r="K790" i="77"/>
  <c r="K778" i="77"/>
  <c r="K765" i="77"/>
  <c r="K753" i="77"/>
  <c r="K741" i="77"/>
  <c r="K728" i="77"/>
  <c r="K716" i="77"/>
  <c r="K704" i="77"/>
  <c r="K691" i="77"/>
  <c r="K679" i="77"/>
  <c r="K667" i="77"/>
  <c r="K655" i="77"/>
  <c r="K642" i="77"/>
  <c r="K630" i="77"/>
  <c r="K618" i="77"/>
  <c r="K605" i="77"/>
  <c r="K593" i="77"/>
  <c r="K581" i="77"/>
  <c r="K568" i="77"/>
  <c r="K1368" i="77"/>
  <c r="K1356" i="77"/>
  <c r="K1344" i="77"/>
  <c r="K1331" i="77"/>
  <c r="K1319" i="77"/>
  <c r="K1307" i="77"/>
  <c r="K1294" i="77"/>
  <c r="K1282" i="77"/>
  <c r="K1270" i="77"/>
  <c r="K1257" i="77"/>
  <c r="K1245" i="77"/>
  <c r="K1233" i="77"/>
  <c r="K1220" i="77"/>
  <c r="K1208" i="77"/>
  <c r="K1196" i="77"/>
  <c r="K1183" i="77"/>
  <c r="K1171" i="77"/>
  <c r="K1159" i="77"/>
  <c r="K1146" i="77"/>
  <c r="K1134" i="77"/>
  <c r="K1122" i="77"/>
  <c r="K1109" i="77"/>
  <c r="K1097" i="77"/>
  <c r="K1085" i="77"/>
  <c r="K1073" i="77"/>
  <c r="K1060" i="77"/>
  <c r="K1048" i="77"/>
  <c r="K1036" i="77"/>
  <c r="K1023" i="77"/>
  <c r="K1011" i="77"/>
  <c r="K999" i="77"/>
  <c r="K986" i="77"/>
  <c r="K974" i="77"/>
  <c r="K962" i="77"/>
  <c r="K949" i="77"/>
  <c r="K937" i="77"/>
  <c r="K925" i="77"/>
  <c r="K912" i="77"/>
  <c r="K900" i="77"/>
  <c r="K888" i="77"/>
  <c r="K875" i="77"/>
  <c r="K863" i="77"/>
  <c r="K851" i="77"/>
  <c r="K838" i="77"/>
  <c r="K826" i="77"/>
  <c r="K814" i="77"/>
  <c r="K801" i="77"/>
  <c r="K789" i="77"/>
  <c r="K777" i="77"/>
  <c r="K764" i="77"/>
  <c r="K752" i="77"/>
  <c r="K740" i="77"/>
  <c r="K727" i="77"/>
  <c r="K715" i="77"/>
  <c r="K703" i="77"/>
  <c r="K690" i="77"/>
  <c r="K678" i="77"/>
  <c r="K666" i="77"/>
  <c r="K653" i="77"/>
  <c r="K641" i="77"/>
  <c r="K629" i="77"/>
  <c r="K617" i="77"/>
  <c r="K604" i="77"/>
  <c r="K592" i="77"/>
  <c r="K580" i="77"/>
  <c r="K567" i="77"/>
  <c r="K555" i="77"/>
  <c r="K543" i="77"/>
  <c r="K530" i="77"/>
  <c r="K518" i="77"/>
  <c r="K506" i="77"/>
  <c r="K1367" i="77"/>
  <c r="K1355" i="77"/>
  <c r="K1343" i="77"/>
  <c r="K1330" i="77"/>
  <c r="K1318" i="77"/>
  <c r="K1306" i="77"/>
  <c r="K1293" i="77"/>
  <c r="K1281" i="77"/>
  <c r="K1269" i="77"/>
  <c r="K1256" i="77"/>
  <c r="K1244" i="77"/>
  <c r="K1232" i="77"/>
  <c r="K1219" i="77"/>
  <c r="K1207" i="77"/>
  <c r="K1195" i="77"/>
  <c r="K1182" i="77"/>
  <c r="K1170" i="77"/>
  <c r="K1158" i="77"/>
  <c r="K1145" i="77"/>
  <c r="K1133" i="77"/>
  <c r="K1121" i="77"/>
  <c r="K1108" i="77"/>
  <c r="K1096" i="77"/>
  <c r="K1084" i="77"/>
  <c r="K1071" i="77"/>
  <c r="K1059" i="77"/>
  <c r="K1047" i="77"/>
  <c r="K1035" i="77"/>
  <c r="K1022" i="77"/>
  <c r="K1010" i="77"/>
  <c r="K998" i="77"/>
  <c r="K985" i="77"/>
  <c r="K973" i="77"/>
  <c r="K961" i="77"/>
  <c r="K948" i="77"/>
  <c r="K936" i="77"/>
  <c r="K924" i="77"/>
  <c r="K911" i="77"/>
  <c r="K899" i="77"/>
  <c r="K887" i="77"/>
  <c r="K874" i="77"/>
  <c r="K862" i="77"/>
  <c r="K850" i="77"/>
  <c r="K837" i="77"/>
  <c r="K825" i="77"/>
  <c r="K813" i="77"/>
  <c r="K800" i="77"/>
  <c r="K788" i="77"/>
  <c r="K776" i="77"/>
  <c r="K763" i="77"/>
  <c r="K751" i="77"/>
  <c r="K739" i="77"/>
  <c r="K726" i="77"/>
  <c r="K714" i="77"/>
  <c r="K702" i="77"/>
  <c r="K689" i="77"/>
  <c r="K677" i="77"/>
  <c r="K665" i="77"/>
  <c r="K652" i="77"/>
  <c r="K640" i="77"/>
  <c r="K628" i="77"/>
  <c r="K615" i="77"/>
  <c r="K603" i="77"/>
  <c r="K591" i="77"/>
  <c r="K579" i="77"/>
  <c r="K566" i="77"/>
  <c r="K554" i="77"/>
  <c r="K542" i="77"/>
  <c r="K529" i="77"/>
  <c r="K517" i="77"/>
  <c r="K505" i="77"/>
  <c r="K1366" i="77"/>
  <c r="K1354" i="77"/>
  <c r="K1342" i="77"/>
  <c r="K1329" i="77"/>
  <c r="K1317" i="77"/>
  <c r="K1305" i="77"/>
  <c r="K1292" i="77"/>
  <c r="K1280" i="77"/>
  <c r="K1268" i="77"/>
  <c r="K1255" i="77"/>
  <c r="K1243" i="77"/>
  <c r="K1231" i="77"/>
  <c r="K1218" i="77"/>
  <c r="K1206" i="77"/>
  <c r="K1194" i="77"/>
  <c r="K1181" i="77"/>
  <c r="K1169" i="77"/>
  <c r="K1157" i="77"/>
  <c r="K1144" i="77"/>
  <c r="K1132" i="77"/>
  <c r="K1120" i="77"/>
  <c r="K1107" i="77"/>
  <c r="K1095" i="77"/>
  <c r="K1083" i="77"/>
  <c r="K1070" i="77"/>
  <c r="K1058" i="77"/>
  <c r="K1046" i="77"/>
  <c r="K1033" i="77"/>
  <c r="K1021" i="77"/>
  <c r="K1009" i="77"/>
  <c r="K997" i="77"/>
  <c r="K984" i="77"/>
  <c r="K972" i="77"/>
  <c r="K960" i="77"/>
  <c r="K947" i="77"/>
  <c r="K935" i="77"/>
  <c r="K923" i="77"/>
  <c r="K910" i="77"/>
  <c r="K898" i="77"/>
  <c r="K886" i="77"/>
  <c r="K873" i="77"/>
  <c r="K861" i="77"/>
  <c r="K849" i="77"/>
  <c r="K836" i="77"/>
  <c r="K824" i="77"/>
  <c r="K812" i="77"/>
  <c r="K799" i="77"/>
  <c r="K787" i="77"/>
  <c r="K775" i="77"/>
  <c r="K762" i="77"/>
  <c r="K750" i="77"/>
  <c r="K738" i="77"/>
  <c r="K725" i="77"/>
  <c r="K713" i="77"/>
  <c r="K701" i="77"/>
  <c r="K688" i="77"/>
  <c r="K676" i="77"/>
  <c r="K664" i="77"/>
  <c r="K651" i="77"/>
  <c r="K639" i="77"/>
  <c r="K627" i="77"/>
  <c r="K614" i="77"/>
  <c r="K602" i="77"/>
  <c r="K1365" i="77"/>
  <c r="K1353" i="77"/>
  <c r="K1341" i="77"/>
  <c r="K1328" i="77"/>
  <c r="K1316" i="77"/>
  <c r="K1304" i="77"/>
  <c r="K1291" i="77"/>
  <c r="K1279" i="77"/>
  <c r="K1267" i="77"/>
  <c r="K1254" i="77"/>
  <c r="K1242" i="77"/>
  <c r="K1230" i="77"/>
  <c r="K1217" i="77"/>
  <c r="K1205" i="77"/>
  <c r="K1193" i="77"/>
  <c r="K1180" i="77"/>
  <c r="K1168" i="77"/>
  <c r="K1156" i="77"/>
  <c r="K1143" i="77"/>
  <c r="K1131" i="77"/>
  <c r="K1119" i="77"/>
  <c r="K1106" i="77"/>
  <c r="K1094" i="77"/>
  <c r="K1082" i="77"/>
  <c r="K1069" i="77"/>
  <c r="K1057" i="77"/>
  <c r="K1045" i="77"/>
  <c r="K1032" i="77"/>
  <c r="K1020" i="77"/>
  <c r="K1008" i="77"/>
  <c r="K995" i="77"/>
  <c r="K983" i="77"/>
  <c r="K971" i="77"/>
  <c r="K959" i="77"/>
  <c r="K946" i="77"/>
  <c r="K934" i="77"/>
  <c r="K922" i="77"/>
  <c r="K909" i="77"/>
  <c r="K897" i="77"/>
  <c r="K885" i="77"/>
  <c r="K872" i="77"/>
  <c r="K860" i="77"/>
  <c r="K848" i="77"/>
  <c r="K835" i="77"/>
  <c r="K823" i="77"/>
  <c r="K811" i="77"/>
  <c r="K798" i="77"/>
  <c r="K786" i="77"/>
  <c r="K774" i="77"/>
  <c r="K761" i="77"/>
  <c r="K749" i="77"/>
  <c r="K737" i="77"/>
  <c r="K724" i="77"/>
  <c r="K712" i="77"/>
  <c r="K700" i="77"/>
  <c r="K687" i="77"/>
  <c r="K675" i="77"/>
  <c r="K663" i="77"/>
  <c r="K650" i="77"/>
  <c r="K638" i="77"/>
  <c r="K626" i="77"/>
  <c r="K613" i="77"/>
  <c r="K601" i="77"/>
  <c r="K589" i="77"/>
  <c r="K576" i="77"/>
  <c r="K564" i="77"/>
  <c r="K552" i="77"/>
  <c r="K539" i="77"/>
  <c r="K527" i="77"/>
  <c r="K515" i="77"/>
  <c r="K503" i="77"/>
  <c r="K490" i="77"/>
  <c r="K478" i="77"/>
  <c r="K466" i="77"/>
  <c r="K453" i="77"/>
  <c r="K441" i="77"/>
  <c r="K429" i="77"/>
  <c r="K416" i="77"/>
  <c r="K404" i="77"/>
  <c r="K392" i="77"/>
  <c r="K379" i="77"/>
  <c r="K367" i="77"/>
  <c r="K355" i="77"/>
  <c r="K342" i="77"/>
  <c r="K330" i="77"/>
  <c r="K1364" i="77"/>
  <c r="K1352" i="77"/>
  <c r="K1340" i="77"/>
  <c r="K1327" i="77"/>
  <c r="K1315" i="77"/>
  <c r="K1303" i="77"/>
  <c r="K1290" i="77"/>
  <c r="K1278" i="77"/>
  <c r="K1266" i="77"/>
  <c r="K1253" i="77"/>
  <c r="K1241" i="77"/>
  <c r="K1229" i="77"/>
  <c r="K1216" i="77"/>
  <c r="K1204" i="77"/>
  <c r="K1192" i="77"/>
  <c r="K1179" i="77"/>
  <c r="K1167" i="77"/>
  <c r="K1155" i="77"/>
  <c r="K1142" i="77"/>
  <c r="K1130" i="77"/>
  <c r="K1118" i="77"/>
  <c r="K1105" i="77"/>
  <c r="K1093" i="77"/>
  <c r="K1081" i="77"/>
  <c r="K1068" i="77"/>
  <c r="K1056" i="77"/>
  <c r="K1044" i="77"/>
  <c r="K1031" i="77"/>
  <c r="K1019" i="77"/>
  <c r="K1007" i="77"/>
  <c r="K994" i="77"/>
  <c r="K982" i="77"/>
  <c r="K970" i="77"/>
  <c r="K957" i="77"/>
  <c r="K945" i="77"/>
  <c r="K933" i="77"/>
  <c r="K921" i="77"/>
  <c r="K908" i="77"/>
  <c r="K896" i="77"/>
  <c r="K884" i="77"/>
  <c r="K871" i="77"/>
  <c r="K859" i="77"/>
  <c r="K847" i="77"/>
  <c r="K834" i="77"/>
  <c r="K822" i="77"/>
  <c r="K810" i="77"/>
  <c r="K797" i="77"/>
  <c r="K785" i="77"/>
  <c r="K773" i="77"/>
  <c r="K760" i="77"/>
  <c r="K748" i="77"/>
  <c r="K736" i="77"/>
  <c r="K723" i="77"/>
  <c r="K711" i="77"/>
  <c r="K699" i="77"/>
  <c r="K686" i="77"/>
  <c r="K674" i="77"/>
  <c r="K662" i="77"/>
  <c r="K649" i="77"/>
  <c r="K637" i="77"/>
  <c r="K625" i="77"/>
  <c r="K612" i="77"/>
  <c r="K600" i="77"/>
  <c r="K588" i="77"/>
  <c r="K575" i="77"/>
  <c r="K563" i="77"/>
  <c r="K551" i="77"/>
  <c r="K538" i="77"/>
  <c r="K526" i="77"/>
  <c r="K514" i="77"/>
  <c r="K501" i="77"/>
  <c r="K489" i="77"/>
  <c r="K477" i="77"/>
  <c r="K465" i="77"/>
  <c r="K452" i="77"/>
  <c r="K440" i="77"/>
  <c r="K428" i="77"/>
  <c r="K415" i="77"/>
  <c r="K1363" i="77"/>
  <c r="K1351" i="77"/>
  <c r="K1339" i="77"/>
  <c r="K1326" i="77"/>
  <c r="K1314" i="77"/>
  <c r="K1302" i="77"/>
  <c r="K1289" i="77"/>
  <c r="K1277" i="77"/>
  <c r="K1265" i="77"/>
  <c r="K1252" i="77"/>
  <c r="K1240" i="77"/>
  <c r="K1228" i="77"/>
  <c r="K1215" i="77"/>
  <c r="K1203" i="77"/>
  <c r="K1191" i="77"/>
  <c r="K1178" i="77"/>
  <c r="K1166" i="77"/>
  <c r="K1154" i="77"/>
  <c r="K1141" i="77"/>
  <c r="K1129" i="77"/>
  <c r="K1117" i="77"/>
  <c r="K1104" i="77"/>
  <c r="K1092" i="77"/>
  <c r="K1080" i="77"/>
  <c r="K1067" i="77"/>
  <c r="K1055" i="77"/>
  <c r="K1043" i="77"/>
  <c r="K1362" i="77"/>
  <c r="K1214" i="77"/>
  <c r="K1066" i="77"/>
  <c r="K980" i="77"/>
  <c r="K906" i="77"/>
  <c r="K832" i="77"/>
  <c r="K758" i="77"/>
  <c r="K684" i="77"/>
  <c r="K610" i="77"/>
  <c r="K574" i="77"/>
  <c r="K549" i="77"/>
  <c r="K528" i="77"/>
  <c r="K508" i="77"/>
  <c r="K488" i="77"/>
  <c r="K473" i="77"/>
  <c r="K458" i="77"/>
  <c r="K444" i="77"/>
  <c r="K430" i="77"/>
  <c r="K413" i="77"/>
  <c r="K400" i="77"/>
  <c r="K386" i="77"/>
  <c r="K373" i="77"/>
  <c r="K360" i="77"/>
  <c r="K346" i="77"/>
  <c r="K333" i="77"/>
  <c r="K320" i="77"/>
  <c r="K307" i="77"/>
  <c r="K295" i="77"/>
  <c r="K283" i="77"/>
  <c r="K270" i="77"/>
  <c r="K258" i="77"/>
  <c r="K246" i="77"/>
  <c r="K233" i="77"/>
  <c r="K221" i="77"/>
  <c r="K209" i="77"/>
  <c r="K196" i="77"/>
  <c r="K184" i="77"/>
  <c r="K172" i="77"/>
  <c r="K159" i="77"/>
  <c r="K147" i="77"/>
  <c r="K135" i="77"/>
  <c r="K123" i="77"/>
  <c r="K110" i="77"/>
  <c r="K98" i="77"/>
  <c r="K86" i="77"/>
  <c r="K73" i="77"/>
  <c r="K61" i="77"/>
  <c r="K49" i="77"/>
  <c r="K36" i="77"/>
  <c r="K24" i="77"/>
  <c r="K12" i="77"/>
  <c r="K1350" i="77"/>
  <c r="K1202" i="77"/>
  <c r="K1054" i="77"/>
  <c r="K969" i="77"/>
  <c r="K895" i="77"/>
  <c r="K821" i="77"/>
  <c r="K747" i="77"/>
  <c r="K673" i="77"/>
  <c r="K608" i="77"/>
  <c r="K573" i="77"/>
  <c r="K548" i="77"/>
  <c r="K1190" i="77"/>
  <c r="K1042" i="77"/>
  <c r="K968" i="77"/>
  <c r="K894" i="77"/>
  <c r="K820" i="77"/>
  <c r="K746" i="77"/>
  <c r="K672" i="77"/>
  <c r="K599" i="77"/>
  <c r="K572" i="77"/>
  <c r="K547" i="77"/>
  <c r="K524" i="77"/>
  <c r="K504" i="77"/>
  <c r="K486" i="77"/>
  <c r="K471" i="77"/>
  <c r="K456" i="77"/>
  <c r="K442" i="77"/>
  <c r="K425" i="77"/>
  <c r="K411" i="77"/>
  <c r="K398" i="77"/>
  <c r="K384" i="77"/>
  <c r="K371" i="77"/>
  <c r="K358" i="77"/>
  <c r="K344" i="77"/>
  <c r="K331" i="77"/>
  <c r="K318" i="77"/>
  <c r="K305" i="77"/>
  <c r="K293" i="77"/>
  <c r="K281" i="77"/>
  <c r="K268" i="77"/>
  <c r="K256" i="77"/>
  <c r="K244" i="77"/>
  <c r="K231" i="77"/>
  <c r="K219" i="77"/>
  <c r="K207" i="77"/>
  <c r="K194" i="77"/>
  <c r="K182" i="77"/>
  <c r="K170" i="77"/>
  <c r="K157" i="77"/>
  <c r="K145" i="77"/>
  <c r="K133" i="77"/>
  <c r="K120" i="77"/>
  <c r="K108" i="77"/>
  <c r="K96" i="77"/>
  <c r="K83" i="77"/>
  <c r="K71" i="77"/>
  <c r="K59" i="77"/>
  <c r="K47" i="77"/>
  <c r="K34" i="77"/>
  <c r="K22" i="77"/>
  <c r="K1325" i="77"/>
  <c r="K1177" i="77"/>
  <c r="K1030" i="77"/>
  <c r="K956" i="77"/>
  <c r="K883" i="77"/>
  <c r="K809" i="77"/>
  <c r="K735" i="77"/>
  <c r="K661" i="77"/>
  <c r="K598" i="77"/>
  <c r="K571" i="77"/>
  <c r="K545" i="77"/>
  <c r="K523" i="77"/>
  <c r="K500" i="77"/>
  <c r="K485" i="77"/>
  <c r="K470" i="77"/>
  <c r="K455" i="77"/>
  <c r="K439" i="77"/>
  <c r="K424" i="77"/>
  <c r="K410" i="77"/>
  <c r="K397" i="77"/>
  <c r="K383" i="77"/>
  <c r="K370" i="77"/>
  <c r="K357" i="77"/>
  <c r="K343" i="77"/>
  <c r="K329" i="77"/>
  <c r="K317" i="77"/>
  <c r="K304" i="77"/>
  <c r="K292" i="77"/>
  <c r="K280" i="77"/>
  <c r="K267" i="77"/>
  <c r="K255" i="77"/>
  <c r="K243" i="77"/>
  <c r="K230" i="77"/>
  <c r="K218" i="77"/>
  <c r="K206" i="77"/>
  <c r="K193" i="77"/>
  <c r="K181" i="77"/>
  <c r="K169" i="77"/>
  <c r="K156" i="77"/>
  <c r="K144" i="77"/>
  <c r="K132" i="77"/>
  <c r="K119" i="77"/>
  <c r="K107" i="77"/>
  <c r="K95" i="77"/>
  <c r="K82" i="77"/>
  <c r="K70" i="77"/>
  <c r="K58" i="77"/>
  <c r="K45" i="77"/>
  <c r="K33" i="77"/>
  <c r="K21" i="77"/>
  <c r="K9" i="77"/>
  <c r="K1313" i="77"/>
  <c r="K1165" i="77"/>
  <c r="K1029" i="77"/>
  <c r="K955" i="77"/>
  <c r="K881" i="77"/>
  <c r="K808" i="77"/>
  <c r="K734" i="77"/>
  <c r="K660" i="77"/>
  <c r="K597" i="77"/>
  <c r="K565" i="77"/>
  <c r="K544" i="77"/>
  <c r="K522" i="77"/>
  <c r="K499" i="77"/>
  <c r="K483" i="77"/>
  <c r="K469" i="77"/>
  <c r="K454" i="77"/>
  <c r="K438" i="77"/>
  <c r="K423" i="77"/>
  <c r="K409" i="77"/>
  <c r="K396" i="77"/>
  <c r="K382" i="77"/>
  <c r="K369" i="77"/>
  <c r="K356" i="77"/>
  <c r="K341" i="77"/>
  <c r="K328" i="77"/>
  <c r="K316" i="77"/>
  <c r="K303" i="77"/>
  <c r="K291" i="77"/>
  <c r="K279" i="77"/>
  <c r="K266" i="77"/>
  <c r="K254" i="77"/>
  <c r="K242" i="77"/>
  <c r="K229" i="77"/>
  <c r="K217" i="77"/>
  <c r="K205" i="77"/>
  <c r="K192" i="77"/>
  <c r="K180" i="77"/>
  <c r="K168" i="77"/>
  <c r="K155" i="77"/>
  <c r="K143" i="77"/>
  <c r="K131" i="77"/>
  <c r="K118" i="77"/>
  <c r="K106" i="77"/>
  <c r="K94" i="77"/>
  <c r="K81" i="77"/>
  <c r="K69" i="77"/>
  <c r="K57" i="77"/>
  <c r="K1301" i="77"/>
  <c r="K1153" i="77"/>
  <c r="K1018" i="77"/>
  <c r="K944" i="77"/>
  <c r="K870" i="77"/>
  <c r="K796" i="77"/>
  <c r="K722" i="77"/>
  <c r="K648" i="77"/>
  <c r="K596" i="77"/>
  <c r="K562" i="77"/>
  <c r="K541" i="77"/>
  <c r="K1288" i="77"/>
  <c r="K1140" i="77"/>
  <c r="K1017" i="77"/>
  <c r="K943" i="77"/>
  <c r="K869" i="77"/>
  <c r="K795" i="77"/>
  <c r="K721" i="77"/>
  <c r="K647" i="77"/>
  <c r="K590" i="77"/>
  <c r="K561" i="77"/>
  <c r="K537" i="77"/>
  <c r="K1276" i="77"/>
  <c r="K1128" i="77"/>
  <c r="K1006" i="77"/>
  <c r="K932" i="77"/>
  <c r="K858" i="77"/>
  <c r="K784" i="77"/>
  <c r="K710" i="77"/>
  <c r="K636" i="77"/>
  <c r="K587" i="77"/>
  <c r="K560" i="77"/>
  <c r="K536" i="77"/>
  <c r="K1264" i="77"/>
  <c r="K1116" i="77"/>
  <c r="K1005" i="77"/>
  <c r="K931" i="77"/>
  <c r="K857" i="77"/>
  <c r="K783" i="77"/>
  <c r="K709" i="77"/>
  <c r="K635" i="77"/>
  <c r="K586" i="77"/>
  <c r="K559" i="77"/>
  <c r="K535" i="77"/>
  <c r="K513" i="77"/>
  <c r="K494" i="77"/>
  <c r="K479" i="77"/>
  <c r="K462" i="77"/>
  <c r="K448" i="77"/>
  <c r="K434" i="77"/>
  <c r="K419" i="77"/>
  <c r="K405" i="77"/>
  <c r="K391" i="77"/>
  <c r="K377" i="77"/>
  <c r="K364" i="77"/>
  <c r="K351" i="77"/>
  <c r="K337" i="77"/>
  <c r="K324" i="77"/>
  <c r="K311" i="77"/>
  <c r="K299" i="77"/>
  <c r="K287" i="77"/>
  <c r="K275" i="77"/>
  <c r="K262" i="77"/>
  <c r="K250" i="77"/>
  <c r="K238" i="77"/>
  <c r="K225" i="77"/>
  <c r="K213" i="77"/>
  <c r="K201" i="77"/>
  <c r="K188" i="77"/>
  <c r="K176" i="77"/>
  <c r="K164" i="77"/>
  <c r="K151" i="77"/>
  <c r="K139" i="77"/>
  <c r="K127" i="77"/>
  <c r="K114" i="77"/>
  <c r="K102" i="77"/>
  <c r="K90" i="77"/>
  <c r="K77" i="77"/>
  <c r="K65" i="77"/>
  <c r="K1251" i="77"/>
  <c r="K1103" i="77"/>
  <c r="K993" i="77"/>
  <c r="K919" i="77"/>
  <c r="K846" i="77"/>
  <c r="K772" i="77"/>
  <c r="K698" i="77"/>
  <c r="K624" i="77"/>
  <c r="K585" i="77"/>
  <c r="K556" i="77"/>
  <c r="K534" i="77"/>
  <c r="K512" i="77"/>
  <c r="K493" i="77"/>
  <c r="K476" i="77"/>
  <c r="K461" i="77"/>
  <c r="K447" i="77"/>
  <c r="K433" i="77"/>
  <c r="K418" i="77"/>
  <c r="K403" i="77"/>
  <c r="K390" i="77"/>
  <c r="K376" i="77"/>
  <c r="K363" i="77"/>
  <c r="K349" i="77"/>
  <c r="K336" i="77"/>
  <c r="K323" i="77"/>
  <c r="K310" i="77"/>
  <c r="K298" i="77"/>
  <c r="K286" i="77"/>
  <c r="K273" i="77"/>
  <c r="K261" i="77"/>
  <c r="K249" i="77"/>
  <c r="K237" i="77"/>
  <c r="K224" i="77"/>
  <c r="K212" i="77"/>
  <c r="K200" i="77"/>
  <c r="K187" i="77"/>
  <c r="K175" i="77"/>
  <c r="K163" i="77"/>
  <c r="K150" i="77"/>
  <c r="K138" i="77"/>
  <c r="K126" i="77"/>
  <c r="K113" i="77"/>
  <c r="K101" i="77"/>
  <c r="K89" i="77"/>
  <c r="K76" i="77"/>
  <c r="K64" i="77"/>
  <c r="K52" i="77"/>
  <c r="K39" i="77"/>
  <c r="K27" i="77"/>
  <c r="K15" i="77"/>
  <c r="K1239" i="77"/>
  <c r="K1091" i="77"/>
  <c r="K992" i="77"/>
  <c r="K918" i="77"/>
  <c r="K845" i="77"/>
  <c r="K771" i="77"/>
  <c r="K697" i="77"/>
  <c r="K623" i="77"/>
  <c r="K584" i="77"/>
  <c r="K553" i="77"/>
  <c r="K532" i="77"/>
  <c r="K511" i="77"/>
  <c r="K492" i="77"/>
  <c r="K475" i="77"/>
  <c r="K460" i="77"/>
  <c r="K446" i="77"/>
  <c r="K432" i="77"/>
  <c r="K417" i="77"/>
  <c r="K402" i="77"/>
  <c r="K389" i="77"/>
  <c r="K375" i="77"/>
  <c r="K362" i="77"/>
  <c r="K348" i="77"/>
  <c r="K335" i="77"/>
  <c r="K322" i="77"/>
  <c r="K309" i="77"/>
  <c r="K297" i="77"/>
  <c r="K285" i="77"/>
  <c r="K272" i="77"/>
  <c r="K260" i="77"/>
  <c r="K248" i="77"/>
  <c r="K235" i="77"/>
  <c r="K223" i="77"/>
  <c r="K211" i="77"/>
  <c r="K199" i="77"/>
  <c r="K186" i="77"/>
  <c r="K174" i="77"/>
  <c r="K162" i="77"/>
  <c r="K149" i="77"/>
  <c r="K137" i="77"/>
  <c r="K125" i="77"/>
  <c r="K112" i="77"/>
  <c r="K100" i="77"/>
  <c r="K88" i="77"/>
  <c r="K75" i="77"/>
  <c r="K63" i="77"/>
  <c r="K51" i="77"/>
  <c r="K38" i="77"/>
  <c r="K26" i="77"/>
  <c r="K14" i="77"/>
  <c r="K1227" i="77"/>
  <c r="K520" i="77"/>
  <c r="K480" i="77"/>
  <c r="K443" i="77"/>
  <c r="K407" i="77"/>
  <c r="K374" i="77"/>
  <c r="K340" i="77"/>
  <c r="K313" i="77"/>
  <c r="K282" i="77"/>
  <c r="K252" i="77"/>
  <c r="K222" i="77"/>
  <c r="K191" i="77"/>
  <c r="K165" i="77"/>
  <c r="K134" i="77"/>
  <c r="K104" i="77"/>
  <c r="K74" i="77"/>
  <c r="K48" i="77"/>
  <c r="K28" i="77"/>
  <c r="K6" i="77"/>
  <c r="K1079" i="77"/>
  <c r="K519" i="77"/>
  <c r="K474" i="77"/>
  <c r="K437" i="77"/>
  <c r="K406" i="77"/>
  <c r="K372" i="77"/>
  <c r="K339" i="77"/>
  <c r="K308" i="77"/>
  <c r="K278" i="77"/>
  <c r="K251" i="77"/>
  <c r="K220" i="77"/>
  <c r="K190" i="77"/>
  <c r="K161" i="77"/>
  <c r="K130" i="77"/>
  <c r="K103" i="77"/>
  <c r="K72" i="77"/>
  <c r="K44" i="77"/>
  <c r="K25" i="77"/>
  <c r="K981" i="77"/>
  <c r="K516" i="77"/>
  <c r="K472" i="77"/>
  <c r="K436" i="77"/>
  <c r="K401" i="77"/>
  <c r="K368" i="77"/>
  <c r="K338" i="77"/>
  <c r="K306" i="77"/>
  <c r="K277" i="77"/>
  <c r="K247" i="77"/>
  <c r="K216" i="77"/>
  <c r="K189" i="77"/>
  <c r="K158" i="77"/>
  <c r="K129" i="77"/>
  <c r="K99" i="77"/>
  <c r="K68" i="77"/>
  <c r="K43" i="77"/>
  <c r="K23" i="77"/>
  <c r="K30" i="77"/>
  <c r="K907" i="77"/>
  <c r="K510" i="77"/>
  <c r="K468" i="77"/>
  <c r="K435" i="77"/>
  <c r="K399" i="77"/>
  <c r="K366" i="77"/>
  <c r="K334" i="77"/>
  <c r="K302" i="77"/>
  <c r="K276" i="77"/>
  <c r="K245" i="77"/>
  <c r="K215" i="77"/>
  <c r="K185" i="77"/>
  <c r="K154" i="77"/>
  <c r="K128" i="77"/>
  <c r="K97" i="77"/>
  <c r="K67" i="77"/>
  <c r="K42" i="77"/>
  <c r="K20" i="77"/>
  <c r="K833" i="77"/>
  <c r="K507" i="77"/>
  <c r="K467" i="77"/>
  <c r="K431" i="77"/>
  <c r="K395" i="77"/>
  <c r="K365" i="77"/>
  <c r="K332" i="77"/>
  <c r="K301" i="77"/>
  <c r="K271" i="77"/>
  <c r="K241" i="77"/>
  <c r="K214" i="77"/>
  <c r="K183" i="77"/>
  <c r="K153" i="77"/>
  <c r="K124" i="77"/>
  <c r="K93" i="77"/>
  <c r="K66" i="77"/>
  <c r="K41" i="77"/>
  <c r="K19" i="77"/>
  <c r="K412" i="77"/>
  <c r="K315" i="77"/>
  <c r="K140" i="77"/>
  <c r="K759" i="77"/>
  <c r="K498" i="77"/>
  <c r="K463" i="77"/>
  <c r="K427" i="77"/>
  <c r="K394" i="77"/>
  <c r="K361" i="77"/>
  <c r="K327" i="77"/>
  <c r="K300" i="77"/>
  <c r="K269" i="77"/>
  <c r="K240" i="77"/>
  <c r="K210" i="77"/>
  <c r="K179" i="77"/>
  <c r="K152" i="77"/>
  <c r="K121" i="77"/>
  <c r="K92" i="77"/>
  <c r="K62" i="77"/>
  <c r="K40" i="77"/>
  <c r="K18" i="77"/>
  <c r="K531" i="77"/>
  <c r="K288" i="77"/>
  <c r="K53" i="77"/>
  <c r="K685" i="77"/>
  <c r="K497" i="77"/>
  <c r="K459" i="77"/>
  <c r="K422" i="77"/>
  <c r="K393" i="77"/>
  <c r="K359" i="77"/>
  <c r="K326" i="77"/>
  <c r="K296" i="77"/>
  <c r="K265" i="77"/>
  <c r="K239" i="77"/>
  <c r="K208" i="77"/>
  <c r="K178" i="77"/>
  <c r="K148" i="77"/>
  <c r="K117" i="77"/>
  <c r="K91" i="77"/>
  <c r="K60" i="77"/>
  <c r="K37" i="77"/>
  <c r="K17" i="77"/>
  <c r="K347" i="77"/>
  <c r="K257" i="77"/>
  <c r="K109" i="77"/>
  <c r="K611" i="77"/>
  <c r="K495" i="77"/>
  <c r="K457" i="77"/>
  <c r="K421" i="77"/>
  <c r="K387" i="77"/>
  <c r="K354" i="77"/>
  <c r="K325" i="77"/>
  <c r="K294" i="77"/>
  <c r="K264" i="77"/>
  <c r="K234" i="77"/>
  <c r="K204" i="77"/>
  <c r="K177" i="77"/>
  <c r="K146" i="77"/>
  <c r="K116" i="77"/>
  <c r="K87" i="77"/>
  <c r="K56" i="77"/>
  <c r="K35" i="77"/>
  <c r="K16" i="77"/>
  <c r="K380" i="77"/>
  <c r="K197" i="77"/>
  <c r="K10" i="77"/>
  <c r="K577" i="77"/>
  <c r="K491" i="77"/>
  <c r="K451" i="77"/>
  <c r="K420" i="77"/>
  <c r="K385" i="77"/>
  <c r="K353" i="77"/>
  <c r="K321" i="77"/>
  <c r="K290" i="77"/>
  <c r="K263" i="77"/>
  <c r="K232" i="77"/>
  <c r="K203" i="77"/>
  <c r="K173" i="77"/>
  <c r="K142" i="77"/>
  <c r="K115" i="77"/>
  <c r="K85" i="77"/>
  <c r="K55" i="77"/>
  <c r="K32" i="77"/>
  <c r="K13" i="77"/>
  <c r="K449" i="77"/>
  <c r="K227" i="77"/>
  <c r="K79" i="77"/>
  <c r="K550" i="77"/>
  <c r="K487" i="77"/>
  <c r="K450" i="77"/>
  <c r="K414" i="77"/>
  <c r="K381" i="77"/>
  <c r="K352" i="77"/>
  <c r="K319" i="77"/>
  <c r="K289" i="77"/>
  <c r="K259" i="77"/>
  <c r="K228" i="77"/>
  <c r="K202" i="77"/>
  <c r="K171" i="77"/>
  <c r="K141" i="77"/>
  <c r="K111" i="77"/>
  <c r="K80" i="77"/>
  <c r="K54" i="77"/>
  <c r="K31" i="77"/>
  <c r="K11" i="77"/>
  <c r="K482" i="77"/>
  <c r="K167" i="77"/>
  <c r="K525" i="77"/>
  <c r="K481" i="77"/>
  <c r="K445" i="77"/>
  <c r="K78" i="77"/>
  <c r="K408" i="77"/>
  <c r="K50" i="77"/>
  <c r="K378" i="77"/>
  <c r="K345" i="77"/>
  <c r="K314" i="77"/>
  <c r="K284" i="77"/>
  <c r="K136" i="77"/>
  <c r="K105" i="77"/>
  <c r="K253" i="77"/>
  <c r="K195" i="77"/>
  <c r="K166" i="77"/>
  <c r="K29" i="77"/>
  <c r="K226" i="77"/>
  <c r="K7" i="77"/>
  <c r="K1300" i="77"/>
  <c r="K1072" i="77"/>
  <c r="K844" i="77"/>
  <c r="K616" i="77"/>
  <c r="K388" i="77"/>
  <c r="K160" i="77"/>
  <c r="K1110" i="77"/>
  <c r="K198" i="77"/>
  <c r="K654" i="77"/>
  <c r="K1262" i="77"/>
  <c r="K1034" i="77"/>
  <c r="K806" i="77"/>
  <c r="K578" i="77"/>
  <c r="K350" i="77"/>
  <c r="K122" i="77"/>
  <c r="K1224" i="77"/>
  <c r="K996" i="77"/>
  <c r="K768" i="77"/>
  <c r="K540" i="77"/>
  <c r="K312" i="77"/>
  <c r="K84" i="77"/>
  <c r="K1186" i="77"/>
  <c r="K958" i="77"/>
  <c r="K730" i="77"/>
  <c r="K502" i="77"/>
  <c r="K274" i="77"/>
  <c r="K46" i="77"/>
  <c r="K882" i="77"/>
  <c r="K1148" i="77"/>
  <c r="K920" i="77"/>
  <c r="K692" i="77"/>
  <c r="K464" i="77"/>
  <c r="K236" i="77"/>
  <c r="K8" i="77"/>
  <c r="K1338" i="77"/>
  <c r="K426" i="77"/>
  <c r="F334" i="42"/>
  <c r="F327" i="42" s="1"/>
  <c r="F325" i="42" s="1"/>
  <c r="H76" i="49" s="1"/>
  <c r="F192" i="42"/>
  <c r="K73" i="4"/>
  <c r="F176" i="44"/>
  <c r="E73" i="4"/>
  <c r="K42" i="4"/>
  <c r="F177" i="44"/>
  <c r="F47" i="44"/>
  <c r="D15" i="37"/>
  <c r="C15" i="37" s="1"/>
  <c r="F170" i="43"/>
  <c r="F145" i="43" s="1"/>
  <c r="H117" i="44" s="1"/>
  <c r="Q29" i="76"/>
  <c r="Q28" i="76"/>
  <c r="O29" i="76"/>
  <c r="O28" i="76"/>
  <c r="N28" i="76"/>
  <c r="P29" i="76"/>
  <c r="P28" i="76"/>
  <c r="N29" i="76"/>
  <c r="M29" i="76"/>
  <c r="M28" i="76"/>
  <c r="L29" i="76"/>
  <c r="L28" i="76"/>
  <c r="G21" i="76"/>
  <c r="I18" i="76"/>
  <c r="I15" i="76"/>
  <c r="G15" i="76"/>
  <c r="H21" i="76"/>
  <c r="H18" i="76"/>
  <c r="F21" i="76"/>
  <c r="H15" i="76"/>
  <c r="F18" i="76"/>
  <c r="G18" i="76"/>
  <c r="I21" i="76"/>
  <c r="I168" i="76" s="1"/>
  <c r="F15" i="76"/>
  <c r="E47" i="44"/>
  <c r="F312" i="42"/>
  <c r="F57" i="47"/>
  <c r="F298" i="42"/>
  <c r="G3" i="10"/>
  <c r="E100" i="44"/>
  <c r="L8" i="15"/>
  <c r="K46" i="4"/>
  <c r="C138" i="44"/>
  <c r="D147" i="44"/>
  <c r="F56" i="44"/>
  <c r="P4" i="4"/>
  <c r="H12" i="45"/>
  <c r="G12" i="45"/>
  <c r="F12" i="45"/>
  <c r="E12" i="45"/>
  <c r="E121" i="38"/>
  <c r="E140" i="38" s="1"/>
  <c r="C42" i="4"/>
  <c r="P91" i="4"/>
  <c r="F13" i="45"/>
  <c r="E13" i="45"/>
  <c r="H13" i="45"/>
  <c r="G13" i="45"/>
  <c r="N3" i="21"/>
  <c r="E69" i="42"/>
  <c r="G26" i="49" s="1"/>
  <c r="C145" i="44"/>
  <c r="F259" i="44"/>
  <c r="F147" i="44" s="1"/>
  <c r="F88" i="47" s="1"/>
  <c r="F227" i="44"/>
  <c r="F145" i="44" s="1"/>
  <c r="F86" i="47" s="1"/>
  <c r="BS22" i="56"/>
  <c r="H260" i="42" s="1"/>
  <c r="H279" i="42"/>
  <c r="G279" i="42"/>
  <c r="F279" i="42"/>
  <c r="BS20" i="56"/>
  <c r="BR19" i="56"/>
  <c r="BQ18" i="56"/>
  <c r="BP17" i="56"/>
  <c r="BS19" i="56"/>
  <c r="BQ17" i="56"/>
  <c r="BR18" i="56"/>
  <c r="BR17" i="56"/>
  <c r="G207" i="42" s="1" a="1"/>
  <c r="G207" i="42" s="1"/>
  <c r="BS18" i="56"/>
  <c r="H207" i="42" s="1" a="1"/>
  <c r="H207" i="42" s="1"/>
  <c r="BQ20" i="56"/>
  <c r="BR21" i="56"/>
  <c r="G260" i="42" s="1"/>
  <c r="BO18" i="56"/>
  <c r="BP19" i="56"/>
  <c r="C260" i="42" s="1"/>
  <c r="BN17" i="56"/>
  <c r="E260" i="42" s="1"/>
  <c r="BQ19" i="56"/>
  <c r="BO17" i="56"/>
  <c r="BS21" i="56"/>
  <c r="BP18" i="56"/>
  <c r="BR20" i="56"/>
  <c r="F30" i="58"/>
  <c r="F34" i="58"/>
  <c r="N29" i="56"/>
  <c r="N23" i="56"/>
  <c r="N16" i="56"/>
  <c r="N14" i="56"/>
  <c r="N43" i="56"/>
  <c r="N25" i="56"/>
  <c r="N51" i="56"/>
  <c r="N61" i="56"/>
  <c r="N52" i="56"/>
  <c r="N28" i="56"/>
  <c r="BR15" i="56"/>
  <c r="BN11" i="56"/>
  <c r="BP13" i="56"/>
  <c r="BO12" i="56"/>
  <c r="BQ14" i="56"/>
  <c r="BS16" i="56"/>
  <c r="N15" i="56"/>
  <c r="N36" i="56"/>
  <c r="N46" i="56"/>
  <c r="BO11" i="56"/>
  <c r="BP12" i="56"/>
  <c r="BS15" i="56"/>
  <c r="BQ13" i="56"/>
  <c r="BN10" i="56"/>
  <c r="BR14" i="56"/>
  <c r="N37" i="56"/>
  <c r="BN9" i="56"/>
  <c r="BQ12" i="56"/>
  <c r="BO10" i="56"/>
  <c r="BS14" i="56"/>
  <c r="BP11" i="56"/>
  <c r="BR13" i="56"/>
  <c r="N38" i="56"/>
  <c r="N47" i="56"/>
  <c r="N62" i="56"/>
  <c r="Q71" i="56"/>
  <c r="F125" i="41" s="1"/>
  <c r="BR12" i="56"/>
  <c r="G49" i="42" s="1"/>
  <c r="G53" i="42" s="1"/>
  <c r="BN8" i="56"/>
  <c r="BO9" i="56"/>
  <c r="D49" i="42" s="1"/>
  <c r="BP10" i="56"/>
  <c r="E49" i="42" s="1"/>
  <c r="E53" i="42" s="1"/>
  <c r="BS13" i="56"/>
  <c r="H49" i="42" s="1"/>
  <c r="H53" i="42" s="1"/>
  <c r="BQ11" i="56"/>
  <c r="F49" i="42" s="1"/>
  <c r="F53" i="42" s="1"/>
  <c r="N17" i="56"/>
  <c r="N24" i="56"/>
  <c r="N39" i="56"/>
  <c r="N53" i="56"/>
  <c r="N63" i="56"/>
  <c r="R72" i="56"/>
  <c r="H63" i="40"/>
  <c r="N7" i="56"/>
  <c r="N8" i="56"/>
  <c r="N40" i="56"/>
  <c r="N48" i="56"/>
  <c r="N54" i="56"/>
  <c r="S73" i="56"/>
  <c r="BI13" i="56"/>
  <c r="N9" i="56"/>
  <c r="N18" i="56"/>
  <c r="N41" i="56"/>
  <c r="N55" i="56"/>
  <c r="N64" i="56"/>
  <c r="T74" i="56"/>
  <c r="U74" i="56" s="1"/>
  <c r="V74" i="56" s="1"/>
  <c r="W74" i="56" s="1"/>
  <c r="X74" i="56" s="1"/>
  <c r="Y74" i="56" s="1"/>
  <c r="Z74" i="56" s="1"/>
  <c r="AA74" i="56" s="1"/>
  <c r="AB74" i="56" s="1"/>
  <c r="AC74" i="56" s="1"/>
  <c r="AD74" i="56" s="1"/>
  <c r="AE74" i="56" s="1"/>
  <c r="AF74" i="56" s="1"/>
  <c r="AG74" i="56" s="1"/>
  <c r="AH74" i="56" s="1"/>
  <c r="AI74" i="56" s="1"/>
  <c r="AJ74" i="56" s="1"/>
  <c r="AK74" i="56" s="1"/>
  <c r="AL74" i="56" s="1"/>
  <c r="AM74" i="56" s="1"/>
  <c r="AN74" i="56" s="1"/>
  <c r="AO74" i="56" s="1"/>
  <c r="AP74" i="56" s="1"/>
  <c r="AQ74" i="56" s="1"/>
  <c r="AR74" i="56" s="1"/>
  <c r="AS74" i="56" s="1"/>
  <c r="N10" i="56"/>
  <c r="N19" i="56"/>
  <c r="N30" i="56"/>
  <c r="N42" i="56"/>
  <c r="N49" i="56"/>
  <c r="N56" i="56"/>
  <c r="BN16" i="56"/>
  <c r="N11" i="56"/>
  <c r="N20" i="56"/>
  <c r="N31" i="56"/>
  <c r="N57" i="56"/>
  <c r="N65" i="56"/>
  <c r="BO16" i="56"/>
  <c r="BN15" i="56"/>
  <c r="N12" i="56"/>
  <c r="N21" i="56"/>
  <c r="N26" i="56"/>
  <c r="N32" i="56"/>
  <c r="N50" i="56"/>
  <c r="N58" i="56"/>
  <c r="N66" i="56"/>
  <c r="BI9" i="56"/>
  <c r="BO15" i="56"/>
  <c r="BN14" i="56"/>
  <c r="BP16" i="56"/>
  <c r="N13" i="56"/>
  <c r="N33" i="56"/>
  <c r="N44" i="56"/>
  <c r="N67" i="56"/>
  <c r="BN13" i="56"/>
  <c r="BQ16" i="56"/>
  <c r="BP15" i="56"/>
  <c r="BO14" i="56"/>
  <c r="N22" i="56"/>
  <c r="N27" i="56"/>
  <c r="N34" i="56"/>
  <c r="N45" i="56"/>
  <c r="N59" i="56"/>
  <c r="N68" i="56"/>
  <c r="O68" i="56" s="1"/>
  <c r="P68" i="56" s="1"/>
  <c r="BO13" i="56"/>
  <c r="BQ15" i="56"/>
  <c r="BR16" i="56"/>
  <c r="BP14" i="56"/>
  <c r="BN12" i="56"/>
  <c r="N35" i="56"/>
  <c r="N60" i="56"/>
  <c r="E174" i="42"/>
  <c r="F174" i="42"/>
  <c r="F179" i="42" s="1"/>
  <c r="F273" i="44"/>
  <c r="H62" i="40"/>
  <c r="G62" i="40"/>
  <c r="F62" i="40"/>
  <c r="F117" i="43" s="1"/>
  <c r="H61" i="40"/>
  <c r="G61" i="40"/>
  <c r="F109" i="40"/>
  <c r="R3" i="7" a="1"/>
  <c r="R3" i="7" s="1"/>
  <c r="Z2" i="26" a="1"/>
  <c r="Z2" i="26" s="1"/>
  <c r="AE13" i="12"/>
  <c r="AE14" i="12" s="1"/>
  <c r="AE15" i="12" s="1"/>
  <c r="AE16" i="12" s="1"/>
  <c r="AE17" i="12" s="1"/>
  <c r="AE18" i="12" s="1"/>
  <c r="AE19" i="12" s="1"/>
  <c r="AE20" i="12" s="1"/>
  <c r="AE21" i="12" s="1"/>
  <c r="AE22" i="12" s="1"/>
  <c r="T3" i="25" a="1"/>
  <c r="T3" i="25" s="1"/>
  <c r="AC16" i="18" a="1"/>
  <c r="AC16" i="18" s="1"/>
  <c r="D10" i="18"/>
  <c r="F5" i="76" s="1"/>
  <c r="F6" i="76" s="1"/>
  <c r="E10" i="18"/>
  <c r="G5" i="76" s="1"/>
  <c r="G6" i="76" s="1"/>
  <c r="E61" i="40"/>
  <c r="E259" i="44"/>
  <c r="E147" i="44" s="1"/>
  <c r="E273" i="44"/>
  <c r="E312" i="42"/>
  <c r="E241" i="42" s="1"/>
  <c r="E56" i="47" s="1"/>
  <c r="E195" i="44"/>
  <c r="E138" i="44" s="1"/>
  <c r="E227" i="44"/>
  <c r="E145" i="44" s="1"/>
  <c r="E211" i="44"/>
  <c r="E139" i="44" s="1"/>
  <c r="F211" i="44"/>
  <c r="F139" i="44" s="1"/>
  <c r="F78" i="47" s="1"/>
  <c r="F184" i="43"/>
  <c r="F321" i="44"/>
  <c r="F195" i="44"/>
  <c r="F138" i="44" s="1"/>
  <c r="F77" i="47" s="1"/>
  <c r="E184" i="43"/>
  <c r="F318" i="44"/>
  <c r="E170" i="43"/>
  <c r="E145" i="43" s="1"/>
  <c r="G117" i="44" s="1"/>
  <c r="E326" i="42"/>
  <c r="G77" i="49" s="1"/>
  <c r="BM10" i="56"/>
  <c r="BL8" i="56"/>
  <c r="E62" i="40"/>
  <c r="E117" i="43" s="1"/>
  <c r="BF8" i="56"/>
  <c r="BG11" i="56"/>
  <c r="BM9" i="56"/>
  <c r="BK15" i="56"/>
  <c r="BM15" i="56"/>
  <c r="BG8" i="56"/>
  <c r="F61" i="40"/>
  <c r="BK8" i="56"/>
  <c r="BL12" i="56"/>
  <c r="BM12" i="56"/>
  <c r="D206" i="42" s="1" a="1"/>
  <c r="D206" i="42" s="1"/>
  <c r="BM8" i="56"/>
  <c r="E279" i="42"/>
  <c r="G210" i="44" s="1"/>
  <c r="BM11" i="56"/>
  <c r="BL10" i="56"/>
  <c r="BL16" i="56"/>
  <c r="BJ14" i="56"/>
  <c r="BJ9" i="56"/>
  <c r="BH11" i="56"/>
  <c r="BJ13" i="56"/>
  <c r="BK14" i="56"/>
  <c r="BH8" i="56"/>
  <c r="BK9" i="56"/>
  <c r="BI11" i="56"/>
  <c r="BK13" i="56"/>
  <c r="BL14" i="56"/>
  <c r="BL13" i="56"/>
  <c r="BI8" i="56"/>
  <c r="BL9" i="56"/>
  <c r="BJ11" i="56"/>
  <c r="BM13" i="56"/>
  <c r="BM14" i="56"/>
  <c r="BF36" i="56"/>
  <c r="BF37" i="56"/>
  <c r="BJ8" i="56"/>
  <c r="BK11" i="56"/>
  <c r="BF10" i="56"/>
  <c r="BL11" i="56"/>
  <c r="C206" i="42" s="1" a="1"/>
  <c r="C206" i="42" s="1"/>
  <c r="BG10" i="56"/>
  <c r="BH10" i="56"/>
  <c r="BI12" i="56"/>
  <c r="BE9" i="56"/>
  <c r="BI10" i="56"/>
  <c r="BJ12" i="56"/>
  <c r="BF9" i="56"/>
  <c r="BJ10" i="56"/>
  <c r="BK12" i="56"/>
  <c r="BL15" i="56"/>
  <c r="BD8" i="56"/>
  <c r="BG9" i="56"/>
  <c r="BK10" i="56"/>
  <c r="BE8" i="56"/>
  <c r="BH9" i="56"/>
  <c r="BM16" i="56"/>
  <c r="BH12" i="56"/>
  <c r="D2" i="1"/>
  <c r="E109" i="40"/>
  <c r="E71" i="42"/>
  <c r="G28" i="49" s="1"/>
  <c r="E122" i="41"/>
  <c r="F122" i="41"/>
  <c r="U2" i="26" a="1"/>
  <c r="U2" i="26" s="1"/>
  <c r="V6" i="25"/>
  <c r="V3" i="25" s="1" a="1"/>
  <c r="V3" i="25" s="1"/>
  <c r="H3" i="11" a="1"/>
  <c r="H3" i="11" s="1"/>
  <c r="O8" i="8"/>
  <c r="O5" i="8" s="1" a="1"/>
  <c r="O5" i="8" s="1"/>
  <c r="P5" i="8" a="1"/>
  <c r="P5" i="8" s="1"/>
  <c r="Q5" i="8" a="1"/>
  <c r="Q5" i="8" s="1"/>
  <c r="K8" i="8"/>
  <c r="AL13" i="12"/>
  <c r="AL14" i="12" s="1"/>
  <c r="AL15" i="12" s="1"/>
  <c r="AL16" i="12" s="1"/>
  <c r="AL17" i="12" s="1"/>
  <c r="AL18" i="12" s="1"/>
  <c r="AL19" i="12" s="1"/>
  <c r="AL20" i="12" s="1"/>
  <c r="AD12" i="12"/>
  <c r="D2" i="75"/>
  <c r="D3" i="73"/>
  <c r="D54" i="76"/>
  <c r="E91" i="49" s="1"/>
  <c r="W2" i="26"/>
  <c r="AF8" i="19" a="1"/>
  <c r="AF8" i="19" s="1"/>
  <c r="M4" i="19" s="1" a="1"/>
  <c r="M4" i="19" s="1"/>
  <c r="U6" i="25"/>
  <c r="U3" i="25" s="1" a="1"/>
  <c r="U3" i="25" s="1"/>
  <c r="W6" i="25"/>
  <c r="W3" i="25" s="1" a="1"/>
  <c r="W3" i="25" s="1"/>
  <c r="W8" i="19" a="1"/>
  <c r="Y8" i="19" a="1"/>
  <c r="L45" i="46" l="1"/>
  <c r="H82" i="49" s="1"/>
  <c r="F14" i="47" s="1"/>
  <c r="R14" i="47" s="1"/>
  <c r="G168" i="76"/>
  <c r="M45" i="46"/>
  <c r="I82" i="49" s="1"/>
  <c r="G14" i="47" s="1"/>
  <c r="S14" i="47" s="1"/>
  <c r="H168" i="76"/>
  <c r="K45" i="46"/>
  <c r="G82" i="49" s="1"/>
  <c r="E14" i="47" s="1"/>
  <c r="Q14" i="47" s="1"/>
  <c r="F168" i="76"/>
  <c r="O35" i="56"/>
  <c r="P35" i="56" s="1"/>
  <c r="Q35" i="56" s="1"/>
  <c r="R35" i="56" s="1"/>
  <c r="S35" i="56" s="1"/>
  <c r="T35" i="56" s="1"/>
  <c r="U35" i="56" s="1"/>
  <c r="V35" i="56" s="1"/>
  <c r="W35" i="56" s="1"/>
  <c r="X35" i="56" s="1"/>
  <c r="Y35" i="56" s="1"/>
  <c r="Z35" i="56" s="1"/>
  <c r="AA35" i="56" s="1"/>
  <c r="AB35" i="56" s="1"/>
  <c r="AC35" i="56" s="1"/>
  <c r="AD35" i="56" s="1"/>
  <c r="AE35" i="56" s="1"/>
  <c r="AF35" i="56" s="1"/>
  <c r="AG35" i="56" s="1"/>
  <c r="AH35" i="56" s="1"/>
  <c r="AI35" i="56" s="1"/>
  <c r="AJ35" i="56" s="1"/>
  <c r="AK35" i="56" s="1"/>
  <c r="AL35" i="56" s="1"/>
  <c r="AM35" i="56" s="1"/>
  <c r="AN35" i="56" s="1"/>
  <c r="AO35" i="56" s="1"/>
  <c r="AP35" i="56" s="1"/>
  <c r="AQ35" i="56" s="1"/>
  <c r="AR35" i="56" s="1"/>
  <c r="AS35" i="56" s="1"/>
  <c r="O20" i="56"/>
  <c r="P20" i="56" s="1"/>
  <c r="Q20" i="56" s="1"/>
  <c r="R20" i="56" s="1"/>
  <c r="S20" i="56" s="1"/>
  <c r="T20" i="56" s="1"/>
  <c r="U20" i="56" s="1"/>
  <c r="V20" i="56" s="1"/>
  <c r="W20" i="56" s="1"/>
  <c r="X20" i="56" s="1"/>
  <c r="Y20" i="56" s="1"/>
  <c r="Z20" i="56" s="1"/>
  <c r="AA20" i="56" s="1"/>
  <c r="AB20" i="56" s="1"/>
  <c r="AC20" i="56" s="1"/>
  <c r="AD20" i="56" s="1"/>
  <c r="AE20" i="56" s="1"/>
  <c r="AF20" i="56" s="1"/>
  <c r="AG20" i="56" s="1"/>
  <c r="AH20" i="56" s="1"/>
  <c r="AI20" i="56" s="1"/>
  <c r="AJ20" i="56" s="1"/>
  <c r="AK20" i="56" s="1"/>
  <c r="AL20" i="56" s="1"/>
  <c r="AM20" i="56" s="1"/>
  <c r="AN20" i="56" s="1"/>
  <c r="AO20" i="56" s="1"/>
  <c r="AP20" i="56" s="1"/>
  <c r="AQ20" i="56" s="1"/>
  <c r="AR20" i="56" s="1"/>
  <c r="AS20" i="56" s="1"/>
  <c r="Q58" i="56"/>
  <c r="R58" i="56" s="1"/>
  <c r="S58" i="56" s="1"/>
  <c r="T58" i="56" s="1"/>
  <c r="U58" i="56" s="1"/>
  <c r="V58" i="56" s="1"/>
  <c r="W58" i="56" s="1"/>
  <c r="X58" i="56" s="1"/>
  <c r="Y58" i="56" s="1"/>
  <c r="Z58" i="56" s="1"/>
  <c r="AA58" i="56" s="1"/>
  <c r="AB58" i="56" s="1"/>
  <c r="AC58" i="56" s="1"/>
  <c r="AD58" i="56" s="1"/>
  <c r="AE58" i="56" s="1"/>
  <c r="AF58" i="56" s="1"/>
  <c r="AG58" i="56" s="1"/>
  <c r="AH58" i="56" s="1"/>
  <c r="AI58" i="56" s="1"/>
  <c r="AJ58" i="56" s="1"/>
  <c r="AK58" i="56" s="1"/>
  <c r="AL58" i="56" s="1"/>
  <c r="AM58" i="56" s="1"/>
  <c r="AN58" i="56" s="1"/>
  <c r="AO58" i="56" s="1"/>
  <c r="AP58" i="56" s="1"/>
  <c r="AQ58" i="56" s="1"/>
  <c r="AR58" i="56" s="1"/>
  <c r="AS58" i="56" s="1"/>
  <c r="O58" i="56"/>
  <c r="P58" i="56" s="1"/>
  <c r="Q11" i="56"/>
  <c r="R11" i="56" s="1"/>
  <c r="S11" i="56" s="1"/>
  <c r="T11" i="56" s="1"/>
  <c r="U11" i="56" s="1"/>
  <c r="V11" i="56" s="1"/>
  <c r="W11" i="56" s="1"/>
  <c r="X11" i="56" s="1"/>
  <c r="Y11" i="56" s="1"/>
  <c r="Z11" i="56" s="1"/>
  <c r="AA11" i="56" s="1"/>
  <c r="AB11" i="56" s="1"/>
  <c r="AC11" i="56" s="1"/>
  <c r="AD11" i="56" s="1"/>
  <c r="AE11" i="56" s="1"/>
  <c r="AF11" i="56" s="1"/>
  <c r="AG11" i="56" s="1"/>
  <c r="AH11" i="56" s="1"/>
  <c r="AI11" i="56" s="1"/>
  <c r="AJ11" i="56" s="1"/>
  <c r="AK11" i="56" s="1"/>
  <c r="AL11" i="56" s="1"/>
  <c r="AM11" i="56" s="1"/>
  <c r="AN11" i="56" s="1"/>
  <c r="AO11" i="56" s="1"/>
  <c r="AP11" i="56" s="1"/>
  <c r="AQ11" i="56" s="1"/>
  <c r="AR11" i="56" s="1"/>
  <c r="AS11" i="56" s="1"/>
  <c r="O11" i="56"/>
  <c r="P11" i="56" s="1"/>
  <c r="O53" i="56"/>
  <c r="P53" i="56" s="1"/>
  <c r="Q53" i="56" s="1"/>
  <c r="R53" i="56" s="1"/>
  <c r="S53" i="56" s="1"/>
  <c r="T53" i="56" s="1"/>
  <c r="U53" i="56" s="1"/>
  <c r="V53" i="56" s="1"/>
  <c r="W53" i="56" s="1"/>
  <c r="X53" i="56" s="1"/>
  <c r="Y53" i="56" s="1"/>
  <c r="Z53" i="56" s="1"/>
  <c r="AA53" i="56" s="1"/>
  <c r="AB53" i="56" s="1"/>
  <c r="AC53" i="56" s="1"/>
  <c r="AD53" i="56" s="1"/>
  <c r="AE53" i="56" s="1"/>
  <c r="AF53" i="56" s="1"/>
  <c r="AG53" i="56" s="1"/>
  <c r="AH53" i="56" s="1"/>
  <c r="AI53" i="56" s="1"/>
  <c r="AJ53" i="56" s="1"/>
  <c r="AK53" i="56" s="1"/>
  <c r="AL53" i="56" s="1"/>
  <c r="AM53" i="56" s="1"/>
  <c r="AN53" i="56" s="1"/>
  <c r="AO53" i="56" s="1"/>
  <c r="AP53" i="56" s="1"/>
  <c r="AQ53" i="56" s="1"/>
  <c r="AR53" i="56" s="1"/>
  <c r="AS53" i="56" s="1"/>
  <c r="Q47" i="56"/>
  <c r="R47" i="56" s="1"/>
  <c r="S47" i="56" s="1"/>
  <c r="T47" i="56" s="1"/>
  <c r="U47" i="56" s="1"/>
  <c r="V47" i="56" s="1"/>
  <c r="W47" i="56" s="1"/>
  <c r="X47" i="56" s="1"/>
  <c r="Y47" i="56" s="1"/>
  <c r="Z47" i="56" s="1"/>
  <c r="AA47" i="56" s="1"/>
  <c r="AB47" i="56" s="1"/>
  <c r="AC47" i="56" s="1"/>
  <c r="AD47" i="56" s="1"/>
  <c r="AE47" i="56" s="1"/>
  <c r="AF47" i="56" s="1"/>
  <c r="AG47" i="56" s="1"/>
  <c r="AH47" i="56" s="1"/>
  <c r="AI47" i="56" s="1"/>
  <c r="AJ47" i="56" s="1"/>
  <c r="AK47" i="56" s="1"/>
  <c r="AL47" i="56" s="1"/>
  <c r="AM47" i="56" s="1"/>
  <c r="AN47" i="56" s="1"/>
  <c r="AO47" i="56" s="1"/>
  <c r="AP47" i="56" s="1"/>
  <c r="AQ47" i="56" s="1"/>
  <c r="AR47" i="56" s="1"/>
  <c r="AS47" i="56" s="1"/>
  <c r="O47" i="56"/>
  <c r="P47" i="56" s="1"/>
  <c r="O28" i="56"/>
  <c r="P28" i="56" s="1"/>
  <c r="Q28" i="56" s="1"/>
  <c r="R28" i="56" s="1"/>
  <c r="S28" i="56" s="1"/>
  <c r="T28" i="56" s="1"/>
  <c r="U28" i="56" s="1"/>
  <c r="V28" i="56" s="1"/>
  <c r="W28" i="56" s="1"/>
  <c r="X28" i="56" s="1"/>
  <c r="Y28" i="56" s="1"/>
  <c r="Z28" i="56" s="1"/>
  <c r="AA28" i="56" s="1"/>
  <c r="AB28" i="56" s="1"/>
  <c r="AC28" i="56" s="1"/>
  <c r="AD28" i="56" s="1"/>
  <c r="AE28" i="56" s="1"/>
  <c r="AF28" i="56" s="1"/>
  <c r="AG28" i="56" s="1"/>
  <c r="AH28" i="56" s="1"/>
  <c r="AI28" i="56" s="1"/>
  <c r="AJ28" i="56" s="1"/>
  <c r="AK28" i="56" s="1"/>
  <c r="AL28" i="56" s="1"/>
  <c r="AM28" i="56" s="1"/>
  <c r="AN28" i="56" s="1"/>
  <c r="AO28" i="56" s="1"/>
  <c r="AP28" i="56" s="1"/>
  <c r="AQ28" i="56" s="1"/>
  <c r="AR28" i="56" s="1"/>
  <c r="AS28" i="56" s="1"/>
  <c r="C207" i="42" a="1"/>
  <c r="C207" i="42" s="1"/>
  <c r="E206" i="42"/>
  <c r="Q32" i="56"/>
  <c r="R32" i="56" s="1"/>
  <c r="S32" i="56" s="1"/>
  <c r="T32" i="56" s="1"/>
  <c r="U32" i="56" s="1"/>
  <c r="V32" i="56" s="1"/>
  <c r="W32" i="56" s="1"/>
  <c r="X32" i="56" s="1"/>
  <c r="Y32" i="56" s="1"/>
  <c r="Z32" i="56" s="1"/>
  <c r="AA32" i="56" s="1"/>
  <c r="AB32" i="56" s="1"/>
  <c r="AC32" i="56" s="1"/>
  <c r="AD32" i="56" s="1"/>
  <c r="AE32" i="56" s="1"/>
  <c r="AF32" i="56" s="1"/>
  <c r="AG32" i="56" s="1"/>
  <c r="AH32" i="56" s="1"/>
  <c r="AI32" i="56" s="1"/>
  <c r="AJ32" i="56" s="1"/>
  <c r="AK32" i="56" s="1"/>
  <c r="AL32" i="56" s="1"/>
  <c r="AM32" i="56" s="1"/>
  <c r="AN32" i="56" s="1"/>
  <c r="AO32" i="56" s="1"/>
  <c r="AP32" i="56" s="1"/>
  <c r="AQ32" i="56" s="1"/>
  <c r="AR32" i="56" s="1"/>
  <c r="AS32" i="56" s="1"/>
  <c r="O32" i="56"/>
  <c r="P32" i="56" s="1"/>
  <c r="Q56" i="56"/>
  <c r="R56" i="56" s="1"/>
  <c r="S56" i="56" s="1"/>
  <c r="T56" i="56" s="1"/>
  <c r="U56" i="56" s="1"/>
  <c r="V56" i="56" s="1"/>
  <c r="W56" i="56" s="1"/>
  <c r="X56" i="56" s="1"/>
  <c r="Y56" i="56" s="1"/>
  <c r="Z56" i="56" s="1"/>
  <c r="AA56" i="56" s="1"/>
  <c r="AB56" i="56" s="1"/>
  <c r="AC56" i="56" s="1"/>
  <c r="AD56" i="56" s="1"/>
  <c r="AE56" i="56" s="1"/>
  <c r="AF56" i="56" s="1"/>
  <c r="AG56" i="56" s="1"/>
  <c r="AH56" i="56" s="1"/>
  <c r="AI56" i="56" s="1"/>
  <c r="AJ56" i="56" s="1"/>
  <c r="AK56" i="56" s="1"/>
  <c r="AL56" i="56" s="1"/>
  <c r="AM56" i="56" s="1"/>
  <c r="AN56" i="56" s="1"/>
  <c r="AO56" i="56" s="1"/>
  <c r="AP56" i="56" s="1"/>
  <c r="AQ56" i="56" s="1"/>
  <c r="AR56" i="56" s="1"/>
  <c r="AS56" i="56" s="1"/>
  <c r="O56" i="56"/>
  <c r="P56" i="56" s="1"/>
  <c r="O24" i="56"/>
  <c r="P24" i="56" s="1"/>
  <c r="Q24" i="56" s="1"/>
  <c r="R24" i="56" s="1"/>
  <c r="S24" i="56" s="1"/>
  <c r="T24" i="56" s="1"/>
  <c r="U24" i="56" s="1"/>
  <c r="V24" i="56" s="1"/>
  <c r="W24" i="56" s="1"/>
  <c r="X24" i="56" s="1"/>
  <c r="Y24" i="56" s="1"/>
  <c r="Z24" i="56" s="1"/>
  <c r="AA24" i="56" s="1"/>
  <c r="AB24" i="56" s="1"/>
  <c r="AC24" i="56" s="1"/>
  <c r="AD24" i="56" s="1"/>
  <c r="AE24" i="56" s="1"/>
  <c r="AF24" i="56" s="1"/>
  <c r="AG24" i="56" s="1"/>
  <c r="AH24" i="56" s="1"/>
  <c r="AI24" i="56" s="1"/>
  <c r="AJ24" i="56" s="1"/>
  <c r="AK24" i="56" s="1"/>
  <c r="AL24" i="56" s="1"/>
  <c r="AM24" i="56" s="1"/>
  <c r="AN24" i="56" s="1"/>
  <c r="AO24" i="56" s="1"/>
  <c r="AP24" i="56" s="1"/>
  <c r="AQ24" i="56" s="1"/>
  <c r="AR24" i="56" s="1"/>
  <c r="AS24" i="56" s="1"/>
  <c r="Q61" i="56"/>
  <c r="R61" i="56" s="1"/>
  <c r="S61" i="56" s="1"/>
  <c r="T61" i="56" s="1"/>
  <c r="U61" i="56" s="1"/>
  <c r="V61" i="56" s="1"/>
  <c r="W61" i="56" s="1"/>
  <c r="X61" i="56" s="1"/>
  <c r="Y61" i="56" s="1"/>
  <c r="Z61" i="56" s="1"/>
  <c r="AA61" i="56" s="1"/>
  <c r="AB61" i="56" s="1"/>
  <c r="AC61" i="56" s="1"/>
  <c r="AD61" i="56" s="1"/>
  <c r="AE61" i="56" s="1"/>
  <c r="AF61" i="56" s="1"/>
  <c r="AG61" i="56" s="1"/>
  <c r="AH61" i="56" s="1"/>
  <c r="AI61" i="56" s="1"/>
  <c r="AJ61" i="56" s="1"/>
  <c r="AK61" i="56" s="1"/>
  <c r="AL61" i="56" s="1"/>
  <c r="AM61" i="56" s="1"/>
  <c r="AN61" i="56" s="1"/>
  <c r="AO61" i="56" s="1"/>
  <c r="AP61" i="56" s="1"/>
  <c r="AQ61" i="56" s="1"/>
  <c r="AR61" i="56" s="1"/>
  <c r="AS61" i="56" s="1"/>
  <c r="O61" i="56"/>
  <c r="P61" i="56" s="1"/>
  <c r="O67" i="56"/>
  <c r="P67" i="56" s="1"/>
  <c r="Q67" i="56" s="1"/>
  <c r="R67" i="56" s="1"/>
  <c r="S67" i="56" s="1"/>
  <c r="T67" i="56" s="1"/>
  <c r="U67" i="56" s="1"/>
  <c r="V67" i="56" s="1"/>
  <c r="W67" i="56" s="1"/>
  <c r="X67" i="56" s="1"/>
  <c r="Y67" i="56" s="1"/>
  <c r="Z67" i="56" s="1"/>
  <c r="AA67" i="56" s="1"/>
  <c r="AB67" i="56" s="1"/>
  <c r="AC67" i="56" s="1"/>
  <c r="AD67" i="56" s="1"/>
  <c r="AE67" i="56" s="1"/>
  <c r="AF67" i="56" s="1"/>
  <c r="AG67" i="56" s="1"/>
  <c r="AH67" i="56" s="1"/>
  <c r="AI67" i="56" s="1"/>
  <c r="AJ67" i="56" s="1"/>
  <c r="AK67" i="56" s="1"/>
  <c r="AL67" i="56" s="1"/>
  <c r="AM67" i="56" s="1"/>
  <c r="AN67" i="56" s="1"/>
  <c r="AO67" i="56" s="1"/>
  <c r="AP67" i="56" s="1"/>
  <c r="AQ67" i="56" s="1"/>
  <c r="AR67" i="56" s="1"/>
  <c r="AS67" i="56" s="1"/>
  <c r="O26" i="56"/>
  <c r="P26" i="56" s="1"/>
  <c r="Q26" i="56" s="1"/>
  <c r="R26" i="56" s="1"/>
  <c r="S26" i="56" s="1"/>
  <c r="T26" i="56" s="1"/>
  <c r="U26" i="56" s="1"/>
  <c r="V26" i="56" s="1"/>
  <c r="W26" i="56" s="1"/>
  <c r="X26" i="56" s="1"/>
  <c r="Y26" i="56" s="1"/>
  <c r="Z26" i="56" s="1"/>
  <c r="AA26" i="56" s="1"/>
  <c r="AB26" i="56" s="1"/>
  <c r="AC26" i="56" s="1"/>
  <c r="AD26" i="56" s="1"/>
  <c r="AE26" i="56" s="1"/>
  <c r="AF26" i="56" s="1"/>
  <c r="AG26" i="56" s="1"/>
  <c r="AH26" i="56" s="1"/>
  <c r="AI26" i="56" s="1"/>
  <c r="AJ26" i="56" s="1"/>
  <c r="AK26" i="56" s="1"/>
  <c r="AL26" i="56" s="1"/>
  <c r="AM26" i="56" s="1"/>
  <c r="AN26" i="56" s="1"/>
  <c r="AO26" i="56" s="1"/>
  <c r="AP26" i="56" s="1"/>
  <c r="AQ26" i="56" s="1"/>
  <c r="AR26" i="56" s="1"/>
  <c r="AS26" i="56" s="1"/>
  <c r="Q49" i="56"/>
  <c r="R49" i="56" s="1"/>
  <c r="S49" i="56" s="1"/>
  <c r="T49" i="56" s="1"/>
  <c r="U49" i="56" s="1"/>
  <c r="V49" i="56" s="1"/>
  <c r="W49" i="56" s="1"/>
  <c r="X49" i="56" s="1"/>
  <c r="Y49" i="56" s="1"/>
  <c r="Z49" i="56" s="1"/>
  <c r="AA49" i="56" s="1"/>
  <c r="AB49" i="56" s="1"/>
  <c r="AC49" i="56" s="1"/>
  <c r="AD49" i="56" s="1"/>
  <c r="AE49" i="56" s="1"/>
  <c r="AF49" i="56" s="1"/>
  <c r="AG49" i="56" s="1"/>
  <c r="AH49" i="56" s="1"/>
  <c r="AI49" i="56" s="1"/>
  <c r="AJ49" i="56" s="1"/>
  <c r="AK49" i="56" s="1"/>
  <c r="AL49" i="56" s="1"/>
  <c r="AM49" i="56" s="1"/>
  <c r="AN49" i="56" s="1"/>
  <c r="AO49" i="56" s="1"/>
  <c r="AP49" i="56" s="1"/>
  <c r="AQ49" i="56" s="1"/>
  <c r="AR49" i="56" s="1"/>
  <c r="AS49" i="56" s="1"/>
  <c r="O49" i="56"/>
  <c r="P49" i="56" s="1"/>
  <c r="Q17" i="56"/>
  <c r="R17" i="56" s="1"/>
  <c r="S17" i="56" s="1"/>
  <c r="T17" i="56" s="1"/>
  <c r="U17" i="56" s="1"/>
  <c r="V17" i="56" s="1"/>
  <c r="W17" i="56" s="1"/>
  <c r="X17" i="56" s="1"/>
  <c r="Y17" i="56" s="1"/>
  <c r="Z17" i="56" s="1"/>
  <c r="AA17" i="56" s="1"/>
  <c r="AB17" i="56" s="1"/>
  <c r="AC17" i="56" s="1"/>
  <c r="AD17" i="56" s="1"/>
  <c r="AE17" i="56" s="1"/>
  <c r="AF17" i="56" s="1"/>
  <c r="AG17" i="56" s="1"/>
  <c r="AH17" i="56" s="1"/>
  <c r="AI17" i="56" s="1"/>
  <c r="AJ17" i="56" s="1"/>
  <c r="AK17" i="56" s="1"/>
  <c r="AL17" i="56" s="1"/>
  <c r="AM17" i="56" s="1"/>
  <c r="AN17" i="56" s="1"/>
  <c r="AO17" i="56" s="1"/>
  <c r="AP17" i="56" s="1"/>
  <c r="AQ17" i="56" s="1"/>
  <c r="AR17" i="56" s="1"/>
  <c r="AS17" i="56" s="1"/>
  <c r="O17" i="56"/>
  <c r="P17" i="56" s="1"/>
  <c r="O46" i="56"/>
  <c r="P46" i="56" s="1"/>
  <c r="Q46" i="56" s="1"/>
  <c r="R46" i="56" s="1"/>
  <c r="S46" i="56" s="1"/>
  <c r="T46" i="56" s="1"/>
  <c r="U46" i="56" s="1"/>
  <c r="V46" i="56" s="1"/>
  <c r="W46" i="56" s="1"/>
  <c r="X46" i="56" s="1"/>
  <c r="Y46" i="56" s="1"/>
  <c r="Z46" i="56" s="1"/>
  <c r="AA46" i="56" s="1"/>
  <c r="AB46" i="56" s="1"/>
  <c r="AC46" i="56" s="1"/>
  <c r="AD46" i="56" s="1"/>
  <c r="AE46" i="56" s="1"/>
  <c r="AF46" i="56" s="1"/>
  <c r="AG46" i="56" s="1"/>
  <c r="AH46" i="56" s="1"/>
  <c r="AI46" i="56" s="1"/>
  <c r="AJ46" i="56" s="1"/>
  <c r="AK46" i="56" s="1"/>
  <c r="AL46" i="56" s="1"/>
  <c r="AM46" i="56" s="1"/>
  <c r="AN46" i="56" s="1"/>
  <c r="AO46" i="56" s="1"/>
  <c r="AP46" i="56" s="1"/>
  <c r="AQ46" i="56" s="1"/>
  <c r="AR46" i="56" s="1"/>
  <c r="AS46" i="56" s="1"/>
  <c r="Q51" i="56"/>
  <c r="R51" i="56" s="1"/>
  <c r="S51" i="56" s="1"/>
  <c r="T51" i="56" s="1"/>
  <c r="U51" i="56" s="1"/>
  <c r="V51" i="56" s="1"/>
  <c r="W51" i="56" s="1"/>
  <c r="X51" i="56" s="1"/>
  <c r="Y51" i="56" s="1"/>
  <c r="Z51" i="56" s="1"/>
  <c r="AA51" i="56" s="1"/>
  <c r="AB51" i="56" s="1"/>
  <c r="AC51" i="56" s="1"/>
  <c r="AD51" i="56" s="1"/>
  <c r="AE51" i="56" s="1"/>
  <c r="AF51" i="56" s="1"/>
  <c r="AG51" i="56" s="1"/>
  <c r="AH51" i="56" s="1"/>
  <c r="AI51" i="56" s="1"/>
  <c r="AJ51" i="56" s="1"/>
  <c r="AK51" i="56" s="1"/>
  <c r="AL51" i="56" s="1"/>
  <c r="AM51" i="56" s="1"/>
  <c r="AN51" i="56" s="1"/>
  <c r="AO51" i="56" s="1"/>
  <c r="AP51" i="56" s="1"/>
  <c r="AQ51" i="56" s="1"/>
  <c r="AR51" i="56" s="1"/>
  <c r="AS51" i="56" s="1"/>
  <c r="O51" i="56"/>
  <c r="P51" i="56" s="1"/>
  <c r="O63" i="56"/>
  <c r="P63" i="56" s="1"/>
  <c r="Q63" i="56" s="1"/>
  <c r="R63" i="56" s="1"/>
  <c r="S63" i="56" s="1"/>
  <c r="T63" i="56" s="1"/>
  <c r="U63" i="56" s="1"/>
  <c r="V63" i="56" s="1"/>
  <c r="W63" i="56" s="1"/>
  <c r="X63" i="56" s="1"/>
  <c r="Y63" i="56" s="1"/>
  <c r="Z63" i="56" s="1"/>
  <c r="AA63" i="56" s="1"/>
  <c r="AB63" i="56" s="1"/>
  <c r="AC63" i="56" s="1"/>
  <c r="AD63" i="56" s="1"/>
  <c r="AE63" i="56" s="1"/>
  <c r="AF63" i="56" s="1"/>
  <c r="AG63" i="56" s="1"/>
  <c r="AH63" i="56" s="1"/>
  <c r="AI63" i="56" s="1"/>
  <c r="AJ63" i="56" s="1"/>
  <c r="AK63" i="56" s="1"/>
  <c r="AL63" i="56" s="1"/>
  <c r="AM63" i="56" s="1"/>
  <c r="AN63" i="56" s="1"/>
  <c r="AO63" i="56" s="1"/>
  <c r="AP63" i="56" s="1"/>
  <c r="AQ63" i="56" s="1"/>
  <c r="AR63" i="56" s="1"/>
  <c r="AS63" i="56" s="1"/>
  <c r="O44" i="56"/>
  <c r="P44" i="56" s="1"/>
  <c r="Q44" i="56" s="1"/>
  <c r="R44" i="56" s="1"/>
  <c r="S44" i="56" s="1"/>
  <c r="T44" i="56" s="1"/>
  <c r="U44" i="56" s="1"/>
  <c r="V44" i="56" s="1"/>
  <c r="W44" i="56" s="1"/>
  <c r="X44" i="56" s="1"/>
  <c r="Y44" i="56" s="1"/>
  <c r="Z44" i="56" s="1"/>
  <c r="AA44" i="56" s="1"/>
  <c r="AB44" i="56" s="1"/>
  <c r="AC44" i="56" s="1"/>
  <c r="AD44" i="56" s="1"/>
  <c r="AE44" i="56" s="1"/>
  <c r="AF44" i="56" s="1"/>
  <c r="AG44" i="56" s="1"/>
  <c r="AH44" i="56" s="1"/>
  <c r="AI44" i="56" s="1"/>
  <c r="AJ44" i="56" s="1"/>
  <c r="AK44" i="56" s="1"/>
  <c r="AL44" i="56" s="1"/>
  <c r="AM44" i="56" s="1"/>
  <c r="AN44" i="56" s="1"/>
  <c r="AO44" i="56" s="1"/>
  <c r="AP44" i="56" s="1"/>
  <c r="AQ44" i="56" s="1"/>
  <c r="AR44" i="56" s="1"/>
  <c r="AS44" i="56" s="1"/>
  <c r="Q21" i="56"/>
  <c r="R21" i="56" s="1"/>
  <c r="S21" i="56" s="1"/>
  <c r="T21" i="56" s="1"/>
  <c r="U21" i="56" s="1"/>
  <c r="V21" i="56" s="1"/>
  <c r="W21" i="56" s="1"/>
  <c r="X21" i="56" s="1"/>
  <c r="Y21" i="56" s="1"/>
  <c r="Z21" i="56" s="1"/>
  <c r="AA21" i="56" s="1"/>
  <c r="AB21" i="56" s="1"/>
  <c r="AC21" i="56" s="1"/>
  <c r="AD21" i="56" s="1"/>
  <c r="AE21" i="56" s="1"/>
  <c r="AF21" i="56" s="1"/>
  <c r="AG21" i="56" s="1"/>
  <c r="AH21" i="56" s="1"/>
  <c r="AI21" i="56" s="1"/>
  <c r="AJ21" i="56" s="1"/>
  <c r="AK21" i="56" s="1"/>
  <c r="AL21" i="56" s="1"/>
  <c r="AM21" i="56" s="1"/>
  <c r="AN21" i="56" s="1"/>
  <c r="AO21" i="56" s="1"/>
  <c r="AP21" i="56" s="1"/>
  <c r="AQ21" i="56" s="1"/>
  <c r="AR21" i="56" s="1"/>
  <c r="AS21" i="56" s="1"/>
  <c r="O21" i="56"/>
  <c r="P21" i="56" s="1"/>
  <c r="Q42" i="56"/>
  <c r="R42" i="56" s="1"/>
  <c r="S42" i="56" s="1"/>
  <c r="T42" i="56" s="1"/>
  <c r="U42" i="56" s="1"/>
  <c r="V42" i="56" s="1"/>
  <c r="W42" i="56" s="1"/>
  <c r="X42" i="56" s="1"/>
  <c r="Y42" i="56" s="1"/>
  <c r="Z42" i="56" s="1"/>
  <c r="AA42" i="56" s="1"/>
  <c r="AB42" i="56" s="1"/>
  <c r="AC42" i="56" s="1"/>
  <c r="AD42" i="56" s="1"/>
  <c r="AE42" i="56" s="1"/>
  <c r="AF42" i="56" s="1"/>
  <c r="AG42" i="56" s="1"/>
  <c r="AH42" i="56" s="1"/>
  <c r="AI42" i="56" s="1"/>
  <c r="AJ42" i="56" s="1"/>
  <c r="AK42" i="56" s="1"/>
  <c r="AL42" i="56" s="1"/>
  <c r="AM42" i="56" s="1"/>
  <c r="AN42" i="56" s="1"/>
  <c r="AO42" i="56" s="1"/>
  <c r="AP42" i="56" s="1"/>
  <c r="AQ42" i="56" s="1"/>
  <c r="AR42" i="56" s="1"/>
  <c r="AS42" i="56" s="1"/>
  <c r="O42" i="56"/>
  <c r="P42" i="56" s="1"/>
  <c r="O54" i="56"/>
  <c r="P54" i="56" s="1"/>
  <c r="Q54" i="56" s="1"/>
  <c r="R54" i="56" s="1"/>
  <c r="S54" i="56" s="1"/>
  <c r="T54" i="56" s="1"/>
  <c r="U54" i="56" s="1"/>
  <c r="V54" i="56" s="1"/>
  <c r="W54" i="56" s="1"/>
  <c r="X54" i="56" s="1"/>
  <c r="Y54" i="56" s="1"/>
  <c r="Z54" i="56" s="1"/>
  <c r="AA54" i="56" s="1"/>
  <c r="AB54" i="56" s="1"/>
  <c r="AC54" i="56" s="1"/>
  <c r="AD54" i="56" s="1"/>
  <c r="AE54" i="56" s="1"/>
  <c r="AF54" i="56" s="1"/>
  <c r="AG54" i="56" s="1"/>
  <c r="AH54" i="56" s="1"/>
  <c r="AI54" i="56" s="1"/>
  <c r="AJ54" i="56" s="1"/>
  <c r="AK54" i="56" s="1"/>
  <c r="AL54" i="56" s="1"/>
  <c r="AM54" i="56" s="1"/>
  <c r="AN54" i="56" s="1"/>
  <c r="AO54" i="56" s="1"/>
  <c r="AP54" i="56" s="1"/>
  <c r="AQ54" i="56" s="1"/>
  <c r="AR54" i="56" s="1"/>
  <c r="AS54" i="56" s="1"/>
  <c r="Q36" i="56"/>
  <c r="R36" i="56" s="1"/>
  <c r="S36" i="56" s="1"/>
  <c r="T36" i="56" s="1"/>
  <c r="U36" i="56" s="1"/>
  <c r="V36" i="56" s="1"/>
  <c r="W36" i="56" s="1"/>
  <c r="X36" i="56" s="1"/>
  <c r="Y36" i="56" s="1"/>
  <c r="Z36" i="56" s="1"/>
  <c r="AA36" i="56" s="1"/>
  <c r="AB36" i="56" s="1"/>
  <c r="AC36" i="56" s="1"/>
  <c r="AD36" i="56" s="1"/>
  <c r="AE36" i="56" s="1"/>
  <c r="AF36" i="56" s="1"/>
  <c r="AG36" i="56" s="1"/>
  <c r="AH36" i="56" s="1"/>
  <c r="AI36" i="56" s="1"/>
  <c r="AJ36" i="56" s="1"/>
  <c r="AK36" i="56" s="1"/>
  <c r="AL36" i="56" s="1"/>
  <c r="AM36" i="56" s="1"/>
  <c r="AN36" i="56" s="1"/>
  <c r="AO36" i="56" s="1"/>
  <c r="AP36" i="56" s="1"/>
  <c r="AQ36" i="56" s="1"/>
  <c r="AR36" i="56" s="1"/>
  <c r="AS36" i="56" s="1"/>
  <c r="O36" i="56"/>
  <c r="P36" i="56" s="1"/>
  <c r="O25" i="56"/>
  <c r="P25" i="56" s="1"/>
  <c r="Q25" i="56" s="1"/>
  <c r="R25" i="56" s="1"/>
  <c r="S25" i="56" s="1"/>
  <c r="T25" i="56" s="1"/>
  <c r="U25" i="56" s="1"/>
  <c r="V25" i="56" s="1"/>
  <c r="W25" i="56" s="1"/>
  <c r="X25" i="56" s="1"/>
  <c r="Y25" i="56" s="1"/>
  <c r="Z25" i="56" s="1"/>
  <c r="AA25" i="56" s="1"/>
  <c r="AB25" i="56" s="1"/>
  <c r="AC25" i="56" s="1"/>
  <c r="AD25" i="56" s="1"/>
  <c r="AE25" i="56" s="1"/>
  <c r="AF25" i="56" s="1"/>
  <c r="AG25" i="56" s="1"/>
  <c r="AH25" i="56" s="1"/>
  <c r="AI25" i="56" s="1"/>
  <c r="AJ25" i="56" s="1"/>
  <c r="AK25" i="56" s="1"/>
  <c r="AL25" i="56" s="1"/>
  <c r="AM25" i="56" s="1"/>
  <c r="AN25" i="56" s="1"/>
  <c r="AO25" i="56" s="1"/>
  <c r="AP25" i="56" s="1"/>
  <c r="AQ25" i="56" s="1"/>
  <c r="AR25" i="56" s="1"/>
  <c r="AS25" i="56" s="1"/>
  <c r="O33" i="56"/>
  <c r="P33" i="56" s="1"/>
  <c r="Q33" i="56" s="1"/>
  <c r="R33" i="56" s="1"/>
  <c r="S33" i="56" s="1"/>
  <c r="T33" i="56" s="1"/>
  <c r="U33" i="56" s="1"/>
  <c r="V33" i="56" s="1"/>
  <c r="W33" i="56" s="1"/>
  <c r="X33" i="56" s="1"/>
  <c r="Y33" i="56" s="1"/>
  <c r="Z33" i="56" s="1"/>
  <c r="AA33" i="56" s="1"/>
  <c r="AB33" i="56" s="1"/>
  <c r="AC33" i="56" s="1"/>
  <c r="AD33" i="56" s="1"/>
  <c r="AE33" i="56" s="1"/>
  <c r="AF33" i="56" s="1"/>
  <c r="AG33" i="56" s="1"/>
  <c r="AH33" i="56" s="1"/>
  <c r="AI33" i="56" s="1"/>
  <c r="AJ33" i="56" s="1"/>
  <c r="AK33" i="56" s="1"/>
  <c r="AL33" i="56" s="1"/>
  <c r="AM33" i="56" s="1"/>
  <c r="AN33" i="56" s="1"/>
  <c r="AO33" i="56" s="1"/>
  <c r="AP33" i="56" s="1"/>
  <c r="AQ33" i="56" s="1"/>
  <c r="AR33" i="56" s="1"/>
  <c r="AS33" i="56" s="1"/>
  <c r="Q12" i="56"/>
  <c r="R12" i="56" s="1"/>
  <c r="S12" i="56" s="1"/>
  <c r="T12" i="56" s="1"/>
  <c r="U12" i="56" s="1"/>
  <c r="V12" i="56" s="1"/>
  <c r="W12" i="56" s="1"/>
  <c r="X12" i="56" s="1"/>
  <c r="Y12" i="56" s="1"/>
  <c r="Z12" i="56" s="1"/>
  <c r="AA12" i="56" s="1"/>
  <c r="AB12" i="56" s="1"/>
  <c r="AC12" i="56" s="1"/>
  <c r="AD12" i="56" s="1"/>
  <c r="AE12" i="56" s="1"/>
  <c r="AF12" i="56" s="1"/>
  <c r="AG12" i="56" s="1"/>
  <c r="AH12" i="56" s="1"/>
  <c r="AI12" i="56" s="1"/>
  <c r="AJ12" i="56" s="1"/>
  <c r="AK12" i="56" s="1"/>
  <c r="AL12" i="56" s="1"/>
  <c r="AM12" i="56" s="1"/>
  <c r="AN12" i="56" s="1"/>
  <c r="AO12" i="56" s="1"/>
  <c r="AP12" i="56" s="1"/>
  <c r="AQ12" i="56" s="1"/>
  <c r="AR12" i="56" s="1"/>
  <c r="AS12" i="56" s="1"/>
  <c r="O12" i="56"/>
  <c r="P12" i="56" s="1"/>
  <c r="Q30" i="56"/>
  <c r="R30" i="56" s="1"/>
  <c r="S30" i="56" s="1"/>
  <c r="T30" i="56" s="1"/>
  <c r="U30" i="56" s="1"/>
  <c r="V30" i="56" s="1"/>
  <c r="W30" i="56" s="1"/>
  <c r="X30" i="56" s="1"/>
  <c r="Y30" i="56" s="1"/>
  <c r="Z30" i="56" s="1"/>
  <c r="AA30" i="56" s="1"/>
  <c r="AB30" i="56" s="1"/>
  <c r="AC30" i="56" s="1"/>
  <c r="AD30" i="56" s="1"/>
  <c r="AE30" i="56" s="1"/>
  <c r="AF30" i="56" s="1"/>
  <c r="AG30" i="56" s="1"/>
  <c r="AH30" i="56" s="1"/>
  <c r="AI30" i="56" s="1"/>
  <c r="AJ30" i="56" s="1"/>
  <c r="AK30" i="56" s="1"/>
  <c r="AL30" i="56" s="1"/>
  <c r="AM30" i="56" s="1"/>
  <c r="AN30" i="56" s="1"/>
  <c r="AO30" i="56" s="1"/>
  <c r="AP30" i="56" s="1"/>
  <c r="AQ30" i="56" s="1"/>
  <c r="AR30" i="56" s="1"/>
  <c r="AS30" i="56" s="1"/>
  <c r="O30" i="56"/>
  <c r="P30" i="56" s="1"/>
  <c r="O48" i="56"/>
  <c r="P48" i="56" s="1"/>
  <c r="Q48" i="56" s="1"/>
  <c r="R48" i="56" s="1"/>
  <c r="S48" i="56" s="1"/>
  <c r="T48" i="56" s="1"/>
  <c r="U48" i="56" s="1"/>
  <c r="V48" i="56" s="1"/>
  <c r="W48" i="56" s="1"/>
  <c r="X48" i="56" s="1"/>
  <c r="Y48" i="56" s="1"/>
  <c r="Z48" i="56" s="1"/>
  <c r="AA48" i="56" s="1"/>
  <c r="AB48" i="56" s="1"/>
  <c r="AC48" i="56" s="1"/>
  <c r="AD48" i="56" s="1"/>
  <c r="AE48" i="56" s="1"/>
  <c r="AF48" i="56" s="1"/>
  <c r="AG48" i="56" s="1"/>
  <c r="AH48" i="56" s="1"/>
  <c r="AI48" i="56" s="1"/>
  <c r="AJ48" i="56" s="1"/>
  <c r="AK48" i="56" s="1"/>
  <c r="AL48" i="56" s="1"/>
  <c r="AM48" i="56" s="1"/>
  <c r="AN48" i="56" s="1"/>
  <c r="AO48" i="56" s="1"/>
  <c r="AP48" i="56" s="1"/>
  <c r="AQ48" i="56" s="1"/>
  <c r="AR48" i="56" s="1"/>
  <c r="AS48" i="56" s="1"/>
  <c r="Q15" i="56"/>
  <c r="R15" i="56" s="1"/>
  <c r="S15" i="56" s="1"/>
  <c r="T15" i="56" s="1"/>
  <c r="U15" i="56" s="1"/>
  <c r="V15" i="56" s="1"/>
  <c r="W15" i="56" s="1"/>
  <c r="X15" i="56" s="1"/>
  <c r="Y15" i="56" s="1"/>
  <c r="Z15" i="56" s="1"/>
  <c r="AA15" i="56" s="1"/>
  <c r="AB15" i="56" s="1"/>
  <c r="AC15" i="56" s="1"/>
  <c r="AD15" i="56" s="1"/>
  <c r="AE15" i="56" s="1"/>
  <c r="AF15" i="56" s="1"/>
  <c r="AG15" i="56" s="1"/>
  <c r="AH15" i="56" s="1"/>
  <c r="AI15" i="56" s="1"/>
  <c r="AJ15" i="56" s="1"/>
  <c r="AK15" i="56" s="1"/>
  <c r="AL15" i="56" s="1"/>
  <c r="AM15" i="56" s="1"/>
  <c r="AN15" i="56" s="1"/>
  <c r="AO15" i="56" s="1"/>
  <c r="AP15" i="56" s="1"/>
  <c r="AQ15" i="56" s="1"/>
  <c r="AR15" i="56" s="1"/>
  <c r="AS15" i="56" s="1"/>
  <c r="O15" i="56"/>
  <c r="P15" i="56" s="1"/>
  <c r="O43" i="56"/>
  <c r="P43" i="56" s="1"/>
  <c r="Q43" i="56" s="1"/>
  <c r="R43" i="56" s="1"/>
  <c r="S43" i="56" s="1"/>
  <c r="T43" i="56" s="1"/>
  <c r="U43" i="56" s="1"/>
  <c r="V43" i="56" s="1"/>
  <c r="W43" i="56" s="1"/>
  <c r="X43" i="56" s="1"/>
  <c r="Y43" i="56" s="1"/>
  <c r="Z43" i="56" s="1"/>
  <c r="AA43" i="56" s="1"/>
  <c r="AB43" i="56" s="1"/>
  <c r="AC43" i="56" s="1"/>
  <c r="AD43" i="56" s="1"/>
  <c r="AE43" i="56" s="1"/>
  <c r="AF43" i="56" s="1"/>
  <c r="AG43" i="56" s="1"/>
  <c r="AH43" i="56" s="1"/>
  <c r="AI43" i="56" s="1"/>
  <c r="AJ43" i="56" s="1"/>
  <c r="AK43" i="56" s="1"/>
  <c r="AL43" i="56" s="1"/>
  <c r="AM43" i="56" s="1"/>
  <c r="AN43" i="56" s="1"/>
  <c r="AO43" i="56" s="1"/>
  <c r="AP43" i="56" s="1"/>
  <c r="AQ43" i="56" s="1"/>
  <c r="AR43" i="56" s="1"/>
  <c r="AS43" i="56" s="1"/>
  <c r="O60" i="56"/>
  <c r="P60" i="56" s="1"/>
  <c r="Q60" i="56" s="1"/>
  <c r="R60" i="56" s="1"/>
  <c r="S60" i="56" s="1"/>
  <c r="T60" i="56" s="1"/>
  <c r="U60" i="56" s="1"/>
  <c r="V60" i="56" s="1"/>
  <c r="W60" i="56" s="1"/>
  <c r="X60" i="56" s="1"/>
  <c r="Y60" i="56" s="1"/>
  <c r="Z60" i="56" s="1"/>
  <c r="AA60" i="56" s="1"/>
  <c r="AB60" i="56" s="1"/>
  <c r="AC60" i="56" s="1"/>
  <c r="AD60" i="56" s="1"/>
  <c r="AE60" i="56" s="1"/>
  <c r="AF60" i="56" s="1"/>
  <c r="AG60" i="56" s="1"/>
  <c r="AH60" i="56" s="1"/>
  <c r="AI60" i="56" s="1"/>
  <c r="AJ60" i="56" s="1"/>
  <c r="AK60" i="56" s="1"/>
  <c r="AL60" i="56" s="1"/>
  <c r="AM60" i="56" s="1"/>
  <c r="AN60" i="56" s="1"/>
  <c r="AO60" i="56" s="1"/>
  <c r="AP60" i="56" s="1"/>
  <c r="AQ60" i="56" s="1"/>
  <c r="AR60" i="56" s="1"/>
  <c r="AS60" i="56" s="1"/>
  <c r="Q22" i="56"/>
  <c r="R22" i="56" s="1"/>
  <c r="S22" i="56" s="1"/>
  <c r="T22" i="56" s="1"/>
  <c r="U22" i="56" s="1"/>
  <c r="V22" i="56" s="1"/>
  <c r="W22" i="56" s="1"/>
  <c r="X22" i="56" s="1"/>
  <c r="Y22" i="56" s="1"/>
  <c r="Z22" i="56" s="1"/>
  <c r="AA22" i="56" s="1"/>
  <c r="AB22" i="56" s="1"/>
  <c r="AC22" i="56" s="1"/>
  <c r="AD22" i="56" s="1"/>
  <c r="AE22" i="56" s="1"/>
  <c r="AF22" i="56" s="1"/>
  <c r="AG22" i="56" s="1"/>
  <c r="AH22" i="56" s="1"/>
  <c r="AI22" i="56" s="1"/>
  <c r="AJ22" i="56" s="1"/>
  <c r="AK22" i="56" s="1"/>
  <c r="AL22" i="56" s="1"/>
  <c r="AM22" i="56" s="1"/>
  <c r="AN22" i="56" s="1"/>
  <c r="AO22" i="56" s="1"/>
  <c r="AP22" i="56" s="1"/>
  <c r="AQ22" i="56" s="1"/>
  <c r="AR22" i="56" s="1"/>
  <c r="AS22" i="56" s="1"/>
  <c r="O22" i="56"/>
  <c r="P22" i="56" s="1"/>
  <c r="Q31" i="56"/>
  <c r="R31" i="56" s="1"/>
  <c r="S31" i="56" s="1"/>
  <c r="T31" i="56" s="1"/>
  <c r="U31" i="56" s="1"/>
  <c r="V31" i="56" s="1"/>
  <c r="W31" i="56" s="1"/>
  <c r="X31" i="56" s="1"/>
  <c r="Y31" i="56" s="1"/>
  <c r="Z31" i="56" s="1"/>
  <c r="AA31" i="56" s="1"/>
  <c r="AB31" i="56" s="1"/>
  <c r="AC31" i="56" s="1"/>
  <c r="AD31" i="56" s="1"/>
  <c r="AE31" i="56" s="1"/>
  <c r="AF31" i="56" s="1"/>
  <c r="AG31" i="56" s="1"/>
  <c r="AH31" i="56" s="1"/>
  <c r="AI31" i="56" s="1"/>
  <c r="AJ31" i="56" s="1"/>
  <c r="AK31" i="56" s="1"/>
  <c r="AL31" i="56" s="1"/>
  <c r="AM31" i="56" s="1"/>
  <c r="AN31" i="56" s="1"/>
  <c r="AO31" i="56" s="1"/>
  <c r="AP31" i="56" s="1"/>
  <c r="AQ31" i="56" s="1"/>
  <c r="AR31" i="56" s="1"/>
  <c r="AS31" i="56" s="1"/>
  <c r="O31" i="56"/>
  <c r="P31" i="56" s="1"/>
  <c r="O59" i="56"/>
  <c r="P59" i="56" s="1"/>
  <c r="Q59" i="56" s="1"/>
  <c r="R59" i="56" s="1"/>
  <c r="S59" i="56" s="1"/>
  <c r="T59" i="56" s="1"/>
  <c r="U59" i="56" s="1"/>
  <c r="V59" i="56" s="1"/>
  <c r="W59" i="56" s="1"/>
  <c r="X59" i="56" s="1"/>
  <c r="Y59" i="56" s="1"/>
  <c r="Z59" i="56" s="1"/>
  <c r="AA59" i="56" s="1"/>
  <c r="AB59" i="56" s="1"/>
  <c r="AC59" i="56" s="1"/>
  <c r="AD59" i="56" s="1"/>
  <c r="AE59" i="56" s="1"/>
  <c r="AF59" i="56" s="1"/>
  <c r="AG59" i="56" s="1"/>
  <c r="AH59" i="56" s="1"/>
  <c r="AI59" i="56" s="1"/>
  <c r="AJ59" i="56" s="1"/>
  <c r="AK59" i="56" s="1"/>
  <c r="AL59" i="56" s="1"/>
  <c r="AM59" i="56" s="1"/>
  <c r="AN59" i="56" s="1"/>
  <c r="AO59" i="56" s="1"/>
  <c r="AP59" i="56" s="1"/>
  <c r="AQ59" i="56" s="1"/>
  <c r="AR59" i="56" s="1"/>
  <c r="AS59" i="56" s="1"/>
  <c r="Q13" i="56"/>
  <c r="R13" i="56" s="1"/>
  <c r="S13" i="56" s="1"/>
  <c r="T13" i="56" s="1"/>
  <c r="U13" i="56" s="1"/>
  <c r="V13" i="56" s="1"/>
  <c r="W13" i="56" s="1"/>
  <c r="X13" i="56" s="1"/>
  <c r="Y13" i="56" s="1"/>
  <c r="Z13" i="56" s="1"/>
  <c r="AA13" i="56" s="1"/>
  <c r="AB13" i="56" s="1"/>
  <c r="AC13" i="56" s="1"/>
  <c r="AD13" i="56" s="1"/>
  <c r="AE13" i="56" s="1"/>
  <c r="AF13" i="56" s="1"/>
  <c r="AG13" i="56" s="1"/>
  <c r="AH13" i="56" s="1"/>
  <c r="AI13" i="56" s="1"/>
  <c r="AJ13" i="56" s="1"/>
  <c r="AK13" i="56" s="1"/>
  <c r="AL13" i="56" s="1"/>
  <c r="AM13" i="56" s="1"/>
  <c r="AN13" i="56" s="1"/>
  <c r="AO13" i="56" s="1"/>
  <c r="AP13" i="56" s="1"/>
  <c r="AQ13" i="56" s="1"/>
  <c r="AR13" i="56" s="1"/>
  <c r="AS13" i="56" s="1"/>
  <c r="O13" i="56"/>
  <c r="P13" i="56" s="1"/>
  <c r="O19" i="56"/>
  <c r="P19" i="56" s="1"/>
  <c r="Q19" i="56" s="1"/>
  <c r="R19" i="56" s="1"/>
  <c r="S19" i="56" s="1"/>
  <c r="T19" i="56" s="1"/>
  <c r="U19" i="56" s="1"/>
  <c r="V19" i="56" s="1"/>
  <c r="W19" i="56" s="1"/>
  <c r="X19" i="56" s="1"/>
  <c r="Y19" i="56" s="1"/>
  <c r="Z19" i="56" s="1"/>
  <c r="AA19" i="56" s="1"/>
  <c r="AB19" i="56" s="1"/>
  <c r="AC19" i="56" s="1"/>
  <c r="AD19" i="56" s="1"/>
  <c r="AE19" i="56" s="1"/>
  <c r="AF19" i="56" s="1"/>
  <c r="AG19" i="56" s="1"/>
  <c r="AH19" i="56" s="1"/>
  <c r="AI19" i="56" s="1"/>
  <c r="AJ19" i="56" s="1"/>
  <c r="AK19" i="56" s="1"/>
  <c r="AL19" i="56" s="1"/>
  <c r="AM19" i="56" s="1"/>
  <c r="AN19" i="56" s="1"/>
  <c r="AO19" i="56" s="1"/>
  <c r="AP19" i="56" s="1"/>
  <c r="AQ19" i="56" s="1"/>
  <c r="AR19" i="56" s="1"/>
  <c r="AS19" i="56" s="1"/>
  <c r="O40" i="56"/>
  <c r="P40" i="56" s="1"/>
  <c r="Q40" i="56" s="1"/>
  <c r="R40" i="56" s="1"/>
  <c r="S40" i="56" s="1"/>
  <c r="T40" i="56" s="1"/>
  <c r="U40" i="56" s="1"/>
  <c r="V40" i="56" s="1"/>
  <c r="W40" i="56" s="1"/>
  <c r="X40" i="56" s="1"/>
  <c r="Y40" i="56" s="1"/>
  <c r="Z40" i="56" s="1"/>
  <c r="AA40" i="56" s="1"/>
  <c r="AB40" i="56" s="1"/>
  <c r="AC40" i="56" s="1"/>
  <c r="AD40" i="56" s="1"/>
  <c r="AE40" i="56" s="1"/>
  <c r="AF40" i="56" s="1"/>
  <c r="AG40" i="56" s="1"/>
  <c r="AH40" i="56" s="1"/>
  <c r="AI40" i="56" s="1"/>
  <c r="AJ40" i="56" s="1"/>
  <c r="AK40" i="56" s="1"/>
  <c r="AL40" i="56" s="1"/>
  <c r="AM40" i="56" s="1"/>
  <c r="AN40" i="56" s="1"/>
  <c r="AO40" i="56" s="1"/>
  <c r="AP40" i="56" s="1"/>
  <c r="AQ40" i="56" s="1"/>
  <c r="AR40" i="56" s="1"/>
  <c r="AS40" i="56" s="1"/>
  <c r="Q14" i="56"/>
  <c r="R14" i="56" s="1"/>
  <c r="S14" i="56" s="1"/>
  <c r="T14" i="56" s="1"/>
  <c r="U14" i="56" s="1"/>
  <c r="V14" i="56" s="1"/>
  <c r="W14" i="56" s="1"/>
  <c r="X14" i="56" s="1"/>
  <c r="Y14" i="56" s="1"/>
  <c r="Z14" i="56" s="1"/>
  <c r="AA14" i="56" s="1"/>
  <c r="AB14" i="56" s="1"/>
  <c r="AC14" i="56" s="1"/>
  <c r="AD14" i="56" s="1"/>
  <c r="AE14" i="56" s="1"/>
  <c r="AF14" i="56" s="1"/>
  <c r="AG14" i="56" s="1"/>
  <c r="AH14" i="56" s="1"/>
  <c r="AI14" i="56" s="1"/>
  <c r="AJ14" i="56" s="1"/>
  <c r="AK14" i="56" s="1"/>
  <c r="AL14" i="56" s="1"/>
  <c r="AM14" i="56" s="1"/>
  <c r="AN14" i="56" s="1"/>
  <c r="AO14" i="56" s="1"/>
  <c r="AP14" i="56" s="1"/>
  <c r="AQ14" i="56" s="1"/>
  <c r="AR14" i="56" s="1"/>
  <c r="AS14" i="56" s="1"/>
  <c r="O14" i="56"/>
  <c r="P14" i="56" s="1"/>
  <c r="Q45" i="56"/>
  <c r="R45" i="56" s="1"/>
  <c r="S45" i="56" s="1"/>
  <c r="T45" i="56" s="1"/>
  <c r="U45" i="56" s="1"/>
  <c r="V45" i="56" s="1"/>
  <c r="W45" i="56" s="1"/>
  <c r="X45" i="56" s="1"/>
  <c r="Y45" i="56" s="1"/>
  <c r="Z45" i="56" s="1"/>
  <c r="AA45" i="56" s="1"/>
  <c r="AB45" i="56" s="1"/>
  <c r="AC45" i="56" s="1"/>
  <c r="AD45" i="56" s="1"/>
  <c r="AE45" i="56" s="1"/>
  <c r="AF45" i="56" s="1"/>
  <c r="AG45" i="56" s="1"/>
  <c r="AH45" i="56" s="1"/>
  <c r="AI45" i="56" s="1"/>
  <c r="AJ45" i="56" s="1"/>
  <c r="AK45" i="56" s="1"/>
  <c r="AL45" i="56" s="1"/>
  <c r="AM45" i="56" s="1"/>
  <c r="AN45" i="56" s="1"/>
  <c r="AO45" i="56" s="1"/>
  <c r="AP45" i="56" s="1"/>
  <c r="AQ45" i="56" s="1"/>
  <c r="AR45" i="56" s="1"/>
  <c r="AS45" i="56" s="1"/>
  <c r="O45" i="56"/>
  <c r="P45" i="56" s="1"/>
  <c r="O10" i="56"/>
  <c r="P10" i="56" s="1"/>
  <c r="Q10" i="56" s="1"/>
  <c r="R10" i="56" s="1"/>
  <c r="S10" i="56" s="1"/>
  <c r="T10" i="56" s="1"/>
  <c r="U10" i="56" s="1"/>
  <c r="V10" i="56" s="1"/>
  <c r="W10" i="56" s="1"/>
  <c r="X10" i="56" s="1"/>
  <c r="Y10" i="56" s="1"/>
  <c r="Z10" i="56" s="1"/>
  <c r="AA10" i="56" s="1"/>
  <c r="AB10" i="56" s="1"/>
  <c r="AC10" i="56" s="1"/>
  <c r="AD10" i="56" s="1"/>
  <c r="AE10" i="56" s="1"/>
  <c r="AF10" i="56" s="1"/>
  <c r="AG10" i="56" s="1"/>
  <c r="AH10" i="56" s="1"/>
  <c r="AI10" i="56" s="1"/>
  <c r="AJ10" i="56" s="1"/>
  <c r="AK10" i="56" s="1"/>
  <c r="AL10" i="56" s="1"/>
  <c r="AM10" i="56" s="1"/>
  <c r="AN10" i="56" s="1"/>
  <c r="AO10" i="56" s="1"/>
  <c r="AP10" i="56" s="1"/>
  <c r="AQ10" i="56" s="1"/>
  <c r="AR10" i="56" s="1"/>
  <c r="AS10" i="56" s="1"/>
  <c r="Q8" i="56"/>
  <c r="R8" i="56" s="1"/>
  <c r="S8" i="56" s="1"/>
  <c r="T8" i="56" s="1"/>
  <c r="U8" i="56" s="1"/>
  <c r="V8" i="56" s="1"/>
  <c r="W8" i="56" s="1"/>
  <c r="X8" i="56" s="1"/>
  <c r="Y8" i="56" s="1"/>
  <c r="Z8" i="56" s="1"/>
  <c r="AA8" i="56" s="1"/>
  <c r="AB8" i="56" s="1"/>
  <c r="AC8" i="56" s="1"/>
  <c r="AD8" i="56" s="1"/>
  <c r="AE8" i="56" s="1"/>
  <c r="AF8" i="56" s="1"/>
  <c r="AG8" i="56" s="1"/>
  <c r="AH8" i="56" s="1"/>
  <c r="AI8" i="56" s="1"/>
  <c r="AJ8" i="56" s="1"/>
  <c r="AK8" i="56" s="1"/>
  <c r="AL8" i="56" s="1"/>
  <c r="AM8" i="56" s="1"/>
  <c r="AN8" i="56" s="1"/>
  <c r="AO8" i="56" s="1"/>
  <c r="AP8" i="56" s="1"/>
  <c r="AQ8" i="56" s="1"/>
  <c r="AR8" i="56" s="1"/>
  <c r="AS8" i="56" s="1"/>
  <c r="O8" i="56"/>
  <c r="P8" i="56" s="1"/>
  <c r="O16" i="56"/>
  <c r="P16" i="56" s="1"/>
  <c r="Q16" i="56" s="1"/>
  <c r="R16" i="56" s="1"/>
  <c r="S16" i="56" s="1"/>
  <c r="T16" i="56" s="1"/>
  <c r="U16" i="56" s="1"/>
  <c r="V16" i="56" s="1"/>
  <c r="W16" i="56" s="1"/>
  <c r="X16" i="56" s="1"/>
  <c r="Y16" i="56" s="1"/>
  <c r="Z16" i="56" s="1"/>
  <c r="AA16" i="56" s="1"/>
  <c r="AB16" i="56" s="1"/>
  <c r="AC16" i="56" s="1"/>
  <c r="AD16" i="56" s="1"/>
  <c r="AE16" i="56" s="1"/>
  <c r="AF16" i="56" s="1"/>
  <c r="AG16" i="56" s="1"/>
  <c r="AH16" i="56" s="1"/>
  <c r="AI16" i="56" s="1"/>
  <c r="AJ16" i="56" s="1"/>
  <c r="AK16" i="56" s="1"/>
  <c r="AL16" i="56" s="1"/>
  <c r="AM16" i="56" s="1"/>
  <c r="AN16" i="56" s="1"/>
  <c r="AO16" i="56" s="1"/>
  <c r="AP16" i="56" s="1"/>
  <c r="AQ16" i="56" s="1"/>
  <c r="AR16" i="56" s="1"/>
  <c r="AS16" i="56" s="1"/>
  <c r="O55" i="56"/>
  <c r="P55" i="56" s="1"/>
  <c r="Q55" i="56" s="1"/>
  <c r="R55" i="56" s="1"/>
  <c r="S55" i="56" s="1"/>
  <c r="T55" i="56" s="1"/>
  <c r="U55" i="56" s="1"/>
  <c r="V55" i="56" s="1"/>
  <c r="W55" i="56" s="1"/>
  <c r="X55" i="56" s="1"/>
  <c r="Y55" i="56" s="1"/>
  <c r="Z55" i="56" s="1"/>
  <c r="AA55" i="56" s="1"/>
  <c r="AB55" i="56" s="1"/>
  <c r="AC55" i="56" s="1"/>
  <c r="AD55" i="56" s="1"/>
  <c r="AE55" i="56" s="1"/>
  <c r="AF55" i="56" s="1"/>
  <c r="AG55" i="56" s="1"/>
  <c r="AH55" i="56" s="1"/>
  <c r="AI55" i="56" s="1"/>
  <c r="AJ55" i="56" s="1"/>
  <c r="AK55" i="56" s="1"/>
  <c r="AL55" i="56" s="1"/>
  <c r="AM55" i="56" s="1"/>
  <c r="AN55" i="56" s="1"/>
  <c r="AO55" i="56" s="1"/>
  <c r="AP55" i="56" s="1"/>
  <c r="AQ55" i="56" s="1"/>
  <c r="AR55" i="56" s="1"/>
  <c r="AS55" i="56" s="1"/>
  <c r="Q34" i="56"/>
  <c r="R34" i="56" s="1"/>
  <c r="S34" i="56" s="1"/>
  <c r="T34" i="56" s="1"/>
  <c r="U34" i="56" s="1"/>
  <c r="V34" i="56" s="1"/>
  <c r="W34" i="56" s="1"/>
  <c r="X34" i="56" s="1"/>
  <c r="Y34" i="56" s="1"/>
  <c r="Z34" i="56" s="1"/>
  <c r="AA34" i="56" s="1"/>
  <c r="AB34" i="56" s="1"/>
  <c r="AC34" i="56" s="1"/>
  <c r="AD34" i="56" s="1"/>
  <c r="AE34" i="56" s="1"/>
  <c r="AF34" i="56" s="1"/>
  <c r="AG34" i="56" s="1"/>
  <c r="AH34" i="56" s="1"/>
  <c r="AI34" i="56" s="1"/>
  <c r="AJ34" i="56" s="1"/>
  <c r="AK34" i="56" s="1"/>
  <c r="AL34" i="56" s="1"/>
  <c r="AM34" i="56" s="1"/>
  <c r="AN34" i="56" s="1"/>
  <c r="AO34" i="56" s="1"/>
  <c r="AP34" i="56" s="1"/>
  <c r="AQ34" i="56" s="1"/>
  <c r="AR34" i="56" s="1"/>
  <c r="AS34" i="56" s="1"/>
  <c r="O34" i="56"/>
  <c r="P34" i="56" s="1"/>
  <c r="Q65" i="56"/>
  <c r="R65" i="56" s="1"/>
  <c r="S65" i="56" s="1"/>
  <c r="T65" i="56" s="1"/>
  <c r="U65" i="56" s="1"/>
  <c r="V65" i="56" s="1"/>
  <c r="W65" i="56" s="1"/>
  <c r="X65" i="56" s="1"/>
  <c r="Y65" i="56" s="1"/>
  <c r="Z65" i="56" s="1"/>
  <c r="AA65" i="56" s="1"/>
  <c r="AB65" i="56" s="1"/>
  <c r="AC65" i="56" s="1"/>
  <c r="AD65" i="56" s="1"/>
  <c r="AE65" i="56" s="1"/>
  <c r="AF65" i="56" s="1"/>
  <c r="AG65" i="56" s="1"/>
  <c r="AH65" i="56" s="1"/>
  <c r="AI65" i="56" s="1"/>
  <c r="AJ65" i="56" s="1"/>
  <c r="AK65" i="56" s="1"/>
  <c r="AL65" i="56" s="1"/>
  <c r="AM65" i="56" s="1"/>
  <c r="AN65" i="56" s="1"/>
  <c r="AO65" i="56" s="1"/>
  <c r="AP65" i="56" s="1"/>
  <c r="AQ65" i="56" s="1"/>
  <c r="AR65" i="56" s="1"/>
  <c r="AS65" i="56" s="1"/>
  <c r="O65" i="56"/>
  <c r="P65" i="56" s="1"/>
  <c r="O7" i="56"/>
  <c r="P7" i="56" s="1"/>
  <c r="Q7" i="56" s="1"/>
  <c r="R7" i="56" s="1"/>
  <c r="S7" i="56" s="1"/>
  <c r="T7" i="56" s="1"/>
  <c r="U7" i="56" s="1"/>
  <c r="V7" i="56" s="1"/>
  <c r="W7" i="56" s="1"/>
  <c r="X7" i="56" s="1"/>
  <c r="Y7" i="56" s="1"/>
  <c r="Z7" i="56" s="1"/>
  <c r="AA7" i="56" s="1"/>
  <c r="AB7" i="56" s="1"/>
  <c r="AC7" i="56" s="1"/>
  <c r="AD7" i="56" s="1"/>
  <c r="AE7" i="56" s="1"/>
  <c r="AF7" i="56" s="1"/>
  <c r="AG7" i="56" s="1"/>
  <c r="AH7" i="56" s="1"/>
  <c r="AI7" i="56" s="1"/>
  <c r="AJ7" i="56" s="1"/>
  <c r="AK7" i="56" s="1"/>
  <c r="AL7" i="56" s="1"/>
  <c r="AM7" i="56" s="1"/>
  <c r="AN7" i="56" s="1"/>
  <c r="AO7" i="56" s="1"/>
  <c r="AP7" i="56" s="1"/>
  <c r="AQ7" i="56" s="1"/>
  <c r="AR7" i="56" s="1"/>
  <c r="AS7" i="56" s="1"/>
  <c r="C49" i="42"/>
  <c r="C175" i="42"/>
  <c r="C261" i="42"/>
  <c r="C185" i="43"/>
  <c r="O37" i="56"/>
  <c r="P37" i="56" s="1"/>
  <c r="Q37" i="56" s="1"/>
  <c r="R37" i="56" s="1"/>
  <c r="S37" i="56" s="1"/>
  <c r="T37" i="56" s="1"/>
  <c r="U37" i="56" s="1"/>
  <c r="V37" i="56" s="1"/>
  <c r="W37" i="56" s="1"/>
  <c r="X37" i="56" s="1"/>
  <c r="Y37" i="56" s="1"/>
  <c r="Z37" i="56" s="1"/>
  <c r="AA37" i="56" s="1"/>
  <c r="AB37" i="56" s="1"/>
  <c r="AC37" i="56" s="1"/>
  <c r="AD37" i="56" s="1"/>
  <c r="AE37" i="56" s="1"/>
  <c r="AF37" i="56" s="1"/>
  <c r="AG37" i="56" s="1"/>
  <c r="AH37" i="56" s="1"/>
  <c r="AI37" i="56" s="1"/>
  <c r="AJ37" i="56" s="1"/>
  <c r="AK37" i="56" s="1"/>
  <c r="AL37" i="56" s="1"/>
  <c r="AM37" i="56" s="1"/>
  <c r="AN37" i="56" s="1"/>
  <c r="AO37" i="56" s="1"/>
  <c r="AP37" i="56" s="1"/>
  <c r="AQ37" i="56" s="1"/>
  <c r="AR37" i="56" s="1"/>
  <c r="AS37" i="56" s="1"/>
  <c r="Q23" i="56"/>
  <c r="R23" i="56" s="1"/>
  <c r="S23" i="56" s="1"/>
  <c r="T23" i="56" s="1"/>
  <c r="U23" i="56" s="1"/>
  <c r="V23" i="56" s="1"/>
  <c r="W23" i="56" s="1"/>
  <c r="X23" i="56" s="1"/>
  <c r="Y23" i="56" s="1"/>
  <c r="Z23" i="56" s="1"/>
  <c r="AA23" i="56" s="1"/>
  <c r="AB23" i="56" s="1"/>
  <c r="AC23" i="56" s="1"/>
  <c r="AD23" i="56" s="1"/>
  <c r="AE23" i="56" s="1"/>
  <c r="AF23" i="56" s="1"/>
  <c r="AG23" i="56" s="1"/>
  <c r="AH23" i="56" s="1"/>
  <c r="AI23" i="56" s="1"/>
  <c r="AJ23" i="56" s="1"/>
  <c r="AK23" i="56" s="1"/>
  <c r="AL23" i="56" s="1"/>
  <c r="AM23" i="56" s="1"/>
  <c r="AN23" i="56" s="1"/>
  <c r="AO23" i="56" s="1"/>
  <c r="AP23" i="56" s="1"/>
  <c r="AQ23" i="56" s="1"/>
  <c r="AR23" i="56" s="1"/>
  <c r="AS23" i="56" s="1"/>
  <c r="O23" i="56"/>
  <c r="P23" i="56" s="1"/>
  <c r="Q27" i="56"/>
  <c r="R27" i="56" s="1"/>
  <c r="S27" i="56" s="1"/>
  <c r="T27" i="56" s="1"/>
  <c r="U27" i="56" s="1"/>
  <c r="V27" i="56" s="1"/>
  <c r="W27" i="56" s="1"/>
  <c r="X27" i="56" s="1"/>
  <c r="Y27" i="56" s="1"/>
  <c r="Z27" i="56" s="1"/>
  <c r="AA27" i="56" s="1"/>
  <c r="AB27" i="56" s="1"/>
  <c r="AC27" i="56" s="1"/>
  <c r="AD27" i="56" s="1"/>
  <c r="AE27" i="56" s="1"/>
  <c r="AF27" i="56" s="1"/>
  <c r="AG27" i="56" s="1"/>
  <c r="AH27" i="56" s="1"/>
  <c r="AI27" i="56" s="1"/>
  <c r="AJ27" i="56" s="1"/>
  <c r="AK27" i="56" s="1"/>
  <c r="AL27" i="56" s="1"/>
  <c r="AM27" i="56" s="1"/>
  <c r="AN27" i="56" s="1"/>
  <c r="AO27" i="56" s="1"/>
  <c r="AP27" i="56" s="1"/>
  <c r="AQ27" i="56" s="1"/>
  <c r="AR27" i="56" s="1"/>
  <c r="AS27" i="56" s="1"/>
  <c r="O27" i="56"/>
  <c r="P27" i="56" s="1"/>
  <c r="O57" i="56"/>
  <c r="P57" i="56" s="1"/>
  <c r="Q57" i="56" s="1"/>
  <c r="R57" i="56" s="1"/>
  <c r="S57" i="56" s="1"/>
  <c r="T57" i="56" s="1"/>
  <c r="U57" i="56" s="1"/>
  <c r="V57" i="56" s="1"/>
  <c r="W57" i="56" s="1"/>
  <c r="X57" i="56" s="1"/>
  <c r="Y57" i="56" s="1"/>
  <c r="Z57" i="56" s="1"/>
  <c r="AA57" i="56" s="1"/>
  <c r="AB57" i="56" s="1"/>
  <c r="AC57" i="56" s="1"/>
  <c r="AD57" i="56" s="1"/>
  <c r="AE57" i="56" s="1"/>
  <c r="AF57" i="56" s="1"/>
  <c r="AG57" i="56" s="1"/>
  <c r="AH57" i="56" s="1"/>
  <c r="AI57" i="56" s="1"/>
  <c r="AJ57" i="56" s="1"/>
  <c r="AK57" i="56" s="1"/>
  <c r="AL57" i="56" s="1"/>
  <c r="AM57" i="56" s="1"/>
  <c r="AN57" i="56" s="1"/>
  <c r="AO57" i="56" s="1"/>
  <c r="AP57" i="56" s="1"/>
  <c r="AQ57" i="56" s="1"/>
  <c r="AR57" i="56" s="1"/>
  <c r="AS57" i="56" s="1"/>
  <c r="Q64" i="56"/>
  <c r="R64" i="56" s="1"/>
  <c r="S64" i="56" s="1"/>
  <c r="T64" i="56" s="1"/>
  <c r="U64" i="56" s="1"/>
  <c r="V64" i="56" s="1"/>
  <c r="W64" i="56" s="1"/>
  <c r="X64" i="56" s="1"/>
  <c r="Y64" i="56" s="1"/>
  <c r="Z64" i="56" s="1"/>
  <c r="AA64" i="56" s="1"/>
  <c r="AB64" i="56" s="1"/>
  <c r="AC64" i="56" s="1"/>
  <c r="AD64" i="56" s="1"/>
  <c r="AE64" i="56" s="1"/>
  <c r="AF64" i="56" s="1"/>
  <c r="AG64" i="56" s="1"/>
  <c r="AH64" i="56" s="1"/>
  <c r="AI64" i="56" s="1"/>
  <c r="AJ64" i="56" s="1"/>
  <c r="AK64" i="56" s="1"/>
  <c r="AL64" i="56" s="1"/>
  <c r="AM64" i="56" s="1"/>
  <c r="AN64" i="56" s="1"/>
  <c r="AO64" i="56" s="1"/>
  <c r="AP64" i="56" s="1"/>
  <c r="AQ64" i="56" s="1"/>
  <c r="AR64" i="56" s="1"/>
  <c r="AS64" i="56" s="1"/>
  <c r="O64" i="56"/>
  <c r="P64" i="56" s="1"/>
  <c r="O29" i="56"/>
  <c r="P29" i="56" s="1"/>
  <c r="Q29" i="56" s="1"/>
  <c r="R29" i="56" s="1"/>
  <c r="S29" i="56" s="1"/>
  <c r="T29" i="56" s="1"/>
  <c r="U29" i="56" s="1"/>
  <c r="V29" i="56" s="1"/>
  <c r="W29" i="56" s="1"/>
  <c r="X29" i="56" s="1"/>
  <c r="Y29" i="56" s="1"/>
  <c r="Z29" i="56" s="1"/>
  <c r="AA29" i="56" s="1"/>
  <c r="AB29" i="56" s="1"/>
  <c r="AC29" i="56" s="1"/>
  <c r="AD29" i="56" s="1"/>
  <c r="AE29" i="56" s="1"/>
  <c r="AF29" i="56" s="1"/>
  <c r="AG29" i="56" s="1"/>
  <c r="AH29" i="56" s="1"/>
  <c r="AI29" i="56" s="1"/>
  <c r="AJ29" i="56" s="1"/>
  <c r="AK29" i="56" s="1"/>
  <c r="AL29" i="56" s="1"/>
  <c r="AM29" i="56" s="1"/>
  <c r="AN29" i="56" s="1"/>
  <c r="AO29" i="56" s="1"/>
  <c r="AP29" i="56" s="1"/>
  <c r="AQ29" i="56" s="1"/>
  <c r="AR29" i="56" s="1"/>
  <c r="AS29" i="56" s="1"/>
  <c r="O66" i="56"/>
  <c r="P66" i="56" s="1"/>
  <c r="Q66" i="56" s="1"/>
  <c r="R66" i="56" s="1"/>
  <c r="S66" i="56" s="1"/>
  <c r="T66" i="56" s="1"/>
  <c r="U66" i="56" s="1"/>
  <c r="V66" i="56" s="1"/>
  <c r="W66" i="56" s="1"/>
  <c r="X66" i="56" s="1"/>
  <c r="Y66" i="56" s="1"/>
  <c r="Z66" i="56" s="1"/>
  <c r="AA66" i="56" s="1"/>
  <c r="AB66" i="56" s="1"/>
  <c r="AC66" i="56" s="1"/>
  <c r="AD66" i="56" s="1"/>
  <c r="AE66" i="56" s="1"/>
  <c r="AF66" i="56" s="1"/>
  <c r="AG66" i="56" s="1"/>
  <c r="AH66" i="56" s="1"/>
  <c r="AI66" i="56" s="1"/>
  <c r="AJ66" i="56" s="1"/>
  <c r="AK66" i="56" s="1"/>
  <c r="AL66" i="56" s="1"/>
  <c r="AM66" i="56" s="1"/>
  <c r="AN66" i="56" s="1"/>
  <c r="AO66" i="56" s="1"/>
  <c r="AP66" i="56" s="1"/>
  <c r="AQ66" i="56" s="1"/>
  <c r="AR66" i="56" s="1"/>
  <c r="AS66" i="56" s="1"/>
  <c r="Q41" i="56"/>
  <c r="R41" i="56" s="1"/>
  <c r="S41" i="56" s="1"/>
  <c r="T41" i="56" s="1"/>
  <c r="U41" i="56" s="1"/>
  <c r="V41" i="56" s="1"/>
  <c r="W41" i="56" s="1"/>
  <c r="X41" i="56" s="1"/>
  <c r="Y41" i="56" s="1"/>
  <c r="Z41" i="56" s="1"/>
  <c r="AA41" i="56" s="1"/>
  <c r="AB41" i="56" s="1"/>
  <c r="AC41" i="56" s="1"/>
  <c r="AD41" i="56" s="1"/>
  <c r="AE41" i="56" s="1"/>
  <c r="AF41" i="56" s="1"/>
  <c r="AG41" i="56" s="1"/>
  <c r="AH41" i="56" s="1"/>
  <c r="AI41" i="56" s="1"/>
  <c r="AJ41" i="56" s="1"/>
  <c r="AK41" i="56" s="1"/>
  <c r="AL41" i="56" s="1"/>
  <c r="AM41" i="56" s="1"/>
  <c r="AN41" i="56" s="1"/>
  <c r="AO41" i="56" s="1"/>
  <c r="AP41" i="56" s="1"/>
  <c r="AQ41" i="56" s="1"/>
  <c r="AR41" i="56" s="1"/>
  <c r="AS41" i="56" s="1"/>
  <c r="O41" i="56"/>
  <c r="P41" i="56" s="1"/>
  <c r="Q62" i="56"/>
  <c r="R62" i="56" s="1"/>
  <c r="S62" i="56" s="1"/>
  <c r="T62" i="56" s="1"/>
  <c r="U62" i="56" s="1"/>
  <c r="V62" i="56" s="1"/>
  <c r="W62" i="56" s="1"/>
  <c r="X62" i="56" s="1"/>
  <c r="Y62" i="56" s="1"/>
  <c r="Z62" i="56" s="1"/>
  <c r="AA62" i="56" s="1"/>
  <c r="AB62" i="56" s="1"/>
  <c r="AC62" i="56" s="1"/>
  <c r="AD62" i="56" s="1"/>
  <c r="AE62" i="56" s="1"/>
  <c r="AF62" i="56" s="1"/>
  <c r="AG62" i="56" s="1"/>
  <c r="AH62" i="56" s="1"/>
  <c r="AI62" i="56" s="1"/>
  <c r="AJ62" i="56" s="1"/>
  <c r="AK62" i="56" s="1"/>
  <c r="AL62" i="56" s="1"/>
  <c r="AM62" i="56" s="1"/>
  <c r="AN62" i="56" s="1"/>
  <c r="AO62" i="56" s="1"/>
  <c r="AP62" i="56" s="1"/>
  <c r="AQ62" i="56" s="1"/>
  <c r="AR62" i="56" s="1"/>
  <c r="AS62" i="56" s="1"/>
  <c r="O62" i="56"/>
  <c r="P62" i="56" s="1"/>
  <c r="O18" i="56"/>
  <c r="P18" i="56" s="1"/>
  <c r="Q18" i="56" s="1"/>
  <c r="R18" i="56" s="1"/>
  <c r="S18" i="56" s="1"/>
  <c r="T18" i="56" s="1"/>
  <c r="U18" i="56" s="1"/>
  <c r="V18" i="56" s="1"/>
  <c r="W18" i="56" s="1"/>
  <c r="X18" i="56" s="1"/>
  <c r="Y18" i="56" s="1"/>
  <c r="Z18" i="56" s="1"/>
  <c r="AA18" i="56" s="1"/>
  <c r="AB18" i="56" s="1"/>
  <c r="AC18" i="56" s="1"/>
  <c r="AD18" i="56" s="1"/>
  <c r="AE18" i="56" s="1"/>
  <c r="AF18" i="56" s="1"/>
  <c r="AG18" i="56" s="1"/>
  <c r="AH18" i="56" s="1"/>
  <c r="AI18" i="56" s="1"/>
  <c r="AJ18" i="56" s="1"/>
  <c r="AK18" i="56" s="1"/>
  <c r="AL18" i="56" s="1"/>
  <c r="AM18" i="56" s="1"/>
  <c r="AN18" i="56" s="1"/>
  <c r="AO18" i="56" s="1"/>
  <c r="AP18" i="56" s="1"/>
  <c r="AQ18" i="56" s="1"/>
  <c r="AR18" i="56" s="1"/>
  <c r="AS18" i="56" s="1"/>
  <c r="Q50" i="56"/>
  <c r="R50" i="56" s="1"/>
  <c r="S50" i="56" s="1"/>
  <c r="T50" i="56" s="1"/>
  <c r="U50" i="56" s="1"/>
  <c r="V50" i="56" s="1"/>
  <c r="W50" i="56" s="1"/>
  <c r="X50" i="56" s="1"/>
  <c r="Y50" i="56" s="1"/>
  <c r="Z50" i="56" s="1"/>
  <c r="AA50" i="56" s="1"/>
  <c r="AB50" i="56" s="1"/>
  <c r="AC50" i="56" s="1"/>
  <c r="AD50" i="56" s="1"/>
  <c r="AE50" i="56" s="1"/>
  <c r="AF50" i="56" s="1"/>
  <c r="AG50" i="56" s="1"/>
  <c r="AH50" i="56" s="1"/>
  <c r="AI50" i="56" s="1"/>
  <c r="AJ50" i="56" s="1"/>
  <c r="AK50" i="56" s="1"/>
  <c r="AL50" i="56" s="1"/>
  <c r="AM50" i="56" s="1"/>
  <c r="AN50" i="56" s="1"/>
  <c r="AO50" i="56" s="1"/>
  <c r="AP50" i="56" s="1"/>
  <c r="AQ50" i="56" s="1"/>
  <c r="AR50" i="56" s="1"/>
  <c r="AS50" i="56" s="1"/>
  <c r="O50" i="56"/>
  <c r="P50" i="56" s="1"/>
  <c r="O9" i="56"/>
  <c r="P9" i="56" s="1"/>
  <c r="Q9" i="56" s="1"/>
  <c r="R9" i="56" s="1"/>
  <c r="S9" i="56" s="1"/>
  <c r="T9" i="56" s="1"/>
  <c r="U9" i="56" s="1"/>
  <c r="V9" i="56" s="1"/>
  <c r="W9" i="56" s="1"/>
  <c r="X9" i="56" s="1"/>
  <c r="Y9" i="56" s="1"/>
  <c r="Z9" i="56" s="1"/>
  <c r="AA9" i="56" s="1"/>
  <c r="AB9" i="56" s="1"/>
  <c r="AC9" i="56" s="1"/>
  <c r="AD9" i="56" s="1"/>
  <c r="AE9" i="56" s="1"/>
  <c r="AF9" i="56" s="1"/>
  <c r="AG9" i="56" s="1"/>
  <c r="AH9" i="56" s="1"/>
  <c r="AI9" i="56" s="1"/>
  <c r="AJ9" i="56" s="1"/>
  <c r="AK9" i="56" s="1"/>
  <c r="AL9" i="56" s="1"/>
  <c r="AM9" i="56" s="1"/>
  <c r="AN9" i="56" s="1"/>
  <c r="AO9" i="56" s="1"/>
  <c r="AP9" i="56" s="1"/>
  <c r="AQ9" i="56" s="1"/>
  <c r="AR9" i="56" s="1"/>
  <c r="AS9" i="56" s="1"/>
  <c r="O39" i="56"/>
  <c r="P39" i="56" s="1"/>
  <c r="Q39" i="56" s="1"/>
  <c r="R39" i="56" s="1"/>
  <c r="S39" i="56" s="1"/>
  <c r="T39" i="56" s="1"/>
  <c r="U39" i="56" s="1"/>
  <c r="V39" i="56" s="1"/>
  <c r="W39" i="56" s="1"/>
  <c r="X39" i="56" s="1"/>
  <c r="Y39" i="56" s="1"/>
  <c r="Z39" i="56" s="1"/>
  <c r="AA39" i="56" s="1"/>
  <c r="AB39" i="56" s="1"/>
  <c r="AC39" i="56" s="1"/>
  <c r="AD39" i="56" s="1"/>
  <c r="AE39" i="56" s="1"/>
  <c r="AF39" i="56" s="1"/>
  <c r="AG39" i="56" s="1"/>
  <c r="AH39" i="56" s="1"/>
  <c r="AI39" i="56" s="1"/>
  <c r="AJ39" i="56" s="1"/>
  <c r="AK39" i="56" s="1"/>
  <c r="AL39" i="56" s="1"/>
  <c r="AM39" i="56" s="1"/>
  <c r="AN39" i="56" s="1"/>
  <c r="AO39" i="56" s="1"/>
  <c r="AP39" i="56" s="1"/>
  <c r="AQ39" i="56" s="1"/>
  <c r="AR39" i="56" s="1"/>
  <c r="AS39" i="56" s="1"/>
  <c r="Q38" i="56"/>
  <c r="R38" i="56" s="1"/>
  <c r="S38" i="56" s="1"/>
  <c r="T38" i="56" s="1"/>
  <c r="U38" i="56" s="1"/>
  <c r="V38" i="56" s="1"/>
  <c r="W38" i="56" s="1"/>
  <c r="X38" i="56" s="1"/>
  <c r="Y38" i="56" s="1"/>
  <c r="Z38" i="56" s="1"/>
  <c r="AA38" i="56" s="1"/>
  <c r="AB38" i="56" s="1"/>
  <c r="AC38" i="56" s="1"/>
  <c r="AD38" i="56" s="1"/>
  <c r="AE38" i="56" s="1"/>
  <c r="AF38" i="56" s="1"/>
  <c r="AG38" i="56" s="1"/>
  <c r="AH38" i="56" s="1"/>
  <c r="AI38" i="56" s="1"/>
  <c r="AJ38" i="56" s="1"/>
  <c r="AK38" i="56" s="1"/>
  <c r="AL38" i="56" s="1"/>
  <c r="AM38" i="56" s="1"/>
  <c r="AN38" i="56" s="1"/>
  <c r="AO38" i="56" s="1"/>
  <c r="AP38" i="56" s="1"/>
  <c r="AQ38" i="56" s="1"/>
  <c r="AR38" i="56" s="1"/>
  <c r="AS38" i="56" s="1"/>
  <c r="O38" i="56"/>
  <c r="P38" i="56" s="1"/>
  <c r="Q52" i="56"/>
  <c r="R52" i="56" s="1"/>
  <c r="S52" i="56" s="1"/>
  <c r="T52" i="56" s="1"/>
  <c r="U52" i="56" s="1"/>
  <c r="V52" i="56" s="1"/>
  <c r="W52" i="56" s="1"/>
  <c r="X52" i="56" s="1"/>
  <c r="Y52" i="56" s="1"/>
  <c r="Z52" i="56" s="1"/>
  <c r="AA52" i="56" s="1"/>
  <c r="AB52" i="56" s="1"/>
  <c r="AC52" i="56" s="1"/>
  <c r="AD52" i="56" s="1"/>
  <c r="AE52" i="56" s="1"/>
  <c r="AF52" i="56" s="1"/>
  <c r="AG52" i="56" s="1"/>
  <c r="AH52" i="56" s="1"/>
  <c r="AI52" i="56" s="1"/>
  <c r="AJ52" i="56" s="1"/>
  <c r="AK52" i="56" s="1"/>
  <c r="AL52" i="56" s="1"/>
  <c r="AM52" i="56" s="1"/>
  <c r="AN52" i="56" s="1"/>
  <c r="AO52" i="56" s="1"/>
  <c r="AP52" i="56" s="1"/>
  <c r="AQ52" i="56" s="1"/>
  <c r="AR52" i="56" s="1"/>
  <c r="AS52" i="56" s="1"/>
  <c r="O52" i="56"/>
  <c r="P52" i="56" s="1"/>
  <c r="D6" i="88"/>
  <c r="G74" i="41"/>
  <c r="I35" i="49" s="1"/>
  <c r="F74" i="41"/>
  <c r="H35" i="49" s="1"/>
  <c r="H74" i="41"/>
  <c r="J35" i="49" s="1"/>
  <c r="M44" i="46"/>
  <c r="I81" i="49" s="1"/>
  <c r="G13" i="47" s="1"/>
  <c r="S13" i="47" s="1"/>
  <c r="L44" i="46"/>
  <c r="H81" i="49" s="1"/>
  <c r="F13" i="47" s="1"/>
  <c r="R13" i="47" s="1"/>
  <c r="K44" i="46"/>
  <c r="G81" i="49" s="1"/>
  <c r="E13" i="47" s="1"/>
  <c r="Q13" i="47" s="1"/>
  <c r="E74" i="41"/>
  <c r="G35" i="49" s="1"/>
  <c r="D207" i="42" a="1"/>
  <c r="D207" i="42" s="1"/>
  <c r="F206" i="42" a="1"/>
  <c r="F206" i="42" s="1"/>
  <c r="G206" i="42" a="1"/>
  <c r="G206" i="42" s="1"/>
  <c r="E207" i="42"/>
  <c r="H206" i="42" a="1"/>
  <c r="H206" i="42" s="1"/>
  <c r="F207" i="42" a="1"/>
  <c r="F207" i="42" s="1"/>
  <c r="F48" i="47"/>
  <c r="H99" i="44"/>
  <c r="N45" i="46"/>
  <c r="J82" i="49" s="1"/>
  <c r="H14" i="47" s="1"/>
  <c r="T14" i="47" s="1"/>
  <c r="N44" i="46"/>
  <c r="O44" i="46" s="1"/>
  <c r="G184" i="43"/>
  <c r="H184" i="43" s="1"/>
  <c r="H162" i="43"/>
  <c r="H164" i="43"/>
  <c r="H163" i="43"/>
  <c r="H165" i="43"/>
  <c r="D139" i="44"/>
  <c r="H210" i="44"/>
  <c r="G64" i="49"/>
  <c r="E21" i="47" s="1"/>
  <c r="Q21" i="47" s="1"/>
  <c r="H78" i="44"/>
  <c r="G291" i="42"/>
  <c r="G298" i="42" s="1"/>
  <c r="F240" i="42"/>
  <c r="F55" i="47" s="1"/>
  <c r="R55" i="47" s="1"/>
  <c r="G75" i="43"/>
  <c r="G116" i="43"/>
  <c r="H116" i="43"/>
  <c r="H75" i="43"/>
  <c r="G76" i="43"/>
  <c r="G117" i="43"/>
  <c r="H76" i="43"/>
  <c r="H117" i="43"/>
  <c r="E22" i="47"/>
  <c r="Q22" i="47" s="1"/>
  <c r="E179" i="42"/>
  <c r="G239" i="42"/>
  <c r="G54" i="47" s="1"/>
  <c r="G211" i="44"/>
  <c r="G139" i="44" s="1"/>
  <c r="G78" i="47" s="1"/>
  <c r="H239" i="42"/>
  <c r="H54" i="47" s="1"/>
  <c r="D14" i="37"/>
  <c r="E31" i="44"/>
  <c r="K179" i="46" s="1"/>
  <c r="K181" i="46" s="1"/>
  <c r="F31" i="44"/>
  <c r="L179" i="46" s="1"/>
  <c r="L181" i="46" s="1"/>
  <c r="F124" i="40"/>
  <c r="G42" i="58"/>
  <c r="G70" i="58"/>
  <c r="G46" i="58"/>
  <c r="J70" i="58"/>
  <c r="J46" i="58"/>
  <c r="J42" i="58"/>
  <c r="I46" i="58"/>
  <c r="I70" i="58"/>
  <c r="I42" i="58"/>
  <c r="H70" i="58"/>
  <c r="H46" i="58"/>
  <c r="H42" i="58"/>
  <c r="Q69" i="56"/>
  <c r="F42" i="58"/>
  <c r="F66" i="58"/>
  <c r="H58" i="58"/>
  <c r="H82" i="58"/>
  <c r="H34" i="58"/>
  <c r="J82" i="58"/>
  <c r="J58" i="58"/>
  <c r="I82" i="58"/>
  <c r="I58" i="58"/>
  <c r="G56" i="58"/>
  <c r="G55" i="58"/>
  <c r="F260" i="42"/>
  <c r="F265" i="42" s="1"/>
  <c r="D260" i="42"/>
  <c r="E98" i="47"/>
  <c r="E5" i="76"/>
  <c r="E6" i="76" s="1"/>
  <c r="D85" i="76"/>
  <c r="D84" i="76"/>
  <c r="D86" i="76" s="1"/>
  <c r="E84" i="76"/>
  <c r="E85" i="76"/>
  <c r="D81" i="76"/>
  <c r="D83" i="76" s="1"/>
  <c r="D82" i="76"/>
  <c r="E81" i="76"/>
  <c r="E82" i="76"/>
  <c r="D79" i="76"/>
  <c r="D78" i="76"/>
  <c r="D80" i="76" s="1"/>
  <c r="E78" i="76"/>
  <c r="E79" i="76"/>
  <c r="E76" i="76"/>
  <c r="D76" i="76"/>
  <c r="D75" i="76"/>
  <c r="D77" i="76" s="1"/>
  <c r="D73" i="76"/>
  <c r="E75" i="76"/>
  <c r="E72" i="76"/>
  <c r="E74" i="76" s="1"/>
  <c r="D72" i="76"/>
  <c r="D74" i="76" s="1"/>
  <c r="E73" i="76"/>
  <c r="D70" i="76"/>
  <c r="D69" i="76"/>
  <c r="D71" i="76" s="1"/>
  <c r="E69" i="76"/>
  <c r="E71" i="76" s="1"/>
  <c r="E70" i="76"/>
  <c r="H191" i="42"/>
  <c r="H192" i="42" s="1"/>
  <c r="G192" i="42"/>
  <c r="AC2" i="26"/>
  <c r="R2" i="26" s="1" a="1"/>
  <c r="R2" i="26" s="1"/>
  <c r="F172" i="44"/>
  <c r="J30" i="58"/>
  <c r="J34" i="58"/>
  <c r="G34" i="58"/>
  <c r="W8" i="19"/>
  <c r="Y8" i="19"/>
  <c r="E192" i="42"/>
  <c r="E64" i="47"/>
  <c r="F64" i="47"/>
  <c r="J2" i="75"/>
  <c r="L30" i="76"/>
  <c r="Q30" i="76"/>
  <c r="M30" i="76"/>
  <c r="N30" i="76"/>
  <c r="O30" i="76"/>
  <c r="P30" i="76"/>
  <c r="H25" i="76"/>
  <c r="I25" i="76"/>
  <c r="D111" i="76"/>
  <c r="D112" i="76"/>
  <c r="C111" i="76"/>
  <c r="C112" i="76"/>
  <c r="D108" i="76"/>
  <c r="C109" i="76"/>
  <c r="D106" i="76"/>
  <c r="C108" i="76"/>
  <c r="C106" i="76"/>
  <c r="D105" i="76"/>
  <c r="C105" i="76"/>
  <c r="C103" i="76"/>
  <c r="C102" i="76"/>
  <c r="K85" i="76"/>
  <c r="D103" i="76"/>
  <c r="D102" i="76"/>
  <c r="D104" i="76" s="1"/>
  <c r="I85" i="76"/>
  <c r="J85" i="76"/>
  <c r="G85" i="76"/>
  <c r="H85" i="76"/>
  <c r="F85" i="76"/>
  <c r="K84" i="76"/>
  <c r="C85" i="76"/>
  <c r="I84" i="76"/>
  <c r="J84" i="76"/>
  <c r="G84" i="76"/>
  <c r="H84" i="76"/>
  <c r="H86" i="76" s="1"/>
  <c r="F84" i="76"/>
  <c r="K82" i="76"/>
  <c r="C84" i="76"/>
  <c r="C86" i="76" s="1"/>
  <c r="I82" i="76"/>
  <c r="J82" i="76"/>
  <c r="G82" i="76"/>
  <c r="H82" i="76"/>
  <c r="F82" i="76"/>
  <c r="K81" i="76"/>
  <c r="C82" i="76"/>
  <c r="I81" i="76"/>
  <c r="J81" i="76"/>
  <c r="G81" i="76"/>
  <c r="H81" i="76"/>
  <c r="H83" i="76" s="1"/>
  <c r="F81" i="76"/>
  <c r="K79" i="76"/>
  <c r="C81" i="76"/>
  <c r="C83" i="76" s="1"/>
  <c r="I79" i="76"/>
  <c r="J79" i="76"/>
  <c r="G79" i="76"/>
  <c r="H79" i="76"/>
  <c r="F79" i="76"/>
  <c r="K78" i="76"/>
  <c r="C79" i="76"/>
  <c r="I78" i="76"/>
  <c r="J78" i="76"/>
  <c r="G78" i="76"/>
  <c r="H78" i="76"/>
  <c r="H80" i="76" s="1"/>
  <c r="F78" i="76"/>
  <c r="C78" i="76"/>
  <c r="C80" i="76" s="1"/>
  <c r="J76" i="76"/>
  <c r="K76" i="76"/>
  <c r="H76" i="76"/>
  <c r="I76" i="76"/>
  <c r="F76" i="76"/>
  <c r="G76" i="76"/>
  <c r="C76" i="76"/>
  <c r="J75" i="76"/>
  <c r="K75" i="76"/>
  <c r="H75" i="76"/>
  <c r="H77" i="76" s="1"/>
  <c r="I75" i="76"/>
  <c r="F75" i="76"/>
  <c r="G75" i="76"/>
  <c r="C75" i="76"/>
  <c r="C77" i="76" s="1"/>
  <c r="D99" i="76"/>
  <c r="D101" i="76" s="1"/>
  <c r="Y4" i="77"/>
  <c r="G10" i="18" s="1"/>
  <c r="X4" i="77"/>
  <c r="F10" i="18" s="1"/>
  <c r="F118" i="40"/>
  <c r="F98" i="47"/>
  <c r="C241" i="42"/>
  <c r="D138" i="44"/>
  <c r="C148" i="44"/>
  <c r="G99" i="40"/>
  <c r="H259" i="44"/>
  <c r="H147" i="44" s="1"/>
  <c r="H88" i="47" s="1"/>
  <c r="G259" i="44"/>
  <c r="G147" i="44" s="1"/>
  <c r="G88" i="47" s="1"/>
  <c r="AB7" i="26"/>
  <c r="F148" i="44"/>
  <c r="F91" i="47"/>
  <c r="E239" i="42"/>
  <c r="E54" i="47" s="1"/>
  <c r="C139" i="44"/>
  <c r="E32" i="44"/>
  <c r="K183" i="46" s="1"/>
  <c r="K185" i="46" s="1"/>
  <c r="E86" i="47"/>
  <c r="E84" i="47"/>
  <c r="E79" i="47"/>
  <c r="E78" i="47"/>
  <c r="E77" i="47"/>
  <c r="E88" i="47"/>
  <c r="E91" i="47"/>
  <c r="E85" i="47"/>
  <c r="C239" i="42"/>
  <c r="D239" i="42"/>
  <c r="H211" i="44"/>
  <c r="H139" i="44" s="1"/>
  <c r="H78" i="47" s="1"/>
  <c r="F22" i="47"/>
  <c r="R22" i="47" s="1"/>
  <c r="F173" i="44"/>
  <c r="F47" i="47"/>
  <c r="P42" i="4"/>
  <c r="R2" i="4" s="1" a="1"/>
  <c r="E42" i="4"/>
  <c r="S2" i="4"/>
  <c r="E70" i="42"/>
  <c r="G27" i="49" s="1"/>
  <c r="C147" i="44"/>
  <c r="H265" i="42"/>
  <c r="H238" i="42" s="1"/>
  <c r="C238" i="42"/>
  <c r="G265" i="42"/>
  <c r="G238" i="42" s="1"/>
  <c r="D238" i="42"/>
  <c r="F241" i="42"/>
  <c r="E30" i="58"/>
  <c r="E18" i="58"/>
  <c r="E34" i="58"/>
  <c r="E10" i="58"/>
  <c r="E22" i="58"/>
  <c r="J10" i="58"/>
  <c r="J22" i="58"/>
  <c r="I22" i="58"/>
  <c r="I10" i="58"/>
  <c r="H10" i="58"/>
  <c r="H22" i="58"/>
  <c r="G22" i="58"/>
  <c r="G10" i="58"/>
  <c r="F6" i="58"/>
  <c r="F18" i="58"/>
  <c r="F10" i="58"/>
  <c r="F22" i="58"/>
  <c r="F239" i="42"/>
  <c r="E125" i="41"/>
  <c r="E124" i="40"/>
  <c r="R71" i="56"/>
  <c r="D125" i="41"/>
  <c r="D124" i="40"/>
  <c r="Q68" i="56"/>
  <c r="R68" i="56" s="1"/>
  <c r="S68" i="56" s="1"/>
  <c r="T68" i="56" s="1"/>
  <c r="U68" i="56" s="1"/>
  <c r="V68" i="56" s="1"/>
  <c r="W68" i="56" s="1"/>
  <c r="X68" i="56" s="1"/>
  <c r="Y68" i="56" s="1"/>
  <c r="Z68" i="56" s="1"/>
  <c r="AA68" i="56" s="1"/>
  <c r="AB68" i="56" s="1"/>
  <c r="AC68" i="56" s="1"/>
  <c r="AD68" i="56" s="1"/>
  <c r="AE68" i="56" s="1"/>
  <c r="AF68" i="56" s="1"/>
  <c r="AG68" i="56" s="1"/>
  <c r="AH68" i="56" s="1"/>
  <c r="AI68" i="56" s="1"/>
  <c r="AJ68" i="56" s="1"/>
  <c r="AK68" i="56" s="1"/>
  <c r="AL68" i="56" s="1"/>
  <c r="AM68" i="56" s="1"/>
  <c r="AN68" i="56" s="1"/>
  <c r="AO68" i="56" s="1"/>
  <c r="AP68" i="56" s="1"/>
  <c r="AQ68" i="56" s="1"/>
  <c r="AR68" i="56" s="1"/>
  <c r="AS68" i="56" s="1"/>
  <c r="T73" i="56"/>
  <c r="U73" i="56" s="1"/>
  <c r="V73" i="56" s="1"/>
  <c r="W73" i="56" s="1"/>
  <c r="X73" i="56" s="1"/>
  <c r="Y73" i="56" s="1"/>
  <c r="Z73" i="56" s="1"/>
  <c r="AA73" i="56" s="1"/>
  <c r="AB73" i="56" s="1"/>
  <c r="AC73" i="56" s="1"/>
  <c r="AD73" i="56" s="1"/>
  <c r="AE73" i="56" s="1"/>
  <c r="AF73" i="56" s="1"/>
  <c r="AG73" i="56" s="1"/>
  <c r="AH73" i="56" s="1"/>
  <c r="AI73" i="56" s="1"/>
  <c r="AJ73" i="56" s="1"/>
  <c r="AK73" i="56" s="1"/>
  <c r="AL73" i="56" s="1"/>
  <c r="AM73" i="56" s="1"/>
  <c r="AN73" i="56" s="1"/>
  <c r="AO73" i="56" s="1"/>
  <c r="AP73" i="56" s="1"/>
  <c r="AQ73" i="56" s="1"/>
  <c r="AR73" i="56" s="1"/>
  <c r="AS73" i="56" s="1"/>
  <c r="H124" i="40"/>
  <c r="H125" i="41"/>
  <c r="S72" i="56"/>
  <c r="T72" i="56" s="1"/>
  <c r="U72" i="56" s="1"/>
  <c r="V72" i="56" s="1"/>
  <c r="W72" i="56" s="1"/>
  <c r="X72" i="56" s="1"/>
  <c r="Y72" i="56" s="1"/>
  <c r="Z72" i="56" s="1"/>
  <c r="AA72" i="56" s="1"/>
  <c r="AB72" i="56" s="1"/>
  <c r="AC72" i="56" s="1"/>
  <c r="AD72" i="56" s="1"/>
  <c r="AE72" i="56" s="1"/>
  <c r="AF72" i="56" s="1"/>
  <c r="AG72" i="56" s="1"/>
  <c r="AH72" i="56" s="1"/>
  <c r="AI72" i="56" s="1"/>
  <c r="AJ72" i="56" s="1"/>
  <c r="AK72" i="56" s="1"/>
  <c r="AL72" i="56" s="1"/>
  <c r="AM72" i="56" s="1"/>
  <c r="AN72" i="56" s="1"/>
  <c r="AO72" i="56" s="1"/>
  <c r="AP72" i="56" s="1"/>
  <c r="AQ72" i="56" s="1"/>
  <c r="AR72" i="56" s="1"/>
  <c r="AS72" i="56" s="1"/>
  <c r="G124" i="40"/>
  <c r="G125" i="41"/>
  <c r="Q70" i="56"/>
  <c r="C125" i="41"/>
  <c r="C123" i="41" s="1"/>
  <c r="C124" i="40"/>
  <c r="E265" i="42"/>
  <c r="E238" i="42" s="1"/>
  <c r="E53" i="47" s="1"/>
  <c r="E185" i="43"/>
  <c r="E144" i="43" s="1"/>
  <c r="E63" i="47" s="1"/>
  <c r="Q63" i="47" s="1"/>
  <c r="E113" i="40"/>
  <c r="E115" i="40" s="1"/>
  <c r="M8" i="15"/>
  <c r="Q3" i="15" s="1" a="1"/>
  <c r="Q3" i="15" s="1"/>
  <c r="B6" i="17"/>
  <c r="E148" i="44"/>
  <c r="F75" i="40"/>
  <c r="F128" i="43" s="1"/>
  <c r="E63" i="40"/>
  <c r="G75" i="40"/>
  <c r="H75" i="40"/>
  <c r="F116" i="43"/>
  <c r="AX7" i="39"/>
  <c r="BJ7" i="39" s="1"/>
  <c r="BF7" i="39"/>
  <c r="AZ7" i="39"/>
  <c r="BL7" i="39" s="1"/>
  <c r="BA7" i="39"/>
  <c r="BM7" i="39" s="1"/>
  <c r="BG7" i="39"/>
  <c r="E75" i="43"/>
  <c r="B8" i="9"/>
  <c r="E13" i="18"/>
  <c r="F60" i="43"/>
  <c r="F101" i="43"/>
  <c r="E116" i="43"/>
  <c r="F76" i="43"/>
  <c r="E60" i="43"/>
  <c r="E101" i="43"/>
  <c r="D13" i="18"/>
  <c r="E75" i="40"/>
  <c r="E128" i="43" s="1"/>
  <c r="F75" i="43"/>
  <c r="E76" i="43"/>
  <c r="E325" i="42"/>
  <c r="G76" i="49" s="1"/>
  <c r="F325" i="44"/>
  <c r="F322" i="44" s="1"/>
  <c r="F152" i="44" s="1"/>
  <c r="F94" i="47" s="1"/>
  <c r="E46" i="47"/>
  <c r="E172" i="44"/>
  <c r="E173" i="44"/>
  <c r="AY7" i="39"/>
  <c r="BK7" i="39" s="1"/>
  <c r="BE7" i="39"/>
  <c r="BD7" i="39"/>
  <c r="F144" i="43"/>
  <c r="F63" i="47" s="1"/>
  <c r="R63" i="47" s="1"/>
  <c r="N3" i="18"/>
  <c r="O3" i="18" s="1" a="1"/>
  <c r="O3" i="18" s="1"/>
  <c r="L8" i="8"/>
  <c r="P6" i="27" s="1"/>
  <c r="Q6" i="27" s="1"/>
  <c r="E118" i="40"/>
  <c r="E240" i="42"/>
  <c r="E55" i="47" s="1"/>
  <c r="Q55" i="47" s="1"/>
  <c r="AD13" i="12"/>
  <c r="AD14" i="12" s="1"/>
  <c r="AD15" i="12" s="1"/>
  <c r="AD16" i="12" s="1"/>
  <c r="AD17" i="12" s="1"/>
  <c r="AD18" i="12" s="1"/>
  <c r="AD19" i="12" s="1"/>
  <c r="AD20" i="12" s="1"/>
  <c r="AD21" i="12" s="1"/>
  <c r="AD22" i="12" s="1"/>
  <c r="O4" i="8" a="1"/>
  <c r="O4" i="8" s="1"/>
  <c r="J3" i="76"/>
  <c r="F70" i="76"/>
  <c r="K69" i="76"/>
  <c r="K71" i="76" s="1"/>
  <c r="K72" i="76"/>
  <c r="K74" i="76" s="1"/>
  <c r="F73" i="76"/>
  <c r="C97" i="76"/>
  <c r="H72" i="76"/>
  <c r="H74" i="76" s="1"/>
  <c r="C96" i="76"/>
  <c r="C98" i="76" s="1"/>
  <c r="C69" i="76"/>
  <c r="C71" i="76" s="1"/>
  <c r="G72" i="76"/>
  <c r="G74" i="76" s="1"/>
  <c r="G69" i="76"/>
  <c r="G71" i="76" s="1"/>
  <c r="J72" i="76"/>
  <c r="J74" i="76" s="1"/>
  <c r="D100" i="76"/>
  <c r="I73" i="76"/>
  <c r="K73" i="76"/>
  <c r="K70" i="76"/>
  <c r="I3" i="76"/>
  <c r="F72" i="76"/>
  <c r="F74" i="76" s="1"/>
  <c r="F69" i="76"/>
  <c r="F71" i="76" s="1"/>
  <c r="D96" i="76"/>
  <c r="D98" i="76" s="1"/>
  <c r="H69" i="76"/>
  <c r="H71" i="76" s="1"/>
  <c r="H73" i="76"/>
  <c r="C100" i="76"/>
  <c r="J2" i="73"/>
  <c r="C70" i="76"/>
  <c r="J69" i="76"/>
  <c r="J71" i="76" s="1"/>
  <c r="I70" i="76"/>
  <c r="D97" i="76"/>
  <c r="G73" i="76"/>
  <c r="G70" i="76"/>
  <c r="C99" i="76"/>
  <c r="C101" i="76" s="1"/>
  <c r="J73" i="76"/>
  <c r="J70" i="76"/>
  <c r="I72" i="76"/>
  <c r="I74" i="76" s="1"/>
  <c r="I69" i="76"/>
  <c r="I71" i="76" s="1"/>
  <c r="C73" i="76"/>
  <c r="H70" i="76"/>
  <c r="C72" i="76"/>
  <c r="C74" i="76" s="1"/>
  <c r="G25" i="76"/>
  <c r="F25" i="76"/>
  <c r="S3" i="25" a="1"/>
  <c r="S3" i="25" s="1"/>
  <c r="AN6" i="27"/>
  <c r="AK7" i="26"/>
  <c r="Y38" i="76" l="1"/>
  <c r="Y36" i="76"/>
  <c r="X38" i="76"/>
  <c r="X36" i="76"/>
  <c r="V36" i="76"/>
  <c r="AA37" i="76"/>
  <c r="Z39" i="76"/>
  <c r="Z41" i="76" s="1"/>
  <c r="Y39" i="76"/>
  <c r="X39" i="76"/>
  <c r="X41" i="76" s="1"/>
  <c r="W39" i="76"/>
  <c r="W41" i="76" s="1"/>
  <c r="V39" i="76"/>
  <c r="AA38" i="76"/>
  <c r="Z38" i="76"/>
  <c r="W38" i="76"/>
  <c r="W36" i="76"/>
  <c r="V38" i="76"/>
  <c r="AA39" i="76"/>
  <c r="AA41" i="76" s="1"/>
  <c r="Z37" i="76"/>
  <c r="Y37" i="76"/>
  <c r="X37" i="76"/>
  <c r="W37" i="76"/>
  <c r="V37" i="76"/>
  <c r="AA36" i="76"/>
  <c r="Z36" i="76"/>
  <c r="R39" i="76"/>
  <c r="R41" i="76" s="1"/>
  <c r="Q39" i="76"/>
  <c r="Q41" i="76" s="1"/>
  <c r="Q37" i="76"/>
  <c r="P39" i="76"/>
  <c r="P37" i="76"/>
  <c r="O39" i="76"/>
  <c r="O41" i="76" s="1"/>
  <c r="O37" i="76"/>
  <c r="N37" i="76"/>
  <c r="M39" i="76"/>
  <c r="R38" i="76"/>
  <c r="Q38" i="76"/>
  <c r="Q36" i="76"/>
  <c r="P36" i="76"/>
  <c r="M36" i="76"/>
  <c r="N39" i="76"/>
  <c r="N41" i="76" s="1"/>
  <c r="M37" i="76"/>
  <c r="P38" i="76"/>
  <c r="O38" i="76"/>
  <c r="O36" i="76"/>
  <c r="N38" i="76"/>
  <c r="N36" i="76"/>
  <c r="M38" i="76"/>
  <c r="R37" i="76"/>
  <c r="R36" i="76"/>
  <c r="I37" i="76"/>
  <c r="I38" i="76"/>
  <c r="H38" i="76"/>
  <c r="I36" i="76"/>
  <c r="H36" i="76"/>
  <c r="H37" i="76"/>
  <c r="G37" i="76"/>
  <c r="G38" i="76"/>
  <c r="I39" i="76"/>
  <c r="I41" i="76" s="1"/>
  <c r="G36" i="76"/>
  <c r="F38" i="76"/>
  <c r="H39" i="76"/>
  <c r="H41" i="76" s="1"/>
  <c r="E38" i="76"/>
  <c r="F37" i="76"/>
  <c r="D38" i="76"/>
  <c r="E37" i="76"/>
  <c r="F36" i="76"/>
  <c r="D37" i="76"/>
  <c r="D36" i="76"/>
  <c r="E36" i="76"/>
  <c r="F39" i="76"/>
  <c r="G39" i="76"/>
  <c r="D39" i="76"/>
  <c r="E39" i="76"/>
  <c r="E41" i="76" s="1"/>
  <c r="G98" i="44"/>
  <c r="G99" i="44"/>
  <c r="C14" i="37"/>
  <c r="O45" i="46"/>
  <c r="G241" i="44"/>
  <c r="H241" i="44"/>
  <c r="F241" i="44"/>
  <c r="E241" i="44"/>
  <c r="F118" i="44"/>
  <c r="I66" i="58"/>
  <c r="J81" i="49"/>
  <c r="H13" i="47" s="1"/>
  <c r="T13" i="47" s="1"/>
  <c r="I43" i="46"/>
  <c r="C66" i="37" s="1"/>
  <c r="G10" i="49" s="1"/>
  <c r="E118" i="44"/>
  <c r="E121" i="44" s="1"/>
  <c r="E33" i="44" s="1"/>
  <c r="K187" i="46" s="1"/>
  <c r="K189" i="46" s="1"/>
  <c r="E198" i="43"/>
  <c r="H198" i="43"/>
  <c r="G198" i="43"/>
  <c r="F198" i="43"/>
  <c r="H202" i="43"/>
  <c r="H68" i="47" s="1"/>
  <c r="T68" i="47" s="1"/>
  <c r="E202" i="43"/>
  <c r="E68" i="47" s="1"/>
  <c r="Q68" i="47" s="1"/>
  <c r="F202" i="43"/>
  <c r="F68" i="47" s="1"/>
  <c r="R68" i="47" s="1"/>
  <c r="G202" i="43"/>
  <c r="G68" i="47" s="1"/>
  <c r="S68" i="47" s="1"/>
  <c r="F201" i="43"/>
  <c r="F67" i="47" s="1"/>
  <c r="R67" i="47" s="1"/>
  <c r="E201" i="43"/>
  <c r="E67" i="47" s="1"/>
  <c r="Q67" i="47" s="1"/>
  <c r="H201" i="43"/>
  <c r="H67" i="47" s="1"/>
  <c r="T67" i="47" s="1"/>
  <c r="G201" i="43"/>
  <c r="G67" i="47" s="1"/>
  <c r="S67" i="47" s="1"/>
  <c r="G95" i="42"/>
  <c r="H95" i="42"/>
  <c r="F95" i="42"/>
  <c r="E95" i="42"/>
  <c r="H98" i="42"/>
  <c r="H37" i="47" s="1"/>
  <c r="T37" i="47" s="1"/>
  <c r="E98" i="42"/>
  <c r="E37" i="47" s="1"/>
  <c r="Q37" i="47" s="1"/>
  <c r="F98" i="42"/>
  <c r="F37" i="47" s="1"/>
  <c r="R37" i="47" s="1"/>
  <c r="G98" i="42"/>
  <c r="G37" i="47" s="1"/>
  <c r="S37" i="47" s="1"/>
  <c r="H97" i="42"/>
  <c r="H36" i="47" s="1"/>
  <c r="T36" i="47" s="1"/>
  <c r="E97" i="42"/>
  <c r="F97" i="42"/>
  <c r="F36" i="47" s="1"/>
  <c r="R36" i="47" s="1"/>
  <c r="G97" i="42"/>
  <c r="G36" i="47" s="1"/>
  <c r="S36" i="47" s="1"/>
  <c r="D16" i="37"/>
  <c r="C16" i="37" s="1"/>
  <c r="D11" i="14"/>
  <c r="E11" i="14"/>
  <c r="O11" i="14" s="1"/>
  <c r="G66" i="58"/>
  <c r="H64" i="49"/>
  <c r="F21" i="47" s="1"/>
  <c r="R21" i="47" s="1"/>
  <c r="G78" i="44"/>
  <c r="F96" i="42"/>
  <c r="F35" i="47" s="1"/>
  <c r="R35" i="47" s="1"/>
  <c r="E96" i="42"/>
  <c r="E35" i="47" s="1"/>
  <c r="Q35" i="47" s="1"/>
  <c r="G48" i="47"/>
  <c r="H48" i="47"/>
  <c r="F178" i="44"/>
  <c r="F74" i="47" s="1"/>
  <c r="R74" i="47" s="1"/>
  <c r="F180" i="44"/>
  <c r="E179" i="44"/>
  <c r="E75" i="47" s="1"/>
  <c r="Q75" i="47" s="1"/>
  <c r="E178" i="44"/>
  <c r="E74" i="47" s="1"/>
  <c r="Q74" i="47" s="1"/>
  <c r="E180" i="44"/>
  <c r="G22" i="76"/>
  <c r="G23" i="76" s="1"/>
  <c r="H22" i="76"/>
  <c r="H23" i="76" s="1"/>
  <c r="I22" i="76"/>
  <c r="I23" i="76" s="1"/>
  <c r="H16" i="76"/>
  <c r="H17" i="76" s="1"/>
  <c r="F22" i="76"/>
  <c r="F23" i="76" s="1"/>
  <c r="J66" i="58"/>
  <c r="H128" i="43"/>
  <c r="H87" i="43"/>
  <c r="G128" i="43"/>
  <c r="G87" i="43"/>
  <c r="G30" i="58"/>
  <c r="G18" i="58"/>
  <c r="G6" i="58"/>
  <c r="H6" i="58"/>
  <c r="I6" i="58"/>
  <c r="H66" i="58"/>
  <c r="R70" i="56"/>
  <c r="R69" i="56"/>
  <c r="I54" i="58"/>
  <c r="I78" i="58"/>
  <c r="J78" i="58"/>
  <c r="J54" i="58"/>
  <c r="S71" i="56"/>
  <c r="J6" i="58"/>
  <c r="H54" i="58"/>
  <c r="H78" i="58"/>
  <c r="H30" i="58"/>
  <c r="E8" i="76"/>
  <c r="E9" i="76" s="1"/>
  <c r="G200" i="43"/>
  <c r="G66" i="47" s="1"/>
  <c r="S66" i="47" s="1"/>
  <c r="H200" i="43"/>
  <c r="H66" i="47" s="1"/>
  <c r="T66" i="47" s="1"/>
  <c r="F200" i="43"/>
  <c r="F66" i="47" s="1"/>
  <c r="R66" i="47" s="1"/>
  <c r="E200" i="43"/>
  <c r="E66" i="47" s="1"/>
  <c r="Q66" i="47" s="1"/>
  <c r="M915" i="77"/>
  <c r="R915" i="77" s="1"/>
  <c r="M862" i="77"/>
  <c r="R862" i="77" s="1"/>
  <c r="M884" i="77"/>
  <c r="R884" i="77" s="1"/>
  <c r="M830" i="77"/>
  <c r="R830" i="77" s="1"/>
  <c r="M991" i="77"/>
  <c r="R991" i="77" s="1"/>
  <c r="M962" i="77"/>
  <c r="R962" i="77" s="1"/>
  <c r="M695" i="77"/>
  <c r="R695" i="77" s="1"/>
  <c r="M774" i="77"/>
  <c r="R774" i="77" s="1"/>
  <c r="M721" i="77"/>
  <c r="R721" i="77" s="1"/>
  <c r="M1025" i="77"/>
  <c r="R1025" i="77" s="1"/>
  <c r="M1010" i="77"/>
  <c r="R1010" i="77" s="1"/>
  <c r="M708" i="77"/>
  <c r="R708" i="77" s="1"/>
  <c r="M728" i="77"/>
  <c r="R728" i="77" s="1"/>
  <c r="M926" i="77"/>
  <c r="R926" i="77" s="1"/>
  <c r="M909" i="77"/>
  <c r="R909" i="77" s="1"/>
  <c r="M904" i="77"/>
  <c r="R904" i="77" s="1"/>
  <c r="M828" i="77"/>
  <c r="R828" i="77" s="1"/>
  <c r="M894" i="77"/>
  <c r="R894" i="77" s="1"/>
  <c r="M882" i="77"/>
  <c r="R882" i="77" s="1"/>
  <c r="M889" i="77"/>
  <c r="R889" i="77" s="1"/>
  <c r="M788" i="77"/>
  <c r="R788" i="77" s="1"/>
  <c r="M808" i="77"/>
  <c r="R808" i="77" s="1"/>
  <c r="M755" i="77"/>
  <c r="R755" i="77" s="1"/>
  <c r="M976" i="77"/>
  <c r="R976" i="77" s="1"/>
  <c r="M865" i="77"/>
  <c r="R865" i="77" s="1"/>
  <c r="M692" i="77"/>
  <c r="R692" i="77" s="1"/>
  <c r="M701" i="77"/>
  <c r="R701" i="77" s="1"/>
  <c r="M768" i="77"/>
  <c r="R768" i="77" s="1"/>
  <c r="M1142" i="77"/>
  <c r="R1142" i="77" s="1"/>
  <c r="M1370" i="77"/>
  <c r="R1370" i="77" s="1"/>
  <c r="M1121" i="77"/>
  <c r="R1121" i="77" s="1"/>
  <c r="M1349" i="77"/>
  <c r="R1349" i="77" s="1"/>
  <c r="M1052" i="77"/>
  <c r="R1052" i="77" s="1"/>
  <c r="M1118" i="77"/>
  <c r="R1118" i="77" s="1"/>
  <c r="M1346" i="77"/>
  <c r="R1346" i="77" s="1"/>
  <c r="M1214" i="77"/>
  <c r="R1214" i="77" s="1"/>
  <c r="M1116" i="77"/>
  <c r="R1116" i="77" s="1"/>
  <c r="M1171" i="77"/>
  <c r="R1171" i="77" s="1"/>
  <c r="M1307" i="77"/>
  <c r="R1307" i="77" s="1"/>
  <c r="M1103" i="77"/>
  <c r="R1103" i="77" s="1"/>
  <c r="M1120" i="77"/>
  <c r="R1120" i="77" s="1"/>
  <c r="M1224" i="77"/>
  <c r="R1224" i="77" s="1"/>
  <c r="M1090" i="77"/>
  <c r="R1090" i="77" s="1"/>
  <c r="M1071" i="77"/>
  <c r="R1071" i="77" s="1"/>
  <c r="M1231" i="77"/>
  <c r="R1231" i="77" s="1"/>
  <c r="M1340" i="77"/>
  <c r="R1340" i="77" s="1"/>
  <c r="M1208" i="77"/>
  <c r="R1208" i="77" s="1"/>
  <c r="M1191" i="77"/>
  <c r="R1191" i="77" s="1"/>
  <c r="M1305" i="77"/>
  <c r="R1305" i="77" s="1"/>
  <c r="M1054" i="77"/>
  <c r="R1054" i="77" s="1"/>
  <c r="M1365" i="77"/>
  <c r="R1365" i="77" s="1"/>
  <c r="M1188" i="77"/>
  <c r="R1188" i="77" s="1"/>
  <c r="M1252" i="77"/>
  <c r="R1252" i="77" s="1"/>
  <c r="M1233" i="77"/>
  <c r="R1233" i="77" s="1"/>
  <c r="M1034" i="77"/>
  <c r="R1034" i="77" s="1"/>
  <c r="M1344" i="77"/>
  <c r="R1344" i="77" s="1"/>
  <c r="M1313" i="77"/>
  <c r="R1313" i="77" s="1"/>
  <c r="M772" i="77"/>
  <c r="R772" i="77" s="1"/>
  <c r="M719" i="77"/>
  <c r="R719" i="77" s="1"/>
  <c r="M966" i="77"/>
  <c r="R966" i="77" s="1"/>
  <c r="M888" i="77"/>
  <c r="R888" i="77" s="1"/>
  <c r="M980" i="77"/>
  <c r="R980" i="77" s="1"/>
  <c r="M807" i="77"/>
  <c r="R807" i="77" s="1"/>
  <c r="M764" i="77"/>
  <c r="R764" i="77" s="1"/>
  <c r="M940" i="77"/>
  <c r="R940" i="77" s="1"/>
  <c r="M1006" i="77"/>
  <c r="R1006" i="77" s="1"/>
  <c r="M969" i="77"/>
  <c r="R969" i="77" s="1"/>
  <c r="M867" i="77"/>
  <c r="R867" i="77" s="1"/>
  <c r="M958" i="77"/>
  <c r="R958" i="77" s="1"/>
  <c r="M872" i="77"/>
  <c r="R872" i="77" s="1"/>
  <c r="M771" i="77"/>
  <c r="R771" i="77" s="1"/>
  <c r="M754" i="77"/>
  <c r="R754" i="77" s="1"/>
  <c r="M761" i="77"/>
  <c r="R761" i="77" s="1"/>
  <c r="M934" i="77"/>
  <c r="R934" i="77" s="1"/>
  <c r="M751" i="77"/>
  <c r="R751" i="77" s="1"/>
  <c r="M739" i="77"/>
  <c r="R739" i="77" s="1"/>
  <c r="M746" i="77"/>
  <c r="R746" i="77" s="1"/>
  <c r="M817" i="77"/>
  <c r="R817" i="77" s="1"/>
  <c r="M1021" i="77"/>
  <c r="R1021" i="77" s="1"/>
  <c r="M718" i="77"/>
  <c r="R718" i="77" s="1"/>
  <c r="M833" i="77"/>
  <c r="R833" i="77" s="1"/>
  <c r="M722" i="77"/>
  <c r="R722" i="77" s="1"/>
  <c r="M825" i="77"/>
  <c r="R825" i="77" s="1"/>
  <c r="M927" i="77"/>
  <c r="R927" i="77" s="1"/>
  <c r="M1017" i="77"/>
  <c r="R1017" i="77" s="1"/>
  <c r="M1258" i="77"/>
  <c r="R1258" i="77" s="1"/>
  <c r="M1230" i="77"/>
  <c r="R1230" i="77" s="1"/>
  <c r="M1308" i="77"/>
  <c r="R1308" i="77" s="1"/>
  <c r="M1209" i="77"/>
  <c r="R1209" i="77" s="1"/>
  <c r="M1310" i="77"/>
  <c r="R1310" i="77" s="1"/>
  <c r="M1235" i="77"/>
  <c r="R1235" i="77" s="1"/>
  <c r="M1206" i="77"/>
  <c r="R1206" i="77" s="1"/>
  <c r="M1167" i="77"/>
  <c r="R1167" i="77" s="1"/>
  <c r="M1326" i="77"/>
  <c r="R1326" i="77" s="1"/>
  <c r="M1286" i="77"/>
  <c r="R1286" i="77" s="1"/>
  <c r="M1236" i="77"/>
  <c r="R1236" i="77" s="1"/>
  <c r="M1254" i="77"/>
  <c r="R1254" i="77" s="1"/>
  <c r="M1072" i="77"/>
  <c r="R1072" i="77" s="1"/>
  <c r="M1083" i="77"/>
  <c r="R1083" i="77" s="1"/>
  <c r="M1312" i="77"/>
  <c r="R1312" i="77" s="1"/>
  <c r="M1328" i="77"/>
  <c r="R1328" i="77" s="1"/>
  <c r="M1078" i="77"/>
  <c r="R1078" i="77" s="1"/>
  <c r="M1201" i="77"/>
  <c r="R1201" i="77" s="1"/>
  <c r="M1067" i="77"/>
  <c r="R1067" i="77" s="1"/>
  <c r="M1321" i="77"/>
  <c r="R1321" i="77" s="1"/>
  <c r="M1165" i="77"/>
  <c r="R1165" i="77" s="1"/>
  <c r="M1276" i="77"/>
  <c r="R1276" i="77" s="1"/>
  <c r="M1309" i="77"/>
  <c r="R1309" i="77" s="1"/>
  <c r="M1045" i="77"/>
  <c r="R1045" i="77" s="1"/>
  <c r="M1100" i="77"/>
  <c r="R1100" i="77" s="1"/>
  <c r="M1302" i="77"/>
  <c r="R1302" i="77" s="1"/>
  <c r="M1245" i="77"/>
  <c r="R1245" i="77" s="1"/>
  <c r="M1205" i="77"/>
  <c r="R1205" i="77" s="1"/>
  <c r="M1369" i="77"/>
  <c r="R1369" i="77" s="1"/>
  <c r="M985" i="77"/>
  <c r="R985" i="77" s="1"/>
  <c r="M765" i="77"/>
  <c r="R765" i="77" s="1"/>
  <c r="M823" i="77"/>
  <c r="R823" i="77" s="1"/>
  <c r="M745" i="77"/>
  <c r="R745" i="77" s="1"/>
  <c r="M1016" i="77"/>
  <c r="R1016" i="77" s="1"/>
  <c r="M961" i="77"/>
  <c r="R961" i="77" s="1"/>
  <c r="M897" i="77"/>
  <c r="R897" i="77" s="1"/>
  <c r="M797" i="77"/>
  <c r="R797" i="77" s="1"/>
  <c r="M863" i="77"/>
  <c r="R863" i="77" s="1"/>
  <c r="M777" i="77"/>
  <c r="R777" i="77" s="1"/>
  <c r="M724" i="77"/>
  <c r="R724" i="77" s="1"/>
  <c r="M815" i="77"/>
  <c r="R815" i="77" s="1"/>
  <c r="M814" i="77"/>
  <c r="R814" i="77" s="1"/>
  <c r="M925" i="77"/>
  <c r="R925" i="77" s="1"/>
  <c r="M801" i="77"/>
  <c r="R801" i="77" s="1"/>
  <c r="M986" i="77"/>
  <c r="R986" i="77" s="1"/>
  <c r="M791" i="77"/>
  <c r="R791" i="77" s="1"/>
  <c r="M1012" i="77"/>
  <c r="R1012" i="77" s="1"/>
  <c r="M1000" i="77"/>
  <c r="R1000" i="77" s="1"/>
  <c r="M948" i="77"/>
  <c r="R948" i="77" s="1"/>
  <c r="M1013" i="77"/>
  <c r="R1013" i="77" s="1"/>
  <c r="M878" i="77"/>
  <c r="R878" i="77" s="1"/>
  <c r="M908" i="77"/>
  <c r="R908" i="77" s="1"/>
  <c r="M690" i="77"/>
  <c r="R690" i="77" s="1"/>
  <c r="M924" i="77"/>
  <c r="R924" i="77" s="1"/>
  <c r="M901" i="77"/>
  <c r="R901" i="77" s="1"/>
  <c r="M784" i="77"/>
  <c r="R784" i="77" s="1"/>
  <c r="M874" i="77"/>
  <c r="R874" i="77" s="1"/>
  <c r="M1117" i="77"/>
  <c r="R1117" i="77" s="1"/>
  <c r="M1077" i="77"/>
  <c r="R1077" i="77" s="1"/>
  <c r="M1260" i="77"/>
  <c r="R1260" i="77" s="1"/>
  <c r="M1068" i="77"/>
  <c r="R1068" i="77" s="1"/>
  <c r="M1170" i="77"/>
  <c r="R1170" i="77" s="1"/>
  <c r="M1094" i="77"/>
  <c r="R1094" i="77" s="1"/>
  <c r="M1053" i="77"/>
  <c r="R1053" i="77" s="1"/>
  <c r="M1204" i="77"/>
  <c r="R1204" i="77" s="1"/>
  <c r="M1187" i="77"/>
  <c r="R1187" i="77" s="1"/>
  <c r="M1146" i="77"/>
  <c r="R1146" i="77" s="1"/>
  <c r="M1095" i="77"/>
  <c r="R1095" i="77" s="1"/>
  <c r="M1102" i="77"/>
  <c r="R1102" i="77" s="1"/>
  <c r="M1157" i="77"/>
  <c r="R1157" i="77" s="1"/>
  <c r="M1339" i="77"/>
  <c r="M1172" i="77"/>
  <c r="R1172" i="77" s="1"/>
  <c r="M1189" i="77"/>
  <c r="R1189" i="77" s="1"/>
  <c r="M1300" i="77"/>
  <c r="R1300" i="77" s="1"/>
  <c r="M1059" i="77"/>
  <c r="R1059" i="77" s="1"/>
  <c r="M1371" i="77"/>
  <c r="R1371" i="77" s="1"/>
  <c r="M1355" i="77"/>
  <c r="R1355" i="77" s="1"/>
  <c r="M1338" i="77"/>
  <c r="R1338" i="77" s="1"/>
  <c r="M1136" i="77"/>
  <c r="R1136" i="77" s="1"/>
  <c r="M1162" i="77"/>
  <c r="R1162" i="77" s="1"/>
  <c r="M1256" i="77"/>
  <c r="R1256" i="77" s="1"/>
  <c r="M1356" i="77"/>
  <c r="R1356" i="77" s="1"/>
  <c r="M1229" i="77"/>
  <c r="R1229" i="77" s="1"/>
  <c r="M1104" i="77"/>
  <c r="R1104" i="77" s="1"/>
  <c r="M1063" i="77"/>
  <c r="R1063" i="77" s="1"/>
  <c r="M1194" i="77"/>
  <c r="R1194" i="77" s="1"/>
  <c r="M842" i="77"/>
  <c r="R842" i="77" s="1"/>
  <c r="M859" i="77"/>
  <c r="R859" i="77" s="1"/>
  <c r="M941" i="77"/>
  <c r="R941" i="77" s="1"/>
  <c r="M1029" i="77"/>
  <c r="R1029" i="77" s="1"/>
  <c r="M1014" i="77"/>
  <c r="R1014" i="77" s="1"/>
  <c r="M818" i="77"/>
  <c r="R818" i="77" s="1"/>
  <c r="M944" i="77"/>
  <c r="R944" i="77" s="1"/>
  <c r="M1022" i="77"/>
  <c r="R1022" i="77" s="1"/>
  <c r="M720" i="77"/>
  <c r="R720" i="77" s="1"/>
  <c r="M967" i="77"/>
  <c r="R967" i="77" s="1"/>
  <c r="M938" i="77"/>
  <c r="R938" i="77" s="1"/>
  <c r="M957" i="77"/>
  <c r="R957" i="77" s="1"/>
  <c r="M918" i="77"/>
  <c r="R918" i="77" s="1"/>
  <c r="M782" i="77"/>
  <c r="R782" i="77" s="1"/>
  <c r="M847" i="77"/>
  <c r="R847" i="77" s="1"/>
  <c r="M843" i="77"/>
  <c r="R843" i="77" s="1"/>
  <c r="M861" i="77"/>
  <c r="R861" i="77" s="1"/>
  <c r="M869" i="77"/>
  <c r="R869" i="77" s="1"/>
  <c r="M857" i="77"/>
  <c r="R857" i="77" s="1"/>
  <c r="M805" i="77"/>
  <c r="R805" i="77" s="1"/>
  <c r="M870" i="77"/>
  <c r="R870" i="77" s="1"/>
  <c r="M723" i="77"/>
  <c r="R723" i="77" s="1"/>
  <c r="M1002" i="77"/>
  <c r="R1002" i="77" s="1"/>
  <c r="M999" i="77"/>
  <c r="R999" i="77" s="1"/>
  <c r="M781" i="77"/>
  <c r="R781" i="77" s="1"/>
  <c r="M959" i="77"/>
  <c r="R959" i="77" s="1"/>
  <c r="M997" i="77"/>
  <c r="R997" i="77" s="1"/>
  <c r="M731" i="77"/>
  <c r="R731" i="77" s="1"/>
  <c r="M1292" i="77"/>
  <c r="R1292" i="77" s="1"/>
  <c r="M1357" i="77"/>
  <c r="R1357" i="77" s="1"/>
  <c r="M1110" i="77"/>
  <c r="R1110" i="77" s="1"/>
  <c r="M1278" i="77"/>
  <c r="R1278" i="77" s="1"/>
  <c r="M1193" i="77"/>
  <c r="R1193" i="77" s="1"/>
  <c r="M1269" i="77"/>
  <c r="R1269" i="77" s="1"/>
  <c r="M1334" i="77"/>
  <c r="R1334" i="77" s="1"/>
  <c r="M1202" i="77"/>
  <c r="R1202" i="77" s="1"/>
  <c r="M1044" i="77"/>
  <c r="R1044" i="77" s="1"/>
  <c r="M1098" i="77"/>
  <c r="R1098" i="77" s="1"/>
  <c r="M1351" i="77"/>
  <c r="R1351" i="77" s="1"/>
  <c r="M1324" i="77"/>
  <c r="R1324" i="77" s="1"/>
  <c r="M1155" i="77"/>
  <c r="R1155" i="77" s="1"/>
  <c r="M1200" i="77"/>
  <c r="R1200" i="77" s="1"/>
  <c r="M1299" i="77"/>
  <c r="R1299" i="77" s="1"/>
  <c r="M1046" i="77"/>
  <c r="R1046" i="77" s="1"/>
  <c r="M1160" i="77"/>
  <c r="R1160" i="77" s="1"/>
  <c r="M1317" i="77"/>
  <c r="R1317" i="77" s="1"/>
  <c r="M1219" i="77"/>
  <c r="R1219" i="77" s="1"/>
  <c r="M1108" i="77"/>
  <c r="R1108" i="77" s="1"/>
  <c r="M1199" i="77"/>
  <c r="R1199" i="77" s="1"/>
  <c r="M1264" i="77"/>
  <c r="R1264" i="77" s="1"/>
  <c r="M1089" i="77"/>
  <c r="R1089" i="77" s="1"/>
  <c r="M1115" i="77"/>
  <c r="R1115" i="77" s="1"/>
  <c r="M1216" i="77"/>
  <c r="R1216" i="77" s="1"/>
  <c r="M1051" i="77"/>
  <c r="R1051" i="77" s="1"/>
  <c r="M1314" i="77"/>
  <c r="R1314" i="77" s="1"/>
  <c r="M1332" i="77"/>
  <c r="R1332" i="77" s="1"/>
  <c r="M1133" i="77"/>
  <c r="R1133" i="77" s="1"/>
  <c r="M984" i="77"/>
  <c r="R984" i="77" s="1"/>
  <c r="M992" i="77"/>
  <c r="R992" i="77" s="1"/>
  <c r="M798" i="77"/>
  <c r="R798" i="77" s="1"/>
  <c r="M887" i="77"/>
  <c r="R887" i="77" s="1"/>
  <c r="M954" i="77"/>
  <c r="R954" i="77" s="1"/>
  <c r="M1030" i="77"/>
  <c r="R1030" i="77" s="1"/>
  <c r="M990" i="77"/>
  <c r="R990" i="77" s="1"/>
  <c r="M879" i="77"/>
  <c r="R879" i="77" s="1"/>
  <c r="M970" i="77"/>
  <c r="R970" i="77" s="1"/>
  <c r="M919" i="77"/>
  <c r="R919" i="77" s="1"/>
  <c r="M783" i="77"/>
  <c r="R783" i="77" s="1"/>
  <c r="M802" i="77"/>
  <c r="R802" i="77" s="1"/>
  <c r="M775" i="77"/>
  <c r="R775" i="77" s="1"/>
  <c r="M995" i="77"/>
  <c r="R995" i="77" s="1"/>
  <c r="M790" i="77"/>
  <c r="R790" i="77" s="1"/>
  <c r="M700" i="77"/>
  <c r="R700" i="77" s="1"/>
  <c r="M706" i="77"/>
  <c r="R706" i="77" s="1"/>
  <c r="M726" i="77"/>
  <c r="R726" i="77" s="1"/>
  <c r="M714" i="77"/>
  <c r="R714" i="77" s="1"/>
  <c r="M947" i="77"/>
  <c r="R947" i="77" s="1"/>
  <c r="M727" i="77"/>
  <c r="R727" i="77" s="1"/>
  <c r="M1020" i="77"/>
  <c r="R1020" i="77" s="1"/>
  <c r="M789" i="77"/>
  <c r="R789" i="77" s="1"/>
  <c r="M856" i="77"/>
  <c r="R856" i="77" s="1"/>
  <c r="M923" i="77"/>
  <c r="R923" i="77" s="1"/>
  <c r="M752" i="77"/>
  <c r="R752" i="77" s="1"/>
  <c r="M854" i="77"/>
  <c r="R854" i="77" s="1"/>
  <c r="M813" i="77"/>
  <c r="R813" i="77" s="1"/>
  <c r="M1152" i="77"/>
  <c r="R1152" i="77" s="1"/>
  <c r="M1217" i="77"/>
  <c r="R1217" i="77" s="1"/>
  <c r="M1109" i="77"/>
  <c r="R1109" i="77" s="1"/>
  <c r="M1138" i="77"/>
  <c r="R1138" i="77" s="1"/>
  <c r="M1039" i="77"/>
  <c r="R1039" i="77" s="1"/>
  <c r="M1128" i="77"/>
  <c r="R1128" i="77" s="1"/>
  <c r="M1183" i="77"/>
  <c r="R1183" i="77" s="1"/>
  <c r="M1342" i="77"/>
  <c r="R1342" i="77" s="1"/>
  <c r="M1255" i="77"/>
  <c r="R1255" i="77" s="1"/>
  <c r="M1284" i="77"/>
  <c r="R1284" i="77" s="1"/>
  <c r="M1211" i="77"/>
  <c r="R1211" i="77" s="1"/>
  <c r="M1184" i="77"/>
  <c r="R1184" i="77" s="1"/>
  <c r="M1295" i="77"/>
  <c r="R1295" i="77" s="1"/>
  <c r="M1058" i="77"/>
  <c r="R1058" i="77" s="1"/>
  <c r="M1147" i="77"/>
  <c r="R1147" i="77" s="1"/>
  <c r="M1362" i="77"/>
  <c r="R1362" i="77" s="1"/>
  <c r="M1287" i="77"/>
  <c r="R1287" i="77" s="1"/>
  <c r="M1177" i="77"/>
  <c r="R1177" i="77" s="1"/>
  <c r="M1066" i="77"/>
  <c r="R1066" i="77" s="1"/>
  <c r="M1304" i="77"/>
  <c r="R1304" i="77" s="1"/>
  <c r="M1057" i="77"/>
  <c r="R1057" i="77" s="1"/>
  <c r="M1112" i="77"/>
  <c r="R1112" i="77" s="1"/>
  <c r="M1333" i="77"/>
  <c r="R1333" i="77" s="1"/>
  <c r="M1336" i="77"/>
  <c r="R1336" i="77" s="1"/>
  <c r="M1075" i="77"/>
  <c r="R1075" i="77" s="1"/>
  <c r="M1285" i="77"/>
  <c r="R1285" i="77" s="1"/>
  <c r="M1174" i="77"/>
  <c r="R1174" i="77" s="1"/>
  <c r="M1048" i="77"/>
  <c r="R1048" i="77" s="1"/>
  <c r="M1180" i="77"/>
  <c r="R1180" i="77" s="1"/>
  <c r="M977" i="77"/>
  <c r="R977" i="77" s="1"/>
  <c r="M841" i="77"/>
  <c r="R841" i="77" s="1"/>
  <c r="M1027" i="77"/>
  <c r="R1027" i="77" s="1"/>
  <c r="M964" i="77"/>
  <c r="R964" i="77" s="1"/>
  <c r="M744" i="77"/>
  <c r="R744" i="77" s="1"/>
  <c r="M811" i="77"/>
  <c r="R811" i="77" s="1"/>
  <c r="M876" i="77"/>
  <c r="R876" i="77" s="1"/>
  <c r="M933" i="77"/>
  <c r="R933" i="77" s="1"/>
  <c r="M736" i="77"/>
  <c r="R736" i="77" s="1"/>
  <c r="M827" i="77"/>
  <c r="R827" i="77" s="1"/>
  <c r="M694" i="77"/>
  <c r="R694" i="77" s="1"/>
  <c r="M937" i="77"/>
  <c r="R937" i="77" s="1"/>
  <c r="M848" i="77"/>
  <c r="R848" i="77" s="1"/>
  <c r="M893" i="77"/>
  <c r="R893" i="77" s="1"/>
  <c r="M840" i="77"/>
  <c r="R840" i="77" s="1"/>
  <c r="M979" i="77"/>
  <c r="R979" i="77" s="1"/>
  <c r="M914" i="77"/>
  <c r="R914" i="77" s="1"/>
  <c r="M753" i="77"/>
  <c r="R753" i="77" s="1"/>
  <c r="M892" i="77"/>
  <c r="R892" i="77" s="1"/>
  <c r="M880" i="77"/>
  <c r="R880" i="77" s="1"/>
  <c r="M804" i="77"/>
  <c r="R804" i="77" s="1"/>
  <c r="M988" i="77"/>
  <c r="R988" i="77" s="1"/>
  <c r="M877" i="77"/>
  <c r="R877" i="77" s="1"/>
  <c r="M740" i="77"/>
  <c r="R740" i="77" s="1"/>
  <c r="M713" i="77"/>
  <c r="R713" i="77" s="1"/>
  <c r="M780" i="77"/>
  <c r="R780" i="77" s="1"/>
  <c r="M989" i="77"/>
  <c r="R989" i="77" s="1"/>
  <c r="M699" i="77"/>
  <c r="R699" i="77" s="1"/>
  <c r="M907" i="77"/>
  <c r="R907" i="77" s="1"/>
  <c r="M1361" i="77"/>
  <c r="R1361" i="77" s="1"/>
  <c r="M1064" i="77"/>
  <c r="R1064" i="77" s="1"/>
  <c r="M1060" i="77"/>
  <c r="R1060" i="77" s="1"/>
  <c r="M1289" i="77"/>
  <c r="R1289" i="77" s="1"/>
  <c r="M1085" i="77"/>
  <c r="R1085" i="77" s="1"/>
  <c r="M1040" i="77"/>
  <c r="R1040" i="77" s="1"/>
  <c r="M1297" i="77"/>
  <c r="R1297" i="77" s="1"/>
  <c r="M1114" i="77"/>
  <c r="R1114" i="77" s="1"/>
  <c r="M1037" i="77"/>
  <c r="R1037" i="77" s="1"/>
  <c r="M1070" i="77"/>
  <c r="R1070" i="77" s="1"/>
  <c r="M1311" i="77"/>
  <c r="R1311" i="77" s="1"/>
  <c r="M1250" i="77"/>
  <c r="R1250" i="77" s="1"/>
  <c r="M1234" i="77"/>
  <c r="R1234" i="77" s="1"/>
  <c r="M1263" i="77"/>
  <c r="R1263" i="77" s="1"/>
  <c r="M1222" i="77"/>
  <c r="R1222" i="77" s="1"/>
  <c r="M1135" i="77"/>
  <c r="R1135" i="77" s="1"/>
  <c r="M1035" i="77"/>
  <c r="R1035" i="77" s="1"/>
  <c r="M1288" i="77"/>
  <c r="R1288" i="77" s="1"/>
  <c r="M1092" i="77"/>
  <c r="R1092" i="77" s="1"/>
  <c r="M1268" i="77"/>
  <c r="R1268" i="77" s="1"/>
  <c r="M1368" i="77"/>
  <c r="R1368" i="77" s="1"/>
  <c r="M1169" i="77"/>
  <c r="R1169" i="77" s="1"/>
  <c r="M1186" i="77"/>
  <c r="R1186" i="77" s="1"/>
  <c r="M1096" i="77"/>
  <c r="R1096" i="77" s="1"/>
  <c r="M1354" i="77"/>
  <c r="R1354" i="77" s="1"/>
  <c r="M1032" i="77"/>
  <c r="R1032" i="77" s="1"/>
  <c r="M1181" i="77"/>
  <c r="R1181" i="77" s="1"/>
  <c r="M834" i="77"/>
  <c r="R834" i="77" s="1"/>
  <c r="M698" i="77"/>
  <c r="R698" i="77" s="1"/>
  <c r="M730" i="77"/>
  <c r="R730" i="77" s="1"/>
  <c r="M821" i="77"/>
  <c r="R821" i="77" s="1"/>
  <c r="M993" i="77"/>
  <c r="R993" i="77" s="1"/>
  <c r="M929" i="77"/>
  <c r="R929" i="77" s="1"/>
  <c r="M733" i="77"/>
  <c r="R733" i="77" s="1"/>
  <c r="M826" i="77"/>
  <c r="R826" i="77" s="1"/>
  <c r="M950" i="77"/>
  <c r="R950" i="77" s="1"/>
  <c r="M1004" i="77"/>
  <c r="R1004" i="77" s="1"/>
  <c r="M930" i="77"/>
  <c r="R930" i="77" s="1"/>
  <c r="M794" i="77"/>
  <c r="R794" i="77" s="1"/>
  <c r="M895" i="77"/>
  <c r="R895" i="77" s="1"/>
  <c r="M750" i="77"/>
  <c r="R750" i="77" s="1"/>
  <c r="M697" i="77"/>
  <c r="R697" i="77" s="1"/>
  <c r="M931" i="77"/>
  <c r="R931" i="77" s="1"/>
  <c r="M759" i="77"/>
  <c r="R759" i="77" s="1"/>
  <c r="M800" i="77"/>
  <c r="R800" i="77" s="1"/>
  <c r="M749" i="77"/>
  <c r="R749" i="77" s="1"/>
  <c r="M737" i="77"/>
  <c r="R737" i="77" s="1"/>
  <c r="M910" i="77"/>
  <c r="R910" i="77" s="1"/>
  <c r="M845" i="77"/>
  <c r="R845" i="77" s="1"/>
  <c r="M734" i="77"/>
  <c r="R734" i="77" s="1"/>
  <c r="M1015" i="77"/>
  <c r="R1015" i="77" s="1"/>
  <c r="M939" i="77"/>
  <c r="R939" i="77" s="1"/>
  <c r="M1028" i="77"/>
  <c r="R1028" i="77" s="1"/>
  <c r="M846" i="77"/>
  <c r="R846" i="77" s="1"/>
  <c r="M996" i="77"/>
  <c r="R996" i="77" s="1"/>
  <c r="M693" i="77"/>
  <c r="R693" i="77" s="1"/>
  <c r="M1221" i="77"/>
  <c r="R1221" i="77" s="1"/>
  <c r="M1322" i="77"/>
  <c r="R1322" i="77" s="1"/>
  <c r="M1271" i="77"/>
  <c r="R1271" i="77" s="1"/>
  <c r="M1137" i="77"/>
  <c r="R1137" i="77" s="1"/>
  <c r="M1131" i="77"/>
  <c r="R1131" i="77" s="1"/>
  <c r="M1198" i="77"/>
  <c r="R1198" i="77" s="1"/>
  <c r="M1298" i="77"/>
  <c r="R1298" i="77" s="1"/>
  <c r="M1248" i="77"/>
  <c r="R1248" i="77" s="1"/>
  <c r="M1266" i="77"/>
  <c r="R1266" i="77" s="1"/>
  <c r="M1168" i="77"/>
  <c r="R1168" i="77" s="1"/>
  <c r="M1246" i="77"/>
  <c r="R1246" i="77" s="1"/>
  <c r="M1159" i="77"/>
  <c r="R1159" i="77" s="1"/>
  <c r="M1249" i="77"/>
  <c r="R1249" i="77" s="1"/>
  <c r="M1093" i="77"/>
  <c r="R1093" i="77" s="1"/>
  <c r="M1122" i="77"/>
  <c r="R1122" i="77" s="1"/>
  <c r="M1081" i="77"/>
  <c r="R1081" i="77" s="1"/>
  <c r="M1251" i="77"/>
  <c r="R1251" i="77" s="1"/>
  <c r="M1350" i="77"/>
  <c r="R1350" i="77" s="1"/>
  <c r="M1148" i="77"/>
  <c r="R1148" i="77" s="1"/>
  <c r="M1161" i="77"/>
  <c r="R1161" i="77" s="1"/>
  <c r="M1127" i="77"/>
  <c r="R1127" i="77" s="1"/>
  <c r="M1228" i="77"/>
  <c r="R1228" i="77" s="1"/>
  <c r="M1318" i="77"/>
  <c r="R1318" i="77" s="1"/>
  <c r="M1043" i="77"/>
  <c r="R1043" i="77" s="1"/>
  <c r="M1227" i="77"/>
  <c r="R1227" i="77" s="1"/>
  <c r="M1306" i="77"/>
  <c r="R1306" i="77" s="1"/>
  <c r="M1325" i="77"/>
  <c r="R1325" i="77" s="1"/>
  <c r="M1226" i="77"/>
  <c r="R1226" i="77" s="1"/>
  <c r="M691" i="77"/>
  <c r="R691" i="77" s="1"/>
  <c r="M900" i="77"/>
  <c r="R900" i="77" s="1"/>
  <c r="M729" i="77"/>
  <c r="R729" i="77" s="1"/>
  <c r="M903" i="77"/>
  <c r="R903" i="77" s="1"/>
  <c r="M850" i="77"/>
  <c r="R850" i="77" s="1"/>
  <c r="M786" i="77"/>
  <c r="R786" i="77" s="1"/>
  <c r="M1018" i="77"/>
  <c r="R1018" i="77" s="1"/>
  <c r="M824" i="77"/>
  <c r="R824" i="77" s="1"/>
  <c r="M795" i="77"/>
  <c r="R795" i="77" s="1"/>
  <c r="M716" i="77"/>
  <c r="R716" i="77" s="1"/>
  <c r="M787" i="77"/>
  <c r="R787" i="77" s="1"/>
  <c r="M1007" i="77"/>
  <c r="R1007" i="77" s="1"/>
  <c r="M837" i="77"/>
  <c r="R837" i="77" s="1"/>
  <c r="M916" i="77"/>
  <c r="R916" i="77" s="1"/>
  <c r="M982" i="77"/>
  <c r="R982" i="77" s="1"/>
  <c r="M906" i="77"/>
  <c r="R906" i="77" s="1"/>
  <c r="M913" i="77"/>
  <c r="R913" i="77" s="1"/>
  <c r="M742" i="77"/>
  <c r="R742" i="77" s="1"/>
  <c r="M974" i="77"/>
  <c r="R974" i="77" s="1"/>
  <c r="M963" i="77"/>
  <c r="R963" i="77" s="1"/>
  <c r="M767" i="77"/>
  <c r="R767" i="77" s="1"/>
  <c r="M702" i="77"/>
  <c r="R702" i="77" s="1"/>
  <c r="M936" i="77"/>
  <c r="R936" i="77" s="1"/>
  <c r="M1003" i="77"/>
  <c r="R1003" i="77" s="1"/>
  <c r="M796" i="77"/>
  <c r="R796" i="77" s="1"/>
  <c r="M886" i="77"/>
  <c r="R886" i="77" s="1"/>
  <c r="M703" i="77"/>
  <c r="R703" i="77" s="1"/>
  <c r="M853" i="77"/>
  <c r="R853" i="77" s="1"/>
  <c r="M921" i="77"/>
  <c r="R921" i="77" s="1"/>
  <c r="M1080" i="77"/>
  <c r="R1080" i="77" s="1"/>
  <c r="M1182" i="77"/>
  <c r="R1182" i="77" s="1"/>
  <c r="M1130" i="77"/>
  <c r="R1130" i="77" s="1"/>
  <c r="M1358" i="77"/>
  <c r="R1358" i="77" s="1"/>
  <c r="M1074" i="77"/>
  <c r="R1074" i="77" s="1"/>
  <c r="M1056" i="77"/>
  <c r="R1056" i="77" s="1"/>
  <c r="M1158" i="77"/>
  <c r="R1158" i="77" s="1"/>
  <c r="M1107" i="77"/>
  <c r="R1107" i="77" s="1"/>
  <c r="M1113" i="77"/>
  <c r="R1113" i="77" s="1"/>
  <c r="M1119" i="77"/>
  <c r="R1119" i="77" s="1"/>
  <c r="M1105" i="77"/>
  <c r="R1105" i="77" s="1"/>
  <c r="M1274" i="77"/>
  <c r="R1274" i="77" s="1"/>
  <c r="M1061" i="77"/>
  <c r="R1061" i="77" s="1"/>
  <c r="M1303" i="77"/>
  <c r="R1303" i="77" s="1"/>
  <c r="M1192" i="77"/>
  <c r="R1192" i="77" s="1"/>
  <c r="M1291" i="77"/>
  <c r="R1291" i="77" s="1"/>
  <c r="M1111" i="77"/>
  <c r="R1111" i="77" s="1"/>
  <c r="M1210" i="77"/>
  <c r="R1210" i="77" s="1"/>
  <c r="M1275" i="77"/>
  <c r="R1275" i="77" s="1"/>
  <c r="M1242" i="77"/>
  <c r="R1242" i="77" s="1"/>
  <c r="M1348" i="77"/>
  <c r="R1348" i="77" s="1"/>
  <c r="M1087" i="77"/>
  <c r="R1087" i="77" s="1"/>
  <c r="M1178" i="77"/>
  <c r="R1178" i="77" s="1"/>
  <c r="M1347" i="77"/>
  <c r="R1347" i="77" s="1"/>
  <c r="M1320" i="77"/>
  <c r="R1320" i="77" s="1"/>
  <c r="M1166" i="77"/>
  <c r="R1166" i="77" s="1"/>
  <c r="M1173" i="77"/>
  <c r="R1173" i="77" s="1"/>
  <c r="M1272" i="77"/>
  <c r="R1272" i="77" s="1"/>
  <c r="M953" i="77"/>
  <c r="R953" i="77" s="1"/>
  <c r="M757" i="77"/>
  <c r="R757" i="77" s="1"/>
  <c r="M871" i="77"/>
  <c r="R871" i="77" s="1"/>
  <c r="M760" i="77"/>
  <c r="R760" i="77" s="1"/>
  <c r="M707" i="77"/>
  <c r="R707" i="77" s="1"/>
  <c r="M952" i="77"/>
  <c r="R952" i="77" s="1"/>
  <c r="M875" i="77"/>
  <c r="R875" i="77" s="1"/>
  <c r="M968" i="77"/>
  <c r="R968" i="77" s="1"/>
  <c r="M949" i="77"/>
  <c r="R949" i="77" s="1"/>
  <c r="M849" i="77"/>
  <c r="R849" i="77" s="1"/>
  <c r="M905" i="77"/>
  <c r="R905" i="77" s="1"/>
  <c r="M852" i="77"/>
  <c r="R852" i="77" s="1"/>
  <c r="M1026" i="77"/>
  <c r="R1026" i="77" s="1"/>
  <c r="M773" i="77"/>
  <c r="R773" i="77" s="1"/>
  <c r="M839" i="77"/>
  <c r="R839" i="77" s="1"/>
  <c r="M763" i="77"/>
  <c r="R763" i="77" s="1"/>
  <c r="M770" i="77"/>
  <c r="R770" i="77" s="1"/>
  <c r="M932" i="77"/>
  <c r="R932" i="77" s="1"/>
  <c r="M831" i="77"/>
  <c r="R831" i="77" s="1"/>
  <c r="M820" i="77"/>
  <c r="R820" i="77" s="1"/>
  <c r="M766" i="77"/>
  <c r="R766" i="77" s="1"/>
  <c r="M1011" i="77"/>
  <c r="R1011" i="77" s="1"/>
  <c r="M793" i="77"/>
  <c r="R793" i="77" s="1"/>
  <c r="M705" i="77"/>
  <c r="R705" i="77" s="1"/>
  <c r="M1009" i="77"/>
  <c r="R1009" i="77" s="1"/>
  <c r="M743" i="77"/>
  <c r="R743" i="77" s="1"/>
  <c r="M965" i="77"/>
  <c r="R965" i="77" s="1"/>
  <c r="M710" i="77"/>
  <c r="R710" i="77" s="1"/>
  <c r="M920" i="77"/>
  <c r="R920" i="77" s="1"/>
  <c r="M1290" i="77"/>
  <c r="R1290" i="77" s="1"/>
  <c r="M1239" i="77"/>
  <c r="R1239" i="77" s="1"/>
  <c r="M1247" i="77"/>
  <c r="R1247" i="77" s="1"/>
  <c r="M1218" i="77"/>
  <c r="R1218" i="77" s="1"/>
  <c r="M1261" i="77"/>
  <c r="R1261" i="77" s="1"/>
  <c r="M1267" i="77"/>
  <c r="R1267" i="77" s="1"/>
  <c r="M1145" i="77"/>
  <c r="R1145" i="77" s="1"/>
  <c r="M1363" i="77"/>
  <c r="R1363" i="77" s="1"/>
  <c r="M1335" i="77"/>
  <c r="R1335" i="77" s="1"/>
  <c r="M1343" i="77"/>
  <c r="R1343" i="77" s="1"/>
  <c r="M1315" i="77"/>
  <c r="R1315" i="77" s="1"/>
  <c r="M1134" i="77"/>
  <c r="R1134" i="77" s="1"/>
  <c r="M1062" i="77"/>
  <c r="R1062" i="77" s="1"/>
  <c r="M1163" i="77"/>
  <c r="R1163" i="77" s="1"/>
  <c r="M1283" i="77"/>
  <c r="R1283" i="77" s="1"/>
  <c r="M1151" i="77"/>
  <c r="R1151" i="77" s="1"/>
  <c r="M1144" i="77"/>
  <c r="R1144" i="77" s="1"/>
  <c r="M1069" i="77"/>
  <c r="R1069" i="77" s="1"/>
  <c r="M1123" i="77"/>
  <c r="R1123" i="77" s="1"/>
  <c r="M1076" i="77"/>
  <c r="R1076" i="77" s="1"/>
  <c r="M1197" i="77"/>
  <c r="R1197" i="77" s="1"/>
  <c r="M1049" i="77"/>
  <c r="R1049" i="77" s="1"/>
  <c r="M1036" i="77"/>
  <c r="R1036" i="77" s="1"/>
  <c r="M1185" i="77"/>
  <c r="R1185" i="77" s="1"/>
  <c r="M1319" i="77"/>
  <c r="R1319" i="77" s="1"/>
  <c r="M1281" i="77"/>
  <c r="R1281" i="77" s="1"/>
  <c r="M1253" i="77"/>
  <c r="R1253" i="77" s="1"/>
  <c r="M1215" i="77"/>
  <c r="R1215" i="77" s="1"/>
  <c r="M810" i="77"/>
  <c r="R810" i="77" s="1"/>
  <c r="M899" i="77"/>
  <c r="R899" i="77" s="1"/>
  <c r="M758" i="77"/>
  <c r="R758" i="77" s="1"/>
  <c r="M973" i="77"/>
  <c r="R973" i="77" s="1"/>
  <c r="M717" i="77"/>
  <c r="R717" i="77" s="1"/>
  <c r="M809" i="77"/>
  <c r="R809" i="77" s="1"/>
  <c r="M732" i="77"/>
  <c r="R732" i="77" s="1"/>
  <c r="M942" i="77"/>
  <c r="R942" i="77" s="1"/>
  <c r="M806" i="77"/>
  <c r="R806" i="77" s="1"/>
  <c r="M896" i="77"/>
  <c r="R896" i="77" s="1"/>
  <c r="M762" i="77"/>
  <c r="R762" i="77" s="1"/>
  <c r="M709" i="77"/>
  <c r="R709" i="77" s="1"/>
  <c r="M978" i="77"/>
  <c r="R978" i="77" s="1"/>
  <c r="M998" i="77"/>
  <c r="R998" i="77" s="1"/>
  <c r="M696" i="77"/>
  <c r="R696" i="77" s="1"/>
  <c r="M1023" i="77"/>
  <c r="R1023" i="77" s="1"/>
  <c r="M983" i="77"/>
  <c r="R983" i="77" s="1"/>
  <c r="M883" i="77"/>
  <c r="R883" i="77" s="1"/>
  <c r="M902" i="77"/>
  <c r="R902" i="77" s="1"/>
  <c r="M890" i="77"/>
  <c r="R890" i="77" s="1"/>
  <c r="M956" i="77"/>
  <c r="R956" i="77" s="1"/>
  <c r="M868" i="77"/>
  <c r="R868" i="77" s="1"/>
  <c r="M935" i="77"/>
  <c r="R935" i="77" s="1"/>
  <c r="M1001" i="77"/>
  <c r="R1001" i="77" s="1"/>
  <c r="M866" i="77"/>
  <c r="R866" i="77" s="1"/>
  <c r="M860" i="77"/>
  <c r="R860" i="77" s="1"/>
  <c r="M822" i="77"/>
  <c r="R822" i="77" s="1"/>
  <c r="M912" i="77"/>
  <c r="R912" i="77" s="1"/>
  <c r="M779" i="77"/>
  <c r="R779" i="77" s="1"/>
  <c r="M1150" i="77"/>
  <c r="R1150" i="77" s="1"/>
  <c r="M1086" i="77"/>
  <c r="R1086" i="77" s="1"/>
  <c r="M1106" i="77"/>
  <c r="R1106" i="77" s="1"/>
  <c r="M1065" i="77"/>
  <c r="R1065" i="77" s="1"/>
  <c r="M1213" i="77"/>
  <c r="R1213" i="77" s="1"/>
  <c r="M1126" i="77"/>
  <c r="R1126" i="77" s="1"/>
  <c r="M1331" i="77"/>
  <c r="R1331" i="77" s="1"/>
  <c r="M1223" i="77"/>
  <c r="R1223" i="77" s="1"/>
  <c r="M1196" i="77"/>
  <c r="R1196" i="77" s="1"/>
  <c r="M1156" i="77"/>
  <c r="R1156" i="77" s="1"/>
  <c r="M1175" i="77"/>
  <c r="R1175" i="77" s="1"/>
  <c r="M1050" i="77"/>
  <c r="R1050" i="77" s="1"/>
  <c r="M1373" i="77"/>
  <c r="R1373" i="77" s="1"/>
  <c r="M1232" i="77"/>
  <c r="R1232" i="77" s="1"/>
  <c r="M1073" i="77"/>
  <c r="R1073" i="77" s="1"/>
  <c r="M1372" i="77"/>
  <c r="R1372" i="77" s="1"/>
  <c r="M1237" i="77"/>
  <c r="R1237" i="77" s="1"/>
  <c r="M1279" i="77"/>
  <c r="R1279" i="77" s="1"/>
  <c r="M1240" i="77"/>
  <c r="R1240" i="77" s="1"/>
  <c r="M1329" i="77"/>
  <c r="R1329" i="77" s="1"/>
  <c r="M1055" i="77"/>
  <c r="R1055" i="77" s="1"/>
  <c r="M1143" i="77"/>
  <c r="R1143" i="77" s="1"/>
  <c r="M1293" i="77"/>
  <c r="R1293" i="77" s="1"/>
  <c r="M1042" i="77"/>
  <c r="R1042" i="77" s="1"/>
  <c r="M1262" i="77"/>
  <c r="R1262" i="77" s="1"/>
  <c r="M1141" i="77"/>
  <c r="R1141" i="77" s="1"/>
  <c r="M1101" i="77"/>
  <c r="R1101" i="77" s="1"/>
  <c r="M1353" i="77"/>
  <c r="R1353" i="77" s="1"/>
  <c r="M975" i="77"/>
  <c r="R975" i="77" s="1"/>
  <c r="M756" i="77"/>
  <c r="R756" i="77" s="1"/>
  <c r="M816" i="77"/>
  <c r="R816" i="77" s="1"/>
  <c r="M819" i="77"/>
  <c r="R819" i="77" s="1"/>
  <c r="M812" i="77"/>
  <c r="R812" i="77" s="1"/>
  <c r="M891" i="77"/>
  <c r="R891" i="77" s="1"/>
  <c r="M981" i="77"/>
  <c r="R981" i="77" s="1"/>
  <c r="M799" i="77"/>
  <c r="R799" i="77" s="1"/>
  <c r="M1019" i="77"/>
  <c r="R1019" i="77" s="1"/>
  <c r="M943" i="77"/>
  <c r="R943" i="77" s="1"/>
  <c r="M928" i="77"/>
  <c r="R928" i="77" s="1"/>
  <c r="M994" i="77"/>
  <c r="R994" i="77" s="1"/>
  <c r="M778" i="77"/>
  <c r="R778" i="77" s="1"/>
  <c r="M855" i="77"/>
  <c r="R855" i="77" s="1"/>
  <c r="M946" i="77"/>
  <c r="R946" i="77" s="1"/>
  <c r="M881" i="77"/>
  <c r="R881" i="77" s="1"/>
  <c r="M829" i="77"/>
  <c r="R829" i="77" s="1"/>
  <c r="M873" i="77"/>
  <c r="R873" i="77" s="1"/>
  <c r="M747" i="77"/>
  <c r="R747" i="77" s="1"/>
  <c r="M735" i="77"/>
  <c r="R735" i="77" s="1"/>
  <c r="M704" i="77"/>
  <c r="R704" i="77" s="1"/>
  <c r="M725" i="77"/>
  <c r="R725" i="77" s="1"/>
  <c r="M792" i="77"/>
  <c r="R792" i="77" s="1"/>
  <c r="M858" i="77"/>
  <c r="R858" i="77" s="1"/>
  <c r="M711" i="77"/>
  <c r="R711" i="77" s="1"/>
  <c r="M955" i="77"/>
  <c r="R955" i="77" s="1"/>
  <c r="M987" i="77"/>
  <c r="R987" i="77" s="1"/>
  <c r="M769" i="77"/>
  <c r="R769" i="77" s="1"/>
  <c r="M835" i="77"/>
  <c r="R835" i="77" s="1"/>
  <c r="M1301" i="77"/>
  <c r="R1301" i="77" s="1"/>
  <c r="M1132" i="77"/>
  <c r="R1132" i="77" s="1"/>
  <c r="M1280" i="77"/>
  <c r="R1280" i="77" s="1"/>
  <c r="M1345" i="77"/>
  <c r="R1345" i="77" s="1"/>
  <c r="M1270" i="77"/>
  <c r="R1270" i="77" s="1"/>
  <c r="M1277" i="77"/>
  <c r="R1277" i="77" s="1"/>
  <c r="M1038" i="77"/>
  <c r="R1038" i="77" s="1"/>
  <c r="M1082" i="77"/>
  <c r="R1082" i="77" s="1"/>
  <c r="M1041" i="77"/>
  <c r="R1041" i="77" s="1"/>
  <c r="M1341" i="77"/>
  <c r="R1341" i="77" s="1"/>
  <c r="M1033" i="77"/>
  <c r="R1033" i="77" s="1"/>
  <c r="M1238" i="77"/>
  <c r="R1238" i="77" s="1"/>
  <c r="M1225" i="77"/>
  <c r="R1225" i="77" s="1"/>
  <c r="M1091" i="77"/>
  <c r="R1091" i="77" s="1"/>
  <c r="M1352" i="77"/>
  <c r="R1352" i="77" s="1"/>
  <c r="M1220" i="77"/>
  <c r="R1220" i="77" s="1"/>
  <c r="M1367" i="77"/>
  <c r="R1367" i="77" s="1"/>
  <c r="M1139" i="77"/>
  <c r="R1139" i="77" s="1"/>
  <c r="M1099" i="77"/>
  <c r="R1099" i="77" s="1"/>
  <c r="M1190" i="77"/>
  <c r="R1190" i="77" s="1"/>
  <c r="M1359" i="77"/>
  <c r="R1359" i="77" s="1"/>
  <c r="M1273" i="77"/>
  <c r="R1273" i="77" s="1"/>
  <c r="M1153" i="77"/>
  <c r="R1153" i="77" s="1"/>
  <c r="M1265" i="77"/>
  <c r="R1265" i="77" s="1"/>
  <c r="M1154" i="77"/>
  <c r="R1154" i="77" s="1"/>
  <c r="M1316" i="77"/>
  <c r="R1316" i="77" s="1"/>
  <c r="M1241" i="77"/>
  <c r="R1241" i="77" s="1"/>
  <c r="M1203" i="77"/>
  <c r="R1203" i="77" s="1"/>
  <c r="M832" i="77"/>
  <c r="R832" i="77" s="1"/>
  <c r="M1005" i="77"/>
  <c r="R1005" i="77" s="1"/>
  <c r="M922" i="77"/>
  <c r="R922" i="77" s="1"/>
  <c r="M972" i="77"/>
  <c r="R972" i="77" s="1"/>
  <c r="M945" i="77"/>
  <c r="R945" i="77" s="1"/>
  <c r="M748" i="77"/>
  <c r="R748" i="77" s="1"/>
  <c r="M838" i="77"/>
  <c r="R838" i="77" s="1"/>
  <c r="M917" i="77"/>
  <c r="R917" i="77" s="1"/>
  <c r="M864" i="77"/>
  <c r="R864" i="77" s="1"/>
  <c r="M885" i="77"/>
  <c r="R885" i="77" s="1"/>
  <c r="M785" i="77"/>
  <c r="R785" i="77" s="1"/>
  <c r="M851" i="77"/>
  <c r="R851" i="77" s="1"/>
  <c r="M776" i="77"/>
  <c r="R776" i="77" s="1"/>
  <c r="M712" i="77"/>
  <c r="R712" i="77" s="1"/>
  <c r="M803" i="77"/>
  <c r="R803" i="77" s="1"/>
  <c r="M738" i="77"/>
  <c r="R738" i="77" s="1"/>
  <c r="M971" i="77"/>
  <c r="R971" i="77" s="1"/>
  <c r="M960" i="77"/>
  <c r="R960" i="77" s="1"/>
  <c r="M1024" i="77"/>
  <c r="R1024" i="77" s="1"/>
  <c r="M1031" i="77"/>
  <c r="R1031" i="77" s="1"/>
  <c r="M836" i="77"/>
  <c r="R836" i="77" s="1"/>
  <c r="M951" i="77"/>
  <c r="R951" i="77" s="1"/>
  <c r="M898" i="77"/>
  <c r="R898" i="77" s="1"/>
  <c r="M715" i="77"/>
  <c r="R715" i="77" s="1"/>
  <c r="M1008" i="77"/>
  <c r="R1008" i="77" s="1"/>
  <c r="M741" i="77"/>
  <c r="R741" i="77" s="1"/>
  <c r="M844" i="77"/>
  <c r="R844" i="77" s="1"/>
  <c r="M911" i="77"/>
  <c r="R911" i="77" s="1"/>
  <c r="M1282" i="77"/>
  <c r="R1282" i="77" s="1"/>
  <c r="M1149" i="77"/>
  <c r="R1149" i="77" s="1"/>
  <c r="M1179" i="77"/>
  <c r="R1179" i="77" s="1"/>
  <c r="M1140" i="77"/>
  <c r="R1140" i="77" s="1"/>
  <c r="M1195" i="77"/>
  <c r="R1195" i="77" s="1"/>
  <c r="M1259" i="77"/>
  <c r="R1259" i="77" s="1"/>
  <c r="M1125" i="77"/>
  <c r="R1125" i="77" s="1"/>
  <c r="M1084" i="77"/>
  <c r="R1084" i="77" s="1"/>
  <c r="M1257" i="77"/>
  <c r="R1257" i="77" s="1"/>
  <c r="M1323" i="77"/>
  <c r="R1323" i="77" s="1"/>
  <c r="M1129" i="77"/>
  <c r="R1129" i="77" s="1"/>
  <c r="M1244" i="77"/>
  <c r="R1244" i="77" s="1"/>
  <c r="M1330" i="77"/>
  <c r="R1330" i="77" s="1"/>
  <c r="M1364" i="77"/>
  <c r="R1364" i="77" s="1"/>
  <c r="M1243" i="77"/>
  <c r="R1243" i="77" s="1"/>
  <c r="M1212" i="77"/>
  <c r="R1212" i="77" s="1"/>
  <c r="M1079" i="77"/>
  <c r="R1079" i="77" s="1"/>
  <c r="M1296" i="77"/>
  <c r="R1296" i="77" s="1"/>
  <c r="M1360" i="77"/>
  <c r="R1360" i="77" s="1"/>
  <c r="M1097" i="77"/>
  <c r="R1097" i="77" s="1"/>
  <c r="M1047" i="77"/>
  <c r="R1047" i="77" s="1"/>
  <c r="M1207" i="77"/>
  <c r="R1207" i="77" s="1"/>
  <c r="M1366" i="77"/>
  <c r="R1366" i="77" s="1"/>
  <c r="M1327" i="77"/>
  <c r="R1327" i="77" s="1"/>
  <c r="M1124" i="77"/>
  <c r="R1124" i="77" s="1"/>
  <c r="M1164" i="77"/>
  <c r="R1164" i="77" s="1"/>
  <c r="M1176" i="77"/>
  <c r="R1176" i="77" s="1"/>
  <c r="M1088" i="77"/>
  <c r="R1088" i="77" s="1"/>
  <c r="M1294" i="77"/>
  <c r="R1294" i="77" s="1"/>
  <c r="R2" i="4"/>
  <c r="Q2" i="4" s="1" a="1"/>
  <c r="Q2" i="4" s="1"/>
  <c r="H118" i="44"/>
  <c r="G118" i="44"/>
  <c r="E48" i="47"/>
  <c r="J18" i="58"/>
  <c r="I18" i="58"/>
  <c r="H18" i="58"/>
  <c r="D109" i="76"/>
  <c r="H47" i="76"/>
  <c r="G48" i="76"/>
  <c r="H48" i="76"/>
  <c r="F46" i="76"/>
  <c r="F48" i="76"/>
  <c r="F47" i="76"/>
  <c r="G46" i="76"/>
  <c r="G47" i="76"/>
  <c r="I48" i="76"/>
  <c r="I47" i="76"/>
  <c r="I46" i="76"/>
  <c r="H46" i="76"/>
  <c r="H96" i="42"/>
  <c r="H35" i="47" s="1"/>
  <c r="T35" i="47" s="1"/>
  <c r="G96" i="42"/>
  <c r="G35" i="47" s="1"/>
  <c r="S35" i="47" s="1"/>
  <c r="G16" i="76"/>
  <c r="G17" i="76" s="1"/>
  <c r="D113" i="76"/>
  <c r="C113" i="76"/>
  <c r="D110" i="76"/>
  <c r="C110" i="76"/>
  <c r="D107" i="76"/>
  <c r="C107" i="76"/>
  <c r="C104" i="76"/>
  <c r="E86" i="76"/>
  <c r="E83" i="76"/>
  <c r="I86" i="76"/>
  <c r="I83" i="76"/>
  <c r="F86" i="76"/>
  <c r="F83" i="76"/>
  <c r="J86" i="76"/>
  <c r="J83" i="76"/>
  <c r="K86" i="76"/>
  <c r="K83" i="76"/>
  <c r="G86" i="76"/>
  <c r="G83" i="76"/>
  <c r="F80" i="76"/>
  <c r="F77" i="76"/>
  <c r="I77" i="76"/>
  <c r="I80" i="76"/>
  <c r="E80" i="76"/>
  <c r="E77" i="76"/>
  <c r="G80" i="76"/>
  <c r="G77" i="76"/>
  <c r="J80" i="76"/>
  <c r="J77" i="76"/>
  <c r="K80" i="76"/>
  <c r="K77" i="76"/>
  <c r="K30" i="76"/>
  <c r="H30" i="76"/>
  <c r="I19" i="76"/>
  <c r="I20" i="76"/>
  <c r="H19" i="76"/>
  <c r="H20" i="76"/>
  <c r="G19" i="76"/>
  <c r="G20" i="76"/>
  <c r="F19" i="76"/>
  <c r="F20" i="76"/>
  <c r="G195" i="44"/>
  <c r="G138" i="44" s="1"/>
  <c r="G77" i="47" s="1"/>
  <c r="D241" i="42"/>
  <c r="C240" i="42"/>
  <c r="H330" i="42"/>
  <c r="H99" i="40"/>
  <c r="H109" i="40" s="1"/>
  <c r="G109" i="40"/>
  <c r="D148" i="44"/>
  <c r="H273" i="44"/>
  <c r="G273" i="44"/>
  <c r="C63" i="40"/>
  <c r="D63" i="40"/>
  <c r="G63" i="40"/>
  <c r="F63" i="40"/>
  <c r="F56" i="47"/>
  <c r="F54" i="47"/>
  <c r="G53" i="47"/>
  <c r="H53" i="47"/>
  <c r="F179" i="44"/>
  <c r="F75" i="47" s="1"/>
  <c r="R75" i="47" s="1"/>
  <c r="F238" i="42"/>
  <c r="F55" i="42"/>
  <c r="F30" i="42" s="1"/>
  <c r="L142" i="46" s="1"/>
  <c r="L145" i="46" s="1"/>
  <c r="E55" i="42"/>
  <c r="E30" i="42" s="1"/>
  <c r="K142" i="46" s="1"/>
  <c r="K145" i="46" s="1"/>
  <c r="BF6" i="27"/>
  <c r="AV6" i="27"/>
  <c r="BP6" i="27"/>
  <c r="AL6" i="27"/>
  <c r="AB6" i="27"/>
  <c r="R6" i="27"/>
  <c r="BX7" i="39"/>
  <c r="AH8" i="9"/>
  <c r="AG8" i="9"/>
  <c r="F223" i="42" s="1"/>
  <c r="F52" i="47" s="1"/>
  <c r="AF8" i="9"/>
  <c r="E223" i="42" s="1"/>
  <c r="E52" i="47" s="1"/>
  <c r="AI8" i="9"/>
  <c r="AB8" i="9"/>
  <c r="Z8" i="9"/>
  <c r="F222" i="42" s="1"/>
  <c r="AA8" i="9"/>
  <c r="G222" i="42" s="1"/>
  <c r="Y8" i="9"/>
  <c r="E222" i="42" s="1"/>
  <c r="I16" i="18"/>
  <c r="J16" i="18" s="1"/>
  <c r="W16" i="18" s="1"/>
  <c r="F8" i="76" s="1"/>
  <c r="F9" i="76" s="1"/>
  <c r="E87" i="43"/>
  <c r="F87" i="43"/>
  <c r="E47" i="47"/>
  <c r="G92" i="58"/>
  <c r="E242" i="42"/>
  <c r="AH6" i="27"/>
  <c r="AF6" i="27"/>
  <c r="BL6" i="27"/>
  <c r="AX6" i="27"/>
  <c r="BV6" i="27"/>
  <c r="T6" i="27"/>
  <c r="V6" i="27"/>
  <c r="BD6" i="27"/>
  <c r="Z6" i="27"/>
  <c r="X6" i="27"/>
  <c r="BT6" i="27"/>
  <c r="AR6" i="27"/>
  <c r="BR6" i="27"/>
  <c r="BQ6" i="27" s="1"/>
  <c r="BN6" i="27"/>
  <c r="AP6" i="27"/>
  <c r="BH6" i="27"/>
  <c r="AZ6" i="27"/>
  <c r="BX6" i="27"/>
  <c r="AJ6" i="27"/>
  <c r="AT6" i="27"/>
  <c r="AD6" i="27"/>
  <c r="BJ6" i="27"/>
  <c r="BB6" i="27"/>
  <c r="V41" i="76" l="1"/>
  <c r="M41" i="76"/>
  <c r="P41" i="76"/>
  <c r="Y41" i="76"/>
  <c r="G27" i="47"/>
  <c r="S27" i="47" s="1"/>
  <c r="F27" i="47"/>
  <c r="R27" i="47" s="1"/>
  <c r="E27" i="47"/>
  <c r="Q27" i="47" s="1"/>
  <c r="H27" i="47"/>
  <c r="T27" i="47" s="1"/>
  <c r="F19" i="47"/>
  <c r="G19" i="47" s="1"/>
  <c r="H19" i="47" s="1"/>
  <c r="F55" i="38"/>
  <c r="D8" i="37"/>
  <c r="F137" i="44"/>
  <c r="F76" i="47"/>
  <c r="R76" i="47" s="1"/>
  <c r="E137" i="44"/>
  <c r="E76" i="47"/>
  <c r="Q76" i="47" s="1"/>
  <c r="J248" i="46"/>
  <c r="F99" i="42"/>
  <c r="H99" i="42"/>
  <c r="G99" i="42"/>
  <c r="E34" i="47"/>
  <c r="Q34" i="47" s="1"/>
  <c r="E99" i="42"/>
  <c r="F203" i="43"/>
  <c r="G203" i="43"/>
  <c r="H203" i="43"/>
  <c r="E203" i="43"/>
  <c r="G119" i="44" s="1"/>
  <c r="I248" i="46"/>
  <c r="H100" i="44"/>
  <c r="H32" i="44" s="1"/>
  <c r="N183" i="46" s="1"/>
  <c r="N185" i="46" s="1"/>
  <c r="G100" i="44"/>
  <c r="G32" i="44" s="1"/>
  <c r="M183" i="46" s="1"/>
  <c r="M185" i="46" s="1"/>
  <c r="H83" i="49"/>
  <c r="I83" i="49"/>
  <c r="J83" i="49"/>
  <c r="G83" i="49"/>
  <c r="F16" i="76"/>
  <c r="F17" i="76" s="1"/>
  <c r="I16" i="76"/>
  <c r="I17" i="76" s="1"/>
  <c r="C11" i="42"/>
  <c r="D11" i="42"/>
  <c r="S69" i="56"/>
  <c r="S70" i="56"/>
  <c r="T71" i="56"/>
  <c r="U71" i="56" s="1"/>
  <c r="V71" i="56" s="1"/>
  <c r="W71" i="56" s="1"/>
  <c r="X71" i="56" s="1"/>
  <c r="Y71" i="56" s="1"/>
  <c r="Z71" i="56" s="1"/>
  <c r="AA71" i="56" s="1"/>
  <c r="AB71" i="56" s="1"/>
  <c r="AC71" i="56" s="1"/>
  <c r="AD71" i="56" s="1"/>
  <c r="AE71" i="56" s="1"/>
  <c r="AF71" i="56" s="1"/>
  <c r="AG71" i="56" s="1"/>
  <c r="AH71" i="56" s="1"/>
  <c r="AI71" i="56" s="1"/>
  <c r="AJ71" i="56" s="1"/>
  <c r="AK71" i="56" s="1"/>
  <c r="AL71" i="56" s="1"/>
  <c r="AM71" i="56" s="1"/>
  <c r="AN71" i="56" s="1"/>
  <c r="AO71" i="56" s="1"/>
  <c r="AP71" i="56" s="1"/>
  <c r="AQ71" i="56" s="1"/>
  <c r="AR71" i="56" s="1"/>
  <c r="AS71" i="56" s="1"/>
  <c r="R1339" i="77"/>
  <c r="H333" i="42"/>
  <c r="H334" i="42" s="1"/>
  <c r="H327" i="42" s="1"/>
  <c r="H325" i="42" s="1"/>
  <c r="J76" i="49" s="1"/>
  <c r="G334" i="42"/>
  <c r="G327" i="42" s="1"/>
  <c r="G325" i="42" s="1"/>
  <c r="I76" i="49" s="1"/>
  <c r="H177" i="44"/>
  <c r="G177" i="44"/>
  <c r="H111" i="38"/>
  <c r="G176" i="44"/>
  <c r="E65" i="47"/>
  <c r="Q65" i="47" s="1"/>
  <c r="G41" i="76"/>
  <c r="G45" i="76"/>
  <c r="I45" i="76"/>
  <c r="H45" i="76"/>
  <c r="F41" i="76"/>
  <c r="E243" i="44"/>
  <c r="E146" i="44" s="1"/>
  <c r="F45" i="76"/>
  <c r="D41" i="76"/>
  <c r="F34" i="47"/>
  <c r="R34" i="47" s="1"/>
  <c r="H161" i="43"/>
  <c r="H170" i="43" s="1"/>
  <c r="H145" i="43" s="1"/>
  <c r="H64" i="47" s="1"/>
  <c r="G170" i="43"/>
  <c r="G145" i="43" s="1"/>
  <c r="G64" i="47" s="1"/>
  <c r="E36" i="47"/>
  <c r="Q36" i="47" s="1"/>
  <c r="G144" i="43"/>
  <c r="G55" i="42"/>
  <c r="G30" i="42" s="1"/>
  <c r="M142" i="46" s="1"/>
  <c r="M145" i="46" s="1"/>
  <c r="H144" i="43"/>
  <c r="H55" i="42"/>
  <c r="H30" i="42" s="1"/>
  <c r="N142" i="46" s="1"/>
  <c r="N145" i="46" s="1"/>
  <c r="I96" i="58"/>
  <c r="E96" i="58"/>
  <c r="G98" i="58"/>
  <c r="E92" i="58"/>
  <c r="F92" i="58"/>
  <c r="F94" i="58"/>
  <c r="E98" i="58"/>
  <c r="I92" i="58"/>
  <c r="G96" i="58"/>
  <c r="H94" i="58"/>
  <c r="H98" i="58"/>
  <c r="G94" i="58"/>
  <c r="H92" i="58"/>
  <c r="F96" i="58"/>
  <c r="I98" i="58"/>
  <c r="F98" i="58"/>
  <c r="I94" i="58"/>
  <c r="E94" i="58"/>
  <c r="H96" i="58"/>
  <c r="C242" i="42"/>
  <c r="D240" i="42"/>
  <c r="H57" i="47"/>
  <c r="G57" i="47"/>
  <c r="H309" i="42"/>
  <c r="H195" i="44" s="1"/>
  <c r="H138" i="44" s="1"/>
  <c r="H77" i="47" s="1"/>
  <c r="G312" i="42"/>
  <c r="G241" i="42" s="1"/>
  <c r="G56" i="47" s="1"/>
  <c r="CD7" i="39"/>
  <c r="AF7" i="39" s="1"/>
  <c r="G136" i="40" s="1"/>
  <c r="G223" i="42"/>
  <c r="G52" i="47" s="1"/>
  <c r="AK5" i="9" a="1"/>
  <c r="AK5" i="9" s="1"/>
  <c r="F51" i="47"/>
  <c r="F227" i="42"/>
  <c r="G51" i="47"/>
  <c r="BW7" i="39"/>
  <c r="BY7" i="39"/>
  <c r="H222" i="42"/>
  <c r="CE7" i="39"/>
  <c r="H223" i="42"/>
  <c r="H52" i="47" s="1"/>
  <c r="CB7" i="39"/>
  <c r="BV7" i="39"/>
  <c r="CC7" i="39"/>
  <c r="G148" i="44"/>
  <c r="G91" i="47"/>
  <c r="H148" i="44"/>
  <c r="H91" i="47"/>
  <c r="G174" i="42"/>
  <c r="G179" i="42" s="1"/>
  <c r="F243" i="44"/>
  <c r="F146" i="44" s="1"/>
  <c r="F87" i="47" s="1"/>
  <c r="R87" i="47" s="1"/>
  <c r="F242" i="42"/>
  <c r="F53" i="47"/>
  <c r="E101" i="44"/>
  <c r="E102" i="44" s="1"/>
  <c r="E22" i="44" s="1"/>
  <c r="E72" i="47" s="1"/>
  <c r="F121" i="44"/>
  <c r="F33" i="44" s="1"/>
  <c r="L187" i="46" s="1"/>
  <c r="L189" i="46" s="1"/>
  <c r="AM6" i="27"/>
  <c r="AC6" i="27"/>
  <c r="BG6" i="27"/>
  <c r="W6" i="27"/>
  <c r="AQ6" i="27"/>
  <c r="BA6" i="27"/>
  <c r="BK6" i="27"/>
  <c r="AG6" i="27"/>
  <c r="AW6" i="27"/>
  <c r="S6" i="27"/>
  <c r="BU6" i="27"/>
  <c r="G50" i="46" l="1"/>
  <c r="O49" i="46" s="1"/>
  <c r="O51" i="46" s="1"/>
  <c r="O68" i="46" s="1"/>
  <c r="O78" i="46" s="1"/>
  <c r="I207" i="46"/>
  <c r="G13" i="49"/>
  <c r="G15" i="47"/>
  <c r="S15" i="47" s="1"/>
  <c r="E15" i="47"/>
  <c r="Q15" i="47" s="1"/>
  <c r="H15" i="47"/>
  <c r="T15" i="47" s="1"/>
  <c r="F15" i="47"/>
  <c r="R15" i="47" s="1"/>
  <c r="E87" i="47"/>
  <c r="Q87" i="47" s="1"/>
  <c r="E156" i="44"/>
  <c r="E34" i="44" s="1"/>
  <c r="K191" i="46" s="1"/>
  <c r="K193" i="46" s="1"/>
  <c r="H226" i="44"/>
  <c r="H225" i="44"/>
  <c r="C146" i="44"/>
  <c r="G242" i="44"/>
  <c r="E56" i="42"/>
  <c r="E57" i="42" s="1"/>
  <c r="E11" i="42" s="1"/>
  <c r="G22" i="49" s="1"/>
  <c r="F56" i="42"/>
  <c r="F57" i="42" s="1"/>
  <c r="F11" i="42" s="1"/>
  <c r="H22" i="49" s="1"/>
  <c r="AI6" i="27"/>
  <c r="F95" i="58"/>
  <c r="F97" i="58" s="1"/>
  <c r="G56" i="38"/>
  <c r="G31" i="44"/>
  <c r="M179" i="46" s="1"/>
  <c r="M181" i="46" s="1"/>
  <c r="J98" i="58"/>
  <c r="J96" i="58"/>
  <c r="J92" i="58"/>
  <c r="J94" i="58"/>
  <c r="T70" i="56"/>
  <c r="U70" i="56" s="1"/>
  <c r="V70" i="56" s="1"/>
  <c r="W70" i="56" s="1"/>
  <c r="X70" i="56" s="1"/>
  <c r="Y70" i="56" s="1"/>
  <c r="Z70" i="56" s="1"/>
  <c r="AA70" i="56" s="1"/>
  <c r="AB70" i="56" s="1"/>
  <c r="AC70" i="56" s="1"/>
  <c r="AD70" i="56" s="1"/>
  <c r="AE70" i="56" s="1"/>
  <c r="AF70" i="56" s="1"/>
  <c r="AG70" i="56" s="1"/>
  <c r="AH70" i="56" s="1"/>
  <c r="AI70" i="56" s="1"/>
  <c r="AJ70" i="56" s="1"/>
  <c r="AK70" i="56" s="1"/>
  <c r="AL70" i="56" s="1"/>
  <c r="AM70" i="56" s="1"/>
  <c r="AN70" i="56" s="1"/>
  <c r="AO70" i="56" s="1"/>
  <c r="AP70" i="56" s="1"/>
  <c r="AQ70" i="56" s="1"/>
  <c r="AR70" i="56" s="1"/>
  <c r="AS70" i="56" s="1"/>
  <c r="T69" i="56"/>
  <c r="U69" i="56" s="1"/>
  <c r="V69" i="56" s="1"/>
  <c r="W69" i="56" s="1"/>
  <c r="X69" i="56" s="1"/>
  <c r="Y69" i="56" s="1"/>
  <c r="Z69" i="56" s="1"/>
  <c r="AA69" i="56" s="1"/>
  <c r="AB69" i="56" s="1"/>
  <c r="AC69" i="56" s="1"/>
  <c r="AD69" i="56" s="1"/>
  <c r="AE69" i="56" s="1"/>
  <c r="AF69" i="56" s="1"/>
  <c r="AG69" i="56" s="1"/>
  <c r="AH69" i="56" s="1"/>
  <c r="AI69" i="56" s="1"/>
  <c r="AJ69" i="56" s="1"/>
  <c r="AK69" i="56" s="1"/>
  <c r="AL69" i="56" s="1"/>
  <c r="AM69" i="56" s="1"/>
  <c r="AN69" i="56" s="1"/>
  <c r="AO69" i="56" s="1"/>
  <c r="AP69" i="56" s="1"/>
  <c r="AQ69" i="56" s="1"/>
  <c r="AR69" i="56" s="1"/>
  <c r="AS69" i="56" s="1"/>
  <c r="BM6" i="27"/>
  <c r="I95" i="58"/>
  <c r="G47" i="47"/>
  <c r="C203" i="43"/>
  <c r="F69" i="42"/>
  <c r="H26" i="49" s="1"/>
  <c r="E91" i="58"/>
  <c r="E93" i="58" s="1"/>
  <c r="U6" i="27"/>
  <c r="AE6" i="27"/>
  <c r="F91" i="58"/>
  <c r="F93" i="58" s="1"/>
  <c r="Y6" i="27"/>
  <c r="E95" i="58"/>
  <c r="E97" i="58" s="1"/>
  <c r="AO6" i="27"/>
  <c r="G91" i="58"/>
  <c r="G93" i="58" s="1"/>
  <c r="H95" i="58"/>
  <c r="H97" i="58" s="1"/>
  <c r="BC6" i="27"/>
  <c r="BI6" i="27"/>
  <c r="I91" i="58"/>
  <c r="AY6" i="27"/>
  <c r="H91" i="58"/>
  <c r="H93" i="58" s="1"/>
  <c r="BW6" i="27"/>
  <c r="AS6" i="27"/>
  <c r="G95" i="58"/>
  <c r="G97" i="58" s="1"/>
  <c r="BS6" i="27"/>
  <c r="F65" i="47"/>
  <c r="R65" i="47" s="1"/>
  <c r="H176" i="44"/>
  <c r="H172" i="44"/>
  <c r="G172" i="44"/>
  <c r="F38" i="47"/>
  <c r="G227" i="42"/>
  <c r="E206" i="43"/>
  <c r="E146" i="43" s="1"/>
  <c r="E148" i="43" s="1"/>
  <c r="E68" i="42"/>
  <c r="G25" i="49" s="1"/>
  <c r="G63" i="47"/>
  <c r="S63" i="47" s="1"/>
  <c r="H63" i="47"/>
  <c r="T63" i="47" s="1"/>
  <c r="AD7" i="39"/>
  <c r="E136" i="40" s="1"/>
  <c r="E138" i="40" s="1"/>
  <c r="E139" i="40" s="1"/>
  <c r="E33" i="40" s="1"/>
  <c r="H312" i="42"/>
  <c r="H241" i="42" s="1"/>
  <c r="H56" i="47" s="1"/>
  <c r="D242" i="42"/>
  <c r="H291" i="42"/>
  <c r="H298" i="42" s="1"/>
  <c r="G240" i="42"/>
  <c r="AG7" i="39"/>
  <c r="H136" i="40" s="1"/>
  <c r="AE7" i="39"/>
  <c r="F136" i="40" s="1"/>
  <c r="F138" i="40" s="1"/>
  <c r="F139" i="40" s="1"/>
  <c r="F33" i="40" s="1"/>
  <c r="H51" i="47"/>
  <c r="H227" i="42"/>
  <c r="D227" i="42"/>
  <c r="C227" i="42"/>
  <c r="C153" i="42" s="1"/>
  <c r="C155" i="42" s="1"/>
  <c r="H174" i="42"/>
  <c r="H179" i="42" s="1"/>
  <c r="F101" i="44"/>
  <c r="F102" i="44" s="1"/>
  <c r="F22" i="44" s="1"/>
  <c r="F72" i="47" s="1"/>
  <c r="F153" i="42"/>
  <c r="E51" i="47"/>
  <c r="E227" i="42"/>
  <c r="E153" i="42" s="1"/>
  <c r="E31" i="42" s="1"/>
  <c r="K147" i="46" s="1"/>
  <c r="K149" i="46" s="1"/>
  <c r="O55" i="46" l="1"/>
  <c r="O1" i="46" s="1"/>
  <c r="O62" i="46"/>
  <c r="O64" i="46" s="1"/>
  <c r="C84" i="38"/>
  <c r="C63" i="38"/>
  <c r="C62" i="38" s="1"/>
  <c r="C70" i="38"/>
  <c r="C77" i="38"/>
  <c r="D77" i="38" s="1"/>
  <c r="I97" i="58"/>
  <c r="C158" i="44"/>
  <c r="O79" i="46"/>
  <c r="O103" i="46" s="1"/>
  <c r="O107" i="46" s="1"/>
  <c r="O111" i="46" s="1"/>
  <c r="O123" i="46" s="1"/>
  <c r="O127" i="46" s="1"/>
  <c r="O131" i="46" s="1"/>
  <c r="I70" i="7"/>
  <c r="G144" i="44"/>
  <c r="G85" i="47" s="1"/>
  <c r="J91" i="58"/>
  <c r="J93" i="58"/>
  <c r="I93" i="58"/>
  <c r="I64" i="49"/>
  <c r="G21" i="47" s="1"/>
  <c r="S21" i="47" s="1"/>
  <c r="F68" i="42"/>
  <c r="H25" i="49" s="1"/>
  <c r="H242" i="44"/>
  <c r="H119" i="44"/>
  <c r="F58" i="47"/>
  <c r="R58" i="47" s="1"/>
  <c r="E58" i="47"/>
  <c r="Q58" i="47" s="1"/>
  <c r="H56" i="42"/>
  <c r="H57" i="42" s="1"/>
  <c r="H11" i="42" s="1"/>
  <c r="J22" i="49" s="1"/>
  <c r="G56" i="42"/>
  <c r="G57" i="42" s="1"/>
  <c r="G11" i="42" s="1"/>
  <c r="I22" i="49" s="1"/>
  <c r="J97" i="58"/>
  <c r="J95" i="58"/>
  <c r="H240" i="42"/>
  <c r="H70" i="7"/>
  <c r="G70" i="7"/>
  <c r="J70" i="7"/>
  <c r="H56" i="38"/>
  <c r="C12" i="42"/>
  <c r="H31" i="44"/>
  <c r="N179" i="46" s="1"/>
  <c r="N181" i="46" s="1"/>
  <c r="E154" i="42"/>
  <c r="E155" i="42" s="1"/>
  <c r="E12" i="42" s="1"/>
  <c r="G23" i="49" s="1"/>
  <c r="D203" i="43"/>
  <c r="D145" i="44"/>
  <c r="G138" i="40"/>
  <c r="G139" i="40" s="1"/>
  <c r="G33" i="40" s="1"/>
  <c r="H138" i="40"/>
  <c r="H139" i="40" s="1"/>
  <c r="F206" i="43"/>
  <c r="F146" i="43" s="1"/>
  <c r="F148" i="43" s="1"/>
  <c r="F31" i="43" s="1"/>
  <c r="L163" i="46" s="1"/>
  <c r="L165" i="46" s="1"/>
  <c r="G121" i="44"/>
  <c r="G33" i="44" s="1"/>
  <c r="M187" i="46" s="1"/>
  <c r="M189" i="46" s="1"/>
  <c r="D146" i="44"/>
  <c r="C206" i="43"/>
  <c r="C146" i="43" s="1"/>
  <c r="C150" i="43" s="1"/>
  <c r="G55" i="47"/>
  <c r="S55" i="47" s="1"/>
  <c r="G242" i="42"/>
  <c r="G153" i="42" s="1"/>
  <c r="G31" i="42" s="1"/>
  <c r="M147" i="46" s="1"/>
  <c r="M149" i="46" s="1"/>
  <c r="D153" i="42"/>
  <c r="D155" i="42" s="1"/>
  <c r="H47" i="47"/>
  <c r="F31" i="42"/>
  <c r="L147" i="46" s="1"/>
  <c r="L149" i="46" s="1"/>
  <c r="C14" i="40"/>
  <c r="F14" i="40"/>
  <c r="H33" i="49" s="1"/>
  <c r="F26" i="47" s="1"/>
  <c r="E14" i="40"/>
  <c r="G33" i="49" s="1"/>
  <c r="E26" i="47" s="1"/>
  <c r="E31" i="43"/>
  <c r="K163" i="46" s="1"/>
  <c r="K165" i="46" s="1"/>
  <c r="O143" i="46" l="1"/>
  <c r="O144" i="46"/>
  <c r="O148" i="46" s="1"/>
  <c r="O160" i="46" s="1"/>
  <c r="O164" i="46" s="1"/>
  <c r="O176" i="46" s="1"/>
  <c r="O180" i="46" s="1"/>
  <c r="O184" i="46" s="1"/>
  <c r="O188" i="46" s="1"/>
  <c r="O192" i="46" s="1"/>
  <c r="D84" i="38"/>
  <c r="C83" i="38"/>
  <c r="C85" i="38" s="1"/>
  <c r="D158" i="44"/>
  <c r="J64" i="49"/>
  <c r="H21" i="47" s="1"/>
  <c r="T21" i="47" s="1"/>
  <c r="G58" i="47"/>
  <c r="S58" i="47" s="1"/>
  <c r="H58" i="47"/>
  <c r="T58" i="47" s="1"/>
  <c r="H55" i="47"/>
  <c r="T55" i="47" s="1"/>
  <c r="H242" i="42"/>
  <c r="H153" i="42" s="1"/>
  <c r="H31" i="42" s="1"/>
  <c r="G154" i="42"/>
  <c r="G155" i="42" s="1"/>
  <c r="G12" i="42" s="1"/>
  <c r="F154" i="42"/>
  <c r="F155" i="42" s="1"/>
  <c r="F12" i="42" s="1"/>
  <c r="H23" i="49" s="1"/>
  <c r="D12" i="42"/>
  <c r="C12" i="43"/>
  <c r="E149" i="43"/>
  <c r="E150" i="43" s="1"/>
  <c r="E12" i="43" s="1"/>
  <c r="G42" i="49" s="1"/>
  <c r="F149" i="43"/>
  <c r="F150" i="43" s="1"/>
  <c r="H14" i="40"/>
  <c r="J33" i="49" s="1"/>
  <c r="H26" i="47" s="1"/>
  <c r="H33" i="40"/>
  <c r="G14" i="40"/>
  <c r="I33" i="49" s="1"/>
  <c r="G26" i="47" s="1"/>
  <c r="D14" i="40"/>
  <c r="G34" i="47"/>
  <c r="S34" i="47" s="1"/>
  <c r="H121" i="44"/>
  <c r="H33" i="44" s="1"/>
  <c r="N187" i="46" s="1"/>
  <c r="N189" i="46" s="1"/>
  <c r="D206" i="43"/>
  <c r="D146" i="43" s="1"/>
  <c r="D150" i="43" s="1"/>
  <c r="E83" i="42"/>
  <c r="F104" i="41"/>
  <c r="E104" i="41"/>
  <c r="N147" i="46" l="1"/>
  <c r="N149" i="46" s="1"/>
  <c r="H154" i="42" s="1"/>
  <c r="H155" i="42" s="1"/>
  <c r="H12" i="42" s="1"/>
  <c r="J23" i="49" s="1"/>
  <c r="G69" i="42"/>
  <c r="I26" i="49" s="1"/>
  <c r="H104" i="41"/>
  <c r="I23" i="49"/>
  <c r="G104" i="41"/>
  <c r="E220" i="43"/>
  <c r="G90" i="7" s="1"/>
  <c r="G65" i="47"/>
  <c r="G38" i="47"/>
  <c r="F12" i="43"/>
  <c r="H42" i="49" s="1"/>
  <c r="F220" i="43"/>
  <c r="H90" i="7" s="1"/>
  <c r="G206" i="43"/>
  <c r="G146" i="43" s="1"/>
  <c r="G148" i="43" s="1"/>
  <c r="G31" i="43" s="1"/>
  <c r="M163" i="46" s="1"/>
  <c r="M165" i="46" s="1"/>
  <c r="G83" i="42"/>
  <c r="H83" i="42"/>
  <c r="F83" i="42"/>
  <c r="G227" i="44" l="1"/>
  <c r="G145" i="44" s="1"/>
  <c r="G86" i="47" s="1"/>
  <c r="D12" i="43"/>
  <c r="E221" i="43"/>
  <c r="E61" i="47" s="1"/>
  <c r="Q61" i="47" s="1"/>
  <c r="G149" i="43"/>
  <c r="G150" i="43" s="1"/>
  <c r="G12" i="43" s="1"/>
  <c r="I42" i="49" s="1"/>
  <c r="H68" i="42"/>
  <c r="J25" i="49" s="1"/>
  <c r="H243" i="44"/>
  <c r="H146" i="44" s="1"/>
  <c r="G68" i="42"/>
  <c r="I25" i="49" s="1"/>
  <c r="G243" i="44"/>
  <c r="G146" i="44" s="1"/>
  <c r="H38" i="47"/>
  <c r="H65" i="47"/>
  <c r="F221" i="43"/>
  <c r="F61" i="47" s="1"/>
  <c r="R61" i="47" s="1"/>
  <c r="H34" i="47"/>
  <c r="T34" i="47" s="1"/>
  <c r="H206" i="43"/>
  <c r="H146" i="43" s="1"/>
  <c r="H148" i="43" s="1"/>
  <c r="H31" i="43" s="1"/>
  <c r="N163" i="46" s="1"/>
  <c r="N165" i="46" s="1"/>
  <c r="H69" i="42" l="1"/>
  <c r="J26" i="49" s="1"/>
  <c r="G220" i="43"/>
  <c r="H149" i="43"/>
  <c r="H150" i="43" s="1"/>
  <c r="H12" i="43" s="1"/>
  <c r="J42" i="49" s="1"/>
  <c r="H87" i="47"/>
  <c r="T87" i="47" s="1"/>
  <c r="G87" i="47"/>
  <c r="S87" i="47" s="1"/>
  <c r="G221" i="43" l="1"/>
  <c r="G61" i="47" s="1"/>
  <c r="S61" i="47" s="1"/>
  <c r="I90" i="7"/>
  <c r="H227" i="44"/>
  <c r="H145" i="44" s="1"/>
  <c r="H220" i="43"/>
  <c r="H221" i="43" l="1"/>
  <c r="H61" i="47" s="1"/>
  <c r="T61" i="47" s="1"/>
  <c r="J90" i="7"/>
  <c r="H86" i="47"/>
  <c r="J33" i="58" l="1"/>
  <c r="J37" i="58"/>
  <c r="J35" i="58"/>
  <c r="Z8" i="19" a="1"/>
  <c r="X8" i="19" a="1"/>
  <c r="N4" i="95" l="1" a="1"/>
  <c r="N4" i="95" s="1"/>
  <c r="Z8" i="19"/>
  <c r="X8" i="19"/>
  <c r="E6" i="58"/>
  <c r="J31" i="58"/>
  <c r="J36" i="58"/>
  <c r="J32" i="58"/>
  <c r="F119" i="43"/>
  <c r="D24" i="44" l="1"/>
  <c r="H122" i="44"/>
  <c r="H123" i="44" s="1"/>
  <c r="H23" i="44" s="1"/>
  <c r="H73" i="47" s="1"/>
  <c r="T73" i="47" s="1"/>
  <c r="C24" i="44"/>
  <c r="G122" i="44"/>
  <c r="G123" i="44" s="1"/>
  <c r="G23" i="44" s="1"/>
  <c r="G73" i="47" s="1"/>
  <c r="S73" i="47" s="1"/>
  <c r="F122" i="44"/>
  <c r="F123" i="44" s="1"/>
  <c r="F23" i="44" s="1"/>
  <c r="H101" i="44"/>
  <c r="H102" i="44" s="1"/>
  <c r="H22" i="44" s="1"/>
  <c r="H72" i="47" s="1"/>
  <c r="T72" i="47" s="1"/>
  <c r="E122" i="44"/>
  <c r="G101" i="44"/>
  <c r="G102" i="44" s="1"/>
  <c r="G22" i="44" s="1"/>
  <c r="G72" i="47" s="1"/>
  <c r="C22" i="44" l="1"/>
  <c r="D22" i="44"/>
  <c r="D21" i="44"/>
  <c r="G81" i="44"/>
  <c r="G82" i="44" s="1"/>
  <c r="G21" i="44" s="1"/>
  <c r="G71" i="47" s="1"/>
  <c r="F81" i="44"/>
  <c r="F82" i="44" s="1"/>
  <c r="F21" i="44" s="1"/>
  <c r="F71" i="47" s="1"/>
  <c r="H81" i="44"/>
  <c r="H82" i="44" s="1"/>
  <c r="H21" i="44" s="1"/>
  <c r="H71" i="47" s="1"/>
  <c r="F73" i="47"/>
  <c r="R73" i="47" s="1"/>
  <c r="E123" i="44"/>
  <c r="E23" i="44" s="1"/>
  <c r="E73" i="47" l="1"/>
  <c r="Q73" i="47" s="1"/>
  <c r="G24" i="45"/>
  <c r="H24" i="45" s="1"/>
  <c r="E157" i="44" l="1"/>
  <c r="E158" i="44" s="1"/>
  <c r="E24" i="44" s="1"/>
  <c r="AT3" i="12"/>
  <c r="AS3" i="12" l="1"/>
  <c r="AR3" i="12" s="1"/>
  <c r="F11" i="14" l="1"/>
  <c r="P11" i="14" s="1"/>
  <c r="E48" i="44" s="1"/>
  <c r="G11" i="14"/>
  <c r="Q11" i="14" s="1"/>
  <c r="F48" i="44" s="1"/>
  <c r="N11" i="14"/>
  <c r="E19" i="47" l="1"/>
  <c r="E55" i="38"/>
  <c r="E51" i="44"/>
  <c r="E30" i="44" s="1"/>
  <c r="K175" i="46" s="1"/>
  <c r="K177" i="46" s="1"/>
  <c r="G55" i="38"/>
  <c r="H65" i="49"/>
  <c r="F17" i="47" s="1"/>
  <c r="R17" i="47" s="1"/>
  <c r="E49" i="44"/>
  <c r="G65" i="49" l="1"/>
  <c r="E17" i="47" s="1"/>
  <c r="Q17" i="47" s="1"/>
  <c r="H55" i="38"/>
  <c r="J65" i="49" s="1"/>
  <c r="H17" i="47" s="1"/>
  <c r="T17" i="47" s="1"/>
  <c r="I65" i="49"/>
  <c r="G17" i="47" s="1"/>
  <c r="S17" i="47" s="1"/>
  <c r="E52" i="44"/>
  <c r="E53" i="44" s="1"/>
  <c r="E20" i="44" s="1"/>
  <c r="F49" i="44"/>
  <c r="F51" i="44"/>
  <c r="F30" i="44" s="1"/>
  <c r="L175" i="46" s="1"/>
  <c r="L177" i="46" s="1"/>
  <c r="E70" i="47" l="1"/>
  <c r="Q70" i="47" s="1"/>
  <c r="F52" i="44"/>
  <c r="F53" i="44" s="1"/>
  <c r="F20" i="44" s="1"/>
  <c r="F70" i="47" l="1"/>
  <c r="R70" i="47" s="1"/>
  <c r="D19" i="44" l="1"/>
  <c r="D11" i="44" l="1"/>
  <c r="J218" i="46" s="1"/>
  <c r="D12" i="44" l="1"/>
  <c r="D10" i="44" s="1"/>
  <c r="D67" i="38" l="1"/>
  <c r="J204" i="46" s="1"/>
  <c r="D15" i="38"/>
  <c r="G20" i="44" l="1"/>
  <c r="G70" i="47" l="1"/>
  <c r="H20" i="44"/>
  <c r="H70" i="47" l="1"/>
  <c r="C21" i="44" l="1"/>
  <c r="C19" i="44" l="1"/>
  <c r="C11" i="44"/>
  <c r="I218" i="46" s="1"/>
  <c r="C12" i="44" l="1"/>
  <c r="C10" i="44" s="1"/>
  <c r="C67" i="38" s="1"/>
  <c r="I204" i="46" s="1"/>
  <c r="C15" i="38" l="1"/>
  <c r="G9" i="49" l="1"/>
  <c r="G14" i="49"/>
  <c r="G6" i="49"/>
  <c r="G7" i="49"/>
  <c r="C80" i="37"/>
  <c r="I9" i="47"/>
  <c r="L15" i="55" l="1"/>
  <c r="L14" i="55"/>
  <c r="C12" i="41"/>
  <c r="D12" i="41"/>
  <c r="C13" i="40" l="1"/>
  <c r="D13" i="40"/>
  <c r="C127" i="41" l="1"/>
  <c r="D123" i="41"/>
  <c r="E123" i="41" s="1"/>
  <c r="E132" i="41" l="1"/>
  <c r="F123" i="41"/>
  <c r="E127" i="41"/>
  <c r="D127" i="41"/>
  <c r="F127" i="41" l="1"/>
  <c r="F132" i="41"/>
  <c r="D11" i="40" l="1"/>
  <c r="C13" i="41"/>
  <c r="C11" i="40"/>
  <c r="D12" i="40" l="1"/>
  <c r="C12" i="40"/>
  <c r="C11" i="41"/>
  <c r="D13" i="41"/>
  <c r="D10" i="40" l="1"/>
  <c r="D11" i="38" s="1"/>
  <c r="C10" i="40"/>
  <c r="C11" i="38" s="1"/>
  <c r="C10" i="41"/>
  <c r="C12" i="38" s="1"/>
  <c r="D11" i="41"/>
  <c r="D10" i="41" l="1"/>
  <c r="D12" i="38" s="1"/>
  <c r="D68" i="38" l="1"/>
  <c r="J205" i="46" s="1"/>
  <c r="C68" i="38"/>
  <c r="I205" i="46" s="1"/>
  <c r="D61" i="38" l="1"/>
  <c r="D70" i="38"/>
  <c r="J207" i="46" s="1"/>
  <c r="C61" i="38"/>
  <c r="C64" i="38" l="1"/>
  <c r="D63" i="38"/>
  <c r="D62" i="38" l="1"/>
  <c r="D64" i="38" s="1"/>
  <c r="E29" i="44"/>
  <c r="E44" i="38" s="1"/>
  <c r="E81" i="44"/>
  <c r="E82" i="44" s="1"/>
  <c r="E21" i="44" s="1"/>
  <c r="E19" i="44" s="1"/>
  <c r="E71" i="47" l="1"/>
  <c r="E34" i="38" l="1"/>
  <c r="E11" i="44"/>
  <c r="K218" i="46" s="1"/>
  <c r="K222" i="46" l="1"/>
  <c r="E12" i="44" s="1"/>
  <c r="E10" i="44" s="1"/>
  <c r="G57" i="49" s="1"/>
  <c r="E96" i="47" l="1"/>
  <c r="Q96" i="47" s="1"/>
  <c r="E15" i="38"/>
  <c r="E24" i="38" l="1"/>
  <c r="C76" i="38" l="1"/>
  <c r="C78" i="38" s="1"/>
  <c r="I249" i="46" s="1"/>
  <c r="D76" i="38" l="1"/>
  <c r="D78" i="38" s="1"/>
  <c r="J249" i="46" s="1"/>
  <c r="D83" i="38"/>
  <c r="D85" i="38" l="1"/>
  <c r="C68" i="37"/>
  <c r="C70" i="37" s="1"/>
  <c r="I8" i="47"/>
  <c r="C86" i="37" l="1"/>
  <c r="G12" i="49"/>
  <c r="I12" i="47"/>
  <c r="U3" i="47"/>
  <c r="H84" i="42" l="1"/>
  <c r="H67" i="42" s="1"/>
  <c r="J24" i="49" s="1"/>
  <c r="F84" i="42"/>
  <c r="F67" i="42" s="1"/>
  <c r="H24" i="49" s="1"/>
  <c r="G84" i="42"/>
  <c r="G67" i="42" s="1"/>
  <c r="I24" i="49" s="1"/>
  <c r="O56" i="46"/>
  <c r="E84" i="42"/>
  <c r="E67" i="42" s="1"/>
  <c r="G24" i="49" s="1"/>
  <c r="G86" i="37"/>
  <c r="E84" i="38" s="1"/>
  <c r="I86" i="37"/>
  <c r="H86" i="37"/>
  <c r="J86" i="37"/>
  <c r="G15" i="49"/>
  <c r="K4" i="95" a="1"/>
  <c r="K4" i="95" s="1"/>
  <c r="H4" i="95" a="1"/>
  <c r="H4" i="95" s="1"/>
  <c r="J4" i="95" a="1"/>
  <c r="J4" i="95" s="1"/>
  <c r="I4" i="95" a="1"/>
  <c r="I4" i="95" s="1"/>
  <c r="E63" i="38" l="1"/>
  <c r="K92" i="46" s="1"/>
  <c r="E70" i="38"/>
  <c r="K207" i="46" s="1"/>
  <c r="E33" i="47"/>
  <c r="Q33" i="47" s="1"/>
  <c r="E72" i="42"/>
  <c r="G29" i="49"/>
  <c r="G54" i="49" s="1"/>
  <c r="C72" i="42"/>
  <c r="F133" i="41"/>
  <c r="F135" i="41" s="1"/>
  <c r="F105" i="41" s="1"/>
  <c r="L130" i="46" s="1"/>
  <c r="L132" i="46" s="1"/>
  <c r="L17" i="55"/>
  <c r="F97" i="47"/>
  <c r="J29" i="49"/>
  <c r="J54" i="49" s="1"/>
  <c r="H72" i="42"/>
  <c r="H33" i="47"/>
  <c r="T33" i="47" s="1"/>
  <c r="G133" i="41"/>
  <c r="L18" i="55"/>
  <c r="G97" i="47"/>
  <c r="G33" i="47"/>
  <c r="S33" i="47" s="1"/>
  <c r="G72" i="42"/>
  <c r="I29" i="49"/>
  <c r="I54" i="49" s="1"/>
  <c r="E133" i="41"/>
  <c r="E135" i="41" s="1"/>
  <c r="E105" i="41" s="1"/>
  <c r="K130" i="46" s="1"/>
  <c r="K132" i="46" s="1"/>
  <c r="NW62" i="58"/>
  <c r="QO66" i="58"/>
  <c r="RI56" i="58"/>
  <c r="LI21" i="58"/>
  <c r="OC65" i="58"/>
  <c r="RV59" i="58"/>
  <c r="OG56" i="58"/>
  <c r="MB59" i="58"/>
  <c r="NY48" i="58"/>
  <c r="LK52" i="58"/>
  <c r="ME61" i="58"/>
  <c r="NG46" i="58"/>
  <c r="LD61" i="58"/>
  <c r="KT38" i="58"/>
  <c r="KG20" i="58"/>
  <c r="OC49" i="58"/>
  <c r="LL65" i="58"/>
  <c r="OW47" i="58"/>
  <c r="MZ53" i="58"/>
  <c r="OP56" i="58"/>
  <c r="MT50" i="58"/>
  <c r="PL58" i="58"/>
  <c r="RH63" i="58"/>
  <c r="RE60" i="58"/>
  <c r="MO55" i="58"/>
  <c r="PY39" i="58"/>
  <c r="PF47" i="58"/>
  <c r="KX35" i="58"/>
  <c r="NQ62" i="58"/>
  <c r="LX63" i="58"/>
  <c r="KS59" i="58"/>
  <c r="QJ61" i="58"/>
  <c r="OO49" i="58"/>
  <c r="OG63" i="58"/>
  <c r="MK54" i="58"/>
  <c r="QS8" i="58"/>
  <c r="LJ43" i="58"/>
  <c r="QR58" i="58"/>
  <c r="MJ65" i="58"/>
  <c r="MR59" i="58"/>
  <c r="PI47" i="58"/>
  <c r="RF53" i="58"/>
  <c r="NO47" i="58"/>
  <c r="QZ58" i="58"/>
  <c r="NO64" i="58"/>
  <c r="PF62" i="58"/>
  <c r="NL60" i="58"/>
  <c r="QP42" i="58"/>
  <c r="LQ41" i="58"/>
  <c r="OI36" i="58"/>
  <c r="LE43" i="58"/>
  <c r="KR36" i="58"/>
  <c r="LM35" i="58"/>
  <c r="NY59" i="58"/>
  <c r="QY57" i="58"/>
  <c r="PN65" i="58"/>
  <c r="NK57" i="58"/>
  <c r="PH60" i="58"/>
  <c r="LC33" i="58"/>
  <c r="NJ62" i="58"/>
  <c r="PZ60" i="58"/>
  <c r="NN61" i="58"/>
  <c r="MT59" i="58"/>
  <c r="MJ50" i="58"/>
  <c r="QM59" i="58"/>
  <c r="QM66" i="58"/>
  <c r="QH65" i="58"/>
  <c r="LA60" i="58"/>
  <c r="RS52" i="58"/>
  <c r="MU45" i="58"/>
  <c r="OV46" i="58"/>
  <c r="RI66" i="58"/>
  <c r="NI61" i="58"/>
  <c r="NH34" i="58"/>
  <c r="MF61" i="58"/>
  <c r="ND36" i="58"/>
  <c r="MI58" i="58"/>
  <c r="ME65" i="58"/>
  <c r="PI51" i="58"/>
  <c r="NW58" i="58"/>
  <c r="QA59" i="58"/>
  <c r="MM58" i="58"/>
  <c r="OZ63" i="58"/>
  <c r="NL62" i="58"/>
  <c r="RO52" i="58"/>
  <c r="PU64" i="58"/>
  <c r="LX66" i="58"/>
  <c r="NY63" i="58"/>
  <c r="RJ58" i="58"/>
  <c r="RB58" i="58"/>
  <c r="OQ45" i="58"/>
  <c r="QV66" i="58"/>
  <c r="MH62" i="58"/>
  <c r="RR64" i="58"/>
  <c r="PJ64" i="58"/>
  <c r="QD52" i="58"/>
  <c r="QJ47" i="58"/>
  <c r="NO33" i="58"/>
  <c r="LE54" i="58"/>
  <c r="PX60" i="58"/>
  <c r="OX43" i="58"/>
  <c r="RI52" i="58"/>
  <c r="PP66" i="58"/>
  <c r="QZ49" i="58"/>
  <c r="LB50" i="58"/>
  <c r="RG50" i="58"/>
  <c r="NQ58" i="58"/>
  <c r="OI65" i="58"/>
  <c r="RI54" i="58"/>
  <c r="RC64" i="58"/>
  <c r="QI65" i="58"/>
  <c r="NE60" i="58"/>
  <c r="RR63" i="58"/>
  <c r="NP56" i="58"/>
  <c r="MR55" i="58"/>
  <c r="QA53" i="58"/>
  <c r="RJ52" i="58"/>
  <c r="MU31" i="58"/>
  <c r="PZ41" i="58"/>
  <c r="KS35" i="58"/>
  <c r="PY40" i="58"/>
  <c r="RD39" i="58"/>
  <c r="PX66" i="58"/>
  <c r="QW43" i="58"/>
  <c r="NW60" i="58"/>
  <c r="OV52" i="58"/>
  <c r="KU46" i="58"/>
  <c r="NS46" i="58"/>
  <c r="NG60" i="58"/>
  <c r="RD64" i="58"/>
  <c r="NS51" i="58"/>
  <c r="KT56" i="58"/>
  <c r="QN63" i="58"/>
  <c r="MQ55" i="58"/>
  <c r="OH46" i="58"/>
  <c r="QX64" i="58"/>
  <c r="NI60" i="58"/>
  <c r="OD55" i="58"/>
  <c r="KW65" i="58"/>
  <c r="OD50" i="58"/>
  <c r="KU33" i="58"/>
  <c r="MO59" i="58"/>
  <c r="LU63" i="58"/>
  <c r="RK65" i="58"/>
  <c r="PO65" i="58"/>
  <c r="PQ38" i="58"/>
  <c r="QW56" i="58"/>
  <c r="LO61" i="58"/>
  <c r="LA63" i="58"/>
  <c r="PP60" i="58"/>
  <c r="QG62" i="58"/>
  <c r="PN39" i="58"/>
  <c r="OM58" i="58"/>
  <c r="OZ65" i="58"/>
  <c r="NH63" i="58"/>
  <c r="DG8" i="58"/>
  <c r="OB64" i="58"/>
  <c r="LY58" i="58"/>
  <c r="PU38" i="58"/>
  <c r="QP64" i="58"/>
  <c r="KV66" i="58"/>
  <c r="QT62" i="58"/>
  <c r="OE30" i="58"/>
  <c r="OV63" i="58"/>
  <c r="PV58" i="58"/>
  <c r="LG64" i="58"/>
  <c r="LO60" i="58"/>
  <c r="LK48" i="58"/>
  <c r="LX51" i="58"/>
  <c r="MG64" i="58"/>
  <c r="MA57" i="58"/>
  <c r="PG63" i="58"/>
  <c r="MU54" i="58"/>
  <c r="RI65" i="58"/>
  <c r="RH60" i="58"/>
  <c r="MI57" i="58"/>
  <c r="NR66" i="58"/>
  <c r="RV41" i="58"/>
  <c r="NH50" i="58"/>
  <c r="LZ35" i="58"/>
  <c r="RV66" i="58"/>
  <c r="OG59" i="58"/>
  <c r="OF65" i="58"/>
  <c r="OQ48" i="58"/>
  <c r="MA36" i="58"/>
  <c r="RN41" i="58"/>
  <c r="QW47" i="58"/>
  <c r="RS53" i="58"/>
  <c r="LR62" i="58"/>
  <c r="OC36" i="58"/>
  <c r="QN51" i="58"/>
  <c r="QY55" i="58"/>
  <c r="OP55" i="58"/>
  <c r="OR34" i="58"/>
  <c r="KQ64" i="58"/>
  <c r="LA56" i="58"/>
  <c r="OU56" i="58"/>
  <c r="MC65" i="58"/>
  <c r="KS58" i="58"/>
  <c r="QF52" i="58"/>
  <c r="RJ65" i="58"/>
  <c r="NA61" i="58"/>
  <c r="PH58" i="58"/>
  <c r="NX62" i="58"/>
  <c r="NM40" i="58"/>
  <c r="PH34" i="58"/>
  <c r="NC63" i="58"/>
  <c r="ML29" i="58"/>
  <c r="OS66" i="58"/>
  <c r="LG8" i="58"/>
  <c r="RT63" i="58"/>
  <c r="OL56" i="58"/>
  <c r="RH59" i="58"/>
  <c r="QL64" i="58"/>
  <c r="MB58" i="58"/>
  <c r="RK60" i="58"/>
  <c r="KZ53" i="58"/>
  <c r="PG35" i="58"/>
  <c r="OT65" i="58"/>
  <c r="NA43" i="58"/>
  <c r="NB52" i="58"/>
  <c r="PJ39" i="58"/>
  <c r="NB39" i="58"/>
  <c r="PO55" i="58"/>
  <c r="PK57" i="58"/>
  <c r="LA52" i="58"/>
  <c r="RD42" i="58"/>
  <c r="RB55" i="58"/>
  <c r="NE43" i="58"/>
  <c r="OG42" i="58"/>
  <c r="RN57" i="58"/>
  <c r="OF42" i="58"/>
  <c r="PA56" i="58"/>
  <c r="MD40" i="58"/>
  <c r="RN62" i="58"/>
  <c r="RU63" i="58"/>
  <c r="MV50" i="58"/>
  <c r="NC52" i="58"/>
  <c r="QY59" i="58"/>
  <c r="OB66" i="58"/>
  <c r="NR48" i="58"/>
  <c r="RN45" i="58"/>
  <c r="NW42" i="58"/>
  <c r="QG63" i="58"/>
  <c r="PE64" i="58"/>
  <c r="NT48" i="58"/>
  <c r="ND52" i="58"/>
  <c r="MM38" i="58"/>
  <c r="MF65" i="58"/>
  <c r="OE58" i="58"/>
  <c r="QH66" i="58"/>
  <c r="RT52" i="58"/>
  <c r="PC57" i="58"/>
  <c r="NI38" i="58"/>
  <c r="RA57" i="58"/>
  <c r="RN56" i="58"/>
  <c r="MP31" i="58"/>
  <c r="RJ43" i="58"/>
  <c r="LC42" i="58"/>
  <c r="KS51" i="58"/>
  <c r="QT66" i="58"/>
  <c r="KS62" i="58"/>
  <c r="LF60" i="58"/>
  <c r="OA66" i="58"/>
  <c r="PA41" i="58"/>
  <c r="PI66" i="58"/>
  <c r="PL64" i="58"/>
  <c r="QA46" i="58"/>
  <c r="PB47" i="58"/>
  <c r="ML23" i="58"/>
  <c r="KY48" i="58"/>
  <c r="LS48" i="58"/>
  <c r="PZ34" i="58"/>
  <c r="RT53" i="58"/>
  <c r="OE63" i="58"/>
  <c r="ME62" i="58"/>
  <c r="LM36" i="58"/>
  <c r="NA63" i="58"/>
  <c r="OB60" i="58"/>
  <c r="NF34" i="58"/>
  <c r="PE42" i="58"/>
  <c r="BQ8" i="58"/>
  <c r="LQ47" i="58"/>
  <c r="KU49" i="58"/>
  <c r="RH58" i="58"/>
  <c r="KX65" i="58"/>
  <c r="OG8" i="58"/>
  <c r="LH46" i="58"/>
  <c r="RD34" i="58"/>
  <c r="PX52" i="58"/>
  <c r="ME45" i="58"/>
  <c r="PJ62" i="58"/>
  <c r="PF56" i="58"/>
  <c r="NL64" i="58"/>
  <c r="QK66" i="58"/>
  <c r="PR57" i="58"/>
  <c r="OR57" i="58"/>
  <c r="PG54" i="58"/>
  <c r="NV51" i="58"/>
  <c r="RO50" i="58"/>
  <c r="LV52" i="58"/>
  <c r="QD55" i="58"/>
  <c r="NG65" i="58"/>
  <c r="LJ62" i="58"/>
  <c r="LZ63" i="58"/>
  <c r="QV49" i="58"/>
  <c r="QU53" i="58"/>
  <c r="NP59" i="58"/>
  <c r="MC56" i="58"/>
  <c r="MC61" i="58"/>
  <c r="PW42" i="58"/>
  <c r="KZ59" i="58"/>
  <c r="LY55" i="58"/>
  <c r="KQ62" i="58"/>
  <c r="PR61" i="58"/>
  <c r="RR53" i="58"/>
  <c r="OW35" i="58"/>
  <c r="LD65" i="58"/>
  <c r="OE42" i="58"/>
  <c r="LL43" i="58"/>
  <c r="PW56" i="58"/>
  <c r="RT64" i="58"/>
  <c r="OG58" i="58"/>
  <c r="QG50" i="58"/>
  <c r="PJ33" i="58"/>
  <c r="PG56" i="58"/>
  <c r="PV63" i="58"/>
  <c r="PT62" i="58"/>
  <c r="QM54" i="58"/>
  <c r="QS43" i="58"/>
  <c r="QZ62" i="58"/>
  <c r="QQ65" i="58"/>
  <c r="NZ54" i="58"/>
  <c r="PY53" i="58"/>
  <c r="NZ62" i="58"/>
  <c r="RL51" i="58"/>
  <c r="KU48" i="58"/>
  <c r="QZ24" i="58"/>
  <c r="NZ66" i="58"/>
  <c r="ON64" i="58"/>
  <c r="ND41" i="58"/>
  <c r="PV45" i="58"/>
  <c r="NB49" i="58"/>
  <c r="MU52" i="58"/>
  <c r="QS59" i="58"/>
  <c r="OO62" i="58"/>
  <c r="LT57" i="58"/>
  <c r="PV48" i="58"/>
  <c r="QF61" i="58"/>
  <c r="LK63" i="58"/>
  <c r="QQ45" i="58"/>
  <c r="OJ45" i="58"/>
  <c r="RT58" i="58"/>
  <c r="OR63" i="58"/>
  <c r="QP41" i="58"/>
  <c r="QA56" i="58"/>
  <c r="ND40" i="58"/>
  <c r="PR60" i="58"/>
  <c r="PR58" i="58"/>
  <c r="LY62" i="58"/>
  <c r="PQ63" i="58"/>
  <c r="MG58" i="58"/>
  <c r="RF66" i="58"/>
  <c r="OX50" i="58"/>
  <c r="OS64" i="58"/>
  <c r="RE53" i="58"/>
  <c r="OZ41" i="58"/>
  <c r="PK46" i="58"/>
  <c r="NC47" i="58"/>
  <c r="RE61" i="58"/>
  <c r="LL49" i="58"/>
  <c r="PC55" i="58"/>
  <c r="LT51" i="58"/>
  <c r="OC62" i="58"/>
  <c r="RP47" i="58"/>
  <c r="NO41" i="58"/>
  <c r="OP54" i="58"/>
  <c r="ON48" i="58"/>
  <c r="PB50" i="58"/>
  <c r="QJ33" i="58"/>
  <c r="IG8" i="58"/>
  <c r="PD43" i="58"/>
  <c r="QY60" i="58"/>
  <c r="PN64" i="58"/>
  <c r="MH65" i="58"/>
  <c r="KX54" i="58"/>
  <c r="OR54" i="58"/>
  <c r="MM66" i="58"/>
  <c r="MF53" i="58"/>
  <c r="RG51" i="58"/>
  <c r="RM56" i="58"/>
  <c r="MC52" i="58"/>
  <c r="PJ51" i="58"/>
  <c r="NU39" i="58"/>
  <c r="RC60" i="58"/>
  <c r="MM57" i="58"/>
  <c r="PG47" i="58"/>
  <c r="PK47" i="58"/>
  <c r="NF55" i="58"/>
  <c r="LX61" i="58"/>
  <c r="QI52" i="58"/>
  <c r="NQ65" i="58"/>
  <c r="PP58" i="58"/>
  <c r="KU60" i="58"/>
  <c r="NL54" i="58"/>
  <c r="QZ65" i="58"/>
  <c r="QN43" i="58"/>
  <c r="LT52" i="58"/>
  <c r="OT43" i="58"/>
  <c r="KS41" i="58"/>
  <c r="LV41" i="58"/>
  <c r="NL50" i="58"/>
  <c r="RS66" i="58"/>
  <c r="PA64" i="58"/>
  <c r="KT43" i="58"/>
  <c r="MO61" i="58"/>
  <c r="OP63" i="58"/>
  <c r="ML58" i="58"/>
  <c r="MQ50" i="58"/>
  <c r="QE64" i="58"/>
  <c r="QR65" i="58"/>
  <c r="PE56" i="58"/>
  <c r="LL33" i="58"/>
  <c r="NS49" i="58"/>
  <c r="LM51" i="58"/>
  <c r="QA41" i="58"/>
  <c r="KS55" i="58"/>
  <c r="PH57" i="58"/>
  <c r="MB45" i="58"/>
  <c r="QA65" i="58"/>
  <c r="NV50" i="58"/>
  <c r="NM48" i="58"/>
  <c r="LO45" i="58"/>
  <c r="LI40" i="58"/>
  <c r="NW57" i="58"/>
  <c r="PS60" i="58"/>
  <c r="NP65" i="58"/>
  <c r="QZ63" i="58"/>
  <c r="OO53" i="58"/>
  <c r="OL64" i="58"/>
  <c r="MO33" i="58"/>
  <c r="NW63" i="58"/>
  <c r="QE63" i="58"/>
  <c r="MP60" i="58"/>
  <c r="LC36" i="58"/>
  <c r="LF62" i="58"/>
  <c r="QA54" i="58"/>
  <c r="MQ59" i="58"/>
  <c r="NZ60" i="58"/>
  <c r="RQ57" i="58"/>
  <c r="PT53" i="58"/>
  <c r="MR65" i="58"/>
  <c r="QL56" i="58"/>
  <c r="ML55" i="58"/>
  <c r="QG49" i="58"/>
  <c r="QP45" i="58"/>
  <c r="RN60" i="58"/>
  <c r="MI64" i="58"/>
  <c r="MY56" i="58"/>
  <c r="RL65" i="58"/>
  <c r="PE48" i="58"/>
  <c r="QQ55" i="58"/>
  <c r="OX58" i="58"/>
  <c r="MZ45" i="58"/>
  <c r="PT65" i="58"/>
  <c r="IW8" i="58"/>
  <c r="PH64" i="58"/>
  <c r="PP47" i="58"/>
  <c r="PJ54" i="58"/>
  <c r="NR57" i="58"/>
  <c r="PZ61" i="58"/>
  <c r="LR61" i="58"/>
  <c r="OR49" i="58"/>
  <c r="LZ9" i="58"/>
  <c r="MC59" i="58"/>
  <c r="OE41" i="58"/>
  <c r="OP59" i="58"/>
  <c r="OF62" i="58"/>
  <c r="LR46" i="58"/>
  <c r="PY60" i="58"/>
  <c r="KY63" i="58"/>
  <c r="PZ57" i="58"/>
  <c r="MB48" i="58"/>
  <c r="OZ60" i="58"/>
  <c r="L16" i="55"/>
  <c r="ML59" i="58"/>
  <c r="PV37" i="58"/>
  <c r="PZ49" i="58"/>
  <c r="NA59" i="58"/>
  <c r="MG48" i="58"/>
  <c r="LL55" i="58"/>
  <c r="QG43" i="58"/>
  <c r="LE8" i="58"/>
  <c r="OD65" i="58"/>
  <c r="PC50" i="58"/>
  <c r="PO41" i="58"/>
  <c r="NA64" i="58"/>
  <c r="QH43" i="58"/>
  <c r="OI54" i="58"/>
  <c r="LU52" i="58"/>
  <c r="LQ59" i="58"/>
  <c r="QC49" i="58"/>
  <c r="RE46" i="58"/>
  <c r="LP55" i="58"/>
  <c r="QP57" i="58"/>
  <c r="OO60" i="58"/>
  <c r="LE48" i="58"/>
  <c r="PS49" i="58"/>
  <c r="PU60" i="58"/>
  <c r="OQ50" i="58"/>
  <c r="NP54" i="58"/>
  <c r="OI61" i="58"/>
  <c r="MG31" i="58"/>
  <c r="NL47" i="58"/>
  <c r="PX56" i="58"/>
  <c r="QW64" i="58"/>
  <c r="OC60" i="58"/>
  <c r="QE42" i="58"/>
  <c r="QQ40" i="58"/>
  <c r="QB66" i="58"/>
  <c r="PX62" i="58"/>
  <c r="MS62" i="58"/>
  <c r="NL39" i="58"/>
  <c r="PQ62" i="58"/>
  <c r="NA52" i="58"/>
  <c r="LC52" i="58"/>
  <c r="MG63" i="58"/>
  <c r="KT54" i="58"/>
  <c r="QV62" i="58"/>
  <c r="QB54" i="58"/>
  <c r="OI47" i="58"/>
  <c r="KV60" i="58"/>
  <c r="OL63" i="58"/>
  <c r="NS59" i="58"/>
  <c r="QO40" i="58"/>
  <c r="QO35" i="58"/>
  <c r="NC41" i="58"/>
  <c r="RI40" i="58"/>
  <c r="RJ57" i="58"/>
  <c r="NE57" i="58"/>
  <c r="QL57" i="58"/>
  <c r="PY34" i="58"/>
  <c r="LS64" i="58"/>
  <c r="RE55" i="58"/>
  <c r="OA62" i="58"/>
  <c r="NE45" i="58"/>
  <c r="RE54" i="58"/>
  <c r="QV54" i="58"/>
  <c r="PS40" i="58"/>
  <c r="OC64" i="58"/>
  <c r="PP56" i="58"/>
  <c r="QH50" i="58"/>
  <c r="MW61" i="58"/>
  <c r="PL46" i="58"/>
  <c r="QG65" i="58"/>
  <c r="MN59" i="58"/>
  <c r="OO57" i="58"/>
  <c r="NH66" i="58"/>
  <c r="QN52" i="58"/>
  <c r="KZ52" i="58"/>
  <c r="QE47" i="58"/>
  <c r="NS8" i="58"/>
  <c r="MR40" i="58"/>
  <c r="LK51" i="58"/>
  <c r="PW59" i="58"/>
  <c r="LN56" i="58"/>
  <c r="NP63" i="58"/>
  <c r="E97" i="47"/>
  <c r="LV51" i="58"/>
  <c r="OK53" i="58"/>
  <c r="OX42" i="58"/>
  <c r="MJ29" i="58"/>
  <c r="X8" i="58"/>
  <c r="NY65" i="58"/>
  <c r="QV48" i="58"/>
  <c r="MW54" i="58"/>
  <c r="RB60" i="58"/>
  <c r="LV38" i="58"/>
  <c r="OL60" i="58"/>
  <c r="PA42" i="58"/>
  <c r="QL52" i="58"/>
  <c r="NU65" i="58"/>
  <c r="MA59" i="58"/>
  <c r="LR60" i="58"/>
  <c r="PB54" i="58"/>
  <c r="OJ66" i="58"/>
  <c r="LB55" i="58"/>
  <c r="MF37" i="58"/>
  <c r="QT50" i="58"/>
  <c r="QR62" i="58"/>
  <c r="PJ60" i="58"/>
  <c r="LH63" i="58"/>
  <c r="OD62" i="58"/>
  <c r="MS53" i="58"/>
  <c r="RO35" i="58"/>
  <c r="PL66" i="58"/>
  <c r="LW48" i="58"/>
  <c r="LX64" i="58"/>
  <c r="MK51" i="58"/>
  <c r="OE61" i="58"/>
  <c r="PT48" i="58"/>
  <c r="PJ55" i="58"/>
  <c r="NL33" i="58"/>
  <c r="NG63" i="58"/>
  <c r="OM60" i="58"/>
  <c r="NP30" i="58"/>
  <c r="RQ52" i="58"/>
  <c r="OY49" i="58"/>
  <c r="PL53" i="58"/>
  <c r="OK54" i="58"/>
  <c r="QX63" i="58"/>
  <c r="MI48" i="58"/>
  <c r="QT54" i="58"/>
  <c r="PO36" i="58"/>
  <c r="LT49" i="58"/>
  <c r="ME60" i="58"/>
  <c r="KQ47" i="58"/>
  <c r="RV63" i="58"/>
  <c r="PK53" i="58"/>
  <c r="NF62" i="58"/>
  <c r="MU60" i="58"/>
  <c r="OF52" i="58"/>
  <c r="PF54" i="58"/>
  <c r="MP65" i="58"/>
  <c r="PF65" i="58"/>
  <c r="MC45" i="58"/>
  <c r="NO50" i="58"/>
  <c r="RJ63" i="58"/>
  <c r="QJ64" i="58"/>
  <c r="MC49" i="58"/>
  <c r="MF45" i="58"/>
  <c r="PV65" i="58"/>
  <c r="MJ64" i="58"/>
  <c r="QY62" i="58"/>
  <c r="PW43" i="58"/>
  <c r="MA53" i="58"/>
  <c r="RS45" i="58"/>
  <c r="PS65" i="58"/>
  <c r="PC37" i="58"/>
  <c r="PA65" i="58"/>
  <c r="QI60" i="58"/>
  <c r="QK41" i="58"/>
  <c r="RM49" i="58"/>
  <c r="MF52" i="58"/>
  <c r="LG51" i="58"/>
  <c r="MW60" i="58"/>
  <c r="NB60" i="58"/>
  <c r="NA49" i="58"/>
  <c r="RL61" i="58"/>
  <c r="PM63" i="58"/>
  <c r="KV49" i="58"/>
  <c r="QK54" i="58"/>
  <c r="LF59" i="58"/>
  <c r="NT45" i="58"/>
  <c r="OM56" i="58"/>
  <c r="LC66" i="58"/>
  <c r="RP52" i="58"/>
  <c r="ML57" i="58"/>
  <c r="LH37" i="58"/>
  <c r="MO66" i="58"/>
  <c r="MS33" i="58"/>
  <c r="QK46" i="58"/>
  <c r="OJ61" i="58"/>
  <c r="LP60" i="58"/>
  <c r="OO51" i="58"/>
  <c r="KQ66" i="58"/>
  <c r="MR43" i="58"/>
  <c r="LQ50" i="58"/>
  <c r="QM52" i="58"/>
  <c r="NT34" i="58"/>
  <c r="RG58" i="58"/>
  <c r="OR62" i="58"/>
  <c r="PZ54" i="58"/>
  <c r="OS54" i="58"/>
  <c r="QF66" i="58"/>
  <c r="PX64" i="58"/>
  <c r="NL43" i="58"/>
  <c r="PH65" i="58"/>
  <c r="MT48" i="58"/>
  <c r="LW56" i="58"/>
  <c r="MY54" i="58"/>
  <c r="PN51" i="58"/>
  <c r="NK52" i="58"/>
  <c r="QE61" i="58"/>
  <c r="RU65" i="58"/>
  <c r="OD59" i="58"/>
  <c r="MN38" i="58"/>
  <c r="QX49" i="58"/>
  <c r="KV54" i="58"/>
  <c r="PP38" i="58"/>
  <c r="LH57" i="58"/>
  <c r="MY59" i="58"/>
  <c r="OH64" i="58"/>
  <c r="RL50" i="58"/>
  <c r="QU60" i="58"/>
  <c r="MU61" i="58"/>
  <c r="MX49" i="58"/>
  <c r="ME54" i="58"/>
  <c r="PN52" i="58"/>
  <c r="NE50" i="58"/>
  <c r="PZ65" i="58"/>
  <c r="MI56" i="58"/>
  <c r="KT46" i="58"/>
  <c r="RC66" i="58"/>
  <c r="PI56" i="58"/>
  <c r="NF63" i="58"/>
  <c r="LM46" i="58"/>
  <c r="KW46" i="58"/>
  <c r="PZ59" i="58"/>
  <c r="LO57" i="58"/>
  <c r="JM8" i="58"/>
  <c r="PJ40" i="58"/>
  <c r="RG56" i="58"/>
  <c r="LU56" i="58"/>
  <c r="LX56" i="58"/>
  <c r="RU61" i="58"/>
  <c r="PU39" i="58"/>
  <c r="OD52" i="58"/>
  <c r="MD66" i="58"/>
  <c r="QD63" i="58"/>
  <c r="MB46" i="58"/>
  <c r="LN61" i="58"/>
  <c r="PX45" i="58"/>
  <c r="NF36" i="58"/>
  <c r="PT50" i="58"/>
  <c r="MY52" i="58"/>
  <c r="KV46" i="58"/>
  <c r="NR47" i="58"/>
  <c r="NM66" i="58"/>
  <c r="LB64" i="58"/>
  <c r="OZ50" i="58"/>
  <c r="LW64" i="58"/>
  <c r="KQ40" i="58"/>
  <c r="MA60" i="58"/>
  <c r="PU57" i="58"/>
  <c r="OF54" i="58"/>
  <c r="RO57" i="58"/>
  <c r="MR37" i="58"/>
  <c r="NA62" i="58"/>
  <c r="OQ61" i="58"/>
  <c r="LN60" i="58"/>
  <c r="LH36" i="58"/>
  <c r="LE66" i="58"/>
  <c r="RN65" i="58"/>
  <c r="QW66" i="58"/>
  <c r="LJ52" i="58"/>
  <c r="KW43" i="58"/>
  <c r="KV55" i="58"/>
  <c r="MP50" i="58"/>
  <c r="NX42" i="58"/>
  <c r="KZ55" i="58"/>
  <c r="QE48" i="58"/>
  <c r="RG47" i="58"/>
  <c r="LQ56" i="58"/>
  <c r="OR58" i="58"/>
  <c r="OE50" i="58"/>
  <c r="QY61" i="58"/>
  <c r="OM50" i="58"/>
  <c r="OM52" i="58"/>
  <c r="QY45" i="58"/>
  <c r="OP64" i="58"/>
  <c r="OQ56" i="58"/>
  <c r="LX35" i="58"/>
  <c r="QR61" i="58"/>
  <c r="OA37" i="58"/>
  <c r="MK64" i="58"/>
  <c r="LE59" i="58"/>
  <c r="LV55" i="58"/>
  <c r="OY61" i="58"/>
  <c r="LL32" i="58"/>
  <c r="OJ58" i="58"/>
  <c r="LV66" i="58"/>
  <c r="MS65" i="58"/>
  <c r="KZ43" i="58"/>
  <c r="NB58" i="58"/>
  <c r="RC65" i="58"/>
  <c r="QQ57" i="58"/>
  <c r="LA45" i="58"/>
  <c r="PI55" i="58"/>
  <c r="RE45" i="58"/>
  <c r="PN49" i="58"/>
  <c r="PG64" i="58"/>
  <c r="KU47" i="58"/>
  <c r="KR40" i="58"/>
  <c r="LD47" i="58"/>
  <c r="LS58" i="58"/>
  <c r="OO46" i="58"/>
  <c r="LT66" i="58"/>
  <c r="LE65" i="58"/>
  <c r="NG42" i="58"/>
  <c r="RK66" i="58"/>
  <c r="PH52" i="58"/>
  <c r="QD49" i="58"/>
  <c r="QL55" i="58"/>
  <c r="KW63" i="58"/>
  <c r="LU58" i="58"/>
  <c r="LE63" i="58"/>
  <c r="PR39" i="58"/>
  <c r="PI64" i="58"/>
  <c r="OR65" i="58"/>
  <c r="RO53" i="58"/>
  <c r="MG37" i="58"/>
  <c r="PG59" i="58"/>
  <c r="MR63" i="58"/>
  <c r="LQ54" i="58"/>
  <c r="MB62" i="58"/>
  <c r="MN52" i="58"/>
  <c r="PB63" i="58"/>
  <c r="OR40" i="58"/>
  <c r="PV43" i="58"/>
  <c r="MV53" i="58"/>
  <c r="NB41" i="58"/>
  <c r="QC58" i="58"/>
  <c r="OU8" i="58"/>
  <c r="OQ60" i="58"/>
  <c r="QW63" i="58"/>
  <c r="LW63" i="58"/>
  <c r="LS40" i="58"/>
  <c r="LC65" i="58"/>
  <c r="RF62" i="58"/>
  <c r="NQ35" i="58"/>
  <c r="MH50" i="58"/>
  <c r="KS40" i="58"/>
  <c r="OJ50" i="58"/>
  <c r="OA63" i="58"/>
  <c r="RC56" i="58"/>
  <c r="OH41" i="58"/>
  <c r="NW55" i="58"/>
  <c r="OO43" i="58"/>
  <c r="QZ51" i="58"/>
  <c r="MY35" i="58"/>
  <c r="LW58" i="58"/>
  <c r="KX52" i="58"/>
  <c r="KT47" i="58"/>
  <c r="PO40" i="58"/>
  <c r="LM33" i="58"/>
  <c r="MP59" i="58"/>
  <c r="QQ48" i="58"/>
  <c r="OC41" i="58"/>
  <c r="OT41" i="58"/>
  <c r="PC40" i="58"/>
  <c r="RM54" i="58"/>
  <c r="QB65" i="58"/>
  <c r="MZ57" i="58"/>
  <c r="NH58" i="58"/>
  <c r="OF38" i="58"/>
  <c r="PQ61" i="58"/>
  <c r="QE62" i="58"/>
  <c r="MP62" i="58"/>
  <c r="RK45" i="58"/>
  <c r="KU66" i="58"/>
  <c r="PD57" i="58"/>
  <c r="OR53" i="58"/>
  <c r="QH57" i="58"/>
  <c r="LR57" i="58"/>
  <c r="ON54" i="58"/>
  <c r="RR52" i="58"/>
  <c r="OH60" i="58"/>
  <c r="MB63" i="58"/>
  <c r="PJ65" i="58"/>
  <c r="RC63" i="58"/>
  <c r="LH56" i="58"/>
  <c r="PP35" i="58"/>
  <c r="LW65" i="58"/>
  <c r="MB66" i="58"/>
  <c r="PB66" i="58"/>
  <c r="MW49" i="58"/>
  <c r="GF24" i="58"/>
  <c r="QC36" i="58"/>
  <c r="QN49" i="58"/>
  <c r="QP65" i="58"/>
  <c r="OI46" i="58"/>
  <c r="PO63" i="58"/>
  <c r="RR46" i="58"/>
  <c r="MX64" i="58"/>
  <c r="RM46" i="58"/>
  <c r="LY36" i="58"/>
  <c r="MV66" i="58"/>
  <c r="PN57" i="58"/>
  <c r="NS64" i="58"/>
  <c r="NG61" i="58"/>
  <c r="PF66" i="58"/>
  <c r="PU65" i="58"/>
  <c r="OK61" i="58"/>
  <c r="QO63" i="58"/>
  <c r="OQ29" i="58"/>
  <c r="LX53" i="58"/>
  <c r="LB65" i="58"/>
  <c r="RR58" i="58"/>
  <c r="QP51" i="58"/>
  <c r="KC24" i="58"/>
  <c r="PO56" i="58"/>
  <c r="NO55" i="58"/>
  <c r="MQ48" i="58"/>
  <c r="PL56" i="58"/>
  <c r="ON58" i="58"/>
  <c r="RN66" i="58"/>
  <c r="QY50" i="58"/>
  <c r="PG55" i="58"/>
  <c r="MB9" i="58"/>
  <c r="OL40" i="58"/>
  <c r="OG38" i="58"/>
  <c r="KX61" i="58"/>
  <c r="PT63" i="58"/>
  <c r="MI62" i="58"/>
  <c r="KR39" i="58"/>
  <c r="PW49" i="58"/>
  <c r="OP46" i="58"/>
  <c r="LZ54" i="58"/>
  <c r="KW54" i="58"/>
  <c r="MY49" i="58"/>
  <c r="RG61" i="58"/>
  <c r="QN64" i="58"/>
  <c r="RN49" i="58"/>
  <c r="KW66" i="58"/>
  <c r="QE59" i="58"/>
  <c r="PN48" i="58"/>
  <c r="LN54" i="58"/>
  <c r="NB50" i="58"/>
  <c r="PB59" i="58"/>
  <c r="KR59" i="58"/>
  <c r="RS48" i="58"/>
  <c r="MD55" i="58"/>
  <c r="PW37" i="58"/>
  <c r="NN48" i="58"/>
  <c r="PV30" i="58"/>
  <c r="PV52" i="58"/>
  <c r="LF66" i="58"/>
  <c r="QU49" i="58"/>
  <c r="LO37" i="58"/>
  <c r="RO64" i="58"/>
  <c r="MZ60" i="58"/>
  <c r="NR45" i="58"/>
  <c r="NZ57" i="58"/>
  <c r="LB48" i="58"/>
  <c r="RT61" i="58"/>
  <c r="MV40" i="58"/>
  <c r="OO54" i="58"/>
  <c r="LE62" i="58"/>
  <c r="NW65" i="58"/>
  <c r="PQ50" i="58"/>
  <c r="NC42" i="58"/>
  <c r="PN63" i="58"/>
  <c r="PW66" i="58"/>
  <c r="RD65" i="58"/>
  <c r="PE47" i="58"/>
  <c r="MR62" i="58"/>
  <c r="OD63" i="58"/>
  <c r="KS60" i="58"/>
  <c r="MW50" i="58"/>
  <c r="LA50" i="58"/>
  <c r="NY55" i="58"/>
  <c r="LM59" i="58"/>
  <c r="MI36" i="58"/>
  <c r="NR54" i="58"/>
  <c r="GA9" i="58"/>
  <c r="KQ63" i="58"/>
  <c r="OQ51" i="58"/>
  <c r="PT55" i="58"/>
  <c r="OO59" i="58"/>
  <c r="PS66" i="58"/>
  <c r="KW41" i="58"/>
  <c r="OT63" i="58"/>
  <c r="NI56" i="58"/>
  <c r="KY59" i="58"/>
  <c r="PI53" i="58"/>
  <c r="RA62" i="58"/>
  <c r="PQ60" i="58"/>
  <c r="LP53" i="58"/>
  <c r="OK60" i="58"/>
  <c r="PU63" i="58"/>
  <c r="QZ47" i="58"/>
  <c r="QZ45" i="58"/>
  <c r="PU62" i="58"/>
  <c r="RT54" i="58"/>
  <c r="LA57" i="58"/>
  <c r="OC66" i="58"/>
  <c r="MC48" i="58"/>
  <c r="RK49" i="58"/>
  <c r="PK51" i="58"/>
  <c r="RL64" i="58"/>
  <c r="KS45" i="58"/>
  <c r="NH60" i="58"/>
  <c r="NW66" i="58"/>
  <c r="OQ65" i="58"/>
  <c r="OD56" i="58"/>
  <c r="QP56" i="58"/>
  <c r="QU51" i="58"/>
  <c r="MJ52" i="58"/>
  <c r="RG49" i="58"/>
  <c r="OT56" i="58"/>
  <c r="PW62" i="58"/>
  <c r="PQ45" i="58"/>
  <c r="MN64" i="58"/>
  <c r="LB58" i="58"/>
  <c r="OT60" i="58"/>
  <c r="QA49" i="58"/>
  <c r="KS63" i="58"/>
  <c r="RI49" i="58"/>
  <c r="PA40" i="58"/>
  <c r="OR22" i="58"/>
  <c r="NK46" i="58"/>
  <c r="QU50" i="58"/>
  <c r="OJ31" i="58"/>
  <c r="PL39" i="58"/>
  <c r="PJ59" i="58"/>
  <c r="PQ58" i="58"/>
  <c r="KW56" i="58"/>
  <c r="MQ63" i="58"/>
  <c r="OT64" i="58"/>
  <c r="ME49" i="58"/>
  <c r="NY40" i="58"/>
  <c r="LH53" i="58"/>
  <c r="OQ34" i="58"/>
  <c r="MT52" i="58"/>
  <c r="RP57" i="58"/>
  <c r="RJ48" i="58"/>
  <c r="PU29" i="58"/>
  <c r="RG64" i="58"/>
  <c r="RA54" i="58"/>
  <c r="ML41" i="58"/>
  <c r="OX56" i="58"/>
  <c r="NT53" i="58"/>
  <c r="OH55" i="58"/>
  <c r="LV65" i="58"/>
  <c r="NT64" i="58"/>
  <c r="QA39" i="58"/>
  <c r="RS64" i="58"/>
  <c r="MF66" i="58"/>
  <c r="OD64" i="58"/>
  <c r="RF47" i="58"/>
  <c r="MM56" i="58"/>
  <c r="LP58" i="58"/>
  <c r="LB45" i="58"/>
  <c r="MV37" i="58"/>
  <c r="QH59" i="58"/>
  <c r="RU60" i="58"/>
  <c r="NJ55" i="58"/>
  <c r="LJ42" i="58"/>
  <c r="OT57" i="58"/>
  <c r="RV39" i="58"/>
  <c r="OJ38" i="58"/>
  <c r="PJ37" i="58"/>
  <c r="QP53" i="58"/>
  <c r="OF46" i="58"/>
  <c r="QM46" i="58"/>
  <c r="KM24" i="58"/>
  <c r="RP30" i="58"/>
  <c r="LF31" i="58"/>
  <c r="LE53" i="58"/>
  <c r="LG35" i="58"/>
  <c r="QS53" i="58"/>
  <c r="PK50" i="58"/>
  <c r="MP58" i="58"/>
  <c r="LV53" i="58"/>
  <c r="LU64" i="58"/>
  <c r="OF53" i="58"/>
  <c r="KV40" i="58"/>
  <c r="PC58" i="58"/>
  <c r="ON56" i="58"/>
  <c r="OH57" i="58"/>
  <c r="PE59" i="58"/>
  <c r="KV63" i="58"/>
  <c r="QC56" i="58"/>
  <c r="QJ65" i="58"/>
  <c r="MW65" i="58"/>
  <c r="PT45" i="58"/>
  <c r="QW59" i="58"/>
  <c r="PV46" i="58"/>
  <c r="RH66" i="58"/>
  <c r="RD60" i="58"/>
  <c r="NK35" i="58"/>
  <c r="QH62" i="58"/>
  <c r="RN53" i="58"/>
  <c r="NK48" i="58"/>
  <c r="OT46" i="58"/>
  <c r="NG45" i="58"/>
  <c r="PL65" i="58"/>
  <c r="QI66" i="58"/>
  <c r="NP33" i="58"/>
  <c r="OW55" i="58"/>
  <c r="QL61" i="58"/>
  <c r="NO49" i="58"/>
  <c r="MT58" i="58"/>
  <c r="OS59" i="58"/>
  <c r="PM60" i="58"/>
  <c r="NW35" i="58"/>
  <c r="OC51" i="58"/>
  <c r="QJ40" i="58"/>
  <c r="QU59" i="58"/>
  <c r="MZ56" i="58"/>
  <c r="RA66" i="58"/>
  <c r="LK55" i="58"/>
  <c r="PJ43" i="58"/>
  <c r="IA9" i="58"/>
  <c r="NQ59" i="58"/>
  <c r="NJ56" i="58"/>
  <c r="QL36" i="58"/>
  <c r="QD60" i="58"/>
  <c r="OE55" i="58"/>
  <c r="LO34" i="58"/>
  <c r="LJ46" i="58"/>
  <c r="MO65" i="58"/>
  <c r="MH48" i="58"/>
  <c r="NW59" i="58"/>
  <c r="RR60" i="58"/>
  <c r="KV47" i="58"/>
  <c r="QL51" i="58"/>
  <c r="NS62" i="58"/>
  <c r="PV50" i="58"/>
  <c r="PH62" i="58"/>
  <c r="PM51" i="58"/>
  <c r="OL66" i="58"/>
  <c r="NJ51" i="58"/>
  <c r="RO61" i="58"/>
  <c r="OT45" i="58"/>
  <c r="PY59" i="58"/>
  <c r="OF51" i="58"/>
  <c r="ON61" i="58"/>
  <c r="RK41" i="58"/>
  <c r="MD52" i="58"/>
  <c r="MT61" i="58"/>
  <c r="LN64" i="58"/>
  <c r="OB38" i="58"/>
  <c r="QX41" i="58"/>
  <c r="RL57" i="58"/>
  <c r="ML43" i="58"/>
  <c r="RM30" i="58"/>
  <c r="OH58" i="58"/>
  <c r="PQ53" i="58"/>
  <c r="OK63" i="58"/>
  <c r="QC65" i="58"/>
  <c r="RN9" i="58"/>
  <c r="PK65" i="58"/>
  <c r="MB60" i="58"/>
  <c r="MK60" i="58"/>
  <c r="MA55" i="58"/>
  <c r="LK54" i="58"/>
  <c r="NZ59" i="58"/>
  <c r="MO49" i="58"/>
  <c r="NK63" i="58"/>
  <c r="MR48" i="58"/>
  <c r="LX62" i="58"/>
  <c r="MT66" i="58"/>
  <c r="QM63" i="58"/>
  <c r="NY52" i="58"/>
  <c r="PB61" i="58"/>
  <c r="QA62" i="58"/>
  <c r="PO42" i="58"/>
  <c r="NH45" i="58"/>
  <c r="RQ56" i="58"/>
  <c r="ON59" i="58"/>
  <c r="QK45" i="58"/>
  <c r="QG42" i="58"/>
  <c r="LD40" i="58"/>
  <c r="LJ49" i="58"/>
  <c r="NA42" i="58"/>
  <c r="LO66" i="58"/>
  <c r="MN47" i="58"/>
  <c r="NU55" i="58"/>
  <c r="LZ41" i="58"/>
  <c r="KT41" i="58"/>
  <c r="OX61" i="58"/>
  <c r="QO60" i="58"/>
  <c r="OJ63" i="58"/>
  <c r="MI53" i="58"/>
  <c r="NE41" i="58"/>
  <c r="OV64" i="58"/>
  <c r="NF49" i="58"/>
  <c r="RL60" i="58"/>
  <c r="LP45" i="58"/>
  <c r="OY60" i="58"/>
  <c r="MV49" i="58"/>
  <c r="PD59" i="58"/>
  <c r="LL64" i="58"/>
  <c r="LF50" i="58"/>
  <c r="ME53" i="58"/>
  <c r="MT64" i="58"/>
  <c r="LU50" i="58"/>
  <c r="LJ56" i="58"/>
  <c r="QD54" i="58"/>
  <c r="MH54" i="58"/>
  <c r="RT65" i="58"/>
  <c r="MD36" i="58"/>
  <c r="OT66" i="58"/>
  <c r="LH66" i="58"/>
  <c r="PK64" i="58"/>
  <c r="MX66" i="58"/>
  <c r="OL47" i="58"/>
  <c r="PM56" i="58"/>
  <c r="RS65" i="58"/>
  <c r="KS65" i="58"/>
  <c r="QO32" i="58"/>
  <c r="PB38" i="58"/>
  <c r="QR47" i="58"/>
  <c r="PQ41" i="58"/>
  <c r="RR62" i="58"/>
  <c r="NO60" i="58"/>
  <c r="KQ61" i="58"/>
  <c r="LG61" i="58"/>
  <c r="LA65" i="58"/>
  <c r="QI50" i="58"/>
  <c r="KZ63" i="58"/>
  <c r="OY62" i="58"/>
  <c r="QY54" i="58"/>
  <c r="LS66" i="58"/>
  <c r="RB48" i="58"/>
  <c r="OF64" i="58"/>
  <c r="OW54" i="58"/>
  <c r="MK62" i="58"/>
  <c r="KR51" i="58"/>
  <c r="NS58" i="58"/>
  <c r="MN57" i="58"/>
  <c r="MJ56" i="58"/>
  <c r="NL65" i="58"/>
  <c r="MC51" i="58"/>
  <c r="PP64" i="58"/>
  <c r="PP55" i="58"/>
  <c r="NU62" i="58"/>
  <c r="OZ51" i="58"/>
  <c r="QL54" i="58"/>
  <c r="MZ58" i="58"/>
  <c r="LB56" i="58"/>
  <c r="LR45" i="58"/>
  <c r="NA55" i="58"/>
  <c r="QC53" i="58"/>
  <c r="RD66" i="58"/>
  <c r="NE34" i="58"/>
  <c r="RF63" i="58"/>
  <c r="PN61" i="58"/>
  <c r="RG59" i="58"/>
  <c r="PA45" i="58"/>
  <c r="LM48" i="58"/>
  <c r="PZ64" i="58"/>
  <c r="OZ52" i="58"/>
  <c r="MJ61" i="58"/>
  <c r="QX62" i="58"/>
  <c r="PZ43" i="58"/>
  <c r="LK60" i="58"/>
  <c r="RN58" i="58"/>
  <c r="NV62" i="58"/>
  <c r="KT29" i="58"/>
  <c r="QD48" i="58"/>
  <c r="QQ61" i="58"/>
  <c r="PM39" i="58"/>
  <c r="OF63" i="58"/>
  <c r="OV53" i="58"/>
  <c r="PY46" i="58"/>
  <c r="NF43" i="58"/>
  <c r="PF55" i="58"/>
  <c r="NN66" i="58"/>
  <c r="LY63" i="58"/>
  <c r="KZ49" i="58"/>
  <c r="FM8" i="58"/>
  <c r="PA63" i="58"/>
  <c r="NY32" i="58"/>
  <c r="PO52" i="58"/>
  <c r="OI58" i="58"/>
  <c r="NS43" i="58"/>
  <c r="PD58" i="58"/>
  <c r="OC23" i="58"/>
  <c r="RF52" i="58"/>
  <c r="ML62" i="58"/>
  <c r="LV56" i="58"/>
  <c r="CJ9" i="58"/>
  <c r="LN42" i="58"/>
  <c r="PD48" i="58"/>
  <c r="RR54" i="58"/>
  <c r="RJ53" i="58"/>
  <c r="LR59" i="58"/>
  <c r="MO45" i="58"/>
  <c r="NL51" i="58"/>
  <c r="QY42" i="58"/>
  <c r="LX60" i="58"/>
  <c r="RM38" i="58"/>
  <c r="OH45" i="58"/>
  <c r="NC53" i="58"/>
  <c r="AM8" i="58"/>
  <c r="KX49" i="58"/>
  <c r="LP63" i="58"/>
  <c r="NU50" i="58"/>
  <c r="NJ57" i="58"/>
  <c r="MN49" i="58"/>
  <c r="RJ54" i="58"/>
  <c r="NP58" i="58"/>
  <c r="OV34" i="58"/>
  <c r="PV47" i="58"/>
  <c r="LS33" i="58"/>
  <c r="MB55" i="58"/>
  <c r="NJ66" i="58"/>
  <c r="HD8" i="58"/>
  <c r="RL62" i="58"/>
  <c r="OU55" i="58"/>
  <c r="PR66" i="58"/>
  <c r="MF62" i="58"/>
  <c r="KQ51" i="58"/>
  <c r="PL50" i="58"/>
  <c r="NL46" i="58"/>
  <c r="NY56" i="58"/>
  <c r="PJ47" i="58"/>
  <c r="RR56" i="58"/>
  <c r="OQ59" i="58"/>
  <c r="OG60" i="58"/>
  <c r="RN55" i="58"/>
  <c r="QZ46" i="58"/>
  <c r="OP39" i="58"/>
  <c r="RR48" i="58"/>
  <c r="RC35" i="58"/>
  <c r="MD63" i="58"/>
  <c r="QR56" i="58"/>
  <c r="RS63" i="58"/>
  <c r="KV43" i="58"/>
  <c r="PU61" i="58"/>
  <c r="OB62" i="58"/>
  <c r="KR60" i="58"/>
  <c r="OI63" i="58"/>
  <c r="MM60" i="58"/>
  <c r="RP56" i="58"/>
  <c r="RS51" i="58"/>
  <c r="QF49" i="58"/>
  <c r="NM58" i="58"/>
  <c r="RU48" i="58"/>
  <c r="QT40" i="58"/>
  <c r="NX61" i="58"/>
  <c r="LY53" i="58"/>
  <c r="RQ63" i="58"/>
  <c r="QM40" i="58"/>
  <c r="OO52" i="58"/>
  <c r="PF35" i="58"/>
  <c r="LH60" i="58"/>
  <c r="QM65" i="58"/>
  <c r="RQ53" i="58"/>
  <c r="LF64" i="58"/>
  <c r="OO45" i="58"/>
  <c r="OH53" i="58"/>
  <c r="OY59" i="58"/>
  <c r="MZ59" i="58"/>
  <c r="PH61" i="58"/>
  <c r="PE65" i="58"/>
  <c r="KY52" i="58"/>
  <c r="QX50" i="58"/>
  <c r="MB40" i="58"/>
  <c r="MW57" i="58"/>
  <c r="OM64" i="58"/>
  <c r="MW52" i="58"/>
  <c r="QY65" i="58"/>
  <c r="MD41" i="58"/>
  <c r="LV62" i="58"/>
  <c r="NZ49" i="58"/>
  <c r="MH64" i="58"/>
  <c r="QE65" i="58"/>
  <c r="OK39" i="58"/>
  <c r="QC48" i="58"/>
  <c r="RV65" i="58"/>
  <c r="RJ64" i="58"/>
  <c r="PY66" i="58"/>
  <c r="RS56" i="58"/>
  <c r="PU41" i="58"/>
  <c r="QW48" i="58"/>
  <c r="MS63" i="58"/>
  <c r="MJ59" i="58"/>
  <c r="NG51" i="58"/>
  <c r="LR52" i="58"/>
  <c r="QF48" i="58"/>
  <c r="RN63" i="58"/>
  <c r="QC59" i="58"/>
  <c r="PD62" i="58"/>
  <c r="QL29" i="58"/>
  <c r="AR9" i="58"/>
  <c r="LH55" i="58"/>
  <c r="KU52" i="58"/>
  <c r="PN34" i="58"/>
  <c r="NO63" i="58"/>
  <c r="RU58" i="58"/>
  <c r="NK55" i="58"/>
  <c r="MH55" i="58"/>
  <c r="OM9" i="58"/>
  <c r="RJ56" i="58"/>
  <c r="PE37" i="58"/>
  <c r="RM53" i="58"/>
  <c r="MV60" i="58"/>
  <c r="QS60" i="58"/>
  <c r="NB54" i="58"/>
  <c r="KV64" i="58"/>
  <c r="MI51" i="58"/>
  <c r="NT38" i="58"/>
  <c r="QE33" i="58"/>
  <c r="MK43" i="58"/>
  <c r="KR56" i="58"/>
  <c r="NQ64" i="58"/>
  <c r="MU38" i="58"/>
  <c r="QN46" i="58"/>
  <c r="NS61" i="58"/>
  <c r="RI63" i="58"/>
  <c r="NB66" i="58"/>
  <c r="MQ66" i="58"/>
  <c r="NP57" i="58"/>
  <c r="QR52" i="58"/>
  <c r="OL62" i="58"/>
  <c r="OW53" i="58"/>
  <c r="LU61" i="58"/>
  <c r="QS57" i="58"/>
  <c r="ML65" i="58"/>
  <c r="NI48" i="58"/>
  <c r="PF33" i="58"/>
  <c r="QS54" i="58"/>
  <c r="QF60" i="58"/>
  <c r="NI59" i="58"/>
  <c r="KX60" i="58"/>
  <c r="LU40" i="58"/>
  <c r="MF59" i="58"/>
  <c r="PZ39" i="58"/>
  <c r="PF52" i="58"/>
  <c r="LP42" i="58"/>
  <c r="QI57" i="58"/>
  <c r="OK59" i="58"/>
  <c r="RU56" i="58"/>
  <c r="QP54" i="58"/>
  <c r="RS42" i="58"/>
  <c r="LW61" i="58"/>
  <c r="KZ36" i="58"/>
  <c r="LM42" i="58"/>
  <c r="NC61" i="58"/>
  <c r="QQ60" i="58"/>
  <c r="QE45" i="58"/>
  <c r="NV65" i="58"/>
  <c r="NO65" i="58"/>
  <c r="PL49" i="58"/>
  <c r="OF39" i="58"/>
  <c r="KY58" i="58"/>
  <c r="PG66" i="58"/>
  <c r="MK45" i="58"/>
  <c r="PV49" i="58"/>
  <c r="PB53" i="58"/>
  <c r="EK8" i="58"/>
  <c r="OT50" i="58"/>
  <c r="ND56" i="58"/>
  <c r="QS41" i="58"/>
  <c r="NE51" i="58"/>
  <c r="OV55" i="58"/>
  <c r="RN54" i="58"/>
  <c r="PW52" i="58"/>
  <c r="QR66" i="58"/>
  <c r="PC46" i="58"/>
  <c r="QC51" i="58"/>
  <c r="LI62" i="58"/>
  <c r="RP61" i="58"/>
  <c r="RB65" i="58"/>
  <c r="OG47" i="58"/>
  <c r="MG59" i="58"/>
  <c r="NQ50" i="58"/>
  <c r="NY49" i="58"/>
  <c r="RG41" i="58"/>
  <c r="LD54" i="58"/>
  <c r="OU61" i="58"/>
  <c r="RP64" i="58"/>
  <c r="LX54" i="58"/>
  <c r="QX54" i="58"/>
  <c r="RB43" i="58"/>
  <c r="OG66" i="58"/>
  <c r="OY40" i="58"/>
  <c r="PJ48" i="58"/>
  <c r="QI63" i="58"/>
  <c r="NW50" i="58"/>
  <c r="RM66" i="58"/>
  <c r="NM53" i="58"/>
  <c r="ND51" i="58"/>
  <c r="NV45" i="58"/>
  <c r="PD60" i="58"/>
  <c r="OI45" i="58"/>
  <c r="MV62" i="58"/>
  <c r="OM42" i="58"/>
  <c r="RG54" i="58"/>
  <c r="RQ35" i="58"/>
  <c r="QJ66" i="58"/>
  <c r="RM55" i="58"/>
  <c r="OK37" i="58"/>
  <c r="PE63" i="58"/>
  <c r="RQ45" i="58"/>
  <c r="PA52" i="58"/>
  <c r="RK36" i="58"/>
  <c r="OU45" i="58"/>
  <c r="MH66" i="58"/>
  <c r="NX45" i="58"/>
  <c r="LN63" i="58"/>
  <c r="PN66" i="58"/>
  <c r="KX63" i="58"/>
  <c r="LB49" i="58"/>
  <c r="OW51" i="58"/>
  <c r="QA61" i="58"/>
  <c r="OX47" i="58"/>
  <c r="QV57" i="58"/>
  <c r="RA63" i="58"/>
  <c r="QM64" i="58"/>
  <c r="OH52" i="58"/>
  <c r="NM64" i="58"/>
  <c r="PB42" i="58"/>
  <c r="NU66" i="58"/>
  <c r="LC51" i="58"/>
  <c r="KT63" i="58"/>
  <c r="PW63" i="58"/>
  <c r="OD43" i="58"/>
  <c r="QR35" i="58"/>
  <c r="NQ8" i="58"/>
  <c r="RC33" i="58"/>
  <c r="PK62" i="58"/>
  <c r="KW59" i="58"/>
  <c r="NK40" i="58"/>
  <c r="LD42" i="58"/>
  <c r="LC39" i="58"/>
  <c r="LP52" i="58"/>
  <c r="KS56" i="58"/>
  <c r="MW58" i="58"/>
  <c r="RJ50" i="58"/>
  <c r="RO65" i="58"/>
  <c r="NH49" i="58"/>
  <c r="QN60" i="58"/>
  <c r="MR38" i="58"/>
  <c r="OR66" i="58"/>
  <c r="LZ39" i="58"/>
  <c r="PQ54" i="58"/>
  <c r="QV30" i="58"/>
  <c r="MJ53" i="58"/>
  <c r="RN61" i="58"/>
  <c r="RM62" i="58"/>
  <c r="RH57" i="58"/>
  <c r="QH49" i="58"/>
  <c r="RT60" i="58"/>
  <c r="NI66" i="58"/>
  <c r="PR65" i="58"/>
  <c r="NN57" i="58"/>
  <c r="PA37" i="58"/>
  <c r="RB38" i="58"/>
  <c r="PC31" i="58"/>
  <c r="QX57" i="58"/>
  <c r="OE64" i="58"/>
  <c r="OV66" i="58"/>
  <c r="PV66" i="58"/>
  <c r="PW64" i="58"/>
  <c r="OE59" i="58"/>
  <c r="MM54" i="58"/>
  <c r="PP59" i="58"/>
  <c r="NV46" i="58"/>
  <c r="LN41" i="58"/>
  <c r="QN38" i="58"/>
  <c r="PP49" i="58"/>
  <c r="RD57" i="58"/>
  <c r="ND65" i="58"/>
  <c r="QO37" i="58"/>
  <c r="NZ45" i="58"/>
  <c r="RV24" i="58"/>
  <c r="KZ45" i="58"/>
  <c r="NQ61" i="58"/>
  <c r="OW66" i="58"/>
  <c r="QA63" i="58"/>
  <c r="KT49" i="58"/>
  <c r="NL59" i="58"/>
  <c r="OI30" i="58"/>
  <c r="LX46" i="58"/>
  <c r="LR49" i="58"/>
  <c r="PM55" i="58"/>
  <c r="MR41" i="58"/>
  <c r="RS62" i="58"/>
  <c r="NE62" i="58"/>
  <c r="ND58" i="58"/>
  <c r="LT62" i="58"/>
  <c r="HC8" i="58"/>
  <c r="QH56" i="58"/>
  <c r="LK65" i="58"/>
  <c r="MV56" i="58"/>
  <c r="NN30" i="58"/>
  <c r="KV61" i="58"/>
  <c r="NW64" i="58"/>
  <c r="OL48" i="58"/>
  <c r="NJ58" i="58"/>
  <c r="PA59" i="58"/>
  <c r="MW62" i="58"/>
  <c r="RH65" i="58"/>
  <c r="PQ56" i="58"/>
  <c r="MN8" i="58"/>
  <c r="RL38" i="58"/>
  <c r="QU41" i="58"/>
  <c r="RK52" i="58"/>
  <c r="OR48" i="58"/>
  <c r="LY61" i="58"/>
  <c r="NW33" i="58"/>
  <c r="MN60" i="58"/>
  <c r="QN41" i="58"/>
  <c r="RC51" i="58"/>
  <c r="RG62" i="58"/>
  <c r="LX8" i="58"/>
  <c r="LV54" i="58"/>
  <c r="MZ54" i="58"/>
  <c r="OO65" i="58"/>
  <c r="OM59" i="58"/>
  <c r="MS32" i="58"/>
  <c r="MN65" i="58"/>
  <c r="PV59" i="58"/>
  <c r="LO59" i="58"/>
  <c r="RI29" i="58"/>
  <c r="LU66" i="58"/>
  <c r="MH46" i="58"/>
  <c r="RT46" i="58"/>
  <c r="MO62" i="58"/>
  <c r="RO42" i="58"/>
  <c r="MG47" i="58"/>
  <c r="QA64" i="58"/>
  <c r="MA62" i="58"/>
  <c r="PK60" i="58"/>
  <c r="KA23" i="58"/>
  <c r="OC50" i="58"/>
  <c r="QI55" i="58"/>
  <c r="ND60" i="58"/>
  <c r="NJ64" i="58"/>
  <c r="NF30" i="58"/>
  <c r="OQ66" i="58"/>
  <c r="HQ8" i="58"/>
  <c r="MB35" i="58"/>
  <c r="NB32" i="58"/>
  <c r="LK61" i="58"/>
  <c r="OF8" i="58"/>
  <c r="QF65" i="58"/>
  <c r="OJ65" i="58"/>
  <c r="PB49" i="58"/>
  <c r="U21" i="58"/>
  <c r="PC53" i="58"/>
  <c r="OT40" i="58"/>
  <c r="KX64" i="58"/>
  <c r="NI52" i="58"/>
  <c r="QF58" i="58"/>
  <c r="PS63" i="58"/>
  <c r="MV46" i="58"/>
  <c r="RR66" i="58"/>
  <c r="RN47" i="58"/>
  <c r="OR45" i="58"/>
  <c r="NB64" i="58"/>
  <c r="PZ66" i="58"/>
  <c r="KY62" i="58"/>
  <c r="QE56" i="58"/>
  <c r="RO39" i="58"/>
  <c r="ME59" i="58"/>
  <c r="RM41" i="58"/>
  <c r="PM53" i="58"/>
  <c r="OK48" i="58"/>
  <c r="NX10" i="58"/>
  <c r="MW56" i="58"/>
  <c r="LI65" i="58"/>
  <c r="ML47" i="58"/>
  <c r="RJ39" i="58"/>
  <c r="RO60" i="58"/>
  <c r="MU56" i="58"/>
  <c r="NO66" i="58"/>
  <c r="PP62" i="58"/>
  <c r="ON46" i="58"/>
  <c r="LD64" i="58"/>
  <c r="OD48" i="58"/>
  <c r="PH48" i="58"/>
  <c r="OO24" i="58"/>
  <c r="QO46" i="58"/>
  <c r="MJ51" i="58"/>
  <c r="RE57" i="58"/>
  <c r="NE55" i="58"/>
  <c r="QT56" i="58"/>
  <c r="QA57" i="58"/>
  <c r="RG66" i="58"/>
  <c r="NP47" i="58"/>
  <c r="QV37" i="58"/>
  <c r="MZ66" i="58"/>
  <c r="QW60" i="58"/>
  <c r="NA47" i="58"/>
  <c r="NG58" i="58"/>
  <c r="PC38" i="58"/>
  <c r="QB58" i="58"/>
  <c r="LS52" i="58"/>
  <c r="ME51" i="58"/>
  <c r="NV64" i="58"/>
  <c r="MU64" i="58"/>
  <c r="KW37" i="58"/>
  <c r="NF45" i="58"/>
  <c r="PE58" i="58"/>
  <c r="MR45" i="58"/>
  <c r="KX58" i="58"/>
  <c r="ML37" i="58"/>
  <c r="QC35" i="58"/>
  <c r="OV59" i="58"/>
  <c r="KW38" i="58"/>
  <c r="NS56" i="58"/>
  <c r="MI59" i="58"/>
  <c r="QY35" i="58"/>
  <c r="OO41" i="58"/>
  <c r="PW60" i="58"/>
  <c r="LB62" i="58"/>
  <c r="QF59" i="58"/>
  <c r="MW43" i="58"/>
  <c r="DQ19" i="58"/>
  <c r="AZ8" i="58"/>
  <c r="LG41" i="58"/>
  <c r="MM37" i="58"/>
  <c r="KS37" i="58"/>
  <c r="LY43" i="58"/>
  <c r="MG66" i="58"/>
  <c r="OZ31" i="58"/>
  <c r="NB65" i="58"/>
  <c r="PT40" i="58"/>
  <c r="MO51" i="58"/>
  <c r="RV8" i="58"/>
  <c r="KX55" i="58"/>
  <c r="QQ58" i="58"/>
  <c r="MR56" i="58"/>
  <c r="QT64" i="58"/>
  <c r="ON37" i="58"/>
  <c r="QX38" i="58"/>
  <c r="MQ58" i="58"/>
  <c r="OB65" i="58"/>
  <c r="RF65" i="58"/>
  <c r="NT65" i="58"/>
  <c r="PY41" i="58"/>
  <c r="RG60" i="58"/>
  <c r="MZ48" i="58"/>
  <c r="JJ8" i="58"/>
  <c r="RD51" i="58"/>
  <c r="OP62" i="58"/>
  <c r="QI62" i="58"/>
  <c r="QI61" i="58"/>
  <c r="RK59" i="58"/>
  <c r="NF61" i="58"/>
  <c r="RH51" i="58"/>
  <c r="QO51" i="58"/>
  <c r="RK50" i="58"/>
  <c r="RI64" i="58"/>
  <c r="PA38" i="58"/>
  <c r="LT46" i="58"/>
  <c r="QM61" i="58"/>
  <c r="LO39" i="58"/>
  <c r="OY48" i="58"/>
  <c r="LI55" i="58"/>
  <c r="QX47" i="58"/>
  <c r="PD64" i="58"/>
  <c r="RU52" i="58"/>
  <c r="QV46" i="58"/>
  <c r="QJ54" i="58"/>
  <c r="PR64" i="58"/>
  <c r="NU64" i="58"/>
  <c r="OH56" i="58"/>
  <c r="NB56" i="58"/>
  <c r="PT37" i="58"/>
  <c r="PD53" i="58"/>
  <c r="LF48" i="58"/>
  <c r="KR55" i="58"/>
  <c r="RJ47" i="58"/>
  <c r="QT41" i="58"/>
  <c r="RH47" i="58"/>
  <c r="LQ61" i="58"/>
  <c r="RR61" i="58"/>
  <c r="RE66" i="58"/>
  <c r="OH62" i="58"/>
  <c r="NC58" i="58"/>
  <c r="PX63" i="58"/>
  <c r="OU58" i="58"/>
  <c r="CQ8" i="58"/>
  <c r="OA61" i="58"/>
  <c r="MM64" i="58"/>
  <c r="NS57" i="58"/>
  <c r="LJ36" i="58"/>
  <c r="OQ55" i="58"/>
  <c r="QD65" i="58"/>
  <c r="MJ62" i="58"/>
  <c r="KS61" i="58"/>
  <c r="OY36" i="58"/>
  <c r="NU60" i="58"/>
  <c r="LC60" i="58"/>
  <c r="OZ55" i="58"/>
  <c r="PV56" i="58"/>
  <c r="NO39" i="58"/>
  <c r="RG57" i="58"/>
  <c r="PR55" i="58"/>
  <c r="RD61" i="58"/>
  <c r="RL53" i="58"/>
  <c r="NS55" i="58"/>
  <c r="PO59" i="58"/>
  <c r="LT42" i="58"/>
  <c r="NA58" i="58"/>
  <c r="KT51" i="58"/>
  <c r="LQ43" i="58"/>
  <c r="MN63" i="58"/>
  <c r="MY51" i="58"/>
  <c r="PM52" i="58"/>
  <c r="MZ62" i="58"/>
  <c r="LB57" i="58"/>
  <c r="QH64" i="58"/>
  <c r="QC66" i="58"/>
  <c r="RJ66" i="58"/>
  <c r="QJ62" i="58"/>
  <c r="MM39" i="58"/>
  <c r="RQ48" i="58"/>
  <c r="NF65" i="58"/>
  <c r="QB56" i="58"/>
  <c r="NZ53" i="58"/>
  <c r="LT56" i="58"/>
  <c r="LD53" i="58"/>
  <c r="QW38" i="58"/>
  <c r="PJ46" i="58"/>
  <c r="PR50" i="58"/>
  <c r="RO51" i="58"/>
  <c r="NV48" i="58"/>
  <c r="MU47" i="58"/>
  <c r="NT49" i="58"/>
  <c r="QW46" i="58"/>
  <c r="RO46" i="58"/>
  <c r="RD56" i="58"/>
  <c r="OV39" i="58"/>
  <c r="KR62" i="58"/>
  <c r="NC45" i="58"/>
  <c r="PA39" i="58"/>
  <c r="NH52" i="58"/>
  <c r="OV57" i="58"/>
  <c r="RM63" i="58"/>
  <c r="NW61" i="58"/>
  <c r="NY66" i="58"/>
  <c r="NU42" i="58"/>
  <c r="MU66" i="58"/>
  <c r="QA66" i="58"/>
  <c r="MM49" i="58"/>
  <c r="MX61" i="58"/>
  <c r="LH42" i="58"/>
  <c r="NN63" i="58"/>
  <c r="OK55" i="58"/>
  <c r="ON47" i="58"/>
  <c r="NM37" i="58"/>
  <c r="QU56" i="58"/>
  <c r="OT58" i="58"/>
  <c r="LZ45" i="58"/>
  <c r="LN48" i="58"/>
  <c r="QV47" i="58"/>
  <c r="LB51" i="58"/>
  <c r="MU59" i="58"/>
  <c r="RB42" i="58"/>
  <c r="LP59" i="58"/>
  <c r="OC48" i="58"/>
  <c r="OQ42" i="58"/>
  <c r="PM29" i="58"/>
  <c r="QV22" i="58"/>
  <c r="RV49" i="58"/>
  <c r="PA61" i="58"/>
  <c r="QV13" i="58"/>
  <c r="MB37" i="58"/>
  <c r="OD46" i="58"/>
  <c r="QQ33" i="58"/>
  <c r="MC58" i="58"/>
  <c r="RQ43" i="58"/>
  <c r="RH55" i="58"/>
  <c r="QH36" i="58"/>
  <c r="NW39" i="58"/>
  <c r="RO22" i="58"/>
  <c r="MG61" i="58"/>
  <c r="LC61" i="58"/>
  <c r="LE55" i="58"/>
  <c r="MF46" i="58"/>
  <c r="OV54" i="58"/>
  <c r="PQ48" i="58"/>
  <c r="AC23" i="58"/>
  <c r="NS23" i="58"/>
  <c r="PY24" i="58"/>
  <c r="OB52" i="58"/>
  <c r="KY41" i="58"/>
  <c r="OJ43" i="58"/>
  <c r="KT55" i="58"/>
  <c r="MN30" i="58"/>
  <c r="LK66" i="58"/>
  <c r="NV61" i="58"/>
  <c r="QZ50" i="58"/>
  <c r="OZ61" i="58"/>
  <c r="NV66" i="58"/>
  <c r="NM32" i="58"/>
  <c r="PN16" i="58"/>
  <c r="QS52" i="58"/>
  <c r="MD60" i="58"/>
  <c r="QC64" i="58"/>
  <c r="KR42" i="58"/>
  <c r="MI38" i="58"/>
  <c r="LZ57" i="58"/>
  <c r="KT64" i="58"/>
  <c r="PK40" i="58"/>
  <c r="NE31" i="58"/>
  <c r="MH49" i="58"/>
  <c r="LX48" i="58"/>
  <c r="NH35" i="58"/>
  <c r="OR32" i="58"/>
  <c r="OJ29" i="58"/>
  <c r="LS49" i="58"/>
  <c r="MB49" i="58"/>
  <c r="KW60" i="58"/>
  <c r="OL43" i="58"/>
  <c r="OS56" i="58"/>
  <c r="RI62" i="58"/>
  <c r="OX60" i="58"/>
  <c r="PC54" i="58"/>
  <c r="RP42" i="58"/>
  <c r="PC51" i="58"/>
  <c r="QY66" i="58"/>
  <c r="PR41" i="58"/>
  <c r="OO39" i="58"/>
  <c r="NX48" i="58"/>
  <c r="ON24" i="58"/>
  <c r="LJ29" i="58"/>
  <c r="OH50" i="58"/>
  <c r="NC36" i="58"/>
  <c r="LN45" i="58"/>
  <c r="QS20" i="58"/>
  <c r="ME39" i="58"/>
  <c r="RV53" i="58"/>
  <c r="DX24" i="58"/>
  <c r="RA21" i="58"/>
  <c r="PY61" i="58"/>
  <c r="KQ42" i="58"/>
  <c r="KW24" i="58"/>
  <c r="LF56" i="58"/>
  <c r="RU50" i="58"/>
  <c r="OC32" i="58"/>
  <c r="NT60" i="58"/>
  <c r="BC8" i="58"/>
  <c r="RQ55" i="58"/>
  <c r="QO55" i="58"/>
  <c r="LC43" i="58"/>
  <c r="QX24" i="58"/>
  <c r="KT60" i="58"/>
  <c r="PU66" i="58"/>
  <c r="PY31" i="58"/>
  <c r="OR37" i="58"/>
  <c r="MW45" i="58"/>
  <c r="ML48" i="58"/>
  <c r="MT65" i="58"/>
  <c r="Z23" i="58"/>
  <c r="LA64" i="58"/>
  <c r="KV24" i="58"/>
  <c r="RM45" i="58"/>
  <c r="QH53" i="58"/>
  <c r="NK62" i="58"/>
  <c r="DX9" i="58"/>
  <c r="FZ22" i="58"/>
  <c r="OZ56" i="58"/>
  <c r="IH23" i="58"/>
  <c r="PT59" i="58"/>
  <c r="NE37" i="58"/>
  <c r="NU38" i="58"/>
  <c r="PW65" i="58"/>
  <c r="LP43" i="58"/>
  <c r="HZ21" i="58"/>
  <c r="LQ21" i="58"/>
  <c r="MW32" i="58"/>
  <c r="NW52" i="58"/>
  <c r="PE55" i="58"/>
  <c r="RD63" i="58"/>
  <c r="MC63" i="58"/>
  <c r="LA61" i="58"/>
  <c r="NW45" i="58"/>
  <c r="MM43" i="58"/>
  <c r="OM66" i="58"/>
  <c r="QZ39" i="58"/>
  <c r="MS51" i="58"/>
  <c r="MB39" i="58"/>
  <c r="NW23" i="58"/>
  <c r="OF41" i="58"/>
  <c r="PT41" i="58"/>
  <c r="MA41" i="58"/>
  <c r="QQ39" i="58"/>
  <c r="KW50" i="58"/>
  <c r="KZ20" i="58"/>
  <c r="LU38" i="58"/>
  <c r="MV42" i="58"/>
  <c r="MI22" i="58"/>
  <c r="OU52" i="58"/>
  <c r="OB57" i="58"/>
  <c r="NR51" i="58"/>
  <c r="RQ37" i="58"/>
  <c r="QP59" i="58"/>
  <c r="RD49" i="58"/>
  <c r="OY39" i="58"/>
  <c r="LP64" i="58"/>
  <c r="QH51" i="58"/>
  <c r="PM64" i="58"/>
  <c r="PR51" i="58"/>
  <c r="QO54" i="58"/>
  <c r="RT47" i="58"/>
  <c r="BJ23" i="58"/>
  <c r="OK46" i="58"/>
  <c r="PJ53" i="58"/>
  <c r="QP61" i="58"/>
  <c r="LX37" i="58"/>
  <c r="MJ41" i="58"/>
  <c r="RD36" i="58"/>
  <c r="OU50" i="58"/>
  <c r="LC57" i="58"/>
  <c r="OJ54" i="58"/>
  <c r="NB48" i="58"/>
  <c r="OS50" i="58"/>
  <c r="PD33" i="58"/>
  <c r="RL35" i="58"/>
  <c r="LC31" i="58"/>
  <c r="PK48" i="58"/>
  <c r="OQ46" i="58"/>
  <c r="OG64" i="58"/>
  <c r="QB51" i="58"/>
  <c r="RC59" i="58"/>
  <c r="NX50" i="58"/>
  <c r="LH48" i="58"/>
  <c r="OW39" i="58"/>
  <c r="LE46" i="58"/>
  <c r="RU66" i="58"/>
  <c r="NF66" i="58"/>
  <c r="NF31" i="58"/>
  <c r="MN29" i="58"/>
  <c r="PJ61" i="58"/>
  <c r="EP17" i="58"/>
  <c r="MW34" i="58"/>
  <c r="OU35" i="58"/>
  <c r="MW64" i="58"/>
  <c r="EC24" i="58"/>
  <c r="OK36" i="58"/>
  <c r="HD18" i="58"/>
  <c r="KQ56" i="58"/>
  <c r="NB55" i="58"/>
  <c r="NY33" i="58"/>
  <c r="LZ47" i="58"/>
  <c r="RO37" i="58"/>
  <c r="KW58" i="58"/>
  <c r="LQ66" i="58"/>
  <c r="QJ56" i="58"/>
  <c r="PR42" i="58"/>
  <c r="PV60" i="58"/>
  <c r="MQ61" i="58"/>
  <c r="NK58" i="58"/>
  <c r="QL63" i="58"/>
  <c r="QB60" i="58"/>
  <c r="MY46" i="58"/>
  <c r="JC23" i="58"/>
  <c r="QP37" i="58"/>
  <c r="LA49" i="58"/>
  <c r="LZ65" i="58"/>
  <c r="ML38" i="58"/>
  <c r="LD38" i="58"/>
  <c r="DO22" i="58"/>
  <c r="KT31" i="58"/>
  <c r="OS16" i="58"/>
  <c r="NC55" i="58"/>
  <c r="KV39" i="58"/>
  <c r="PA58" i="58"/>
  <c r="LE19" i="58"/>
  <c r="LN52" i="58"/>
  <c r="OH29" i="58"/>
  <c r="PA66" i="58"/>
  <c r="NW34" i="58"/>
  <c r="OZ48" i="58"/>
  <c r="QE60" i="58"/>
  <c r="NT62" i="58"/>
  <c r="OC57" i="58"/>
  <c r="OD53" i="58"/>
  <c r="LT63" i="58"/>
  <c r="PG62" i="58"/>
  <c r="DQ23" i="58"/>
  <c r="EB22" i="58"/>
  <c r="QO38" i="58"/>
  <c r="QB50" i="58"/>
  <c r="OI51" i="58"/>
  <c r="LR56" i="58"/>
  <c r="RA48" i="58"/>
  <c r="QS62" i="58"/>
  <c r="PZ62" i="58"/>
  <c r="RT66" i="58"/>
  <c r="OM33" i="58"/>
  <c r="MG49" i="58"/>
  <c r="MY64" i="58"/>
  <c r="OB39" i="58"/>
  <c r="PG46" i="58"/>
  <c r="NA65" i="58"/>
  <c r="OA60" i="58"/>
  <c r="RF49" i="58"/>
  <c r="OY50" i="58"/>
  <c r="ML64" i="58"/>
  <c r="LV59" i="58"/>
  <c r="QJ63" i="58"/>
  <c r="AV21" i="58"/>
  <c r="NA50" i="58"/>
  <c r="KR30" i="58"/>
  <c r="PG39" i="58"/>
  <c r="EP24" i="58"/>
  <c r="OR36" i="58"/>
  <c r="MF30" i="58"/>
  <c r="ML56" i="58"/>
  <c r="QB45" i="58"/>
  <c r="QD38" i="58"/>
  <c r="PY43" i="58"/>
  <c r="LF58" i="58"/>
  <c r="OO61" i="58"/>
  <c r="MG60" i="58"/>
  <c r="RS37" i="58"/>
  <c r="QL66" i="58"/>
  <c r="MX41" i="58"/>
  <c r="RV47" i="58"/>
  <c r="LV35" i="58"/>
  <c r="LL63" i="58"/>
  <c r="OF22" i="58"/>
  <c r="LW46" i="58"/>
  <c r="PH20" i="58"/>
  <c r="QG37" i="58"/>
  <c r="QT57" i="58"/>
  <c r="OA42" i="58"/>
  <c r="QI39" i="58"/>
  <c r="OS55" i="58"/>
  <c r="AG21" i="58"/>
  <c r="CH24" i="58"/>
  <c r="JE24" i="58"/>
  <c r="GI24" i="58"/>
  <c r="MD51" i="58"/>
  <c r="LQ57" i="58"/>
  <c r="NG54" i="58"/>
  <c r="PS62" i="58"/>
  <c r="RU64" i="58"/>
  <c r="PD54" i="58"/>
  <c r="QD62" i="58"/>
  <c r="OK56" i="58"/>
  <c r="QS55" i="58"/>
  <c r="NZ37" i="58"/>
  <c r="KT65" i="58"/>
  <c r="RA50" i="58"/>
  <c r="NV29" i="58"/>
  <c r="NS20" i="58"/>
  <c r="PT57" i="58"/>
  <c r="NW48" i="58"/>
  <c r="ON52" i="58"/>
  <c r="QV35" i="58"/>
  <c r="PE34" i="58"/>
  <c r="MS52" i="58"/>
  <c r="GJ22" i="58"/>
  <c r="NC64" i="58"/>
  <c r="LY65" i="58"/>
  <c r="QM36" i="58"/>
  <c r="RC37" i="58"/>
  <c r="QI47" i="58"/>
  <c r="PZ42" i="58"/>
  <c r="QB52" i="58"/>
  <c r="LL37" i="58"/>
  <c r="QG47" i="58"/>
  <c r="LV60" i="58"/>
  <c r="PK49" i="58"/>
  <c r="NQ55" i="58"/>
  <c r="QU47" i="58"/>
  <c r="OC21" i="58"/>
  <c r="RP53" i="58"/>
  <c r="OZ57" i="58"/>
  <c r="LO64" i="58"/>
  <c r="CC19" i="58"/>
  <c r="QM45" i="58"/>
  <c r="PV31" i="58"/>
  <c r="RT40" i="58"/>
  <c r="PW21" i="58"/>
  <c r="MP41" i="58"/>
  <c r="LK43" i="58"/>
  <c r="DC23" i="58"/>
  <c r="PD30" i="58"/>
  <c r="JR24" i="58"/>
  <c r="MR61" i="58"/>
  <c r="LU62" i="58"/>
  <c r="GQ8" i="58"/>
  <c r="OO48" i="58"/>
  <c r="PS58" i="58"/>
  <c r="PC41" i="58"/>
  <c r="PO58" i="58"/>
  <c r="KQ65" i="58"/>
  <c r="QL45" i="58"/>
  <c r="KZ41" i="58"/>
  <c r="MG57" i="58"/>
  <c r="PL63" i="58"/>
  <c r="NY35" i="58"/>
  <c r="OI55" i="58"/>
  <c r="MR57" i="58"/>
  <c r="MW30" i="58"/>
  <c r="OC39" i="58"/>
  <c r="JQ23" i="58"/>
  <c r="MW42" i="58"/>
  <c r="LP40" i="58"/>
  <c r="ED24" i="58"/>
  <c r="RP41" i="58"/>
  <c r="IM24" i="58"/>
  <c r="QE46" i="58"/>
  <c r="KA24" i="58"/>
  <c r="RS22" i="58"/>
  <c r="MB47" i="58"/>
  <c r="PB62" i="58"/>
  <c r="RF57" i="58"/>
  <c r="MZ52" i="58"/>
  <c r="LN65" i="58"/>
  <c r="ML40" i="58"/>
  <c r="PZ50" i="58"/>
  <c r="MA49" i="58"/>
  <c r="MC43" i="58"/>
  <c r="NV42" i="58"/>
  <c r="NI51" i="58"/>
  <c r="RK32" i="58"/>
  <c r="PS41" i="58"/>
  <c r="RE59" i="58"/>
  <c r="NI34" i="58"/>
  <c r="PR8" i="58"/>
  <c r="OP38" i="58"/>
  <c r="NW38" i="58"/>
  <c r="PN46" i="58"/>
  <c r="NR32" i="58"/>
  <c r="RK58" i="58"/>
  <c r="KR48" i="58"/>
  <c r="PG53" i="58"/>
  <c r="QS42" i="58"/>
  <c r="LC37" i="58"/>
  <c r="OJ49" i="58"/>
  <c r="OH66" i="58"/>
  <c r="NG38" i="58"/>
  <c r="QQ54" i="58"/>
  <c r="RU45" i="58"/>
  <c r="RM34" i="58"/>
  <c r="PX55" i="58"/>
  <c r="MD29" i="58"/>
  <c r="NN50" i="58"/>
  <c r="LY31" i="58"/>
  <c r="EH21" i="58"/>
  <c r="EQ23" i="58"/>
  <c r="LQ34" i="58"/>
  <c r="NK38" i="58"/>
  <c r="LC59" i="58"/>
  <c r="MD57" i="58"/>
  <c r="RO45" i="58"/>
  <c r="OL51" i="58"/>
  <c r="LA59" i="58"/>
  <c r="NG43" i="58"/>
  <c r="QT49" i="58"/>
  <c r="LU59" i="58"/>
  <c r="ND30" i="58"/>
  <c r="MP53" i="58"/>
  <c r="NX53" i="58"/>
  <c r="QW52" i="58"/>
  <c r="RU39" i="58"/>
  <c r="NG49" i="58"/>
  <c r="KE21" i="58"/>
  <c r="MZ42" i="58"/>
  <c r="OS45" i="58"/>
  <c r="RI41" i="58"/>
  <c r="OS46" i="58"/>
  <c r="OR42" i="58"/>
  <c r="RP32" i="58"/>
  <c r="AW24" i="58"/>
  <c r="RL39" i="58"/>
  <c r="RE33" i="58"/>
  <c r="GE17" i="58"/>
  <c r="IK23" i="58"/>
  <c r="LW57" i="58"/>
  <c r="NL61" i="58"/>
  <c r="QD34" i="58"/>
  <c r="BZ9" i="58"/>
  <c r="QB59" i="58"/>
  <c r="QQ66" i="58"/>
  <c r="KT59" i="58"/>
  <c r="NN59" i="58"/>
  <c r="AW9" i="58"/>
  <c r="LS62" i="58"/>
  <c r="KT34" i="58"/>
  <c r="PO33" i="58"/>
  <c r="NT43" i="58"/>
  <c r="RM57" i="58"/>
  <c r="NF64" i="58"/>
  <c r="LG37" i="58"/>
  <c r="KX22" i="58"/>
  <c r="QU54" i="58"/>
  <c r="QZ59" i="58"/>
  <c r="RI50" i="58"/>
  <c r="KQ21" i="58"/>
  <c r="OM38" i="58"/>
  <c r="KW35" i="58"/>
  <c r="QS23" i="58"/>
  <c r="MR52" i="58"/>
  <c r="LK49" i="58"/>
  <c r="LS59" i="58"/>
  <c r="LT61" i="58"/>
  <c r="QY63" i="58"/>
  <c r="LC41" i="58"/>
  <c r="MV57" i="58"/>
  <c r="RA55" i="58"/>
  <c r="PM65" i="58"/>
  <c r="RE64" i="58"/>
  <c r="OT54" i="58"/>
  <c r="LD51" i="58"/>
  <c r="MA46" i="58"/>
  <c r="OR43" i="58"/>
  <c r="NK29" i="58"/>
  <c r="LN51" i="58"/>
  <c r="PB33" i="58"/>
  <c r="PL34" i="58"/>
  <c r="QO53" i="58"/>
  <c r="QK58" i="58"/>
  <c r="RR38" i="58"/>
  <c r="Q24" i="58"/>
  <c r="MD33" i="58"/>
  <c r="RH52" i="58"/>
  <c r="PV32" i="58"/>
  <c r="PS55" i="58"/>
  <c r="PJ66" i="58"/>
  <c r="RR33" i="58"/>
  <c r="OU59" i="58"/>
  <c r="PW58" i="58"/>
  <c r="LG47" i="58"/>
  <c r="QE55" i="58"/>
  <c r="KU63" i="58"/>
  <c r="MA64" i="58"/>
  <c r="PM41" i="58"/>
  <c r="OO56" i="58"/>
  <c r="OE62" i="58"/>
  <c r="FL11" i="58"/>
  <c r="PT42" i="58"/>
  <c r="LF39" i="58"/>
  <c r="RU51" i="58"/>
  <c r="MV36" i="58"/>
  <c r="OS20" i="58"/>
  <c r="QT47" i="58"/>
  <c r="PM43" i="58"/>
  <c r="DL21" i="58"/>
  <c r="GB22" i="58"/>
  <c r="NV47" i="58"/>
  <c r="QT46" i="58"/>
  <c r="OW50" i="58"/>
  <c r="ON60" i="58"/>
  <c r="NH42" i="58"/>
  <c r="OC52" i="58"/>
  <c r="NI55" i="58"/>
  <c r="NB43" i="58"/>
  <c r="PF45" i="58"/>
  <c r="RU37" i="58"/>
  <c r="NS63" i="58"/>
  <c r="NI62" i="58"/>
  <c r="QV63" i="58"/>
  <c r="LM66" i="58"/>
  <c r="RU21" i="58"/>
  <c r="DN11" i="58"/>
  <c r="RC46" i="58"/>
  <c r="LG55" i="58"/>
  <c r="MT51" i="58"/>
  <c r="LQ42" i="58"/>
  <c r="KU41" i="58"/>
  <c r="MH41" i="58"/>
  <c r="ND59" i="58"/>
  <c r="OC46" i="58"/>
  <c r="MO56" i="58"/>
  <c r="RR57" i="58"/>
  <c r="OR64" i="58"/>
  <c r="LR34" i="58"/>
  <c r="QK50" i="58"/>
  <c r="QO34" i="58"/>
  <c r="KW49" i="58"/>
  <c r="RC47" i="58"/>
  <c r="RA33" i="58"/>
  <c r="QR57" i="58"/>
  <c r="OE56" i="58"/>
  <c r="OL59" i="58"/>
  <c r="KY53" i="58"/>
  <c r="NF54" i="58"/>
  <c r="GP8" i="58"/>
  <c r="QT55" i="58"/>
  <c r="MA54" i="58"/>
  <c r="MQ41" i="58"/>
  <c r="PF58" i="58"/>
  <c r="KU65" i="58"/>
  <c r="BV23" i="58"/>
  <c r="PN47" i="58"/>
  <c r="RO32" i="58"/>
  <c r="QX48" i="58"/>
  <c r="LH40" i="58"/>
  <c r="PX53" i="58"/>
  <c r="NX41" i="58"/>
  <c r="RS31" i="58"/>
  <c r="PG24" i="58"/>
  <c r="LR58" i="58"/>
  <c r="RK54" i="58"/>
  <c r="MX58" i="58"/>
  <c r="MN35" i="58"/>
  <c r="NA66" i="58"/>
  <c r="RJ62" i="58"/>
  <c r="OJ51" i="58"/>
  <c r="LA53" i="58"/>
  <c r="NZ34" i="58"/>
  <c r="RH50" i="58"/>
  <c r="NM49" i="58"/>
  <c r="NY62" i="58"/>
  <c r="RE50" i="58"/>
  <c r="PR52" i="58"/>
  <c r="NQ38" i="58"/>
  <c r="RB54" i="58"/>
  <c r="QX66" i="58"/>
  <c r="LU57" i="58"/>
  <c r="RA64" i="58"/>
  <c r="PQ64" i="58"/>
  <c r="QB63" i="58"/>
  <c r="RG45" i="58"/>
  <c r="QH33" i="58"/>
  <c r="LW66" i="58"/>
  <c r="NX64" i="58"/>
  <c r="CR8" i="58"/>
  <c r="QV56" i="58"/>
  <c r="LD50" i="58"/>
  <c r="LE33" i="58"/>
  <c r="OU60" i="58"/>
  <c r="OS47" i="58"/>
  <c r="KU58" i="58"/>
  <c r="NN60" i="58"/>
  <c r="LC50" i="58"/>
  <c r="OY46" i="58"/>
  <c r="MS22" i="58"/>
  <c r="QG38" i="58"/>
  <c r="NA35" i="58"/>
  <c r="LM63" i="58"/>
  <c r="RF59" i="58"/>
  <c r="OZ59" i="58"/>
  <c r="NV35" i="58"/>
  <c r="NN24" i="58"/>
  <c r="PT24" i="58"/>
  <c r="OW33" i="58"/>
  <c r="PV54" i="58"/>
  <c r="NU58" i="58"/>
  <c r="NF56" i="58"/>
  <c r="NP50" i="58"/>
  <c r="MQ52" i="58"/>
  <c r="NU52" i="58"/>
  <c r="QF46" i="58"/>
  <c r="LL46" i="58"/>
  <c r="QA29" i="58"/>
  <c r="MY65" i="58"/>
  <c r="LR63" i="58"/>
  <c r="NT51" i="58"/>
  <c r="PT39" i="58"/>
  <c r="MP22" i="58"/>
  <c r="QE51" i="58"/>
  <c r="IR22" i="58"/>
  <c r="PF36" i="58"/>
  <c r="MC20" i="58"/>
  <c r="PL54" i="58"/>
  <c r="QR63" i="58"/>
  <c r="OA57" i="58"/>
  <c r="NC50" i="58"/>
  <c r="NJ43" i="58"/>
  <c r="LU51" i="58"/>
  <c r="MU51" i="58"/>
  <c r="OE65" i="58"/>
  <c r="PX49" i="58"/>
  <c r="RV40" i="58"/>
  <c r="KR52" i="58"/>
  <c r="RB50" i="58"/>
  <c r="NF57" i="58"/>
  <c r="RE63" i="58"/>
  <c r="RR50" i="58"/>
  <c r="NI64" i="58"/>
  <c r="PC66" i="58"/>
  <c r="NS41" i="58"/>
  <c r="QN56" i="58"/>
  <c r="LX41" i="58"/>
  <c r="RE29" i="58"/>
  <c r="NU53" i="58"/>
  <c r="EA22" i="58"/>
  <c r="OU30" i="58"/>
  <c r="NT46" i="58"/>
  <c r="LY34" i="58"/>
  <c r="NP45" i="58"/>
  <c r="KQ49" i="58"/>
  <c r="PW53" i="58"/>
  <c r="RQ40" i="58"/>
  <c r="RT37" i="58"/>
  <c r="RH41" i="58"/>
  <c r="NG41" i="58"/>
  <c r="OR51" i="58"/>
  <c r="KT62" i="58"/>
  <c r="NW49" i="58"/>
  <c r="NP46" i="58"/>
  <c r="HY23" i="58"/>
  <c r="PT54" i="58"/>
  <c r="OD60" i="58"/>
  <c r="MC21" i="58"/>
  <c r="PB36" i="58"/>
  <c r="QN30" i="58"/>
  <c r="HI19" i="58"/>
  <c r="LR53" i="58"/>
  <c r="NR34" i="58"/>
  <c r="RA59" i="58"/>
  <c r="MA45" i="58"/>
  <c r="EM22" i="58"/>
  <c r="NG31" i="58"/>
  <c r="RD58" i="58"/>
  <c r="LQ48" i="58"/>
  <c r="LB42" i="58"/>
  <c r="RG65" i="58"/>
  <c r="MS34" i="58"/>
  <c r="LF42" i="58"/>
  <c r="KX57" i="58"/>
  <c r="NL53" i="58"/>
  <c r="NM42" i="58"/>
  <c r="PI52" i="58"/>
  <c r="NS40" i="58"/>
  <c r="QL32" i="58"/>
  <c r="OP53" i="58"/>
  <c r="LO55" i="58"/>
  <c r="DE8" i="58"/>
  <c r="QJ55" i="58"/>
  <c r="NE64" i="58"/>
  <c r="PR53" i="58"/>
  <c r="LH50" i="58"/>
  <c r="MP47" i="58"/>
  <c r="LB47" i="58"/>
  <c r="QJ50" i="58"/>
  <c r="MM48" i="58"/>
  <c r="RB66" i="58"/>
  <c r="MR36" i="58"/>
  <c r="RM64" i="58"/>
  <c r="OL20" i="58"/>
  <c r="MG56" i="58"/>
  <c r="DK22" i="58"/>
  <c r="RV64" i="58"/>
  <c r="IR24" i="58"/>
  <c r="KZ42" i="58"/>
  <c r="MV29" i="58"/>
  <c r="RI43" i="58"/>
  <c r="RE38" i="58"/>
  <c r="CC22" i="58"/>
  <c r="RD53" i="58"/>
  <c r="CE8" i="58"/>
  <c r="MR66" i="58"/>
  <c r="QR8" i="58"/>
  <c r="LV64" i="58"/>
  <c r="KW48" i="58"/>
  <c r="QL53" i="58"/>
  <c r="MW38" i="58"/>
  <c r="MH33" i="58"/>
  <c r="MD65" i="58"/>
  <c r="OM34" i="58"/>
  <c r="MO36" i="58"/>
  <c r="ON40" i="58"/>
  <c r="QJ45" i="58"/>
  <c r="NV43" i="58"/>
  <c r="OI64" i="58"/>
  <c r="LI47" i="58"/>
  <c r="NV49" i="58"/>
  <c r="LQ52" i="58"/>
  <c r="NJ47" i="58"/>
  <c r="MM61" i="58"/>
  <c r="PY45" i="58"/>
  <c r="KU38" i="58"/>
  <c r="PP33" i="58"/>
  <c r="BB21" i="58"/>
  <c r="OH65" i="58"/>
  <c r="ME56" i="58"/>
  <c r="PU54" i="58"/>
  <c r="KY65" i="58"/>
  <c r="MZ46" i="58"/>
  <c r="OY47" i="58"/>
  <c r="LA47" i="58"/>
  <c r="KQ55" i="58"/>
  <c r="NN55" i="58"/>
  <c r="NK42" i="58"/>
  <c r="RK47" i="58"/>
  <c r="KX20" i="58"/>
  <c r="LW41" i="58"/>
  <c r="NG53" i="58"/>
  <c r="OI62" i="58"/>
  <c r="LT22" i="58"/>
  <c r="KU54" i="58"/>
  <c r="LS32" i="58"/>
  <c r="MM32" i="58"/>
  <c r="ND47" i="58"/>
  <c r="Q15" i="58"/>
  <c r="FS21" i="58"/>
  <c r="RL52" i="58"/>
  <c r="ON21" i="58"/>
  <c r="LN20" i="58"/>
  <c r="LX42" i="58"/>
  <c r="OX64" i="58"/>
  <c r="OY65" i="58"/>
  <c r="RC49" i="58"/>
  <c r="PH54" i="58"/>
  <c r="NS29" i="58"/>
  <c r="QS37" i="58"/>
  <c r="MK59" i="58"/>
  <c r="QD59" i="58"/>
  <c r="RP51" i="58"/>
  <c r="QO20" i="58"/>
  <c r="HS22" i="58"/>
  <c r="RT55" i="58"/>
  <c r="NJ48" i="58"/>
  <c r="LV24" i="58"/>
  <c r="MM65" i="58"/>
  <c r="ON62" i="58"/>
  <c r="KT52" i="58"/>
  <c r="OY64" i="58"/>
  <c r="JD11" i="58"/>
  <c r="OU66" i="58"/>
  <c r="OC31" i="58"/>
  <c r="RH53" i="58"/>
  <c r="NO37" i="58"/>
  <c r="NX57" i="58"/>
  <c r="OF60" i="58"/>
  <c r="KY55" i="58"/>
  <c r="QN39" i="58"/>
  <c r="QT65" i="58"/>
  <c r="NW40" i="58"/>
  <c r="OT61" i="58"/>
  <c r="QH23" i="58"/>
  <c r="LN23" i="58"/>
  <c r="O24" i="58"/>
  <c r="RS61" i="58"/>
  <c r="QB64" i="58"/>
  <c r="NH64" i="58"/>
  <c r="OD49" i="58"/>
  <c r="LL51" i="58"/>
  <c r="LW50" i="58"/>
  <c r="LG42" i="58"/>
  <c r="OH61" i="58"/>
  <c r="NC66" i="58"/>
  <c r="KY66" i="58"/>
  <c r="QC34" i="58"/>
  <c r="QI59" i="58"/>
  <c r="PA22" i="58"/>
  <c r="NF47" i="58"/>
  <c r="RH40" i="58"/>
  <c r="PN42" i="58"/>
  <c r="QX65" i="58"/>
  <c r="PI62" i="58"/>
  <c r="OA45" i="58"/>
  <c r="LG36" i="58"/>
  <c r="NP48" i="58"/>
  <c r="OT62" i="58"/>
  <c r="QK64" i="58"/>
  <c r="RJ29" i="58"/>
  <c r="AZ16" i="58"/>
  <c r="KQ39" i="58"/>
  <c r="LY39" i="58"/>
  <c r="RT57" i="58"/>
  <c r="PW57" i="58"/>
  <c r="PR56" i="58"/>
  <c r="LY42" i="58"/>
  <c r="QW57" i="58"/>
  <c r="LN50" i="58"/>
  <c r="QQ49" i="58"/>
  <c r="LC56" i="58"/>
  <c r="OI57" i="58"/>
  <c r="RP46" i="58"/>
  <c r="LI39" i="58"/>
  <c r="PY58" i="58"/>
  <c r="QI42" i="58"/>
  <c r="MA65" i="58"/>
  <c r="OW46" i="58"/>
  <c r="LT59" i="58"/>
  <c r="MQ60" i="58"/>
  <c r="QB30" i="58"/>
  <c r="MU53" i="58"/>
  <c r="MZ55" i="58"/>
  <c r="NN58" i="58"/>
  <c r="NP62" i="58"/>
  <c r="NL55" i="58"/>
  <c r="PP45" i="58"/>
  <c r="OQ47" i="58"/>
  <c r="OW31" i="58"/>
  <c r="AZ15" i="58"/>
  <c r="MF49" i="58"/>
  <c r="LL48" i="58"/>
  <c r="LG49" i="58"/>
  <c r="LJ51" i="58"/>
  <c r="PE61" i="58"/>
  <c r="QR60" i="58"/>
  <c r="OJ46" i="58"/>
  <c r="NX55" i="58"/>
  <c r="ME40" i="58"/>
  <c r="NU41" i="58"/>
  <c r="LJ55" i="58"/>
  <c r="ML66" i="58"/>
  <c r="PO50" i="58"/>
  <c r="QY47" i="58"/>
  <c r="NJ38" i="58"/>
  <c r="OP57" i="58"/>
  <c r="RJ45" i="58"/>
  <c r="NL35" i="58"/>
  <c r="QV61" i="58"/>
  <c r="PI61" i="58"/>
  <c r="OI60" i="58"/>
  <c r="NN56" i="58"/>
  <c r="MC66" i="58"/>
  <c r="QT45" i="58"/>
  <c r="ND66" i="58"/>
  <c r="PI58" i="58"/>
  <c r="NE52" i="58"/>
  <c r="OS38" i="58"/>
  <c r="MK34" i="58"/>
  <c r="PR62" i="58"/>
  <c r="PU34" i="58"/>
  <c r="NN51" i="58"/>
  <c r="MJ47" i="58"/>
  <c r="QD53" i="58"/>
  <c r="OI43" i="58"/>
  <c r="QY53" i="58"/>
  <c r="PV33" i="58"/>
  <c r="NB53" i="58"/>
  <c r="MD64" i="58"/>
  <c r="PR59" i="58"/>
  <c r="KY64" i="58"/>
  <c r="RR35" i="58"/>
  <c r="QR37" i="58"/>
  <c r="NG35" i="58"/>
  <c r="LB21" i="58"/>
  <c r="AQ18" i="58"/>
  <c r="LW30" i="58"/>
  <c r="MT47" i="58"/>
  <c r="OD37" i="58"/>
  <c r="QW58" i="58"/>
  <c r="FQ24" i="58"/>
  <c r="OG49" i="58"/>
  <c r="QS22" i="58"/>
  <c r="PU49" i="58"/>
  <c r="NN54" i="58"/>
  <c r="LC40" i="58"/>
  <c r="OO66" i="58"/>
  <c r="PW51" i="58"/>
  <c r="QC60" i="58"/>
  <c r="LX43" i="58"/>
  <c r="MP49" i="58"/>
  <c r="PX59" i="58"/>
  <c r="EI8" i="58"/>
  <c r="RA45" i="58"/>
  <c r="KY50" i="58"/>
  <c r="RA39" i="58"/>
  <c r="NM41" i="58"/>
  <c r="NV37" i="58"/>
  <c r="LX29" i="58"/>
  <c r="LS51" i="58"/>
  <c r="OZ43" i="58"/>
  <c r="PL31" i="58"/>
  <c r="MH61" i="58"/>
  <c r="NU47" i="58"/>
  <c r="LG52" i="58"/>
  <c r="NX65" i="58"/>
  <c r="OB53" i="58"/>
  <c r="OI66" i="58"/>
  <c r="PJ38" i="58"/>
  <c r="KV50" i="58"/>
  <c r="MT56" i="58"/>
  <c r="PT58" i="58"/>
  <c r="PI48" i="58"/>
  <c r="LL60" i="58"/>
  <c r="CT19" i="58"/>
  <c r="QC40" i="58"/>
  <c r="PR46" i="58"/>
  <c r="OT36" i="58"/>
  <c r="OV58" i="58"/>
  <c r="NJ49" i="58"/>
  <c r="LE64" i="58"/>
  <c r="LD59" i="58"/>
  <c r="MO57" i="58"/>
  <c r="MC64" i="58"/>
  <c r="QF37" i="58"/>
  <c r="QI48" i="58"/>
  <c r="PY42" i="58"/>
  <c r="QS39" i="58"/>
  <c r="RA56" i="58"/>
  <c r="QW61" i="58"/>
  <c r="PL55" i="58"/>
  <c r="OB59" i="58"/>
  <c r="PE51" i="58"/>
  <c r="PZ35" i="58"/>
  <c r="NF39" i="58"/>
  <c r="QV33" i="58"/>
  <c r="KQ53" i="58"/>
  <c r="NS47" i="58"/>
  <c r="ML45" i="58"/>
  <c r="X23" i="58"/>
  <c r="OW37" i="58"/>
  <c r="PC52" i="58"/>
  <c r="NE30" i="58"/>
  <c r="OV60" i="58"/>
  <c r="PZ52" i="58"/>
  <c r="LZ64" i="58"/>
  <c r="NI63" i="58"/>
  <c r="ME58" i="58"/>
  <c r="RH34" i="58"/>
  <c r="MB43" i="58"/>
  <c r="OA54" i="58"/>
  <c r="OJ35" i="58"/>
  <c r="OM49" i="58"/>
  <c r="OY42" i="58"/>
  <c r="LC24" i="58"/>
  <c r="RM60" i="58"/>
  <c r="CJ22" i="58"/>
  <c r="OF61" i="58"/>
  <c r="RE34" i="58"/>
  <c r="MU57" i="58"/>
  <c r="KS54" i="58"/>
  <c r="LL52" i="58"/>
  <c r="LM55" i="58"/>
  <c r="LZ29" i="58"/>
  <c r="NG57" i="58"/>
  <c r="OS21" i="58"/>
  <c r="QE24" i="58"/>
  <c r="PA32" i="58"/>
  <c r="RD43" i="58"/>
  <c r="NV53" i="58"/>
  <c r="ON50" i="58"/>
  <c r="LE60" i="58"/>
  <c r="RB39" i="58"/>
  <c r="LS54" i="58"/>
  <c r="PI57" i="58"/>
  <c r="KV48" i="58"/>
  <c r="MY58" i="58"/>
  <c r="QI43" i="58"/>
  <c r="OK51" i="58"/>
  <c r="LX52" i="58"/>
  <c r="LY59" i="58"/>
  <c r="PU42" i="58"/>
  <c r="QA35" i="58"/>
  <c r="NA39" i="58"/>
  <c r="PS47" i="58"/>
  <c r="QF38" i="58"/>
  <c r="QC54" i="58"/>
  <c r="PN38" i="58"/>
  <c r="MU33" i="58"/>
  <c r="HB22" i="58"/>
  <c r="MN24" i="58"/>
  <c r="RA53" i="58"/>
  <c r="NT50" i="58"/>
  <c r="QP49" i="58"/>
  <c r="LQ35" i="58"/>
  <c r="MW48" i="58"/>
  <c r="ND50" i="58"/>
  <c r="LI59" i="58"/>
  <c r="NJ60" i="58"/>
  <c r="QE43" i="58"/>
  <c r="MY66" i="58"/>
  <c r="OI52" i="58"/>
  <c r="LU37" i="58"/>
  <c r="MI52" i="58"/>
  <c r="NJ53" i="58"/>
  <c r="LJ63" i="58"/>
  <c r="MZ39" i="58"/>
  <c r="NO62" i="58"/>
  <c r="QH60" i="58"/>
  <c r="QN58" i="58"/>
  <c r="RO66" i="58"/>
  <c r="DE23" i="58"/>
  <c r="MO60" i="58"/>
  <c r="LN49" i="58"/>
  <c r="JG20" i="58"/>
  <c r="OR30" i="58"/>
  <c r="LF40" i="58"/>
  <c r="NK49" i="58"/>
  <c r="QT37" i="58"/>
  <c r="QC62" i="58"/>
  <c r="MS21" i="58"/>
  <c r="NO46" i="58"/>
  <c r="QL22" i="58"/>
  <c r="RJ60" i="58"/>
  <c r="LK39" i="58"/>
  <c r="QE66" i="58"/>
  <c r="QJ46" i="58"/>
  <c r="QJ23" i="58"/>
  <c r="NX66" i="58"/>
  <c r="PI46" i="58"/>
  <c r="RC58" i="58"/>
  <c r="NY58" i="58"/>
  <c r="LR48" i="58"/>
  <c r="LZ53" i="58"/>
  <c r="DV19" i="58"/>
  <c r="QF64" i="58"/>
  <c r="MN37" i="58"/>
  <c r="OX66" i="58"/>
  <c r="LH54" i="58"/>
  <c r="PA62" i="58"/>
  <c r="NC51" i="58"/>
  <c r="MW55" i="58"/>
  <c r="QD58" i="58"/>
  <c r="PO54" i="58"/>
  <c r="RI34" i="58"/>
  <c r="QQ20" i="58"/>
  <c r="MK40" i="58"/>
  <c r="OG55" i="58"/>
  <c r="PO66" i="58"/>
  <c r="LB43" i="58"/>
  <c r="DV8" i="58"/>
  <c r="RA61" i="58"/>
  <c r="MY55" i="58"/>
  <c r="NI65" i="58"/>
  <c r="RF38" i="58"/>
  <c r="OM53" i="58"/>
  <c r="MF48" i="58"/>
  <c r="NE39" i="58"/>
  <c r="LY37" i="58"/>
  <c r="QS36" i="58"/>
  <c r="RS33" i="58"/>
  <c r="OO42" i="58"/>
  <c r="MO21" i="58"/>
  <c r="OK21" i="58"/>
  <c r="OQ62" i="58"/>
  <c r="NL40" i="58"/>
  <c r="NP55" i="58"/>
  <c r="CS24" i="58"/>
  <c r="NQ57" i="58"/>
  <c r="NQ49" i="58"/>
  <c r="HF14" i="58"/>
  <c r="HQ23" i="58"/>
  <c r="QB37" i="58"/>
  <c r="OX65" i="58"/>
  <c r="NJ59" i="58"/>
  <c r="RU38" i="58"/>
  <c r="RS39" i="58"/>
  <c r="OO64" i="58"/>
  <c r="NB57" i="58"/>
  <c r="PH66" i="58"/>
  <c r="LR65" i="58"/>
  <c r="NO32" i="58"/>
  <c r="PS59" i="58"/>
  <c r="OA53" i="58"/>
  <c r="MH59" i="58"/>
  <c r="MI60" i="58"/>
  <c r="QP34" i="58"/>
  <c r="NJ46" i="58"/>
  <c r="QJ39" i="58"/>
  <c r="NB47" i="58"/>
  <c r="NJ41" i="58"/>
  <c r="MV51" i="58"/>
  <c r="KX62" i="58"/>
  <c r="QS63" i="58"/>
  <c r="LU65" i="58"/>
  <c r="RG43" i="58"/>
  <c r="LR42" i="58"/>
  <c r="LZ56" i="58"/>
  <c r="NT58" i="58"/>
  <c r="OA59" i="58"/>
  <c r="MP42" i="58"/>
  <c r="PD41" i="58"/>
  <c r="LY50" i="58"/>
  <c r="RL58" i="58"/>
  <c r="LO22" i="58"/>
  <c r="KZ23" i="58"/>
  <c r="LY46" i="58"/>
  <c r="PT23" i="58"/>
  <c r="QQ53" i="58"/>
  <c r="PU58" i="58"/>
  <c r="OP66" i="58"/>
  <c r="PJ57" i="58"/>
  <c r="QR64" i="58"/>
  <c r="QK48" i="58"/>
  <c r="RK61" i="58"/>
  <c r="NW54" i="58"/>
  <c r="MQ40" i="58"/>
  <c r="RB61" i="58"/>
  <c r="OW56" i="58"/>
  <c r="RQ59" i="58"/>
  <c r="BJ21" i="58"/>
  <c r="OW59" i="58"/>
  <c r="LC47" i="58"/>
  <c r="ND61" i="58"/>
  <c r="OY56" i="58"/>
  <c r="RQ42" i="58"/>
  <c r="PG61" i="58"/>
  <c r="ME38" i="58"/>
  <c r="RR24" i="58"/>
  <c r="PI40" i="58"/>
  <c r="OJ36" i="58"/>
  <c r="OR24" i="58"/>
  <c r="RA52" i="58"/>
  <c r="QH48" i="58"/>
  <c r="KT61" i="58"/>
  <c r="NJ65" i="58"/>
  <c r="NQ51" i="58"/>
  <c r="PS54" i="58"/>
  <c r="LC62" i="58"/>
  <c r="NS38" i="58"/>
  <c r="LW47" i="58"/>
  <c r="MA63" i="58"/>
  <c r="PZ38" i="58"/>
  <c r="KD23" i="58"/>
  <c r="PT66" i="58"/>
  <c r="RI32" i="58"/>
  <c r="LH43" i="58"/>
  <c r="MJ39" i="58"/>
  <c r="RL54" i="58"/>
  <c r="PH45" i="58"/>
  <c r="MT38" i="58"/>
  <c r="MX45" i="58"/>
  <c r="KR57" i="58"/>
  <c r="PS57" i="58"/>
  <c r="NC56" i="58"/>
  <c r="MG33" i="58"/>
  <c r="EJ22" i="58"/>
  <c r="OF30" i="58"/>
  <c r="PG32" i="58"/>
  <c r="PV42" i="58"/>
  <c r="PQ42" i="58"/>
  <c r="QS61" i="58"/>
  <c r="OF56" i="58"/>
  <c r="NR64" i="58"/>
  <c r="NQ56" i="58"/>
  <c r="OA29" i="58"/>
  <c r="MD37" i="58"/>
  <c r="LH59" i="58"/>
  <c r="QM50" i="58"/>
  <c r="OG48" i="58"/>
  <c r="OY52" i="58"/>
  <c r="KZ33" i="58"/>
  <c r="RA51" i="58"/>
  <c r="LE40" i="58"/>
  <c r="LI36" i="58"/>
  <c r="RU46" i="58"/>
  <c r="RJ59" i="58"/>
  <c r="MD54" i="58"/>
  <c r="LQ39" i="58"/>
  <c r="MX50" i="58"/>
  <c r="NH41" i="58"/>
  <c r="PD66" i="58"/>
  <c r="LN66" i="58"/>
  <c r="MJ30" i="58"/>
  <c r="RP54" i="58"/>
  <c r="NY61" i="58"/>
  <c r="LJ24" i="58"/>
  <c r="MM33" i="58"/>
  <c r="HV17" i="58"/>
  <c r="LR51" i="58"/>
  <c r="ID18" i="58"/>
  <c r="OY31" i="58"/>
  <c r="NQ53" i="58"/>
  <c r="OS41" i="58"/>
  <c r="NR62" i="58"/>
  <c r="RV62" i="58"/>
  <c r="NC46" i="58"/>
  <c r="OF57" i="58"/>
  <c r="PD56" i="58"/>
  <c r="RA9" i="58"/>
  <c r="MS36" i="58"/>
  <c r="PG50" i="58"/>
  <c r="OU64" i="58"/>
  <c r="OY30" i="58"/>
  <c r="MG52" i="58"/>
  <c r="PS45" i="58"/>
  <c r="LW62" i="58"/>
  <c r="NH59" i="58"/>
  <c r="HE21" i="58"/>
  <c r="PY48" i="58"/>
  <c r="RP58" i="58"/>
  <c r="JO24" i="58"/>
  <c r="KJ24" i="58"/>
  <c r="MS18" i="58"/>
  <c r="QE40" i="58"/>
  <c r="PB45" i="58"/>
  <c r="MQ43" i="58"/>
  <c r="NS66" i="58"/>
  <c r="RG33" i="58"/>
  <c r="MY50" i="58"/>
  <c r="PL51" i="58"/>
  <c r="NU59" i="58"/>
  <c r="MP52" i="58"/>
  <c r="MR35" i="58"/>
  <c r="KV65" i="58"/>
  <c r="NI42" i="58"/>
  <c r="NR65" i="58"/>
  <c r="OP58" i="58"/>
  <c r="RD48" i="58"/>
  <c r="QZ37" i="58"/>
  <c r="ON51" i="58"/>
  <c r="NV34" i="58"/>
  <c r="ML61" i="58"/>
  <c r="PV61" i="58"/>
  <c r="PW33" i="58"/>
  <c r="PK59" i="58"/>
  <c r="RF61" i="58"/>
  <c r="KS49" i="58"/>
  <c r="RU54" i="58"/>
  <c r="KU29" i="58"/>
  <c r="OS42" i="58"/>
  <c r="RV30" i="58"/>
  <c r="OX38" i="58"/>
  <c r="KP8" i="58"/>
  <c r="LH49" i="58"/>
  <c r="RG52" i="58"/>
  <c r="NC60" i="58"/>
  <c r="QU65" i="58"/>
  <c r="KR58" i="58"/>
  <c r="PE52" i="58"/>
  <c r="MO64" i="58"/>
  <c r="NJ61" i="58"/>
  <c r="KQ54" i="58"/>
  <c r="RA46" i="58"/>
  <c r="RF58" i="58"/>
  <c r="PT34" i="58"/>
  <c r="ML21" i="58"/>
  <c r="EY8" i="58"/>
  <c r="KU57" i="58"/>
  <c r="LV58" i="58"/>
  <c r="RK48" i="58"/>
  <c r="ND37" i="58"/>
  <c r="NN36" i="58"/>
  <c r="MZ65" i="58"/>
  <c r="QA52" i="58"/>
  <c r="KS66" i="58"/>
  <c r="RR40" i="58"/>
  <c r="OU51" i="58"/>
  <c r="OU65" i="58"/>
  <c r="OA58" i="58"/>
  <c r="LO54" i="58"/>
  <c r="PY47" i="58"/>
  <c r="QB53" i="58"/>
  <c r="PT43" i="58"/>
  <c r="MF24" i="58"/>
  <c r="RN23" i="58"/>
  <c r="MR58" i="58"/>
  <c r="RB36" i="58"/>
  <c r="NQ47" i="58"/>
  <c r="PY37" i="58"/>
  <c r="LG21" i="58"/>
  <c r="NX52" i="58"/>
  <c r="MH58" i="58"/>
  <c r="QN24" i="58"/>
  <c r="LL56" i="58"/>
  <c r="LB54" i="58"/>
  <c r="NF52" i="58"/>
  <c r="QV31" i="58"/>
  <c r="LW54" i="58"/>
  <c r="PN22" i="58"/>
  <c r="PX57" i="58"/>
  <c r="PI39" i="58"/>
  <c r="MD59" i="58"/>
  <c r="RI59" i="58"/>
  <c r="NR55" i="58"/>
  <c r="MX57" i="58"/>
  <c r="QN31" i="58"/>
  <c r="KX51" i="58"/>
  <c r="PP61" i="58"/>
  <c r="LI38" i="58"/>
  <c r="QQ62" i="58"/>
  <c r="RB46" i="58"/>
  <c r="MA56" i="58"/>
  <c r="OG57" i="58"/>
  <c r="LJ54" i="58"/>
  <c r="PB64" i="58"/>
  <c r="NQ45" i="58"/>
  <c r="QL59" i="58"/>
  <c r="QM47" i="58"/>
  <c r="MT55" i="58"/>
  <c r="OL38" i="58"/>
  <c r="PZ58" i="58"/>
  <c r="QT42" i="58"/>
  <c r="BF19" i="58"/>
  <c r="LY52" i="58"/>
  <c r="MG54" i="58"/>
  <c r="LQ63" i="58"/>
  <c r="OB37" i="58"/>
  <c r="MM50" i="58"/>
  <c r="LD56" i="58"/>
  <c r="RA58" i="58"/>
  <c r="QD57" i="58"/>
  <c r="LK62" i="58"/>
  <c r="PO57" i="58"/>
  <c r="MG65" i="58"/>
  <c r="NB59" i="58"/>
  <c r="OQ57" i="58"/>
  <c r="MS66" i="58"/>
  <c r="NR38" i="58"/>
  <c r="PI54" i="58"/>
  <c r="QC16" i="58"/>
  <c r="MB32" i="58"/>
  <c r="OV29" i="58"/>
  <c r="NX51" i="58"/>
  <c r="PD52" i="58"/>
  <c r="MJ42" i="58"/>
  <c r="MM46" i="58"/>
  <c r="OQ36" i="58"/>
  <c r="MY38" i="58"/>
  <c r="PX23" i="58"/>
  <c r="OW48" i="58"/>
  <c r="PK41" i="58"/>
  <c r="OJ47" i="58"/>
  <c r="QY39" i="58"/>
  <c r="MN66" i="58"/>
  <c r="NO36" i="58"/>
  <c r="MO54" i="58"/>
  <c r="CE24" i="58"/>
  <c r="QF57" i="58"/>
  <c r="NZ64" i="58"/>
  <c r="PV62" i="58"/>
  <c r="PA55" i="58"/>
  <c r="MG50" i="58"/>
  <c r="RE52" i="58"/>
  <c r="MY39" i="58"/>
  <c r="KW52" i="58"/>
  <c r="MN62" i="58"/>
  <c r="LV42" i="58"/>
  <c r="LN62" i="58"/>
  <c r="MU37" i="58"/>
  <c r="MF34" i="58"/>
  <c r="ON41" i="58"/>
  <c r="RO20" i="58"/>
  <c r="NK66" i="58"/>
  <c r="OM43" i="58"/>
  <c r="QV50" i="58"/>
  <c r="OJ59" i="58"/>
  <c r="PR33" i="58"/>
  <c r="HS17" i="58"/>
  <c r="RE51" i="58"/>
  <c r="QM55" i="58"/>
  <c r="GF22" i="58"/>
  <c r="KO24" i="58"/>
  <c r="RR65" i="58"/>
  <c r="NQ63" i="58"/>
  <c r="PZ55" i="58"/>
  <c r="MQ64" i="58"/>
  <c r="QZ43" i="58"/>
  <c r="RV58" i="58"/>
  <c r="PX33" i="58"/>
  <c r="NG56" i="58"/>
  <c r="PJ45" i="58"/>
  <c r="OG61" i="58"/>
  <c r="LA39" i="58"/>
  <c r="NA41" i="58"/>
  <c r="LV46" i="58"/>
  <c r="RD38" i="58"/>
  <c r="QH38" i="58"/>
  <c r="QO58" i="58"/>
  <c r="LF65" i="58"/>
  <c r="QG48" i="58"/>
  <c r="PG43" i="58"/>
  <c r="QV65" i="58"/>
  <c r="RS32" i="58"/>
  <c r="QW49" i="58"/>
  <c r="CJ17" i="58"/>
  <c r="QN20" i="58"/>
  <c r="LJ47" i="58"/>
  <c r="KK20" i="58"/>
  <c r="PV57" i="58"/>
  <c r="QT59" i="58"/>
  <c r="LB32" i="58"/>
  <c r="KE24" i="58"/>
  <c r="OJ41" i="58"/>
  <c r="MS45" i="58"/>
  <c r="MJ60" i="58"/>
  <c r="HS8" i="58"/>
  <c r="LM61" i="58"/>
  <c r="ML50" i="58"/>
  <c r="LV29" i="58"/>
  <c r="NS52" i="58"/>
  <c r="QV51" i="58"/>
  <c r="PC62" i="58"/>
  <c r="OH31" i="58"/>
  <c r="MC41" i="58"/>
  <c r="ND62" i="58"/>
  <c r="MG43" i="58"/>
  <c r="NG33" i="58"/>
  <c r="PQ39" i="58"/>
  <c r="NR58" i="58"/>
  <c r="NM65" i="58"/>
  <c r="NE56" i="58"/>
  <c r="LS61" i="58"/>
  <c r="OA48" i="58"/>
  <c r="MA58" i="58"/>
  <c r="OP34" i="58"/>
  <c r="PM66" i="58"/>
  <c r="MG53" i="58"/>
  <c r="MS41" i="58"/>
  <c r="MA40" i="58"/>
  <c r="QP60" i="58"/>
  <c r="RQ64" i="58"/>
  <c r="RF46" i="58"/>
  <c r="QS46" i="58"/>
  <c r="OH37" i="58"/>
  <c r="KU62" i="58"/>
  <c r="QX42" i="58"/>
  <c r="OM65" i="58"/>
  <c r="NR30" i="58"/>
  <c r="QI40" i="58"/>
  <c r="OP31" i="58"/>
  <c r="NQ60" i="58"/>
  <c r="GT24" i="58"/>
  <c r="MR30" i="58"/>
  <c r="MK47" i="58"/>
  <c r="PR63" i="58"/>
  <c r="RE43" i="58"/>
  <c r="RT59" i="58"/>
  <c r="PE43" i="58"/>
  <c r="OO40" i="58"/>
  <c r="OT59" i="58"/>
  <c r="LP50" i="58"/>
  <c r="QG57" i="58"/>
  <c r="OI56" i="58"/>
  <c r="PF64" i="58"/>
  <c r="LN35" i="58"/>
  <c r="LF63" i="58"/>
  <c r="QG34" i="58"/>
  <c r="MI41" i="58"/>
  <c r="MZ61" i="58"/>
  <c r="QX55" i="58"/>
  <c r="QH46" i="58"/>
  <c r="NI31" i="58"/>
  <c r="MW66" i="58"/>
  <c r="LP61" i="58"/>
  <c r="LQ65" i="58"/>
  <c r="GA22" i="58"/>
  <c r="NT61" i="58"/>
  <c r="OY43" i="58"/>
  <c r="MR21" i="58"/>
  <c r="QF39" i="58"/>
  <c r="OG41" i="58"/>
  <c r="LS53" i="58"/>
  <c r="QB57" i="58"/>
  <c r="MB65" i="58"/>
  <c r="QK55" i="58"/>
  <c r="QV58" i="58"/>
  <c r="QR40" i="58"/>
  <c r="ND48" i="58"/>
  <c r="PP29" i="58"/>
  <c r="QX46" i="58"/>
  <c r="NJ45" i="58"/>
  <c r="LU18" i="58"/>
  <c r="PX47" i="58"/>
  <c r="OU62" i="58"/>
  <c r="LG65" i="58"/>
  <c r="PM50" i="58"/>
  <c r="OE48" i="58"/>
  <c r="IZ24" i="58"/>
  <c r="NT29" i="58"/>
  <c r="RL37" i="58"/>
  <c r="MC47" i="58"/>
  <c r="QE54" i="58"/>
  <c r="MA66" i="58"/>
  <c r="NZ63" i="58"/>
  <c r="MO38" i="58"/>
  <c r="PR47" i="58"/>
  <c r="OT47" i="58"/>
  <c r="NU45" i="58"/>
  <c r="LA41" i="58"/>
  <c r="MI54" i="58"/>
  <c r="QC61" i="58"/>
  <c r="RO62" i="58"/>
  <c r="LA42" i="58"/>
  <c r="QK35" i="58"/>
  <c r="PU31" i="58"/>
  <c r="OJ40" i="58"/>
  <c r="QO50" i="58"/>
  <c r="ON36" i="58"/>
  <c r="OK38" i="58"/>
  <c r="QD31" i="58"/>
  <c r="NR53" i="58"/>
  <c r="LR43" i="58"/>
  <c r="LM41" i="58"/>
  <c r="QV39" i="58"/>
  <c r="LO63" i="58"/>
  <c r="PO61" i="58"/>
  <c r="LU43" i="58"/>
  <c r="LZ62" i="58"/>
  <c r="LP56" i="58"/>
  <c r="PK56" i="58"/>
  <c r="RF56" i="58"/>
  <c r="QI58" i="58"/>
  <c r="LI56" i="58"/>
  <c r="QO39" i="58"/>
  <c r="OV31" i="58"/>
  <c r="QS35" i="58"/>
  <c r="RP60" i="58"/>
  <c r="PC61" i="58"/>
  <c r="KZ62" i="58"/>
  <c r="MM62" i="58"/>
  <c r="OJ64" i="58"/>
  <c r="PG38" i="58"/>
  <c r="NZ43" i="58"/>
  <c r="PD22" i="58"/>
  <c r="OL50" i="58"/>
  <c r="RQ51" i="58"/>
  <c r="OX21" i="58"/>
  <c r="NH30" i="58"/>
  <c r="PW41" i="58"/>
  <c r="CS23" i="58"/>
  <c r="NG62" i="58"/>
  <c r="LF54" i="58"/>
  <c r="QU37" i="58"/>
  <c r="QE57" i="58"/>
  <c r="QK36" i="58"/>
  <c r="MR64" i="58"/>
  <c r="NZ51" i="58"/>
  <c r="QP66" i="58"/>
  <c r="QJ49" i="58"/>
  <c r="MR50" i="58"/>
  <c r="ON39" i="58"/>
  <c r="QN54" i="58"/>
  <c r="QZ35" i="58"/>
  <c r="PR54" i="58"/>
  <c r="KR63" i="58"/>
  <c r="LC55" i="58"/>
  <c r="RI55" i="58"/>
  <c r="OR61" i="58"/>
  <c r="OZ53" i="58"/>
  <c r="KS32" i="58"/>
  <c r="QX32" i="58"/>
  <c r="IL19" i="58"/>
  <c r="OT53" i="58"/>
  <c r="QK62" i="58"/>
  <c r="QS51" i="58"/>
  <c r="NM30" i="58"/>
  <c r="OE34" i="58"/>
  <c r="LW32" i="58"/>
  <c r="OV51" i="58"/>
  <c r="MS61" i="58"/>
  <c r="LG63" i="58"/>
  <c r="KT58" i="58"/>
  <c r="QD64" i="58"/>
  <c r="RF43" i="58"/>
  <c r="NV56" i="58"/>
  <c r="LH65" i="58"/>
  <c r="OD66" i="58"/>
  <c r="NO52" i="58"/>
  <c r="NY51" i="58"/>
  <c r="LM57" i="58"/>
  <c r="LP65" i="58"/>
  <c r="OX36" i="58"/>
  <c r="MW59" i="58"/>
  <c r="MI29" i="58"/>
  <c r="OG39" i="58"/>
  <c r="BC22" i="58"/>
  <c r="QX56" i="58"/>
  <c r="PY54" i="58"/>
  <c r="NH39" i="58"/>
  <c r="LL41" i="58"/>
  <c r="QJ51" i="58"/>
  <c r="RC34" i="58"/>
  <c r="LT35" i="58"/>
  <c r="PH51" i="58"/>
  <c r="OH63" i="58"/>
  <c r="OE54" i="58"/>
  <c r="MZ63" i="58"/>
  <c r="RU8" i="58"/>
  <c r="NP51" i="58"/>
  <c r="NH53" i="58"/>
  <c r="QB46" i="58"/>
  <c r="RD54" i="58"/>
  <c r="OB63" i="58"/>
  <c r="LT50" i="58"/>
  <c r="OL39" i="58"/>
  <c r="OW21" i="58"/>
  <c r="LV40" i="58"/>
  <c r="PU37" i="58"/>
  <c r="MP64" i="58"/>
  <c r="LS36" i="58"/>
  <c r="KU36" i="58"/>
  <c r="LY30" i="58"/>
  <c r="QJ43" i="58"/>
  <c r="NG37" i="58"/>
  <c r="LB22" i="58"/>
  <c r="LH47" i="58"/>
  <c r="NF41" i="58"/>
  <c r="PA21" i="58"/>
  <c r="QK33" i="58"/>
  <c r="ME21" i="58"/>
  <c r="QN50" i="58"/>
  <c r="OM61" i="58"/>
  <c r="KQ50" i="58"/>
  <c r="NZ58" i="58"/>
  <c r="QF54" i="58"/>
  <c r="RV55" i="58"/>
  <c r="QV59" i="58"/>
  <c r="LM62" i="58"/>
  <c r="MA37" i="58"/>
  <c r="NX56" i="58"/>
  <c r="LW45" i="58"/>
  <c r="LP37" i="58"/>
  <c r="RS38" i="58"/>
  <c r="KR46" i="58"/>
  <c r="QG56" i="58"/>
  <c r="PF43" i="58"/>
  <c r="MN36" i="58"/>
  <c r="QH45" i="58"/>
  <c r="MI49" i="58"/>
  <c r="MH52" i="58"/>
  <c r="OX45" i="58"/>
  <c r="MB51" i="58"/>
  <c r="PT51" i="58"/>
  <c r="PB60" i="58"/>
  <c r="NK54" i="58"/>
  <c r="QQ64" i="58"/>
  <c r="OK42" i="58"/>
  <c r="NO61" i="58"/>
  <c r="LJ65" i="58"/>
  <c r="QD35" i="58"/>
  <c r="OG52" i="58"/>
  <c r="LG48" i="58"/>
  <c r="PY64" i="58"/>
  <c r="IK22" i="58"/>
  <c r="KV53" i="58"/>
  <c r="NN45" i="58"/>
  <c r="QN62" i="58"/>
  <c r="LU49" i="58"/>
  <c r="LD46" i="58"/>
  <c r="NG64" i="58"/>
  <c r="MR34" i="58"/>
  <c r="LF46" i="58"/>
  <c r="LM58" i="58"/>
  <c r="LC54" i="58"/>
  <c r="QD61" i="58"/>
  <c r="PG58" i="58"/>
  <c r="QZ60" i="58"/>
  <c r="MZ35" i="58"/>
  <c r="PA47" i="58"/>
  <c r="MI42" i="58"/>
  <c r="RK31" i="58"/>
  <c r="MV17" i="58"/>
  <c r="QG61" i="58"/>
  <c r="KS64" i="58"/>
  <c r="LA35" i="58"/>
  <c r="QT43" i="58"/>
  <c r="MK63" i="58"/>
  <c r="MF63" i="58"/>
  <c r="QM49" i="58"/>
  <c r="MK66" i="58"/>
  <c r="NG59" i="58"/>
  <c r="KX66" i="58"/>
  <c r="JN24" i="58"/>
  <c r="NY64" i="58"/>
  <c r="LW36" i="58"/>
  <c r="PN55" i="58"/>
  <c r="IW17" i="58"/>
  <c r="NT40" i="58"/>
  <c r="MF38" i="58"/>
  <c r="PS61" i="58"/>
  <c r="LK34" i="58"/>
  <c r="NE49" i="58"/>
  <c r="QT48" i="58"/>
  <c r="MP63" i="58"/>
  <c r="LY60" i="58"/>
  <c r="QZ21" i="58"/>
  <c r="LS47" i="58"/>
  <c r="LQ58" i="58"/>
  <c r="RN38" i="58"/>
  <c r="LX36" i="58"/>
  <c r="MB30" i="58"/>
  <c r="RH62" i="58"/>
  <c r="OX53" i="58"/>
  <c r="MS35" i="58"/>
  <c r="QU58" i="58"/>
  <c r="NI53" i="58"/>
  <c r="PU48" i="58"/>
  <c r="OB16" i="58"/>
  <c r="QK52" i="58"/>
  <c r="PM49" i="58"/>
  <c r="KY34" i="58"/>
  <c r="MS58" i="58"/>
  <c r="JJ17" i="58"/>
  <c r="LV61" i="58"/>
  <c r="GG22" i="58"/>
  <c r="QF41" i="58"/>
  <c r="LM60" i="58"/>
  <c r="PU51" i="58"/>
  <c r="LF57" i="58"/>
  <c r="OC29" i="58"/>
  <c r="QB41" i="58"/>
  <c r="MX63" i="58"/>
  <c r="KU56" i="58"/>
  <c r="QO52" i="58"/>
  <c r="OS57" i="58"/>
  <c r="RU40" i="58"/>
  <c r="OS62" i="58"/>
  <c r="LR66" i="58"/>
  <c r="HN24" i="58"/>
  <c r="NH57" i="58"/>
  <c r="NM38" i="58"/>
  <c r="MT63" i="58"/>
  <c r="MY61" i="58"/>
  <c r="CC24" i="58"/>
  <c r="QQ22" i="58"/>
  <c r="LO43" i="58"/>
  <c r="ND46" i="58"/>
  <c r="RC52" i="58"/>
  <c r="PO51" i="58"/>
  <c r="NH48" i="58"/>
  <c r="RB32" i="58"/>
  <c r="LX49" i="58"/>
  <c r="PP57" i="58"/>
  <c r="NB42" i="58"/>
  <c r="RI53" i="58"/>
  <c r="MP61" i="58"/>
  <c r="PI31" i="58"/>
  <c r="IV19" i="58"/>
  <c r="RI38" i="58"/>
  <c r="RM47" i="58"/>
  <c r="OJ56" i="58"/>
  <c r="RU62" i="58"/>
  <c r="NR59" i="58"/>
  <c r="OT51" i="58"/>
  <c r="MV58" i="58"/>
  <c r="PX36" i="58"/>
  <c r="MO63" i="58"/>
  <c r="KV36" i="58"/>
  <c r="PX42" i="58"/>
  <c r="ND43" i="58"/>
  <c r="LA48" i="58"/>
  <c r="MX54" i="58"/>
  <c r="RC50" i="58"/>
  <c r="QO49" i="58"/>
  <c r="KR43" i="58"/>
  <c r="LH58" i="58"/>
  <c r="OG54" i="58"/>
  <c r="PI49" i="58"/>
  <c r="QN37" i="58"/>
  <c r="QU66" i="58"/>
  <c r="PN32" i="58"/>
  <c r="LZ55" i="58"/>
  <c r="QH58" i="58"/>
  <c r="MK65" i="58"/>
  <c r="NI46" i="58"/>
  <c r="OQ64" i="58"/>
  <c r="QG58" i="58"/>
  <c r="RS59" i="58"/>
  <c r="LL45" i="58"/>
  <c r="OX52" i="58"/>
  <c r="OE66" i="58"/>
  <c r="MU62" i="58"/>
  <c r="OB29" i="58"/>
  <c r="NS31" i="58"/>
  <c r="PM40" i="58"/>
  <c r="OP60" i="58"/>
  <c r="NO48" i="58"/>
  <c r="PY51" i="58"/>
  <c r="OD51" i="58"/>
  <c r="LW55" i="58"/>
  <c r="QC42" i="58"/>
  <c r="JC24" i="58"/>
  <c r="LG59" i="58"/>
  <c r="QI36" i="58"/>
  <c r="QT38" i="58"/>
  <c r="QL41" i="58"/>
  <c r="BB8" i="58"/>
  <c r="NP64" i="58"/>
  <c r="RT33" i="58"/>
  <c r="OX54" i="58"/>
  <c r="MC46" i="58"/>
  <c r="NQ46" i="58"/>
  <c r="PD39" i="58"/>
  <c r="QV64" i="58"/>
  <c r="QP48" i="58"/>
  <c r="PV51" i="58"/>
  <c r="QY51" i="58"/>
  <c r="LJ64" i="58"/>
  <c r="LQ53" i="58"/>
  <c r="MO58" i="58"/>
  <c r="QH24" i="58"/>
  <c r="MX46" i="58"/>
  <c r="MJ34" i="58"/>
  <c r="NY22" i="58"/>
  <c r="AL24" i="58"/>
  <c r="OM37" i="58"/>
  <c r="MU42" i="58"/>
  <c r="QQ59" i="58"/>
  <c r="OE45" i="58"/>
  <c r="LB16" i="58"/>
  <c r="OF24" i="58"/>
  <c r="NC8" i="58"/>
  <c r="MV52" i="58"/>
  <c r="RB57" i="58"/>
  <c r="MT41" i="58"/>
  <c r="PJ41" i="58"/>
  <c r="NC57" i="58"/>
  <c r="QW40" i="58"/>
  <c r="RL42" i="58"/>
  <c r="RD62" i="58"/>
  <c r="LS21" i="58"/>
  <c r="LJ57" i="58"/>
  <c r="RK56" i="58"/>
  <c r="QN65" i="58"/>
  <c r="LI50" i="58"/>
  <c r="NU43" i="58"/>
  <c r="RT42" i="58"/>
  <c r="NL52" i="58"/>
  <c r="QK63" i="58"/>
  <c r="LV49" i="58"/>
  <c r="LK59" i="58"/>
  <c r="NA46" i="58"/>
  <c r="MY63" i="58"/>
  <c r="KU61" i="58"/>
  <c r="OU46" i="58"/>
  <c r="OL54" i="58"/>
  <c r="PJ58" i="58"/>
  <c r="MS43" i="58"/>
  <c r="KS48" i="58"/>
  <c r="KS57" i="58"/>
  <c r="OX63" i="58"/>
  <c r="LO58" i="58"/>
  <c r="MR47" i="58"/>
  <c r="LA66" i="58"/>
  <c r="PY55" i="58"/>
  <c r="MQ65" i="58"/>
  <c r="LO30" i="58"/>
  <c r="QG53" i="58"/>
  <c r="RT29" i="58"/>
  <c r="MN34" i="58"/>
  <c r="MQ57" i="58"/>
  <c r="QX51" i="58"/>
  <c r="LQ38" i="58"/>
  <c r="OP48" i="58"/>
  <c r="NI50" i="58"/>
  <c r="QR51" i="58"/>
  <c r="PU55" i="58"/>
  <c r="NT42" i="58"/>
  <c r="RS41" i="58"/>
  <c r="MK41" i="58"/>
  <c r="QB61" i="58"/>
  <c r="OO55" i="58"/>
  <c r="MS47" i="58"/>
  <c r="RG29" i="58"/>
  <c r="QS47" i="58"/>
  <c r="MS56" i="58"/>
  <c r="OZ39" i="58"/>
  <c r="RC42" i="58"/>
  <c r="LL40" i="58"/>
  <c r="NM52" i="58"/>
  <c r="LJ40" i="58"/>
  <c r="OD36" i="58"/>
  <c r="LO36" i="58"/>
  <c r="NE65" i="58"/>
  <c r="PI32" i="58"/>
  <c r="NG48" i="58"/>
  <c r="LY40" i="58"/>
  <c r="MJ66" i="58"/>
  <c r="NK50" i="58"/>
  <c r="NM62" i="58"/>
  <c r="LD60" i="58"/>
  <c r="NJ54" i="58"/>
  <c r="ME47" i="58"/>
  <c r="PZ36" i="58"/>
  <c r="MV65" i="58"/>
  <c r="LW59" i="58"/>
  <c r="KV52" i="58"/>
  <c r="LZ61" i="58"/>
  <c r="QZ42" i="58"/>
  <c r="QK38" i="58"/>
  <c r="QV43" i="58"/>
  <c r="HJ19" i="58"/>
  <c r="RE24" i="58"/>
  <c r="LX40" i="58"/>
  <c r="PU46" i="58"/>
  <c r="NS42" i="58"/>
  <c r="JM24" i="58"/>
  <c r="OF45" i="58"/>
  <c r="PM36" i="58"/>
  <c r="MB61" i="58"/>
  <c r="LO52" i="58"/>
  <c r="RI33" i="58"/>
  <c r="OX31" i="58"/>
  <c r="QB47" i="58"/>
  <c r="NA56" i="58"/>
  <c r="NY42" i="58"/>
  <c r="LZ51" i="58"/>
  <c r="QB39" i="58"/>
  <c r="NK61" i="58"/>
  <c r="RQ62" i="58"/>
  <c r="RN43" i="58"/>
  <c r="RM43" i="58"/>
  <c r="RU36" i="58"/>
  <c r="KZ57" i="58"/>
  <c r="QO65" i="58"/>
  <c r="MK52" i="58"/>
  <c r="NP53" i="58"/>
  <c r="DY9" i="58"/>
  <c r="LS46" i="58"/>
  <c r="NA48" i="58"/>
  <c r="RO40" i="58"/>
  <c r="LI58" i="58"/>
  <c r="QL38" i="58"/>
  <c r="FG23" i="58"/>
  <c r="LN33" i="58"/>
  <c r="PL62" i="58"/>
  <c r="LY54" i="58"/>
  <c r="PS52" i="58"/>
  <c r="QK51" i="58"/>
  <c r="PY62" i="58"/>
  <c r="QP62" i="58"/>
  <c r="OY55" i="58"/>
  <c r="QZ55" i="58"/>
  <c r="NM56" i="58"/>
  <c r="OW45" i="58"/>
  <c r="MA30" i="58"/>
  <c r="KB22" i="58"/>
  <c r="OL41" i="58"/>
  <c r="OR52" i="58"/>
  <c r="LU33" i="58"/>
  <c r="NP49" i="58"/>
  <c r="NB20" i="58"/>
  <c r="RB31" i="58"/>
  <c r="OD41" i="58"/>
  <c r="KY49" i="58"/>
  <c r="KY56" i="58"/>
  <c r="MK55" i="58"/>
  <c r="RI51" i="58"/>
  <c r="PZ56" i="58"/>
  <c r="MF58" i="58"/>
  <c r="MI65" i="58"/>
  <c r="LO41" i="58"/>
  <c r="QX35" i="58"/>
  <c r="NK53" i="58"/>
  <c r="NR8" i="58"/>
  <c r="RL46" i="58"/>
  <c r="LB66" i="58"/>
  <c r="QM43" i="58"/>
  <c r="PK61" i="58"/>
  <c r="NQ43" i="58"/>
  <c r="LL47" i="58"/>
  <c r="RJ38" i="58"/>
  <c r="MX32" i="58"/>
  <c r="RQ65" i="58"/>
  <c r="QD46" i="58"/>
  <c r="OA46" i="58"/>
  <c r="RI36" i="58"/>
  <c r="OK57" i="58"/>
  <c r="MV35" i="58"/>
  <c r="RH33" i="58"/>
  <c r="JH21" i="58"/>
  <c r="NG36" i="58"/>
  <c r="MO35" i="58"/>
  <c r="MZ37" i="58"/>
  <c r="LN47" i="58"/>
  <c r="KR34" i="58"/>
  <c r="PX46" i="58"/>
  <c r="QC57" i="58"/>
  <c r="QY64" i="58"/>
  <c r="OK65" i="58"/>
  <c r="PK52" i="58"/>
  <c r="NG50" i="58"/>
  <c r="LE51" i="58"/>
  <c r="OE38" i="58"/>
  <c r="CJ10" i="58"/>
  <c r="PF49" i="58"/>
  <c r="KQ52" i="58"/>
  <c r="QT20" i="58"/>
  <c r="OY34" i="58"/>
  <c r="KR31" i="58"/>
  <c r="GX23" i="58"/>
  <c r="QD24" i="58"/>
  <c r="OP29" i="58"/>
  <c r="RA31" i="58"/>
  <c r="PC56" i="58"/>
  <c r="OI31" i="58"/>
  <c r="LS37" i="58"/>
  <c r="GG23" i="58"/>
  <c r="RT50" i="58"/>
  <c r="LZ50" i="58"/>
  <c r="NR35" i="58"/>
  <c r="RS21" i="58"/>
  <c r="DF24" i="58"/>
  <c r="OK43" i="58"/>
  <c r="MX36" i="58"/>
  <c r="KV57" i="58"/>
  <c r="QW65" i="58"/>
  <c r="RQ61" i="58"/>
  <c r="PQ65" i="58"/>
  <c r="MB42" i="58"/>
  <c r="KV58" i="58"/>
  <c r="OB54" i="58"/>
  <c r="RN51" i="58"/>
  <c r="DZ9" i="58"/>
  <c r="LB52" i="58"/>
  <c r="LF52" i="58"/>
  <c r="PH32" i="58"/>
  <c r="LI53" i="58"/>
  <c r="RH45" i="58"/>
  <c r="MW47" i="58"/>
  <c r="OU42" i="58"/>
  <c r="PG40" i="58"/>
  <c r="PM46" i="58"/>
  <c r="RK63" i="58"/>
  <c r="MX53" i="58"/>
  <c r="NU51" i="58"/>
  <c r="QA36" i="58"/>
  <c r="NP22" i="58"/>
  <c r="QN36" i="58"/>
  <c r="CH15" i="58"/>
  <c r="QY30" i="58"/>
  <c r="RH21" i="58"/>
  <c r="QV34" i="58"/>
  <c r="OZ49" i="58"/>
  <c r="FG18" i="58"/>
  <c r="LF43" i="58"/>
  <c r="PX61" i="58"/>
  <c r="PH22" i="58"/>
  <c r="KZ47" i="58"/>
  <c r="QT31" i="58"/>
  <c r="PE54" i="58"/>
  <c r="NV52" i="58"/>
  <c r="GV18" i="58"/>
  <c r="PS43" i="58"/>
  <c r="OR50" i="58"/>
  <c r="QA55" i="58"/>
  <c r="QS65" i="58"/>
  <c r="NZ55" i="58"/>
  <c r="OK47" i="58"/>
  <c r="KX40" i="58"/>
  <c r="PN53" i="58"/>
  <c r="PY63" i="58"/>
  <c r="KQ59" i="58"/>
  <c r="NL42" i="58"/>
  <c r="PD50" i="58"/>
  <c r="MD32" i="58"/>
  <c r="RQ60" i="58"/>
  <c r="QU63" i="58"/>
  <c r="HH11" i="58"/>
  <c r="MU48" i="58"/>
  <c r="KR66" i="58"/>
  <c r="RR37" i="58"/>
  <c r="QZ66" i="58"/>
  <c r="QW50" i="58"/>
  <c r="MF50" i="58"/>
  <c r="OE51" i="58"/>
  <c r="MH47" i="58"/>
  <c r="GP24" i="58"/>
  <c r="GY20" i="58"/>
  <c r="ON53" i="58"/>
  <c r="PJ20" i="58"/>
  <c r="GH19" i="58"/>
  <c r="RD45" i="58"/>
  <c r="GF21" i="58"/>
  <c r="MY47" i="58"/>
  <c r="MY30" i="58"/>
  <c r="OY33" i="58"/>
  <c r="MG42" i="58"/>
  <c r="NN14" i="58"/>
  <c r="PP65" i="58"/>
  <c r="OE57" i="58"/>
  <c r="PN58" i="58"/>
  <c r="LM53" i="58"/>
  <c r="RV48" i="58"/>
  <c r="NN64" i="58"/>
  <c r="MC53" i="58"/>
  <c r="RO58" i="58"/>
  <c r="NN62" i="58"/>
  <c r="OO50" i="58"/>
  <c r="KV51" i="58"/>
  <c r="LP34" i="58"/>
  <c r="PQ66" i="58"/>
  <c r="MS48" i="58"/>
  <c r="LQ45" i="58"/>
  <c r="RS60" i="58"/>
  <c r="QA45" i="58"/>
  <c r="OS58" i="58"/>
  <c r="RH56" i="58"/>
  <c r="RM35" i="58"/>
  <c r="OM47" i="58"/>
  <c r="PQ52" i="58"/>
  <c r="MT57" i="58"/>
  <c r="DP22" i="58"/>
  <c r="NV40" i="58"/>
  <c r="RQ38" i="58"/>
  <c r="ET22" i="58"/>
  <c r="ID17" i="58"/>
  <c r="MO42" i="58"/>
  <c r="NM61" i="58"/>
  <c r="PK37" i="58"/>
  <c r="DP19" i="58"/>
  <c r="LW39" i="58"/>
  <c r="QH42" i="58"/>
  <c r="LK58" i="58"/>
  <c r="MK42" i="58"/>
  <c r="MD45" i="58"/>
  <c r="PT64" i="58"/>
  <c r="MN58" i="58"/>
  <c r="PF41" i="58"/>
  <c r="OZ66" i="58"/>
  <c r="LS43" i="58"/>
  <c r="MP46" i="58"/>
  <c r="LS41" i="58"/>
  <c r="QZ52" i="58"/>
  <c r="KY38" i="58"/>
  <c r="LT18" i="58"/>
  <c r="BX23" i="58"/>
  <c r="NS54" i="58"/>
  <c r="LB31" i="58"/>
  <c r="OE52" i="58"/>
  <c r="OA64" i="58"/>
  <c r="MM35" i="58"/>
  <c r="QE49" i="58"/>
  <c r="MW40" i="58"/>
  <c r="GW21" i="58"/>
  <c r="MT22" i="58"/>
  <c r="MM40" i="58"/>
  <c r="QZ53" i="58"/>
  <c r="RJ61" i="58"/>
  <c r="QM48" i="58"/>
  <c r="LJ58" i="58"/>
  <c r="ON66" i="58"/>
  <c r="KZ51" i="58"/>
  <c r="PF61" i="58"/>
  <c r="OZ37" i="58"/>
  <c r="QI54" i="58"/>
  <c r="QI46" i="58"/>
  <c r="NM29" i="58"/>
  <c r="PF53" i="58"/>
  <c r="RM50" i="58"/>
  <c r="GT10" i="58"/>
  <c r="MU39" i="58"/>
  <c r="MY60" i="58"/>
  <c r="RQ31" i="58"/>
  <c r="PA49" i="58"/>
  <c r="NG66" i="58"/>
  <c r="OV56" i="58"/>
  <c r="PL48" i="58"/>
  <c r="PQ55" i="58"/>
  <c r="PW29" i="58"/>
  <c r="OK24" i="58"/>
  <c r="QB38" i="58"/>
  <c r="NL21" i="58"/>
  <c r="RC24" i="58"/>
  <c r="NY43" i="58"/>
  <c r="NQ52" i="58"/>
  <c r="QR24" i="58"/>
  <c r="MF57" i="58"/>
  <c r="RJ31" i="58"/>
  <c r="PH30" i="58"/>
  <c r="NV30" i="58"/>
  <c r="BJ20" i="58"/>
  <c r="RN24" i="58"/>
  <c r="MD22" i="58"/>
  <c r="OU47" i="58"/>
  <c r="LG57" i="58"/>
  <c r="NZ61" i="58"/>
  <c r="ML34" i="58"/>
  <c r="QK43" i="58"/>
  <c r="R19" i="58"/>
  <c r="QS66" i="58"/>
  <c r="LW42" i="58"/>
  <c r="KY46" i="58"/>
  <c r="NR50" i="58"/>
  <c r="KR61" i="58"/>
  <c r="NS53" i="58"/>
  <c r="LR33" i="58"/>
  <c r="KX59" i="58"/>
  <c r="RB56" i="58"/>
  <c r="OB45" i="58"/>
  <c r="MM47" i="58"/>
  <c r="NS65" i="58"/>
  <c r="GY23" i="58"/>
  <c r="QR59" i="58"/>
  <c r="QZ40" i="58"/>
  <c r="MO39" i="58"/>
  <c r="RT36" i="58"/>
  <c r="MR46" i="58"/>
  <c r="MD31" i="58"/>
  <c r="NZ38" i="58"/>
  <c r="GX24" i="58"/>
  <c r="QH52" i="58"/>
  <c r="OF20" i="58"/>
  <c r="RC32" i="58"/>
  <c r="PY49" i="58"/>
  <c r="OK58" i="58"/>
  <c r="OL32" i="58"/>
  <c r="NH40" i="58"/>
  <c r="RT39" i="58"/>
  <c r="PA33" i="58"/>
  <c r="RM61" i="58"/>
  <c r="QO61" i="58"/>
  <c r="LG60" i="58"/>
  <c r="PP54" i="58"/>
  <c r="MJ49" i="58"/>
  <c r="LN55" i="58"/>
  <c r="MX65" i="58"/>
  <c r="PI50" i="58"/>
  <c r="MV38" i="58"/>
  <c r="QY48" i="58"/>
  <c r="MA52" i="58"/>
  <c r="LG40" i="58"/>
  <c r="OQ52" i="58"/>
  <c r="RS46" i="58"/>
  <c r="RA41" i="58"/>
  <c r="LO49" i="58"/>
  <c r="MX62" i="58"/>
  <c r="NN53" i="58"/>
  <c r="NO58" i="58"/>
  <c r="OH40" i="58"/>
  <c r="PD45" i="58"/>
  <c r="MV64" i="58"/>
  <c r="OT42" i="58"/>
  <c r="OD40" i="58"/>
  <c r="PO62" i="58"/>
  <c r="RA29" i="58"/>
  <c r="OO19" i="58"/>
  <c r="ML60" i="58"/>
  <c r="ME66" i="58"/>
  <c r="QE41" i="58"/>
  <c r="LB37" i="58"/>
  <c r="QZ54" i="58"/>
  <c r="OX55" i="58"/>
  <c r="QI64" i="58"/>
  <c r="RF51" i="58"/>
  <c r="ME37" i="58"/>
  <c r="NE54" i="58"/>
  <c r="OK50" i="58"/>
  <c r="NB61" i="58"/>
  <c r="RS58" i="58"/>
  <c r="NO51" i="58"/>
  <c r="LT31" i="58"/>
  <c r="LE47" i="58"/>
  <c r="QT53" i="58"/>
  <c r="PE62" i="58"/>
  <c r="CO21" i="58"/>
  <c r="QQ43" i="58"/>
  <c r="QT39" i="58"/>
  <c r="MA50" i="58"/>
  <c r="MH45" i="58"/>
  <c r="OU53" i="58"/>
  <c r="QH63" i="58"/>
  <c r="RM39" i="58"/>
  <c r="NC48" i="58"/>
  <c r="RB45" i="58"/>
  <c r="MK61" i="58"/>
  <c r="OQ43" i="58"/>
  <c r="PS42" i="58"/>
  <c r="QP40" i="58"/>
  <c r="KD13" i="58"/>
  <c r="LJ59" i="58"/>
  <c r="MK49" i="58"/>
  <c r="LP54" i="58"/>
  <c r="OX62" i="58"/>
  <c r="MO37" i="58"/>
  <c r="PP63" i="58"/>
  <c r="NO54" i="58"/>
  <c r="NQ42" i="58"/>
  <c r="OM40" i="58"/>
  <c r="NZ36" i="58"/>
  <c r="LA54" i="58"/>
  <c r="LM64" i="58"/>
  <c r="RL63" i="58"/>
  <c r="MH63" i="58"/>
  <c r="QX52" i="58"/>
  <c r="QU61" i="58"/>
  <c r="OY58" i="58"/>
  <c r="RE65" i="58"/>
  <c r="IS24" i="58"/>
  <c r="NW56" i="58"/>
  <c r="GM24" i="58"/>
  <c r="PK45" i="58"/>
  <c r="EK23" i="58"/>
  <c r="NL29" i="58"/>
  <c r="LK40" i="58"/>
  <c r="ON49" i="58"/>
  <c r="RQ49" i="58"/>
  <c r="KY61" i="58"/>
  <c r="LT33" i="58"/>
  <c r="RO55" i="58"/>
  <c r="MJ48" i="58"/>
  <c r="LH62" i="58"/>
  <c r="MQ47" i="58"/>
  <c r="MP54" i="58"/>
  <c r="LH61" i="58"/>
  <c r="LJ45" i="58"/>
  <c r="NR46" i="58"/>
  <c r="ND35" i="58"/>
  <c r="MU41" i="58"/>
  <c r="PE40" i="58"/>
  <c r="QW30" i="58"/>
  <c r="QG64" i="58"/>
  <c r="LL50" i="58"/>
  <c r="RV54" i="58"/>
  <c r="QW45" i="58"/>
  <c r="PX40" i="58"/>
  <c r="PQ49" i="58"/>
  <c r="PH55" i="58"/>
  <c r="OE40" i="58"/>
  <c r="MT36" i="58"/>
  <c r="NJ32" i="58"/>
  <c r="OI59" i="58"/>
  <c r="LL53" i="58"/>
  <c r="PB22" i="58"/>
  <c r="OW61" i="58"/>
  <c r="MD30" i="58"/>
  <c r="LS35" i="58"/>
  <c r="QK37" i="58"/>
  <c r="NF51" i="58"/>
  <c r="PB65" i="58"/>
  <c r="NW41" i="58"/>
  <c r="QL65" i="58"/>
  <c r="OF43" i="58"/>
  <c r="NJ63" i="58"/>
  <c r="PZ48" i="58"/>
  <c r="OV62" i="58"/>
  <c r="LK53" i="58"/>
  <c r="MV55" i="58"/>
  <c r="QP55" i="58"/>
  <c r="PA46" i="58"/>
  <c r="NT66" i="58"/>
  <c r="PI60" i="58"/>
  <c r="OV45" i="58"/>
  <c r="NK41" i="58"/>
  <c r="PG57" i="58"/>
  <c r="PP52" i="58"/>
  <c r="KU45" i="58"/>
  <c r="LP57" i="58"/>
  <c r="RJ42" i="58"/>
  <c r="QT34" i="58"/>
  <c r="IP24" i="58"/>
  <c r="MW39" i="58"/>
  <c r="MG40" i="58"/>
  <c r="ME50" i="58"/>
  <c r="RP36" i="58"/>
  <c r="QC63" i="58"/>
  <c r="QN57" i="58"/>
  <c r="OR59" i="58"/>
  <c r="PP50" i="58"/>
  <c r="NC40" i="58"/>
  <c r="MD50" i="58"/>
  <c r="LM56" i="58"/>
  <c r="OL53" i="58"/>
  <c r="LR50" i="58"/>
  <c r="NY53" i="58"/>
  <c r="MI61" i="58"/>
  <c r="RU55" i="58"/>
  <c r="LY66" i="58"/>
  <c r="NQ40" i="58"/>
  <c r="PT49" i="58"/>
  <c r="OW32" i="58"/>
  <c r="QN59" i="58"/>
  <c r="MU58" i="58"/>
  <c r="LK56" i="58"/>
  <c r="RK51" i="58"/>
  <c r="QE37" i="58"/>
  <c r="OJ39" i="58"/>
  <c r="RO23" i="58"/>
  <c r="RH32" i="58"/>
  <c r="NP43" i="58"/>
  <c r="QG52" i="58"/>
  <c r="OU63" i="58"/>
  <c r="LY49" i="58"/>
  <c r="NJ52" i="58"/>
  <c r="NK59" i="58"/>
  <c r="PJ50" i="58"/>
  <c r="OJ34" i="58"/>
  <c r="OI42" i="58"/>
  <c r="LX55" i="58"/>
  <c r="NC59" i="58"/>
  <c r="QB36" i="58"/>
  <c r="KR45" i="58"/>
  <c r="KQ43" i="58"/>
  <c r="OY53" i="58"/>
  <c r="PB52" i="58"/>
  <c r="OM45" i="58"/>
  <c r="QV41" i="58"/>
  <c r="KV34" i="58"/>
  <c r="OW64" i="58"/>
  <c r="PC63" i="58"/>
  <c r="PB18" i="58"/>
  <c r="OD47" i="58"/>
  <c r="GB8" i="58"/>
  <c r="MG62" i="58"/>
  <c r="LB61" i="58"/>
  <c r="NJ39" i="58"/>
  <c r="LZ58" i="58"/>
  <c r="QA51" i="58"/>
  <c r="NF59" i="58"/>
  <c r="BK19" i="58"/>
  <c r="MC39" i="58"/>
  <c r="NH65" i="58"/>
  <c r="PC19" i="58"/>
  <c r="PS50" i="58"/>
  <c r="QM56" i="58"/>
  <c r="PA57" i="58"/>
  <c r="OW65" i="58"/>
  <c r="PL36" i="58"/>
  <c r="MC55" i="58"/>
  <c r="MZ64" i="58"/>
  <c r="NS48" i="58"/>
  <c r="OK64" i="58"/>
  <c r="LN46" i="58"/>
  <c r="RE40" i="58"/>
  <c r="MV63" i="58"/>
  <c r="QM42" i="58"/>
  <c r="OM55" i="58"/>
  <c r="NO56" i="58"/>
  <c r="RN64" i="58"/>
  <c r="NT41" i="58"/>
  <c r="NC65" i="58"/>
  <c r="QD56" i="58"/>
  <c r="OG46" i="58"/>
  <c r="PO49" i="58"/>
  <c r="RP50" i="58"/>
  <c r="RE39" i="58"/>
  <c r="QG24" i="58"/>
  <c r="LI46" i="58"/>
  <c r="RM51" i="58"/>
  <c r="NM59" i="58"/>
  <c r="QH21" i="58"/>
  <c r="MC60" i="58"/>
  <c r="NN65" i="58"/>
  <c r="RS47" i="58"/>
  <c r="QP31" i="58"/>
  <c r="RE47" i="58"/>
  <c r="LX59" i="58"/>
  <c r="PA48" i="58"/>
  <c r="OJ53" i="58"/>
  <c r="MA48" i="58"/>
  <c r="KJ21" i="58"/>
  <c r="PX39" i="58"/>
  <c r="OP49" i="58"/>
  <c r="NM60" i="58"/>
  <c r="LP46" i="58"/>
  <c r="JG24" i="58"/>
  <c r="QZ41" i="58"/>
  <c r="OS65" i="58"/>
  <c r="OP41" i="58"/>
  <c r="QF45" i="58"/>
  <c r="LY19" i="58"/>
  <c r="RF55" i="58"/>
  <c r="LM47" i="58"/>
  <c r="PV23" i="58"/>
  <c r="PF60" i="58"/>
  <c r="PB51" i="58"/>
  <c r="NE66" i="58"/>
  <c r="PM37" i="58"/>
  <c r="OR47" i="58"/>
  <c r="RL55" i="58"/>
  <c r="RB64" i="58"/>
  <c r="OO63" i="58"/>
  <c r="LD48" i="58"/>
  <c r="RK62" i="58"/>
  <c r="OA50" i="58"/>
  <c r="LA62" i="58"/>
  <c r="ES19" i="58"/>
  <c r="PK36" i="58"/>
  <c r="OI40" i="58"/>
  <c r="OX57" i="58"/>
  <c r="LH45" i="58"/>
  <c r="LU53" i="58"/>
  <c r="NM39" i="58"/>
  <c r="LI61" i="58"/>
  <c r="RC41" i="58"/>
  <c r="QH47" i="58"/>
  <c r="OV61" i="58"/>
  <c r="DW21" i="58"/>
  <c r="PK58" i="58"/>
  <c r="MZ40" i="58"/>
  <c r="PC64" i="58"/>
  <c r="KR65" i="58"/>
  <c r="QY41" i="58"/>
  <c r="LV57" i="58"/>
  <c r="OP65" i="58"/>
  <c r="QJ59" i="58"/>
  <c r="OC43" i="58"/>
  <c r="MW23" i="58"/>
  <c r="MH42" i="58"/>
  <c r="QI53" i="58"/>
  <c r="PZ45" i="58"/>
  <c r="RS54" i="58"/>
  <c r="RC23" i="58"/>
  <c r="NE59" i="58"/>
  <c r="OU57" i="58"/>
  <c r="MJ63" i="58"/>
  <c r="KW57" i="58"/>
  <c r="LW34" i="58"/>
  <c r="QK40" i="58"/>
  <c r="RK43" i="58"/>
  <c r="LQ64" i="58"/>
  <c r="LK50" i="58"/>
  <c r="PH53" i="58"/>
  <c r="OC53" i="58"/>
  <c r="IT23" i="58"/>
  <c r="EE18" i="58"/>
  <c r="OL49" i="58"/>
  <c r="NU35" i="58"/>
  <c r="LF37" i="58"/>
  <c r="MO48" i="58"/>
  <c r="NB62" i="58"/>
  <c r="QI38" i="58"/>
  <c r="OB47" i="58"/>
  <c r="QV55" i="58"/>
  <c r="OS52" i="58"/>
  <c r="QC47" i="58"/>
  <c r="QN66" i="58"/>
  <c r="LC49" i="58"/>
  <c r="LQ55" i="58"/>
  <c r="MA29" i="58"/>
  <c r="QC52" i="58"/>
  <c r="MN54" i="58"/>
  <c r="RL49" i="58"/>
  <c r="OT33" i="58"/>
  <c r="RD41" i="58"/>
  <c r="NX54" i="58"/>
  <c r="QU18" i="58"/>
  <c r="GM22" i="58"/>
  <c r="QD47" i="58"/>
  <c r="LS55" i="58"/>
  <c r="RU23" i="58"/>
  <c r="PB57" i="58"/>
  <c r="PR40" i="58"/>
  <c r="PK33" i="58"/>
  <c r="KS36" i="58"/>
  <c r="MJ46" i="58"/>
  <c r="RH61" i="58"/>
  <c r="NQ32" i="58"/>
  <c r="ND64" i="58"/>
  <c r="OL57" i="58"/>
  <c r="KW61" i="58"/>
  <c r="PW55" i="58"/>
  <c r="MB64" i="58"/>
  <c r="LZ60" i="58"/>
  <c r="LX38" i="58"/>
  <c r="NY50" i="58"/>
  <c r="LE57" i="58"/>
  <c r="NE47" i="58"/>
  <c r="PB55" i="58"/>
  <c r="QL35" i="58"/>
  <c r="QA58" i="58"/>
  <c r="KX50" i="58"/>
  <c r="NH55" i="58"/>
  <c r="KZ64" i="58"/>
  <c r="QR48" i="58"/>
  <c r="QP22" i="58"/>
  <c r="KW31" i="58"/>
  <c r="MN55" i="58"/>
  <c r="QW55" i="58"/>
  <c r="QI49" i="58"/>
  <c r="NU57" i="58"/>
  <c r="KT57" i="58"/>
  <c r="QH61" i="58"/>
  <c r="ND55" i="58"/>
  <c r="LO51" i="58"/>
  <c r="MV59" i="58"/>
  <c r="NY54" i="58"/>
  <c r="QY36" i="58"/>
  <c r="EQ20" i="58"/>
  <c r="MP40" i="58"/>
  <c r="NX63" i="58"/>
  <c r="NC62" i="58"/>
  <c r="LW60" i="58"/>
  <c r="LD63" i="58"/>
  <c r="OI53" i="58"/>
  <c r="RP48" i="58"/>
  <c r="QW62" i="58"/>
  <c r="QJ37" i="58"/>
  <c r="QR53" i="58"/>
  <c r="OQ38" i="58"/>
  <c r="LD35" i="58"/>
  <c r="ML22" i="58"/>
  <c r="QP39" i="58"/>
  <c r="QG54" i="58"/>
  <c r="KW53" i="58"/>
  <c r="NP61" i="58"/>
  <c r="RG63" i="58"/>
  <c r="PE24" i="58"/>
  <c r="PW40" i="58"/>
  <c r="LT55" i="58"/>
  <c r="NT55" i="58"/>
  <c r="KT40" i="58"/>
  <c r="QP63" i="58"/>
  <c r="KR49" i="58"/>
  <c r="QC46" i="58"/>
  <c r="KZ24" i="58"/>
  <c r="HH22" i="58"/>
  <c r="RE23" i="58"/>
  <c r="KP20" i="58"/>
  <c r="LH35" i="58"/>
  <c r="OQ40" i="58"/>
  <c r="JR21" i="58"/>
  <c r="QG40" i="58"/>
  <c r="ND42" i="58"/>
  <c r="LI41" i="58"/>
  <c r="QZ33" i="58"/>
  <c r="RP45" i="58"/>
  <c r="S18" i="58"/>
  <c r="CB23" i="58"/>
  <c r="QQ42" i="58"/>
  <c r="MU50" i="58"/>
  <c r="OM62" i="58"/>
  <c r="OT55" i="58"/>
  <c r="OQ49" i="58"/>
  <c r="LL42" i="58"/>
  <c r="KR47" i="58"/>
  <c r="LQ49" i="58"/>
  <c r="QH29" i="58"/>
  <c r="RP63" i="58"/>
  <c r="OW8" i="58"/>
  <c r="KQ30" i="58"/>
  <c r="ON63" i="58"/>
  <c r="MQ39" i="58"/>
  <c r="MN53" i="58"/>
  <c r="QF43" i="58"/>
  <c r="QD66" i="58"/>
  <c r="QM57" i="58"/>
  <c r="MX59" i="58"/>
  <c r="LM49" i="58"/>
  <c r="PD47" i="58"/>
  <c r="OF50" i="58"/>
  <c r="PF42" i="58"/>
  <c r="ML49" i="58"/>
  <c r="QI37" i="58"/>
  <c r="LS42" i="58"/>
  <c r="OS24" i="58"/>
  <c r="OT35" i="58"/>
  <c r="PH47" i="58"/>
  <c r="OC59" i="58"/>
  <c r="OX51" i="58"/>
  <c r="PT60" i="58"/>
  <c r="QQ47" i="58"/>
  <c r="KX53" i="58"/>
  <c r="OH51" i="58"/>
  <c r="QX58" i="58"/>
  <c r="AS21" i="58"/>
  <c r="LO33" i="58"/>
  <c r="LO23" i="58"/>
  <c r="OR60" i="58"/>
  <c r="PP39" i="58"/>
  <c r="RQ54" i="58"/>
  <c r="MF41" i="58"/>
  <c r="LX47" i="58"/>
  <c r="QY29" i="58"/>
  <c r="NR52" i="58"/>
  <c r="MC31" i="58"/>
  <c r="QA50" i="58"/>
  <c r="HA17" i="58"/>
  <c r="LR29" i="58"/>
  <c r="LW23" i="58"/>
  <c r="PK31" i="58"/>
  <c r="MS64" i="58"/>
  <c r="GN8" i="58"/>
  <c r="NU63" i="58"/>
  <c r="QZ56" i="58"/>
  <c r="PI65" i="58"/>
  <c r="OK52" i="58"/>
  <c r="RN48" i="58"/>
  <c r="QT51" i="58"/>
  <c r="LK41" i="58"/>
  <c r="NP66" i="58"/>
  <c r="MF43" i="58"/>
  <c r="QG45" i="58"/>
  <c r="PO29" i="58"/>
  <c r="PM47" i="58"/>
  <c r="NM50" i="58"/>
  <c r="RS36" i="58"/>
  <c r="NB51" i="58"/>
  <c r="ML31" i="58"/>
  <c r="QX20" i="58"/>
  <c r="PY30" i="58"/>
  <c r="MM30" i="58"/>
  <c r="RM48" i="58"/>
  <c r="PB30" i="58"/>
  <c r="QR45" i="58"/>
  <c r="QI56" i="58"/>
  <c r="MV31" i="58"/>
  <c r="KK21" i="58"/>
  <c r="ON33" i="58"/>
  <c r="OC55" i="58"/>
  <c r="FR10" i="58"/>
  <c r="LA51" i="58"/>
  <c r="BV24" i="58"/>
  <c r="MB34" i="58"/>
  <c r="QD42" i="58"/>
  <c r="MB38" i="58"/>
  <c r="RN52" i="58"/>
  <c r="QL62" i="58"/>
  <c r="NI39" i="58"/>
  <c r="PY56" i="58"/>
  <c r="MU49" i="58"/>
  <c r="PV39" i="58"/>
  <c r="PF63" i="58"/>
  <c r="QF56" i="58"/>
  <c r="OE49" i="58"/>
  <c r="MF51" i="58"/>
  <c r="RH39" i="58"/>
  <c r="MK58" i="58"/>
  <c r="QL49" i="58"/>
  <c r="IQ22" i="58"/>
  <c r="OS60" i="58"/>
  <c r="QR54" i="58"/>
  <c r="RF20" i="58"/>
  <c r="LB63" i="58"/>
  <c r="OT21" i="58"/>
  <c r="LE41" i="58"/>
  <c r="PI41" i="58"/>
  <c r="QJ58" i="58"/>
  <c r="PV64" i="58"/>
  <c r="MM22" i="58"/>
  <c r="OL55" i="58"/>
  <c r="NG32" i="58"/>
  <c r="MD43" i="58"/>
  <c r="NZ50" i="58"/>
  <c r="PM42" i="58"/>
  <c r="NE35" i="58"/>
  <c r="NR42" i="58"/>
  <c r="RK34" i="58"/>
  <c r="LI37" i="58"/>
  <c r="MS60" i="58"/>
  <c r="KX38" i="58"/>
  <c r="RT48" i="58"/>
  <c r="JD22" i="58"/>
  <c r="MN61" i="58"/>
  <c r="RA30" i="58"/>
  <c r="NX60" i="58"/>
  <c r="QK21" i="58"/>
  <c r="OQ53" i="58"/>
  <c r="PN59" i="58"/>
  <c r="RH64" i="58"/>
  <c r="LO50" i="58"/>
  <c r="PB46" i="58"/>
  <c r="NM55" i="58"/>
  <c r="NK33" i="58"/>
  <c r="LX50" i="58"/>
  <c r="OD57" i="58"/>
  <c r="LC23" i="58"/>
  <c r="PE38" i="58"/>
  <c r="QO42" i="58"/>
  <c r="OW60" i="58"/>
  <c r="NI58" i="58"/>
  <c r="RR31" i="58"/>
  <c r="RJ41" i="58"/>
  <c r="RV36" i="58"/>
  <c r="RI45" i="58"/>
  <c r="LQ33" i="58"/>
  <c r="PY33" i="58"/>
  <c r="MD53" i="58"/>
  <c r="PW50" i="58"/>
  <c r="KY45" i="58"/>
  <c r="QT61" i="58"/>
  <c r="QN61" i="58"/>
  <c r="RI48" i="58"/>
  <c r="KS46" i="58"/>
  <c r="LS57" i="58"/>
  <c r="OZ54" i="58"/>
  <c r="PD55" i="58"/>
  <c r="OL65" i="58"/>
  <c r="PB58" i="58"/>
  <c r="NZ41" i="58"/>
  <c r="MU35" i="58"/>
  <c r="ME48" i="58"/>
  <c r="LT53" i="58"/>
  <c r="HV24" i="58"/>
  <c r="QC21" i="58"/>
  <c r="DM11" i="58"/>
  <c r="EB23" i="58"/>
  <c r="NU29" i="58"/>
  <c r="MF54" i="58"/>
  <c r="OY57" i="58"/>
  <c r="QX39" i="58"/>
  <c r="OH38" i="58"/>
  <c r="OZ62" i="58"/>
  <c r="NV58" i="58"/>
  <c r="RO49" i="58"/>
  <c r="PT47" i="58"/>
  <c r="X22" i="58"/>
  <c r="MR53" i="58"/>
  <c r="OI33" i="58"/>
  <c r="NK47" i="58"/>
  <c r="QC43" i="58"/>
  <c r="LJ35" i="58"/>
  <c r="NR63" i="58"/>
  <c r="OY45" i="58"/>
  <c r="PO45" i="58"/>
  <c r="PA43" i="58"/>
  <c r="PH33" i="58"/>
  <c r="KU51" i="58"/>
  <c r="PH50" i="58"/>
  <c r="RL59" i="58"/>
  <c r="PI59" i="58"/>
  <c r="ME42" i="58"/>
  <c r="RM32" i="58"/>
  <c r="PE53" i="58"/>
  <c r="LA37" i="58"/>
  <c r="QP50" i="58"/>
  <c r="MF60" i="58"/>
  <c r="MG23" i="58"/>
  <c r="BJ24" i="58"/>
  <c r="QU52" i="58"/>
  <c r="NG55" i="58"/>
  <c r="OK45" i="58"/>
  <c r="RS35" i="58"/>
  <c r="RI58" i="58"/>
  <c r="QG39" i="58"/>
  <c r="QL48" i="58"/>
  <c r="OC63" i="58"/>
  <c r="MD42" i="58"/>
  <c r="LA46" i="58"/>
  <c r="NW46" i="58"/>
  <c r="LM65" i="58"/>
  <c r="RO56" i="58"/>
  <c r="PS64" i="58"/>
  <c r="QB62" i="58"/>
  <c r="NP52" i="58"/>
  <c r="MF64" i="58"/>
  <c r="IW19" i="58"/>
  <c r="RD55" i="58"/>
  <c r="MB57" i="58"/>
  <c r="PW47" i="58"/>
  <c r="NK32" i="58"/>
  <c r="RI46" i="58"/>
  <c r="LI54" i="58"/>
  <c r="MQ53" i="58"/>
  <c r="JX24" i="58"/>
  <c r="LM30" i="58"/>
  <c r="KZ56" i="58"/>
  <c r="NX58" i="58"/>
  <c r="NR56" i="58"/>
  <c r="PM57" i="58"/>
  <c r="LH41" i="58"/>
  <c r="NX49" i="58"/>
  <c r="PI63" i="58"/>
  <c r="MH57" i="58"/>
  <c r="PD61" i="58"/>
  <c r="PZ51" i="58"/>
  <c r="LI60" i="58"/>
  <c r="OF58" i="58"/>
  <c r="LF53" i="58"/>
  <c r="QO64" i="58"/>
  <c r="LL35" i="58"/>
  <c r="LJ50" i="58"/>
  <c r="FG22" i="58"/>
  <c r="DL22" i="58"/>
  <c r="CA17" i="58"/>
  <c r="LE58" i="58"/>
  <c r="QU64" i="58"/>
  <c r="NO43" i="58"/>
  <c r="MH60" i="58"/>
  <c r="MU55" i="58"/>
  <c r="NE58" i="58"/>
  <c r="OQ54" i="58"/>
  <c r="OL46" i="58"/>
  <c r="LT64" i="58"/>
  <c r="OC61" i="58"/>
  <c r="OE37" i="58"/>
  <c r="KR53" i="58"/>
  <c r="LF20" i="58"/>
  <c r="NW31" i="58"/>
  <c r="MN39" i="58"/>
  <c r="JK24" i="58"/>
  <c r="BC20" i="58"/>
  <c r="OW23" i="58"/>
  <c r="MF55" i="58"/>
  <c r="MG45" i="58"/>
  <c r="LY64" i="58"/>
  <c r="PJ19" i="58"/>
  <c r="RL66" i="58"/>
  <c r="NF48" i="58"/>
  <c r="ME52" i="58"/>
  <c r="RF22" i="58"/>
  <c r="OD58" i="58"/>
  <c r="LO38" i="58"/>
  <c r="KU53" i="58"/>
  <c r="NM51" i="58"/>
  <c r="LJ41" i="58"/>
  <c r="PG48" i="58"/>
  <c r="LQ37" i="58"/>
  <c r="KW51" i="58"/>
  <c r="QT63" i="58"/>
  <c r="OW36" i="58"/>
  <c r="LC64" i="58"/>
  <c r="MN46" i="58"/>
  <c r="QS40" i="58"/>
  <c r="RN50" i="58"/>
  <c r="KG22" i="58"/>
  <c r="NQ66" i="58"/>
  <c r="MW33" i="58"/>
  <c r="OK34" i="58"/>
  <c r="PV53" i="58"/>
  <c r="PW48" i="58"/>
  <c r="NL36" i="58"/>
  <c r="OS19" i="58"/>
  <c r="ME34" i="58"/>
  <c r="NT37" i="58"/>
  <c r="MQ51" i="58"/>
  <c r="FZ24" i="58"/>
  <c r="PL47" i="58"/>
  <c r="KZ65" i="58"/>
  <c r="OH59" i="58"/>
  <c r="OT30" i="58"/>
  <c r="KX46" i="58"/>
  <c r="LQ60" i="58"/>
  <c r="QU38" i="58"/>
  <c r="RF42" i="58"/>
  <c r="RQ66" i="58"/>
  <c r="NA53" i="58"/>
  <c r="PC47" i="58"/>
  <c r="OH35" i="58"/>
  <c r="MK50" i="58"/>
  <c r="OU48" i="58"/>
  <c r="RV50" i="58"/>
  <c r="QO48" i="58"/>
  <c r="PN56" i="58"/>
  <c r="KY43" i="58"/>
  <c r="PG60" i="58"/>
  <c r="RH43" i="58"/>
  <c r="OW57" i="58"/>
  <c r="RA60" i="58"/>
  <c r="KX32" i="58"/>
  <c r="MX60" i="58"/>
  <c r="FN22" i="58"/>
  <c r="RB23" i="58"/>
  <c r="QH32" i="58"/>
  <c r="OQ41" i="58"/>
  <c r="QU55" i="58"/>
  <c r="OH49" i="58"/>
  <c r="OJ62" i="58"/>
  <c r="RS43" i="58"/>
  <c r="LL58" i="58"/>
  <c r="NY39" i="58"/>
  <c r="PL45" i="58"/>
  <c r="DM21" i="58"/>
  <c r="OO35" i="58"/>
  <c r="PF38" i="58"/>
  <c r="NF33" i="58"/>
  <c r="ND54" i="58"/>
  <c r="MI63" i="58"/>
  <c r="BX17" i="58"/>
  <c r="NF40" i="58"/>
  <c r="QO59" i="58"/>
  <c r="LF36" i="58"/>
  <c r="AM22" i="58"/>
  <c r="RB30" i="58"/>
  <c r="LU23" i="58"/>
  <c r="PG42" i="58"/>
  <c r="LD58" i="58"/>
  <c r="RK64" i="58"/>
  <c r="PJ63" i="58"/>
  <c r="AS23" i="58"/>
  <c r="OI41" i="58"/>
  <c r="PM30" i="58"/>
  <c r="CQ19" i="58"/>
  <c r="KQ36" i="58"/>
  <c r="BU24" i="58"/>
  <c r="NL58" i="58"/>
  <c r="QG31" i="58"/>
  <c r="JI17" i="58"/>
  <c r="JS18" i="58"/>
  <c r="PI24" i="58"/>
  <c r="QB33" i="58"/>
  <c r="DU23" i="58"/>
  <c r="RH42" i="58"/>
  <c r="PI18" i="58"/>
  <c r="MO18" i="58"/>
  <c r="NX30" i="58"/>
  <c r="LW22" i="58"/>
  <c r="PX18" i="58"/>
  <c r="RC45" i="58"/>
  <c r="JE13" i="58"/>
  <c r="NU32" i="58"/>
  <c r="AV17" i="58"/>
  <c r="PZ53" i="58"/>
  <c r="GM23" i="58"/>
  <c r="LG66" i="58"/>
  <c r="OI50" i="58"/>
  <c r="PX51" i="58"/>
  <c r="OG53" i="58"/>
  <c r="QO56" i="58"/>
  <c r="MA61" i="58"/>
  <c r="PR17" i="58"/>
  <c r="OF49" i="58"/>
  <c r="NO24" i="58"/>
  <c r="LF41" i="58"/>
  <c r="MR29" i="58"/>
  <c r="NC49" i="58"/>
  <c r="OP43" i="58"/>
  <c r="MS55" i="58"/>
  <c r="OE47" i="58"/>
  <c r="NT63" i="58"/>
  <c r="RT62" i="58"/>
  <c r="NZ9" i="58"/>
  <c r="RF64" i="58"/>
  <c r="AD24" i="58"/>
  <c r="MC62" i="58"/>
  <c r="MP43" i="58"/>
  <c r="OG35" i="58"/>
  <c r="RG37" i="58"/>
  <c r="NZ47" i="58"/>
  <c r="PM35" i="58"/>
  <c r="NB8" i="58"/>
  <c r="NI30" i="58"/>
  <c r="GQ21" i="58"/>
  <c r="QV53" i="58"/>
  <c r="MF56" i="58"/>
  <c r="PX32" i="58"/>
  <c r="ND33" i="58"/>
  <c r="NL24" i="58"/>
  <c r="PK39" i="58"/>
  <c r="PQ30" i="58"/>
  <c r="QS48" i="58"/>
  <c r="NS50" i="58"/>
  <c r="OM41" i="58"/>
  <c r="PF30" i="58"/>
  <c r="MX22" i="58"/>
  <c r="IH15" i="58"/>
  <c r="PE32" i="58"/>
  <c r="FU18" i="58"/>
  <c r="KR22" i="58"/>
  <c r="ML54" i="58"/>
  <c r="CF23" i="58"/>
  <c r="QK23" i="58"/>
  <c r="RS55" i="58"/>
  <c r="GY22" i="58"/>
  <c r="BN24" i="58"/>
  <c r="QR31" i="58"/>
  <c r="DC18" i="58"/>
  <c r="BM24" i="58"/>
  <c r="PD13" i="58"/>
  <c r="PO53" i="58"/>
  <c r="CG17" i="58"/>
  <c r="RS15" i="58"/>
  <c r="BG16" i="58"/>
  <c r="HY21" i="58"/>
  <c r="PE20" i="58"/>
  <c r="KV32" i="58"/>
  <c r="OP21" i="58"/>
  <c r="PW38" i="58"/>
  <c r="PO39" i="58"/>
  <c r="NR40" i="58"/>
  <c r="RE62" i="58"/>
  <c r="DR24" i="58"/>
  <c r="RV56" i="58"/>
  <c r="PL43" i="58"/>
  <c r="NU56" i="58"/>
  <c r="RN42" i="58"/>
  <c r="QE30" i="58"/>
  <c r="MI50" i="58"/>
  <c r="HX22" i="58"/>
  <c r="MZ41" i="58"/>
  <c r="NB33" i="58"/>
  <c r="DQ20" i="58"/>
  <c r="GW23" i="58"/>
  <c r="NF58" i="58"/>
  <c r="NC21" i="58"/>
  <c r="EE24" i="58"/>
  <c r="BM16" i="58"/>
  <c r="HX23" i="58"/>
  <c r="HN21" i="58"/>
  <c r="FP17" i="58"/>
  <c r="MV19" i="58"/>
  <c r="NR21" i="58"/>
  <c r="NV39" i="58"/>
  <c r="RV61" i="58"/>
  <c r="PE57" i="58"/>
  <c r="QC23" i="58"/>
  <c r="PD12" i="58"/>
  <c r="MX51" i="58"/>
  <c r="JE23" i="58"/>
  <c r="LP51" i="58"/>
  <c r="PG49" i="58"/>
  <c r="PO14" i="58"/>
  <c r="FR20" i="58"/>
  <c r="CM18" i="58"/>
  <c r="ML42" i="58"/>
  <c r="NA29" i="58"/>
  <c r="DS22" i="58"/>
  <c r="IB22" i="58"/>
  <c r="ET23" i="58"/>
  <c r="QY18" i="58"/>
  <c r="CT23" i="58"/>
  <c r="QG18" i="58"/>
  <c r="NY18" i="58"/>
  <c r="EI18" i="58"/>
  <c r="QR29" i="58"/>
  <c r="OB20" i="58"/>
  <c r="NI57" i="58"/>
  <c r="LV48" i="58"/>
  <c r="PV40" i="58"/>
  <c r="QC45" i="58"/>
  <c r="ML63" i="58"/>
  <c r="OR39" i="58"/>
  <c r="PD63" i="58"/>
  <c r="QC50" i="58"/>
  <c r="KQ20" i="58"/>
  <c r="RD46" i="58"/>
  <c r="KV23" i="58"/>
  <c r="MT62" i="58"/>
  <c r="EU22" i="58"/>
  <c r="NF53" i="58"/>
  <c r="LM50" i="58"/>
  <c r="LO56" i="58"/>
  <c r="OZ35" i="58"/>
  <c r="RC38" i="58"/>
  <c r="OY41" i="58"/>
  <c r="LB53" i="58"/>
  <c r="OX8" i="58"/>
  <c r="LX45" i="58"/>
  <c r="QT60" i="58"/>
  <c r="ON43" i="58"/>
  <c r="LF29" i="58"/>
  <c r="LE52" i="58"/>
  <c r="NH32" i="58"/>
  <c r="NN46" i="58"/>
  <c r="PO60" i="58"/>
  <c r="LG50" i="58"/>
  <c r="LS50" i="58"/>
  <c r="RC53" i="58"/>
  <c r="RL23" i="58"/>
  <c r="LT40" i="58"/>
  <c r="NJ30" i="58"/>
  <c r="RK42" i="58"/>
  <c r="MY43" i="58"/>
  <c r="NE46" i="58"/>
  <c r="LW40" i="58"/>
  <c r="QK30" i="58"/>
  <c r="MF31" i="58"/>
  <c r="DE16" i="58"/>
  <c r="KQ37" i="58"/>
  <c r="LG43" i="58"/>
  <c r="KY29" i="58"/>
  <c r="KZ48" i="58"/>
  <c r="NX47" i="58"/>
  <c r="KS52" i="58"/>
  <c r="MI19" i="58"/>
  <c r="LH20" i="58"/>
  <c r="GZ19" i="58"/>
  <c r="AL17" i="58"/>
  <c r="DV24" i="58"/>
  <c r="NX39" i="58"/>
  <c r="MD20" i="58"/>
  <c r="KW21" i="58"/>
  <c r="NT30" i="58"/>
  <c r="LM22" i="58"/>
  <c r="NX43" i="58"/>
  <c r="MW24" i="58"/>
  <c r="JS24" i="58"/>
  <c r="OK49" i="58"/>
  <c r="NZ52" i="58"/>
  <c r="MB50" i="58"/>
  <c r="LR36" i="58"/>
  <c r="QF34" i="58"/>
  <c r="PP24" i="58"/>
  <c r="OD39" i="58"/>
  <c r="QG41" i="58"/>
  <c r="MS30" i="58"/>
  <c r="QZ61" i="58"/>
  <c r="LD30" i="58"/>
  <c r="OP45" i="58"/>
  <c r="NA60" i="58"/>
  <c r="LI42" i="58"/>
  <c r="GE21" i="58"/>
  <c r="BY9" i="58"/>
  <c r="ND39" i="58"/>
  <c r="MH39" i="58"/>
  <c r="RT51" i="58"/>
  <c r="LE56" i="58"/>
  <c r="ME55" i="58"/>
  <c r="NV38" i="58"/>
  <c r="OH8" i="58"/>
  <c r="CJ24" i="58"/>
  <c r="RM40" i="58"/>
  <c r="PW45" i="58"/>
  <c r="LO65" i="58"/>
  <c r="ML51" i="58"/>
  <c r="JA24" i="58"/>
  <c r="MI32" i="58"/>
  <c r="MB56" i="58"/>
  <c r="GQ22" i="58"/>
  <c r="RR59" i="58"/>
  <c r="QX53" i="58"/>
  <c r="MP17" i="58"/>
  <c r="PZ29" i="58"/>
  <c r="NC38" i="58"/>
  <c r="LY47" i="58"/>
  <c r="NW51" i="58"/>
  <c r="QU48" i="58"/>
  <c r="QC33" i="58"/>
  <c r="QD33" i="58"/>
  <c r="MY48" i="58"/>
  <c r="PT21" i="58"/>
  <c r="JM21" i="58"/>
  <c r="PI45" i="58"/>
  <c r="QX37" i="58"/>
  <c r="GG21" i="58"/>
  <c r="KY32" i="58"/>
  <c r="QP35" i="58"/>
  <c r="RF33" i="58"/>
  <c r="LD13" i="58"/>
  <c r="LR41" i="58"/>
  <c r="MV22" i="58"/>
  <c r="RR30" i="58"/>
  <c r="OZ23" i="58"/>
  <c r="LE49" i="58"/>
  <c r="HZ23" i="58"/>
  <c r="RV21" i="58"/>
  <c r="JH15" i="58"/>
  <c r="BV20" i="58"/>
  <c r="RD23" i="58"/>
  <c r="QB43" i="58"/>
  <c r="NJ17" i="58"/>
  <c r="NP29" i="58"/>
  <c r="QJ30" i="58"/>
  <c r="MM51" i="58"/>
  <c r="OJ42" i="58"/>
  <c r="NV55" i="58"/>
  <c r="RS57" i="58"/>
  <c r="MT54" i="58"/>
  <c r="QG59" i="58"/>
  <c r="LN31" i="58"/>
  <c r="MD14" i="58"/>
  <c r="LY51" i="58"/>
  <c r="PL33" i="58"/>
  <c r="PJ52" i="58"/>
  <c r="DI17" i="58"/>
  <c r="RJ36" i="58"/>
  <c r="OT38" i="58"/>
  <c r="OK32" i="58"/>
  <c r="PS56" i="58"/>
  <c r="PO37" i="58"/>
  <c r="LR40" i="58"/>
  <c r="NH38" i="58"/>
  <c r="OF59" i="58"/>
  <c r="RP59" i="58"/>
  <c r="MY62" i="58"/>
  <c r="MI66" i="58"/>
  <c r="OP61" i="58"/>
  <c r="RQ47" i="58"/>
  <c r="PU59" i="58"/>
  <c r="KS34" i="58"/>
  <c r="LN43" i="58"/>
  <c r="MT60" i="58"/>
  <c r="PN60" i="58"/>
  <c r="BW20" i="58"/>
  <c r="PC59" i="58"/>
  <c r="LM45" i="58"/>
  <c r="RB47" i="58"/>
  <c r="PB39" i="58"/>
  <c r="QF32" i="58"/>
  <c r="MF13" i="58"/>
  <c r="PM48" i="58"/>
  <c r="PI37" i="58"/>
  <c r="LO62" i="58"/>
  <c r="PK55" i="58"/>
  <c r="LG45" i="58"/>
  <c r="QY40" i="58"/>
  <c r="PH39" i="58"/>
  <c r="PA53" i="58"/>
  <c r="MM42" i="58"/>
  <c r="CE21" i="58"/>
  <c r="OB49" i="58"/>
  <c r="DG23" i="58"/>
  <c r="MW35" i="58"/>
  <c r="KW34" i="58"/>
  <c r="ND22" i="58"/>
  <c r="QU39" i="58"/>
  <c r="LL24" i="58"/>
  <c r="AN18" i="58"/>
  <c r="RV33" i="58"/>
  <c r="PJ30" i="58"/>
  <c r="NG17" i="58"/>
  <c r="RR43" i="58"/>
  <c r="MP39" i="58"/>
  <c r="ME16" i="58"/>
  <c r="DU18" i="58"/>
  <c r="PX31" i="58"/>
  <c r="FQ14" i="58"/>
  <c r="OA16" i="58"/>
  <c r="EA14" i="58"/>
  <c r="PQ46" i="58"/>
  <c r="ON38" i="58"/>
  <c r="RA35" i="58"/>
  <c r="KT37" i="58"/>
  <c r="QR46" i="58"/>
  <c r="KW47" i="58"/>
  <c r="QZ20" i="58"/>
  <c r="MT30" i="58"/>
  <c r="MC33" i="58"/>
  <c r="LL61" i="58"/>
  <c r="RO54" i="58"/>
  <c r="RQ36" i="58"/>
  <c r="OZ58" i="58"/>
  <c r="PU35" i="58"/>
  <c r="JC20" i="58"/>
  <c r="RG30" i="58"/>
  <c r="MP66" i="58"/>
  <c r="RF54" i="58"/>
  <c r="RP65" i="58"/>
  <c r="NE29" i="58"/>
  <c r="KW40" i="58"/>
  <c r="QZ57" i="58"/>
  <c r="MC50" i="58"/>
  <c r="OX46" i="58"/>
  <c r="QL46" i="58"/>
  <c r="RB40" i="58"/>
  <c r="PH40" i="58"/>
  <c r="BN23" i="58"/>
  <c r="LD45" i="58"/>
  <c r="OJ55" i="58"/>
  <c r="OU36" i="58"/>
  <c r="OK66" i="58"/>
  <c r="DC22" i="58"/>
  <c r="RE41" i="58"/>
  <c r="OB61" i="58"/>
  <c r="LF61" i="58"/>
  <c r="RG40" i="58"/>
  <c r="QG30" i="58"/>
  <c r="OM30" i="58"/>
  <c r="KZ34" i="58"/>
  <c r="RK57" i="58"/>
  <c r="MQ37" i="58"/>
  <c r="LS63" i="58"/>
  <c r="KU39" i="58"/>
  <c r="QT16" i="58"/>
  <c r="LT34" i="58"/>
  <c r="QM41" i="58"/>
  <c r="JR23" i="58"/>
  <c r="PW16" i="58"/>
  <c r="LE29" i="58"/>
  <c r="QV40" i="58"/>
  <c r="IJ21" i="58"/>
  <c r="OM36" i="58"/>
  <c r="PX24" i="58"/>
  <c r="QW32" i="58"/>
  <c r="MI40" i="58"/>
  <c r="PM31" i="58"/>
  <c r="HS21" i="58"/>
  <c r="KP17" i="58"/>
  <c r="LS22" i="58"/>
  <c r="OS37" i="58"/>
  <c r="DL24" i="58"/>
  <c r="PT30" i="58"/>
  <c r="DB19" i="58"/>
  <c r="RD30" i="58"/>
  <c r="RB59" i="58"/>
  <c r="KW64" i="58"/>
  <c r="OV50" i="58"/>
  <c r="MK56" i="58"/>
  <c r="KU59" i="58"/>
  <c r="PL52" i="58"/>
  <c r="KV59" i="58"/>
  <c r="PG51" i="58"/>
  <c r="LZ30" i="58"/>
  <c r="OB58" i="58"/>
  <c r="ET19" i="58"/>
  <c r="LG38" i="58"/>
  <c r="EG20" i="58"/>
  <c r="NL56" i="58"/>
  <c r="RM65" i="58"/>
  <c r="RQ41" i="58"/>
  <c r="NH61" i="58"/>
  <c r="RE48" i="58"/>
  <c r="RH48" i="58"/>
  <c r="PP53" i="58"/>
  <c r="ML53" i="58"/>
  <c r="PQ59" i="58"/>
  <c r="NB31" i="58"/>
  <c r="MO46" i="58"/>
  <c r="LZ42" i="58"/>
  <c r="KT48" i="58"/>
  <c r="IQ24" i="58"/>
  <c r="QK65" i="58"/>
  <c r="EH22" i="58"/>
  <c r="QH54" i="58"/>
  <c r="QJ53" i="58"/>
  <c r="MS57" i="58"/>
  <c r="RT41" i="58"/>
  <c r="KZ50" i="58"/>
  <c r="QP52" i="58"/>
  <c r="LU41" i="58"/>
  <c r="NP34" i="58"/>
  <c r="OR46" i="58"/>
  <c r="LZ46" i="58"/>
  <c r="NA38" i="58"/>
  <c r="PL59" i="58"/>
  <c r="OW41" i="58"/>
  <c r="OA19" i="58"/>
  <c r="QS21" i="58"/>
  <c r="NX38" i="58"/>
  <c r="OH21" i="58"/>
  <c r="NU31" i="58"/>
  <c r="PX30" i="58"/>
  <c r="MT24" i="58"/>
  <c r="PP23" i="58"/>
  <c r="DA22" i="58"/>
  <c r="QI35" i="58"/>
  <c r="LC45" i="58"/>
  <c r="MF32" i="58"/>
  <c r="EE22" i="58"/>
  <c r="NT19" i="58"/>
  <c r="NQ29" i="58"/>
  <c r="OP36" i="58"/>
  <c r="IK20" i="58"/>
  <c r="QR15" i="58"/>
  <c r="HJ17" i="58"/>
  <c r="AU13" i="58"/>
  <c r="GL24" i="58"/>
  <c r="MA31" i="58"/>
  <c r="QN48" i="58"/>
  <c r="MV61" i="58"/>
  <c r="NL63" i="58"/>
  <c r="MJ55" i="58"/>
  <c r="PJ56" i="58"/>
  <c r="OZ45" i="58"/>
  <c r="LJ60" i="58"/>
  <c r="NF29" i="58"/>
  <c r="PM54" i="58"/>
  <c r="RN46" i="58"/>
  <c r="LS34" i="58"/>
  <c r="QW42" i="58"/>
  <c r="MW41" i="58"/>
  <c r="PO35" i="58"/>
  <c r="NT52" i="58"/>
  <c r="NU54" i="58"/>
  <c r="NZ32" i="58"/>
  <c r="PF50" i="58"/>
  <c r="MD47" i="58"/>
  <c r="ME64" i="58"/>
  <c r="RM59" i="58"/>
  <c r="LZ66" i="58"/>
  <c r="ND63" i="58"/>
  <c r="PS53" i="58"/>
  <c r="PS48" i="58"/>
  <c r="KR54" i="58"/>
  <c r="PI23" i="58"/>
  <c r="RQ30" i="58"/>
  <c r="RA65" i="58"/>
  <c r="LT48" i="58"/>
  <c r="PD35" i="58"/>
  <c r="MJ37" i="58"/>
  <c r="NN47" i="58"/>
  <c r="CB24" i="58"/>
  <c r="LN24" i="58"/>
  <c r="NY57" i="58"/>
  <c r="NG52" i="58"/>
  <c r="QX43" i="58"/>
  <c r="MQ38" i="58"/>
  <c r="PH42" i="58"/>
  <c r="OL37" i="58"/>
  <c r="NQ34" i="58"/>
  <c r="NC43" i="58"/>
  <c r="LN37" i="58"/>
  <c r="NJ50" i="58"/>
  <c r="IN24" i="58"/>
  <c r="KT36" i="58"/>
  <c r="FM22" i="58"/>
  <c r="NZ30" i="58"/>
  <c r="RL15" i="58"/>
  <c r="T23" i="58"/>
  <c r="AE17" i="58"/>
  <c r="JX14" i="58"/>
  <c r="DZ24" i="58"/>
  <c r="LT45" i="58"/>
  <c r="JH19" i="58"/>
  <c r="AE20" i="58"/>
  <c r="PJ24" i="58"/>
  <c r="KC21" i="58"/>
  <c r="JX20" i="58"/>
  <c r="OH34" i="58"/>
  <c r="JW14" i="58"/>
  <c r="BA15" i="58"/>
  <c r="RU11" i="58"/>
  <c r="OA43" i="58"/>
  <c r="RI60" i="58"/>
  <c r="MY31" i="58"/>
  <c r="OK17" i="58"/>
  <c r="MU22" i="58"/>
  <c r="OV41" i="58"/>
  <c r="LK36" i="58"/>
  <c r="DT17" i="58"/>
  <c r="NA22" i="58"/>
  <c r="QD51" i="58"/>
  <c r="OB36" i="58"/>
  <c r="KW55" i="58"/>
  <c r="JI21" i="58"/>
  <c r="JM20" i="58"/>
  <c r="LH33" i="58"/>
  <c r="FN23" i="58"/>
  <c r="AL19" i="58"/>
  <c r="KI20" i="58"/>
  <c r="HY15" i="58"/>
  <c r="FP21" i="58"/>
  <c r="MS31" i="58"/>
  <c r="QA24" i="58"/>
  <c r="KB9" i="58"/>
  <c r="RE56" i="58"/>
  <c r="KX48" i="58"/>
  <c r="NM57" i="58"/>
  <c r="OJ60" i="58"/>
  <c r="MP45" i="58"/>
  <c r="QS64" i="58"/>
  <c r="QM60" i="58"/>
  <c r="RO38" i="58"/>
  <c r="QO30" i="58"/>
  <c r="OI16" i="58"/>
  <c r="QO57" i="58"/>
  <c r="MR22" i="58"/>
  <c r="LT60" i="58"/>
  <c r="KT66" i="58"/>
  <c r="PE49" i="58"/>
  <c r="OM63" i="58"/>
  <c r="AN8" i="58"/>
  <c r="LR37" i="58"/>
  <c r="KZ61" i="58"/>
  <c r="KQ60" i="58"/>
  <c r="OT52" i="58"/>
  <c r="LN53" i="58"/>
  <c r="QY58" i="58"/>
  <c r="ML46" i="58"/>
  <c r="OW58" i="58"/>
  <c r="RF40" i="58"/>
  <c r="RL43" i="58"/>
  <c r="NO35" i="58"/>
  <c r="KV41" i="58"/>
  <c r="QL34" i="58"/>
  <c r="MZ50" i="58"/>
  <c r="QP24" i="58"/>
  <c r="LP49" i="58"/>
  <c r="BD22" i="58"/>
  <c r="OU41" i="58"/>
  <c r="W24" i="58"/>
  <c r="HE8" i="58"/>
  <c r="OB50" i="58"/>
  <c r="NN49" i="58"/>
  <c r="RD40" i="58"/>
  <c r="QJ35" i="58"/>
  <c r="QR32" i="58"/>
  <c r="QM53" i="58"/>
  <c r="MG29" i="58"/>
  <c r="QQ52" i="58"/>
  <c r="MX42" i="58"/>
  <c r="HB24" i="58"/>
  <c r="QX23" i="58"/>
  <c r="OC37" i="58"/>
  <c r="KF24" i="58"/>
  <c r="MQ35" i="58"/>
  <c r="PN62" i="58"/>
  <c r="QU40" i="58"/>
  <c r="MV45" i="58"/>
  <c r="RF60" i="58"/>
  <c r="OT39" i="58"/>
  <c r="RU53" i="58"/>
  <c r="RM52" i="58"/>
  <c r="PW32" i="58"/>
  <c r="OP47" i="58"/>
  <c r="MZ49" i="58"/>
  <c r="QB42" i="58"/>
  <c r="LM31" i="58"/>
  <c r="IB24" i="58"/>
  <c r="PO64" i="58"/>
  <c r="RF50" i="58"/>
  <c r="QM32" i="58"/>
  <c r="LE45" i="58"/>
  <c r="QD41" i="58"/>
  <c r="OM54" i="58"/>
  <c r="PY65" i="58"/>
  <c r="EW22" i="58"/>
  <c r="RD52" i="58"/>
  <c r="QS56" i="58"/>
  <c r="QI41" i="58"/>
  <c r="OK29" i="58"/>
  <c r="RV35" i="58"/>
  <c r="MQ56" i="58"/>
  <c r="RN59" i="58"/>
  <c r="LC58" i="58"/>
  <c r="PZ63" i="58"/>
  <c r="RR49" i="58"/>
  <c r="OB33" i="58"/>
  <c r="PG45" i="58"/>
  <c r="LL23" i="58"/>
  <c r="NT32" i="58"/>
  <c r="OF29" i="58"/>
  <c r="OV47" i="58"/>
  <c r="RA36" i="58"/>
  <c r="IC16" i="58"/>
  <c r="PF59" i="58"/>
  <c r="NQ31" i="58"/>
  <c r="PQ37" i="58"/>
  <c r="P20" i="58"/>
  <c r="LT43" i="58"/>
  <c r="NP39" i="58"/>
  <c r="OK35" i="58"/>
  <c r="RL45" i="58"/>
  <c r="PB34" i="58"/>
  <c r="OU22" i="58"/>
  <c r="RF41" i="58"/>
  <c r="DG21" i="58"/>
  <c r="BR18" i="58"/>
  <c r="QH30" i="58"/>
  <c r="OV42" i="58"/>
  <c r="OT31" i="58"/>
  <c r="MH53" i="58"/>
  <c r="NR61" i="58"/>
  <c r="NE40" i="58"/>
  <c r="OG62" i="58"/>
  <c r="PL24" i="58"/>
  <c r="QJ42" i="58"/>
  <c r="PE45" i="58"/>
  <c r="MG36" i="58"/>
  <c r="NM47" i="58"/>
  <c r="QT58" i="58"/>
  <c r="OZ40" i="58"/>
  <c r="PL37" i="58"/>
  <c r="NB35" i="58"/>
  <c r="NK39" i="58"/>
  <c r="PJ49" i="58"/>
  <c r="MG41" i="58"/>
  <c r="PU53" i="58"/>
  <c r="QV60" i="58"/>
  <c r="QQ56" i="58"/>
  <c r="QP46" i="58"/>
  <c r="PC60" i="58"/>
  <c r="RA40" i="58"/>
  <c r="PO48" i="58"/>
  <c r="OV49" i="58"/>
  <c r="FV23" i="58"/>
  <c r="NA45" i="58"/>
  <c r="PC65" i="58"/>
  <c r="LF51" i="58"/>
  <c r="MZ51" i="58"/>
  <c r="MC54" i="58"/>
  <c r="RK46" i="58"/>
  <c r="PC29" i="58"/>
  <c r="JL23" i="58"/>
  <c r="MO50" i="58"/>
  <c r="PD34" i="58"/>
  <c r="MH43" i="58"/>
  <c r="NH22" i="58"/>
  <c r="QM62" i="58"/>
  <c r="OZ64" i="58"/>
  <c r="PA54" i="58"/>
  <c r="MT34" i="58"/>
  <c r="CA22" i="58"/>
  <c r="QP36" i="58"/>
  <c r="KR35" i="58"/>
  <c r="MK39" i="58"/>
  <c r="QL19" i="58"/>
  <c r="FF15" i="58"/>
  <c r="IP22" i="58"/>
  <c r="BV18" i="58"/>
  <c r="KM15" i="58"/>
  <c r="PV55" i="58"/>
  <c r="OY23" i="58"/>
  <c r="BN21" i="58"/>
  <c r="GV22" i="58"/>
  <c r="ME29" i="58"/>
  <c r="LV36" i="58"/>
  <c r="HU24" i="58"/>
  <c r="CX21" i="58"/>
  <c r="JE16" i="58"/>
  <c r="RT38" i="58"/>
  <c r="DN15" i="58"/>
  <c r="QJ36" i="58"/>
  <c r="II22" i="58"/>
  <c r="PM18" i="58"/>
  <c r="OM46" i="58"/>
  <c r="QV52" i="58"/>
  <c r="NQ54" i="58"/>
  <c r="OP35" i="58"/>
  <c r="PM22" i="58"/>
  <c r="JS16" i="58"/>
  <c r="LB46" i="58"/>
  <c r="MY22" i="58"/>
  <c r="PL57" i="58"/>
  <c r="OO47" i="58"/>
  <c r="PK54" i="58"/>
  <c r="NJ29" i="58"/>
  <c r="OX33" i="58"/>
  <c r="NU61" i="58"/>
  <c r="JT24" i="58"/>
  <c r="PM34" i="58"/>
  <c r="QF21" i="58"/>
  <c r="NJ14" i="58"/>
  <c r="QM51" i="58"/>
  <c r="PW36" i="58"/>
  <c r="MX56" i="58"/>
  <c r="QN35" i="58"/>
  <c r="NL37" i="58"/>
  <c r="MT32" i="58"/>
  <c r="RO31" i="58"/>
  <c r="RC18" i="58"/>
  <c r="OQ33" i="58"/>
  <c r="OB46" i="58"/>
  <c r="PB23" i="58"/>
  <c r="BQ11" i="58"/>
  <c r="OM48" i="58"/>
  <c r="EN19" i="58"/>
  <c r="NB30" i="58"/>
  <c r="ML24" i="58"/>
  <c r="OA33" i="58"/>
  <c r="PM23" i="58"/>
  <c r="GT14" i="58"/>
  <c r="MW29" i="58"/>
  <c r="BG15" i="58"/>
  <c r="QL33" i="58"/>
  <c r="MT43" i="58"/>
  <c r="FH21" i="58"/>
  <c r="QA32" i="58"/>
  <c r="OU29" i="58"/>
  <c r="QR43" i="58"/>
  <c r="RQ46" i="58"/>
  <c r="RH49" i="58"/>
  <c r="QB21" i="58"/>
  <c r="PR30" i="58"/>
  <c r="PI35" i="58"/>
  <c r="RI39" i="58"/>
  <c r="NE53" i="58"/>
  <c r="JZ20" i="58"/>
  <c r="JM22" i="58"/>
  <c r="QV18" i="58"/>
  <c r="BE23" i="58"/>
  <c r="PK24" i="58"/>
  <c r="KT24" i="58"/>
  <c r="MK35" i="58"/>
  <c r="OG16" i="58"/>
  <c r="DO14" i="58"/>
  <c r="KF18" i="58"/>
  <c r="OL61" i="58"/>
  <c r="KZ60" i="58"/>
  <c r="LD43" i="58"/>
  <c r="NW47" i="58"/>
  <c r="JQ24" i="58"/>
  <c r="RQ50" i="58"/>
  <c r="OF47" i="58"/>
  <c r="IQ15" i="58"/>
  <c r="OV21" i="58"/>
  <c r="MP32" i="58"/>
  <c r="DN17" i="58"/>
  <c r="NJ18" i="58"/>
  <c r="NA30" i="58"/>
  <c r="JA17" i="58"/>
  <c r="QX59" i="58"/>
  <c r="KW39" i="58"/>
  <c r="DM23" i="58"/>
  <c r="GU24" i="58"/>
  <c r="BU15" i="58"/>
  <c r="OO29" i="58"/>
  <c r="CE19" i="58"/>
  <c r="BI20" i="58"/>
  <c r="OB22" i="58"/>
  <c r="BX20" i="58"/>
  <c r="CH16" i="58"/>
  <c r="FC18" i="58"/>
  <c r="RK53" i="58"/>
  <c r="RM33" i="58"/>
  <c r="PE50" i="58"/>
  <c r="HT21" i="58"/>
  <c r="MD38" i="58"/>
  <c r="QT30" i="58"/>
  <c r="CA18" i="58"/>
  <c r="CS19" i="58"/>
  <c r="MT46" i="58"/>
  <c r="RV31" i="58"/>
  <c r="LU21" i="58"/>
  <c r="KF23" i="58"/>
  <c r="OX20" i="58"/>
  <c r="OD34" i="58"/>
  <c r="LI22" i="58"/>
  <c r="PH37" i="58"/>
  <c r="KB21" i="58"/>
  <c r="KY39" i="58"/>
  <c r="LB38" i="58"/>
  <c r="MN20" i="58"/>
  <c r="OD32" i="58"/>
  <c r="AE19" i="58"/>
  <c r="HO17" i="58"/>
  <c r="OQ19" i="58"/>
  <c r="KL22" i="58"/>
  <c r="NI18" i="58"/>
  <c r="PP34" i="58"/>
  <c r="NA40" i="58"/>
  <c r="OL21" i="58"/>
  <c r="OE60" i="58"/>
  <c r="NT59" i="58"/>
  <c r="RI23" i="58"/>
  <c r="QZ34" i="58"/>
  <c r="MT40" i="58"/>
  <c r="CG19" i="58"/>
  <c r="OE35" i="58"/>
  <c r="BC11" i="58"/>
  <c r="MJ40" i="58"/>
  <c r="MQ49" i="58"/>
  <c r="PM21" i="58"/>
  <c r="OV30" i="58"/>
  <c r="DF22" i="58"/>
  <c r="LW33" i="58"/>
  <c r="DZ23" i="58"/>
  <c r="OE39" i="58"/>
  <c r="HF24" i="58"/>
  <c r="BE14" i="58"/>
  <c r="KM9" i="58"/>
  <c r="NX32" i="58"/>
  <c r="OZ18" i="58"/>
  <c r="KR33" i="58"/>
  <c r="LC21" i="58"/>
  <c r="QX31" i="58"/>
  <c r="P18" i="58"/>
  <c r="KU37" i="58"/>
  <c r="IE24" i="58"/>
  <c r="CP17" i="58"/>
  <c r="LO40" i="58"/>
  <c r="QD36" i="58"/>
  <c r="LN59" i="58"/>
  <c r="QO31" i="58"/>
  <c r="LH19" i="58"/>
  <c r="OJ37" i="58"/>
  <c r="RV46" i="58"/>
  <c r="QN53" i="58"/>
  <c r="KL14" i="58"/>
  <c r="QE20" i="58"/>
  <c r="PB24" i="58"/>
  <c r="LP33" i="58"/>
  <c r="LB30" i="58"/>
  <c r="MZ22" i="58"/>
  <c r="LD31" i="58"/>
  <c r="RL19" i="58"/>
  <c r="MB54" i="58"/>
  <c r="NX34" i="58"/>
  <c r="OL29" i="58"/>
  <c r="QS17" i="58"/>
  <c r="JX19" i="58"/>
  <c r="LN12" i="58"/>
  <c r="RN20" i="58"/>
  <c r="RG24" i="58"/>
  <c r="KR8" i="58"/>
  <c r="OR41" i="58"/>
  <c r="BS21" i="58"/>
  <c r="RI21" i="58"/>
  <c r="LC29" i="58"/>
  <c r="OZ13" i="58"/>
  <c r="FH11" i="58"/>
  <c r="OQ30" i="58"/>
  <c r="LG29" i="58"/>
  <c r="RL47" i="58"/>
  <c r="FH22" i="58"/>
  <c r="DN22" i="58"/>
  <c r="LH29" i="58"/>
  <c r="BC14" i="58"/>
  <c r="QD32" i="58"/>
  <c r="AA23" i="58"/>
  <c r="IA21" i="58"/>
  <c r="NB46" i="58"/>
  <c r="NS60" i="58"/>
  <c r="NT57" i="58"/>
  <c r="HW23" i="58"/>
  <c r="JK22" i="58"/>
  <c r="OH15" i="58"/>
  <c r="DV21" i="58"/>
  <c r="BN20" i="58"/>
  <c r="RU15" i="58"/>
  <c r="LG62" i="58"/>
  <c r="LO53" i="58"/>
  <c r="KX47" i="58"/>
  <c r="NX31" i="58"/>
  <c r="MX24" i="58"/>
  <c r="NE22" i="58"/>
  <c r="OT29" i="58"/>
  <c r="ND34" i="58"/>
  <c r="RL36" i="58"/>
  <c r="MR60" i="58"/>
  <c r="QS45" i="58"/>
  <c r="LV39" i="58"/>
  <c r="JU24" i="58"/>
  <c r="KA14" i="58"/>
  <c r="NL30" i="58"/>
  <c r="JM16" i="58"/>
  <c r="KS43" i="58"/>
  <c r="NF42" i="58"/>
  <c r="LN40" i="58"/>
  <c r="PX41" i="58"/>
  <c r="PR48" i="58"/>
  <c r="MT35" i="58"/>
  <c r="QQ50" i="58"/>
  <c r="HG23" i="58"/>
  <c r="CA21" i="58"/>
  <c r="RL22" i="58"/>
  <c r="OS32" i="58"/>
  <c r="RH19" i="58"/>
  <c r="LI64" i="58"/>
  <c r="QU19" i="58"/>
  <c r="CI24" i="58"/>
  <c r="QS38" i="58"/>
  <c r="BP24" i="58"/>
  <c r="PL40" i="58"/>
  <c r="DJ22" i="58"/>
  <c r="AK19" i="58"/>
  <c r="BF14" i="58"/>
  <c r="QV36" i="58"/>
  <c r="OA35" i="58"/>
  <c r="NK31" i="58"/>
  <c r="U22" i="58"/>
  <c r="QV29" i="58"/>
  <c r="KS42" i="58"/>
  <c r="GC24" i="58"/>
  <c r="MN45" i="58"/>
  <c r="RV18" i="58"/>
  <c r="OL45" i="58"/>
  <c r="OZ29" i="58"/>
  <c r="LG20" i="58"/>
  <c r="RU35" i="58"/>
  <c r="NA32" i="58"/>
  <c r="RJ30" i="58"/>
  <c r="MQ36" i="58"/>
  <c r="FH17" i="58"/>
  <c r="CW17" i="58"/>
  <c r="OR23" i="58"/>
  <c r="GM15" i="58"/>
  <c r="DG24" i="58"/>
  <c r="FL18" i="58"/>
  <c r="PW23" i="58"/>
  <c r="NK65" i="58"/>
  <c r="LA58" i="58"/>
  <c r="MA51" i="58"/>
  <c r="NA37" i="58"/>
  <c r="LG34" i="58"/>
  <c r="LA38" i="58"/>
  <c r="JW22" i="58"/>
  <c r="GO18" i="58"/>
  <c r="PF39" i="58"/>
  <c r="LZ49" i="58"/>
  <c r="CS18" i="58"/>
  <c r="QG33" i="58"/>
  <c r="PT35" i="58"/>
  <c r="PS29" i="58"/>
  <c r="PR49" i="58"/>
  <c r="LL39" i="58"/>
  <c r="LX24" i="58"/>
  <c r="MV15" i="58"/>
  <c r="QB48" i="58"/>
  <c r="QU21" i="58"/>
  <c r="GD17" i="58"/>
  <c r="LG58" i="58"/>
  <c r="MO52" i="58"/>
  <c r="QL47" i="58"/>
  <c r="NR36" i="58"/>
  <c r="FL21" i="58"/>
  <c r="RS19" i="58"/>
  <c r="MV33" i="58"/>
  <c r="JE20" i="58"/>
  <c r="MJ58" i="58"/>
  <c r="KT53" i="58"/>
  <c r="QO45" i="58"/>
  <c r="OO58" i="58"/>
  <c r="NT56" i="58"/>
  <c r="QL60" i="58"/>
  <c r="PM58" i="58"/>
  <c r="FY20" i="58"/>
  <c r="HC17" i="58"/>
  <c r="OU32" i="58"/>
  <c r="OA39" i="58"/>
  <c r="JA22" i="58"/>
  <c r="ON35" i="58"/>
  <c r="RP35" i="58"/>
  <c r="MR51" i="58"/>
  <c r="IC21" i="58"/>
  <c r="NO42" i="58"/>
  <c r="FV17" i="58"/>
  <c r="MR18" i="58"/>
  <c r="GO20" i="58"/>
  <c r="LS65" i="58"/>
  <c r="QC55" i="58"/>
  <c r="OW42" i="58"/>
  <c r="QA34" i="58"/>
  <c r="LE50" i="58"/>
  <c r="PY57" i="58"/>
  <c r="N24" i="58"/>
  <c r="KQ57" i="58"/>
  <c r="PI22" i="58"/>
  <c r="AU19" i="58"/>
  <c r="NQ39" i="58"/>
  <c r="MY45" i="58"/>
  <c r="AO21" i="58"/>
  <c r="PE30" i="58"/>
  <c r="NN35" i="58"/>
  <c r="OK33" i="58"/>
  <c r="KU20" i="58"/>
  <c r="EO19" i="58"/>
  <c r="KB24" i="58"/>
  <c r="QT24" i="58"/>
  <c r="KZ54" i="58"/>
  <c r="DU19" i="58"/>
  <c r="RI18" i="58"/>
  <c r="HM21" i="58"/>
  <c r="NY41" i="58"/>
  <c r="OQ63" i="58"/>
  <c r="NO34" i="58"/>
  <c r="LB60" i="58"/>
  <c r="LG33" i="58"/>
  <c r="CZ23" i="58"/>
  <c r="NL31" i="58"/>
  <c r="KO21" i="58"/>
  <c r="QC38" i="58"/>
  <c r="RU30" i="58"/>
  <c r="MH51" i="58"/>
  <c r="RE31" i="58"/>
  <c r="NV41" i="58"/>
  <c r="RM16" i="58"/>
  <c r="CL22" i="58"/>
  <c r="LX30" i="58"/>
  <c r="PQ24" i="58"/>
  <c r="AT24" i="58"/>
  <c r="NC23" i="58"/>
  <c r="KQ24" i="58"/>
  <c r="DY22" i="58"/>
  <c r="CK21" i="58"/>
  <c r="QO16" i="58"/>
  <c r="FY14" i="58"/>
  <c r="FJ24" i="58"/>
  <c r="RK21" i="58"/>
  <c r="LI52" i="58"/>
  <c r="RT56" i="58"/>
  <c r="OZ38" i="58"/>
  <c r="MO30" i="58"/>
  <c r="AI20" i="58"/>
  <c r="QL42" i="58"/>
  <c r="QO36" i="58"/>
  <c r="OK62" i="58"/>
  <c r="OQ58" i="58"/>
  <c r="AS24" i="58"/>
  <c r="QL39" i="58"/>
  <c r="PK34" i="58"/>
  <c r="KG19" i="58"/>
  <c r="EM17" i="58"/>
  <c r="IZ13" i="58"/>
  <c r="QK59" i="58"/>
  <c r="PM24" i="58"/>
  <c r="RC57" i="58"/>
  <c r="LA31" i="58"/>
  <c r="RB62" i="58"/>
  <c r="PF23" i="58"/>
  <c r="LO47" i="58"/>
  <c r="LD37" i="58"/>
  <c r="GZ20" i="58"/>
  <c r="GS15" i="58"/>
  <c r="JC12" i="58"/>
  <c r="DB17" i="58"/>
  <c r="PT36" i="58"/>
  <c r="MV34" i="58"/>
  <c r="NG47" i="58"/>
  <c r="PH43" i="58"/>
  <c r="GK12" i="58"/>
  <c r="DR19" i="58"/>
  <c r="U23" i="58"/>
  <c r="IZ21" i="58"/>
  <c r="RO63" i="58"/>
  <c r="LZ59" i="58"/>
  <c r="KZ46" i="58"/>
  <c r="EW21" i="58"/>
  <c r="LW24" i="58"/>
  <c r="BH24" i="58"/>
  <c r="KQ33" i="58"/>
  <c r="QE38" i="58"/>
  <c r="BV21" i="58"/>
  <c r="QR17" i="58"/>
  <c r="LP21" i="58"/>
  <c r="AV22" i="58"/>
  <c r="PC30" i="58"/>
  <c r="OL31" i="58"/>
  <c r="EG22" i="58"/>
  <c r="MY29" i="58"/>
  <c r="KR29" i="58"/>
  <c r="AL23" i="58"/>
  <c r="KK22" i="58"/>
  <c r="O13" i="58"/>
  <c r="NP23" i="58"/>
  <c r="LA10" i="58"/>
  <c r="NW18" i="58"/>
  <c r="EJ13" i="58"/>
  <c r="LL34" i="58"/>
  <c r="RV52" i="58"/>
  <c r="LO42" i="58"/>
  <c r="NC30" i="58"/>
  <c r="NL45" i="58"/>
  <c r="DF21" i="58"/>
  <c r="NH54" i="58"/>
  <c r="OY38" i="58"/>
  <c r="RU57" i="58"/>
  <c r="PA31" i="58"/>
  <c r="AF18" i="58"/>
  <c r="MH30" i="58"/>
  <c r="NK37" i="58"/>
  <c r="NJ16" i="58"/>
  <c r="QY17" i="58"/>
  <c r="QH41" i="58"/>
  <c r="PP20" i="58"/>
  <c r="AV19" i="58"/>
  <c r="MQ46" i="58"/>
  <c r="NN32" i="58"/>
  <c r="MC42" i="58"/>
  <c r="PZ33" i="58"/>
  <c r="RQ39" i="58"/>
  <c r="QN42" i="58"/>
  <c r="KQ46" i="58"/>
  <c r="MO23" i="58"/>
  <c r="MH35" i="58"/>
  <c r="AY15" i="58"/>
  <c r="CQ20" i="58"/>
  <c r="LV63" i="58"/>
  <c r="QK31" i="58"/>
  <c r="OX59" i="58"/>
  <c r="HY22" i="58"/>
  <c r="FJ23" i="58"/>
  <c r="OG65" i="58"/>
  <c r="MS49" i="58"/>
  <c r="QL20" i="58"/>
  <c r="MY32" i="58"/>
  <c r="RA24" i="58"/>
  <c r="LA21" i="58"/>
  <c r="OM51" i="58"/>
  <c r="PX43" i="58"/>
  <c r="BL20" i="58"/>
  <c r="QD50" i="58"/>
  <c r="IX22" i="58"/>
  <c r="CC16" i="58"/>
  <c r="NI43" i="58"/>
  <c r="DR22" i="58"/>
  <c r="DY17" i="58"/>
  <c r="MK46" i="58"/>
  <c r="MQ62" i="58"/>
  <c r="LT54" i="58"/>
  <c r="PF57" i="58"/>
  <c r="IG19" i="58"/>
  <c r="RH46" i="58"/>
  <c r="OP22" i="58"/>
  <c r="KZ66" i="58"/>
  <c r="ND32" i="58"/>
  <c r="HT18" i="58"/>
  <c r="LF45" i="58"/>
  <c r="PM20" i="58"/>
  <c r="PK15" i="58"/>
  <c r="MM29" i="58"/>
  <c r="LA24" i="58"/>
  <c r="PS24" i="58"/>
  <c r="JP23" i="58"/>
  <c r="EY23" i="58"/>
  <c r="LM43" i="58"/>
  <c r="NE11" i="58"/>
  <c r="LR19" i="58"/>
  <c r="RQ14" i="58"/>
  <c r="NJ37" i="58"/>
  <c r="GL19" i="58"/>
  <c r="PY52" i="58"/>
  <c r="LM34" i="58"/>
  <c r="AR21" i="58"/>
  <c r="QY20" i="58"/>
  <c r="LM40" i="58"/>
  <c r="AX23" i="58"/>
  <c r="MP36" i="58"/>
  <c r="NR60" i="58"/>
  <c r="OC24" i="58"/>
  <c r="QK24" i="58"/>
  <c r="IV23" i="58"/>
  <c r="IL21" i="58"/>
  <c r="KQ14" i="58"/>
  <c r="DT21" i="58"/>
  <c r="RT24" i="58"/>
  <c r="DZ20" i="58"/>
  <c r="KG24" i="58"/>
  <c r="MF21" i="58"/>
  <c r="KN15" i="58"/>
  <c r="N21" i="58"/>
  <c r="OI19" i="58"/>
  <c r="KK24" i="58"/>
  <c r="AH23" i="58"/>
  <c r="RD35" i="58"/>
  <c r="KU11" i="58"/>
  <c r="PY20" i="58"/>
  <c r="KY42" i="58"/>
  <c r="QQ63" i="58"/>
  <c r="IH24" i="58"/>
  <c r="RG34" i="58"/>
  <c r="KU40" i="58"/>
  <c r="QY34" i="58"/>
  <c r="OI49" i="58"/>
  <c r="QA60" i="58"/>
  <c r="PS46" i="58"/>
  <c r="AT14" i="58"/>
  <c r="NQ37" i="58"/>
  <c r="JT20" i="58"/>
  <c r="QO47" i="58"/>
  <c r="OW43" i="58"/>
  <c r="RD22" i="58"/>
  <c r="RF39" i="58"/>
  <c r="ER22" i="58"/>
  <c r="QX34" i="58"/>
  <c r="PP31" i="58"/>
  <c r="JT21" i="58"/>
  <c r="GC21" i="58"/>
  <c r="FL22" i="58"/>
  <c r="FD19" i="58"/>
  <c r="HQ22" i="58"/>
  <c r="IV21" i="58"/>
  <c r="ML32" i="58"/>
  <c r="OR17" i="58"/>
  <c r="KW19" i="58"/>
  <c r="NM21" i="58"/>
  <c r="JN15" i="58"/>
  <c r="RP33" i="58"/>
  <c r="ON11" i="58"/>
  <c r="PP37" i="58"/>
  <c r="AX24" i="58"/>
  <c r="QQ29" i="58"/>
  <c r="RK20" i="58"/>
  <c r="PM59" i="58"/>
  <c r="ND21" i="58"/>
  <c r="OC47" i="58"/>
  <c r="RO43" i="58"/>
  <c r="NB34" i="58"/>
  <c r="ME32" i="58"/>
  <c r="ED22" i="58"/>
  <c r="EY18" i="58"/>
  <c r="PL20" i="58"/>
  <c r="LS16" i="58"/>
  <c r="QY32" i="58"/>
  <c r="LE32" i="58"/>
  <c r="NQ30" i="58"/>
  <c r="RV32" i="58"/>
  <c r="PO43" i="58"/>
  <c r="HY20" i="58"/>
  <c r="NW30" i="58"/>
  <c r="LI14" i="58"/>
  <c r="IG22" i="58"/>
  <c r="PI16" i="58"/>
  <c r="FO23" i="58"/>
  <c r="RN39" i="58"/>
  <c r="LW35" i="58"/>
  <c r="RJ24" i="58"/>
  <c r="EV21" i="58"/>
  <c r="OM32" i="58"/>
  <c r="ON32" i="58"/>
  <c r="CL23" i="58"/>
  <c r="QA40" i="58"/>
  <c r="PH12" i="58"/>
  <c r="PZ40" i="58"/>
  <c r="QN45" i="58"/>
  <c r="PQ32" i="58"/>
  <c r="EN20" i="58"/>
  <c r="MK24" i="58"/>
  <c r="AS22" i="58"/>
  <c r="OO21" i="58"/>
  <c r="OA65" i="58"/>
  <c r="LC22" i="58"/>
  <c r="HN22" i="58"/>
  <c r="KT23" i="58"/>
  <c r="KR20" i="58"/>
  <c r="AD18" i="58"/>
  <c r="MX19" i="58"/>
  <c r="BW16" i="58"/>
  <c r="OP17" i="58"/>
  <c r="JS19" i="58"/>
  <c r="OC35" i="58"/>
  <c r="RC55" i="58"/>
  <c r="HT23" i="58"/>
  <c r="RS34" i="58"/>
  <c r="LD57" i="58"/>
  <c r="PA24" i="58"/>
  <c r="RL56" i="58"/>
  <c r="LX39" i="58"/>
  <c r="LR31" i="58"/>
  <c r="PP43" i="58"/>
  <c r="RA34" i="58"/>
  <c r="NT36" i="58"/>
  <c r="LS38" i="58"/>
  <c r="QV24" i="58"/>
  <c r="LB59" i="58"/>
  <c r="NW29" i="58"/>
  <c r="OW52" i="58"/>
  <c r="OD29" i="58"/>
  <c r="NM46" i="58"/>
  <c r="OE22" i="58"/>
  <c r="QK60" i="58"/>
  <c r="PF51" i="58"/>
  <c r="FK9" i="58"/>
  <c r="ET21" i="58"/>
  <c r="N19" i="58"/>
  <c r="RR23" i="58"/>
  <c r="JL20" i="58"/>
  <c r="PU33" i="58"/>
  <c r="ND29" i="58"/>
  <c r="V23" i="58"/>
  <c r="PZ18" i="58"/>
  <c r="GJ21" i="58"/>
  <c r="PV34" i="58"/>
  <c r="JJ22" i="58"/>
  <c r="NK60" i="58"/>
  <c r="PL38" i="58"/>
  <c r="ES24" i="58"/>
  <c r="DC14" i="58"/>
  <c r="LS30" i="58"/>
  <c r="QJ29" i="58"/>
  <c r="AW18" i="58"/>
  <c r="NM36" i="58"/>
  <c r="KU35" i="58"/>
  <c r="KT18" i="58"/>
  <c r="OV36" i="58"/>
  <c r="RT21" i="58"/>
  <c r="KS53" i="58"/>
  <c r="PR37" i="58"/>
  <c r="V22" i="58"/>
  <c r="LY56" i="58"/>
  <c r="LG32" i="58"/>
  <c r="QJ13" i="58"/>
  <c r="RH29" i="58"/>
  <c r="RV11" i="58"/>
  <c r="OG29" i="58"/>
  <c r="PP12" i="58"/>
  <c r="QX19" i="58"/>
  <c r="LT65" i="58"/>
  <c r="QX61" i="58"/>
  <c r="LJ53" i="58"/>
  <c r="NU40" i="58"/>
  <c r="MD35" i="58"/>
  <c r="KY57" i="58"/>
  <c r="PC34" i="58"/>
  <c r="OL36" i="58"/>
  <c r="BT10" i="58"/>
  <c r="NH33" i="58"/>
  <c r="QF24" i="58"/>
  <c r="OH30" i="58"/>
  <c r="OB43" i="58"/>
  <c r="NO59" i="58"/>
  <c r="KK23" i="58"/>
  <c r="QI17" i="58"/>
  <c r="NK30" i="58"/>
  <c r="MF17" i="58"/>
  <c r="O21" i="58"/>
  <c r="GY21" i="58"/>
  <c r="IA18" i="58"/>
  <c r="MO41" i="58"/>
  <c r="QQ35" i="58"/>
  <c r="EL22" i="58"/>
  <c r="AX19" i="58"/>
  <c r="ND24" i="58"/>
  <c r="FW15" i="58"/>
  <c r="KV62" i="58"/>
  <c r="GC17" i="58"/>
  <c r="RF36" i="58"/>
  <c r="NO30" i="58"/>
  <c r="QU30" i="58"/>
  <c r="LV47" i="58"/>
  <c r="MJ57" i="58"/>
  <c r="LN29" i="58"/>
  <c r="RH18" i="58"/>
  <c r="KY54" i="58"/>
  <c r="LF23" i="58"/>
  <c r="QR38" i="58"/>
  <c r="NT33" i="58"/>
  <c r="OW49" i="58"/>
  <c r="IS22" i="58"/>
  <c r="LV22" i="58"/>
  <c r="IL17" i="58"/>
  <c r="OY17" i="58"/>
  <c r="FZ15" i="58"/>
  <c r="KJ8" i="58"/>
  <c r="JC21" i="58"/>
  <c r="QX45" i="58"/>
  <c r="OM57" i="58"/>
  <c r="MK53" i="58"/>
  <c r="MD56" i="58"/>
  <c r="OR33" i="58"/>
  <c r="MK36" i="58"/>
  <c r="CK24" i="58"/>
  <c r="NR49" i="58"/>
  <c r="RC40" i="58"/>
  <c r="OP51" i="58"/>
  <c r="MJ23" i="58"/>
  <c r="OY37" i="58"/>
  <c r="RD29" i="58"/>
  <c r="HB19" i="58"/>
  <c r="QG29" i="58"/>
  <c r="PG37" i="58"/>
  <c r="OX40" i="58"/>
  <c r="AG24" i="58"/>
  <c r="QA37" i="58"/>
  <c r="FO14" i="58"/>
  <c r="W20" i="58"/>
  <c r="QM14" i="58"/>
  <c r="QT17" i="58"/>
  <c r="LJ10" i="58"/>
  <c r="MZ43" i="58"/>
  <c r="QZ64" i="58"/>
  <c r="NB36" i="58"/>
  <c r="LU24" i="58"/>
  <c r="QQ51" i="58"/>
  <c r="QP32" i="58"/>
  <c r="LE61" i="58"/>
  <c r="LI57" i="58"/>
  <c r="ME36" i="58"/>
  <c r="LY33" i="58"/>
  <c r="PA36" i="58"/>
  <c r="FJ20" i="58"/>
  <c r="MU65" i="58"/>
  <c r="MA22" i="58"/>
  <c r="CW21" i="58"/>
  <c r="QL14" i="58"/>
  <c r="FT23" i="58"/>
  <c r="NF32" i="58"/>
  <c r="QK47" i="58"/>
  <c r="LI15" i="58"/>
  <c r="HU17" i="58"/>
  <c r="BO21" i="58"/>
  <c r="OU38" i="58"/>
  <c r="IC22" i="58"/>
  <c r="LT32" i="58"/>
  <c r="PM16" i="58"/>
  <c r="LP66" i="58"/>
  <c r="OT48" i="58"/>
  <c r="MY53" i="58"/>
  <c r="RJ34" i="58"/>
  <c r="PT22" i="58"/>
  <c r="PX34" i="58"/>
  <c r="RQ21" i="58"/>
  <c r="LT58" i="58"/>
  <c r="RU47" i="58"/>
  <c r="BT15" i="58"/>
  <c r="LD41" i="58"/>
  <c r="RA20" i="58"/>
  <c r="NP24" i="58"/>
  <c r="MI39" i="58"/>
  <c r="QN33" i="58"/>
  <c r="ML35" i="58"/>
  <c r="RC39" i="58"/>
  <c r="QF18" i="58"/>
  <c r="AC24" i="58"/>
  <c r="IS19" i="58"/>
  <c r="QU22" i="58"/>
  <c r="MP33" i="58"/>
  <c r="QX14" i="58"/>
  <c r="CD22" i="58"/>
  <c r="QX30" i="58"/>
  <c r="MI46" i="58"/>
  <c r="PQ47" i="58"/>
  <c r="CN22" i="58"/>
  <c r="OH39" i="58"/>
  <c r="OO30" i="58"/>
  <c r="OZ34" i="58"/>
  <c r="RH23" i="58"/>
  <c r="IP17" i="58"/>
  <c r="FG21" i="58"/>
  <c r="EE8" i="58"/>
  <c r="NY60" i="58"/>
  <c r="KX43" i="58"/>
  <c r="PC23" i="58"/>
  <c r="QU45" i="58"/>
  <c r="KN22" i="58"/>
  <c r="PN50" i="58"/>
  <c r="MX55" i="58"/>
  <c r="QI29" i="58"/>
  <c r="LR24" i="58"/>
  <c r="KN24" i="58"/>
  <c r="JU20" i="58"/>
  <c r="RK37" i="58"/>
  <c r="LO32" i="58"/>
  <c r="BB17" i="58"/>
  <c r="FJ18" i="58"/>
  <c r="QN32" i="58"/>
  <c r="LK33" i="58"/>
  <c r="AO11" i="58"/>
  <c r="EW20" i="58"/>
  <c r="BJ15" i="58"/>
  <c r="NR14" i="58"/>
  <c r="MQ54" i="58"/>
  <c r="NA54" i="58"/>
  <c r="OA34" i="58"/>
  <c r="PU24" i="58"/>
  <c r="PB56" i="58"/>
  <c r="EX22" i="58"/>
  <c r="QJ48" i="58"/>
  <c r="RU34" i="58"/>
  <c r="IG9" i="58"/>
  <c r="LV23" i="58"/>
  <c r="RC61" i="58"/>
  <c r="MW37" i="58"/>
  <c r="MY42" i="58"/>
  <c r="OE20" i="58"/>
  <c r="PE33" i="58"/>
  <c r="RG32" i="58"/>
  <c r="JU23" i="58"/>
  <c r="LD55" i="58"/>
  <c r="HJ23" i="58"/>
  <c r="OI38" i="58"/>
  <c r="JF24" i="58"/>
  <c r="KT33" i="58"/>
  <c r="AT15" i="58"/>
  <c r="LE24" i="58"/>
  <c r="PH59" i="58"/>
  <c r="RF37" i="58"/>
  <c r="KT42" i="58"/>
  <c r="LA34" i="58"/>
  <c r="NU48" i="58"/>
  <c r="PU45" i="58"/>
  <c r="MN40" i="58"/>
  <c r="GG24" i="58"/>
  <c r="OD30" i="58"/>
  <c r="Z18" i="58"/>
  <c r="QM38" i="58"/>
  <c r="PH21" i="58"/>
  <c r="LU47" i="58"/>
  <c r="KZ21" i="58"/>
  <c r="ME22" i="58"/>
  <c r="HB17" i="58"/>
  <c r="NI17" i="58"/>
  <c r="IY23" i="58"/>
  <c r="HV23" i="58"/>
  <c r="CY12" i="58"/>
  <c r="GI11" i="58"/>
  <c r="II23" i="58"/>
  <c r="CZ13" i="58"/>
  <c r="NM14" i="58"/>
  <c r="QE31" i="58"/>
  <c r="PR36" i="58"/>
  <c r="MP56" i="58"/>
  <c r="PC36" i="58"/>
  <c r="PK29" i="58"/>
  <c r="QM18" i="58"/>
  <c r="LF49" i="58"/>
  <c r="PF37" i="58"/>
  <c r="MY34" i="58"/>
  <c r="KQ23" i="58"/>
  <c r="PX65" i="58"/>
  <c r="RT30" i="58"/>
  <c r="OP42" i="58"/>
  <c r="RH15" i="58"/>
  <c r="RH16" i="58"/>
  <c r="QY38" i="58"/>
  <c r="LT13" i="58"/>
  <c r="HX17" i="58"/>
  <c r="PJ23" i="58"/>
  <c r="OM23" i="58"/>
  <c r="NE38" i="58"/>
  <c r="HW21" i="58"/>
  <c r="QR42" i="58"/>
  <c r="IA24" i="58"/>
  <c r="MH37" i="58"/>
  <c r="LY14" i="58"/>
  <c r="FG19" i="58"/>
  <c r="ND23" i="58"/>
  <c r="DV23" i="58"/>
  <c r="OS61" i="58"/>
  <c r="MG39" i="58"/>
  <c r="RF31" i="58"/>
  <c r="LM38" i="58"/>
  <c r="LP48" i="58"/>
  <c r="OG19" i="58"/>
  <c r="PX35" i="58"/>
  <c r="PX54" i="58"/>
  <c r="LN30" i="58"/>
  <c r="OW29" i="58"/>
  <c r="OD42" i="58"/>
  <c r="GV16" i="58"/>
  <c r="RA37" i="58"/>
  <c r="N22" i="58"/>
  <c r="QW35" i="58"/>
  <c r="BG24" i="58"/>
  <c r="FM17" i="58"/>
  <c r="RH30" i="58"/>
  <c r="GY18" i="58"/>
  <c r="LK18" i="58"/>
  <c r="JA19" i="58"/>
  <c r="RV51" i="58"/>
  <c r="QY56" i="58"/>
  <c r="OO38" i="58"/>
  <c r="PR29" i="58"/>
  <c r="KQ8" i="58"/>
  <c r="QA42" i="58"/>
  <c r="LU42" i="58"/>
  <c r="MD49" i="58"/>
  <c r="RH22" i="58"/>
  <c r="LI24" i="58"/>
  <c r="HK18" i="58"/>
  <c r="EQ22" i="58"/>
  <c r="LM23" i="58"/>
  <c r="QW21" i="58"/>
  <c r="NF38" i="58"/>
  <c r="PV35" i="58"/>
  <c r="OO36" i="58"/>
  <c r="LC32" i="58"/>
  <c r="PX11" i="58"/>
  <c r="NC33" i="58"/>
  <c r="LP20" i="58"/>
  <c r="CQ21" i="58"/>
  <c r="O18" i="58"/>
  <c r="NP15" i="58"/>
  <c r="DR21" i="58"/>
  <c r="RS49" i="58"/>
  <c r="FM24" i="58"/>
  <c r="LX22" i="58"/>
  <c r="NI49" i="58"/>
  <c r="ON65" i="58"/>
  <c r="ME43" i="58"/>
  <c r="QP43" i="58"/>
  <c r="OS51" i="58"/>
  <c r="DI19" i="58"/>
  <c r="GE18" i="58"/>
  <c r="BR14" i="58"/>
  <c r="T21" i="58"/>
  <c r="MN56" i="58"/>
  <c r="NM45" i="58"/>
  <c r="KV45" i="58"/>
  <c r="MO47" i="58"/>
  <c r="NE21" i="58"/>
  <c r="AD19" i="58"/>
  <c r="LO20" i="58"/>
  <c r="NC22" i="58"/>
  <c r="MX52" i="58"/>
  <c r="BL21" i="58"/>
  <c r="QO24" i="58"/>
  <c r="LC35" i="58"/>
  <c r="PD51" i="58"/>
  <c r="NU49" i="58"/>
  <c r="NN52" i="58"/>
  <c r="LF30" i="58"/>
  <c r="RG35" i="58"/>
  <c r="DX20" i="58"/>
  <c r="GJ23" i="58"/>
  <c r="QA20" i="58"/>
  <c r="NY21" i="58"/>
  <c r="MW31" i="58"/>
  <c r="NK34" i="58"/>
  <c r="PX22" i="58"/>
  <c r="QY52" i="58"/>
  <c r="BT23" i="58"/>
  <c r="FH19" i="58"/>
  <c r="PC43" i="58"/>
  <c r="PR22" i="58"/>
  <c r="MO43" i="58"/>
  <c r="KX45" i="58"/>
  <c r="MD24" i="58"/>
  <c r="RI47" i="58"/>
  <c r="NQ14" i="58"/>
  <c r="QB24" i="58"/>
  <c r="BL23" i="58"/>
  <c r="QS24" i="58"/>
  <c r="QL58" i="58"/>
  <c r="OC58" i="58"/>
  <c r="IK18" i="58"/>
  <c r="NB29" i="58"/>
  <c r="KW62" i="58"/>
  <c r="LH31" i="58"/>
  <c r="KT32" i="58"/>
  <c r="OS34" i="58"/>
  <c r="ON34" i="58"/>
  <c r="NX29" i="58"/>
  <c r="NA31" i="58"/>
  <c r="RU32" i="58"/>
  <c r="KX30" i="58"/>
  <c r="PL22" i="58"/>
  <c r="FI12" i="58"/>
  <c r="KA21" i="58"/>
  <c r="LD49" i="58"/>
  <c r="NT54" i="58"/>
  <c r="QE16" i="58"/>
  <c r="LN39" i="58"/>
  <c r="AJ23" i="58"/>
  <c r="QR50" i="58"/>
  <c r="MI47" i="58"/>
  <c r="GX19" i="58"/>
  <c r="OH54" i="58"/>
  <c r="JP22" i="58"/>
  <c r="MB17" i="58"/>
  <c r="LM32" i="58"/>
  <c r="EY17" i="58"/>
  <c r="MA33" i="58"/>
  <c r="RC54" i="58"/>
  <c r="KQ34" i="58"/>
  <c r="MS40" i="58"/>
  <c r="PO23" i="58"/>
  <c r="QR49" i="58"/>
  <c r="QQ38" i="58"/>
  <c r="IV16" i="58"/>
  <c r="RR36" i="58"/>
  <c r="CO23" i="58"/>
  <c r="HZ14" i="58"/>
  <c r="BV15" i="58"/>
  <c r="NI54" i="58"/>
  <c r="QJ57" i="58"/>
  <c r="NH47" i="58"/>
  <c r="ON42" i="58"/>
  <c r="KY21" i="58"/>
  <c r="X24" i="58"/>
  <c r="PF21" i="58"/>
  <c r="NH46" i="58"/>
  <c r="LI48" i="58"/>
  <c r="RV38" i="58"/>
  <c r="LA33" i="58"/>
  <c r="PN23" i="58"/>
  <c r="QM33" i="58"/>
  <c r="FK12" i="58"/>
  <c r="BM23" i="58"/>
  <c r="MJ54" i="58"/>
  <c r="AM24" i="58"/>
  <c r="OE12" i="58"/>
  <c r="LT38" i="58"/>
  <c r="RU22" i="58"/>
  <c r="LJ37" i="58"/>
  <c r="OW22" i="58"/>
  <c r="GI17" i="58"/>
  <c r="BM17" i="58"/>
  <c r="CR24" i="58"/>
  <c r="CY24" i="58"/>
  <c r="PS35" i="58"/>
  <c r="KY60" i="58"/>
  <c r="MX23" i="58"/>
  <c r="DS21" i="58"/>
  <c r="MN33" i="58"/>
  <c r="PH15" i="58"/>
  <c r="MA47" i="58"/>
  <c r="MP21" i="58"/>
  <c r="RD15" i="58"/>
  <c r="DQ24" i="58"/>
  <c r="KV17" i="58"/>
  <c r="BO19" i="58"/>
  <c r="NV16" i="58"/>
  <c r="CD23" i="58"/>
  <c r="LV50" i="58"/>
  <c r="O20" i="58"/>
  <c r="NK43" i="58"/>
  <c r="LY35" i="58"/>
  <c r="NL41" i="58"/>
  <c r="LF24" i="58"/>
  <c r="MS42" i="58"/>
  <c r="PD65" i="58"/>
  <c r="LE16" i="58"/>
  <c r="BX21" i="58"/>
  <c r="JL21" i="58"/>
  <c r="DS23" i="58"/>
  <c r="JD19" i="58"/>
  <c r="NN41" i="58"/>
  <c r="PP48" i="58"/>
  <c r="OZ32" i="58"/>
  <c r="PA16" i="58"/>
  <c r="EP22" i="58"/>
  <c r="PE41" i="58"/>
  <c r="CZ20" i="58"/>
  <c r="PY16" i="58"/>
  <c r="PV38" i="58"/>
  <c r="QV38" i="58"/>
  <c r="EF17" i="58"/>
  <c r="NZ65" i="58"/>
  <c r="KR41" i="58"/>
  <c r="MB23" i="58"/>
  <c r="QW29" i="58"/>
  <c r="MQ45" i="58"/>
  <c r="QF47" i="58"/>
  <c r="LJ66" i="58"/>
  <c r="KT50" i="58"/>
  <c r="KS39" i="58"/>
  <c r="HH15" i="58"/>
  <c r="LJ48" i="58"/>
  <c r="GB21" i="58"/>
  <c r="JS21" i="58"/>
  <c r="OU31" i="58"/>
  <c r="MH31" i="58"/>
  <c r="LP41" i="58"/>
  <c r="OY32" i="58"/>
  <c r="BY16" i="58"/>
  <c r="PU43" i="58"/>
  <c r="QA15" i="58"/>
  <c r="JA15" i="58"/>
  <c r="GR17" i="58"/>
  <c r="MD17" i="58"/>
  <c r="IK14" i="58"/>
  <c r="BZ23" i="58"/>
  <c r="NT47" i="58"/>
  <c r="PL41" i="58"/>
  <c r="NF60" i="58"/>
  <c r="QG60" i="58"/>
  <c r="AV23" i="58"/>
  <c r="NS45" i="58"/>
  <c r="LJ34" i="58"/>
  <c r="RV57" i="58"/>
  <c r="MM59" i="58"/>
  <c r="JO23" i="58"/>
  <c r="QH16" i="58"/>
  <c r="OW18" i="58"/>
  <c r="IY22" i="58"/>
  <c r="IX19" i="58"/>
  <c r="PQ29" i="58"/>
  <c r="QF33" i="58"/>
  <c r="OZ22" i="58"/>
  <c r="QU31" i="58"/>
  <c r="KU30" i="58"/>
  <c r="LF34" i="58"/>
  <c r="PM32" i="58"/>
  <c r="GS24" i="58"/>
  <c r="ML16" i="58"/>
  <c r="IO14" i="58"/>
  <c r="LL57" i="58"/>
  <c r="PX48" i="58"/>
  <c r="LH51" i="58"/>
  <c r="OV65" i="58"/>
  <c r="LA32" i="58"/>
  <c r="KW36" i="58"/>
  <c r="RT32" i="58"/>
  <c r="DQ17" i="58"/>
  <c r="FB19" i="58"/>
  <c r="RU31" i="58"/>
  <c r="RK39" i="58"/>
  <c r="JP21" i="58"/>
  <c r="FT22" i="58"/>
  <c r="AE23" i="58"/>
  <c r="LO35" i="58"/>
  <c r="PK23" i="58"/>
  <c r="PS17" i="58"/>
  <c r="NA15" i="58"/>
  <c r="QZ30" i="58"/>
  <c r="RL29" i="58"/>
  <c r="LX33" i="58"/>
  <c r="RS13" i="58"/>
  <c r="IK17" i="58"/>
  <c r="QD45" i="58"/>
  <c r="NV36" i="58"/>
  <c r="NI37" i="58"/>
  <c r="KV31" i="58"/>
  <c r="LI45" i="58"/>
  <c r="MT39" i="58"/>
  <c r="LA36" i="58"/>
  <c r="AV11" i="58"/>
  <c r="JW19" i="58"/>
  <c r="NU30" i="58"/>
  <c r="ML14" i="58"/>
  <c r="QI45" i="58"/>
  <c r="QU46" i="58"/>
  <c r="BZ21" i="58"/>
  <c r="LW53" i="58"/>
  <c r="RH24" i="58"/>
  <c r="NR43" i="58"/>
  <c r="JV23" i="58"/>
  <c r="RP43" i="58"/>
  <c r="PO22" i="58"/>
  <c r="PW31" i="58"/>
  <c r="PF40" i="58"/>
  <c r="OY29" i="58"/>
  <c r="RU20" i="58"/>
  <c r="MG32" i="58"/>
  <c r="LE15" i="58"/>
  <c r="NH36" i="58"/>
  <c r="QH34" i="58"/>
  <c r="PO34" i="58"/>
  <c r="LA40" i="58"/>
  <c r="OO17" i="58"/>
  <c r="AY18" i="58"/>
  <c r="FS18" i="58"/>
  <c r="MZ30" i="58"/>
  <c r="HR18" i="58"/>
  <c r="QY46" i="58"/>
  <c r="LR30" i="58"/>
  <c r="LB39" i="58"/>
  <c r="LM21" i="58"/>
  <c r="HM23" i="58"/>
  <c r="BK23" i="58"/>
  <c r="IE22" i="58"/>
  <c r="LV32" i="58"/>
  <c r="KH24" i="58"/>
  <c r="CU23" i="58"/>
  <c r="NQ36" i="58"/>
  <c r="QP33" i="58"/>
  <c r="IP23" i="58"/>
  <c r="RV20" i="58"/>
  <c r="GP23" i="58"/>
  <c r="RB22" i="58"/>
  <c r="Q20" i="58"/>
  <c r="PY35" i="58"/>
  <c r="QR22" i="58"/>
  <c r="MM45" i="58"/>
  <c r="JI15" i="58"/>
  <c r="RO19" i="58"/>
  <c r="S23" i="58"/>
  <c r="KR17" i="58"/>
  <c r="LX21" i="58"/>
  <c r="LH39" i="58"/>
  <c r="RD50" i="58"/>
  <c r="CQ24" i="58"/>
  <c r="IE21" i="58"/>
  <c r="OP40" i="58"/>
  <c r="ME63" i="58"/>
  <c r="EJ20" i="58"/>
  <c r="PB31" i="58"/>
  <c r="PS51" i="58"/>
  <c r="PS39" i="58"/>
  <c r="PR21" i="58"/>
  <c r="RU49" i="58"/>
  <c r="PX37" i="58"/>
  <c r="NZ22" i="58"/>
  <c r="RQ32" i="58"/>
  <c r="EP18" i="58"/>
  <c r="QH40" i="58"/>
  <c r="LB17" i="58"/>
  <c r="LK20" i="58"/>
  <c r="CO8" i="58"/>
  <c r="PU50" i="58"/>
  <c r="PU52" i="58"/>
  <c r="PW34" i="58"/>
  <c r="KZ31" i="58"/>
  <c r="S17" i="58"/>
  <c r="DK19" i="58"/>
  <c r="LZ22" i="58"/>
  <c r="LY32" i="58"/>
  <c r="MZ21" i="58"/>
  <c r="LY21" i="58"/>
  <c r="FD21" i="58"/>
  <c r="OX23" i="58"/>
  <c r="LY29" i="58"/>
  <c r="KM22" i="58"/>
  <c r="HO16" i="58"/>
  <c r="IW11" i="58"/>
  <c r="NV57" i="58"/>
  <c r="OA56" i="58"/>
  <c r="PB35" i="58"/>
  <c r="KX18" i="58"/>
  <c r="HK17" i="58"/>
  <c r="PW30" i="58"/>
  <c r="MB33" i="58"/>
  <c r="BE24" i="58"/>
  <c r="OW20" i="58"/>
  <c r="OD24" i="58"/>
  <c r="PZ22" i="58"/>
  <c r="ID22" i="58"/>
  <c r="OR38" i="58"/>
  <c r="DT20" i="58"/>
  <c r="FC17" i="58"/>
  <c r="LD39" i="58"/>
  <c r="CW13" i="58"/>
  <c r="AI22" i="58"/>
  <c r="MN31" i="58"/>
  <c r="CL18" i="58"/>
  <c r="AK22" i="58"/>
  <c r="HX19" i="58"/>
  <c r="CH22" i="58"/>
  <c r="FW14" i="58"/>
  <c r="OA52" i="58"/>
  <c r="PK43" i="58"/>
  <c r="RV34" i="58"/>
  <c r="RP40" i="58"/>
  <c r="LD52" i="58"/>
  <c r="NS37" i="58"/>
  <c r="QZ48" i="58"/>
  <c r="LZ48" i="58"/>
  <c r="LK38" i="58"/>
  <c r="LI43" i="58"/>
  <c r="IG17" i="58"/>
  <c r="DN18" i="58"/>
  <c r="MC40" i="58"/>
  <c r="RO29" i="58"/>
  <c r="PJ21" i="58"/>
  <c r="MW36" i="58"/>
  <c r="QW22" i="58"/>
  <c r="QW39" i="58"/>
  <c r="IG20" i="58"/>
  <c r="QK34" i="58"/>
  <c r="CG24" i="58"/>
  <c r="KR16" i="58"/>
  <c r="DY15" i="58"/>
  <c r="MM14" i="58"/>
  <c r="OW63" i="58"/>
  <c r="MI55" i="58"/>
  <c r="NC32" i="58"/>
  <c r="MT49" i="58"/>
  <c r="PQ34" i="58"/>
  <c r="OH32" i="58"/>
  <c r="NE48" i="58"/>
  <c r="OT49" i="58"/>
  <c r="ML17" i="58"/>
  <c r="OL35" i="58"/>
  <c r="CL20" i="58"/>
  <c r="DU17" i="58"/>
  <c r="PY32" i="58"/>
  <c r="QE39" i="58"/>
  <c r="KS50" i="58"/>
  <c r="EG23" i="58"/>
  <c r="PV20" i="58"/>
  <c r="IE18" i="58"/>
  <c r="LZ21" i="58"/>
  <c r="NY14" i="58"/>
  <c r="NM63" i="58"/>
  <c r="OO33" i="58"/>
  <c r="MY33" i="58"/>
  <c r="RK38" i="58"/>
  <c r="OI35" i="58"/>
  <c r="GY19" i="58"/>
  <c r="OA17" i="58"/>
  <c r="FY24" i="58"/>
  <c r="PA20" i="58"/>
  <c r="ME30" i="58"/>
  <c r="DF23" i="58"/>
  <c r="NX24" i="58"/>
  <c r="AQ22" i="58"/>
  <c r="OB32" i="58"/>
  <c r="LF22" i="58"/>
  <c r="GV23" i="58"/>
  <c r="MD58" i="58"/>
  <c r="MD48" i="58"/>
  <c r="QW36" i="58"/>
  <c r="KB19" i="58"/>
  <c r="QF50" i="58"/>
  <c r="LM54" i="58"/>
  <c r="LR47" i="58"/>
  <c r="PK35" i="58"/>
  <c r="NH24" i="58"/>
  <c r="AR24" i="58"/>
  <c r="MI30" i="58"/>
  <c r="LU35" i="58"/>
  <c r="ED17" i="58"/>
  <c r="RI35" i="58"/>
  <c r="RA17" i="58"/>
  <c r="MW13" i="58"/>
  <c r="KV21" i="58"/>
  <c r="LD19" i="58"/>
  <c r="QF53" i="58"/>
  <c r="CO22" i="58"/>
  <c r="FL17" i="58"/>
  <c r="ME33" i="58"/>
  <c r="MP18" i="58"/>
  <c r="OR21" i="58"/>
  <c r="DA20" i="58"/>
  <c r="OY66" i="58"/>
  <c r="QF51" i="58"/>
  <c r="LU48" i="58"/>
  <c r="NA57" i="58"/>
  <c r="PK63" i="58"/>
  <c r="QP58" i="58"/>
  <c r="NK64" i="58"/>
  <c r="LC53" i="58"/>
  <c r="RJ51" i="58"/>
  <c r="MO34" i="58"/>
  <c r="OV43" i="58"/>
  <c r="LA30" i="58"/>
  <c r="MY36" i="58"/>
  <c r="OR20" i="58"/>
  <c r="JX23" i="58"/>
  <c r="CR21" i="58"/>
  <c r="FP16" i="58"/>
  <c r="ES16" i="58"/>
  <c r="KY24" i="58"/>
  <c r="OI39" i="58"/>
  <c r="CG16" i="58"/>
  <c r="NP31" i="58"/>
  <c r="LJ31" i="58"/>
  <c r="DT11" i="58"/>
  <c r="QB55" i="58"/>
  <c r="OI22" i="58"/>
  <c r="MC18" i="58"/>
  <c r="MD21" i="58"/>
  <c r="EK17" i="58"/>
  <c r="NE24" i="58"/>
  <c r="NP36" i="58"/>
  <c r="PZ47" i="58"/>
  <c r="QH55" i="58"/>
  <c r="OH33" i="58"/>
  <c r="KZ22" i="58"/>
  <c r="MV32" i="58"/>
  <c r="RQ18" i="58"/>
  <c r="FN19" i="58"/>
  <c r="ET24" i="58"/>
  <c r="HK23" i="58"/>
  <c r="EP16" i="58"/>
  <c r="QH35" i="58"/>
  <c r="AM18" i="58"/>
  <c r="MJ19" i="58"/>
  <c r="BL22" i="58"/>
  <c r="MP24" i="58"/>
  <c r="OA51" i="58"/>
  <c r="NZ48" i="58"/>
  <c r="OR55" i="58"/>
  <c r="HD22" i="58"/>
  <c r="IF20" i="58"/>
  <c r="PM38" i="58"/>
  <c r="EO24" i="58"/>
  <c r="MF42" i="58"/>
  <c r="OA21" i="58"/>
  <c r="MO40" i="58"/>
  <c r="IW20" i="58"/>
  <c r="NL20" i="58"/>
  <c r="CW22" i="58"/>
  <c r="HD17" i="58"/>
  <c r="QW51" i="58"/>
  <c r="QW34" i="58"/>
  <c r="MN22" i="58"/>
  <c r="FA23" i="58"/>
  <c r="OF33" i="58"/>
  <c r="DV13" i="58"/>
  <c r="RS20" i="58"/>
  <c r="PD14" i="58"/>
  <c r="OF21" i="58"/>
  <c r="RR32" i="58"/>
  <c r="IA22" i="58"/>
  <c r="KX41" i="58"/>
  <c r="AC20" i="58"/>
  <c r="LL59" i="58"/>
  <c r="LO29" i="58"/>
  <c r="RM42" i="58"/>
  <c r="PP40" i="58"/>
  <c r="PC45" i="58"/>
  <c r="QJ38" i="58"/>
  <c r="PL29" i="58"/>
  <c r="FL23" i="58"/>
  <c r="QK39" i="58"/>
  <c r="QK16" i="58"/>
  <c r="LW43" i="58"/>
  <c r="MI37" i="58"/>
  <c r="GH20" i="58"/>
  <c r="MC37" i="58"/>
  <c r="KU43" i="58"/>
  <c r="PC49" i="58"/>
  <c r="LF32" i="58"/>
  <c r="EF24" i="58"/>
  <c r="LP11" i="58"/>
  <c r="OD18" i="58"/>
  <c r="LU29" i="58"/>
  <c r="JT17" i="58"/>
  <c r="NN34" i="58"/>
  <c r="OC45" i="58"/>
  <c r="RN37" i="58"/>
  <c r="LK47" i="58"/>
  <c r="RT45" i="58"/>
  <c r="PZ31" i="58"/>
  <c r="NH51" i="58"/>
  <c r="NX37" i="58"/>
  <c r="QE53" i="58"/>
  <c r="ME41" i="58"/>
  <c r="NV17" i="58"/>
  <c r="CN18" i="58"/>
  <c r="LA17" i="58"/>
  <c r="RQ23" i="58"/>
  <c r="QQ30" i="58"/>
  <c r="NX33" i="58"/>
  <c r="NJ22" i="58"/>
  <c r="NG22" i="58"/>
  <c r="MA18" i="58"/>
  <c r="NC37" i="58"/>
  <c r="PK38" i="58"/>
  <c r="NA8" i="58"/>
  <c r="LV33" i="58"/>
  <c r="RR20" i="58"/>
  <c r="QH18" i="58"/>
  <c r="PG29" i="58"/>
  <c r="LA15" i="58"/>
  <c r="PI38" i="58"/>
  <c r="RU24" i="58"/>
  <c r="DD18" i="58"/>
  <c r="NI23" i="58"/>
  <c r="NJ23" i="58"/>
  <c r="KW23" i="58"/>
  <c r="KB16" i="58"/>
  <c r="NQ19" i="58"/>
  <c r="BR23" i="58"/>
  <c r="GC16" i="58"/>
  <c r="OU34" i="58"/>
  <c r="MG51" i="58"/>
  <c r="BZ22" i="58"/>
  <c r="QN29" i="58"/>
  <c r="PN29" i="58"/>
  <c r="OB40" i="58"/>
  <c r="NZ46" i="58"/>
  <c r="QY43" i="58"/>
  <c r="OZ46" i="58"/>
  <c r="OU43" i="58"/>
  <c r="RC36" i="58"/>
  <c r="EO23" i="58"/>
  <c r="FN18" i="58"/>
  <c r="OF36" i="58"/>
  <c r="ON31" i="58"/>
  <c r="KF21" i="58"/>
  <c r="RN21" i="58"/>
  <c r="KM11" i="58"/>
  <c r="PY21" i="58"/>
  <c r="PX19" i="58"/>
  <c r="LY18" i="58"/>
  <c r="GP21" i="58"/>
  <c r="HZ15" i="58"/>
  <c r="LT39" i="58"/>
  <c r="PX50" i="58"/>
  <c r="QE50" i="58"/>
  <c r="QS32" i="58"/>
  <c r="PN40" i="58"/>
  <c r="RI61" i="58"/>
  <c r="OJ57" i="58"/>
  <c r="RE37" i="58"/>
  <c r="PO47" i="58"/>
  <c r="NA23" i="58"/>
  <c r="ON55" i="58"/>
  <c r="OU21" i="58"/>
  <c r="LI51" i="58"/>
  <c r="DA14" i="58"/>
  <c r="QQ32" i="58"/>
  <c r="MU40" i="58"/>
  <c r="LW21" i="58"/>
  <c r="EL20" i="58"/>
  <c r="V18" i="58"/>
  <c r="RE35" i="58"/>
  <c r="NB45" i="58"/>
  <c r="KR50" i="58"/>
  <c r="FQ19" i="58"/>
  <c r="OF18" i="58"/>
  <c r="GP20" i="58"/>
  <c r="JU22" i="58"/>
  <c r="PW61" i="58"/>
  <c r="OS29" i="58"/>
  <c r="QW54" i="58"/>
  <c r="OY16" i="58"/>
  <c r="ES23" i="58"/>
  <c r="HN20" i="58"/>
  <c r="ML39" i="58"/>
  <c r="LJ32" i="58"/>
  <c r="MD62" i="58"/>
  <c r="OI48" i="58"/>
  <c r="LJ22" i="58"/>
  <c r="RR47" i="58"/>
  <c r="KD21" i="58"/>
  <c r="OP37" i="58"/>
  <c r="QB22" i="58"/>
  <c r="MJ45" i="58"/>
  <c r="HJ24" i="58"/>
  <c r="QT21" i="58"/>
  <c r="R23" i="58"/>
  <c r="OB18" i="58"/>
  <c r="CD21" i="58"/>
  <c r="LJ19" i="58"/>
  <c r="LR64" i="58"/>
  <c r="PE31" i="58"/>
  <c r="OZ21" i="58"/>
  <c r="PD49" i="58"/>
  <c r="OB41" i="58"/>
  <c r="ON57" i="58"/>
  <c r="NP38" i="58"/>
  <c r="QQ24" i="58"/>
  <c r="KS47" i="58"/>
  <c r="DK23" i="58"/>
  <c r="KT39" i="58"/>
  <c r="KW42" i="58"/>
  <c r="GB24" i="58"/>
  <c r="OH36" i="58"/>
  <c r="OS15" i="58"/>
  <c r="QI22" i="58"/>
  <c r="LE35" i="58"/>
  <c r="JE15" i="58"/>
  <c r="PR23" i="58"/>
  <c r="QL37" i="58"/>
  <c r="CU16" i="58"/>
  <c r="LT24" i="58"/>
  <c r="IJ20" i="58"/>
  <c r="HI15" i="58"/>
  <c r="QN34" i="58"/>
  <c r="QK49" i="58"/>
  <c r="KQ38" i="58"/>
  <c r="KQ48" i="58"/>
  <c r="LE37" i="58"/>
  <c r="LU22" i="58"/>
  <c r="LC20" i="58"/>
  <c r="OF48" i="58"/>
  <c r="RF29" i="58"/>
  <c r="OE36" i="58"/>
  <c r="RF35" i="58"/>
  <c r="OL42" i="58"/>
  <c r="MJ21" i="58"/>
  <c r="DU24" i="58"/>
  <c r="PC21" i="58"/>
  <c r="QR55" i="58"/>
  <c r="KK19" i="58"/>
  <c r="OG20" i="58"/>
  <c r="NL17" i="58"/>
  <c r="GD20" i="58"/>
  <c r="RB52" i="58"/>
  <c r="MH19" i="58"/>
  <c r="IF23" i="58"/>
  <c r="MT14" i="58"/>
  <c r="DJ24" i="58"/>
  <c r="MU46" i="58"/>
  <c r="NC31" i="58"/>
  <c r="PI20" i="58"/>
  <c r="PO31" i="58"/>
  <c r="AO24" i="58"/>
  <c r="RP66" i="58"/>
  <c r="QD43" i="58"/>
  <c r="RP15" i="58"/>
  <c r="MH36" i="58"/>
  <c r="NH20" i="58"/>
  <c r="RM29" i="58"/>
  <c r="GH21" i="58"/>
  <c r="RK16" i="58"/>
  <c r="HS18" i="58"/>
  <c r="NJ42" i="58"/>
  <c r="MK32" i="58"/>
  <c r="KL24" i="58"/>
  <c r="HH18" i="58"/>
  <c r="AY17" i="58"/>
  <c r="FO18" i="58"/>
  <c r="GR23" i="58"/>
  <c r="RQ58" i="58"/>
  <c r="KX56" i="58"/>
  <c r="LC48" i="58"/>
  <c r="PX21" i="58"/>
  <c r="FQ21" i="58"/>
  <c r="R22" i="58"/>
  <c r="QI33" i="58"/>
  <c r="KQ58" i="58"/>
  <c r="LX57" i="58"/>
  <c r="GJ20" i="58"/>
  <c r="IT17" i="58"/>
  <c r="KX23" i="58"/>
  <c r="DM17" i="58"/>
  <c r="NP37" i="58"/>
  <c r="RA23" i="58"/>
  <c r="LF47" i="58"/>
  <c r="CK17" i="58"/>
  <c r="EQ24" i="58"/>
  <c r="IG14" i="58"/>
  <c r="CP23" i="58"/>
  <c r="BN22" i="58"/>
  <c r="NM16" i="58"/>
  <c r="HP18" i="58"/>
  <c r="OF17" i="58"/>
  <c r="NV60" i="58"/>
  <c r="PH63" i="58"/>
  <c r="RV60" i="58"/>
  <c r="MC34" i="58"/>
  <c r="LU31" i="58"/>
  <c r="MK21" i="58"/>
  <c r="NN22" i="58"/>
  <c r="P22" i="58"/>
  <c r="BQ22" i="58"/>
  <c r="OD54" i="58"/>
  <c r="LI19" i="58"/>
  <c r="BP22" i="58"/>
  <c r="GW24" i="58"/>
  <c r="GK24" i="58"/>
  <c r="NG39" i="58"/>
  <c r="LI8" i="58"/>
  <c r="OP19" i="58"/>
  <c r="LK32" i="58"/>
  <c r="LN34" i="58"/>
  <c r="RA42" i="58"/>
  <c r="RV42" i="58"/>
  <c r="IO23" i="58"/>
  <c r="LR8" i="58"/>
  <c r="AB21" i="58"/>
  <c r="IM23" i="58"/>
  <c r="LH64" i="58"/>
  <c r="EN22" i="58"/>
  <c r="LD32" i="58"/>
  <c r="LW52" i="58"/>
  <c r="LQ62" i="58"/>
  <c r="RI30" i="58"/>
  <c r="RH38" i="58"/>
  <c r="BH20" i="58"/>
  <c r="MX30" i="58"/>
  <c r="MF29" i="58"/>
  <c r="QD18" i="58"/>
  <c r="QO41" i="58"/>
  <c r="DZ18" i="58"/>
  <c r="RI22" i="58"/>
  <c r="FS24" i="58"/>
  <c r="LI49" i="58"/>
  <c r="JZ19" i="58"/>
  <c r="KY36" i="58"/>
  <c r="RC15" i="58"/>
  <c r="PP41" i="58"/>
  <c r="OF23" i="58"/>
  <c r="KQ35" i="58"/>
  <c r="OX30" i="58"/>
  <c r="KN19" i="58"/>
  <c r="MD34" i="58"/>
  <c r="QS14" i="58"/>
  <c r="QI32" i="58"/>
  <c r="OS18" i="58"/>
  <c r="BR24" i="58"/>
  <c r="PX38" i="58"/>
  <c r="QR16" i="58"/>
  <c r="IU23" i="58"/>
  <c r="NI32" i="58"/>
  <c r="NP60" i="58"/>
  <c r="MR42" i="58"/>
  <c r="NL66" i="58"/>
  <c r="OZ24" i="58"/>
  <c r="OU40" i="58"/>
  <c r="NG24" i="58"/>
  <c r="RG55" i="58"/>
  <c r="HA22" i="58"/>
  <c r="FW23" i="58"/>
  <c r="QU33" i="58"/>
  <c r="FR19" i="58"/>
  <c r="NN29" i="58"/>
  <c r="QR39" i="58"/>
  <c r="RC43" i="58"/>
  <c r="BG17" i="58"/>
  <c r="NY36" i="58"/>
  <c r="KO23" i="58"/>
  <c r="LI31" i="58"/>
  <c r="GY24" i="58"/>
  <c r="RN35" i="58"/>
  <c r="AN23" i="58"/>
  <c r="OV24" i="58"/>
  <c r="GT22" i="58"/>
  <c r="DW14" i="58"/>
  <c r="PW22" i="58"/>
  <c r="RB16" i="58"/>
  <c r="QW41" i="58"/>
  <c r="RD59" i="58"/>
  <c r="QS50" i="58"/>
  <c r="RJ35" i="58"/>
  <c r="NX23" i="58"/>
  <c r="LJ61" i="58"/>
  <c r="PR35" i="58"/>
  <c r="IP20" i="58"/>
  <c r="NV63" i="58"/>
  <c r="LD29" i="58"/>
  <c r="OW24" i="58"/>
  <c r="PG31" i="58"/>
  <c r="DX22" i="58"/>
  <c r="QU24" i="58"/>
  <c r="MT11" i="58"/>
  <c r="RI42" i="58"/>
  <c r="LD34" i="58"/>
  <c r="QJ52" i="58"/>
  <c r="LO48" i="58"/>
  <c r="KZ35" i="58"/>
  <c r="KV30" i="58"/>
  <c r="CT24" i="58"/>
  <c r="BH18" i="58"/>
  <c r="MK12" i="58"/>
  <c r="KU32" i="58"/>
  <c r="RP62" i="58"/>
  <c r="PN41" i="58"/>
  <c r="HK24" i="58"/>
  <c r="QE52" i="58"/>
  <c r="PP46" i="58"/>
  <c r="LX32" i="58"/>
  <c r="QA48" i="58"/>
  <c r="FK17" i="58"/>
  <c r="EC23" i="58"/>
  <c r="IB21" i="58"/>
  <c r="LW17" i="58"/>
  <c r="KX36" i="58"/>
  <c r="LZ17" i="58"/>
  <c r="PQ20" i="58"/>
  <c r="KT45" i="58"/>
  <c r="OH20" i="58"/>
  <c r="PC48" i="58"/>
  <c r="QA22" i="58"/>
  <c r="NG29" i="58"/>
  <c r="RG20" i="58"/>
  <c r="HE22" i="58"/>
  <c r="KC19" i="58"/>
  <c r="OJ17" i="58"/>
  <c r="MR39" i="58"/>
  <c r="OU20" i="58"/>
  <c r="OY63" i="58"/>
  <c r="IS21" i="58"/>
  <c r="PF29" i="58"/>
  <c r="QH37" i="58"/>
  <c r="OF66" i="58"/>
  <c r="LU34" i="58"/>
  <c r="PC33" i="58"/>
  <c r="RK22" i="58"/>
  <c r="NN42" i="58"/>
  <c r="AQ17" i="58"/>
  <c r="KX34" i="58"/>
  <c r="FN17" i="58"/>
  <c r="OF55" i="58"/>
  <c r="AW22" i="58"/>
  <c r="HG24" i="58"/>
  <c r="PR45" i="58"/>
  <c r="FD23" i="58"/>
  <c r="NI36" i="58"/>
  <c r="MJ36" i="58"/>
  <c r="AB22" i="58"/>
  <c r="LM37" i="58"/>
  <c r="MB20" i="58"/>
  <c r="P16" i="58"/>
  <c r="EC22" i="58"/>
  <c r="KK15" i="58"/>
  <c r="FD16" i="58"/>
  <c r="LH21" i="58"/>
  <c r="OY12" i="58"/>
  <c r="LA55" i="58"/>
  <c r="QT36" i="58"/>
  <c r="QC30" i="58"/>
  <c r="NP42" i="58"/>
  <c r="LL54" i="58"/>
  <c r="LB33" i="58"/>
  <c r="PY36" i="58"/>
  <c r="PP36" i="58"/>
  <c r="KU34" i="58"/>
  <c r="BH23" i="58"/>
  <c r="II17" i="58"/>
  <c r="RL32" i="58"/>
  <c r="DH19" i="58"/>
  <c r="OB42" i="58"/>
  <c r="OY10" i="58"/>
  <c r="FC16" i="58"/>
  <c r="NS21" i="58"/>
  <c r="FA19" i="58"/>
  <c r="LS39" i="58"/>
  <c r="GU21" i="58"/>
  <c r="JO20" i="58"/>
  <c r="NG16" i="58"/>
  <c r="NP17" i="58"/>
  <c r="IY18" i="58"/>
  <c r="PM62" i="58"/>
  <c r="PM33" i="58"/>
  <c r="AF21" i="58"/>
  <c r="CY18" i="58"/>
  <c r="MK23" i="58"/>
  <c r="PZ46" i="58"/>
  <c r="OT34" i="58"/>
  <c r="PK66" i="58"/>
  <c r="OD45" i="58"/>
  <c r="CN20" i="58"/>
  <c r="FV24" i="58"/>
  <c r="MZ20" i="58"/>
  <c r="DE24" i="58"/>
  <c r="OJ33" i="58"/>
  <c r="LS31" i="58"/>
  <c r="LT36" i="58"/>
  <c r="PT31" i="58"/>
  <c r="JX11" i="58"/>
  <c r="EF21" i="58"/>
  <c r="NB40" i="58"/>
  <c r="RP38" i="58"/>
  <c r="HR24" i="58"/>
  <c r="JI19" i="58"/>
  <c r="KN16" i="58"/>
  <c r="MJ33" i="58"/>
  <c r="QK56" i="58"/>
  <c r="NQ33" i="58"/>
  <c r="PA50" i="58"/>
  <c r="GT17" i="58"/>
  <c r="NM43" i="58"/>
  <c r="FI21" i="58"/>
  <c r="MZ47" i="58"/>
  <c r="PC39" i="58"/>
  <c r="LI32" i="58"/>
  <c r="O23" i="58"/>
  <c r="QA33" i="58"/>
  <c r="II24" i="58"/>
  <c r="JY21" i="58"/>
  <c r="OS39" i="58"/>
  <c r="MP23" i="58"/>
  <c r="NB24" i="58"/>
  <c r="BB22" i="58"/>
  <c r="MK37" i="58"/>
  <c r="MV16" i="58"/>
  <c r="AX21" i="58"/>
  <c r="EP23" i="58"/>
  <c r="BP23" i="58"/>
  <c r="NT35" i="58"/>
  <c r="PH14" i="58"/>
  <c r="GT21" i="58"/>
  <c r="LK64" i="58"/>
  <c r="MM63" i="58"/>
  <c r="LQ29" i="58"/>
  <c r="OA36" i="58"/>
  <c r="RN34" i="58"/>
  <c r="MP55" i="58"/>
  <c r="KW45" i="58"/>
  <c r="MI24" i="58"/>
  <c r="LU55" i="58"/>
  <c r="NE33" i="58"/>
  <c r="FI23" i="58"/>
  <c r="OX37" i="58"/>
  <c r="RO59" i="58"/>
  <c r="OL58" i="58"/>
  <c r="AR19" i="58"/>
  <c r="MB18" i="58"/>
  <c r="AP15" i="58"/>
  <c r="JV15" i="58"/>
  <c r="QG21" i="58"/>
  <c r="MU34" i="58"/>
  <c r="RK17" i="58"/>
  <c r="NI47" i="58"/>
  <c r="GC13" i="58"/>
  <c r="QW20" i="58"/>
  <c r="PB40" i="58"/>
  <c r="KY37" i="58"/>
  <c r="AG16" i="58"/>
  <c r="NE63" i="58"/>
  <c r="HU23" i="58"/>
  <c r="LU36" i="58"/>
  <c r="CX20" i="58"/>
  <c r="CV24" i="58"/>
  <c r="V15" i="58"/>
  <c r="HZ22" i="58"/>
  <c r="QF63" i="58"/>
  <c r="RB51" i="58"/>
  <c r="RP31" i="58"/>
  <c r="P21" i="58"/>
  <c r="OA41" i="58"/>
  <c r="OG45" i="58"/>
  <c r="GS21" i="58"/>
  <c r="ON29" i="58"/>
  <c r="PK11" i="58"/>
  <c r="JU17" i="58"/>
  <c r="LL29" i="58"/>
  <c r="MT45" i="58"/>
  <c r="MC24" i="58"/>
  <c r="CN23" i="58"/>
  <c r="FX14" i="58"/>
  <c r="II20" i="58"/>
  <c r="RQ19" i="58"/>
  <c r="NZ56" i="58"/>
  <c r="NF21" i="58"/>
  <c r="RB53" i="58"/>
  <c r="QG46" i="58"/>
  <c r="RE49" i="58"/>
  <c r="PT52" i="58"/>
  <c r="OA47" i="58"/>
  <c r="KS33" i="58"/>
  <c r="QK61" i="58"/>
  <c r="LR39" i="58"/>
  <c r="MT23" i="58"/>
  <c r="RI37" i="58"/>
  <c r="MQ32" i="58"/>
  <c r="S19" i="58"/>
  <c r="KJ22" i="58"/>
  <c r="CC23" i="58"/>
  <c r="NM31" i="58"/>
  <c r="PD37" i="58"/>
  <c r="IM18" i="58"/>
  <c r="MA35" i="58"/>
  <c r="FD24" i="58"/>
  <c r="JP17" i="58"/>
  <c r="CJ23" i="58"/>
  <c r="NO16" i="58"/>
  <c r="AG18" i="58"/>
  <c r="MS20" i="58"/>
  <c r="NS11" i="58"/>
  <c r="QI51" i="58"/>
  <c r="FI22" i="58"/>
  <c r="HE17" i="58"/>
  <c r="NW43" i="58"/>
  <c r="KY51" i="58"/>
  <c r="NV19" i="58"/>
  <c r="NA21" i="58"/>
  <c r="LL19" i="58"/>
  <c r="MS38" i="58"/>
  <c r="JV22" i="58"/>
  <c r="MX37" i="58"/>
  <c r="DF16" i="58"/>
  <c r="MV30" i="58"/>
  <c r="OG31" i="58"/>
  <c r="FS11" i="58"/>
  <c r="FK14" i="58"/>
  <c r="MG55" i="58"/>
  <c r="MG22" i="58"/>
  <c r="QS49" i="58"/>
  <c r="AH22" i="58"/>
  <c r="MY18" i="58"/>
  <c r="PY23" i="58"/>
  <c r="OC56" i="58"/>
  <c r="JX22" i="58"/>
  <c r="PU17" i="58"/>
  <c r="QE34" i="58"/>
  <c r="CD14" i="58"/>
  <c r="IK21" i="58"/>
  <c r="MS14" i="58"/>
  <c r="BQ17" i="58"/>
  <c r="EW23" i="58"/>
  <c r="PA34" i="58"/>
  <c r="NZ42" i="58"/>
  <c r="LA23" i="58"/>
  <c r="MY41" i="58"/>
  <c r="HK20" i="58"/>
  <c r="IT18" i="58"/>
  <c r="RV22" i="58"/>
  <c r="PA23" i="58"/>
  <c r="QB35" i="58"/>
  <c r="LL66" i="58"/>
  <c r="NZ31" i="58"/>
  <c r="LN22" i="58"/>
  <c r="NK23" i="58"/>
  <c r="MN48" i="58"/>
  <c r="KV33" i="58"/>
  <c r="QK53" i="58"/>
  <c r="EY24" i="58"/>
  <c r="RG38" i="58"/>
  <c r="OE23" i="58"/>
  <c r="OG23" i="58"/>
  <c r="NS33" i="58"/>
  <c r="PY18" i="58"/>
  <c r="BZ24" i="58"/>
  <c r="OI21" i="58"/>
  <c r="HO22" i="58"/>
  <c r="PW39" i="58"/>
  <c r="MN41" i="58"/>
  <c r="DI24" i="58"/>
  <c r="PU36" i="58"/>
  <c r="FP14" i="58"/>
  <c r="Q21" i="58"/>
  <c r="PF34" i="58"/>
  <c r="CP18" i="58"/>
  <c r="KI11" i="58"/>
  <c r="RM58" i="58"/>
  <c r="NN37" i="58"/>
  <c r="KV42" i="58"/>
  <c r="NQ41" i="58"/>
  <c r="NW37" i="58"/>
  <c r="LS45" i="58"/>
  <c r="PS33" i="58"/>
  <c r="RC31" i="58"/>
  <c r="LZ37" i="58"/>
  <c r="NP32" i="58"/>
  <c r="PK20" i="58"/>
  <c r="MY37" i="58"/>
  <c r="LX58" i="58"/>
  <c r="RM22" i="58"/>
  <c r="CG23" i="58"/>
  <c r="AJ24" i="58"/>
  <c r="OJ32" i="58"/>
  <c r="KR37" i="58"/>
  <c r="Y20" i="58"/>
  <c r="HI23" i="58"/>
  <c r="EG12" i="58"/>
  <c r="HF20" i="58"/>
  <c r="FW13" i="58"/>
  <c r="LL12" i="58"/>
  <c r="QF62" i="58"/>
  <c r="NH62" i="58"/>
  <c r="LO31" i="58"/>
  <c r="OA38" i="58"/>
  <c r="OK40" i="58"/>
  <c r="OL34" i="58"/>
  <c r="MB53" i="58"/>
  <c r="QC41" i="58"/>
  <c r="MR23" i="58"/>
  <c r="RU59" i="58"/>
  <c r="RA32" i="58"/>
  <c r="ME57" i="58"/>
  <c r="RN36" i="58"/>
  <c r="GS22" i="58"/>
  <c r="LI35" i="58"/>
  <c r="EV15" i="58"/>
  <c r="MU23" i="58"/>
  <c r="PR38" i="58"/>
  <c r="NR12" i="58"/>
  <c r="NX46" i="58"/>
  <c r="HW16" i="58"/>
  <c r="QV45" i="58"/>
  <c r="LK42" i="58"/>
  <c r="OA30" i="58"/>
  <c r="RA47" i="58"/>
  <c r="OV48" i="58"/>
  <c r="ML52" i="58"/>
  <c r="LZ18" i="58"/>
  <c r="QT32" i="58"/>
  <c r="MU18" i="58"/>
  <c r="OK41" i="58"/>
  <c r="OM39" i="58"/>
  <c r="DX23" i="58"/>
  <c r="LU32" i="58"/>
  <c r="NH19" i="58"/>
  <c r="PF19" i="58"/>
  <c r="HW20" i="58"/>
  <c r="PR31" i="58"/>
  <c r="QP29" i="58"/>
  <c r="NB37" i="58"/>
  <c r="NM19" i="58"/>
  <c r="HZ17" i="58"/>
  <c r="RV23" i="58"/>
  <c r="CX16" i="58"/>
  <c r="PO32" i="58"/>
  <c r="KR13" i="58"/>
  <c r="MB52" i="58"/>
  <c r="MI31" i="58"/>
  <c r="MQ30" i="58"/>
  <c r="PJ22" i="58"/>
  <c r="LH38" i="58"/>
  <c r="IN21" i="58"/>
  <c r="QX60" i="58"/>
  <c r="OX48" i="58"/>
  <c r="QE58" i="58"/>
  <c r="RO47" i="58"/>
  <c r="MY23" i="58"/>
  <c r="BU23" i="58"/>
  <c r="KX39" i="58"/>
  <c r="FV21" i="58"/>
  <c r="JZ22" i="58"/>
  <c r="NE61" i="58"/>
  <c r="PU40" i="58"/>
  <c r="NR31" i="58"/>
  <c r="LG46" i="58"/>
  <c r="PN33" i="58"/>
  <c r="LE31" i="58"/>
  <c r="DH23" i="58"/>
  <c r="RU19" i="58"/>
  <c r="FT24" i="58"/>
  <c r="JV24" i="58"/>
  <c r="EQ16" i="58"/>
  <c r="OP23" i="58"/>
  <c r="PN35" i="58"/>
  <c r="LW49" i="58"/>
  <c r="PA51" i="58"/>
  <c r="QJ60" i="58"/>
  <c r="NO45" i="58"/>
  <c r="LS60" i="58"/>
  <c r="DU21" i="58"/>
  <c r="MK48" i="58"/>
  <c r="DJ19" i="58"/>
  <c r="QR11" i="58"/>
  <c r="RV45" i="58"/>
  <c r="EU20" i="58"/>
  <c r="MD46" i="58"/>
  <c r="HW24" i="58"/>
  <c r="OI37" i="58"/>
  <c r="HH17" i="58"/>
  <c r="NJ34" i="58"/>
  <c r="QO33" i="58"/>
  <c r="QM31" i="58"/>
  <c r="QO29" i="58"/>
  <c r="Y19" i="58"/>
  <c r="BS23" i="58"/>
  <c r="JC22" i="58"/>
  <c r="NW32" i="58"/>
  <c r="RR21" i="58"/>
  <c r="EU11" i="58"/>
  <c r="MO53" i="58"/>
  <c r="QA19" i="58"/>
  <c r="OB23" i="58"/>
  <c r="NO53" i="58"/>
  <c r="NJ40" i="58"/>
  <c r="PG41" i="58"/>
  <c r="NI35" i="58"/>
  <c r="OB56" i="58"/>
  <c r="RF32" i="58"/>
  <c r="FQ23" i="58"/>
  <c r="ON30" i="58"/>
  <c r="BB24" i="58"/>
  <c r="ND49" i="58"/>
  <c r="BF24" i="58"/>
  <c r="PN45" i="58"/>
  <c r="CH18" i="58"/>
  <c r="RU43" i="58"/>
  <c r="QT22" i="58"/>
  <c r="CB22" i="58"/>
  <c r="PP22" i="58"/>
  <c r="NQ21" i="58"/>
  <c r="NQ48" i="58"/>
  <c r="FU22" i="58"/>
  <c r="MK31" i="58"/>
  <c r="RL33" i="58"/>
  <c r="LP29" i="58"/>
  <c r="OV40" i="58"/>
  <c r="FQ22" i="58"/>
  <c r="JE18" i="58"/>
  <c r="NN13" i="58"/>
  <c r="EU17" i="58"/>
  <c r="MH56" i="58"/>
  <c r="OB51" i="58"/>
  <c r="RR29" i="58"/>
  <c r="OU33" i="58"/>
  <c r="QE32" i="58"/>
  <c r="PX58" i="58"/>
  <c r="OM22" i="58"/>
  <c r="FH20" i="58"/>
  <c r="MQ29" i="58"/>
  <c r="CX22" i="58"/>
  <c r="ML30" i="58"/>
  <c r="KL11" i="58"/>
  <c r="OS43" i="58"/>
  <c r="EQ18" i="58"/>
  <c r="PV17" i="58"/>
  <c r="PY50" i="58"/>
  <c r="OF37" i="58"/>
  <c r="PD19" i="58"/>
  <c r="KI21" i="58"/>
  <c r="LR22" i="58"/>
  <c r="GN21" i="58"/>
  <c r="LT21" i="58"/>
  <c r="CF21" i="58"/>
  <c r="KM14" i="58"/>
  <c r="KO13" i="58"/>
  <c r="LX65" i="58"/>
  <c r="FX20" i="58"/>
  <c r="OG37" i="58"/>
  <c r="RR11" i="58"/>
  <c r="PU56" i="58"/>
  <c r="QB40" i="58"/>
  <c r="LI63" i="58"/>
  <c r="JH24" i="58"/>
  <c r="KT21" i="58"/>
  <c r="RE42" i="58"/>
  <c r="PU20" i="58"/>
  <c r="AN24" i="58"/>
  <c r="NS39" i="58"/>
  <c r="DX21" i="58"/>
  <c r="RT35" i="58"/>
  <c r="RQ22" i="58"/>
  <c r="EW16" i="58"/>
  <c r="DP21" i="58"/>
  <c r="MT21" i="58"/>
  <c r="RD37" i="58"/>
  <c r="IW21" i="58"/>
  <c r="FP24" i="58"/>
  <c r="GX21" i="58"/>
  <c r="LR13" i="58"/>
  <c r="MP13" i="58"/>
  <c r="MT29" i="58"/>
  <c r="QO23" i="58"/>
  <c r="LY20" i="58"/>
  <c r="LG54" i="58"/>
  <c r="QF55" i="58"/>
  <c r="LJ38" i="58"/>
  <c r="PD46" i="58"/>
  <c r="ED19" i="58"/>
  <c r="NS32" i="58"/>
  <c r="MA32" i="58"/>
  <c r="HV21" i="58"/>
  <c r="PD31" i="58"/>
  <c r="ND53" i="58"/>
  <c r="NY34" i="58"/>
  <c r="GL20" i="58"/>
  <c r="CQ16" i="58"/>
  <c r="PB41" i="58"/>
  <c r="EE23" i="58"/>
  <c r="DZ22" i="58"/>
  <c r="AU14" i="58"/>
  <c r="BR16" i="58"/>
  <c r="MJ32" i="58"/>
  <c r="PK30" i="58"/>
  <c r="PZ23" i="58"/>
  <c r="RF21" i="58"/>
  <c r="IM15" i="58"/>
  <c r="LM39" i="58"/>
  <c r="PJ32" i="58"/>
  <c r="RK40" i="58"/>
  <c r="LE34" i="58"/>
  <c r="FA21" i="58"/>
  <c r="GR24" i="58"/>
  <c r="T24" i="58"/>
  <c r="FF20" i="58"/>
  <c r="PL18" i="58"/>
  <c r="RD17" i="58"/>
  <c r="FE23" i="58"/>
  <c r="NX59" i="58"/>
  <c r="QP47" i="58"/>
  <c r="LP35" i="58"/>
  <c r="MC22" i="58"/>
  <c r="LP38" i="58"/>
  <c r="PL35" i="58"/>
  <c r="PQ33" i="58"/>
  <c r="QY33" i="58"/>
  <c r="CG20" i="58"/>
  <c r="LV30" i="58"/>
  <c r="MF23" i="58"/>
  <c r="PT46" i="58"/>
  <c r="NJ35" i="58"/>
  <c r="IG21" i="58"/>
  <c r="IU24" i="58"/>
  <c r="ND19" i="58"/>
  <c r="PL32" i="58"/>
  <c r="HM19" i="58"/>
  <c r="BO15" i="58"/>
  <c r="NH21" i="58"/>
  <c r="LG39" i="58"/>
  <c r="PG30" i="58"/>
  <c r="GZ11" i="58"/>
  <c r="KW30" i="58"/>
  <c r="PI21" i="58"/>
  <c r="MC57" i="58"/>
  <c r="DY21" i="58"/>
  <c r="NA51" i="58"/>
  <c r="OO37" i="58"/>
  <c r="EI15" i="58"/>
  <c r="MS37" i="58"/>
  <c r="PG65" i="58"/>
  <c r="OC54" i="58"/>
  <c r="OS30" i="58"/>
  <c r="AA22" i="58"/>
  <c r="OU24" i="58"/>
  <c r="OG40" i="58"/>
  <c r="MP57" i="58"/>
  <c r="GT19" i="58"/>
  <c r="LP32" i="58"/>
  <c r="LP15" i="58"/>
  <c r="FT15" i="58"/>
  <c r="MX40" i="58"/>
  <c r="NH37" i="58"/>
  <c r="OV37" i="58"/>
  <c r="OR31" i="58"/>
  <c r="T22" i="58"/>
  <c r="RJ49" i="58"/>
  <c r="BO11" i="58"/>
  <c r="AJ19" i="58"/>
  <c r="CN15" i="58"/>
  <c r="NY30" i="58"/>
  <c r="CK22" i="58"/>
  <c r="NO57" i="58"/>
  <c r="KZ39" i="58"/>
  <c r="QR30" i="58"/>
  <c r="NJ36" i="58"/>
  <c r="OD17" i="58"/>
  <c r="CU21" i="58"/>
  <c r="JY23" i="58"/>
  <c r="PK22" i="58"/>
  <c r="LS56" i="58"/>
  <c r="QW33" i="58"/>
  <c r="RR42" i="58"/>
  <c r="IF21" i="58"/>
  <c r="MI33" i="58"/>
  <c r="MB36" i="58"/>
  <c r="PH29" i="58"/>
  <c r="BK24" i="58"/>
  <c r="MT31" i="58"/>
  <c r="AB14" i="58"/>
  <c r="RT34" i="58"/>
  <c r="RO33" i="58"/>
  <c r="PT56" i="58"/>
  <c r="MX39" i="58"/>
  <c r="PT18" i="58"/>
  <c r="RL48" i="58"/>
  <c r="NT31" i="58"/>
  <c r="MC35" i="58"/>
  <c r="QD29" i="58"/>
  <c r="RT19" i="58"/>
  <c r="HP23" i="58"/>
  <c r="MV41" i="58"/>
  <c r="MM16" i="58"/>
  <c r="AZ21" i="58"/>
  <c r="JJ23" i="58"/>
  <c r="NG40" i="58"/>
  <c r="LO21" i="58"/>
  <c r="HR22" i="58"/>
  <c r="OI24" i="58"/>
  <c r="OE14" i="58"/>
  <c r="AX15" i="58"/>
  <c r="MJ38" i="58"/>
  <c r="QC15" i="58"/>
  <c r="PU23" i="58"/>
  <c r="EO20" i="58"/>
  <c r="DK17" i="58"/>
  <c r="OA31" i="58"/>
  <c r="RB63" i="58"/>
  <c r="PE46" i="58"/>
  <c r="NN38" i="58"/>
  <c r="QM20" i="58"/>
  <c r="LH52" i="58"/>
  <c r="LK29" i="58"/>
  <c r="QZ38" i="58"/>
  <c r="BB23" i="58"/>
  <c r="NZ33" i="58"/>
  <c r="MP48" i="58"/>
  <c r="LU46" i="58"/>
  <c r="GU19" i="58"/>
  <c r="IQ18" i="58"/>
  <c r="JG22" i="58"/>
  <c r="LF55" i="58"/>
  <c r="OV33" i="58"/>
  <c r="Z24" i="58"/>
  <c r="DW22" i="58"/>
  <c r="PI36" i="58"/>
  <c r="PI29" i="58"/>
  <c r="AA12" i="58"/>
  <c r="GQ17" i="58"/>
  <c r="DT23" i="58"/>
  <c r="NR19" i="58"/>
  <c r="JM17" i="58"/>
  <c r="BJ19" i="58"/>
  <c r="BG12" i="58"/>
  <c r="QP38" i="58"/>
  <c r="NH56" i="58"/>
  <c r="LI66" i="58"/>
  <c r="HO24" i="58"/>
  <c r="KS29" i="58"/>
  <c r="LP23" i="58"/>
  <c r="QI21" i="58"/>
  <c r="RG46" i="58"/>
  <c r="CD24" i="58"/>
  <c r="PL30" i="58"/>
  <c r="OT37" i="58"/>
  <c r="OC40" i="58"/>
  <c r="NN23" i="58"/>
  <c r="QT33" i="58"/>
  <c r="NN20" i="58"/>
  <c r="PH23" i="58"/>
  <c r="NO21" i="58"/>
  <c r="AW21" i="58"/>
  <c r="MM34" i="58"/>
  <c r="RT16" i="58"/>
  <c r="RP24" i="58"/>
  <c r="RP49" i="58"/>
  <c r="LA22" i="58"/>
  <c r="PK21" i="58"/>
  <c r="PS36" i="58"/>
  <c r="LW16" i="58"/>
  <c r="EI22" i="58"/>
  <c r="NO31" i="58"/>
  <c r="CY11" i="58"/>
  <c r="KY40" i="58"/>
  <c r="PI17" i="58"/>
  <c r="NM13" i="58"/>
  <c r="DQ22" i="58"/>
  <c r="RH54" i="58"/>
  <c r="QF40" i="58"/>
  <c r="OW34" i="58"/>
  <c r="IX24" i="58"/>
  <c r="MS59" i="58"/>
  <c r="KR32" i="58"/>
  <c r="IT22" i="58"/>
  <c r="PP30" i="58"/>
  <c r="JB24" i="58"/>
  <c r="JX21" i="58"/>
  <c r="RP21" i="58"/>
  <c r="OZ47" i="58"/>
  <c r="MQ42" i="58"/>
  <c r="LF38" i="58"/>
  <c r="MO24" i="58"/>
  <c r="PI42" i="58"/>
  <c r="FB20" i="58"/>
  <c r="OT18" i="58"/>
  <c r="RT22" i="58"/>
  <c r="IK13" i="58"/>
  <c r="KU18" i="58"/>
  <c r="QJ31" i="58"/>
  <c r="IJ13" i="58"/>
  <c r="IB17" i="58"/>
  <c r="OH43" i="58"/>
  <c r="RH37" i="58"/>
  <c r="PB43" i="58"/>
  <c r="BV19" i="58"/>
  <c r="NN40" i="58"/>
  <c r="MK33" i="58"/>
  <c r="KZ38" i="58"/>
  <c r="OB30" i="58"/>
  <c r="RI57" i="58"/>
  <c r="LV31" i="58"/>
  <c r="ME20" i="58"/>
  <c r="MN51" i="58"/>
  <c r="KS38" i="58"/>
  <c r="MP38" i="58"/>
  <c r="QW23" i="58"/>
  <c r="LE42" i="58"/>
  <c r="JB22" i="58"/>
  <c r="MQ19" i="58"/>
  <c r="GE24" i="58"/>
  <c r="PH31" i="58"/>
  <c r="OC42" i="58"/>
  <c r="GJ24" i="58"/>
  <c r="QS30" i="58"/>
  <c r="LF11" i="58"/>
  <c r="RU29" i="58"/>
  <c r="GI18" i="58"/>
  <c r="BP11" i="58"/>
  <c r="EE16" i="58"/>
  <c r="BH22" i="58"/>
  <c r="KZ58" i="58"/>
  <c r="DN24" i="58"/>
  <c r="JB17" i="58"/>
  <c r="MU63" i="58"/>
  <c r="RU33" i="58"/>
  <c r="QL50" i="58"/>
  <c r="OM35" i="58"/>
  <c r="MK57" i="58"/>
  <c r="RR34" i="58"/>
  <c r="MY17" i="58"/>
  <c r="QM58" i="58"/>
  <c r="JY24" i="58"/>
  <c r="QX36" i="58"/>
  <c r="CZ21" i="58"/>
  <c r="GO21" i="58"/>
  <c r="CP22" i="58"/>
  <c r="QD40" i="58"/>
  <c r="EB19" i="58"/>
  <c r="EE21" i="58"/>
  <c r="PD16" i="58"/>
  <c r="NN43" i="58"/>
  <c r="NZ39" i="58"/>
  <c r="PZ30" i="58"/>
  <c r="PR43" i="58"/>
  <c r="PF48" i="58"/>
  <c r="RU41" i="58"/>
  <c r="KS21" i="58"/>
  <c r="HX14" i="58"/>
  <c r="GA19" i="58"/>
  <c r="MX43" i="58"/>
  <c r="LI29" i="58"/>
  <c r="QY22" i="58"/>
  <c r="RF34" i="58"/>
  <c r="KZ37" i="58"/>
  <c r="MH40" i="58"/>
  <c r="GK23" i="58"/>
  <c r="LY17" i="58"/>
  <c r="FK19" i="58"/>
  <c r="QQ12" i="58"/>
  <c r="AF23" i="58"/>
  <c r="PY22" i="58"/>
  <c r="RJ14" i="58"/>
  <c r="FY13" i="58"/>
  <c r="LQ32" i="58"/>
  <c r="OB19" i="58"/>
  <c r="OQ24" i="58"/>
  <c r="OS53" i="58"/>
  <c r="MV43" i="58"/>
  <c r="OE43" i="58"/>
  <c r="OK31" i="58"/>
  <c r="RT49" i="58"/>
  <c r="MR49" i="58"/>
  <c r="PI34" i="58"/>
  <c r="MG46" i="58"/>
  <c r="HN14" i="58"/>
  <c r="FX24" i="58"/>
  <c r="NY29" i="58"/>
  <c r="OA32" i="58"/>
  <c r="ED21" i="58"/>
  <c r="OI29" i="58"/>
  <c r="LZ40" i="58"/>
  <c r="JT22" i="58"/>
  <c r="KV56" i="58"/>
  <c r="FS22" i="58"/>
  <c r="KO20" i="58"/>
  <c r="CY20" i="58"/>
  <c r="AH9" i="58"/>
  <c r="OH22" i="58"/>
  <c r="OY35" i="58"/>
  <c r="KY22" i="58"/>
  <c r="CW11" i="58"/>
  <c r="IJ14" i="58"/>
  <c r="LB23" i="58"/>
  <c r="KU64" i="58"/>
  <c r="FF22" i="58"/>
  <c r="DA21" i="58"/>
  <c r="QD39" i="58"/>
  <c r="HE24" i="58"/>
  <c r="LE22" i="58"/>
  <c r="CX24" i="58"/>
  <c r="MM53" i="58"/>
  <c r="OA40" i="58"/>
  <c r="LX31" i="58"/>
  <c r="EM15" i="58"/>
  <c r="MW51" i="58"/>
  <c r="V20" i="58"/>
  <c r="OQ21" i="58"/>
  <c r="OM31" i="58"/>
  <c r="QZ23" i="58"/>
  <c r="QY37" i="58"/>
  <c r="RB35" i="58"/>
  <c r="IA17" i="58"/>
  <c r="MQ33" i="58"/>
  <c r="QU29" i="58"/>
  <c r="AE18" i="58"/>
  <c r="DS24" i="58"/>
  <c r="OX41" i="58"/>
  <c r="DJ17" i="58"/>
  <c r="PD42" i="58"/>
  <c r="MS39" i="58"/>
  <c r="PH24" i="58"/>
  <c r="CV22" i="58"/>
  <c r="CF10" i="58"/>
  <c r="HP16" i="58"/>
  <c r="OZ36" i="58"/>
  <c r="LO46" i="58"/>
  <c r="LD62" i="58"/>
  <c r="NG30" i="58"/>
  <c r="LX34" i="58"/>
  <c r="MM52" i="58"/>
  <c r="OJ48" i="58"/>
  <c r="OF14" i="58"/>
  <c r="KX42" i="58"/>
  <c r="OU39" i="58"/>
  <c r="BT21" i="58"/>
  <c r="QR34" i="58"/>
  <c r="QR41" i="58"/>
  <c r="PQ40" i="58"/>
  <c r="MW53" i="58"/>
  <c r="IP18" i="58"/>
  <c r="BC17" i="58"/>
  <c r="HP20" i="58"/>
  <c r="LR54" i="58"/>
  <c r="QJ34" i="58"/>
  <c r="OV19" i="58"/>
  <c r="CO24" i="58"/>
  <c r="RC19" i="58"/>
  <c r="RE22" i="58"/>
  <c r="OJ20" i="58"/>
  <c r="LM52" i="58"/>
  <c r="JY9" i="58"/>
  <c r="KV37" i="58"/>
  <c r="DK21" i="58"/>
  <c r="QB49" i="58"/>
  <c r="QX29" i="58"/>
  <c r="OS31" i="58"/>
  <c r="HD24" i="58"/>
  <c r="MN50" i="58"/>
  <c r="PO38" i="58"/>
  <c r="CL24" i="58"/>
  <c r="N20" i="58"/>
  <c r="JW24" i="58"/>
  <c r="NC24" i="58"/>
  <c r="ME15" i="58"/>
  <c r="CO20" i="58"/>
  <c r="QM35" i="58"/>
  <c r="IY24" i="58"/>
  <c r="BP20" i="58"/>
  <c r="CW24" i="58"/>
  <c r="LI34" i="58"/>
  <c r="MI45" i="58"/>
  <c r="PU22" i="58"/>
  <c r="RR19" i="58"/>
  <c r="LI20" i="58"/>
  <c r="BN15" i="58"/>
  <c r="BI21" i="58"/>
  <c r="KH22" i="58"/>
  <c r="QK11" i="58"/>
  <c r="PN54" i="58"/>
  <c r="OZ33" i="58"/>
  <c r="MT33" i="58"/>
  <c r="PM61" i="58"/>
  <c r="QQ41" i="58"/>
  <c r="RN30" i="58"/>
  <c r="NY47" i="58"/>
  <c r="OW38" i="58"/>
  <c r="MM55" i="58"/>
  <c r="EJ18" i="58"/>
  <c r="LW31" i="58"/>
  <c r="FU19" i="58"/>
  <c r="NU36" i="58"/>
  <c r="CA23" i="58"/>
  <c r="AL22" i="58"/>
  <c r="RT23" i="58"/>
  <c r="HG20" i="58"/>
  <c r="MA20" i="58"/>
  <c r="RN40" i="58"/>
  <c r="GX17" i="58"/>
  <c r="NZ13" i="58"/>
  <c r="LK24" i="58"/>
  <c r="MV39" i="58"/>
  <c r="AY22" i="58"/>
  <c r="FY22" i="58"/>
  <c r="PF14" i="58"/>
  <c r="KZ29" i="58"/>
  <c r="Q18" i="58"/>
  <c r="PV19" i="58"/>
  <c r="IO18" i="58"/>
  <c r="OM13" i="58"/>
  <c r="LE39" i="58"/>
  <c r="PH41" i="58"/>
  <c r="PH35" i="58"/>
  <c r="ND57" i="58"/>
  <c r="MS54" i="58"/>
  <c r="CI23" i="58"/>
  <c r="LK45" i="58"/>
  <c r="CI20" i="58"/>
  <c r="PD36" i="58"/>
  <c r="QU34" i="58"/>
  <c r="NN12" i="58"/>
  <c r="NI45" i="58"/>
  <c r="LJ39" i="58"/>
  <c r="QW53" i="58"/>
  <c r="PW24" i="58"/>
  <c r="QE29" i="58"/>
  <c r="PH17" i="58"/>
  <c r="PA19" i="58"/>
  <c r="QZ29" i="58"/>
  <c r="KD19" i="58"/>
  <c r="NG34" i="58"/>
  <c r="MN21" i="58"/>
  <c r="IU22" i="58"/>
  <c r="OH16" i="58"/>
  <c r="LG53" i="58"/>
  <c r="OB48" i="58"/>
  <c r="RM23" i="58"/>
  <c r="PX29" i="58"/>
  <c r="GH24" i="58"/>
  <c r="EB24" i="58"/>
  <c r="RI31" i="58"/>
  <c r="KH23" i="58"/>
  <c r="LR38" i="58"/>
  <c r="NK51" i="58"/>
  <c r="NP35" i="58"/>
  <c r="JC14" i="58"/>
  <c r="JO22" i="58"/>
  <c r="JE19" i="58"/>
  <c r="NE32" i="58"/>
  <c r="NV54" i="58"/>
  <c r="HZ20" i="58"/>
  <c r="RM13" i="58"/>
  <c r="RB13" i="58"/>
  <c r="QI34" i="58"/>
  <c r="NU37" i="58"/>
  <c r="NU20" i="58"/>
  <c r="KS30" i="58"/>
  <c r="NF23" i="58"/>
  <c r="EI21" i="58"/>
  <c r="ID15" i="58"/>
  <c r="QC32" i="58"/>
  <c r="HE15" i="58"/>
  <c r="QI16" i="58"/>
  <c r="LY45" i="58"/>
  <c r="LK46" i="58"/>
  <c r="MA39" i="58"/>
  <c r="PF32" i="58"/>
  <c r="NV59" i="58"/>
  <c r="PA60" i="58"/>
  <c r="PJ42" i="58"/>
  <c r="AJ20" i="58"/>
  <c r="QU57" i="58"/>
  <c r="LK37" i="58"/>
  <c r="MF36" i="58"/>
  <c r="FZ20" i="58"/>
  <c r="MF47" i="58"/>
  <c r="QO62" i="58"/>
  <c r="OS36" i="58"/>
  <c r="LV14" i="58"/>
  <c r="LX19" i="58"/>
  <c r="HQ21" i="58"/>
  <c r="BF20" i="58"/>
  <c r="OW62" i="58"/>
  <c r="KX31" i="58"/>
  <c r="RA22" i="58"/>
  <c r="PQ35" i="58"/>
  <c r="MU43" i="58"/>
  <c r="QL43" i="58"/>
  <c r="MM36" i="58"/>
  <c r="MZ34" i="58"/>
  <c r="AR18" i="58"/>
  <c r="HI17" i="58"/>
  <c r="OS49" i="58"/>
  <c r="OQ37" i="58"/>
  <c r="QV32" i="58"/>
  <c r="KY33" i="58"/>
  <c r="DI20" i="58"/>
  <c r="QX40" i="58"/>
  <c r="LB29" i="58"/>
  <c r="NR24" i="58"/>
  <c r="MG34" i="58"/>
  <c r="CQ15" i="58"/>
  <c r="KH20" i="58"/>
  <c r="NO22" i="58"/>
  <c r="FF24" i="58"/>
  <c r="QG20" i="58"/>
  <c r="LY57" i="58"/>
  <c r="PV36" i="58"/>
  <c r="MN32" i="58"/>
  <c r="KY47" i="58"/>
  <c r="CQ12" i="58"/>
  <c r="JH22" i="58"/>
  <c r="ON22" i="58"/>
  <c r="QO43" i="58"/>
  <c r="QN47" i="58"/>
  <c r="KJ23" i="58"/>
  <c r="FO15" i="58"/>
  <c r="NH31" i="58"/>
  <c r="LG23" i="58"/>
  <c r="QV42" i="58"/>
  <c r="BQ14" i="58"/>
  <c r="KW22" i="58"/>
  <c r="MH24" i="58"/>
  <c r="NU34" i="58"/>
  <c r="MC32" i="58"/>
  <c r="RN33" i="58"/>
  <c r="CY21" i="58"/>
  <c r="RP20" i="58"/>
  <c r="IA14" i="58"/>
  <c r="LI30" i="58"/>
  <c r="X17" i="58"/>
  <c r="ED20" i="58"/>
  <c r="MS19" i="58"/>
  <c r="OZ30" i="58"/>
  <c r="OV23" i="58"/>
  <c r="RS40" i="58"/>
  <c r="PC42" i="58"/>
  <c r="PL61" i="58"/>
  <c r="IR21" i="58"/>
  <c r="FE22" i="58"/>
  <c r="MX47" i="58"/>
  <c r="RK33" i="58"/>
  <c r="RP55" i="58"/>
  <c r="OO31" i="58"/>
  <c r="RR17" i="58"/>
  <c r="PT16" i="58"/>
  <c r="MW46" i="58"/>
  <c r="NF24" i="58"/>
  <c r="KV35" i="58"/>
  <c r="OG43" i="58"/>
  <c r="JS22" i="58"/>
  <c r="QQ19" i="58"/>
  <c r="IZ20" i="58"/>
  <c r="PS23" i="58"/>
  <c r="LH30" i="58"/>
  <c r="PZ17" i="58"/>
  <c r="LS11" i="58"/>
  <c r="BI23" i="58"/>
  <c r="ET11" i="58"/>
  <c r="RG48" i="58"/>
  <c r="LP62" i="58"/>
  <c r="OU54" i="58"/>
  <c r="OP32" i="58"/>
  <c r="QS58" i="58"/>
  <c r="OE32" i="58"/>
  <c r="RJ46" i="58"/>
  <c r="BY22" i="58"/>
  <c r="NK56" i="58"/>
  <c r="PE60" i="58"/>
  <c r="OT15" i="58"/>
  <c r="QZ36" i="58"/>
  <c r="EF22" i="58"/>
  <c r="LV43" i="58"/>
  <c r="FV13" i="58"/>
  <c r="NY46" i="58"/>
  <c r="KQ31" i="58"/>
  <c r="LZ38" i="58"/>
  <c r="NX36" i="58"/>
  <c r="JA21" i="58"/>
  <c r="RS23" i="58"/>
  <c r="FG20" i="58"/>
  <c r="GO13" i="58"/>
  <c r="QH31" i="58"/>
  <c r="EE19" i="58"/>
  <c r="R17" i="58"/>
  <c r="QQ46" i="58"/>
  <c r="NN39" i="58"/>
  <c r="OH48" i="58"/>
  <c r="QF35" i="58"/>
  <c r="QI23" i="58"/>
  <c r="PS32" i="58"/>
  <c r="PO46" i="58"/>
  <c r="GM21" i="58"/>
  <c r="RL41" i="58"/>
  <c r="LG30" i="58"/>
  <c r="DD22" i="58"/>
  <c r="NV32" i="58"/>
  <c r="NE42" i="58"/>
  <c r="JN14" i="58"/>
  <c r="QK57" i="58"/>
  <c r="MX31" i="58"/>
  <c r="OE24" i="58"/>
  <c r="GO22" i="58"/>
  <c r="MO14" i="58"/>
  <c r="OP16" i="58"/>
  <c r="GX8" i="58"/>
  <c r="CP21" i="58"/>
  <c r="IX23" i="58"/>
  <c r="PC24" i="58"/>
  <c r="AP14" i="58"/>
  <c r="PT29" i="58"/>
  <c r="LW38" i="58"/>
  <c r="QK32" i="58"/>
  <c r="PQ57" i="58"/>
  <c r="RB37" i="58"/>
  <c r="RK35" i="58"/>
  <c r="AE21" i="58"/>
  <c r="KT22" i="58"/>
  <c r="RO36" i="58"/>
  <c r="KV29" i="58"/>
  <c r="LB36" i="58"/>
  <c r="HN19" i="58"/>
  <c r="OQ16" i="58"/>
  <c r="PT33" i="58"/>
  <c r="PI43" i="58"/>
  <c r="CC21" i="58"/>
  <c r="OX29" i="58"/>
  <c r="FC23" i="58"/>
  <c r="EI24" i="58"/>
  <c r="MX29" i="58"/>
  <c r="QW37" i="58"/>
  <c r="GR22" i="58"/>
  <c r="AI24" i="58"/>
  <c r="KU31" i="58"/>
  <c r="RG22" i="58"/>
  <c r="KL19" i="58"/>
  <c r="KU10" i="58"/>
  <c r="MF19" i="58"/>
  <c r="AR17" i="58"/>
  <c r="OR56" i="58"/>
  <c r="LY41" i="58"/>
  <c r="RA49" i="58"/>
  <c r="BW23" i="58"/>
  <c r="PS37" i="58"/>
  <c r="OK18" i="58"/>
  <c r="NM35" i="58"/>
  <c r="LG31" i="58"/>
  <c r="JR19" i="58"/>
  <c r="HP19" i="58"/>
  <c r="OH47" i="58"/>
  <c r="MT19" i="58"/>
  <c r="MB21" i="58"/>
  <c r="RJ37" i="58"/>
  <c r="KX24" i="58"/>
  <c r="NL32" i="58"/>
  <c r="PL42" i="58"/>
  <c r="LT30" i="58"/>
  <c r="PG21" i="58"/>
  <c r="GK22" i="58"/>
  <c r="LD21" i="58"/>
  <c r="FY16" i="58"/>
  <c r="OH17" i="58"/>
  <c r="OS22" i="58"/>
  <c r="PW46" i="58"/>
  <c r="LD66" i="58"/>
  <c r="DD21" i="58"/>
  <c r="LG56" i="58"/>
  <c r="PD40" i="58"/>
  <c r="OL33" i="58"/>
  <c r="QJ14" i="58"/>
  <c r="NU33" i="58"/>
  <c r="OA55" i="58"/>
  <c r="LU54" i="58"/>
  <c r="MB29" i="58"/>
  <c r="IL24" i="58"/>
  <c r="RD21" i="58"/>
  <c r="FR23" i="58"/>
  <c r="BS24" i="58"/>
  <c r="PZ32" i="58"/>
  <c r="MJ22" i="58"/>
  <c r="LE21" i="58"/>
  <c r="QY49" i="58"/>
  <c r="LC46" i="58"/>
  <c r="JD20" i="58"/>
  <c r="PH49" i="58"/>
  <c r="JM23" i="58"/>
  <c r="OW13" i="58"/>
  <c r="QY13" i="58"/>
  <c r="LI33" i="58"/>
  <c r="NF50" i="58"/>
  <c r="MA42" i="58"/>
  <c r="QH20" i="58"/>
  <c r="PE35" i="58"/>
  <c r="CK20" i="58"/>
  <c r="MS50" i="58"/>
  <c r="NF35" i="58"/>
  <c r="RB21" i="58"/>
  <c r="NR41" i="58"/>
  <c r="OS35" i="58"/>
  <c r="IG16" i="58"/>
  <c r="LQ24" i="58"/>
  <c r="LR55" i="58"/>
  <c r="DG22" i="58"/>
  <c r="MH22" i="58"/>
  <c r="NZ40" i="58"/>
  <c r="PB37" i="58"/>
  <c r="CM10" i="58"/>
  <c r="ML33" i="58"/>
  <c r="FX13" i="58"/>
  <c r="PK18" i="58"/>
  <c r="GD24" i="58"/>
  <c r="MX34" i="58"/>
  <c r="OZ20" i="58"/>
  <c r="FU12" i="58"/>
  <c r="RE58" i="58"/>
  <c r="RR55" i="58"/>
  <c r="FH23" i="58"/>
  <c r="QU43" i="58"/>
  <c r="OX35" i="58"/>
  <c r="LL62" i="58"/>
  <c r="KU55" i="58"/>
  <c r="OG51" i="58"/>
  <c r="OE46" i="58"/>
  <c r="PE66" i="58"/>
  <c r="RC62" i="58"/>
  <c r="BD11" i="58"/>
  <c r="PG13" i="58"/>
  <c r="RQ20" i="58"/>
  <c r="PJ17" i="58"/>
  <c r="AY23" i="58"/>
  <c r="LZ24" i="58"/>
  <c r="FZ21" i="58"/>
  <c r="NS24" i="58"/>
  <c r="MF40" i="58"/>
  <c r="MM31" i="58"/>
  <c r="AK10" i="58"/>
  <c r="IQ21" i="58"/>
  <c r="KG18" i="58"/>
  <c r="CU22" i="58"/>
  <c r="AO14" i="58"/>
  <c r="GE23" i="58"/>
  <c r="FK21" i="58"/>
  <c r="GL21" i="58"/>
  <c r="QN22" i="58"/>
  <c r="MR24" i="58"/>
  <c r="NC34" i="58"/>
  <c r="PZ37" i="58"/>
  <c r="LB35" i="58"/>
  <c r="MY57" i="58"/>
  <c r="HL19" i="58"/>
  <c r="NE36" i="58"/>
  <c r="QL18" i="58"/>
  <c r="OD61" i="58"/>
  <c r="OJ52" i="58"/>
  <c r="MV54" i="58"/>
  <c r="KV38" i="58"/>
  <c r="OG34" i="58"/>
  <c r="RD47" i="58"/>
  <c r="MO32" i="58"/>
  <c r="RA16" i="58"/>
  <c r="DJ20" i="58"/>
  <c r="MX48" i="58"/>
  <c r="NA33" i="58"/>
  <c r="RH31" i="58"/>
  <c r="OS23" i="58"/>
  <c r="QT52" i="58"/>
  <c r="LF33" i="58"/>
  <c r="AC18" i="58"/>
  <c r="ID24" i="58"/>
  <c r="DE18" i="58"/>
  <c r="PE39" i="58"/>
  <c r="GB18" i="58"/>
  <c r="HQ11" i="58"/>
  <c r="LR14" i="58"/>
  <c r="PI13" i="58"/>
  <c r="LZ19" i="58"/>
  <c r="QY31" i="58"/>
  <c r="MN43" i="58"/>
  <c r="W8" i="58"/>
  <c r="OG30" i="58"/>
  <c r="LW51" i="58"/>
  <c r="MX35" i="58"/>
  <c r="NC54" i="58"/>
  <c r="MD61" i="58"/>
  <c r="JD24" i="58"/>
  <c r="PB48" i="58"/>
  <c r="JK21" i="58"/>
  <c r="NW53" i="58"/>
  <c r="JN23" i="58"/>
  <c r="OS63" i="58"/>
  <c r="LN57" i="58"/>
  <c r="RR39" i="58"/>
  <c r="MT37" i="58"/>
  <c r="FP18" i="58"/>
  <c r="QG35" i="58"/>
  <c r="NU46" i="58"/>
  <c r="NT39" i="58"/>
  <c r="OV35" i="58"/>
  <c r="NO14" i="58"/>
  <c r="IK15" i="58"/>
  <c r="EA20" i="58"/>
  <c r="RN31" i="58"/>
  <c r="IH17" i="58"/>
  <c r="OA10" i="58"/>
  <c r="EM18" i="58"/>
  <c r="KZ30" i="58"/>
  <c r="PP51" i="58"/>
  <c r="OW40" i="58"/>
  <c r="LA43" i="58"/>
  <c r="MU24" i="58"/>
  <c r="OS40" i="58"/>
  <c r="NM54" i="58"/>
  <c r="GI23" i="58"/>
  <c r="MP30" i="58"/>
  <c r="PI33" i="58"/>
  <c r="AR23" i="58"/>
  <c r="AQ23" i="58"/>
  <c r="OR19" i="58"/>
  <c r="QF42" i="58"/>
  <c r="QV15" i="58"/>
  <c r="NF46" i="58"/>
  <c r="NS22" i="58"/>
  <c r="NG19" i="58"/>
  <c r="DT22" i="58"/>
  <c r="LW37" i="58"/>
  <c r="NZ23" i="58"/>
  <c r="PZ20" i="58"/>
  <c r="FI15" i="58"/>
  <c r="MG18" i="58"/>
  <c r="DX15" i="58"/>
  <c r="LT41" i="58"/>
  <c r="HT19" i="58"/>
  <c r="RB49" i="58"/>
  <c r="KQ45" i="58"/>
  <c r="GR21" i="58"/>
  <c r="RO48" i="58"/>
  <c r="QU42" i="58"/>
  <c r="QU36" i="58"/>
  <c r="PT17" i="58"/>
  <c r="PO19" i="58"/>
  <c r="RK55" i="58"/>
  <c r="CN21" i="58"/>
  <c r="NL57" i="58"/>
  <c r="RK23" i="58"/>
  <c r="GB23" i="58"/>
  <c r="NF37" i="58"/>
  <c r="LQ51" i="58"/>
  <c r="PW54" i="58"/>
  <c r="GG18" i="58"/>
  <c r="PH38" i="58"/>
  <c r="NK36" i="58"/>
  <c r="BY20" i="58"/>
  <c r="RC48" i="58"/>
  <c r="LN58" i="58"/>
  <c r="NP41" i="58"/>
  <c r="OD33" i="58"/>
  <c r="OE18" i="58"/>
  <c r="NZ21" i="58"/>
  <c r="NX40" i="58"/>
  <c r="MG35" i="58"/>
  <c r="JB20" i="58"/>
  <c r="BW17" i="58"/>
  <c r="MT42" i="58"/>
  <c r="DF19" i="58"/>
  <c r="NX16" i="58"/>
  <c r="JV17" i="58"/>
  <c r="QQ8" i="58"/>
  <c r="RF45" i="58"/>
  <c r="GL22" i="58"/>
  <c r="PV21" i="58"/>
  <c r="OP50" i="58"/>
  <c r="BK22" i="58"/>
  <c r="KF22" i="58"/>
  <c r="KK17" i="58"/>
  <c r="KF20" i="58"/>
  <c r="AZ14" i="58"/>
  <c r="LE30" i="58"/>
  <c r="OY24" i="58"/>
  <c r="W23" i="58"/>
  <c r="HA23" i="58"/>
  <c r="GQ11" i="58"/>
  <c r="EF23" i="58"/>
  <c r="OK12" i="58"/>
  <c r="JF16" i="58"/>
  <c r="PG22" i="58"/>
  <c r="JC17" i="58"/>
  <c r="FE21" i="58"/>
  <c r="PM19" i="58"/>
  <c r="V14" i="58"/>
  <c r="Y13" i="58"/>
  <c r="OB13" i="58"/>
  <c r="FC9" i="58"/>
  <c r="OS14" i="58"/>
  <c r="EA8" i="58"/>
  <c r="AP10" i="58"/>
  <c r="JD13" i="58"/>
  <c r="EY15" i="58"/>
  <c r="DN20" i="58"/>
  <c r="CU15" i="58"/>
  <c r="BX12" i="58"/>
  <c r="MD13" i="58"/>
  <c r="AJ14" i="58"/>
  <c r="BU19" i="58"/>
  <c r="RH17" i="58"/>
  <c r="QW8" i="58"/>
  <c r="HK12" i="58"/>
  <c r="AL13" i="58"/>
  <c r="BE12" i="58"/>
  <c r="GP13" i="58"/>
  <c r="FG10" i="58"/>
  <c r="JL18" i="58"/>
  <c r="AS15" i="58"/>
  <c r="QH22" i="58"/>
  <c r="AR22" i="58"/>
  <c r="DD12" i="58"/>
  <c r="MZ36" i="58"/>
  <c r="PZ15" i="58"/>
  <c r="DO23" i="58"/>
  <c r="KI22" i="58"/>
  <c r="LZ16" i="58"/>
  <c r="DO15" i="58"/>
  <c r="RA12" i="58"/>
  <c r="EM8" i="58"/>
  <c r="CB17" i="58"/>
  <c r="V16" i="58"/>
  <c r="NZ29" i="58"/>
  <c r="RV10" i="58"/>
  <c r="HO10" i="58"/>
  <c r="IM11" i="58"/>
  <c r="FL13" i="58"/>
  <c r="GA8" i="58"/>
  <c r="KR38" i="58"/>
  <c r="BB15" i="58"/>
  <c r="MS13" i="58"/>
  <c r="AS10" i="58"/>
  <c r="AB9" i="58"/>
  <c r="PL14" i="58"/>
  <c r="HP22" i="58"/>
  <c r="OO34" i="58"/>
  <c r="PJ29" i="58"/>
  <c r="AD23" i="58"/>
  <c r="AK20" i="58"/>
  <c r="NK22" i="58"/>
  <c r="RP10" i="58"/>
  <c r="BZ17" i="58"/>
  <c r="LI18" i="58"/>
  <c r="MA21" i="58"/>
  <c r="GG12" i="58"/>
  <c r="U18" i="58"/>
  <c r="HI14" i="58"/>
  <c r="OT11" i="58"/>
  <c r="QI18" i="58"/>
  <c r="FT21" i="58"/>
  <c r="CA8" i="58"/>
  <c r="QL17" i="58"/>
  <c r="FG24" i="58"/>
  <c r="OY14" i="58"/>
  <c r="T13" i="58"/>
  <c r="BE16" i="58"/>
  <c r="AN15" i="58"/>
  <c r="GG13" i="58"/>
  <c r="JM13" i="58"/>
  <c r="DI11" i="58"/>
  <c r="GA16" i="58"/>
  <c r="RL20" i="58"/>
  <c r="PY38" i="58"/>
  <c r="ME31" i="58"/>
  <c r="MR31" i="58"/>
  <c r="ON20" i="58"/>
  <c r="Y17" i="58"/>
  <c r="LD36" i="58"/>
  <c r="QP18" i="58"/>
  <c r="RC22" i="58"/>
  <c r="KU50" i="58"/>
  <c r="QM22" i="58"/>
  <c r="MR54" i="58"/>
  <c r="AW17" i="58"/>
  <c r="RR51" i="58"/>
  <c r="MN42" i="58"/>
  <c r="QM34" i="58"/>
  <c r="OF32" i="58"/>
  <c r="KJ17" i="58"/>
  <c r="OS48" i="58"/>
  <c r="KX37" i="58"/>
  <c r="QS29" i="58"/>
  <c r="RT43" i="58"/>
  <c r="KQ41" i="58"/>
  <c r="PR24" i="58"/>
  <c r="LU45" i="58"/>
  <c r="GV20" i="58"/>
  <c r="GJ19" i="58"/>
  <c r="NH23" i="58"/>
  <c r="RM36" i="58"/>
  <c r="NB21" i="58"/>
  <c r="LN19" i="58"/>
  <c r="QQ14" i="58"/>
  <c r="GS20" i="58"/>
  <c r="GI22" i="58"/>
  <c r="MQ17" i="58"/>
  <c r="JX8" i="58"/>
  <c r="W21" i="58"/>
  <c r="LS23" i="58"/>
  <c r="PY11" i="58"/>
  <c r="MN11" i="58"/>
  <c r="AN20" i="58"/>
  <c r="OW16" i="58"/>
  <c r="AT19" i="58"/>
  <c r="LU11" i="58"/>
  <c r="LZ31" i="58"/>
  <c r="FP15" i="58"/>
  <c r="MI15" i="58"/>
  <c r="DW23" i="58"/>
  <c r="RT15" i="58"/>
  <c r="ES21" i="58"/>
  <c r="BP12" i="58"/>
  <c r="JU9" i="58"/>
  <c r="BX18" i="58"/>
  <c r="QV20" i="58"/>
  <c r="KT13" i="58"/>
  <c r="LS12" i="58"/>
  <c r="MD9" i="58"/>
  <c r="KG10" i="58"/>
  <c r="OT8" i="58"/>
  <c r="RF12" i="58"/>
  <c r="QE15" i="58"/>
  <c r="MI8" i="58"/>
  <c r="DT13" i="58"/>
  <c r="GK14" i="58"/>
  <c r="HL13" i="58"/>
  <c r="LQ20" i="58"/>
  <c r="JD12" i="58"/>
  <c r="FX15" i="58"/>
  <c r="DP16" i="58"/>
  <c r="HK21" i="58"/>
  <c r="DA23" i="58"/>
  <c r="DI14" i="58"/>
  <c r="KI24" i="58"/>
  <c r="MN23" i="58"/>
  <c r="EY16" i="58"/>
  <c r="EJ17" i="58"/>
  <c r="AW19" i="58"/>
  <c r="PQ14" i="58"/>
  <c r="RG31" i="58"/>
  <c r="IJ8" i="58"/>
  <c r="GE20" i="58"/>
  <c r="FV14" i="58"/>
  <c r="CJ18" i="58"/>
  <c r="MZ18" i="58"/>
  <c r="NL18" i="58"/>
  <c r="AC8" i="58"/>
  <c r="AL14" i="58"/>
  <c r="NB17" i="58"/>
  <c r="JL14" i="58"/>
  <c r="DD13" i="58"/>
  <c r="IZ10" i="58"/>
  <c r="OO10" i="58"/>
  <c r="HJ21" i="58"/>
  <c r="HP21" i="58"/>
  <c r="MZ31" i="58"/>
  <c r="RP23" i="58"/>
  <c r="NT24" i="58"/>
  <c r="V13" i="58"/>
  <c r="EC20" i="58"/>
  <c r="AF13" i="58"/>
  <c r="EV20" i="58"/>
  <c r="MP34" i="58"/>
  <c r="LV45" i="58"/>
  <c r="AZ18" i="58"/>
  <c r="PV22" i="58"/>
  <c r="NT22" i="58"/>
  <c r="OO32" i="58"/>
  <c r="PA29" i="58"/>
  <c r="GN20" i="58"/>
  <c r="GR15" i="58"/>
  <c r="QG8" i="58"/>
  <c r="R14" i="58"/>
  <c r="ND38" i="58"/>
  <c r="PN37" i="58"/>
  <c r="QE35" i="58"/>
  <c r="RA43" i="58"/>
  <c r="QG51" i="58"/>
  <c r="PT61" i="58"/>
  <c r="MT53" i="58"/>
  <c r="MV47" i="58"/>
  <c r="KL20" i="58"/>
  <c r="LE36" i="58"/>
  <c r="KL18" i="58"/>
  <c r="IV22" i="58"/>
  <c r="BK17" i="58"/>
  <c r="QQ34" i="58"/>
  <c r="PY29" i="58"/>
  <c r="RO34" i="58"/>
  <c r="GA23" i="58"/>
  <c r="QE36" i="58"/>
  <c r="NU24" i="58"/>
  <c r="CQ22" i="58"/>
  <c r="RP29" i="58"/>
  <c r="PH19" i="58"/>
  <c r="EL19" i="58"/>
  <c r="AQ11" i="58"/>
  <c r="EL18" i="58"/>
  <c r="KY18" i="58"/>
  <c r="IH20" i="58"/>
  <c r="HG12" i="58"/>
  <c r="QQ15" i="58"/>
  <c r="EP19" i="58"/>
  <c r="DX18" i="58"/>
  <c r="KB12" i="58"/>
  <c r="CW14" i="58"/>
  <c r="PB17" i="58"/>
  <c r="DO24" i="58"/>
  <c r="DI12" i="58"/>
  <c r="OY13" i="58"/>
  <c r="ML9" i="58"/>
  <c r="CU17" i="58"/>
  <c r="CP11" i="58"/>
  <c r="QF12" i="58"/>
  <c r="BH11" i="58"/>
  <c r="CM16" i="58"/>
  <c r="NQ20" i="58"/>
  <c r="JB8" i="58"/>
  <c r="OP10" i="58"/>
  <c r="OL11" i="58"/>
  <c r="OD10" i="58"/>
  <c r="FX17" i="58"/>
  <c r="EV10" i="58"/>
  <c r="OU18" i="58"/>
  <c r="V24" i="58"/>
  <c r="MK19" i="58"/>
  <c r="LC8" i="58"/>
  <c r="JL19" i="58"/>
  <c r="PA14" i="58"/>
  <c r="HC13" i="58"/>
  <c r="FI24" i="58"/>
  <c r="RL40" i="58"/>
  <c r="NH18" i="58"/>
  <c r="LW29" i="58"/>
  <c r="BE19" i="58"/>
  <c r="GO17" i="58"/>
  <c r="RE30" i="58"/>
  <c r="IW22" i="58"/>
  <c r="KH18" i="58"/>
  <c r="IW23" i="58"/>
  <c r="RP13" i="58"/>
  <c r="EX20" i="58"/>
  <c r="NQ17" i="58"/>
  <c r="PZ14" i="58"/>
  <c r="BR15" i="58"/>
  <c r="JH23" i="58"/>
  <c r="LD10" i="58"/>
  <c r="BP21" i="58"/>
  <c r="MR14" i="58"/>
  <c r="JK13" i="58"/>
  <c r="PX14" i="58"/>
  <c r="OI15" i="58"/>
  <c r="DA10" i="58"/>
  <c r="JQ20" i="58"/>
  <c r="EQ15" i="58"/>
  <c r="QW10" i="58"/>
  <c r="HG18" i="58"/>
  <c r="ME14" i="58"/>
  <c r="PG34" i="58"/>
  <c r="JS23" i="58"/>
  <c r="PJ36" i="58"/>
  <c r="LJ13" i="58"/>
  <c r="MO16" i="58"/>
  <c r="EZ20" i="58"/>
  <c r="LS17" i="58"/>
  <c r="JQ21" i="58"/>
  <c r="PM45" i="58"/>
  <c r="DV17" i="58"/>
  <c r="JF23" i="58"/>
  <c r="QG22" i="58"/>
  <c r="LV19" i="58"/>
  <c r="KI13" i="58"/>
  <c r="EA23" i="58"/>
  <c r="OD38" i="58"/>
  <c r="BW18" i="58"/>
  <c r="RD31" i="58"/>
  <c r="MA43" i="58"/>
  <c r="LK57" i="58"/>
  <c r="RS50" i="58"/>
  <c r="OB55" i="58"/>
  <c r="FU23" i="58"/>
  <c r="GN18" i="58"/>
  <c r="FI18" i="58"/>
  <c r="EZ23" i="58"/>
  <c r="OG24" i="58"/>
  <c r="CP24" i="58"/>
  <c r="OC22" i="58"/>
  <c r="FE16" i="58"/>
  <c r="BT20" i="58"/>
  <c r="OI18" i="58"/>
  <c r="QA31" i="58"/>
  <c r="RF24" i="58"/>
  <c r="HA18" i="58"/>
  <c r="EC17" i="58"/>
  <c r="EK22" i="58"/>
  <c r="JS20" i="58"/>
  <c r="HL24" i="58"/>
  <c r="LV10" i="58"/>
  <c r="KS16" i="58"/>
  <c r="PP15" i="58"/>
  <c r="IR20" i="58"/>
  <c r="EJ23" i="58"/>
  <c r="PH11" i="58"/>
  <c r="JD17" i="58"/>
  <c r="HC20" i="58"/>
  <c r="JC16" i="58"/>
  <c r="IU14" i="58"/>
  <c r="FL16" i="58"/>
  <c r="AH21" i="58"/>
  <c r="LC13" i="58"/>
  <c r="ME13" i="58"/>
  <c r="LN16" i="58"/>
  <c r="HY13" i="58"/>
  <c r="KC17" i="58"/>
  <c r="QX18" i="58"/>
  <c r="PC15" i="58"/>
  <c r="PQ13" i="58"/>
  <c r="AI10" i="58"/>
  <c r="BU21" i="58"/>
  <c r="QT35" i="58"/>
  <c r="ES15" i="58"/>
  <c r="KD10" i="58"/>
  <c r="CQ11" i="58"/>
  <c r="GZ12" i="58"/>
  <c r="BA9" i="58"/>
  <c r="FI13" i="58"/>
  <c r="ER12" i="58"/>
  <c r="EV13" i="58"/>
  <c r="PP10" i="58"/>
  <c r="NW16" i="58"/>
  <c r="MI9" i="58"/>
  <c r="NW13" i="58"/>
  <c r="JB19" i="58"/>
  <c r="MZ24" i="58"/>
  <c r="LA12" i="58"/>
  <c r="FF21" i="58"/>
  <c r="IP16" i="58"/>
  <c r="IY16" i="58"/>
  <c r="CB12" i="58"/>
  <c r="IR17" i="58"/>
  <c r="OR35" i="58"/>
  <c r="GP12" i="58"/>
  <c r="HC22" i="58"/>
  <c r="CQ18" i="58"/>
  <c r="QK12" i="58"/>
  <c r="MJ17" i="58"/>
  <c r="LM17" i="58"/>
  <c r="CJ21" i="58"/>
  <c r="NW14" i="58"/>
  <c r="R21" i="58"/>
  <c r="MC13" i="58"/>
  <c r="QK42" i="58"/>
  <c r="AC17" i="58"/>
  <c r="HT24" i="58"/>
  <c r="AI19" i="58"/>
  <c r="LZ52" i="58"/>
  <c r="MH11" i="58"/>
  <c r="GL12" i="58"/>
  <c r="OU49" i="58"/>
  <c r="RM24" i="58"/>
  <c r="LR32" i="58"/>
  <c r="NY45" i="58"/>
  <c r="PQ51" i="58"/>
  <c r="QG55" i="58"/>
  <c r="OP52" i="58"/>
  <c r="EI17" i="58"/>
  <c r="GX22" i="58"/>
  <c r="GA21" i="58"/>
  <c r="DR15" i="58"/>
  <c r="FZ23" i="58"/>
  <c r="MA38" i="58"/>
  <c r="MH32" i="58"/>
  <c r="OG21" i="58"/>
  <c r="BL19" i="58"/>
  <c r="PB16" i="58"/>
  <c r="NP14" i="58"/>
  <c r="KY23" i="58"/>
  <c r="Z20" i="58"/>
  <c r="NR37" i="58"/>
  <c r="BQ20" i="58"/>
  <c r="MX21" i="58"/>
  <c r="BH15" i="58"/>
  <c r="QJ20" i="58"/>
  <c r="PQ12" i="58"/>
  <c r="RP17" i="58"/>
  <c r="PR15" i="58"/>
  <c r="AP24" i="58"/>
  <c r="IZ11" i="58"/>
  <c r="DH17" i="58"/>
  <c r="KU23" i="58"/>
  <c r="MQ12" i="58"/>
  <c r="EO17" i="58"/>
  <c r="CT17" i="58"/>
  <c r="OM11" i="58"/>
  <c r="NK18" i="58"/>
  <c r="PL16" i="58"/>
  <c r="DW8" i="58"/>
  <c r="NU22" i="58"/>
  <c r="CV23" i="58"/>
  <c r="AS19" i="58"/>
  <c r="DI23" i="58"/>
  <c r="OA18" i="58"/>
  <c r="FE8" i="58"/>
  <c r="DK9" i="58"/>
  <c r="DQ11" i="58"/>
  <c r="KZ10" i="58"/>
  <c r="OZ17" i="58"/>
  <c r="GW13" i="58"/>
  <c r="OD14" i="58"/>
  <c r="MO19" i="58"/>
  <c r="QY9" i="58"/>
  <c r="RL9" i="58"/>
  <c r="QJ12" i="58"/>
  <c r="PS18" i="58"/>
  <c r="RH36" i="58"/>
  <c r="RK30" i="58"/>
  <c r="DK24" i="58"/>
  <c r="MV21" i="58"/>
  <c r="KC12" i="58"/>
  <c r="GA11" i="58"/>
  <c r="AC19" i="58"/>
  <c r="DW16" i="58"/>
  <c r="IY13" i="58"/>
  <c r="BY24" i="58"/>
  <c r="FX19" i="58"/>
  <c r="QT13" i="58"/>
  <c r="GP15" i="58"/>
  <c r="QZ14" i="58"/>
  <c r="NT21" i="58"/>
  <c r="EI19" i="58"/>
  <c r="CL16" i="58"/>
  <c r="KW15" i="58"/>
  <c r="GR20" i="58"/>
  <c r="OL13" i="58"/>
  <c r="EB20" i="58"/>
  <c r="LL17" i="58"/>
  <c r="CN8" i="58"/>
  <c r="QO8" i="58"/>
  <c r="BL24" i="58"/>
  <c r="DV11" i="58"/>
  <c r="CG18" i="58"/>
  <c r="MH23" i="58"/>
  <c r="BG18" i="58"/>
  <c r="BX19" i="58"/>
  <c r="IC23" i="58"/>
  <c r="LY23" i="58"/>
  <c r="LX17" i="58"/>
  <c r="HN16" i="58"/>
  <c r="MX18" i="58"/>
  <c r="NP10" i="58"/>
  <c r="FE17" i="58"/>
  <c r="PX20" i="58"/>
  <c r="KZ15" i="58"/>
  <c r="LN13" i="58"/>
  <c r="EI23" i="58"/>
  <c r="HD23" i="58"/>
  <c r="NL34" i="58"/>
  <c r="FN24" i="58"/>
  <c r="HL21" i="58"/>
  <c r="KT20" i="58"/>
  <c r="KD17" i="58"/>
  <c r="PG36" i="58"/>
  <c r="RJ55" i="58"/>
  <c r="QD37" i="58"/>
  <c r="PV24" i="58"/>
  <c r="KW33" i="58"/>
  <c r="OB34" i="58"/>
  <c r="OB21" i="58"/>
  <c r="PL60" i="58"/>
  <c r="QZ32" i="58"/>
  <c r="KE17" i="58"/>
  <c r="OM21" i="58"/>
  <c r="RA38" i="58"/>
  <c r="RP39" i="58"/>
  <c r="MZ32" i="58"/>
  <c r="BJ18" i="58"/>
  <c r="LE11" i="58"/>
  <c r="QC17" i="58"/>
  <c r="JD21" i="58"/>
  <c r="DQ21" i="58"/>
  <c r="HL16" i="58"/>
  <c r="FY21" i="58"/>
  <c r="BF22" i="58"/>
  <c r="AP23" i="58"/>
  <c r="DB21" i="58"/>
  <c r="AA15" i="58"/>
  <c r="FX23" i="58"/>
  <c r="CX8" i="58"/>
  <c r="JA23" i="58"/>
  <c r="EY19" i="58"/>
  <c r="GQ24" i="58"/>
  <c r="DK15" i="58"/>
  <c r="EW24" i="58"/>
  <c r="DL15" i="58"/>
  <c r="QV11" i="58"/>
  <c r="AJ21" i="58"/>
  <c r="NC29" i="58"/>
  <c r="QL15" i="58"/>
  <c r="KO12" i="58"/>
  <c r="NV23" i="58"/>
  <c r="HX15" i="58"/>
  <c r="EB12" i="58"/>
  <c r="EQ13" i="58"/>
  <c r="NG21" i="58"/>
  <c r="HX18" i="58"/>
  <c r="FE14" i="58"/>
  <c r="IN13" i="58"/>
  <c r="FL20" i="58"/>
  <c r="EJ24" i="58"/>
  <c r="AV10" i="58"/>
  <c r="PK9" i="58"/>
  <c r="CT13" i="58"/>
  <c r="AK16" i="58"/>
  <c r="PS14" i="58"/>
  <c r="CZ16" i="58"/>
  <c r="NL12" i="58"/>
  <c r="LM15" i="58"/>
  <c r="FK10" i="58"/>
  <c r="IC18" i="58"/>
  <c r="NY31" i="58"/>
  <c r="LG17" i="58"/>
  <c r="PT13" i="58"/>
  <c r="QL30" i="58"/>
  <c r="JW17" i="58"/>
  <c r="JZ24" i="58"/>
  <c r="QW18" i="58"/>
  <c r="JG23" i="58"/>
  <c r="FR17" i="58"/>
  <c r="OS10" i="58"/>
  <c r="EV14" i="58"/>
  <c r="LM20" i="58"/>
  <c r="BI16" i="58"/>
  <c r="CH11" i="58"/>
  <c r="EK14" i="58"/>
  <c r="GE14" i="58"/>
  <c r="KK11" i="58"/>
  <c r="CI13" i="58"/>
  <c r="FS16" i="58"/>
  <c r="ID21" i="58"/>
  <c r="Y18" i="58"/>
  <c r="KO15" i="58"/>
  <c r="MM41" i="58"/>
  <c r="NN33" i="58"/>
  <c r="IM17" i="58"/>
  <c r="PG33" i="58"/>
  <c r="PC22" i="58"/>
  <c r="AM21" i="58"/>
  <c r="AL15" i="58"/>
  <c r="LC38" i="58"/>
  <c r="NZ24" i="58"/>
  <c r="OT32" i="58"/>
  <c r="OG50" i="58"/>
  <c r="OE53" i="58"/>
  <c r="NC35" i="58"/>
  <c r="OE19" i="58"/>
  <c r="FU21" i="58"/>
  <c r="QC29" i="58"/>
  <c r="CV19" i="58"/>
  <c r="QQ31" i="58"/>
  <c r="MZ23" i="58"/>
  <c r="NJ21" i="58"/>
  <c r="MC29" i="58"/>
  <c r="P15" i="58"/>
  <c r="JJ24" i="58"/>
  <c r="MP37" i="58"/>
  <c r="QO13" i="58"/>
  <c r="DP24" i="58"/>
  <c r="RH20" i="58"/>
  <c r="HX8" i="58"/>
  <c r="Y24" i="58"/>
  <c r="GP22" i="58"/>
  <c r="OK20" i="58"/>
  <c r="DP23" i="58"/>
  <c r="DH16" i="58"/>
  <c r="GW10" i="58"/>
  <c r="QB16" i="58"/>
  <c r="QR23" i="58"/>
  <c r="RG13" i="58"/>
  <c r="MV24" i="58"/>
  <c r="FA20" i="58"/>
  <c r="EZ10" i="58"/>
  <c r="ES22" i="58"/>
  <c r="ND13" i="58"/>
  <c r="PU32" i="58"/>
  <c r="RT12" i="58"/>
  <c r="JV9" i="58"/>
  <c r="GN17" i="58"/>
  <c r="PV15" i="58"/>
  <c r="NJ13" i="58"/>
  <c r="JF9" i="58"/>
  <c r="GS12" i="58"/>
  <c r="BM20" i="58"/>
  <c r="GY10" i="58"/>
  <c r="CG10" i="58"/>
  <c r="GH12" i="58"/>
  <c r="NH43" i="58"/>
  <c r="NU9" i="58"/>
  <c r="FJ22" i="58"/>
  <c r="FJ16" i="58"/>
  <c r="KI12" i="58"/>
  <c r="IL11" i="58"/>
  <c r="DP10" i="58"/>
  <c r="NL8" i="58"/>
  <c r="CW15" i="58"/>
  <c r="BK21" i="58"/>
  <c r="DR16" i="58"/>
  <c r="HQ19" i="58"/>
  <c r="BN19" i="58"/>
  <c r="GI16" i="58"/>
  <c r="FW16" i="58"/>
  <c r="RV29" i="58"/>
  <c r="ML8" i="58"/>
  <c r="CD11" i="58"/>
  <c r="MM11" i="58"/>
  <c r="MJ15" i="58"/>
  <c r="LX13" i="58"/>
  <c r="HV22" i="58"/>
  <c r="NS13" i="58"/>
  <c r="AB19" i="58"/>
  <c r="NY37" i="58"/>
  <c r="DR10" i="58"/>
  <c r="EB11" i="58"/>
  <c r="DC15" i="58"/>
  <c r="OO23" i="58"/>
  <c r="AY14" i="58"/>
  <c r="PO10" i="58"/>
  <c r="MC38" i="58"/>
  <c r="NJ31" i="58"/>
  <c r="BG22" i="58"/>
  <c r="AO23" i="58"/>
  <c r="MG24" i="58"/>
  <c r="CY23" i="58"/>
  <c r="AG19" i="58"/>
  <c r="PH56" i="58"/>
  <c r="PE36" i="58"/>
  <c r="KR64" i="58"/>
  <c r="MZ19" i="58"/>
  <c r="QP23" i="58"/>
  <c r="RP37" i="58"/>
  <c r="IG23" i="58"/>
  <c r="BW24" i="58"/>
  <c r="GD18" i="58"/>
  <c r="PT38" i="58"/>
  <c r="QJ41" i="58"/>
  <c r="OF34" i="58"/>
  <c r="KG23" i="58"/>
  <c r="MP20" i="58"/>
  <c r="JK10" i="58"/>
  <c r="MK30" i="58"/>
  <c r="DJ18" i="58"/>
  <c r="NX35" i="58"/>
  <c r="MD39" i="58"/>
  <c r="NO17" i="58"/>
  <c r="ON23" i="58"/>
  <c r="AK24" i="58"/>
  <c r="QA30" i="58"/>
  <c r="KE23" i="58"/>
  <c r="FA24" i="58"/>
  <c r="BX24" i="58"/>
  <c r="CC14" i="58"/>
  <c r="CT15" i="58"/>
  <c r="KP22" i="58"/>
  <c r="FQ16" i="58"/>
  <c r="BI22" i="58"/>
  <c r="FJ15" i="58"/>
  <c r="NU17" i="58"/>
  <c r="LQ10" i="58"/>
  <c r="DA24" i="58"/>
  <c r="CW20" i="58"/>
  <c r="GP18" i="58"/>
  <c r="JT11" i="58"/>
  <c r="X10" i="58"/>
  <c r="IH10" i="58"/>
  <c r="QQ9" i="58"/>
  <c r="IG18" i="58"/>
  <c r="GB15" i="58"/>
  <c r="BJ16" i="58"/>
  <c r="DD15" i="58"/>
  <c r="LK13" i="58"/>
  <c r="DR11" i="58"/>
  <c r="CM17" i="58"/>
  <c r="PJ9" i="58"/>
  <c r="JO13" i="58"/>
  <c r="CI14" i="58"/>
  <c r="EI16" i="58"/>
  <c r="AC16" i="58"/>
  <c r="GY11" i="58"/>
  <c r="MS23" i="58"/>
  <c r="DC12" i="58"/>
  <c r="X16" i="58"/>
  <c r="MW22" i="58"/>
  <c r="CS21" i="58"/>
  <c r="RV17" i="58"/>
  <c r="JO18" i="58"/>
  <c r="QO22" i="58"/>
  <c r="DW15" i="58"/>
  <c r="EL17" i="58"/>
  <c r="LQ46" i="58"/>
  <c r="GL11" i="58"/>
  <c r="DH21" i="58"/>
  <c r="KL15" i="58"/>
  <c r="QR13" i="58"/>
  <c r="JO16" i="58"/>
  <c r="KQ17" i="58"/>
  <c r="AC13" i="58"/>
  <c r="AS20" i="58"/>
  <c r="BD13" i="58"/>
  <c r="NN31" i="58"/>
  <c r="QP21" i="58"/>
  <c r="ON8" i="58"/>
  <c r="BK10" i="58"/>
  <c r="KP18" i="58"/>
  <c r="JA13" i="58"/>
  <c r="PL11" i="58"/>
  <c r="LY16" i="58"/>
  <c r="JN22" i="58"/>
  <c r="IF15" i="58"/>
  <c r="NJ24" i="58"/>
  <c r="OJ23" i="58"/>
  <c r="EX23" i="58"/>
  <c r="OG36" i="58"/>
  <c r="HD9" i="58"/>
  <c r="OX19" i="58"/>
  <c r="ME11" i="58"/>
  <c r="HY18" i="58"/>
  <c r="OQ18" i="58"/>
  <c r="CP19" i="58"/>
  <c r="QP20" i="58"/>
  <c r="OF40" i="58"/>
  <c r="OO22" i="58"/>
  <c r="OX32" i="58"/>
  <c r="LL22" i="58"/>
  <c r="QF31" i="58"/>
  <c r="OJ30" i="58"/>
  <c r="AB20" i="58"/>
  <c r="PH46" i="58"/>
  <c r="NB63" i="58"/>
  <c r="PN36" i="58"/>
  <c r="MG38" i="58"/>
  <c r="RG53" i="58"/>
  <c r="LP36" i="58"/>
  <c r="O22" i="58"/>
  <c r="BA20" i="58"/>
  <c r="BA24" i="58"/>
  <c r="RB33" i="58"/>
  <c r="MW21" i="58"/>
  <c r="IB19" i="58"/>
  <c r="EZ24" i="58"/>
  <c r="QA17" i="58"/>
  <c r="FG17" i="58"/>
  <c r="KP23" i="58"/>
  <c r="PF18" i="58"/>
  <c r="AO22" i="58"/>
  <c r="MS15" i="58"/>
  <c r="BJ14" i="58"/>
  <c r="RO41" i="58"/>
  <c r="PZ19" i="58"/>
  <c r="OC19" i="58"/>
  <c r="EA16" i="58"/>
  <c r="OI20" i="58"/>
  <c r="EC11" i="58"/>
  <c r="PS21" i="58"/>
  <c r="DD23" i="58"/>
  <c r="CS12" i="58"/>
  <c r="MK10" i="58"/>
  <c r="FA22" i="58"/>
  <c r="LN17" i="58"/>
  <c r="MV48" i="58"/>
  <c r="AG22" i="58"/>
  <c r="JF13" i="58"/>
  <c r="OM29" i="58"/>
  <c r="QF17" i="58"/>
  <c r="GW16" i="58"/>
  <c r="HS20" i="58"/>
  <c r="RS11" i="58"/>
  <c r="ER24" i="58"/>
  <c r="JO14" i="58"/>
  <c r="FO17" i="58"/>
  <c r="GI15" i="58"/>
  <c r="MC8" i="58"/>
  <c r="RN18" i="58"/>
  <c r="QC20" i="58"/>
  <c r="FB17" i="58"/>
  <c r="DL10" i="58"/>
  <c r="DA8" i="58"/>
  <c r="EC8" i="58"/>
  <c r="CQ10" i="58"/>
  <c r="CH19" i="58"/>
  <c r="QD8" i="58"/>
  <c r="EM23" i="58"/>
  <c r="KQ13" i="58"/>
  <c r="QK19" i="58"/>
  <c r="PF17" i="58"/>
  <c r="FU15" i="58"/>
  <c r="W22" i="58"/>
  <c r="CI15" i="58"/>
  <c r="AI18" i="58"/>
  <c r="HU16" i="58"/>
  <c r="AR14" i="58"/>
  <c r="BC19" i="58"/>
  <c r="EE10" i="58"/>
  <c r="BM21" i="58"/>
  <c r="P24" i="58"/>
  <c r="QN10" i="58"/>
  <c r="QH17" i="58"/>
  <c r="CM13" i="58"/>
  <c r="MN17" i="58"/>
  <c r="CK23" i="58"/>
  <c r="HZ10" i="58"/>
  <c r="EF13" i="58"/>
  <c r="EO16" i="58"/>
  <c r="RD8" i="58"/>
  <c r="IR10" i="58"/>
  <c r="QD22" i="58"/>
  <c r="KF11" i="58"/>
  <c r="KA10" i="58"/>
  <c r="GU23" i="58"/>
  <c r="OF16" i="58"/>
  <c r="RA13" i="58"/>
  <c r="IK16" i="58"/>
  <c r="IT10" i="58"/>
  <c r="MI16" i="58"/>
  <c r="DE21" i="58"/>
  <c r="JW20" i="58"/>
  <c r="Z21" i="58"/>
  <c r="LN32" i="58"/>
  <c r="GZ17" i="58"/>
  <c r="MQ9" i="58"/>
  <c r="FT19" i="58"/>
  <c r="FU8" i="58"/>
  <c r="KM20" i="58"/>
  <c r="Y23" i="58"/>
  <c r="EB10" i="58"/>
  <c r="MX16" i="58"/>
  <c r="CZ14" i="58"/>
  <c r="LC19" i="58"/>
  <c r="KT15" i="58"/>
  <c r="BH16" i="58"/>
  <c r="CV18" i="58"/>
  <c r="JP12" i="58"/>
  <c r="QV16" i="58"/>
  <c r="LD12" i="58"/>
  <c r="IQ13" i="58"/>
  <c r="MX15" i="58"/>
  <c r="CJ20" i="58"/>
  <c r="JR16" i="58"/>
  <c r="FO20" i="58"/>
  <c r="NS18" i="58"/>
  <c r="PD38" i="58"/>
  <c r="PS22" i="58"/>
  <c r="DT19" i="58"/>
  <c r="CD18" i="58"/>
  <c r="MW63" i="58"/>
  <c r="PF46" i="58"/>
  <c r="LP39" i="58"/>
  <c r="LU60" i="58"/>
  <c r="HA21" i="58"/>
  <c r="QA47" i="58"/>
  <c r="MS46" i="58"/>
  <c r="LK17" i="58"/>
  <c r="PD24" i="58"/>
  <c r="HO20" i="58"/>
  <c r="NQ23" i="58"/>
  <c r="JZ21" i="58"/>
  <c r="RD20" i="58"/>
  <c r="NP21" i="58"/>
  <c r="ER17" i="58"/>
  <c r="GK18" i="58"/>
  <c r="IV18" i="58"/>
  <c r="OP15" i="58"/>
  <c r="KJ10" i="58"/>
  <c r="IN11" i="58"/>
  <c r="GZ18" i="58"/>
  <c r="PE17" i="58"/>
  <c r="LV18" i="58"/>
  <c r="HC19" i="58"/>
  <c r="RK19" i="58"/>
  <c r="IM19" i="58"/>
  <c r="MH38" i="58"/>
  <c r="MV20" i="58"/>
  <c r="DZ15" i="58"/>
  <c r="DR23" i="58"/>
  <c r="MO29" i="58"/>
  <c r="DZ16" i="58"/>
  <c r="BI13" i="58"/>
  <c r="RP14" i="58"/>
  <c r="DC19" i="58"/>
  <c r="GO8" i="58"/>
  <c r="FD12" i="58"/>
  <c r="CV15" i="58"/>
  <c r="IC9" i="58"/>
  <c r="RR16" i="58"/>
  <c r="DG20" i="58"/>
  <c r="NJ15" i="58"/>
  <c r="FB23" i="58"/>
  <c r="FA16" i="58"/>
  <c r="KG11" i="58"/>
  <c r="HV13" i="58"/>
  <c r="CM12" i="58"/>
  <c r="PE9" i="58"/>
  <c r="LK11" i="58"/>
  <c r="GB14" i="58"/>
  <c r="KS13" i="58"/>
  <c r="Z9" i="58"/>
  <c r="EF11" i="58"/>
  <c r="IX8" i="58"/>
  <c r="BT11" i="58"/>
  <c r="IP13" i="58"/>
  <c r="GT20" i="58"/>
  <c r="QO17" i="58"/>
  <c r="QP30" i="58"/>
  <c r="KM16" i="58"/>
  <c r="NK16" i="58"/>
  <c r="BO24" i="58"/>
  <c r="AE22" i="58"/>
  <c r="PA18" i="58"/>
  <c r="MA11" i="58"/>
  <c r="MJ13" i="58"/>
  <c r="DU22" i="58"/>
  <c r="NT17" i="58"/>
  <c r="JN17" i="58"/>
  <c r="CN24" i="58"/>
  <c r="KO14" i="58"/>
  <c r="DZ12" i="58"/>
  <c r="DL20" i="58"/>
  <c r="GF14" i="58"/>
  <c r="AT12" i="58"/>
  <c r="DN13" i="58"/>
  <c r="CO15" i="58"/>
  <c r="FU14" i="58"/>
  <c r="EL9" i="58"/>
  <c r="RI12" i="58"/>
  <c r="BJ11" i="58"/>
  <c r="EA9" i="58"/>
  <c r="OG15" i="58"/>
  <c r="HE19" i="58"/>
  <c r="LB40" i="58"/>
  <c r="QD21" i="58"/>
  <c r="BD19" i="58"/>
  <c r="KA13" i="58"/>
  <c r="EN24" i="58"/>
  <c r="LS15" i="58"/>
  <c r="Q12" i="58"/>
  <c r="KT9" i="58"/>
  <c r="JP19" i="58"/>
  <c r="KR19" i="58"/>
  <c r="DB15" i="58"/>
  <c r="GM17" i="58"/>
  <c r="NU14" i="58"/>
  <c r="HK14" i="58"/>
  <c r="KS8" i="58"/>
  <c r="AG23" i="58"/>
  <c r="HM20" i="58"/>
  <c r="MZ17" i="58"/>
  <c r="LU13" i="58"/>
  <c r="AO15" i="58"/>
  <c r="NI11" i="58"/>
  <c r="FV16" i="58"/>
  <c r="FB8" i="58"/>
  <c r="PA12" i="58"/>
  <c r="AE10" i="58"/>
  <c r="FR15" i="58"/>
  <c r="AE12" i="58"/>
  <c r="DD19" i="58"/>
  <c r="MS24" i="58"/>
  <c r="QC24" i="58"/>
  <c r="HT22" i="58"/>
  <c r="LJ14" i="58"/>
  <c r="FD22" i="58"/>
  <c r="HR23" i="58"/>
  <c r="LC63" i="58"/>
  <c r="PU47" i="58"/>
  <c r="OL52" i="58"/>
  <c r="AI23" i="58"/>
  <c r="LZ33" i="58"/>
  <c r="MK38" i="58"/>
  <c r="FL24" i="58"/>
  <c r="OC33" i="58"/>
  <c r="NT23" i="58"/>
  <c r="EC21" i="58"/>
  <c r="HB23" i="58"/>
  <c r="RN22" i="58"/>
  <c r="IO19" i="58"/>
  <c r="OH42" i="58"/>
  <c r="NS34" i="58"/>
  <c r="PE12" i="58"/>
  <c r="IQ23" i="58"/>
  <c r="IV12" i="58"/>
  <c r="CJ14" i="58"/>
  <c r="NH29" i="58"/>
  <c r="RE20" i="58"/>
  <c r="CL21" i="58"/>
  <c r="NO38" i="58"/>
  <c r="AM17" i="58"/>
  <c r="ES17" i="58"/>
  <c r="PO18" i="58"/>
  <c r="GW19" i="58"/>
  <c r="JU19" i="58"/>
  <c r="JH14" i="58"/>
  <c r="OI34" i="58"/>
  <c r="BA11" i="58"/>
  <c r="MT8" i="58"/>
  <c r="KI18" i="58"/>
  <c r="FO22" i="58"/>
  <c r="QN55" i="58"/>
  <c r="RH12" i="58"/>
  <c r="MP35" i="58"/>
  <c r="MC12" i="58"/>
  <c r="JG10" i="58"/>
  <c r="RI24" i="58"/>
  <c r="KF13" i="58"/>
  <c r="FS17" i="58"/>
  <c r="NJ10" i="58"/>
  <c r="PJ34" i="58"/>
  <c r="LC15" i="58"/>
  <c r="KZ16" i="58"/>
  <c r="DB10" i="58"/>
  <c r="BS11" i="58"/>
  <c r="DM15" i="58"/>
  <c r="PC8" i="58"/>
  <c r="FN15" i="58"/>
  <c r="RD19" i="58"/>
  <c r="CH21" i="58"/>
  <c r="PJ8" i="58"/>
  <c r="ID10" i="58"/>
  <c r="KO8" i="58"/>
  <c r="LY24" i="58"/>
  <c r="JW21" i="58"/>
  <c r="RM21" i="58"/>
  <c r="LH24" i="58"/>
  <c r="AJ17" i="58"/>
  <c r="RQ15" i="58"/>
  <c r="CE22" i="58"/>
  <c r="RD16" i="58"/>
  <c r="MH14" i="58"/>
  <c r="QN40" i="58"/>
  <c r="KJ11" i="58"/>
  <c r="PF12" i="58"/>
  <c r="OJ10" i="58"/>
  <c r="OT16" i="58"/>
  <c r="GN23" i="58"/>
  <c r="DU15" i="58"/>
  <c r="AT16" i="58"/>
  <c r="AU12" i="58"/>
  <c r="OY54" i="58"/>
  <c r="IR23" i="58"/>
  <c r="NS36" i="58"/>
  <c r="PB32" i="58"/>
  <c r="RF48" i="58"/>
  <c r="HL22" i="58"/>
  <c r="QG66" i="58"/>
  <c r="LZ43" i="58"/>
  <c r="BE18" i="58"/>
  <c r="NV31" i="58"/>
  <c r="GR18" i="58"/>
  <c r="RB34" i="58"/>
  <c r="GF18" i="58"/>
  <c r="LH34" i="58"/>
  <c r="NI20" i="58"/>
  <c r="LE38" i="58"/>
  <c r="ML15" i="58"/>
  <c r="N23" i="58"/>
  <c r="PK42" i="58"/>
  <c r="ER18" i="58"/>
  <c r="RK29" i="58"/>
  <c r="KQ22" i="58"/>
  <c r="IN14" i="58"/>
  <c r="IW14" i="58"/>
  <c r="EI10" i="58"/>
  <c r="AW23" i="58"/>
  <c r="OU37" i="58"/>
  <c r="LZ36" i="58"/>
  <c r="IS23" i="58"/>
  <c r="HZ24" i="58"/>
  <c r="MI35" i="58"/>
  <c r="NS12" i="58"/>
  <c r="RF17" i="58"/>
  <c r="QJ16" i="58"/>
  <c r="OD35" i="58"/>
  <c r="GJ15" i="58"/>
  <c r="HQ15" i="58"/>
  <c r="EK15" i="58"/>
  <c r="JI11" i="58"/>
  <c r="MT10" i="58"/>
  <c r="QA11" i="58"/>
  <c r="HM13" i="58"/>
  <c r="EM14" i="58"/>
  <c r="BA17" i="58"/>
  <c r="OL19" i="58"/>
  <c r="MN10" i="58"/>
  <c r="HQ24" i="58"/>
  <c r="HW10" i="58"/>
  <c r="BK15" i="58"/>
  <c r="LJ23" i="58"/>
  <c r="OG13" i="58"/>
  <c r="LG12" i="58"/>
  <c r="RN19" i="58"/>
  <c r="PG10" i="58"/>
  <c r="HJ11" i="58"/>
  <c r="ND11" i="58"/>
  <c r="DK18" i="58"/>
  <c r="LS9" i="58"/>
  <c r="EE13" i="58"/>
  <c r="KJ16" i="58"/>
  <c r="MB13" i="58"/>
  <c r="FV12" i="58"/>
  <c r="CF19" i="58"/>
  <c r="MQ21" i="58"/>
  <c r="GE15" i="58"/>
  <c r="IJ23" i="58"/>
  <c r="FH14" i="58"/>
  <c r="RJ23" i="58"/>
  <c r="EX18" i="58"/>
  <c r="KK13" i="58"/>
  <c r="PV41" i="58"/>
  <c r="PA35" i="58"/>
  <c r="MS11" i="58"/>
  <c r="DQ18" i="58"/>
  <c r="PL15" i="58"/>
  <c r="HN18" i="58"/>
  <c r="EL12" i="58"/>
  <c r="ID20" i="58"/>
  <c r="RK18" i="58"/>
  <c r="OP11" i="58"/>
  <c r="IP10" i="58"/>
  <c r="ON19" i="58"/>
  <c r="AZ17" i="58"/>
  <c r="JK19" i="58"/>
  <c r="KT19" i="58"/>
  <c r="GK8" i="58"/>
  <c r="IS14" i="58"/>
  <c r="MJ11" i="58"/>
  <c r="KN10" i="58"/>
  <c r="NB23" i="58"/>
  <c r="ND45" i="58"/>
  <c r="RS17" i="58"/>
  <c r="EM19" i="58"/>
  <c r="QY16" i="58"/>
  <c r="KX14" i="58"/>
  <c r="AE24" i="58"/>
  <c r="RT11" i="58"/>
  <c r="LK35" i="58"/>
  <c r="HY17" i="58"/>
  <c r="EN23" i="58"/>
  <c r="R12" i="58"/>
  <c r="ID8" i="58"/>
  <c r="MW20" i="58"/>
  <c r="MB41" i="58"/>
  <c r="DB22" i="58"/>
  <c r="OI23" i="58"/>
  <c r="MZ29" i="58"/>
  <c r="LD17" i="58"/>
  <c r="MN16" i="58"/>
  <c r="KE16" i="58"/>
  <c r="HP17" i="58"/>
  <c r="LT10" i="58"/>
  <c r="N8" i="58"/>
  <c r="JT16" i="58"/>
  <c r="EX21" i="58"/>
  <c r="MM17" i="58"/>
  <c r="BM19" i="58"/>
  <c r="HS14" i="58"/>
  <c r="QD19" i="58"/>
  <c r="FZ9" i="58"/>
  <c r="PG52" i="58"/>
  <c r="BN13" i="58"/>
  <c r="FE20" i="58"/>
  <c r="OL14" i="58"/>
  <c r="PD18" i="58"/>
  <c r="GP10" i="58"/>
  <c r="HW22" i="58"/>
  <c r="IC15" i="58"/>
  <c r="DX13" i="58"/>
  <c r="MY20" i="58"/>
  <c r="MI34" i="58"/>
  <c r="QA13" i="58"/>
  <c r="QB11" i="58"/>
  <c r="FL12" i="58"/>
  <c r="DL19" i="58"/>
  <c r="QM37" i="58"/>
  <c r="LI16" i="58"/>
  <c r="HB15" i="58"/>
  <c r="LA11" i="58"/>
  <c r="KV16" i="58"/>
  <c r="PS19" i="58"/>
  <c r="KW20" i="58"/>
  <c r="RG36" i="58"/>
  <c r="DE15" i="58"/>
  <c r="QU62" i="58"/>
  <c r="DP20" i="58"/>
  <c r="NO9" i="58"/>
  <c r="AK18" i="58"/>
  <c r="NR15" i="58"/>
  <c r="AZ24" i="58"/>
  <c r="AL18" i="58"/>
  <c r="OB14" i="58"/>
  <c r="LZ12" i="58"/>
  <c r="ML36" i="58"/>
  <c r="DD10" i="58"/>
  <c r="KO16" i="58"/>
  <c r="JG11" i="58"/>
  <c r="HW17" i="58"/>
  <c r="EN13" i="58"/>
  <c r="FO24" i="58"/>
  <c r="QJ17" i="58"/>
  <c r="KU8" i="58"/>
  <c r="CX19" i="58"/>
  <c r="DO18" i="58"/>
  <c r="QK29" i="58"/>
  <c r="QE23" i="58"/>
  <c r="RA19" i="58"/>
  <c r="U19" i="58"/>
  <c r="IS16" i="58"/>
  <c r="QG23" i="58"/>
  <c r="NW21" i="58"/>
  <c r="QF36" i="58"/>
  <c r="GE19" i="58"/>
  <c r="EF20" i="58"/>
  <c r="GB16" i="58"/>
  <c r="RI16" i="58"/>
  <c r="KX9" i="58"/>
  <c r="OT17" i="58"/>
  <c r="BD9" i="58"/>
  <c r="IF11" i="58"/>
  <c r="CX23" i="58"/>
  <c r="DN14" i="58"/>
  <c r="JK14" i="58"/>
  <c r="DN19" i="58"/>
  <c r="KP13" i="58"/>
  <c r="MY10" i="58"/>
  <c r="OM19" i="58"/>
  <c r="LB19" i="58"/>
  <c r="FB14" i="58"/>
  <c r="GH17" i="58"/>
  <c r="QY24" i="58"/>
  <c r="NI33" i="58"/>
  <c r="P23" i="58"/>
  <c r="JW23" i="58"/>
  <c r="NC18" i="58"/>
  <c r="PS34" i="58"/>
  <c r="GU22" i="58"/>
  <c r="BM15" i="58"/>
  <c r="NI21" i="58"/>
  <c r="KO10" i="58"/>
  <c r="FR21" i="58"/>
  <c r="DO12" i="58"/>
  <c r="BE11" i="58"/>
  <c r="IX11" i="58"/>
  <c r="PD21" i="58"/>
  <c r="EH10" i="58"/>
  <c r="BJ13" i="58"/>
  <c r="GW22" i="58"/>
  <c r="HD16" i="58"/>
  <c r="NL9" i="58"/>
  <c r="OW11" i="58"/>
  <c r="HW15" i="58"/>
  <c r="IK8" i="58"/>
  <c r="DR12" i="58"/>
  <c r="JX16" i="58"/>
  <c r="FQ10" i="58"/>
  <c r="PC20" i="58"/>
  <c r="NV20" i="58"/>
  <c r="QI24" i="58"/>
  <c r="PP42" i="58"/>
  <c r="BO17" i="58"/>
  <c r="RB41" i="58"/>
  <c r="IT20" i="58"/>
  <c r="OK22" i="58"/>
  <c r="PE29" i="58"/>
  <c r="BP15" i="58"/>
  <c r="MU16" i="58"/>
  <c r="EP8" i="58"/>
  <c r="AK17" i="58"/>
  <c r="JY13" i="58"/>
  <c r="QS13" i="58"/>
  <c r="NF17" i="58"/>
  <c r="QB23" i="58"/>
  <c r="FJ19" i="58"/>
  <c r="OV9" i="58"/>
  <c r="EG13" i="58"/>
  <c r="PW17" i="58"/>
  <c r="T17" i="58"/>
  <c r="AD15" i="58"/>
  <c r="MB16" i="58"/>
  <c r="GS13" i="58"/>
  <c r="NE9" i="58"/>
  <c r="DS11" i="58"/>
  <c r="QU12" i="58"/>
  <c r="CJ15" i="58"/>
  <c r="QE17" i="58"/>
  <c r="OR29" i="58"/>
  <c r="HF9" i="58"/>
  <c r="IK24" i="58"/>
  <c r="LF19" i="58"/>
  <c r="GQ23" i="58"/>
  <c r="OY51" i="58"/>
  <c r="QC39" i="58"/>
  <c r="MA24" i="58"/>
  <c r="KX12" i="58"/>
  <c r="AS17" i="58"/>
  <c r="PZ24" i="58"/>
  <c r="CJ13" i="58"/>
  <c r="FI11" i="58"/>
  <c r="GH23" i="58"/>
  <c r="MK8" i="58"/>
  <c r="IS15" i="58"/>
  <c r="QN18" i="58"/>
  <c r="PO21" i="58"/>
  <c r="KA18" i="58"/>
  <c r="GP16" i="58"/>
  <c r="OL22" i="58"/>
  <c r="LK19" i="58"/>
  <c r="AG13" i="58"/>
  <c r="MY15" i="58"/>
  <c r="KY10" i="58"/>
  <c r="NU11" i="58"/>
  <c r="OS8" i="58"/>
  <c r="O8" i="58"/>
  <c r="DU12" i="58"/>
  <c r="JL11" i="58"/>
  <c r="IB18" i="58"/>
  <c r="HG22" i="58"/>
  <c r="FK22" i="58"/>
  <c r="HU10" i="58"/>
  <c r="JI23" i="58"/>
  <c r="DC13" i="58"/>
  <c r="JK20" i="58"/>
  <c r="GZ13" i="58"/>
  <c r="MP14" i="58"/>
  <c r="LP16" i="58"/>
  <c r="AV18" i="58"/>
  <c r="RT10" i="58"/>
  <c r="HR21" i="58"/>
  <c r="DJ21" i="58"/>
  <c r="ED13" i="58"/>
  <c r="RC10" i="58"/>
  <c r="HF21" i="58"/>
  <c r="KW14" i="58"/>
  <c r="KL17" i="58"/>
  <c r="RC12" i="58"/>
  <c r="OG32" i="58"/>
  <c r="OC38" i="58"/>
  <c r="QN13" i="58"/>
  <c r="OO8" i="58"/>
  <c r="FR12" i="58"/>
  <c r="DA15" i="58"/>
  <c r="JH17" i="58"/>
  <c r="ER13" i="58"/>
  <c r="FB12" i="58"/>
  <c r="Y10" i="58"/>
  <c r="OZ14" i="58"/>
  <c r="RI19" i="58"/>
  <c r="RS30" i="58"/>
  <c r="HO23" i="58"/>
  <c r="LZ15" i="58"/>
  <c r="DH15" i="58"/>
  <c r="ED16" i="58"/>
  <c r="IN17" i="58"/>
  <c r="NV22" i="58"/>
  <c r="OC34" i="58"/>
  <c r="PM13" i="58"/>
  <c r="HA15" i="58"/>
  <c r="FT11" i="58"/>
  <c r="IE15" i="58"/>
  <c r="FH9" i="58"/>
  <c r="PJ16" i="58"/>
  <c r="PU15" i="58"/>
  <c r="HV16" i="58"/>
  <c r="OC18" i="58"/>
  <c r="HT14" i="58"/>
  <c r="IS10" i="58"/>
  <c r="LM13" i="58"/>
  <c r="EA11" i="58"/>
  <c r="AP17" i="58"/>
  <c r="HT8" i="58"/>
  <c r="DB24" i="58"/>
  <c r="LF15" i="58"/>
  <c r="NC20" i="58"/>
  <c r="JD15" i="58"/>
  <c r="GD21" i="58"/>
  <c r="EG24" i="58"/>
  <c r="OQ14" i="58"/>
  <c r="PU9" i="58"/>
  <c r="NS9" i="58"/>
  <c r="QF23" i="58"/>
  <c r="OJ19" i="58"/>
  <c r="JL22" i="58"/>
  <c r="MQ13" i="58"/>
  <c r="EH15" i="58"/>
  <c r="ND18" i="58"/>
  <c r="LL36" i="58"/>
  <c r="FB15" i="58"/>
  <c r="OK16" i="58"/>
  <c r="CM14" i="58"/>
  <c r="BO12" i="58"/>
  <c r="BF8" i="58"/>
  <c r="KR14" i="58"/>
  <c r="PB19" i="58"/>
  <c r="JK18" i="58"/>
  <c r="JH11" i="58"/>
  <c r="JB10" i="58"/>
  <c r="P13" i="58"/>
  <c r="DV12" i="58"/>
  <c r="RU12" i="58"/>
  <c r="QA38" i="58"/>
  <c r="R24" i="58"/>
  <c r="RC20" i="58"/>
  <c r="LK23" i="58"/>
  <c r="LJ30" i="58"/>
  <c r="AZ20" i="58"/>
  <c r="LG22" i="58"/>
  <c r="QX16" i="58"/>
  <c r="NM8" i="58"/>
  <c r="DP17" i="58"/>
  <c r="DU16" i="58"/>
  <c r="NZ10" i="58"/>
  <c r="MW16" i="58"/>
  <c r="HE20" i="58"/>
  <c r="QE22" i="58"/>
  <c r="ER11" i="58"/>
  <c r="NB12" i="58"/>
  <c r="AV24" i="58"/>
  <c r="LJ9" i="58"/>
  <c r="ON15" i="58"/>
  <c r="QI12" i="58"/>
  <c r="QI13" i="58"/>
  <c r="FC20" i="58"/>
  <c r="JW18" i="58"/>
  <c r="OO18" i="58"/>
  <c r="Q23" i="58"/>
  <c r="OY9" i="58"/>
  <c r="AW8" i="58"/>
  <c r="CL9" i="58"/>
  <c r="CE9" i="58"/>
  <c r="GI19" i="58"/>
  <c r="HG19" i="58"/>
  <c r="EM16" i="58"/>
  <c r="KC15" i="58"/>
  <c r="IT24" i="58"/>
  <c r="RT13" i="58"/>
  <c r="AJ22" i="58"/>
  <c r="FB13" i="58"/>
  <c r="JZ18" i="58"/>
  <c r="S24" i="58"/>
  <c r="NT9" i="58"/>
  <c r="JW13" i="58"/>
  <c r="RO21" i="58"/>
  <c r="DM19" i="58"/>
  <c r="IK9" i="58"/>
  <c r="AD21" i="58"/>
  <c r="BC16" i="58"/>
  <c r="MR20" i="58"/>
  <c r="CJ19" i="58"/>
  <c r="BI9" i="58"/>
  <c r="GT15" i="58"/>
  <c r="MB15" i="58"/>
  <c r="CO10" i="58"/>
  <c r="IB14" i="58"/>
  <c r="PG16" i="58"/>
  <c r="EU16" i="58"/>
  <c r="KO22" i="58"/>
  <c r="NA19" i="58"/>
  <c r="JY17" i="58"/>
  <c r="X15" i="58"/>
  <c r="RE21" i="58"/>
  <c r="RL34" i="58"/>
  <c r="EG21" i="58"/>
  <c r="IH19" i="58"/>
  <c r="DI16" i="58"/>
  <c r="CC13" i="58"/>
  <c r="LL10" i="58"/>
  <c r="NQ16" i="58"/>
  <c r="CB15" i="58"/>
  <c r="JF8" i="58"/>
  <c r="OJ11" i="58"/>
  <c r="NR13" i="58"/>
  <c r="EZ16" i="58"/>
  <c r="QD17" i="58"/>
  <c r="QM24" i="58"/>
  <c r="DM20" i="58"/>
  <c r="IV14" i="58"/>
  <c r="QJ18" i="58"/>
  <c r="MS9" i="58"/>
  <c r="KJ20" i="58"/>
  <c r="PV18" i="58"/>
  <c r="RC17" i="58"/>
  <c r="MY40" i="58"/>
  <c r="BY15" i="58"/>
  <c r="RM37" i="58"/>
  <c r="MF33" i="58"/>
  <c r="DH20" i="58"/>
  <c r="QY23" i="58"/>
  <c r="JM15" i="58"/>
  <c r="LY15" i="58"/>
  <c r="HD15" i="58"/>
  <c r="MH9" i="58"/>
  <c r="NI16" i="58"/>
  <c r="NV21" i="58"/>
  <c r="AQ8" i="58"/>
  <c r="NH17" i="58"/>
  <c r="JN10" i="58"/>
  <c r="OQ32" i="58"/>
  <c r="QA10" i="58"/>
  <c r="GO19" i="58"/>
  <c r="CF12" i="58"/>
  <c r="OX16" i="58"/>
  <c r="NY23" i="58"/>
  <c r="JE21" i="58"/>
  <c r="RR18" i="58"/>
  <c r="FT12" i="58"/>
  <c r="OI11" i="58"/>
  <c r="QS10" i="58"/>
  <c r="S11" i="58"/>
  <c r="GM13" i="58"/>
  <c r="QO14" i="58"/>
  <c r="MF10" i="58"/>
  <c r="RR22" i="58"/>
  <c r="MP29" i="58"/>
  <c r="MS17" i="58"/>
  <c r="BH10" i="58"/>
  <c r="OL30" i="58"/>
  <c r="RC21" i="58"/>
  <c r="AQ19" i="58"/>
  <c r="ME23" i="58"/>
  <c r="JW8" i="58"/>
  <c r="PE16" i="58"/>
  <c r="HW18" i="58"/>
  <c r="RB17" i="58"/>
  <c r="DB18" i="58"/>
  <c r="LN9" i="58"/>
  <c r="DM22" i="58"/>
  <c r="EU19" i="58"/>
  <c r="KJ18" i="58"/>
  <c r="O17" i="58"/>
  <c r="DR17" i="58"/>
  <c r="NC13" i="58"/>
  <c r="MW14" i="58"/>
  <c r="DR20" i="58"/>
  <c r="EQ14" i="58"/>
  <c r="KX13" i="58"/>
  <c r="JB21" i="58"/>
  <c r="BA8" i="58"/>
  <c r="HN13" i="58"/>
  <c r="CD10" i="58"/>
  <c r="QM39" i="58"/>
  <c r="RG42" i="58"/>
  <c r="BZ14" i="58"/>
  <c r="IO20" i="58"/>
  <c r="LD33" i="58"/>
  <c r="AY20" i="58"/>
  <c r="AF12" i="58"/>
  <c r="LG18" i="58"/>
  <c r="DE20" i="58"/>
  <c r="DP12" i="58"/>
  <c r="NM10" i="58"/>
  <c r="DH18" i="58"/>
  <c r="QW17" i="58"/>
  <c r="ON14" i="58"/>
  <c r="NI29" i="58"/>
  <c r="DC21" i="58"/>
  <c r="OH14" i="58"/>
  <c r="PB13" i="58"/>
  <c r="HJ12" i="58"/>
  <c r="LQ18" i="58"/>
  <c r="AJ18" i="58"/>
  <c r="JT10" i="58"/>
  <c r="T12" i="58"/>
  <c r="PO17" i="58"/>
  <c r="JJ10" i="58"/>
  <c r="CP8" i="58"/>
  <c r="RO11" i="58"/>
  <c r="BA22" i="58"/>
  <c r="NX18" i="58"/>
  <c r="AG14" i="58"/>
  <c r="IW13" i="58"/>
  <c r="FC11" i="58"/>
  <c r="KF17" i="58"/>
  <c r="OV17" i="58"/>
  <c r="QH39" i="58"/>
  <c r="NM17" i="58"/>
  <c r="IM12" i="58"/>
  <c r="IZ18" i="58"/>
  <c r="NA36" i="58"/>
  <c r="HB11" i="58"/>
  <c r="DQ8" i="58"/>
  <c r="MU32" i="58"/>
  <c r="IX13" i="58"/>
  <c r="QI10" i="58"/>
  <c r="AM23" i="58"/>
  <c r="LF17" i="58"/>
  <c r="RB15" i="58"/>
  <c r="KJ19" i="58"/>
  <c r="OM14" i="58"/>
  <c r="AD11" i="58"/>
  <c r="FM10" i="58"/>
  <c r="IB16" i="58"/>
  <c r="II16" i="58"/>
  <c r="BZ13" i="58"/>
  <c r="HU9" i="58"/>
  <c r="EX16" i="58"/>
  <c r="GG19" i="58"/>
  <c r="HD20" i="58"/>
  <c r="BJ17" i="58"/>
  <c r="BP17" i="58"/>
  <c r="LK30" i="58"/>
  <c r="IB23" i="58"/>
  <c r="FF19" i="58"/>
  <c r="JY20" i="58"/>
  <c r="GW15" i="58"/>
  <c r="KL16" i="58"/>
  <c r="DR13" i="58"/>
  <c r="QB20" i="58"/>
  <c r="CM19" i="58"/>
  <c r="MX17" i="58"/>
  <c r="EY21" i="58"/>
  <c r="LJ17" i="58"/>
  <c r="EW15" i="58"/>
  <c r="NM24" i="58"/>
  <c r="IJ17" i="58"/>
  <c r="ER9" i="58"/>
  <c r="FT17" i="58"/>
  <c r="PY13" i="58"/>
  <c r="GL13" i="58"/>
  <c r="KE12" i="58"/>
  <c r="IY14" i="58"/>
  <c r="AG17" i="58"/>
  <c r="DY20" i="58"/>
  <c r="NM20" i="58"/>
  <c r="QX22" i="58"/>
  <c r="MB24" i="58"/>
  <c r="ET18" i="58"/>
  <c r="OT13" i="58"/>
  <c r="AQ24" i="58"/>
  <c r="DJ14" i="58"/>
  <c r="JM10" i="58"/>
  <c r="CI11" i="58"/>
  <c r="MR10" i="58"/>
  <c r="LB20" i="58"/>
  <c r="JE12" i="58"/>
  <c r="JN20" i="58"/>
  <c r="IF17" i="58"/>
  <c r="CE17" i="58"/>
  <c r="OH10" i="58"/>
  <c r="RS24" i="58"/>
  <c r="HR17" i="58"/>
  <c r="FL15" i="58"/>
  <c r="U17" i="58"/>
  <c r="GF19" i="58"/>
  <c r="AX13" i="58"/>
  <c r="AG11" i="58"/>
  <c r="ET16" i="58"/>
  <c r="PN31" i="58"/>
  <c r="ED23" i="58"/>
  <c r="RL21" i="58"/>
  <c r="HK8" i="58"/>
  <c r="CB14" i="58"/>
  <c r="QP19" i="58"/>
  <c r="PB8" i="58"/>
  <c r="EG17" i="58"/>
  <c r="KF8" i="58"/>
  <c r="OZ19" i="58"/>
  <c r="NQ9" i="58"/>
  <c r="KF19" i="58"/>
  <c r="EH16" i="58"/>
  <c r="GN10" i="58"/>
  <c r="BJ8" i="58"/>
  <c r="DO11" i="58"/>
  <c r="PP13" i="58"/>
  <c r="OV32" i="58"/>
  <c r="AU22" i="58"/>
  <c r="AI15" i="58"/>
  <c r="QC31" i="58"/>
  <c r="OF19" i="58"/>
  <c r="QN19" i="58"/>
  <c r="NA34" i="58"/>
  <c r="JP20" i="58"/>
  <c r="EK11" i="58"/>
  <c r="PB9" i="58"/>
  <c r="S12" i="58"/>
  <c r="FT16" i="58"/>
  <c r="AH18" i="58"/>
  <c r="AT21" i="58"/>
  <c r="LR16" i="58"/>
  <c r="AZ10" i="58"/>
  <c r="GE8" i="58"/>
  <c r="IU19" i="58"/>
  <c r="CW18" i="58"/>
  <c r="KQ10" i="58"/>
  <c r="QT11" i="58"/>
  <c r="EL16" i="58"/>
  <c r="PQ8" i="58"/>
  <c r="FC12" i="58"/>
  <c r="HD14" i="58"/>
  <c r="GS18" i="58"/>
  <c r="CE18" i="58"/>
  <c r="QV23" i="58"/>
  <c r="QA18" i="58"/>
  <c r="QM15" i="58"/>
  <c r="PR34" i="58"/>
  <c r="FQ18" i="58"/>
  <c r="EL21" i="58"/>
  <c r="FO21" i="58"/>
  <c r="EI11" i="58"/>
  <c r="BD18" i="58"/>
  <c r="BB16" i="58"/>
  <c r="PS30" i="58"/>
  <c r="IJ18" i="58"/>
  <c r="LG19" i="58"/>
  <c r="Z16" i="58"/>
  <c r="QD12" i="58"/>
  <c r="PP16" i="58"/>
  <c r="GC14" i="58"/>
  <c r="LV16" i="58"/>
  <c r="W16" i="58"/>
  <c r="LM12" i="58"/>
  <c r="LU16" i="58"/>
  <c r="NH11" i="58"/>
  <c r="CY14" i="58"/>
  <c r="MT18" i="58"/>
  <c r="BM14" i="58"/>
  <c r="PK17" i="58"/>
  <c r="LU19" i="58"/>
  <c r="HB9" i="58"/>
  <c r="Z22" i="58"/>
  <c r="EX17" i="58"/>
  <c r="CN19" i="58"/>
  <c r="HH16" i="58"/>
  <c r="IM22" i="58"/>
  <c r="MF39" i="58"/>
  <c r="JQ22" i="58"/>
  <c r="HH21" i="58"/>
  <c r="RB20" i="58"/>
  <c r="OE21" i="58"/>
  <c r="NS14" i="58"/>
  <c r="KF16" i="58"/>
  <c r="GK20" i="58"/>
  <c r="RA15" i="58"/>
  <c r="HF10" i="58"/>
  <c r="OL15" i="58"/>
  <c r="GR10" i="58"/>
  <c r="CS16" i="58"/>
  <c r="AX22" i="58"/>
  <c r="IC12" i="58"/>
  <c r="DC20" i="58"/>
  <c r="EQ17" i="58"/>
  <c r="CN11" i="58"/>
  <c r="KO19" i="58"/>
  <c r="PN11" i="58"/>
  <c r="OM20" i="58"/>
  <c r="DF20" i="58"/>
  <c r="Q14" i="58"/>
  <c r="AU17" i="58"/>
  <c r="FR13" i="58"/>
  <c r="FF16" i="58"/>
  <c r="CU20" i="58"/>
  <c r="CM15" i="58"/>
  <c r="PU30" i="58"/>
  <c r="LG13" i="58"/>
  <c r="KU42" i="58"/>
  <c r="GL10" i="58"/>
  <c r="HH24" i="58"/>
  <c r="MX20" i="58"/>
  <c r="BF21" i="58"/>
  <c r="PQ36" i="58"/>
  <c r="DS20" i="58"/>
  <c r="BY18" i="58"/>
  <c r="GZ21" i="58"/>
  <c r="FQ17" i="58"/>
  <c r="JZ16" i="58"/>
  <c r="LX18" i="58"/>
  <c r="MH15" i="58"/>
  <c r="BB20" i="58"/>
  <c r="JO10" i="58"/>
  <c r="OD11" i="58"/>
  <c r="NI19" i="58"/>
  <c r="DN8" i="58"/>
  <c r="NL48" i="58"/>
  <c r="IA23" i="58"/>
  <c r="DJ11" i="58"/>
  <c r="KF10" i="58"/>
  <c r="KH9" i="58"/>
  <c r="JG16" i="58"/>
  <c r="MJ9" i="58"/>
  <c r="LN38" i="58"/>
  <c r="IN23" i="58"/>
  <c r="QC18" i="58"/>
  <c r="MM23" i="58"/>
  <c r="NI24" i="58"/>
  <c r="QZ18" i="58"/>
  <c r="T18" i="58"/>
  <c r="OB11" i="58"/>
  <c r="IN12" i="58"/>
  <c r="CV20" i="58"/>
  <c r="HB16" i="58"/>
  <c r="NA24" i="58"/>
  <c r="MS12" i="58"/>
  <c r="QA12" i="58"/>
  <c r="FW8" i="58"/>
  <c r="KC11" i="58"/>
  <c r="AF22" i="58"/>
  <c r="FO10" i="58"/>
  <c r="CR17" i="58"/>
  <c r="ER14" i="58"/>
  <c r="HW11" i="58"/>
  <c r="NH10" i="58"/>
  <c r="PO9" i="58"/>
  <c r="QC9" i="58"/>
  <c r="GA12" i="58"/>
  <c r="FX9" i="58"/>
  <c r="KH21" i="58"/>
  <c r="NE17" i="58"/>
  <c r="PJ13" i="58"/>
  <c r="PJ35" i="58"/>
  <c r="GT23" i="58"/>
  <c r="NC15" i="58"/>
  <c r="OD21" i="58"/>
  <c r="PQ18" i="58"/>
  <c r="KN13" i="58"/>
  <c r="JA10" i="58"/>
  <c r="RJ19" i="58"/>
  <c r="HO13" i="58"/>
  <c r="OM24" i="58"/>
  <c r="EK18" i="58"/>
  <c r="QL23" i="58"/>
  <c r="HZ8" i="58"/>
  <c r="IZ8" i="58"/>
  <c r="CZ11" i="58"/>
  <c r="CT8" i="58"/>
  <c r="QC8" i="58"/>
  <c r="OX10" i="58"/>
  <c r="FX22" i="58"/>
  <c r="MR11" i="58"/>
  <c r="PN17" i="58"/>
  <c r="CF13" i="58"/>
  <c r="RL12" i="58"/>
  <c r="CS8" i="58"/>
  <c r="PX17" i="58"/>
  <c r="MF15" i="58"/>
  <c r="DY13" i="58"/>
  <c r="RK15" i="58"/>
  <c r="FK15" i="58"/>
  <c r="EL15" i="58"/>
  <c r="LL38" i="58"/>
  <c r="LA19" i="58"/>
  <c r="PS16" i="58"/>
  <c r="GN24" i="58"/>
  <c r="DA9" i="58"/>
  <c r="JP11" i="58"/>
  <c r="MR17" i="58"/>
  <c r="HG8" i="58"/>
  <c r="QZ19" i="58"/>
  <c r="KZ40" i="58"/>
  <c r="CI21" i="58"/>
  <c r="LD20" i="58"/>
  <c r="DC16" i="58"/>
  <c r="LU14" i="58"/>
  <c r="LP19" i="58"/>
  <c r="IJ16" i="58"/>
  <c r="ME35" i="58"/>
  <c r="OC14" i="58"/>
  <c r="DI13" i="58"/>
  <c r="GD16" i="58"/>
  <c r="BW11" i="58"/>
  <c r="HB18" i="58"/>
  <c r="MB11" i="58"/>
  <c r="NZ15" i="58"/>
  <c r="CP14" i="58"/>
  <c r="NQ18" i="58"/>
  <c r="HD11" i="58"/>
  <c r="QM23" i="58"/>
  <c r="CY10" i="58"/>
  <c r="OF15" i="58"/>
  <c r="PB20" i="58"/>
  <c r="KU13" i="58"/>
  <c r="PF15" i="58"/>
  <c r="JL12" i="58"/>
  <c r="PW12" i="58"/>
  <c r="DW13" i="58"/>
  <c r="LQ22" i="58"/>
  <c r="MM19" i="58"/>
  <c r="LZ34" i="58"/>
  <c r="BZ20" i="58"/>
  <c r="HI22" i="58"/>
  <c r="AB17" i="58"/>
  <c r="KM18" i="58"/>
  <c r="EO21" i="58"/>
  <c r="IZ23" i="58"/>
  <c r="NP12" i="58"/>
  <c r="HL23" i="58"/>
  <c r="BL14" i="58"/>
  <c r="LQ31" i="58"/>
  <c r="AB15" i="58"/>
  <c r="OW9" i="58"/>
  <c r="OB31" i="58"/>
  <c r="LN15" i="58"/>
  <c r="LO18" i="58"/>
  <c r="DM14" i="58"/>
  <c r="EN14" i="58"/>
  <c r="EZ18" i="58"/>
  <c r="HD12" i="58"/>
  <c r="HH20" i="58"/>
  <c r="QH14" i="58"/>
  <c r="DO10" i="58"/>
  <c r="IR12" i="58"/>
  <c r="BS9" i="58"/>
  <c r="DF9" i="58"/>
  <c r="RJ16" i="58"/>
  <c r="IA19" i="58"/>
  <c r="RJ40" i="58"/>
  <c r="FT18" i="58"/>
  <c r="RF30" i="58"/>
  <c r="FW22" i="58"/>
  <c r="HM24" i="58"/>
  <c r="HW13" i="58"/>
  <c r="PA10" i="58"/>
  <c r="Y21" i="58"/>
  <c r="QM21" i="58"/>
  <c r="CR18" i="58"/>
  <c r="LQ17" i="58"/>
  <c r="ID11" i="58"/>
  <c r="PD20" i="58"/>
  <c r="OC9" i="58"/>
  <c r="HJ22" i="58"/>
  <c r="LB24" i="58"/>
  <c r="KA9" i="58"/>
  <c r="LR23" i="58"/>
  <c r="QL13" i="58"/>
  <c r="AN17" i="58"/>
  <c r="PR20" i="58"/>
  <c r="AH11" i="58"/>
  <c r="RB29" i="58"/>
  <c r="IZ19" i="58"/>
  <c r="KS18" i="58"/>
  <c r="EI12" i="58"/>
  <c r="MQ34" i="58"/>
  <c r="BV13" i="58"/>
  <c r="DE11" i="58"/>
  <c r="EU15" i="58"/>
  <c r="JB23" i="58"/>
  <c r="AC11" i="58"/>
  <c r="MI17" i="58"/>
  <c r="RH14" i="58"/>
  <c r="FZ12" i="58"/>
  <c r="LT47" i="58"/>
  <c r="QM29" i="58"/>
  <c r="QF14" i="58"/>
  <c r="IL23" i="58"/>
  <c r="PP8" i="58"/>
  <c r="QD23" i="58"/>
  <c r="V21" i="58"/>
  <c r="OM16" i="58"/>
  <c r="GB13" i="58"/>
  <c r="EI20" i="58"/>
  <c r="PN9" i="58"/>
  <c r="LZ23" i="58"/>
  <c r="IJ19" i="58"/>
  <c r="IG24" i="58"/>
  <c r="QD30" i="58"/>
  <c r="QA9" i="58"/>
  <c r="DL23" i="58"/>
  <c r="RM17" i="58"/>
  <c r="DH12" i="58"/>
  <c r="QJ24" i="58"/>
  <c r="GJ16" i="58"/>
  <c r="KK9" i="58"/>
  <c r="KE15" i="58"/>
  <c r="GD10" i="58"/>
  <c r="MG13" i="58"/>
  <c r="KI23" i="58"/>
  <c r="DJ12" i="58"/>
  <c r="KL8" i="58"/>
  <c r="AA21" i="58"/>
  <c r="NU19" i="58"/>
  <c r="HI24" i="58"/>
  <c r="HO19" i="58"/>
  <c r="QH12" i="58"/>
  <c r="NE14" i="58"/>
  <c r="HL17" i="58"/>
  <c r="JR12" i="58"/>
  <c r="BU10" i="58"/>
  <c r="HH23" i="58"/>
  <c r="OP30" i="58"/>
  <c r="NZ17" i="58"/>
  <c r="PG17" i="58"/>
  <c r="EZ12" i="58"/>
  <c r="PI9" i="58"/>
  <c r="ME46" i="58"/>
  <c r="QQ21" i="58"/>
  <c r="EL11" i="58"/>
  <c r="OW19" i="58"/>
  <c r="JK17" i="58"/>
  <c r="RG19" i="58"/>
  <c r="Q22" i="58"/>
  <c r="GU18" i="58"/>
  <c r="IT19" i="58"/>
  <c r="GM12" i="58"/>
  <c r="GX13" i="58"/>
  <c r="LM11" i="58"/>
  <c r="ND15" i="58"/>
  <c r="RQ34" i="58"/>
  <c r="KX15" i="58"/>
  <c r="MI23" i="58"/>
  <c r="MF35" i="58"/>
  <c r="FD18" i="58"/>
  <c r="BH19" i="58"/>
  <c r="KY19" i="58"/>
  <c r="AD13" i="58"/>
  <c r="EX19" i="58"/>
  <c r="JY11" i="58"/>
  <c r="LL14" i="58"/>
  <c r="RM20" i="58"/>
  <c r="HL20" i="58"/>
  <c r="IE17" i="58"/>
  <c r="T11" i="58"/>
  <c r="BC18" i="58"/>
  <c r="PW10" i="58"/>
  <c r="S8" i="58"/>
  <c r="RR12" i="58"/>
  <c r="JO21" i="58"/>
  <c r="X18" i="58"/>
  <c r="EP11" i="58"/>
  <c r="FT13" i="58"/>
  <c r="MZ16" i="58"/>
  <c r="HT11" i="58"/>
  <c r="S16" i="58"/>
  <c r="FF9" i="58"/>
  <c r="CM22" i="58"/>
  <c r="MU15" i="58"/>
  <c r="NC39" i="58"/>
  <c r="LC18" i="58"/>
  <c r="W17" i="58"/>
  <c r="HB13" i="58"/>
  <c r="QR33" i="58"/>
  <c r="CA24" i="58"/>
  <c r="BB14" i="58"/>
  <c r="BD17" i="58"/>
  <c r="DS18" i="58"/>
  <c r="HH12" i="58"/>
  <c r="AF14" i="58"/>
  <c r="PC17" i="58"/>
  <c r="LW9" i="58"/>
  <c r="LX23" i="58"/>
  <c r="KV22" i="58"/>
  <c r="QM9" i="58"/>
  <c r="QP15" i="58"/>
  <c r="OO14" i="58"/>
  <c r="IU21" i="58"/>
  <c r="QN21" i="58"/>
  <c r="PG19" i="58"/>
  <c r="PF13" i="58"/>
  <c r="BA16" i="58"/>
  <c r="QE8" i="58"/>
  <c r="PY14" i="58"/>
  <c r="S14" i="58"/>
  <c r="O11" i="58"/>
  <c r="MQ16" i="58"/>
  <c r="PK16" i="58"/>
  <c r="MH21" i="58"/>
  <c r="NK21" i="58"/>
  <c r="HI20" i="58"/>
  <c r="BL18" i="58"/>
  <c r="BA23" i="58"/>
  <c r="IF22" i="58"/>
  <c r="PE18" i="58"/>
  <c r="GD14" i="58"/>
  <c r="BD10" i="58"/>
  <c r="OJ22" i="58"/>
  <c r="QO21" i="58"/>
  <c r="MG20" i="58"/>
  <c r="MF16" i="58"/>
  <c r="FG12" i="58"/>
  <c r="LL20" i="58"/>
  <c r="LV37" i="58"/>
  <c r="OV20" i="58"/>
  <c r="PU12" i="58"/>
  <c r="IQ16" i="58"/>
  <c r="EY13" i="58"/>
  <c r="Y8" i="58"/>
  <c r="KU19" i="58"/>
  <c r="GI12" i="58"/>
  <c r="OV14" i="58"/>
  <c r="KB8" i="58"/>
  <c r="RG21" i="58"/>
  <c r="MC36" i="58"/>
  <c r="QK18" i="58"/>
  <c r="RB11" i="58"/>
  <c r="BE22" i="58"/>
  <c r="LE13" i="58"/>
  <c r="S22" i="58"/>
  <c r="JE17" i="58"/>
  <c r="OQ22" i="58"/>
  <c r="ER20" i="58"/>
  <c r="BM22" i="58"/>
  <c r="NQ22" i="58"/>
  <c r="GM20" i="58"/>
  <c r="JL13" i="58"/>
  <c r="O12" i="58"/>
  <c r="BW14" i="58"/>
  <c r="HA24" i="58"/>
  <c r="LP18" i="58"/>
  <c r="QB10" i="58"/>
  <c r="MO9" i="58"/>
  <c r="EM24" i="58"/>
  <c r="RN32" i="58"/>
  <c r="DE10" i="58"/>
  <c r="OY19" i="58"/>
  <c r="IE9" i="58"/>
  <c r="DP11" i="58"/>
  <c r="NZ14" i="58"/>
  <c r="N18" i="58"/>
  <c r="KQ32" i="58"/>
  <c r="LV34" i="58"/>
  <c r="IO16" i="58"/>
  <c r="AA19" i="58"/>
  <c r="PF20" i="58"/>
  <c r="RV19" i="58"/>
  <c r="CA12" i="58"/>
  <c r="RL31" i="58"/>
  <c r="DM18" i="58"/>
  <c r="MF14" i="58"/>
  <c r="LW8" i="58"/>
  <c r="MO22" i="58"/>
  <c r="OK19" i="58"/>
  <c r="RO24" i="58"/>
  <c r="OH18" i="58"/>
  <c r="BQ15" i="58"/>
  <c r="RH8" i="58"/>
  <c r="ML12" i="58"/>
  <c r="QW16" i="58"/>
  <c r="AJ8" i="58"/>
  <c r="DU11" i="58"/>
  <c r="IB13" i="58"/>
  <c r="MH12" i="58"/>
  <c r="JR15" i="58"/>
  <c r="IN8" i="58"/>
  <c r="X14" i="58"/>
  <c r="LG9" i="58"/>
  <c r="FU16" i="58"/>
  <c r="KT35" i="58"/>
  <c r="LG16" i="58"/>
  <c r="EW17" i="58"/>
  <c r="LH32" i="58"/>
  <c r="RE19" i="58"/>
  <c r="RD33" i="58"/>
  <c r="OP24" i="58"/>
  <c r="AA8" i="58"/>
  <c r="DN23" i="58"/>
  <c r="HA16" i="58"/>
  <c r="KZ17" i="58"/>
  <c r="HB21" i="58"/>
  <c r="IU16" i="58"/>
  <c r="RM31" i="58"/>
  <c r="PN30" i="58"/>
  <c r="GE9" i="58"/>
  <c r="AX16" i="58"/>
  <c r="CM23" i="58"/>
  <c r="DE14" i="58"/>
  <c r="MH16" i="58"/>
  <c r="HE10" i="58"/>
  <c r="AH20" i="58"/>
  <c r="IM16" i="58"/>
  <c r="RF11" i="58"/>
  <c r="OV18" i="58"/>
  <c r="AP18" i="58"/>
  <c r="KP16" i="58"/>
  <c r="KZ13" i="58"/>
  <c r="JE22" i="58"/>
  <c r="QA43" i="58"/>
  <c r="JK15" i="58"/>
  <c r="FG11" i="58"/>
  <c r="NE16" i="58"/>
  <c r="IT16" i="58"/>
  <c r="ID9" i="58"/>
  <c r="QO19" i="58"/>
  <c r="FY23" i="58"/>
  <c r="IH8" i="58"/>
  <c r="KP19" i="58"/>
  <c r="HK22" i="58"/>
  <c r="LV21" i="58"/>
  <c r="PA17" i="58"/>
  <c r="BU20" i="58"/>
  <c r="LK15" i="58"/>
  <c r="NT8" i="58"/>
  <c r="HA10" i="58"/>
  <c r="DE12" i="58"/>
  <c r="RL24" i="58"/>
  <c r="EO9" i="58"/>
  <c r="NK15" i="58"/>
  <c r="LV12" i="58"/>
  <c r="PO11" i="58"/>
  <c r="IR13" i="58"/>
  <c r="BV10" i="58"/>
  <c r="DX10" i="58"/>
  <c r="AC22" i="58"/>
  <c r="AD17" i="58"/>
  <c r="JV19" i="58"/>
  <c r="LH22" i="58"/>
  <c r="MA34" i="58"/>
  <c r="BL17" i="58"/>
  <c r="HX21" i="58"/>
  <c r="MG21" i="58"/>
  <c r="GM8" i="58"/>
  <c r="JG17" i="58"/>
  <c r="NC16" i="58"/>
  <c r="BV9" i="58"/>
  <c r="FT14" i="58"/>
  <c r="MI20" i="58"/>
  <c r="HG9" i="58"/>
  <c r="JA9" i="58"/>
  <c r="PT8" i="58"/>
  <c r="PM17" i="58"/>
  <c r="V8" i="58"/>
  <c r="KA17" i="58"/>
  <c r="OS17" i="58"/>
  <c r="GK17" i="58"/>
  <c r="BI12" i="58"/>
  <c r="AH12" i="58"/>
  <c r="JN13" i="58"/>
  <c r="OG12" i="58"/>
  <c r="CY16" i="58"/>
  <c r="NY19" i="58"/>
  <c r="JB15" i="58"/>
  <c r="AW10" i="58"/>
  <c r="EH24" i="58"/>
  <c r="HZ19" i="58"/>
  <c r="AM11" i="58"/>
  <c r="LU30" i="58"/>
  <c r="JH12" i="58"/>
  <c r="CH20" i="58"/>
  <c r="EH13" i="58"/>
  <c r="DL18" i="58"/>
  <c r="PX15" i="58"/>
  <c r="DD14" i="58"/>
  <c r="NM18" i="58"/>
  <c r="DS13" i="58"/>
  <c r="LU9" i="58"/>
  <c r="FC21" i="58"/>
  <c r="HE14" i="58"/>
  <c r="CE11" i="58"/>
  <c r="JJ15" i="58"/>
  <c r="CT18" i="58"/>
  <c r="IV9" i="58"/>
  <c r="NV14" i="58"/>
  <c r="GG8" i="58"/>
  <c r="II19" i="58"/>
  <c r="KQ15" i="58"/>
  <c r="JS13" i="58"/>
  <c r="OT24" i="58"/>
  <c r="RP34" i="58"/>
  <c r="IJ22" i="58"/>
  <c r="KY15" i="58"/>
  <c r="HM22" i="58"/>
  <c r="FH18" i="58"/>
  <c r="Z10" i="58"/>
  <c r="EZ21" i="58"/>
  <c r="LP14" i="58"/>
  <c r="DX12" i="58"/>
  <c r="FW10" i="58"/>
  <c r="GO16" i="58"/>
  <c r="PR13" i="58"/>
  <c r="NI22" i="58"/>
  <c r="CZ22" i="58"/>
  <c r="RO17" i="58"/>
  <c r="PP21" i="58"/>
  <c r="DT24" i="58"/>
  <c r="MJ14" i="58"/>
  <c r="EG18" i="58"/>
  <c r="HK16" i="58"/>
  <c r="P19" i="58"/>
  <c r="GQ16" i="58"/>
  <c r="CD16" i="58"/>
  <c r="MK13" i="58"/>
  <c r="LQ15" i="58"/>
  <c r="LQ23" i="58"/>
  <c r="MG10" i="58"/>
  <c r="AE11" i="58"/>
  <c r="U15" i="58"/>
  <c r="JA12" i="58"/>
  <c r="KC10" i="58"/>
  <c r="OD19" i="58"/>
  <c r="HF17" i="58"/>
  <c r="QA21" i="58"/>
  <c r="JQ11" i="58"/>
  <c r="JB18" i="58"/>
  <c r="GY17" i="58"/>
  <c r="IK19" i="58"/>
  <c r="OZ42" i="58"/>
  <c r="AI17" i="58"/>
  <c r="KH8" i="58"/>
  <c r="GS23" i="58"/>
  <c r="EM20" i="58"/>
  <c r="NZ16" i="58"/>
  <c r="PI30" i="58"/>
  <c r="DY10" i="58"/>
  <c r="LF10" i="58"/>
  <c r="NY24" i="58"/>
  <c r="GZ24" i="58"/>
  <c r="BO20" i="58"/>
  <c r="MM18" i="58"/>
  <c r="RK12" i="58"/>
  <c r="QJ11" i="58"/>
  <c r="MS16" i="58"/>
  <c r="AH13" i="58"/>
  <c r="GV8" i="58"/>
  <c r="DC24" i="58"/>
  <c r="HU19" i="58"/>
  <c r="IV24" i="58"/>
  <c r="QU32" i="58"/>
  <c r="DV20" i="58"/>
  <c r="DT18" i="58"/>
  <c r="II21" i="58"/>
  <c r="PU19" i="58"/>
  <c r="MC17" i="58"/>
  <c r="BU9" i="58"/>
  <c r="IE23" i="58"/>
  <c r="CR19" i="58"/>
  <c r="LY22" i="58"/>
  <c r="AX12" i="58"/>
  <c r="OI8" i="58"/>
  <c r="HQ18" i="58"/>
  <c r="RT20" i="58"/>
  <c r="LZ32" i="58"/>
  <c r="OA20" i="58"/>
  <c r="MG30" i="58"/>
  <c r="NA10" i="58"/>
  <c r="FN11" i="58"/>
  <c r="IW15" i="58"/>
  <c r="OM10" i="58"/>
  <c r="PN19" i="58"/>
  <c r="NP19" i="58"/>
  <c r="CL17" i="58"/>
  <c r="PQ43" i="58"/>
  <c r="CQ23" i="58"/>
  <c r="QW31" i="58"/>
  <c r="QC13" i="58"/>
  <c r="KI19" i="58"/>
  <c r="JN18" i="58"/>
  <c r="EF12" i="58"/>
  <c r="DY18" i="58"/>
  <c r="NT18" i="58"/>
  <c r="QP16" i="58"/>
  <c r="FW12" i="58"/>
  <c r="RU10" i="58"/>
  <c r="OF11" i="58"/>
  <c r="FJ12" i="58"/>
  <c r="GF9" i="58"/>
  <c r="PV12" i="58"/>
  <c r="NC19" i="58"/>
  <c r="JY8" i="58"/>
  <c r="FA12" i="58"/>
  <c r="QL21" i="58"/>
  <c r="MW9" i="58"/>
  <c r="MR32" i="58"/>
  <c r="AT8" i="58"/>
  <c r="CO16" i="58"/>
  <c r="MZ38" i="58"/>
  <c r="LT19" i="58"/>
  <c r="IF16" i="58"/>
  <c r="KY31" i="58"/>
  <c r="RH35" i="58"/>
  <c r="CB19" i="58"/>
  <c r="PL12" i="58"/>
  <c r="JI20" i="58"/>
  <c r="AP12" i="58"/>
  <c r="JI16" i="58"/>
  <c r="KM23" i="58"/>
  <c r="KM17" i="58"/>
  <c r="NE12" i="58"/>
  <c r="RV16" i="58"/>
  <c r="EG19" i="58"/>
  <c r="PD29" i="58"/>
  <c r="FC19" i="58"/>
  <c r="FZ8" i="58"/>
  <c r="NO18" i="58"/>
  <c r="MG12" i="58"/>
  <c r="BK16" i="58"/>
  <c r="EW14" i="58"/>
  <c r="IG15" i="58"/>
  <c r="NO10" i="58"/>
  <c r="AB12" i="58"/>
  <c r="NX12" i="58"/>
  <c r="NG15" i="58"/>
  <c r="NO40" i="58"/>
  <c r="NF16" i="58"/>
  <c r="IO21" i="58"/>
  <c r="KU16" i="58"/>
  <c r="AN21" i="58"/>
  <c r="MH29" i="58"/>
  <c r="IQ14" i="58"/>
  <c r="NL19" i="58"/>
  <c r="NK24" i="58"/>
  <c r="AU15" i="58"/>
  <c r="JI18" i="58"/>
  <c r="BU22" i="58"/>
  <c r="JW9" i="58"/>
  <c r="QT23" i="58"/>
  <c r="MW15" i="58"/>
  <c r="CB8" i="58"/>
  <c r="QF29" i="58"/>
  <c r="RB24" i="58"/>
  <c r="HF22" i="58"/>
  <c r="NH13" i="58"/>
  <c r="MZ10" i="58"/>
  <c r="RL30" i="58"/>
  <c r="BP18" i="58"/>
  <c r="NG13" i="58"/>
  <c r="IP21" i="58"/>
  <c r="CP16" i="58"/>
  <c r="KB20" i="58"/>
  <c r="PT15" i="58"/>
  <c r="FX12" i="58"/>
  <c r="RG16" i="58"/>
  <c r="CT20" i="58"/>
  <c r="EB21" i="58"/>
  <c r="GV24" i="58"/>
  <c r="LN21" i="58"/>
  <c r="EZ19" i="58"/>
  <c r="AV15" i="58"/>
  <c r="BO22" i="58"/>
  <c r="OP20" i="58"/>
  <c r="NA16" i="58"/>
  <c r="BF16" i="58"/>
  <c r="KD22" i="58"/>
  <c r="IX20" i="58"/>
  <c r="IU20" i="58"/>
  <c r="MM9" i="58"/>
  <c r="CK16" i="58"/>
  <c r="PY19" i="58"/>
  <c r="NK13" i="58"/>
  <c r="EO10" i="58"/>
  <c r="OE29" i="58"/>
  <c r="EX15" i="58"/>
  <c r="LQ30" i="58"/>
  <c r="LD22" i="58"/>
  <c r="NG10" i="58"/>
  <c r="JL9" i="58"/>
  <c r="DJ8" i="58"/>
  <c r="CZ8" i="58"/>
  <c r="OR16" i="58"/>
  <c r="EB15" i="58"/>
  <c r="RN16" i="58"/>
  <c r="DD20" i="58"/>
  <c r="PX8" i="58"/>
  <c r="BD14" i="58"/>
  <c r="BF17" i="58"/>
  <c r="IO24" i="58"/>
  <c r="EN21" i="58"/>
  <c r="OQ35" i="58"/>
  <c r="AM9" i="58"/>
  <c r="AC14" i="58"/>
  <c r="NB14" i="58"/>
  <c r="EZ14" i="58"/>
  <c r="QZ9" i="58"/>
  <c r="OJ24" i="58"/>
  <c r="ML18" i="58"/>
  <c r="PF22" i="58"/>
  <c r="FC14" i="58"/>
  <c r="LJ11" i="58"/>
  <c r="JK16" i="58"/>
  <c r="FM23" i="58"/>
  <c r="KD16" i="58"/>
  <c r="QD20" i="58"/>
  <c r="QQ11" i="58"/>
  <c r="CG22" i="58"/>
  <c r="PU8" i="58"/>
  <c r="JY10" i="58"/>
  <c r="GI8" i="58"/>
  <c r="LU39" i="58"/>
  <c r="NI41" i="58"/>
  <c r="CC15" i="58"/>
  <c r="PN24" i="58"/>
  <c r="NN17" i="58"/>
  <c r="QG36" i="58"/>
  <c r="NU21" i="58"/>
  <c r="N15" i="58"/>
  <c r="NX19" i="58"/>
  <c r="GQ20" i="58"/>
  <c r="OO13" i="58"/>
  <c r="EB16" i="58"/>
  <c r="MR19" i="58"/>
  <c r="QS34" i="58"/>
  <c r="NY38" i="58"/>
  <c r="BA18" i="58"/>
  <c r="JA14" i="58"/>
  <c r="CC18" i="58"/>
  <c r="LR21" i="58"/>
  <c r="PZ16" i="58"/>
  <c r="NT14" i="58"/>
  <c r="Y11" i="58"/>
  <c r="HV8" i="58"/>
  <c r="BE10" i="58"/>
  <c r="GT12" i="58"/>
  <c r="HE12" i="58"/>
  <c r="AK13" i="58"/>
  <c r="FE12" i="58"/>
  <c r="AN14" i="58"/>
  <c r="OU16" i="58"/>
  <c r="OC30" i="58"/>
  <c r="QY21" i="58"/>
  <c r="NJ19" i="58"/>
  <c r="RG18" i="58"/>
  <c r="QD13" i="58"/>
  <c r="CJ16" i="58"/>
  <c r="QE13" i="58"/>
  <c r="HT20" i="58"/>
  <c r="W13" i="58"/>
  <c r="PB21" i="58"/>
  <c r="NY12" i="58"/>
  <c r="BI19" i="58"/>
  <c r="RQ33" i="58"/>
  <c r="RJ15" i="58"/>
  <c r="PW20" i="58"/>
  <c r="GJ11" i="58"/>
  <c r="KO18" i="58"/>
  <c r="KU12" i="58"/>
  <c r="NC10" i="58"/>
  <c r="LX14" i="58"/>
  <c r="HH14" i="58"/>
  <c r="EP14" i="58"/>
  <c r="FM16" i="58"/>
  <c r="EC16" i="58"/>
  <c r="LW10" i="58"/>
  <c r="AV8" i="58"/>
  <c r="PU16" i="58"/>
  <c r="DJ23" i="58"/>
  <c r="NO29" i="58"/>
  <c r="AI16" i="58"/>
  <c r="PI15" i="58"/>
  <c r="CW23" i="58"/>
  <c r="MA19" i="58"/>
  <c r="BD16" i="58"/>
  <c r="CR12" i="58"/>
  <c r="MU30" i="58"/>
  <c r="RV43" i="58"/>
  <c r="EA19" i="58"/>
  <c r="QK15" i="58"/>
  <c r="HS24" i="58"/>
  <c r="EG14" i="58"/>
  <c r="Y22" i="58"/>
  <c r="HL18" i="58"/>
  <c r="LQ36" i="58"/>
  <c r="AT20" i="58"/>
  <c r="FW17" i="58"/>
  <c r="QW13" i="58"/>
  <c r="BQ21" i="58"/>
  <c r="HY12" i="58"/>
  <c r="FS8" i="58"/>
  <c r="U24" i="58"/>
  <c r="FE11" i="58"/>
  <c r="JN21" i="58"/>
  <c r="LA9" i="58"/>
  <c r="GW20" i="58"/>
  <c r="LN36" i="58"/>
  <c r="NW22" i="58"/>
  <c r="BT24" i="58"/>
  <c r="BS22" i="58"/>
  <c r="EZ17" i="58"/>
  <c r="RS18" i="58"/>
  <c r="CE23" i="58"/>
  <c r="KW32" i="58"/>
  <c r="RE15" i="58"/>
  <c r="RK24" i="58"/>
  <c r="GW8" i="58"/>
  <c r="JL15" i="58"/>
  <c r="GL16" i="58"/>
  <c r="QF8" i="58"/>
  <c r="NA12" i="58"/>
  <c r="FV22" i="58"/>
  <c r="FC8" i="58"/>
  <c r="QN12" i="58"/>
  <c r="PS20" i="58"/>
  <c r="QT15" i="58"/>
  <c r="QJ15" i="58"/>
  <c r="NV8" i="58"/>
  <c r="S20" i="58"/>
  <c r="FS13" i="58"/>
  <c r="OD16" i="58"/>
  <c r="NU23" i="58"/>
  <c r="GL23" i="58"/>
  <c r="ID16" i="58"/>
  <c r="RC29" i="58"/>
  <c r="EU21" i="58"/>
  <c r="KX19" i="58"/>
  <c r="RF15" i="58"/>
  <c r="DQ15" i="58"/>
  <c r="FF17" i="58"/>
  <c r="DY24" i="58"/>
  <c r="IZ17" i="58"/>
  <c r="RL17" i="58"/>
  <c r="KI17" i="58"/>
  <c r="EM13" i="58"/>
  <c r="FN12" i="58"/>
  <c r="AP21" i="58"/>
  <c r="OT22" i="58"/>
  <c r="IU17" i="58"/>
  <c r="LT14" i="58"/>
  <c r="IO9" i="58"/>
  <c r="CH14" i="58"/>
  <c r="AK12" i="58"/>
  <c r="CC11" i="58"/>
  <c r="MO12" i="58"/>
  <c r="OL24" i="58"/>
  <c r="QW9" i="58"/>
  <c r="KJ9" i="58"/>
  <c r="KP11" i="58"/>
  <c r="EH23" i="58"/>
  <c r="ID23" i="58"/>
  <c r="P10" i="58"/>
  <c r="GV10" i="58"/>
  <c r="QR20" i="58"/>
  <c r="PQ31" i="58"/>
  <c r="OV38" i="58"/>
  <c r="RF23" i="58"/>
  <c r="HS9" i="58"/>
  <c r="OY20" i="58"/>
  <c r="BW22" i="58"/>
  <c r="PC16" i="58"/>
  <c r="CJ12" i="58"/>
  <c r="AS8" i="58"/>
  <c r="KB23" i="58"/>
  <c r="LO13" i="58"/>
  <c r="DN21" i="58"/>
  <c r="HC18" i="58"/>
  <c r="KG15" i="58"/>
  <c r="CK18" i="58"/>
  <c r="OU17" i="58"/>
  <c r="KC16" i="58"/>
  <c r="LC16" i="58"/>
  <c r="IL10" i="58"/>
  <c r="MR12" i="58"/>
  <c r="ND9" i="58"/>
  <c r="PC13" i="58"/>
  <c r="FL9" i="58"/>
  <c r="IQ8" i="58"/>
  <c r="NR11" i="58"/>
  <c r="OV22" i="58"/>
  <c r="DI18" i="58"/>
  <c r="RG15" i="58"/>
  <c r="EU9" i="58"/>
  <c r="RV14" i="58"/>
  <c r="EI13" i="58"/>
  <c r="PJ31" i="58"/>
  <c r="ND12" i="58"/>
  <c r="LY38" i="58"/>
  <c r="MU19" i="58"/>
  <c r="EJ14" i="58"/>
  <c r="ND17" i="58"/>
  <c r="NS30" i="58"/>
  <c r="KT30" i="58"/>
  <c r="BG19" i="58"/>
  <c r="AB10" i="58"/>
  <c r="CY22" i="58"/>
  <c r="CE14" i="58"/>
  <c r="GI21" i="58"/>
  <c r="QJ10" i="58"/>
  <c r="IC11" i="58"/>
  <c r="GB20" i="58"/>
  <c r="IL14" i="58"/>
  <c r="HG10" i="58"/>
  <c r="OF35" i="58"/>
  <c r="KN21" i="58"/>
  <c r="HS23" i="58"/>
  <c r="OT9" i="58"/>
  <c r="AP22" i="58"/>
  <c r="GF16" i="58"/>
  <c r="LB18" i="58"/>
  <c r="NZ18" i="58"/>
  <c r="EG16" i="58"/>
  <c r="AY19" i="58"/>
  <c r="OB17" i="58"/>
  <c r="KZ11" i="58"/>
  <c r="JK11" i="58"/>
  <c r="RC13" i="58"/>
  <c r="CU8" i="58"/>
  <c r="LQ16" i="58"/>
  <c r="IB15" i="58"/>
  <c r="BV16" i="58"/>
  <c r="PJ12" i="58"/>
  <c r="IE16" i="58"/>
  <c r="NP9" i="58"/>
  <c r="BZ12" i="58"/>
  <c r="RV12" i="58"/>
  <c r="NX11" i="58"/>
  <c r="FW21" i="58"/>
  <c r="GN16" i="58"/>
  <c r="PR12" i="58"/>
  <c r="AS9" i="58"/>
  <c r="EB18" i="58"/>
  <c r="RE8" i="58"/>
  <c r="GV11" i="58"/>
  <c r="RM11" i="58"/>
  <c r="AS13" i="58"/>
  <c r="LL31" i="58"/>
  <c r="FV11" i="58"/>
  <c r="NW15" i="58"/>
  <c r="AO8" i="58"/>
  <c r="JK12" i="58"/>
  <c r="LW12" i="58"/>
  <c r="DX14" i="58"/>
  <c r="OL23" i="58"/>
  <c r="JJ14" i="58"/>
  <c r="MZ15" i="58"/>
  <c r="KR15" i="58"/>
  <c r="MX9" i="58"/>
  <c r="CR20" i="58"/>
  <c r="V19" i="58"/>
  <c r="PK32" i="58"/>
  <c r="MH20" i="58"/>
  <c r="NF19" i="58"/>
  <c r="NU10" i="58"/>
  <c r="AI21" i="58"/>
  <c r="EN15" i="58"/>
  <c r="MU21" i="58"/>
  <c r="AS18" i="58"/>
  <c r="DO9" i="58"/>
  <c r="FO13" i="58"/>
  <c r="QT19" i="58"/>
  <c r="FN10" i="58"/>
  <c r="MP12" i="58"/>
  <c r="FV10" i="58"/>
  <c r="IA10" i="58"/>
  <c r="OJ8" i="58"/>
  <c r="PQ19" i="58"/>
  <c r="PJ15" i="58"/>
  <c r="FZ13" i="58"/>
  <c r="AT11" i="58"/>
  <c r="FB18" i="58"/>
  <c r="ES12" i="58"/>
  <c r="ND14" i="58"/>
  <c r="JP14" i="58"/>
  <c r="RJ22" i="58"/>
  <c r="MK29" i="58"/>
  <c r="HY24" i="58"/>
  <c r="IE8" i="58"/>
  <c r="P11" i="58"/>
  <c r="CD9" i="58"/>
  <c r="AY21" i="58"/>
  <c r="LQ9" i="58"/>
  <c r="AH19" i="58"/>
  <c r="LA18" i="58"/>
  <c r="FV8" i="58"/>
  <c r="PE8" i="58"/>
  <c r="BF11" i="58"/>
  <c r="FJ8" i="58"/>
  <c r="MZ13" i="58"/>
  <c r="LK14" i="58"/>
  <c r="RS29" i="58"/>
  <c r="JC10" i="58"/>
  <c r="MG19" i="58"/>
  <c r="FX21" i="58"/>
  <c r="BY19" i="58"/>
  <c r="OD31" i="58"/>
  <c r="JA20" i="58"/>
  <c r="RF14" i="58"/>
  <c r="JR18" i="58"/>
  <c r="QU11" i="58"/>
  <c r="AA9" i="58"/>
  <c r="QN16" i="58"/>
  <c r="ET17" i="58"/>
  <c r="KH14" i="58"/>
  <c r="QI15" i="58"/>
  <c r="PL10" i="58"/>
  <c r="CF15" i="58"/>
  <c r="HF19" i="58"/>
  <c r="MU17" i="58"/>
  <c r="HO15" i="58"/>
  <c r="NX22" i="58"/>
  <c r="HL15" i="58"/>
  <c r="CZ18" i="58"/>
  <c r="FD13" i="58"/>
  <c r="IY9" i="58"/>
  <c r="BW19" i="58"/>
  <c r="MO15" i="58"/>
  <c r="ER21" i="58"/>
  <c r="NM33" i="58"/>
  <c r="LO16" i="58"/>
  <c r="PY17" i="58"/>
  <c r="GU9" i="58"/>
  <c r="PC32" i="58"/>
  <c r="KQ29" i="58"/>
  <c r="FM15" i="58"/>
  <c r="PD32" i="58"/>
  <c r="QF30" i="58"/>
  <c r="MJ35" i="58"/>
  <c r="MQ20" i="58"/>
  <c r="DS16" i="58"/>
  <c r="BR21" i="58"/>
  <c r="MV11" i="58"/>
  <c r="NW24" i="58"/>
  <c r="AN10" i="58"/>
  <c r="LV13" i="58"/>
  <c r="AW13" i="58"/>
  <c r="RG23" i="58"/>
  <c r="RF10" i="58"/>
  <c r="HV19" i="58"/>
  <c r="PF24" i="58"/>
  <c r="MQ23" i="58"/>
  <c r="JX12" i="58"/>
  <c r="LU15" i="58"/>
  <c r="MY13" i="58"/>
  <c r="PN15" i="58"/>
  <c r="GM9" i="58"/>
  <c r="GR11" i="58"/>
  <c r="MW10" i="58"/>
  <c r="OM17" i="58"/>
  <c r="DW19" i="58"/>
  <c r="AW11" i="58"/>
  <c r="MU20" i="58"/>
  <c r="MB8" i="58"/>
  <c r="GN11" i="58"/>
  <c r="DL14" i="58"/>
  <c r="MZ12" i="58"/>
  <c r="MU10" i="58"/>
  <c r="RA18" i="58"/>
  <c r="QE21" i="58"/>
  <c r="MA16" i="58"/>
  <c r="CI19" i="58"/>
  <c r="ET14" i="58"/>
  <c r="NS35" i="58"/>
  <c r="LK31" i="58"/>
  <c r="LF21" i="58"/>
  <c r="QS19" i="58"/>
  <c r="KE20" i="58"/>
  <c r="CF17" i="58"/>
  <c r="DO20" i="58"/>
  <c r="HD19" i="58"/>
  <c r="PS11" i="58"/>
  <c r="EW18" i="58"/>
  <c r="QC14" i="58"/>
  <c r="Q17" i="58"/>
  <c r="OW15" i="58"/>
  <c r="KV19" i="58"/>
  <c r="AA24" i="58"/>
  <c r="BO23" i="58"/>
  <c r="IP9" i="58"/>
  <c r="GM14" i="58"/>
  <c r="KK14" i="58"/>
  <c r="PZ9" i="58"/>
  <c r="FA14" i="58"/>
  <c r="LH23" i="58"/>
  <c r="HR9" i="58"/>
  <c r="MG8" i="58"/>
  <c r="MR33" i="58"/>
  <c r="CB21" i="58"/>
  <c r="AY16" i="58"/>
  <c r="CW16" i="58"/>
  <c r="PV14" i="58"/>
  <c r="IX10" i="58"/>
  <c r="LJ16" i="58"/>
  <c r="RE36" i="58"/>
  <c r="MX33" i="58"/>
  <c r="FW24" i="58"/>
  <c r="JS15" i="58"/>
  <c r="U16" i="58"/>
  <c r="LH17" i="58"/>
  <c r="DM9" i="58"/>
  <c r="RR45" i="58"/>
  <c r="KU21" i="58"/>
  <c r="LH12" i="58"/>
  <c r="DZ10" i="58"/>
  <c r="DU20" i="58"/>
  <c r="BM11" i="58"/>
  <c r="HK9" i="58"/>
  <c r="IN22" i="58"/>
  <c r="IP19" i="58"/>
  <c r="DK20" i="58"/>
  <c r="JG13" i="58"/>
  <c r="IY15" i="58"/>
  <c r="IE19" i="58"/>
  <c r="PZ21" i="58"/>
  <c r="CC20" i="58"/>
  <c r="FI8" i="58"/>
  <c r="CQ9" i="58"/>
  <c r="PZ8" i="58"/>
  <c r="HF8" i="58"/>
  <c r="GR12" i="58"/>
  <c r="IS17" i="58"/>
  <c r="BU17" i="58"/>
  <c r="AM15" i="58"/>
  <c r="JR10" i="58"/>
  <c r="IN18" i="58"/>
  <c r="QE14" i="58"/>
  <c r="AN19" i="58"/>
  <c r="AG15" i="58"/>
  <c r="MD11" i="58"/>
  <c r="EF18" i="58"/>
  <c r="QL31" i="58"/>
  <c r="BI17" i="58"/>
  <c r="NY20" i="58"/>
  <c r="GX15" i="58"/>
  <c r="EP21" i="58"/>
  <c r="PD17" i="58"/>
  <c r="CD19" i="58"/>
  <c r="KW29" i="58"/>
  <c r="PW19" i="58"/>
  <c r="MO17" i="58"/>
  <c r="KV14" i="58"/>
  <c r="LT16" i="58"/>
  <c r="HS19" i="58"/>
  <c r="BQ16" i="58"/>
  <c r="NF20" i="58"/>
  <c r="HX13" i="58"/>
  <c r="BQ18" i="58"/>
  <c r="NI10" i="58"/>
  <c r="EY20" i="58"/>
  <c r="KE22" i="58"/>
  <c r="AB11" i="58"/>
  <c r="HR15" i="58"/>
  <c r="GP14" i="58"/>
  <c r="NG14" i="58"/>
  <c r="EM10" i="58"/>
  <c r="OR11" i="58"/>
  <c r="IT21" i="58"/>
  <c r="FY19" i="58"/>
  <c r="BH21" i="58"/>
  <c r="QD16" i="58"/>
  <c r="KS22" i="58"/>
  <c r="BX15" i="58"/>
  <c r="EX14" i="58"/>
  <c r="QS16" i="58"/>
  <c r="OZ9" i="58"/>
  <c r="CU10" i="58"/>
  <c r="ON45" i="58"/>
  <c r="JF20" i="58"/>
  <c r="LP47" i="58"/>
  <c r="DT15" i="58"/>
  <c r="IY20" i="58"/>
  <c r="GT11" i="58"/>
  <c r="KD11" i="58"/>
  <c r="W19" i="58"/>
  <c r="FZ19" i="58"/>
  <c r="ES11" i="58"/>
  <c r="O16" i="58"/>
  <c r="Y14" i="58"/>
  <c r="CM20" i="58"/>
  <c r="FG13" i="58"/>
  <c r="BN16" i="58"/>
  <c r="PZ10" i="58"/>
  <c r="AD16" i="58"/>
  <c r="OM15" i="58"/>
  <c r="QQ10" i="58"/>
  <c r="FN8" i="58"/>
  <c r="EJ16" i="58"/>
  <c r="RE13" i="58"/>
  <c r="CG12" i="58"/>
  <c r="IB10" i="58"/>
  <c r="X20" i="58"/>
  <c r="HJ15" i="58"/>
  <c r="ME17" i="58"/>
  <c r="DR14" i="58"/>
  <c r="QR36" i="58"/>
  <c r="JI22" i="58"/>
  <c r="RG39" i="58"/>
  <c r="DT16" i="58"/>
  <c r="LO15" i="58"/>
  <c r="PN20" i="58"/>
  <c r="HR20" i="58"/>
  <c r="BP14" i="58"/>
  <c r="HM18" i="58"/>
  <c r="JU21" i="58"/>
  <c r="KH17" i="58"/>
  <c r="RD10" i="58"/>
  <c r="BC24" i="58"/>
  <c r="PP14" i="58"/>
  <c r="ET10" i="58"/>
  <c r="QI31" i="58"/>
  <c r="FM21" i="58"/>
  <c r="GZ16" i="58"/>
  <c r="MY11" i="58"/>
  <c r="JA16" i="58"/>
  <c r="PQ22" i="58"/>
  <c r="KP24" i="58"/>
  <c r="OE17" i="58"/>
  <c r="HB20" i="58"/>
  <c r="KE11" i="58"/>
  <c r="DB12" i="58"/>
  <c r="DE19" i="58"/>
  <c r="QX15" i="58"/>
  <c r="OX39" i="58"/>
  <c r="BY11" i="58"/>
  <c r="JJ20" i="58"/>
  <c r="EA24" i="58"/>
  <c r="KE19" i="58"/>
  <c r="EL24" i="58"/>
  <c r="JW15" i="58"/>
  <c r="MQ22" i="58"/>
  <c r="BD15" i="58"/>
  <c r="HL12" i="58"/>
  <c r="RF9" i="58"/>
  <c r="NB18" i="58"/>
  <c r="Z19" i="58"/>
  <c r="OM8" i="58"/>
  <c r="JZ8" i="58"/>
  <c r="PE19" i="58"/>
  <c r="FJ21" i="58"/>
  <c r="KT17" i="58"/>
  <c r="GP19" i="58"/>
  <c r="LW19" i="58"/>
  <c r="KY35" i="58"/>
  <c r="QQ18" i="58"/>
  <c r="QY12" i="58"/>
  <c r="BM12" i="58"/>
  <c r="MV13" i="58"/>
  <c r="OK10" i="58"/>
  <c r="RQ10" i="58"/>
  <c r="DG16" i="58"/>
  <c r="T15" i="58"/>
  <c r="QZ17" i="58"/>
  <c r="N9" i="58"/>
  <c r="OX11" i="58"/>
  <c r="HS12" i="58"/>
  <c r="BZ16" i="58"/>
  <c r="CB16" i="58"/>
  <c r="QZ31" i="58"/>
  <c r="FZ17" i="58"/>
  <c r="KY13" i="58"/>
  <c r="JO19" i="58"/>
  <c r="OE9" i="58"/>
  <c r="OA8" i="58"/>
  <c r="BX13" i="58"/>
  <c r="NA18" i="58"/>
  <c r="QC19" i="58"/>
  <c r="AM16" i="58"/>
  <c r="QZ22" i="58"/>
  <c r="KZ12" i="58"/>
  <c r="KZ9" i="58"/>
  <c r="PN21" i="58"/>
  <c r="PV29" i="58"/>
  <c r="RJ20" i="58"/>
  <c r="NB9" i="58"/>
  <c r="GH22" i="58"/>
  <c r="NZ35" i="58"/>
  <c r="GL18" i="58"/>
  <c r="CE15" i="58"/>
  <c r="JY19" i="58"/>
  <c r="FA10" i="58"/>
  <c r="NV24" i="58"/>
  <c r="CM21" i="58"/>
  <c r="FM14" i="58"/>
  <c r="QO15" i="58"/>
  <c r="OQ31" i="58"/>
  <c r="AQ21" i="58"/>
  <c r="KM12" i="58"/>
  <c r="IZ22" i="58"/>
  <c r="BP16" i="58"/>
  <c r="OZ10" i="58"/>
  <c r="GV21" i="58"/>
  <c r="LY13" i="58"/>
  <c r="LZ13" i="58"/>
  <c r="OJ13" i="58"/>
  <c r="BD20" i="58"/>
  <c r="BX11" i="58"/>
  <c r="BW12" i="58"/>
  <c r="II15" i="58"/>
  <c r="QG11" i="58"/>
  <c r="QM8" i="58"/>
  <c r="JQ13" i="58"/>
  <c r="MR9" i="58"/>
  <c r="BO8" i="58"/>
  <c r="MM8" i="58"/>
  <c r="GV17" i="58"/>
  <c r="AT17" i="58"/>
  <c r="RS12" i="58"/>
  <c r="NO19" i="58"/>
  <c r="AK23" i="58"/>
  <c r="KV18" i="58"/>
  <c r="NB22" i="58"/>
  <c r="OU10" i="58"/>
  <c r="QR14" i="58"/>
  <c r="RU18" i="58"/>
  <c r="NF10" i="58"/>
  <c r="KA20" i="58"/>
  <c r="PO24" i="58"/>
  <c r="QB34" i="58"/>
  <c r="QS18" i="58"/>
  <c r="RQ13" i="58"/>
  <c r="IN15" i="58"/>
  <c r="OY21" i="58"/>
  <c r="AP11" i="58"/>
  <c r="LJ18" i="58"/>
  <c r="MA23" i="58"/>
  <c r="NL38" i="58"/>
  <c r="LH15" i="58"/>
  <c r="QY19" i="58"/>
  <c r="FF18" i="58"/>
  <c r="LW14" i="58"/>
  <c r="CY19" i="58"/>
  <c r="HN17" i="58"/>
  <c r="RR15" i="58"/>
  <c r="OI13" i="58"/>
  <c r="RD32" i="58"/>
  <c r="JU16" i="58"/>
  <c r="OV16" i="58"/>
  <c r="LB41" i="58"/>
  <c r="BG9" i="58"/>
  <c r="ET12" i="58"/>
  <c r="HF13" i="58"/>
  <c r="MX38" i="58"/>
  <c r="MW12" i="58"/>
  <c r="GK15" i="58"/>
  <c r="JI24" i="58"/>
  <c r="CR23" i="58"/>
  <c r="LV20" i="58"/>
  <c r="PL19" i="58"/>
  <c r="NP40" i="58"/>
  <c r="IB20" i="58"/>
  <c r="PL8" i="58"/>
  <c r="JJ18" i="58"/>
  <c r="U11" i="58"/>
  <c r="LH9" i="58"/>
  <c r="EW13" i="58"/>
  <c r="ET15" i="58"/>
  <c r="AT18" i="58"/>
  <c r="PP19" i="58"/>
  <c r="LX15" i="58"/>
  <c r="CH8" i="58"/>
  <c r="RV15" i="58"/>
  <c r="QW24" i="58"/>
  <c r="BL16" i="58"/>
  <c r="BJ9" i="58"/>
  <c r="MJ16" i="58"/>
  <c r="NQ10" i="58"/>
  <c r="IZ12" i="58"/>
  <c r="LB34" i="58"/>
  <c r="RR41" i="58"/>
  <c r="AU16" i="58"/>
  <c r="KB15" i="58"/>
  <c r="IM21" i="58"/>
  <c r="IG11" i="58"/>
  <c r="EK21" i="58"/>
  <c r="HY10" i="58"/>
  <c r="MY21" i="58"/>
  <c r="FS19" i="58"/>
  <c r="CU19" i="58"/>
  <c r="HE11" i="58"/>
  <c r="EH19" i="58"/>
  <c r="LF16" i="58"/>
  <c r="AO16" i="58"/>
  <c r="JU11" i="58"/>
  <c r="RG11" i="58"/>
  <c r="IA20" i="58"/>
  <c r="GF20" i="58"/>
  <c r="IO15" i="58"/>
  <c r="HV12" i="58"/>
  <c r="KG16" i="58"/>
  <c r="FC13" i="58"/>
  <c r="CQ14" i="58"/>
  <c r="JI12" i="58"/>
  <c r="EO14" i="58"/>
  <c r="FH12" i="58"/>
  <c r="GE22" i="58"/>
  <c r="AP20" i="58"/>
  <c r="HO9" i="58"/>
  <c r="AM10" i="58"/>
  <c r="AJ12" i="58"/>
  <c r="NL22" i="58"/>
  <c r="OW17" i="58"/>
  <c r="HC21" i="58"/>
  <c r="ER23" i="58"/>
  <c r="NV33" i="58"/>
  <c r="PS31" i="58"/>
  <c r="ET20" i="58"/>
  <c r="QV21" i="58"/>
  <c r="OO16" i="58"/>
  <c r="OC13" i="58"/>
  <c r="AM14" i="58"/>
  <c r="DB20" i="58"/>
  <c r="AZ22" i="58"/>
  <c r="CG15" i="58"/>
  <c r="MJ20" i="58"/>
  <c r="KR9" i="58"/>
  <c r="NC17" i="58"/>
  <c r="FG14" i="58"/>
  <c r="LG24" i="58"/>
  <c r="CD17" i="58"/>
  <c r="DD16" i="58"/>
  <c r="ER19" i="58"/>
  <c r="PO20" i="58"/>
  <c r="EK16" i="58"/>
  <c r="BW9" i="58"/>
  <c r="DB11" i="58"/>
  <c r="JU13" i="58"/>
  <c r="DY19" i="58"/>
  <c r="DQ13" i="58"/>
  <c r="QN23" i="58"/>
  <c r="KM8" i="58"/>
  <c r="RV13" i="58"/>
  <c r="NS15" i="58"/>
  <c r="AU8" i="58"/>
  <c r="OV11" i="58"/>
  <c r="RQ29" i="58"/>
  <c r="GG20" i="58"/>
  <c r="GJ12" i="58"/>
  <c r="QF22" i="58"/>
  <c r="EO13" i="58"/>
  <c r="OT10" i="58"/>
  <c r="MB31" i="58"/>
  <c r="MG15" i="58"/>
  <c r="AF20" i="58"/>
  <c r="DU10" i="58"/>
  <c r="DM24" i="58"/>
  <c r="FS15" i="58"/>
  <c r="OL8" i="58"/>
  <c r="KC23" i="58"/>
  <c r="NZ12" i="58"/>
  <c r="FF11" i="58"/>
  <c r="CG9" i="58"/>
  <c r="RV37" i="58"/>
  <c r="NF18" i="58"/>
  <c r="NU16" i="58"/>
  <c r="HV20" i="58"/>
  <c r="NA13" i="58"/>
  <c r="JR14" i="58"/>
  <c r="KX17" i="58"/>
  <c r="EU24" i="58"/>
  <c r="HU20" i="58"/>
  <c r="IF24" i="58"/>
  <c r="QG12" i="58"/>
  <c r="PI19" i="58"/>
  <c r="GB19" i="58"/>
  <c r="CS9" i="58"/>
  <c r="MC15" i="58"/>
  <c r="JF10" i="58"/>
  <c r="KP9" i="58"/>
  <c r="MO20" i="58"/>
  <c r="HT17" i="58"/>
  <c r="GT16" i="58"/>
  <c r="KV10" i="58"/>
  <c r="CV11" i="58"/>
  <c r="PY15" i="58"/>
  <c r="CP20" i="58"/>
  <c r="CO18" i="58"/>
  <c r="QB31" i="58"/>
  <c r="BH14" i="58"/>
  <c r="EO18" i="58"/>
  <c r="QC10" i="58"/>
  <c r="GP11" i="58"/>
  <c r="FV20" i="58"/>
  <c r="CF18" i="58"/>
  <c r="QN15" i="58"/>
  <c r="NG23" i="58"/>
  <c r="LP31" i="58"/>
  <c r="JU14" i="58"/>
  <c r="BI24" i="58"/>
  <c r="KH11" i="58"/>
  <c r="HJ20" i="58"/>
  <c r="CS22" i="58"/>
  <c r="CV17" i="58"/>
  <c r="BD23" i="58"/>
  <c r="BA21" i="58"/>
  <c r="NJ12" i="58"/>
  <c r="FK24" i="58"/>
  <c r="ED12" i="58"/>
  <c r="LR18" i="58"/>
  <c r="KL12" i="58"/>
  <c r="QK14" i="58"/>
  <c r="EN16" i="58"/>
  <c r="FD20" i="58"/>
  <c r="CK15" i="58"/>
  <c r="MD23" i="58"/>
  <c r="CI16" i="58"/>
  <c r="BR17" i="58"/>
  <c r="NY15" i="58"/>
  <c r="HN15" i="58"/>
  <c r="QG14" i="58"/>
  <c r="DG12" i="58"/>
  <c r="FJ14" i="58"/>
  <c r="GB12" i="58"/>
  <c r="OR10" i="58"/>
  <c r="DY11" i="58"/>
  <c r="DD17" i="58"/>
  <c r="RN17" i="58"/>
  <c r="NQ24" i="58"/>
  <c r="DM13" i="58"/>
  <c r="CX12" i="58"/>
  <c r="NY16" i="58"/>
  <c r="FN14" i="58"/>
  <c r="RC11" i="58"/>
  <c r="JH18" i="58"/>
  <c r="AA18" i="58"/>
  <c r="DQ16" i="58"/>
  <c r="R20" i="58"/>
  <c r="HM16" i="58"/>
  <c r="RE18" i="58"/>
  <c r="OA23" i="58"/>
  <c r="OB10" i="58"/>
  <c r="HV9" i="58"/>
  <c r="BL11" i="58"/>
  <c r="KO17" i="58"/>
  <c r="NJ33" i="58"/>
  <c r="IC24" i="58"/>
  <c r="LL30" i="58"/>
  <c r="NI13" i="58"/>
  <c r="JI10" i="58"/>
  <c r="LO11" i="58"/>
  <c r="RI17" i="58"/>
  <c r="IG13" i="58"/>
  <c r="JG9" i="58"/>
  <c r="BF15" i="58"/>
  <c r="AQ9" i="58"/>
  <c r="PR11" i="58"/>
  <c r="O15" i="58"/>
  <c r="HC10" i="58"/>
  <c r="PA11" i="58"/>
  <c r="CW12" i="58"/>
  <c r="CL14" i="58"/>
  <c r="QT29" i="58"/>
  <c r="OY15" i="58"/>
  <c r="LZ14" i="58"/>
  <c r="BK13" i="58"/>
  <c r="MC30" i="58"/>
  <c r="RC16" i="58"/>
  <c r="FA18" i="58"/>
  <c r="FF23" i="58"/>
  <c r="W12" i="58"/>
  <c r="HY19" i="58"/>
  <c r="CH13" i="58"/>
  <c r="KZ32" i="58"/>
  <c r="NG20" i="58"/>
  <c r="OG17" i="58"/>
  <c r="EQ10" i="58"/>
  <c r="AU9" i="58"/>
  <c r="IC14" i="58"/>
  <c r="OB15" i="58"/>
  <c r="DB8" i="58"/>
  <c r="JQ19" i="58"/>
  <c r="KX29" i="58"/>
  <c r="PB29" i="58"/>
  <c r="AM20" i="58"/>
  <c r="MO13" i="58"/>
  <c r="PE22" i="58"/>
  <c r="OT20" i="58"/>
  <c r="BJ10" i="58"/>
  <c r="GC15" i="58"/>
  <c r="AQ16" i="58"/>
  <c r="QU8" i="58"/>
  <c r="CZ12" i="58"/>
  <c r="AI8" i="58"/>
  <c r="PJ10" i="58"/>
  <c r="DP18" i="58"/>
  <c r="DI8" i="58"/>
  <c r="DZ19" i="58"/>
  <c r="CO14" i="58"/>
  <c r="DD24" i="58"/>
  <c r="AT23" i="58"/>
  <c r="FP11" i="58"/>
  <c r="AX20" i="58"/>
  <c r="EP20" i="58"/>
  <c r="OH23" i="58"/>
  <c r="MW19" i="58"/>
  <c r="QY14" i="58"/>
  <c r="OW30" i="58"/>
  <c r="BD24" i="58"/>
  <c r="FX16" i="58"/>
  <c r="LB11" i="58"/>
  <c r="BL13" i="58"/>
  <c r="LA20" i="58"/>
  <c r="OI10" i="58"/>
  <c r="EA10" i="58"/>
  <c r="QC11" i="58"/>
  <c r="NL13" i="58"/>
  <c r="EN11" i="58"/>
  <c r="KD9" i="58"/>
  <c r="JF21" i="58"/>
  <c r="CS13" i="58"/>
  <c r="MA17" i="58"/>
  <c r="LE18" i="58"/>
  <c r="OQ12" i="58"/>
  <c r="HG21" i="58"/>
  <c r="NB38" i="58"/>
  <c r="QQ37" i="58"/>
  <c r="GC22" i="58"/>
  <c r="NG18" i="58"/>
  <c r="OG33" i="58"/>
  <c r="LF12" i="58"/>
  <c r="GN22" i="58"/>
  <c r="BN14" i="58"/>
  <c r="KX33" i="58"/>
  <c r="FS23" i="58"/>
  <c r="KY30" i="58"/>
  <c r="HJ16" i="58"/>
  <c r="QB15" i="58"/>
  <c r="GC11" i="58"/>
  <c r="NX14" i="58"/>
  <c r="HI10" i="58"/>
  <c r="LE23" i="58"/>
  <c r="EO15" i="58"/>
  <c r="LF18" i="58"/>
  <c r="GF15" i="58"/>
  <c r="ET8" i="58"/>
  <c r="KG14" i="58"/>
  <c r="KP10" i="58"/>
  <c r="KA15" i="58"/>
  <c r="QO12" i="58"/>
  <c r="IT11" i="58"/>
  <c r="MK14" i="58"/>
  <c r="DO19" i="58"/>
  <c r="OQ20" i="58"/>
  <c r="FB21" i="58"/>
  <c r="OK30" i="58"/>
  <c r="FB24" i="58"/>
  <c r="LT29" i="58"/>
  <c r="BS18" i="58"/>
  <c r="KJ15" i="58"/>
  <c r="LS20" i="58"/>
  <c r="MN18" i="58"/>
  <c r="NR33" i="58"/>
  <c r="PC35" i="58"/>
  <c r="MJ31" i="58"/>
  <c r="HQ14" i="58"/>
  <c r="PL21" i="58"/>
  <c r="QW15" i="58"/>
  <c r="EE20" i="58"/>
  <c r="QM13" i="58"/>
  <c r="OV15" i="58"/>
  <c r="JQ18" i="58"/>
  <c r="OZ8" i="58"/>
  <c r="NN9" i="58"/>
  <c r="AW14" i="58"/>
  <c r="IS18" i="58"/>
  <c r="IO22" i="58"/>
  <c r="KG8" i="58"/>
  <c r="MP8" i="58"/>
  <c r="HZ9" i="58"/>
  <c r="QF16" i="58"/>
  <c r="PC14" i="58"/>
  <c r="LD14" i="58"/>
  <c r="IQ10" i="58"/>
  <c r="EE11" i="58"/>
  <c r="PW14" i="58"/>
  <c r="BT14" i="58"/>
  <c r="EV22" i="58"/>
  <c r="KF14" i="58"/>
  <c r="CA20" i="58"/>
  <c r="BQ13" i="58"/>
  <c r="PQ15" i="58"/>
  <c r="NT12" i="58"/>
  <c r="BT17" i="58"/>
  <c r="RJ17" i="58"/>
  <c r="QJ19" i="58"/>
  <c r="GT8" i="58"/>
  <c r="OH19" i="58"/>
  <c r="QL40" i="58"/>
  <c r="RT14" i="58"/>
  <c r="EP9" i="58"/>
  <c r="DY8" i="58"/>
  <c r="O19" i="58"/>
  <c r="PD23" i="58"/>
  <c r="BZ19" i="58"/>
  <c r="CD20" i="58"/>
  <c r="CZ19" i="58"/>
  <c r="NI40" i="58"/>
  <c r="AD9" i="58"/>
  <c r="MT13" i="58"/>
  <c r="NR23" i="58"/>
  <c r="IC20" i="58"/>
  <c r="DG10" i="58"/>
  <c r="QV19" i="58"/>
  <c r="MV10" i="58"/>
  <c r="II11" i="58"/>
  <c r="FK11" i="58"/>
  <c r="KK12" i="58"/>
  <c r="HG17" i="58"/>
  <c r="NN21" i="58"/>
  <c r="JV12" i="58"/>
  <c r="IW24" i="58"/>
  <c r="AR20" i="58"/>
  <c r="LP24" i="58"/>
  <c r="OX24" i="58"/>
  <c r="JF17" i="58"/>
  <c r="AX17" i="58"/>
  <c r="GB11" i="58"/>
  <c r="DV15" i="58"/>
  <c r="OY22" i="58"/>
  <c r="CT10" i="58"/>
  <c r="QF20" i="58"/>
  <c r="FK23" i="58"/>
  <c r="RP8" i="58"/>
  <c r="GH16" i="58"/>
  <c r="OQ8" i="58"/>
  <c r="LL8" i="58"/>
  <c r="QZ13" i="58"/>
  <c r="FZ10" i="58"/>
  <c r="IY19" i="58"/>
  <c r="GQ15" i="58"/>
  <c r="EF14" i="58"/>
  <c r="PV16" i="58"/>
  <c r="MM21" i="58"/>
  <c r="MF20" i="58"/>
  <c r="RG17" i="58"/>
  <c r="MF18" i="58"/>
  <c r="LT37" i="58"/>
  <c r="MS29" i="58"/>
  <c r="FM19" i="58"/>
  <c r="BK20" i="58"/>
  <c r="HD21" i="58"/>
  <c r="MM24" i="58"/>
  <c r="NG12" i="58"/>
  <c r="MB12" i="58"/>
  <c r="DF8" i="58"/>
  <c r="EV24" i="58"/>
  <c r="LH14" i="58"/>
  <c r="AY11" i="58"/>
  <c r="OE15" i="58"/>
  <c r="JJ9" i="58"/>
  <c r="ER16" i="58"/>
  <c r="LS18" i="58"/>
  <c r="DS14" i="58"/>
  <c r="PG15" i="58"/>
  <c r="NO20" i="58"/>
  <c r="LX16" i="58"/>
  <c r="DK11" i="58"/>
  <c r="QX12" i="58"/>
  <c r="PE10" i="58"/>
  <c r="LO12" i="58"/>
  <c r="ED10" i="58"/>
  <c r="JX15" i="58"/>
  <c r="CS20" i="58"/>
  <c r="KR18" i="58"/>
  <c r="HE23" i="58"/>
  <c r="JZ12" i="58"/>
  <c r="AU21" i="58"/>
  <c r="PG23" i="58"/>
  <c r="OH24" i="58"/>
  <c r="QB29" i="58"/>
  <c r="QT14" i="58"/>
  <c r="EF8" i="58"/>
  <c r="FM12" i="58"/>
  <c r="JQ9" i="58"/>
  <c r="CK13" i="58"/>
  <c r="DO21" i="58"/>
  <c r="BR10" i="58"/>
  <c r="GA14" i="58"/>
  <c r="OP18" i="58"/>
  <c r="RS14" i="58"/>
  <c r="QG16" i="58"/>
  <c r="HT13" i="58"/>
  <c r="CZ15" i="58"/>
  <c r="MT15" i="58"/>
  <c r="HE18" i="58"/>
  <c r="AC9" i="58"/>
  <c r="EY9" i="58"/>
  <c r="JP18" i="58"/>
  <c r="AF19" i="58"/>
  <c r="MT16" i="58"/>
  <c r="ED15" i="58"/>
  <c r="OG22" i="58"/>
  <c r="MU13" i="58"/>
  <c r="FU13" i="58"/>
  <c r="NK17" i="58"/>
  <c r="IF19" i="58"/>
  <c r="JC15" i="58"/>
  <c r="LC30" i="58"/>
  <c r="JV21" i="58"/>
  <c r="CF22" i="58"/>
  <c r="LZ20" i="58"/>
  <c r="CY17" i="58"/>
  <c r="QA14" i="58"/>
  <c r="DI21" i="58"/>
  <c r="NF12" i="58"/>
  <c r="GU17" i="58"/>
  <c r="JV8" i="58"/>
  <c r="CT22" i="58"/>
  <c r="QG32" i="58"/>
  <c r="BL15" i="58"/>
  <c r="DC10" i="58"/>
  <c r="QB19" i="58"/>
  <c r="CR9" i="58"/>
  <c r="FB10" i="58"/>
  <c r="RH13" i="58"/>
  <c r="QZ12" i="58"/>
  <c r="JL16" i="58"/>
  <c r="BH8" i="58"/>
  <c r="AR11" i="58"/>
  <c r="BI11" i="58"/>
  <c r="AD20" i="58"/>
  <c r="OQ39" i="58"/>
  <c r="PT32" i="58"/>
  <c r="LW18" i="58"/>
  <c r="MQ31" i="58"/>
  <c r="CN14" i="58"/>
  <c r="OQ23" i="58"/>
  <c r="GK13" i="58"/>
  <c r="BE20" i="58"/>
  <c r="RU42" i="58"/>
  <c r="KP21" i="58"/>
  <c r="DR8" i="58"/>
  <c r="FN16" i="58"/>
  <c r="LX20" i="58"/>
  <c r="QX33" i="58"/>
  <c r="HI21" i="58"/>
  <c r="DW9" i="58"/>
  <c r="BJ22" i="58"/>
  <c r="CB18" i="58"/>
  <c r="AQ20" i="58"/>
  <c r="NI8" i="58"/>
  <c r="OZ16" i="58"/>
  <c r="QL12" i="58"/>
  <c r="QE18" i="58"/>
  <c r="LI12" i="58"/>
  <c r="OT19" i="58"/>
  <c r="W9" i="58"/>
  <c r="HZ11" i="58"/>
  <c r="NE23" i="58"/>
  <c r="QH11" i="58"/>
  <c r="OU23" i="58"/>
  <c r="DL11" i="58"/>
  <c r="AD14" i="58"/>
  <c r="OC11" i="58"/>
  <c r="AW12" i="58"/>
  <c r="LM29" i="58"/>
  <c r="PQ10" i="58"/>
  <c r="PP17" i="58"/>
  <c r="AO19" i="58"/>
  <c r="HL10" i="58"/>
  <c r="FE24" i="58"/>
  <c r="BT13" i="58"/>
  <c r="KA22" i="58"/>
  <c r="AN11" i="58"/>
  <c r="EA15" i="58"/>
  <c r="JM18" i="58"/>
  <c r="CP10" i="58"/>
  <c r="QB32" i="58"/>
  <c r="JT8" i="58"/>
  <c r="MF9" i="58"/>
  <c r="NS19" i="58"/>
  <c r="FY8" i="58"/>
  <c r="LL11" i="58"/>
  <c r="NM15" i="58"/>
  <c r="NF14" i="58"/>
  <c r="MW8" i="58"/>
  <c r="AU23" i="58"/>
  <c r="OS12" i="58"/>
  <c r="JG21" i="58"/>
  <c r="CN16" i="58"/>
  <c r="KL23" i="58"/>
  <c r="KW18" i="58"/>
  <c r="JP24" i="58"/>
  <c r="BV22" i="58"/>
  <c r="DM12" i="58"/>
  <c r="KD15" i="58"/>
  <c r="EV23" i="58"/>
  <c r="JQ17" i="58"/>
  <c r="NX20" i="58"/>
  <c r="AL21" i="58"/>
  <c r="FO19" i="58"/>
  <c r="BF18" i="58"/>
  <c r="QQ16" i="58"/>
  <c r="PN43" i="58"/>
  <c r="DK13" i="58"/>
  <c r="FA17" i="58"/>
  <c r="T19" i="58"/>
  <c r="MC23" i="58"/>
  <c r="GP17" i="58"/>
  <c r="BB18" i="58"/>
  <c r="FM9" i="58"/>
  <c r="AJ16" i="58"/>
  <c r="CT16" i="58"/>
  <c r="EZ15" i="58"/>
  <c r="KF12" i="58"/>
  <c r="PV8" i="58"/>
  <c r="MA10" i="58"/>
  <c r="Q16" i="58"/>
  <c r="U8" i="58"/>
  <c r="RQ24" i="58"/>
  <c r="NF22" i="58"/>
  <c r="IN19" i="58"/>
  <c r="DW18" i="58"/>
  <c r="Z17" i="58"/>
  <c r="LY48" i="58"/>
  <c r="FB16" i="58"/>
  <c r="PQ21" i="58"/>
  <c r="CY15" i="58"/>
  <c r="NB11" i="58"/>
  <c r="JN16" i="58"/>
  <c r="CA15" i="58"/>
  <c r="MK17" i="58"/>
  <c r="BY12" i="58"/>
  <c r="DN12" i="58"/>
  <c r="BH17" i="58"/>
  <c r="RT18" i="58"/>
  <c r="KR10" i="58"/>
  <c r="HZ18" i="58"/>
  <c r="MN14" i="58"/>
  <c r="JK23" i="58"/>
  <c r="NV13" i="58"/>
  <c r="JL8" i="58"/>
  <c r="DE17" i="58"/>
  <c r="QE10" i="58"/>
  <c r="BT18" i="58"/>
  <c r="MH13" i="58"/>
  <c r="HW19" i="58"/>
  <c r="PD8" i="58"/>
  <c r="CL12" i="58"/>
  <c r="BD8" i="58"/>
  <c r="QR12" i="58"/>
  <c r="CM8" i="58"/>
  <c r="PW35" i="58"/>
  <c r="KN20" i="58"/>
  <c r="AX18" i="58"/>
  <c r="JX13" i="58"/>
  <c r="FM13" i="58"/>
  <c r="LX9" i="58"/>
  <c r="AJ13" i="58"/>
  <c r="OK14" i="58"/>
  <c r="EJ12" i="58"/>
  <c r="ME9" i="58"/>
  <c r="HR11" i="58"/>
  <c r="BW10" i="58"/>
  <c r="AS16" i="58"/>
  <c r="BH12" i="58"/>
  <c r="AE13" i="58"/>
  <c r="Y12" i="58"/>
  <c r="IS20" i="58"/>
  <c r="KT14" i="58"/>
  <c r="BO13" i="58"/>
  <c r="LP17" i="58"/>
  <c r="PK14" i="58"/>
  <c r="AZ12" i="58"/>
  <c r="HA19" i="58"/>
  <c r="LC34" i="58"/>
  <c r="KH12" i="58"/>
  <c r="LN18" i="58"/>
  <c r="EV18" i="58"/>
  <c r="JC19" i="58"/>
  <c r="LS24" i="58"/>
  <c r="MM20" i="58"/>
  <c r="QJ8" i="58"/>
  <c r="LD18" i="58"/>
  <c r="OX49" i="58"/>
  <c r="QU16" i="58"/>
  <c r="DN16" i="58"/>
  <c r="QP12" i="58"/>
  <c r="FZ11" i="58"/>
  <c r="IP14" i="58"/>
  <c r="KM19" i="58"/>
  <c r="LJ20" i="58"/>
  <c r="KM21" i="58"/>
  <c r="KW16" i="58"/>
  <c r="HE16" i="58"/>
  <c r="QM16" i="58"/>
  <c r="DA18" i="58"/>
  <c r="QE19" i="58"/>
  <c r="EA21" i="58"/>
  <c r="CT12" i="58"/>
  <c r="QQ13" i="58"/>
  <c r="GQ18" i="58"/>
  <c r="GO11" i="58"/>
  <c r="CF24" i="58"/>
  <c r="LT20" i="58"/>
  <c r="IY17" i="58"/>
  <c r="LZ8" i="58"/>
  <c r="LQ12" i="58"/>
  <c r="GN14" i="58"/>
  <c r="DF11" i="58"/>
  <c r="PR32" i="58"/>
  <c r="AF11" i="58"/>
  <c r="BB12" i="58"/>
  <c r="AY13" i="58"/>
  <c r="MJ43" i="58"/>
  <c r="QX21" i="58"/>
  <c r="NR16" i="58"/>
  <c r="NV18" i="58"/>
  <c r="QS33" i="58"/>
  <c r="NR18" i="58"/>
  <c r="NX8" i="58"/>
  <c r="OT23" i="58"/>
  <c r="IF13" i="58"/>
  <c r="QO9" i="58"/>
  <c r="RJ21" i="58"/>
  <c r="GZ23" i="58"/>
  <c r="BS14" i="58"/>
  <c r="FM11" i="58"/>
  <c r="KS17" i="58"/>
  <c r="IX18" i="58"/>
  <c r="AT13" i="58"/>
  <c r="JS12" i="58"/>
  <c r="RJ8" i="58"/>
  <c r="DO8" i="58"/>
  <c r="QK10" i="58"/>
  <c r="FL8" i="58"/>
  <c r="OD13" i="58"/>
  <c r="IY8" i="58"/>
  <c r="BK12" i="58"/>
  <c r="ME12" i="58"/>
  <c r="FX11" i="58"/>
  <c r="OK9" i="58"/>
  <c r="OI12" i="58"/>
  <c r="KJ12" i="58"/>
  <c r="DZ21" i="58"/>
  <c r="CL15" i="58"/>
  <c r="QV14" i="58"/>
  <c r="QR21" i="58"/>
  <c r="PT20" i="58"/>
  <c r="PT10" i="58"/>
  <c r="CT21" i="58"/>
  <c r="IR18" i="58"/>
  <c r="MU36" i="58"/>
  <c r="HO21" i="58"/>
  <c r="AH17" i="58"/>
  <c r="LQ13" i="58"/>
  <c r="EK24" i="58"/>
  <c r="PB14" i="58"/>
  <c r="NB10" i="58"/>
  <c r="HH19" i="58"/>
  <c r="OE16" i="58"/>
  <c r="MQ11" i="58"/>
  <c r="RF19" i="58"/>
  <c r="AU24" i="58"/>
  <c r="CL11" i="58"/>
  <c r="EU10" i="58"/>
  <c r="JO17" i="58"/>
  <c r="PN13" i="58"/>
  <c r="HR19" i="58"/>
  <c r="ON10" i="58"/>
  <c r="MP9" i="58"/>
  <c r="QV10" i="58"/>
  <c r="IZ16" i="58"/>
  <c r="BR13" i="58"/>
  <c r="LE17" i="58"/>
  <c r="AJ10" i="58"/>
  <c r="OT12" i="58"/>
  <c r="DA11" i="58"/>
  <c r="NC14" i="58"/>
  <c r="LW15" i="58"/>
  <c r="BT22" i="58"/>
  <c r="AJ15" i="58"/>
  <c r="MY24" i="58"/>
  <c r="KJ14" i="58"/>
  <c r="LR35" i="58"/>
  <c r="LT23" i="58"/>
  <c r="GG17" i="58"/>
  <c r="PR16" i="58"/>
  <c r="GS17" i="58"/>
  <c r="LQ40" i="58"/>
  <c r="OI32" i="58"/>
  <c r="IT15" i="58"/>
  <c r="KY14" i="58"/>
  <c r="QJ32" i="58"/>
  <c r="GF23" i="58"/>
  <c r="DA19" i="58"/>
  <c r="BV17" i="58"/>
  <c r="CG21" i="58"/>
  <c r="MU29" i="58"/>
  <c r="DJ10" i="58"/>
  <c r="NK20" i="58"/>
  <c r="HK19" i="58"/>
  <c r="OO20" i="58"/>
  <c r="GV15" i="58"/>
  <c r="OG14" i="58"/>
  <c r="AT22" i="58"/>
  <c r="AI11" i="58"/>
  <c r="DD11" i="58"/>
  <c r="AR13" i="58"/>
  <c r="R13" i="58"/>
  <c r="GS10" i="58"/>
  <c r="NJ20" i="58"/>
  <c r="DB9" i="58"/>
  <c r="GZ22" i="58"/>
  <c r="CR22" i="58"/>
  <c r="AO9" i="58"/>
  <c r="JF12" i="58"/>
  <c r="QO18" i="58"/>
  <c r="OJ21" i="58"/>
  <c r="CX18" i="58"/>
  <c r="LP10" i="58"/>
  <c r="DU9" i="58"/>
  <c r="FU24" i="58"/>
  <c r="BY10" i="58"/>
  <c r="BU14" i="58"/>
  <c r="RQ11" i="58"/>
  <c r="LA14" i="58"/>
  <c r="LM10" i="58"/>
  <c r="KI9" i="58"/>
  <c r="GQ13" i="58"/>
  <c r="EO22" i="58"/>
  <c r="DZ13" i="58"/>
  <c r="GH15" i="58"/>
  <c r="JC18" i="58"/>
  <c r="FD10" i="58"/>
  <c r="JO15" i="58"/>
  <c r="OB35" i="58"/>
  <c r="LH13" i="58"/>
  <c r="NH15" i="58"/>
  <c r="OA14" i="58"/>
  <c r="QC37" i="58"/>
  <c r="R10" i="58"/>
  <c r="LU20" i="58"/>
  <c r="MU12" i="58"/>
  <c r="MV23" i="58"/>
  <c r="NB15" i="58"/>
  <c r="MW17" i="58"/>
  <c r="MA13" i="58"/>
  <c r="MA9" i="58"/>
  <c r="QR18" i="58"/>
  <c r="RH10" i="58"/>
  <c r="JA18" i="58"/>
  <c r="RD24" i="58"/>
  <c r="KR21" i="58"/>
  <c r="LR20" i="58"/>
  <c r="LA29" i="58"/>
  <c r="OX22" i="58"/>
  <c r="MW18" i="58"/>
  <c r="LV11" i="58"/>
  <c r="NO23" i="58"/>
  <c r="CL13" i="58"/>
  <c r="GE13" i="58"/>
  <c r="QJ21" i="58"/>
  <c r="FR11" i="58"/>
  <c r="CA13" i="58"/>
  <c r="T14" i="58"/>
  <c r="QK22" i="58"/>
  <c r="HT16" i="58"/>
  <c r="KA11" i="58"/>
  <c r="RO13" i="58"/>
  <c r="Y15" i="58"/>
  <c r="BK14" i="58"/>
  <c r="NA14" i="58"/>
  <c r="OS11" i="58"/>
  <c r="JJ11" i="58"/>
  <c r="BO18" i="58"/>
  <c r="FK20" i="58"/>
  <c r="NM22" i="58"/>
  <c r="EV17" i="58"/>
  <c r="MR13" i="58"/>
  <c r="NE18" i="58"/>
  <c r="EU18" i="58"/>
  <c r="LF35" i="58"/>
  <c r="OE33" i="58"/>
  <c r="RE16" i="58"/>
  <c r="MD16" i="58"/>
  <c r="BT19" i="58"/>
  <c r="RN15" i="58"/>
  <c r="FE19" i="58"/>
  <c r="QU35" i="58"/>
  <c r="QO11" i="58"/>
  <c r="ID19" i="58"/>
  <c r="GB10" i="58"/>
  <c r="Z8" i="58"/>
  <c r="GM19" i="58"/>
  <c r="GV19" i="58"/>
  <c r="NK8" i="58"/>
  <c r="DZ17" i="58"/>
  <c r="RJ32" i="58"/>
  <c r="JV11" i="58"/>
  <c r="ES10" i="58"/>
  <c r="PG20" i="58"/>
  <c r="DP9" i="58"/>
  <c r="AL9" i="58"/>
  <c r="DX11" i="58"/>
  <c r="NB13" i="58"/>
  <c r="CU13" i="58"/>
  <c r="DO17" i="58"/>
  <c r="KT10" i="58"/>
  <c r="OF31" i="58"/>
  <c r="KI16" i="58"/>
  <c r="CW19" i="58"/>
  <c r="JL24" i="58"/>
  <c r="AK21" i="58"/>
  <c r="RC14" i="58"/>
  <c r="LA13" i="58"/>
  <c r="QQ23" i="58"/>
  <c r="AT9" i="58"/>
  <c r="LD23" i="58"/>
  <c r="AG20" i="58"/>
  <c r="PC12" i="58"/>
  <c r="CH23" i="58"/>
  <c r="EJ21" i="58"/>
  <c r="GD22" i="58"/>
  <c r="II8" i="58"/>
  <c r="MQ10" i="58"/>
  <c r="LY10" i="58"/>
  <c r="DJ9" i="58"/>
  <c r="PP32" i="58"/>
  <c r="JJ21" i="58"/>
  <c r="AR15" i="58"/>
  <c r="V10" i="58"/>
  <c r="NS10" i="58"/>
  <c r="CK19" i="58"/>
  <c r="IN16" i="58"/>
  <c r="NZ20" i="58"/>
  <c r="EX8" i="58"/>
  <c r="GX18" i="58"/>
  <c r="LB10" i="58"/>
  <c r="DZ14" i="58"/>
  <c r="DG9" i="58"/>
  <c r="NK19" i="58"/>
  <c r="MJ24" i="58"/>
  <c r="CV14" i="58"/>
  <c r="BF13" i="58"/>
  <c r="JB12" i="58"/>
  <c r="HX20" i="58"/>
  <c r="MW11" i="58"/>
  <c r="JY18" i="58"/>
  <c r="OA24" i="58"/>
  <c r="PS38" i="58"/>
  <c r="IQ19" i="58"/>
  <c r="GH18" i="58"/>
  <c r="OL17" i="58"/>
  <c r="MD18" i="58"/>
  <c r="OU19" i="58"/>
  <c r="GR16" i="58"/>
  <c r="LU12" i="58"/>
  <c r="GL15" i="58"/>
  <c r="OB12" i="58"/>
  <c r="BS10" i="58"/>
  <c r="QB13" i="58"/>
  <c r="HV14" i="58"/>
  <c r="JZ17" i="58"/>
  <c r="JH16" i="58"/>
  <c r="HU21" i="58"/>
  <c r="JN19" i="58"/>
  <c r="QP17" i="58"/>
  <c r="PE15" i="58"/>
  <c r="NZ19" i="58"/>
  <c r="PF16" i="58"/>
  <c r="BC23" i="58"/>
  <c r="AV20" i="58"/>
  <c r="RP18" i="58"/>
  <c r="JR20" i="58"/>
  <c r="IW18" i="58"/>
  <c r="OQ13" i="58"/>
  <c r="KB17" i="58"/>
  <c r="QY15" i="58"/>
  <c r="DW20" i="58"/>
  <c r="CN17" i="58"/>
  <c r="NB16" i="58"/>
  <c r="GO15" i="58"/>
  <c r="CO13" i="58"/>
  <c r="QF11" i="58"/>
  <c r="NQ15" i="58"/>
  <c r="KF15" i="58"/>
  <c r="QQ36" i="58"/>
  <c r="BQ24" i="58"/>
  <c r="NX21" i="58"/>
  <c r="NI15" i="58"/>
  <c r="PO30" i="58"/>
  <c r="JF19" i="58"/>
  <c r="CH17" i="58"/>
  <c r="PO16" i="58"/>
  <c r="BK18" i="58"/>
  <c r="NR39" i="58"/>
  <c r="JR22" i="58"/>
  <c r="AZ23" i="58"/>
  <c r="EW10" i="58"/>
  <c r="LL18" i="58"/>
  <c r="GW18" i="58"/>
  <c r="FX10" i="58"/>
  <c r="V17" i="58"/>
  <c r="RB10" i="58"/>
  <c r="FD9" i="58"/>
  <c r="FL19" i="58"/>
  <c r="BS20" i="58"/>
  <c r="PA15" i="58"/>
  <c r="AI12" i="58"/>
  <c r="HD13" i="58"/>
  <c r="HR13" i="58"/>
  <c r="CT9" i="58"/>
  <c r="CU14" i="58"/>
  <c r="CA10" i="58"/>
  <c r="JS8" i="58"/>
  <c r="MX13" i="58"/>
  <c r="OA11" i="58"/>
  <c r="JC8" i="58"/>
  <c r="GJ18" i="58"/>
  <c r="PL13" i="58"/>
  <c r="BG21" i="58"/>
  <c r="KN23" i="58"/>
  <c r="DL16" i="58"/>
  <c r="OA49" i="58"/>
  <c r="OX13" i="58"/>
  <c r="MP51" i="58"/>
  <c r="NO11" i="58"/>
  <c r="OW14" i="58"/>
  <c r="FI14" i="58"/>
  <c r="KG9" i="58"/>
  <c r="KQ18" i="58"/>
  <c r="BA19" i="58"/>
  <c r="ME18" i="58"/>
  <c r="RT17" i="58"/>
  <c r="X21" i="58"/>
  <c r="DA13" i="58"/>
  <c r="GW17" i="58"/>
  <c r="DL17" i="58"/>
  <c r="IL9" i="58"/>
  <c r="CV8" i="58"/>
  <c r="JV10" i="58"/>
  <c r="OV8" i="58"/>
  <c r="LE14" i="58"/>
  <c r="OQ17" i="58"/>
  <c r="EM11" i="58"/>
  <c r="MK20" i="58"/>
  <c r="GQ12" i="58"/>
  <c r="IO17" i="58"/>
  <c r="AB16" i="58"/>
  <c r="PS15" i="58"/>
  <c r="QV9" i="58"/>
  <c r="N14" i="58"/>
  <c r="GD23" i="58"/>
  <c r="PE21" i="58"/>
  <c r="NL49" i="58"/>
  <c r="CX17" i="58"/>
  <c r="OP33" i="58"/>
  <c r="JT18" i="58"/>
  <c r="BR22" i="58"/>
  <c r="BY21" i="58"/>
  <c r="AU18" i="58"/>
  <c r="EW12" i="58"/>
  <c r="HX24" i="58"/>
  <c r="RB14" i="58"/>
  <c r="KU14" i="58"/>
  <c r="HC23" i="58"/>
  <c r="NM34" i="58"/>
  <c r="ML19" i="58"/>
  <c r="QB14" i="58"/>
  <c r="IZ9" i="58"/>
  <c r="NI12" i="58"/>
  <c r="EL14" i="58"/>
  <c r="CU18" i="58"/>
  <c r="EQ19" i="58"/>
  <c r="KO11" i="58"/>
  <c r="AO12" i="58"/>
  <c r="EG9" i="58"/>
  <c r="JP8" i="58"/>
  <c r="DF10" i="58"/>
  <c r="FP23" i="58"/>
  <c r="LW13" i="58"/>
  <c r="BS19" i="58"/>
  <c r="AG9" i="58"/>
  <c r="CD15" i="58"/>
  <c r="NS16" i="58"/>
  <c r="BS17" i="58"/>
  <c r="LJ33" i="58"/>
  <c r="IA12" i="58"/>
  <c r="OF9" i="58"/>
  <c r="HG16" i="58"/>
  <c r="JD16" i="58"/>
  <c r="HK15" i="58"/>
  <c r="KB10" i="58"/>
  <c r="OC10" i="58"/>
  <c r="LS14" i="58"/>
  <c r="EL10" i="58"/>
  <c r="RF18" i="58"/>
  <c r="BI14" i="58"/>
  <c r="NO15" i="58"/>
  <c r="HB10" i="58"/>
  <c r="GH10" i="58"/>
  <c r="IL8" i="58"/>
  <c r="PJ18" i="58"/>
  <c r="CU24" i="58"/>
  <c r="NE8" i="58"/>
  <c r="OI9" i="58"/>
  <c r="JV16" i="58"/>
  <c r="KA19" i="58"/>
  <c r="KX16" i="58"/>
  <c r="W15" i="58"/>
  <c r="KE18" i="58"/>
  <c r="EX9" i="58"/>
  <c r="JF15" i="58"/>
  <c r="GS14" i="58"/>
  <c r="Z13" i="58"/>
  <c r="JH8" i="58"/>
  <c r="PP18" i="58"/>
  <c r="OU13" i="58"/>
  <c r="CI12" i="58"/>
  <c r="RM8" i="58"/>
  <c r="IY21" i="58"/>
  <c r="PS10" i="58"/>
  <c r="BE21" i="58"/>
  <c r="MC19" i="58"/>
  <c r="MQ14" i="58"/>
  <c r="BX10" i="58"/>
  <c r="CO19" i="58"/>
  <c r="QT12" i="58"/>
  <c r="CX13" i="58"/>
  <c r="HM17" i="58"/>
  <c r="CK8" i="58"/>
  <c r="NE20" i="58"/>
  <c r="RO15" i="58"/>
  <c r="AF10" i="58"/>
  <c r="FK18" i="58"/>
  <c r="BW8" i="58"/>
  <c r="NK14" i="58"/>
  <c r="BM10" i="58"/>
  <c r="N12" i="58"/>
  <c r="QP8" i="58"/>
  <c r="AL8" i="58"/>
  <c r="BB19" i="58"/>
  <c r="RP16" i="58"/>
  <c r="W18" i="58"/>
  <c r="HO18" i="58"/>
  <c r="MG9" i="58"/>
  <c r="QW14" i="58"/>
  <c r="FA13" i="58"/>
  <c r="DF14" i="58"/>
  <c r="MM10" i="58"/>
  <c r="OK8" i="58"/>
  <c r="FY9" i="58"/>
  <c r="KS10" i="58"/>
  <c r="QS12" i="58"/>
  <c r="GT13" i="58"/>
  <c r="HU15" i="58"/>
  <c r="KD24" i="58"/>
  <c r="FH16" i="58"/>
  <c r="EH20" i="58"/>
  <c r="IL18" i="58"/>
  <c r="AC15" i="58"/>
  <c r="AV12" i="58"/>
  <c r="RQ8" i="58"/>
  <c r="AP16" i="58"/>
  <c r="OC15" i="58"/>
  <c r="RI10" i="58"/>
  <c r="EH14" i="58"/>
  <c r="IW10" i="58"/>
  <c r="LK12" i="58"/>
  <c r="JD14" i="58"/>
  <c r="LI9" i="58"/>
  <c r="KP14" i="58"/>
  <c r="QA23" i="58"/>
  <c r="BZ8" i="58"/>
  <c r="FD11" i="58"/>
  <c r="NP11" i="58"/>
  <c r="IJ15" i="58"/>
  <c r="FZ16" i="58"/>
  <c r="HL14" i="58"/>
  <c r="PD9" i="58"/>
  <c r="FR9" i="58"/>
  <c r="LG10" i="58"/>
  <c r="DI9" i="58"/>
  <c r="BH9" i="58"/>
  <c r="JZ11" i="58"/>
  <c r="PT9" i="58"/>
  <c r="PX13" i="58"/>
  <c r="ND16" i="58"/>
  <c r="CW10" i="58"/>
  <c r="HQ17" i="58"/>
  <c r="CN13" i="58"/>
  <c r="OF13" i="58"/>
  <c r="IK11" i="58"/>
  <c r="PW8" i="58"/>
  <c r="N16" i="58"/>
  <c r="GW11" i="58"/>
  <c r="PH8" i="58"/>
  <c r="LR12" i="58"/>
  <c r="GN12" i="58"/>
  <c r="AE8" i="58"/>
  <c r="MZ11" i="58"/>
  <c r="OE13" i="58"/>
  <c r="PU10" i="58"/>
  <c r="GN13" i="58"/>
  <c r="IL13" i="58"/>
  <c r="MN19" i="58"/>
  <c r="IE13" i="58"/>
  <c r="PK19" i="58"/>
  <c r="LO10" i="58"/>
  <c r="IG12" i="58"/>
  <c r="RP22" i="58"/>
  <c r="EI9" i="58"/>
  <c r="EO12" i="58"/>
  <c r="OZ11" i="58"/>
  <c r="GD12" i="58"/>
  <c r="PB12" i="58"/>
  <c r="PQ23" i="58"/>
  <c r="QS31" i="58"/>
  <c r="KN18" i="58"/>
  <c r="EJ9" i="58"/>
  <c r="RU9" i="58"/>
  <c r="DC8" i="58"/>
  <c r="GZ15" i="58"/>
  <c r="KE8" i="58"/>
  <c r="QM19" i="58"/>
  <c r="LQ8" i="58"/>
  <c r="IT14" i="58"/>
  <c r="HA8" i="58"/>
  <c r="NH8" i="58"/>
  <c r="CJ8" i="58"/>
  <c r="GH9" i="58"/>
  <c r="BC15" i="58"/>
  <c r="FD14" i="58"/>
  <c r="PW9" i="58"/>
  <c r="KH19" i="58"/>
  <c r="GZ9" i="58"/>
  <c r="EH9" i="58"/>
  <c r="DG15" i="58"/>
  <c r="AN22" i="58"/>
  <c r="PH16" i="58"/>
  <c r="LS10" i="58"/>
  <c r="IT9" i="58"/>
  <c r="OX9" i="58"/>
  <c r="FW9" i="58"/>
  <c r="PP11" i="58"/>
  <c r="OB8" i="58"/>
  <c r="PR14" i="58"/>
  <c r="BU18" i="58"/>
  <c r="KS23" i="58"/>
  <c r="RL18" i="58"/>
  <c r="AL16" i="58"/>
  <c r="RK11" i="58"/>
  <c r="KK8" i="58"/>
  <c r="PL17" i="58"/>
  <c r="FT8" i="58"/>
  <c r="OZ15" i="58"/>
  <c r="JM19" i="58"/>
  <c r="QN8" i="58"/>
  <c r="KN9" i="58"/>
  <c r="P12" i="58"/>
  <c r="JE8" i="58"/>
  <c r="JQ10" i="58"/>
  <c r="EM9" i="58"/>
  <c r="OA12" i="58"/>
  <c r="JS11" i="58"/>
  <c r="HY11" i="58"/>
  <c r="PH18" i="58"/>
  <c r="CD12" i="58"/>
  <c r="AG10" i="58"/>
  <c r="RK9" i="58"/>
  <c r="LL13" i="58"/>
  <c r="IE10" i="58"/>
  <c r="PG12" i="58"/>
  <c r="ED18" i="58"/>
  <c r="FH13" i="58"/>
  <c r="HU13" i="58"/>
  <c r="PQ17" i="58"/>
  <c r="GX9" i="58"/>
  <c r="MF12" i="58"/>
  <c r="PX9" i="58"/>
  <c r="IK10" i="58"/>
  <c r="CV9" i="58"/>
  <c r="HI13" i="58"/>
  <c r="MU11" i="58"/>
  <c r="GI13" i="58"/>
  <c r="CH9" i="58"/>
  <c r="QH19" i="58"/>
  <c r="CR13" i="58"/>
  <c r="QT8" i="58"/>
  <c r="GC12" i="58"/>
  <c r="ES13" i="58"/>
  <c r="HT15" i="58"/>
  <c r="IV13" i="58"/>
  <c r="QS15" i="58"/>
  <c r="AF16" i="58"/>
  <c r="QW19" i="58"/>
  <c r="AO17" i="58"/>
  <c r="DV22" i="58"/>
  <c r="RM14" i="58"/>
  <c r="CN10" i="58"/>
  <c r="KI8" i="58"/>
  <c r="AH15" i="58"/>
  <c r="BA13" i="58"/>
  <c r="QM30" i="58"/>
  <c r="QP9" i="58"/>
  <c r="LV8" i="58"/>
  <c r="MM12" i="58"/>
  <c r="QE11" i="58"/>
  <c r="OQ15" i="58"/>
  <c r="BX14" i="58"/>
  <c r="QY11" i="58"/>
  <c r="DB14" i="58"/>
  <c r="ML11" i="58"/>
  <c r="NP20" i="58"/>
  <c r="BF23" i="58"/>
  <c r="RR9" i="58"/>
  <c r="DH13" i="58"/>
  <c r="ER15" i="58"/>
  <c r="OY8" i="58"/>
  <c r="QY8" i="58"/>
  <c r="FD17" i="58"/>
  <c r="NC9" i="58"/>
  <c r="LV15" i="58"/>
  <c r="RS16" i="58"/>
  <c r="GU14" i="58"/>
  <c r="JG18" i="58"/>
  <c r="CF9" i="58"/>
  <c r="AA20" i="58"/>
  <c r="GG11" i="58"/>
  <c r="NX13" i="58"/>
  <c r="NY10" i="58"/>
  <c r="FB22" i="58"/>
  <c r="AK14" i="58"/>
  <c r="CA11" i="58"/>
  <c r="OU11" i="58"/>
  <c r="OG11" i="58"/>
  <c r="QL9" i="58"/>
  <c r="PM8" i="58"/>
  <c r="PU21" i="58"/>
  <c r="N17" i="58"/>
  <c r="EZ22" i="58"/>
  <c r="RO30" i="58"/>
  <c r="EQ21" i="58"/>
  <c r="KH16" i="58"/>
  <c r="JU10" i="58"/>
  <c r="PF9" i="58"/>
  <c r="RU17" i="58"/>
  <c r="RF8" i="58"/>
  <c r="KZ19" i="58"/>
  <c r="PQ11" i="58"/>
  <c r="HX9" i="58"/>
  <c r="ON13" i="58"/>
  <c r="MX8" i="58"/>
  <c r="FT9" i="58"/>
  <c r="QP10" i="58"/>
  <c r="HV15" i="58"/>
  <c r="ES8" i="58"/>
  <c r="RO14" i="58"/>
  <c r="JA8" i="58"/>
  <c r="FE18" i="58"/>
  <c r="MC16" i="58"/>
  <c r="QF9" i="58"/>
  <c r="FU20" i="58"/>
  <c r="CF14" i="58"/>
  <c r="EM12" i="58"/>
  <c r="AR8" i="58"/>
  <c r="BC13" i="58"/>
  <c r="JT9" i="58"/>
  <c r="GD11" i="58"/>
  <c r="EH11" i="58"/>
  <c r="HJ10" i="58"/>
  <c r="MT12" i="58"/>
  <c r="KD20" i="58"/>
  <c r="LD8" i="58"/>
  <c r="MF8" i="58"/>
  <c r="PX12" i="58"/>
  <c r="AE9" i="58"/>
  <c r="JX17" i="58"/>
  <c r="EN9" i="58"/>
  <c r="LT17" i="58"/>
  <c r="JP16" i="58"/>
  <c r="DY16" i="58"/>
  <c r="HY8" i="58"/>
  <c r="FO12" i="58"/>
  <c r="OE31" i="58"/>
  <c r="HV11" i="58"/>
  <c r="JE10" i="58"/>
  <c r="ME19" i="58"/>
  <c r="OL10" i="58"/>
  <c r="CC12" i="58"/>
  <c r="FB11" i="58"/>
  <c r="KF9" i="58"/>
  <c r="ME24" i="58"/>
  <c r="FP20" i="58"/>
  <c r="RK8" i="58"/>
  <c r="NL11" i="58"/>
  <c r="LH10" i="58"/>
  <c r="JT19" i="58"/>
  <c r="BK8" i="58"/>
  <c r="MM13" i="58"/>
  <c r="NF15" i="58"/>
  <c r="RV9" i="58"/>
  <c r="FN13" i="58"/>
  <c r="IN9" i="58"/>
  <c r="FH15" i="58"/>
  <c r="II14" i="58"/>
  <c r="OJ15" i="58"/>
  <c r="GF17" i="58"/>
  <c r="QP11" i="58"/>
  <c r="FJ10" i="58"/>
  <c r="BU13" i="58"/>
  <c r="PO15" i="58"/>
  <c r="EW9" i="58"/>
  <c r="LJ15" i="58"/>
  <c r="BX16" i="58"/>
  <c r="BM18" i="58"/>
  <c r="GO12" i="58"/>
  <c r="ED11" i="58"/>
  <c r="GI9" i="58"/>
  <c r="QG17" i="58"/>
  <c r="QN11" i="58"/>
  <c r="QD9" i="58"/>
  <c r="LQ11" i="58"/>
  <c r="EV11" i="58"/>
  <c r="DQ9" i="58"/>
  <c r="PV11" i="58"/>
  <c r="RJ10" i="58"/>
  <c r="MZ14" i="58"/>
  <c r="ES9" i="58"/>
  <c r="LH16" i="58"/>
  <c r="LS13" i="58"/>
  <c r="IC17" i="58"/>
  <c r="FV15" i="58"/>
  <c r="JB11" i="58"/>
  <c r="NF11" i="58"/>
  <c r="KI14" i="58"/>
  <c r="HH8" i="58"/>
  <c r="GH13" i="58"/>
  <c r="JQ16" i="58"/>
  <c r="II10" i="58"/>
  <c r="MO10" i="58"/>
  <c r="EW11" i="58"/>
  <c r="QG15" i="58"/>
  <c r="RU16" i="58"/>
  <c r="OT14" i="58"/>
  <c r="U10" i="58"/>
  <c r="MT9" i="58"/>
  <c r="IL16" i="58"/>
  <c r="KY8" i="58"/>
  <c r="ON17" i="58"/>
  <c r="RL10" i="58"/>
  <c r="GY12" i="58"/>
  <c r="RI11" i="58"/>
  <c r="CG11" i="58"/>
  <c r="ID14" i="58"/>
  <c r="MK15" i="58"/>
  <c r="EZ9" i="58"/>
  <c r="JJ12" i="58"/>
  <c r="RU13" i="58"/>
  <c r="GH8" i="58"/>
  <c r="GR14" i="58"/>
  <c r="BU12" i="58"/>
  <c r="IS8" i="58"/>
  <c r="JY16" i="58"/>
  <c r="IV20" i="58"/>
  <c r="ND20" i="58"/>
  <c r="MV18" i="58"/>
  <c r="GU13" i="58"/>
  <c r="OR12" i="58"/>
  <c r="AL10" i="58"/>
  <c r="U20" i="58"/>
  <c r="RM10" i="58"/>
  <c r="BP13" i="58"/>
  <c r="DT9" i="58"/>
  <c r="EE14" i="58"/>
  <c r="RK10" i="58"/>
  <c r="JY14" i="58"/>
  <c r="PI8" i="58"/>
  <c r="S21" i="58"/>
  <c r="LE20" i="58"/>
  <c r="KG12" i="58"/>
  <c r="RI15" i="58"/>
  <c r="NN8" i="58"/>
  <c r="EJ8" i="58"/>
  <c r="JF11" i="58"/>
  <c r="PN12" i="58"/>
  <c r="KX8" i="58"/>
  <c r="BP19" i="58"/>
  <c r="EJ10" i="58"/>
  <c r="DZ8" i="58"/>
  <c r="EE9" i="58"/>
  <c r="IS9" i="58"/>
  <c r="EU14" i="58"/>
  <c r="PC18" i="58"/>
  <c r="IH18" i="58"/>
  <c r="GQ19" i="58"/>
  <c r="LG14" i="58"/>
  <c r="RR13" i="58"/>
  <c r="EW19" i="58"/>
  <c r="BA12" i="58"/>
  <c r="GX12" i="58"/>
  <c r="QK13" i="58"/>
  <c r="AO18" i="58"/>
  <c r="QU20" i="58"/>
  <c r="CN9" i="58"/>
  <c r="RB12" i="58"/>
  <c r="LC10" i="58"/>
  <c r="AO13" i="58"/>
  <c r="NW36" i="58"/>
  <c r="GK11" i="58"/>
  <c r="OO9" i="58"/>
  <c r="CZ9" i="58"/>
  <c r="JG19" i="58"/>
  <c r="BA14" i="58"/>
  <c r="FJ17" i="58"/>
  <c r="CC9" i="58"/>
  <c r="BN12" i="58"/>
  <c r="BX9" i="58"/>
  <c r="PF11" i="58"/>
  <c r="HC12" i="58"/>
  <c r="AA11" i="58"/>
  <c r="HQ10" i="58"/>
  <c r="LX10" i="58"/>
  <c r="ID13" i="58"/>
  <c r="QY10" i="58"/>
  <c r="HF16" i="58"/>
  <c r="QM17" i="58"/>
  <c r="FQ13" i="58"/>
  <c r="MQ24" i="58"/>
  <c r="IM10" i="58"/>
  <c r="BY13" i="58"/>
  <c r="AI13" i="58"/>
  <c r="DW11" i="58"/>
  <c r="KQ9" i="58"/>
  <c r="MN13" i="58"/>
  <c r="DK16" i="58"/>
  <c r="FE15" i="58"/>
  <c r="CT14" i="58"/>
  <c r="DJ15" i="58"/>
  <c r="BS13" i="58"/>
  <c r="LI23" i="58"/>
  <c r="DR18" i="58"/>
  <c r="LR17" i="58"/>
  <c r="AL11" i="58"/>
  <c r="LJ8" i="58"/>
  <c r="DJ13" i="58"/>
  <c r="BO16" i="58"/>
  <c r="HI9" i="58"/>
  <c r="RD11" i="58"/>
  <c r="KR11" i="58"/>
  <c r="PT19" i="58"/>
  <c r="HM12" i="58"/>
  <c r="QG9" i="58"/>
  <c r="OS33" i="58"/>
  <c r="EV19" i="58"/>
  <c r="AC12" i="58"/>
  <c r="GS19" i="58"/>
  <c r="NF8" i="58"/>
  <c r="CN12" i="58"/>
  <c r="EK12" i="58"/>
  <c r="NL10" i="58"/>
  <c r="AG8" i="58"/>
  <c r="ES20" i="58"/>
  <c r="HG13" i="58"/>
  <c r="LU10" i="58"/>
  <c r="FH24" i="58"/>
  <c r="PM12" i="58"/>
  <c r="NL15" i="58"/>
  <c r="KQ16" i="58"/>
  <c r="T16" i="58"/>
  <c r="RI14" i="58"/>
  <c r="OG18" i="58"/>
  <c r="PH9" i="58"/>
  <c r="BU11" i="58"/>
  <c r="KB11" i="58"/>
  <c r="EH18" i="58"/>
  <c r="LP22" i="58"/>
  <c r="GI20" i="58"/>
  <c r="DH9" i="58"/>
  <c r="RQ16" i="58"/>
  <c r="EF10" i="58"/>
  <c r="KD14" i="58"/>
  <c r="DK10" i="58"/>
  <c r="CF8" i="58"/>
  <c r="RA10" i="58"/>
  <c r="IO13" i="58"/>
  <c r="OV13" i="58"/>
  <c r="LB15" i="58"/>
  <c r="GO24" i="58"/>
  <c r="HM11" i="58"/>
  <c r="OO12" i="58"/>
  <c r="KQ19" i="58"/>
  <c r="NU8" i="58"/>
  <c r="KY11" i="58"/>
  <c r="BD21" i="58"/>
  <c r="BU16" i="58"/>
  <c r="QN14" i="58"/>
  <c r="DT12" i="58"/>
  <c r="HF12" i="58"/>
  <c r="NY9" i="58"/>
  <c r="MG17" i="58"/>
  <c r="IR19" i="58"/>
  <c r="OA15" i="58"/>
  <c r="CF16" i="58"/>
  <c r="QX17" i="58"/>
  <c r="FR14" i="58"/>
  <c r="JS14" i="58"/>
  <c r="OA13" i="58"/>
  <c r="QL11" i="58"/>
  <c r="QU9" i="58"/>
  <c r="AC10" i="58"/>
  <c r="NY8" i="58"/>
  <c r="EZ11" i="58"/>
  <c r="HN12" i="58"/>
  <c r="CA16" i="58"/>
  <c r="AB23" i="58"/>
  <c r="GA18" i="58"/>
  <c r="EK20" i="58"/>
  <c r="BZ11" i="58"/>
  <c r="CW9" i="58"/>
  <c r="IL12" i="58"/>
  <c r="HL11" i="58"/>
  <c r="AW16" i="58"/>
  <c r="QT18" i="58"/>
  <c r="AY12" i="58"/>
  <c r="QZ11" i="58"/>
  <c r="GY14" i="58"/>
  <c r="BR9" i="58"/>
  <c r="LA8" i="58"/>
  <c r="MC9" i="58"/>
  <c r="RM12" i="58"/>
  <c r="FS20" i="58"/>
  <c r="GB17" i="58"/>
  <c r="HT10" i="58"/>
  <c r="NA9" i="58"/>
  <c r="LN11" i="58"/>
  <c r="HQ9" i="58"/>
  <c r="CG8" i="58"/>
  <c r="KN17" i="58"/>
  <c r="PT14" i="58"/>
  <c r="NP13" i="58"/>
  <c r="AF8" i="58"/>
  <c r="PS12" i="58"/>
  <c r="KE10" i="58"/>
  <c r="DL8" i="58"/>
  <c r="GW12" i="58"/>
  <c r="DN10" i="58"/>
  <c r="FU10" i="58"/>
  <c r="AA10" i="58"/>
  <c r="JS9" i="58"/>
  <c r="DI22" i="58"/>
  <c r="NS17" i="58"/>
  <c r="FE13" i="58"/>
  <c r="RO16" i="58"/>
  <c r="IF10" i="58"/>
  <c r="MX12" i="58"/>
  <c r="DD9" i="58"/>
  <c r="JE11" i="58"/>
  <c r="KM10" i="58"/>
  <c r="FC15" i="58"/>
  <c r="CR10" i="58"/>
  <c r="IX21" i="58"/>
  <c r="MJ10" i="58"/>
  <c r="IH22" i="58"/>
  <c r="QE12" i="58"/>
  <c r="MA15" i="58"/>
  <c r="BE17" i="58"/>
  <c r="JG12" i="58"/>
  <c r="QX11" i="58"/>
  <c r="Q9" i="58"/>
  <c r="EC18" i="58"/>
  <c r="LO14" i="58"/>
  <c r="AZ19" i="58"/>
  <c r="EA12" i="58"/>
  <c r="CY9" i="58"/>
  <c r="QM10" i="58"/>
  <c r="JP15" i="58"/>
  <c r="LT8" i="58"/>
  <c r="GH14" i="58"/>
  <c r="T20" i="58"/>
  <c r="PD15" i="58"/>
  <c r="EC13" i="58"/>
  <c r="GB9" i="58"/>
  <c r="GQ14" i="58"/>
  <c r="Z12" i="58"/>
  <c r="AO10" i="58"/>
  <c r="FK13" i="58"/>
  <c r="PK8" i="58"/>
  <c r="HQ13" i="58"/>
  <c r="RL8" i="58"/>
  <c r="FF8" i="58"/>
  <c r="KG21" i="58"/>
  <c r="BW21" i="58"/>
  <c r="PI14" i="58"/>
  <c r="QI11" i="58"/>
  <c r="BI8" i="58"/>
  <c r="NY17" i="58"/>
  <c r="FY15" i="58"/>
  <c r="JN12" i="58"/>
  <c r="CR11" i="58"/>
  <c r="JY12" i="58"/>
  <c r="DY14" i="58"/>
  <c r="JI9" i="58"/>
  <c r="AF9" i="58"/>
  <c r="LF13" i="58"/>
  <c r="DH14" i="58"/>
  <c r="MP10" i="58"/>
  <c r="PG14" i="58"/>
  <c r="MB10" i="58"/>
  <c r="AY10" i="58"/>
  <c r="KN12" i="58"/>
  <c r="LU8" i="58"/>
  <c r="AL12" i="58"/>
  <c r="PA13" i="58"/>
  <c r="MT20" i="58"/>
  <c r="CU9" i="58"/>
  <c r="JW10" i="58"/>
  <c r="AQ12" i="58"/>
  <c r="RB8" i="58"/>
  <c r="QB12" i="58"/>
  <c r="AQ10" i="58"/>
  <c r="JH9" i="58"/>
  <c r="LY11" i="58"/>
  <c r="KX11" i="58"/>
  <c r="IQ11" i="58"/>
  <c r="PT11" i="58"/>
  <c r="PU18" i="58"/>
  <c r="GL14" i="58"/>
  <c r="RT8" i="58"/>
  <c r="CB9" i="58"/>
  <c r="MD19" i="58"/>
  <c r="HM14" i="58"/>
  <c r="CP12" i="58"/>
  <c r="GM11" i="58"/>
  <c r="RD13" i="58"/>
  <c r="OL16" i="58"/>
  <c r="LY9" i="58"/>
  <c r="NO8" i="58"/>
  <c r="CO12" i="58"/>
  <c r="GA10" i="58"/>
  <c r="FQ20" i="58"/>
  <c r="NR29" i="58"/>
  <c r="NW10" i="58"/>
  <c r="PG8" i="58"/>
  <c r="QI20" i="58"/>
  <c r="HI8" i="58"/>
  <c r="ON12" i="58"/>
  <c r="QB17" i="58"/>
  <c r="GF11" i="58"/>
  <c r="GG10" i="58"/>
  <c r="KV12" i="58"/>
  <c r="LB14" i="58"/>
  <c r="NW9" i="58"/>
  <c r="AE15" i="58"/>
  <c r="OA22" i="58"/>
  <c r="AW20" i="58"/>
  <c r="OM12" i="58"/>
  <c r="IE14" i="58"/>
  <c r="PM15" i="58"/>
  <c r="MK11" i="58"/>
  <c r="QD10" i="58"/>
  <c r="BS12" i="58"/>
  <c r="RJ13" i="58"/>
  <c r="KJ13" i="58"/>
  <c r="HL9" i="58"/>
  <c r="DZ11" i="58"/>
  <c r="EP13" i="58"/>
  <c r="EQ12" i="58"/>
  <c r="KW9" i="58"/>
  <c r="RB19" i="58"/>
  <c r="RJ18" i="58"/>
  <c r="GM18" i="58"/>
  <c r="BG20" i="58"/>
  <c r="FY11" i="58"/>
  <c r="EE12" i="58"/>
  <c r="CI10" i="58"/>
  <c r="GV9" i="58"/>
  <c r="JS17" i="58"/>
  <c r="JS10" i="58"/>
  <c r="BM8" i="58"/>
  <c r="DX17" i="58"/>
  <c r="FQ8" i="58"/>
  <c r="MV12" i="58"/>
  <c r="KS9" i="58"/>
  <c r="OL18" i="58"/>
  <c r="MG14" i="58"/>
  <c r="LU17" i="58"/>
  <c r="ET13" i="58"/>
  <c r="X13" i="58"/>
  <c r="EY11" i="58"/>
  <c r="QD14" i="58"/>
  <c r="EB9" i="58"/>
  <c r="GZ8" i="58"/>
  <c r="OR8" i="58"/>
  <c r="PI10" i="58"/>
  <c r="FQ11" i="58"/>
  <c r="BK9" i="58"/>
  <c r="KS12" i="58"/>
  <c r="FJ9" i="58"/>
  <c r="Q11" i="58"/>
  <c r="NQ11" i="58"/>
  <c r="PA8" i="58"/>
  <c r="GE11" i="58"/>
  <c r="NE19" i="58"/>
  <c r="CG13" i="58"/>
  <c r="KV13" i="58"/>
  <c r="GJ8" i="58"/>
  <c r="EC15" i="58"/>
  <c r="P8" i="58"/>
  <c r="DI10" i="58"/>
  <c r="QP14" i="58"/>
  <c r="DS15" i="58"/>
  <c r="HV10" i="58"/>
  <c r="NR10" i="58"/>
  <c r="HP14" i="58"/>
  <c r="GR19" i="58"/>
  <c r="LS19" i="58"/>
  <c r="OF12" i="58"/>
  <c r="RN29" i="58"/>
  <c r="BZ10" i="58"/>
  <c r="BR12" i="58"/>
  <c r="BE15" i="58"/>
  <c r="JN11" i="58"/>
  <c r="QL16" i="58"/>
  <c r="EV9" i="58"/>
  <c r="KK10" i="58"/>
  <c r="JI14" i="58"/>
  <c r="HM8" i="58"/>
  <c r="IQ12" i="58"/>
  <c r="DW12" i="58"/>
  <c r="CY13" i="58"/>
  <c r="AZ13" i="58"/>
  <c r="DG13" i="58"/>
  <c r="PG11" i="58"/>
  <c r="GI14" i="58"/>
  <c r="BL12" i="58"/>
  <c r="PM11" i="58"/>
  <c r="HA14" i="58"/>
  <c r="BV8" i="58"/>
  <c r="CS15" i="58"/>
  <c r="CG14" i="58"/>
  <c r="GJ17" i="58"/>
  <c r="X12" i="58"/>
  <c r="NE13" i="58"/>
  <c r="RF13" i="58"/>
  <c r="LL21" i="58"/>
  <c r="KN14" i="58"/>
  <c r="MF11" i="58"/>
  <c r="OG10" i="58"/>
  <c r="CS17" i="58"/>
  <c r="NH16" i="58"/>
  <c r="BC12" i="58"/>
  <c r="FR18" i="58"/>
  <c r="KY17" i="58"/>
  <c r="JM12" i="58"/>
  <c r="DW10" i="58"/>
  <c r="EC12" i="58"/>
  <c r="DQ10" i="58"/>
  <c r="PK12" i="58"/>
  <c r="BE8" i="58"/>
  <c r="EY10" i="58"/>
  <c r="NT11" i="58"/>
  <c r="LQ19" i="58"/>
  <c r="BR20" i="58"/>
  <c r="EC14" i="58"/>
  <c r="OU14" i="58"/>
  <c r="MC14" i="58"/>
  <c r="IF8" i="58"/>
  <c r="KL10" i="58"/>
  <c r="HB8" i="58"/>
  <c r="BI10" i="58"/>
  <c r="QZ10" i="58"/>
  <c r="V9" i="58"/>
  <c r="BL9" i="58"/>
  <c r="KY12" i="58"/>
  <c r="IF18" i="58"/>
  <c r="CP9" i="58"/>
  <c r="RJ33" i="58"/>
  <c r="CV16" i="58"/>
  <c r="PR18" i="58"/>
  <c r="CP15" i="58"/>
  <c r="IH13" i="58"/>
  <c r="RA11" i="58"/>
  <c r="AF17" i="58"/>
  <c r="LF14" i="58"/>
  <c r="RD18" i="58"/>
  <c r="KT8" i="58"/>
  <c r="FG15" i="58"/>
  <c r="FL10" i="58"/>
  <c r="EA18" i="58"/>
  <c r="KC9" i="58"/>
  <c r="AH24" i="58"/>
  <c r="OX34" i="58"/>
  <c r="KC13" i="58"/>
  <c r="AD12" i="58"/>
  <c r="OP8" i="58"/>
  <c r="DO13" i="58"/>
  <c r="X11" i="58"/>
  <c r="KE13" i="58"/>
  <c r="NM12" i="58"/>
  <c r="GN9" i="58"/>
  <c r="QW11" i="58"/>
  <c r="BV11" i="58"/>
  <c r="CX14" i="58"/>
  <c r="LF8" i="58"/>
  <c r="IC8" i="58"/>
  <c r="IM13" i="58"/>
  <c r="QA16" i="58"/>
  <c r="JK9" i="58"/>
  <c r="LI17" i="58"/>
  <c r="AE16" i="58"/>
  <c r="BT16" i="58"/>
  <c r="DK14" i="58"/>
  <c r="BU8" i="58"/>
  <c r="NT20" i="58"/>
  <c r="JF18" i="58"/>
  <c r="KZ18" i="58"/>
  <c r="GR13" i="58"/>
  <c r="IK12" i="58"/>
  <c r="JO9" i="58"/>
  <c r="MR8" i="58"/>
  <c r="JX9" i="58"/>
  <c r="LM24" i="58"/>
  <c r="IL20" i="58"/>
  <c r="FF13" i="58"/>
  <c r="LZ10" i="58"/>
  <c r="IA11" i="58"/>
  <c r="CR14" i="58"/>
  <c r="FP12" i="58"/>
  <c r="DF15" i="58"/>
  <c r="BB10" i="58"/>
  <c r="CY8" i="58"/>
  <c r="QH9" i="58"/>
  <c r="LJ21" i="58"/>
  <c r="FY17" i="58"/>
  <c r="OZ12" i="58"/>
  <c r="PE14" i="58"/>
  <c r="NK45" i="58"/>
  <c r="CD13" i="58"/>
  <c r="DA12" i="58"/>
  <c r="LS29" i="58"/>
  <c r="CE20" i="58"/>
  <c r="O10" i="58"/>
  <c r="GG9" i="58"/>
  <c r="QL24" i="58"/>
  <c r="JD23" i="58"/>
  <c r="ND31" i="58"/>
  <c r="QF13" i="58"/>
  <c r="MI14" i="58"/>
  <c r="EH8" i="58"/>
  <c r="IB12" i="58"/>
  <c r="GC10" i="58"/>
  <c r="CC17" i="58"/>
  <c r="RP9" i="58"/>
  <c r="EC19" i="58"/>
  <c r="DX8" i="58"/>
  <c r="HQ20" i="58"/>
  <c r="DG19" i="58"/>
  <c r="HR16" i="58"/>
  <c r="AV13" i="58"/>
  <c r="EZ13" i="58"/>
  <c r="KP15" i="58"/>
  <c r="BQ19" i="58"/>
  <c r="JU8" i="58"/>
  <c r="PO13" i="58"/>
  <c r="LB9" i="58"/>
  <c r="IV8" i="58"/>
  <c r="LB8" i="58"/>
  <c r="CV21" i="58"/>
  <c r="DE9" i="58"/>
  <c r="P14" i="58"/>
  <c r="NP8" i="58"/>
  <c r="BT9" i="58"/>
  <c r="PZ12" i="58"/>
  <c r="GG14" i="58"/>
  <c r="PE13" i="58"/>
  <c r="AT10" i="58"/>
  <c r="OB24" i="58"/>
  <c r="IM8" i="58"/>
  <c r="QH13" i="58"/>
  <c r="PG18" i="58"/>
  <c r="PA9" i="58"/>
  <c r="BW13" i="58"/>
  <c r="CE10" i="58"/>
  <c r="GA15" i="58"/>
  <c r="QE9" i="58"/>
  <c r="GC8" i="58"/>
  <c r="QL10" i="58"/>
  <c r="IW12" i="58"/>
  <c r="GK16" i="58"/>
  <c r="DN9" i="58"/>
  <c r="HR8" i="58"/>
  <c r="OY18" i="58"/>
  <c r="KD8" i="58"/>
  <c r="NA11" i="58"/>
  <c r="MK22" i="58"/>
  <c r="GU8" i="58"/>
  <c r="MI18" i="58"/>
  <c r="DV18" i="58"/>
  <c r="AI14" i="58"/>
  <c r="NZ11" i="58"/>
  <c r="GO23" i="58"/>
  <c r="FH8" i="58"/>
  <c r="OU9" i="58"/>
  <c r="GV13" i="58"/>
  <c r="GF13" i="58"/>
  <c r="HN9" i="58"/>
  <c r="AN16" i="58"/>
  <c r="KU24" i="58"/>
  <c r="FQ12" i="58"/>
  <c r="EP15" i="58"/>
  <c r="IY12" i="58"/>
  <c r="RD14" i="58"/>
  <c r="LR15" i="58"/>
  <c r="GT18" i="58"/>
  <c r="NT10" i="58"/>
  <c r="IJ12" i="58"/>
  <c r="OC17" i="58"/>
  <c r="AH10" i="58"/>
  <c r="OD9" i="58"/>
  <c r="AN12" i="58"/>
  <c r="MO11" i="58"/>
  <c r="KX10" i="58"/>
  <c r="PA30" i="58"/>
  <c r="KU17" i="58"/>
  <c r="OR18" i="58"/>
  <c r="IP15" i="58"/>
  <c r="BY14" i="58"/>
  <c r="MA14" i="58"/>
  <c r="KN11" i="58"/>
  <c r="RL14" i="58"/>
  <c r="OQ10" i="58"/>
  <c r="IH14" i="58"/>
  <c r="NK10" i="58"/>
  <c r="FQ9" i="58"/>
  <c r="LT9" i="58"/>
  <c r="CX11" i="58"/>
  <c r="KV15" i="58"/>
  <c r="II13" i="58"/>
  <c r="RE17" i="58"/>
  <c r="PN14" i="58"/>
  <c r="MJ12" i="58"/>
  <c r="Y16" i="58"/>
  <c r="FL14" i="58"/>
  <c r="CK9" i="58"/>
  <c r="LN8" i="58"/>
  <c r="FZ14" i="58"/>
  <c r="FO11" i="58"/>
  <c r="PY9" i="58"/>
  <c r="AW15" i="58"/>
  <c r="IS12" i="58"/>
  <c r="EH17" i="58"/>
  <c r="MI10" i="58"/>
  <c r="RI20" i="58"/>
  <c r="OC16" i="58"/>
  <c r="BS15" i="58"/>
  <c r="GW9" i="58"/>
  <c r="AP8" i="58"/>
  <c r="NE15" i="58"/>
  <c r="OX12" i="58"/>
  <c r="NL23" i="58"/>
  <c r="AM19" i="58"/>
  <c r="CK11" i="58"/>
  <c r="BD12" i="58"/>
  <c r="IU18" i="58"/>
  <c r="KL9" i="58"/>
  <c r="PM10" i="58"/>
  <c r="HZ12" i="58"/>
  <c r="PR19" i="58"/>
  <c r="OA9" i="58"/>
  <c r="FB9" i="58"/>
  <c r="QU14" i="58"/>
  <c r="X9" i="58"/>
  <c r="OD8" i="58"/>
  <c r="AC21" i="58"/>
  <c r="HH9" i="58"/>
  <c r="OP12" i="58"/>
  <c r="CI9" i="58"/>
  <c r="CU11" i="58"/>
  <c r="NP18" i="58"/>
  <c r="FV19" i="58"/>
  <c r="NA17" i="58"/>
  <c r="QI30" i="58"/>
  <c r="RH11" i="58"/>
  <c r="EW8" i="58"/>
  <c r="JD9" i="58"/>
  <c r="DV14" i="58"/>
  <c r="JT14" i="58"/>
  <c r="QT10" i="58"/>
  <c r="FQ15" i="58"/>
  <c r="HP9" i="58"/>
  <c r="QG13" i="58"/>
  <c r="CS14" i="58"/>
  <c r="DS8" i="58"/>
  <c r="QH15" i="58"/>
  <c r="GD8" i="58"/>
  <c r="MY9" i="58"/>
  <c r="LB12" i="58"/>
  <c r="GS16" i="58"/>
  <c r="PX10" i="58"/>
  <c r="NW11" i="58"/>
  <c r="LC11" i="58"/>
  <c r="MK18" i="58"/>
  <c r="MH18" i="58"/>
  <c r="BR11" i="58"/>
  <c r="OX15" i="58"/>
  <c r="FG16" i="58"/>
  <c r="PB10" i="58"/>
  <c r="QJ9" i="58"/>
  <c r="OH11" i="58"/>
  <c r="BN11" i="58"/>
  <c r="RQ12" i="58"/>
  <c r="EF15" i="58"/>
  <c r="FS12" i="58"/>
  <c r="FC24" i="58"/>
  <c r="T10" i="58"/>
  <c r="IR16" i="58"/>
  <c r="FK8" i="58"/>
  <c r="NW8" i="58"/>
  <c r="LT11" i="58"/>
  <c r="KX21" i="58"/>
  <c r="EF19" i="58"/>
  <c r="NB19" i="58"/>
  <c r="GY15" i="58"/>
  <c r="BN8" i="58"/>
  <c r="JP10" i="58"/>
  <c r="PO8" i="58"/>
  <c r="DQ14" i="58"/>
  <c r="RG12" i="58"/>
  <c r="DC9" i="58"/>
  <c r="DS19" i="58"/>
  <c r="RB9" i="58"/>
  <c r="CA9" i="58"/>
  <c r="GX11" i="58"/>
  <c r="FJ13" i="58"/>
  <c r="OE8" i="58"/>
  <c r="MH10" i="58"/>
  <c r="DP14" i="58"/>
  <c r="LM16" i="58"/>
  <c r="BL10" i="58"/>
  <c r="HO8" i="58"/>
  <c r="DG11" i="58"/>
  <c r="PF31" i="58"/>
  <c r="KC22" i="58"/>
  <c r="KT16" i="58"/>
  <c r="AK8" i="58"/>
  <c r="GL9" i="58"/>
  <c r="OX14" i="58"/>
  <c r="DL12" i="58"/>
  <c r="ED8" i="58"/>
  <c r="FD8" i="58"/>
  <c r="KW10" i="58"/>
  <c r="FP8" i="58"/>
  <c r="FE10" i="58"/>
  <c r="ND8" i="58"/>
  <c r="QW12" i="58"/>
  <c r="ML20" i="58"/>
  <c r="LO24" i="58"/>
  <c r="QU23" i="58"/>
  <c r="HE13" i="58"/>
  <c r="GK9" i="58"/>
  <c r="IP8" i="58"/>
  <c r="IC10" i="58"/>
  <c r="RJ11" i="58"/>
  <c r="NI14" i="58"/>
  <c r="DB23" i="58"/>
  <c r="LE9" i="58"/>
  <c r="PO12" i="58"/>
  <c r="JQ15" i="58"/>
  <c r="BO10" i="58"/>
  <c r="OD20" i="58"/>
  <c r="JT13" i="58"/>
  <c r="LY12" i="58"/>
  <c r="QR9" i="58"/>
  <c r="LL15" i="58"/>
  <c r="GF8" i="58"/>
  <c r="HU11" i="58"/>
  <c r="HF23" i="58"/>
  <c r="PJ14" i="58"/>
  <c r="CF11" i="58"/>
  <c r="PP9" i="58"/>
  <c r="NH9" i="58"/>
  <c r="NY13" i="58"/>
  <c r="OQ9" i="58"/>
  <c r="ON9" i="58"/>
  <c r="GC18" i="58"/>
  <c r="HW8" i="58"/>
  <c r="FW19" i="58"/>
  <c r="HP24" i="58"/>
  <c r="EG11" i="58"/>
  <c r="MG11" i="58"/>
  <c r="DE13" i="58"/>
  <c r="JC11" i="58"/>
  <c r="RO8" i="58"/>
  <c r="DI15" i="58"/>
  <c r="KG13" i="58"/>
  <c r="HP10" i="58"/>
  <c r="IU11" i="58"/>
  <c r="R8" i="58"/>
  <c r="RC9" i="58"/>
  <c r="JJ13" i="58"/>
  <c r="LX11" i="58"/>
  <c r="IY11" i="58"/>
  <c r="FZ18" i="58"/>
  <c r="AF24" i="58"/>
  <c r="HD10" i="58"/>
  <c r="II12" i="58"/>
  <c r="PQ9" i="58"/>
  <c r="DY23" i="58"/>
  <c r="HU22" i="58"/>
  <c r="KG17" i="58"/>
  <c r="EV8" i="58"/>
  <c r="IC13" i="58"/>
  <c r="EN10" i="58"/>
  <c r="LH18" i="58"/>
  <c r="GA20" i="58"/>
  <c r="GS11" i="58"/>
  <c r="FY12" i="58"/>
  <c r="BG23" i="58"/>
  <c r="FA11" i="58"/>
  <c r="RP12" i="58"/>
  <c r="DF18" i="58"/>
  <c r="HF15" i="58"/>
  <c r="LW20" i="58"/>
  <c r="JQ12" i="58"/>
  <c r="QK20" i="58"/>
  <c r="FY10" i="58"/>
  <c r="DH10" i="58"/>
  <c r="EL13" i="58"/>
  <c r="HT12" i="58"/>
  <c r="JB9" i="58"/>
  <c r="IJ9" i="58"/>
  <c r="LK10" i="58"/>
  <c r="PK13" i="58"/>
  <c r="AK15" i="58"/>
  <c r="NV11" i="58"/>
  <c r="MJ18" i="58"/>
  <c r="RG10" i="58"/>
  <c r="LR10" i="58"/>
  <c r="AL20" i="58"/>
  <c r="DT14" i="58"/>
  <c r="LK16" i="58"/>
  <c r="JU18" i="58"/>
  <c r="CM9" i="58"/>
  <c r="IR8" i="58"/>
  <c r="LP12" i="58"/>
  <c r="RC8" i="58"/>
  <c r="NC12" i="58"/>
  <c r="CK14" i="58"/>
  <c r="IE12" i="58"/>
  <c r="HU14" i="58"/>
  <c r="PE23" i="58"/>
  <c r="Q19" i="58"/>
  <c r="JL10" i="58"/>
  <c r="CO11" i="58"/>
  <c r="LI11" i="58"/>
  <c r="MB19" i="58"/>
  <c r="OJ12" i="58"/>
  <c r="HA20" i="58"/>
  <c r="FD15" i="58"/>
  <c r="PI11" i="58"/>
  <c r="HM15" i="58"/>
  <c r="QI8" i="58"/>
  <c r="RL16" i="58"/>
  <c r="HW9" i="58"/>
  <c r="BX22" i="58"/>
  <c r="AI9" i="58"/>
  <c r="LM19" i="58"/>
  <c r="MI11" i="58"/>
  <c r="HG11" i="58"/>
  <c r="GT9" i="58"/>
  <c r="JB13" i="58"/>
  <c r="GC9" i="58"/>
  <c r="AQ15" i="58"/>
  <c r="JF14" i="58"/>
  <c r="IX9" i="58"/>
  <c r="JY15" i="58"/>
  <c r="DU14" i="58"/>
  <c r="AD8" i="58"/>
  <c r="HX10" i="58"/>
  <c r="OX17" i="58"/>
  <c r="NC11" i="58"/>
  <c r="MH17" i="58"/>
  <c r="QX13" i="58"/>
  <c r="NP16" i="58"/>
  <c r="GA13" i="58"/>
  <c r="AV9" i="58"/>
  <c r="II18" i="58"/>
  <c r="NX17" i="58"/>
  <c r="EN12" i="58"/>
  <c r="BP10" i="58"/>
  <c r="ND10" i="58"/>
  <c r="OJ18" i="58"/>
  <c r="OW12" i="58"/>
  <c r="NL16" i="58"/>
  <c r="HN11" i="58"/>
  <c r="PE11" i="58"/>
  <c r="OI17" i="58"/>
  <c r="KC18" i="58"/>
  <c r="MA12" i="58"/>
  <c r="BN9" i="58"/>
  <c r="FE9" i="58"/>
  <c r="DB16" i="58"/>
  <c r="NK11" i="58"/>
  <c r="MY19" i="58"/>
  <c r="OC8" i="58"/>
  <c r="FP22" i="58"/>
  <c r="JZ15" i="58"/>
  <c r="NM11" i="58"/>
  <c r="OR9" i="58"/>
  <c r="RC30" i="58"/>
  <c r="JH13" i="58"/>
  <c r="CM24" i="58"/>
  <c r="HU8" i="58"/>
  <c r="QV17" i="58"/>
  <c r="NW12" i="58"/>
  <c r="MN15" i="58"/>
  <c r="LT12" i="58"/>
  <c r="OQ11" i="58"/>
  <c r="IZ14" i="58"/>
  <c r="BB9" i="58"/>
  <c r="GJ13" i="58"/>
  <c r="DM10" i="58"/>
  <c r="JD8" i="58"/>
  <c r="GA17" i="58"/>
  <c r="FR22" i="58"/>
  <c r="U9" i="58"/>
  <c r="EH12" i="58"/>
  <c r="LX12" i="58"/>
  <c r="QT9" i="58"/>
  <c r="AS14" i="58"/>
  <c r="GN19" i="58"/>
  <c r="S10" i="58"/>
  <c r="RI13" i="58"/>
  <c r="BF10" i="58"/>
  <c r="CC10" i="58"/>
  <c r="GU16" i="58"/>
  <c r="LZ11" i="58"/>
  <c r="KV9" i="58"/>
  <c r="LL9" i="58"/>
  <c r="RN13" i="58"/>
  <c r="JT23" i="58"/>
  <c r="GR8" i="58"/>
  <c r="PW18" i="58"/>
  <c r="LH8" i="58"/>
  <c r="FN9" i="58"/>
  <c r="NV12" i="58"/>
  <c r="QU13" i="58"/>
  <c r="QU15" i="58"/>
  <c r="EK9" i="58"/>
  <c r="U14" i="58"/>
  <c r="BC9" i="58"/>
  <c r="EZ8" i="58"/>
  <c r="KD18" i="58"/>
  <c r="IU10" i="58"/>
  <c r="LP8" i="58"/>
  <c r="HG15" i="58"/>
  <c r="OH13" i="58"/>
  <c r="PF10" i="58"/>
  <c r="QG19" i="58"/>
  <c r="KW12" i="58"/>
  <c r="HI12" i="58"/>
  <c r="GU20" i="58"/>
  <c r="IB8" i="58"/>
  <c r="PR10" i="58"/>
  <c r="MU9" i="58"/>
  <c r="BI15" i="58"/>
  <c r="RJ9" i="58"/>
  <c r="W11" i="58"/>
  <c r="AM13" i="58"/>
  <c r="LK22" i="58"/>
  <c r="R18" i="58"/>
  <c r="JF22" i="58"/>
  <c r="KA16" i="58"/>
  <c r="BY23" i="58"/>
  <c r="EF16" i="58"/>
  <c r="HN23" i="58"/>
  <c r="AX9" i="58"/>
  <c r="QR19" i="58"/>
  <c r="R15" i="58"/>
  <c r="NF13" i="58"/>
  <c r="NR9" i="58"/>
  <c r="NU15" i="58"/>
  <c r="BZ18" i="58"/>
  <c r="BN17" i="58"/>
  <c r="EQ11" i="58"/>
  <c r="JX18" i="58"/>
  <c r="OD12" i="58"/>
  <c r="EO11" i="58"/>
  <c r="IW16" i="58"/>
  <c r="KT12" i="58"/>
  <c r="ED9" i="58"/>
  <c r="S13" i="58"/>
  <c r="IE11" i="58"/>
  <c r="CJ11" i="58"/>
  <c r="MR16" i="58"/>
  <c r="BK11" i="58"/>
  <c r="IB11" i="58"/>
  <c r="CL19" i="58"/>
  <c r="HC15" i="58"/>
  <c r="FG8" i="58"/>
  <c r="HS10" i="58"/>
  <c r="FR8" i="58"/>
  <c r="QR10" i="58"/>
  <c r="GY8" i="58"/>
  <c r="DG14" i="58"/>
  <c r="BO14" i="58"/>
  <c r="NT15" i="58"/>
  <c r="CV10" i="58"/>
  <c r="HG14" i="58"/>
  <c r="OK15" i="58"/>
  <c r="KH15" i="58"/>
  <c r="FW18" i="58"/>
  <c r="CX10" i="58"/>
  <c r="HN10" i="58"/>
  <c r="BC10" i="58"/>
  <c r="PS13" i="58"/>
  <c r="BO9" i="58"/>
  <c r="QX9" i="58"/>
  <c r="RE12" i="58"/>
  <c r="FA15" i="58"/>
  <c r="HY14" i="58"/>
  <c r="JD18" i="58"/>
  <c r="QF10" i="58"/>
  <c r="IE20" i="58"/>
  <c r="ON16" i="58"/>
  <c r="BH13" i="58"/>
  <c r="OS9" i="58"/>
  <c r="OU12" i="58"/>
  <c r="HP11" i="58"/>
  <c r="CZ24" i="58"/>
  <c r="FM20" i="58"/>
  <c r="LS8" i="58"/>
  <c r="RH9" i="58"/>
  <c r="QX8" i="58"/>
  <c r="EU23" i="58"/>
  <c r="LC12" i="58"/>
  <c r="AO20" i="58"/>
  <c r="NA20" i="58"/>
  <c r="T9" i="58"/>
  <c r="DV10" i="58"/>
  <c r="RI9" i="58"/>
  <c r="GK10" i="58"/>
  <c r="CI22" i="58"/>
  <c r="NN18" i="58"/>
  <c r="IF14" i="58"/>
  <c r="AD10" i="58"/>
  <c r="GJ14" i="58"/>
  <c r="GL8" i="58"/>
  <c r="JA11" i="58"/>
  <c r="LP30" i="58"/>
  <c r="DV9" i="58"/>
  <c r="FF14" i="58"/>
  <c r="KS14" i="58"/>
  <c r="KI10" i="58"/>
  <c r="RM9" i="58"/>
  <c r="LK8" i="58"/>
  <c r="MV14" i="58"/>
  <c r="HS15" i="58"/>
  <c r="FP13" i="58"/>
  <c r="MP15" i="58"/>
  <c r="BS16" i="58"/>
  <c r="HP8" i="58"/>
  <c r="CH12" i="58"/>
  <c r="KN8" i="58"/>
  <c r="FN21" i="58"/>
  <c r="MH34" i="58"/>
  <c r="CS11" i="58"/>
  <c r="NN19" i="58"/>
  <c r="EQ8" i="58"/>
  <c r="GO10" i="58"/>
  <c r="RJ12" i="58"/>
  <c r="KS11" i="58"/>
  <c r="OP13" i="58"/>
  <c r="QK17" i="58"/>
  <c r="HP13" i="58"/>
  <c r="FS10" i="58"/>
  <c r="AM12" i="58"/>
  <c r="CZ10" i="58"/>
  <c r="BL8" i="58"/>
  <c r="KL21" i="58"/>
  <c r="BY17" i="58"/>
  <c r="BG13" i="58"/>
  <c r="IG10" i="58"/>
  <c r="LC14" i="58"/>
  <c r="PW11" i="58"/>
  <c r="EX24" i="58"/>
  <c r="NK9" i="58"/>
  <c r="PM14" i="58"/>
  <c r="BB13" i="58"/>
  <c r="IV11" i="58"/>
  <c r="Y9" i="58"/>
  <c r="JV14" i="58"/>
  <c r="MZ9" i="58"/>
  <c r="QD15" i="58"/>
  <c r="KC20" i="58"/>
  <c r="EE17" i="58"/>
  <c r="MD10" i="58"/>
  <c r="CE16" i="58"/>
  <c r="DL9" i="58"/>
  <c r="CV12" i="58"/>
  <c r="HX12" i="58"/>
  <c r="IV15" i="58"/>
  <c r="MV9" i="58"/>
  <c r="HS11" i="58"/>
  <c r="RN10" i="58"/>
  <c r="JC13" i="58"/>
  <c r="EU13" i="58"/>
  <c r="IA16" i="58"/>
  <c r="HK13" i="58"/>
  <c r="JM14" i="58"/>
  <c r="IM20" i="58"/>
  <c r="FT20" i="58"/>
  <c r="HJ18" i="58"/>
  <c r="BG14" i="58"/>
  <c r="CX9" i="58"/>
  <c r="LG15" i="58"/>
  <c r="ER8" i="58"/>
  <c r="QB18" i="58"/>
  <c r="EG15" i="58"/>
  <c r="DL13" i="58"/>
  <c r="AB8" i="58"/>
  <c r="IX16" i="58"/>
  <c r="RO9" i="58"/>
  <c r="PL9" i="58"/>
  <c r="MN12" i="58"/>
  <c r="OG9" i="58"/>
  <c r="JZ23" i="58"/>
  <c r="MT17" i="58"/>
  <c r="IO8" i="58"/>
  <c r="HW12" i="58"/>
  <c r="KE14" i="58"/>
  <c r="EK19" i="58"/>
  <c r="RU14" i="58"/>
  <c r="HS13" i="58"/>
  <c r="KZ14" i="58"/>
  <c r="JD10" i="58"/>
  <c r="PH10" i="58"/>
  <c r="KW17" i="58"/>
  <c r="ON18" i="58"/>
  <c r="PJ11" i="58"/>
  <c r="Q10" i="58"/>
  <c r="RN8" i="58"/>
  <c r="MI21" i="58"/>
  <c r="FV18" i="58"/>
  <c r="PY12" i="58"/>
  <c r="JZ9" i="58"/>
  <c r="PW13" i="58"/>
  <c r="KU15" i="58"/>
  <c r="KV11" i="58"/>
  <c r="NW17" i="58"/>
  <c r="QC22" i="58"/>
  <c r="DT10" i="58"/>
  <c r="QC12" i="58"/>
  <c r="KB18" i="58"/>
  <c r="CZ17" i="58"/>
  <c r="PY8" i="58"/>
  <c r="PD10" i="58"/>
  <c r="HX16" i="58"/>
  <c r="NO13" i="58"/>
  <c r="GI10" i="58"/>
  <c r="CP13" i="58"/>
  <c r="LQ14" i="58"/>
  <c r="LL16" i="58"/>
  <c r="DS10" i="58"/>
  <c r="HP15" i="58"/>
  <c r="EV16" i="58"/>
  <c r="OE10" i="58"/>
  <c r="IX12" i="58"/>
  <c r="EI14" i="58"/>
  <c r="RL11" i="58"/>
  <c r="JO11" i="58"/>
  <c r="BT12" i="58"/>
  <c r="BC21" i="58"/>
  <c r="PU13" i="58"/>
  <c r="KV20" i="58"/>
  <c r="QM11" i="58"/>
  <c r="FU11" i="58"/>
  <c r="RS8" i="58"/>
  <c r="ME8" i="58"/>
  <c r="AH8" i="58"/>
  <c r="Z11" i="58"/>
  <c r="MP19" i="58"/>
  <c r="QH8" i="58"/>
  <c r="IR9" i="58"/>
  <c r="AF15" i="58"/>
  <c r="PN8" i="58"/>
  <c r="FW20" i="58"/>
  <c r="QV12" i="58"/>
  <c r="KZ8" i="58"/>
  <c r="JR17" i="58"/>
  <c r="NF9" i="58"/>
  <c r="BE9" i="58"/>
  <c r="GQ9" i="58"/>
  <c r="EN17" i="58"/>
  <c r="RS9" i="58"/>
  <c r="RT9" i="58"/>
  <c r="DC17" i="58"/>
  <c r="KP12" i="58"/>
  <c r="RA14" i="58"/>
  <c r="NN16" i="58"/>
  <c r="AX10" i="58"/>
  <c r="RT31" i="58"/>
  <c r="NV10" i="58"/>
  <c r="LK21" i="58"/>
  <c r="RG9" i="58"/>
  <c r="KS19" i="58"/>
  <c r="LO8" i="58"/>
  <c r="IC19" i="58"/>
  <c r="JV13" i="58"/>
  <c r="EE15" i="58"/>
  <c r="MV8" i="58"/>
  <c r="OR14" i="58"/>
  <c r="GW14" i="58"/>
  <c r="RP11" i="58"/>
  <c r="AQ13" i="58"/>
  <c r="ET9" i="58"/>
  <c r="PH36" i="58"/>
  <c r="FN20" i="58"/>
  <c r="EB8" i="58"/>
  <c r="LB13" i="58"/>
  <c r="KS15" i="58"/>
  <c r="GX16" i="58"/>
  <c r="RK13" i="58"/>
  <c r="CB11" i="58"/>
  <c r="R9" i="58"/>
  <c r="W14" i="58"/>
  <c r="EB13" i="58"/>
  <c r="KY9" i="58"/>
  <c r="DV16" i="58"/>
  <c r="LV17" i="58"/>
  <c r="CW8" i="58"/>
  <c r="MF22" i="58"/>
  <c r="JY22" i="58"/>
  <c r="PR9" i="58"/>
  <c r="KD12" i="58"/>
  <c r="OP14" i="58"/>
  <c r="U13" i="58"/>
  <c r="FJ11" i="58"/>
  <c r="EQ9" i="58"/>
  <c r="KA12" i="58"/>
  <c r="QQ17" i="58"/>
  <c r="AJ11" i="58"/>
  <c r="AN13" i="58"/>
  <c r="PC9" i="58"/>
  <c r="KU9" i="58"/>
  <c r="NG9" i="58"/>
  <c r="PV13" i="58"/>
  <c r="EA17" i="58"/>
  <c r="DQ12" i="58"/>
  <c r="RL13" i="58"/>
  <c r="MC11" i="58"/>
  <c r="HS16" i="58"/>
  <c r="JC9" i="58"/>
  <c r="KB14" i="58"/>
  <c r="CK12" i="58"/>
  <c r="GD13" i="58"/>
  <c r="GA24" i="58"/>
  <c r="RD12" i="58"/>
  <c r="MS8" i="58"/>
  <c r="LF9" i="58"/>
  <c r="KC8" i="58"/>
  <c r="KV8" i="58"/>
  <c r="OC20" i="58"/>
  <c r="DJ16" i="58"/>
  <c r="CS10" i="58"/>
  <c r="DW17" i="58"/>
  <c r="S9" i="58"/>
  <c r="RD9" i="58"/>
  <c r="OP9" i="58"/>
  <c r="KR24" i="58"/>
  <c r="HA9" i="58"/>
  <c r="IR15" i="58"/>
  <c r="HJ9" i="58"/>
  <c r="Z14" i="58"/>
  <c r="JK8" i="58"/>
  <c r="LJ12" i="58"/>
  <c r="GY13" i="58"/>
  <c r="DR9" i="58"/>
  <c r="DT8" i="58"/>
  <c r="KA8" i="58"/>
  <c r="DY12" i="58"/>
  <c r="Q13" i="58"/>
  <c r="HJ14" i="58"/>
  <c r="NV9" i="58"/>
  <c r="FI16" i="58"/>
  <c r="KS24" i="58"/>
  <c r="MY12" i="58"/>
  <c r="LA16" i="58"/>
  <c r="MZ33" i="58"/>
  <c r="NL14" i="58"/>
  <c r="IY10" i="58"/>
  <c r="NW20" i="58"/>
  <c r="PW15" i="58"/>
  <c r="GF10" i="58"/>
  <c r="HY16" i="58"/>
  <c r="HM10" i="58"/>
  <c r="PM9" i="58"/>
  <c r="MJ8" i="58"/>
  <c r="LD11" i="58"/>
  <c r="BT8" i="58"/>
  <c r="GX20" i="58"/>
  <c r="MI43" i="58"/>
  <c r="AY24" i="58"/>
  <c r="OK11" i="58"/>
  <c r="HF11" i="58"/>
  <c r="IL15" i="58"/>
  <c r="MI13" i="58"/>
  <c r="QM12" i="58"/>
  <c r="OJ9" i="58"/>
  <c r="QH10" i="58"/>
  <c r="OH12" i="58"/>
  <c r="MA8" i="58"/>
  <c r="OB9" i="58"/>
  <c r="OI14" i="58"/>
  <c r="HO11" i="58"/>
  <c r="RE11" i="58"/>
  <c r="IH9" i="58"/>
  <c r="BQ23" i="58"/>
  <c r="NX9" i="58"/>
  <c r="HC24" i="58"/>
  <c r="T8" i="58"/>
  <c r="CF20" i="58"/>
  <c r="FO8" i="58"/>
  <c r="LM18" i="58"/>
  <c r="EX10" i="58"/>
  <c r="EG10" i="58"/>
  <c r="BF9" i="58"/>
  <c r="LR9" i="58"/>
  <c r="GZ14" i="58"/>
  <c r="LC9" i="58"/>
  <c r="NY11" i="58"/>
  <c r="RK14" i="58"/>
  <c r="GG15" i="58"/>
  <c r="GU11" i="58"/>
  <c r="OO15" i="58"/>
  <c r="IF9" i="58"/>
  <c r="AX14" i="58"/>
  <c r="FU17" i="58"/>
  <c r="BM13" i="58"/>
  <c r="JG8" i="58"/>
  <c r="GE16" i="58"/>
  <c r="HZ13" i="58"/>
  <c r="KT11" i="58"/>
  <c r="BP8" i="58"/>
  <c r="PU14" i="58"/>
  <c r="PK10" i="58"/>
  <c r="MK16" i="58"/>
  <c r="JO8" i="58"/>
  <c r="OS13" i="58"/>
  <c r="LH11" i="58"/>
  <c r="FO16" i="58"/>
  <c r="ML10" i="58"/>
  <c r="GQ10" i="58"/>
  <c r="JP13" i="58"/>
  <c r="NQ13" i="58"/>
  <c r="AZ11" i="58"/>
  <c r="JH10" i="58"/>
  <c r="AV14" i="58"/>
  <c r="MO8" i="58"/>
  <c r="KH13" i="58"/>
  <c r="MY14" i="58"/>
  <c r="RM19" i="58"/>
  <c r="DO16" i="58"/>
  <c r="JH20" i="58"/>
  <c r="OL9" i="58"/>
  <c r="RE14" i="58"/>
  <c r="RS10" i="58"/>
  <c r="RM15" i="58"/>
  <c r="HJ8" i="58"/>
  <c r="HT9" i="58"/>
  <c r="JT12" i="58"/>
  <c r="CR15" i="58"/>
  <c r="HI18" i="58"/>
  <c r="JZ13" i="58"/>
  <c r="JB16" i="58"/>
  <c r="BR8" i="58"/>
  <c r="AG12" i="58"/>
  <c r="IX14" i="58"/>
  <c r="RR14" i="58"/>
  <c r="RE32" i="58"/>
  <c r="HA13" i="58"/>
  <c r="MD12" i="58"/>
  <c r="NO12" i="58"/>
  <c r="BX8" i="58"/>
  <c r="DM8" i="58"/>
  <c r="GV12" i="58"/>
  <c r="GF12" i="58"/>
  <c r="QB8" i="58"/>
  <c r="CK10" i="58"/>
  <c r="PN18" i="58"/>
  <c r="JB14" i="58"/>
  <c r="PH13" i="58"/>
  <c r="FV9" i="58"/>
  <c r="IQ20" i="58"/>
  <c r="HU18" i="58"/>
  <c r="RN12" i="58"/>
  <c r="QI9" i="58"/>
  <c r="DP13" i="58"/>
  <c r="AB18" i="58"/>
  <c r="NU18" i="58"/>
  <c r="IU15" i="58"/>
  <c r="R16" i="58"/>
  <c r="JM9" i="58"/>
  <c r="GC20" i="58"/>
  <c r="GD19" i="58"/>
  <c r="RE10" i="58"/>
  <c r="BP9" i="58"/>
  <c r="IS13" i="58"/>
  <c r="BR19" i="58"/>
  <c r="AE14" i="58"/>
  <c r="PB15" i="58"/>
  <c r="CI17" i="58"/>
  <c r="QZ15" i="58"/>
  <c r="AX11" i="58"/>
  <c r="U12" i="58"/>
  <c r="NQ12" i="58"/>
  <c r="NR17" i="58"/>
  <c r="AK11" i="58"/>
  <c r="CI8" i="58"/>
  <c r="LW11" i="58"/>
  <c r="KY16" i="58"/>
  <c r="KM13" i="58"/>
  <c r="QN9" i="58"/>
  <c r="LT15" i="58"/>
  <c r="JV20" i="58"/>
  <c r="PZ13" i="58"/>
  <c r="CM11" i="58"/>
  <c r="GJ10" i="58"/>
  <c r="IV10" i="58"/>
  <c r="LN10" i="58"/>
  <c r="NN15" i="58"/>
  <c r="GY16" i="58"/>
  <c r="DX19" i="58"/>
  <c r="DC11" i="58"/>
  <c r="LP9" i="58"/>
  <c r="CE12" i="58"/>
  <c r="BZ15" i="58"/>
  <c r="BQ10" i="58"/>
  <c r="CE13" i="58"/>
  <c r="MB22" i="58"/>
  <c r="GG16" i="58"/>
  <c r="HN8" i="58"/>
  <c r="JJ19" i="58"/>
  <c r="HF18" i="58"/>
  <c r="HW14" i="58"/>
  <c r="EN18" i="58"/>
  <c r="HE9" i="58"/>
  <c r="NX15" i="58"/>
  <c r="NT13" i="58"/>
  <c r="QS11" i="58"/>
  <c r="NJ9" i="58"/>
  <c r="KH10" i="58"/>
  <c r="KL13" i="58"/>
  <c r="LO17" i="58"/>
  <c r="KR23" i="58"/>
  <c r="KW11" i="58"/>
  <c r="OW10" i="58"/>
  <c r="EX13" i="58"/>
  <c r="AA13" i="58"/>
  <c r="MX14" i="58"/>
  <c r="CD8" i="58"/>
  <c r="BW15" i="58"/>
  <c r="KK18" i="58"/>
  <c r="IU12" i="58"/>
  <c r="MZ8" i="58"/>
  <c r="MU14" i="58"/>
  <c r="PG9" i="58"/>
  <c r="BQ9" i="58"/>
  <c r="KO9" i="58"/>
  <c r="IO12" i="58"/>
  <c r="OK23" i="58"/>
  <c r="AS11" i="58"/>
  <c r="NH12" i="58"/>
  <c r="HO14" i="58"/>
  <c r="JU15" i="58"/>
  <c r="CA14" i="58"/>
  <c r="GU12" i="58"/>
  <c r="ID12" i="58"/>
  <c r="EU12" i="58"/>
  <c r="LD15" i="58"/>
  <c r="MQ8" i="58"/>
  <c r="AK9" i="58"/>
  <c r="QB9" i="58"/>
  <c r="OE11" i="58"/>
  <c r="MM15" i="58"/>
  <c r="BN18" i="58"/>
  <c r="QU17" i="58"/>
  <c r="HC16" i="58"/>
  <c r="CV13" i="58"/>
  <c r="DK12" i="58"/>
  <c r="MH8" i="58"/>
  <c r="RE9" i="58"/>
  <c r="KY20" i="58"/>
  <c r="N10" i="58"/>
  <c r="NH14" i="58"/>
  <c r="OM18" i="58"/>
  <c r="BG8" i="58"/>
  <c r="NG8" i="58"/>
  <c r="DE22" i="58"/>
  <c r="KK16" i="58"/>
  <c r="LK9" i="58"/>
  <c r="CO17" i="58"/>
  <c r="HB12" i="58"/>
  <c r="DH8" i="58"/>
  <c r="OD22" i="58"/>
  <c r="CA19" i="58"/>
  <c r="IV17" i="58"/>
  <c r="OK13" i="58"/>
  <c r="FU9" i="58"/>
  <c r="OV10" i="58"/>
  <c r="IS11" i="58"/>
  <c r="GE12" i="58"/>
  <c r="JG15" i="58"/>
  <c r="AX8" i="58"/>
  <c r="CU12" i="58"/>
  <c r="JW12" i="58"/>
  <c r="RB18" i="58"/>
  <c r="AR12" i="58"/>
  <c r="N13" i="58"/>
  <c r="DU8" i="58"/>
  <c r="KI15" i="58"/>
  <c r="LD16" i="58"/>
  <c r="GY9" i="58"/>
  <c r="MO31" i="58"/>
  <c r="FF10" i="58"/>
  <c r="MB14" i="58"/>
  <c r="RO10" i="58"/>
  <c r="DP8" i="58"/>
  <c r="KQ12" i="58"/>
  <c r="QL8" i="58"/>
  <c r="JP9" i="58"/>
  <c r="GO9" i="58"/>
  <c r="IX17" i="58"/>
  <c r="MD15" i="58"/>
  <c r="HH10" i="58"/>
  <c r="GJ9" i="58"/>
  <c r="LV9" i="58"/>
  <c r="DF13" i="58"/>
  <c r="QX10" i="58"/>
  <c r="DB13" i="58"/>
  <c r="BM9" i="58"/>
  <c r="GP9" i="58"/>
  <c r="RM18" i="58"/>
  <c r="PL23" i="58"/>
  <c r="OD23" i="58"/>
  <c r="PY10" i="58"/>
  <c r="AS12" i="58"/>
  <c r="EO8" i="58"/>
  <c r="N11" i="58"/>
  <c r="HQ16" i="58"/>
  <c r="FA8" i="58"/>
  <c r="IF12" i="58"/>
  <c r="RR8" i="58"/>
  <c r="RO18" i="58"/>
  <c r="HC11" i="58"/>
  <c r="NZ8" i="58"/>
  <c r="IO10" i="58"/>
  <c r="DF17" i="58"/>
  <c r="FX8" i="58"/>
  <c r="JG14" i="58"/>
  <c r="PS9" i="58"/>
  <c r="IO11" i="58"/>
  <c r="NW19" i="58"/>
  <c r="MP16" i="58"/>
  <c r="JW11" i="58"/>
  <c r="LD24" i="58"/>
  <c r="HC14" i="58"/>
  <c r="JJ16" i="58"/>
  <c r="AH16" i="58"/>
  <c r="IQ17" i="58"/>
  <c r="KU22" i="58"/>
  <c r="NR22" i="58"/>
  <c r="IA15" i="58"/>
  <c r="ES18" i="58"/>
  <c r="IJ11" i="58"/>
  <c r="NT16" i="58"/>
  <c r="FP19" i="58"/>
  <c r="PD11" i="58"/>
  <c r="DH24" i="58"/>
  <c r="EY14" i="58"/>
  <c r="CQ17" i="58"/>
  <c r="DU13" i="58"/>
  <c r="O14" i="58"/>
  <c r="PN10" i="58"/>
  <c r="QZ8" i="58"/>
  <c r="MU8" i="58"/>
  <c r="MK9" i="58"/>
  <c r="FT10" i="58"/>
  <c r="HI11" i="58"/>
  <c r="NJ8" i="58"/>
  <c r="OJ14" i="58"/>
  <c r="W10" i="58"/>
  <c r="II9" i="58"/>
  <c r="RA8" i="58"/>
  <c r="JM11" i="58"/>
  <c r="GU10" i="58"/>
  <c r="IM14" i="58"/>
  <c r="DA17" i="58"/>
  <c r="CL8" i="58"/>
  <c r="ML13" i="58"/>
  <c r="EP10" i="58"/>
  <c r="AJ9" i="58"/>
  <c r="FF12" i="58"/>
  <c r="GU15" i="58"/>
  <c r="GD9" i="58"/>
  <c r="QG10" i="58"/>
  <c r="IL22" i="58"/>
  <c r="PB11" i="58"/>
  <c r="CH10" i="58"/>
  <c r="DP15" i="58"/>
  <c r="NU13" i="58"/>
  <c r="IQ9" i="58"/>
  <c r="OV12" i="58"/>
  <c r="AQ14" i="58"/>
  <c r="JQ14" i="58"/>
  <c r="NR20" i="58"/>
  <c r="NU12" i="58"/>
  <c r="GL17" i="58"/>
  <c r="FC10" i="58"/>
  <c r="FK16" i="58"/>
  <c r="FW11" i="58"/>
  <c r="PZ11" i="58"/>
  <c r="QD11" i="58"/>
  <c r="EY22" i="58"/>
  <c r="LE12" i="58"/>
  <c r="GC19" i="58"/>
  <c r="IR11" i="58"/>
  <c r="AN9" i="58"/>
  <c r="PI12" i="58"/>
  <c r="HC9" i="58"/>
  <c r="RP19" i="58"/>
  <c r="IN10" i="58"/>
  <c r="JE14" i="58"/>
  <c r="QO10" i="58"/>
  <c r="OR13" i="58"/>
  <c r="AR16" i="58"/>
  <c r="EN8" i="58"/>
  <c r="DM16" i="58"/>
  <c r="LP13" i="58"/>
  <c r="Z15" i="58"/>
  <c r="RR10" i="58"/>
  <c r="RF16" i="58"/>
  <c r="BY8" i="58"/>
  <c r="IB9" i="58"/>
  <c r="HK10" i="58"/>
  <c r="ES14" i="58"/>
  <c r="BB11" i="58"/>
  <c r="RG8" i="58"/>
  <c r="GX10" i="58"/>
  <c r="OF10" i="58"/>
  <c r="AY8" i="58"/>
  <c r="NM9" i="58"/>
  <c r="EB17" i="58"/>
  <c r="AP13" i="58"/>
  <c r="QF15" i="58"/>
  <c r="EY12" i="58"/>
  <c r="JI8" i="58"/>
  <c r="LD9" i="58"/>
  <c r="CI18" i="58"/>
  <c r="LR11" i="58"/>
  <c r="DH11" i="58"/>
  <c r="IU13" i="58"/>
  <c r="EC10" i="58"/>
  <c r="CB20" i="58"/>
  <c r="NN10" i="58"/>
  <c r="JO12" i="58"/>
  <c r="BA10" i="58"/>
  <c r="JN9" i="58"/>
  <c r="ER10" i="58"/>
  <c r="EJ15" i="58"/>
  <c r="EB14" i="58"/>
  <c r="IH12" i="58"/>
  <c r="BQ12" i="58"/>
  <c r="LM8" i="58"/>
  <c r="PC10" i="58"/>
  <c r="X19" i="58"/>
  <c r="EJ19" i="58"/>
  <c r="EX11" i="58"/>
  <c r="KC14" i="58"/>
  <c r="BI18" i="58"/>
  <c r="NN11" i="58"/>
  <c r="FC22" i="58"/>
  <c r="LM14" i="58"/>
  <c r="LY8" i="58"/>
  <c r="MN9" i="58"/>
  <c r="EK10" i="58"/>
  <c r="MQ18" i="58"/>
  <c r="GH11" i="58"/>
  <c r="MP11" i="58"/>
  <c r="JX10" i="58"/>
  <c r="HR14" i="58"/>
  <c r="NI9" i="58"/>
  <c r="JR11" i="58"/>
  <c r="DS9" i="58"/>
  <c r="IU9" i="58"/>
  <c r="AB13" i="58"/>
  <c r="DS17" i="58"/>
  <c r="HO12" i="58"/>
  <c r="OH9" i="58"/>
  <c r="CO9" i="58"/>
  <c r="FH10" i="58"/>
  <c r="BE13" i="58"/>
  <c r="RQ9" i="58"/>
  <c r="OU15" i="58"/>
  <c r="QV8" i="58"/>
  <c r="KE9" i="58"/>
  <c r="PQ16" i="58"/>
  <c r="GD15" i="58"/>
  <c r="LC17" i="58"/>
  <c r="IW9" i="58"/>
  <c r="PU11" i="58"/>
  <c r="AA17" i="58"/>
  <c r="GM16" i="58"/>
  <c r="JZ14" i="58"/>
  <c r="MX10" i="58"/>
  <c r="EJ11" i="58"/>
  <c r="JR9" i="58"/>
  <c r="LE10" i="58"/>
  <c r="QF19" i="58"/>
  <c r="HP12" i="58"/>
  <c r="KS20" i="58"/>
  <c r="IJ10" i="58"/>
  <c r="IN20" i="58"/>
  <c r="HA12" i="58"/>
  <c r="BG10" i="58"/>
  <c r="JW16" i="58"/>
  <c r="OY11" i="58"/>
  <c r="RG14" i="58"/>
  <c r="DG18" i="58"/>
  <c r="MI12" i="58"/>
  <c r="BS8" i="58"/>
  <c r="PX16" i="58"/>
  <c r="FS14" i="58"/>
  <c r="JR13" i="58"/>
  <c r="GS9" i="58"/>
  <c r="FX18" i="58"/>
  <c r="FR16" i="58"/>
  <c r="IP12" i="58"/>
  <c r="HM9" i="58"/>
  <c r="NE10" i="58"/>
  <c r="FY18" i="58"/>
  <c r="KW8" i="58"/>
  <c r="PF8" i="58"/>
  <c r="BF12" i="58"/>
  <c r="CL10" i="58"/>
  <c r="AP9" i="58"/>
  <c r="QN17" i="58"/>
  <c r="JZ10" i="58"/>
  <c r="AU11" i="58"/>
  <c r="GS8" i="58"/>
  <c r="GE10" i="58"/>
  <c r="RN14" i="58"/>
  <c r="FS9" i="58"/>
  <c r="OO11" i="58"/>
  <c r="FP10" i="58"/>
  <c r="IJ24" i="58"/>
  <c r="JI13" i="58"/>
  <c r="CT11" i="58"/>
  <c r="EU8" i="58"/>
  <c r="IH16" i="58"/>
  <c r="IT12" i="58"/>
  <c r="GK21" i="58"/>
  <c r="AU10" i="58"/>
  <c r="AA14" i="58"/>
  <c r="EL8" i="58"/>
  <c r="QZ16" i="58"/>
  <c r="PV9" i="58"/>
  <c r="FM18" i="58"/>
  <c r="QK9" i="58"/>
  <c r="EL23" i="58"/>
  <c r="JE9" i="58"/>
  <c r="PS8" i="58"/>
  <c r="OR15" i="58"/>
  <c r="NG11" i="58"/>
  <c r="GM10" i="58"/>
  <c r="IH21" i="58"/>
  <c r="DG17" i="58"/>
  <c r="AU20" i="58"/>
  <c r="IZ15" i="58"/>
  <c r="EC9" i="58"/>
  <c r="AV16" i="58"/>
  <c r="OD15" i="58"/>
  <c r="MY16" i="58"/>
  <c r="HQ12" i="58"/>
  <c r="LO19" i="58"/>
  <c r="BV14" i="58"/>
  <c r="GX14" i="58"/>
  <c r="DD8" i="58"/>
  <c r="QK8" i="58"/>
  <c r="OL12" i="58"/>
  <c r="HR10" i="58"/>
  <c r="BN10" i="58"/>
  <c r="QA8" i="58"/>
  <c r="QI19" i="58"/>
  <c r="P17" i="58"/>
  <c r="AY9" i="58"/>
  <c r="AB24" i="58"/>
  <c r="NK12" i="58"/>
  <c r="QP13" i="58"/>
  <c r="RO12" i="58"/>
  <c r="KS31" i="58"/>
  <c r="PT12" i="58"/>
  <c r="HH13" i="58"/>
  <c r="ED14" i="58"/>
  <c r="DA16" i="58"/>
  <c r="IT13" i="58"/>
  <c r="LI10" i="58"/>
  <c r="AD22" i="58"/>
  <c r="DK8" i="58"/>
  <c r="IA13" i="58"/>
  <c r="LO9" i="58"/>
  <c r="MR15" i="58"/>
  <c r="AZ9" i="58"/>
  <c r="MG16" i="58"/>
  <c r="IA8" i="58"/>
  <c r="IU8" i="58"/>
  <c r="EX12" i="58"/>
  <c r="P9" i="58"/>
  <c r="GK19" i="58"/>
  <c r="MD8" i="58"/>
  <c r="OC12" i="58"/>
  <c r="QU10" i="58"/>
  <c r="EF9" i="58"/>
  <c r="MS10" i="58"/>
  <c r="LM9" i="58"/>
  <c r="S15" i="58"/>
  <c r="OX18" i="58"/>
  <c r="RQ17" i="58"/>
  <c r="HX11" i="58"/>
  <c r="LG11" i="58"/>
  <c r="IR14" i="58"/>
  <c r="HI16" i="58"/>
  <c r="MQ15" i="58"/>
  <c r="R11" i="58"/>
  <c r="CQ13" i="58"/>
  <c r="HL8" i="58"/>
  <c r="KR12" i="58"/>
  <c r="HY9" i="58"/>
  <c r="PV10" i="58"/>
  <c r="V11" i="58"/>
  <c r="MY8" i="58"/>
  <c r="RI8" i="58"/>
  <c r="GN15" i="58"/>
  <c r="DF12" i="58"/>
  <c r="JN8" i="58"/>
  <c r="IP11" i="58"/>
  <c r="DW24" i="58"/>
  <c r="LI13" i="58"/>
  <c r="FP9" i="58"/>
  <c r="AP19" i="58"/>
  <c r="IX15" i="58"/>
  <c r="GZ10" i="58"/>
  <c r="EV12" i="58"/>
  <c r="JL17" i="58"/>
  <c r="EP12" i="58"/>
  <c r="HJ13" i="58"/>
  <c r="MX11" i="58"/>
  <c r="HB14" i="58"/>
  <c r="FI9" i="58"/>
  <c r="GR9" i="58"/>
  <c r="PC11" i="58"/>
  <c r="JT15" i="58"/>
  <c r="KQ11" i="58"/>
  <c r="IT8" i="58"/>
  <c r="NM23" i="58"/>
  <c r="DX16" i="58"/>
  <c r="BG11" i="58"/>
  <c r="CB13" i="58"/>
  <c r="QI14" i="58"/>
  <c r="HZ16" i="58"/>
  <c r="MC10" i="58"/>
  <c r="IH11" i="58"/>
  <c r="FI17" i="58"/>
  <c r="GO14" i="58"/>
  <c r="NJ11" i="58"/>
  <c r="OJ16" i="58"/>
  <c r="AR10" i="58"/>
  <c r="FR24" i="58"/>
  <c r="HK11" i="58"/>
  <c r="HU12" i="58"/>
  <c r="KB13" i="58"/>
  <c r="CX15" i="58"/>
  <c r="EM21" i="58"/>
  <c r="QS9" i="58"/>
  <c r="EA13" i="58"/>
  <c r="AH14" i="58"/>
  <c r="EG8" i="58"/>
  <c r="JU12" i="58"/>
  <c r="FG9" i="58"/>
  <c r="EK13" i="58"/>
  <c r="DS12" i="58"/>
  <c r="GV14" i="58"/>
  <c r="JV18" i="58"/>
  <c r="KW13" i="58"/>
  <c r="FI20" i="58"/>
  <c r="HA11" i="58"/>
  <c r="RN11" i="58"/>
  <c r="CR16" i="58"/>
  <c r="CC8" i="58"/>
  <c r="FI19" i="58"/>
  <c r="HR12" i="58"/>
  <c r="FI10" i="58"/>
  <c r="HV18" i="58"/>
  <c r="V12" i="58"/>
  <c r="QJ22" i="58"/>
  <c r="Q8" i="58"/>
  <c r="DH22" i="58"/>
  <c r="ME10" i="58"/>
  <c r="IM9" i="58"/>
  <c r="NV15" i="58"/>
  <c r="O9" i="58"/>
  <c r="JR8" i="58"/>
  <c r="FO9" i="58"/>
  <c r="LN14" i="58"/>
  <c r="JQ8" i="58"/>
  <c r="BV12" i="58"/>
  <c r="AA16" i="58"/>
  <c r="GC23" i="58"/>
  <c r="CB10" i="58"/>
  <c r="BJ12" i="58"/>
  <c r="FA9" i="58"/>
  <c r="H29" i="49"/>
  <c r="H54" i="49" s="1"/>
  <c r="D72" i="42"/>
  <c r="H133" i="41"/>
  <c r="L19" i="55"/>
  <c r="H97" i="47"/>
  <c r="F72" i="42"/>
  <c r="F33" i="47"/>
  <c r="R33" i="47" s="1"/>
  <c r="AI7" i="26"/>
  <c r="AJ7" i="26"/>
  <c r="AO7" i="26"/>
  <c r="AL7" i="26"/>
  <c r="AM7" i="26"/>
  <c r="AP7" i="26"/>
  <c r="E62" i="38" l="1"/>
  <c r="K91" i="46" s="1"/>
  <c r="E69" i="38"/>
  <c r="K206" i="46" s="1"/>
  <c r="G70" i="49"/>
  <c r="BA6" i="35"/>
  <c r="AV6" i="35"/>
  <c r="AK6" i="35"/>
  <c r="AP6" i="35"/>
  <c r="AS6" i="35"/>
  <c r="G23" i="58"/>
  <c r="G11" i="58"/>
  <c r="BR6" i="35"/>
  <c r="BW6" i="35"/>
  <c r="O6" i="35"/>
  <c r="T6" i="35"/>
  <c r="G25" i="58"/>
  <c r="G13" i="58"/>
  <c r="E90" i="41" s="1"/>
  <c r="E30" i="41" s="1"/>
  <c r="J23" i="58"/>
  <c r="J11" i="58"/>
  <c r="BZ6" i="35"/>
  <c r="BG6" i="35"/>
  <c r="BL6" i="35"/>
  <c r="E35" i="58"/>
  <c r="W6" i="35"/>
  <c r="E23" i="58"/>
  <c r="E11" i="58"/>
  <c r="J13" i="58"/>
  <c r="H90" i="41" s="1"/>
  <c r="H30" i="41" s="1"/>
  <c r="J25" i="58"/>
  <c r="E13" i="58"/>
  <c r="E25" i="58"/>
  <c r="E37" i="58"/>
  <c r="I23" i="58"/>
  <c r="I11" i="58"/>
  <c r="BO6" i="35"/>
  <c r="H13" i="58"/>
  <c r="F90" i="41" s="1"/>
  <c r="F30" i="41" s="1"/>
  <c r="H25" i="58"/>
  <c r="BD6" i="35"/>
  <c r="H23" i="58"/>
  <c r="H11" i="58"/>
  <c r="F13" i="58"/>
  <c r="F25" i="58"/>
  <c r="Z6" i="35"/>
  <c r="AE6" i="35"/>
  <c r="F23" i="58"/>
  <c r="AH6" i="35"/>
  <c r="F11" i="58"/>
  <c r="I13" i="58"/>
  <c r="G90" i="41" s="1"/>
  <c r="G30" i="41" s="1"/>
  <c r="I25" i="58"/>
  <c r="J85" i="58"/>
  <c r="J61" i="58"/>
  <c r="I85" i="58"/>
  <c r="I61" i="58"/>
  <c r="J59" i="58"/>
  <c r="J83" i="58"/>
  <c r="H37" i="58"/>
  <c r="H85" i="58"/>
  <c r="H61" i="58"/>
  <c r="I83" i="58"/>
  <c r="I59" i="58"/>
  <c r="H59" i="58"/>
  <c r="H83" i="58"/>
  <c r="H35" i="58"/>
  <c r="AU7" i="26"/>
  <c r="AQ7" i="26"/>
  <c r="G35" i="58"/>
  <c r="G37" i="58"/>
  <c r="F73" i="58"/>
  <c r="F37" i="58"/>
  <c r="F49" i="58"/>
  <c r="G71" i="58"/>
  <c r="G47" i="58"/>
  <c r="H49" i="58"/>
  <c r="H73" i="58"/>
  <c r="I73" i="58"/>
  <c r="I49" i="58"/>
  <c r="G49" i="58"/>
  <c r="G73" i="58"/>
  <c r="I71" i="58"/>
  <c r="I47" i="58"/>
  <c r="J71" i="58"/>
  <c r="J47" i="58"/>
  <c r="J73" i="58"/>
  <c r="J49" i="58"/>
  <c r="H47" i="58"/>
  <c r="H71" i="58"/>
  <c r="F47" i="58"/>
  <c r="F35" i="58"/>
  <c r="F71" i="58"/>
  <c r="E83" i="38"/>
  <c r="E32" i="41"/>
  <c r="E106" i="41"/>
  <c r="E107" i="41" s="1"/>
  <c r="E76" i="38"/>
  <c r="G32" i="42"/>
  <c r="G29" i="42" s="1"/>
  <c r="G42" i="38" s="1"/>
  <c r="G13" i="42"/>
  <c r="G10" i="42" s="1"/>
  <c r="F32" i="41"/>
  <c r="F106" i="41"/>
  <c r="F107" i="41" s="1"/>
  <c r="D13" i="42"/>
  <c r="D10" i="42" s="1"/>
  <c r="D13" i="38" s="1"/>
  <c r="F32" i="42"/>
  <c r="F29" i="42" s="1"/>
  <c r="F42" i="38" s="1"/>
  <c r="F13" i="42"/>
  <c r="F10" i="42" s="1"/>
  <c r="C13" i="42"/>
  <c r="C10" i="42" s="1"/>
  <c r="C13" i="38" s="1"/>
  <c r="E32" i="42"/>
  <c r="E29" i="42" s="1"/>
  <c r="E42" i="38" s="1"/>
  <c r="E13" i="42"/>
  <c r="E10" i="42" s="1"/>
  <c r="H32" i="42"/>
  <c r="H29" i="42" s="1"/>
  <c r="H42" i="38" s="1"/>
  <c r="H13" i="42"/>
  <c r="H10" i="42" s="1"/>
  <c r="G32" i="38" l="1"/>
  <c r="G13" i="38"/>
  <c r="G22" i="38" s="1"/>
  <c r="I69" i="58"/>
  <c r="I45" i="58"/>
  <c r="G62" i="43" s="1"/>
  <c r="G64" i="43" s="1"/>
  <c r="J69" i="58"/>
  <c r="J45" i="58"/>
  <c r="H62" i="43" s="1"/>
  <c r="H69" i="58"/>
  <c r="H45" i="58"/>
  <c r="F62" i="43" s="1"/>
  <c r="E32" i="38"/>
  <c r="E13" i="38"/>
  <c r="E22" i="38" s="1"/>
  <c r="I81" i="58"/>
  <c r="I57" i="58"/>
  <c r="G103" i="43" s="1"/>
  <c r="G33" i="58"/>
  <c r="H79" i="58"/>
  <c r="H55" i="58"/>
  <c r="H31" i="58"/>
  <c r="I79" i="58"/>
  <c r="I55" i="58"/>
  <c r="AY6" i="35"/>
  <c r="H7" i="58"/>
  <c r="F29" i="47" s="1"/>
  <c r="R29" i="47" s="1"/>
  <c r="H19" i="58"/>
  <c r="H24" i="58"/>
  <c r="H12" i="58"/>
  <c r="E33" i="58"/>
  <c r="E21" i="58"/>
  <c r="E9" i="58"/>
  <c r="E13" i="41"/>
  <c r="E136" i="41"/>
  <c r="E91" i="41" s="1"/>
  <c r="K126" i="46" s="1"/>
  <c r="K128" i="46" s="1"/>
  <c r="I84" i="58"/>
  <c r="I60" i="58"/>
  <c r="G122" i="43" s="1"/>
  <c r="F19" i="58"/>
  <c r="AC6" i="35"/>
  <c r="F7" i="58"/>
  <c r="E24" i="58"/>
  <c r="E36" i="58"/>
  <c r="E12" i="58"/>
  <c r="G31" i="58"/>
  <c r="J81" i="58"/>
  <c r="J57" i="58"/>
  <c r="H103" i="43" s="1"/>
  <c r="R6" i="35"/>
  <c r="E19" i="58"/>
  <c r="E7" i="58"/>
  <c r="E31" i="58"/>
  <c r="J21" i="58"/>
  <c r="J9" i="58"/>
  <c r="F21" i="58"/>
  <c r="F9" i="58"/>
  <c r="F13" i="41"/>
  <c r="F136" i="41"/>
  <c r="F91" i="41" s="1"/>
  <c r="L126" i="46" s="1"/>
  <c r="L128" i="46" s="1"/>
  <c r="H48" i="58"/>
  <c r="H72" i="58"/>
  <c r="I48" i="58"/>
  <c r="G81" i="43" s="1"/>
  <c r="I72" i="58"/>
  <c r="I67" i="58"/>
  <c r="I43" i="58"/>
  <c r="H13" i="38"/>
  <c r="H22" i="38" s="1"/>
  <c r="H32" i="38"/>
  <c r="F31" i="58"/>
  <c r="F43" i="58"/>
  <c r="F67" i="58"/>
  <c r="G36" i="58"/>
  <c r="I24" i="58"/>
  <c r="I12" i="58"/>
  <c r="I21" i="58"/>
  <c r="I9" i="58"/>
  <c r="F24" i="58"/>
  <c r="F12" i="58"/>
  <c r="J7" i="58"/>
  <c r="H29" i="47" s="1"/>
  <c r="T29" i="47" s="1"/>
  <c r="BU6" i="35"/>
  <c r="J19" i="58"/>
  <c r="J12" i="58"/>
  <c r="J24" i="58"/>
  <c r="G12" i="58"/>
  <c r="G24" i="58"/>
  <c r="AV7" i="26"/>
  <c r="AW7" i="26"/>
  <c r="F48" i="58"/>
  <c r="F72" i="58"/>
  <c r="F36" i="58"/>
  <c r="J67" i="58"/>
  <c r="J43" i="58"/>
  <c r="H33" i="58"/>
  <c r="H81" i="58"/>
  <c r="H57" i="58"/>
  <c r="G19" i="58"/>
  <c r="G7" i="58"/>
  <c r="E29" i="47" s="1"/>
  <c r="Q29" i="47" s="1"/>
  <c r="AN6" i="35"/>
  <c r="G32" i="58" s="1"/>
  <c r="J72" i="58"/>
  <c r="J48" i="58"/>
  <c r="H81" i="43" s="1"/>
  <c r="F45" i="58"/>
  <c r="F69" i="58"/>
  <c r="F33" i="58"/>
  <c r="G43" i="58"/>
  <c r="G67" i="58"/>
  <c r="G21" i="58"/>
  <c r="G9" i="58"/>
  <c r="J84" i="58"/>
  <c r="J60" i="58"/>
  <c r="H122" i="43" s="1"/>
  <c r="H36" i="58"/>
  <c r="H60" i="58"/>
  <c r="H84" i="58"/>
  <c r="J79" i="58"/>
  <c r="J55" i="58"/>
  <c r="F32" i="38"/>
  <c r="F13" i="38"/>
  <c r="F22" i="38" s="1"/>
  <c r="G69" i="58"/>
  <c r="G45" i="58"/>
  <c r="E62" i="43" s="1"/>
  <c r="H43" i="58"/>
  <c r="H67" i="58"/>
  <c r="G72" i="58"/>
  <c r="G48" i="58"/>
  <c r="BJ6" i="35"/>
  <c r="I19" i="58"/>
  <c r="I7" i="58"/>
  <c r="G29" i="47" s="1"/>
  <c r="S29" i="47" s="1"/>
  <c r="H21" i="58"/>
  <c r="H9" i="58"/>
  <c r="H121" i="40" l="1"/>
  <c r="F121" i="40"/>
  <c r="G121" i="40"/>
  <c r="I85" i="49" s="1"/>
  <c r="E121" i="40"/>
  <c r="F92" i="41"/>
  <c r="F93" i="41" s="1"/>
  <c r="F11" i="41" s="1"/>
  <c r="H48" i="49" s="1"/>
  <c r="E92" i="41"/>
  <c r="E93" i="41" s="1"/>
  <c r="E11" i="41" s="1"/>
  <c r="G48" i="49" s="1"/>
  <c r="G49" i="49"/>
  <c r="H49" i="49"/>
  <c r="H46" i="40"/>
  <c r="H61" i="43" s="1"/>
  <c r="H64" i="43" s="1"/>
  <c r="G46" i="40"/>
  <c r="G61" i="43" s="1"/>
  <c r="E46" i="40"/>
  <c r="E61" i="43" s="1"/>
  <c r="E64" i="43" s="1"/>
  <c r="J85" i="49"/>
  <c r="F46" i="40"/>
  <c r="F102" i="43" s="1"/>
  <c r="AY7" i="26"/>
  <c r="F141" i="44" s="1"/>
  <c r="F156" i="44" s="1"/>
  <c r="F34" i="44" s="1"/>
  <c r="L191" i="46" s="1"/>
  <c r="L193" i="46" s="1"/>
  <c r="F103" i="43"/>
  <c r="F105" i="43" s="1"/>
  <c r="F8" i="58"/>
  <c r="F20" i="58"/>
  <c r="I68" i="58"/>
  <c r="I44" i="58"/>
  <c r="H8" i="58"/>
  <c r="H20" i="58"/>
  <c r="G8" i="58"/>
  <c r="G20" i="58"/>
  <c r="E137" i="76" s="1"/>
  <c r="E148" i="76" s="1"/>
  <c r="E32" i="58"/>
  <c r="E8" i="58"/>
  <c r="E20" i="58"/>
  <c r="J68" i="58"/>
  <c r="J44" i="58"/>
  <c r="I80" i="58"/>
  <c r="I56" i="58"/>
  <c r="G44" i="58"/>
  <c r="G68" i="58"/>
  <c r="F81" i="43"/>
  <c r="F68" i="58"/>
  <c r="F44" i="58"/>
  <c r="F32" i="58"/>
  <c r="D137" i="76" s="1"/>
  <c r="I8" i="58"/>
  <c r="I20" i="58"/>
  <c r="J56" i="58"/>
  <c r="J80" i="58"/>
  <c r="J20" i="58"/>
  <c r="J8" i="58"/>
  <c r="E81" i="43"/>
  <c r="H32" i="58"/>
  <c r="H56" i="58"/>
  <c r="H80" i="58"/>
  <c r="F122" i="43"/>
  <c r="H68" i="58"/>
  <c r="H44" i="58"/>
  <c r="F31" i="47" l="1"/>
  <c r="R31" i="47" s="1"/>
  <c r="F30" i="47"/>
  <c r="R30" i="47" s="1"/>
  <c r="E31" i="47"/>
  <c r="Q31" i="47" s="1"/>
  <c r="E30" i="47"/>
  <c r="Q30" i="47" s="1"/>
  <c r="F28" i="47"/>
  <c r="R28" i="47" s="1"/>
  <c r="H28" i="47"/>
  <c r="T28" i="47" s="1"/>
  <c r="G28" i="47"/>
  <c r="S28" i="47" s="1"/>
  <c r="E28" i="47"/>
  <c r="Q28" i="47" s="1"/>
  <c r="F137" i="76"/>
  <c r="G138" i="76"/>
  <c r="G137" i="76"/>
  <c r="F138" i="76"/>
  <c r="E144" i="76"/>
  <c r="E108" i="43" s="1"/>
  <c r="E140" i="76"/>
  <c r="E121" i="43" s="1"/>
  <c r="H137" i="76"/>
  <c r="H138" i="76"/>
  <c r="E138" i="76"/>
  <c r="E59" i="40"/>
  <c r="G85" i="49"/>
  <c r="F59" i="40"/>
  <c r="H85" i="49"/>
  <c r="E102" i="43"/>
  <c r="E105" i="43" s="1"/>
  <c r="E47" i="40" s="1"/>
  <c r="E48" i="40" s="1"/>
  <c r="E32" i="40" s="1"/>
  <c r="K102" i="46" s="1"/>
  <c r="G59" i="40"/>
  <c r="H59" i="40"/>
  <c r="F61" i="43"/>
  <c r="F64" i="43" s="1"/>
  <c r="G102" i="43"/>
  <c r="G105" i="43" s="1"/>
  <c r="G65" i="40"/>
  <c r="H102" i="43"/>
  <c r="H105" i="43" s="1"/>
  <c r="H47" i="40" s="1"/>
  <c r="H48" i="40" s="1"/>
  <c r="H32" i="40" s="1"/>
  <c r="N102" i="46" s="1"/>
  <c r="N104" i="46" s="1"/>
  <c r="H65" i="40"/>
  <c r="E65" i="40"/>
  <c r="F65" i="40"/>
  <c r="F80" i="47"/>
  <c r="R80" i="47" s="1"/>
  <c r="D138" i="76"/>
  <c r="D149" i="76" s="1"/>
  <c r="H92" i="40"/>
  <c r="E109" i="43"/>
  <c r="E78" i="43"/>
  <c r="G92" i="40"/>
  <c r="G78" i="43"/>
  <c r="D140" i="76"/>
  <c r="D144" i="76"/>
  <c r="D148" i="76"/>
  <c r="G119" i="43"/>
  <c r="H78" i="43"/>
  <c r="H119" i="43"/>
  <c r="E92" i="40"/>
  <c r="C137" i="76"/>
  <c r="C138" i="76"/>
  <c r="F78" i="43"/>
  <c r="F92" i="40"/>
  <c r="F29" i="44"/>
  <c r="F44" i="38" s="1"/>
  <c r="K104" i="46" l="1"/>
  <c r="F157" i="44"/>
  <c r="F158" i="44" s="1"/>
  <c r="F24" i="44" s="1"/>
  <c r="F19" i="44" s="1"/>
  <c r="F47" i="40"/>
  <c r="F48" i="40" s="1"/>
  <c r="F32" i="40" s="1"/>
  <c r="L102" i="46" s="1"/>
  <c r="L104" i="46" s="1"/>
  <c r="G47" i="40"/>
  <c r="G48" i="40" s="1"/>
  <c r="G32" i="40" s="1"/>
  <c r="M102" i="46" s="1"/>
  <c r="M104" i="46" s="1"/>
  <c r="H49" i="40"/>
  <c r="H50" i="40" s="1"/>
  <c r="H13" i="40" s="1"/>
  <c r="J30" i="49" s="1"/>
  <c r="H23" i="47" s="1"/>
  <c r="T23" i="47" s="1"/>
  <c r="D145" i="76"/>
  <c r="E114" i="43"/>
  <c r="E115" i="43" s="1"/>
  <c r="E120" i="43" s="1"/>
  <c r="E125" i="43" s="1"/>
  <c r="D141" i="76"/>
  <c r="F144" i="76"/>
  <c r="F148" i="76"/>
  <c r="F140" i="76"/>
  <c r="G141" i="76"/>
  <c r="G80" i="43" s="1"/>
  <c r="G149" i="76"/>
  <c r="G68" i="43" s="1"/>
  <c r="G145" i="76"/>
  <c r="G67" i="43" s="1"/>
  <c r="C145" i="76"/>
  <c r="C149" i="76"/>
  <c r="C141" i="76"/>
  <c r="E149" i="76"/>
  <c r="E145" i="76"/>
  <c r="E141" i="76"/>
  <c r="C148" i="76"/>
  <c r="C144" i="76"/>
  <c r="C140" i="76"/>
  <c r="G148" i="76"/>
  <c r="G140" i="76"/>
  <c r="G144" i="76"/>
  <c r="D150" i="76"/>
  <c r="F149" i="76"/>
  <c r="F68" i="43" s="1"/>
  <c r="F145" i="76"/>
  <c r="F67" i="43" s="1"/>
  <c r="F141" i="76"/>
  <c r="F80" i="43" s="1"/>
  <c r="H148" i="76"/>
  <c r="H140" i="76"/>
  <c r="H144" i="76"/>
  <c r="H149" i="76"/>
  <c r="H68" i="43" s="1"/>
  <c r="H141" i="76"/>
  <c r="H80" i="43" s="1"/>
  <c r="H145" i="76"/>
  <c r="H67" i="43" s="1"/>
  <c r="G49" i="40" l="1"/>
  <c r="G50" i="40" s="1"/>
  <c r="G13" i="40" s="1"/>
  <c r="I30" i="49" s="1"/>
  <c r="F34" i="38"/>
  <c r="F11" i="44"/>
  <c r="L218" i="46" s="1"/>
  <c r="F49" i="40"/>
  <c r="F50" i="40" s="1"/>
  <c r="F13" i="40" s="1"/>
  <c r="H30" i="49" s="1"/>
  <c r="F23" i="47" s="1"/>
  <c r="R23" i="47" s="1"/>
  <c r="E49" i="40"/>
  <c r="E50" i="40" s="1"/>
  <c r="E13" i="40" s="1"/>
  <c r="G30" i="49" s="1"/>
  <c r="E23" i="47" s="1"/>
  <c r="Q23" i="47" s="1"/>
  <c r="D142" i="76"/>
  <c r="D146" i="76"/>
  <c r="E129" i="43"/>
  <c r="E132" i="43" s="1"/>
  <c r="E133" i="43" s="1"/>
  <c r="G73" i="43"/>
  <c r="G88" i="43" s="1"/>
  <c r="G91" i="43" s="1"/>
  <c r="G92" i="43" s="1"/>
  <c r="F73" i="43"/>
  <c r="F88" i="43" s="1"/>
  <c r="F91" i="43" s="1"/>
  <c r="H73" i="43"/>
  <c r="H74" i="43" s="1"/>
  <c r="H79" i="43" s="1"/>
  <c r="H84" i="43" s="1"/>
  <c r="H85" i="43" s="1"/>
  <c r="G150" i="76"/>
  <c r="G109" i="43"/>
  <c r="C142" i="76"/>
  <c r="C146" i="76"/>
  <c r="C150" i="76"/>
  <c r="F121" i="43"/>
  <c r="F142" i="76"/>
  <c r="F109" i="43"/>
  <c r="F150" i="76"/>
  <c r="E80" i="43"/>
  <c r="E142" i="76"/>
  <c r="F108" i="43"/>
  <c r="F146" i="76"/>
  <c r="E67" i="43"/>
  <c r="E146" i="76"/>
  <c r="H108" i="43"/>
  <c r="H146" i="76"/>
  <c r="E68" i="43"/>
  <c r="E150" i="76"/>
  <c r="H121" i="43"/>
  <c r="H142" i="76"/>
  <c r="G146" i="76"/>
  <c r="G108" i="43"/>
  <c r="H150" i="76"/>
  <c r="H109" i="43"/>
  <c r="G142" i="76"/>
  <c r="G121" i="43"/>
  <c r="G23" i="47" l="1"/>
  <c r="S23" i="47" s="1"/>
  <c r="L222" i="46"/>
  <c r="F12" i="44" s="1"/>
  <c r="F10" i="44" s="1"/>
  <c r="F95" i="40"/>
  <c r="F96" i="40" s="1"/>
  <c r="F120" i="40" s="1"/>
  <c r="G74" i="43"/>
  <c r="G79" i="43" s="1"/>
  <c r="G84" i="43" s="1"/>
  <c r="G85" i="43" s="1"/>
  <c r="G114" i="43"/>
  <c r="G129" i="43" s="1"/>
  <c r="G132" i="43" s="1"/>
  <c r="F74" i="43"/>
  <c r="F79" i="43" s="1"/>
  <c r="F84" i="43" s="1"/>
  <c r="H88" i="43"/>
  <c r="H91" i="43" s="1"/>
  <c r="H92" i="43" s="1"/>
  <c r="H114" i="43"/>
  <c r="H115" i="43" s="1"/>
  <c r="H120" i="43" s="1"/>
  <c r="H125" i="43" s="1"/>
  <c r="E73" i="43"/>
  <c r="E88" i="43" s="1"/>
  <c r="E91" i="43" s="1"/>
  <c r="F114" i="43"/>
  <c r="H57" i="49" l="1"/>
  <c r="F15" i="38"/>
  <c r="F24" i="38" s="1"/>
  <c r="F76" i="40"/>
  <c r="F77" i="40" s="1"/>
  <c r="F131" i="43" s="1"/>
  <c r="H84" i="49"/>
  <c r="G95" i="40"/>
  <c r="G96" i="40" s="1"/>
  <c r="F60" i="40"/>
  <c r="F66" i="40" s="1"/>
  <c r="F69" i="40" s="1"/>
  <c r="F124" i="43" s="1"/>
  <c r="E95" i="40"/>
  <c r="E96" i="40" s="1"/>
  <c r="E120" i="40" s="1"/>
  <c r="G84" i="49" s="1"/>
  <c r="H95" i="40"/>
  <c r="H96" i="40" s="1"/>
  <c r="H46" i="43"/>
  <c r="H59" i="47" s="1"/>
  <c r="T59" i="47" s="1"/>
  <c r="G46" i="43"/>
  <c r="G59" i="47" s="1"/>
  <c r="S59" i="47" s="1"/>
  <c r="H129" i="43"/>
  <c r="H132" i="43" s="1"/>
  <c r="G115" i="43"/>
  <c r="G120" i="43" s="1"/>
  <c r="G125" i="43" s="1"/>
  <c r="E74" i="43"/>
  <c r="E79" i="43" s="1"/>
  <c r="E84" i="43" s="1"/>
  <c r="F129" i="43"/>
  <c r="F132" i="43" s="1"/>
  <c r="F115" i="43"/>
  <c r="F120" i="43" s="1"/>
  <c r="F125" i="43" s="1"/>
  <c r="F96" i="47" l="1"/>
  <c r="R96" i="47" s="1"/>
  <c r="F90" i="43"/>
  <c r="F92" i="43" s="1"/>
  <c r="F83" i="43"/>
  <c r="F85" i="43" s="1"/>
  <c r="E60" i="40"/>
  <c r="E66" i="40" s="1"/>
  <c r="E69" i="40" s="1"/>
  <c r="E124" i="43" s="1"/>
  <c r="E126" i="43" s="1"/>
  <c r="E47" i="43" s="1"/>
  <c r="E76" i="40"/>
  <c r="E77" i="40" s="1"/>
  <c r="E131" i="43" s="1"/>
  <c r="G126" i="43"/>
  <c r="F126" i="43"/>
  <c r="F133" i="43"/>
  <c r="D51" i="43"/>
  <c r="D11" i="43" s="1"/>
  <c r="F46" i="43" l="1"/>
  <c r="F59" i="47" s="1"/>
  <c r="R59" i="47" s="1"/>
  <c r="F70" i="40"/>
  <c r="F71" i="40" s="1"/>
  <c r="F30" i="40" s="1"/>
  <c r="L106" i="46" s="1"/>
  <c r="L108" i="46" s="1"/>
  <c r="E90" i="43"/>
  <c r="E92" i="43" s="1"/>
  <c r="E83" i="43"/>
  <c r="E85" i="43" s="1"/>
  <c r="G70" i="40"/>
  <c r="F47" i="43"/>
  <c r="F78" i="40"/>
  <c r="F79" i="40" s="1"/>
  <c r="F31" i="40" s="1"/>
  <c r="L110" i="46" s="1"/>
  <c r="L112" i="46" s="1"/>
  <c r="E60" i="47"/>
  <c r="Q60" i="47" s="1"/>
  <c r="C11" i="43"/>
  <c r="D10" i="43"/>
  <c r="D14" i="38" s="1"/>
  <c r="D10" i="38" s="1"/>
  <c r="F49" i="43" l="1"/>
  <c r="F30" i="43" s="1"/>
  <c r="L159" i="46" s="1"/>
  <c r="L161" i="46" s="1"/>
  <c r="E46" i="43"/>
  <c r="E59" i="47" s="1"/>
  <c r="Q59" i="47" s="1"/>
  <c r="E78" i="40"/>
  <c r="E79" i="40" s="1"/>
  <c r="E31" i="40" s="1"/>
  <c r="K110" i="46" s="1"/>
  <c r="K112" i="46" s="1"/>
  <c r="E70" i="40"/>
  <c r="E71" i="40" s="1"/>
  <c r="E30" i="40" s="1"/>
  <c r="K106" i="46" s="1"/>
  <c r="F72" i="40"/>
  <c r="F73" i="40" s="1"/>
  <c r="F11" i="40" s="1"/>
  <c r="H31" i="49" s="1"/>
  <c r="F80" i="40"/>
  <c r="F81" i="40" s="1"/>
  <c r="F12" i="40" s="1"/>
  <c r="F29" i="40"/>
  <c r="F40" i="38" s="1"/>
  <c r="F60" i="47"/>
  <c r="R60" i="47" s="1"/>
  <c r="C10" i="43"/>
  <c r="C14" i="38" s="1"/>
  <c r="C10" i="38" s="1"/>
  <c r="H86" i="49" l="1"/>
  <c r="F24" i="47"/>
  <c r="R24" i="47" s="1"/>
  <c r="K108" i="46"/>
  <c r="E72" i="40" s="1"/>
  <c r="E73" i="40" s="1"/>
  <c r="E11" i="40" s="1"/>
  <c r="E49" i="43"/>
  <c r="E30" i="43" s="1"/>
  <c r="K159" i="46" s="1"/>
  <c r="K161" i="46" s="1"/>
  <c r="E80" i="40"/>
  <c r="E81" i="40" s="1"/>
  <c r="E12" i="40" s="1"/>
  <c r="G32" i="49" s="1"/>
  <c r="E29" i="40"/>
  <c r="E40" i="38" s="1"/>
  <c r="H32" i="49"/>
  <c r="F10" i="40"/>
  <c r="F11" i="38" s="1"/>
  <c r="F50" i="43"/>
  <c r="F51" i="43" s="1"/>
  <c r="F29" i="43"/>
  <c r="F43" i="38" s="1"/>
  <c r="F25" i="47" l="1"/>
  <c r="R25" i="47" s="1"/>
  <c r="E25" i="47"/>
  <c r="Q25" i="47" s="1"/>
  <c r="H34" i="49"/>
  <c r="H55" i="49" s="1"/>
  <c r="F30" i="38"/>
  <c r="E10" i="40"/>
  <c r="E30" i="38" s="1"/>
  <c r="G31" i="49"/>
  <c r="F11" i="43"/>
  <c r="H41" i="49" s="1"/>
  <c r="H43" i="49" s="1"/>
  <c r="H58" i="49" s="1"/>
  <c r="F218" i="43"/>
  <c r="F219" i="43"/>
  <c r="E50" i="43"/>
  <c r="E51" i="43" s="1"/>
  <c r="E29" i="43"/>
  <c r="E43" i="38" s="1"/>
  <c r="F20" i="38"/>
  <c r="G86" i="49" l="1"/>
  <c r="E24" i="47"/>
  <c r="Q24" i="47" s="1"/>
  <c r="E11" i="38"/>
  <c r="E20" i="38" s="1"/>
  <c r="G34" i="49"/>
  <c r="G55" i="49" s="1"/>
  <c r="F217" i="43"/>
  <c r="E11" i="43"/>
  <c r="G41" i="49" s="1"/>
  <c r="G43" i="49" s="1"/>
  <c r="G58" i="49" s="1"/>
  <c r="E219" i="43"/>
  <c r="E218" i="43"/>
  <c r="F10" i="43"/>
  <c r="F75" i="41"/>
  <c r="H36" i="49" s="1"/>
  <c r="E217" i="43" l="1"/>
  <c r="F77" i="41"/>
  <c r="L122" i="46" s="1"/>
  <c r="L124" i="46" s="1"/>
  <c r="F14" i="38"/>
  <c r="F33" i="38"/>
  <c r="E10" i="43"/>
  <c r="E75" i="41"/>
  <c r="G36" i="49" s="1"/>
  <c r="E77" i="41" l="1"/>
  <c r="K122" i="46" s="1"/>
  <c r="K124" i="46" s="1"/>
  <c r="F78" i="41"/>
  <c r="F79" i="41" s="1"/>
  <c r="F12" i="41" s="1"/>
  <c r="F31" i="41"/>
  <c r="F29" i="41" s="1"/>
  <c r="F41" i="38" s="1"/>
  <c r="F39" i="38" s="1"/>
  <c r="F60" i="38" s="1"/>
  <c r="L89" i="46" s="1"/>
  <c r="E33" i="38"/>
  <c r="E14" i="38"/>
  <c r="F23" i="38"/>
  <c r="H47" i="49" l="1"/>
  <c r="F32" i="47" s="1"/>
  <c r="R32" i="47" s="1"/>
  <c r="H37" i="49"/>
  <c r="F61" i="38"/>
  <c r="F10" i="41"/>
  <c r="Y3" i="77" s="1"/>
  <c r="Y5" i="77" s="1"/>
  <c r="E78" i="41"/>
  <c r="E79" i="41" s="1"/>
  <c r="E12" i="41" s="1"/>
  <c r="E31" i="41"/>
  <c r="E29" i="41" s="1"/>
  <c r="E41" i="38" s="1"/>
  <c r="E39" i="38" s="1"/>
  <c r="E60" i="38" s="1"/>
  <c r="K89" i="46" s="1"/>
  <c r="K219" i="46" s="1"/>
  <c r="E23" i="38"/>
  <c r="S679" i="77" l="1"/>
  <c r="M679" i="77" s="1"/>
  <c r="R679" i="77" s="1"/>
  <c r="S535" i="77"/>
  <c r="M535" i="77" s="1"/>
  <c r="R535" i="77" s="1"/>
  <c r="S391" i="77"/>
  <c r="M391" i="77" s="1"/>
  <c r="R391" i="77" s="1"/>
  <c r="S678" i="77"/>
  <c r="M678" i="77" s="1"/>
  <c r="R678" i="77" s="1"/>
  <c r="S534" i="77"/>
  <c r="M534" i="77" s="1"/>
  <c r="R534" i="77" s="1"/>
  <c r="S390" i="77"/>
  <c r="M390" i="77" s="1"/>
  <c r="R390" i="77" s="1"/>
  <c r="S665" i="77"/>
  <c r="M665" i="77" s="1"/>
  <c r="R665" i="77" s="1"/>
  <c r="S521" i="77"/>
  <c r="M521" i="77" s="1"/>
  <c r="R521" i="77" s="1"/>
  <c r="S377" i="77"/>
  <c r="M377" i="77" s="1"/>
  <c r="R377" i="77" s="1"/>
  <c r="S674" i="77"/>
  <c r="M674" i="77" s="1"/>
  <c r="R674" i="77" s="1"/>
  <c r="S530" i="77"/>
  <c r="M530" i="77" s="1"/>
  <c r="R530" i="77" s="1"/>
  <c r="S386" i="77"/>
  <c r="M386" i="77" s="1"/>
  <c r="R386" i="77" s="1"/>
  <c r="S649" i="77"/>
  <c r="M649" i="77" s="1"/>
  <c r="R649" i="77" s="1"/>
  <c r="S505" i="77"/>
  <c r="M505" i="77" s="1"/>
  <c r="R505" i="77" s="1"/>
  <c r="S361" i="77"/>
  <c r="M361" i="77" s="1"/>
  <c r="R361" i="77" s="1"/>
  <c r="S624" i="77"/>
  <c r="M624" i="77" s="1"/>
  <c r="R624" i="77" s="1"/>
  <c r="S480" i="77"/>
  <c r="M480" i="77" s="1"/>
  <c r="R480" i="77" s="1"/>
  <c r="S604" i="77"/>
  <c r="M604" i="77" s="1"/>
  <c r="R604" i="77" s="1"/>
  <c r="S599" i="77"/>
  <c r="M599" i="77" s="1"/>
  <c r="R599" i="77" s="1"/>
  <c r="S455" i="77"/>
  <c r="M455" i="77" s="1"/>
  <c r="R455" i="77" s="1"/>
  <c r="S507" i="77"/>
  <c r="M507" i="77" s="1"/>
  <c r="R507" i="77" s="1"/>
  <c r="S562" i="77"/>
  <c r="M562" i="77" s="1"/>
  <c r="R562" i="77" s="1"/>
  <c r="S418" i="77"/>
  <c r="M418" i="77" s="1"/>
  <c r="R418" i="77" s="1"/>
  <c r="S681" i="77"/>
  <c r="M681" i="77" s="1"/>
  <c r="R681" i="77" s="1"/>
  <c r="S537" i="77"/>
  <c r="M537" i="77" s="1"/>
  <c r="R537" i="77" s="1"/>
  <c r="S393" i="77"/>
  <c r="M393" i="77" s="1"/>
  <c r="R393" i="77" s="1"/>
  <c r="S644" i="77"/>
  <c r="M644" i="77" s="1"/>
  <c r="R644" i="77" s="1"/>
  <c r="S500" i="77"/>
  <c r="M500" i="77" s="1"/>
  <c r="R500" i="77" s="1"/>
  <c r="S356" i="77"/>
  <c r="M356" i="77" s="1"/>
  <c r="R356" i="77" s="1"/>
  <c r="S667" i="77"/>
  <c r="M667" i="77" s="1"/>
  <c r="R667" i="77" s="1"/>
  <c r="S523" i="77"/>
  <c r="M523" i="77" s="1"/>
  <c r="R523" i="77" s="1"/>
  <c r="S379" i="77"/>
  <c r="M379" i="77" s="1"/>
  <c r="R379" i="77" s="1"/>
  <c r="S666" i="77"/>
  <c r="M666" i="77" s="1"/>
  <c r="R666" i="77" s="1"/>
  <c r="S522" i="77"/>
  <c r="M522" i="77" s="1"/>
  <c r="R522" i="77" s="1"/>
  <c r="S378" i="77"/>
  <c r="M378" i="77" s="1"/>
  <c r="R378" i="77" s="1"/>
  <c r="S653" i="77"/>
  <c r="M653" i="77" s="1"/>
  <c r="R653" i="77" s="1"/>
  <c r="S509" i="77"/>
  <c r="M509" i="77" s="1"/>
  <c r="R509" i="77" s="1"/>
  <c r="S365" i="77"/>
  <c r="M365" i="77" s="1"/>
  <c r="R365" i="77" s="1"/>
  <c r="S662" i="77"/>
  <c r="M662" i="77" s="1"/>
  <c r="R662" i="77" s="1"/>
  <c r="S518" i="77"/>
  <c r="M518" i="77" s="1"/>
  <c r="R518" i="77" s="1"/>
  <c r="S374" i="77"/>
  <c r="M374" i="77" s="1"/>
  <c r="R374" i="77" s="1"/>
  <c r="S637" i="77"/>
  <c r="M637" i="77" s="1"/>
  <c r="R637" i="77" s="1"/>
  <c r="S493" i="77"/>
  <c r="M493" i="77" s="1"/>
  <c r="R493" i="77" s="1"/>
  <c r="S349" i="77"/>
  <c r="M349" i="77" s="1"/>
  <c r="R349" i="77" s="1"/>
  <c r="S612" i="77"/>
  <c r="M612" i="77" s="1"/>
  <c r="R612" i="77" s="1"/>
  <c r="S468" i="77"/>
  <c r="M468" i="77" s="1"/>
  <c r="R468" i="77" s="1"/>
  <c r="S424" i="77"/>
  <c r="M424" i="77" s="1"/>
  <c r="R424" i="77" s="1"/>
  <c r="S587" i="77"/>
  <c r="M587" i="77" s="1"/>
  <c r="R587" i="77" s="1"/>
  <c r="S443" i="77"/>
  <c r="M443" i="77" s="1"/>
  <c r="R443" i="77" s="1"/>
  <c r="S375" i="77"/>
  <c r="M375" i="77" s="1"/>
  <c r="R375" i="77" s="1"/>
  <c r="S550" i="77"/>
  <c r="M550" i="77" s="1"/>
  <c r="R550" i="77" s="1"/>
  <c r="S406" i="77"/>
  <c r="M406" i="77" s="1"/>
  <c r="R406" i="77" s="1"/>
  <c r="S669" i="77"/>
  <c r="M669" i="77" s="1"/>
  <c r="R669" i="77" s="1"/>
  <c r="S525" i="77"/>
  <c r="M525" i="77" s="1"/>
  <c r="R525" i="77" s="1"/>
  <c r="S381" i="77"/>
  <c r="M381" i="77" s="1"/>
  <c r="R381" i="77" s="1"/>
  <c r="S632" i="77"/>
  <c r="M632" i="77" s="1"/>
  <c r="R632" i="77" s="1"/>
  <c r="S488" i="77"/>
  <c r="M488" i="77" s="1"/>
  <c r="R488" i="77" s="1"/>
  <c r="S664" i="77"/>
  <c r="M664" i="77" s="1"/>
  <c r="R664" i="77" s="1"/>
  <c r="S655" i="77"/>
  <c r="M655" i="77" s="1"/>
  <c r="R655" i="77" s="1"/>
  <c r="S511" i="77"/>
  <c r="M511" i="77" s="1"/>
  <c r="R511" i="77" s="1"/>
  <c r="S367" i="77"/>
  <c r="M367" i="77" s="1"/>
  <c r="R367" i="77" s="1"/>
  <c r="S654" i="77"/>
  <c r="M654" i="77" s="1"/>
  <c r="R654" i="77" s="1"/>
  <c r="S510" i="77"/>
  <c r="M510" i="77" s="1"/>
  <c r="R510" i="77" s="1"/>
  <c r="S366" i="77"/>
  <c r="M366" i="77" s="1"/>
  <c r="R366" i="77" s="1"/>
  <c r="S641" i="77"/>
  <c r="M641" i="77" s="1"/>
  <c r="R641" i="77" s="1"/>
  <c r="S497" i="77"/>
  <c r="M497" i="77" s="1"/>
  <c r="R497" i="77" s="1"/>
  <c r="S353" i="77"/>
  <c r="M353" i="77" s="1"/>
  <c r="R353" i="77" s="1"/>
  <c r="S650" i="77"/>
  <c r="M650" i="77" s="1"/>
  <c r="R650" i="77" s="1"/>
  <c r="S506" i="77"/>
  <c r="M506" i="77" s="1"/>
  <c r="R506" i="77" s="1"/>
  <c r="S362" i="77"/>
  <c r="M362" i="77" s="1"/>
  <c r="R362" i="77" s="1"/>
  <c r="S625" i="77"/>
  <c r="M625" i="77" s="1"/>
  <c r="R625" i="77" s="1"/>
  <c r="S481" i="77"/>
  <c r="M481" i="77" s="1"/>
  <c r="R481" i="77" s="1"/>
  <c r="S592" i="77"/>
  <c r="M592" i="77" s="1"/>
  <c r="R592" i="77" s="1"/>
  <c r="S600" i="77"/>
  <c r="M600" i="77" s="1"/>
  <c r="R600" i="77" s="1"/>
  <c r="S456" i="77"/>
  <c r="M456" i="77" s="1"/>
  <c r="R456" i="77" s="1"/>
  <c r="S687" i="77"/>
  <c r="M687" i="77" s="1"/>
  <c r="R687" i="77" s="1"/>
  <c r="S575" i="77"/>
  <c r="M575" i="77" s="1"/>
  <c r="R575" i="77" s="1"/>
  <c r="S431" i="77"/>
  <c r="M431" i="77" s="1"/>
  <c r="R431" i="77" s="1"/>
  <c r="S682" i="77"/>
  <c r="M682" i="77" s="1"/>
  <c r="R682" i="77" s="1"/>
  <c r="S538" i="77"/>
  <c r="M538" i="77" s="1"/>
  <c r="R538" i="77" s="1"/>
  <c r="S394" i="77"/>
  <c r="M394" i="77" s="1"/>
  <c r="R394" i="77" s="1"/>
  <c r="S657" i="77"/>
  <c r="M657" i="77" s="1"/>
  <c r="R657" i="77" s="1"/>
  <c r="S513" i="77"/>
  <c r="M513" i="77" s="1"/>
  <c r="R513" i="77" s="1"/>
  <c r="S369" i="77"/>
  <c r="M369" i="77" s="1"/>
  <c r="R369" i="77" s="1"/>
  <c r="S620" i="77"/>
  <c r="M620" i="77" s="1"/>
  <c r="R620" i="77" s="1"/>
  <c r="S476" i="77"/>
  <c r="M476" i="77" s="1"/>
  <c r="R476" i="77" s="1"/>
  <c r="S508" i="77"/>
  <c r="M508" i="77" s="1"/>
  <c r="R508" i="77" s="1"/>
  <c r="S643" i="77"/>
  <c r="M643" i="77" s="1"/>
  <c r="R643" i="77" s="1"/>
  <c r="S499" i="77"/>
  <c r="M499" i="77" s="1"/>
  <c r="R499" i="77" s="1"/>
  <c r="S355" i="77"/>
  <c r="M355" i="77" s="1"/>
  <c r="R355" i="77" s="1"/>
  <c r="S642" i="77"/>
  <c r="M642" i="77" s="1"/>
  <c r="R642" i="77" s="1"/>
  <c r="S498" i="77"/>
  <c r="M498" i="77" s="1"/>
  <c r="R498" i="77" s="1"/>
  <c r="S354" i="77"/>
  <c r="M354" i="77" s="1"/>
  <c r="R354" i="77" s="1"/>
  <c r="S629" i="77"/>
  <c r="M629" i="77" s="1"/>
  <c r="R629" i="77" s="1"/>
  <c r="S485" i="77"/>
  <c r="M485" i="77" s="1"/>
  <c r="R485" i="77" s="1"/>
  <c r="S628" i="77"/>
  <c r="M628" i="77" s="1"/>
  <c r="R628" i="77" s="1"/>
  <c r="S638" i="77"/>
  <c r="M638" i="77" s="1"/>
  <c r="R638" i="77" s="1"/>
  <c r="S494" i="77"/>
  <c r="M494" i="77" s="1"/>
  <c r="R494" i="77" s="1"/>
  <c r="S350" i="77"/>
  <c r="M350" i="77" s="1"/>
  <c r="R350" i="77" s="1"/>
  <c r="S613" i="77"/>
  <c r="M613" i="77" s="1"/>
  <c r="R613" i="77" s="1"/>
  <c r="S469" i="77"/>
  <c r="M469" i="77" s="1"/>
  <c r="R469" i="77" s="1"/>
  <c r="S436" i="77"/>
  <c r="M436" i="77" s="1"/>
  <c r="R436" i="77" s="1"/>
  <c r="S588" i="77"/>
  <c r="M588" i="77" s="1"/>
  <c r="R588" i="77" s="1"/>
  <c r="S444" i="77"/>
  <c r="M444" i="77" s="1"/>
  <c r="R444" i="77" s="1"/>
  <c r="S555" i="77"/>
  <c r="M555" i="77" s="1"/>
  <c r="R555" i="77" s="1"/>
  <c r="S563" i="77"/>
  <c r="M563" i="77" s="1"/>
  <c r="R563" i="77" s="1"/>
  <c r="S419" i="77"/>
  <c r="M419" i="77" s="1"/>
  <c r="R419" i="77" s="1"/>
  <c r="S670" i="77"/>
  <c r="M670" i="77" s="1"/>
  <c r="R670" i="77" s="1"/>
  <c r="S526" i="77"/>
  <c r="M526" i="77" s="1"/>
  <c r="R526" i="77" s="1"/>
  <c r="S382" i="77"/>
  <c r="M382" i="77" s="1"/>
  <c r="R382" i="77" s="1"/>
  <c r="S645" i="77"/>
  <c r="M645" i="77" s="1"/>
  <c r="R645" i="77" s="1"/>
  <c r="S501" i="77"/>
  <c r="M501" i="77" s="1"/>
  <c r="R501" i="77" s="1"/>
  <c r="S357" i="77"/>
  <c r="M357" i="77" s="1"/>
  <c r="R357" i="77" s="1"/>
  <c r="S608" i="77"/>
  <c r="M608" i="77" s="1"/>
  <c r="R608" i="77" s="1"/>
  <c r="S464" i="77"/>
  <c r="M464" i="77" s="1"/>
  <c r="R464" i="77" s="1"/>
  <c r="S364" i="77"/>
  <c r="M364" i="77" s="1"/>
  <c r="R364" i="77" s="1"/>
  <c r="S631" i="77"/>
  <c r="M631" i="77" s="1"/>
  <c r="R631" i="77" s="1"/>
  <c r="S487" i="77"/>
  <c r="M487" i="77" s="1"/>
  <c r="R487" i="77" s="1"/>
  <c r="S652" i="77"/>
  <c r="M652" i="77" s="1"/>
  <c r="R652" i="77" s="1"/>
  <c r="S630" i="77"/>
  <c r="M630" i="77" s="1"/>
  <c r="R630" i="77" s="1"/>
  <c r="S486" i="77"/>
  <c r="M486" i="77" s="1"/>
  <c r="R486" i="77" s="1"/>
  <c r="S640" i="77"/>
  <c r="M640" i="77" s="1"/>
  <c r="R640" i="77" s="1"/>
  <c r="S617" i="77"/>
  <c r="M617" i="77" s="1"/>
  <c r="R617" i="77" s="1"/>
  <c r="S473" i="77"/>
  <c r="M473" i="77" s="1"/>
  <c r="R473" i="77" s="1"/>
  <c r="S532" i="77"/>
  <c r="M532" i="77" s="1"/>
  <c r="R532" i="77" s="1"/>
  <c r="S626" i="77"/>
  <c r="M626" i="77" s="1"/>
  <c r="R626" i="77" s="1"/>
  <c r="S482" i="77"/>
  <c r="M482" i="77" s="1"/>
  <c r="R482" i="77" s="1"/>
  <c r="S688" i="77"/>
  <c r="M688" i="77" s="1"/>
  <c r="R688" i="77" s="1"/>
  <c r="S601" i="77"/>
  <c r="M601" i="77" s="1"/>
  <c r="R601" i="77" s="1"/>
  <c r="S457" i="77"/>
  <c r="M457" i="77" s="1"/>
  <c r="R457" i="77" s="1"/>
  <c r="S663" i="77"/>
  <c r="M663" i="77" s="1"/>
  <c r="R663" i="77" s="1"/>
  <c r="S576" i="77"/>
  <c r="M576" i="77" s="1"/>
  <c r="R576" i="77" s="1"/>
  <c r="S432" i="77"/>
  <c r="M432" i="77" s="1"/>
  <c r="R432" i="77" s="1"/>
  <c r="S459" i="77"/>
  <c r="M459" i="77" s="1"/>
  <c r="R459" i="77" s="1"/>
  <c r="S551" i="77"/>
  <c r="M551" i="77" s="1"/>
  <c r="R551" i="77" s="1"/>
  <c r="S407" i="77"/>
  <c r="M407" i="77" s="1"/>
  <c r="R407" i="77" s="1"/>
  <c r="S658" i="77"/>
  <c r="M658" i="77" s="1"/>
  <c r="R658" i="77" s="1"/>
  <c r="S514" i="77"/>
  <c r="M514" i="77" s="1"/>
  <c r="R514" i="77" s="1"/>
  <c r="S370" i="77"/>
  <c r="M370" i="77" s="1"/>
  <c r="R370" i="77" s="1"/>
  <c r="S633" i="77"/>
  <c r="M633" i="77" s="1"/>
  <c r="R633" i="77" s="1"/>
  <c r="S489" i="77"/>
  <c r="M489" i="77" s="1"/>
  <c r="R489" i="77" s="1"/>
  <c r="S580" i="77"/>
  <c r="M580" i="77" s="1"/>
  <c r="R580" i="77" s="1"/>
  <c r="S596" i="77"/>
  <c r="M596" i="77" s="1"/>
  <c r="R596" i="77" s="1"/>
  <c r="S452" i="77"/>
  <c r="M452" i="77" s="1"/>
  <c r="R452" i="77" s="1"/>
  <c r="S579" i="77"/>
  <c r="M579" i="77" s="1"/>
  <c r="R579" i="77" s="1"/>
  <c r="S619" i="77"/>
  <c r="M619" i="77" s="1"/>
  <c r="R619" i="77" s="1"/>
  <c r="S475" i="77"/>
  <c r="M475" i="77" s="1"/>
  <c r="R475" i="77" s="1"/>
  <c r="S568" i="77"/>
  <c r="M568" i="77" s="1"/>
  <c r="R568" i="77" s="1"/>
  <c r="S618" i="77"/>
  <c r="M618" i="77" s="1"/>
  <c r="R618" i="77" s="1"/>
  <c r="S474" i="77"/>
  <c r="M474" i="77" s="1"/>
  <c r="R474" i="77" s="1"/>
  <c r="S544" i="77"/>
  <c r="M544" i="77" s="1"/>
  <c r="R544" i="77" s="1"/>
  <c r="S605" i="77"/>
  <c r="M605" i="77" s="1"/>
  <c r="R605" i="77" s="1"/>
  <c r="S461" i="77"/>
  <c r="M461" i="77" s="1"/>
  <c r="R461" i="77" s="1"/>
  <c r="S460" i="77"/>
  <c r="M460" i="77" s="1"/>
  <c r="R460" i="77" s="1"/>
  <c r="S614" i="77"/>
  <c r="M614" i="77" s="1"/>
  <c r="R614" i="77" s="1"/>
  <c r="S470" i="77"/>
  <c r="M470" i="77" s="1"/>
  <c r="R470" i="77" s="1"/>
  <c r="S556" i="77"/>
  <c r="M556" i="77" s="1"/>
  <c r="R556" i="77" s="1"/>
  <c r="S589" i="77"/>
  <c r="M589" i="77" s="1"/>
  <c r="R589" i="77" s="1"/>
  <c r="S445" i="77"/>
  <c r="M445" i="77" s="1"/>
  <c r="R445" i="77" s="1"/>
  <c r="S531" i="77"/>
  <c r="M531" i="77" s="1"/>
  <c r="R531" i="77" s="1"/>
  <c r="S564" i="77"/>
  <c r="M564" i="77" s="1"/>
  <c r="R564" i="77" s="1"/>
  <c r="S420" i="77"/>
  <c r="M420" i="77" s="1"/>
  <c r="R420" i="77" s="1"/>
  <c r="S683" i="77"/>
  <c r="M683" i="77" s="1"/>
  <c r="R683" i="77" s="1"/>
  <c r="S539" i="77"/>
  <c r="M539" i="77" s="1"/>
  <c r="R539" i="77" s="1"/>
  <c r="S395" i="77"/>
  <c r="M395" i="77" s="1"/>
  <c r="R395" i="77" s="1"/>
  <c r="S646" i="77"/>
  <c r="M646" i="77" s="1"/>
  <c r="R646" i="77" s="1"/>
  <c r="S502" i="77"/>
  <c r="M502" i="77" s="1"/>
  <c r="R502" i="77" s="1"/>
  <c r="S358" i="77"/>
  <c r="M358" i="77" s="1"/>
  <c r="R358" i="77" s="1"/>
  <c r="S621" i="77"/>
  <c r="M621" i="77" s="1"/>
  <c r="R621" i="77" s="1"/>
  <c r="S477" i="77"/>
  <c r="M477" i="77" s="1"/>
  <c r="R477" i="77" s="1"/>
  <c r="S448" i="77"/>
  <c r="M448" i="77" s="1"/>
  <c r="R448" i="77" s="1"/>
  <c r="S584" i="77"/>
  <c r="M584" i="77" s="1"/>
  <c r="R584" i="77" s="1"/>
  <c r="S440" i="77"/>
  <c r="M440" i="77" s="1"/>
  <c r="R440" i="77" s="1"/>
  <c r="S411" i="77"/>
  <c r="M411" i="77" s="1"/>
  <c r="R411" i="77" s="1"/>
  <c r="S607" i="77"/>
  <c r="M607" i="77" s="1"/>
  <c r="R607" i="77" s="1"/>
  <c r="S463" i="77"/>
  <c r="M463" i="77" s="1"/>
  <c r="R463" i="77" s="1"/>
  <c r="S496" i="77"/>
  <c r="M496" i="77" s="1"/>
  <c r="R496" i="77" s="1"/>
  <c r="S606" i="77"/>
  <c r="M606" i="77" s="1"/>
  <c r="R606" i="77" s="1"/>
  <c r="S462" i="77"/>
  <c r="M462" i="77" s="1"/>
  <c r="R462" i="77" s="1"/>
  <c r="S484" i="77"/>
  <c r="M484" i="77" s="1"/>
  <c r="R484" i="77" s="1"/>
  <c r="S593" i="77"/>
  <c r="M593" i="77" s="1"/>
  <c r="R593" i="77" s="1"/>
  <c r="S449" i="77"/>
  <c r="M449" i="77" s="1"/>
  <c r="R449" i="77" s="1"/>
  <c r="S352" i="77"/>
  <c r="M352" i="77" s="1"/>
  <c r="R352" i="77" s="1"/>
  <c r="S602" i="77"/>
  <c r="M602" i="77" s="1"/>
  <c r="R602" i="77" s="1"/>
  <c r="S458" i="77"/>
  <c r="M458" i="77" s="1"/>
  <c r="R458" i="77" s="1"/>
  <c r="S412" i="77"/>
  <c r="M412" i="77" s="1"/>
  <c r="R412" i="77" s="1"/>
  <c r="S577" i="77"/>
  <c r="M577" i="77" s="1"/>
  <c r="R577" i="77" s="1"/>
  <c r="S433" i="77"/>
  <c r="M433" i="77" s="1"/>
  <c r="R433" i="77" s="1"/>
  <c r="S399" i="77"/>
  <c r="M399" i="77" s="1"/>
  <c r="R399" i="77" s="1"/>
  <c r="S552" i="77"/>
  <c r="M552" i="77" s="1"/>
  <c r="R552" i="77" s="1"/>
  <c r="S408" i="77"/>
  <c r="M408" i="77" s="1"/>
  <c r="R408" i="77" s="1"/>
  <c r="S671" i="77"/>
  <c r="M671" i="77" s="1"/>
  <c r="R671" i="77" s="1"/>
  <c r="S527" i="77"/>
  <c r="M527" i="77" s="1"/>
  <c r="R527" i="77" s="1"/>
  <c r="S383" i="77"/>
  <c r="M383" i="77" s="1"/>
  <c r="R383" i="77" s="1"/>
  <c r="S634" i="77"/>
  <c r="M634" i="77" s="1"/>
  <c r="R634" i="77" s="1"/>
  <c r="S490" i="77"/>
  <c r="M490" i="77" s="1"/>
  <c r="R490" i="77" s="1"/>
  <c r="S676" i="77"/>
  <c r="M676" i="77" s="1"/>
  <c r="R676" i="77" s="1"/>
  <c r="S609" i="77"/>
  <c r="M609" i="77" s="1"/>
  <c r="R609" i="77" s="1"/>
  <c r="S465" i="77"/>
  <c r="M465" i="77" s="1"/>
  <c r="R465" i="77" s="1"/>
  <c r="S615" i="77"/>
  <c r="M615" i="77" s="1"/>
  <c r="R615" i="77" s="1"/>
  <c r="S572" i="77"/>
  <c r="M572" i="77" s="1"/>
  <c r="R572" i="77" s="1"/>
  <c r="S428" i="77"/>
  <c r="M428" i="77" s="1"/>
  <c r="R428" i="77" s="1"/>
  <c r="S595" i="77"/>
  <c r="M595" i="77" s="1"/>
  <c r="R595" i="77" s="1"/>
  <c r="S451" i="77"/>
  <c r="M451" i="77" s="1"/>
  <c r="R451" i="77" s="1"/>
  <c r="S388" i="77"/>
  <c r="M388" i="77" s="1"/>
  <c r="R388" i="77" s="1"/>
  <c r="S594" i="77"/>
  <c r="M594" i="77" s="1"/>
  <c r="R594" i="77" s="1"/>
  <c r="S450" i="77"/>
  <c r="M450" i="77" s="1"/>
  <c r="R450" i="77" s="1"/>
  <c r="S400" i="77"/>
  <c r="M400" i="77" s="1"/>
  <c r="R400" i="77" s="1"/>
  <c r="S581" i="77"/>
  <c r="M581" i="77" s="1"/>
  <c r="R581" i="77" s="1"/>
  <c r="S437" i="77"/>
  <c r="M437" i="77" s="1"/>
  <c r="R437" i="77" s="1"/>
  <c r="S675" i="77"/>
  <c r="M675" i="77" s="1"/>
  <c r="R675" i="77" s="1"/>
  <c r="S590" i="77"/>
  <c r="M590" i="77" s="1"/>
  <c r="R590" i="77" s="1"/>
  <c r="S446" i="77"/>
  <c r="M446" i="77" s="1"/>
  <c r="R446" i="77" s="1"/>
  <c r="S603" i="77"/>
  <c r="M603" i="77" s="1"/>
  <c r="R603" i="77" s="1"/>
  <c r="S565" i="77"/>
  <c r="M565" i="77" s="1"/>
  <c r="R565" i="77" s="1"/>
  <c r="S421" i="77"/>
  <c r="M421" i="77" s="1"/>
  <c r="R421" i="77" s="1"/>
  <c r="S684" i="77"/>
  <c r="M684" i="77" s="1"/>
  <c r="R684" i="77" s="1"/>
  <c r="S540" i="77"/>
  <c r="M540" i="77" s="1"/>
  <c r="R540" i="77" s="1"/>
  <c r="S396" i="77"/>
  <c r="M396" i="77" s="1"/>
  <c r="R396" i="77" s="1"/>
  <c r="S659" i="77"/>
  <c r="M659" i="77" s="1"/>
  <c r="R659" i="77" s="1"/>
  <c r="S515" i="77"/>
  <c r="M515" i="77" s="1"/>
  <c r="R515" i="77" s="1"/>
  <c r="S371" i="77"/>
  <c r="M371" i="77" s="1"/>
  <c r="R371" i="77" s="1"/>
  <c r="S622" i="77"/>
  <c r="M622" i="77" s="1"/>
  <c r="R622" i="77" s="1"/>
  <c r="S478" i="77"/>
  <c r="M478" i="77" s="1"/>
  <c r="R478" i="77" s="1"/>
  <c r="S520" i="77"/>
  <c r="M520" i="77" s="1"/>
  <c r="R520" i="77" s="1"/>
  <c r="S597" i="77"/>
  <c r="M597" i="77" s="1"/>
  <c r="R597" i="77" s="1"/>
  <c r="S453" i="77"/>
  <c r="M453" i="77" s="1"/>
  <c r="R453" i="77" s="1"/>
  <c r="S495" i="77"/>
  <c r="M495" i="77" s="1"/>
  <c r="R495" i="77" s="1"/>
  <c r="S560" i="77"/>
  <c r="M560" i="77" s="1"/>
  <c r="R560" i="77" s="1"/>
  <c r="S416" i="77"/>
  <c r="M416" i="77" s="1"/>
  <c r="R416" i="77" s="1"/>
  <c r="S583" i="77"/>
  <c r="M583" i="77" s="1"/>
  <c r="R583" i="77" s="1"/>
  <c r="S439" i="77"/>
  <c r="M439" i="77" s="1"/>
  <c r="R439" i="77" s="1"/>
  <c r="S651" i="77"/>
  <c r="M651" i="77" s="1"/>
  <c r="R651" i="77" s="1"/>
  <c r="S582" i="77"/>
  <c r="M582" i="77" s="1"/>
  <c r="R582" i="77" s="1"/>
  <c r="S438" i="77"/>
  <c r="M438" i="77" s="1"/>
  <c r="R438" i="77" s="1"/>
  <c r="S567" i="77"/>
  <c r="M567" i="77" s="1"/>
  <c r="R567" i="77" s="1"/>
  <c r="S569" i="77"/>
  <c r="M569" i="77" s="1"/>
  <c r="R569" i="77" s="1"/>
  <c r="S425" i="77"/>
  <c r="M425" i="77" s="1"/>
  <c r="R425" i="77" s="1"/>
  <c r="S591" i="77"/>
  <c r="M591" i="77" s="1"/>
  <c r="R591" i="77" s="1"/>
  <c r="S578" i="77"/>
  <c r="M578" i="77" s="1"/>
  <c r="R578" i="77" s="1"/>
  <c r="S434" i="77"/>
  <c r="M434" i="77" s="1"/>
  <c r="R434" i="77" s="1"/>
  <c r="S447" i="77"/>
  <c r="M447" i="77" s="1"/>
  <c r="R447" i="77" s="1"/>
  <c r="S553" i="77"/>
  <c r="M553" i="77" s="1"/>
  <c r="R553" i="77" s="1"/>
  <c r="S409" i="77"/>
  <c r="M409" i="77" s="1"/>
  <c r="R409" i="77" s="1"/>
  <c r="S672" i="77"/>
  <c r="M672" i="77" s="1"/>
  <c r="R672" i="77" s="1"/>
  <c r="S528" i="77"/>
  <c r="M528" i="77" s="1"/>
  <c r="R528" i="77" s="1"/>
  <c r="S384" i="77"/>
  <c r="M384" i="77" s="1"/>
  <c r="R384" i="77" s="1"/>
  <c r="S647" i="77"/>
  <c r="M647" i="77" s="1"/>
  <c r="R647" i="77" s="1"/>
  <c r="S503" i="77"/>
  <c r="M503" i="77" s="1"/>
  <c r="R503" i="77" s="1"/>
  <c r="S359" i="77"/>
  <c r="M359" i="77" s="1"/>
  <c r="R359" i="77" s="1"/>
  <c r="S610" i="77"/>
  <c r="M610" i="77" s="1"/>
  <c r="R610" i="77" s="1"/>
  <c r="S466" i="77"/>
  <c r="M466" i="77" s="1"/>
  <c r="R466" i="77" s="1"/>
  <c r="S376" i="77"/>
  <c r="M376" i="77" s="1"/>
  <c r="R376" i="77" s="1"/>
  <c r="S585" i="77"/>
  <c r="M585" i="77" s="1"/>
  <c r="R585" i="77" s="1"/>
  <c r="S441" i="77"/>
  <c r="M441" i="77" s="1"/>
  <c r="R441" i="77" s="1"/>
  <c r="S363" i="77"/>
  <c r="M363" i="77" s="1"/>
  <c r="R363" i="77" s="1"/>
  <c r="S548" i="77"/>
  <c r="M548" i="77" s="1"/>
  <c r="R548" i="77" s="1"/>
  <c r="S404" i="77"/>
  <c r="M404" i="77" s="1"/>
  <c r="R404" i="77" s="1"/>
  <c r="S571" i="77"/>
  <c r="M571" i="77" s="1"/>
  <c r="R571" i="77" s="1"/>
  <c r="S427" i="77"/>
  <c r="M427" i="77" s="1"/>
  <c r="R427" i="77" s="1"/>
  <c r="S543" i="77"/>
  <c r="M543" i="77" s="1"/>
  <c r="R543" i="77" s="1"/>
  <c r="S570" i="77"/>
  <c r="M570" i="77" s="1"/>
  <c r="R570" i="77" s="1"/>
  <c r="S426" i="77"/>
  <c r="M426" i="77" s="1"/>
  <c r="R426" i="77" s="1"/>
  <c r="S435" i="77"/>
  <c r="M435" i="77" s="1"/>
  <c r="R435" i="77" s="1"/>
  <c r="S557" i="77"/>
  <c r="M557" i="77" s="1"/>
  <c r="R557" i="77" s="1"/>
  <c r="S413" i="77"/>
  <c r="M413" i="77" s="1"/>
  <c r="R413" i="77" s="1"/>
  <c r="S519" i="77"/>
  <c r="M519" i="77" s="1"/>
  <c r="R519" i="77" s="1"/>
  <c r="S566" i="77"/>
  <c r="M566" i="77" s="1"/>
  <c r="R566" i="77" s="1"/>
  <c r="S422" i="77"/>
  <c r="M422" i="77" s="1"/>
  <c r="R422" i="77" s="1"/>
  <c r="S685" i="77"/>
  <c r="M685" i="77" s="1"/>
  <c r="R685" i="77" s="1"/>
  <c r="S541" i="77"/>
  <c r="M541" i="77" s="1"/>
  <c r="R541" i="77" s="1"/>
  <c r="S397" i="77"/>
  <c r="M397" i="77" s="1"/>
  <c r="R397" i="77" s="1"/>
  <c r="S660" i="77"/>
  <c r="M660" i="77" s="1"/>
  <c r="R660" i="77" s="1"/>
  <c r="S516" i="77"/>
  <c r="M516" i="77" s="1"/>
  <c r="R516" i="77" s="1"/>
  <c r="S372" i="77"/>
  <c r="M372" i="77" s="1"/>
  <c r="R372" i="77" s="1"/>
  <c r="S635" i="77"/>
  <c r="M635" i="77" s="1"/>
  <c r="R635" i="77" s="1"/>
  <c r="S491" i="77"/>
  <c r="M491" i="77" s="1"/>
  <c r="R491" i="77" s="1"/>
  <c r="S616" i="77"/>
  <c r="M616" i="77" s="1"/>
  <c r="R616" i="77" s="1"/>
  <c r="S598" i="77"/>
  <c r="M598" i="77" s="1"/>
  <c r="R598" i="77" s="1"/>
  <c r="S454" i="77"/>
  <c r="M454" i="77" s="1"/>
  <c r="R454" i="77" s="1"/>
  <c r="S627" i="77"/>
  <c r="M627" i="77" s="1"/>
  <c r="R627" i="77" s="1"/>
  <c r="S573" i="77"/>
  <c r="M573" i="77" s="1"/>
  <c r="R573" i="77" s="1"/>
  <c r="S429" i="77"/>
  <c r="M429" i="77" s="1"/>
  <c r="R429" i="77" s="1"/>
  <c r="S680" i="77"/>
  <c r="M680" i="77" s="1"/>
  <c r="R680" i="77" s="1"/>
  <c r="S536" i="77"/>
  <c r="M536" i="77" s="1"/>
  <c r="R536" i="77" s="1"/>
  <c r="S392" i="77"/>
  <c r="M392" i="77" s="1"/>
  <c r="R392" i="77" s="1"/>
  <c r="S559" i="77"/>
  <c r="M559" i="77" s="1"/>
  <c r="R559" i="77" s="1"/>
  <c r="S415" i="77"/>
  <c r="M415" i="77" s="1"/>
  <c r="R415" i="77" s="1"/>
  <c r="S471" i="77"/>
  <c r="M471" i="77" s="1"/>
  <c r="R471" i="77" s="1"/>
  <c r="S558" i="77"/>
  <c r="M558" i="77" s="1"/>
  <c r="R558" i="77" s="1"/>
  <c r="S414" i="77"/>
  <c r="M414" i="77" s="1"/>
  <c r="R414" i="77" s="1"/>
  <c r="S689" i="77"/>
  <c r="M689" i="77" s="1"/>
  <c r="R689" i="77" s="1"/>
  <c r="S545" i="77"/>
  <c r="M545" i="77" s="1"/>
  <c r="R545" i="77" s="1"/>
  <c r="S401" i="77"/>
  <c r="M401" i="77" s="1"/>
  <c r="R401" i="77" s="1"/>
  <c r="S423" i="77"/>
  <c r="M423" i="77" s="1"/>
  <c r="R423" i="77" s="1"/>
  <c r="S554" i="77"/>
  <c r="M554" i="77" s="1"/>
  <c r="R554" i="77" s="1"/>
  <c r="S410" i="77"/>
  <c r="M410" i="77" s="1"/>
  <c r="R410" i="77" s="1"/>
  <c r="S673" i="77"/>
  <c r="M673" i="77" s="1"/>
  <c r="R673" i="77" s="1"/>
  <c r="S529" i="77"/>
  <c r="M529" i="77" s="1"/>
  <c r="R529" i="77" s="1"/>
  <c r="S385" i="77"/>
  <c r="M385" i="77" s="1"/>
  <c r="R385" i="77" s="1"/>
  <c r="S648" i="77"/>
  <c r="M648" i="77" s="1"/>
  <c r="R648" i="77" s="1"/>
  <c r="S504" i="77"/>
  <c r="M504" i="77" s="1"/>
  <c r="R504" i="77" s="1"/>
  <c r="S360" i="77"/>
  <c r="M360" i="77" s="1"/>
  <c r="R360" i="77" s="1"/>
  <c r="S623" i="77"/>
  <c r="M623" i="77" s="1"/>
  <c r="R623" i="77" s="1"/>
  <c r="S479" i="77"/>
  <c r="M479" i="77" s="1"/>
  <c r="R479" i="77" s="1"/>
  <c r="S472" i="77"/>
  <c r="M472" i="77" s="1"/>
  <c r="R472" i="77" s="1"/>
  <c r="S586" i="77"/>
  <c r="M586" i="77" s="1"/>
  <c r="R586" i="77" s="1"/>
  <c r="S442" i="77"/>
  <c r="M442" i="77" s="1"/>
  <c r="R442" i="77" s="1"/>
  <c r="S483" i="77"/>
  <c r="M483" i="77" s="1"/>
  <c r="R483" i="77" s="1"/>
  <c r="S561" i="77"/>
  <c r="M561" i="77" s="1"/>
  <c r="R561" i="77" s="1"/>
  <c r="S417" i="77"/>
  <c r="M417" i="77" s="1"/>
  <c r="R417" i="77" s="1"/>
  <c r="S668" i="77"/>
  <c r="M668" i="77" s="1"/>
  <c r="R668" i="77" s="1"/>
  <c r="S524" i="77"/>
  <c r="M524" i="77" s="1"/>
  <c r="R524" i="77" s="1"/>
  <c r="S380" i="77"/>
  <c r="M380" i="77" s="1"/>
  <c r="R380" i="77" s="1"/>
  <c r="S547" i="77"/>
  <c r="M547" i="77" s="1"/>
  <c r="R547" i="77" s="1"/>
  <c r="S403" i="77"/>
  <c r="M403" i="77" s="1"/>
  <c r="R403" i="77" s="1"/>
  <c r="S387" i="77"/>
  <c r="M387" i="77" s="1"/>
  <c r="R387" i="77" s="1"/>
  <c r="S546" i="77"/>
  <c r="M546" i="77" s="1"/>
  <c r="R546" i="77" s="1"/>
  <c r="S402" i="77"/>
  <c r="M402" i="77" s="1"/>
  <c r="R402" i="77" s="1"/>
  <c r="S677" i="77"/>
  <c r="M677" i="77" s="1"/>
  <c r="R677" i="77" s="1"/>
  <c r="S533" i="77"/>
  <c r="M533" i="77" s="1"/>
  <c r="R533" i="77" s="1"/>
  <c r="S389" i="77"/>
  <c r="M389" i="77" s="1"/>
  <c r="R389" i="77" s="1"/>
  <c r="S686" i="77"/>
  <c r="M686" i="77" s="1"/>
  <c r="R686" i="77" s="1"/>
  <c r="S542" i="77"/>
  <c r="M542" i="77" s="1"/>
  <c r="R542" i="77" s="1"/>
  <c r="S398" i="77"/>
  <c r="M398" i="77" s="1"/>
  <c r="R398" i="77" s="1"/>
  <c r="S661" i="77"/>
  <c r="M661" i="77" s="1"/>
  <c r="R661" i="77" s="1"/>
  <c r="S517" i="77"/>
  <c r="M517" i="77" s="1"/>
  <c r="R517" i="77" s="1"/>
  <c r="S373" i="77"/>
  <c r="M373" i="77" s="1"/>
  <c r="R373" i="77" s="1"/>
  <c r="S636" i="77"/>
  <c r="M636" i="77" s="1"/>
  <c r="R636" i="77" s="1"/>
  <c r="S492" i="77"/>
  <c r="M492" i="77" s="1"/>
  <c r="R492" i="77" s="1"/>
  <c r="S348" i="77"/>
  <c r="S611" i="77"/>
  <c r="M611" i="77" s="1"/>
  <c r="R611" i="77" s="1"/>
  <c r="S467" i="77"/>
  <c r="M467" i="77" s="1"/>
  <c r="R467" i="77" s="1"/>
  <c r="S639" i="77"/>
  <c r="M639" i="77" s="1"/>
  <c r="R639" i="77" s="1"/>
  <c r="S574" i="77"/>
  <c r="M574" i="77" s="1"/>
  <c r="R574" i="77" s="1"/>
  <c r="S430" i="77"/>
  <c r="M430" i="77" s="1"/>
  <c r="R430" i="77" s="1"/>
  <c r="S351" i="77"/>
  <c r="M351" i="77" s="1"/>
  <c r="R351" i="77" s="1"/>
  <c r="S549" i="77"/>
  <c r="M549" i="77" s="1"/>
  <c r="R549" i="77" s="1"/>
  <c r="S405" i="77"/>
  <c r="M405" i="77" s="1"/>
  <c r="R405" i="77" s="1"/>
  <c r="S656" i="77"/>
  <c r="M656" i="77" s="1"/>
  <c r="R656" i="77" s="1"/>
  <c r="S512" i="77"/>
  <c r="M512" i="77" s="1"/>
  <c r="R512" i="77" s="1"/>
  <c r="S368" i="77"/>
  <c r="M368" i="77" s="1"/>
  <c r="R368" i="77" s="1"/>
  <c r="H50" i="49"/>
  <c r="G47" i="49"/>
  <c r="E32" i="47" s="1"/>
  <c r="G37" i="49"/>
  <c r="L90" i="46"/>
  <c r="C107" i="47"/>
  <c r="D107" i="47"/>
  <c r="D108" i="47" s="1"/>
  <c r="R107" i="47" s="1"/>
  <c r="E61" i="38"/>
  <c r="H120" i="41"/>
  <c r="F31" i="38"/>
  <c r="F29" i="38" s="1"/>
  <c r="F67" i="38" s="1"/>
  <c r="L204" i="46" s="1"/>
  <c r="F12" i="38"/>
  <c r="E10" i="41"/>
  <c r="X3" i="77" s="1"/>
  <c r="X5" i="77" s="1"/>
  <c r="E107" i="47" l="1"/>
  <c r="Q32" i="47"/>
  <c r="H56" i="49"/>
  <c r="H59" i="49" s="1"/>
  <c r="H63" i="49" s="1"/>
  <c r="F16" i="47" s="1"/>
  <c r="R16" i="47" s="1"/>
  <c r="G167" i="76"/>
  <c r="G169" i="76" s="1"/>
  <c r="M348" i="77"/>
  <c r="R348" i="77" s="1"/>
  <c r="Y6" i="77"/>
  <c r="H121" i="41" s="1"/>
  <c r="H122" i="41" s="1"/>
  <c r="S342" i="77"/>
  <c r="M342" i="77" s="1"/>
  <c r="R342" i="77" s="1"/>
  <c r="S198" i="77"/>
  <c r="M198" i="77" s="1"/>
  <c r="R198" i="77" s="1"/>
  <c r="S54" i="77"/>
  <c r="M54" i="77" s="1"/>
  <c r="R54" i="77" s="1"/>
  <c r="S329" i="77"/>
  <c r="M329" i="77" s="1"/>
  <c r="R329" i="77" s="1"/>
  <c r="S185" i="77"/>
  <c r="M185" i="77" s="1"/>
  <c r="R185" i="77" s="1"/>
  <c r="S41" i="77"/>
  <c r="M41" i="77" s="1"/>
  <c r="R41" i="77" s="1"/>
  <c r="S292" i="77"/>
  <c r="M292" i="77" s="1"/>
  <c r="R292" i="77" s="1"/>
  <c r="S148" i="77"/>
  <c r="M148" i="77" s="1"/>
  <c r="R148" i="77" s="1"/>
  <c r="S272" i="77"/>
  <c r="M272" i="77" s="1"/>
  <c r="R272" i="77" s="1"/>
  <c r="S255" i="77"/>
  <c r="M255" i="77" s="1"/>
  <c r="R255" i="77" s="1"/>
  <c r="S111" i="77"/>
  <c r="M111" i="77" s="1"/>
  <c r="R111" i="77" s="1"/>
  <c r="S91" i="77"/>
  <c r="M91" i="77" s="1"/>
  <c r="R91" i="77" s="1"/>
  <c r="S206" i="77"/>
  <c r="M206" i="77" s="1"/>
  <c r="R206" i="77" s="1"/>
  <c r="S62" i="77"/>
  <c r="M62" i="77" s="1"/>
  <c r="R62" i="77" s="1"/>
  <c r="S313" i="77"/>
  <c r="M313" i="77" s="1"/>
  <c r="R313" i="77" s="1"/>
  <c r="S169" i="77"/>
  <c r="M169" i="77" s="1"/>
  <c r="R169" i="77" s="1"/>
  <c r="S25" i="77"/>
  <c r="M25" i="77" s="1"/>
  <c r="R25" i="77" s="1"/>
  <c r="S247" i="77"/>
  <c r="M247" i="77" s="1"/>
  <c r="R247" i="77" s="1"/>
  <c r="S228" i="77"/>
  <c r="M228" i="77" s="1"/>
  <c r="R228" i="77" s="1"/>
  <c r="S84" i="77"/>
  <c r="M84" i="77" s="1"/>
  <c r="R84" i="77" s="1"/>
  <c r="S164" i="77"/>
  <c r="M164" i="77" s="1"/>
  <c r="R164" i="77" s="1"/>
  <c r="S263" i="77"/>
  <c r="M263" i="77" s="1"/>
  <c r="R263" i="77" s="1"/>
  <c r="S119" i="77"/>
  <c r="M119" i="77" s="1"/>
  <c r="R119" i="77" s="1"/>
  <c r="S332" i="77"/>
  <c r="M332" i="77" s="1"/>
  <c r="R332" i="77" s="1"/>
  <c r="S274" i="77"/>
  <c r="M274" i="77" s="1"/>
  <c r="R274" i="77" s="1"/>
  <c r="S130" i="77"/>
  <c r="M130" i="77" s="1"/>
  <c r="R130" i="77" s="1"/>
  <c r="S117" i="77"/>
  <c r="M117" i="77" s="1"/>
  <c r="R117" i="77" s="1"/>
  <c r="S333" i="77"/>
  <c r="M333" i="77" s="1"/>
  <c r="R333" i="77" s="1"/>
  <c r="S105" i="77"/>
  <c r="M105" i="77" s="1"/>
  <c r="R105" i="77" s="1"/>
  <c r="S251" i="77"/>
  <c r="M251" i="77" s="1"/>
  <c r="R251" i="77" s="1"/>
  <c r="S200" i="77"/>
  <c r="M200" i="77" s="1"/>
  <c r="R200" i="77" s="1"/>
  <c r="S118" i="77"/>
  <c r="M118" i="77" s="1"/>
  <c r="R118" i="77" s="1"/>
  <c r="S321" i="77"/>
  <c r="M321" i="77" s="1"/>
  <c r="R321" i="77" s="1"/>
  <c r="S9" i="77"/>
  <c r="M9" i="77" s="1"/>
  <c r="R9" i="77" s="1"/>
  <c r="S284" i="77"/>
  <c r="M284" i="77" s="1"/>
  <c r="R284" i="77" s="1"/>
  <c r="S140" i="77"/>
  <c r="M140" i="77" s="1"/>
  <c r="R140" i="77" s="1"/>
  <c r="S59" i="77"/>
  <c r="M59" i="77" s="1"/>
  <c r="R59" i="77" s="1"/>
  <c r="S115" i="77"/>
  <c r="M115" i="77" s="1"/>
  <c r="R115" i="77" s="1"/>
  <c r="S261" i="77"/>
  <c r="M261" i="77" s="1"/>
  <c r="R261" i="77" s="1"/>
  <c r="S343" i="77"/>
  <c r="M343" i="77" s="1"/>
  <c r="R343" i="77" s="1"/>
  <c r="S271" i="77"/>
  <c r="M271" i="77" s="1"/>
  <c r="R271" i="77" s="1"/>
  <c r="S10" i="77"/>
  <c r="M10" i="77" s="1"/>
  <c r="R10" i="77" s="1"/>
  <c r="S330" i="77"/>
  <c r="M330" i="77" s="1"/>
  <c r="R330" i="77" s="1"/>
  <c r="S186" i="77"/>
  <c r="M186" i="77" s="1"/>
  <c r="R186" i="77" s="1"/>
  <c r="S42" i="77"/>
  <c r="M42" i="77" s="1"/>
  <c r="R42" i="77" s="1"/>
  <c r="S317" i="77"/>
  <c r="M317" i="77" s="1"/>
  <c r="R317" i="77" s="1"/>
  <c r="S173" i="77"/>
  <c r="M173" i="77" s="1"/>
  <c r="R173" i="77" s="1"/>
  <c r="S29" i="77"/>
  <c r="M29" i="77" s="1"/>
  <c r="R29" i="77" s="1"/>
  <c r="S280" i="77"/>
  <c r="M280" i="77" s="1"/>
  <c r="R280" i="77" s="1"/>
  <c r="S136" i="77"/>
  <c r="M136" i="77" s="1"/>
  <c r="R136" i="77" s="1"/>
  <c r="S104" i="77"/>
  <c r="M104" i="77" s="1"/>
  <c r="R104" i="77" s="1"/>
  <c r="S243" i="77"/>
  <c r="M243" i="77" s="1"/>
  <c r="R243" i="77" s="1"/>
  <c r="S99" i="77"/>
  <c r="M99" i="77" s="1"/>
  <c r="R99" i="77" s="1"/>
  <c r="S338" i="77"/>
  <c r="M338" i="77" s="1"/>
  <c r="R338" i="77" s="1"/>
  <c r="S194" i="77"/>
  <c r="M194" i="77" s="1"/>
  <c r="R194" i="77" s="1"/>
  <c r="S50" i="77"/>
  <c r="M50" i="77" s="1"/>
  <c r="R50" i="77" s="1"/>
  <c r="S301" i="77"/>
  <c r="M301" i="77" s="1"/>
  <c r="R301" i="77" s="1"/>
  <c r="S157" i="77"/>
  <c r="M157" i="77" s="1"/>
  <c r="R157" i="77" s="1"/>
  <c r="S13" i="77"/>
  <c r="M13" i="77" s="1"/>
  <c r="R13" i="77" s="1"/>
  <c r="S127" i="77"/>
  <c r="M127" i="77" s="1"/>
  <c r="R127" i="77" s="1"/>
  <c r="S216" i="77"/>
  <c r="M216" i="77" s="1"/>
  <c r="R216" i="77" s="1"/>
  <c r="S72" i="77"/>
  <c r="M72" i="77" s="1"/>
  <c r="R72" i="77" s="1"/>
  <c r="S32" i="77"/>
  <c r="M32" i="77" s="1"/>
  <c r="R32" i="77" s="1"/>
  <c r="S107" i="77"/>
  <c r="M107" i="77" s="1"/>
  <c r="R107" i="77" s="1"/>
  <c r="S262" i="77"/>
  <c r="M262" i="77" s="1"/>
  <c r="R262" i="77" s="1"/>
  <c r="S57" i="77"/>
  <c r="M57" i="77" s="1"/>
  <c r="R57" i="77" s="1"/>
  <c r="S45" i="77"/>
  <c r="M45" i="77" s="1"/>
  <c r="R45" i="77" s="1"/>
  <c r="S308" i="77"/>
  <c r="M308" i="77" s="1"/>
  <c r="R308" i="77" s="1"/>
  <c r="S212" i="77"/>
  <c r="M212" i="77" s="1"/>
  <c r="R212" i="77" s="1"/>
  <c r="S214" i="77"/>
  <c r="M214" i="77" s="1"/>
  <c r="R214" i="77" s="1"/>
  <c r="S202" i="77"/>
  <c r="M202" i="77" s="1"/>
  <c r="R202" i="77" s="1"/>
  <c r="S249" i="77"/>
  <c r="M249" i="77" s="1"/>
  <c r="R249" i="77" s="1"/>
  <c r="S237" i="77"/>
  <c r="M237" i="77" s="1"/>
  <c r="R237" i="77" s="1"/>
  <c r="S345" i="77"/>
  <c r="M345" i="77" s="1"/>
  <c r="R345" i="77" s="1"/>
  <c r="S318" i="77"/>
  <c r="M318" i="77" s="1"/>
  <c r="R318" i="77" s="1"/>
  <c r="S174" i="77"/>
  <c r="M174" i="77" s="1"/>
  <c r="R174" i="77" s="1"/>
  <c r="S30" i="77"/>
  <c r="M30" i="77" s="1"/>
  <c r="R30" i="77" s="1"/>
  <c r="S305" i="77"/>
  <c r="M305" i="77" s="1"/>
  <c r="R305" i="77" s="1"/>
  <c r="S161" i="77"/>
  <c r="M161" i="77" s="1"/>
  <c r="R161" i="77" s="1"/>
  <c r="S17" i="77"/>
  <c r="M17" i="77" s="1"/>
  <c r="R17" i="77" s="1"/>
  <c r="S268" i="77"/>
  <c r="M268" i="77" s="1"/>
  <c r="R268" i="77" s="1"/>
  <c r="S124" i="77"/>
  <c r="M124" i="77" s="1"/>
  <c r="R124" i="77" s="1"/>
  <c r="S331" i="77"/>
  <c r="M331" i="77" s="1"/>
  <c r="R331" i="77" s="1"/>
  <c r="S231" i="77"/>
  <c r="M231" i="77" s="1"/>
  <c r="R231" i="77" s="1"/>
  <c r="S87" i="77"/>
  <c r="M87" i="77" s="1"/>
  <c r="R87" i="77" s="1"/>
  <c r="S326" i="77"/>
  <c r="M326" i="77" s="1"/>
  <c r="R326" i="77" s="1"/>
  <c r="S182" i="77"/>
  <c r="M182" i="77" s="1"/>
  <c r="R182" i="77" s="1"/>
  <c r="S38" i="77"/>
  <c r="M38" i="77" s="1"/>
  <c r="R38" i="77" s="1"/>
  <c r="S289" i="77"/>
  <c r="M289" i="77" s="1"/>
  <c r="R289" i="77" s="1"/>
  <c r="S145" i="77"/>
  <c r="M145" i="77" s="1"/>
  <c r="R145" i="77" s="1"/>
  <c r="S177" i="77"/>
  <c r="M177" i="77" s="1"/>
  <c r="R177" i="77" s="1"/>
  <c r="S31" i="77"/>
  <c r="M31" i="77" s="1"/>
  <c r="R31" i="77" s="1"/>
  <c r="S204" i="77"/>
  <c r="M204" i="77" s="1"/>
  <c r="R204" i="77" s="1"/>
  <c r="S60" i="77"/>
  <c r="M60" i="77" s="1"/>
  <c r="R60" i="77" s="1"/>
  <c r="S259" i="77"/>
  <c r="M259" i="77" s="1"/>
  <c r="R259" i="77" s="1"/>
  <c r="S239" i="77"/>
  <c r="M239" i="77" s="1"/>
  <c r="R239" i="77" s="1"/>
  <c r="S95" i="77"/>
  <c r="M95" i="77" s="1"/>
  <c r="R95" i="77" s="1"/>
  <c r="S68" i="77"/>
  <c r="M68" i="77" s="1"/>
  <c r="R68" i="77" s="1"/>
  <c r="S250" i="77"/>
  <c r="M250" i="77" s="1"/>
  <c r="R250" i="77" s="1"/>
  <c r="S106" i="77"/>
  <c r="M106" i="77" s="1"/>
  <c r="R106" i="77" s="1"/>
  <c r="S309" i="77"/>
  <c r="M309" i="77" s="1"/>
  <c r="R309" i="77" s="1"/>
  <c r="S82" i="77"/>
  <c r="M82" i="77" s="1"/>
  <c r="R82" i="77" s="1"/>
  <c r="S7" i="77"/>
  <c r="M7" i="77" s="1"/>
  <c r="R7" i="77" s="1"/>
  <c r="S346" i="77"/>
  <c r="M346" i="77" s="1"/>
  <c r="R346" i="77" s="1"/>
  <c r="S225" i="77"/>
  <c r="M225" i="77" s="1"/>
  <c r="R225" i="77" s="1"/>
  <c r="S154" i="77"/>
  <c r="M154" i="77" s="1"/>
  <c r="R154" i="77" s="1"/>
  <c r="S306" i="77"/>
  <c r="M306" i="77" s="1"/>
  <c r="R306" i="77" s="1"/>
  <c r="S162" i="77"/>
  <c r="M162" i="77" s="1"/>
  <c r="R162" i="77" s="1"/>
  <c r="S18" i="77"/>
  <c r="M18" i="77" s="1"/>
  <c r="R18" i="77" s="1"/>
  <c r="S293" i="77"/>
  <c r="M293" i="77" s="1"/>
  <c r="R293" i="77" s="1"/>
  <c r="S149" i="77"/>
  <c r="M149" i="77" s="1"/>
  <c r="R149" i="77" s="1"/>
  <c r="S320" i="77"/>
  <c r="M320" i="77" s="1"/>
  <c r="R320" i="77" s="1"/>
  <c r="S256" i="77"/>
  <c r="M256" i="77" s="1"/>
  <c r="R256" i="77" s="1"/>
  <c r="S112" i="77"/>
  <c r="M112" i="77" s="1"/>
  <c r="R112" i="77" s="1"/>
  <c r="S211" i="77"/>
  <c r="M211" i="77" s="1"/>
  <c r="R211" i="77" s="1"/>
  <c r="S219" i="77"/>
  <c r="M219" i="77" s="1"/>
  <c r="R219" i="77" s="1"/>
  <c r="S75" i="77"/>
  <c r="M75" i="77" s="1"/>
  <c r="R75" i="77" s="1"/>
  <c r="S314" i="77"/>
  <c r="M314" i="77" s="1"/>
  <c r="R314" i="77" s="1"/>
  <c r="S170" i="77"/>
  <c r="M170" i="77" s="1"/>
  <c r="R170" i="77" s="1"/>
  <c r="S26" i="77"/>
  <c r="M26" i="77" s="1"/>
  <c r="R26" i="77" s="1"/>
  <c r="S277" i="77"/>
  <c r="M277" i="77" s="1"/>
  <c r="R277" i="77" s="1"/>
  <c r="S133" i="77"/>
  <c r="M133" i="77" s="1"/>
  <c r="R133" i="77" s="1"/>
  <c r="S129" i="77"/>
  <c r="M129" i="77" s="1"/>
  <c r="R129" i="77" s="1"/>
  <c r="S336" i="77"/>
  <c r="M336" i="77" s="1"/>
  <c r="R336" i="77" s="1"/>
  <c r="S192" i="77"/>
  <c r="M192" i="77" s="1"/>
  <c r="R192" i="77" s="1"/>
  <c r="S48" i="77"/>
  <c r="M48" i="77" s="1"/>
  <c r="R48" i="77" s="1"/>
  <c r="S151" i="77"/>
  <c r="M151" i="77" s="1"/>
  <c r="R151" i="77" s="1"/>
  <c r="S227" i="77"/>
  <c r="M227" i="77" s="1"/>
  <c r="R227" i="77" s="1"/>
  <c r="S83" i="77"/>
  <c r="M83" i="77" s="1"/>
  <c r="R83" i="77" s="1"/>
  <c r="S283" i="77"/>
  <c r="M283" i="77" s="1"/>
  <c r="R283" i="77" s="1"/>
  <c r="S238" i="77"/>
  <c r="M238" i="77" s="1"/>
  <c r="R238" i="77" s="1"/>
  <c r="S94" i="77"/>
  <c r="M94" i="77" s="1"/>
  <c r="R94" i="77" s="1"/>
  <c r="S297" i="77"/>
  <c r="M297" i="77" s="1"/>
  <c r="R297" i="77" s="1"/>
  <c r="S285" i="77"/>
  <c r="M285" i="77" s="1"/>
  <c r="R285" i="77" s="1"/>
  <c r="S70" i="77"/>
  <c r="M70" i="77" s="1"/>
  <c r="R70" i="77" s="1"/>
  <c r="S58" i="77"/>
  <c r="M58" i="77" s="1"/>
  <c r="R58" i="77" s="1"/>
  <c r="S46" i="77"/>
  <c r="M46" i="77" s="1"/>
  <c r="R46" i="77" s="1"/>
  <c r="S178" i="77"/>
  <c r="M178" i="77" s="1"/>
  <c r="R178" i="77" s="1"/>
  <c r="S213" i="77"/>
  <c r="M213" i="77" s="1"/>
  <c r="R213" i="77" s="1"/>
  <c r="S294" i="77"/>
  <c r="M294" i="77" s="1"/>
  <c r="R294" i="77" s="1"/>
  <c r="S150" i="77"/>
  <c r="M150" i="77" s="1"/>
  <c r="R150" i="77" s="1"/>
  <c r="S6" i="77"/>
  <c r="S281" i="77"/>
  <c r="M281" i="77" s="1"/>
  <c r="R281" i="77" s="1"/>
  <c r="S137" i="77"/>
  <c r="M137" i="77" s="1"/>
  <c r="R137" i="77" s="1"/>
  <c r="S188" i="77"/>
  <c r="M188" i="77" s="1"/>
  <c r="R188" i="77" s="1"/>
  <c r="S244" i="77"/>
  <c r="M244" i="77" s="1"/>
  <c r="R244" i="77" s="1"/>
  <c r="S100" i="77"/>
  <c r="M100" i="77" s="1"/>
  <c r="R100" i="77" s="1"/>
  <c r="S103" i="77"/>
  <c r="M103" i="77" s="1"/>
  <c r="R103" i="77" s="1"/>
  <c r="S207" i="77"/>
  <c r="M207" i="77" s="1"/>
  <c r="R207" i="77" s="1"/>
  <c r="S63" i="77"/>
  <c r="M63" i="77" s="1"/>
  <c r="R63" i="77" s="1"/>
  <c r="S302" i="77"/>
  <c r="M302" i="77" s="1"/>
  <c r="R302" i="77" s="1"/>
  <c r="S158" i="77"/>
  <c r="M158" i="77" s="1"/>
  <c r="R158" i="77" s="1"/>
  <c r="S14" i="77"/>
  <c r="M14" i="77" s="1"/>
  <c r="R14" i="77" s="1"/>
  <c r="S265" i="77"/>
  <c r="M265" i="77" s="1"/>
  <c r="R265" i="77" s="1"/>
  <c r="S121" i="77"/>
  <c r="M121" i="77" s="1"/>
  <c r="R121" i="77" s="1"/>
  <c r="S93" i="77"/>
  <c r="M93" i="77" s="1"/>
  <c r="R93" i="77" s="1"/>
  <c r="S324" i="77"/>
  <c r="M324" i="77" s="1"/>
  <c r="R324" i="77" s="1"/>
  <c r="S180" i="77"/>
  <c r="M180" i="77" s="1"/>
  <c r="R180" i="77" s="1"/>
  <c r="S36" i="77"/>
  <c r="M36" i="77" s="1"/>
  <c r="R36" i="77" s="1"/>
  <c r="S43" i="77"/>
  <c r="M43" i="77" s="1"/>
  <c r="R43" i="77" s="1"/>
  <c r="S215" i="77"/>
  <c r="M215" i="77" s="1"/>
  <c r="R215" i="77" s="1"/>
  <c r="S71" i="77"/>
  <c r="M71" i="77" s="1"/>
  <c r="R71" i="77" s="1"/>
  <c r="S139" i="77"/>
  <c r="M139" i="77" s="1"/>
  <c r="R139" i="77" s="1"/>
  <c r="S226" i="77"/>
  <c r="M226" i="77" s="1"/>
  <c r="R226" i="77" s="1"/>
  <c r="S235" i="77"/>
  <c r="M235" i="77" s="1"/>
  <c r="R235" i="77" s="1"/>
  <c r="S273" i="77"/>
  <c r="M273" i="77" s="1"/>
  <c r="R273" i="77" s="1"/>
  <c r="S282" i="77"/>
  <c r="M282" i="77" s="1"/>
  <c r="R282" i="77" s="1"/>
  <c r="S138" i="77"/>
  <c r="M138" i="77" s="1"/>
  <c r="R138" i="77" s="1"/>
  <c r="S248" i="77"/>
  <c r="M248" i="77" s="1"/>
  <c r="R248" i="77" s="1"/>
  <c r="S269" i="77"/>
  <c r="M269" i="77" s="1"/>
  <c r="R269" i="77" s="1"/>
  <c r="S125" i="77"/>
  <c r="M125" i="77" s="1"/>
  <c r="R125" i="77" s="1"/>
  <c r="S56" i="77"/>
  <c r="M56" i="77" s="1"/>
  <c r="R56" i="77" s="1"/>
  <c r="S232" i="77"/>
  <c r="M232" i="77" s="1"/>
  <c r="R232" i="77" s="1"/>
  <c r="S88" i="77"/>
  <c r="M88" i="77" s="1"/>
  <c r="R88" i="77" s="1"/>
  <c r="S339" i="77"/>
  <c r="M339" i="77" s="1"/>
  <c r="R339" i="77" s="1"/>
  <c r="S195" i="77"/>
  <c r="M195" i="77" s="1"/>
  <c r="R195" i="77" s="1"/>
  <c r="S51" i="77"/>
  <c r="M51" i="77" s="1"/>
  <c r="R51" i="77" s="1"/>
  <c r="S290" i="77"/>
  <c r="M290" i="77" s="1"/>
  <c r="R290" i="77" s="1"/>
  <c r="S146" i="77"/>
  <c r="M146" i="77" s="1"/>
  <c r="R146" i="77" s="1"/>
  <c r="S236" i="77"/>
  <c r="M236" i="77" s="1"/>
  <c r="R236" i="77" s="1"/>
  <c r="S253" i="77"/>
  <c r="M253" i="77" s="1"/>
  <c r="R253" i="77" s="1"/>
  <c r="S109" i="77"/>
  <c r="M109" i="77" s="1"/>
  <c r="R109" i="77" s="1"/>
  <c r="S33" i="77"/>
  <c r="M33" i="77" s="1"/>
  <c r="R33" i="77" s="1"/>
  <c r="S312" i="77"/>
  <c r="M312" i="77" s="1"/>
  <c r="R312" i="77" s="1"/>
  <c r="S168" i="77"/>
  <c r="M168" i="77" s="1"/>
  <c r="R168" i="77" s="1"/>
  <c r="S24" i="77"/>
  <c r="M24" i="77" s="1"/>
  <c r="R24" i="77" s="1"/>
  <c r="S347" i="77"/>
  <c r="M347" i="77" s="1"/>
  <c r="R347" i="77" s="1"/>
  <c r="S203" i="77"/>
  <c r="M203" i="77" s="1"/>
  <c r="R203" i="77" s="1"/>
  <c r="S152" i="77"/>
  <c r="M152" i="77" s="1"/>
  <c r="R152" i="77" s="1"/>
  <c r="S334" i="77"/>
  <c r="M334" i="77" s="1"/>
  <c r="R334" i="77" s="1"/>
  <c r="S23" i="77"/>
  <c r="M23" i="77" s="1"/>
  <c r="R23" i="77" s="1"/>
  <c r="S55" i="77"/>
  <c r="M55" i="77" s="1"/>
  <c r="R55" i="77" s="1"/>
  <c r="S270" i="77"/>
  <c r="M270" i="77" s="1"/>
  <c r="R270" i="77" s="1"/>
  <c r="S126" i="77"/>
  <c r="M126" i="77" s="1"/>
  <c r="R126" i="77" s="1"/>
  <c r="S128" i="77"/>
  <c r="M128" i="77" s="1"/>
  <c r="R128" i="77" s="1"/>
  <c r="S257" i="77"/>
  <c r="M257" i="77" s="1"/>
  <c r="R257" i="77" s="1"/>
  <c r="S113" i="77"/>
  <c r="M113" i="77" s="1"/>
  <c r="R113" i="77" s="1"/>
  <c r="S199" i="77"/>
  <c r="M199" i="77" s="1"/>
  <c r="R199" i="77" s="1"/>
  <c r="S220" i="77"/>
  <c r="M220" i="77" s="1"/>
  <c r="R220" i="77" s="1"/>
  <c r="S76" i="77"/>
  <c r="M76" i="77" s="1"/>
  <c r="R76" i="77" s="1"/>
  <c r="S327" i="77"/>
  <c r="M327" i="77" s="1"/>
  <c r="R327" i="77" s="1"/>
  <c r="S183" i="77"/>
  <c r="M183" i="77" s="1"/>
  <c r="R183" i="77" s="1"/>
  <c r="S39" i="77"/>
  <c r="M39" i="77" s="1"/>
  <c r="R39" i="77" s="1"/>
  <c r="S278" i="77"/>
  <c r="M278" i="77" s="1"/>
  <c r="R278" i="77" s="1"/>
  <c r="S134" i="77"/>
  <c r="M134" i="77" s="1"/>
  <c r="R134" i="77" s="1"/>
  <c r="S92" i="77"/>
  <c r="M92" i="77" s="1"/>
  <c r="R92" i="77" s="1"/>
  <c r="S241" i="77"/>
  <c r="M241" i="77" s="1"/>
  <c r="R241" i="77" s="1"/>
  <c r="S97" i="77"/>
  <c r="M97" i="77" s="1"/>
  <c r="R97" i="77" s="1"/>
  <c r="S344" i="77"/>
  <c r="M344" i="77" s="1"/>
  <c r="R344" i="77" s="1"/>
  <c r="S300" i="77"/>
  <c r="M300" i="77" s="1"/>
  <c r="R300" i="77" s="1"/>
  <c r="S156" i="77"/>
  <c r="M156" i="77" s="1"/>
  <c r="R156" i="77" s="1"/>
  <c r="S12" i="77"/>
  <c r="M12" i="77" s="1"/>
  <c r="R12" i="77" s="1"/>
  <c r="S335" i="77"/>
  <c r="M335" i="77" s="1"/>
  <c r="R335" i="77" s="1"/>
  <c r="S191" i="77"/>
  <c r="M191" i="77" s="1"/>
  <c r="R191" i="77" s="1"/>
  <c r="S47" i="77"/>
  <c r="M47" i="77" s="1"/>
  <c r="R47" i="77" s="1"/>
  <c r="S44" i="77"/>
  <c r="M44" i="77" s="1"/>
  <c r="R44" i="77" s="1"/>
  <c r="S322" i="77"/>
  <c r="M322" i="77" s="1"/>
  <c r="R322" i="77" s="1"/>
  <c r="S258" i="77"/>
  <c r="M258" i="77" s="1"/>
  <c r="R258" i="77" s="1"/>
  <c r="S114" i="77"/>
  <c r="M114" i="77" s="1"/>
  <c r="R114" i="77" s="1"/>
  <c r="S8" i="77"/>
  <c r="M8" i="77" s="1"/>
  <c r="R8" i="77" s="1"/>
  <c r="S245" i="77"/>
  <c r="M245" i="77" s="1"/>
  <c r="R245" i="77" s="1"/>
  <c r="S101" i="77"/>
  <c r="M101" i="77" s="1"/>
  <c r="R101" i="77" s="1"/>
  <c r="S79" i="77"/>
  <c r="M79" i="77" s="1"/>
  <c r="R79" i="77" s="1"/>
  <c r="S208" i="77"/>
  <c r="M208" i="77" s="1"/>
  <c r="R208" i="77" s="1"/>
  <c r="S64" i="77"/>
  <c r="M64" i="77" s="1"/>
  <c r="R64" i="77" s="1"/>
  <c r="S315" i="77"/>
  <c r="M315" i="77" s="1"/>
  <c r="R315" i="77" s="1"/>
  <c r="S171" i="77"/>
  <c r="M171" i="77" s="1"/>
  <c r="R171" i="77" s="1"/>
  <c r="S27" i="77"/>
  <c r="M27" i="77" s="1"/>
  <c r="R27" i="77" s="1"/>
  <c r="S266" i="77"/>
  <c r="M266" i="77" s="1"/>
  <c r="R266" i="77" s="1"/>
  <c r="S122" i="77"/>
  <c r="M122" i="77" s="1"/>
  <c r="R122" i="77" s="1"/>
  <c r="S307" i="77"/>
  <c r="M307" i="77" s="1"/>
  <c r="R307" i="77" s="1"/>
  <c r="S229" i="77"/>
  <c r="M229" i="77" s="1"/>
  <c r="R229" i="77" s="1"/>
  <c r="S85" i="77"/>
  <c r="M85" i="77" s="1"/>
  <c r="R85" i="77" s="1"/>
  <c r="S296" i="77"/>
  <c r="M296" i="77" s="1"/>
  <c r="R296" i="77" s="1"/>
  <c r="S288" i="77"/>
  <c r="M288" i="77" s="1"/>
  <c r="R288" i="77" s="1"/>
  <c r="S144" i="77"/>
  <c r="M144" i="77" s="1"/>
  <c r="R144" i="77" s="1"/>
  <c r="S189" i="77"/>
  <c r="M189" i="77" s="1"/>
  <c r="R189" i="77" s="1"/>
  <c r="S323" i="77"/>
  <c r="M323" i="77" s="1"/>
  <c r="R323" i="77" s="1"/>
  <c r="S179" i="77"/>
  <c r="M179" i="77" s="1"/>
  <c r="R179" i="77" s="1"/>
  <c r="S35" i="77"/>
  <c r="M35" i="77" s="1"/>
  <c r="R35" i="77" s="1"/>
  <c r="S190" i="77"/>
  <c r="M190" i="77" s="1"/>
  <c r="R190" i="77" s="1"/>
  <c r="S34" i="77"/>
  <c r="M34" i="77" s="1"/>
  <c r="R34" i="77" s="1"/>
  <c r="S142" i="77"/>
  <c r="M142" i="77" s="1"/>
  <c r="R142" i="77" s="1"/>
  <c r="S246" i="77"/>
  <c r="M246" i="77" s="1"/>
  <c r="R246" i="77" s="1"/>
  <c r="S102" i="77"/>
  <c r="M102" i="77" s="1"/>
  <c r="R102" i="77" s="1"/>
  <c r="S295" i="77"/>
  <c r="M295" i="77" s="1"/>
  <c r="R295" i="77" s="1"/>
  <c r="S233" i="77"/>
  <c r="M233" i="77" s="1"/>
  <c r="R233" i="77" s="1"/>
  <c r="S89" i="77"/>
  <c r="M89" i="77" s="1"/>
  <c r="R89" i="77" s="1"/>
  <c r="S340" i="77"/>
  <c r="M340" i="77" s="1"/>
  <c r="R340" i="77" s="1"/>
  <c r="S196" i="77"/>
  <c r="M196" i="77" s="1"/>
  <c r="R196" i="77" s="1"/>
  <c r="S52" i="77"/>
  <c r="M52" i="77" s="1"/>
  <c r="R52" i="77" s="1"/>
  <c r="S303" i="77"/>
  <c r="M303" i="77" s="1"/>
  <c r="R303" i="77" s="1"/>
  <c r="S159" i="77"/>
  <c r="M159" i="77" s="1"/>
  <c r="R159" i="77" s="1"/>
  <c r="S15" i="77"/>
  <c r="M15" i="77" s="1"/>
  <c r="R15" i="77" s="1"/>
  <c r="S254" i="77"/>
  <c r="M254" i="77" s="1"/>
  <c r="R254" i="77" s="1"/>
  <c r="S110" i="77"/>
  <c r="M110" i="77" s="1"/>
  <c r="R110" i="77" s="1"/>
  <c r="S187" i="77"/>
  <c r="M187" i="77" s="1"/>
  <c r="R187" i="77" s="1"/>
  <c r="S217" i="77"/>
  <c r="M217" i="77" s="1"/>
  <c r="R217" i="77" s="1"/>
  <c r="S73" i="77"/>
  <c r="M73" i="77" s="1"/>
  <c r="R73" i="77" s="1"/>
  <c r="S176" i="77"/>
  <c r="M176" i="77" s="1"/>
  <c r="R176" i="77" s="1"/>
  <c r="S276" i="77"/>
  <c r="M276" i="77" s="1"/>
  <c r="R276" i="77" s="1"/>
  <c r="S132" i="77"/>
  <c r="M132" i="77" s="1"/>
  <c r="R132" i="77" s="1"/>
  <c r="S141" i="77"/>
  <c r="M141" i="77" s="1"/>
  <c r="R141" i="77" s="1"/>
  <c r="S311" i="77"/>
  <c r="M311" i="77" s="1"/>
  <c r="R311" i="77" s="1"/>
  <c r="S167" i="77"/>
  <c r="M167" i="77" s="1"/>
  <c r="R167" i="77" s="1"/>
  <c r="S153" i="77"/>
  <c r="M153" i="77" s="1"/>
  <c r="R153" i="77" s="1"/>
  <c r="S234" i="77"/>
  <c r="M234" i="77" s="1"/>
  <c r="R234" i="77" s="1"/>
  <c r="S90" i="77"/>
  <c r="M90" i="77" s="1"/>
  <c r="R90" i="77" s="1"/>
  <c r="S163" i="77"/>
  <c r="M163" i="77" s="1"/>
  <c r="R163" i="77" s="1"/>
  <c r="S221" i="77"/>
  <c r="M221" i="77" s="1"/>
  <c r="R221" i="77" s="1"/>
  <c r="S77" i="77"/>
  <c r="M77" i="77" s="1"/>
  <c r="R77" i="77" s="1"/>
  <c r="S328" i="77"/>
  <c r="M328" i="77" s="1"/>
  <c r="R328" i="77" s="1"/>
  <c r="S184" i="77"/>
  <c r="M184" i="77" s="1"/>
  <c r="R184" i="77" s="1"/>
  <c r="S40" i="77"/>
  <c r="M40" i="77" s="1"/>
  <c r="R40" i="77" s="1"/>
  <c r="S291" i="77"/>
  <c r="M291" i="77" s="1"/>
  <c r="R291" i="77" s="1"/>
  <c r="S147" i="77"/>
  <c r="M147" i="77" s="1"/>
  <c r="R147" i="77" s="1"/>
  <c r="S224" i="77"/>
  <c r="M224" i="77" s="1"/>
  <c r="R224" i="77" s="1"/>
  <c r="S242" i="77"/>
  <c r="M242" i="77" s="1"/>
  <c r="R242" i="77" s="1"/>
  <c r="S98" i="77"/>
  <c r="M98" i="77" s="1"/>
  <c r="R98" i="77" s="1"/>
  <c r="S67" i="77"/>
  <c r="M67" i="77" s="1"/>
  <c r="R67" i="77" s="1"/>
  <c r="S205" i="77"/>
  <c r="M205" i="77" s="1"/>
  <c r="R205" i="77" s="1"/>
  <c r="S61" i="77"/>
  <c r="M61" i="77" s="1"/>
  <c r="R61" i="77" s="1"/>
  <c r="S116" i="77"/>
  <c r="M116" i="77" s="1"/>
  <c r="R116" i="77" s="1"/>
  <c r="S264" i="77"/>
  <c r="M264" i="77" s="1"/>
  <c r="R264" i="77" s="1"/>
  <c r="S120" i="77"/>
  <c r="M120" i="77" s="1"/>
  <c r="R120" i="77" s="1"/>
  <c r="S81" i="77"/>
  <c r="M81" i="77" s="1"/>
  <c r="R81" i="77" s="1"/>
  <c r="S299" i="77"/>
  <c r="M299" i="77" s="1"/>
  <c r="R299" i="77" s="1"/>
  <c r="S155" i="77"/>
  <c r="M155" i="77" s="1"/>
  <c r="R155" i="77" s="1"/>
  <c r="S11" i="77"/>
  <c r="M11" i="77" s="1"/>
  <c r="R11" i="77" s="1"/>
  <c r="S310" i="77"/>
  <c r="M310" i="77" s="1"/>
  <c r="R310" i="77" s="1"/>
  <c r="S166" i="77"/>
  <c r="M166" i="77" s="1"/>
  <c r="R166" i="77" s="1"/>
  <c r="S22" i="77"/>
  <c r="M22" i="77" s="1"/>
  <c r="R22" i="77" s="1"/>
  <c r="S175" i="77"/>
  <c r="M175" i="77" s="1"/>
  <c r="R175" i="77" s="1"/>
  <c r="S165" i="77"/>
  <c r="M165" i="77" s="1"/>
  <c r="R165" i="77" s="1"/>
  <c r="S222" i="77"/>
  <c r="M222" i="77" s="1"/>
  <c r="R222" i="77" s="1"/>
  <c r="S78" i="77"/>
  <c r="M78" i="77" s="1"/>
  <c r="R78" i="77" s="1"/>
  <c r="S19" i="77"/>
  <c r="M19" i="77" s="1"/>
  <c r="R19" i="77" s="1"/>
  <c r="S209" i="77"/>
  <c r="M209" i="77" s="1"/>
  <c r="R209" i="77" s="1"/>
  <c r="S65" i="77"/>
  <c r="M65" i="77" s="1"/>
  <c r="R65" i="77" s="1"/>
  <c r="S316" i="77"/>
  <c r="M316" i="77" s="1"/>
  <c r="R316" i="77" s="1"/>
  <c r="S172" i="77"/>
  <c r="M172" i="77" s="1"/>
  <c r="R172" i="77" s="1"/>
  <c r="S28" i="77"/>
  <c r="M28" i="77" s="1"/>
  <c r="R28" i="77" s="1"/>
  <c r="S279" i="77"/>
  <c r="M279" i="77" s="1"/>
  <c r="R279" i="77" s="1"/>
  <c r="S135" i="77"/>
  <c r="M135" i="77" s="1"/>
  <c r="R135" i="77" s="1"/>
  <c r="S80" i="77"/>
  <c r="M80" i="77" s="1"/>
  <c r="R80" i="77" s="1"/>
  <c r="S230" i="77"/>
  <c r="M230" i="77" s="1"/>
  <c r="R230" i="77" s="1"/>
  <c r="S86" i="77"/>
  <c r="M86" i="77" s="1"/>
  <c r="R86" i="77" s="1"/>
  <c r="S337" i="77"/>
  <c r="M337" i="77" s="1"/>
  <c r="R337" i="77" s="1"/>
  <c r="S193" i="77"/>
  <c r="M193" i="77" s="1"/>
  <c r="R193" i="77" s="1"/>
  <c r="S49" i="77"/>
  <c r="M49" i="77" s="1"/>
  <c r="R49" i="77" s="1"/>
  <c r="S20" i="77"/>
  <c r="M20" i="77" s="1"/>
  <c r="R20" i="77" s="1"/>
  <c r="S252" i="77"/>
  <c r="M252" i="77" s="1"/>
  <c r="R252" i="77" s="1"/>
  <c r="S108" i="77"/>
  <c r="M108" i="77" s="1"/>
  <c r="R108" i="77" s="1"/>
  <c r="S21" i="77"/>
  <c r="M21" i="77" s="1"/>
  <c r="R21" i="77" s="1"/>
  <c r="S287" i="77"/>
  <c r="M287" i="77" s="1"/>
  <c r="R287" i="77" s="1"/>
  <c r="S143" i="77"/>
  <c r="M143" i="77" s="1"/>
  <c r="R143" i="77" s="1"/>
  <c r="S201" i="77"/>
  <c r="M201" i="77" s="1"/>
  <c r="R201" i="77" s="1"/>
  <c r="S298" i="77"/>
  <c r="M298" i="77" s="1"/>
  <c r="R298" i="77" s="1"/>
  <c r="S210" i="77"/>
  <c r="M210" i="77" s="1"/>
  <c r="R210" i="77" s="1"/>
  <c r="S66" i="77"/>
  <c r="M66" i="77" s="1"/>
  <c r="R66" i="77" s="1"/>
  <c r="S341" i="77"/>
  <c r="M341" i="77" s="1"/>
  <c r="R341" i="77" s="1"/>
  <c r="S197" i="77"/>
  <c r="M197" i="77" s="1"/>
  <c r="R197" i="77" s="1"/>
  <c r="S53" i="77"/>
  <c r="M53" i="77" s="1"/>
  <c r="R53" i="77" s="1"/>
  <c r="S304" i="77"/>
  <c r="M304" i="77" s="1"/>
  <c r="R304" i="77" s="1"/>
  <c r="S160" i="77"/>
  <c r="M160" i="77" s="1"/>
  <c r="R160" i="77" s="1"/>
  <c r="S16" i="77"/>
  <c r="M16" i="77" s="1"/>
  <c r="R16" i="77" s="1"/>
  <c r="S267" i="77"/>
  <c r="M267" i="77" s="1"/>
  <c r="R267" i="77" s="1"/>
  <c r="S123" i="77"/>
  <c r="M123" i="77" s="1"/>
  <c r="R123" i="77" s="1"/>
  <c r="S223" i="77"/>
  <c r="M223" i="77" s="1"/>
  <c r="R223" i="77" s="1"/>
  <c r="S218" i="77"/>
  <c r="M218" i="77" s="1"/>
  <c r="R218" i="77" s="1"/>
  <c r="S74" i="77"/>
  <c r="M74" i="77" s="1"/>
  <c r="R74" i="77" s="1"/>
  <c r="S325" i="77"/>
  <c r="M325" i="77" s="1"/>
  <c r="R325" i="77" s="1"/>
  <c r="S181" i="77"/>
  <c r="M181" i="77" s="1"/>
  <c r="R181" i="77" s="1"/>
  <c r="S37" i="77"/>
  <c r="M37" i="77" s="1"/>
  <c r="R37" i="77" s="1"/>
  <c r="S319" i="77"/>
  <c r="M319" i="77" s="1"/>
  <c r="R319" i="77" s="1"/>
  <c r="S240" i="77"/>
  <c r="M240" i="77" s="1"/>
  <c r="R240" i="77" s="1"/>
  <c r="S96" i="77"/>
  <c r="M96" i="77" s="1"/>
  <c r="R96" i="77" s="1"/>
  <c r="S260" i="77"/>
  <c r="M260" i="77" s="1"/>
  <c r="R260" i="77" s="1"/>
  <c r="S275" i="77"/>
  <c r="M275" i="77" s="1"/>
  <c r="R275" i="77" s="1"/>
  <c r="S131" i="77"/>
  <c r="M131" i="77" s="1"/>
  <c r="R131" i="77" s="1"/>
  <c r="S69" i="77"/>
  <c r="M69" i="77" s="1"/>
  <c r="R69" i="77" s="1"/>
  <c r="S286" i="77"/>
  <c r="M286" i="77" s="1"/>
  <c r="R286" i="77" s="1"/>
  <c r="G50" i="49"/>
  <c r="K90" i="46"/>
  <c r="E64" i="38"/>
  <c r="K93" i="46" s="1"/>
  <c r="F63" i="38"/>
  <c r="C108" i="47"/>
  <c r="Q107" i="47" s="1"/>
  <c r="E31" i="38"/>
  <c r="E29" i="38" s="1"/>
  <c r="E67" i="38" s="1"/>
  <c r="K204" i="46" s="1"/>
  <c r="E12" i="38"/>
  <c r="G120" i="41"/>
  <c r="F107" i="47"/>
  <c r="F21" i="38"/>
  <c r="F10" i="38"/>
  <c r="F74" i="38" s="1"/>
  <c r="F68" i="38"/>
  <c r="L205" i="46" s="1"/>
  <c r="F108" i="47" l="1"/>
  <c r="P107" i="47" s="1"/>
  <c r="G56" i="49"/>
  <c r="G59" i="49" s="1"/>
  <c r="G63" i="49" s="1"/>
  <c r="E16" i="47" s="1"/>
  <c r="F167" i="76"/>
  <c r="F169" i="76" s="1"/>
  <c r="H98" i="47"/>
  <c r="T98" i="47" s="1"/>
  <c r="H118" i="40"/>
  <c r="H120" i="40" s="1"/>
  <c r="J84" i="49" s="1"/>
  <c r="M6" i="77"/>
  <c r="R6" i="77" s="1"/>
  <c r="X6" i="77"/>
  <c r="G121" i="41" s="1"/>
  <c r="G122" i="41" s="1"/>
  <c r="L92" i="46"/>
  <c r="F62" i="38"/>
  <c r="L91" i="46" s="1"/>
  <c r="L219" i="46" s="1"/>
  <c r="G63" i="38"/>
  <c r="M92" i="46" s="1"/>
  <c r="F75" i="38"/>
  <c r="F81" i="38"/>
  <c r="E21" i="38"/>
  <c r="E10" i="38"/>
  <c r="E74" i="38" s="1"/>
  <c r="E68" i="38"/>
  <c r="K205" i="46" s="1"/>
  <c r="H76" i="40" l="1"/>
  <c r="H77" i="40" s="1"/>
  <c r="E108" i="47"/>
  <c r="O107" i="47" s="1"/>
  <c r="Q16" i="47"/>
  <c r="H60" i="40"/>
  <c r="H66" i="40" s="1"/>
  <c r="H69" i="40" s="1"/>
  <c r="H124" i="43" s="1"/>
  <c r="H126" i="43" s="1"/>
  <c r="G118" i="40"/>
  <c r="G120" i="40" s="1"/>
  <c r="I84" i="49" s="1"/>
  <c r="G98" i="47"/>
  <c r="S98" i="47" s="1"/>
  <c r="G123" i="41"/>
  <c r="H123" i="41" s="1"/>
  <c r="F64" i="38"/>
  <c r="L93" i="46" s="1"/>
  <c r="G62" i="38"/>
  <c r="M91" i="46" s="1"/>
  <c r="E71" i="38"/>
  <c r="K208" i="46" s="1"/>
  <c r="H66" i="49"/>
  <c r="H45" i="44" s="1"/>
  <c r="F70" i="38"/>
  <c r="L207" i="46" s="1"/>
  <c r="F82" i="38"/>
  <c r="H90" i="43"/>
  <c r="H131" i="43"/>
  <c r="H133" i="43" s="1"/>
  <c r="E75" i="38"/>
  <c r="F77" i="38" s="1"/>
  <c r="G77" i="38" s="1"/>
  <c r="E81" i="38"/>
  <c r="G71" i="49" s="1"/>
  <c r="G76" i="40" l="1"/>
  <c r="G77" i="40" s="1"/>
  <c r="G60" i="40"/>
  <c r="G66" i="40" s="1"/>
  <c r="G69" i="40" s="1"/>
  <c r="G71" i="40" s="1"/>
  <c r="G30" i="40" s="1"/>
  <c r="M106" i="46" s="1"/>
  <c r="H83" i="43"/>
  <c r="G127" i="41"/>
  <c r="G132" i="41"/>
  <c r="G135" i="41" s="1"/>
  <c r="G105" i="41" s="1"/>
  <c r="M130" i="46" s="1"/>
  <c r="M132" i="46" s="1"/>
  <c r="G76" i="38"/>
  <c r="E78" i="38"/>
  <c r="F5" i="47"/>
  <c r="G66" i="49"/>
  <c r="G45" i="44" s="1"/>
  <c r="G70" i="38"/>
  <c r="M207" i="46" s="1"/>
  <c r="F69" i="38"/>
  <c r="L206" i="46" s="1"/>
  <c r="H78" i="40"/>
  <c r="H79" i="40" s="1"/>
  <c r="H31" i="40" s="1"/>
  <c r="N110" i="46" s="1"/>
  <c r="N112" i="46" s="1"/>
  <c r="AB2" i="77"/>
  <c r="G83" i="43"/>
  <c r="E82" i="38"/>
  <c r="E85" i="38" s="1"/>
  <c r="H132" i="41"/>
  <c r="H127" i="41"/>
  <c r="G90" i="43"/>
  <c r="G131" i="43"/>
  <c r="G133" i="43" s="1"/>
  <c r="F76" i="38"/>
  <c r="F78" i="38" s="1"/>
  <c r="H47" i="43"/>
  <c r="H70" i="40"/>
  <c r="H71" i="40" s="1"/>
  <c r="H30" i="40" s="1"/>
  <c r="N106" i="46" s="1"/>
  <c r="N108" i="46" s="1"/>
  <c r="G124" i="43" l="1"/>
  <c r="P3" i="47"/>
  <c r="R5" i="47"/>
  <c r="R3" i="47" s="1"/>
  <c r="M108" i="46"/>
  <c r="F71" i="38"/>
  <c r="L208" i="46" s="1"/>
  <c r="G69" i="38"/>
  <c r="M206" i="46" s="1"/>
  <c r="F84" i="38"/>
  <c r="E5" i="47"/>
  <c r="G72" i="49"/>
  <c r="H80" i="40"/>
  <c r="H81" i="40" s="1"/>
  <c r="H12" i="40" s="1"/>
  <c r="G78" i="40"/>
  <c r="G79" i="40" s="1"/>
  <c r="G31" i="40" s="1"/>
  <c r="M110" i="46" s="1"/>
  <c r="M112" i="46" s="1"/>
  <c r="G47" i="43"/>
  <c r="G106" i="41"/>
  <c r="G107" i="41" s="1"/>
  <c r="G32" i="41"/>
  <c r="H29" i="40"/>
  <c r="H40" i="38" s="1"/>
  <c r="H135" i="41"/>
  <c r="H105" i="41" s="1"/>
  <c r="N130" i="46" s="1"/>
  <c r="N132" i="46" s="1"/>
  <c r="H60" i="47"/>
  <c r="T60" i="47" s="1"/>
  <c r="H51" i="43"/>
  <c r="H49" i="43"/>
  <c r="H30" i="43" s="1"/>
  <c r="N159" i="46" s="1"/>
  <c r="N161" i="46" s="1"/>
  <c r="O3" i="47" l="1"/>
  <c r="Q5" i="47"/>
  <c r="Q3" i="47" s="1"/>
  <c r="G84" i="38"/>
  <c r="G83" i="38" s="1"/>
  <c r="H70" i="49"/>
  <c r="H72" i="49"/>
  <c r="J32" i="49"/>
  <c r="H72" i="40"/>
  <c r="H73" i="40" s="1"/>
  <c r="H11" i="40" s="1"/>
  <c r="J31" i="49" s="1"/>
  <c r="G80" i="40"/>
  <c r="G81" i="40" s="1"/>
  <c r="G12" i="40" s="1"/>
  <c r="G13" i="41"/>
  <c r="G136" i="41"/>
  <c r="G91" i="41" s="1"/>
  <c r="M126" i="46" s="1"/>
  <c r="M128" i="46" s="1"/>
  <c r="G29" i="40"/>
  <c r="G40" i="38" s="1"/>
  <c r="F83" i="38"/>
  <c r="H71" i="49" s="1"/>
  <c r="H50" i="43"/>
  <c r="H219" i="43" s="1"/>
  <c r="H29" i="43"/>
  <c r="H43" i="38" s="1"/>
  <c r="H11" i="43"/>
  <c r="J41" i="49" s="1"/>
  <c r="H32" i="41"/>
  <c r="H106" i="41"/>
  <c r="H107" i="41" s="1"/>
  <c r="G51" i="43"/>
  <c r="G49" i="43"/>
  <c r="G30" i="43" s="1"/>
  <c r="M159" i="46" s="1"/>
  <c r="M161" i="46" s="1"/>
  <c r="G60" i="47"/>
  <c r="S60" i="47" s="1"/>
  <c r="J86" i="49" l="1"/>
  <c r="H24" i="47"/>
  <c r="T24" i="47" s="1"/>
  <c r="H25" i="47"/>
  <c r="T25" i="47" s="1"/>
  <c r="G92" i="41"/>
  <c r="G93" i="41" s="1"/>
  <c r="G11" i="41" s="1"/>
  <c r="I48" i="49" s="1"/>
  <c r="F85" i="38"/>
  <c r="I70" i="49"/>
  <c r="H10" i="40"/>
  <c r="H11" i="38" s="1"/>
  <c r="I49" i="49"/>
  <c r="I32" i="49"/>
  <c r="G72" i="40"/>
  <c r="G73" i="40" s="1"/>
  <c r="G11" i="40" s="1"/>
  <c r="I31" i="49" s="1"/>
  <c r="H218" i="43"/>
  <c r="H217" i="43" s="1"/>
  <c r="G50" i="43"/>
  <c r="G219" i="43" s="1"/>
  <c r="G29" i="43"/>
  <c r="G43" i="38" s="1"/>
  <c r="H13" i="41"/>
  <c r="H136" i="41"/>
  <c r="H91" i="41" s="1"/>
  <c r="J43" i="49"/>
  <c r="J58" i="49" s="1"/>
  <c r="H10" i="43"/>
  <c r="J34" i="49"/>
  <c r="J55" i="49" s="1"/>
  <c r="G11" i="43"/>
  <c r="I41" i="49" s="1"/>
  <c r="G31" i="47" l="1"/>
  <c r="S31" i="47" s="1"/>
  <c r="G30" i="47"/>
  <c r="S30" i="47" s="1"/>
  <c r="I86" i="49"/>
  <c r="G24" i="47"/>
  <c r="S24" i="47" s="1"/>
  <c r="G25" i="47"/>
  <c r="S25" i="47" s="1"/>
  <c r="N126" i="46"/>
  <c r="N128" i="46" s="1"/>
  <c r="H92" i="41" s="1"/>
  <c r="H93" i="41" s="1"/>
  <c r="H11" i="41" s="1"/>
  <c r="J48" i="49" s="1"/>
  <c r="H30" i="38"/>
  <c r="H75" i="41"/>
  <c r="J36" i="49" s="1"/>
  <c r="G10" i="40"/>
  <c r="G75" i="41" s="1"/>
  <c r="I36" i="49" s="1"/>
  <c r="J49" i="49"/>
  <c r="G218" i="43"/>
  <c r="G217" i="43" s="1"/>
  <c r="H33" i="38"/>
  <c r="H14" i="38"/>
  <c r="H23" i="38" s="1"/>
  <c r="H20" i="38"/>
  <c r="G10" i="43"/>
  <c r="I43" i="49"/>
  <c r="I58" i="49" s="1"/>
  <c r="I34" i="49"/>
  <c r="I55" i="49" s="1"/>
  <c r="H31" i="47" l="1"/>
  <c r="T31" i="47" s="1"/>
  <c r="H30" i="47"/>
  <c r="T30" i="47" s="1"/>
  <c r="H77" i="41"/>
  <c r="G11" i="38"/>
  <c r="G20" i="38" s="1"/>
  <c r="G30" i="38"/>
  <c r="G77" i="41"/>
  <c r="M122" i="46" s="1"/>
  <c r="G33" i="38"/>
  <c r="G14" i="38"/>
  <c r="G23" i="38" s="1"/>
  <c r="M124" i="46" l="1"/>
  <c r="G78" i="41" s="1"/>
  <c r="G79" i="41" s="1"/>
  <c r="G12" i="41" s="1"/>
  <c r="N122" i="46"/>
  <c r="N124" i="46" s="1"/>
  <c r="H78" i="41" s="1"/>
  <c r="H79" i="41" s="1"/>
  <c r="H12" i="41" s="1"/>
  <c r="J37" i="49" s="1"/>
  <c r="H31" i="41"/>
  <c r="H29" i="41" s="1"/>
  <c r="H41" i="38" s="1"/>
  <c r="G31" i="41"/>
  <c r="G29" i="41" s="1"/>
  <c r="G41" i="38" s="1"/>
  <c r="I47" i="49" l="1"/>
  <c r="G32" i="47" s="1"/>
  <c r="S32" i="47" s="1"/>
  <c r="I37" i="49"/>
  <c r="J47" i="49"/>
  <c r="H32" i="47" s="1"/>
  <c r="T32" i="47" s="1"/>
  <c r="H10" i="41"/>
  <c r="H12" i="38" s="1"/>
  <c r="G10" i="41"/>
  <c r="J50" i="49" l="1"/>
  <c r="H31" i="38"/>
  <c r="G31" i="38"/>
  <c r="G12" i="38"/>
  <c r="I50" i="49"/>
  <c r="H21" i="38"/>
  <c r="I56" i="49" l="1"/>
  <c r="H167" i="76"/>
  <c r="H169" i="76" s="1"/>
  <c r="J56" i="49"/>
  <c r="I167" i="76"/>
  <c r="I169" i="76" s="1"/>
  <c r="O220" i="46"/>
  <c r="G21" i="38"/>
  <c r="L3" i="76" l="1"/>
  <c r="P3" i="76" s="1" a="1"/>
  <c r="P3" i="76" s="1"/>
  <c r="C69" i="38" l="1"/>
  <c r="I206" i="46" s="1"/>
  <c r="C71" i="38" l="1"/>
  <c r="I208" i="46" s="1"/>
  <c r="D69" i="38"/>
  <c r="J206" i="46" s="1"/>
  <c r="D71" i="38" l="1"/>
  <c r="J208" i="46" s="1"/>
  <c r="O204" i="46" s="1"/>
  <c r="M175" i="46"/>
  <c r="M177" i="46" s="1"/>
  <c r="N175" i="46" l="1"/>
  <c r="N177" i="46" s="1"/>
  <c r="G22" i="47" l="1"/>
  <c r="S22" i="47" s="1"/>
  <c r="H22" i="47"/>
  <c r="T22" i="47" s="1"/>
  <c r="H173" i="44"/>
  <c r="H179" i="44" s="1"/>
  <c r="H75" i="47" s="1"/>
  <c r="T75" i="47" s="1"/>
  <c r="G173" i="44"/>
  <c r="G179" i="44" s="1"/>
  <c r="G75" i="47" s="1"/>
  <c r="S75" i="47" s="1"/>
  <c r="G178" i="44" l="1"/>
  <c r="G74" i="47" s="1"/>
  <c r="S74" i="47" s="1"/>
  <c r="G180" i="44"/>
  <c r="H178" i="44"/>
  <c r="H74" i="47" s="1"/>
  <c r="T74" i="47" s="1"/>
  <c r="H180" i="44"/>
  <c r="H137" i="44" l="1"/>
  <c r="H156" i="44" s="1"/>
  <c r="H34" i="44" s="1"/>
  <c r="N191" i="46" s="1"/>
  <c r="N193" i="46" s="1"/>
  <c r="H76" i="47"/>
  <c r="T76" i="47" s="1"/>
  <c r="G137" i="44"/>
  <c r="G76" i="47"/>
  <c r="S76" i="47" s="1"/>
  <c r="G156" i="44"/>
  <c r="G34" i="44" s="1"/>
  <c r="M191" i="46" l="1"/>
  <c r="G29" i="44"/>
  <c r="G44" i="38" s="1"/>
  <c r="G39" i="38" s="1"/>
  <c r="G60" i="38" s="1"/>
  <c r="M89" i="46" s="1"/>
  <c r="H29" i="44"/>
  <c r="H44" i="38" s="1"/>
  <c r="M193" i="46" l="1"/>
  <c r="G157" i="44" s="1"/>
  <c r="G158" i="44" s="1"/>
  <c r="G24" i="44" s="1"/>
  <c r="G19" i="44" s="1"/>
  <c r="H157" i="44"/>
  <c r="H158" i="44" s="1"/>
  <c r="H24" i="44" s="1"/>
  <c r="H19" i="44" s="1"/>
  <c r="H39" i="38"/>
  <c r="H60" i="38" s="1"/>
  <c r="N89" i="46" s="1"/>
  <c r="G61" i="38"/>
  <c r="G11" i="44" l="1"/>
  <c r="M218" i="46" s="1"/>
  <c r="G34" i="38"/>
  <c r="G29" i="38" s="1"/>
  <c r="G67" i="38" s="1"/>
  <c r="M204" i="46" s="1"/>
  <c r="M90" i="46"/>
  <c r="G64" i="38"/>
  <c r="M93" i="46" s="1"/>
  <c r="H34" i="38"/>
  <c r="H29" i="38" s="1"/>
  <c r="H67" i="38" s="1"/>
  <c r="H11" i="44"/>
  <c r="H63" i="38"/>
  <c r="N92" i="46" s="1"/>
  <c r="H61" i="38"/>
  <c r="M222" i="46" l="1"/>
  <c r="G12" i="44" s="1"/>
  <c r="G10" i="44" s="1"/>
  <c r="G15" i="38" s="1"/>
  <c r="G24" i="38" s="1"/>
  <c r="G68" i="38"/>
  <c r="H70" i="38" s="1"/>
  <c r="N207" i="46" s="1"/>
  <c r="N90" i="46"/>
  <c r="N218" i="46"/>
  <c r="O221" i="46" s="1"/>
  <c r="M205" i="46"/>
  <c r="H68" i="38"/>
  <c r="N205" i="46" s="1"/>
  <c r="N204" i="46"/>
  <c r="H62" i="38"/>
  <c r="N91" i="46" s="1"/>
  <c r="I57" i="49" l="1"/>
  <c r="I59" i="49" s="1"/>
  <c r="I63" i="49" s="1"/>
  <c r="G16" i="47" s="1"/>
  <c r="S16" i="47" s="1"/>
  <c r="G71" i="38"/>
  <c r="M208" i="46" s="1"/>
  <c r="H69" i="38"/>
  <c r="N206" i="46" s="1"/>
  <c r="H64" i="38"/>
  <c r="N93" i="46" s="1"/>
  <c r="O89" i="46" s="1"/>
  <c r="G10" i="38"/>
  <c r="G74" i="38" s="1"/>
  <c r="G81" i="38" s="1"/>
  <c r="N222" i="46"/>
  <c r="H12" i="44" s="1"/>
  <c r="H10" i="44" s="1"/>
  <c r="G96" i="47" l="1"/>
  <c r="K226" i="46"/>
  <c r="K223" i="46"/>
  <c r="K224" i="46" s="1"/>
  <c r="H71" i="38"/>
  <c r="N208" i="46" s="1"/>
  <c r="G75" i="38"/>
  <c r="H15" i="38"/>
  <c r="J57" i="49"/>
  <c r="H96" i="47" s="1"/>
  <c r="T96" i="47" s="1"/>
  <c r="G82" i="38"/>
  <c r="I71" i="49"/>
  <c r="G78" i="38" l="1"/>
  <c r="H77" i="38"/>
  <c r="H76" i="38" s="1"/>
  <c r="S96" i="47"/>
  <c r="G107" i="47"/>
  <c r="G108" i="47" s="1"/>
  <c r="S107" i="47" s="1"/>
  <c r="I7" i="47"/>
  <c r="O223" i="46"/>
  <c r="M246" i="46" s="1"/>
  <c r="I66" i="49"/>
  <c r="J59" i="49"/>
  <c r="J63" i="49" s="1"/>
  <c r="H10" i="38"/>
  <c r="H74" i="38" s="1"/>
  <c r="H24" i="38"/>
  <c r="G5" i="47"/>
  <c r="G85" i="38"/>
  <c r="H84" i="38"/>
  <c r="I72" i="49"/>
  <c r="S5" i="47" l="1"/>
  <c r="S3" i="47" s="1"/>
  <c r="H16" i="47"/>
  <c r="T16" i="47" s="1"/>
  <c r="N245" i="46"/>
  <c r="L249" i="46"/>
  <c r="K246" i="46"/>
  <c r="K249" i="46"/>
  <c r="L246" i="46"/>
  <c r="M247" i="46"/>
  <c r="O233" i="46"/>
  <c r="O234" i="46" s="1"/>
  <c r="O235" i="46" s="1"/>
  <c r="L247" i="46"/>
  <c r="K247" i="46"/>
  <c r="N247" i="46"/>
  <c r="K245" i="46"/>
  <c r="L245" i="46"/>
  <c r="L248" i="46"/>
  <c r="N248" i="46"/>
  <c r="M245" i="46"/>
  <c r="K248" i="46"/>
  <c r="M249" i="46"/>
  <c r="M248" i="46"/>
  <c r="H75" i="38"/>
  <c r="N246" i="46" s="1"/>
  <c r="H81" i="38"/>
  <c r="H82" i="38" s="1"/>
  <c r="J72" i="49" s="1"/>
  <c r="H107" i="47"/>
  <c r="J70" i="49"/>
  <c r="H83" i="38"/>
  <c r="H108" i="47" l="1"/>
  <c r="T107" i="47" s="1"/>
  <c r="H85" i="38"/>
  <c r="N249" i="46" s="1"/>
  <c r="O245" i="46" s="1"/>
  <c r="R3" i="46" s="1"/>
  <c r="H78" i="38"/>
  <c r="J66" i="49"/>
  <c r="H5" i="47"/>
  <c r="T5" i="47" s="1"/>
  <c r="J71" i="49"/>
  <c r="T3" i="47" l="1"/>
  <c r="L3" i="47" s="1" a="1"/>
  <c r="L3" i="4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Ivano D'Antonio</author>
    <author>Aldo Basile</author>
    <author>D'Antonio Ivano</author>
  </authors>
  <commentList>
    <comment ref="B13" authorId="0" shapeId="0" xr:uid="{00000000-0006-0000-0300-000001000000}">
      <text>
        <r>
          <rPr>
            <sz val="10"/>
            <color indexed="81"/>
            <rFont val="Arial Narrow"/>
            <family val="2"/>
          </rPr>
          <t>laddove applicabile, compilare sulla base dei dati fatturati</t>
        </r>
      </text>
    </comment>
    <comment ref="B15" authorId="0" shapeId="0" xr:uid="{00000000-0006-0000-0300-000002000000}">
      <text>
        <r>
          <rPr>
            <sz val="10"/>
            <color indexed="81"/>
            <rFont val="Arial Narrow"/>
            <family val="2"/>
          </rPr>
          <t>comprende anche le vendite di altri servizi (fognatura, depurazione,…)</t>
        </r>
      </text>
    </comment>
    <comment ref="C24" authorId="1" shapeId="0" xr:uid="{00000000-0006-0000-0300-000005000000}">
      <text>
        <r>
          <rPr>
            <sz val="9"/>
            <color indexed="81"/>
            <rFont val="Tahoma"/>
            <family val="2"/>
          </rPr>
          <t>solo quota riferita a situazioni emergenziali (art. 1)</t>
        </r>
      </text>
    </comment>
    <comment ref="F24" authorId="1" shapeId="0" xr:uid="{00000000-0006-0000-0300-000006000000}">
      <text>
        <r>
          <rPr>
            <sz val="9"/>
            <color indexed="81"/>
            <rFont val="Tahoma"/>
            <family val="2"/>
          </rPr>
          <t xml:space="preserve">esclusa la quota riferita a situazioni emergenziali (art. 1)
</t>
        </r>
      </text>
    </comment>
    <comment ref="I24" authorId="1" shapeId="0" xr:uid="{00000000-0006-0000-0300-000007000000}">
      <text>
        <r>
          <rPr>
            <sz val="9"/>
            <color indexed="81"/>
            <rFont val="Tahoma"/>
            <family val="2"/>
          </rPr>
          <t>solo quota riferita a situazioni emergenziali (art. 1)</t>
        </r>
      </text>
    </comment>
    <comment ref="L24" authorId="1" shapeId="0" xr:uid="{00000000-0006-0000-0300-000008000000}">
      <text>
        <r>
          <rPr>
            <sz val="9"/>
            <color indexed="81"/>
            <rFont val="Tahoma"/>
            <family val="2"/>
          </rPr>
          <t>esclusa la quota riferita a situazioni emergenziali (art. 1)</t>
        </r>
      </text>
    </comment>
    <comment ref="B35" authorId="2" shapeId="0" xr:uid="{18708EAF-794B-495E-A15E-2E9348995629}">
      <text>
        <r>
          <rPr>
            <sz val="9"/>
            <color indexed="81"/>
            <rFont val="Tahoma"/>
            <family val="2"/>
          </rPr>
          <t>classificazione adottata ai fini del calcolo dei ricavi delle attività del SII</t>
        </r>
      </text>
    </comment>
    <comment ref="B114" authorId="2" shapeId="0" xr:uid="{9B0A4DFE-50F9-4D36-AA73-43B5C1DAA1CD}">
      <text>
        <r>
          <rPr>
            <sz val="9"/>
            <color indexed="81"/>
            <rFont val="Tahoma"/>
            <family val="2"/>
          </rPr>
          <t>esplicitazione adottata ai fini dell’eventuale computo dei relativi conguagli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D'Antonio Ivano</author>
    <author>Ivano D'Antonio</author>
  </authors>
  <commentList>
    <comment ref="C26" authorId="0" shapeId="0" xr:uid="{AC46ADF0-6740-4EB1-8BE1-C7643050B12A}">
      <text>
        <r>
          <rPr>
            <sz val="10"/>
            <color indexed="81"/>
            <rFont val="Arial Narrow"/>
            <family val="2"/>
          </rPr>
          <t>“Inserire l’accantonamento (nei casi previsti dal comma 29.1 della RQTI) delle penalità per il mancato rispetto degli obiettivi di qualità tecnica”</t>
        </r>
        <r>
          <rPr>
            <sz val="9"/>
            <color indexed="81"/>
            <rFont val="Tahoma"/>
            <family val="2"/>
          </rPr>
          <t xml:space="preserve">
</t>
        </r>
      </text>
    </comment>
    <comment ref="C27" authorId="1" shapeId="0" xr:uid="{00000000-0006-0000-0400-000001000000}">
      <text>
        <r>
          <rPr>
            <sz val="10"/>
            <color indexed="81"/>
            <rFont val="Arial Narrow"/>
            <family val="2"/>
          </rPr>
          <t>Indicare la parte di fondo non finanziata con risorse proprie del gestore</t>
        </r>
      </text>
    </comment>
    <comment ref="C34" authorId="0" shapeId="0" xr:uid="{D78158F3-6D20-413E-B100-588481645AE0}">
      <text>
        <r>
          <rPr>
            <sz val="10"/>
            <color indexed="81"/>
            <rFont val="Arial Narrow"/>
            <family val="2"/>
          </rPr>
          <t>la previsione di cui al c. 30.2-bis MTI-4 è applicabile unicamente per i gestori unici di ambito interessati dal subentro in preesistenti gestioni comunali in economia caratterizzate da una rilevante entità della morosità</t>
        </r>
      </text>
    </comment>
    <comment ref="C56" authorId="0" shapeId="0" xr:uid="{5115A134-0901-40E4-9D0E-DA4F001D6236}">
      <text>
        <r>
          <rPr>
            <sz val="10"/>
            <color indexed="81"/>
            <rFont val="Arial Narrow"/>
            <family val="2"/>
          </rPr>
          <t>Per gli anni 2018 e 2019 deve essere valorizzato comprensivo ovvero al lordo del beneficio fiscale, mentre per gli anni successivi unicamente con riferimento alla spesa effettivamente sostenuta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D'Antonio Ivano</author>
  </authors>
  <commentList>
    <comment ref="I7" authorId="0" shapeId="0" xr:uid="{23843889-85B8-4E13-9F9C-F730B8DA0F2F}">
      <text>
        <r>
          <rPr>
            <i/>
            <sz val="9"/>
            <color indexed="81"/>
            <rFont val="Arial Narrow"/>
            <family val="2"/>
          </rPr>
          <t>riportare il dato medio al netto di eventuali operazioni di copertura dal rischio di tasso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AEEGSI-</author>
  </authors>
  <commentList>
    <comment ref="H7" authorId="0" shapeId="0" xr:uid="{00000000-0006-0000-0500-000001000000}">
      <text>
        <r>
          <rPr>
            <sz val="10"/>
            <color indexed="81"/>
            <rFont val="Arial Narrow"/>
            <family val="2"/>
          </rPr>
          <t xml:space="preserve"> indicare "SI" nel caso in cui un soggetto proprietario, diversamente dagli anni precedenti, non ha più cespiti da valorizzare nel DeltaCUIT 
(ad esempio è stato incorporato dal gestore)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Ivano D'Antonio</author>
  </authors>
  <commentList>
    <comment ref="I7" authorId="0" shapeId="0" xr:uid="{00000000-0006-0000-1000-000001000000}">
      <text>
        <r>
          <rPr>
            <sz val="9"/>
            <color indexed="81"/>
            <rFont val="Tahoma"/>
            <family val="2"/>
          </rPr>
          <t>Valori come da fondo al 2011 e a moneta dell'anno del cespite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D'Antonio Ivano</author>
  </authors>
  <commentList>
    <comment ref="E4" authorId="0" shapeId="0" xr:uid="{5548C0CF-C833-4309-9673-1B47F85B3CF4}">
      <text>
        <r>
          <rPr>
            <i/>
            <sz val="10"/>
            <color indexed="16"/>
            <rFont val="Arial Narrow"/>
            <family val="2"/>
          </rPr>
          <t>Indicare "SI/NO", la formula può essere sovrascritta nel caso in cui, pur essendo ammissibile, non si faccia ricorso all'ammortamento finanziario.</t>
        </r>
      </text>
    </comment>
    <comment ref="D7" authorId="0" shapeId="0" xr:uid="{90476903-A63F-481C-BEDD-5D2291E0880B}">
      <text>
        <r>
          <rPr>
            <sz val="10"/>
            <color indexed="81"/>
            <rFont val="Arial Narrow"/>
            <family val="2"/>
          </rPr>
          <t xml:space="preserve">Indicare la Categoria </t>
        </r>
        <r>
          <rPr>
            <b/>
            <sz val="10"/>
            <color indexed="81"/>
            <rFont val="Arial Narrow"/>
            <family val="2"/>
          </rPr>
          <t xml:space="preserve">DOPO </t>
        </r>
        <r>
          <rPr>
            <sz val="10"/>
            <color indexed="81"/>
            <rFont val="Arial Narrow"/>
            <family val="2"/>
          </rPr>
          <t>aver compilato la colonna "Anno cespite rif" e la colonna, eventuale, "Per dismissioni"</t>
        </r>
      </text>
    </comment>
    <comment ref="F7" authorId="0" shapeId="0" xr:uid="{E6184195-FFFB-4492-A64F-799A41265F00}">
      <text>
        <r>
          <rPr>
            <b/>
            <i/>
            <sz val="10"/>
            <color indexed="16"/>
            <rFont val="Arial Narrow"/>
            <family val="2"/>
          </rPr>
          <t xml:space="preserve">Riportando "SI", è possibile imputare le vite utili secondo la categorizzazione dei cespiti antecedente al 2020 anche per le dismissioni effettuate a partire dal 2020 ma riferite a immobilizzazioni ante 2020. </t>
        </r>
        <r>
          <rPr>
            <b/>
            <i/>
            <u/>
            <sz val="10"/>
            <color indexed="16"/>
            <rFont val="Arial Narrow"/>
            <family val="2"/>
          </rPr>
          <t>(la mancata compilazione equivale ad aver indicato "NO")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utente</author>
    <author>D'Antonio Ivano</author>
  </authors>
  <commentList>
    <comment ref="D9" authorId="0" shapeId="0" xr:uid="{00000000-0006-0000-0900-000001000000}">
      <text>
        <r>
          <rPr>
            <i/>
            <sz val="10"/>
            <color indexed="10"/>
            <rFont val="Arial Narrow"/>
            <family val="2"/>
          </rPr>
          <t>In caso di tipologia d'uso "a) uso domestico", la sottotipologia riportata deve necessariamente rispettare le opzioni fornite dal menu a tendina.
Per le altre tipologie d'uso, invece, la compilazione della eventuale sottotipologia non è limitata dalle impostazioni del menu a tendina.</t>
        </r>
      </text>
    </comment>
    <comment ref="AB9" authorId="1" shapeId="0" xr:uid="{3804EDBE-405B-486E-8C9B-85D3389F5D61}">
      <text>
        <r>
          <rPr>
            <b/>
            <i/>
            <sz val="10"/>
            <color indexed="16"/>
            <rFont val="Arial Narrow"/>
            <family val="2"/>
          </rPr>
          <t>Utente finale definito ai sensi del comma 1.1 del MTI-4</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D'Antonio Ivano</author>
  </authors>
  <commentList>
    <comment ref="C29" authorId="0" shapeId="0" xr:uid="{DC0CF90D-0973-4BA4-A98F-07D4A844EA2D}">
      <text>
        <r>
          <rPr>
            <sz val="9"/>
            <color indexed="81"/>
            <rFont val="Tahoma"/>
            <family val="2"/>
          </rPr>
          <t>Anche alla luce di quanto previsto dal co. 21.2 TICSI</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D115" authorId="0" shapeId="0" xr:uid="{385C90F3-5B96-406B-BF11-24B274BAE93D}">
      <text>
        <r>
          <rPr>
            <sz val="9"/>
            <color indexed="81"/>
            <rFont val="Tahoma"/>
            <family val="2"/>
          </rPr>
          <t>Ai fini del calcolo del Delta Risparmio EE</t>
        </r>
      </text>
    </comment>
    <comment ref="D116" authorId="0" shapeId="0" xr:uid="{FE617DAE-0ACB-4C3F-BBF2-AE4CE504956F}">
      <text>
        <r>
          <rPr>
            <sz val="9"/>
            <color indexed="81"/>
            <rFont val="Tahoma"/>
            <family val="2"/>
          </rPr>
          <t>Ai fini del calcolo del Delta Risparmio EE</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D'Antonio Ivano</author>
  </authors>
  <commentList>
    <comment ref="P5" authorId="0" shapeId="0" xr:uid="{8F261F7C-57BD-4DD7-8040-8261693A3762}">
      <text>
        <r>
          <rPr>
            <b/>
            <sz val="9"/>
            <color indexed="81"/>
            <rFont val="Tahoma"/>
            <family val="2"/>
          </rPr>
          <t>solo dal 2018</t>
        </r>
        <r>
          <rPr>
            <sz val="9"/>
            <color indexed="81"/>
            <rFont val="Tahoma"/>
            <family val="2"/>
          </rPr>
          <t xml:space="preserve">
</t>
        </r>
      </text>
    </comment>
    <comment ref="Q5" authorId="0" shapeId="0" xr:uid="{FCD12F68-DC5B-4045-9131-C929A22823EE}">
      <text>
        <r>
          <rPr>
            <b/>
            <sz val="9"/>
            <color indexed="81"/>
            <rFont val="Tahoma"/>
            <family val="2"/>
          </rPr>
          <t>solo dal 2018</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utente</author>
    <author>D'Antonio Ivano</author>
  </authors>
  <commentList>
    <comment ref="L6" authorId="0" shapeId="0" xr:uid="{D8ED3D6D-CBCD-4BF2-8686-138BF7ED4EC0}">
      <text>
        <r>
          <rPr>
            <b/>
            <i/>
            <sz val="10"/>
            <color indexed="10"/>
            <rFont val="Arial Narrow"/>
            <family val="2"/>
          </rPr>
          <t>inclusivo</t>
        </r>
        <r>
          <rPr>
            <i/>
            <sz val="10"/>
            <color indexed="10"/>
            <rFont val="Arial Narrow"/>
            <family val="2"/>
          </rPr>
          <t xml:space="preserve"> del FoNI</t>
        </r>
        <r>
          <rPr>
            <i/>
            <vertAlign val="superscript"/>
            <sz val="10"/>
            <color indexed="10"/>
            <rFont val="Arial Narrow"/>
            <family val="2"/>
          </rPr>
          <t>a-2</t>
        </r>
      </text>
    </comment>
    <comment ref="O6" authorId="1" shapeId="0" xr:uid="{248FF6AC-AEAC-4DB5-8DF1-A062E9664A66}">
      <text>
        <r>
          <rPr>
            <i/>
            <sz val="10"/>
            <color indexed="10"/>
            <rFont val="Arial Narrow"/>
            <family val="2"/>
          </rPr>
          <t>NON inclusivo del FoNIa-2</t>
        </r>
      </text>
    </comment>
    <comment ref="AB6" authorId="0" shapeId="0" xr:uid="{00000000-0006-0000-1600-000002000000}">
      <text>
        <r>
          <rPr>
            <b/>
            <i/>
            <sz val="10"/>
            <color indexed="10"/>
            <rFont val="Arial Narrow"/>
            <family val="2"/>
          </rPr>
          <t>Include l'allocazione del FoNI</t>
        </r>
        <r>
          <rPr>
            <b/>
            <i/>
            <vertAlign val="superscript"/>
            <sz val="10"/>
            <color indexed="10"/>
            <rFont val="Arial Narrow"/>
            <family val="2"/>
          </rPr>
          <t>a-2</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Ivano D'Antonio</author>
    <author>D'Antonio Ivano</author>
  </authors>
  <commentList>
    <comment ref="O2" authorId="0" shapeId="0" xr:uid="{00000000-0006-0000-1700-000001000000}">
      <text>
        <r>
          <rPr>
            <b/>
            <i/>
            <sz val="10"/>
            <color indexed="16"/>
            <rFont val="Arial Narrow"/>
            <family val="2"/>
          </rPr>
          <t>Eliminare e aggiungere righe solo ricorrendo ai pulsanti "+" e "-", avendo cura di non eliminare la riga 6.</t>
        </r>
      </text>
    </comment>
    <comment ref="D5" authorId="0" shapeId="0" xr:uid="{00000000-0006-0000-1700-000002000000}">
      <text>
        <r>
          <rPr>
            <sz val="9"/>
            <color indexed="81"/>
            <rFont val="Tahoma"/>
            <family val="2"/>
          </rPr>
          <t xml:space="preserve">Tale valore è presente nel foglio </t>
        </r>
        <r>
          <rPr>
            <b/>
            <sz val="9"/>
            <color indexed="81"/>
            <rFont val="Tahoma"/>
            <family val="2"/>
          </rPr>
          <t>Soggetti_proprietari</t>
        </r>
        <r>
          <rPr>
            <sz val="9"/>
            <color indexed="81"/>
            <rFont val="Tahoma"/>
            <family val="2"/>
          </rPr>
          <t xml:space="preserve">
</t>
        </r>
      </text>
    </comment>
    <comment ref="I5" authorId="1" shapeId="0" xr:uid="{FFB63987-E900-441A-8A2F-02D278D93965}">
      <text>
        <r>
          <rPr>
            <sz val="10"/>
            <color indexed="16"/>
            <rFont val="Arial Narrow"/>
            <family val="2"/>
          </rPr>
          <t>E’ possibile lasciare la cella vuota nei soli casi in cui la motivazione non sia riconducibile alle due selezionabili dal menù a tendina.</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utente</author>
  </authors>
  <commentList>
    <comment ref="D2" authorId="0" shapeId="0" xr:uid="{00000000-0006-0000-1F00-000001000000}">
      <text>
        <r>
          <rPr>
            <i/>
            <sz val="10"/>
            <color indexed="10"/>
            <rFont val="Arial Narrow"/>
            <family val="2"/>
          </rPr>
          <t xml:space="preserve">Ai fini della correttezza delle simulazioni, verificare che i fogli sottostanti riguardanti le stratificazioni siano compilati integralmente e correttamente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D'Antonio Ivano</author>
  </authors>
  <commentList>
    <comment ref="B104" authorId="0" shapeId="0" xr:uid="{9C2FE863-47F7-45AB-A886-F4A5833AFB1C}">
      <text>
        <r>
          <rPr>
            <sz val="9"/>
            <color indexed="81"/>
            <rFont val="Tahoma"/>
            <family val="2"/>
          </rPr>
          <t>eventuale valorizzazione da effettuarsi sulla base dei dati indicati nella riga 114 del foglio Dati_conto_economico</t>
        </r>
      </text>
    </comment>
    <comment ref="B138" authorId="0" shapeId="0" xr:uid="{42A7582A-88EF-4FDD-B4C6-0359C321630A}">
      <text>
        <r>
          <rPr>
            <sz val="9"/>
            <color indexed="81"/>
            <rFont val="Tahoma"/>
            <family val="2"/>
          </rPr>
          <t>valorizzazione che può tenere conto, per le annualità 2026-2027 e in coerenza con la pertinente voce di ricavo, dei costi per il riuso delle acque di depurazione indicati nella riga 114 del foglio Dati_conto_economico</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D'Antonio Ivano</author>
  </authors>
  <commentList>
    <comment ref="B166" authorId="0" shapeId="0" xr:uid="{234D6B83-A8A5-42A7-A7FC-366B4A328E31}">
      <text>
        <r>
          <rPr>
            <b/>
            <i/>
            <sz val="10"/>
            <color indexed="16"/>
            <rFont val="Arial Narrow"/>
            <family val="2"/>
          </rPr>
          <t>Componente definita al lordo dell'eventuale credito di imposta</t>
        </r>
      </text>
    </comment>
    <comment ref="B298" authorId="0" shapeId="0" xr:uid="{2FA35E32-8C85-4FE3-842B-07D5A346C4FD}">
      <text>
        <r>
          <rPr>
            <sz val="9"/>
            <color indexed="81"/>
            <rFont val="Tahoma"/>
            <family val="2"/>
          </rPr>
          <t xml:space="preserve">ATTENZIONE: 
evitare eventuali </t>
        </r>
        <r>
          <rPr>
            <i/>
            <sz val="9"/>
            <color indexed="81"/>
            <rFont val="Tahoma"/>
            <family val="2"/>
          </rPr>
          <t>double counting</t>
        </r>
        <r>
          <rPr>
            <sz val="9"/>
            <color indexed="81"/>
            <rFont val="Tahoma"/>
            <family val="2"/>
          </rPr>
          <t xml:space="preserve">  con le altre componenti tariffarie OPEX</t>
        </r>
      </text>
    </comment>
    <comment ref="B310" authorId="0" shapeId="0" xr:uid="{476D692E-2317-429A-BEF2-C8B5E13A8D08}">
      <text>
        <r>
          <rPr>
            <b/>
            <i/>
            <sz val="10"/>
            <color indexed="16"/>
            <rFont val="Arial Narrow"/>
            <family val="2"/>
          </rPr>
          <t>Non includono i contributi ricompresi nell'ambito della valorizzazione di altre voci</t>
        </r>
        <r>
          <rPr>
            <sz val="9"/>
            <color indexed="16"/>
            <rFont val="Cambria"/>
            <family val="1"/>
          </rPr>
          <t xml:space="preserve">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Autore</author>
    <author>Elena Gallo</author>
    <author>Gallo Elena</author>
  </authors>
  <commentList>
    <comment ref="F4" authorId="0" shapeId="0" xr:uid="{48E83F7F-1A50-4D58-9207-63FF3BD3CFB6}">
      <text>
        <r>
          <rPr>
            <i/>
            <sz val="10"/>
            <color indexed="81"/>
            <rFont val="Arial Narrow"/>
            <family val="2"/>
          </rPr>
          <t>u.m.: 
- abitanti per servizi di ACQ, 
- A.E. per servizi di FOG e DEP</t>
        </r>
        <r>
          <rPr>
            <sz val="10"/>
            <color indexed="81"/>
            <rFont val="Arial Narrow"/>
            <family val="2"/>
          </rPr>
          <t>)</t>
        </r>
      </text>
    </comment>
    <comment ref="H4" authorId="1" shapeId="0" xr:uid="{681FBD0F-A69D-4D54-810D-9B084D2B5049}">
      <text>
        <r>
          <rPr>
            <i/>
            <sz val="10"/>
            <color indexed="81"/>
            <rFont val="Arial Narrow"/>
            <family val="2"/>
          </rPr>
          <t>si veda il foglio "PdI-legenda" per le definizion</t>
        </r>
        <r>
          <rPr>
            <sz val="9"/>
            <color indexed="81"/>
            <rFont val="Tahoma"/>
            <family val="2"/>
          </rPr>
          <t>i</t>
        </r>
      </text>
    </comment>
    <comment ref="L4" authorId="1" shapeId="0" xr:uid="{AFC956F3-90C3-4FCA-8421-24E6EB7BD4CD}">
      <text>
        <r>
          <rPr>
            <i/>
            <sz val="10"/>
            <color indexed="81"/>
            <rFont val="Arial Narrow"/>
            <family val="2"/>
          </rPr>
          <t>autocompilato</t>
        </r>
      </text>
    </comment>
    <comment ref="P4" authorId="2" shapeId="0" xr:uid="{D66FA0D4-FA55-4D86-A082-E54A1636F1AC}">
      <text>
        <r>
          <rPr>
            <sz val="9"/>
            <color indexed="81"/>
            <rFont val="Tahoma"/>
            <family val="2"/>
          </rPr>
          <t>laddove la titolarità dell' intervento sia in capo al gestore (con iscrizione nel suo libro cespiti) selezionare "gestore" nel menu a tendina, mentre laddove la titolarità rimane in capo ad un soggetto terzo selezionare la voce "proprietario"</t>
        </r>
      </text>
    </comment>
    <comment ref="Q4" authorId="2" shapeId="0" xr:uid="{399D9F07-B15F-45AA-BFF9-CD0D204C2CBB}">
      <text>
        <r>
          <rPr>
            <sz val="9"/>
            <color indexed="81"/>
            <rFont val="Tahoma"/>
            <family val="2"/>
          </rPr>
          <t>in caso di selezione della voce "proprietario" nella precedente colonna P</t>
        </r>
      </text>
    </comment>
    <comment ref="S4" authorId="2" shapeId="0" xr:uid="{CD2B5F36-B9B6-407F-830E-E668DAD61F98}">
      <text>
        <r>
          <rPr>
            <sz val="9"/>
            <color indexed="81"/>
            <rFont val="Tahoma"/>
            <family val="2"/>
          </rPr>
          <t>soggetto che ha iscritto l'opera nel proprio libro cespiti</t>
        </r>
      </text>
    </comment>
    <comment ref="U4" authorId="2" shapeId="0" xr:uid="{C79E754C-7D13-4532-9C13-799F8A27F6C1}">
      <text>
        <r>
          <rPr>
            <sz val="9"/>
            <color indexed="81"/>
            <rFont val="Tahoma"/>
            <family val="2"/>
          </rPr>
          <t xml:space="preserve">I contributi da FoNI, laddove presenti, vanno inseriti in una riga apposita in cui compilare le sole colonne relative ai contributi. La casistica va identificata apponendo "X" alla colonna U. 
</t>
        </r>
      </text>
    </comment>
    <comment ref="AI4" authorId="1" shapeId="0" xr:uid="{CF7FBB29-A7B5-487A-AA33-1EA2B90A7A57}">
      <text>
        <r>
          <rPr>
            <i/>
            <sz val="10"/>
            <color indexed="81"/>
            <rFont val="Arial Narrow"/>
            <family val="2"/>
          </rPr>
          <t>include contributi pubblici e altri contributi (es. allacciamenti)</t>
        </r>
      </text>
    </comment>
    <comment ref="AN4" authorId="1" shapeId="0" xr:uid="{B505D70C-2341-4A17-823D-C503D7251520}">
      <text>
        <r>
          <rPr>
            <i/>
            <sz val="10"/>
            <color indexed="81"/>
            <rFont val="Arial Narrow"/>
            <family val="2"/>
          </rPr>
          <t>include contributi pubblici e altri contributi (es. allacciamenti)</t>
        </r>
      </text>
    </comment>
    <comment ref="AS4" authorId="1" shapeId="0" xr:uid="{28F29DB7-CC6F-4E55-A766-57A5615A21AF}">
      <text>
        <r>
          <rPr>
            <i/>
            <sz val="10"/>
            <color indexed="81"/>
            <rFont val="Arial Narrow"/>
            <family val="2"/>
          </rPr>
          <t>include contributi pubblici e altri contributi (es. allacciamenti)</t>
        </r>
      </text>
    </comment>
    <comment ref="AX4" authorId="1" shapeId="0" xr:uid="{BF1BF102-C056-4CBC-AD41-275051BC7A3C}">
      <text>
        <r>
          <rPr>
            <i/>
            <sz val="10"/>
            <color indexed="81"/>
            <rFont val="Arial Narrow"/>
            <family val="2"/>
          </rPr>
          <t>include contributi pubblici e altri contributi (es. allacciamenti)</t>
        </r>
      </text>
    </comment>
    <comment ref="BC4" authorId="1" shapeId="0" xr:uid="{6D900B45-5747-463E-B4EC-BC2CF5148905}">
      <text>
        <r>
          <rPr>
            <i/>
            <sz val="10"/>
            <color indexed="81"/>
            <rFont val="Arial Narrow"/>
            <family val="2"/>
          </rPr>
          <t>include contributi pubblici e altri contributi (es. allacciamenti)</t>
        </r>
      </text>
    </comment>
    <comment ref="BH4" authorId="1" shapeId="0" xr:uid="{8A9B629B-4FCE-4393-AA04-994D1357010A}">
      <text>
        <r>
          <rPr>
            <i/>
            <sz val="10"/>
            <color indexed="81"/>
            <rFont val="Arial Narrow"/>
            <family val="2"/>
          </rPr>
          <t>include contributi pubblici e altri contributi (es. allacciamenti)</t>
        </r>
      </text>
    </comment>
    <comment ref="BM4" authorId="1" shapeId="0" xr:uid="{C036065E-6523-499B-AEA2-67E7ADFD8BC2}">
      <text>
        <r>
          <rPr>
            <i/>
            <sz val="10"/>
            <color indexed="81"/>
            <rFont val="Arial Narrow"/>
            <family val="2"/>
          </rPr>
          <t>include contributi pubblici e altri contributi (es. allacciamenti)</t>
        </r>
      </text>
    </comment>
    <comment ref="BR4" authorId="0" shapeId="0" xr:uid="{59930D25-22C8-48A4-9690-89C8AED6427E}">
      <text>
        <r>
          <rPr>
            <i/>
            <sz val="10"/>
            <color indexed="81"/>
            <rFont val="Arial Narrow"/>
            <family val="2"/>
          </rPr>
          <t>La compilazione delle colonne "BR" e "BS" è obbligatoria in caso di intervento volto al superamento del Prerequisito Preq3</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Elena Gallo</author>
  </authors>
  <commentList>
    <comment ref="Q4" authorId="0" shapeId="0" xr:uid="{570D5D8A-E8F4-4A2D-8593-44355C43A974}">
      <text>
        <r>
          <rPr>
            <i/>
            <sz val="10"/>
            <color indexed="81"/>
            <rFont val="Arial Narrow"/>
            <family val="2"/>
          </rPr>
          <t>include contributi pubblici e altri contributi (es. allacciamenti)</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D'Antonio Ivano</author>
    <author>Gialdini Francesca</author>
    <author>Jacopo Manca</author>
  </authors>
  <commentList>
    <comment ref="H2" authorId="0" shapeId="0" xr:uid="{DDD863F8-03E5-46F2-8422-00E93A00777F}">
      <text>
        <r>
          <rPr>
            <sz val="9"/>
            <color indexed="81"/>
            <rFont val="Tahoma"/>
            <family val="2"/>
          </rPr>
          <t>In mancanza di approvazione si intendono i valori approvati dall’EGA, come eventualmente rettificati in sede di istruttoria da parte dell’Autorità</t>
        </r>
      </text>
    </comment>
    <comment ref="K2" authorId="1" shapeId="0" xr:uid="{D1327991-536E-4030-B186-1A18ADFDF4EE}">
      <text>
        <r>
          <rPr>
            <sz val="9"/>
            <color indexed="81"/>
            <rFont val="Tahoma"/>
            <family val="2"/>
          </rPr>
          <t xml:space="preserve">per lettera a) gli importi sono il minimo tra quelli individuati nella determinazione tariffaria 2023 e i consuntivi del 2023
</t>
        </r>
      </text>
    </comment>
    <comment ref="L3" authorId="2" shapeId="0" xr:uid="{A1D93F58-9960-4AA9-901B-C9DFF6004379}">
      <text>
        <r>
          <rPr>
            <i/>
            <sz val="10"/>
            <color indexed="81"/>
            <rFont val="Arial Narrow"/>
            <family val="2"/>
          </rPr>
          <t>Include i costi ambientali e della risorsa</t>
        </r>
      </text>
    </comment>
    <comment ref="M3" authorId="2" shapeId="0" xr:uid="{2B0347EB-8748-4F94-841B-834367FFCC11}">
      <text>
        <r>
          <rPr>
            <i/>
            <sz val="10"/>
            <color indexed="81"/>
            <rFont val="Arial Narrow"/>
            <family val="2"/>
          </rPr>
          <t>Include i costi ambientali e della risorsa</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F49" authorId="0" shapeId="0" xr:uid="{DAC2ED66-BF3D-4A94-92E2-0C9FC9FD0497}">
      <text>
        <r>
          <rPr>
            <sz val="10"/>
            <color indexed="81"/>
            <rFont val="Calibri"/>
            <family val="2"/>
            <scheme val="minor"/>
          </rPr>
          <t>In caso di misura in data successiva al  31/12 dell’anno a ma entro il 31/1 dell’anno a+1 sono da considerare nulli i volumi relativi al periodo dal 1/1 dell’anno a+1 fino alla data di lettura.</t>
        </r>
      </text>
    </comment>
    <comment ref="F51" authorId="0" shapeId="0" xr:uid="{8FB8E123-D32C-4C55-997F-BF399E7FB964}">
      <text>
        <r>
          <rPr>
            <sz val="10"/>
            <color indexed="81"/>
            <rFont val="Calibri"/>
            <family val="2"/>
            <scheme val="minor"/>
          </rPr>
          <t>In caso di misura in data successiva al 31/12 dell’anno a ma entro il 31/1 dell’anno a+1 sono da considerare nulli i consumi relativi al periodo dal 1/1 dell’anno(a+1 fino alla data di lettura.</t>
        </r>
      </text>
    </comment>
    <comment ref="F62" authorId="0" shapeId="0" xr:uid="{AA7698A8-8917-4AC8-9202-9ABB20E9E2EF}">
      <text>
        <r>
          <rPr>
            <sz val="9"/>
            <color indexed="81"/>
            <rFont val="Tahoma"/>
            <family val="2"/>
          </rPr>
          <t xml:space="preserve">occorre escludere eventuali volumi associati a periodi temporali durante i quali il sistema di trasmissione dei dati non ha funzionato
</t>
        </r>
      </text>
    </comment>
    <comment ref="F63" authorId="0" shapeId="0" xr:uid="{2AB4EE88-2ED5-45DD-97EE-5BE0F3398BA1}">
      <text>
        <r>
          <rPr>
            <sz val="9"/>
            <color indexed="81"/>
            <rFont val="Tahoma"/>
            <family val="2"/>
          </rPr>
          <t>occorre escludere eventuali volumi associati a periodi temporali durante i quali il sistema di trasmissione dei dati non ha funzionato</t>
        </r>
      </text>
    </comment>
    <comment ref="F65" authorId="0" shapeId="0" xr:uid="{94FA8390-F667-4E5C-B5C2-0CD9E882CBE7}">
      <text>
        <r>
          <rPr>
            <sz val="9"/>
            <color indexed="81"/>
            <rFont val="Tahoma"/>
            <family val="2"/>
          </rPr>
          <t>occorre escludere</t>
        </r>
        <r>
          <rPr>
            <b/>
            <sz val="9"/>
            <color indexed="81"/>
            <rFont val="Tahoma"/>
            <family val="2"/>
          </rPr>
          <t xml:space="preserve"> </t>
        </r>
        <r>
          <rPr>
            <sz val="9"/>
            <color indexed="81"/>
            <rFont val="Tahoma"/>
            <family val="2"/>
          </rPr>
          <t>eventuali volumi associati a periodi temporali durante i quali il sistema di trasmissione dei dati non ha funzionato</t>
        </r>
        <r>
          <rPr>
            <sz val="9"/>
            <color indexed="81"/>
            <rFont val="Tahoma"/>
            <family val="2"/>
          </rPr>
          <t xml:space="preserve">
</t>
        </r>
      </text>
    </comment>
    <comment ref="F66" authorId="0" shapeId="0" xr:uid="{36DF185E-BFB7-41F8-97EE-47AA64E7FF4B}">
      <text>
        <r>
          <rPr>
            <sz val="9"/>
            <color indexed="81"/>
            <rFont val="Tahoma"/>
            <family val="2"/>
          </rPr>
          <t>occorre escludere eventuali volumi associati a periodi temporali durante i quali il sistema di trasmissione dei dati non ha funzionato</t>
        </r>
      </text>
    </comment>
    <comment ref="F80" authorId="0" shapeId="0" xr:uid="{9D5B7E9F-4128-45FD-858B-2D6EA56DDB8F}">
      <text>
        <r>
          <rPr>
            <sz val="9"/>
            <color indexed="81"/>
            <rFont val="Tahoma"/>
            <family val="2"/>
          </rPr>
          <t xml:space="preserve">Fontane, fontanelle e idranti non rientrano nel conteggio in quanto non contrattualizzate separatamente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Autore</author>
    <author>D'Antonio Ivano</author>
    <author>Gialdini Francesca</author>
  </authors>
  <commentList>
    <comment ref="J26" authorId="0" shapeId="0" xr:uid="{3F5B07EA-9050-4BA8-9A67-5D456AC904E2}">
      <text>
        <r>
          <rPr>
            <sz val="9"/>
            <color indexed="81"/>
            <rFont val="Tahoma"/>
            <family val="2"/>
          </rPr>
          <t>In caso di formulazione di istanza, lasciare vuota solamente la cella relativa ai macro-indicatori per i quali i prerequisiti non sono stati conseguiti</t>
        </r>
      </text>
    </comment>
    <comment ref="B78" authorId="1" shapeId="0" xr:uid="{3C55EC36-6EC4-4813-B2DF-0B5862C6E9A5}">
      <text>
        <r>
          <rPr>
            <sz val="10"/>
            <color indexed="16"/>
            <rFont val="Arial Narrow"/>
            <family val="2"/>
          </rPr>
          <t>tiene conto di eventuali variazioni di condizioni impiantistiche e di perimetro, valutate sulla base di informazioni accertabili e verificabili</t>
        </r>
      </text>
    </comment>
    <comment ref="C90" authorId="2" shapeId="0" xr:uid="{54E6ECD2-38DC-4C60-BBC1-C756CEE44F70}">
      <text>
        <r>
          <rPr>
            <b/>
            <sz val="9"/>
            <color indexed="81"/>
            <rFont val="Tahoma"/>
            <family val="2"/>
          </rPr>
          <t>Nella cella C90, inserire il valore (relativo all'anno 2023) per la definizione degli obiettivi 2024 e 2025 determinato in sede di prima approvazione MTI-4. Per i gestori approvati MTI-4, è possibile copiare e incollare il medesimo valore dal file Dati_storici.xlsx fornito dall'Autorità (foglio Riepilogo_RQTI_24-25)</t>
        </r>
      </text>
    </comment>
    <comment ref="G91" authorId="1" shapeId="0" xr:uid="{22D54749-0151-4976-B6AD-F802BB04B76F}">
      <text>
        <r>
          <rPr>
            <sz val="9"/>
            <color indexed="81"/>
            <rFont val="Tahoma"/>
            <family val="2"/>
          </rPr>
          <t>Eventualmente modificare il dato in modo che sia coerente con il perimetro relativo ai consumi del periodo 2020-2023 come forniti in sede di prima approvazione MTI-4, ai fini della valutazione dell'obiettivo di cui all'Art. 37 MTI-4</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Francesco Nardiello</author>
  </authors>
  <commentList>
    <comment ref="C2" authorId="0" shapeId="0" xr:uid="{E2EE735B-852D-40B4-8A1F-F9441FC98252}">
      <text>
        <r>
          <rPr>
            <sz val="9"/>
            <color indexed="81"/>
            <rFont val="Tahoma"/>
            <family val="2"/>
          </rPr>
          <t>Inserire nelle celle in colore giallo i valori relativi all'anno 2025 per la definizione degli obiettivi 2026-2027. Tali valori corrispondono a quelli indicati nel Riepilogo per Macro-indicatori 2025 della raccolta dati qualità contrattuale del SII 2025</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<sst xmlns="http://schemas.openxmlformats.org/spreadsheetml/2006/main" count="80743" uniqueCount="32821">
  <si>
    <t>nessuna variazione</t>
  </si>
  <si>
    <t>ω</t>
  </si>
  <si>
    <t>rpi</t>
  </si>
  <si>
    <t>X</t>
  </si>
  <si>
    <t>non conforme</t>
  </si>
  <si>
    <t>conforme</t>
  </si>
  <si>
    <t xml:space="preserve"> </t>
  </si>
  <si>
    <t>Ambito_Tariffario</t>
  </si>
  <si>
    <t>Comune</t>
  </si>
  <si>
    <t>ID_Aeeg_Gestore</t>
  </si>
  <si>
    <t>Sottotipologia</t>
  </si>
  <si>
    <t>Max_Scaglione</t>
  </si>
  <si>
    <t>Min_Scaglione</t>
  </si>
  <si>
    <t>1° scaglione a tariffa agevolata</t>
  </si>
  <si>
    <t>Tipologia d'uso</t>
  </si>
  <si>
    <t>Ambito tariffario</t>
  </si>
  <si>
    <t>DATI TECNICI</t>
  </si>
  <si>
    <t>FORNITURA ELETTRICA</t>
  </si>
  <si>
    <t>Costo medio della fornitura elettrica</t>
  </si>
  <si>
    <t>Si esclude di avere acquistato energia elettrica in regime di salvaguardia per almeno 4 mesi</t>
  </si>
  <si>
    <t>SERVIZIO ACQUEDOTTO</t>
  </si>
  <si>
    <t>-</t>
  </si>
  <si>
    <t>m3</t>
  </si>
  <si>
    <t>km2</t>
  </si>
  <si>
    <t>km</t>
  </si>
  <si>
    <t>SERVIZIO FOGNATURA</t>
  </si>
  <si>
    <t>SERVIZIO DEPURAZIONE</t>
  </si>
  <si>
    <t>Euro</t>
  </si>
  <si>
    <t>A.E.</t>
  </si>
  <si>
    <t xml:space="preserve">Abitanti Equivalenti serviti da depurazione </t>
  </si>
  <si>
    <t>%</t>
  </si>
  <si>
    <t>Attività diverse</t>
  </si>
  <si>
    <t>VALORE DELLA PRODUZIONE (Euro)</t>
  </si>
  <si>
    <t>A1) Ricavi delle vendite e delle prestazioni</t>
  </si>
  <si>
    <t>di cui da altre imprese del gruppo</t>
  </si>
  <si>
    <t>A2) Variazioni rimanenze di prodotti in corso di lavorazione, semilavorati e finiti</t>
  </si>
  <si>
    <t>A3) Variazioni dei lavori in corso su ordinazione</t>
  </si>
  <si>
    <t>A4) Incrementi di immobilizzazioni per lavori interni (inclusi costi del personale)</t>
  </si>
  <si>
    <t>di cui per realizzazione allacciamenti idrici e fognari</t>
  </si>
  <si>
    <t>A5) Altri ricavi e proventi</t>
  </si>
  <si>
    <t>ULTERIORI SPECIFICAZIONI DEI RICAVI (Euro)</t>
  </si>
  <si>
    <t>Ricavi da articolazione tariffaria</t>
  </si>
  <si>
    <t>Vendita di acqua all’ingrosso</t>
  </si>
  <si>
    <t>Acquedotto (utenti non allacciati alla pubblica fognatura)</t>
  </si>
  <si>
    <t>Vendita di acqua non potabile o ad uso industriale</t>
  </si>
  <si>
    <t>Vendita di acqua forfetaria</t>
  </si>
  <si>
    <t>Fornitura bocche antincendio</t>
  </si>
  <si>
    <t>Fognatura e depurazione civile (approvvigionamento autonomo)</t>
  </si>
  <si>
    <t>Fognatura e depurazione di acque reflue industriali</t>
  </si>
  <si>
    <t>Contributi di allacciamento</t>
  </si>
  <si>
    <t>Prestazioni e servizi accessori</t>
  </si>
  <si>
    <t>Vendita di acqua con autobotte</t>
  </si>
  <si>
    <t>Trattamento percolati</t>
  </si>
  <si>
    <t>Trattamento bottini</t>
  </si>
  <si>
    <t>Installazione/manutenzione bocche antincendio</t>
  </si>
  <si>
    <t>Vendita di servizi a terzi</t>
  </si>
  <si>
    <t>Lavori conto terzi</t>
  </si>
  <si>
    <t>Spurgo pozzi neri</t>
  </si>
  <si>
    <t>Rilascio autorizzazioni allo scarico</t>
  </si>
  <si>
    <t>Lottizzazioni</t>
  </si>
  <si>
    <t>Riuso delle acque di depurazione</t>
  </si>
  <si>
    <t>Case dell’acqua</t>
  </si>
  <si>
    <t>Proventi straordinari</t>
  </si>
  <si>
    <t>Contributi in conto esercizio</t>
  </si>
  <si>
    <t>Rimborsi e indennizzi</t>
  </si>
  <si>
    <t>Ricavi da altre attività (non inclusi nelle suddette voci)</t>
  </si>
  <si>
    <t>COSTI DELLA PRODUZIONE (Euro)</t>
  </si>
  <si>
    <t>B6) Per materie prime, sussidiarie, di consumo e merci</t>
  </si>
  <si>
    <t>B7) Per servizi</t>
  </si>
  <si>
    <t>energia elettrica da altre imprese del gruppo</t>
  </si>
  <si>
    <t>energia elettrica da altre imprese</t>
  </si>
  <si>
    <t>altri servizi da altre imprese del gruppo</t>
  </si>
  <si>
    <t>altri servizi da altre imprese</t>
  </si>
  <si>
    <t>B8) Per godimento beni di terzi</t>
  </si>
  <si>
    <t>B9) Per il personale</t>
  </si>
  <si>
    <t>di cui per trattamento di fine rapporto (inclusa rivalutazione)</t>
  </si>
  <si>
    <t>B12) Accantonamenti per rischi</t>
  </si>
  <si>
    <t>B13) Altri accantonamenti</t>
  </si>
  <si>
    <t>B14) Oneri diversi di gestione</t>
  </si>
  <si>
    <t>ULTERIORI SPECIFICAZIONI DEI COSTI (Euro)</t>
  </si>
  <si>
    <t>Accantonamenti e rettifiche in eccesso rispetto all'applicazione di norme tributarie</t>
  </si>
  <si>
    <t>Rettifiche di valori di attività finanziarie</t>
  </si>
  <si>
    <t>Costi connessi all'erogazione di liberalità</t>
  </si>
  <si>
    <t>Costi pubblicitari e di marketing (incluse le imposte connesse)</t>
  </si>
  <si>
    <t>Oneri per sanzioni, penalità, risarcimenti automatici e simili</t>
  </si>
  <si>
    <t>Oneri straordinari</t>
  </si>
  <si>
    <t>Spese processuali in cui la parte è risultata soccombente</t>
  </si>
  <si>
    <t>Contributi associativi</t>
  </si>
  <si>
    <t>Spese di viaggio e di rappresentanza</t>
  </si>
  <si>
    <t>Canoni di affitto immobili non industriali</t>
  </si>
  <si>
    <t>Costi di realizzazione degli allacciamenti idrici e fognari</t>
  </si>
  <si>
    <t>Perdite su crediti per la sola quota parte eccedente l'utilizzo del fondo</t>
  </si>
  <si>
    <t>Costi di strutturazione dei progetti di finanziamento (non capitalizzati)</t>
  </si>
  <si>
    <t>Uso infrastrutture di terzi</t>
  </si>
  <si>
    <t>rimborso mutui di comuni, aziende speciali, società patrimoniali</t>
  </si>
  <si>
    <t>altri corrispettivi a comuni, aziende speciali, società patrimoniali</t>
  </si>
  <si>
    <t>corrispettivi a gestori preesistenti, altri proprietari</t>
  </si>
  <si>
    <t>Oneri locali</t>
  </si>
  <si>
    <t>canoni di derivazione/sottensione idrica</t>
  </si>
  <si>
    <t>contributi per consorzi di bonifica</t>
  </si>
  <si>
    <t>contributi a comunità montane</t>
  </si>
  <si>
    <t>canoni per restituzione acque</t>
  </si>
  <si>
    <t>oneri per la gestione di aree di salvaguardia</t>
  </si>
  <si>
    <t>Altre attività idriche (c.d. Attività b)</t>
  </si>
  <si>
    <t>CO altre attività idriche</t>
  </si>
  <si>
    <t>Deflatore degli investimenti fissi lordi</t>
  </si>
  <si>
    <t>Vite regolatorie</t>
  </si>
  <si>
    <t>Inflazione</t>
  </si>
  <si>
    <t>(input dei fogli stratificazione)</t>
  </si>
  <si>
    <t>ANNO</t>
  </si>
  <si>
    <t>Codice</t>
  </si>
  <si>
    <t>Categoria di cespiti</t>
  </si>
  <si>
    <t>Vita utile</t>
  </si>
  <si>
    <t>valore</t>
  </si>
  <si>
    <t>Terreni</t>
  </si>
  <si>
    <t>Fabbricati non industriali</t>
  </si>
  <si>
    <t>Fabbricati industriali</t>
  </si>
  <si>
    <t>Costruzioni leggere</t>
  </si>
  <si>
    <t>Condutture e opere idrauliche fisse</t>
  </si>
  <si>
    <t>Serbatoi</t>
  </si>
  <si>
    <t>Impianti di trattamento</t>
  </si>
  <si>
    <t>Impianti di sollevamento e pompaggio</t>
  </si>
  <si>
    <t>Gruppi di misura meccanici</t>
  </si>
  <si>
    <t>Gruppi di misura elettronici</t>
  </si>
  <si>
    <t>Altri impianti</t>
  </si>
  <si>
    <t>Laboratori</t>
  </si>
  <si>
    <t>Telecontrollo e teletrasmissione</t>
  </si>
  <si>
    <t>Autoveicoli</t>
  </si>
  <si>
    <t>Studi, ricerche, brevetti, diritti di utilizzazione</t>
  </si>
  <si>
    <t>Altre immobilizzazioni materiali e immateriali (al netto categoria successiva)</t>
  </si>
  <si>
    <t>Avviamenti, capitalizzazioni della concessione, ecc.</t>
  </si>
  <si>
    <t>IDServizio_Dettaglio</t>
  </si>
  <si>
    <t>Servizio_Dettaglio</t>
  </si>
  <si>
    <t>SI</t>
  </si>
  <si>
    <t>Categoria_IMMOBILIZZAZIONI</t>
  </si>
  <si>
    <t>Anno Cespite</t>
  </si>
  <si>
    <t>Captazione</t>
  </si>
  <si>
    <t>NO</t>
  </si>
  <si>
    <t>Altri servizi idrici</t>
  </si>
  <si>
    <t>Potabilizzazione</t>
  </si>
  <si>
    <t>Fognatura bianca e pulizia / manutenzione caditoie stradali</t>
  </si>
  <si>
    <t>Adduzione</t>
  </si>
  <si>
    <t>Servizio idrico integrato</t>
  </si>
  <si>
    <t>Acquedotto distribuzione</t>
  </si>
  <si>
    <t>Fognatura (nera e mista)</t>
  </si>
  <si>
    <t>Depurazione</t>
  </si>
  <si>
    <t>tipologia di proprietario</t>
  </si>
  <si>
    <t>servizi_idrici</t>
  </si>
  <si>
    <t>tipologia d'uso</t>
  </si>
  <si>
    <t>tipo di affidamento</t>
  </si>
  <si>
    <t>Altra società privata</t>
  </si>
  <si>
    <t>Azienda speciale</t>
  </si>
  <si>
    <t>acquedotto</t>
  </si>
  <si>
    <t>1-Uso domestico</t>
  </si>
  <si>
    <t>Affidamento del SII</t>
  </si>
  <si>
    <t>Altra società pubblica</t>
  </si>
  <si>
    <t>Azienda speciale consortile</t>
  </si>
  <si>
    <t>depurazione</t>
  </si>
  <si>
    <t>1bis-Uso domestico non residenti</t>
  </si>
  <si>
    <t>Consorzio</t>
  </si>
  <si>
    <t>fognatura</t>
  </si>
  <si>
    <t>2-Uso agricolo</t>
  </si>
  <si>
    <t>Comunità montana</t>
  </si>
  <si>
    <t>Gestione in economia</t>
  </si>
  <si>
    <t>3-Uso allevamento animali</t>
  </si>
  <si>
    <t>Società a responsabilità limitata (S.r.l.)</t>
  </si>
  <si>
    <t>4-Uso artigianale</t>
  </si>
  <si>
    <t>Gestioni tutelate, concessioni esistenti</t>
  </si>
  <si>
    <t>Società del patrimonio</t>
  </si>
  <si>
    <t>Società consortile S.p.A.</t>
  </si>
  <si>
    <t>5-Uso commerciale</t>
  </si>
  <si>
    <t>Società consortile S.r.l.</t>
  </si>
  <si>
    <t>6-Uso industriale</t>
  </si>
  <si>
    <t>SCHEMA REGOLATORIO</t>
  </si>
  <si>
    <t>Società cooperativa a r.l.</t>
  </si>
  <si>
    <t>7-Usi diversi</t>
  </si>
  <si>
    <t>I</t>
  </si>
  <si>
    <t>Società in accomandita semplice (S.a.s.)</t>
  </si>
  <si>
    <t>8-Altri usi</t>
  </si>
  <si>
    <t>II</t>
  </si>
  <si>
    <t>Società in nome colletivo (S.n.c.)</t>
  </si>
  <si>
    <t>9-Bocche antincendio</t>
  </si>
  <si>
    <t>III</t>
  </si>
  <si>
    <t>Società per azioni (S.p.A.)</t>
  </si>
  <si>
    <t>IV</t>
  </si>
  <si>
    <t>V</t>
  </si>
  <si>
    <t>VI</t>
  </si>
  <si>
    <t>Categoria di Immobilizzazione</t>
  </si>
  <si>
    <t>Anno cespite</t>
  </si>
  <si>
    <t>IP (Euro)</t>
  </si>
  <si>
    <t>q_RAB</t>
  </si>
  <si>
    <t>Fonte</t>
  </si>
  <si>
    <t>Gestore_Proprietario</t>
  </si>
  <si>
    <t>N_prop</t>
  </si>
  <si>
    <t>ID_Categoria_Cespite</t>
  </si>
  <si>
    <t>CategoriaCespite</t>
  </si>
  <si>
    <t>ID_Immobilizzazione</t>
  </si>
  <si>
    <t>IMMOBILIZZAZIONE</t>
  </si>
  <si>
    <t>AnnoCespite</t>
  </si>
  <si>
    <t>IML</t>
  </si>
  <si>
    <t>IMN</t>
  </si>
  <si>
    <t>AMM</t>
  </si>
  <si>
    <t>AMMcfp</t>
  </si>
  <si>
    <t>LIC</t>
  </si>
  <si>
    <t>ID</t>
  </si>
  <si>
    <t>Categoria Cespite</t>
  </si>
  <si>
    <t>Telecontrollo</t>
  </si>
  <si>
    <t>Altre immobilizzazioni materiali e immateriali</t>
  </si>
  <si>
    <t>Immobilizzazioni immateriali: avviamenti, capitalizzazione concessione, etc.</t>
  </si>
  <si>
    <t>Sezione</t>
  </si>
  <si>
    <t>Voce</t>
  </si>
  <si>
    <t>Delibera</t>
  </si>
  <si>
    <r>
      <t xml:space="preserve">J </t>
    </r>
    <r>
      <rPr>
        <sz val="10"/>
        <color indexed="8"/>
        <rFont val="Arial Narrow"/>
        <family val="2"/>
      </rPr>
      <t>deliberato</t>
    </r>
  </si>
  <si>
    <r>
      <rPr>
        <sz val="10"/>
        <rFont val="Symbol"/>
        <family val="1"/>
        <charset val="2"/>
      </rPr>
      <t xml:space="preserve">J </t>
    </r>
    <r>
      <rPr>
        <sz val="10"/>
        <rFont val="Arial Narrow"/>
        <family val="2"/>
      </rPr>
      <t>medio</t>
    </r>
  </si>
  <si>
    <t>RC post</t>
  </si>
  <si>
    <t>Schema regolatorio</t>
  </si>
  <si>
    <t>ψ</t>
  </si>
  <si>
    <t>Moltiplicatore</t>
  </si>
  <si>
    <t>VRG approvato</t>
  </si>
  <si>
    <t>Costi delle immobilizzazioni</t>
  </si>
  <si>
    <t>OF</t>
  </si>
  <si>
    <t>OFisc</t>
  </si>
  <si>
    <r>
      <t>ΔCUIT</t>
    </r>
    <r>
      <rPr>
        <vertAlign val="subscript"/>
        <sz val="10"/>
        <color indexed="8"/>
        <rFont val="Arial Narrow"/>
        <family val="2"/>
      </rPr>
      <t>capex</t>
    </r>
  </si>
  <si>
    <t>Immobilizzazioni</t>
  </si>
  <si>
    <t>FA</t>
  </si>
  <si>
    <t>Fondo Nuovi Investimenti</t>
  </si>
  <si>
    <r>
      <t>AMM</t>
    </r>
    <r>
      <rPr>
        <vertAlign val="subscript"/>
        <sz val="10"/>
        <color indexed="8"/>
        <rFont val="Arial Narrow"/>
        <family val="2"/>
      </rPr>
      <t>foni</t>
    </r>
  </si>
  <si>
    <r>
      <t>ΔCUIT</t>
    </r>
    <r>
      <rPr>
        <vertAlign val="subscript"/>
        <sz val="10"/>
        <color indexed="8"/>
        <rFont val="Arial Narrow"/>
        <family val="2"/>
      </rPr>
      <t>foni</t>
    </r>
  </si>
  <si>
    <r>
      <t>FNI</t>
    </r>
    <r>
      <rPr>
        <vertAlign val="subscript"/>
        <sz val="10"/>
        <color indexed="8"/>
        <rFont val="Arial Narrow"/>
        <family val="2"/>
      </rPr>
      <t>foni</t>
    </r>
  </si>
  <si>
    <t>Costi Operativi</t>
  </si>
  <si>
    <t>ERC</t>
  </si>
  <si>
    <r>
      <t>CO</t>
    </r>
    <r>
      <rPr>
        <vertAlign val="subscript"/>
        <sz val="10"/>
        <rFont val="Arial Narrow"/>
        <family val="2"/>
      </rPr>
      <t xml:space="preserve">ato </t>
    </r>
  </si>
  <si>
    <r>
      <t>CO</t>
    </r>
    <r>
      <rPr>
        <vertAlign val="subscript"/>
        <sz val="10"/>
        <rFont val="Arial Narrow"/>
        <family val="2"/>
      </rPr>
      <t>mor</t>
    </r>
  </si>
  <si>
    <r>
      <t>CO</t>
    </r>
    <r>
      <rPr>
        <vertAlign val="subscript"/>
        <sz val="10"/>
        <rFont val="Arial Narrow"/>
        <family val="2"/>
      </rPr>
      <t>res</t>
    </r>
  </si>
  <si>
    <r>
      <t>CO</t>
    </r>
    <r>
      <rPr>
        <vertAlign val="subscript"/>
        <sz val="10"/>
        <rFont val="Arial Narrow"/>
        <family val="2"/>
      </rPr>
      <t>ee</t>
    </r>
  </si>
  <si>
    <t>MT</t>
  </si>
  <si>
    <t>AC</t>
  </si>
  <si>
    <r>
      <t>Opex</t>
    </r>
    <r>
      <rPr>
        <vertAlign val="subscript"/>
        <sz val="10"/>
        <rFont val="Arial Narrow"/>
        <family val="2"/>
      </rPr>
      <t>end</t>
    </r>
  </si>
  <si>
    <t>SII
escluso ERC</t>
  </si>
  <si>
    <t>Totale SII</t>
  </si>
  <si>
    <t>RACCOLTA DATI TARIFFARI</t>
  </si>
  <si>
    <t>ATO</t>
  </si>
  <si>
    <t>GESTORE</t>
  </si>
  <si>
    <t>ID_ATO</t>
  </si>
  <si>
    <t>campo_vuoto</t>
  </si>
  <si>
    <t>Gestore</t>
  </si>
  <si>
    <t>DATA CALCOLO</t>
  </si>
  <si>
    <r>
      <t>elenco schede</t>
    </r>
    <r>
      <rPr>
        <sz val="14"/>
        <color indexed="56"/>
        <rFont val="Calibri"/>
        <family val="2"/>
      </rPr>
      <t>:</t>
    </r>
  </si>
  <si>
    <t>foglio</t>
  </si>
  <si>
    <t>Capex</t>
  </si>
  <si>
    <t>Ammortamento_Finanziario</t>
  </si>
  <si>
    <t>Soggetti_Scambio</t>
  </si>
  <si>
    <t>Vendita_Servizi_ingrosso</t>
  </si>
  <si>
    <t>Acquisto_Servizi_ingrosso</t>
  </si>
  <si>
    <t>PEF - Piano tariffario</t>
  </si>
  <si>
    <t>piano_tariffario</t>
  </si>
  <si>
    <t>PEF - Conto economico</t>
  </si>
  <si>
    <t>conto_economico</t>
  </si>
  <si>
    <t>PEF - Rendiconto finanziario</t>
  </si>
  <si>
    <t>rendiconto_finanziario</t>
  </si>
  <si>
    <t>FRAMEWORK SCHEMI</t>
  </si>
  <si>
    <t>VRG TETA</t>
  </si>
  <si>
    <t>OPEX</t>
  </si>
  <si>
    <t>TT_Tabelle_Riferimento</t>
  </si>
  <si>
    <t>€/KWh</t>
  </si>
  <si>
    <t>Servizio</t>
  </si>
  <si>
    <t>Volumi erogati / trattati
(m3/anno)</t>
  </si>
  <si>
    <t>QV
(Euro/m3)</t>
  </si>
  <si>
    <t>Utenze
(numero)</t>
  </si>
  <si>
    <t>QF
(Euro/utente/anno)</t>
  </si>
  <si>
    <t>Importo
(Euro/anno)</t>
  </si>
  <si>
    <t>di cui ERC</t>
  </si>
  <si>
    <t>€/abit</t>
  </si>
  <si>
    <t>N</t>
  </si>
  <si>
    <t>C</t>
  </si>
  <si>
    <t>S</t>
  </si>
  <si>
    <t>Unpaid Ratio [UR] reale</t>
  </si>
  <si>
    <t>Tipo affidamento</t>
  </si>
  <si>
    <t>Data inizio affidamento</t>
  </si>
  <si>
    <t>Data fine affidamento</t>
  </si>
  <si>
    <t>Presenza Carta dei servizi</t>
  </si>
  <si>
    <t>FONTI DI FINANZIAMENTO</t>
  </si>
  <si>
    <t>Mezzi Propri</t>
  </si>
  <si>
    <t>Finanziamenti a medio-lungo termine</t>
  </si>
  <si>
    <t>di cui verso società controllate e collegate e verso controllanti</t>
  </si>
  <si>
    <t>Tasso medio finanziamenti a medio-lungo termine</t>
  </si>
  <si>
    <t>Prestiti obbligazionari</t>
  </si>
  <si>
    <t>Tasso medio Prestiti obbligazionari</t>
  </si>
  <si>
    <t>Altre passitivtà consolidate</t>
  </si>
  <si>
    <t>Finanziamenti a breve termine</t>
  </si>
  <si>
    <t>Tasso medio Finanziamenti a breve termine</t>
  </si>
  <si>
    <t>Altre passività correnti</t>
  </si>
  <si>
    <t>Debiti tributari</t>
  </si>
  <si>
    <t>TFR, FONDO RISCHI E ALTRI</t>
  </si>
  <si>
    <t>TFR</t>
  </si>
  <si>
    <t>Fondo di quiescenza</t>
  </si>
  <si>
    <t>Fondo rischi e oneri</t>
  </si>
  <si>
    <t>Fondo rischi su crediti</t>
  </si>
  <si>
    <t>Fondo svalutazione crediti</t>
  </si>
  <si>
    <t>Valore Deposito cauzionale</t>
  </si>
  <si>
    <t>Fondo imposte e tasse (anche differite)</t>
  </si>
  <si>
    <t>Fondo sentenza Corte Costituzionale 335/2008</t>
  </si>
  <si>
    <t>Fondo per il ripristino di beni di terzi</t>
  </si>
  <si>
    <t xml:space="preserve">
</t>
  </si>
  <si>
    <t>Fondo per il finanziamento di tariffe sociali o di solidarietà</t>
  </si>
  <si>
    <t>ALTRI DATI ECONOMICO FINANZIARI</t>
  </si>
  <si>
    <t>MOROSITA'</t>
  </si>
  <si>
    <t>Unpaid Ratio (UR) a 24 mesi effettivamente rilevato</t>
  </si>
  <si>
    <t>IMPOSTE</t>
  </si>
  <si>
    <t>IRES</t>
  </si>
  <si>
    <t>IRAP</t>
  </si>
  <si>
    <t>Imposte differite</t>
  </si>
  <si>
    <t>Imposte anticipate</t>
  </si>
  <si>
    <t>Aliquota media di tassazione, IRAP inclusa</t>
  </si>
  <si>
    <t>Ui1 (importo fatturato componente Ui1)</t>
  </si>
  <si>
    <t>ALTRI DATI PER CALCOLO RC</t>
  </si>
  <si>
    <t>Costi per variazioni sistemiche o per eventi eccezionali</t>
  </si>
  <si>
    <t>Costo delle forniture all’ingrosso transfrontaliere</t>
  </si>
  <si>
    <t>REGIONE</t>
  </si>
  <si>
    <t>Comune_Prov</t>
  </si>
  <si>
    <t>Ente_Ambito</t>
  </si>
  <si>
    <t>PROVINCIA</t>
  </si>
  <si>
    <t>PROV</t>
  </si>
  <si>
    <t>Istat_Comune</t>
  </si>
  <si>
    <t>N/C/S</t>
  </si>
  <si>
    <t>ID_Ente_Ambito</t>
  </si>
  <si>
    <t xml:space="preserve">Abano Terme (PD) </t>
  </si>
  <si>
    <t>Consiglio di Bacino Bacchiglione</t>
  </si>
  <si>
    <t>PD</t>
  </si>
  <si>
    <t>028001</t>
  </si>
  <si>
    <t>Abano Terme</t>
  </si>
  <si>
    <t>ATO 1 - AQUILANO</t>
  </si>
  <si>
    <t xml:space="preserve">Abbadia Cerreto (LO) </t>
  </si>
  <si>
    <t>UFFICIO D'AMBITO DI LODI</t>
  </si>
  <si>
    <t>LO</t>
  </si>
  <si>
    <t>098001</t>
  </si>
  <si>
    <t>Abbadia Cerreto</t>
  </si>
  <si>
    <t>ATO 2 - MARSICANO</t>
  </si>
  <si>
    <t xml:space="preserve">Abbadia Lariana (LC) </t>
  </si>
  <si>
    <t>Ufficio d'ambito di Lecco</t>
  </si>
  <si>
    <t>LC</t>
  </si>
  <si>
    <t>097001</t>
  </si>
  <si>
    <t>Abbadia Lariana</t>
  </si>
  <si>
    <t>ATO 3 - PELIGNO ALTO SANGRO</t>
  </si>
  <si>
    <t xml:space="preserve">Abbadia San Salvatore (SI) </t>
  </si>
  <si>
    <t>052001</t>
  </si>
  <si>
    <t>Abbadia San Salvatore</t>
  </si>
  <si>
    <t>ATO 4 - PESCARA</t>
  </si>
  <si>
    <t xml:space="preserve">Abbasanta (OR) </t>
  </si>
  <si>
    <t>OR</t>
  </si>
  <si>
    <t>Abbasanta</t>
  </si>
  <si>
    <t>ATO 5 - TERAMO</t>
  </si>
  <si>
    <t xml:space="preserve">Abbateggio (PE) </t>
  </si>
  <si>
    <t>PE</t>
  </si>
  <si>
    <t>068001</t>
  </si>
  <si>
    <t>Abbateggio</t>
  </si>
  <si>
    <t>ATO 6 - CHIETI</t>
  </si>
  <si>
    <t xml:space="preserve">Abbiategrasso (MI) </t>
  </si>
  <si>
    <t>MI</t>
  </si>
  <si>
    <t>015002</t>
  </si>
  <si>
    <t>Abbiategrasso</t>
  </si>
  <si>
    <t>ATO BASILICATA</t>
  </si>
  <si>
    <t>PT</t>
  </si>
  <si>
    <t xml:space="preserve">Abriola (PZ) </t>
  </si>
  <si>
    <t>PZ</t>
  </si>
  <si>
    <t>076001</t>
  </si>
  <si>
    <t>Abriola</t>
  </si>
  <si>
    <t xml:space="preserve">Acate (RG) </t>
  </si>
  <si>
    <t>RG</t>
  </si>
  <si>
    <t>088001</t>
  </si>
  <si>
    <t>Acate</t>
  </si>
  <si>
    <t xml:space="preserve">Accadia (FG) </t>
  </si>
  <si>
    <t>Autorità Idrica Pugliese</t>
  </si>
  <si>
    <t>Foggia</t>
  </si>
  <si>
    <t>FG</t>
  </si>
  <si>
    <t>071001</t>
  </si>
  <si>
    <t>Accadia</t>
  </si>
  <si>
    <t xml:space="preserve">Acceglio (CN) </t>
  </si>
  <si>
    <t>CN</t>
  </si>
  <si>
    <t>004001</t>
  </si>
  <si>
    <t>Acceglio</t>
  </si>
  <si>
    <t xml:space="preserve">Accettura (MT) </t>
  </si>
  <si>
    <t>077001</t>
  </si>
  <si>
    <t>Accettura</t>
  </si>
  <si>
    <t xml:space="preserve">Acciano (AQ) </t>
  </si>
  <si>
    <t>AQ</t>
  </si>
  <si>
    <t>066001</t>
  </si>
  <si>
    <t>Acciano</t>
  </si>
  <si>
    <t xml:space="preserve">Accumoli (RI) </t>
  </si>
  <si>
    <t>ATO 3 - LAZIO CENTRALE RIETI</t>
  </si>
  <si>
    <t>RI</t>
  </si>
  <si>
    <t>057001</t>
  </si>
  <si>
    <t>Accumoli</t>
  </si>
  <si>
    <t>Ambito Territoriale Ottimale 2 Lazio Centrale - Roma</t>
  </si>
  <si>
    <t xml:space="preserve">Acerenza (PZ) </t>
  </si>
  <si>
    <t>076002</t>
  </si>
  <si>
    <t>Acerenza</t>
  </si>
  <si>
    <t xml:space="preserve">Acerno (SA) </t>
  </si>
  <si>
    <t>SA</t>
  </si>
  <si>
    <t>065001</t>
  </si>
  <si>
    <t>Acerno</t>
  </si>
  <si>
    <t>ATO 1 - PIACENZA</t>
  </si>
  <si>
    <t xml:space="preserve">Acerra (NA) </t>
  </si>
  <si>
    <t>NA</t>
  </si>
  <si>
    <t>063001</t>
  </si>
  <si>
    <t>Acerra</t>
  </si>
  <si>
    <t>ATO 2 - PARMA</t>
  </si>
  <si>
    <t>Autorità d'Ambito Territoriale Ottimale 5 Lazio Meridionale - Frosinone</t>
  </si>
  <si>
    <t xml:space="preserve">Aci Bonaccorsi (CT) </t>
  </si>
  <si>
    <t>CT</t>
  </si>
  <si>
    <t>087001</t>
  </si>
  <si>
    <t>Aci Bonaccorsi</t>
  </si>
  <si>
    <t>ATO 3 - REGGIO NELL'EMILIA</t>
  </si>
  <si>
    <t xml:space="preserve">Aci Castello (CT) </t>
  </si>
  <si>
    <t>087002</t>
  </si>
  <si>
    <t>Aci Castello</t>
  </si>
  <si>
    <t>ATO 4 - MODENA</t>
  </si>
  <si>
    <t xml:space="preserve">Aci Catena (CT) </t>
  </si>
  <si>
    <t>087003</t>
  </si>
  <si>
    <t>Aci Catena</t>
  </si>
  <si>
    <t>ATO 5 - BOLOGNA</t>
  </si>
  <si>
    <t xml:space="preserve">Aci Sant'Antonio (CT) </t>
  </si>
  <si>
    <t>087005</t>
  </si>
  <si>
    <t>Aci Sant'Antonio</t>
  </si>
  <si>
    <t>ATO 6 - FERRARA</t>
  </si>
  <si>
    <t xml:space="preserve">Acireale (CT) </t>
  </si>
  <si>
    <t>087004</t>
  </si>
  <si>
    <t>Acireale</t>
  </si>
  <si>
    <t>ATO 7 - RAVENNA</t>
  </si>
  <si>
    <t>MC</t>
  </si>
  <si>
    <t xml:space="preserve">Acquafondata (FR) </t>
  </si>
  <si>
    <t>FR</t>
  </si>
  <si>
    <t>060001</t>
  </si>
  <si>
    <t>Acquafondata</t>
  </si>
  <si>
    <t>ATO 9 - RIMINI</t>
  </si>
  <si>
    <t xml:space="preserve">Acquaformosa (CS) </t>
  </si>
  <si>
    <t>CS</t>
  </si>
  <si>
    <t>078001</t>
  </si>
  <si>
    <t>Acquaformosa</t>
  </si>
  <si>
    <t>Ufficio d'Ambito di Como</t>
  </si>
  <si>
    <t xml:space="preserve">Acquafredda (BS) </t>
  </si>
  <si>
    <t>BS</t>
  </si>
  <si>
    <t>017001</t>
  </si>
  <si>
    <t>Acquafredda</t>
  </si>
  <si>
    <t>UFFICIO D'AMBITO DELLA PROVINCIA DI CREMONA</t>
  </si>
  <si>
    <t xml:space="preserve">Acqualagna (PU) </t>
  </si>
  <si>
    <t>PU</t>
  </si>
  <si>
    <t>041001</t>
  </si>
  <si>
    <t>Acqualagna</t>
  </si>
  <si>
    <t xml:space="preserve">Acquanegra Cremonese (CR) </t>
  </si>
  <si>
    <t>CR</t>
  </si>
  <si>
    <t>019001</t>
  </si>
  <si>
    <t>Acquanegra Cremonese</t>
  </si>
  <si>
    <t xml:space="preserve">Acquanegra sul Chiese (MN) </t>
  </si>
  <si>
    <t>UFFICIO DI AMBITO DELLA PROVINCIA DI MANTOVA</t>
  </si>
  <si>
    <t>MN</t>
  </si>
  <si>
    <t>020001</t>
  </si>
  <si>
    <t>Acquanegra sul Chiese</t>
  </si>
  <si>
    <t xml:space="preserve">Acquapendente (VT) </t>
  </si>
  <si>
    <t>VT</t>
  </si>
  <si>
    <t>056001</t>
  </si>
  <si>
    <t>Acquapendente</t>
  </si>
  <si>
    <t>ATO 1 - LAZIO NORD VITERBO</t>
  </si>
  <si>
    <t xml:space="preserve">Acquappesa (CS) </t>
  </si>
  <si>
    <t>078002</t>
  </si>
  <si>
    <t>Acquappesa</t>
  </si>
  <si>
    <t>ATO 2 - LAZIO CENTRALE ROMA</t>
  </si>
  <si>
    <t>Lecce</t>
  </si>
  <si>
    <t>LE</t>
  </si>
  <si>
    <t>UFFICIO D'AMBITO DELLA PROVINCIA DI SONDRIO</t>
  </si>
  <si>
    <t xml:space="preserve">Acquaro (VV) </t>
  </si>
  <si>
    <t>VV</t>
  </si>
  <si>
    <t>Acquaro</t>
  </si>
  <si>
    <t>ATO 4 - LAZIO MERIDIONALE LATINA</t>
  </si>
  <si>
    <t xml:space="preserve">Acquasanta Terme (AP) </t>
  </si>
  <si>
    <t>AP</t>
  </si>
  <si>
    <t>044001</t>
  </si>
  <si>
    <t>Acquasanta Terme</t>
  </si>
  <si>
    <t>ATO 5 - LAZIO MERIDIONALE FROSINONE</t>
  </si>
  <si>
    <t xml:space="preserve">Acquasparta (TR) </t>
  </si>
  <si>
    <t>TR</t>
  </si>
  <si>
    <t>055001</t>
  </si>
  <si>
    <t>Acquasparta</t>
  </si>
  <si>
    <t xml:space="preserve">Acquaviva Collecroce (CB) </t>
  </si>
  <si>
    <t>CB</t>
  </si>
  <si>
    <t>070001</t>
  </si>
  <si>
    <t>Acquaviva Collecroce</t>
  </si>
  <si>
    <t xml:space="preserve">Acquaviva delle Fonti (BA) </t>
  </si>
  <si>
    <t>Bari</t>
  </si>
  <si>
    <t>BA</t>
  </si>
  <si>
    <t>072001</t>
  </si>
  <si>
    <t>Acquaviva delle Fonti</t>
  </si>
  <si>
    <t xml:space="preserve">Acquaviva d'Isernia (IS) </t>
  </si>
  <si>
    <t>IS</t>
  </si>
  <si>
    <t>094001</t>
  </si>
  <si>
    <t>Acquaviva d'Isernia</t>
  </si>
  <si>
    <t xml:space="preserve">Acquaviva Picena (AP) </t>
  </si>
  <si>
    <t>044002</t>
  </si>
  <si>
    <t>Acquaviva Picena</t>
  </si>
  <si>
    <t>ATO BG - BERGAMO</t>
  </si>
  <si>
    <t xml:space="preserve">Acquaviva Platani (CL) </t>
  </si>
  <si>
    <t>CL</t>
  </si>
  <si>
    <t>085001</t>
  </si>
  <si>
    <t>Acquaviva Platani</t>
  </si>
  <si>
    <t>ATO BS - BRESCIA</t>
  </si>
  <si>
    <t xml:space="preserve">Acquedolci (ME) </t>
  </si>
  <si>
    <t>ATO 3 - MESSINA</t>
  </si>
  <si>
    <t>ME</t>
  </si>
  <si>
    <t>083107</t>
  </si>
  <si>
    <t>Acquedolci</t>
  </si>
  <si>
    <t>ATO 1 Verbano Cusio Ossola e Pianura Novarese</t>
  </si>
  <si>
    <t xml:space="preserve">Acqui Terme (AL) </t>
  </si>
  <si>
    <t>AL</t>
  </si>
  <si>
    <t>006001</t>
  </si>
  <si>
    <t>Acqui Terme</t>
  </si>
  <si>
    <t>ATO CO - COMO</t>
  </si>
  <si>
    <t>ATO 2 Biellese, Vercellese e Casalese</t>
  </si>
  <si>
    <t xml:space="preserve">Acri (CS) </t>
  </si>
  <si>
    <t>078003</t>
  </si>
  <si>
    <t>Acri</t>
  </si>
  <si>
    <t>ATO CR - CREMONA</t>
  </si>
  <si>
    <t xml:space="preserve">Acuto (FR) </t>
  </si>
  <si>
    <t>060002</t>
  </si>
  <si>
    <t>Acuto</t>
  </si>
  <si>
    <t>ATO LC - LECCO</t>
  </si>
  <si>
    <t xml:space="preserve">Adelfia (BA) </t>
  </si>
  <si>
    <t>072002</t>
  </si>
  <si>
    <t>Adelfia</t>
  </si>
  <si>
    <t>ATO LO - LODI</t>
  </si>
  <si>
    <t xml:space="preserve">Adrano (CT) </t>
  </si>
  <si>
    <t>087006</t>
  </si>
  <si>
    <t>Adrano</t>
  </si>
  <si>
    <t xml:space="preserve">Adrara San Martino (BG) </t>
  </si>
  <si>
    <t>BG</t>
  </si>
  <si>
    <t>016001</t>
  </si>
  <si>
    <t>Adrara San Martino</t>
  </si>
  <si>
    <t>ATO MN - MANTOVA</t>
  </si>
  <si>
    <t xml:space="preserve">Adrara San Rocco (BG) </t>
  </si>
  <si>
    <t>016002</t>
  </si>
  <si>
    <t>Adrara San Rocco</t>
  </si>
  <si>
    <t>ATO PV - PAVIA</t>
  </si>
  <si>
    <t xml:space="preserve">Adria (RO) </t>
  </si>
  <si>
    <t>RO</t>
  </si>
  <si>
    <t>029001</t>
  </si>
  <si>
    <t>Adria</t>
  </si>
  <si>
    <t>ATO SO - SONDRIO</t>
  </si>
  <si>
    <t>ATO 1 - PALERMO</t>
  </si>
  <si>
    <t xml:space="preserve">Adro (BS) </t>
  </si>
  <si>
    <t>017002</t>
  </si>
  <si>
    <t>Adro</t>
  </si>
  <si>
    <t>ATO VA - VARESE</t>
  </si>
  <si>
    <t xml:space="preserve">Affi (VR) </t>
  </si>
  <si>
    <t>Consiglio di Bacino Veronese</t>
  </si>
  <si>
    <t>VR</t>
  </si>
  <si>
    <t>023001</t>
  </si>
  <si>
    <t>Affi</t>
  </si>
  <si>
    <t>ATO MB - MONZA E DELLA BRIANZA</t>
  </si>
  <si>
    <t xml:space="preserve">Affile (RM) </t>
  </si>
  <si>
    <t>RM</t>
  </si>
  <si>
    <t>058001</t>
  </si>
  <si>
    <t>Affile</t>
  </si>
  <si>
    <t>ATO 1 - MARCHE NORD PESARO E URBINO</t>
  </si>
  <si>
    <t xml:space="preserve">Afragola (NA) </t>
  </si>
  <si>
    <t>063002</t>
  </si>
  <si>
    <t>Afragola</t>
  </si>
  <si>
    <t>ATO 2 - MARCHE CENTRO ANCONA</t>
  </si>
  <si>
    <t xml:space="preserve">Africo (RC) </t>
  </si>
  <si>
    <t>RC</t>
  </si>
  <si>
    <t>080001</t>
  </si>
  <si>
    <t>Africo</t>
  </si>
  <si>
    <t>ATO 3 - MARCHE CENTRO MACERATA</t>
  </si>
  <si>
    <t xml:space="preserve">Agazzano (PC) </t>
  </si>
  <si>
    <t>PC</t>
  </si>
  <si>
    <t>033001</t>
  </si>
  <si>
    <t>Agazzano</t>
  </si>
  <si>
    <t>ATO 4 - MARCHE SUD ALTO PICENO MACERATESE</t>
  </si>
  <si>
    <t>ATO 7 - TRAPANI</t>
  </si>
  <si>
    <t xml:space="preserve">Agerola (NA) </t>
  </si>
  <si>
    <t>063003</t>
  </si>
  <si>
    <t>Agerola</t>
  </si>
  <si>
    <t>ATO 5 - MARCHE SUD ASCOLI PICENO</t>
  </si>
  <si>
    <t>ATO 8 - SIRACUSA</t>
  </si>
  <si>
    <t>Aggius</t>
  </si>
  <si>
    <t>ATO MOLISE</t>
  </si>
  <si>
    <t xml:space="preserve">Agira (EN) </t>
  </si>
  <si>
    <t>EN</t>
  </si>
  <si>
    <t>086001</t>
  </si>
  <si>
    <t>Agira</t>
  </si>
  <si>
    <t>ATO 1 - VERBANO-CUSIO-OSSOLA E PIANURA NOVARESE</t>
  </si>
  <si>
    <t xml:space="preserve">Agliana (PT) </t>
  </si>
  <si>
    <t>047002</t>
  </si>
  <si>
    <t>Agliana</t>
  </si>
  <si>
    <t>ATO 2 - BIELLESE, VERCELLESE, CASALESE</t>
  </si>
  <si>
    <t xml:space="preserve">Agliano Terme (AT) </t>
  </si>
  <si>
    <t>AT</t>
  </si>
  <si>
    <t>005001</t>
  </si>
  <si>
    <t>Agliano Terme</t>
  </si>
  <si>
    <t>ATO 3 - TORINO</t>
  </si>
  <si>
    <t xml:space="preserve">Agliè (TO) </t>
  </si>
  <si>
    <t>TO</t>
  </si>
  <si>
    <t>001001</t>
  </si>
  <si>
    <t>Agliè</t>
  </si>
  <si>
    <t>ATO 4 - CUNEO</t>
  </si>
  <si>
    <t>ATO VALLE D'AOSTA</t>
  </si>
  <si>
    <t>Aglientu</t>
  </si>
  <si>
    <t>ATO 5 - ASTIGIANO, MONFERRATO</t>
  </si>
  <si>
    <t>Consiglio di Bacino "Dolomiti Bellunesi"</t>
  </si>
  <si>
    <t xml:space="preserve">Agna (PD) </t>
  </si>
  <si>
    <t>028002</t>
  </si>
  <si>
    <t>Agna</t>
  </si>
  <si>
    <t>ATO 6 - ALESSANDRIA</t>
  </si>
  <si>
    <t xml:space="preserve">Agnadello (CR) </t>
  </si>
  <si>
    <t>019002</t>
  </si>
  <si>
    <t>Agnadello</t>
  </si>
  <si>
    <t>ATO PUGLIA</t>
  </si>
  <si>
    <t>Consiglio di Bacino Brenta</t>
  </si>
  <si>
    <t xml:space="preserve">Agnana Calabra (RC) </t>
  </si>
  <si>
    <t>080002</t>
  </si>
  <si>
    <t>Agnana Calabra</t>
  </si>
  <si>
    <t xml:space="preserve">Agnone (IS) </t>
  </si>
  <si>
    <t>094002</t>
  </si>
  <si>
    <t>Agnone</t>
  </si>
  <si>
    <t xml:space="preserve">Agnosine (BS) </t>
  </si>
  <si>
    <t>017003</t>
  </si>
  <si>
    <t>Agnosine</t>
  </si>
  <si>
    <t>ATO 2 - CATANIA</t>
  </si>
  <si>
    <t>Consiglio di Bacino Valle del Chiampo</t>
  </si>
  <si>
    <t xml:space="preserve">Agordo (BL) </t>
  </si>
  <si>
    <t>BL</t>
  </si>
  <si>
    <t>025001</t>
  </si>
  <si>
    <t>Agordo</t>
  </si>
  <si>
    <t xml:space="preserve">Agosta (RM) </t>
  </si>
  <si>
    <t>058002</t>
  </si>
  <si>
    <t>Agosta</t>
  </si>
  <si>
    <t>ATO 4 - RAGUSA</t>
  </si>
  <si>
    <t xml:space="preserve">Agra (VA) </t>
  </si>
  <si>
    <t>VA</t>
  </si>
  <si>
    <t>012001</t>
  </si>
  <si>
    <t>Agra</t>
  </si>
  <si>
    <t>ATO 5 - ENNA</t>
  </si>
  <si>
    <t xml:space="preserve">Agrate Brianza (MB) </t>
  </si>
  <si>
    <t>MB</t>
  </si>
  <si>
    <t>Agrate Brianza</t>
  </si>
  <si>
    <t>ATO 6 - CALTANISSETTA</t>
  </si>
  <si>
    <t xml:space="preserve">Agrate Conturbia (NO) </t>
  </si>
  <si>
    <t>003001</t>
  </si>
  <si>
    <t>Agrate Conturbia</t>
  </si>
  <si>
    <t xml:space="preserve">Agrigento (AG) </t>
  </si>
  <si>
    <t>AG</t>
  </si>
  <si>
    <t>084001</t>
  </si>
  <si>
    <t>Agrigento</t>
  </si>
  <si>
    <t xml:space="preserve">Agropoli (SA) </t>
  </si>
  <si>
    <t>065002</t>
  </si>
  <si>
    <t>Agropoli</t>
  </si>
  <si>
    <t>ATO 9 - AGRIGENTO</t>
  </si>
  <si>
    <t xml:space="preserve">Agugliano (AN) </t>
  </si>
  <si>
    <t>AN</t>
  </si>
  <si>
    <t>042001</t>
  </si>
  <si>
    <t>Agugliano</t>
  </si>
  <si>
    <t>ATO 1 - TOSCANA NORD</t>
  </si>
  <si>
    <t xml:space="preserve">Agugliaro (VI) </t>
  </si>
  <si>
    <t>024001</t>
  </si>
  <si>
    <t>Agugliaro</t>
  </si>
  <si>
    <t>ATO 2 - BASSO VALDARNO (PISA)</t>
  </si>
  <si>
    <t xml:space="preserve">Aicurzio (MB) </t>
  </si>
  <si>
    <t>Aicurzio</t>
  </si>
  <si>
    <t>ATO 3 - MEDIO VALDARNO (FIRENZE)</t>
  </si>
  <si>
    <t xml:space="preserve">Aidomaggiore (OR) </t>
  </si>
  <si>
    <t>Aidomaggiore</t>
  </si>
  <si>
    <t>ATO 4 - ALTO VALDARNO (AREZZO)</t>
  </si>
  <si>
    <t xml:space="preserve">Aidone (EN) </t>
  </si>
  <si>
    <t>086002</t>
  </si>
  <si>
    <t>Aidone</t>
  </si>
  <si>
    <t>ATO 5 - TOSCANA COSTA</t>
  </si>
  <si>
    <t xml:space="preserve">Aielli (AQ) </t>
  </si>
  <si>
    <t>066002</t>
  </si>
  <si>
    <t>Aielli</t>
  </si>
  <si>
    <t>ATO 6 - OMBRONE (GROSSETO)</t>
  </si>
  <si>
    <t xml:space="preserve">Aiello Calabro (CS) </t>
  </si>
  <si>
    <t>078004</t>
  </si>
  <si>
    <t>Aiello Calabro</t>
  </si>
  <si>
    <t xml:space="preserve">Aiello del Friuli (UD) </t>
  </si>
  <si>
    <t>UD</t>
  </si>
  <si>
    <t>030001</t>
  </si>
  <si>
    <t>Aiello del Friuli</t>
  </si>
  <si>
    <t xml:space="preserve">Aiello del Sabato (AV) </t>
  </si>
  <si>
    <t>AV</t>
  </si>
  <si>
    <t>064001</t>
  </si>
  <si>
    <t>Aiello del Sabato</t>
  </si>
  <si>
    <t xml:space="preserve">Aieta (CS) </t>
  </si>
  <si>
    <t>078005</t>
  </si>
  <si>
    <t>Aieta</t>
  </si>
  <si>
    <t xml:space="preserve">Ailano (CE) </t>
  </si>
  <si>
    <t>CE</t>
  </si>
  <si>
    <t>061001</t>
  </si>
  <si>
    <t>Ailano</t>
  </si>
  <si>
    <t xml:space="preserve">Ailoche (BI) </t>
  </si>
  <si>
    <t>BI</t>
  </si>
  <si>
    <t>096001</t>
  </si>
  <si>
    <t>Ailoche</t>
  </si>
  <si>
    <t>ATO AV - ALTO VENETO</t>
  </si>
  <si>
    <t xml:space="preserve">Airasca (TO) </t>
  </si>
  <si>
    <t>001002</t>
  </si>
  <si>
    <t>Airasca</t>
  </si>
  <si>
    <t>ATO B - BACCHIGLIONE</t>
  </si>
  <si>
    <t xml:space="preserve">Airola (BN) </t>
  </si>
  <si>
    <t>BN</t>
  </si>
  <si>
    <t>062001</t>
  </si>
  <si>
    <t>Airola</t>
  </si>
  <si>
    <t>ATO BR - BRENTA</t>
  </si>
  <si>
    <t xml:space="preserve">Airole (IM) </t>
  </si>
  <si>
    <t>IM</t>
  </si>
  <si>
    <t>008001</t>
  </si>
  <si>
    <t>Airole</t>
  </si>
  <si>
    <t>ATO LV - LAGUNA DI VENEZIA</t>
  </si>
  <si>
    <t xml:space="preserve">Airuno (LC) </t>
  </si>
  <si>
    <t>097002</t>
  </si>
  <si>
    <t>Airuno</t>
  </si>
  <si>
    <t>ATO P - POLESINE</t>
  </si>
  <si>
    <t xml:space="preserve">Aisone (CN) </t>
  </si>
  <si>
    <t>004002</t>
  </si>
  <si>
    <t>Aisone</t>
  </si>
  <si>
    <t>ATO V - VERONA</t>
  </si>
  <si>
    <t xml:space="preserve">Ala (TN) </t>
  </si>
  <si>
    <t>TN</t>
  </si>
  <si>
    <t>022001</t>
  </si>
  <si>
    <t>Ala</t>
  </si>
  <si>
    <t>ATO VC - VALLE DEL CHIAMPO</t>
  </si>
  <si>
    <t>Alà dei Sardi</t>
  </si>
  <si>
    <t>ATO VO - VENETO ORIENTALE</t>
  </si>
  <si>
    <t xml:space="preserve">Ala di Stura (TO) </t>
  </si>
  <si>
    <t>001003</t>
  </si>
  <si>
    <t>Ala di Stura</t>
  </si>
  <si>
    <t xml:space="preserve">Alagna (PV) </t>
  </si>
  <si>
    <t>PV</t>
  </si>
  <si>
    <t>018001</t>
  </si>
  <si>
    <t>Alagna</t>
  </si>
  <si>
    <t xml:space="preserve">Alagna Valsesia (VC) </t>
  </si>
  <si>
    <t>VC</t>
  </si>
  <si>
    <t>002002</t>
  </si>
  <si>
    <t>Alagna Valsesia</t>
  </si>
  <si>
    <t xml:space="preserve">Alanno (PE) </t>
  </si>
  <si>
    <t>068002</t>
  </si>
  <si>
    <t>Alanno</t>
  </si>
  <si>
    <t xml:space="preserve">Alassio (SV) </t>
  </si>
  <si>
    <t>SV</t>
  </si>
  <si>
    <t>009001</t>
  </si>
  <si>
    <t>Alassio</t>
  </si>
  <si>
    <t xml:space="preserve">Alatri (FR) </t>
  </si>
  <si>
    <t>060003</t>
  </si>
  <si>
    <t>Alatri</t>
  </si>
  <si>
    <t xml:space="preserve">Alba (CN) </t>
  </si>
  <si>
    <t>004003</t>
  </si>
  <si>
    <t>Alba</t>
  </si>
  <si>
    <t xml:space="preserve">Alba Adriatica (TE) </t>
  </si>
  <si>
    <t>TE</t>
  </si>
  <si>
    <t>067001</t>
  </si>
  <si>
    <t>Alba Adriatica</t>
  </si>
  <si>
    <t xml:space="preserve">Albagiara (OR) </t>
  </si>
  <si>
    <t>Albagiara</t>
  </si>
  <si>
    <t xml:space="preserve">Albairate (MI) </t>
  </si>
  <si>
    <t>015005</t>
  </si>
  <si>
    <t>Albairate</t>
  </si>
  <si>
    <t xml:space="preserve">Albanella (SA) </t>
  </si>
  <si>
    <t>065003</t>
  </si>
  <si>
    <t>Albanella</t>
  </si>
  <si>
    <t xml:space="preserve">Albano di Lucania (PZ) </t>
  </si>
  <si>
    <t>076003</t>
  </si>
  <si>
    <t>Albano di Lucania</t>
  </si>
  <si>
    <t xml:space="preserve">Albano Laziale (RM) </t>
  </si>
  <si>
    <t>058003</t>
  </si>
  <si>
    <t>Albano Laziale</t>
  </si>
  <si>
    <t xml:space="preserve">Albano Sant'Alessandro (BG) </t>
  </si>
  <si>
    <t>016003</t>
  </si>
  <si>
    <t>Albano Sant'Alessandro</t>
  </si>
  <si>
    <t xml:space="preserve">Albano Vercellese (VC) </t>
  </si>
  <si>
    <t>002003</t>
  </si>
  <si>
    <t>Albano Vercellese</t>
  </si>
  <si>
    <t xml:space="preserve">Albaredo d'Adige (VR) </t>
  </si>
  <si>
    <t>023002</t>
  </si>
  <si>
    <t>Albaredo d'Adige</t>
  </si>
  <si>
    <t xml:space="preserve">Albaredo per San Marco (SO) </t>
  </si>
  <si>
    <t>SO</t>
  </si>
  <si>
    <t>014001</t>
  </si>
  <si>
    <t>Albaredo per San Marco</t>
  </si>
  <si>
    <t xml:space="preserve">Albareto (PR) </t>
  </si>
  <si>
    <t>PR</t>
  </si>
  <si>
    <t>034001</t>
  </si>
  <si>
    <t>Albareto</t>
  </si>
  <si>
    <t xml:space="preserve">Albaretto della Torre (CN) </t>
  </si>
  <si>
    <t>004004</t>
  </si>
  <si>
    <t>Albaretto della Torre</t>
  </si>
  <si>
    <t xml:space="preserve">Albavilla (CO) </t>
  </si>
  <si>
    <t>CO</t>
  </si>
  <si>
    <t>013003</t>
  </si>
  <si>
    <t>Albavilla</t>
  </si>
  <si>
    <t xml:space="preserve">Albenga (SV) </t>
  </si>
  <si>
    <t>009002</t>
  </si>
  <si>
    <t>Albenga</t>
  </si>
  <si>
    <t xml:space="preserve">Albera Ligure (AL) </t>
  </si>
  <si>
    <t>006002</t>
  </si>
  <si>
    <t>Albera Ligure</t>
  </si>
  <si>
    <t xml:space="preserve">Alberobello (BA) </t>
  </si>
  <si>
    <t>072003</t>
  </si>
  <si>
    <t>Alberobello</t>
  </si>
  <si>
    <t xml:space="preserve">Alberona (FG) </t>
  </si>
  <si>
    <t>071002</t>
  </si>
  <si>
    <t>Alberona</t>
  </si>
  <si>
    <t xml:space="preserve">Albese con Cassano (CO) </t>
  </si>
  <si>
    <t>013004</t>
  </si>
  <si>
    <t>Albese con Cassano</t>
  </si>
  <si>
    <t xml:space="preserve">Albettone (VI) </t>
  </si>
  <si>
    <t>024002</t>
  </si>
  <si>
    <t>Albettone</t>
  </si>
  <si>
    <t xml:space="preserve">Albi (CZ) </t>
  </si>
  <si>
    <t>CZ</t>
  </si>
  <si>
    <t>079002</t>
  </si>
  <si>
    <t>Albi</t>
  </si>
  <si>
    <t xml:space="preserve">Albiano (TN) </t>
  </si>
  <si>
    <t>022002</t>
  </si>
  <si>
    <t>Albiano</t>
  </si>
  <si>
    <t xml:space="preserve">Albiano d'Ivrea (TO) </t>
  </si>
  <si>
    <t>001004</t>
  </si>
  <si>
    <t>Albiano d'Ivrea</t>
  </si>
  <si>
    <t xml:space="preserve">Albiate (MB) </t>
  </si>
  <si>
    <t>Albiate</t>
  </si>
  <si>
    <t xml:space="preserve">Albidona (CS) </t>
  </si>
  <si>
    <t>078006</t>
  </si>
  <si>
    <t>Albidona</t>
  </si>
  <si>
    <t xml:space="preserve">Albignasego (PD) </t>
  </si>
  <si>
    <t>028003</t>
  </si>
  <si>
    <t>Albignasego</t>
  </si>
  <si>
    <t xml:space="preserve">Albinea (RE) </t>
  </si>
  <si>
    <t>RE</t>
  </si>
  <si>
    <t>035001</t>
  </si>
  <si>
    <t>Albinea</t>
  </si>
  <si>
    <t xml:space="preserve">Albino (BG) </t>
  </si>
  <si>
    <t>016004</t>
  </si>
  <si>
    <t>Albino</t>
  </si>
  <si>
    <t xml:space="preserve">Albiolo (CO) </t>
  </si>
  <si>
    <t>013005</t>
  </si>
  <si>
    <t>Albiolo</t>
  </si>
  <si>
    <t xml:space="preserve">Albisola Superiore (SV) </t>
  </si>
  <si>
    <t>009004</t>
  </si>
  <si>
    <t>Albisola Superiore</t>
  </si>
  <si>
    <t xml:space="preserve">Albissola Marina (SV) </t>
  </si>
  <si>
    <t>009003</t>
  </si>
  <si>
    <t>Albissola Marina</t>
  </si>
  <si>
    <t xml:space="preserve">Albizzate (VA) </t>
  </si>
  <si>
    <t>012002</t>
  </si>
  <si>
    <t>Albizzate</t>
  </si>
  <si>
    <t xml:space="preserve">Albonese (PV) </t>
  </si>
  <si>
    <t>018003</t>
  </si>
  <si>
    <t>Albonese</t>
  </si>
  <si>
    <t xml:space="preserve">Albosaggia (SO) </t>
  </si>
  <si>
    <t>014002</t>
  </si>
  <si>
    <t>Albosaggia</t>
  </si>
  <si>
    <t xml:space="preserve">Albugnano (AT) </t>
  </si>
  <si>
    <t>005002</t>
  </si>
  <si>
    <t>Albugnano</t>
  </si>
  <si>
    <t xml:space="preserve">Albuzzano (PV) </t>
  </si>
  <si>
    <t>018004</t>
  </si>
  <si>
    <t>Albuzzano</t>
  </si>
  <si>
    <t xml:space="preserve">Alcamo (TP) </t>
  </si>
  <si>
    <t>TP</t>
  </si>
  <si>
    <t>081001</t>
  </si>
  <si>
    <t>Alcamo</t>
  </si>
  <si>
    <t xml:space="preserve">Alcara li Fusi (ME) </t>
  </si>
  <si>
    <t>083001</t>
  </si>
  <si>
    <t>Alcara li Fusi</t>
  </si>
  <si>
    <t xml:space="preserve">Aldeno (TN) </t>
  </si>
  <si>
    <t>022003</t>
  </si>
  <si>
    <t>Aldeno</t>
  </si>
  <si>
    <t>BZ</t>
  </si>
  <si>
    <t>021001</t>
  </si>
  <si>
    <t xml:space="preserve">Ales (OR) </t>
  </si>
  <si>
    <t>Ales</t>
  </si>
  <si>
    <t xml:space="preserve">Alessandria (AL) </t>
  </si>
  <si>
    <t>006003</t>
  </si>
  <si>
    <t>Alessandria</t>
  </si>
  <si>
    <t xml:space="preserve">Alessandria del Carretto (CS) </t>
  </si>
  <si>
    <t>078007</t>
  </si>
  <si>
    <t>Alessandria del Carretto</t>
  </si>
  <si>
    <t xml:space="preserve">Alessandria della Rocca (AG) </t>
  </si>
  <si>
    <t>084002</t>
  </si>
  <si>
    <t>Alessandria della Rocca</t>
  </si>
  <si>
    <t xml:space="preserve">Alessano (LE) </t>
  </si>
  <si>
    <t>075002</t>
  </si>
  <si>
    <t>Alessano</t>
  </si>
  <si>
    <t xml:space="preserve">Alezio (LE) </t>
  </si>
  <si>
    <t>075003</t>
  </si>
  <si>
    <t>Alezio</t>
  </si>
  <si>
    <t xml:space="preserve">Alfano (SA) </t>
  </si>
  <si>
    <t>065004</t>
  </si>
  <si>
    <t>Alfano</t>
  </si>
  <si>
    <t xml:space="preserve">Alfedena (AQ) </t>
  </si>
  <si>
    <t>066003</t>
  </si>
  <si>
    <t>Alfedena</t>
  </si>
  <si>
    <t xml:space="preserve">Alfianello (BS) </t>
  </si>
  <si>
    <t>017004</t>
  </si>
  <si>
    <t>Alfianello</t>
  </si>
  <si>
    <t xml:space="preserve">Alfiano Natta (AL) </t>
  </si>
  <si>
    <t>006004</t>
  </si>
  <si>
    <t>Alfiano Natta</t>
  </si>
  <si>
    <t xml:space="preserve">Alfonsine (RA) </t>
  </si>
  <si>
    <t>RA</t>
  </si>
  <si>
    <t>039001</t>
  </si>
  <si>
    <t>Alfonsine</t>
  </si>
  <si>
    <t xml:space="preserve">Alghero (SS) </t>
  </si>
  <si>
    <t>SS</t>
  </si>
  <si>
    <t>Alghero</t>
  </si>
  <si>
    <t xml:space="preserve">Algua (BG) </t>
  </si>
  <si>
    <t>016248</t>
  </si>
  <si>
    <t>Algua</t>
  </si>
  <si>
    <t xml:space="preserve">Alì (ME) </t>
  </si>
  <si>
    <t>083002</t>
  </si>
  <si>
    <t>Alì</t>
  </si>
  <si>
    <t xml:space="preserve">Alì Terme (ME) </t>
  </si>
  <si>
    <t>083003</t>
  </si>
  <si>
    <t>Alì Terme</t>
  </si>
  <si>
    <t xml:space="preserve">Alia (PA) </t>
  </si>
  <si>
    <t>PA</t>
  </si>
  <si>
    <t>082001</t>
  </si>
  <si>
    <t>Alia</t>
  </si>
  <si>
    <t xml:space="preserve">Aliano (MT) </t>
  </si>
  <si>
    <t>077002</t>
  </si>
  <si>
    <t>Aliano</t>
  </si>
  <si>
    <t xml:space="preserve">Alice Bel Colle (AL) </t>
  </si>
  <si>
    <t>006005</t>
  </si>
  <si>
    <t>Alice Bel Colle</t>
  </si>
  <si>
    <t xml:space="preserve">Alice Castello (VC) </t>
  </si>
  <si>
    <t>002004</t>
  </si>
  <si>
    <t>Alice Castello</t>
  </si>
  <si>
    <t xml:space="preserve">Alife (CE) </t>
  </si>
  <si>
    <t>061002</t>
  </si>
  <si>
    <t>Alife</t>
  </si>
  <si>
    <t xml:space="preserve">Alimena (PA) </t>
  </si>
  <si>
    <t>082002</t>
  </si>
  <si>
    <t>Alimena</t>
  </si>
  <si>
    <t xml:space="preserve">Aliminusa (PA) </t>
  </si>
  <si>
    <t>082003</t>
  </si>
  <si>
    <t>Aliminusa</t>
  </si>
  <si>
    <t xml:space="preserve">Allai (OR) </t>
  </si>
  <si>
    <t>Allai</t>
  </si>
  <si>
    <t xml:space="preserve">Alleghe (BL) </t>
  </si>
  <si>
    <t>025003</t>
  </si>
  <si>
    <t>Alleghe</t>
  </si>
  <si>
    <t xml:space="preserve">Allein (AO) </t>
  </si>
  <si>
    <t>AO</t>
  </si>
  <si>
    <t>007001</t>
  </si>
  <si>
    <t>Allein</t>
  </si>
  <si>
    <t xml:space="preserve">Allerona (TR) </t>
  </si>
  <si>
    <t>055002</t>
  </si>
  <si>
    <t>Allerona</t>
  </si>
  <si>
    <t xml:space="preserve">Alliste (LE) </t>
  </si>
  <si>
    <t>075004</t>
  </si>
  <si>
    <t>Alliste</t>
  </si>
  <si>
    <t xml:space="preserve">Allumiere (RM) </t>
  </si>
  <si>
    <t>058004</t>
  </si>
  <si>
    <t>Allumiere</t>
  </si>
  <si>
    <t xml:space="preserve">Almè (BG) </t>
  </si>
  <si>
    <t>016005</t>
  </si>
  <si>
    <t>Almè</t>
  </si>
  <si>
    <t xml:space="preserve">Almenno San Bartolomeo (BG) </t>
  </si>
  <si>
    <t>016006</t>
  </si>
  <si>
    <t>Almenno San Bartolomeo</t>
  </si>
  <si>
    <t xml:space="preserve">Almenno San Salvatore (BG) </t>
  </si>
  <si>
    <t>016007</t>
  </si>
  <si>
    <t>Almenno San Salvatore</t>
  </si>
  <si>
    <t xml:space="preserve">Almese (TO) </t>
  </si>
  <si>
    <t>001006</t>
  </si>
  <si>
    <t>Almese</t>
  </si>
  <si>
    <t xml:space="preserve">Alonte (VI) </t>
  </si>
  <si>
    <t>024003</t>
  </si>
  <si>
    <t>Alonte</t>
  </si>
  <si>
    <t xml:space="preserve">Alpette (TO) </t>
  </si>
  <si>
    <t>001007</t>
  </si>
  <si>
    <t>Alpette</t>
  </si>
  <si>
    <t xml:space="preserve">Alpignano (TO) </t>
  </si>
  <si>
    <t>001008</t>
  </si>
  <si>
    <t>Alpignano</t>
  </si>
  <si>
    <t xml:space="preserve">Alseno (PC) </t>
  </si>
  <si>
    <t>033002</t>
  </si>
  <si>
    <t>Alseno</t>
  </si>
  <si>
    <t xml:space="preserve">Alserio (CO) </t>
  </si>
  <si>
    <t>013006</t>
  </si>
  <si>
    <t>Alserio</t>
  </si>
  <si>
    <t xml:space="preserve">Altamura (BA) </t>
  </si>
  <si>
    <t>072004</t>
  </si>
  <si>
    <t>Altamura</t>
  </si>
  <si>
    <t xml:space="preserve">Altare (SV) </t>
  </si>
  <si>
    <t>009005</t>
  </si>
  <si>
    <t>Altare</t>
  </si>
  <si>
    <t xml:space="preserve">Altavilla Irpina (AV) </t>
  </si>
  <si>
    <t>064002</t>
  </si>
  <si>
    <t>Altavilla Irpina</t>
  </si>
  <si>
    <t xml:space="preserve">Altavilla Milicia (PA) </t>
  </si>
  <si>
    <t>082004</t>
  </si>
  <si>
    <t>Altavilla Milicia</t>
  </si>
  <si>
    <t xml:space="preserve">Altavilla Monferrato (AL) </t>
  </si>
  <si>
    <t>006007</t>
  </si>
  <si>
    <t>Altavilla Monferrato</t>
  </si>
  <si>
    <t xml:space="preserve">Altavilla Silentina (SA) </t>
  </si>
  <si>
    <t>065005</t>
  </si>
  <si>
    <t>Altavilla Silentina</t>
  </si>
  <si>
    <t xml:space="preserve">Altavilla Vicentina (VI) </t>
  </si>
  <si>
    <t>024004</t>
  </si>
  <si>
    <t>Altavilla Vicentina</t>
  </si>
  <si>
    <t xml:space="preserve">Altidona (FM) </t>
  </si>
  <si>
    <t>FM</t>
  </si>
  <si>
    <t>Altidona</t>
  </si>
  <si>
    <t xml:space="preserve">Altilia (CS) </t>
  </si>
  <si>
    <t>078008</t>
  </si>
  <si>
    <t>Altilia</t>
  </si>
  <si>
    <t xml:space="preserve">Altino (CH) </t>
  </si>
  <si>
    <t>CH</t>
  </si>
  <si>
    <t>069001</t>
  </si>
  <si>
    <t>Altino</t>
  </si>
  <si>
    <t xml:space="preserve">Altissimo (VI) </t>
  </si>
  <si>
    <t>024005</t>
  </si>
  <si>
    <t>Altissimo</t>
  </si>
  <si>
    <t xml:space="preserve">Altivole (TV) </t>
  </si>
  <si>
    <t>TV</t>
  </si>
  <si>
    <t>026001</t>
  </si>
  <si>
    <t>Altivole</t>
  </si>
  <si>
    <t xml:space="preserve">Alto (CN) </t>
  </si>
  <si>
    <t>004005</t>
  </si>
  <si>
    <t>Alto</t>
  </si>
  <si>
    <t xml:space="preserve">Altofonte (PA) </t>
  </si>
  <si>
    <t>082005</t>
  </si>
  <si>
    <t>Altofonte</t>
  </si>
  <si>
    <t xml:space="preserve">Altomonte (CS) </t>
  </si>
  <si>
    <t>078009</t>
  </si>
  <si>
    <t>Altomonte</t>
  </si>
  <si>
    <t xml:space="preserve">Altopascio (LU) </t>
  </si>
  <si>
    <t>LU</t>
  </si>
  <si>
    <t>046001</t>
  </si>
  <si>
    <t>Altopascio</t>
  </si>
  <si>
    <t xml:space="preserve">Alviano (TR) </t>
  </si>
  <si>
    <t>055003</t>
  </si>
  <si>
    <t>Alviano</t>
  </si>
  <si>
    <t xml:space="preserve">Alvignano (CE) </t>
  </si>
  <si>
    <t>061003</t>
  </si>
  <si>
    <t>Alvignano</t>
  </si>
  <si>
    <t xml:space="preserve">Alvito (FR) </t>
  </si>
  <si>
    <t>060004</t>
  </si>
  <si>
    <t>Alvito</t>
  </si>
  <si>
    <t xml:space="preserve">Alzano Lombardo (BG) </t>
  </si>
  <si>
    <t>016008</t>
  </si>
  <si>
    <t>Alzano Lombardo</t>
  </si>
  <si>
    <t xml:space="preserve">Alzano Scrivia (AL) </t>
  </si>
  <si>
    <t>006008</t>
  </si>
  <si>
    <t>Alzano Scrivia</t>
  </si>
  <si>
    <t xml:space="preserve">Alzate Brianza (CO) </t>
  </si>
  <si>
    <t>013007</t>
  </si>
  <si>
    <t>Alzate Brianza</t>
  </si>
  <si>
    <t xml:space="preserve">Amalfi (SA) </t>
  </si>
  <si>
    <t>065006</t>
  </si>
  <si>
    <t>Amalfi</t>
  </si>
  <si>
    <t xml:space="preserve">Amandola (FM) </t>
  </si>
  <si>
    <t>Amandola</t>
  </si>
  <si>
    <t xml:space="preserve">Amantea (CS) </t>
  </si>
  <si>
    <t>078010</t>
  </si>
  <si>
    <t>Amantea</t>
  </si>
  <si>
    <t xml:space="preserve">Amaro (UD) </t>
  </si>
  <si>
    <t>030002</t>
  </si>
  <si>
    <t>Amaro</t>
  </si>
  <si>
    <t xml:space="preserve">Amaroni (CZ) </t>
  </si>
  <si>
    <t>079003</t>
  </si>
  <si>
    <t>Amaroni</t>
  </si>
  <si>
    <t xml:space="preserve">Amaseno (FR) </t>
  </si>
  <si>
    <t>060005</t>
  </si>
  <si>
    <t>Amaseno</t>
  </si>
  <si>
    <t xml:space="preserve">Amato (CZ) </t>
  </si>
  <si>
    <t>079004</t>
  </si>
  <si>
    <t>Amato</t>
  </si>
  <si>
    <t xml:space="preserve">Amatrice (RI) </t>
  </si>
  <si>
    <t>057002</t>
  </si>
  <si>
    <t>Amatrice</t>
  </si>
  <si>
    <t xml:space="preserve">Ambivere (BG) </t>
  </si>
  <si>
    <t>016009</t>
  </si>
  <si>
    <t>Ambivere</t>
  </si>
  <si>
    <t xml:space="preserve">Ameglia (SP) </t>
  </si>
  <si>
    <t>SP</t>
  </si>
  <si>
    <t>011001</t>
  </si>
  <si>
    <t>Ameglia</t>
  </si>
  <si>
    <t xml:space="preserve">Amelia (TR) </t>
  </si>
  <si>
    <t>055004</t>
  </si>
  <si>
    <t>Amelia</t>
  </si>
  <si>
    <t xml:space="preserve">Amendolara (CS) </t>
  </si>
  <si>
    <t>078011</t>
  </si>
  <si>
    <t>Amendolara</t>
  </si>
  <si>
    <t xml:space="preserve">Ameno (NO) </t>
  </si>
  <si>
    <t>003002</t>
  </si>
  <si>
    <t>Ameno</t>
  </si>
  <si>
    <t xml:space="preserve">Amorosi (BN) </t>
  </si>
  <si>
    <t>062002</t>
  </si>
  <si>
    <t>Amorosi</t>
  </si>
  <si>
    <t xml:space="preserve">Ampezzo (UD) </t>
  </si>
  <si>
    <t>030003</t>
  </si>
  <si>
    <t>Ampezzo</t>
  </si>
  <si>
    <t xml:space="preserve">Anacapri (NA) </t>
  </si>
  <si>
    <t>063004</t>
  </si>
  <si>
    <t>Anacapri</t>
  </si>
  <si>
    <t xml:space="preserve">Anagni (FR) </t>
  </si>
  <si>
    <t>060006</t>
  </si>
  <si>
    <t>Anagni</t>
  </si>
  <si>
    <t xml:space="preserve">Ancarano (TE) </t>
  </si>
  <si>
    <t>067002</t>
  </si>
  <si>
    <t>Ancarano</t>
  </si>
  <si>
    <t xml:space="preserve">Ancona (AN) </t>
  </si>
  <si>
    <t>042002</t>
  </si>
  <si>
    <t>Ancona</t>
  </si>
  <si>
    <t xml:space="preserve">Andali (CZ) </t>
  </si>
  <si>
    <t>079005</t>
  </si>
  <si>
    <t>Andali</t>
  </si>
  <si>
    <t xml:space="preserve">Andalo (TN) </t>
  </si>
  <si>
    <t>022005</t>
  </si>
  <si>
    <t>Andalo</t>
  </si>
  <si>
    <t xml:space="preserve">Andalo Valtellino (SO) </t>
  </si>
  <si>
    <t>014003</t>
  </si>
  <si>
    <t>Andalo Valtellino</t>
  </si>
  <si>
    <t xml:space="preserve">Andezeno (TO) </t>
  </si>
  <si>
    <t>001009</t>
  </si>
  <si>
    <t>Andezeno</t>
  </si>
  <si>
    <t xml:space="preserve">Andora (SV) </t>
  </si>
  <si>
    <t>009006</t>
  </si>
  <si>
    <t>Andora</t>
  </si>
  <si>
    <t xml:space="preserve">Andorno Micca (BI) </t>
  </si>
  <si>
    <t>096002</t>
  </si>
  <si>
    <t>Andorno Micca</t>
  </si>
  <si>
    <t xml:space="preserve">Andrano (LE) </t>
  </si>
  <si>
    <t>075005</t>
  </si>
  <si>
    <t>Andrano</t>
  </si>
  <si>
    <t xml:space="preserve">Andrate (TO) </t>
  </si>
  <si>
    <t>001010</t>
  </si>
  <si>
    <t>Andrate</t>
  </si>
  <si>
    <t xml:space="preserve">Andreis (PN) </t>
  </si>
  <si>
    <t>PN</t>
  </si>
  <si>
    <t>093001</t>
  </si>
  <si>
    <t>Andreis</t>
  </si>
  <si>
    <t xml:space="preserve">Andretta (AV) </t>
  </si>
  <si>
    <t>064003</t>
  </si>
  <si>
    <t>Andretta</t>
  </si>
  <si>
    <t xml:space="preserve">Andria (BT) </t>
  </si>
  <si>
    <t>Barletta-Andria-Trani</t>
  </si>
  <si>
    <t>BT</t>
  </si>
  <si>
    <t>Andria</t>
  </si>
  <si>
    <t>021002</t>
  </si>
  <si>
    <t xml:space="preserve">Anela (SS) </t>
  </si>
  <si>
    <t>Anela</t>
  </si>
  <si>
    <t xml:space="preserve">Anfo (BS) </t>
  </si>
  <si>
    <t>017005</t>
  </si>
  <si>
    <t>Anfo</t>
  </si>
  <si>
    <t xml:space="preserve">Angera (VA) </t>
  </si>
  <si>
    <t>012003</t>
  </si>
  <si>
    <t>Angera</t>
  </si>
  <si>
    <t xml:space="preserve">Anghiari (AR) </t>
  </si>
  <si>
    <t>AR</t>
  </si>
  <si>
    <t>051001</t>
  </si>
  <si>
    <t>Anghiari</t>
  </si>
  <si>
    <t xml:space="preserve">Angiari (VR) </t>
  </si>
  <si>
    <t>023003</t>
  </si>
  <si>
    <t>Angiari</t>
  </si>
  <si>
    <t xml:space="preserve">Angolo Terme (BS) </t>
  </si>
  <si>
    <t>017006</t>
  </si>
  <si>
    <t>Angolo Terme</t>
  </si>
  <si>
    <t xml:space="preserve">Angri (SA) </t>
  </si>
  <si>
    <t>065007</t>
  </si>
  <si>
    <t>Angri</t>
  </si>
  <si>
    <t xml:space="preserve">Angrogna (TO) </t>
  </si>
  <si>
    <t>001011</t>
  </si>
  <si>
    <t>Angrogna</t>
  </si>
  <si>
    <t xml:space="preserve">Anguillara Sabazia (RM) </t>
  </si>
  <si>
    <t>058005</t>
  </si>
  <si>
    <t>Anguillara Sabazia</t>
  </si>
  <si>
    <t xml:space="preserve">Anguillara Veneta (PD) </t>
  </si>
  <si>
    <t>028004</t>
  </si>
  <si>
    <t>Anguillara Veneta</t>
  </si>
  <si>
    <t xml:space="preserve">Annicco (CR) </t>
  </si>
  <si>
    <t>019003</t>
  </si>
  <si>
    <t>Annicco</t>
  </si>
  <si>
    <t xml:space="preserve">Annone di Brianza (LC) </t>
  </si>
  <si>
    <t>097003</t>
  </si>
  <si>
    <t>Annone di Brianza</t>
  </si>
  <si>
    <t xml:space="preserve">Annone Veneto (VE) </t>
  </si>
  <si>
    <t>VE</t>
  </si>
  <si>
    <t>027001</t>
  </si>
  <si>
    <t>Annone Veneto</t>
  </si>
  <si>
    <t xml:space="preserve">Anoia (RC) </t>
  </si>
  <si>
    <t>080003</t>
  </si>
  <si>
    <t>Anoia</t>
  </si>
  <si>
    <t xml:space="preserve">Antegnate (BG) </t>
  </si>
  <si>
    <t>016010</t>
  </si>
  <si>
    <t>Antegnate</t>
  </si>
  <si>
    <t>021003</t>
  </si>
  <si>
    <t>007002</t>
  </si>
  <si>
    <t xml:space="preserve">Anticoli Corrado (RM) </t>
  </si>
  <si>
    <t>058006</t>
  </si>
  <si>
    <t>Anticoli Corrado</t>
  </si>
  <si>
    <t xml:space="preserve">Antignano (AT) </t>
  </si>
  <si>
    <t>005003</t>
  </si>
  <si>
    <t>Antignano</t>
  </si>
  <si>
    <t xml:space="preserve">Antillo (ME) </t>
  </si>
  <si>
    <t>083004</t>
  </si>
  <si>
    <t>Antillo</t>
  </si>
  <si>
    <t xml:space="preserve">Antonimina (RC) </t>
  </si>
  <si>
    <t>080004</t>
  </si>
  <si>
    <t>Antonimina</t>
  </si>
  <si>
    <t xml:space="preserve">Antrodoco (RI) </t>
  </si>
  <si>
    <t>057003</t>
  </si>
  <si>
    <t>Antrodoco</t>
  </si>
  <si>
    <t xml:space="preserve">Antrona Schieranco (VB) </t>
  </si>
  <si>
    <t>VB</t>
  </si>
  <si>
    <t>Antrona Schieranco</t>
  </si>
  <si>
    <t xml:space="preserve">Anversa degli Abruzzi (AQ) </t>
  </si>
  <si>
    <t>066004</t>
  </si>
  <si>
    <t>Anversa degli Abruzzi</t>
  </si>
  <si>
    <t xml:space="preserve">Anzano del Parco (CO) </t>
  </si>
  <si>
    <t>013009</t>
  </si>
  <si>
    <t>Anzano del Parco</t>
  </si>
  <si>
    <t xml:space="preserve">Anzano di Puglia (FG) </t>
  </si>
  <si>
    <t>071003</t>
  </si>
  <si>
    <t>Anzano di Puglia</t>
  </si>
  <si>
    <t xml:space="preserve">Anzi (PZ) </t>
  </si>
  <si>
    <t>076004</t>
  </si>
  <si>
    <t>Anzi</t>
  </si>
  <si>
    <t xml:space="preserve">Anzio (RM) </t>
  </si>
  <si>
    <t>058007</t>
  </si>
  <si>
    <t>Anzio</t>
  </si>
  <si>
    <t xml:space="preserve">Anzola dell'Emilia (BO) </t>
  </si>
  <si>
    <t>BO</t>
  </si>
  <si>
    <t>037001</t>
  </si>
  <si>
    <t>Anzola dell'Emilia</t>
  </si>
  <si>
    <t xml:space="preserve">Anzola d'Ossola (VB) </t>
  </si>
  <si>
    <t>Anzola d'Ossola</t>
  </si>
  <si>
    <t xml:space="preserve">Aosta (AO) </t>
  </si>
  <si>
    <t>007003</t>
  </si>
  <si>
    <t>Aosta</t>
  </si>
  <si>
    <t xml:space="preserve">Apecchio (PU) </t>
  </si>
  <si>
    <t>041002</t>
  </si>
  <si>
    <t>Apecchio</t>
  </si>
  <si>
    <t xml:space="preserve">Apice (BN) </t>
  </si>
  <si>
    <t>062003</t>
  </si>
  <si>
    <t>Apice</t>
  </si>
  <si>
    <t xml:space="preserve">Apiro (MC) </t>
  </si>
  <si>
    <t>043002</t>
  </si>
  <si>
    <t>Apiro</t>
  </si>
  <si>
    <t xml:space="preserve">Apollosa (BN) </t>
  </si>
  <si>
    <t>062004</t>
  </si>
  <si>
    <t>Apollosa</t>
  </si>
  <si>
    <t xml:space="preserve">Appiano Gentile (CO) </t>
  </si>
  <si>
    <t>013010</t>
  </si>
  <si>
    <t>Appiano Gentile</t>
  </si>
  <si>
    <t>021004</t>
  </si>
  <si>
    <t xml:space="preserve">Appignano (MC) </t>
  </si>
  <si>
    <t>043003</t>
  </si>
  <si>
    <t>Appignano</t>
  </si>
  <si>
    <t xml:space="preserve">Appignano del Tronto (AP) </t>
  </si>
  <si>
    <t>044005</t>
  </si>
  <si>
    <t>Appignano del Tronto</t>
  </si>
  <si>
    <t xml:space="preserve">Aprica (SO) </t>
  </si>
  <si>
    <t>014004</t>
  </si>
  <si>
    <t>Aprica</t>
  </si>
  <si>
    <t xml:space="preserve">Apricale (IM) </t>
  </si>
  <si>
    <t>008002</t>
  </si>
  <si>
    <t>Apricale</t>
  </si>
  <si>
    <t xml:space="preserve">Apricena (FG) </t>
  </si>
  <si>
    <t>071004</t>
  </si>
  <si>
    <t>Apricena</t>
  </si>
  <si>
    <t xml:space="preserve">Aprigliano (CS) </t>
  </si>
  <si>
    <t>078012</t>
  </si>
  <si>
    <t>Aprigliano</t>
  </si>
  <si>
    <t xml:space="preserve">Aprilia (LT) </t>
  </si>
  <si>
    <t>LT</t>
  </si>
  <si>
    <t>059001</t>
  </si>
  <si>
    <t>Aprilia</t>
  </si>
  <si>
    <t xml:space="preserve">Aquara (SA) </t>
  </si>
  <si>
    <t>065008</t>
  </si>
  <si>
    <t>Aquara</t>
  </si>
  <si>
    <t xml:space="preserve">Aquila d'Arroscia (IM) </t>
  </si>
  <si>
    <t>008003</t>
  </si>
  <si>
    <t>Aquila d'Arroscia</t>
  </si>
  <si>
    <t xml:space="preserve">Aquileia (UD) </t>
  </si>
  <si>
    <t>030004</t>
  </si>
  <si>
    <t>Aquileia</t>
  </si>
  <si>
    <t xml:space="preserve">Aquilonia (AV) </t>
  </si>
  <si>
    <t>064004</t>
  </si>
  <si>
    <t>Aquilonia</t>
  </si>
  <si>
    <t xml:space="preserve">Aquino (FR) </t>
  </si>
  <si>
    <t>060007</t>
  </si>
  <si>
    <t>Aquino</t>
  </si>
  <si>
    <t xml:space="preserve">Aradeo (LE) </t>
  </si>
  <si>
    <t>075006</t>
  </si>
  <si>
    <t>Aradeo</t>
  </si>
  <si>
    <t xml:space="preserve">Aragona (AG) </t>
  </si>
  <si>
    <t>084003</t>
  </si>
  <si>
    <t>Aragona</t>
  </si>
  <si>
    <t xml:space="preserve">Aramengo (AT) </t>
  </si>
  <si>
    <t>005004</t>
  </si>
  <si>
    <t>Aramengo</t>
  </si>
  <si>
    <t xml:space="preserve">Arba (PN) </t>
  </si>
  <si>
    <t>093002</t>
  </si>
  <si>
    <t>Arba</t>
  </si>
  <si>
    <t xml:space="preserve">Arborea (OR) </t>
  </si>
  <si>
    <t>Arborea</t>
  </si>
  <si>
    <t xml:space="preserve">Arborio (VC) </t>
  </si>
  <si>
    <t>002006</t>
  </si>
  <si>
    <t>Arborio</t>
  </si>
  <si>
    <t>Arbus</t>
  </si>
  <si>
    <t xml:space="preserve">Arcade (TV) </t>
  </si>
  <si>
    <t>026002</t>
  </si>
  <si>
    <t>Arcade</t>
  </si>
  <si>
    <t xml:space="preserve">Arce (FR) </t>
  </si>
  <si>
    <t>060008</t>
  </si>
  <si>
    <t>Arce</t>
  </si>
  <si>
    <t xml:space="preserve">Arcene (BG) </t>
  </si>
  <si>
    <t>016011</t>
  </si>
  <si>
    <t>Arcene</t>
  </si>
  <si>
    <t xml:space="preserve">Arcevia (AN) </t>
  </si>
  <si>
    <t>042003</t>
  </si>
  <si>
    <t>Arcevia</t>
  </si>
  <si>
    <t xml:space="preserve">Archi (CH) </t>
  </si>
  <si>
    <t>069002</t>
  </si>
  <si>
    <t>Archi</t>
  </si>
  <si>
    <t xml:space="preserve">Arcidosso (GR) </t>
  </si>
  <si>
    <t>GR</t>
  </si>
  <si>
    <t>053001</t>
  </si>
  <si>
    <t>Arcidosso</t>
  </si>
  <si>
    <t xml:space="preserve">Arcinazzo Romano (RM) </t>
  </si>
  <si>
    <t>058008</t>
  </si>
  <si>
    <t>Arcinazzo Romano</t>
  </si>
  <si>
    <t xml:space="preserve">Arcisate (VA) </t>
  </si>
  <si>
    <t>012004</t>
  </si>
  <si>
    <t>Arcisate</t>
  </si>
  <si>
    <t xml:space="preserve">Arco (TN) </t>
  </si>
  <si>
    <t>022006</t>
  </si>
  <si>
    <t>Arco</t>
  </si>
  <si>
    <t xml:space="preserve">Arcola (SP) </t>
  </si>
  <si>
    <t>011002</t>
  </si>
  <si>
    <t>Arcola</t>
  </si>
  <si>
    <t xml:space="preserve">Arcole (VR) </t>
  </si>
  <si>
    <t>023004</t>
  </si>
  <si>
    <t>Arcole</t>
  </si>
  <si>
    <t xml:space="preserve">Arconate (MI) </t>
  </si>
  <si>
    <t>015007</t>
  </si>
  <si>
    <t>Arconate</t>
  </si>
  <si>
    <t xml:space="preserve">Arcore (MB) </t>
  </si>
  <si>
    <t>Arcore</t>
  </si>
  <si>
    <t xml:space="preserve">Arcugnano (VI) </t>
  </si>
  <si>
    <t>024006</t>
  </si>
  <si>
    <t>Arcugnano</t>
  </si>
  <si>
    <t xml:space="preserve">Ardara (SS) </t>
  </si>
  <si>
    <t>Ardara</t>
  </si>
  <si>
    <t xml:space="preserve">Ardauli (OR) </t>
  </si>
  <si>
    <t>Ardauli</t>
  </si>
  <si>
    <t xml:space="preserve">Ardea (RM) </t>
  </si>
  <si>
    <t>058117</t>
  </si>
  <si>
    <t>Ardea</t>
  </si>
  <si>
    <t xml:space="preserve">Ardenno (SO) </t>
  </si>
  <si>
    <t>014005</t>
  </si>
  <si>
    <t>Ardenno</t>
  </si>
  <si>
    <t xml:space="preserve">Ardesio (BG) </t>
  </si>
  <si>
    <t>016012</t>
  </si>
  <si>
    <t>Ardesio</t>
  </si>
  <si>
    <t xml:space="preserve">Ardore (RC) </t>
  </si>
  <si>
    <t>080005</t>
  </si>
  <si>
    <t>Ardore</t>
  </si>
  <si>
    <t xml:space="preserve">Arena (VV) </t>
  </si>
  <si>
    <t>Arena</t>
  </si>
  <si>
    <t xml:space="preserve">Arena Po (PV) </t>
  </si>
  <si>
    <t>018005</t>
  </si>
  <si>
    <t>Arena Po</t>
  </si>
  <si>
    <t xml:space="preserve">Arenzano (GE) </t>
  </si>
  <si>
    <t>GE</t>
  </si>
  <si>
    <t>010001</t>
  </si>
  <si>
    <t>Arenzano</t>
  </si>
  <si>
    <t xml:space="preserve">Arese (MI) </t>
  </si>
  <si>
    <t>015009</t>
  </si>
  <si>
    <t>Arese</t>
  </si>
  <si>
    <t xml:space="preserve">Arezzo (AR) </t>
  </si>
  <si>
    <t>051002</t>
  </si>
  <si>
    <t>Arezzo</t>
  </si>
  <si>
    <t xml:space="preserve">Argegno (CO) </t>
  </si>
  <si>
    <t>013011</t>
  </si>
  <si>
    <t>Argegno</t>
  </si>
  <si>
    <t xml:space="preserve">Argelato (BO) </t>
  </si>
  <si>
    <t>037002</t>
  </si>
  <si>
    <t>Argelato</t>
  </si>
  <si>
    <t xml:space="preserve">Argenta (FE) </t>
  </si>
  <si>
    <t>FE</t>
  </si>
  <si>
    <t>038001</t>
  </si>
  <si>
    <t>Argenta</t>
  </si>
  <si>
    <t xml:space="preserve">Argentera (CN) </t>
  </si>
  <si>
    <t>004006</t>
  </si>
  <si>
    <t>Argentera</t>
  </si>
  <si>
    <t xml:space="preserve">Arguello (CN) </t>
  </si>
  <si>
    <t>004007</t>
  </si>
  <si>
    <t>Arguello</t>
  </si>
  <si>
    <t xml:space="preserve">Argusto (CZ) </t>
  </si>
  <si>
    <t>079007</t>
  </si>
  <si>
    <t>Argusto</t>
  </si>
  <si>
    <t xml:space="preserve">Ari (CH) </t>
  </si>
  <si>
    <t>069003</t>
  </si>
  <si>
    <t>Ari</t>
  </si>
  <si>
    <t xml:space="preserve">Ariano Irpino (AV) </t>
  </si>
  <si>
    <t>064005</t>
  </si>
  <si>
    <t>Ariano Irpino</t>
  </si>
  <si>
    <t xml:space="preserve">Ariano nel Polesine (RO) </t>
  </si>
  <si>
    <t>029002</t>
  </si>
  <si>
    <t>Ariano nel Polesine</t>
  </si>
  <si>
    <t xml:space="preserve">Ariccia (RM) </t>
  </si>
  <si>
    <t>058009</t>
  </si>
  <si>
    <t>Ariccia</t>
  </si>
  <si>
    <t xml:space="preserve">Arielli (CH) </t>
  </si>
  <si>
    <t>069004</t>
  </si>
  <si>
    <t>Arielli</t>
  </si>
  <si>
    <t xml:space="preserve">Arienzo (CE) </t>
  </si>
  <si>
    <t>061004</t>
  </si>
  <si>
    <t>Arienzo</t>
  </si>
  <si>
    <t xml:space="preserve">Arignano (TO) </t>
  </si>
  <si>
    <t>001012</t>
  </si>
  <si>
    <t>Arignano</t>
  </si>
  <si>
    <t xml:space="preserve">Aritzo (NU) </t>
  </si>
  <si>
    <t>NU</t>
  </si>
  <si>
    <t>Aritzo</t>
  </si>
  <si>
    <t xml:space="preserve">Arizzano (VB) </t>
  </si>
  <si>
    <t>Arizzano</t>
  </si>
  <si>
    <t xml:space="preserve">Arlena di Castro (VT) </t>
  </si>
  <si>
    <t>056002</t>
  </si>
  <si>
    <t>Arlena di Castro</t>
  </si>
  <si>
    <t xml:space="preserve">Arluno (MI) </t>
  </si>
  <si>
    <t>015010</t>
  </si>
  <si>
    <t>Arluno</t>
  </si>
  <si>
    <t xml:space="preserve">Armeno (NO) </t>
  </si>
  <si>
    <t>003006</t>
  </si>
  <si>
    <t>Armeno</t>
  </si>
  <si>
    <t xml:space="preserve">Armento (PZ) </t>
  </si>
  <si>
    <t>076005</t>
  </si>
  <si>
    <t>Armento</t>
  </si>
  <si>
    <t xml:space="preserve">Armo (IM) </t>
  </si>
  <si>
    <t>008004</t>
  </si>
  <si>
    <t>Armo</t>
  </si>
  <si>
    <t>CA</t>
  </si>
  <si>
    <t>Armungia</t>
  </si>
  <si>
    <t xml:space="preserve">Arnad (AO) </t>
  </si>
  <si>
    <t>007004</t>
  </si>
  <si>
    <t>Arnad</t>
  </si>
  <si>
    <t xml:space="preserve">Arnara (FR) </t>
  </si>
  <si>
    <t>060009</t>
  </si>
  <si>
    <t>Arnara</t>
  </si>
  <si>
    <t xml:space="preserve">Arnasco (SV) </t>
  </si>
  <si>
    <t>009007</t>
  </si>
  <si>
    <t>Arnasco</t>
  </si>
  <si>
    <t xml:space="preserve">Arnesano (LE) </t>
  </si>
  <si>
    <t>075007</t>
  </si>
  <si>
    <t>Arnesano</t>
  </si>
  <si>
    <t xml:space="preserve">Arola (VB) </t>
  </si>
  <si>
    <t>Arola</t>
  </si>
  <si>
    <t xml:space="preserve">Arona (NO) </t>
  </si>
  <si>
    <t>003008</t>
  </si>
  <si>
    <t>Arona</t>
  </si>
  <si>
    <t xml:space="preserve">Arosio (CO) </t>
  </si>
  <si>
    <t>013012</t>
  </si>
  <si>
    <t>Arosio</t>
  </si>
  <si>
    <t xml:space="preserve">Arpaia (BN) </t>
  </si>
  <si>
    <t>062005</t>
  </si>
  <si>
    <t>Arpaia</t>
  </si>
  <si>
    <t xml:space="preserve">Arpaise (BN) </t>
  </si>
  <si>
    <t>062006</t>
  </si>
  <si>
    <t>Arpaise</t>
  </si>
  <si>
    <t xml:space="preserve">Arpino (FR) </t>
  </si>
  <si>
    <t>060010</t>
  </si>
  <si>
    <t>Arpino</t>
  </si>
  <si>
    <t xml:space="preserve">Arquà Petrarca (PD) </t>
  </si>
  <si>
    <t>028005</t>
  </si>
  <si>
    <t>Arquà Petrarca</t>
  </si>
  <si>
    <t xml:space="preserve">Arquà Polesine (RO) </t>
  </si>
  <si>
    <t>029003</t>
  </si>
  <si>
    <t>Arquà Polesine</t>
  </si>
  <si>
    <t xml:space="preserve">Arquata del Tronto (AP) </t>
  </si>
  <si>
    <t>044006</t>
  </si>
  <si>
    <t>Arquata del Tronto</t>
  </si>
  <si>
    <t xml:space="preserve">Arquata Scrivia (AL) </t>
  </si>
  <si>
    <t>006009</t>
  </si>
  <si>
    <t>Arquata Scrivia</t>
  </si>
  <si>
    <t xml:space="preserve">Arre (PD) </t>
  </si>
  <si>
    <t>028006</t>
  </si>
  <si>
    <t>Arre</t>
  </si>
  <si>
    <t xml:space="preserve">Arrone (TR) </t>
  </si>
  <si>
    <t>055005</t>
  </si>
  <si>
    <t>Arrone</t>
  </si>
  <si>
    <t xml:space="preserve">Arsago Seprio (VA) </t>
  </si>
  <si>
    <t>012005</t>
  </si>
  <si>
    <t>Arsago Seprio</t>
  </si>
  <si>
    <t xml:space="preserve">Arsiè (BL) </t>
  </si>
  <si>
    <t>025004</t>
  </si>
  <si>
    <t>Arsiè</t>
  </si>
  <si>
    <t xml:space="preserve">Arsiero (VI) </t>
  </si>
  <si>
    <t>024007</t>
  </si>
  <si>
    <t>Arsiero</t>
  </si>
  <si>
    <t xml:space="preserve">Arsita (TE) </t>
  </si>
  <si>
    <t>067003</t>
  </si>
  <si>
    <t>Arsita</t>
  </si>
  <si>
    <t xml:space="preserve">Arsoli (RM) </t>
  </si>
  <si>
    <t>058010</t>
  </si>
  <si>
    <t>Arsoli</t>
  </si>
  <si>
    <t xml:space="preserve">Arta Terme (UD) </t>
  </si>
  <si>
    <t>030005</t>
  </si>
  <si>
    <t>Arta Terme</t>
  </si>
  <si>
    <t xml:space="preserve">Artegna (UD) </t>
  </si>
  <si>
    <t>030006</t>
  </si>
  <si>
    <t>Artegna</t>
  </si>
  <si>
    <t xml:space="preserve">Artena (RM) </t>
  </si>
  <si>
    <t>058011</t>
  </si>
  <si>
    <t>Artena</t>
  </si>
  <si>
    <t xml:space="preserve">Artogne (BS) </t>
  </si>
  <si>
    <t>017007</t>
  </si>
  <si>
    <t>Artogne</t>
  </si>
  <si>
    <t xml:space="preserve">Arvier (AO) </t>
  </si>
  <si>
    <t>007005</t>
  </si>
  <si>
    <t>Arvier</t>
  </si>
  <si>
    <t>Arzachena</t>
  </si>
  <si>
    <t xml:space="preserve">Arzago d'Adda (BG) </t>
  </si>
  <si>
    <t>016013</t>
  </si>
  <si>
    <t>Arzago d'Adda</t>
  </si>
  <si>
    <t>Arzana</t>
  </si>
  <si>
    <t xml:space="preserve">Arzano (NA) </t>
  </si>
  <si>
    <t>063005</t>
  </si>
  <si>
    <t>Arzano</t>
  </si>
  <si>
    <t xml:space="preserve">Arzergrande (PD) </t>
  </si>
  <si>
    <t>028007</t>
  </si>
  <si>
    <t>Arzergrande</t>
  </si>
  <si>
    <t xml:space="preserve">Arzignano (VI) </t>
  </si>
  <si>
    <t>024008</t>
  </si>
  <si>
    <t>Arzignano</t>
  </si>
  <si>
    <t xml:space="preserve">Ascea (SA) </t>
  </si>
  <si>
    <t>065009</t>
  </si>
  <si>
    <t>Ascea</t>
  </si>
  <si>
    <t xml:space="preserve">Asciano (SI) </t>
  </si>
  <si>
    <t>052002</t>
  </si>
  <si>
    <t>Asciano</t>
  </si>
  <si>
    <t xml:space="preserve">Ascoli Piceno (AP) </t>
  </si>
  <si>
    <t>044007</t>
  </si>
  <si>
    <t>Ascoli Piceno</t>
  </si>
  <si>
    <t xml:space="preserve">Ascoli Satriano (FG) </t>
  </si>
  <si>
    <t>071005</t>
  </si>
  <si>
    <t>Ascoli Satriano</t>
  </si>
  <si>
    <t xml:space="preserve">Ascrea (RI) </t>
  </si>
  <si>
    <t>057004</t>
  </si>
  <si>
    <t>Ascrea</t>
  </si>
  <si>
    <t xml:space="preserve">Asiago (VI) </t>
  </si>
  <si>
    <t>024009</t>
  </si>
  <si>
    <t>Asiago</t>
  </si>
  <si>
    <t xml:space="preserve">Asigliano Veneto (VI) </t>
  </si>
  <si>
    <t>024010</t>
  </si>
  <si>
    <t>Asigliano Veneto</t>
  </si>
  <si>
    <t xml:space="preserve">Asigliano Vercellese (VC) </t>
  </si>
  <si>
    <t>002007</t>
  </si>
  <si>
    <t>Asigliano Vercellese</t>
  </si>
  <si>
    <t xml:space="preserve">Asola (MN) </t>
  </si>
  <si>
    <t>020002</t>
  </si>
  <si>
    <t>Asola</t>
  </si>
  <si>
    <t xml:space="preserve">Asolo (TV) </t>
  </si>
  <si>
    <t>026003</t>
  </si>
  <si>
    <t>Asolo</t>
  </si>
  <si>
    <t xml:space="preserve">Assago (MI) </t>
  </si>
  <si>
    <t>015011</t>
  </si>
  <si>
    <t>Assago</t>
  </si>
  <si>
    <t xml:space="preserve">Assemini (CA) </t>
  </si>
  <si>
    <t>Assemini</t>
  </si>
  <si>
    <t xml:space="preserve">Assisi (PG) </t>
  </si>
  <si>
    <t>PG</t>
  </si>
  <si>
    <t>054001</t>
  </si>
  <si>
    <t>Assisi</t>
  </si>
  <si>
    <t xml:space="preserve">Asso (CO) </t>
  </si>
  <si>
    <t>013013</t>
  </si>
  <si>
    <t>Asso</t>
  </si>
  <si>
    <t xml:space="preserve">Assolo (OR) </t>
  </si>
  <si>
    <t>Assolo</t>
  </si>
  <si>
    <t xml:space="preserve">Assoro (EN) </t>
  </si>
  <si>
    <t>086003</t>
  </si>
  <si>
    <t>Assoro</t>
  </si>
  <si>
    <t xml:space="preserve">Asti (AT) </t>
  </si>
  <si>
    <t>005005</t>
  </si>
  <si>
    <t>Asti</t>
  </si>
  <si>
    <t xml:space="preserve">Asuni (OR) </t>
  </si>
  <si>
    <t>Asuni</t>
  </si>
  <si>
    <t xml:space="preserve">Ateleta (AQ) </t>
  </si>
  <si>
    <t>066005</t>
  </si>
  <si>
    <t>Ateleta</t>
  </si>
  <si>
    <t xml:space="preserve">Atella (PZ) </t>
  </si>
  <si>
    <t>076006</t>
  </si>
  <si>
    <t>Atella</t>
  </si>
  <si>
    <t xml:space="preserve">Atena Lucana (SA) </t>
  </si>
  <si>
    <t>065010</t>
  </si>
  <si>
    <t>Atena Lucana</t>
  </si>
  <si>
    <t xml:space="preserve">Atessa (CH) </t>
  </si>
  <si>
    <t>069005</t>
  </si>
  <si>
    <t>Atessa</t>
  </si>
  <si>
    <t xml:space="preserve">Atina (FR) </t>
  </si>
  <si>
    <t>060011</t>
  </si>
  <si>
    <t>Atina</t>
  </si>
  <si>
    <t xml:space="preserve">Atrani (SA) </t>
  </si>
  <si>
    <t>065011</t>
  </si>
  <si>
    <t>Atrani</t>
  </si>
  <si>
    <t xml:space="preserve">Atri (TE) </t>
  </si>
  <si>
    <t>067004</t>
  </si>
  <si>
    <t>Atri</t>
  </si>
  <si>
    <t xml:space="preserve">Atripalda (AV) </t>
  </si>
  <si>
    <t>064006</t>
  </si>
  <si>
    <t>Atripalda</t>
  </si>
  <si>
    <t xml:space="preserve">Attigliano (TR) </t>
  </si>
  <si>
    <t>055006</t>
  </si>
  <si>
    <t>Attigliano</t>
  </si>
  <si>
    <t xml:space="preserve">Attimis (UD) </t>
  </si>
  <si>
    <t>030007</t>
  </si>
  <si>
    <t>Attimis</t>
  </si>
  <si>
    <t xml:space="preserve">Atzara (NU) </t>
  </si>
  <si>
    <t>Atzara</t>
  </si>
  <si>
    <t xml:space="preserve">Augusta (SR) </t>
  </si>
  <si>
    <t>SR</t>
  </si>
  <si>
    <t>089001</t>
  </si>
  <si>
    <t>Augusta</t>
  </si>
  <si>
    <t xml:space="preserve">Auletta (SA) </t>
  </si>
  <si>
    <t>065012</t>
  </si>
  <si>
    <t>Auletta</t>
  </si>
  <si>
    <t xml:space="preserve">Aulla (MS) </t>
  </si>
  <si>
    <t>MS</t>
  </si>
  <si>
    <t>045001</t>
  </si>
  <si>
    <t>Aulla</t>
  </si>
  <si>
    <t xml:space="preserve">Aurano (VB) </t>
  </si>
  <si>
    <t>Aurano</t>
  </si>
  <si>
    <t xml:space="preserve">Aurigo (IM) </t>
  </si>
  <si>
    <t>008005</t>
  </si>
  <si>
    <t>Aurigo</t>
  </si>
  <si>
    <t xml:space="preserve">Auronzo di Cadore (BL) </t>
  </si>
  <si>
    <t>025005</t>
  </si>
  <si>
    <t>Auronzo di Cadore</t>
  </si>
  <si>
    <t xml:space="preserve">Ausonia (FR) </t>
  </si>
  <si>
    <t>060012</t>
  </si>
  <si>
    <t>Ausonia</t>
  </si>
  <si>
    <t xml:space="preserve">Austis (NU) </t>
  </si>
  <si>
    <t>Austis</t>
  </si>
  <si>
    <t xml:space="preserve">Avegno (GE) </t>
  </si>
  <si>
    <t>010002</t>
  </si>
  <si>
    <t>Avegno</t>
  </si>
  <si>
    <t>021005</t>
  </si>
  <si>
    <t xml:space="preserve">Avella (AV) </t>
  </si>
  <si>
    <t>064007</t>
  </si>
  <si>
    <t>Avella</t>
  </si>
  <si>
    <t xml:space="preserve">Avellino (AV) </t>
  </si>
  <si>
    <t>064008</t>
  </si>
  <si>
    <t>Avellino</t>
  </si>
  <si>
    <t xml:space="preserve">Averara (BG) </t>
  </si>
  <si>
    <t>016014</t>
  </si>
  <si>
    <t>Averara</t>
  </si>
  <si>
    <t xml:space="preserve">Aversa (CE) </t>
  </si>
  <si>
    <t>061005</t>
  </si>
  <si>
    <t>Aversa</t>
  </si>
  <si>
    <t xml:space="preserve">Avetrana (TA) </t>
  </si>
  <si>
    <t>Taranto</t>
  </si>
  <si>
    <t>TA</t>
  </si>
  <si>
    <t>073001</t>
  </si>
  <si>
    <t>Avetrana</t>
  </si>
  <si>
    <t xml:space="preserve">Avezzano (AQ) </t>
  </si>
  <si>
    <t>066006</t>
  </si>
  <si>
    <t>Avezzano</t>
  </si>
  <si>
    <t xml:space="preserve">Aviano (PN) </t>
  </si>
  <si>
    <t>093004</t>
  </si>
  <si>
    <t>Aviano</t>
  </si>
  <si>
    <t xml:space="preserve">Aviatico (BG) </t>
  </si>
  <si>
    <t>016015</t>
  </si>
  <si>
    <t>Aviatico</t>
  </si>
  <si>
    <t xml:space="preserve">Avigliana (TO) </t>
  </si>
  <si>
    <t>001013</t>
  </si>
  <si>
    <t>Avigliana</t>
  </si>
  <si>
    <t xml:space="preserve">Avigliano (PZ) </t>
  </si>
  <si>
    <t>076007</t>
  </si>
  <si>
    <t>Avigliano</t>
  </si>
  <si>
    <t xml:space="preserve">Avigliano Umbro (TR) </t>
  </si>
  <si>
    <t>055033</t>
  </si>
  <si>
    <t>Avigliano Umbro</t>
  </si>
  <si>
    <t xml:space="preserve">Avio (TN) </t>
  </si>
  <si>
    <t>022007</t>
  </si>
  <si>
    <t>Avio</t>
  </si>
  <si>
    <t xml:space="preserve">Avise (AO) </t>
  </si>
  <si>
    <t>007006</t>
  </si>
  <si>
    <t>Avise</t>
  </si>
  <si>
    <t xml:space="preserve">Avola (SR) </t>
  </si>
  <si>
    <t>089002</t>
  </si>
  <si>
    <t>Avola</t>
  </si>
  <si>
    <t xml:space="preserve">Avolasca (AL) </t>
  </si>
  <si>
    <t>006010</t>
  </si>
  <si>
    <t>Avolasca</t>
  </si>
  <si>
    <t xml:space="preserve">Ayas (AO) </t>
  </si>
  <si>
    <t>007007</t>
  </si>
  <si>
    <t>Ayas</t>
  </si>
  <si>
    <t xml:space="preserve">Aymavilles (AO) </t>
  </si>
  <si>
    <t>007008</t>
  </si>
  <si>
    <t>Aymavilles</t>
  </si>
  <si>
    <t xml:space="preserve">Azeglio (TO) </t>
  </si>
  <si>
    <t>001014</t>
  </si>
  <si>
    <t>Azeglio</t>
  </si>
  <si>
    <t xml:space="preserve">Azzanello (CR) </t>
  </si>
  <si>
    <t>019004</t>
  </si>
  <si>
    <t>Azzanello</t>
  </si>
  <si>
    <t xml:space="preserve">Azzano d'Asti (AT) </t>
  </si>
  <si>
    <t>005006</t>
  </si>
  <si>
    <t>Azzano d'Asti</t>
  </si>
  <si>
    <t xml:space="preserve">Azzano Decimo (PN) </t>
  </si>
  <si>
    <t>093005</t>
  </si>
  <si>
    <t>Azzano Decimo</t>
  </si>
  <si>
    <t xml:space="preserve">Azzano Mella (BS) </t>
  </si>
  <si>
    <t>017008</t>
  </si>
  <si>
    <t>Azzano Mella</t>
  </si>
  <si>
    <t xml:space="preserve">Azzano San Paolo (BG) </t>
  </si>
  <si>
    <t>016016</t>
  </si>
  <si>
    <t>Azzano San Paolo</t>
  </si>
  <si>
    <t xml:space="preserve">Azzate (VA) </t>
  </si>
  <si>
    <t>012006</t>
  </si>
  <si>
    <t>Azzate</t>
  </si>
  <si>
    <t xml:space="preserve">Azzio (VA) </t>
  </si>
  <si>
    <t>012007</t>
  </si>
  <si>
    <t>Azzio</t>
  </si>
  <si>
    <t xml:space="preserve">Azzone (BG) </t>
  </si>
  <si>
    <t>016017</t>
  </si>
  <si>
    <t>Azzone</t>
  </si>
  <si>
    <t xml:space="preserve">Baceno (VB) </t>
  </si>
  <si>
    <t>Baceno</t>
  </si>
  <si>
    <t xml:space="preserve">Bacoli (NA) </t>
  </si>
  <si>
    <t>063006</t>
  </si>
  <si>
    <t>Bacoli</t>
  </si>
  <si>
    <t xml:space="preserve">Badalucco (IM) </t>
  </si>
  <si>
    <t>008006</t>
  </si>
  <si>
    <t>Badalucco</t>
  </si>
  <si>
    <t>Badesi</t>
  </si>
  <si>
    <t>021006</t>
  </si>
  <si>
    <t xml:space="preserve">Badia Calavena (VR) </t>
  </si>
  <si>
    <t>023005</t>
  </si>
  <si>
    <t>Badia Calavena</t>
  </si>
  <si>
    <t xml:space="preserve">Badia Pavese (PV) </t>
  </si>
  <si>
    <t>018006</t>
  </si>
  <si>
    <t>Badia Pavese</t>
  </si>
  <si>
    <t xml:space="preserve">Badia Polesine (RO) </t>
  </si>
  <si>
    <t>029004</t>
  </si>
  <si>
    <t>Badia Polesine</t>
  </si>
  <si>
    <t xml:space="preserve">Badia Tedalda (AR) </t>
  </si>
  <si>
    <t>051003</t>
  </si>
  <si>
    <t>Badia Tedalda</t>
  </si>
  <si>
    <t xml:space="preserve">Badolato (CZ) </t>
  </si>
  <si>
    <t>079008</t>
  </si>
  <si>
    <t>Badolato</t>
  </si>
  <si>
    <t xml:space="preserve">Bagaladi (RC) </t>
  </si>
  <si>
    <t>080006</t>
  </si>
  <si>
    <t>Bagaladi</t>
  </si>
  <si>
    <t xml:space="preserve">Bagheria (PA) </t>
  </si>
  <si>
    <t>082006</t>
  </si>
  <si>
    <t>Bagheria</t>
  </si>
  <si>
    <t xml:space="preserve">Bagnacavallo (RA) </t>
  </si>
  <si>
    <t>039002</t>
  </si>
  <si>
    <t>Bagnacavallo</t>
  </si>
  <si>
    <t xml:space="preserve">Bagnara Calabra (RC) </t>
  </si>
  <si>
    <t>080007</t>
  </si>
  <si>
    <t>Bagnara Calabra</t>
  </si>
  <si>
    <t xml:space="preserve">Bagnara di Romagna (RA) </t>
  </si>
  <si>
    <t>039003</t>
  </si>
  <si>
    <t>Bagnara di Romagna</t>
  </si>
  <si>
    <t xml:space="preserve">Bagnaria (PV) </t>
  </si>
  <si>
    <t>018007</t>
  </si>
  <si>
    <t>Bagnaria</t>
  </si>
  <si>
    <t xml:space="preserve">Bagnaria Arsa (UD) </t>
  </si>
  <si>
    <t>030008</t>
  </si>
  <si>
    <t>Bagnaria Arsa</t>
  </si>
  <si>
    <t xml:space="preserve">Bagnasco (CN) </t>
  </si>
  <si>
    <t>004008</t>
  </si>
  <si>
    <t>Bagnasco</t>
  </si>
  <si>
    <t xml:space="preserve">Bagnatica (BG) </t>
  </si>
  <si>
    <t>016018</t>
  </si>
  <si>
    <t>Bagnatica</t>
  </si>
  <si>
    <t xml:space="preserve">Bagni di Lucca (LU) </t>
  </si>
  <si>
    <t>046002</t>
  </si>
  <si>
    <t>Bagni di Lucca</t>
  </si>
  <si>
    <t xml:space="preserve">Bagno a Ripoli (FI) </t>
  </si>
  <si>
    <t>FI</t>
  </si>
  <si>
    <t>048001</t>
  </si>
  <si>
    <t>Bagno a Ripoli</t>
  </si>
  <si>
    <t xml:space="preserve">Bagno di Romagna (FC) </t>
  </si>
  <si>
    <t>FC</t>
  </si>
  <si>
    <t>040001</t>
  </si>
  <si>
    <t>Bagno di Romagna</t>
  </si>
  <si>
    <t xml:space="preserve">Bagnoli del Trigno (IS) </t>
  </si>
  <si>
    <t>094003</t>
  </si>
  <si>
    <t>Bagnoli del Trigno</t>
  </si>
  <si>
    <t xml:space="preserve">Bagnoli di Sopra (PD) </t>
  </si>
  <si>
    <t>028008</t>
  </si>
  <si>
    <t>Bagnoli di Sopra</t>
  </si>
  <si>
    <t xml:space="preserve">Bagnoli Irpino (AV) </t>
  </si>
  <si>
    <t>064009</t>
  </si>
  <si>
    <t>Bagnoli Irpino</t>
  </si>
  <si>
    <t xml:space="preserve">Bagnolo Cremasco (CR) </t>
  </si>
  <si>
    <t>019005</t>
  </si>
  <si>
    <t>Bagnolo Cremasco</t>
  </si>
  <si>
    <t xml:space="preserve">Bagnolo del Salento (LE) </t>
  </si>
  <si>
    <t>075008</t>
  </si>
  <si>
    <t>Bagnolo del Salento</t>
  </si>
  <si>
    <t xml:space="preserve">Bagnolo di Po (RO) </t>
  </si>
  <si>
    <t>029005</t>
  </si>
  <si>
    <t>Bagnolo di Po</t>
  </si>
  <si>
    <t xml:space="preserve">Bagnolo in Piano (RE) </t>
  </si>
  <si>
    <t>035002</t>
  </si>
  <si>
    <t>Bagnolo in Piano</t>
  </si>
  <si>
    <t xml:space="preserve">Bagnolo Mella (BS) </t>
  </si>
  <si>
    <t>017009</t>
  </si>
  <si>
    <t>Bagnolo Mella</t>
  </si>
  <si>
    <t xml:space="preserve">Bagnolo Piemonte (CN) </t>
  </si>
  <si>
    <t>004009</t>
  </si>
  <si>
    <t>Bagnolo Piemonte</t>
  </si>
  <si>
    <t xml:space="preserve">Bagnolo San Vito (MN) </t>
  </si>
  <si>
    <t>020003</t>
  </si>
  <si>
    <t>Bagnolo San Vito</t>
  </si>
  <si>
    <t xml:space="preserve">Bagnone (MS) </t>
  </si>
  <si>
    <t>045002</t>
  </si>
  <si>
    <t>Bagnone</t>
  </si>
  <si>
    <t xml:space="preserve">Bagnoregio (VT) </t>
  </si>
  <si>
    <t>056003</t>
  </si>
  <si>
    <t>Bagnoregio</t>
  </si>
  <si>
    <t xml:space="preserve">Bagolino (BS) </t>
  </si>
  <si>
    <t>017010</t>
  </si>
  <si>
    <t>Bagolino</t>
  </si>
  <si>
    <t xml:space="preserve">Baia e Latina (CE) </t>
  </si>
  <si>
    <t>061006</t>
  </si>
  <si>
    <t>Baia e Latina</t>
  </si>
  <si>
    <t xml:space="preserve">Baiano (AV) </t>
  </si>
  <si>
    <t>064010</t>
  </si>
  <si>
    <t>Baiano</t>
  </si>
  <si>
    <t xml:space="preserve">Bairo (TO) </t>
  </si>
  <si>
    <t>001015</t>
  </si>
  <si>
    <t>Bairo</t>
  </si>
  <si>
    <t xml:space="preserve">Baiso (RE) </t>
  </si>
  <si>
    <t>035003</t>
  </si>
  <si>
    <t>Baiso</t>
  </si>
  <si>
    <t xml:space="preserve">Bajardo (IM) </t>
  </si>
  <si>
    <t>008007</t>
  </si>
  <si>
    <t>Bajardo</t>
  </si>
  <si>
    <t xml:space="preserve">Balangero (TO) </t>
  </si>
  <si>
    <t>001016</t>
  </si>
  <si>
    <t>Balangero</t>
  </si>
  <si>
    <t xml:space="preserve">Baldichieri d'Asti (AT) </t>
  </si>
  <si>
    <t>005007</t>
  </si>
  <si>
    <t>Baldichieri d'Asti</t>
  </si>
  <si>
    <t xml:space="preserve">Baldissero Canavese (TO) </t>
  </si>
  <si>
    <t>001017</t>
  </si>
  <si>
    <t>Baldissero Canavese</t>
  </si>
  <si>
    <t xml:space="preserve">Baldissero d'Alba (CN) </t>
  </si>
  <si>
    <t>004010</t>
  </si>
  <si>
    <t>Baldissero d'Alba</t>
  </si>
  <si>
    <t xml:space="preserve">Baldissero Torinese (TO) </t>
  </si>
  <si>
    <t>001018</t>
  </si>
  <si>
    <t>Baldissero Torinese</t>
  </si>
  <si>
    <t xml:space="preserve">Balestrate (PA) </t>
  </si>
  <si>
    <t>082007</t>
  </si>
  <si>
    <t>Balestrate</t>
  </si>
  <si>
    <t xml:space="preserve">Balestrino (SV) </t>
  </si>
  <si>
    <t>009008</t>
  </si>
  <si>
    <t>Balestrino</t>
  </si>
  <si>
    <t xml:space="preserve">Ballabio (LC) </t>
  </si>
  <si>
    <t>097004</t>
  </si>
  <si>
    <t>Ballabio</t>
  </si>
  <si>
    <t>Ballao</t>
  </si>
  <si>
    <t xml:space="preserve">Balme (TO) </t>
  </si>
  <si>
    <t>001019</t>
  </si>
  <si>
    <t>Balme</t>
  </si>
  <si>
    <t xml:space="preserve">Balmuccia (VC) </t>
  </si>
  <si>
    <t>002008</t>
  </si>
  <si>
    <t>Balmuccia</t>
  </si>
  <si>
    <t xml:space="preserve">Balocco (VC) </t>
  </si>
  <si>
    <t>002009</t>
  </si>
  <si>
    <t>Balocco</t>
  </si>
  <si>
    <t xml:space="preserve">Balsorano (AQ) </t>
  </si>
  <si>
    <t>066007</t>
  </si>
  <si>
    <t>Balsorano</t>
  </si>
  <si>
    <t xml:space="preserve">Balvano (PZ) </t>
  </si>
  <si>
    <t>076008</t>
  </si>
  <si>
    <t>Balvano</t>
  </si>
  <si>
    <t xml:space="preserve">Balzola (AL) </t>
  </si>
  <si>
    <t>006011</t>
  </si>
  <si>
    <t>Balzola</t>
  </si>
  <si>
    <t xml:space="preserve">Banari (SS) </t>
  </si>
  <si>
    <t>Banari</t>
  </si>
  <si>
    <t xml:space="preserve">Banchette (TO) </t>
  </si>
  <si>
    <t>001020</t>
  </si>
  <si>
    <t>Banchette</t>
  </si>
  <si>
    <t xml:space="preserve">Bannio Anzino (VB) </t>
  </si>
  <si>
    <t>Bannio Anzino</t>
  </si>
  <si>
    <t xml:space="preserve">Banzi (PZ) </t>
  </si>
  <si>
    <t>076009</t>
  </si>
  <si>
    <t>Banzi</t>
  </si>
  <si>
    <t xml:space="preserve">Baone (PD) </t>
  </si>
  <si>
    <t>028009</t>
  </si>
  <si>
    <t>Baone</t>
  </si>
  <si>
    <t xml:space="preserve">Baradili (OR) </t>
  </si>
  <si>
    <t>Baradili</t>
  </si>
  <si>
    <t xml:space="preserve">Baragiano (PZ) </t>
  </si>
  <si>
    <t>076010</t>
  </si>
  <si>
    <t>Baragiano</t>
  </si>
  <si>
    <t xml:space="preserve">Baranello (CB) </t>
  </si>
  <si>
    <t>070002</t>
  </si>
  <si>
    <t>Baranello</t>
  </si>
  <si>
    <t xml:space="preserve">Barano d'Ischia (NA) </t>
  </si>
  <si>
    <t>063007</t>
  </si>
  <si>
    <t>Barano d'Ischia</t>
  </si>
  <si>
    <t xml:space="preserve">Baranzate (MI) </t>
  </si>
  <si>
    <t>015250</t>
  </si>
  <si>
    <t>Baranzate</t>
  </si>
  <si>
    <t xml:space="preserve">Barasso (VA) </t>
  </si>
  <si>
    <t>012008</t>
  </si>
  <si>
    <t>Barasso</t>
  </si>
  <si>
    <t xml:space="preserve">Baratili San Pietro (OR) </t>
  </si>
  <si>
    <t>Baratili San Pietro</t>
  </si>
  <si>
    <t xml:space="preserve">Barbania (TO) </t>
  </si>
  <si>
    <t>001021</t>
  </si>
  <si>
    <t>Barbania</t>
  </si>
  <si>
    <t xml:space="preserve">Barbara (AN) </t>
  </si>
  <si>
    <t>042004</t>
  </si>
  <si>
    <t>Barbara</t>
  </si>
  <si>
    <t xml:space="preserve">Barbarano Romano (VT) </t>
  </si>
  <si>
    <t>056004</t>
  </si>
  <si>
    <t>Barbarano Romano</t>
  </si>
  <si>
    <t xml:space="preserve">Barbaresco (CN) </t>
  </si>
  <si>
    <t>004011</t>
  </si>
  <si>
    <t>Barbaresco</t>
  </si>
  <si>
    <t xml:space="preserve">Barbariga (BS) </t>
  </si>
  <si>
    <t>017011</t>
  </si>
  <si>
    <t>Barbariga</t>
  </si>
  <si>
    <t xml:space="preserve">Barbata (BG) </t>
  </si>
  <si>
    <t>016019</t>
  </si>
  <si>
    <t>Barbata</t>
  </si>
  <si>
    <t xml:space="preserve">Barberino di Mugello (FI) </t>
  </si>
  <si>
    <t>048002</t>
  </si>
  <si>
    <t>Barberino di Mugello</t>
  </si>
  <si>
    <t xml:space="preserve">Barbianello (PV) </t>
  </si>
  <si>
    <t>018008</t>
  </si>
  <si>
    <t>Barbianello</t>
  </si>
  <si>
    <t>021007</t>
  </si>
  <si>
    <t xml:space="preserve">Barbona (PD) </t>
  </si>
  <si>
    <t>028010</t>
  </si>
  <si>
    <t>Barbona</t>
  </si>
  <si>
    <t xml:space="preserve">Barcellona Pozzo di Gotto (ME) </t>
  </si>
  <si>
    <t>083005</t>
  </si>
  <si>
    <t>Barcellona Pozzo di Gotto</t>
  </si>
  <si>
    <t xml:space="preserve">Barcis (PN) </t>
  </si>
  <si>
    <t>093006</t>
  </si>
  <si>
    <t>Barcis</t>
  </si>
  <si>
    <t xml:space="preserve">Bard (AO) </t>
  </si>
  <si>
    <t>007009</t>
  </si>
  <si>
    <t>Bard</t>
  </si>
  <si>
    <t xml:space="preserve">Bardi (PR) </t>
  </si>
  <si>
    <t>034002</t>
  </si>
  <si>
    <t>Bardi</t>
  </si>
  <si>
    <t xml:space="preserve">Bardineto (SV) </t>
  </si>
  <si>
    <t>009009</t>
  </si>
  <si>
    <t>Bardineto</t>
  </si>
  <si>
    <t xml:space="preserve">Bardolino (VR) </t>
  </si>
  <si>
    <t>023006</t>
  </si>
  <si>
    <t>Bardolino</t>
  </si>
  <si>
    <t xml:space="preserve">Bardonecchia (TO) </t>
  </si>
  <si>
    <t>001022</t>
  </si>
  <si>
    <t>Bardonecchia</t>
  </si>
  <si>
    <t xml:space="preserve">Bareggio (MI) </t>
  </si>
  <si>
    <t>015012</t>
  </si>
  <si>
    <t>Bareggio</t>
  </si>
  <si>
    <t xml:space="preserve">Barengo (NO) </t>
  </si>
  <si>
    <t>003012</t>
  </si>
  <si>
    <t>Barengo</t>
  </si>
  <si>
    <t xml:space="preserve">Baressa (OR) </t>
  </si>
  <si>
    <t>Baressa</t>
  </si>
  <si>
    <t xml:space="preserve">Barete (AQ) </t>
  </si>
  <si>
    <t>066008</t>
  </si>
  <si>
    <t>Barete</t>
  </si>
  <si>
    <t xml:space="preserve">Barga (LU) </t>
  </si>
  <si>
    <t>046003</t>
  </si>
  <si>
    <t>Barga</t>
  </si>
  <si>
    <t xml:space="preserve">Bargagli (GE) </t>
  </si>
  <si>
    <t>010003</t>
  </si>
  <si>
    <t>Bargagli</t>
  </si>
  <si>
    <t xml:space="preserve">Barge (CN) </t>
  </si>
  <si>
    <t>004012</t>
  </si>
  <si>
    <t>Barge</t>
  </si>
  <si>
    <t xml:space="preserve">Barghe (BS) </t>
  </si>
  <si>
    <t>017012</t>
  </si>
  <si>
    <t>Barghe</t>
  </si>
  <si>
    <t xml:space="preserve">Bari (BA) </t>
  </si>
  <si>
    <t>072006</t>
  </si>
  <si>
    <t>Bari Sardo</t>
  </si>
  <si>
    <t xml:space="preserve">Bariano (BG) </t>
  </si>
  <si>
    <t>016020</t>
  </si>
  <si>
    <t>Bariano</t>
  </si>
  <si>
    <t xml:space="preserve">Baricella (BO) </t>
  </si>
  <si>
    <t>037003</t>
  </si>
  <si>
    <t>Baricella</t>
  </si>
  <si>
    <t xml:space="preserve">Barile (PZ) </t>
  </si>
  <si>
    <t>076011</t>
  </si>
  <si>
    <t>Barile</t>
  </si>
  <si>
    <t xml:space="preserve">Barisciano (AQ) </t>
  </si>
  <si>
    <t>066009</t>
  </si>
  <si>
    <t>Barisciano</t>
  </si>
  <si>
    <t xml:space="preserve">Barlassina (MB) </t>
  </si>
  <si>
    <t>Barlassina</t>
  </si>
  <si>
    <t xml:space="preserve">Barletta (BT) </t>
  </si>
  <si>
    <t>Barletta</t>
  </si>
  <si>
    <t xml:space="preserve">Barni (CO) </t>
  </si>
  <si>
    <t>013015</t>
  </si>
  <si>
    <t>Barni</t>
  </si>
  <si>
    <t xml:space="preserve">Barolo (CN) </t>
  </si>
  <si>
    <t>004013</t>
  </si>
  <si>
    <t>Barolo</t>
  </si>
  <si>
    <t xml:space="preserve">Barone Canavese (TO) </t>
  </si>
  <si>
    <t>001023</t>
  </si>
  <si>
    <t>Barone Canavese</t>
  </si>
  <si>
    <t xml:space="preserve">Baronissi (SA) </t>
  </si>
  <si>
    <t>065013</t>
  </si>
  <si>
    <t>Baronissi</t>
  </si>
  <si>
    <t xml:space="preserve">Barrafranca (EN) </t>
  </si>
  <si>
    <t>086004</t>
  </si>
  <si>
    <t>Barrafranca</t>
  </si>
  <si>
    <t>Barrali</t>
  </si>
  <si>
    <t xml:space="preserve">Barrea (AQ) </t>
  </si>
  <si>
    <t>066010</t>
  </si>
  <si>
    <t>Barrea</t>
  </si>
  <si>
    <t>Barumini</t>
  </si>
  <si>
    <t xml:space="preserve">Barzago (LC) </t>
  </si>
  <si>
    <t>097005</t>
  </si>
  <si>
    <t>Barzago</t>
  </si>
  <si>
    <t xml:space="preserve">Barzana (BG) </t>
  </si>
  <si>
    <t>016021</t>
  </si>
  <si>
    <t>Barzana</t>
  </si>
  <si>
    <t xml:space="preserve">Barzanò (LC) </t>
  </si>
  <si>
    <t>097006</t>
  </si>
  <si>
    <t>Barzanò</t>
  </si>
  <si>
    <t xml:space="preserve">Barzio (LC) </t>
  </si>
  <si>
    <t>097007</t>
  </si>
  <si>
    <t>Barzio</t>
  </si>
  <si>
    <t xml:space="preserve">Basaluzzo (AL) </t>
  </si>
  <si>
    <t>006012</t>
  </si>
  <si>
    <t>Basaluzzo</t>
  </si>
  <si>
    <t xml:space="preserve">Bascapè (PV) </t>
  </si>
  <si>
    <t>018009</t>
  </si>
  <si>
    <t>Bascapè</t>
  </si>
  <si>
    <t xml:space="preserve">Baschi (TR) </t>
  </si>
  <si>
    <t>055007</t>
  </si>
  <si>
    <t>Baschi</t>
  </si>
  <si>
    <t xml:space="preserve">Basciano (TE) </t>
  </si>
  <si>
    <t>067005</t>
  </si>
  <si>
    <t>Basciano</t>
  </si>
  <si>
    <t xml:space="preserve">Baselga di Pinè (TN) </t>
  </si>
  <si>
    <t>022009</t>
  </si>
  <si>
    <t>Baselga di Pinè</t>
  </si>
  <si>
    <t xml:space="preserve">Baselice (BN) </t>
  </si>
  <si>
    <t>062007</t>
  </si>
  <si>
    <t>Baselice</t>
  </si>
  <si>
    <t xml:space="preserve">Basiano (MI) </t>
  </si>
  <si>
    <t>015014</t>
  </si>
  <si>
    <t>Basiano</t>
  </si>
  <si>
    <t xml:space="preserve">Basicò (ME) </t>
  </si>
  <si>
    <t>083006</t>
  </si>
  <si>
    <t>Basicò</t>
  </si>
  <si>
    <t xml:space="preserve">Basiglio (MI) </t>
  </si>
  <si>
    <t>015015</t>
  </si>
  <si>
    <t>Basiglio</t>
  </si>
  <si>
    <t xml:space="preserve">Basiliano (UD) </t>
  </si>
  <si>
    <t>030009</t>
  </si>
  <si>
    <t>Basiliano</t>
  </si>
  <si>
    <t xml:space="preserve">Bassano Bresciano (BS) </t>
  </si>
  <si>
    <t>017013</t>
  </si>
  <si>
    <t>Bassano Bresciano</t>
  </si>
  <si>
    <t xml:space="preserve">Bassano del Grappa (VI) </t>
  </si>
  <si>
    <t>024012</t>
  </si>
  <si>
    <t>Bassano del Grappa</t>
  </si>
  <si>
    <t xml:space="preserve">Bassano in Teverina (VT) </t>
  </si>
  <si>
    <t>056006</t>
  </si>
  <si>
    <t>Bassano in Teverina</t>
  </si>
  <si>
    <t xml:space="preserve">Bassano Romano (VT) </t>
  </si>
  <si>
    <t>056005</t>
  </si>
  <si>
    <t>Bassano Romano</t>
  </si>
  <si>
    <t xml:space="preserve">Bassiano (LT) </t>
  </si>
  <si>
    <t>059002</t>
  </si>
  <si>
    <t>Bassiano</t>
  </si>
  <si>
    <t xml:space="preserve">Bassignana (AL) </t>
  </si>
  <si>
    <t>006013</t>
  </si>
  <si>
    <t>Bassignana</t>
  </si>
  <si>
    <t xml:space="preserve">Bastia Mondovì (CN) </t>
  </si>
  <si>
    <t>004014</t>
  </si>
  <si>
    <t>Bastia Mondovì</t>
  </si>
  <si>
    <t xml:space="preserve">Bastia Umbra (PG) </t>
  </si>
  <si>
    <t>054002</t>
  </si>
  <si>
    <t>Bastia Umbra</t>
  </si>
  <si>
    <t xml:space="preserve">Bastida Pancarana (PV) </t>
  </si>
  <si>
    <t>018011</t>
  </si>
  <si>
    <t>Bastida Pancarana</t>
  </si>
  <si>
    <t xml:space="preserve">Bastiglia (MO) </t>
  </si>
  <si>
    <t>MO</t>
  </si>
  <si>
    <t>036001</t>
  </si>
  <si>
    <t>Bastiglia</t>
  </si>
  <si>
    <t xml:space="preserve">Battaglia Terme (PD) </t>
  </si>
  <si>
    <t>028011</t>
  </si>
  <si>
    <t>Battaglia Terme</t>
  </si>
  <si>
    <t xml:space="preserve">Battifollo (CN) </t>
  </si>
  <si>
    <t>004015</t>
  </si>
  <si>
    <t>Battifollo</t>
  </si>
  <si>
    <t xml:space="preserve">Battipaglia (SA) </t>
  </si>
  <si>
    <t>065014</t>
  </si>
  <si>
    <t>Battipaglia</t>
  </si>
  <si>
    <t xml:space="preserve">Battuda (PV) </t>
  </si>
  <si>
    <t>018012</t>
  </si>
  <si>
    <t>Battuda</t>
  </si>
  <si>
    <t xml:space="preserve">Baucina (PA) </t>
  </si>
  <si>
    <t>082008</t>
  </si>
  <si>
    <t>Baucina</t>
  </si>
  <si>
    <t xml:space="preserve">Bauladu (OR) </t>
  </si>
  <si>
    <t>Bauladu</t>
  </si>
  <si>
    <t>Baunei</t>
  </si>
  <si>
    <t xml:space="preserve">Baveno (VB) </t>
  </si>
  <si>
    <t>Baveno</t>
  </si>
  <si>
    <t xml:space="preserve">Bedero Valcuvia (VA) </t>
  </si>
  <si>
    <t>012010</t>
  </si>
  <si>
    <t>Bedero Valcuvia</t>
  </si>
  <si>
    <t xml:space="preserve">Bedizzole (BS) </t>
  </si>
  <si>
    <t>017014</t>
  </si>
  <si>
    <t>Bedizzole</t>
  </si>
  <si>
    <t xml:space="preserve">Bedollo (TN) </t>
  </si>
  <si>
    <t>022011</t>
  </si>
  <si>
    <t>Bedollo</t>
  </si>
  <si>
    <t xml:space="preserve">Bedonia (PR) </t>
  </si>
  <si>
    <t>034003</t>
  </si>
  <si>
    <t>Bedonia</t>
  </si>
  <si>
    <t xml:space="preserve">Bedulita (BG) </t>
  </si>
  <si>
    <t>016022</t>
  </si>
  <si>
    <t>Bedulita</t>
  </si>
  <si>
    <t xml:space="preserve">Bee (VB) </t>
  </si>
  <si>
    <t>Bee</t>
  </si>
  <si>
    <t xml:space="preserve">Beinasco (TO) </t>
  </si>
  <si>
    <t>001024</t>
  </si>
  <si>
    <t>Beinasco</t>
  </si>
  <si>
    <t xml:space="preserve">Beinette (CN) </t>
  </si>
  <si>
    <t>004016</t>
  </si>
  <si>
    <t>Beinette</t>
  </si>
  <si>
    <t xml:space="preserve">Belcastro (CZ) </t>
  </si>
  <si>
    <t>079009</t>
  </si>
  <si>
    <t>Belcastro</t>
  </si>
  <si>
    <t xml:space="preserve">Belfiore (VR) </t>
  </si>
  <si>
    <t>023007</t>
  </si>
  <si>
    <t>Belfiore</t>
  </si>
  <si>
    <t xml:space="preserve">Belforte all'Isauro (PU) </t>
  </si>
  <si>
    <t>041005</t>
  </si>
  <si>
    <t>Belforte all'Isauro</t>
  </si>
  <si>
    <t xml:space="preserve">Belforte del Chienti (MC) </t>
  </si>
  <si>
    <t>043004</t>
  </si>
  <si>
    <t>Belforte del Chienti</t>
  </si>
  <si>
    <t xml:space="preserve">Belforte Monferrato (AL) </t>
  </si>
  <si>
    <t>006014</t>
  </si>
  <si>
    <t>Belforte Monferrato</t>
  </si>
  <si>
    <t xml:space="preserve">Belgioioso (PV) </t>
  </si>
  <si>
    <t>018013</t>
  </si>
  <si>
    <t>Belgioioso</t>
  </si>
  <si>
    <t xml:space="preserve">Belgirate (VB) </t>
  </si>
  <si>
    <t>Belgirate</t>
  </si>
  <si>
    <t xml:space="preserve">Bella (PZ) </t>
  </si>
  <si>
    <t>076012</t>
  </si>
  <si>
    <t>Bella</t>
  </si>
  <si>
    <t xml:space="preserve">Bellagio (CO) </t>
  </si>
  <si>
    <t>Bellagio</t>
  </si>
  <si>
    <t xml:space="preserve">Bellano (LC) </t>
  </si>
  <si>
    <t>097008</t>
  </si>
  <si>
    <t>Bellano</t>
  </si>
  <si>
    <t xml:space="preserve">Bellante (TE) </t>
  </si>
  <si>
    <t>067006</t>
  </si>
  <si>
    <t>Bellante</t>
  </si>
  <si>
    <t xml:space="preserve">Bellaria-Igea Marina (RN) </t>
  </si>
  <si>
    <t>RN</t>
  </si>
  <si>
    <t>099001</t>
  </si>
  <si>
    <t>Bellaria-Igea Marina</t>
  </si>
  <si>
    <t xml:space="preserve">Bellegra (RM) </t>
  </si>
  <si>
    <t>058012</t>
  </si>
  <si>
    <t>Bellegra</t>
  </si>
  <si>
    <t xml:space="preserve">Bellino (CN) </t>
  </si>
  <si>
    <t>004017</t>
  </si>
  <si>
    <t>Bellino</t>
  </si>
  <si>
    <t xml:space="preserve">Bellinzago Lombardo (MI) </t>
  </si>
  <si>
    <t>015016</t>
  </si>
  <si>
    <t>Bellinzago Lombardo</t>
  </si>
  <si>
    <t xml:space="preserve">Bellinzago Novarese (NO) </t>
  </si>
  <si>
    <t>003016</t>
  </si>
  <si>
    <t>Bellinzago Novarese</t>
  </si>
  <si>
    <t xml:space="preserve">Bellizzi (SA) </t>
  </si>
  <si>
    <t>065158</t>
  </si>
  <si>
    <t>Bellizzi</t>
  </si>
  <si>
    <t xml:space="preserve">Bellona (CE) </t>
  </si>
  <si>
    <t>061007</t>
  </si>
  <si>
    <t>Bellona</t>
  </si>
  <si>
    <t xml:space="preserve">Bellosguardo (SA) </t>
  </si>
  <si>
    <t>065015</t>
  </si>
  <si>
    <t>Bellosguardo</t>
  </si>
  <si>
    <t xml:space="preserve">Belluno (BL) </t>
  </si>
  <si>
    <t>025006</t>
  </si>
  <si>
    <t>Belluno</t>
  </si>
  <si>
    <t xml:space="preserve">Bellusco (MB) </t>
  </si>
  <si>
    <t>Bellusco</t>
  </si>
  <si>
    <t xml:space="preserve">Belmonte Calabro (CS) </t>
  </si>
  <si>
    <t>078013</t>
  </si>
  <si>
    <t>Belmonte Calabro</t>
  </si>
  <si>
    <t xml:space="preserve">Belmonte Castello (FR) </t>
  </si>
  <si>
    <t>060013</t>
  </si>
  <si>
    <t>Belmonte Castello</t>
  </si>
  <si>
    <t xml:space="preserve">Belmonte del Sannio (IS) </t>
  </si>
  <si>
    <t>094004</t>
  </si>
  <si>
    <t>Belmonte del Sannio</t>
  </si>
  <si>
    <t xml:space="preserve">Belmonte in Sabina (RI) </t>
  </si>
  <si>
    <t>057005</t>
  </si>
  <si>
    <t>Belmonte in Sabina</t>
  </si>
  <si>
    <t xml:space="preserve">Belmonte Mezzagno (PA) </t>
  </si>
  <si>
    <t>082009</t>
  </si>
  <si>
    <t>Belmonte Mezzagno</t>
  </si>
  <si>
    <t xml:space="preserve">Belmonte Piceno (FM) </t>
  </si>
  <si>
    <t>Belmonte Piceno</t>
  </si>
  <si>
    <t xml:space="preserve">Belpasso (CT) </t>
  </si>
  <si>
    <t>087007</t>
  </si>
  <si>
    <t>Belpasso</t>
  </si>
  <si>
    <t xml:space="preserve">Belsito (CS) </t>
  </si>
  <si>
    <t>078014</t>
  </si>
  <si>
    <t>Belsito</t>
  </si>
  <si>
    <t xml:space="preserve">Belvedere di Spinello (KR) </t>
  </si>
  <si>
    <t>KR</t>
  </si>
  <si>
    <t>Belvedere di Spinello</t>
  </si>
  <si>
    <t xml:space="preserve">Belvedere Langhe (CN) </t>
  </si>
  <si>
    <t>004018</t>
  </si>
  <si>
    <t>Belvedere Langhe</t>
  </si>
  <si>
    <t xml:space="preserve">Belvedere Marittimo (CS) </t>
  </si>
  <si>
    <t>078015</t>
  </si>
  <si>
    <t>Belvedere Marittimo</t>
  </si>
  <si>
    <t xml:space="preserve">Belvedere Ostrense (AN) </t>
  </si>
  <si>
    <t>042005</t>
  </si>
  <si>
    <t>Belvedere Ostrense</t>
  </si>
  <si>
    <t xml:space="preserve">Belveglio (AT) </t>
  </si>
  <si>
    <t>005008</t>
  </si>
  <si>
    <t>Belveglio</t>
  </si>
  <si>
    <t xml:space="preserve">Belvì (NU) </t>
  </si>
  <si>
    <t>Belvì</t>
  </si>
  <si>
    <t xml:space="preserve">Bema (SO) </t>
  </si>
  <si>
    <t>014006</t>
  </si>
  <si>
    <t>Bema</t>
  </si>
  <si>
    <t xml:space="preserve">Bene Lario (CO) </t>
  </si>
  <si>
    <t>013021</t>
  </si>
  <si>
    <t>Bene Lario</t>
  </si>
  <si>
    <t xml:space="preserve">Bene Vagienna (CN) </t>
  </si>
  <si>
    <t>004019</t>
  </si>
  <si>
    <t>Bene Vagienna</t>
  </si>
  <si>
    <t xml:space="preserve">Benestare (RC) </t>
  </si>
  <si>
    <t>080008</t>
  </si>
  <si>
    <t>Benestare</t>
  </si>
  <si>
    <t xml:space="preserve">Benetutti (SS) </t>
  </si>
  <si>
    <t>Benetutti</t>
  </si>
  <si>
    <t xml:space="preserve">Benevello (CN) </t>
  </si>
  <si>
    <t>004020</t>
  </si>
  <si>
    <t>Benevello</t>
  </si>
  <si>
    <t xml:space="preserve">Benevento (BN) </t>
  </si>
  <si>
    <t>062008</t>
  </si>
  <si>
    <t>Benevento</t>
  </si>
  <si>
    <t xml:space="preserve">Benna (BI) </t>
  </si>
  <si>
    <t>096003</t>
  </si>
  <si>
    <t>Benna</t>
  </si>
  <si>
    <t xml:space="preserve">Bentivoglio (BO) </t>
  </si>
  <si>
    <t>037005</t>
  </si>
  <si>
    <t>Bentivoglio</t>
  </si>
  <si>
    <t xml:space="preserve">Berbenno (BG) </t>
  </si>
  <si>
    <t>016023</t>
  </si>
  <si>
    <t>Berbenno</t>
  </si>
  <si>
    <t xml:space="preserve">Berbenno di Valtellina (SO) </t>
  </si>
  <si>
    <t>014007</t>
  </si>
  <si>
    <t>Berbenno di Valtellina</t>
  </si>
  <si>
    <t xml:space="preserve">Berceto (PR) </t>
  </si>
  <si>
    <t>034004</t>
  </si>
  <si>
    <t>Berceto</t>
  </si>
  <si>
    <t>Berchidda</t>
  </si>
  <si>
    <t xml:space="preserve">Beregazzo con Figliaro (CO) </t>
  </si>
  <si>
    <t>013022</t>
  </si>
  <si>
    <t>Beregazzo con Figliaro</t>
  </si>
  <si>
    <t xml:space="preserve">Bereguardo (PV) </t>
  </si>
  <si>
    <t>018014</t>
  </si>
  <si>
    <t>Bereguardo</t>
  </si>
  <si>
    <t xml:space="preserve">Bergamasco (AL) </t>
  </si>
  <si>
    <t>006015</t>
  </si>
  <si>
    <t>Bergamasco</t>
  </si>
  <si>
    <t xml:space="preserve">Bergamo (BG) </t>
  </si>
  <si>
    <t>016024</t>
  </si>
  <si>
    <t>Bergamo</t>
  </si>
  <si>
    <t xml:space="preserve">Bergantino (RO) </t>
  </si>
  <si>
    <t>029006</t>
  </si>
  <si>
    <t>Bergantino</t>
  </si>
  <si>
    <t xml:space="preserve">Bergeggi (SV) </t>
  </si>
  <si>
    <t>009010</t>
  </si>
  <si>
    <t>Bergeggi</t>
  </si>
  <si>
    <t xml:space="preserve">Bergolo (CN) </t>
  </si>
  <si>
    <t>004021</t>
  </si>
  <si>
    <t>Bergolo</t>
  </si>
  <si>
    <t xml:space="preserve">Berlingo (BS) </t>
  </si>
  <si>
    <t>017015</t>
  </si>
  <si>
    <t>Berlingo</t>
  </si>
  <si>
    <t xml:space="preserve">Bernalda (MT) </t>
  </si>
  <si>
    <t>077003</t>
  </si>
  <si>
    <t>Bernalda</t>
  </si>
  <si>
    <t xml:space="preserve">Bernareggio (MB) </t>
  </si>
  <si>
    <t>Bernareggio</t>
  </si>
  <si>
    <t xml:space="preserve">Bernate Ticino (MI) </t>
  </si>
  <si>
    <t>015019</t>
  </si>
  <si>
    <t>Bernate Ticino</t>
  </si>
  <si>
    <t xml:space="preserve">Bernezzo (CN) </t>
  </si>
  <si>
    <t>004022</t>
  </si>
  <si>
    <t>Bernezzo</t>
  </si>
  <si>
    <t xml:space="preserve">Bertinoro (FC) </t>
  </si>
  <si>
    <t>040003</t>
  </si>
  <si>
    <t>Bertinoro</t>
  </si>
  <si>
    <t xml:space="preserve">Bertiolo (UD) </t>
  </si>
  <si>
    <t>030010</t>
  </si>
  <si>
    <t>Bertiolo</t>
  </si>
  <si>
    <t xml:space="preserve">Bertonico (LO) </t>
  </si>
  <si>
    <t>098002</t>
  </si>
  <si>
    <t>Bertonico</t>
  </si>
  <si>
    <t xml:space="preserve">Berzano di San Pietro (AT) </t>
  </si>
  <si>
    <t>005009</t>
  </si>
  <si>
    <t>Berzano di San Pietro</t>
  </si>
  <si>
    <t xml:space="preserve">Berzano di Tortona (AL) </t>
  </si>
  <si>
    <t>006016</t>
  </si>
  <si>
    <t>Berzano di Tortona</t>
  </si>
  <si>
    <t xml:space="preserve">Berzo Demo (BS) </t>
  </si>
  <si>
    <t>017016</t>
  </si>
  <si>
    <t>Berzo Demo</t>
  </si>
  <si>
    <t xml:space="preserve">Berzo Inferiore (BS) </t>
  </si>
  <si>
    <t>017017</t>
  </si>
  <si>
    <t>Berzo Inferiore</t>
  </si>
  <si>
    <t xml:space="preserve">Berzo San Fermo (BG) </t>
  </si>
  <si>
    <t>016025</t>
  </si>
  <si>
    <t>Berzo San Fermo</t>
  </si>
  <si>
    <t xml:space="preserve">Besana in Brianza (MB) </t>
  </si>
  <si>
    <t>Besana in Brianza</t>
  </si>
  <si>
    <t xml:space="preserve">Besano (VA) </t>
  </si>
  <si>
    <t>012011</t>
  </si>
  <si>
    <t>Besano</t>
  </si>
  <si>
    <t xml:space="preserve">Besate (MI) </t>
  </si>
  <si>
    <t>015022</t>
  </si>
  <si>
    <t>Besate</t>
  </si>
  <si>
    <t xml:space="preserve">Besenello (TN) </t>
  </si>
  <si>
    <t>022013</t>
  </si>
  <si>
    <t>Besenello</t>
  </si>
  <si>
    <t xml:space="preserve">Besenzone (PC) </t>
  </si>
  <si>
    <t>033003</t>
  </si>
  <si>
    <t>Besenzone</t>
  </si>
  <si>
    <t xml:space="preserve">Besnate (VA) </t>
  </si>
  <si>
    <t>012012</t>
  </si>
  <si>
    <t>Besnate</t>
  </si>
  <si>
    <t xml:space="preserve">Besozzo (VA) </t>
  </si>
  <si>
    <t>012013</t>
  </si>
  <si>
    <t>Besozzo</t>
  </si>
  <si>
    <t xml:space="preserve">Bessude (SS) </t>
  </si>
  <si>
    <t>Bessude</t>
  </si>
  <si>
    <t xml:space="preserve">Bettola (PC) </t>
  </si>
  <si>
    <t>033004</t>
  </si>
  <si>
    <t>Bettola</t>
  </si>
  <si>
    <t xml:space="preserve">Bettona (PG) </t>
  </si>
  <si>
    <t>054003</t>
  </si>
  <si>
    <t>Bettona</t>
  </si>
  <si>
    <t xml:space="preserve">Beura-Cardezza (VB) </t>
  </si>
  <si>
    <t>Beura-Cardezza</t>
  </si>
  <si>
    <t xml:space="preserve">Bevagna (PG) </t>
  </si>
  <si>
    <t>054004</t>
  </si>
  <si>
    <t>Bevagna</t>
  </si>
  <si>
    <t xml:space="preserve">Beverino (SP) </t>
  </si>
  <si>
    <t>011003</t>
  </si>
  <si>
    <t>Beverino</t>
  </si>
  <si>
    <t xml:space="preserve">Bevilacqua (VR) </t>
  </si>
  <si>
    <t>023008</t>
  </si>
  <si>
    <t>Bevilacqua</t>
  </si>
  <si>
    <t xml:space="preserve">Biancavilla (CT) </t>
  </si>
  <si>
    <t>087008</t>
  </si>
  <si>
    <t>Biancavilla</t>
  </si>
  <si>
    <t xml:space="preserve">Bianchi (CS) </t>
  </si>
  <si>
    <t>078016</t>
  </si>
  <si>
    <t>Bianchi</t>
  </si>
  <si>
    <t xml:space="preserve">Bianco (RC) </t>
  </si>
  <si>
    <t>080009</t>
  </si>
  <si>
    <t>Bianco</t>
  </si>
  <si>
    <t xml:space="preserve">Biandrate (NO) </t>
  </si>
  <si>
    <t>003018</t>
  </si>
  <si>
    <t>Biandrate</t>
  </si>
  <si>
    <t xml:space="preserve">Biandronno (VA) </t>
  </si>
  <si>
    <t>012014</t>
  </si>
  <si>
    <t>Biandronno</t>
  </si>
  <si>
    <t xml:space="preserve">Bianzano (BG) </t>
  </si>
  <si>
    <t>016026</t>
  </si>
  <si>
    <t>Bianzano</t>
  </si>
  <si>
    <t xml:space="preserve">Bianzè (VC) </t>
  </si>
  <si>
    <t>002011</t>
  </si>
  <si>
    <t>Bianzè</t>
  </si>
  <si>
    <t xml:space="preserve">Bianzone (SO) </t>
  </si>
  <si>
    <t>014008</t>
  </si>
  <si>
    <t>Bianzone</t>
  </si>
  <si>
    <t xml:space="preserve">Biassono (MB) </t>
  </si>
  <si>
    <t>Biassono</t>
  </si>
  <si>
    <t xml:space="preserve">Bibbiano (RE) </t>
  </si>
  <si>
    <t>035004</t>
  </si>
  <si>
    <t>Bibbiano</t>
  </si>
  <si>
    <t xml:space="preserve">Bibbiena (AR) </t>
  </si>
  <si>
    <t>051004</t>
  </si>
  <si>
    <t>Bibbiena</t>
  </si>
  <si>
    <t xml:space="preserve">Bibbona (LI) </t>
  </si>
  <si>
    <t>LI</t>
  </si>
  <si>
    <t>049001</t>
  </si>
  <si>
    <t>Bibbona</t>
  </si>
  <si>
    <t xml:space="preserve">Bibiana (TO) </t>
  </si>
  <si>
    <t>001025</t>
  </si>
  <si>
    <t>Bibiana</t>
  </si>
  <si>
    <t xml:space="preserve">Biccari (FG) </t>
  </si>
  <si>
    <t>071006</t>
  </si>
  <si>
    <t>Biccari</t>
  </si>
  <si>
    <t xml:space="preserve">Bicinicco (UD) </t>
  </si>
  <si>
    <t>030011</t>
  </si>
  <si>
    <t>Bicinicco</t>
  </si>
  <si>
    <t xml:space="preserve">Bidonì (OR) </t>
  </si>
  <si>
    <t>Bidonì</t>
  </si>
  <si>
    <t xml:space="preserve">Biella (BI) </t>
  </si>
  <si>
    <t>096004</t>
  </si>
  <si>
    <t>Biella</t>
  </si>
  <si>
    <t xml:space="preserve">Bienno (BS) </t>
  </si>
  <si>
    <t>017018</t>
  </si>
  <si>
    <t>Bienno</t>
  </si>
  <si>
    <t xml:space="preserve">Bieno (TN) </t>
  </si>
  <si>
    <t>022015</t>
  </si>
  <si>
    <t>Bieno</t>
  </si>
  <si>
    <t xml:space="preserve">Bientina (PI) </t>
  </si>
  <si>
    <t>PI</t>
  </si>
  <si>
    <t>050001</t>
  </si>
  <si>
    <t>Bientina</t>
  </si>
  <si>
    <t xml:space="preserve">Binago (CO) </t>
  </si>
  <si>
    <t>013023</t>
  </si>
  <si>
    <t>Binago</t>
  </si>
  <si>
    <t xml:space="preserve">Binasco (MI) </t>
  </si>
  <si>
    <t>015024</t>
  </si>
  <si>
    <t>Binasco</t>
  </si>
  <si>
    <t xml:space="preserve">Binetto (BA) </t>
  </si>
  <si>
    <t>072008</t>
  </si>
  <si>
    <t>Binetto</t>
  </si>
  <si>
    <t xml:space="preserve">Bioglio (BI) </t>
  </si>
  <si>
    <t>096005</t>
  </si>
  <si>
    <t>Bioglio</t>
  </si>
  <si>
    <t xml:space="preserve">Bionaz (AO) </t>
  </si>
  <si>
    <t>007010</t>
  </si>
  <si>
    <t>Bionaz</t>
  </si>
  <si>
    <t xml:space="preserve">Bione (BS) </t>
  </si>
  <si>
    <t>017019</t>
  </si>
  <si>
    <t>Bione</t>
  </si>
  <si>
    <t xml:space="preserve">Birori (NU) </t>
  </si>
  <si>
    <t>Birori</t>
  </si>
  <si>
    <t xml:space="preserve">Bisaccia (AV) </t>
  </si>
  <si>
    <t>064011</t>
  </si>
  <si>
    <t>Bisaccia</t>
  </si>
  <si>
    <t xml:space="preserve">Bisacquino (PA) </t>
  </si>
  <si>
    <t>082010</t>
  </si>
  <si>
    <t>Bisacquino</t>
  </si>
  <si>
    <t xml:space="preserve">Bisceglie (BT) </t>
  </si>
  <si>
    <t>Bisceglie</t>
  </si>
  <si>
    <t xml:space="preserve">Bisegna (AQ) </t>
  </si>
  <si>
    <t>066011</t>
  </si>
  <si>
    <t>Bisegna</t>
  </si>
  <si>
    <t xml:space="preserve">Bisenti (TE) </t>
  </si>
  <si>
    <t>067007</t>
  </si>
  <si>
    <t>Bisenti</t>
  </si>
  <si>
    <t xml:space="preserve">Bisignano (CS) </t>
  </si>
  <si>
    <t>078017</t>
  </si>
  <si>
    <t>Bisignano</t>
  </si>
  <si>
    <t xml:space="preserve">Bistagno (AL) </t>
  </si>
  <si>
    <t>006017</t>
  </si>
  <si>
    <t>Bistagno</t>
  </si>
  <si>
    <t xml:space="preserve">Bisuschio (VA) </t>
  </si>
  <si>
    <t>012015</t>
  </si>
  <si>
    <t>Bisuschio</t>
  </si>
  <si>
    <t xml:space="preserve">Bitetto (BA) </t>
  </si>
  <si>
    <t>072010</t>
  </si>
  <si>
    <t>Bitetto</t>
  </si>
  <si>
    <t xml:space="preserve">Bitonto (BA) </t>
  </si>
  <si>
    <t>072011</t>
  </si>
  <si>
    <t>Bitonto</t>
  </si>
  <si>
    <t xml:space="preserve">Bitritto (BA) </t>
  </si>
  <si>
    <t>072012</t>
  </si>
  <si>
    <t>Bitritto</t>
  </si>
  <si>
    <t xml:space="preserve">Bitti (NU) </t>
  </si>
  <si>
    <t>Bitti</t>
  </si>
  <si>
    <t xml:space="preserve">Bivona (AG) </t>
  </si>
  <si>
    <t>084004</t>
  </si>
  <si>
    <t>Bivona</t>
  </si>
  <si>
    <t xml:space="preserve">Bivongi (RC) </t>
  </si>
  <si>
    <t>080010</t>
  </si>
  <si>
    <t>Bivongi</t>
  </si>
  <si>
    <t xml:space="preserve">Bizzarone (CO) </t>
  </si>
  <si>
    <t>013024</t>
  </si>
  <si>
    <t>Bizzarone</t>
  </si>
  <si>
    <t xml:space="preserve">Bleggio Superiore (TN) </t>
  </si>
  <si>
    <t>022017</t>
  </si>
  <si>
    <t>Bleggio Superiore</t>
  </si>
  <si>
    <t xml:space="preserve">Blello (BG) </t>
  </si>
  <si>
    <t>016027</t>
  </si>
  <si>
    <t>Blello</t>
  </si>
  <si>
    <t xml:space="preserve">Blera (VT) </t>
  </si>
  <si>
    <t>056007</t>
  </si>
  <si>
    <t>Blera</t>
  </si>
  <si>
    <t xml:space="preserve">Blessagno (CO) </t>
  </si>
  <si>
    <t>013025</t>
  </si>
  <si>
    <t>Blessagno</t>
  </si>
  <si>
    <t xml:space="preserve">Blevio (CO) </t>
  </si>
  <si>
    <t>013026</t>
  </si>
  <si>
    <t>Blevio</t>
  </si>
  <si>
    <t xml:space="preserve">Blufi (PA) </t>
  </si>
  <si>
    <t>082082</t>
  </si>
  <si>
    <t>Blufi</t>
  </si>
  <si>
    <t xml:space="preserve">Boara Pisani (PD) </t>
  </si>
  <si>
    <t>028012</t>
  </si>
  <si>
    <t>Boara Pisani</t>
  </si>
  <si>
    <t xml:space="preserve">Bobbio (PC) </t>
  </si>
  <si>
    <t>033005</t>
  </si>
  <si>
    <t>Bobbio</t>
  </si>
  <si>
    <t xml:space="preserve">Bobbio Pellice (TO) </t>
  </si>
  <si>
    <t>001026</t>
  </si>
  <si>
    <t>Bobbio Pellice</t>
  </si>
  <si>
    <t xml:space="preserve">Boca (NO) </t>
  </si>
  <si>
    <t>003019</t>
  </si>
  <si>
    <t>Boca</t>
  </si>
  <si>
    <t xml:space="preserve">Bocchigliero (CS) </t>
  </si>
  <si>
    <t>078018</t>
  </si>
  <si>
    <t>Bocchigliero</t>
  </si>
  <si>
    <t xml:space="preserve">Boccioleto (VC) </t>
  </si>
  <si>
    <t>002014</t>
  </si>
  <si>
    <t>Boccioleto</t>
  </si>
  <si>
    <t xml:space="preserve">Bocenago (TN) </t>
  </si>
  <si>
    <t>022018</t>
  </si>
  <si>
    <t>Bocenago</t>
  </si>
  <si>
    <t xml:space="preserve">Bodio Lomnago (VA) </t>
  </si>
  <si>
    <t>012016</t>
  </si>
  <si>
    <t>Bodio Lomnago</t>
  </si>
  <si>
    <t xml:space="preserve">Boffalora d'Adda (LO) </t>
  </si>
  <si>
    <t>098003</t>
  </si>
  <si>
    <t>Boffalora d'Adda</t>
  </si>
  <si>
    <t xml:space="preserve">Boffalora sopra Ticino (MI) </t>
  </si>
  <si>
    <t>015026</t>
  </si>
  <si>
    <t>Boffalora sopra Ticino</t>
  </si>
  <si>
    <t xml:space="preserve">Bogliasco (GE) </t>
  </si>
  <si>
    <t>010004</t>
  </si>
  <si>
    <t>Bogliasco</t>
  </si>
  <si>
    <t xml:space="preserve">Bognanco (VB) </t>
  </si>
  <si>
    <t>Bognanco</t>
  </si>
  <si>
    <t xml:space="preserve">Bogogno (NO) </t>
  </si>
  <si>
    <t>003021</t>
  </si>
  <si>
    <t>Bogogno</t>
  </si>
  <si>
    <t xml:space="preserve">Boissano (SV) </t>
  </si>
  <si>
    <t>009011</t>
  </si>
  <si>
    <t>Boissano</t>
  </si>
  <si>
    <t xml:space="preserve">Bojano (CB) </t>
  </si>
  <si>
    <t>070003</t>
  </si>
  <si>
    <t>Bojano</t>
  </si>
  <si>
    <t xml:space="preserve">Bolano (SP) </t>
  </si>
  <si>
    <t>011004</t>
  </si>
  <si>
    <t>Bolano</t>
  </si>
  <si>
    <t xml:space="preserve">Bolgare (BG) </t>
  </si>
  <si>
    <t>016028</t>
  </si>
  <si>
    <t>Bolgare</t>
  </si>
  <si>
    <t xml:space="preserve">Bollate (MI) </t>
  </si>
  <si>
    <t>015027</t>
  </si>
  <si>
    <t>Bollate</t>
  </si>
  <si>
    <t xml:space="preserve">Bollengo (TO) </t>
  </si>
  <si>
    <t>001027</t>
  </si>
  <si>
    <t>Bollengo</t>
  </si>
  <si>
    <t xml:space="preserve">Bologna (BO) </t>
  </si>
  <si>
    <t>037006</t>
  </si>
  <si>
    <t>Bologna</t>
  </si>
  <si>
    <t xml:space="preserve">Bolognano (PE) </t>
  </si>
  <si>
    <t>068003</t>
  </si>
  <si>
    <t>Bolognano</t>
  </si>
  <si>
    <t xml:space="preserve">Bolognetta (PA) </t>
  </si>
  <si>
    <t>082011</t>
  </si>
  <si>
    <t>Bolognetta</t>
  </si>
  <si>
    <t xml:space="preserve">Bolognola (MC) </t>
  </si>
  <si>
    <t>043005</t>
  </si>
  <si>
    <t>Bolognola</t>
  </si>
  <si>
    <t xml:space="preserve">Bolotana (NU) </t>
  </si>
  <si>
    <t>Bolotana</t>
  </si>
  <si>
    <t xml:space="preserve">Bolsena (VT) </t>
  </si>
  <si>
    <t>056008</t>
  </si>
  <si>
    <t>Bolsena</t>
  </si>
  <si>
    <t xml:space="preserve">Boltiere (BG) </t>
  </si>
  <si>
    <t>016029</t>
  </si>
  <si>
    <t>Boltiere</t>
  </si>
  <si>
    <t>021008</t>
  </si>
  <si>
    <t xml:space="preserve">Bolzano Novarese (NO) </t>
  </si>
  <si>
    <t>003022</t>
  </si>
  <si>
    <t>Bolzano Novarese</t>
  </si>
  <si>
    <t xml:space="preserve">Bolzano Vicentino (VI) </t>
  </si>
  <si>
    <t>024013</t>
  </si>
  <si>
    <t>Bolzano Vicentino</t>
  </si>
  <si>
    <t xml:space="preserve">Bomarzo (VT) </t>
  </si>
  <si>
    <t>056009</t>
  </si>
  <si>
    <t>Bomarzo</t>
  </si>
  <si>
    <t xml:space="preserve">Bomba (CH) </t>
  </si>
  <si>
    <t>069006</t>
  </si>
  <si>
    <t>Bomba</t>
  </si>
  <si>
    <t xml:space="preserve">Bompensiere (CL) </t>
  </si>
  <si>
    <t>085002</t>
  </si>
  <si>
    <t>Bompensiere</t>
  </si>
  <si>
    <t xml:space="preserve">Bompietro (PA) </t>
  </si>
  <si>
    <t>082012</t>
  </si>
  <si>
    <t>Bompietro</t>
  </si>
  <si>
    <t xml:space="preserve">Bomporto (MO) </t>
  </si>
  <si>
    <t>036002</t>
  </si>
  <si>
    <t>Bomporto</t>
  </si>
  <si>
    <t xml:space="preserve">Bonarcado (OR) </t>
  </si>
  <si>
    <t>Bonarcado</t>
  </si>
  <si>
    <t xml:space="preserve">Bonassola (SP) </t>
  </si>
  <si>
    <t>011005</t>
  </si>
  <si>
    <t>Bonassola</t>
  </si>
  <si>
    <t xml:space="preserve">Bonate Sopra (BG) </t>
  </si>
  <si>
    <t>016030</t>
  </si>
  <si>
    <t>Bonate Sopra</t>
  </si>
  <si>
    <t xml:space="preserve">Bonate Sotto (BG) </t>
  </si>
  <si>
    <t>016031</t>
  </si>
  <si>
    <t>Bonate Sotto</t>
  </si>
  <si>
    <t xml:space="preserve">Bonavigo (VR) </t>
  </si>
  <si>
    <t>023009</t>
  </si>
  <si>
    <t>Bonavigo</t>
  </si>
  <si>
    <t xml:space="preserve">Bondeno (FE) </t>
  </si>
  <si>
    <t>038003</t>
  </si>
  <si>
    <t>Bondeno</t>
  </si>
  <si>
    <t xml:space="preserve">Bondone (TN) </t>
  </si>
  <si>
    <t>022021</t>
  </si>
  <si>
    <t>Bondone</t>
  </si>
  <si>
    <t xml:space="preserve">Bonea (BN) </t>
  </si>
  <si>
    <t>062009</t>
  </si>
  <si>
    <t>Bonea</t>
  </si>
  <si>
    <t xml:space="preserve">Bonefro (CB) </t>
  </si>
  <si>
    <t>070004</t>
  </si>
  <si>
    <t>Bonefro</t>
  </si>
  <si>
    <t xml:space="preserve">Bonemerse (CR) </t>
  </si>
  <si>
    <t>019006</t>
  </si>
  <si>
    <t>Bonemerse</t>
  </si>
  <si>
    <t xml:space="preserve">Bonifati (CS) </t>
  </si>
  <si>
    <t>078019</t>
  </si>
  <si>
    <t>Bonifati</t>
  </si>
  <si>
    <t xml:space="preserve">Bonito (AV) </t>
  </si>
  <si>
    <t>064012</t>
  </si>
  <si>
    <t>Bonito</t>
  </si>
  <si>
    <t xml:space="preserve">Bonnanaro (SS) </t>
  </si>
  <si>
    <t>Bonnanaro</t>
  </si>
  <si>
    <t xml:space="preserve">Bono (SS) </t>
  </si>
  <si>
    <t>Bono</t>
  </si>
  <si>
    <t xml:space="preserve">Bonorva (SS) </t>
  </si>
  <si>
    <t>Bonorva</t>
  </si>
  <si>
    <t xml:space="preserve">Bonvicino (CN) </t>
  </si>
  <si>
    <t>004023</t>
  </si>
  <si>
    <t>Bonvicino</t>
  </si>
  <si>
    <t xml:space="preserve">Borbona (RI) </t>
  </si>
  <si>
    <t>057006</t>
  </si>
  <si>
    <t>Borbona</t>
  </si>
  <si>
    <t xml:space="preserve">Borca di Cadore (BL) </t>
  </si>
  <si>
    <t>025007</t>
  </si>
  <si>
    <t>Borca di Cadore</t>
  </si>
  <si>
    <t xml:space="preserve">Bordano (UD) </t>
  </si>
  <si>
    <t>030012</t>
  </si>
  <si>
    <t>Bordano</t>
  </si>
  <si>
    <t xml:space="preserve">Bordighera (IM) </t>
  </si>
  <si>
    <t>008008</t>
  </si>
  <si>
    <t>Bordighera</t>
  </si>
  <si>
    <t xml:space="preserve">Bordolano (CR) </t>
  </si>
  <si>
    <t>019007</t>
  </si>
  <si>
    <t>Bordolano</t>
  </si>
  <si>
    <t xml:space="preserve">Bore (PR) </t>
  </si>
  <si>
    <t>034005</t>
  </si>
  <si>
    <t>Bore</t>
  </si>
  <si>
    <t xml:space="preserve">Boretto (RE) </t>
  </si>
  <si>
    <t>035005</t>
  </si>
  <si>
    <t>Boretto</t>
  </si>
  <si>
    <t xml:space="preserve">Borgarello (PV) </t>
  </si>
  <si>
    <t>018015</t>
  </si>
  <si>
    <t>Borgarello</t>
  </si>
  <si>
    <t xml:space="preserve">Borgaro Torinese (TO) </t>
  </si>
  <si>
    <t>001028</t>
  </si>
  <si>
    <t>Borgaro Torinese</t>
  </si>
  <si>
    <t xml:space="preserve">Borgetto (PA) </t>
  </si>
  <si>
    <t>082013</t>
  </si>
  <si>
    <t>Borgetto</t>
  </si>
  <si>
    <t xml:space="preserve">Borghetto d'Arroscia (IM) </t>
  </si>
  <si>
    <t>008009</t>
  </si>
  <si>
    <t>Borghetto d'Arroscia</t>
  </si>
  <si>
    <t xml:space="preserve">Borghetto di Borbera (AL) </t>
  </si>
  <si>
    <t>006018</t>
  </si>
  <si>
    <t>Borghetto di Borbera</t>
  </si>
  <si>
    <t xml:space="preserve">Borghetto di Vara (SP) </t>
  </si>
  <si>
    <t>011006</t>
  </si>
  <si>
    <t>Borghetto di Vara</t>
  </si>
  <si>
    <t xml:space="preserve">Borghetto Lodigiano (LO) </t>
  </si>
  <si>
    <t>098004</t>
  </si>
  <si>
    <t>Borghetto Lodigiano</t>
  </si>
  <si>
    <t xml:space="preserve">Borghetto Santo Spirito (SV) </t>
  </si>
  <si>
    <t>009012</t>
  </si>
  <si>
    <t>Borghetto Santo Spirito</t>
  </si>
  <si>
    <t xml:space="preserve">Borghi (FC) </t>
  </si>
  <si>
    <t>040004</t>
  </si>
  <si>
    <t>Borghi</t>
  </si>
  <si>
    <t xml:space="preserve">Borgia (CZ) </t>
  </si>
  <si>
    <t>079011</t>
  </si>
  <si>
    <t>Borgia</t>
  </si>
  <si>
    <t xml:space="preserve">Borgiallo (TO) </t>
  </si>
  <si>
    <t>001029</t>
  </si>
  <si>
    <t>Borgiallo</t>
  </si>
  <si>
    <t xml:space="preserve">Borgio Verezzi (SV) </t>
  </si>
  <si>
    <t>009013</t>
  </si>
  <si>
    <t>Borgio Verezzi</t>
  </si>
  <si>
    <t xml:space="preserve">Borgo a Mozzano (LU) </t>
  </si>
  <si>
    <t>046004</t>
  </si>
  <si>
    <t>Borgo a Mozzano</t>
  </si>
  <si>
    <t xml:space="preserve">Borgo d'Ale (VC) </t>
  </si>
  <si>
    <t>002015</t>
  </si>
  <si>
    <t>Borgo d'Ale</t>
  </si>
  <si>
    <t xml:space="preserve">Borgo di Terzo (BG) </t>
  </si>
  <si>
    <t>016032</t>
  </si>
  <si>
    <t>Borgo di Terzo</t>
  </si>
  <si>
    <t xml:space="preserve">Borgo Pace (PU) </t>
  </si>
  <si>
    <t>041006</t>
  </si>
  <si>
    <t>Borgo Pace</t>
  </si>
  <si>
    <t xml:space="preserve">Borgo Priolo (PV) </t>
  </si>
  <si>
    <t>018016</t>
  </si>
  <si>
    <t>Borgo Priolo</t>
  </si>
  <si>
    <t xml:space="preserve">Borgo San Dalmazzo (CN) </t>
  </si>
  <si>
    <t>004025</t>
  </si>
  <si>
    <t>Borgo San Dalmazzo</t>
  </si>
  <si>
    <t xml:space="preserve">Borgo San Giacomo (BS) </t>
  </si>
  <si>
    <t>017020</t>
  </si>
  <si>
    <t>Borgo San Giacomo</t>
  </si>
  <si>
    <t xml:space="preserve">Borgo San Giovanni (LO) </t>
  </si>
  <si>
    <t>098005</t>
  </si>
  <si>
    <t>Borgo San Giovanni</t>
  </si>
  <si>
    <t xml:space="preserve">Borgo San Lorenzo (FI) </t>
  </si>
  <si>
    <t>048004</t>
  </si>
  <si>
    <t>Borgo San Lorenzo</t>
  </si>
  <si>
    <t xml:space="preserve">Borgo San Martino (AL) </t>
  </si>
  <si>
    <t>006020</t>
  </si>
  <si>
    <t>Borgo San Martino</t>
  </si>
  <si>
    <t xml:space="preserve">Borgo San Siro (PV) </t>
  </si>
  <si>
    <t>018018</t>
  </si>
  <si>
    <t>Borgo San Siro</t>
  </si>
  <si>
    <t xml:space="preserve">Borgo Ticino (NO) </t>
  </si>
  <si>
    <t>003025</t>
  </si>
  <si>
    <t>Borgo Ticino</t>
  </si>
  <si>
    <t xml:space="preserve">Borgo Tossignano (BO) </t>
  </si>
  <si>
    <t>037007</t>
  </si>
  <si>
    <t>Borgo Tossignano</t>
  </si>
  <si>
    <t xml:space="preserve">Borgo Val di Taro (PR) </t>
  </si>
  <si>
    <t>034006</t>
  </si>
  <si>
    <t>Borgo Val di Taro</t>
  </si>
  <si>
    <t xml:space="preserve">Borgo Valsugana (TN) </t>
  </si>
  <si>
    <t>022022</t>
  </si>
  <si>
    <t>Borgo Valsugana</t>
  </si>
  <si>
    <t xml:space="preserve">Borgo Velino (RI) </t>
  </si>
  <si>
    <t>057008</t>
  </si>
  <si>
    <t>Borgo Velino</t>
  </si>
  <si>
    <t xml:space="preserve">Borgo Vercelli (VC) </t>
  </si>
  <si>
    <t>002017</t>
  </si>
  <si>
    <t>Borgo Vercelli</t>
  </si>
  <si>
    <t xml:space="preserve">Borgofranco d'Ivrea (TO) </t>
  </si>
  <si>
    <t>001030</t>
  </si>
  <si>
    <t>Borgofranco d'Ivrea</t>
  </si>
  <si>
    <t xml:space="preserve">Borgolavezzaro (NO) </t>
  </si>
  <si>
    <t>003023</t>
  </si>
  <si>
    <t>Borgolavezzaro</t>
  </si>
  <si>
    <t xml:space="preserve">Borgomale (CN) </t>
  </si>
  <si>
    <t>004024</t>
  </si>
  <si>
    <t>Borgomale</t>
  </si>
  <si>
    <t xml:space="preserve">Borgomanero (NO) </t>
  </si>
  <si>
    <t>003024</t>
  </si>
  <si>
    <t>Borgomanero</t>
  </si>
  <si>
    <t xml:space="preserve">Borgomaro (IM) </t>
  </si>
  <si>
    <t>008010</t>
  </si>
  <si>
    <t>Borgomaro</t>
  </si>
  <si>
    <t xml:space="preserve">Borgomasino (TO) </t>
  </si>
  <si>
    <t>001031</t>
  </si>
  <si>
    <t>Borgomasino</t>
  </si>
  <si>
    <t xml:space="preserve">Borgone Susa (TO) </t>
  </si>
  <si>
    <t>001032</t>
  </si>
  <si>
    <t>Borgone Susa</t>
  </si>
  <si>
    <t xml:space="preserve">Borgonovo Val Tidone (PC) </t>
  </si>
  <si>
    <t>033006</t>
  </si>
  <si>
    <t>Borgonovo Val Tidone</t>
  </si>
  <si>
    <t xml:space="preserve">Borgoratto Alessandrino (AL) </t>
  </si>
  <si>
    <t>006019</t>
  </si>
  <si>
    <t>Borgoratto Alessandrino</t>
  </si>
  <si>
    <t xml:space="preserve">Borgoratto Mormorolo (PV) </t>
  </si>
  <si>
    <t>018017</t>
  </si>
  <si>
    <t>Borgoratto Mormorolo</t>
  </si>
  <si>
    <t xml:space="preserve">Borgoricco (PD) </t>
  </si>
  <si>
    <t>028013</t>
  </si>
  <si>
    <t>Borgoricco</t>
  </si>
  <si>
    <t xml:space="preserve">Borgorose (RI) </t>
  </si>
  <si>
    <t>057007</t>
  </si>
  <si>
    <t>Borgorose</t>
  </si>
  <si>
    <t xml:space="preserve">Borgosatollo (BS) </t>
  </si>
  <si>
    <t>017021</t>
  </si>
  <si>
    <t>Borgosatollo</t>
  </si>
  <si>
    <t xml:space="preserve">Borgosesia (VC) </t>
  </si>
  <si>
    <t>002016</t>
  </si>
  <si>
    <t>Borgosesia</t>
  </si>
  <si>
    <t xml:space="preserve">Bormida (SV) </t>
  </si>
  <si>
    <t>009014</t>
  </si>
  <si>
    <t>Bormida</t>
  </si>
  <si>
    <t xml:space="preserve">Bormio (SO) </t>
  </si>
  <si>
    <t>014009</t>
  </si>
  <si>
    <t>Bormio</t>
  </si>
  <si>
    <t xml:space="preserve">Bornasco (PV) </t>
  </si>
  <si>
    <t>018019</t>
  </si>
  <si>
    <t>Bornasco</t>
  </si>
  <si>
    <t xml:space="preserve">Borno (BS) </t>
  </si>
  <si>
    <t>017022</t>
  </si>
  <si>
    <t>Borno</t>
  </si>
  <si>
    <t xml:space="preserve">Boroneddu (OR) </t>
  </si>
  <si>
    <t>Boroneddu</t>
  </si>
  <si>
    <t xml:space="preserve">Borore (NU) </t>
  </si>
  <si>
    <t>Borore</t>
  </si>
  <si>
    <t xml:space="preserve">Borrello (CH) </t>
  </si>
  <si>
    <t>069007</t>
  </si>
  <si>
    <t>Borrello</t>
  </si>
  <si>
    <t xml:space="preserve">Borriana (BI) </t>
  </si>
  <si>
    <t>096006</t>
  </si>
  <si>
    <t>Borriana</t>
  </si>
  <si>
    <t xml:space="preserve">Borso del Grappa (TV) </t>
  </si>
  <si>
    <t>026004</t>
  </si>
  <si>
    <t>Borso del Grappa</t>
  </si>
  <si>
    <t xml:space="preserve">Bortigali (NU) </t>
  </si>
  <si>
    <t>Bortigali</t>
  </si>
  <si>
    <t>Bortigiadas</t>
  </si>
  <si>
    <t xml:space="preserve">Borutta (SS) </t>
  </si>
  <si>
    <t>Borutta</t>
  </si>
  <si>
    <t xml:space="preserve">Borzonasca (GE) </t>
  </si>
  <si>
    <t>010005</t>
  </si>
  <si>
    <t>Borzonasca</t>
  </si>
  <si>
    <t xml:space="preserve">Bosa (OR) </t>
  </si>
  <si>
    <t>Bosa</t>
  </si>
  <si>
    <t xml:space="preserve">Bosaro (RO) </t>
  </si>
  <si>
    <t>029007</t>
  </si>
  <si>
    <t>Bosaro</t>
  </si>
  <si>
    <t xml:space="preserve">Boschi Sant'Anna (VR) </t>
  </si>
  <si>
    <t>023010</t>
  </si>
  <si>
    <t>Boschi Sant'Anna</t>
  </si>
  <si>
    <t xml:space="preserve">Bosco Chiesanuova (VR) </t>
  </si>
  <si>
    <t>023011</t>
  </si>
  <si>
    <t>Bosco Chiesanuova</t>
  </si>
  <si>
    <t xml:space="preserve">Bosco Marengo (AL) </t>
  </si>
  <si>
    <t>006021</t>
  </si>
  <si>
    <t>Bosco Marengo</t>
  </si>
  <si>
    <t xml:space="preserve">Bosconero (TO) </t>
  </si>
  <si>
    <t>001033</t>
  </si>
  <si>
    <t>Bosconero</t>
  </si>
  <si>
    <t xml:space="preserve">Boscoreale (NA) </t>
  </si>
  <si>
    <t>063008</t>
  </si>
  <si>
    <t>Boscoreale</t>
  </si>
  <si>
    <t xml:space="preserve">Boscotrecase (NA) </t>
  </si>
  <si>
    <t>063009</t>
  </si>
  <si>
    <t>Boscotrecase</t>
  </si>
  <si>
    <t xml:space="preserve">Bosia (CN) </t>
  </si>
  <si>
    <t>004026</t>
  </si>
  <si>
    <t>Bosia</t>
  </si>
  <si>
    <t xml:space="preserve">Bosio (AL) </t>
  </si>
  <si>
    <t>006022</t>
  </si>
  <si>
    <t>Bosio</t>
  </si>
  <si>
    <t xml:space="preserve">Bosisio Parini (LC) </t>
  </si>
  <si>
    <t>097009</t>
  </si>
  <si>
    <t>Bosisio Parini</t>
  </si>
  <si>
    <t xml:space="preserve">Bosnasco (PV) </t>
  </si>
  <si>
    <t>018020</t>
  </si>
  <si>
    <t>Bosnasco</t>
  </si>
  <si>
    <t xml:space="preserve">Bossico (BG) </t>
  </si>
  <si>
    <t>016033</t>
  </si>
  <si>
    <t>Bossico</t>
  </si>
  <si>
    <t xml:space="preserve">Bossolasco (CN) </t>
  </si>
  <si>
    <t>004027</t>
  </si>
  <si>
    <t>Bossolasco</t>
  </si>
  <si>
    <t xml:space="preserve">Botricello (CZ) </t>
  </si>
  <si>
    <t>079012</t>
  </si>
  <si>
    <t>Botricello</t>
  </si>
  <si>
    <t xml:space="preserve">Botrugno (LE) </t>
  </si>
  <si>
    <t>075009</t>
  </si>
  <si>
    <t>Botrugno</t>
  </si>
  <si>
    <t xml:space="preserve">Bottanuco (BG) </t>
  </si>
  <si>
    <t>016034</t>
  </si>
  <si>
    <t>Bottanuco</t>
  </si>
  <si>
    <t xml:space="preserve">Botticino (BS) </t>
  </si>
  <si>
    <t>017023</t>
  </si>
  <si>
    <t>Botticino</t>
  </si>
  <si>
    <t xml:space="preserve">Bottidda (SS) </t>
  </si>
  <si>
    <t>Bottidda</t>
  </si>
  <si>
    <t xml:space="preserve">Bova (RC) </t>
  </si>
  <si>
    <t>080011</t>
  </si>
  <si>
    <t>Bova</t>
  </si>
  <si>
    <t xml:space="preserve">Bova Marina (RC) </t>
  </si>
  <si>
    <t>080013</t>
  </si>
  <si>
    <t>Bova Marina</t>
  </si>
  <si>
    <t xml:space="preserve">Bovalino (RC) </t>
  </si>
  <si>
    <t>080012</t>
  </si>
  <si>
    <t>Bovalino</t>
  </si>
  <si>
    <t xml:space="preserve">Bovegno (BS) </t>
  </si>
  <si>
    <t>017024</t>
  </si>
  <si>
    <t>Bovegno</t>
  </si>
  <si>
    <t xml:space="preserve">Boves (CN) </t>
  </si>
  <si>
    <t>004028</t>
  </si>
  <si>
    <t>Boves</t>
  </si>
  <si>
    <t xml:space="preserve">Bovezzo (BS) </t>
  </si>
  <si>
    <t>017025</t>
  </si>
  <si>
    <t>Bovezzo</t>
  </si>
  <si>
    <t xml:space="preserve">Boville Ernica (FR) </t>
  </si>
  <si>
    <t>060014</t>
  </si>
  <si>
    <t>Boville Ernica</t>
  </si>
  <si>
    <t xml:space="preserve">Bovino (FG) </t>
  </si>
  <si>
    <t>071007</t>
  </si>
  <si>
    <t>Bovino</t>
  </si>
  <si>
    <t xml:space="preserve">Bovisio-Masciago (MB) </t>
  </si>
  <si>
    <t>Bovisio-Masciago</t>
  </si>
  <si>
    <t xml:space="preserve">Bovolenta (PD) </t>
  </si>
  <si>
    <t>028014</t>
  </si>
  <si>
    <t>Bovolenta</t>
  </si>
  <si>
    <t xml:space="preserve">Bovolone (VR) </t>
  </si>
  <si>
    <t>023012</t>
  </si>
  <si>
    <t>Bovolone</t>
  </si>
  <si>
    <t xml:space="preserve">Bozzole (AL) </t>
  </si>
  <si>
    <t>006023</t>
  </si>
  <si>
    <t>Bozzole</t>
  </si>
  <si>
    <t xml:space="preserve">Bozzolo (MN) </t>
  </si>
  <si>
    <t>020007</t>
  </si>
  <si>
    <t>Bozzolo</t>
  </si>
  <si>
    <t xml:space="preserve">Bra (CN) </t>
  </si>
  <si>
    <t>004029</t>
  </si>
  <si>
    <t>Bra</t>
  </si>
  <si>
    <t xml:space="preserve">Bracca (BG) </t>
  </si>
  <si>
    <t>016035</t>
  </si>
  <si>
    <t>Bracca</t>
  </si>
  <si>
    <t xml:space="preserve">Bracciano (RM) </t>
  </si>
  <si>
    <t>058013</t>
  </si>
  <si>
    <t>Bracciano</t>
  </si>
  <si>
    <t xml:space="preserve">Bracigliano (SA) </t>
  </si>
  <si>
    <t>065016</t>
  </si>
  <si>
    <t>Bracigliano</t>
  </si>
  <si>
    <t>021009</t>
  </si>
  <si>
    <t xml:space="preserve">Brallo di Pregola (PV) </t>
  </si>
  <si>
    <t>018021</t>
  </si>
  <si>
    <t>Brallo di Pregola</t>
  </si>
  <si>
    <t xml:space="preserve">Brancaleone (RC) </t>
  </si>
  <si>
    <t>080014</t>
  </si>
  <si>
    <t>Brancaleone</t>
  </si>
  <si>
    <t xml:space="preserve">Brandico (BS) </t>
  </si>
  <si>
    <t>017026</t>
  </si>
  <si>
    <t>Brandico</t>
  </si>
  <si>
    <t xml:space="preserve">Brandizzo (TO) </t>
  </si>
  <si>
    <t>001034</t>
  </si>
  <si>
    <t>Brandizzo</t>
  </si>
  <si>
    <t xml:space="preserve">Branzi (BG) </t>
  </si>
  <si>
    <t>016036</t>
  </si>
  <si>
    <t>Branzi</t>
  </si>
  <si>
    <t xml:space="preserve">Braone (BS) </t>
  </si>
  <si>
    <t>017027</t>
  </si>
  <si>
    <t>Braone</t>
  </si>
  <si>
    <t xml:space="preserve">Brebbia (VA) </t>
  </si>
  <si>
    <t>012017</t>
  </si>
  <si>
    <t>Brebbia</t>
  </si>
  <si>
    <t xml:space="preserve">Breda di Piave (TV) </t>
  </si>
  <si>
    <t>026005</t>
  </si>
  <si>
    <t>Breda di Piave</t>
  </si>
  <si>
    <t xml:space="preserve">Breganze (VI) </t>
  </si>
  <si>
    <t>024014</t>
  </si>
  <si>
    <t>Breganze</t>
  </si>
  <si>
    <t xml:space="preserve">Bregnano (CO) </t>
  </si>
  <si>
    <t>013028</t>
  </si>
  <si>
    <t>Bregnano</t>
  </si>
  <si>
    <t xml:space="preserve">Brembate (BG) </t>
  </si>
  <si>
    <t>016037</t>
  </si>
  <si>
    <t>Brembate</t>
  </si>
  <si>
    <t xml:space="preserve">Brembate di Sopra (BG) </t>
  </si>
  <si>
    <t>016038</t>
  </si>
  <si>
    <t>Brembate di Sopra</t>
  </si>
  <si>
    <t xml:space="preserve">Brembio (LO) </t>
  </si>
  <si>
    <t>098006</t>
  </si>
  <si>
    <t>Brembio</t>
  </si>
  <si>
    <t xml:space="preserve">Breme (PV) </t>
  </si>
  <si>
    <t>018022</t>
  </si>
  <si>
    <t>Breme</t>
  </si>
  <si>
    <t xml:space="preserve">Brendola (VI) </t>
  </si>
  <si>
    <t>024015</t>
  </si>
  <si>
    <t>Brendola</t>
  </si>
  <si>
    <t xml:space="preserve">Brenna (CO) </t>
  </si>
  <si>
    <t>013029</t>
  </si>
  <si>
    <t>Brenna</t>
  </si>
  <si>
    <t>021010</t>
  </si>
  <si>
    <t xml:space="preserve">Breno (BS) </t>
  </si>
  <si>
    <t>017028</t>
  </si>
  <si>
    <t>Breno</t>
  </si>
  <si>
    <t xml:space="preserve">Brenta (VA) </t>
  </si>
  <si>
    <t>012019</t>
  </si>
  <si>
    <t>Brenta</t>
  </si>
  <si>
    <t xml:space="preserve">Brentino Belluno (VR) </t>
  </si>
  <si>
    <t>023013</t>
  </si>
  <si>
    <t>Brentino Belluno</t>
  </si>
  <si>
    <t xml:space="preserve">Brentonico (TN) </t>
  </si>
  <si>
    <t>022025</t>
  </si>
  <si>
    <t>Brentonico</t>
  </si>
  <si>
    <t>023014</t>
  </si>
  <si>
    <t xml:space="preserve">Brescello (RE) </t>
  </si>
  <si>
    <t>035006</t>
  </si>
  <si>
    <t>Brescello</t>
  </si>
  <si>
    <t xml:space="preserve">Brescia (BS) </t>
  </si>
  <si>
    <t>017029</t>
  </si>
  <si>
    <t>Brescia</t>
  </si>
  <si>
    <t xml:space="preserve">Bresimo (TN) </t>
  </si>
  <si>
    <t>022026</t>
  </si>
  <si>
    <t>Bresimo</t>
  </si>
  <si>
    <t xml:space="preserve">Bressana Bottarone (PV) </t>
  </si>
  <si>
    <t>018023</t>
  </si>
  <si>
    <t>Bressana Bottarone</t>
  </si>
  <si>
    <t>021011</t>
  </si>
  <si>
    <t xml:space="preserve">Bressanvido (VI) </t>
  </si>
  <si>
    <t>024016</t>
  </si>
  <si>
    <t>Bressanvido</t>
  </si>
  <si>
    <t xml:space="preserve">Bresso (MI) </t>
  </si>
  <si>
    <t>015032</t>
  </si>
  <si>
    <t>Bresso</t>
  </si>
  <si>
    <t xml:space="preserve">Brezzo di Bedero (VA) </t>
  </si>
  <si>
    <t>012020</t>
  </si>
  <si>
    <t>Brezzo di Bedero</t>
  </si>
  <si>
    <t xml:space="preserve">Briaglia (CN) </t>
  </si>
  <si>
    <t>004030</t>
  </si>
  <si>
    <t>Briaglia</t>
  </si>
  <si>
    <t xml:space="preserve">Briatico (VV) </t>
  </si>
  <si>
    <t>Briatico</t>
  </si>
  <si>
    <t xml:space="preserve">Bricherasio (TO) </t>
  </si>
  <si>
    <t>001035</t>
  </si>
  <si>
    <t>Bricherasio</t>
  </si>
  <si>
    <t xml:space="preserve">Brienno (CO) </t>
  </si>
  <si>
    <t>013030</t>
  </si>
  <si>
    <t>Brienno</t>
  </si>
  <si>
    <t xml:space="preserve">Brienza (PZ) </t>
  </si>
  <si>
    <t>076013</t>
  </si>
  <si>
    <t>Brienza</t>
  </si>
  <si>
    <t xml:space="preserve">Briga Alta (CN) </t>
  </si>
  <si>
    <t>004031</t>
  </si>
  <si>
    <t>Briga Alta</t>
  </si>
  <si>
    <t xml:space="preserve">Briga Novarese (NO) </t>
  </si>
  <si>
    <t>003026</t>
  </si>
  <si>
    <t>Briga Novarese</t>
  </si>
  <si>
    <t xml:space="preserve">Brignano Gera d'Adda (BG) </t>
  </si>
  <si>
    <t>016040</t>
  </si>
  <si>
    <t>Brignano Gera d'Adda</t>
  </si>
  <si>
    <t xml:space="preserve">Brignano-Frascata (AL) </t>
  </si>
  <si>
    <t>006024</t>
  </si>
  <si>
    <t>Brignano-Frascata</t>
  </si>
  <si>
    <t xml:space="preserve">Brindisi (BR) </t>
  </si>
  <si>
    <t>Brindisi</t>
  </si>
  <si>
    <t>BR</t>
  </si>
  <si>
    <t>074001</t>
  </si>
  <si>
    <t xml:space="preserve">Brindisi Montagna (PZ) </t>
  </si>
  <si>
    <t>076014</t>
  </si>
  <si>
    <t>Brindisi Montagna</t>
  </si>
  <si>
    <t xml:space="preserve">Brinzio (VA) </t>
  </si>
  <si>
    <t>012021</t>
  </si>
  <si>
    <t>Brinzio</t>
  </si>
  <si>
    <t xml:space="preserve">Briona (NO) </t>
  </si>
  <si>
    <t>003027</t>
  </si>
  <si>
    <t>Briona</t>
  </si>
  <si>
    <t xml:space="preserve">Brione (BS) </t>
  </si>
  <si>
    <t>017030</t>
  </si>
  <si>
    <t>Brione</t>
  </si>
  <si>
    <t xml:space="preserve">Briosco (MB) </t>
  </si>
  <si>
    <t>Briosco</t>
  </si>
  <si>
    <t xml:space="preserve">Brisighella (RA) </t>
  </si>
  <si>
    <t>039004</t>
  </si>
  <si>
    <t>Brisighella</t>
  </si>
  <si>
    <t xml:space="preserve">Brissago-Valtravaglia (VA) </t>
  </si>
  <si>
    <t>012022</t>
  </si>
  <si>
    <t>Brissago-Valtravaglia</t>
  </si>
  <si>
    <t xml:space="preserve">Brissogne (AO) </t>
  </si>
  <si>
    <t>007011</t>
  </si>
  <si>
    <t>Brissogne</t>
  </si>
  <si>
    <t xml:space="preserve">Brittoli (PE) </t>
  </si>
  <si>
    <t>068004</t>
  </si>
  <si>
    <t>Brittoli</t>
  </si>
  <si>
    <t xml:space="preserve">Brivio (LC) </t>
  </si>
  <si>
    <t>097010</t>
  </si>
  <si>
    <t>Brivio</t>
  </si>
  <si>
    <t xml:space="preserve">Broccostella (FR) </t>
  </si>
  <si>
    <t>060015</t>
  </si>
  <si>
    <t>Broccostella</t>
  </si>
  <si>
    <t xml:space="preserve">Brogliano (VI) </t>
  </si>
  <si>
    <t>024017</t>
  </si>
  <si>
    <t>Brogliano</t>
  </si>
  <si>
    <t xml:space="preserve">Brognaturo (VV) </t>
  </si>
  <si>
    <t>Brognaturo</t>
  </si>
  <si>
    <t xml:space="preserve">Brolo (ME) </t>
  </si>
  <si>
    <t>083007</t>
  </si>
  <si>
    <t>Brolo</t>
  </si>
  <si>
    <t xml:space="preserve">Brondello (CN) </t>
  </si>
  <si>
    <t>004032</t>
  </si>
  <si>
    <t>Brondello</t>
  </si>
  <si>
    <t xml:space="preserve">Broni (PV) </t>
  </si>
  <si>
    <t>018024</t>
  </si>
  <si>
    <t>Broni</t>
  </si>
  <si>
    <t xml:space="preserve">Bronte (CT) </t>
  </si>
  <si>
    <t>087009</t>
  </si>
  <si>
    <t>Bronte</t>
  </si>
  <si>
    <t>021012</t>
  </si>
  <si>
    <t xml:space="preserve">Brossasco (CN) </t>
  </si>
  <si>
    <t>004033</t>
  </si>
  <si>
    <t>Brossasco</t>
  </si>
  <si>
    <t xml:space="preserve">Brosso (TO) </t>
  </si>
  <si>
    <t>001036</t>
  </si>
  <si>
    <t>Brosso</t>
  </si>
  <si>
    <t xml:space="preserve">Brovello-Carpugnino (VB) </t>
  </si>
  <si>
    <t>Brovello-Carpugnino</t>
  </si>
  <si>
    <t xml:space="preserve">Brozolo (TO) </t>
  </si>
  <si>
    <t>001037</t>
  </si>
  <si>
    <t>Brozolo</t>
  </si>
  <si>
    <t xml:space="preserve">Brugherio (MB) </t>
  </si>
  <si>
    <t>Brugherio</t>
  </si>
  <si>
    <t xml:space="preserve">Brugine (PD) </t>
  </si>
  <si>
    <t>028015</t>
  </si>
  <si>
    <t>Brugine</t>
  </si>
  <si>
    <t xml:space="preserve">Brugnato (SP) </t>
  </si>
  <si>
    <t>011007</t>
  </si>
  <si>
    <t>Brugnato</t>
  </si>
  <si>
    <t xml:space="preserve">Brugnera (PN) </t>
  </si>
  <si>
    <t>093007</t>
  </si>
  <si>
    <t>Brugnera</t>
  </si>
  <si>
    <t xml:space="preserve">Bruino (TO) </t>
  </si>
  <si>
    <t>001038</t>
  </si>
  <si>
    <t>Bruino</t>
  </si>
  <si>
    <t xml:space="preserve">Brumano (BG) </t>
  </si>
  <si>
    <t>016041</t>
  </si>
  <si>
    <t>Brumano</t>
  </si>
  <si>
    <t xml:space="preserve">Brunate (CO) </t>
  </si>
  <si>
    <t>013032</t>
  </si>
  <si>
    <t>Brunate</t>
  </si>
  <si>
    <t xml:space="preserve">Brunello (VA) </t>
  </si>
  <si>
    <t>012023</t>
  </si>
  <si>
    <t>Brunello</t>
  </si>
  <si>
    <t>021013</t>
  </si>
  <si>
    <t xml:space="preserve">Bruno (AT) </t>
  </si>
  <si>
    <t>005010</t>
  </si>
  <si>
    <t>Bruno</t>
  </si>
  <si>
    <t xml:space="preserve">Brusaporto (BG) </t>
  </si>
  <si>
    <t>016042</t>
  </si>
  <si>
    <t>Brusaporto</t>
  </si>
  <si>
    <t xml:space="preserve">Brusasco (TO) </t>
  </si>
  <si>
    <t>001039</t>
  </si>
  <si>
    <t>Brusasco</t>
  </si>
  <si>
    <t xml:space="preserve">Brusciano (NA) </t>
  </si>
  <si>
    <t>063010</t>
  </si>
  <si>
    <t>Brusciano</t>
  </si>
  <si>
    <t xml:space="preserve">Brusimpiano (VA) </t>
  </si>
  <si>
    <t>012024</t>
  </si>
  <si>
    <t>Brusimpiano</t>
  </si>
  <si>
    <t xml:space="preserve">Brusnengo (BI) </t>
  </si>
  <si>
    <t>096007</t>
  </si>
  <si>
    <t>Brusnengo</t>
  </si>
  <si>
    <t xml:space="preserve">Brusson (AO) </t>
  </si>
  <si>
    <t>007012</t>
  </si>
  <si>
    <t>Brusson</t>
  </si>
  <si>
    <t xml:space="preserve">Bruzolo (TO) </t>
  </si>
  <si>
    <t>001040</t>
  </si>
  <si>
    <t>Bruzolo</t>
  </si>
  <si>
    <t xml:space="preserve">Bruzzano Zeffirio (RC) </t>
  </si>
  <si>
    <t>080015</t>
  </si>
  <si>
    <t>Bruzzano Zeffirio</t>
  </si>
  <si>
    <t xml:space="preserve">Bubbiano (MI) </t>
  </si>
  <si>
    <t>015035</t>
  </si>
  <si>
    <t>Bubbiano</t>
  </si>
  <si>
    <t xml:space="preserve">Bubbio (AT) </t>
  </si>
  <si>
    <t>005011</t>
  </si>
  <si>
    <t>Bubbio</t>
  </si>
  <si>
    <t xml:space="preserve">Buccheri (SR) </t>
  </si>
  <si>
    <t>089003</t>
  </si>
  <si>
    <t>Buccheri</t>
  </si>
  <si>
    <t xml:space="preserve">Bucchianico (CH) </t>
  </si>
  <si>
    <t>069008</t>
  </si>
  <si>
    <t>Bucchianico</t>
  </si>
  <si>
    <t xml:space="preserve">Bucciano (BN) </t>
  </si>
  <si>
    <t>062010</t>
  </si>
  <si>
    <t>Bucciano</t>
  </si>
  <si>
    <t xml:space="preserve">Buccinasco (MI) </t>
  </si>
  <si>
    <t>015036</t>
  </si>
  <si>
    <t>Buccinasco</t>
  </si>
  <si>
    <t xml:space="preserve">Buccino (SA) </t>
  </si>
  <si>
    <t>065017</t>
  </si>
  <si>
    <t>Buccino</t>
  </si>
  <si>
    <t xml:space="preserve">Bucine (AR) </t>
  </si>
  <si>
    <t>051005</t>
  </si>
  <si>
    <t>Bucine</t>
  </si>
  <si>
    <t>Buddusò</t>
  </si>
  <si>
    <t xml:space="preserve">Budoia (PN) </t>
  </si>
  <si>
    <t>093008</t>
  </si>
  <si>
    <t>Budoia</t>
  </si>
  <si>
    <t>Budoni</t>
  </si>
  <si>
    <t xml:space="preserve">Budrio (BO) </t>
  </si>
  <si>
    <t>037008</t>
  </si>
  <si>
    <t>Budrio</t>
  </si>
  <si>
    <t>Buggerru</t>
  </si>
  <si>
    <t xml:space="preserve">Buggiano (PT) </t>
  </si>
  <si>
    <t>047003</t>
  </si>
  <si>
    <t>Buggiano</t>
  </si>
  <si>
    <t xml:space="preserve">Buglio in Monte (SO) </t>
  </si>
  <si>
    <t>014010</t>
  </si>
  <si>
    <t>Buglio in Monte</t>
  </si>
  <si>
    <t xml:space="preserve">Bugnara (AQ) </t>
  </si>
  <si>
    <t>066012</t>
  </si>
  <si>
    <t>Bugnara</t>
  </si>
  <si>
    <t xml:space="preserve">Buguggiate (VA) </t>
  </si>
  <si>
    <t>012025</t>
  </si>
  <si>
    <t>Buguggiate</t>
  </si>
  <si>
    <t xml:space="preserve">Buja (UD) </t>
  </si>
  <si>
    <t>030013</t>
  </si>
  <si>
    <t>Buja</t>
  </si>
  <si>
    <t xml:space="preserve">Bulciago (LC) </t>
  </si>
  <si>
    <t>097011</t>
  </si>
  <si>
    <t>Bulciago</t>
  </si>
  <si>
    <t xml:space="preserve">Bulgarograsso (CO) </t>
  </si>
  <si>
    <t>013034</t>
  </si>
  <si>
    <t>Bulgarograsso</t>
  </si>
  <si>
    <t xml:space="preserve">Bultei (SS) </t>
  </si>
  <si>
    <t>Bultei</t>
  </si>
  <si>
    <t xml:space="preserve">Bulzi (SS) </t>
  </si>
  <si>
    <t>Bulzi</t>
  </si>
  <si>
    <t xml:space="preserve">Buonabitacolo (SA) </t>
  </si>
  <si>
    <t>065018</t>
  </si>
  <si>
    <t>Buonabitacolo</t>
  </si>
  <si>
    <t xml:space="preserve">Buonalbergo (BN) </t>
  </si>
  <si>
    <t>062011</t>
  </si>
  <si>
    <t>Buonalbergo</t>
  </si>
  <si>
    <t xml:space="preserve">Buonconvento (SI) </t>
  </si>
  <si>
    <t>052003</t>
  </si>
  <si>
    <t>Buonconvento</t>
  </si>
  <si>
    <t xml:space="preserve">Buonvicino (CS) </t>
  </si>
  <si>
    <t>078020</t>
  </si>
  <si>
    <t>Buonvicino</t>
  </si>
  <si>
    <t xml:space="preserve">Burago di Molgora (MB) </t>
  </si>
  <si>
    <t>Burago di Molgora</t>
  </si>
  <si>
    <t>Burcei</t>
  </si>
  <si>
    <t xml:space="preserve">Burgio (AG) </t>
  </si>
  <si>
    <t>084005</t>
  </si>
  <si>
    <t>Burgio</t>
  </si>
  <si>
    <t xml:space="preserve">Burgos (SS) </t>
  </si>
  <si>
    <t>Burgos</t>
  </si>
  <si>
    <t xml:space="preserve">Buriasco (TO) </t>
  </si>
  <si>
    <t>001041</t>
  </si>
  <si>
    <t>Buriasco</t>
  </si>
  <si>
    <t xml:space="preserve">Burolo (TO) </t>
  </si>
  <si>
    <t>001042</t>
  </si>
  <si>
    <t>Burolo</t>
  </si>
  <si>
    <t xml:space="preserve">Buronzo (VC) </t>
  </si>
  <si>
    <t>002021</t>
  </si>
  <si>
    <t>Buronzo</t>
  </si>
  <si>
    <t xml:space="preserve">Busachi (OR) </t>
  </si>
  <si>
    <t>Busachi</t>
  </si>
  <si>
    <t xml:space="preserve">Busalla (GE) </t>
  </si>
  <si>
    <t>010006</t>
  </si>
  <si>
    <t>Busalla</t>
  </si>
  <si>
    <t xml:space="preserve">Busano (TO) </t>
  </si>
  <si>
    <t>001043</t>
  </si>
  <si>
    <t>Busano</t>
  </si>
  <si>
    <t xml:space="preserve">Busca (CN) </t>
  </si>
  <si>
    <t>004034</t>
  </si>
  <si>
    <t>Busca</t>
  </si>
  <si>
    <t xml:space="preserve">Buscate (MI) </t>
  </si>
  <si>
    <t>015038</t>
  </si>
  <si>
    <t>Buscate</t>
  </si>
  <si>
    <t xml:space="preserve">Buscemi (SR) </t>
  </si>
  <si>
    <t>089004</t>
  </si>
  <si>
    <t>Buscemi</t>
  </si>
  <si>
    <t xml:space="preserve">Buseto Palizzolo (TP) </t>
  </si>
  <si>
    <t>081002</t>
  </si>
  <si>
    <t>Buseto Palizzolo</t>
  </si>
  <si>
    <t xml:space="preserve">Busnago (MB) </t>
  </si>
  <si>
    <t>Busnago</t>
  </si>
  <si>
    <t xml:space="preserve">Bussero (MI) </t>
  </si>
  <si>
    <t>015040</t>
  </si>
  <si>
    <t>Bussero</t>
  </si>
  <si>
    <t xml:space="preserve">Busseto (PR) </t>
  </si>
  <si>
    <t>034007</t>
  </si>
  <si>
    <t>Busseto</t>
  </si>
  <si>
    <t xml:space="preserve">Bussi sul Tirino (PE) </t>
  </si>
  <si>
    <t>068005</t>
  </si>
  <si>
    <t>Bussi sul Tirino</t>
  </si>
  <si>
    <t xml:space="preserve">Busso (CB) </t>
  </si>
  <si>
    <t>070005</t>
  </si>
  <si>
    <t>Busso</t>
  </si>
  <si>
    <t xml:space="preserve">Bussolengo (VR) </t>
  </si>
  <si>
    <t>023015</t>
  </si>
  <si>
    <t>Bussolengo</t>
  </si>
  <si>
    <t xml:space="preserve">Bussoleno (TO) </t>
  </si>
  <si>
    <t>001044</t>
  </si>
  <si>
    <t>Bussoleno</t>
  </si>
  <si>
    <t xml:space="preserve">Busto Arsizio (VA) </t>
  </si>
  <si>
    <t>012026</t>
  </si>
  <si>
    <t>Busto Arsizio</t>
  </si>
  <si>
    <t xml:space="preserve">Busto Garolfo (MI) </t>
  </si>
  <si>
    <t>015041</t>
  </si>
  <si>
    <t>Busto Garolfo</t>
  </si>
  <si>
    <t xml:space="preserve">Butera (CL) </t>
  </si>
  <si>
    <t>085003</t>
  </si>
  <si>
    <t>Butera</t>
  </si>
  <si>
    <t xml:space="preserve">Buti (PI) </t>
  </si>
  <si>
    <t>050002</t>
  </si>
  <si>
    <t>Buti</t>
  </si>
  <si>
    <t xml:space="preserve">Buttapietra (VR) </t>
  </si>
  <si>
    <t>023016</t>
  </si>
  <si>
    <t>Buttapietra</t>
  </si>
  <si>
    <t xml:space="preserve">Buttigliera Alta (TO) </t>
  </si>
  <si>
    <t>001045</t>
  </si>
  <si>
    <t>Buttigliera Alta</t>
  </si>
  <si>
    <t xml:space="preserve">Buttigliera d'Asti (AT) </t>
  </si>
  <si>
    <t>005012</t>
  </si>
  <si>
    <t>Buttigliera d'Asti</t>
  </si>
  <si>
    <t xml:space="preserve">Buttrio (UD) </t>
  </si>
  <si>
    <t>030014</t>
  </si>
  <si>
    <t>Buttrio</t>
  </si>
  <si>
    <t xml:space="preserve">Cabella Ligure (AL) </t>
  </si>
  <si>
    <t>006025</t>
  </si>
  <si>
    <t>Cabella Ligure</t>
  </si>
  <si>
    <t xml:space="preserve">Cabiate (CO) </t>
  </si>
  <si>
    <t>013035</t>
  </si>
  <si>
    <t>Cabiate</t>
  </si>
  <si>
    <t xml:space="preserve">Cabras (OR) </t>
  </si>
  <si>
    <t>Cabras</t>
  </si>
  <si>
    <t xml:space="preserve">Caccamo (PA) </t>
  </si>
  <si>
    <t>082014</t>
  </si>
  <si>
    <t>Caccamo</t>
  </si>
  <si>
    <t xml:space="preserve">Caccuri (KR) </t>
  </si>
  <si>
    <t>Caccuri</t>
  </si>
  <si>
    <t xml:space="preserve">Cadegliano-Viconago (VA) </t>
  </si>
  <si>
    <t>012027</t>
  </si>
  <si>
    <t>Cadegliano-Viconago</t>
  </si>
  <si>
    <t xml:space="preserve">Cadelbosco di Sopra (RE) </t>
  </si>
  <si>
    <t>035008</t>
  </si>
  <si>
    <t>Cadelbosco di Sopra</t>
  </si>
  <si>
    <t xml:space="preserve">Cadeo (PC) </t>
  </si>
  <si>
    <t>033007</t>
  </si>
  <si>
    <t>Cadeo</t>
  </si>
  <si>
    <t xml:space="preserve">Caderzone Terme (TN) </t>
  </si>
  <si>
    <t>022029</t>
  </si>
  <si>
    <t>Caderzone Terme</t>
  </si>
  <si>
    <t xml:space="preserve">Cadoneghe (PD) </t>
  </si>
  <si>
    <t>028016</t>
  </si>
  <si>
    <t>Cadoneghe</t>
  </si>
  <si>
    <t xml:space="preserve">Cadorago (CO) </t>
  </si>
  <si>
    <t>013036</t>
  </si>
  <si>
    <t>Cadorago</t>
  </si>
  <si>
    <t xml:space="preserve">Caerano di San Marco (TV) </t>
  </si>
  <si>
    <t>026006</t>
  </si>
  <si>
    <t>Caerano di San Marco</t>
  </si>
  <si>
    <t xml:space="preserve">Cafasse (TO) </t>
  </si>
  <si>
    <t>001046</t>
  </si>
  <si>
    <t>Cafasse</t>
  </si>
  <si>
    <t xml:space="preserve">Caggiano (SA) </t>
  </si>
  <si>
    <t>065019</t>
  </si>
  <si>
    <t>Caggiano</t>
  </si>
  <si>
    <t xml:space="preserve">Cagli (PU) </t>
  </si>
  <si>
    <t>041007</t>
  </si>
  <si>
    <t>Cagli</t>
  </si>
  <si>
    <t xml:space="preserve">Cagliari (CA) </t>
  </si>
  <si>
    <t>Cagliari</t>
  </si>
  <si>
    <t xml:space="preserve">Caglio (CO) </t>
  </si>
  <si>
    <t>013037</t>
  </si>
  <si>
    <t>Caglio</t>
  </si>
  <si>
    <t xml:space="preserve">Cagnano Amiterno (AQ) </t>
  </si>
  <si>
    <t>066013</t>
  </si>
  <si>
    <t>Cagnano Amiterno</t>
  </si>
  <si>
    <t xml:space="preserve">Cagnano Varano (FG) </t>
  </si>
  <si>
    <t>071008</t>
  </si>
  <si>
    <t>Cagnano Varano</t>
  </si>
  <si>
    <t xml:space="preserve">Caianello (CE) </t>
  </si>
  <si>
    <t>061008</t>
  </si>
  <si>
    <t>Caianello</t>
  </si>
  <si>
    <t xml:space="preserve">Caiazzo (CE) </t>
  </si>
  <si>
    <t>061009</t>
  </si>
  <si>
    <t>Caiazzo</t>
  </si>
  <si>
    <t>021014</t>
  </si>
  <si>
    <t xml:space="preserve">Caino (BS) </t>
  </si>
  <si>
    <t>017031</t>
  </si>
  <si>
    <t>Caino</t>
  </si>
  <si>
    <t xml:space="preserve">Caiolo (SO) </t>
  </si>
  <si>
    <t>014011</t>
  </si>
  <si>
    <t>Caiolo</t>
  </si>
  <si>
    <t xml:space="preserve">Cairano (AV) </t>
  </si>
  <si>
    <t>064013</t>
  </si>
  <si>
    <t>Cairano</t>
  </si>
  <si>
    <t xml:space="preserve">Cairate (VA) </t>
  </si>
  <si>
    <t>012029</t>
  </si>
  <si>
    <t>Cairate</t>
  </si>
  <si>
    <t xml:space="preserve">Cairo Montenotte (SV) </t>
  </si>
  <si>
    <t>009015</t>
  </si>
  <si>
    <t>Cairo Montenotte</t>
  </si>
  <si>
    <t xml:space="preserve">Caivano (NA) </t>
  </si>
  <si>
    <t>063011</t>
  </si>
  <si>
    <t>Caivano</t>
  </si>
  <si>
    <t xml:space="preserve">Calabritto (AV) </t>
  </si>
  <si>
    <t>064014</t>
  </si>
  <si>
    <t>Calabritto</t>
  </si>
  <si>
    <t xml:space="preserve">Calalzo di Cadore (BL) </t>
  </si>
  <si>
    <t>025008</t>
  </si>
  <si>
    <t>Calalzo di Cadore</t>
  </si>
  <si>
    <t xml:space="preserve">Calamandrana (AT) </t>
  </si>
  <si>
    <t>005013</t>
  </si>
  <si>
    <t>Calamandrana</t>
  </si>
  <si>
    <t xml:space="preserve">Calamonaci (AG) </t>
  </si>
  <si>
    <t>084006</t>
  </si>
  <si>
    <t>Calamonaci</t>
  </si>
  <si>
    <t>Calangianus</t>
  </si>
  <si>
    <t xml:space="preserve">Calanna (RC) </t>
  </si>
  <si>
    <t>080016</t>
  </si>
  <si>
    <t>Calanna</t>
  </si>
  <si>
    <t xml:space="preserve">Calascibetta (EN) </t>
  </si>
  <si>
    <t>086005</t>
  </si>
  <si>
    <t>Calascibetta</t>
  </si>
  <si>
    <t xml:space="preserve">Calascio (AQ) </t>
  </si>
  <si>
    <t>066014</t>
  </si>
  <si>
    <t>Calascio</t>
  </si>
  <si>
    <t>Calasetta</t>
  </si>
  <si>
    <t xml:space="preserve">Calatabiano (CT) </t>
  </si>
  <si>
    <t>087010</t>
  </si>
  <si>
    <t>Calatabiano</t>
  </si>
  <si>
    <t xml:space="preserve">Calatafimi-Segesta (TP) </t>
  </si>
  <si>
    <t>081003</t>
  </si>
  <si>
    <t>Calatafimi-Segesta</t>
  </si>
  <si>
    <t xml:space="preserve">Calcata (VT) </t>
  </si>
  <si>
    <t>056010</t>
  </si>
  <si>
    <t>Calcata</t>
  </si>
  <si>
    <t xml:space="preserve">Calceranica al Lago (TN) </t>
  </si>
  <si>
    <t>022032</t>
  </si>
  <si>
    <t>Calceranica al Lago</t>
  </si>
  <si>
    <t xml:space="preserve">Calci (PI) </t>
  </si>
  <si>
    <t>050003</t>
  </si>
  <si>
    <t>Calci</t>
  </si>
  <si>
    <t xml:space="preserve">Calciano (MT) </t>
  </si>
  <si>
    <t>077004</t>
  </si>
  <si>
    <t>Calciano</t>
  </si>
  <si>
    <t xml:space="preserve">Calcinaia (PI) </t>
  </si>
  <si>
    <t>050004</t>
  </si>
  <si>
    <t>Calcinaia</t>
  </si>
  <si>
    <t xml:space="preserve">Calcinate (BG) </t>
  </si>
  <si>
    <t>016043</t>
  </si>
  <si>
    <t>Calcinate</t>
  </si>
  <si>
    <t xml:space="preserve">Calcinato (BS) </t>
  </si>
  <si>
    <t>017032</t>
  </si>
  <si>
    <t>Calcinato</t>
  </si>
  <si>
    <t xml:space="preserve">Calcio (BG) </t>
  </si>
  <si>
    <t>016044</t>
  </si>
  <si>
    <t>Calcio</t>
  </si>
  <si>
    <t xml:space="preserve">Calco (LC) </t>
  </si>
  <si>
    <t>097012</t>
  </si>
  <si>
    <t>Calco</t>
  </si>
  <si>
    <t>021015</t>
  </si>
  <si>
    <t xml:space="preserve">Caldarola (MC) </t>
  </si>
  <si>
    <t>043006</t>
  </si>
  <si>
    <t>Caldarola</t>
  </si>
  <si>
    <t xml:space="preserve">Calderara di Reno (BO) </t>
  </si>
  <si>
    <t>037009</t>
  </si>
  <si>
    <t>Calderara di Reno</t>
  </si>
  <si>
    <t xml:space="preserve">Caldes (TN) </t>
  </si>
  <si>
    <t>022033</t>
  </si>
  <si>
    <t>Caldes</t>
  </si>
  <si>
    <t xml:space="preserve">Caldiero (VR) </t>
  </si>
  <si>
    <t>023017</t>
  </si>
  <si>
    <t>Caldiero</t>
  </si>
  <si>
    <t xml:space="preserve">Caldogno (VI) </t>
  </si>
  <si>
    <t>024018</t>
  </si>
  <si>
    <t>Caldogno</t>
  </si>
  <si>
    <t xml:space="preserve">Caldonazzo (TN) </t>
  </si>
  <si>
    <t>022034</t>
  </si>
  <si>
    <t>Caldonazzo</t>
  </si>
  <si>
    <t xml:space="preserve">Calendasco (PC) </t>
  </si>
  <si>
    <t>033008</t>
  </si>
  <si>
    <t>Calendasco</t>
  </si>
  <si>
    <t xml:space="preserve">Calenzano (FI) </t>
  </si>
  <si>
    <t>048005</t>
  </si>
  <si>
    <t>Calenzano</t>
  </si>
  <si>
    <t xml:space="preserve">Calestano (PR) </t>
  </si>
  <si>
    <t>034008</t>
  </si>
  <si>
    <t>Calestano</t>
  </si>
  <si>
    <t xml:space="preserve">Calice al Cornoviglio (SP) </t>
  </si>
  <si>
    <t>011008</t>
  </si>
  <si>
    <t>Calice al Cornoviglio</t>
  </si>
  <si>
    <t xml:space="preserve">Calice Ligure (SV) </t>
  </si>
  <si>
    <t>009016</t>
  </si>
  <si>
    <t>Calice Ligure</t>
  </si>
  <si>
    <t xml:space="preserve">Calimera (LE) </t>
  </si>
  <si>
    <t>075010</t>
  </si>
  <si>
    <t>Calimera</t>
  </si>
  <si>
    <t xml:space="preserve">Calitri (AV) </t>
  </si>
  <si>
    <t>064015</t>
  </si>
  <si>
    <t>Calitri</t>
  </si>
  <si>
    <t xml:space="preserve">Calizzano (SV) </t>
  </si>
  <si>
    <t>009017</t>
  </si>
  <si>
    <t>Calizzano</t>
  </si>
  <si>
    <t xml:space="preserve">Callabiana (BI) </t>
  </si>
  <si>
    <t>096008</t>
  </si>
  <si>
    <t>Callabiana</t>
  </si>
  <si>
    <t>005014</t>
  </si>
  <si>
    <t>Calliano</t>
  </si>
  <si>
    <t xml:space="preserve">Calolziocorte (LC) </t>
  </si>
  <si>
    <t>097013</t>
  </si>
  <si>
    <t>Calolziocorte</t>
  </si>
  <si>
    <t xml:space="preserve">Calopezzati (CS) </t>
  </si>
  <si>
    <t>078021</t>
  </si>
  <si>
    <t>Calopezzati</t>
  </si>
  <si>
    <t xml:space="preserve">Calosso (AT) </t>
  </si>
  <si>
    <t>005015</t>
  </si>
  <si>
    <t>Calosso</t>
  </si>
  <si>
    <t xml:space="preserve">Caloveto (CS) </t>
  </si>
  <si>
    <t>078022</t>
  </si>
  <si>
    <t>Caloveto</t>
  </si>
  <si>
    <t xml:space="preserve">Caltabellotta (AG) </t>
  </si>
  <si>
    <t>084007</t>
  </si>
  <si>
    <t>Caltabellotta</t>
  </si>
  <si>
    <t xml:space="preserve">Caltagirone (CT) </t>
  </si>
  <si>
    <t>087011</t>
  </si>
  <si>
    <t>Caltagirone</t>
  </si>
  <si>
    <t xml:space="preserve">Caltanissetta (CL) </t>
  </si>
  <si>
    <t>085004</t>
  </si>
  <si>
    <t>Caltanissetta</t>
  </si>
  <si>
    <t xml:space="preserve">Caltavuturo (PA) </t>
  </si>
  <si>
    <t>082015</t>
  </si>
  <si>
    <t>Caltavuturo</t>
  </si>
  <si>
    <t xml:space="preserve">Caltignaga (NO) </t>
  </si>
  <si>
    <t>003030</t>
  </si>
  <si>
    <t>Caltignaga</t>
  </si>
  <si>
    <t xml:space="preserve">Calto (RO) </t>
  </si>
  <si>
    <t>029008</t>
  </si>
  <si>
    <t>Calto</t>
  </si>
  <si>
    <t xml:space="preserve">Caltrano (VI) </t>
  </si>
  <si>
    <t>024019</t>
  </si>
  <si>
    <t>Caltrano</t>
  </si>
  <si>
    <t xml:space="preserve">Calusco d'Adda (BG) </t>
  </si>
  <si>
    <t>016046</t>
  </si>
  <si>
    <t>Calusco d'Adda</t>
  </si>
  <si>
    <t xml:space="preserve">Caluso (TO) </t>
  </si>
  <si>
    <t>001047</t>
  </si>
  <si>
    <t>Caluso</t>
  </si>
  <si>
    <t xml:space="preserve">Calvagese della Riviera (BS) </t>
  </si>
  <si>
    <t>017033</t>
  </si>
  <si>
    <t>Calvagese della Riviera</t>
  </si>
  <si>
    <t xml:space="preserve">Calvanico (SA) </t>
  </si>
  <si>
    <t>065020</t>
  </si>
  <si>
    <t>Calvanico</t>
  </si>
  <si>
    <t xml:space="preserve">Calvatone (CR) </t>
  </si>
  <si>
    <t>019009</t>
  </si>
  <si>
    <t>Calvatone</t>
  </si>
  <si>
    <t xml:space="preserve">Calvello (PZ) </t>
  </si>
  <si>
    <t>076015</t>
  </si>
  <si>
    <t>Calvello</t>
  </si>
  <si>
    <t xml:space="preserve">Calvene (VI) </t>
  </si>
  <si>
    <t>024020</t>
  </si>
  <si>
    <t>Calvene</t>
  </si>
  <si>
    <t xml:space="preserve">Calvenzano (BG) </t>
  </si>
  <si>
    <t>016047</t>
  </si>
  <si>
    <t>Calvenzano</t>
  </si>
  <si>
    <t xml:space="preserve">Calvera (PZ) </t>
  </si>
  <si>
    <t>076016</t>
  </si>
  <si>
    <t>Calvera</t>
  </si>
  <si>
    <t xml:space="preserve">Calvi (BN) </t>
  </si>
  <si>
    <t>062012</t>
  </si>
  <si>
    <t>Calvi</t>
  </si>
  <si>
    <t xml:space="preserve">Calvi dell'Umbria (TR) </t>
  </si>
  <si>
    <t>055008</t>
  </si>
  <si>
    <t>Calvi dell'Umbria</t>
  </si>
  <si>
    <t xml:space="preserve">Calvi Risorta (CE) </t>
  </si>
  <si>
    <t>061010</t>
  </si>
  <si>
    <t>Calvi Risorta</t>
  </si>
  <si>
    <t xml:space="preserve">Calvignano (PV) </t>
  </si>
  <si>
    <t>018025</t>
  </si>
  <si>
    <t>Calvignano</t>
  </si>
  <si>
    <t xml:space="preserve">Calvignasco (MI) </t>
  </si>
  <si>
    <t>015042</t>
  </si>
  <si>
    <t>Calvignasco</t>
  </si>
  <si>
    <t xml:space="preserve">Calvisano (BS) </t>
  </si>
  <si>
    <t>017034</t>
  </si>
  <si>
    <t>Calvisano</t>
  </si>
  <si>
    <t xml:space="preserve">Calvizzano (NA) </t>
  </si>
  <si>
    <t>063012</t>
  </si>
  <si>
    <t>Calvizzano</t>
  </si>
  <si>
    <t xml:space="preserve">Camagna Monferrato (AL) </t>
  </si>
  <si>
    <t>006026</t>
  </si>
  <si>
    <t>Camagna Monferrato</t>
  </si>
  <si>
    <t xml:space="preserve">Camaiore (LU) </t>
  </si>
  <si>
    <t>046005</t>
  </si>
  <si>
    <t>Camaiore</t>
  </si>
  <si>
    <t xml:space="preserve">Camandona (BI) </t>
  </si>
  <si>
    <t>096009</t>
  </si>
  <si>
    <t>Camandona</t>
  </si>
  <si>
    <t xml:space="preserve">Camastra (AG) </t>
  </si>
  <si>
    <t>084008</t>
  </si>
  <si>
    <t>Camastra</t>
  </si>
  <si>
    <t xml:space="preserve">Cambiago (MI) </t>
  </si>
  <si>
    <t>015044</t>
  </si>
  <si>
    <t>Cambiago</t>
  </si>
  <si>
    <t xml:space="preserve">Cambiano (TO) </t>
  </si>
  <si>
    <t>001048</t>
  </si>
  <si>
    <t>Cambiano</t>
  </si>
  <si>
    <t xml:space="preserve">Cambiasca (VB) </t>
  </si>
  <si>
    <t>Cambiasca</t>
  </si>
  <si>
    <t xml:space="preserve">Camburzano (BI) </t>
  </si>
  <si>
    <t>096010</t>
  </si>
  <si>
    <t>Camburzano</t>
  </si>
  <si>
    <t xml:space="preserve">Camerana (CN) </t>
  </si>
  <si>
    <t>004035</t>
  </si>
  <si>
    <t>Camerana</t>
  </si>
  <si>
    <t xml:space="preserve">Camerano (AN) </t>
  </si>
  <si>
    <t>042006</t>
  </si>
  <si>
    <t>Camerano</t>
  </si>
  <si>
    <t xml:space="preserve">Camerano Casasco (AT) </t>
  </si>
  <si>
    <t>005016</t>
  </si>
  <si>
    <t>Camerano Casasco</t>
  </si>
  <si>
    <t xml:space="preserve">Camerata Cornello (BG) </t>
  </si>
  <si>
    <t>016048</t>
  </si>
  <si>
    <t>Camerata Cornello</t>
  </si>
  <si>
    <t xml:space="preserve">Camerata Nuova (RM) </t>
  </si>
  <si>
    <t>058014</t>
  </si>
  <si>
    <t>Camerata Nuova</t>
  </si>
  <si>
    <t xml:space="preserve">Camerata Picena (AN) </t>
  </si>
  <si>
    <t>042007</t>
  </si>
  <si>
    <t>Camerata Picena</t>
  </si>
  <si>
    <t xml:space="preserve">Cameri (NO) </t>
  </si>
  <si>
    <t>003032</t>
  </si>
  <si>
    <t>Cameri</t>
  </si>
  <si>
    <t xml:space="preserve">Camerino (MC) </t>
  </si>
  <si>
    <t>043007</t>
  </si>
  <si>
    <t>Camerino</t>
  </si>
  <si>
    <t xml:space="preserve">Camerota (SA) </t>
  </si>
  <si>
    <t>065021</t>
  </si>
  <si>
    <t>Camerota</t>
  </si>
  <si>
    <t xml:space="preserve">Camigliano (CE) </t>
  </si>
  <si>
    <t>061011</t>
  </si>
  <si>
    <t>Camigliano</t>
  </si>
  <si>
    <t xml:space="preserve">Camini (RC) </t>
  </si>
  <si>
    <t>080017</t>
  </si>
  <si>
    <t>Camini</t>
  </si>
  <si>
    <t xml:space="preserve">Camino (AL) </t>
  </si>
  <si>
    <t>006027</t>
  </si>
  <si>
    <t>Camino</t>
  </si>
  <si>
    <t xml:space="preserve">Camino al Tagliamento (UD) </t>
  </si>
  <si>
    <t>030015</t>
  </si>
  <si>
    <t>Camino al Tagliamento</t>
  </si>
  <si>
    <t xml:space="preserve">Camisano (CR) </t>
  </si>
  <si>
    <t>019010</t>
  </si>
  <si>
    <t>Camisano</t>
  </si>
  <si>
    <t xml:space="preserve">Camisano Vicentino (VI) </t>
  </si>
  <si>
    <t>024021</t>
  </si>
  <si>
    <t>Camisano Vicentino</t>
  </si>
  <si>
    <t xml:space="preserve">Cammarata (AG) </t>
  </si>
  <si>
    <t>084009</t>
  </si>
  <si>
    <t>Cammarata</t>
  </si>
  <si>
    <t xml:space="preserve">Camogli (GE) </t>
  </si>
  <si>
    <t>010007</t>
  </si>
  <si>
    <t>Camogli</t>
  </si>
  <si>
    <t xml:space="preserve">Campagna (SA) </t>
  </si>
  <si>
    <t>065022</t>
  </si>
  <si>
    <t>Campagna</t>
  </si>
  <si>
    <t xml:space="preserve">Campagna Lupia (VE) </t>
  </si>
  <si>
    <t>027002</t>
  </si>
  <si>
    <t>Campagna Lupia</t>
  </si>
  <si>
    <t xml:space="preserve">Campagnano di Roma (RM) </t>
  </si>
  <si>
    <t>058015</t>
  </si>
  <si>
    <t>Campagnano di Roma</t>
  </si>
  <si>
    <t xml:space="preserve">Campagnatico (GR) </t>
  </si>
  <si>
    <t>053002</t>
  </si>
  <si>
    <t>Campagnatico</t>
  </si>
  <si>
    <t xml:space="preserve">Campagnola Cremasca (CR) </t>
  </si>
  <si>
    <t>019011</t>
  </si>
  <si>
    <t>Campagnola Cremasca</t>
  </si>
  <si>
    <t xml:space="preserve">Campagnola Emilia (RE) </t>
  </si>
  <si>
    <t>035009</t>
  </si>
  <si>
    <t>Campagnola Emilia</t>
  </si>
  <si>
    <t xml:space="preserve">Campana (CS) </t>
  </si>
  <si>
    <t>078023</t>
  </si>
  <si>
    <t>Campana</t>
  </si>
  <si>
    <t xml:space="preserve">Camparada (MB) </t>
  </si>
  <si>
    <t>Camparada</t>
  </si>
  <si>
    <t xml:space="preserve">Campegine (RE) </t>
  </si>
  <si>
    <t>035010</t>
  </si>
  <si>
    <t>Campegine</t>
  </si>
  <si>
    <t xml:space="preserve">Campello sul Clitunno (PG) </t>
  </si>
  <si>
    <t>054005</t>
  </si>
  <si>
    <t>Campello sul Clitunno</t>
  </si>
  <si>
    <t xml:space="preserve">Campertogno (VC) </t>
  </si>
  <si>
    <t>002025</t>
  </si>
  <si>
    <t>Campertogno</t>
  </si>
  <si>
    <t xml:space="preserve">Campi Bisenzio (FI) </t>
  </si>
  <si>
    <t>048006</t>
  </si>
  <si>
    <t>Campi Bisenzio</t>
  </si>
  <si>
    <t xml:space="preserve">Campi Salentina (LE) </t>
  </si>
  <si>
    <t>075011</t>
  </si>
  <si>
    <t>Campi Salentina</t>
  </si>
  <si>
    <t xml:space="preserve">Campiglia Cervo (BI) </t>
  </si>
  <si>
    <t>Campiglia Cervo</t>
  </si>
  <si>
    <t xml:space="preserve">Campiglia dei Berici (VI) </t>
  </si>
  <si>
    <t>024022</t>
  </si>
  <si>
    <t>Campiglia dei Berici</t>
  </si>
  <si>
    <t xml:space="preserve">Campiglia Marittima (LI) </t>
  </si>
  <si>
    <t>049002</t>
  </si>
  <si>
    <t>Campiglia Marittima</t>
  </si>
  <si>
    <t>001049</t>
  </si>
  <si>
    <t xml:space="preserve">Campione d'Italia (CO) </t>
  </si>
  <si>
    <t>013040</t>
  </si>
  <si>
    <t>Campione d'Italia</t>
  </si>
  <si>
    <t xml:space="preserve">Campitello di Fassa (TN) </t>
  </si>
  <si>
    <t>022036</t>
  </si>
  <si>
    <t>Campitello di Fassa</t>
  </si>
  <si>
    <t xml:space="preserve">Campli (TE) </t>
  </si>
  <si>
    <t>067008</t>
  </si>
  <si>
    <t>Campli</t>
  </si>
  <si>
    <t xml:space="preserve">Campo Calabro (RC) </t>
  </si>
  <si>
    <t>080018</t>
  </si>
  <si>
    <t>Campo Calabro</t>
  </si>
  <si>
    <t xml:space="preserve">Campo di Giove (AQ) </t>
  </si>
  <si>
    <t>066015</t>
  </si>
  <si>
    <t>Campo di Giove</t>
  </si>
  <si>
    <t>021016</t>
  </si>
  <si>
    <t xml:space="preserve">Campo Ligure (GE) </t>
  </si>
  <si>
    <t>010008</t>
  </si>
  <si>
    <t>Campo Ligure</t>
  </si>
  <si>
    <t xml:space="preserve">Campo nell'Elba (LI) </t>
  </si>
  <si>
    <t>049003</t>
  </si>
  <si>
    <t>Campo nell'Elba</t>
  </si>
  <si>
    <t xml:space="preserve">Campo San Martino (PD) </t>
  </si>
  <si>
    <t>028020</t>
  </si>
  <si>
    <t>Campo San Martino</t>
  </si>
  <si>
    <t>021017</t>
  </si>
  <si>
    <t xml:space="preserve">Campobasso (CB) </t>
  </si>
  <si>
    <t>070006</t>
  </si>
  <si>
    <t>Campobasso</t>
  </si>
  <si>
    <t xml:space="preserve">Campobello di Licata (AG) </t>
  </si>
  <si>
    <t>084010</t>
  </si>
  <si>
    <t>Campobello di Licata</t>
  </si>
  <si>
    <t xml:space="preserve">Campobello di Mazara (TP) </t>
  </si>
  <si>
    <t>081004</t>
  </si>
  <si>
    <t>Campobello di Mazara</t>
  </si>
  <si>
    <t xml:space="preserve">Campochiaro (CB) </t>
  </si>
  <si>
    <t>070007</t>
  </si>
  <si>
    <t>Campochiaro</t>
  </si>
  <si>
    <t xml:space="preserve">Campodarsego (PD) </t>
  </si>
  <si>
    <t>028017</t>
  </si>
  <si>
    <t>Campodarsego</t>
  </si>
  <si>
    <t xml:space="preserve">Campodenno (TN) </t>
  </si>
  <si>
    <t>022037</t>
  </si>
  <si>
    <t>Campodenno</t>
  </si>
  <si>
    <t xml:space="preserve">Campodimele (LT) </t>
  </si>
  <si>
    <t>059003</t>
  </si>
  <si>
    <t>Campodimele</t>
  </si>
  <si>
    <t xml:space="preserve">Campodipietra (CB) </t>
  </si>
  <si>
    <t>070008</t>
  </si>
  <si>
    <t>Campodipietra</t>
  </si>
  <si>
    <t xml:space="preserve">Campodolcino (SO) </t>
  </si>
  <si>
    <t>014012</t>
  </si>
  <si>
    <t>Campodolcino</t>
  </si>
  <si>
    <t xml:space="preserve">Campodoro (PD) </t>
  </si>
  <si>
    <t>028018</t>
  </si>
  <si>
    <t>Campodoro</t>
  </si>
  <si>
    <t xml:space="preserve">Campofelice di Fitalia (PA) </t>
  </si>
  <si>
    <t>082016</t>
  </si>
  <si>
    <t>Campofelice di Fitalia</t>
  </si>
  <si>
    <t xml:space="preserve">Campofelice di Roccella (PA) </t>
  </si>
  <si>
    <t>082017</t>
  </si>
  <si>
    <t>Campofelice di Roccella</t>
  </si>
  <si>
    <t xml:space="preserve">Campofilone (FM) </t>
  </si>
  <si>
    <t>Campofilone</t>
  </si>
  <si>
    <t xml:space="preserve">Campofiorito (PA) </t>
  </si>
  <si>
    <t>082018</t>
  </si>
  <si>
    <t>Campofiorito</t>
  </si>
  <si>
    <t xml:space="preserve">Campoformido (UD) </t>
  </si>
  <si>
    <t>030016</t>
  </si>
  <si>
    <t>Campoformido</t>
  </si>
  <si>
    <t xml:space="preserve">Campofranco (CL) </t>
  </si>
  <si>
    <t>085005</t>
  </si>
  <si>
    <t>Campofranco</t>
  </si>
  <si>
    <t xml:space="preserve">Campogalliano (MO) </t>
  </si>
  <si>
    <t>036003</t>
  </si>
  <si>
    <t>Campogalliano</t>
  </si>
  <si>
    <t xml:space="preserve">Campolattaro (BN) </t>
  </si>
  <si>
    <t>062013</t>
  </si>
  <si>
    <t>Campolattaro</t>
  </si>
  <si>
    <t xml:space="preserve">Campoli Appennino (FR) </t>
  </si>
  <si>
    <t>060016</t>
  </si>
  <si>
    <t>Campoli Appennino</t>
  </si>
  <si>
    <t xml:space="preserve">Campoli del Monte Taburno (BN) </t>
  </si>
  <si>
    <t>062014</t>
  </si>
  <si>
    <t>Campoli del Monte Taburno</t>
  </si>
  <si>
    <t xml:space="preserve">Campolieto (CB) </t>
  </si>
  <si>
    <t>070009</t>
  </si>
  <si>
    <t>Campolieto</t>
  </si>
  <si>
    <t xml:space="preserve">Campolongo Maggiore (VE) </t>
  </si>
  <si>
    <t>027003</t>
  </si>
  <si>
    <t>Campolongo Maggiore</t>
  </si>
  <si>
    <t xml:space="preserve">Campolongo Tapogliano (UD) </t>
  </si>
  <si>
    <t>030138</t>
  </si>
  <si>
    <t>Campolongo Tapogliano</t>
  </si>
  <si>
    <t xml:space="preserve">Campomaggiore (PZ) </t>
  </si>
  <si>
    <t>076017</t>
  </si>
  <si>
    <t>Campomaggiore</t>
  </si>
  <si>
    <t xml:space="preserve">Campomarino (CB) </t>
  </si>
  <si>
    <t>070010</t>
  </si>
  <si>
    <t>Campomarino</t>
  </si>
  <si>
    <t xml:space="preserve">Campomorone (GE) </t>
  </si>
  <si>
    <t>010009</t>
  </si>
  <si>
    <t>Campomorone</t>
  </si>
  <si>
    <t xml:space="preserve">Camponogara (VE) </t>
  </si>
  <si>
    <t>027004</t>
  </si>
  <si>
    <t>Camponogara</t>
  </si>
  <si>
    <t xml:space="preserve">Campora (SA) </t>
  </si>
  <si>
    <t>065023</t>
  </si>
  <si>
    <t>Campora</t>
  </si>
  <si>
    <t xml:space="preserve">Camporeale (PA) </t>
  </si>
  <si>
    <t>082019</t>
  </si>
  <si>
    <t>Camporeale</t>
  </si>
  <si>
    <t xml:space="preserve">Camporgiano (LU) </t>
  </si>
  <si>
    <t>046006</t>
  </si>
  <si>
    <t>Camporgiano</t>
  </si>
  <si>
    <t xml:space="preserve">Camporosso (IM) </t>
  </si>
  <si>
    <t>008011</t>
  </si>
  <si>
    <t>Camporosso</t>
  </si>
  <si>
    <t xml:space="preserve">Camporotondo di Fiastrone (MC) </t>
  </si>
  <si>
    <t>043008</t>
  </si>
  <si>
    <t>Camporotondo di Fiastrone</t>
  </si>
  <si>
    <t xml:space="preserve">Camporotondo Etneo (CT) </t>
  </si>
  <si>
    <t>087012</t>
  </si>
  <si>
    <t>Camporotondo Etneo</t>
  </si>
  <si>
    <t xml:space="preserve">Camposampiero (PD) </t>
  </si>
  <si>
    <t>028019</t>
  </si>
  <si>
    <t>Camposampiero</t>
  </si>
  <si>
    <t xml:space="preserve">Camposano (NA) </t>
  </si>
  <si>
    <t>063013</t>
  </si>
  <si>
    <t>Camposano</t>
  </si>
  <si>
    <t xml:space="preserve">Camposanto (MO) </t>
  </si>
  <si>
    <t>036004</t>
  </si>
  <si>
    <t>Camposanto</t>
  </si>
  <si>
    <t>018026</t>
  </si>
  <si>
    <t xml:space="preserve">Campotosto (AQ) </t>
  </si>
  <si>
    <t>066016</t>
  </si>
  <si>
    <t>Campotosto</t>
  </si>
  <si>
    <t xml:space="preserve">Camugnano (BO) </t>
  </si>
  <si>
    <t>037010</t>
  </si>
  <si>
    <t>Camugnano</t>
  </si>
  <si>
    <t xml:space="preserve">Canal San Bovo (TN) </t>
  </si>
  <si>
    <t>022038</t>
  </si>
  <si>
    <t>Canal San Bovo</t>
  </si>
  <si>
    <t xml:space="preserve">Canale (CN) </t>
  </si>
  <si>
    <t>004037</t>
  </si>
  <si>
    <t>Canale</t>
  </si>
  <si>
    <t xml:space="preserve">Canale d'Agordo (BL) </t>
  </si>
  <si>
    <t>025023</t>
  </si>
  <si>
    <t>Canale d'Agordo</t>
  </si>
  <si>
    <t xml:space="preserve">Canale Monterano (RM) </t>
  </si>
  <si>
    <t>058016</t>
  </si>
  <si>
    <t>Canale Monterano</t>
  </si>
  <si>
    <t xml:space="preserve">Canaro (RO) </t>
  </si>
  <si>
    <t>029009</t>
  </si>
  <si>
    <t>Canaro</t>
  </si>
  <si>
    <t xml:space="preserve">Canazei (TN) </t>
  </si>
  <si>
    <t>022039</t>
  </si>
  <si>
    <t>Canazei</t>
  </si>
  <si>
    <t xml:space="preserve">Cancellara (PZ) </t>
  </si>
  <si>
    <t>076018</t>
  </si>
  <si>
    <t>Cancellara</t>
  </si>
  <si>
    <t xml:space="preserve">Cancello ed Arnone (CE) </t>
  </si>
  <si>
    <t>061012</t>
  </si>
  <si>
    <t>Cancello ed Arnone</t>
  </si>
  <si>
    <t xml:space="preserve">Canda (RO) </t>
  </si>
  <si>
    <t>029010</t>
  </si>
  <si>
    <t>Canda</t>
  </si>
  <si>
    <t xml:space="preserve">Candela (FG) </t>
  </si>
  <si>
    <t>071009</t>
  </si>
  <si>
    <t>Candela</t>
  </si>
  <si>
    <t xml:space="preserve">Candelo (BI) </t>
  </si>
  <si>
    <t>096012</t>
  </si>
  <si>
    <t>Candelo</t>
  </si>
  <si>
    <t xml:space="preserve">Candia Canavese (TO) </t>
  </si>
  <si>
    <t>001050</t>
  </si>
  <si>
    <t>Candia Canavese</t>
  </si>
  <si>
    <t xml:space="preserve">Candia Lomellina (PV) </t>
  </si>
  <si>
    <t>018027</t>
  </si>
  <si>
    <t>Candia Lomellina</t>
  </si>
  <si>
    <t xml:space="preserve">Candiana (PD) </t>
  </si>
  <si>
    <t>028021</t>
  </si>
  <si>
    <t>Candiana</t>
  </si>
  <si>
    <t xml:space="preserve">Candida (AV) </t>
  </si>
  <si>
    <t>064016</t>
  </si>
  <si>
    <t>Candida</t>
  </si>
  <si>
    <t xml:space="preserve">Candidoni (RC) </t>
  </si>
  <si>
    <t>080019</t>
  </si>
  <si>
    <t>Candidoni</t>
  </si>
  <si>
    <t xml:space="preserve">Candiolo (TO) </t>
  </si>
  <si>
    <t>001051</t>
  </si>
  <si>
    <t>Candiolo</t>
  </si>
  <si>
    <t xml:space="preserve">Canegrate (MI) </t>
  </si>
  <si>
    <t>015046</t>
  </si>
  <si>
    <t>Canegrate</t>
  </si>
  <si>
    <t xml:space="preserve">Canelli (AT) </t>
  </si>
  <si>
    <t>005017</t>
  </si>
  <si>
    <t>Canelli</t>
  </si>
  <si>
    <t xml:space="preserve">Canepina (VT) </t>
  </si>
  <si>
    <t>056011</t>
  </si>
  <si>
    <t>Canepina</t>
  </si>
  <si>
    <t xml:space="preserve">Caneva (PN) </t>
  </si>
  <si>
    <t>093009</t>
  </si>
  <si>
    <t>Caneva</t>
  </si>
  <si>
    <t xml:space="preserve">Canicattì (AG) </t>
  </si>
  <si>
    <t>084011</t>
  </si>
  <si>
    <t>Canicattì</t>
  </si>
  <si>
    <t xml:space="preserve">Canicattini Bagni (SR) </t>
  </si>
  <si>
    <t>089005</t>
  </si>
  <si>
    <t>Canicattini Bagni</t>
  </si>
  <si>
    <t xml:space="preserve">Canino (VT) </t>
  </si>
  <si>
    <t>056012</t>
  </si>
  <si>
    <t>Canino</t>
  </si>
  <si>
    <t xml:space="preserve">Canischio (TO) </t>
  </si>
  <si>
    <t>001052</t>
  </si>
  <si>
    <t>Canischio</t>
  </si>
  <si>
    <t xml:space="preserve">Canistro (AQ) </t>
  </si>
  <si>
    <t>066017</t>
  </si>
  <si>
    <t>Canistro</t>
  </si>
  <si>
    <t xml:space="preserve">Canna (CS) </t>
  </si>
  <si>
    <t>078024</t>
  </si>
  <si>
    <t>Canna</t>
  </si>
  <si>
    <t xml:space="preserve">Cannalonga (SA) </t>
  </si>
  <si>
    <t>065024</t>
  </si>
  <si>
    <t>Cannalonga</t>
  </si>
  <si>
    <t xml:space="preserve">Cannara (PG) </t>
  </si>
  <si>
    <t>054006</t>
  </si>
  <si>
    <t>Cannara</t>
  </si>
  <si>
    <t xml:space="preserve">Cannero Riviera (VB) </t>
  </si>
  <si>
    <t>Cannero Riviera</t>
  </si>
  <si>
    <t xml:space="preserve">Canneto Pavese (PV) </t>
  </si>
  <si>
    <t>018029</t>
  </si>
  <si>
    <t>Canneto Pavese</t>
  </si>
  <si>
    <t xml:space="preserve">Canneto sull'Oglio (MN) </t>
  </si>
  <si>
    <t>020008</t>
  </si>
  <si>
    <t>Canneto sull'Oglio</t>
  </si>
  <si>
    <t xml:space="preserve">Cannobio (VB) </t>
  </si>
  <si>
    <t>Cannobio</t>
  </si>
  <si>
    <t xml:space="preserve">Cannole (LE) </t>
  </si>
  <si>
    <t>075012</t>
  </si>
  <si>
    <t>Cannole</t>
  </si>
  <si>
    <t xml:space="preserve">Canolo (RC) </t>
  </si>
  <si>
    <t>080020</t>
  </si>
  <si>
    <t>Canolo</t>
  </si>
  <si>
    <t xml:space="preserve">Canonica d'Adda (BG) </t>
  </si>
  <si>
    <t>016049</t>
  </si>
  <si>
    <t>Canonica d'Adda</t>
  </si>
  <si>
    <t xml:space="preserve">Canosa di Puglia (BT) </t>
  </si>
  <si>
    <t>Canosa di Puglia</t>
  </si>
  <si>
    <t xml:space="preserve">Canosa Sannita (CH) </t>
  </si>
  <si>
    <t>069010</t>
  </si>
  <si>
    <t>Canosa Sannita</t>
  </si>
  <si>
    <t xml:space="preserve">Canosio (CN) </t>
  </si>
  <si>
    <t>004038</t>
  </si>
  <si>
    <t>Canosio</t>
  </si>
  <si>
    <t xml:space="preserve">Canossa (RE) </t>
  </si>
  <si>
    <t>035018</t>
  </si>
  <si>
    <t>Canossa</t>
  </si>
  <si>
    <t xml:space="preserve">Cansano (AQ) </t>
  </si>
  <si>
    <t>066018</t>
  </si>
  <si>
    <t>Cansano</t>
  </si>
  <si>
    <t xml:space="preserve">Cantagallo (PO) </t>
  </si>
  <si>
    <t>PO</t>
  </si>
  <si>
    <t>Cantagallo</t>
  </si>
  <si>
    <t xml:space="preserve">Cantalice (RI) </t>
  </si>
  <si>
    <t>057009</t>
  </si>
  <si>
    <t>Cantalice</t>
  </si>
  <si>
    <t xml:space="preserve">Cantalupa (TO) </t>
  </si>
  <si>
    <t>001053</t>
  </si>
  <si>
    <t>Cantalupa</t>
  </si>
  <si>
    <t xml:space="preserve">Cantalupo in Sabina (RI) </t>
  </si>
  <si>
    <t>057010</t>
  </si>
  <si>
    <t>Cantalupo in Sabina</t>
  </si>
  <si>
    <t xml:space="preserve">Cantalupo Ligure (AL) </t>
  </si>
  <si>
    <t>006028</t>
  </si>
  <si>
    <t>Cantalupo Ligure</t>
  </si>
  <si>
    <t xml:space="preserve">Cantalupo nel Sannio (IS) </t>
  </si>
  <si>
    <t>094005</t>
  </si>
  <si>
    <t>Cantalupo nel Sannio</t>
  </si>
  <si>
    <t xml:space="preserve">Cantarana (AT) </t>
  </si>
  <si>
    <t>005018</t>
  </si>
  <si>
    <t>Cantarana</t>
  </si>
  <si>
    <t>012030</t>
  </si>
  <si>
    <t>Cantello</t>
  </si>
  <si>
    <t xml:space="preserve">Canterano (RM) </t>
  </si>
  <si>
    <t>058017</t>
  </si>
  <si>
    <t>Canterano</t>
  </si>
  <si>
    <t xml:space="preserve">Cantiano (PU) </t>
  </si>
  <si>
    <t>041008</t>
  </si>
  <si>
    <t>Cantiano</t>
  </si>
  <si>
    <t xml:space="preserve">Cantoira (TO) </t>
  </si>
  <si>
    <t>001054</t>
  </si>
  <si>
    <t>Cantoira</t>
  </si>
  <si>
    <t xml:space="preserve">Cantù (CO) </t>
  </si>
  <si>
    <t>013041</t>
  </si>
  <si>
    <t>Cantù</t>
  </si>
  <si>
    <t xml:space="preserve">Canzano (TE) </t>
  </si>
  <si>
    <t>067009</t>
  </si>
  <si>
    <t>Canzano</t>
  </si>
  <si>
    <t xml:space="preserve">Canzo (CO) </t>
  </si>
  <si>
    <t>013042</t>
  </si>
  <si>
    <t>Canzo</t>
  </si>
  <si>
    <t xml:space="preserve">Caorle (VE) </t>
  </si>
  <si>
    <t>027005</t>
  </si>
  <si>
    <t>Caorle</t>
  </si>
  <si>
    <t xml:space="preserve">Caorso (PC) </t>
  </si>
  <si>
    <t>033010</t>
  </si>
  <si>
    <t>Caorso</t>
  </si>
  <si>
    <t>065025</t>
  </si>
  <si>
    <t xml:space="preserve">Capaci (PA) </t>
  </si>
  <si>
    <t>082020</t>
  </si>
  <si>
    <t>Capaci</t>
  </si>
  <si>
    <t xml:space="preserve">Capalbio (GR) </t>
  </si>
  <si>
    <t>053003</t>
  </si>
  <si>
    <t>Capalbio</t>
  </si>
  <si>
    <t xml:space="preserve">Capannoli (PI) </t>
  </si>
  <si>
    <t>050005</t>
  </si>
  <si>
    <t>Capannoli</t>
  </si>
  <si>
    <t xml:space="preserve">Capannori (LU) </t>
  </si>
  <si>
    <t>046007</t>
  </si>
  <si>
    <t>Capannori</t>
  </si>
  <si>
    <t xml:space="preserve">Capena (RM) </t>
  </si>
  <si>
    <t>058018</t>
  </si>
  <si>
    <t>Capena</t>
  </si>
  <si>
    <t xml:space="preserve">Capergnanica (CR) </t>
  </si>
  <si>
    <t>019012</t>
  </si>
  <si>
    <t>Capergnanica</t>
  </si>
  <si>
    <t xml:space="preserve">Capestrano (AQ) </t>
  </si>
  <si>
    <t>066019</t>
  </si>
  <si>
    <t>Capestrano</t>
  </si>
  <si>
    <t xml:space="preserve">Capiago Intimiano (CO) </t>
  </si>
  <si>
    <t>013043</t>
  </si>
  <si>
    <t>Capiago Intimiano</t>
  </si>
  <si>
    <t xml:space="preserve">Capistrano (VV) </t>
  </si>
  <si>
    <t>Capistrano</t>
  </si>
  <si>
    <t xml:space="preserve">Capistrello (AQ) </t>
  </si>
  <si>
    <t>066020</t>
  </si>
  <si>
    <t>Capistrello</t>
  </si>
  <si>
    <t xml:space="preserve">Capitignano (AQ) </t>
  </si>
  <si>
    <t>066021</t>
  </si>
  <si>
    <t>Capitignano</t>
  </si>
  <si>
    <t xml:space="preserve">Capizzi (ME) </t>
  </si>
  <si>
    <t>083008</t>
  </si>
  <si>
    <t>Capizzi</t>
  </si>
  <si>
    <t xml:space="preserve">Capizzone (BG) </t>
  </si>
  <si>
    <t>016050</t>
  </si>
  <si>
    <t>Capizzone</t>
  </si>
  <si>
    <t xml:space="preserve">Capo di Ponte (BS) </t>
  </si>
  <si>
    <t>017035</t>
  </si>
  <si>
    <t>Capo di Ponte</t>
  </si>
  <si>
    <t xml:space="preserve">Capo d'Orlando (ME) </t>
  </si>
  <si>
    <t>083009</t>
  </si>
  <si>
    <t>Capo d'Orlando</t>
  </si>
  <si>
    <t xml:space="preserve">Capodimonte (VT) </t>
  </si>
  <si>
    <t>056013</t>
  </si>
  <si>
    <t>Capodimonte</t>
  </si>
  <si>
    <t xml:space="preserve">Capodrise (CE) </t>
  </si>
  <si>
    <t>061013</t>
  </si>
  <si>
    <t>Capodrise</t>
  </si>
  <si>
    <t xml:space="preserve">Capoliveri (LI) </t>
  </si>
  <si>
    <t>049004</t>
  </si>
  <si>
    <t>Capoliveri</t>
  </si>
  <si>
    <t xml:space="preserve">Capolona (AR) </t>
  </si>
  <si>
    <t>051006</t>
  </si>
  <si>
    <t>Capolona</t>
  </si>
  <si>
    <t xml:space="preserve">Caponago (MB) </t>
  </si>
  <si>
    <t>Caponago</t>
  </si>
  <si>
    <t xml:space="preserve">Caporciano (AQ) </t>
  </si>
  <si>
    <t>066022</t>
  </si>
  <si>
    <t>Caporciano</t>
  </si>
  <si>
    <t xml:space="preserve">Caposele (AV) </t>
  </si>
  <si>
    <t>064017</t>
  </si>
  <si>
    <t>Caposele</t>
  </si>
  <si>
    <t xml:space="preserve">Capoterra (CA) </t>
  </si>
  <si>
    <t>Capoterra</t>
  </si>
  <si>
    <t xml:space="preserve">Capovalle (BS) </t>
  </si>
  <si>
    <t>017036</t>
  </si>
  <si>
    <t>Capovalle</t>
  </si>
  <si>
    <t xml:space="preserve">Cappadocia (AQ) </t>
  </si>
  <si>
    <t>066023</t>
  </si>
  <si>
    <t>Cappadocia</t>
  </si>
  <si>
    <t xml:space="preserve">Cappella Cantone (CR) </t>
  </si>
  <si>
    <t>019013</t>
  </si>
  <si>
    <t>Cappella Cantone</t>
  </si>
  <si>
    <t xml:space="preserve">Cappella de' Picenardi (CR) </t>
  </si>
  <si>
    <t>019014</t>
  </si>
  <si>
    <t>Cappella de' Picenardi</t>
  </si>
  <si>
    <t xml:space="preserve">Cappella Maggiore (TV) </t>
  </si>
  <si>
    <t>026007</t>
  </si>
  <si>
    <t>Cappella Maggiore</t>
  </si>
  <si>
    <t xml:space="preserve">Cappelle sul Tavo (PE) </t>
  </si>
  <si>
    <t>068006</t>
  </si>
  <si>
    <t>Cappelle sul Tavo</t>
  </si>
  <si>
    <t xml:space="preserve">Capracotta (IS) </t>
  </si>
  <si>
    <t>094006</t>
  </si>
  <si>
    <t>Capracotta</t>
  </si>
  <si>
    <t xml:space="preserve">Capraia e Limite (FI) </t>
  </si>
  <si>
    <t>048008</t>
  </si>
  <si>
    <t>Capraia e Limite</t>
  </si>
  <si>
    <t xml:space="preserve">Capraia Isola (LI) </t>
  </si>
  <si>
    <t>049005</t>
  </si>
  <si>
    <t>Capraia Isola</t>
  </si>
  <si>
    <t xml:space="preserve">Capralba (CR) </t>
  </si>
  <si>
    <t>019015</t>
  </si>
  <si>
    <t>Capralba</t>
  </si>
  <si>
    <t xml:space="preserve">Capranica (VT) </t>
  </si>
  <si>
    <t>056014</t>
  </si>
  <si>
    <t>Capranica</t>
  </si>
  <si>
    <t xml:space="preserve">Capranica Prenestina (RM) </t>
  </si>
  <si>
    <t>058019</t>
  </si>
  <si>
    <t>Capranica Prenestina</t>
  </si>
  <si>
    <t xml:space="preserve">Caprarica di Lecce (LE) </t>
  </si>
  <si>
    <t>075013</t>
  </si>
  <si>
    <t>Caprarica di Lecce</t>
  </si>
  <si>
    <t xml:space="preserve">Caprarola (VT) </t>
  </si>
  <si>
    <t>056015</t>
  </si>
  <si>
    <t>Caprarola</t>
  </si>
  <si>
    <t xml:space="preserve">Caprauna (CN) </t>
  </si>
  <si>
    <t>004039</t>
  </si>
  <si>
    <t>Caprauna</t>
  </si>
  <si>
    <t xml:space="preserve">Caprese Michelangelo (AR) </t>
  </si>
  <si>
    <t>051007</t>
  </si>
  <si>
    <t>Caprese Michelangelo</t>
  </si>
  <si>
    <t xml:space="preserve">Caprezzo (VB) </t>
  </si>
  <si>
    <t>Caprezzo</t>
  </si>
  <si>
    <t xml:space="preserve">Capri (NA) </t>
  </si>
  <si>
    <t>063014</t>
  </si>
  <si>
    <t>Capri</t>
  </si>
  <si>
    <t xml:space="preserve">Capri Leone (ME) </t>
  </si>
  <si>
    <t>083010</t>
  </si>
  <si>
    <t>Capri Leone</t>
  </si>
  <si>
    <t xml:space="preserve">Capriana (TN) </t>
  </si>
  <si>
    <t>022040</t>
  </si>
  <si>
    <t>Capriana</t>
  </si>
  <si>
    <t xml:space="preserve">Capriano del Colle (BS) </t>
  </si>
  <si>
    <t>017037</t>
  </si>
  <si>
    <t>Capriano del Colle</t>
  </si>
  <si>
    <t xml:space="preserve">Capriata d'Orba (AL) </t>
  </si>
  <si>
    <t>006029</t>
  </si>
  <si>
    <t>Capriata d'Orba</t>
  </si>
  <si>
    <t xml:space="preserve">Capriate San Gervasio (BG) </t>
  </si>
  <si>
    <t>016051</t>
  </si>
  <si>
    <t>Capriate San Gervasio</t>
  </si>
  <si>
    <t xml:space="preserve">Capriati a Volturno (CE) </t>
  </si>
  <si>
    <t>061014</t>
  </si>
  <si>
    <t>Capriati a Volturno</t>
  </si>
  <si>
    <t xml:space="preserve">Caprie (TO) </t>
  </si>
  <si>
    <t>001055</t>
  </si>
  <si>
    <t>Caprie</t>
  </si>
  <si>
    <t xml:space="preserve">Capriglia Irpina (AV) </t>
  </si>
  <si>
    <t>064018</t>
  </si>
  <si>
    <t>Capriglia Irpina</t>
  </si>
  <si>
    <t xml:space="preserve">Capriglio (AT) </t>
  </si>
  <si>
    <t>005019</t>
  </si>
  <si>
    <t>Capriglio</t>
  </si>
  <si>
    <t xml:space="preserve">Caprile (BI) </t>
  </si>
  <si>
    <t>096013</t>
  </si>
  <si>
    <t>Caprile</t>
  </si>
  <si>
    <t xml:space="preserve">Caprino Bergamasco (BG) </t>
  </si>
  <si>
    <t>016052</t>
  </si>
  <si>
    <t>Caprino Bergamasco</t>
  </si>
  <si>
    <t xml:space="preserve">Caprino Veronese (VR) </t>
  </si>
  <si>
    <t>023018</t>
  </si>
  <si>
    <t>Caprino Veronese</t>
  </si>
  <si>
    <t xml:space="preserve">Capriolo (BS) </t>
  </si>
  <si>
    <t>017038</t>
  </si>
  <si>
    <t>Capriolo</t>
  </si>
  <si>
    <t xml:space="preserve">Capriva del Friuli (GO) </t>
  </si>
  <si>
    <t>GO</t>
  </si>
  <si>
    <t>031001</t>
  </si>
  <si>
    <t>Capriva del Friuli</t>
  </si>
  <si>
    <t xml:space="preserve">Capua (CE) </t>
  </si>
  <si>
    <t>061015</t>
  </si>
  <si>
    <t>Capua</t>
  </si>
  <si>
    <t xml:space="preserve">Capurso (BA) </t>
  </si>
  <si>
    <t>072014</t>
  </si>
  <si>
    <t>Capurso</t>
  </si>
  <si>
    <t xml:space="preserve">Caraffa del Bianco (RC) </t>
  </si>
  <si>
    <t>080021</t>
  </si>
  <si>
    <t>Caraffa del Bianco</t>
  </si>
  <si>
    <t xml:space="preserve">Caraffa di Catanzaro (CZ) </t>
  </si>
  <si>
    <t>079017</t>
  </si>
  <si>
    <t>Caraffa di Catanzaro</t>
  </si>
  <si>
    <t xml:space="preserve">Caraglio (CN) </t>
  </si>
  <si>
    <t>004040</t>
  </si>
  <si>
    <t>Caraglio</t>
  </si>
  <si>
    <t xml:space="preserve">Caramagna Piemonte (CN) </t>
  </si>
  <si>
    <t>004041</t>
  </si>
  <si>
    <t>Caramagna Piemonte</t>
  </si>
  <si>
    <t xml:space="preserve">Caramanico Terme (PE) </t>
  </si>
  <si>
    <t>068007</t>
  </si>
  <si>
    <t>Caramanico Terme</t>
  </si>
  <si>
    <t xml:space="preserve">Carapelle (FG) </t>
  </si>
  <si>
    <t>071010</t>
  </si>
  <si>
    <t>Carapelle</t>
  </si>
  <si>
    <t xml:space="preserve">Carapelle Calvisio (AQ) </t>
  </si>
  <si>
    <t>066024</t>
  </si>
  <si>
    <t>Carapelle Calvisio</t>
  </si>
  <si>
    <t xml:space="preserve">Carasco (GE) </t>
  </si>
  <si>
    <t>010010</t>
  </si>
  <si>
    <t>Carasco</t>
  </si>
  <si>
    <t xml:space="preserve">Carassai (AP) </t>
  </si>
  <si>
    <t>044010</t>
  </si>
  <si>
    <t>Carassai</t>
  </si>
  <si>
    <t xml:space="preserve">Carate Brianza (MB) </t>
  </si>
  <si>
    <t>Carate Brianza</t>
  </si>
  <si>
    <t xml:space="preserve">Carate Urio (CO) </t>
  </si>
  <si>
    <t>013044</t>
  </si>
  <si>
    <t>Carate Urio</t>
  </si>
  <si>
    <t xml:space="preserve">Caravaggio (BG) </t>
  </si>
  <si>
    <t>016053</t>
  </si>
  <si>
    <t>Caravaggio</t>
  </si>
  <si>
    <t xml:space="preserve">Caravate (VA) </t>
  </si>
  <si>
    <t>012031</t>
  </si>
  <si>
    <t>Caravate</t>
  </si>
  <si>
    <t xml:space="preserve">Caravino (TO) </t>
  </si>
  <si>
    <t>001056</t>
  </si>
  <si>
    <t>Caravino</t>
  </si>
  <si>
    <t xml:space="preserve">Caravonica (IM) </t>
  </si>
  <si>
    <t>008012</t>
  </si>
  <si>
    <t>Caravonica</t>
  </si>
  <si>
    <t xml:space="preserve">Carbognano (VT) </t>
  </si>
  <si>
    <t>056016</t>
  </si>
  <si>
    <t>Carbognano</t>
  </si>
  <si>
    <t xml:space="preserve">Carbonara al Ticino (PV) </t>
  </si>
  <si>
    <t>018030</t>
  </si>
  <si>
    <t>Carbonara al Ticino</t>
  </si>
  <si>
    <t xml:space="preserve">Carbonara di Nola (NA) </t>
  </si>
  <si>
    <t>063015</t>
  </si>
  <si>
    <t>Carbonara di Nola</t>
  </si>
  <si>
    <t xml:space="preserve">Carbonara Scrivia (AL) </t>
  </si>
  <si>
    <t>006030</t>
  </si>
  <si>
    <t>Carbonara Scrivia</t>
  </si>
  <si>
    <t xml:space="preserve">Carbonate (CO) </t>
  </si>
  <si>
    <t>013045</t>
  </si>
  <si>
    <t>Carbonate</t>
  </si>
  <si>
    <t xml:space="preserve">Carbone (PZ) </t>
  </si>
  <si>
    <t>076019</t>
  </si>
  <si>
    <t>Carbone</t>
  </si>
  <si>
    <t xml:space="preserve">Carbonera (TV) </t>
  </si>
  <si>
    <t>026008</t>
  </si>
  <si>
    <t>Carbonera</t>
  </si>
  <si>
    <t>Carbonia</t>
  </si>
  <si>
    <t xml:space="preserve">Carcare (SV) </t>
  </si>
  <si>
    <t>009018</t>
  </si>
  <si>
    <t>Carcare</t>
  </si>
  <si>
    <t xml:space="preserve">Carcoforo (VC) </t>
  </si>
  <si>
    <t>002029</t>
  </si>
  <si>
    <t>Carcoforo</t>
  </si>
  <si>
    <t xml:space="preserve">Cardano al Campo (VA) </t>
  </si>
  <si>
    <t>012032</t>
  </si>
  <si>
    <t>Cardano al Campo</t>
  </si>
  <si>
    <t xml:space="preserve">Cardè (CN) </t>
  </si>
  <si>
    <t>004042</t>
  </si>
  <si>
    <t>Cardè</t>
  </si>
  <si>
    <t>Cardedu</t>
  </si>
  <si>
    <t xml:space="preserve">Cardeto (RC) </t>
  </si>
  <si>
    <t>080022</t>
  </si>
  <si>
    <t>Cardeto</t>
  </si>
  <si>
    <t xml:space="preserve">Cardinale (CZ) </t>
  </si>
  <si>
    <t>079018</t>
  </si>
  <si>
    <t>Cardinale</t>
  </si>
  <si>
    <t xml:space="preserve">Cardito (NA) </t>
  </si>
  <si>
    <t>063016</t>
  </si>
  <si>
    <t>Cardito</t>
  </si>
  <si>
    <t xml:space="preserve">Careggine (LU) </t>
  </si>
  <si>
    <t>046008</t>
  </si>
  <si>
    <t>Careggine</t>
  </si>
  <si>
    <t xml:space="preserve">Carema (TO) </t>
  </si>
  <si>
    <t>001057</t>
  </si>
  <si>
    <t>Carema</t>
  </si>
  <si>
    <t xml:space="preserve">Carenno (LC) </t>
  </si>
  <si>
    <t>097014</t>
  </si>
  <si>
    <t>Carenno</t>
  </si>
  <si>
    <t xml:space="preserve">Carentino (AL) </t>
  </si>
  <si>
    <t>006031</t>
  </si>
  <si>
    <t>Carentino</t>
  </si>
  <si>
    <t xml:space="preserve">Careri (RC) </t>
  </si>
  <si>
    <t>080023</t>
  </si>
  <si>
    <t>Careri</t>
  </si>
  <si>
    <t xml:space="preserve">Caresana (VC) </t>
  </si>
  <si>
    <t>002030</t>
  </si>
  <si>
    <t>Caresana</t>
  </si>
  <si>
    <t xml:space="preserve">Caresanablot (VC) </t>
  </si>
  <si>
    <t>002031</t>
  </si>
  <si>
    <t>Caresanablot</t>
  </si>
  <si>
    <t xml:space="preserve">Carezzano (AL) </t>
  </si>
  <si>
    <t>006032</t>
  </si>
  <si>
    <t>Carezzano</t>
  </si>
  <si>
    <t xml:space="preserve">Carfizzi (KR) </t>
  </si>
  <si>
    <t>Carfizzi</t>
  </si>
  <si>
    <t xml:space="preserve">Cargeghe (SS) </t>
  </si>
  <si>
    <t>Cargeghe</t>
  </si>
  <si>
    <t xml:space="preserve">Cariati (CS) </t>
  </si>
  <si>
    <t>078025</t>
  </si>
  <si>
    <t>Cariati</t>
  </si>
  <si>
    <t xml:space="preserve">Carife (AV) </t>
  </si>
  <si>
    <t>064019</t>
  </si>
  <si>
    <t>Carife</t>
  </si>
  <si>
    <t xml:space="preserve">Carignano (TO) </t>
  </si>
  <si>
    <t>001058</t>
  </si>
  <si>
    <t>Carignano</t>
  </si>
  <si>
    <t xml:space="preserve">Carimate (CO) </t>
  </si>
  <si>
    <t>013046</t>
  </si>
  <si>
    <t>Carimate</t>
  </si>
  <si>
    <t xml:space="preserve">Carinaro (CE) </t>
  </si>
  <si>
    <t>061016</t>
  </si>
  <si>
    <t>Carinaro</t>
  </si>
  <si>
    <t xml:space="preserve">Carini (PA) </t>
  </si>
  <si>
    <t>082021</t>
  </si>
  <si>
    <t>Carini</t>
  </si>
  <si>
    <t xml:space="preserve">Carinola (CE) </t>
  </si>
  <si>
    <t>061017</t>
  </si>
  <si>
    <t>Carinola</t>
  </si>
  <si>
    <t xml:space="preserve">Carisio (VC) </t>
  </si>
  <si>
    <t>002032</t>
  </si>
  <si>
    <t>Carisio</t>
  </si>
  <si>
    <t xml:space="preserve">Carisolo (TN) </t>
  </si>
  <si>
    <t>022042</t>
  </si>
  <si>
    <t>Carisolo</t>
  </si>
  <si>
    <t xml:space="preserve">Carlantino (FG) </t>
  </si>
  <si>
    <t>071011</t>
  </si>
  <si>
    <t>Carlantino</t>
  </si>
  <si>
    <t xml:space="preserve">Carlazzo (CO) </t>
  </si>
  <si>
    <t>013047</t>
  </si>
  <si>
    <t>Carlazzo</t>
  </si>
  <si>
    <t xml:space="preserve">Carlentini (SR) </t>
  </si>
  <si>
    <t>089006</t>
  </si>
  <si>
    <t>Carlentini</t>
  </si>
  <si>
    <t xml:space="preserve">Carlino (UD) </t>
  </si>
  <si>
    <t>030018</t>
  </si>
  <si>
    <t>Carlino</t>
  </si>
  <si>
    <t>Carloforte</t>
  </si>
  <si>
    <t xml:space="preserve">Carlopoli (CZ) </t>
  </si>
  <si>
    <t>079020</t>
  </si>
  <si>
    <t>Carlopoli</t>
  </si>
  <si>
    <t xml:space="preserve">Carmagnola (TO) </t>
  </si>
  <si>
    <t>001059</t>
  </si>
  <si>
    <t>Carmagnola</t>
  </si>
  <si>
    <t xml:space="preserve">Carmiano (LE) </t>
  </si>
  <si>
    <t>075014</t>
  </si>
  <si>
    <t>Carmiano</t>
  </si>
  <si>
    <t xml:space="preserve">Carmignano (PO) </t>
  </si>
  <si>
    <t>Carmignano</t>
  </si>
  <si>
    <t xml:space="preserve">Carmignano di Brenta (PD) </t>
  </si>
  <si>
    <t>028023</t>
  </si>
  <si>
    <t>Carmignano di Brenta</t>
  </si>
  <si>
    <t xml:space="preserve">Carnago (VA) </t>
  </si>
  <si>
    <t>012033</t>
  </si>
  <si>
    <t>Carnago</t>
  </si>
  <si>
    <t xml:space="preserve">Carnate (MB) </t>
  </si>
  <si>
    <t>Carnate</t>
  </si>
  <si>
    <t xml:space="preserve">Carobbio degli Angeli (BG) </t>
  </si>
  <si>
    <t>016055</t>
  </si>
  <si>
    <t>Carobbio degli Angeli</t>
  </si>
  <si>
    <t xml:space="preserve">Carolei (CS) </t>
  </si>
  <si>
    <t>078026</t>
  </si>
  <si>
    <t>Carolei</t>
  </si>
  <si>
    <t xml:space="preserve">Carona (BG) </t>
  </si>
  <si>
    <t>016056</t>
  </si>
  <si>
    <t>Carona</t>
  </si>
  <si>
    <t xml:space="preserve">Caronia (ME) </t>
  </si>
  <si>
    <t>083011</t>
  </si>
  <si>
    <t>Caronia</t>
  </si>
  <si>
    <t xml:space="preserve">Caronno Pertusella (VA) </t>
  </si>
  <si>
    <t>012034</t>
  </si>
  <si>
    <t>Caronno Pertusella</t>
  </si>
  <si>
    <t xml:space="preserve">Caronno Varesino (VA) </t>
  </si>
  <si>
    <t>012035</t>
  </si>
  <si>
    <t>Caronno Varesino</t>
  </si>
  <si>
    <t xml:space="preserve">Carosino (TA) </t>
  </si>
  <si>
    <t>073002</t>
  </si>
  <si>
    <t>Carosino</t>
  </si>
  <si>
    <t xml:space="preserve">Carovigno (BR) </t>
  </si>
  <si>
    <t>074002</t>
  </si>
  <si>
    <t>Carovigno</t>
  </si>
  <si>
    <t xml:space="preserve">Carovilli (IS) </t>
  </si>
  <si>
    <t>094007</t>
  </si>
  <si>
    <t>Carovilli</t>
  </si>
  <si>
    <t xml:space="preserve">Carpaneto Piacentino (PC) </t>
  </si>
  <si>
    <t>033011</t>
  </si>
  <si>
    <t>Carpaneto Piacentino</t>
  </si>
  <si>
    <t xml:space="preserve">Carpanzano (CS) </t>
  </si>
  <si>
    <t>078027</t>
  </si>
  <si>
    <t>Carpanzano</t>
  </si>
  <si>
    <t xml:space="preserve">Carpegna (PU) </t>
  </si>
  <si>
    <t>041009</t>
  </si>
  <si>
    <t>Carpegna</t>
  </si>
  <si>
    <t xml:space="preserve">Carpenedolo (BS) </t>
  </si>
  <si>
    <t>017039</t>
  </si>
  <si>
    <t>Carpenedolo</t>
  </si>
  <si>
    <t xml:space="preserve">Carpeneto (AL) </t>
  </si>
  <si>
    <t>006033</t>
  </si>
  <si>
    <t>Carpeneto</t>
  </si>
  <si>
    <t xml:space="preserve">Carpi (MO) </t>
  </si>
  <si>
    <t>036005</t>
  </si>
  <si>
    <t>Carpi</t>
  </si>
  <si>
    <t xml:space="preserve">Carpiano (MI) </t>
  </si>
  <si>
    <t>015050</t>
  </si>
  <si>
    <t>Carpiano</t>
  </si>
  <si>
    <t xml:space="preserve">Carpignano Salentino (LE) </t>
  </si>
  <si>
    <t>075015</t>
  </si>
  <si>
    <t>Carpignano Salentino</t>
  </si>
  <si>
    <t xml:space="preserve">Carpignano Sesia (NO) </t>
  </si>
  <si>
    <t>003036</t>
  </si>
  <si>
    <t>Carpignano Sesia</t>
  </si>
  <si>
    <t xml:space="preserve">Carpineti (RE) </t>
  </si>
  <si>
    <t>035011</t>
  </si>
  <si>
    <t>Carpineti</t>
  </si>
  <si>
    <t xml:space="preserve">Carpineto della Nora (PE) </t>
  </si>
  <si>
    <t>068008</t>
  </si>
  <si>
    <t>Carpineto della Nora</t>
  </si>
  <si>
    <t xml:space="preserve">Carpineto Romano (RM) </t>
  </si>
  <si>
    <t>058020</t>
  </si>
  <si>
    <t>Carpineto Romano</t>
  </si>
  <si>
    <t xml:space="preserve">Carpineto Sinello (CH) </t>
  </si>
  <si>
    <t>069011</t>
  </si>
  <si>
    <t>Carpineto Sinello</t>
  </si>
  <si>
    <t xml:space="preserve">Carpino (FG) </t>
  </si>
  <si>
    <t>071012</t>
  </si>
  <si>
    <t>Carpino</t>
  </si>
  <si>
    <t xml:space="preserve">Carpinone (IS) </t>
  </si>
  <si>
    <t>094008</t>
  </si>
  <si>
    <t>Carpinone</t>
  </si>
  <si>
    <t xml:space="preserve">Carrara (MS) </t>
  </si>
  <si>
    <t>045003</t>
  </si>
  <si>
    <t>Carrara</t>
  </si>
  <si>
    <t xml:space="preserve">Carrè (VI) </t>
  </si>
  <si>
    <t>024024</t>
  </si>
  <si>
    <t>Carrè</t>
  </si>
  <si>
    <t xml:space="preserve">Carrega Ligure (AL) </t>
  </si>
  <si>
    <t>006034</t>
  </si>
  <si>
    <t>Carrega Ligure</t>
  </si>
  <si>
    <t xml:space="preserve">Carro (SP) </t>
  </si>
  <si>
    <t>011009</t>
  </si>
  <si>
    <t>Carro</t>
  </si>
  <si>
    <t xml:space="preserve">Carrodano (SP) </t>
  </si>
  <si>
    <t>011010</t>
  </si>
  <si>
    <t>Carrodano</t>
  </si>
  <si>
    <t xml:space="preserve">Carrosio (AL) </t>
  </si>
  <si>
    <t>006035</t>
  </si>
  <si>
    <t>Carrosio</t>
  </si>
  <si>
    <t xml:space="preserve">Carrù (CN) </t>
  </si>
  <si>
    <t>004043</t>
  </si>
  <si>
    <t>Carrù</t>
  </si>
  <si>
    <t xml:space="preserve">Carsoli (AQ) </t>
  </si>
  <si>
    <t>066025</t>
  </si>
  <si>
    <t>Carsoli</t>
  </si>
  <si>
    <t xml:space="preserve">Cartigliano (VI) </t>
  </si>
  <si>
    <t>024025</t>
  </si>
  <si>
    <t>Cartigliano</t>
  </si>
  <si>
    <t xml:space="preserve">Cartignano (CN) </t>
  </si>
  <si>
    <t>004044</t>
  </si>
  <si>
    <t>Cartignano</t>
  </si>
  <si>
    <t xml:space="preserve">Cartoceto (PU) </t>
  </si>
  <si>
    <t>041010</t>
  </si>
  <si>
    <t>Cartoceto</t>
  </si>
  <si>
    <t xml:space="preserve">Cartosio (AL) </t>
  </si>
  <si>
    <t>006036</t>
  </si>
  <si>
    <t>Cartosio</t>
  </si>
  <si>
    <t xml:space="preserve">Cartura (PD) </t>
  </si>
  <si>
    <t>028026</t>
  </si>
  <si>
    <t>Cartura</t>
  </si>
  <si>
    <t xml:space="preserve">Carugate (MI) </t>
  </si>
  <si>
    <t>015051</t>
  </si>
  <si>
    <t>Carugate</t>
  </si>
  <si>
    <t xml:space="preserve">Carugo (CO) </t>
  </si>
  <si>
    <t>013048</t>
  </si>
  <si>
    <t>Carugo</t>
  </si>
  <si>
    <t xml:space="preserve">Carunchio (CH) </t>
  </si>
  <si>
    <t>069012</t>
  </si>
  <si>
    <t>Carunchio</t>
  </si>
  <si>
    <t xml:space="preserve">Carvico (BG) </t>
  </si>
  <si>
    <t>016057</t>
  </si>
  <si>
    <t>Carvico</t>
  </si>
  <si>
    <t xml:space="preserve">Carzano (TN) </t>
  </si>
  <si>
    <t>022043</t>
  </si>
  <si>
    <t>Carzano</t>
  </si>
  <si>
    <t xml:space="preserve">Casabona (KR) </t>
  </si>
  <si>
    <t>Casabona</t>
  </si>
  <si>
    <t xml:space="preserve">Casacalenda (CB) </t>
  </si>
  <si>
    <t>070011</t>
  </si>
  <si>
    <t>Casacalenda</t>
  </si>
  <si>
    <t xml:space="preserve">Casacanditella (CH) </t>
  </si>
  <si>
    <t>069013</t>
  </si>
  <si>
    <t>Casacanditella</t>
  </si>
  <si>
    <t xml:space="preserve">Casagiove (CE) </t>
  </si>
  <si>
    <t>061018</t>
  </si>
  <si>
    <t>Casagiove</t>
  </si>
  <si>
    <t xml:space="preserve">Casal Cermelli (AL) </t>
  </si>
  <si>
    <t>006037</t>
  </si>
  <si>
    <t>Casal Cermelli</t>
  </si>
  <si>
    <t xml:space="preserve">Casal di Principe (CE) </t>
  </si>
  <si>
    <t>061019</t>
  </si>
  <si>
    <t>Casal di Principe</t>
  </si>
  <si>
    <t xml:space="preserve">Casal Velino (SA) </t>
  </si>
  <si>
    <t>065028</t>
  </si>
  <si>
    <t>Casal Velino</t>
  </si>
  <si>
    <t xml:space="preserve">Casalanguida (CH) </t>
  </si>
  <si>
    <t>069014</t>
  </si>
  <si>
    <t>Casalanguida</t>
  </si>
  <si>
    <t xml:space="preserve">Casalattico (FR) </t>
  </si>
  <si>
    <t>060017</t>
  </si>
  <si>
    <t>Casalattico</t>
  </si>
  <si>
    <t xml:space="preserve">Casalbeltrame (NO) </t>
  </si>
  <si>
    <t>003037</t>
  </si>
  <si>
    <t>Casalbeltrame</t>
  </si>
  <si>
    <t xml:space="preserve">Casalbordino (CH) </t>
  </si>
  <si>
    <t>069015</t>
  </si>
  <si>
    <t>Casalbordino</t>
  </si>
  <si>
    <t xml:space="preserve">Casalbore (AV) </t>
  </si>
  <si>
    <t>064020</t>
  </si>
  <si>
    <t>Casalbore</t>
  </si>
  <si>
    <t xml:space="preserve">Casalborgone (TO) </t>
  </si>
  <si>
    <t>001060</t>
  </si>
  <si>
    <t>Casalborgone</t>
  </si>
  <si>
    <t xml:space="preserve">Casalbuono (SA) </t>
  </si>
  <si>
    <t>065026</t>
  </si>
  <si>
    <t>Casalbuono</t>
  </si>
  <si>
    <t xml:space="preserve">Casalbuttano ed Uniti (CR) </t>
  </si>
  <si>
    <t>019016</t>
  </si>
  <si>
    <t>Casalbuttano ed Uniti</t>
  </si>
  <si>
    <t xml:space="preserve">Casalciprano (CB) </t>
  </si>
  <si>
    <t>070012</t>
  </si>
  <si>
    <t>Casalciprano</t>
  </si>
  <si>
    <t xml:space="preserve">Casalduni (BN) </t>
  </si>
  <si>
    <t>062015</t>
  </si>
  <si>
    <t>Casalduni</t>
  </si>
  <si>
    <t xml:space="preserve">Casale Corte Cerro (VB) </t>
  </si>
  <si>
    <t>Casale Corte Cerro</t>
  </si>
  <si>
    <t xml:space="preserve">Casale Cremasco-Vidolasco (CR) </t>
  </si>
  <si>
    <t>019017</t>
  </si>
  <si>
    <t>Casale Cremasco-Vidolasco</t>
  </si>
  <si>
    <t xml:space="preserve">Casale di Scodosia (PD) </t>
  </si>
  <si>
    <t>028027</t>
  </si>
  <si>
    <t>Casale di Scodosia</t>
  </si>
  <si>
    <t xml:space="preserve">Casale Litta (VA) </t>
  </si>
  <si>
    <t>012036</t>
  </si>
  <si>
    <t>Casale Litta</t>
  </si>
  <si>
    <t xml:space="preserve">Casale Marittimo (PI) </t>
  </si>
  <si>
    <t>050006</t>
  </si>
  <si>
    <t>Casale Marittimo</t>
  </si>
  <si>
    <t xml:space="preserve">Casale Monferrato (AL) </t>
  </si>
  <si>
    <t>006039</t>
  </si>
  <si>
    <t>Casale Monferrato</t>
  </si>
  <si>
    <t xml:space="preserve">Casale sul Sile (TV) </t>
  </si>
  <si>
    <t>026009</t>
  </si>
  <si>
    <t>Casale sul Sile</t>
  </si>
  <si>
    <t xml:space="preserve">Casalecchio di Reno (BO) </t>
  </si>
  <si>
    <t>037011</t>
  </si>
  <si>
    <t>Casalecchio di Reno</t>
  </si>
  <si>
    <t xml:space="preserve">Casaleggio Boiro (AL) </t>
  </si>
  <si>
    <t>006038</t>
  </si>
  <si>
    <t>Casaleggio Boiro</t>
  </si>
  <si>
    <t xml:space="preserve">Casaleggio Novara (NO) </t>
  </si>
  <si>
    <t>003039</t>
  </si>
  <si>
    <t>Casaleggio Novara</t>
  </si>
  <si>
    <t xml:space="preserve">Casaleone (VR) </t>
  </si>
  <si>
    <t>023019</t>
  </si>
  <si>
    <t>Casaleone</t>
  </si>
  <si>
    <t xml:space="preserve">Casaletto Ceredano (CR) </t>
  </si>
  <si>
    <t>019018</t>
  </si>
  <si>
    <t>Casaletto Ceredano</t>
  </si>
  <si>
    <t xml:space="preserve">Casaletto di Sopra (CR) </t>
  </si>
  <si>
    <t>019019</t>
  </si>
  <si>
    <t>Casaletto di Sopra</t>
  </si>
  <si>
    <t xml:space="preserve">Casaletto Lodigiano (LO) </t>
  </si>
  <si>
    <t>098008</t>
  </si>
  <si>
    <t>Casaletto Lodigiano</t>
  </si>
  <si>
    <t xml:space="preserve">Casaletto Spartano (SA) </t>
  </si>
  <si>
    <t>065027</t>
  </si>
  <si>
    <t>Casaletto Spartano</t>
  </si>
  <si>
    <t xml:space="preserve">Casaletto Vaprio (CR) </t>
  </si>
  <si>
    <t>019020</t>
  </si>
  <si>
    <t>Casaletto Vaprio</t>
  </si>
  <si>
    <t xml:space="preserve">Casalfiumanese (BO) </t>
  </si>
  <si>
    <t>037012</t>
  </si>
  <si>
    <t>Casalfiumanese</t>
  </si>
  <si>
    <t xml:space="preserve">Casalgrande (RE) </t>
  </si>
  <si>
    <t>035012</t>
  </si>
  <si>
    <t>Casalgrande</t>
  </si>
  <si>
    <t xml:space="preserve">Casalgrasso (CN) </t>
  </si>
  <si>
    <t>004045</t>
  </si>
  <si>
    <t>Casalgrasso</t>
  </si>
  <si>
    <t xml:space="preserve">Casalincontrada (CH) </t>
  </si>
  <si>
    <t>069016</t>
  </si>
  <si>
    <t>Casalincontrada</t>
  </si>
  <si>
    <t xml:space="preserve">Casalino (NO) </t>
  </si>
  <si>
    <t>003040</t>
  </si>
  <si>
    <t>Casalino</t>
  </si>
  <si>
    <t xml:space="preserve">Casalmaggiore (CR) </t>
  </si>
  <si>
    <t>019021</t>
  </si>
  <si>
    <t>Casalmaggiore</t>
  </si>
  <si>
    <t xml:space="preserve">Casalmaiocco (LO) </t>
  </si>
  <si>
    <t>098009</t>
  </si>
  <si>
    <t>Casalmaiocco</t>
  </si>
  <si>
    <t xml:space="preserve">Casalmorano (CR) </t>
  </si>
  <si>
    <t>019022</t>
  </si>
  <si>
    <t>Casalmorano</t>
  </si>
  <si>
    <t xml:space="preserve">Casalmoro (MN) </t>
  </si>
  <si>
    <t>020010</t>
  </si>
  <si>
    <t>Casalmoro</t>
  </si>
  <si>
    <t xml:space="preserve">Casalnoceto (AL) </t>
  </si>
  <si>
    <t>006040</t>
  </si>
  <si>
    <t>Casalnoceto</t>
  </si>
  <si>
    <t xml:space="preserve">Casalnuovo di Napoli (NA) </t>
  </si>
  <si>
    <t>063017</t>
  </si>
  <si>
    <t>Casalnuovo di Napoli</t>
  </si>
  <si>
    <t xml:space="preserve">Casalnuovo Monterotaro (FG) </t>
  </si>
  <si>
    <t>071013</t>
  </si>
  <si>
    <t>Casalnuovo Monterotaro</t>
  </si>
  <si>
    <t xml:space="preserve">Casaloldo (MN) </t>
  </si>
  <si>
    <t>020011</t>
  </si>
  <si>
    <t>Casaloldo</t>
  </si>
  <si>
    <t xml:space="preserve">Casalpusterlengo (LO) </t>
  </si>
  <si>
    <t>098010</t>
  </si>
  <si>
    <t>Casalpusterlengo</t>
  </si>
  <si>
    <t xml:space="preserve">Casalromano (MN) </t>
  </si>
  <si>
    <t>020012</t>
  </si>
  <si>
    <t>Casalromano</t>
  </si>
  <si>
    <t xml:space="preserve">Casalserugo (PD) </t>
  </si>
  <si>
    <t>028028</t>
  </si>
  <si>
    <t>Casalserugo</t>
  </si>
  <si>
    <t xml:space="preserve">Casaluce (CE) </t>
  </si>
  <si>
    <t>061020</t>
  </si>
  <si>
    <t>Casaluce</t>
  </si>
  <si>
    <t xml:space="preserve">Casalvecchio di Puglia (FG) </t>
  </si>
  <si>
    <t>071014</t>
  </si>
  <si>
    <t>Casalvecchio di Puglia</t>
  </si>
  <si>
    <t xml:space="preserve">Casalvecchio Siculo (ME) </t>
  </si>
  <si>
    <t>083012</t>
  </si>
  <si>
    <t>Casalvecchio Siculo</t>
  </si>
  <si>
    <t xml:space="preserve">Casalvieri (FR) </t>
  </si>
  <si>
    <t>060018</t>
  </si>
  <si>
    <t>Casalvieri</t>
  </si>
  <si>
    <t xml:space="preserve">Casalvolone (NO) </t>
  </si>
  <si>
    <t>003041</t>
  </si>
  <si>
    <t>Casalvolone</t>
  </si>
  <si>
    <t xml:space="preserve">Casalzuigno (VA) </t>
  </si>
  <si>
    <t>012037</t>
  </si>
  <si>
    <t>Casalzuigno</t>
  </si>
  <si>
    <t xml:space="preserve">Casamarciano (NA) </t>
  </si>
  <si>
    <t>063018</t>
  </si>
  <si>
    <t>Casamarciano</t>
  </si>
  <si>
    <t xml:space="preserve">Casamassima (BA) </t>
  </si>
  <si>
    <t>072015</t>
  </si>
  <si>
    <t>Casamassima</t>
  </si>
  <si>
    <t xml:space="preserve">Casamicciola Terme (NA) </t>
  </si>
  <si>
    <t>063019</t>
  </si>
  <si>
    <t>Casamicciola Terme</t>
  </si>
  <si>
    <t xml:space="preserve">Casandrino (NA) </t>
  </si>
  <si>
    <t>063020</t>
  </si>
  <si>
    <t>Casandrino</t>
  </si>
  <si>
    <t xml:space="preserve">Casanova Elvo (VC) </t>
  </si>
  <si>
    <t>002033</t>
  </si>
  <si>
    <t>Casanova Elvo</t>
  </si>
  <si>
    <t xml:space="preserve">Casanova Lerrone (SV) </t>
  </si>
  <si>
    <t>009019</t>
  </si>
  <si>
    <t>Casanova Lerrone</t>
  </si>
  <si>
    <t xml:space="preserve">Casanova Lonati (PV) </t>
  </si>
  <si>
    <t>018031</t>
  </si>
  <si>
    <t>Casanova Lonati</t>
  </si>
  <si>
    <t xml:space="preserve">Casape (RM) </t>
  </si>
  <si>
    <t>058021</t>
  </si>
  <si>
    <t>Casape</t>
  </si>
  <si>
    <t xml:space="preserve">Casapesenna (CE) </t>
  </si>
  <si>
    <t>061103</t>
  </si>
  <si>
    <t>Casapesenna</t>
  </si>
  <si>
    <t xml:space="preserve">Casapinta (BI) </t>
  </si>
  <si>
    <t>096014</t>
  </si>
  <si>
    <t>Casapinta</t>
  </si>
  <si>
    <t xml:space="preserve">Casaprota (RI) </t>
  </si>
  <si>
    <t>057011</t>
  </si>
  <si>
    <t>Casaprota</t>
  </si>
  <si>
    <t xml:space="preserve">Casapulla (CE) </t>
  </si>
  <si>
    <t>061021</t>
  </si>
  <si>
    <t>Casapulla</t>
  </si>
  <si>
    <t xml:space="preserve">Casarano (LE) </t>
  </si>
  <si>
    <t>075016</t>
  </si>
  <si>
    <t>Casarano</t>
  </si>
  <si>
    <t xml:space="preserve">Casargo (LC) </t>
  </si>
  <si>
    <t>097015</t>
  </si>
  <si>
    <t>Casargo</t>
  </si>
  <si>
    <t xml:space="preserve">Casarile (MI) </t>
  </si>
  <si>
    <t>015055</t>
  </si>
  <si>
    <t>Casarile</t>
  </si>
  <si>
    <t xml:space="preserve">Casarsa della Delizia (PN) </t>
  </si>
  <si>
    <t>093010</t>
  </si>
  <si>
    <t>Casarsa della Delizia</t>
  </si>
  <si>
    <t xml:space="preserve">Casarza Ligure (GE) </t>
  </si>
  <si>
    <t>010011</t>
  </si>
  <si>
    <t>Casarza Ligure</t>
  </si>
  <si>
    <t xml:space="preserve">Casasco (AL) </t>
  </si>
  <si>
    <t>006041</t>
  </si>
  <si>
    <t>Casasco</t>
  </si>
  <si>
    <t xml:space="preserve">Casatenovo (LC) </t>
  </si>
  <si>
    <t>097016</t>
  </si>
  <si>
    <t>Casatenovo</t>
  </si>
  <si>
    <t xml:space="preserve">Casatisma (PV) </t>
  </si>
  <si>
    <t>018032</t>
  </si>
  <si>
    <t>Casatisma</t>
  </si>
  <si>
    <t xml:space="preserve">Casavatore (NA) </t>
  </si>
  <si>
    <t>063021</t>
  </si>
  <si>
    <t>Casavatore</t>
  </si>
  <si>
    <t xml:space="preserve">Casazza (BG) </t>
  </si>
  <si>
    <t>016058</t>
  </si>
  <si>
    <t>Casazza</t>
  </si>
  <si>
    <t xml:space="preserve">Cascia (PG) </t>
  </si>
  <si>
    <t>054007</t>
  </si>
  <si>
    <t>Cascia</t>
  </si>
  <si>
    <t xml:space="preserve">Casciago (VA) </t>
  </si>
  <si>
    <t>012038</t>
  </si>
  <si>
    <t>Casciago</t>
  </si>
  <si>
    <t xml:space="preserve">Cascina (PI) </t>
  </si>
  <si>
    <t>050008</t>
  </si>
  <si>
    <t>Cascina</t>
  </si>
  <si>
    <t xml:space="preserve">Cascinette d'Ivrea (TO) </t>
  </si>
  <si>
    <t>001061</t>
  </si>
  <si>
    <t>Cascinette d'Ivrea</t>
  </si>
  <si>
    <t xml:space="preserve">Casei Gerola (PV) </t>
  </si>
  <si>
    <t>018033</t>
  </si>
  <si>
    <t>Casei Gerola</t>
  </si>
  <si>
    <t xml:space="preserve">Caselette (TO) </t>
  </si>
  <si>
    <t>001062</t>
  </si>
  <si>
    <t>Caselette</t>
  </si>
  <si>
    <t xml:space="preserve">Casella (GE) </t>
  </si>
  <si>
    <t>010012</t>
  </si>
  <si>
    <t>Casella</t>
  </si>
  <si>
    <t xml:space="preserve">Caselle in Pittari (SA) </t>
  </si>
  <si>
    <t>065029</t>
  </si>
  <si>
    <t>Caselle in Pittari</t>
  </si>
  <si>
    <t xml:space="preserve">Caselle Landi (LO) </t>
  </si>
  <si>
    <t>098011</t>
  </si>
  <si>
    <t>Caselle Landi</t>
  </si>
  <si>
    <t xml:space="preserve">Caselle Lurani (LO) </t>
  </si>
  <si>
    <t>098012</t>
  </si>
  <si>
    <t>Caselle Lurani</t>
  </si>
  <si>
    <t xml:space="preserve">Caselle Torinese (TO) </t>
  </si>
  <si>
    <t>001063</t>
  </si>
  <si>
    <t>Caselle Torinese</t>
  </si>
  <si>
    <t xml:space="preserve">Caserta (CE) </t>
  </si>
  <si>
    <t>061022</t>
  </si>
  <si>
    <t>Caserta</t>
  </si>
  <si>
    <t xml:space="preserve">Casier (TV) </t>
  </si>
  <si>
    <t>026010</t>
  </si>
  <si>
    <t>Casier</t>
  </si>
  <si>
    <t xml:space="preserve">Casignana (RC) </t>
  </si>
  <si>
    <t>080024</t>
  </si>
  <si>
    <t>Casignana</t>
  </si>
  <si>
    <t xml:space="preserve">Casina (RE) </t>
  </si>
  <si>
    <t>035013</t>
  </si>
  <si>
    <t>Casina</t>
  </si>
  <si>
    <t xml:space="preserve">Casirate d'Adda (BG) </t>
  </si>
  <si>
    <t>016059</t>
  </si>
  <si>
    <t>Casirate d'Adda</t>
  </si>
  <si>
    <t xml:space="preserve">Caslino d'Erba (CO) </t>
  </si>
  <si>
    <t>013052</t>
  </si>
  <si>
    <t>Caslino d'Erba</t>
  </si>
  <si>
    <t xml:space="preserve">Casnate con Bernate (CO) </t>
  </si>
  <si>
    <t>013053</t>
  </si>
  <si>
    <t>Casnate con Bernate</t>
  </si>
  <si>
    <t xml:space="preserve">Casnigo (BG) </t>
  </si>
  <si>
    <t>016060</t>
  </si>
  <si>
    <t>Casnigo</t>
  </si>
  <si>
    <t xml:space="preserve">Casola di Napoli (NA) </t>
  </si>
  <si>
    <t>063022</t>
  </si>
  <si>
    <t>Casola di Napoli</t>
  </si>
  <si>
    <t xml:space="preserve">Casola in Lunigiana (MS) </t>
  </si>
  <si>
    <t>045004</t>
  </si>
  <si>
    <t>Casola in Lunigiana</t>
  </si>
  <si>
    <t xml:space="preserve">Casola Valsenio (RA) </t>
  </si>
  <si>
    <t>039005</t>
  </si>
  <si>
    <t>Casola Valsenio</t>
  </si>
  <si>
    <t xml:space="preserve">Casole d'Elsa (SI) </t>
  </si>
  <si>
    <t>052004</t>
  </si>
  <si>
    <t>Casole d'Elsa</t>
  </si>
  <si>
    <t xml:space="preserve">Casoli (CH) </t>
  </si>
  <si>
    <t>069017</t>
  </si>
  <si>
    <t>Casoli</t>
  </si>
  <si>
    <t xml:space="preserve">Casorate Primo (PV) </t>
  </si>
  <si>
    <t>018034</t>
  </si>
  <si>
    <t>Casorate Primo</t>
  </si>
  <si>
    <t xml:space="preserve">Casorate Sempione (VA) </t>
  </si>
  <si>
    <t>012039</t>
  </si>
  <si>
    <t>Casorate Sempione</t>
  </si>
  <si>
    <t xml:space="preserve">Casorezzo (MI) </t>
  </si>
  <si>
    <t>015058</t>
  </si>
  <si>
    <t>Casorezzo</t>
  </si>
  <si>
    <t xml:space="preserve">Casoria (NA) </t>
  </si>
  <si>
    <t>063023</t>
  </si>
  <si>
    <t>Casoria</t>
  </si>
  <si>
    <t>005020</t>
  </si>
  <si>
    <t xml:space="preserve">Casperia (RI) </t>
  </si>
  <si>
    <t>057012</t>
  </si>
  <si>
    <t>Casperia</t>
  </si>
  <si>
    <t xml:space="preserve">Caspoggio (SO) </t>
  </si>
  <si>
    <t>014013</t>
  </si>
  <si>
    <t>Caspoggio</t>
  </si>
  <si>
    <t xml:space="preserve">Cassacco (UD) </t>
  </si>
  <si>
    <t>030019</t>
  </si>
  <si>
    <t>Cassacco</t>
  </si>
  <si>
    <t xml:space="preserve">Cassago Brianza (LC) </t>
  </si>
  <si>
    <t>097017</t>
  </si>
  <si>
    <t>Cassago Brianza</t>
  </si>
  <si>
    <t xml:space="preserve">Cassano all'Ionio (CS) </t>
  </si>
  <si>
    <t>078029</t>
  </si>
  <si>
    <t>Cassano all'Ionio</t>
  </si>
  <si>
    <t xml:space="preserve">Cassano d'Adda (MI) </t>
  </si>
  <si>
    <t>015059</t>
  </si>
  <si>
    <t>Cassano d'Adda</t>
  </si>
  <si>
    <t xml:space="preserve">Cassano delle Murge (BA) </t>
  </si>
  <si>
    <t>072016</t>
  </si>
  <si>
    <t>Cassano delle Murge</t>
  </si>
  <si>
    <t xml:space="preserve">Cassano Irpino (AV) </t>
  </si>
  <si>
    <t>064021</t>
  </si>
  <si>
    <t>Cassano Irpino</t>
  </si>
  <si>
    <t xml:space="preserve">Cassano Magnago (VA) </t>
  </si>
  <si>
    <t>012040</t>
  </si>
  <si>
    <t>Cassano Magnago</t>
  </si>
  <si>
    <t xml:space="preserve">Cassano Spinola (AL) </t>
  </si>
  <si>
    <t>Cassano Spinola</t>
  </si>
  <si>
    <t xml:space="preserve">Cassano Valcuvia (VA) </t>
  </si>
  <si>
    <t>012041</t>
  </si>
  <si>
    <t>Cassano Valcuvia</t>
  </si>
  <si>
    <t xml:space="preserve">Cassaro (SR) </t>
  </si>
  <si>
    <t>089007</t>
  </si>
  <si>
    <t>Cassaro</t>
  </si>
  <si>
    <t xml:space="preserve">Cassiglio (BG) </t>
  </si>
  <si>
    <t>016061</t>
  </si>
  <si>
    <t>Cassiglio</t>
  </si>
  <si>
    <t xml:space="preserve">Cassina de' Pecchi (MI) </t>
  </si>
  <si>
    <t>015060</t>
  </si>
  <si>
    <t>Cassina de' Pecchi</t>
  </si>
  <si>
    <t xml:space="preserve">Cassina Rizzardi (CO) </t>
  </si>
  <si>
    <t>013055</t>
  </si>
  <si>
    <t>Cassina Rizzardi</t>
  </si>
  <si>
    <t xml:space="preserve">Cassina Valsassina (LC) </t>
  </si>
  <si>
    <t>097018</t>
  </si>
  <si>
    <t>Cassina Valsassina</t>
  </si>
  <si>
    <t xml:space="preserve">Cassinasco (AT) </t>
  </si>
  <si>
    <t>005021</t>
  </si>
  <si>
    <t>Cassinasco</t>
  </si>
  <si>
    <t xml:space="preserve">Cassine (AL) </t>
  </si>
  <si>
    <t>006043</t>
  </si>
  <si>
    <t>Cassine</t>
  </si>
  <si>
    <t xml:space="preserve">Cassinelle (AL) </t>
  </si>
  <si>
    <t>006044</t>
  </si>
  <si>
    <t>Cassinelle</t>
  </si>
  <si>
    <t xml:space="preserve">Cassinetta di Lugagnano (MI) </t>
  </si>
  <si>
    <t>015061</t>
  </si>
  <si>
    <t>Cassinetta di Lugagnano</t>
  </si>
  <si>
    <t xml:space="preserve">Cassino (FR) </t>
  </si>
  <si>
    <t>060019</t>
  </si>
  <si>
    <t>Cassino</t>
  </si>
  <si>
    <t xml:space="preserve">Cassola (VI) </t>
  </si>
  <si>
    <t>024026</t>
  </si>
  <si>
    <t>Cassola</t>
  </si>
  <si>
    <t xml:space="preserve">Cassolnovo (PV) </t>
  </si>
  <si>
    <t>018035</t>
  </si>
  <si>
    <t>Cassolnovo</t>
  </si>
  <si>
    <t xml:space="preserve">Castagnaro (VR) </t>
  </si>
  <si>
    <t>023020</t>
  </si>
  <si>
    <t>Castagnaro</t>
  </si>
  <si>
    <t xml:space="preserve">Castagneto Carducci (LI) </t>
  </si>
  <si>
    <t>049006</t>
  </si>
  <si>
    <t>Castagneto Carducci</t>
  </si>
  <si>
    <t xml:space="preserve">Castagneto Po (TO) </t>
  </si>
  <si>
    <t>001064</t>
  </si>
  <si>
    <t>Castagneto Po</t>
  </si>
  <si>
    <t xml:space="preserve">Castagnito (CN) </t>
  </si>
  <si>
    <t>004046</t>
  </si>
  <si>
    <t>Castagnito</t>
  </si>
  <si>
    <t xml:space="preserve">Castagnole delle Lanze (AT) </t>
  </si>
  <si>
    <t>005022</t>
  </si>
  <si>
    <t>Castagnole delle Lanze</t>
  </si>
  <si>
    <t xml:space="preserve">Castagnole Monferrato (AT) </t>
  </si>
  <si>
    <t>005023</t>
  </si>
  <si>
    <t>Castagnole Monferrato</t>
  </si>
  <si>
    <t xml:space="preserve">Castagnole Piemonte (TO) </t>
  </si>
  <si>
    <t>001065</t>
  </si>
  <si>
    <t>Castagnole Piemonte</t>
  </si>
  <si>
    <t xml:space="preserve">Castana (PV) </t>
  </si>
  <si>
    <t>018036</t>
  </si>
  <si>
    <t>Castana</t>
  </si>
  <si>
    <t xml:space="preserve">Castano Primo (MI) </t>
  </si>
  <si>
    <t>015062</t>
  </si>
  <si>
    <t>Castano Primo</t>
  </si>
  <si>
    <t xml:space="preserve">Casteggio (PV) </t>
  </si>
  <si>
    <t>018037</t>
  </si>
  <si>
    <t>Casteggio</t>
  </si>
  <si>
    <t xml:space="preserve">Castegnato (BS) </t>
  </si>
  <si>
    <t>017040</t>
  </si>
  <si>
    <t>Castegnato</t>
  </si>
  <si>
    <t xml:space="preserve">Castel Baronia (AV) </t>
  </si>
  <si>
    <t>064022</t>
  </si>
  <si>
    <t>Castel Baronia</t>
  </si>
  <si>
    <t xml:space="preserve">Castel Boglione (AT) </t>
  </si>
  <si>
    <t>005024</t>
  </si>
  <si>
    <t>Castel Boglione</t>
  </si>
  <si>
    <t xml:space="preserve">Castel Bolognese (RA) </t>
  </si>
  <si>
    <t>039006</t>
  </si>
  <si>
    <t>Castel Bolognese</t>
  </si>
  <si>
    <t xml:space="preserve">Castel Campagnano (CE) </t>
  </si>
  <si>
    <t>061023</t>
  </si>
  <si>
    <t>Castel Campagnano</t>
  </si>
  <si>
    <t xml:space="preserve">Castel Castagna (TE) </t>
  </si>
  <si>
    <t>067010</t>
  </si>
  <si>
    <t>Castel Castagna</t>
  </si>
  <si>
    <t xml:space="preserve">Castel Condino (TN) </t>
  </si>
  <si>
    <t>022045</t>
  </si>
  <si>
    <t>Castel Condino</t>
  </si>
  <si>
    <t xml:space="preserve">Castel d'Aiano (BO) </t>
  </si>
  <si>
    <t>037013</t>
  </si>
  <si>
    <t>Castel d'Aiano</t>
  </si>
  <si>
    <t xml:space="preserve">Castel d'Ario (MN) </t>
  </si>
  <si>
    <t>020014</t>
  </si>
  <si>
    <t>Castel d'Ario</t>
  </si>
  <si>
    <t xml:space="preserve">Castel d'Azzano (VR) </t>
  </si>
  <si>
    <t>023021</t>
  </si>
  <si>
    <t>Castel d'Azzano</t>
  </si>
  <si>
    <t xml:space="preserve">Castel del Giudice (IS) </t>
  </si>
  <si>
    <t>094009</t>
  </si>
  <si>
    <t>Castel del Giudice</t>
  </si>
  <si>
    <t xml:space="preserve">Castel del Monte (AQ) </t>
  </si>
  <si>
    <t>066026</t>
  </si>
  <si>
    <t>Castel del Monte</t>
  </si>
  <si>
    <t xml:space="preserve">Castel del Piano (GR) </t>
  </si>
  <si>
    <t>053004</t>
  </si>
  <si>
    <t>Castel del Piano</t>
  </si>
  <si>
    <t xml:space="preserve">Castel del Rio (BO) </t>
  </si>
  <si>
    <t>037014</t>
  </si>
  <si>
    <t>Castel del Rio</t>
  </si>
  <si>
    <t xml:space="preserve">Castel di Casio (BO) </t>
  </si>
  <si>
    <t>037015</t>
  </si>
  <si>
    <t>Castel di Casio</t>
  </si>
  <si>
    <t xml:space="preserve">Castel di Ieri (AQ) </t>
  </si>
  <si>
    <t>066027</t>
  </si>
  <si>
    <t>Castel di Ieri</t>
  </si>
  <si>
    <t xml:space="preserve">Castel di Iudica (CT) </t>
  </si>
  <si>
    <t>087013</t>
  </si>
  <si>
    <t>Castel di Iudica</t>
  </si>
  <si>
    <t xml:space="preserve">Castel di Lama (AP) </t>
  </si>
  <si>
    <t>044011</t>
  </si>
  <si>
    <t>Castel di Lama</t>
  </si>
  <si>
    <t xml:space="preserve">Castel di Lucio (ME) </t>
  </si>
  <si>
    <t>083013</t>
  </si>
  <si>
    <t>Castel di Lucio</t>
  </si>
  <si>
    <t xml:space="preserve">Castel di Sangro (AQ) </t>
  </si>
  <si>
    <t>066028</t>
  </si>
  <si>
    <t>Castel di Sangro</t>
  </si>
  <si>
    <t xml:space="preserve">Castel di Sasso (CE) </t>
  </si>
  <si>
    <t>061024</t>
  </si>
  <si>
    <t>Castel di Sasso</t>
  </si>
  <si>
    <t xml:space="preserve">Castel di Tora (RI) </t>
  </si>
  <si>
    <t>057013</t>
  </si>
  <si>
    <t>Castel di Tora</t>
  </si>
  <si>
    <t xml:space="preserve">Castel Focognano (AR) </t>
  </si>
  <si>
    <t>051008</t>
  </si>
  <si>
    <t>Castel Focognano</t>
  </si>
  <si>
    <t xml:space="preserve">Castel Frentano (CH) </t>
  </si>
  <si>
    <t>069018</t>
  </si>
  <si>
    <t>Castel Frentano</t>
  </si>
  <si>
    <t xml:space="preserve">Castel Gabbiano (CR) </t>
  </si>
  <si>
    <t>019024</t>
  </si>
  <si>
    <t>Castel Gabbiano</t>
  </si>
  <si>
    <t xml:space="preserve">Castel Gandolfo (RM) </t>
  </si>
  <si>
    <t>058022</t>
  </si>
  <si>
    <t>Castel Gandolfo</t>
  </si>
  <si>
    <t xml:space="preserve">Castel Giorgio (TR) </t>
  </si>
  <si>
    <t>055009</t>
  </si>
  <si>
    <t>Castel Giorgio</t>
  </si>
  <si>
    <t xml:space="preserve">Castel Goffredo (MN) </t>
  </si>
  <si>
    <t>020015</t>
  </si>
  <si>
    <t>Castel Goffredo</t>
  </si>
  <si>
    <t xml:space="preserve">Castel Guelfo di Bologna (BO) </t>
  </si>
  <si>
    <t>037016</t>
  </si>
  <si>
    <t>Castel Guelfo di Bologna</t>
  </si>
  <si>
    <t xml:space="preserve">Castel Madama (RM) </t>
  </si>
  <si>
    <t>058023</t>
  </si>
  <si>
    <t>Castel Madama</t>
  </si>
  <si>
    <t xml:space="preserve">Castel Maggiore (BO) </t>
  </si>
  <si>
    <t>037019</t>
  </si>
  <si>
    <t>Castel Maggiore</t>
  </si>
  <si>
    <t xml:space="preserve">Castel Mella (BS) </t>
  </si>
  <si>
    <t>017042</t>
  </si>
  <si>
    <t>Castel Mella</t>
  </si>
  <si>
    <t xml:space="preserve">Castel Morrone (CE) </t>
  </si>
  <si>
    <t>061026</t>
  </si>
  <si>
    <t>Castel Morrone</t>
  </si>
  <si>
    <t xml:space="preserve">Castel Ritaldi (PG) </t>
  </si>
  <si>
    <t>054008</t>
  </si>
  <si>
    <t>Castel Ritaldi</t>
  </si>
  <si>
    <t xml:space="preserve">Castel Rocchero (AT) </t>
  </si>
  <si>
    <t>005032</t>
  </si>
  <si>
    <t>Castel Rocchero</t>
  </si>
  <si>
    <t xml:space="preserve">Castel Rozzone (BG) </t>
  </si>
  <si>
    <t>016063</t>
  </si>
  <si>
    <t>Castel Rozzone</t>
  </si>
  <si>
    <t xml:space="preserve">Castel San Giorgio (SA) </t>
  </si>
  <si>
    <t>065034</t>
  </si>
  <si>
    <t>Castel San Giorgio</t>
  </si>
  <si>
    <t xml:space="preserve">Castel San Giovanni (PC) </t>
  </si>
  <si>
    <t>033013</t>
  </si>
  <si>
    <t>Castel San Giovanni</t>
  </si>
  <si>
    <t xml:space="preserve">Castel San Lorenzo (SA) </t>
  </si>
  <si>
    <t>065035</t>
  </si>
  <si>
    <t>Castel San Lorenzo</t>
  </si>
  <si>
    <t xml:space="preserve">Castel San Niccolò (AR) </t>
  </si>
  <si>
    <t>051010</t>
  </si>
  <si>
    <t>Castel San Niccolò</t>
  </si>
  <si>
    <t xml:space="preserve">Castel San Pietro Romano (RM) </t>
  </si>
  <si>
    <t>058025</t>
  </si>
  <si>
    <t>Castel San Pietro Romano</t>
  </si>
  <si>
    <t xml:space="preserve">Castel San Pietro Terme (BO) </t>
  </si>
  <si>
    <t>037020</t>
  </si>
  <si>
    <t>Castel San Pietro Terme</t>
  </si>
  <si>
    <t xml:space="preserve">Castel San Vincenzo (IS) </t>
  </si>
  <si>
    <t>094012</t>
  </si>
  <si>
    <t>Castel San Vincenzo</t>
  </si>
  <si>
    <t xml:space="preserve">Castel Sant'Angelo (RI) </t>
  </si>
  <si>
    <t>057015</t>
  </si>
  <si>
    <t>Castel Sant'Angelo</t>
  </si>
  <si>
    <t xml:space="preserve">Castel Sant'Elia (VT) </t>
  </si>
  <si>
    <t>056017</t>
  </si>
  <si>
    <t>Castel Sant'Elia</t>
  </si>
  <si>
    <t xml:space="preserve">Castel Viscardo (TR) </t>
  </si>
  <si>
    <t>055010</t>
  </si>
  <si>
    <t>Castel Viscardo</t>
  </si>
  <si>
    <t xml:space="preserve">Castel Vittorio (IM) </t>
  </si>
  <si>
    <t>008015</t>
  </si>
  <si>
    <t>Castel Vittorio</t>
  </si>
  <si>
    <t xml:space="preserve">Castel Volturno (CE) </t>
  </si>
  <si>
    <t>061027</t>
  </si>
  <si>
    <t>Castel Volturno</t>
  </si>
  <si>
    <t xml:space="preserve">Castelbaldo (PD) </t>
  </si>
  <si>
    <t>028029</t>
  </si>
  <si>
    <t>Castelbaldo</t>
  </si>
  <si>
    <t xml:space="preserve">Castelbelforte (MN) </t>
  </si>
  <si>
    <t>020013</t>
  </si>
  <si>
    <t>Castelbelforte</t>
  </si>
  <si>
    <t xml:space="preserve">Castelbellino (AN) </t>
  </si>
  <si>
    <t>042008</t>
  </si>
  <si>
    <t>Castelbellino</t>
  </si>
  <si>
    <t>021018</t>
  </si>
  <si>
    <t xml:space="preserve">Castelbianco (SV) </t>
  </si>
  <si>
    <t>009020</t>
  </si>
  <si>
    <t>Castelbianco</t>
  </si>
  <si>
    <t xml:space="preserve">Castelbottaccio (CB) </t>
  </si>
  <si>
    <t>070013</t>
  </si>
  <si>
    <t>Castelbottaccio</t>
  </si>
  <si>
    <t xml:space="preserve">Castelbuono (PA) </t>
  </si>
  <si>
    <t>082022</t>
  </si>
  <si>
    <t>Castelbuono</t>
  </si>
  <si>
    <t xml:space="preserve">Castelcivita (SA) </t>
  </si>
  <si>
    <t>065030</t>
  </si>
  <si>
    <t>Castelcivita</t>
  </si>
  <si>
    <t xml:space="preserve">Castelcovati (BS) </t>
  </si>
  <si>
    <t>017041</t>
  </si>
  <si>
    <t>Castelcovati</t>
  </si>
  <si>
    <t xml:space="preserve">Castelcucco (TV) </t>
  </si>
  <si>
    <t>026011</t>
  </si>
  <si>
    <t>Castelcucco</t>
  </si>
  <si>
    <t xml:space="preserve">Casteldaccia (PA) </t>
  </si>
  <si>
    <t>082023</t>
  </si>
  <si>
    <t>Casteldaccia</t>
  </si>
  <si>
    <t xml:space="preserve">Casteldelci (RN) </t>
  </si>
  <si>
    <t>Casteldelci</t>
  </si>
  <si>
    <t xml:space="preserve">Casteldelfino (CN) </t>
  </si>
  <si>
    <t>004047</t>
  </si>
  <si>
    <t>Casteldelfino</t>
  </si>
  <si>
    <t xml:space="preserve">Casteldidone (CR) </t>
  </si>
  <si>
    <t>019023</t>
  </si>
  <si>
    <t>Casteldidone</t>
  </si>
  <si>
    <t xml:space="preserve">Castelfidardo (AN) </t>
  </si>
  <si>
    <t>042010</t>
  </si>
  <si>
    <t>Castelfidardo</t>
  </si>
  <si>
    <t xml:space="preserve">Castelfiorentino (FI) </t>
  </si>
  <si>
    <t>048010</t>
  </si>
  <si>
    <t>Castelfiorentino</t>
  </si>
  <si>
    <t xml:space="preserve">Castelforte (LT) </t>
  </si>
  <si>
    <t>059004</t>
  </si>
  <si>
    <t>Castelforte</t>
  </si>
  <si>
    <t xml:space="preserve">Castelfranci (AV) </t>
  </si>
  <si>
    <t>064023</t>
  </si>
  <si>
    <t>Castelfranci</t>
  </si>
  <si>
    <t xml:space="preserve">Castelfranco di Sotto (PI) </t>
  </si>
  <si>
    <t>050009</t>
  </si>
  <si>
    <t>Castelfranco di Sotto</t>
  </si>
  <si>
    <t xml:space="preserve">Castelfranco Emilia (MO) </t>
  </si>
  <si>
    <t>036006</t>
  </si>
  <si>
    <t>Castelfranco Emilia</t>
  </si>
  <si>
    <t xml:space="preserve">Castelfranco in Miscano (BN) </t>
  </si>
  <si>
    <t>062016</t>
  </si>
  <si>
    <t>Castelfranco in Miscano</t>
  </si>
  <si>
    <t xml:space="preserve">Castelfranco Veneto (TV) </t>
  </si>
  <si>
    <t>026012</t>
  </si>
  <si>
    <t>Castelfranco Veneto</t>
  </si>
  <si>
    <t xml:space="preserve">Castelgomberto (VI) </t>
  </si>
  <si>
    <t>024028</t>
  </si>
  <si>
    <t>Castelgomberto</t>
  </si>
  <si>
    <t xml:space="preserve">Castelgrande (PZ) </t>
  </si>
  <si>
    <t>076021</t>
  </si>
  <si>
    <t>Castelgrande</t>
  </si>
  <si>
    <t xml:space="preserve">Castelguglielmo (RO) </t>
  </si>
  <si>
    <t>029011</t>
  </si>
  <si>
    <t>Castelguglielmo</t>
  </si>
  <si>
    <t xml:space="preserve">Castelguidone (CH) </t>
  </si>
  <si>
    <t>069019</t>
  </si>
  <si>
    <t>Castelguidone</t>
  </si>
  <si>
    <t xml:space="preserve">Castellabate (SA) </t>
  </si>
  <si>
    <t>065031</t>
  </si>
  <si>
    <t>Castellabate</t>
  </si>
  <si>
    <t xml:space="preserve">Castellafiume (AQ) </t>
  </si>
  <si>
    <t>066029</t>
  </si>
  <si>
    <t>Castellafiume</t>
  </si>
  <si>
    <t xml:space="preserve">Castell'Alfero (AT) </t>
  </si>
  <si>
    <t>005025</t>
  </si>
  <si>
    <t>Castell'Alfero</t>
  </si>
  <si>
    <t xml:space="preserve">Castellalto (TE) </t>
  </si>
  <si>
    <t>067011</t>
  </si>
  <si>
    <t>Castellalto</t>
  </si>
  <si>
    <t xml:space="preserve">Castellammare del Golfo (TP) </t>
  </si>
  <si>
    <t>081005</t>
  </si>
  <si>
    <t>Castellammare del Golfo</t>
  </si>
  <si>
    <t xml:space="preserve">Castellammare di Stabia (NA) </t>
  </si>
  <si>
    <t>063024</t>
  </si>
  <si>
    <t>Castellammare di Stabia</t>
  </si>
  <si>
    <t xml:space="preserve">Castellamonte (TO) </t>
  </si>
  <si>
    <t>001066</t>
  </si>
  <si>
    <t>Castellamonte</t>
  </si>
  <si>
    <t xml:space="preserve">Castellana Grotte (BA) </t>
  </si>
  <si>
    <t>072017</t>
  </si>
  <si>
    <t>Castellana Grotte</t>
  </si>
  <si>
    <t xml:space="preserve">Castellana Sicula (PA) </t>
  </si>
  <si>
    <t>082024</t>
  </si>
  <si>
    <t>Castellana Sicula</t>
  </si>
  <si>
    <t xml:space="preserve">Castellaneta (TA) </t>
  </si>
  <si>
    <t>073003</t>
  </si>
  <si>
    <t>Castellaneta</t>
  </si>
  <si>
    <t>006045</t>
  </si>
  <si>
    <t xml:space="preserve">Castellanza (VA) </t>
  </si>
  <si>
    <t>012042</t>
  </si>
  <si>
    <t>Castellanza</t>
  </si>
  <si>
    <t xml:space="preserve">Castellar Guidobono (AL) </t>
  </si>
  <si>
    <t>006046</t>
  </si>
  <si>
    <t>Castellar Guidobono</t>
  </si>
  <si>
    <t xml:space="preserve">Castellarano (RE) </t>
  </si>
  <si>
    <t>035014</t>
  </si>
  <si>
    <t>Castellarano</t>
  </si>
  <si>
    <t xml:space="preserve">Castellaro (IM) </t>
  </si>
  <si>
    <t>008014</t>
  </si>
  <si>
    <t>Castellaro</t>
  </si>
  <si>
    <t xml:space="preserve">Castell'Arquato (PC) </t>
  </si>
  <si>
    <t>033012</t>
  </si>
  <si>
    <t>Castell'Arquato</t>
  </si>
  <si>
    <t xml:space="preserve">Castell'Azzara (GR) </t>
  </si>
  <si>
    <t>053005</t>
  </si>
  <si>
    <t>Castell'Azzara</t>
  </si>
  <si>
    <t xml:space="preserve">Castellazzo Bormida (AL) </t>
  </si>
  <si>
    <t>006047</t>
  </si>
  <si>
    <t>Castellazzo Bormida</t>
  </si>
  <si>
    <t xml:space="preserve">Castellazzo Novarese (NO) </t>
  </si>
  <si>
    <t>003042</t>
  </si>
  <si>
    <t>Castellazzo Novarese</t>
  </si>
  <si>
    <t xml:space="preserve">Castelleone (CR) </t>
  </si>
  <si>
    <t>019025</t>
  </si>
  <si>
    <t>Castelleone</t>
  </si>
  <si>
    <t xml:space="preserve">Castelleone di Suasa (AN) </t>
  </si>
  <si>
    <t>042011</t>
  </si>
  <si>
    <t>Castelleone di Suasa</t>
  </si>
  <si>
    <t xml:space="preserve">Castellero (AT) </t>
  </si>
  <si>
    <t>005026</t>
  </si>
  <si>
    <t>Castellero</t>
  </si>
  <si>
    <t xml:space="preserve">Castelletto Cervo (BI) </t>
  </si>
  <si>
    <t>096015</t>
  </si>
  <si>
    <t>Castelletto Cervo</t>
  </si>
  <si>
    <t xml:space="preserve">Castelletto d'Erro (AL) </t>
  </si>
  <si>
    <t>006048</t>
  </si>
  <si>
    <t>Castelletto d'Erro</t>
  </si>
  <si>
    <t xml:space="preserve">Castelletto di Branduzzo (PV) </t>
  </si>
  <si>
    <t>018038</t>
  </si>
  <si>
    <t>Castelletto di Branduzzo</t>
  </si>
  <si>
    <t xml:space="preserve">Castelletto d'Orba (AL) </t>
  </si>
  <si>
    <t>006049</t>
  </si>
  <si>
    <t>Castelletto d'Orba</t>
  </si>
  <si>
    <t xml:space="preserve">Castelletto Merli (AL) </t>
  </si>
  <si>
    <t>006050</t>
  </si>
  <si>
    <t>Castelletto Merli</t>
  </si>
  <si>
    <t xml:space="preserve">Castelletto Molina (AT) </t>
  </si>
  <si>
    <t>005027</t>
  </si>
  <si>
    <t>Castelletto Molina</t>
  </si>
  <si>
    <t xml:space="preserve">Castelletto Monferrato (AL) </t>
  </si>
  <si>
    <t>006051</t>
  </si>
  <si>
    <t>Castelletto Monferrato</t>
  </si>
  <si>
    <t xml:space="preserve">Castelletto sopra Ticino (NO) </t>
  </si>
  <si>
    <t>003043</t>
  </si>
  <si>
    <t>Castelletto sopra Ticino</t>
  </si>
  <si>
    <t xml:space="preserve">Castelletto Stura (CN) </t>
  </si>
  <si>
    <t>004049</t>
  </si>
  <si>
    <t>Castelletto Stura</t>
  </si>
  <si>
    <t xml:space="preserve">Castelletto Uzzone (CN) </t>
  </si>
  <si>
    <t>004050</t>
  </si>
  <si>
    <t>Castelletto Uzzone</t>
  </si>
  <si>
    <t xml:space="preserve">Castelli (TE) </t>
  </si>
  <si>
    <t>067012</t>
  </si>
  <si>
    <t>Castelli</t>
  </si>
  <si>
    <t xml:space="preserve">Castelli Calepio (BG) </t>
  </si>
  <si>
    <t>016062</t>
  </si>
  <si>
    <t>Castelli Calepio</t>
  </si>
  <si>
    <t xml:space="preserve">Castellina in Chianti (SI) </t>
  </si>
  <si>
    <t>052005</t>
  </si>
  <si>
    <t>Castellina in Chianti</t>
  </si>
  <si>
    <t xml:space="preserve">Castellina Marittima (PI) </t>
  </si>
  <si>
    <t>050010</t>
  </si>
  <si>
    <t>Castellina Marittima</t>
  </si>
  <si>
    <t>004051</t>
  </si>
  <si>
    <t xml:space="preserve">Castellino del Biferno (CB) </t>
  </si>
  <si>
    <t>070014</t>
  </si>
  <si>
    <t>Castellino del Biferno</t>
  </si>
  <si>
    <t xml:space="preserve">Castellino Tanaro (CN) </t>
  </si>
  <si>
    <t>004052</t>
  </si>
  <si>
    <t>Castellino Tanaro</t>
  </si>
  <si>
    <t xml:space="preserve">Castelliri (FR) </t>
  </si>
  <si>
    <t>060020</t>
  </si>
  <si>
    <t>Castelliri</t>
  </si>
  <si>
    <t xml:space="preserve">Castello Cabiaglio (VA) </t>
  </si>
  <si>
    <t>012043</t>
  </si>
  <si>
    <t>Castello Cabiaglio</t>
  </si>
  <si>
    <t xml:space="preserve">Castello d'Agogna (PV) </t>
  </si>
  <si>
    <t>018039</t>
  </si>
  <si>
    <t>Castello d'Agogna</t>
  </si>
  <si>
    <t xml:space="preserve">Castello d'Argile (BO) </t>
  </si>
  <si>
    <t>037017</t>
  </si>
  <si>
    <t>Castello d'Argile</t>
  </si>
  <si>
    <t xml:space="preserve">Castello del Matese (CE) </t>
  </si>
  <si>
    <t>061025</t>
  </si>
  <si>
    <t>Castello del Matese</t>
  </si>
  <si>
    <t xml:space="preserve">Castello dell'Acqua (SO) </t>
  </si>
  <si>
    <t>014014</t>
  </si>
  <si>
    <t>Castello dell'Acqua</t>
  </si>
  <si>
    <t xml:space="preserve">Castello di Annone (AT) </t>
  </si>
  <si>
    <t>005028</t>
  </si>
  <si>
    <t>Castello di Annone</t>
  </si>
  <si>
    <t xml:space="preserve">Castello di Brianza (LC) </t>
  </si>
  <si>
    <t>097019</t>
  </si>
  <si>
    <t>Castello di Brianza</t>
  </si>
  <si>
    <t xml:space="preserve">Castello di Cisterna (NA) </t>
  </si>
  <si>
    <t>063025</t>
  </si>
  <si>
    <t>Castello di Cisterna</t>
  </si>
  <si>
    <t xml:space="preserve">Castello di Godego (TV) </t>
  </si>
  <si>
    <t>026013</t>
  </si>
  <si>
    <t>Castello di Godego</t>
  </si>
  <si>
    <t xml:space="preserve">Castello Tesino (TN) </t>
  </si>
  <si>
    <t>022048</t>
  </si>
  <si>
    <t>Castello Tesino</t>
  </si>
  <si>
    <t xml:space="preserve">Castello-Molina di Fiemme (TN) </t>
  </si>
  <si>
    <t>022047</t>
  </si>
  <si>
    <t>Castello-Molina di Fiemme</t>
  </si>
  <si>
    <t xml:space="preserve">Castellucchio (MN) </t>
  </si>
  <si>
    <t>020016</t>
  </si>
  <si>
    <t>Castellucchio</t>
  </si>
  <si>
    <t xml:space="preserve">Castelluccio dei Sauri (FG) </t>
  </si>
  <si>
    <t>071015</t>
  </si>
  <si>
    <t>Castelluccio dei Sauri</t>
  </si>
  <si>
    <t xml:space="preserve">Castelluccio Inferiore (PZ) </t>
  </si>
  <si>
    <t>076022</t>
  </si>
  <si>
    <t>Castelluccio Inferiore</t>
  </si>
  <si>
    <t xml:space="preserve">Castelluccio Superiore (PZ) </t>
  </si>
  <si>
    <t>076023</t>
  </si>
  <si>
    <t>Castelluccio Superiore</t>
  </si>
  <si>
    <t xml:space="preserve">Castelluccio Valmaggiore (FG) </t>
  </si>
  <si>
    <t>071016</t>
  </si>
  <si>
    <t>Castelluccio Valmaggiore</t>
  </si>
  <si>
    <t xml:space="preserve">Castell'Umberto (ME) </t>
  </si>
  <si>
    <t>083014</t>
  </si>
  <si>
    <t>Castell'Umberto</t>
  </si>
  <si>
    <t xml:space="preserve">Castelmagno (CN) </t>
  </si>
  <si>
    <t>004053</t>
  </si>
  <si>
    <t>Castelmagno</t>
  </si>
  <si>
    <t xml:space="preserve">Castelmarte (CO) </t>
  </si>
  <si>
    <t>013058</t>
  </si>
  <si>
    <t>Castelmarte</t>
  </si>
  <si>
    <t xml:space="preserve">Castelmassa (RO) </t>
  </si>
  <si>
    <t>029012</t>
  </si>
  <si>
    <t>Castelmassa</t>
  </si>
  <si>
    <t xml:space="preserve">Castelmauro (CB) </t>
  </si>
  <si>
    <t>070015</t>
  </si>
  <si>
    <t>Castelmauro</t>
  </si>
  <si>
    <t xml:space="preserve">Castelmezzano (PZ) </t>
  </si>
  <si>
    <t>076024</t>
  </si>
  <si>
    <t>Castelmezzano</t>
  </si>
  <si>
    <t xml:space="preserve">Castelmola (ME) </t>
  </si>
  <si>
    <t>083015</t>
  </si>
  <si>
    <t>Castelmola</t>
  </si>
  <si>
    <t xml:space="preserve">Castelnovetto (PV) </t>
  </si>
  <si>
    <t>018040</t>
  </si>
  <si>
    <t>Castelnovetto</t>
  </si>
  <si>
    <t xml:space="preserve">Castelnovo Bariano (RO) </t>
  </si>
  <si>
    <t>029013</t>
  </si>
  <si>
    <t>Castelnovo Bariano</t>
  </si>
  <si>
    <t xml:space="preserve">Castelnovo del Friuli (PN) </t>
  </si>
  <si>
    <t>093011</t>
  </si>
  <si>
    <t>Castelnovo del Friuli</t>
  </si>
  <si>
    <t xml:space="preserve">Castelnovo di Sotto (RE) </t>
  </si>
  <si>
    <t>035015</t>
  </si>
  <si>
    <t>Castelnovo di Sotto</t>
  </si>
  <si>
    <t xml:space="preserve">Castelnovo ne' Monti (RE) </t>
  </si>
  <si>
    <t>035016</t>
  </si>
  <si>
    <t>Castelnovo ne' Monti</t>
  </si>
  <si>
    <t xml:space="preserve">Castelnuovo (TN) </t>
  </si>
  <si>
    <t>022049</t>
  </si>
  <si>
    <t>Castelnuovo</t>
  </si>
  <si>
    <t xml:space="preserve">Castelnuovo Belbo (AT) </t>
  </si>
  <si>
    <t>005029</t>
  </si>
  <si>
    <t>Castelnuovo Belbo</t>
  </si>
  <si>
    <t xml:space="preserve">Castelnuovo Berardenga (SI) </t>
  </si>
  <si>
    <t>052006</t>
  </si>
  <si>
    <t>Castelnuovo Berardenga</t>
  </si>
  <si>
    <t xml:space="preserve">Castelnuovo Bocca d'Adda (LO) </t>
  </si>
  <si>
    <t>098013</t>
  </si>
  <si>
    <t>Castelnuovo Bocca d'Adda</t>
  </si>
  <si>
    <t xml:space="preserve">Castelnuovo Bormida (AL) </t>
  </si>
  <si>
    <t>006052</t>
  </si>
  <si>
    <t>Castelnuovo Bormida</t>
  </si>
  <si>
    <t xml:space="preserve">Castelnuovo Bozzente (CO) </t>
  </si>
  <si>
    <t>013059</t>
  </si>
  <si>
    <t>Castelnuovo Bozzente</t>
  </si>
  <si>
    <t xml:space="preserve">Castelnuovo Calcea (AT) </t>
  </si>
  <si>
    <t>005030</t>
  </si>
  <si>
    <t>Castelnuovo Calcea</t>
  </si>
  <si>
    <t xml:space="preserve">Castelnuovo Cilento (SA) </t>
  </si>
  <si>
    <t>065032</t>
  </si>
  <si>
    <t>Castelnuovo Cilento</t>
  </si>
  <si>
    <t xml:space="preserve">Castelnuovo del Garda (VR) </t>
  </si>
  <si>
    <t>023022</t>
  </si>
  <si>
    <t>Castelnuovo del Garda</t>
  </si>
  <si>
    <t xml:space="preserve">Castelnuovo della Daunia (FG) </t>
  </si>
  <si>
    <t>071017</t>
  </si>
  <si>
    <t>Castelnuovo della Daunia</t>
  </si>
  <si>
    <t xml:space="preserve">Castelnuovo di Ceva (CN) </t>
  </si>
  <si>
    <t>004054</t>
  </si>
  <si>
    <t>Castelnuovo di Ceva</t>
  </si>
  <si>
    <t xml:space="preserve">Castelnuovo di Conza (SA) </t>
  </si>
  <si>
    <t>065033</t>
  </si>
  <si>
    <t>Castelnuovo di Conza</t>
  </si>
  <si>
    <t xml:space="preserve">Castelnuovo di Farfa (RI) </t>
  </si>
  <si>
    <t>057014</t>
  </si>
  <si>
    <t>Castelnuovo di Farfa</t>
  </si>
  <si>
    <t xml:space="preserve">Castelnuovo di Garfagnana (LU) </t>
  </si>
  <si>
    <t>046009</t>
  </si>
  <si>
    <t>Castelnuovo di Garfagnana</t>
  </si>
  <si>
    <t xml:space="preserve">Castelnuovo di Porto (RM) </t>
  </si>
  <si>
    <t>058024</t>
  </si>
  <si>
    <t>Castelnuovo di Porto</t>
  </si>
  <si>
    <t xml:space="preserve">Castelnuovo di Val di Cecina (PI) </t>
  </si>
  <si>
    <t>050011</t>
  </si>
  <si>
    <t>Castelnuovo di Val di Cecina</t>
  </si>
  <si>
    <t xml:space="preserve">Castelnuovo Don Bosco (AT) </t>
  </si>
  <si>
    <t>005031</t>
  </si>
  <si>
    <t>Castelnuovo Don Bosco</t>
  </si>
  <si>
    <t xml:space="preserve">Castelnuovo Magra (SP) </t>
  </si>
  <si>
    <t>011011</t>
  </si>
  <si>
    <t>Castelnuovo Magra</t>
  </si>
  <si>
    <t xml:space="preserve">Castelnuovo Nigra (TO) </t>
  </si>
  <si>
    <t>001067</t>
  </si>
  <si>
    <t>Castelnuovo Nigra</t>
  </si>
  <si>
    <t xml:space="preserve">Castelnuovo Parano (FR) </t>
  </si>
  <si>
    <t>060021</t>
  </si>
  <si>
    <t>Castelnuovo Parano</t>
  </si>
  <si>
    <t xml:space="preserve">Castelnuovo Rangone (MO) </t>
  </si>
  <si>
    <t>036007</t>
  </si>
  <si>
    <t>Castelnuovo Rangone</t>
  </si>
  <si>
    <t xml:space="preserve">Castelnuovo Scrivia (AL) </t>
  </si>
  <si>
    <t>006053</t>
  </si>
  <si>
    <t>Castelnuovo Scrivia</t>
  </si>
  <si>
    <t xml:space="preserve">Castelpagano (BN) </t>
  </si>
  <si>
    <t>062017</t>
  </si>
  <si>
    <t>Castelpagano</t>
  </si>
  <si>
    <t xml:space="preserve">Castelpetroso (IS) </t>
  </si>
  <si>
    <t>094010</t>
  </si>
  <si>
    <t>Castelpetroso</t>
  </si>
  <si>
    <t xml:space="preserve">Castelpizzuto (IS) </t>
  </si>
  <si>
    <t>094011</t>
  </si>
  <si>
    <t>Castelpizzuto</t>
  </si>
  <si>
    <t xml:space="preserve">Castelplanio (AN) </t>
  </si>
  <si>
    <t>042012</t>
  </si>
  <si>
    <t>Castelplanio</t>
  </si>
  <si>
    <t xml:space="preserve">Castelpoto (BN) </t>
  </si>
  <si>
    <t>062018</t>
  </si>
  <si>
    <t>Castelpoto</t>
  </si>
  <si>
    <t xml:space="preserve">Castelraimondo (MC) </t>
  </si>
  <si>
    <t>043009</t>
  </si>
  <si>
    <t>Castelraimondo</t>
  </si>
  <si>
    <t>021019</t>
  </si>
  <si>
    <t xml:space="preserve">Castelsantangelo sul Nera (MC) </t>
  </si>
  <si>
    <t>043010</t>
  </si>
  <si>
    <t>Castelsantangelo sul Nera</t>
  </si>
  <si>
    <t xml:space="preserve">Castelsaraceno (PZ) </t>
  </si>
  <si>
    <t>076025</t>
  </si>
  <si>
    <t>Castelsaraceno</t>
  </si>
  <si>
    <t xml:space="preserve">Castelsardo (SS) </t>
  </si>
  <si>
    <t>Castelsardo</t>
  </si>
  <si>
    <t xml:space="preserve">Castelseprio (VA) </t>
  </si>
  <si>
    <t>012044</t>
  </si>
  <si>
    <t>Castelseprio</t>
  </si>
  <si>
    <t xml:space="preserve">Castelsilano (KR) </t>
  </si>
  <si>
    <t>Castelsilano</t>
  </si>
  <si>
    <t xml:space="preserve">Castelspina (AL) </t>
  </si>
  <si>
    <t>006054</t>
  </si>
  <si>
    <t>Castelspina</t>
  </si>
  <si>
    <t xml:space="preserve">Casteltermini (AG) </t>
  </si>
  <si>
    <t>084012</t>
  </si>
  <si>
    <t>Casteltermini</t>
  </si>
  <si>
    <t xml:space="preserve">Castelveccana (VA) </t>
  </si>
  <si>
    <t>012045</t>
  </si>
  <si>
    <t>Castelveccana</t>
  </si>
  <si>
    <t xml:space="preserve">Castelvecchio Calvisio (AQ) </t>
  </si>
  <si>
    <t>066030</t>
  </si>
  <si>
    <t>Castelvecchio Calvisio</t>
  </si>
  <si>
    <t xml:space="preserve">Castelvecchio di Rocca Barbena (SV) </t>
  </si>
  <si>
    <t>009021</t>
  </si>
  <si>
    <t>Castelvecchio di Rocca Barbena</t>
  </si>
  <si>
    <t xml:space="preserve">Castelvecchio Subequo (AQ) </t>
  </si>
  <si>
    <t>066031</t>
  </si>
  <si>
    <t>Castelvecchio Subequo</t>
  </si>
  <si>
    <t xml:space="preserve">Castelvenere (BN) </t>
  </si>
  <si>
    <t>062019</t>
  </si>
  <si>
    <t>Castelvenere</t>
  </si>
  <si>
    <t xml:space="preserve">Castelverde (CR) </t>
  </si>
  <si>
    <t>019026</t>
  </si>
  <si>
    <t>Castelverde</t>
  </si>
  <si>
    <t xml:space="preserve">Castelverrino (IS) </t>
  </si>
  <si>
    <t>094013</t>
  </si>
  <si>
    <t>Castelverrino</t>
  </si>
  <si>
    <t xml:space="preserve">Castelvetere in Val Fortore (BN) </t>
  </si>
  <si>
    <t>062020</t>
  </si>
  <si>
    <t>Castelvetere in Val Fortore</t>
  </si>
  <si>
    <t xml:space="preserve">Castelvetere sul Calore (AV) </t>
  </si>
  <si>
    <t>064024</t>
  </si>
  <si>
    <t>Castelvetere sul Calore</t>
  </si>
  <si>
    <t xml:space="preserve">Castelvetrano (TP) </t>
  </si>
  <si>
    <t>081006</t>
  </si>
  <si>
    <t>Castelvetrano</t>
  </si>
  <si>
    <t xml:space="preserve">Castelvetro di Modena (MO) </t>
  </si>
  <si>
    <t>036008</t>
  </si>
  <si>
    <t>Castelvetro di Modena</t>
  </si>
  <si>
    <t xml:space="preserve">Castelvetro Piacentino (PC) </t>
  </si>
  <si>
    <t>033014</t>
  </si>
  <si>
    <t>Castelvetro Piacentino</t>
  </si>
  <si>
    <t xml:space="preserve">Castelvisconti (CR) </t>
  </si>
  <si>
    <t>019027</t>
  </si>
  <si>
    <t>Castelvisconti</t>
  </si>
  <si>
    <t xml:space="preserve">Castenaso (BO) </t>
  </si>
  <si>
    <t>037021</t>
  </si>
  <si>
    <t>Castenaso</t>
  </si>
  <si>
    <t xml:space="preserve">Castenedolo (BS) </t>
  </si>
  <si>
    <t>017043</t>
  </si>
  <si>
    <t>Castenedolo</t>
  </si>
  <si>
    <t>Castiadas</t>
  </si>
  <si>
    <t xml:space="preserve">Castiglion Fibocchi (AR) </t>
  </si>
  <si>
    <t>051011</t>
  </si>
  <si>
    <t>Castiglion Fibocchi</t>
  </si>
  <si>
    <t xml:space="preserve">Castiglion Fiorentino (AR) </t>
  </si>
  <si>
    <t>051012</t>
  </si>
  <si>
    <t>Castiglion Fiorentino</t>
  </si>
  <si>
    <t xml:space="preserve">Castiglione a Casauria (PE) </t>
  </si>
  <si>
    <t>068009</t>
  </si>
  <si>
    <t>Castiglione a Casauria</t>
  </si>
  <si>
    <t xml:space="preserve">Castiglione Chiavarese (GE) </t>
  </si>
  <si>
    <t>010013</t>
  </si>
  <si>
    <t>Castiglione Chiavarese</t>
  </si>
  <si>
    <t xml:space="preserve">Castiglione Cosentino (CS) </t>
  </si>
  <si>
    <t>078030</t>
  </si>
  <si>
    <t>Castiglione Cosentino</t>
  </si>
  <si>
    <t xml:space="preserve">Castiglione d'Adda (LO) </t>
  </si>
  <si>
    <t>098014</t>
  </si>
  <si>
    <t>Castiglione d'Adda</t>
  </si>
  <si>
    <t xml:space="preserve">Castiglione dei Pepoli (BO) </t>
  </si>
  <si>
    <t>037022</t>
  </si>
  <si>
    <t>Castiglione dei Pepoli</t>
  </si>
  <si>
    <t xml:space="preserve">Castiglione del Genovesi (SA) </t>
  </si>
  <si>
    <t>065036</t>
  </si>
  <si>
    <t>Castiglione del Genovesi</t>
  </si>
  <si>
    <t xml:space="preserve">Castiglione del Lago (PG) </t>
  </si>
  <si>
    <t>054009</t>
  </si>
  <si>
    <t>Castiglione del Lago</t>
  </si>
  <si>
    <t xml:space="preserve">Castiglione della Pescaia (GR) </t>
  </si>
  <si>
    <t>053006</t>
  </si>
  <si>
    <t>Castiglione della Pescaia</t>
  </si>
  <si>
    <t xml:space="preserve">Castiglione delle Stiviere (MN) </t>
  </si>
  <si>
    <t>020017</t>
  </si>
  <si>
    <t>Castiglione delle Stiviere</t>
  </si>
  <si>
    <t xml:space="preserve">Castiglione di Garfagnana (LU) </t>
  </si>
  <si>
    <t>046010</t>
  </si>
  <si>
    <t>Castiglione di Garfagnana</t>
  </si>
  <si>
    <t xml:space="preserve">Castiglione di Sicilia (CT) </t>
  </si>
  <si>
    <t>087014</t>
  </si>
  <si>
    <t>Castiglione di Sicilia</t>
  </si>
  <si>
    <t xml:space="preserve">Castiglione d'Orcia (SI) </t>
  </si>
  <si>
    <t>052007</t>
  </si>
  <si>
    <t>Castiglione d'Orcia</t>
  </si>
  <si>
    <t xml:space="preserve">Castiglione Falletto (CN) </t>
  </si>
  <si>
    <t>004055</t>
  </si>
  <si>
    <t>Castiglione Falletto</t>
  </si>
  <si>
    <t xml:space="preserve">Castiglione in Teverina (VT) </t>
  </si>
  <si>
    <t>056018</t>
  </si>
  <si>
    <t>Castiglione in Teverina</t>
  </si>
  <si>
    <t xml:space="preserve">Castiglione Messer Marino (CH) </t>
  </si>
  <si>
    <t>069020</t>
  </si>
  <si>
    <t>Castiglione Messer Marino</t>
  </si>
  <si>
    <t xml:space="preserve">Castiglione Messer Raimondo (TE) </t>
  </si>
  <si>
    <t>067013</t>
  </si>
  <si>
    <t>Castiglione Messer Raimondo</t>
  </si>
  <si>
    <t xml:space="preserve">Castiglione Olona (VA) </t>
  </si>
  <si>
    <t>012046</t>
  </si>
  <si>
    <t>Castiglione Olona</t>
  </si>
  <si>
    <t xml:space="preserve">Castiglione Tinella (CN) </t>
  </si>
  <si>
    <t>004056</t>
  </si>
  <si>
    <t>Castiglione Tinella</t>
  </si>
  <si>
    <t xml:space="preserve">Castiglione Torinese (TO) </t>
  </si>
  <si>
    <t>001068</t>
  </si>
  <si>
    <t>Castiglione Torinese</t>
  </si>
  <si>
    <t xml:space="preserve">Castignano (AP) </t>
  </si>
  <si>
    <t>044012</t>
  </si>
  <si>
    <t>Castignano</t>
  </si>
  <si>
    <t xml:space="preserve">Castilenti (TE) </t>
  </si>
  <si>
    <t>067014</t>
  </si>
  <si>
    <t>Castilenti</t>
  </si>
  <si>
    <t xml:space="preserve">Castino (CN) </t>
  </si>
  <si>
    <t>004057</t>
  </si>
  <si>
    <t>Castino</t>
  </si>
  <si>
    <t xml:space="preserve">Castione Andevenno (SO) </t>
  </si>
  <si>
    <t>014015</t>
  </si>
  <si>
    <t>Castione Andevenno</t>
  </si>
  <si>
    <t xml:space="preserve">Castione della Presolana (BG) </t>
  </si>
  <si>
    <t>016064</t>
  </si>
  <si>
    <t>Castione della Presolana</t>
  </si>
  <si>
    <t xml:space="preserve">Castions di Strada (UD) </t>
  </si>
  <si>
    <t>030020</t>
  </si>
  <si>
    <t>Castions di Strada</t>
  </si>
  <si>
    <t xml:space="preserve">Castiraga Vidardo (LO) </t>
  </si>
  <si>
    <t>098015</t>
  </si>
  <si>
    <t>Castiraga Vidardo</t>
  </si>
  <si>
    <t xml:space="preserve">Casto (BS) </t>
  </si>
  <si>
    <t>017044</t>
  </si>
  <si>
    <t>Casto</t>
  </si>
  <si>
    <t xml:space="preserve">Castorano (AP) </t>
  </si>
  <si>
    <t>044013</t>
  </si>
  <si>
    <t>Castorano</t>
  </si>
  <si>
    <t xml:space="preserve">Castrezzato (BS) </t>
  </si>
  <si>
    <t>017045</t>
  </si>
  <si>
    <t>Castrezzato</t>
  </si>
  <si>
    <t xml:space="preserve">Castri di Lecce (LE) </t>
  </si>
  <si>
    <t>075017</t>
  </si>
  <si>
    <t>Castri di Lecce</t>
  </si>
  <si>
    <t xml:space="preserve">Castrignano de' Greci (LE) </t>
  </si>
  <si>
    <t>075018</t>
  </si>
  <si>
    <t>Castrignano de' Greci</t>
  </si>
  <si>
    <t xml:space="preserve">Castrignano del Capo (LE) </t>
  </si>
  <si>
    <t>075019</t>
  </si>
  <si>
    <t>Castrignano del Capo</t>
  </si>
  <si>
    <t xml:space="preserve">Castro (BG) </t>
  </si>
  <si>
    <t>016065</t>
  </si>
  <si>
    <t>Castro</t>
  </si>
  <si>
    <t xml:space="preserve">Castro dei Volsci (FR) </t>
  </si>
  <si>
    <t>060023</t>
  </si>
  <si>
    <t>Castro dei Volsci</t>
  </si>
  <si>
    <t xml:space="preserve">Castrocaro Terme e Terra del Sole (FC) </t>
  </si>
  <si>
    <t>040005</t>
  </si>
  <si>
    <t>Castrocaro Terme e Terra del Sole</t>
  </si>
  <si>
    <t xml:space="preserve">Castrocielo (FR) </t>
  </si>
  <si>
    <t>060022</t>
  </si>
  <si>
    <t>Castrocielo</t>
  </si>
  <si>
    <t xml:space="preserve">Castrofilippo (AG) </t>
  </si>
  <si>
    <t>084013</t>
  </si>
  <si>
    <t>Castrofilippo</t>
  </si>
  <si>
    <t xml:space="preserve">Castrolibero (CS) </t>
  </si>
  <si>
    <t>078031</t>
  </si>
  <si>
    <t>Castrolibero</t>
  </si>
  <si>
    <t xml:space="preserve">Castronno (VA) </t>
  </si>
  <si>
    <t>012047</t>
  </si>
  <si>
    <t>Castronno</t>
  </si>
  <si>
    <t xml:space="preserve">Castronovo di Sicilia (PA) </t>
  </si>
  <si>
    <t>082025</t>
  </si>
  <si>
    <t>Castronovo di Sicilia</t>
  </si>
  <si>
    <t xml:space="preserve">Castronuovo di Sant'Andrea (PZ) </t>
  </si>
  <si>
    <t>076026</t>
  </si>
  <si>
    <t>Castronuovo di Sant'Andrea</t>
  </si>
  <si>
    <t xml:space="preserve">Castropignano (CB) </t>
  </si>
  <si>
    <t>070016</t>
  </si>
  <si>
    <t>Castropignano</t>
  </si>
  <si>
    <t xml:space="preserve">Castroreale (ME) </t>
  </si>
  <si>
    <t>083016</t>
  </si>
  <si>
    <t>Castroreale</t>
  </si>
  <si>
    <t xml:space="preserve">Castroregio (CS) </t>
  </si>
  <si>
    <t>078032</t>
  </si>
  <si>
    <t>Castroregio</t>
  </si>
  <si>
    <t xml:space="preserve">Castrovillari (CS) </t>
  </si>
  <si>
    <t>078033</t>
  </si>
  <si>
    <t>Castrovillari</t>
  </si>
  <si>
    <t xml:space="preserve">Catania (CT) </t>
  </si>
  <si>
    <t>087015</t>
  </si>
  <si>
    <t>Catania</t>
  </si>
  <si>
    <t xml:space="preserve">Catanzaro (CZ) </t>
  </si>
  <si>
    <t>079023</t>
  </si>
  <si>
    <t>Catanzaro</t>
  </si>
  <si>
    <t xml:space="preserve">Catenanuova (EN) </t>
  </si>
  <si>
    <t>086006</t>
  </si>
  <si>
    <t>Catenanuova</t>
  </si>
  <si>
    <t xml:space="preserve">Catignano (PE) </t>
  </si>
  <si>
    <t>068010</t>
  </si>
  <si>
    <t>Catignano</t>
  </si>
  <si>
    <t xml:space="preserve">Cattolica (RN) </t>
  </si>
  <si>
    <t>099002</t>
  </si>
  <si>
    <t>Cattolica</t>
  </si>
  <si>
    <t xml:space="preserve">Cattolica Eraclea (AG) </t>
  </si>
  <si>
    <t>084014</t>
  </si>
  <si>
    <t>Cattolica Eraclea</t>
  </si>
  <si>
    <t xml:space="preserve">Caulonia (RC) </t>
  </si>
  <si>
    <t>080025</t>
  </si>
  <si>
    <t>Caulonia</t>
  </si>
  <si>
    <t xml:space="preserve">Cautano (BN) </t>
  </si>
  <si>
    <t>062021</t>
  </si>
  <si>
    <t>Cautano</t>
  </si>
  <si>
    <t xml:space="preserve">Cava de' Tirreni (SA) </t>
  </si>
  <si>
    <t>065037</t>
  </si>
  <si>
    <t>Cava de' Tirreni</t>
  </si>
  <si>
    <t xml:space="preserve">Cava Manara (PV) </t>
  </si>
  <si>
    <t>018041</t>
  </si>
  <si>
    <t>Cava Manara</t>
  </si>
  <si>
    <t xml:space="preserve">Cavaglià (BI) </t>
  </si>
  <si>
    <t>096016</t>
  </si>
  <si>
    <t>Cavaglià</t>
  </si>
  <si>
    <t xml:space="preserve">Cavaglietto (NO) </t>
  </si>
  <si>
    <t>003044</t>
  </si>
  <si>
    <t>Cavaglietto</t>
  </si>
  <si>
    <t xml:space="preserve">Cavaglio d'Agogna (NO) </t>
  </si>
  <si>
    <t>003045</t>
  </si>
  <si>
    <t>Cavaglio d'Agogna</t>
  </si>
  <si>
    <t xml:space="preserve">Cavagnolo (TO) </t>
  </si>
  <si>
    <t>001069</t>
  </si>
  <si>
    <t>Cavagnolo</t>
  </si>
  <si>
    <t xml:space="preserve">Cavaion Veronese (VR) </t>
  </si>
  <si>
    <t>023023</t>
  </si>
  <si>
    <t>Cavaion Veronese</t>
  </si>
  <si>
    <t xml:space="preserve">Cavalese (TN) </t>
  </si>
  <si>
    <t>022050</t>
  </si>
  <si>
    <t>Cavalese</t>
  </si>
  <si>
    <t xml:space="preserve">Cavallerleone (CN) </t>
  </si>
  <si>
    <t>004058</t>
  </si>
  <si>
    <t>Cavallerleone</t>
  </si>
  <si>
    <t xml:space="preserve">Cavallermaggiore (CN) </t>
  </si>
  <si>
    <t>004059</t>
  </si>
  <si>
    <t>Cavallermaggiore</t>
  </si>
  <si>
    <t xml:space="preserve">Cavallino (LE) </t>
  </si>
  <si>
    <t>075020</t>
  </si>
  <si>
    <t>Cavallino</t>
  </si>
  <si>
    <t xml:space="preserve">Cavallino-Treporti (VE) </t>
  </si>
  <si>
    <t>027044</t>
  </si>
  <si>
    <t>Cavallino-Treporti</t>
  </si>
  <si>
    <t xml:space="preserve">Cavallirio (NO) </t>
  </si>
  <si>
    <t>003047</t>
  </si>
  <si>
    <t>Cavallirio</t>
  </si>
  <si>
    <t xml:space="preserve">Cavareno (TN) </t>
  </si>
  <si>
    <t>022051</t>
  </si>
  <si>
    <t>Cavareno</t>
  </si>
  <si>
    <t xml:space="preserve">Cavargna (CO) </t>
  </si>
  <si>
    <t>013062</t>
  </si>
  <si>
    <t>Cavargna</t>
  </si>
  <si>
    <t xml:space="preserve">Cavaria con Premezzo (VA) </t>
  </si>
  <si>
    <t>012048</t>
  </si>
  <si>
    <t>Cavaria con Premezzo</t>
  </si>
  <si>
    <t xml:space="preserve">Cavarzere (VE) </t>
  </si>
  <si>
    <t>027006</t>
  </si>
  <si>
    <t>Cavarzere</t>
  </si>
  <si>
    <t xml:space="preserve">Cavaso del Tomba (TV) </t>
  </si>
  <si>
    <t>026014</t>
  </si>
  <si>
    <t>Cavaso del Tomba</t>
  </si>
  <si>
    <t xml:space="preserve">Cavasso Nuovo (PN) </t>
  </si>
  <si>
    <t>093012</t>
  </si>
  <si>
    <t>Cavasso Nuovo</t>
  </si>
  <si>
    <t xml:space="preserve">Cavatore (AL) </t>
  </si>
  <si>
    <t>006055</t>
  </si>
  <si>
    <t>Cavatore</t>
  </si>
  <si>
    <t xml:space="preserve">Cavazzo Carnico (UD) </t>
  </si>
  <si>
    <t>030021</t>
  </si>
  <si>
    <t>Cavazzo Carnico</t>
  </si>
  <si>
    <t xml:space="preserve">Cave (RM) </t>
  </si>
  <si>
    <t>058026</t>
  </si>
  <si>
    <t>Cave</t>
  </si>
  <si>
    <t xml:space="preserve">Cavedago (TN) </t>
  </si>
  <si>
    <t>022052</t>
  </si>
  <si>
    <t>Cavedago</t>
  </si>
  <si>
    <t xml:space="preserve">Cavedine (TN) </t>
  </si>
  <si>
    <t>022053</t>
  </si>
  <si>
    <t>Cavedine</t>
  </si>
  <si>
    <t xml:space="preserve">Cavenago d'Adda (LO) </t>
  </si>
  <si>
    <t>098017</t>
  </si>
  <si>
    <t>Cavenago d'Adda</t>
  </si>
  <si>
    <t xml:space="preserve">Cavenago di Brianza (MB) </t>
  </si>
  <si>
    <t>Cavenago di Brianza</t>
  </si>
  <si>
    <t xml:space="preserve">Cavernago (BG) </t>
  </si>
  <si>
    <t>016066</t>
  </si>
  <si>
    <t>Cavernago</t>
  </si>
  <si>
    <t xml:space="preserve">Cavezzo (MO) </t>
  </si>
  <si>
    <t>036009</t>
  </si>
  <si>
    <t>Cavezzo</t>
  </si>
  <si>
    <t xml:space="preserve">Cavizzana (TN) </t>
  </si>
  <si>
    <t>022054</t>
  </si>
  <si>
    <t>Cavizzana</t>
  </si>
  <si>
    <t xml:space="preserve">Cavour (TO) </t>
  </si>
  <si>
    <t>001070</t>
  </si>
  <si>
    <t>Cavour</t>
  </si>
  <si>
    <t xml:space="preserve">Cavriago (RE) </t>
  </si>
  <si>
    <t>035017</t>
  </si>
  <si>
    <t>Cavriago</t>
  </si>
  <si>
    <t xml:space="preserve">Cavriana (MN) </t>
  </si>
  <si>
    <t>020018</t>
  </si>
  <si>
    <t>Cavriana</t>
  </si>
  <si>
    <t xml:space="preserve">Cavriglia (AR) </t>
  </si>
  <si>
    <t>051013</t>
  </si>
  <si>
    <t>Cavriglia</t>
  </si>
  <si>
    <t xml:space="preserve">Cazzago Brabbia (VA) </t>
  </si>
  <si>
    <t>012049</t>
  </si>
  <si>
    <t>Cazzago Brabbia</t>
  </si>
  <si>
    <t xml:space="preserve">Cazzago San Martino (BS) </t>
  </si>
  <si>
    <t>017046</t>
  </si>
  <si>
    <t>Cazzago San Martino</t>
  </si>
  <si>
    <t xml:space="preserve">Cazzano di Tramigna (VR) </t>
  </si>
  <si>
    <t>023024</t>
  </si>
  <si>
    <t>Cazzano di Tramigna</t>
  </si>
  <si>
    <t xml:space="preserve">Cazzano Sant'Andrea (BG) </t>
  </si>
  <si>
    <t>016067</t>
  </si>
  <si>
    <t>Cazzano Sant'Andrea</t>
  </si>
  <si>
    <t xml:space="preserve">Ceccano (FR) </t>
  </si>
  <si>
    <t>060024</t>
  </si>
  <si>
    <t>Ceccano</t>
  </si>
  <si>
    <t xml:space="preserve">Cecima (PV) </t>
  </si>
  <si>
    <t>018042</t>
  </si>
  <si>
    <t>Cecima</t>
  </si>
  <si>
    <t xml:space="preserve">Cecina (LI) </t>
  </si>
  <si>
    <t>049007</t>
  </si>
  <si>
    <t>Cecina</t>
  </si>
  <si>
    <t xml:space="preserve">Cedegolo (BS) </t>
  </si>
  <si>
    <t>017047</t>
  </si>
  <si>
    <t>Cedegolo</t>
  </si>
  <si>
    <t xml:space="preserve">Cedrasco (SO) </t>
  </si>
  <si>
    <t>014016</t>
  </si>
  <si>
    <t>Cedrasco</t>
  </si>
  <si>
    <t xml:space="preserve">Cefalà Diana (PA) </t>
  </si>
  <si>
    <t>082026</t>
  </si>
  <si>
    <t>Cefalà Diana</t>
  </si>
  <si>
    <t xml:space="preserve">Cefalù (PA) </t>
  </si>
  <si>
    <t>082027</t>
  </si>
  <si>
    <t>Cefalù</t>
  </si>
  <si>
    <t xml:space="preserve">Ceggia (VE) </t>
  </si>
  <si>
    <t>027007</t>
  </si>
  <si>
    <t>Ceggia</t>
  </si>
  <si>
    <t xml:space="preserve">Ceglie Messapica (BR) </t>
  </si>
  <si>
    <t>074003</t>
  </si>
  <si>
    <t>Ceglie Messapica</t>
  </si>
  <si>
    <t xml:space="preserve">Celano (AQ) </t>
  </si>
  <si>
    <t>066032</t>
  </si>
  <si>
    <t>Celano</t>
  </si>
  <si>
    <t xml:space="preserve">Celenza sul Trigno (CH) </t>
  </si>
  <si>
    <t>069021</t>
  </si>
  <si>
    <t>Celenza sul Trigno</t>
  </si>
  <si>
    <t xml:space="preserve">Celenza Valfortore (FG) </t>
  </si>
  <si>
    <t>071018</t>
  </si>
  <si>
    <t>Celenza Valfortore</t>
  </si>
  <si>
    <t xml:space="preserve">Celico (CS) </t>
  </si>
  <si>
    <t>078034</t>
  </si>
  <si>
    <t>Celico</t>
  </si>
  <si>
    <t xml:space="preserve">Cella Dati (CR) </t>
  </si>
  <si>
    <t>019028</t>
  </si>
  <si>
    <t>Cella Dati</t>
  </si>
  <si>
    <t xml:space="preserve">Cella Monte (AL) </t>
  </si>
  <si>
    <t>006056</t>
  </si>
  <si>
    <t>Cella Monte</t>
  </si>
  <si>
    <t xml:space="preserve">Cellamare (BA) </t>
  </si>
  <si>
    <t>072018</t>
  </si>
  <si>
    <t>Cellamare</t>
  </si>
  <si>
    <t xml:space="preserve">Cellara (CS) </t>
  </si>
  <si>
    <t>078035</t>
  </si>
  <si>
    <t>Cellara</t>
  </si>
  <si>
    <t xml:space="preserve">Cellarengo (AT) </t>
  </si>
  <si>
    <t>005033</t>
  </si>
  <si>
    <t>Cellarengo</t>
  </si>
  <si>
    <t xml:space="preserve">Cellatica (BS) </t>
  </si>
  <si>
    <t>017048</t>
  </si>
  <si>
    <t>Cellatica</t>
  </si>
  <si>
    <t xml:space="preserve">Celle di Bulgheria (SA) </t>
  </si>
  <si>
    <t>065038</t>
  </si>
  <si>
    <t>Celle di Bulgheria</t>
  </si>
  <si>
    <t xml:space="preserve">Celle di Macra (CN) </t>
  </si>
  <si>
    <t>004060</t>
  </si>
  <si>
    <t>Celle di Macra</t>
  </si>
  <si>
    <t xml:space="preserve">Celle di San Vito (FG) </t>
  </si>
  <si>
    <t>071019</t>
  </si>
  <si>
    <t>Celle di San Vito</t>
  </si>
  <si>
    <t xml:space="preserve">Celle Enomondo (AT) </t>
  </si>
  <si>
    <t>005034</t>
  </si>
  <si>
    <t>Celle Enomondo</t>
  </si>
  <si>
    <t xml:space="preserve">Celle Ligure (SV) </t>
  </si>
  <si>
    <t>009022</t>
  </si>
  <si>
    <t>Celle Ligure</t>
  </si>
  <si>
    <t xml:space="preserve">Celleno (VT) </t>
  </si>
  <si>
    <t>056019</t>
  </si>
  <si>
    <t>Celleno</t>
  </si>
  <si>
    <t xml:space="preserve">Cellere (VT) </t>
  </si>
  <si>
    <t>056020</t>
  </si>
  <si>
    <t>Cellere</t>
  </si>
  <si>
    <t xml:space="preserve">Cellino Attanasio (TE) </t>
  </si>
  <si>
    <t>067015</t>
  </si>
  <si>
    <t>Cellino Attanasio</t>
  </si>
  <si>
    <t xml:space="preserve">Cellino San Marco (BR) </t>
  </si>
  <si>
    <t>074004</t>
  </si>
  <si>
    <t>Cellino San Marco</t>
  </si>
  <si>
    <t xml:space="preserve">Cellole (CE) </t>
  </si>
  <si>
    <t>061102</t>
  </si>
  <si>
    <t>Cellole</t>
  </si>
  <si>
    <t xml:space="preserve">Cenadi (CZ) </t>
  </si>
  <si>
    <t>079024</t>
  </si>
  <si>
    <t>Cenadi</t>
  </si>
  <si>
    <t xml:space="preserve">Cenate Sopra (BG) </t>
  </si>
  <si>
    <t>016068</t>
  </si>
  <si>
    <t>Cenate Sopra</t>
  </si>
  <si>
    <t xml:space="preserve">Cenate Sotto (BG) </t>
  </si>
  <si>
    <t>016069</t>
  </si>
  <si>
    <t>Cenate Sotto</t>
  </si>
  <si>
    <t xml:space="preserve">Cencenighe Agordino (BL) </t>
  </si>
  <si>
    <t>025010</t>
  </si>
  <si>
    <t>Cencenighe Agordino</t>
  </si>
  <si>
    <t xml:space="preserve">Cene (BG) </t>
  </si>
  <si>
    <t>016070</t>
  </si>
  <si>
    <t>Cene</t>
  </si>
  <si>
    <t xml:space="preserve">Ceneselli (RO) </t>
  </si>
  <si>
    <t>029014</t>
  </si>
  <si>
    <t>Ceneselli</t>
  </si>
  <si>
    <t xml:space="preserve">Cengio (SV) </t>
  </si>
  <si>
    <t>009023</t>
  </si>
  <si>
    <t>Cengio</t>
  </si>
  <si>
    <t xml:space="preserve">Centallo (CN) </t>
  </si>
  <si>
    <t>004061</t>
  </si>
  <si>
    <t>Centallo</t>
  </si>
  <si>
    <t xml:space="preserve">Cento (FE) </t>
  </si>
  <si>
    <t>038004</t>
  </si>
  <si>
    <t>Cento</t>
  </si>
  <si>
    <t xml:space="preserve">Centola (SA) </t>
  </si>
  <si>
    <t>065039</t>
  </si>
  <si>
    <t>Centola</t>
  </si>
  <si>
    <t xml:space="preserve">Centrache (CZ) </t>
  </si>
  <si>
    <t>079025</t>
  </si>
  <si>
    <t>Centrache</t>
  </si>
  <si>
    <t xml:space="preserve">Centuripe (EN) </t>
  </si>
  <si>
    <t>086007</t>
  </si>
  <si>
    <t>Centuripe</t>
  </si>
  <si>
    <t xml:space="preserve">Cepagatti (PE) </t>
  </si>
  <si>
    <t>068011</t>
  </si>
  <si>
    <t>Cepagatti</t>
  </si>
  <si>
    <t xml:space="preserve">Ceppaloni (BN) </t>
  </si>
  <si>
    <t>062022</t>
  </si>
  <si>
    <t>Ceppaloni</t>
  </si>
  <si>
    <t xml:space="preserve">Ceppo Morelli (VB) </t>
  </si>
  <si>
    <t>Ceppo Morelli</t>
  </si>
  <si>
    <t xml:space="preserve">Ceprano (FR) </t>
  </si>
  <si>
    <t>060025</t>
  </si>
  <si>
    <t>Ceprano</t>
  </si>
  <si>
    <t xml:space="preserve">Cerami (EN) </t>
  </si>
  <si>
    <t>086008</t>
  </si>
  <si>
    <t>Cerami</t>
  </si>
  <si>
    <t xml:space="preserve">Ceranesi (GE) </t>
  </si>
  <si>
    <t>010014</t>
  </si>
  <si>
    <t>Ceranesi</t>
  </si>
  <si>
    <t xml:space="preserve">Cerano (NO) </t>
  </si>
  <si>
    <t>003049</t>
  </si>
  <si>
    <t>Cerano</t>
  </si>
  <si>
    <t xml:space="preserve">Cerano d'Intelvi (CO) </t>
  </si>
  <si>
    <t>013063</t>
  </si>
  <si>
    <t>Cerano d'Intelvi</t>
  </si>
  <si>
    <t xml:space="preserve">Ceranova (PV) </t>
  </si>
  <si>
    <t>018043</t>
  </si>
  <si>
    <t>Ceranova</t>
  </si>
  <si>
    <t xml:space="preserve">Ceraso (SA) </t>
  </si>
  <si>
    <t>065040</t>
  </si>
  <si>
    <t>Ceraso</t>
  </si>
  <si>
    <t xml:space="preserve">Cercemaggiore (CB) </t>
  </si>
  <si>
    <t>070017</t>
  </si>
  <si>
    <t>Cercemaggiore</t>
  </si>
  <si>
    <t xml:space="preserve">Cercenasco (TO) </t>
  </si>
  <si>
    <t>001071</t>
  </si>
  <si>
    <t>Cercenasco</t>
  </si>
  <si>
    <t xml:space="preserve">Cercepiccola (CB) </t>
  </si>
  <si>
    <t>070018</t>
  </si>
  <si>
    <t>Cercepiccola</t>
  </si>
  <si>
    <t xml:space="preserve">Cerchiara di Calabria (CS) </t>
  </si>
  <si>
    <t>078036</t>
  </si>
  <si>
    <t>Cerchiara di Calabria</t>
  </si>
  <si>
    <t xml:space="preserve">Cerchio (AQ) </t>
  </si>
  <si>
    <t>066033</t>
  </si>
  <si>
    <t>Cerchio</t>
  </si>
  <si>
    <t xml:space="preserve">Cercino (SO) </t>
  </si>
  <si>
    <t>014017</t>
  </si>
  <si>
    <t>Cercino</t>
  </si>
  <si>
    <t xml:space="preserve">Cercivento (UD) </t>
  </si>
  <si>
    <t>030022</t>
  </si>
  <si>
    <t>Cercivento</t>
  </si>
  <si>
    <t xml:space="preserve">Cercola (NA) </t>
  </si>
  <si>
    <t>063026</t>
  </si>
  <si>
    <t>Cercola</t>
  </si>
  <si>
    <t xml:space="preserve">Cerda (PA) </t>
  </si>
  <si>
    <t>082028</t>
  </si>
  <si>
    <t>Cerda</t>
  </si>
  <si>
    <t xml:space="preserve">Cerea (VR) </t>
  </si>
  <si>
    <t>023025</t>
  </si>
  <si>
    <t>Cerea</t>
  </si>
  <si>
    <t xml:space="preserve">Ceregnano (RO) </t>
  </si>
  <si>
    <t>029015</t>
  </si>
  <si>
    <t>Ceregnano</t>
  </si>
  <si>
    <t xml:space="preserve">Cerenzia (KR) </t>
  </si>
  <si>
    <t>Cerenzia</t>
  </si>
  <si>
    <t xml:space="preserve">Ceres (TO) </t>
  </si>
  <si>
    <t>001072</t>
  </si>
  <si>
    <t>Ceres</t>
  </si>
  <si>
    <t xml:space="preserve">Ceresara (MN) </t>
  </si>
  <si>
    <t>020019</t>
  </si>
  <si>
    <t>Ceresara</t>
  </si>
  <si>
    <t xml:space="preserve">Cereseto (AL) </t>
  </si>
  <si>
    <t>006057</t>
  </si>
  <si>
    <t>Cereseto</t>
  </si>
  <si>
    <t xml:space="preserve">Ceresole Alba (CN) </t>
  </si>
  <si>
    <t>004062</t>
  </si>
  <si>
    <t>Ceresole Alba</t>
  </si>
  <si>
    <t xml:space="preserve">Ceresole Reale (TO) </t>
  </si>
  <si>
    <t>001073</t>
  </si>
  <si>
    <t>Ceresole Reale</t>
  </si>
  <si>
    <t xml:space="preserve">Cerete (BG) </t>
  </si>
  <si>
    <t>016071</t>
  </si>
  <si>
    <t>Cerete</t>
  </si>
  <si>
    <t xml:space="preserve">Ceretto Lomellina (PV) </t>
  </si>
  <si>
    <t>018044</t>
  </si>
  <si>
    <t>Ceretto Lomellina</t>
  </si>
  <si>
    <t xml:space="preserve">Cergnago (PV) </t>
  </si>
  <si>
    <t>018045</t>
  </si>
  <si>
    <t>Cergnago</t>
  </si>
  <si>
    <t xml:space="preserve">Ceriale (SV) </t>
  </si>
  <si>
    <t>009024</t>
  </si>
  <si>
    <t>Ceriale</t>
  </si>
  <si>
    <t xml:space="preserve">Ceriana (IM) </t>
  </si>
  <si>
    <t>008016</t>
  </si>
  <si>
    <t>Ceriana</t>
  </si>
  <si>
    <t xml:space="preserve">Ceriano Laghetto (MB) </t>
  </si>
  <si>
    <t>Ceriano Laghetto</t>
  </si>
  <si>
    <t xml:space="preserve">Cerignale (PC) </t>
  </si>
  <si>
    <t>033015</t>
  </si>
  <si>
    <t>Cerignale</t>
  </si>
  <si>
    <t xml:space="preserve">Cerignola (FG) </t>
  </si>
  <si>
    <t>071020</t>
  </si>
  <si>
    <t>Cerignola</t>
  </si>
  <si>
    <t xml:space="preserve">Cerisano (CS) </t>
  </si>
  <si>
    <t>078037</t>
  </si>
  <si>
    <t>Cerisano</t>
  </si>
  <si>
    <t xml:space="preserve">Cermenate (CO) </t>
  </si>
  <si>
    <t>013064</t>
  </si>
  <si>
    <t>Cermenate</t>
  </si>
  <si>
    <t>021020</t>
  </si>
  <si>
    <t xml:space="preserve">Cermignano (TE) </t>
  </si>
  <si>
    <t>067016</t>
  </si>
  <si>
    <t>Cermignano</t>
  </si>
  <si>
    <t xml:space="preserve">Cernobbio (CO) </t>
  </si>
  <si>
    <t>013065</t>
  </si>
  <si>
    <t>Cernobbio</t>
  </si>
  <si>
    <t xml:space="preserve">Cernusco Lombardone (LC) </t>
  </si>
  <si>
    <t>097020</t>
  </si>
  <si>
    <t>Cernusco Lombardone</t>
  </si>
  <si>
    <t xml:space="preserve">Cernusco sul Naviglio (MI) </t>
  </si>
  <si>
    <t>015070</t>
  </si>
  <si>
    <t>Cernusco sul Naviglio</t>
  </si>
  <si>
    <t xml:space="preserve">Cerreto d'Asti (AT) </t>
  </si>
  <si>
    <t>005035</t>
  </si>
  <si>
    <t>Cerreto d'Asti</t>
  </si>
  <si>
    <t xml:space="preserve">Cerreto d'Esi (AN) </t>
  </si>
  <si>
    <t>042013</t>
  </si>
  <si>
    <t>Cerreto d'Esi</t>
  </si>
  <si>
    <t xml:space="preserve">Cerreto di Spoleto (PG) </t>
  </si>
  <si>
    <t>054010</t>
  </si>
  <si>
    <t>Cerreto di Spoleto</t>
  </si>
  <si>
    <t xml:space="preserve">Cerreto Grue (AL) </t>
  </si>
  <si>
    <t>006058</t>
  </si>
  <si>
    <t>Cerreto Grue</t>
  </si>
  <si>
    <t xml:space="preserve">Cerreto Guidi (FI) </t>
  </si>
  <si>
    <t>048011</t>
  </si>
  <si>
    <t>Cerreto Guidi</t>
  </si>
  <si>
    <t xml:space="preserve">Cerreto Laziale (RM) </t>
  </si>
  <si>
    <t>058027</t>
  </si>
  <si>
    <t>Cerreto Laziale</t>
  </si>
  <si>
    <t xml:space="preserve">Cerreto Sannita (BN) </t>
  </si>
  <si>
    <t>062023</t>
  </si>
  <si>
    <t>Cerreto Sannita</t>
  </si>
  <si>
    <t xml:space="preserve">Cerretto Langhe (CN) </t>
  </si>
  <si>
    <t>004063</t>
  </si>
  <si>
    <t>Cerretto Langhe</t>
  </si>
  <si>
    <t xml:space="preserve">Cerrina Monferrato (AL) </t>
  </si>
  <si>
    <t>006059</t>
  </si>
  <si>
    <t>Cerrina Monferrato</t>
  </si>
  <si>
    <t xml:space="preserve">Cerrione (BI) </t>
  </si>
  <si>
    <t>096018</t>
  </si>
  <si>
    <t>Cerrione</t>
  </si>
  <si>
    <t xml:space="preserve">Cerro al Lambro (MI) </t>
  </si>
  <si>
    <t>015071</t>
  </si>
  <si>
    <t>Cerro al Lambro</t>
  </si>
  <si>
    <t xml:space="preserve">Cerro al Volturno (IS) </t>
  </si>
  <si>
    <t>094014</t>
  </si>
  <si>
    <t>Cerro al Volturno</t>
  </si>
  <si>
    <t xml:space="preserve">Cerro Maggiore (MI) </t>
  </si>
  <si>
    <t>015072</t>
  </si>
  <si>
    <t>Cerro Maggiore</t>
  </si>
  <si>
    <t xml:space="preserve">Cerro Tanaro (AT) </t>
  </si>
  <si>
    <t>005036</t>
  </si>
  <si>
    <t>Cerro Tanaro</t>
  </si>
  <si>
    <t xml:space="preserve">Cerro Veronese (VR) </t>
  </si>
  <si>
    <t>023026</t>
  </si>
  <si>
    <t>Cerro Veronese</t>
  </si>
  <si>
    <t xml:space="preserve">Cersosimo (PZ) </t>
  </si>
  <si>
    <t>076027</t>
  </si>
  <si>
    <t>Cersosimo</t>
  </si>
  <si>
    <t xml:space="preserve">Certaldo (FI) </t>
  </si>
  <si>
    <t>048012</t>
  </si>
  <si>
    <t>Certaldo</t>
  </si>
  <si>
    <t xml:space="preserve">Certosa di Pavia (PV) </t>
  </si>
  <si>
    <t>018046</t>
  </si>
  <si>
    <t>Certosa di Pavia</t>
  </si>
  <si>
    <t xml:space="preserve">Cerva (CZ) </t>
  </si>
  <si>
    <t>079027</t>
  </si>
  <si>
    <t>Cerva</t>
  </si>
  <si>
    <t xml:space="preserve">Cervara di Roma (RM) </t>
  </si>
  <si>
    <t>058028</t>
  </si>
  <si>
    <t>Cervara di Roma</t>
  </si>
  <si>
    <t xml:space="preserve">Cervarese Santa Croce (PD) </t>
  </si>
  <si>
    <t>028030</t>
  </si>
  <si>
    <t>Cervarese Santa Croce</t>
  </si>
  <si>
    <t xml:space="preserve">Cervaro (FR) </t>
  </si>
  <si>
    <t>060026</t>
  </si>
  <si>
    <t>Cervaro</t>
  </si>
  <si>
    <t xml:space="preserve">Cervasca (CN) </t>
  </si>
  <si>
    <t>004064</t>
  </si>
  <si>
    <t>Cervasca</t>
  </si>
  <si>
    <t xml:space="preserve">Cervatto (VC) </t>
  </si>
  <si>
    <t>002041</t>
  </si>
  <si>
    <t>Cervatto</t>
  </si>
  <si>
    <t xml:space="preserve">Cerveno (BS) </t>
  </si>
  <si>
    <t>017049</t>
  </si>
  <si>
    <t>Cerveno</t>
  </si>
  <si>
    <t xml:space="preserve">Cervere (CN) </t>
  </si>
  <si>
    <t>004065</t>
  </si>
  <si>
    <t>Cervere</t>
  </si>
  <si>
    <t xml:space="preserve">Cervesina (PV) </t>
  </si>
  <si>
    <t>018047</t>
  </si>
  <si>
    <t>Cervesina</t>
  </si>
  <si>
    <t xml:space="preserve">Cerveteri (RM) </t>
  </si>
  <si>
    <t>058029</t>
  </si>
  <si>
    <t>Cerveteri</t>
  </si>
  <si>
    <t xml:space="preserve">Cervia (RA) </t>
  </si>
  <si>
    <t>039007</t>
  </si>
  <si>
    <t>Cervia</t>
  </si>
  <si>
    <t xml:space="preserve">Cervicati (CS) </t>
  </si>
  <si>
    <t>078038</t>
  </si>
  <si>
    <t>Cervicati</t>
  </si>
  <si>
    <t xml:space="preserve">Cervignano d'Adda (LO) </t>
  </si>
  <si>
    <t>098018</t>
  </si>
  <si>
    <t>Cervignano d'Adda</t>
  </si>
  <si>
    <t xml:space="preserve">Cervignano del Friuli (UD) </t>
  </si>
  <si>
    <t>030023</t>
  </si>
  <si>
    <t>Cervignano del Friuli</t>
  </si>
  <si>
    <t xml:space="preserve">Cervinara (AV) </t>
  </si>
  <si>
    <t>064025</t>
  </si>
  <si>
    <t>Cervinara</t>
  </si>
  <si>
    <t xml:space="preserve">Cervino (CE) </t>
  </si>
  <si>
    <t>061028</t>
  </si>
  <si>
    <t>Cervino</t>
  </si>
  <si>
    <t xml:space="preserve">Cervo (IM) </t>
  </si>
  <si>
    <t>008017</t>
  </si>
  <si>
    <t>Cervo</t>
  </si>
  <si>
    <t xml:space="preserve">Cerzeto (CS) </t>
  </si>
  <si>
    <t>078039</t>
  </si>
  <si>
    <t>Cerzeto</t>
  </si>
  <si>
    <t xml:space="preserve">Cesa (CE) </t>
  </si>
  <si>
    <t>061029</t>
  </si>
  <si>
    <t>Cesa</t>
  </si>
  <si>
    <t xml:space="preserve">Cesana Brianza (LC) </t>
  </si>
  <si>
    <t>097021</t>
  </si>
  <si>
    <t>Cesana Brianza</t>
  </si>
  <si>
    <t xml:space="preserve">Cesana Torinese (TO) </t>
  </si>
  <si>
    <t>001074</t>
  </si>
  <si>
    <t>Cesana Torinese</t>
  </si>
  <si>
    <t xml:space="preserve">Cesano Boscone (MI) </t>
  </si>
  <si>
    <t>015074</t>
  </si>
  <si>
    <t>Cesano Boscone</t>
  </si>
  <si>
    <t xml:space="preserve">Cesano Maderno (MB) </t>
  </si>
  <si>
    <t>Cesano Maderno</t>
  </si>
  <si>
    <t xml:space="preserve">Cesara (VB) </t>
  </si>
  <si>
    <t>Cesara</t>
  </si>
  <si>
    <t xml:space="preserve">Cesarò (ME) </t>
  </si>
  <si>
    <t>083017</t>
  </si>
  <si>
    <t>Cesarò</t>
  </si>
  <si>
    <t xml:space="preserve">Cesate (MI) </t>
  </si>
  <si>
    <t>015076</t>
  </si>
  <si>
    <t>Cesate</t>
  </si>
  <si>
    <t xml:space="preserve">Cesena (FC) </t>
  </si>
  <si>
    <t>040007</t>
  </si>
  <si>
    <t>Cesena</t>
  </si>
  <si>
    <t xml:space="preserve">Cesenatico (FC) </t>
  </si>
  <si>
    <t>040008</t>
  </si>
  <si>
    <t>Cesenatico</t>
  </si>
  <si>
    <t xml:space="preserve">Cesinali (AV) </t>
  </si>
  <si>
    <t>064026</t>
  </si>
  <si>
    <t>Cesinali</t>
  </si>
  <si>
    <t xml:space="preserve">Cesio (IM) </t>
  </si>
  <si>
    <t>008018</t>
  </si>
  <si>
    <t>Cesio</t>
  </si>
  <si>
    <t xml:space="preserve">Cesiomaggiore (BL) </t>
  </si>
  <si>
    <t>025011</t>
  </si>
  <si>
    <t>Cesiomaggiore</t>
  </si>
  <si>
    <t xml:space="preserve">Cessalto (TV) </t>
  </si>
  <si>
    <t>026015</t>
  </si>
  <si>
    <t>Cessalto</t>
  </si>
  <si>
    <t xml:space="preserve">Cessaniti (VV) </t>
  </si>
  <si>
    <t>Cessaniti</t>
  </si>
  <si>
    <t xml:space="preserve">Cessapalombo (MC) </t>
  </si>
  <si>
    <t>043011</t>
  </si>
  <si>
    <t>Cessapalombo</t>
  </si>
  <si>
    <t xml:space="preserve">Cessole (AT) </t>
  </si>
  <si>
    <t>005037</t>
  </si>
  <si>
    <t>Cessole</t>
  </si>
  <si>
    <t xml:space="preserve">Cetara (SA) </t>
  </si>
  <si>
    <t>065041</t>
  </si>
  <si>
    <t>Cetara</t>
  </si>
  <si>
    <t xml:space="preserve">Ceto (BS) </t>
  </si>
  <si>
    <t>017050</t>
  </si>
  <si>
    <t>Ceto</t>
  </si>
  <si>
    <t xml:space="preserve">Cetona (SI) </t>
  </si>
  <si>
    <t>052008</t>
  </si>
  <si>
    <t>Cetona</t>
  </si>
  <si>
    <t xml:space="preserve">Cetraro (CS) </t>
  </si>
  <si>
    <t>078040</t>
  </si>
  <si>
    <t>Cetraro</t>
  </si>
  <si>
    <t xml:space="preserve">Ceva (CN) </t>
  </si>
  <si>
    <t>004066</t>
  </si>
  <si>
    <t>Ceva</t>
  </si>
  <si>
    <t xml:space="preserve">Cevo (BS) </t>
  </si>
  <si>
    <t>017051</t>
  </si>
  <si>
    <t>Cevo</t>
  </si>
  <si>
    <t xml:space="preserve">Challand-Saint-Anselme (AO) </t>
  </si>
  <si>
    <t>007013</t>
  </si>
  <si>
    <t>Challand-Saint-Anselme</t>
  </si>
  <si>
    <t xml:space="preserve">Challand-Saint-Victor (AO) </t>
  </si>
  <si>
    <t>007014</t>
  </si>
  <si>
    <t>Challand-Saint-Victor</t>
  </si>
  <si>
    <t xml:space="preserve">Chambave (AO) </t>
  </si>
  <si>
    <t>007015</t>
  </si>
  <si>
    <t>Chambave</t>
  </si>
  <si>
    <t xml:space="preserve">Chamois (AO) </t>
  </si>
  <si>
    <t>007016</t>
  </si>
  <si>
    <t>Chamois</t>
  </si>
  <si>
    <t xml:space="preserve">Champdepraz (AO) </t>
  </si>
  <si>
    <t>007017</t>
  </si>
  <si>
    <t>Champdepraz</t>
  </si>
  <si>
    <t xml:space="preserve">Champorcher (AO) </t>
  </si>
  <si>
    <t>007018</t>
  </si>
  <si>
    <t>Champorcher</t>
  </si>
  <si>
    <t xml:space="preserve">Charvensod (AO) </t>
  </si>
  <si>
    <t>007019</t>
  </si>
  <si>
    <t>Charvensod</t>
  </si>
  <si>
    <t>007020</t>
  </si>
  <si>
    <t xml:space="preserve">Cherasco (CN) </t>
  </si>
  <si>
    <t>004067</t>
  </si>
  <si>
    <t>Cherasco</t>
  </si>
  <si>
    <t xml:space="preserve">Cheremule (SS) </t>
  </si>
  <si>
    <t>Cheremule</t>
  </si>
  <si>
    <t xml:space="preserve">Chialamberto (TO) </t>
  </si>
  <si>
    <t>001075</t>
  </si>
  <si>
    <t>Chialamberto</t>
  </si>
  <si>
    <t xml:space="preserve">Chiampo (VI) </t>
  </si>
  <si>
    <t>024029</t>
  </si>
  <si>
    <t>Chiampo</t>
  </si>
  <si>
    <t xml:space="preserve">Chianche (AV) </t>
  </si>
  <si>
    <t>064027</t>
  </si>
  <si>
    <t>Chianche</t>
  </si>
  <si>
    <t xml:space="preserve">Chianciano Terme (SI) </t>
  </si>
  <si>
    <t>052009</t>
  </si>
  <si>
    <t>Chianciano Terme</t>
  </si>
  <si>
    <t xml:space="preserve">Chianni (PI) </t>
  </si>
  <si>
    <t>050012</t>
  </si>
  <si>
    <t>Chianni</t>
  </si>
  <si>
    <t xml:space="preserve">Chianocco (TO) </t>
  </si>
  <si>
    <t>001076</t>
  </si>
  <si>
    <t>Chianocco</t>
  </si>
  <si>
    <t xml:space="preserve">Chiaramonte Gulfi (RG) </t>
  </si>
  <si>
    <t>088002</t>
  </si>
  <si>
    <t>Chiaramonte Gulfi</t>
  </si>
  <si>
    <t xml:space="preserve">Chiaramonti (SS) </t>
  </si>
  <si>
    <t>Chiaramonti</t>
  </si>
  <si>
    <t xml:space="preserve">Chiarano (TV) </t>
  </si>
  <si>
    <t>026016</t>
  </si>
  <si>
    <t>Chiarano</t>
  </si>
  <si>
    <t xml:space="preserve">Chiaravalle (AN) </t>
  </si>
  <si>
    <t>042014</t>
  </si>
  <si>
    <t>Chiaravalle</t>
  </si>
  <si>
    <t xml:space="preserve">Chiaravalle Centrale (CZ) </t>
  </si>
  <si>
    <t>079029</t>
  </si>
  <si>
    <t>Chiaravalle Centrale</t>
  </si>
  <si>
    <t xml:space="preserve">Chiari (BS) </t>
  </si>
  <si>
    <t>017052</t>
  </si>
  <si>
    <t>Chiari</t>
  </si>
  <si>
    <t xml:space="preserve">Chiaromonte (PZ) </t>
  </si>
  <si>
    <t>076028</t>
  </si>
  <si>
    <t>Chiaromonte</t>
  </si>
  <si>
    <t xml:space="preserve">Chiauci (IS) </t>
  </si>
  <si>
    <t>094015</t>
  </si>
  <si>
    <t>Chiauci</t>
  </si>
  <si>
    <t xml:space="preserve">Chiavari (GE) </t>
  </si>
  <si>
    <t>010015</t>
  </si>
  <si>
    <t>Chiavari</t>
  </si>
  <si>
    <t xml:space="preserve">Chiavenna (SO) </t>
  </si>
  <si>
    <t>014018</t>
  </si>
  <si>
    <t>Chiavenna</t>
  </si>
  <si>
    <t xml:space="preserve">Chiaverano (TO) </t>
  </si>
  <si>
    <t>001077</t>
  </si>
  <si>
    <t>Chiaverano</t>
  </si>
  <si>
    <t>021021</t>
  </si>
  <si>
    <t xml:space="preserve">Chieri (TO) </t>
  </si>
  <si>
    <t>001078</t>
  </si>
  <si>
    <t>Chieri</t>
  </si>
  <si>
    <t xml:space="preserve">Chies d'Alpago (BL) </t>
  </si>
  <si>
    <t>025012</t>
  </si>
  <si>
    <t>Chies d'Alpago</t>
  </si>
  <si>
    <t xml:space="preserve">Chiesa in Valmalenco (SO) </t>
  </si>
  <si>
    <t>014019</t>
  </si>
  <si>
    <t>Chiesa in Valmalenco</t>
  </si>
  <si>
    <t xml:space="preserve">Chiesanuova (TO) </t>
  </si>
  <si>
    <t>001079</t>
  </si>
  <si>
    <t>Chiesanuova</t>
  </si>
  <si>
    <t xml:space="preserve">Chiesina Uzzanese (PT) </t>
  </si>
  <si>
    <t>047022</t>
  </si>
  <si>
    <t>Chiesina Uzzanese</t>
  </si>
  <si>
    <t xml:space="preserve">Chieti (CH) </t>
  </si>
  <si>
    <t>069022</t>
  </si>
  <si>
    <t>Chieti</t>
  </si>
  <si>
    <t xml:space="preserve">Chieuti (FG) </t>
  </si>
  <si>
    <t>071021</t>
  </si>
  <si>
    <t>Chieuti</t>
  </si>
  <si>
    <t xml:space="preserve">Chieve (CR) </t>
  </si>
  <si>
    <t>019029</t>
  </si>
  <si>
    <t>Chieve</t>
  </si>
  <si>
    <t xml:space="preserve">Chignolo d'Isola (BG) </t>
  </si>
  <si>
    <t>016072</t>
  </si>
  <si>
    <t>Chignolo d'Isola</t>
  </si>
  <si>
    <t xml:space="preserve">Chignolo Po (PV) </t>
  </si>
  <si>
    <t>018048</t>
  </si>
  <si>
    <t>Chignolo Po</t>
  </si>
  <si>
    <t xml:space="preserve">Chioggia (VE) </t>
  </si>
  <si>
    <t>027008</t>
  </si>
  <si>
    <t>Chioggia</t>
  </si>
  <si>
    <t xml:space="preserve">Chiomonte (TO) </t>
  </si>
  <si>
    <t>001080</t>
  </si>
  <si>
    <t>Chiomonte</t>
  </si>
  <si>
    <t xml:space="preserve">Chions (PN) </t>
  </si>
  <si>
    <t>093013</t>
  </si>
  <si>
    <t>Chions</t>
  </si>
  <si>
    <t xml:space="preserve">Chiopris-Viscone (UD) </t>
  </si>
  <si>
    <t>030024</t>
  </si>
  <si>
    <t>Chiopris-Viscone</t>
  </si>
  <si>
    <t xml:space="preserve">Chitignano (AR) </t>
  </si>
  <si>
    <t>051014</t>
  </si>
  <si>
    <t>Chitignano</t>
  </si>
  <si>
    <t xml:space="preserve">Chiuduno (BG) </t>
  </si>
  <si>
    <t>016073</t>
  </si>
  <si>
    <t>Chiuduno</t>
  </si>
  <si>
    <t xml:space="preserve">Chiuppano (VI) </t>
  </si>
  <si>
    <t>024030</t>
  </si>
  <si>
    <t>Chiuppano</t>
  </si>
  <si>
    <t xml:space="preserve">Chiuro (SO) </t>
  </si>
  <si>
    <t>014020</t>
  </si>
  <si>
    <t>Chiuro</t>
  </si>
  <si>
    <t>021022</t>
  </si>
  <si>
    <t xml:space="preserve">Chiusa di Pesio (CN) </t>
  </si>
  <si>
    <t>004068</t>
  </si>
  <si>
    <t>Chiusa di Pesio</t>
  </si>
  <si>
    <t xml:space="preserve">Chiusa di San Michele (TO) </t>
  </si>
  <si>
    <t>001081</t>
  </si>
  <si>
    <t>Chiusa di San Michele</t>
  </si>
  <si>
    <t xml:space="preserve">Chiusa Sclafani (PA) </t>
  </si>
  <si>
    <t>082029</t>
  </si>
  <si>
    <t>Chiusa Sclafani</t>
  </si>
  <si>
    <t xml:space="preserve">Chiusaforte (UD) </t>
  </si>
  <si>
    <t>030025</t>
  </si>
  <si>
    <t>Chiusaforte</t>
  </si>
  <si>
    <t xml:space="preserve">Chiusanico (IM) </t>
  </si>
  <si>
    <t>008019</t>
  </si>
  <si>
    <t>Chiusanico</t>
  </si>
  <si>
    <t xml:space="preserve">Chiusano d'Asti (AT) </t>
  </si>
  <si>
    <t>005038</t>
  </si>
  <si>
    <t>Chiusano d'Asti</t>
  </si>
  <si>
    <t xml:space="preserve">Chiusano di San Domenico (AV) </t>
  </si>
  <si>
    <t>064028</t>
  </si>
  <si>
    <t>Chiusano di San Domenico</t>
  </si>
  <si>
    <t xml:space="preserve">Chiusavecchia (IM) </t>
  </si>
  <si>
    <t>008020</t>
  </si>
  <si>
    <t>Chiusavecchia</t>
  </si>
  <si>
    <t xml:space="preserve">Chiusdino (SI) </t>
  </si>
  <si>
    <t>052010</t>
  </si>
  <si>
    <t>Chiusdino</t>
  </si>
  <si>
    <t xml:space="preserve">Chiusi (SI) </t>
  </si>
  <si>
    <t>052011</t>
  </si>
  <si>
    <t>Chiusi</t>
  </si>
  <si>
    <t xml:space="preserve">Chiusi della Verna (AR) </t>
  </si>
  <si>
    <t>051015</t>
  </si>
  <si>
    <t>Chiusi della Verna</t>
  </si>
  <si>
    <t xml:space="preserve">Chivasso (TO) </t>
  </si>
  <si>
    <t>001082</t>
  </si>
  <si>
    <t>Chivasso</t>
  </si>
  <si>
    <t xml:space="preserve">Ciampino (RM) </t>
  </si>
  <si>
    <t>058118</t>
  </si>
  <si>
    <t>Ciampino</t>
  </si>
  <si>
    <t xml:space="preserve">Cianciana (AG) </t>
  </si>
  <si>
    <t>084015</t>
  </si>
  <si>
    <t>Cianciana</t>
  </si>
  <si>
    <t xml:space="preserve">Cibiana di Cadore (BL) </t>
  </si>
  <si>
    <t>025013</t>
  </si>
  <si>
    <t>Cibiana di Cadore</t>
  </si>
  <si>
    <t xml:space="preserve">Cicagna (GE) </t>
  </si>
  <si>
    <t>010016</t>
  </si>
  <si>
    <t>Cicagna</t>
  </si>
  <si>
    <t xml:space="preserve">Cicala (CZ) </t>
  </si>
  <si>
    <t>079030</t>
  </si>
  <si>
    <t>Cicala</t>
  </si>
  <si>
    <t xml:space="preserve">Cicciano (NA) </t>
  </si>
  <si>
    <t>063027</t>
  </si>
  <si>
    <t>Cicciano</t>
  </si>
  <si>
    <t xml:space="preserve">Cicerale (SA) </t>
  </si>
  <si>
    <t>065042</t>
  </si>
  <si>
    <t>Cicerale</t>
  </si>
  <si>
    <t xml:space="preserve">Ciciliano (RM) </t>
  </si>
  <si>
    <t>058030</t>
  </si>
  <si>
    <t>Ciciliano</t>
  </si>
  <si>
    <t xml:space="preserve">Cicognolo (CR) </t>
  </si>
  <si>
    <t>019030</t>
  </si>
  <si>
    <t>Cicognolo</t>
  </si>
  <si>
    <t xml:space="preserve">Ciconio (TO) </t>
  </si>
  <si>
    <t>001083</t>
  </si>
  <si>
    <t>Ciconio</t>
  </si>
  <si>
    <t xml:space="preserve">Cigliano (VC) </t>
  </si>
  <si>
    <t>002042</t>
  </si>
  <si>
    <t>Cigliano</t>
  </si>
  <si>
    <t xml:space="preserve">Cigliè (CN) </t>
  </si>
  <si>
    <t>004069</t>
  </si>
  <si>
    <t>Cigliè</t>
  </si>
  <si>
    <t xml:space="preserve">Cigognola (PV) </t>
  </si>
  <si>
    <t>018049</t>
  </si>
  <si>
    <t>Cigognola</t>
  </si>
  <si>
    <t xml:space="preserve">Cigole (BS) </t>
  </si>
  <si>
    <t>017053</t>
  </si>
  <si>
    <t>Cigole</t>
  </si>
  <si>
    <t xml:space="preserve">Cilavegna (PV) </t>
  </si>
  <si>
    <t>018050</t>
  </si>
  <si>
    <t>Cilavegna</t>
  </si>
  <si>
    <t xml:space="preserve">Cimadolmo (TV) </t>
  </si>
  <si>
    <t>026017</t>
  </si>
  <si>
    <t>Cimadolmo</t>
  </si>
  <si>
    <t xml:space="preserve">Cimbergo (BS) </t>
  </si>
  <si>
    <t>017054</t>
  </si>
  <si>
    <t>Cimbergo</t>
  </si>
  <si>
    <t xml:space="preserve">Ciminà (RC) </t>
  </si>
  <si>
    <t>080026</t>
  </si>
  <si>
    <t>Ciminà</t>
  </si>
  <si>
    <t xml:space="preserve">Ciminna (PA) </t>
  </si>
  <si>
    <t>082030</t>
  </si>
  <si>
    <t>Ciminna</t>
  </si>
  <si>
    <t xml:space="preserve">Cimitile (NA) </t>
  </si>
  <si>
    <t>063028</t>
  </si>
  <si>
    <t>Cimitile</t>
  </si>
  <si>
    <t xml:space="preserve">Cimolais (PN) </t>
  </si>
  <si>
    <t>093014</t>
  </si>
  <si>
    <t>Cimolais</t>
  </si>
  <si>
    <t xml:space="preserve">Cimone (TN) </t>
  </si>
  <si>
    <t>022058</t>
  </si>
  <si>
    <t>Cimone</t>
  </si>
  <si>
    <t xml:space="preserve">Cinaglio (AT) </t>
  </si>
  <si>
    <t>005039</t>
  </si>
  <si>
    <t>Cinaglio</t>
  </si>
  <si>
    <t xml:space="preserve">Cineto Romano (RM) </t>
  </si>
  <si>
    <t>058031</t>
  </si>
  <si>
    <t>Cineto Romano</t>
  </si>
  <si>
    <t xml:space="preserve">Cingia de' Botti (CR) </t>
  </si>
  <si>
    <t>019031</t>
  </si>
  <si>
    <t>Cingia de' Botti</t>
  </si>
  <si>
    <t xml:space="preserve">Cingoli (MC) </t>
  </si>
  <si>
    <t>043012</t>
  </si>
  <si>
    <t>Cingoli</t>
  </si>
  <si>
    <t xml:space="preserve">Cinigiano (GR) </t>
  </si>
  <si>
    <t>053007</t>
  </si>
  <si>
    <t>Cinigiano</t>
  </si>
  <si>
    <t xml:space="preserve">Cinisello Balsamo (MI) </t>
  </si>
  <si>
    <t>015077</t>
  </si>
  <si>
    <t>Cinisello Balsamo</t>
  </si>
  <si>
    <t xml:space="preserve">Cinisi (PA) </t>
  </si>
  <si>
    <t>082031</t>
  </si>
  <si>
    <t>Cinisi</t>
  </si>
  <si>
    <t xml:space="preserve">Cino (SO) </t>
  </si>
  <si>
    <t>014021</t>
  </si>
  <si>
    <t>Cino</t>
  </si>
  <si>
    <t xml:space="preserve">Cinquefrondi (RC) </t>
  </si>
  <si>
    <t>080027</t>
  </si>
  <si>
    <t>Cinquefrondi</t>
  </si>
  <si>
    <t xml:space="preserve">Cintano (TO) </t>
  </si>
  <si>
    <t>001084</t>
  </si>
  <si>
    <t>Cintano</t>
  </si>
  <si>
    <t xml:space="preserve">Cinte Tesino (TN) </t>
  </si>
  <si>
    <t>022059</t>
  </si>
  <si>
    <t>Cinte Tesino</t>
  </si>
  <si>
    <t xml:space="preserve">Cinto Caomaggiore (VE) </t>
  </si>
  <si>
    <t>027009</t>
  </si>
  <si>
    <t>Cinto Caomaggiore</t>
  </si>
  <si>
    <t xml:space="preserve">Cinto Euganeo (PD) </t>
  </si>
  <si>
    <t>028031</t>
  </si>
  <si>
    <t>Cinto Euganeo</t>
  </si>
  <si>
    <t xml:space="preserve">Cinzano (TO) </t>
  </si>
  <si>
    <t>001085</t>
  </si>
  <si>
    <t>Cinzano</t>
  </si>
  <si>
    <t xml:space="preserve">Ciorlano (CE) </t>
  </si>
  <si>
    <t>061030</t>
  </si>
  <si>
    <t>Ciorlano</t>
  </si>
  <si>
    <t xml:space="preserve">Cipressa (IM) </t>
  </si>
  <si>
    <t>008021</t>
  </si>
  <si>
    <t>Cipressa</t>
  </si>
  <si>
    <t xml:space="preserve">Circello (BN) </t>
  </si>
  <si>
    <t>062024</t>
  </si>
  <si>
    <t>Circello</t>
  </si>
  <si>
    <t xml:space="preserve">Ciriè (TO) </t>
  </si>
  <si>
    <t>001086</t>
  </si>
  <si>
    <t>Ciriè</t>
  </si>
  <si>
    <t xml:space="preserve">Cirigliano (MT) </t>
  </si>
  <si>
    <t>077005</t>
  </si>
  <si>
    <t>Cirigliano</t>
  </si>
  <si>
    <t xml:space="preserve">Cirimido (CO) </t>
  </si>
  <si>
    <t>013068</t>
  </si>
  <si>
    <t>Cirimido</t>
  </si>
  <si>
    <t xml:space="preserve">Cirò (KR) </t>
  </si>
  <si>
    <t>Cirò</t>
  </si>
  <si>
    <t xml:space="preserve">Cirò Marina (KR) </t>
  </si>
  <si>
    <t>Cirò Marina</t>
  </si>
  <si>
    <t xml:space="preserve">Cis (TN) </t>
  </si>
  <si>
    <t>022060</t>
  </si>
  <si>
    <t>Cis</t>
  </si>
  <si>
    <t xml:space="preserve">Cisano Bergamasco (BG) </t>
  </si>
  <si>
    <t>016074</t>
  </si>
  <si>
    <t>Cisano Bergamasco</t>
  </si>
  <si>
    <t xml:space="preserve">Cisano sul Neva (SV) </t>
  </si>
  <si>
    <t>009025</t>
  </si>
  <si>
    <t>Cisano sul Neva</t>
  </si>
  <si>
    <t xml:space="preserve">Ciserano (BG) </t>
  </si>
  <si>
    <t>016075</t>
  </si>
  <si>
    <t>Ciserano</t>
  </si>
  <si>
    <t xml:space="preserve">Cislago (VA) </t>
  </si>
  <si>
    <t>012050</t>
  </si>
  <si>
    <t>Cislago</t>
  </si>
  <si>
    <t xml:space="preserve">Cisliano (MI) </t>
  </si>
  <si>
    <t>015078</t>
  </si>
  <si>
    <t>Cisliano</t>
  </si>
  <si>
    <t xml:space="preserve">Cison di Valmarino (TV) </t>
  </si>
  <si>
    <t>026018</t>
  </si>
  <si>
    <t>Cison di Valmarino</t>
  </si>
  <si>
    <t xml:space="preserve">Cissone (CN) </t>
  </si>
  <si>
    <t>004070</t>
  </si>
  <si>
    <t>Cissone</t>
  </si>
  <si>
    <t xml:space="preserve">Cisterna d'Asti (AT) </t>
  </si>
  <si>
    <t>005040</t>
  </si>
  <si>
    <t>Cisterna d'Asti</t>
  </si>
  <si>
    <t xml:space="preserve">Cisterna di Latina (LT) </t>
  </si>
  <si>
    <t>059005</t>
  </si>
  <si>
    <t>Cisterna di Latina</t>
  </si>
  <si>
    <t xml:space="preserve">Cisternino (BR) </t>
  </si>
  <si>
    <t>074005</t>
  </si>
  <si>
    <t>Cisternino</t>
  </si>
  <si>
    <t xml:space="preserve">Citerna (PG) </t>
  </si>
  <si>
    <t>054011</t>
  </si>
  <si>
    <t>Citerna</t>
  </si>
  <si>
    <t xml:space="preserve">Città della Pieve (PG) </t>
  </si>
  <si>
    <t>054012</t>
  </si>
  <si>
    <t>Città della Pieve</t>
  </si>
  <si>
    <t xml:space="preserve">Città di Castello (PG) </t>
  </si>
  <si>
    <t>054013</t>
  </si>
  <si>
    <t>Città di Castello</t>
  </si>
  <si>
    <t xml:space="preserve">Città Sant'Angelo (PE) </t>
  </si>
  <si>
    <t>068012</t>
  </si>
  <si>
    <t>Città Sant'Angelo</t>
  </si>
  <si>
    <t xml:space="preserve">Cittadella (PD) </t>
  </si>
  <si>
    <t>028032</t>
  </si>
  <si>
    <t>Cittadella</t>
  </si>
  <si>
    <t xml:space="preserve">Cittaducale (RI) </t>
  </si>
  <si>
    <t>057016</t>
  </si>
  <si>
    <t>Cittaducale</t>
  </si>
  <si>
    <t xml:space="preserve">Cittanova (RC) </t>
  </si>
  <si>
    <t>080028</t>
  </si>
  <si>
    <t>Cittanova</t>
  </si>
  <si>
    <t xml:space="preserve">Cittareale (RI) </t>
  </si>
  <si>
    <t>057017</t>
  </si>
  <si>
    <t>Cittareale</t>
  </si>
  <si>
    <t xml:space="preserve">Cittiglio (VA) </t>
  </si>
  <si>
    <t>012051</t>
  </si>
  <si>
    <t>Cittiglio</t>
  </si>
  <si>
    <t xml:space="preserve">Civate (LC) </t>
  </si>
  <si>
    <t>097022</t>
  </si>
  <si>
    <t>Civate</t>
  </si>
  <si>
    <t xml:space="preserve">Civezza (IM) </t>
  </si>
  <si>
    <t>008022</t>
  </si>
  <si>
    <t>Civezza</t>
  </si>
  <si>
    <t xml:space="preserve">Civezzano (TN) </t>
  </si>
  <si>
    <t>022061</t>
  </si>
  <si>
    <t>Civezzano</t>
  </si>
  <si>
    <t xml:space="preserve">Civiasco (VC) </t>
  </si>
  <si>
    <t>002043</t>
  </si>
  <si>
    <t>Civiasco</t>
  </si>
  <si>
    <t xml:space="preserve">Cividale del Friuli (UD) </t>
  </si>
  <si>
    <t>030026</t>
  </si>
  <si>
    <t>Cividale del Friuli</t>
  </si>
  <si>
    <t xml:space="preserve">Cividate al Piano (BG) </t>
  </si>
  <si>
    <t>016076</t>
  </si>
  <si>
    <t>Cividate al Piano</t>
  </si>
  <si>
    <t xml:space="preserve">Cividate Camuno (BS) </t>
  </si>
  <si>
    <t>017055</t>
  </si>
  <si>
    <t>Cividate Camuno</t>
  </si>
  <si>
    <t xml:space="preserve">Civita (CS) </t>
  </si>
  <si>
    <t>078041</t>
  </si>
  <si>
    <t>Civita</t>
  </si>
  <si>
    <t xml:space="preserve">Civita Castellana (VT) </t>
  </si>
  <si>
    <t>056021</t>
  </si>
  <si>
    <t>Civita Castellana</t>
  </si>
  <si>
    <t xml:space="preserve">Civita d'Antino (AQ) </t>
  </si>
  <si>
    <t>066034</t>
  </si>
  <si>
    <t>Civita d'Antino</t>
  </si>
  <si>
    <t xml:space="preserve">Civitacampomarano (CB) </t>
  </si>
  <si>
    <t>070019</t>
  </si>
  <si>
    <t>Civitacampomarano</t>
  </si>
  <si>
    <t xml:space="preserve">Civitaluparella (CH) </t>
  </si>
  <si>
    <t>069023</t>
  </si>
  <si>
    <t>Civitaluparella</t>
  </si>
  <si>
    <t xml:space="preserve">Civitanova del Sannio (IS) </t>
  </si>
  <si>
    <t>094016</t>
  </si>
  <si>
    <t>Civitanova del Sannio</t>
  </si>
  <si>
    <t xml:space="preserve">Civitanova Marche (MC) </t>
  </si>
  <si>
    <t>043013</t>
  </si>
  <si>
    <t>Civitanova Marche</t>
  </si>
  <si>
    <t xml:space="preserve">Civitaquana (PE) </t>
  </si>
  <si>
    <t>068013</t>
  </si>
  <si>
    <t>Civitaquana</t>
  </si>
  <si>
    <t xml:space="preserve">Civitavecchia (RM) </t>
  </si>
  <si>
    <t>058032</t>
  </si>
  <si>
    <t>Civitavecchia</t>
  </si>
  <si>
    <t xml:space="preserve">Civitella Alfedena (AQ) </t>
  </si>
  <si>
    <t>066035</t>
  </si>
  <si>
    <t>Civitella Alfedena</t>
  </si>
  <si>
    <t xml:space="preserve">Civitella Casanova (PE) </t>
  </si>
  <si>
    <t>068014</t>
  </si>
  <si>
    <t>Civitella Casanova</t>
  </si>
  <si>
    <t xml:space="preserve">Civitella d'Agliano (VT) </t>
  </si>
  <si>
    <t>056022</t>
  </si>
  <si>
    <t>Civitella d'Agliano</t>
  </si>
  <si>
    <t xml:space="preserve">Civitella del Tronto (TE) </t>
  </si>
  <si>
    <t>067017</t>
  </si>
  <si>
    <t>Civitella del Tronto</t>
  </si>
  <si>
    <t xml:space="preserve">Civitella di Romagna (FC) </t>
  </si>
  <si>
    <t>040009</t>
  </si>
  <si>
    <t>Civitella di Romagna</t>
  </si>
  <si>
    <t xml:space="preserve">Civitella in Val di Chiana (AR) </t>
  </si>
  <si>
    <t>051016</t>
  </si>
  <si>
    <t>Civitella in Val di Chiana</t>
  </si>
  <si>
    <t xml:space="preserve">Civitella Messer Raimondo (CH) </t>
  </si>
  <si>
    <t>069024</t>
  </si>
  <si>
    <t>Civitella Messer Raimondo</t>
  </si>
  <si>
    <t xml:space="preserve">Civitella Paganico (GR) </t>
  </si>
  <si>
    <t>053008</t>
  </si>
  <si>
    <t>Civitella Paganico</t>
  </si>
  <si>
    <t xml:space="preserve">Civitella Roveto (AQ) </t>
  </si>
  <si>
    <t>066036</t>
  </si>
  <si>
    <t>Civitella Roveto</t>
  </si>
  <si>
    <t xml:space="preserve">Civitella San Paolo (RM) </t>
  </si>
  <si>
    <t>058033</t>
  </si>
  <si>
    <t>Civitella San Paolo</t>
  </si>
  <si>
    <t xml:space="preserve">Civo (SO) </t>
  </si>
  <si>
    <t>014022</t>
  </si>
  <si>
    <t>Civo</t>
  </si>
  <si>
    <t xml:space="preserve">Claino con Osteno (CO) </t>
  </si>
  <si>
    <t>013071</t>
  </si>
  <si>
    <t>Claino con Osteno</t>
  </si>
  <si>
    <t xml:space="preserve">Claut (PN) </t>
  </si>
  <si>
    <t>093015</t>
  </si>
  <si>
    <t>Claut</t>
  </si>
  <si>
    <t xml:space="preserve">Clauzetto (PN) </t>
  </si>
  <si>
    <t>093016</t>
  </si>
  <si>
    <t>Clauzetto</t>
  </si>
  <si>
    <t xml:space="preserve">Clavesana (CN) </t>
  </si>
  <si>
    <t>004071</t>
  </si>
  <si>
    <t>Clavesana</t>
  </si>
  <si>
    <t xml:space="preserve">Claviere (TO) </t>
  </si>
  <si>
    <t>001087</t>
  </si>
  <si>
    <t>Claviere</t>
  </si>
  <si>
    <t xml:space="preserve">Cles (TN) </t>
  </si>
  <si>
    <t>022062</t>
  </si>
  <si>
    <t>Cles</t>
  </si>
  <si>
    <t xml:space="preserve">Cleto (CS) </t>
  </si>
  <si>
    <t>078042</t>
  </si>
  <si>
    <t>Cleto</t>
  </si>
  <si>
    <t xml:space="preserve">Clivio (VA) </t>
  </si>
  <si>
    <t>012052</t>
  </si>
  <si>
    <t>Clivio</t>
  </si>
  <si>
    <t xml:space="preserve">Clusone (BG) </t>
  </si>
  <si>
    <t>016077</t>
  </si>
  <si>
    <t>Clusone</t>
  </si>
  <si>
    <t xml:space="preserve">Coassolo Torinese (TO) </t>
  </si>
  <si>
    <t>001088</t>
  </si>
  <si>
    <t>Coassolo Torinese</t>
  </si>
  <si>
    <t xml:space="preserve">Coazze (TO) </t>
  </si>
  <si>
    <t>001089</t>
  </si>
  <si>
    <t>Coazze</t>
  </si>
  <si>
    <t xml:space="preserve">Coazzolo (AT) </t>
  </si>
  <si>
    <t>005041</t>
  </si>
  <si>
    <t>Coazzolo</t>
  </si>
  <si>
    <t xml:space="preserve">Coccaglio (BS) </t>
  </si>
  <si>
    <t>017056</t>
  </si>
  <si>
    <t>Coccaglio</t>
  </si>
  <si>
    <t xml:space="preserve">Cocconato (AT) </t>
  </si>
  <si>
    <t>005042</t>
  </si>
  <si>
    <t>Cocconato</t>
  </si>
  <si>
    <t xml:space="preserve">Cocquio-Trevisago (VA) </t>
  </si>
  <si>
    <t>012053</t>
  </si>
  <si>
    <t>Cocquio-Trevisago</t>
  </si>
  <si>
    <t xml:space="preserve">Cocullo (AQ) </t>
  </si>
  <si>
    <t>066037</t>
  </si>
  <si>
    <t>Cocullo</t>
  </si>
  <si>
    <t xml:space="preserve">Codevigo (PD) </t>
  </si>
  <si>
    <t>028033</t>
  </si>
  <si>
    <t>Codevigo</t>
  </si>
  <si>
    <t xml:space="preserve">Codevilla (PV) </t>
  </si>
  <si>
    <t>018051</t>
  </si>
  <si>
    <t>Codevilla</t>
  </si>
  <si>
    <t xml:space="preserve">Codigoro (FE) </t>
  </si>
  <si>
    <t>038005</t>
  </si>
  <si>
    <t>Codigoro</t>
  </si>
  <si>
    <t xml:space="preserve">Codognè (TV) </t>
  </si>
  <si>
    <t>026019</t>
  </si>
  <si>
    <t>Codognè</t>
  </si>
  <si>
    <t xml:space="preserve">Codogno (LO) </t>
  </si>
  <si>
    <t>098019</t>
  </si>
  <si>
    <t>Codogno</t>
  </si>
  <si>
    <t xml:space="preserve">Codroipo (UD) </t>
  </si>
  <si>
    <t>030027</t>
  </si>
  <si>
    <t>Codroipo</t>
  </si>
  <si>
    <t xml:space="preserve">Codrongianos (SS) </t>
  </si>
  <si>
    <t>Codrongianos</t>
  </si>
  <si>
    <t xml:space="preserve">Coggiola (BI) </t>
  </si>
  <si>
    <t>096019</t>
  </si>
  <si>
    <t>Coggiola</t>
  </si>
  <si>
    <t xml:space="preserve">Cogliate (MB) </t>
  </si>
  <si>
    <t>Cogliate</t>
  </si>
  <si>
    <t xml:space="preserve">Cogne (AO) </t>
  </si>
  <si>
    <t>007021</t>
  </si>
  <si>
    <t>Cogne</t>
  </si>
  <si>
    <t xml:space="preserve">Cogoleto (GE) </t>
  </si>
  <si>
    <t>010017</t>
  </si>
  <si>
    <t>Cogoleto</t>
  </si>
  <si>
    <t xml:space="preserve">Cogollo del Cengio (VI) </t>
  </si>
  <si>
    <t>024032</t>
  </si>
  <si>
    <t>Cogollo del Cengio</t>
  </si>
  <si>
    <t xml:space="preserve">Cogorno (GE) </t>
  </si>
  <si>
    <t>010018</t>
  </si>
  <si>
    <t>Cogorno</t>
  </si>
  <si>
    <t xml:space="preserve">Colazza (NO) </t>
  </si>
  <si>
    <t>003051</t>
  </si>
  <si>
    <t>Colazza</t>
  </si>
  <si>
    <t xml:space="preserve">Colere (BG) </t>
  </si>
  <si>
    <t>016078</t>
  </si>
  <si>
    <t>Colere</t>
  </si>
  <si>
    <t xml:space="preserve">Colfelice (FR) </t>
  </si>
  <si>
    <t>060027</t>
  </si>
  <si>
    <t>Colfelice</t>
  </si>
  <si>
    <t xml:space="preserve">Coli (PC) </t>
  </si>
  <si>
    <t>033016</t>
  </si>
  <si>
    <t>Coli</t>
  </si>
  <si>
    <t xml:space="preserve">Colico (LC) </t>
  </si>
  <si>
    <t>097023</t>
  </si>
  <si>
    <t>Colico</t>
  </si>
  <si>
    <t xml:space="preserve">Collalto Sabino (RI) </t>
  </si>
  <si>
    <t>057018</t>
  </si>
  <si>
    <t>Collalto Sabino</t>
  </si>
  <si>
    <t xml:space="preserve">Collarmele (AQ) </t>
  </si>
  <si>
    <t>066038</t>
  </si>
  <si>
    <t>Collarmele</t>
  </si>
  <si>
    <t xml:space="preserve">Collazzone (PG) </t>
  </si>
  <si>
    <t>054014</t>
  </si>
  <si>
    <t>Collazzone</t>
  </si>
  <si>
    <t xml:space="preserve">Colle Brianza (LC) </t>
  </si>
  <si>
    <t>097024</t>
  </si>
  <si>
    <t>Colle Brianza</t>
  </si>
  <si>
    <t xml:space="preserve">Colle d'Anchise (CB) </t>
  </si>
  <si>
    <t>070020</t>
  </si>
  <si>
    <t>Colle d'Anchise</t>
  </si>
  <si>
    <t xml:space="preserve">Colle di Tora (RI) </t>
  </si>
  <si>
    <t>057019</t>
  </si>
  <si>
    <t>Colle di Tora</t>
  </si>
  <si>
    <t xml:space="preserve">Colle di Val d'Elsa (SI) </t>
  </si>
  <si>
    <t>052012</t>
  </si>
  <si>
    <t>Colle di Val d'Elsa</t>
  </si>
  <si>
    <t xml:space="preserve">Colle San Magno (FR) </t>
  </si>
  <si>
    <t>060029</t>
  </si>
  <si>
    <t>Colle San Magno</t>
  </si>
  <si>
    <t xml:space="preserve">Colle Sannita (BN) </t>
  </si>
  <si>
    <t>062025</t>
  </si>
  <si>
    <t>Colle Sannita</t>
  </si>
  <si>
    <t xml:space="preserve">Colle Santa Lucia (BL) </t>
  </si>
  <si>
    <t>025014</t>
  </si>
  <si>
    <t>Colle Santa Lucia</t>
  </si>
  <si>
    <t xml:space="preserve">Colle Umberto (TV) </t>
  </si>
  <si>
    <t>026020</t>
  </si>
  <si>
    <t>Colle Umberto</t>
  </si>
  <si>
    <t xml:space="preserve">Collebeato (BS) </t>
  </si>
  <si>
    <t>017057</t>
  </si>
  <si>
    <t>Collebeato</t>
  </si>
  <si>
    <t xml:space="preserve">Collecchio (PR) </t>
  </si>
  <si>
    <t>034009</t>
  </si>
  <si>
    <t>Collecchio</t>
  </si>
  <si>
    <t xml:space="preserve">Collecorvino (PE) </t>
  </si>
  <si>
    <t>068015</t>
  </si>
  <si>
    <t>Collecorvino</t>
  </si>
  <si>
    <t xml:space="preserve">Colledara (TE) </t>
  </si>
  <si>
    <t>067018</t>
  </si>
  <si>
    <t>Colledara</t>
  </si>
  <si>
    <t xml:space="preserve">Colledimacine (CH) </t>
  </si>
  <si>
    <t>069025</t>
  </si>
  <si>
    <t>Colledimacine</t>
  </si>
  <si>
    <t xml:space="preserve">Colledimezzo (CH) </t>
  </si>
  <si>
    <t>069026</t>
  </si>
  <si>
    <t>Colledimezzo</t>
  </si>
  <si>
    <t xml:space="preserve">Colleferro (RM) </t>
  </si>
  <si>
    <t>058034</t>
  </si>
  <si>
    <t>Colleferro</t>
  </si>
  <si>
    <t xml:space="preserve">Collegiove (RI) </t>
  </si>
  <si>
    <t>057020</t>
  </si>
  <si>
    <t>Collegiove</t>
  </si>
  <si>
    <t xml:space="preserve">Collegno (TO) </t>
  </si>
  <si>
    <t>001090</t>
  </si>
  <si>
    <t>Collegno</t>
  </si>
  <si>
    <t xml:space="preserve">Collelongo (AQ) </t>
  </si>
  <si>
    <t>066039</t>
  </si>
  <si>
    <t>Collelongo</t>
  </si>
  <si>
    <t xml:space="preserve">Collepardo (FR) </t>
  </si>
  <si>
    <t>060028</t>
  </si>
  <si>
    <t>Collepardo</t>
  </si>
  <si>
    <t xml:space="preserve">Collepasso (LE) </t>
  </si>
  <si>
    <t>075021</t>
  </si>
  <si>
    <t>Collepasso</t>
  </si>
  <si>
    <t xml:space="preserve">Collepietro (AQ) </t>
  </si>
  <si>
    <t>066040</t>
  </si>
  <si>
    <t>Collepietro</t>
  </si>
  <si>
    <t xml:space="preserve">Colleretto Castelnuovo (TO) </t>
  </si>
  <si>
    <t>001091</t>
  </si>
  <si>
    <t>Colleretto Castelnuovo</t>
  </si>
  <si>
    <t xml:space="preserve">Colleretto Giacosa (TO) </t>
  </si>
  <si>
    <t>001092</t>
  </si>
  <si>
    <t>Colleretto Giacosa</t>
  </si>
  <si>
    <t xml:space="preserve">Collesalvetti (LI) </t>
  </si>
  <si>
    <t>049008</t>
  </si>
  <si>
    <t>Collesalvetti</t>
  </si>
  <si>
    <t xml:space="preserve">Collesano (PA) </t>
  </si>
  <si>
    <t>082032</t>
  </si>
  <si>
    <t>Collesano</t>
  </si>
  <si>
    <t xml:space="preserve">Colletorto (CB) </t>
  </si>
  <si>
    <t>070021</t>
  </si>
  <si>
    <t>Colletorto</t>
  </si>
  <si>
    <t xml:space="preserve">Collevecchio (RI) </t>
  </si>
  <si>
    <t>057021</t>
  </si>
  <si>
    <t>Collevecchio</t>
  </si>
  <si>
    <t xml:space="preserve">Colli a Volturno (IS) </t>
  </si>
  <si>
    <t>094017</t>
  </si>
  <si>
    <t>Colli a Volturno</t>
  </si>
  <si>
    <t xml:space="preserve">Colli del Tronto (AP) </t>
  </si>
  <si>
    <t>044014</t>
  </si>
  <si>
    <t>Colli del Tronto</t>
  </si>
  <si>
    <t xml:space="preserve">Colli sul Velino (RI) </t>
  </si>
  <si>
    <t>057022</t>
  </si>
  <si>
    <t>Colli sul Velino</t>
  </si>
  <si>
    <t xml:space="preserve">Colliano (SA) </t>
  </si>
  <si>
    <t>065043</t>
  </si>
  <si>
    <t>Colliano</t>
  </si>
  <si>
    <t>Collinas</t>
  </si>
  <si>
    <t xml:space="preserve">Collio (BS) </t>
  </si>
  <si>
    <t>017058</t>
  </si>
  <si>
    <t>Collio</t>
  </si>
  <si>
    <t xml:space="preserve">Collobiano (VC) </t>
  </si>
  <si>
    <t>002045</t>
  </si>
  <si>
    <t>Collobiano</t>
  </si>
  <si>
    <t xml:space="preserve">Colloredo di Monte Albano (UD) </t>
  </si>
  <si>
    <t>030028</t>
  </si>
  <si>
    <t>Colloredo di Monte Albano</t>
  </si>
  <si>
    <t xml:space="preserve">Colmurano (MC) </t>
  </si>
  <si>
    <t>043014</t>
  </si>
  <si>
    <t>Colmurano</t>
  </si>
  <si>
    <t xml:space="preserve">Colobraro (MT) </t>
  </si>
  <si>
    <t>077006</t>
  </si>
  <si>
    <t>Colobraro</t>
  </si>
  <si>
    <t xml:space="preserve">Cologna Veneta (VR) </t>
  </si>
  <si>
    <t>023027</t>
  </si>
  <si>
    <t>Cologna Veneta</t>
  </si>
  <si>
    <t xml:space="preserve">Cologne (BS) </t>
  </si>
  <si>
    <t>017059</t>
  </si>
  <si>
    <t>Cologne</t>
  </si>
  <si>
    <t xml:space="preserve">Cologno al Serio (BG) </t>
  </si>
  <si>
    <t>016079</t>
  </si>
  <si>
    <t>Cologno al Serio</t>
  </si>
  <si>
    <t xml:space="preserve">Cologno Monzese (MI) </t>
  </si>
  <si>
    <t>015081</t>
  </si>
  <si>
    <t>Cologno Monzese</t>
  </si>
  <si>
    <t xml:space="preserve">Colognola ai Colli (VR) </t>
  </si>
  <si>
    <t>023028</t>
  </si>
  <si>
    <t>Colognola ai Colli</t>
  </si>
  <si>
    <t xml:space="preserve">Colonna (RM) </t>
  </si>
  <si>
    <t>058035</t>
  </si>
  <si>
    <t>Colonna</t>
  </si>
  <si>
    <t xml:space="preserve">Colonnella (TE) </t>
  </si>
  <si>
    <t>067019</t>
  </si>
  <si>
    <t>Colonnella</t>
  </si>
  <si>
    <t xml:space="preserve">Colonno (CO) </t>
  </si>
  <si>
    <t>013074</t>
  </si>
  <si>
    <t>Colonno</t>
  </si>
  <si>
    <t xml:space="preserve">Colorina (SO) </t>
  </si>
  <si>
    <t>014023</t>
  </si>
  <si>
    <t>Colorina</t>
  </si>
  <si>
    <t xml:space="preserve">Colorno (PR) </t>
  </si>
  <si>
    <t>034010</t>
  </si>
  <si>
    <t>Colorno</t>
  </si>
  <si>
    <t xml:space="preserve">Colosimi (CS) </t>
  </si>
  <si>
    <t>078043</t>
  </si>
  <si>
    <t>Colosimi</t>
  </si>
  <si>
    <t xml:space="preserve">Colturano (MI) </t>
  </si>
  <si>
    <t>015082</t>
  </si>
  <si>
    <t>Colturano</t>
  </si>
  <si>
    <t xml:space="preserve">Colzate (BG) </t>
  </si>
  <si>
    <t>016080</t>
  </si>
  <si>
    <t>Colzate</t>
  </si>
  <si>
    <t xml:space="preserve">Comabbio (VA) </t>
  </si>
  <si>
    <t>012054</t>
  </si>
  <si>
    <t>Comabbio</t>
  </si>
  <si>
    <t xml:space="preserve">Comacchio (FE) </t>
  </si>
  <si>
    <t>038006</t>
  </si>
  <si>
    <t>Comacchio</t>
  </si>
  <si>
    <t xml:space="preserve">Comano (MS) </t>
  </si>
  <si>
    <t>045005</t>
  </si>
  <si>
    <t>Comano</t>
  </si>
  <si>
    <t xml:space="preserve">Comano Terme (TN) </t>
  </si>
  <si>
    <t>022228</t>
  </si>
  <si>
    <t>Comano Terme</t>
  </si>
  <si>
    <t xml:space="preserve">Comazzo (LO) </t>
  </si>
  <si>
    <t>098020</t>
  </si>
  <si>
    <t>Comazzo</t>
  </si>
  <si>
    <t xml:space="preserve">Comeglians (UD) </t>
  </si>
  <si>
    <t>030029</t>
  </si>
  <si>
    <t>Comeglians</t>
  </si>
  <si>
    <t xml:space="preserve">Comelico Superiore (BL) </t>
  </si>
  <si>
    <t>025015</t>
  </si>
  <si>
    <t>Comelico Superiore</t>
  </si>
  <si>
    <t xml:space="preserve">Comerio (VA) </t>
  </si>
  <si>
    <t>012055</t>
  </si>
  <si>
    <t>Comerio</t>
  </si>
  <si>
    <t xml:space="preserve">Comezzano-Cizzago (BS) </t>
  </si>
  <si>
    <t>017060</t>
  </si>
  <si>
    <t>Comezzano-Cizzago</t>
  </si>
  <si>
    <t xml:space="preserve">Comignago (NO) </t>
  </si>
  <si>
    <t>003052</t>
  </si>
  <si>
    <t>Comignago</t>
  </si>
  <si>
    <t xml:space="preserve">Comiso (RG) </t>
  </si>
  <si>
    <t>088003</t>
  </si>
  <si>
    <t>Comiso</t>
  </si>
  <si>
    <t xml:space="preserve">Comitini (AG) </t>
  </si>
  <si>
    <t>084016</t>
  </si>
  <si>
    <t>Comitini</t>
  </si>
  <si>
    <t xml:space="preserve">Comiziano (NA) </t>
  </si>
  <si>
    <t>063029</t>
  </si>
  <si>
    <t>Comiziano</t>
  </si>
  <si>
    <t xml:space="preserve">Commessaggio (MN) </t>
  </si>
  <si>
    <t>020020</t>
  </si>
  <si>
    <t>Commessaggio</t>
  </si>
  <si>
    <t xml:space="preserve">Commezzadura (TN) </t>
  </si>
  <si>
    <t>022064</t>
  </si>
  <si>
    <t>Commezzadura</t>
  </si>
  <si>
    <t xml:space="preserve">Como (CO) </t>
  </si>
  <si>
    <t>013075</t>
  </si>
  <si>
    <t>Como</t>
  </si>
  <si>
    <t xml:space="preserve">Compiano (PR) </t>
  </si>
  <si>
    <t>034011</t>
  </si>
  <si>
    <t>Compiano</t>
  </si>
  <si>
    <t xml:space="preserve">Comun Nuovo (BG) </t>
  </si>
  <si>
    <t>016081</t>
  </si>
  <si>
    <t>Comun Nuovo</t>
  </si>
  <si>
    <t xml:space="preserve">Comunanza (AP) </t>
  </si>
  <si>
    <t>044015</t>
  </si>
  <si>
    <t>Comunanza</t>
  </si>
  <si>
    <t xml:space="preserve">Cona (VE) </t>
  </si>
  <si>
    <t>027010</t>
  </si>
  <si>
    <t>Cona</t>
  </si>
  <si>
    <t xml:space="preserve">Conca Casale (IS) </t>
  </si>
  <si>
    <t>094018</t>
  </si>
  <si>
    <t>Conca Casale</t>
  </si>
  <si>
    <t xml:space="preserve">Conca dei Marini (SA) </t>
  </si>
  <si>
    <t>065044</t>
  </si>
  <si>
    <t>Conca dei Marini</t>
  </si>
  <si>
    <t xml:space="preserve">Conca della Campania (CE) </t>
  </si>
  <si>
    <t>061031</t>
  </si>
  <si>
    <t>Conca della Campania</t>
  </si>
  <si>
    <t xml:space="preserve">Concamarise (VR) </t>
  </si>
  <si>
    <t>023029</t>
  </si>
  <si>
    <t>Concamarise</t>
  </si>
  <si>
    <t xml:space="preserve">Concerviano (RI) </t>
  </si>
  <si>
    <t>057023</t>
  </si>
  <si>
    <t>Concerviano</t>
  </si>
  <si>
    <t xml:space="preserve">Concesio (BS) </t>
  </si>
  <si>
    <t>017061</t>
  </si>
  <si>
    <t>Concesio</t>
  </si>
  <si>
    <t xml:space="preserve">Concordia Sagittaria (VE) </t>
  </si>
  <si>
    <t>027011</t>
  </si>
  <si>
    <t>Concordia Sagittaria</t>
  </si>
  <si>
    <t xml:space="preserve">Concordia sulla Secchia (MO) </t>
  </si>
  <si>
    <t>036010</t>
  </si>
  <si>
    <t>Concordia sulla Secchia</t>
  </si>
  <si>
    <t xml:space="preserve">Concorezzo (MB) </t>
  </si>
  <si>
    <t>Concorezzo</t>
  </si>
  <si>
    <t xml:space="preserve">Condofuri (RC) </t>
  </si>
  <si>
    <t>080029</t>
  </si>
  <si>
    <t>Condofuri</t>
  </si>
  <si>
    <t xml:space="preserve">Condove (TO) </t>
  </si>
  <si>
    <t>001093</t>
  </si>
  <si>
    <t>Condove</t>
  </si>
  <si>
    <t xml:space="preserve">Condrò (ME) </t>
  </si>
  <si>
    <t>083018</t>
  </si>
  <si>
    <t>Condrò</t>
  </si>
  <si>
    <t xml:space="preserve">Conegliano (TV) </t>
  </si>
  <si>
    <t>026021</t>
  </si>
  <si>
    <t>Conegliano</t>
  </si>
  <si>
    <t xml:space="preserve">Confienza (PV) </t>
  </si>
  <si>
    <t>018052</t>
  </si>
  <si>
    <t>Confienza</t>
  </si>
  <si>
    <t xml:space="preserve">Configni (RI) </t>
  </si>
  <si>
    <t>057024</t>
  </si>
  <si>
    <t>Configni</t>
  </si>
  <si>
    <t xml:space="preserve">Conflenti (CZ) </t>
  </si>
  <si>
    <t>079033</t>
  </si>
  <si>
    <t>Conflenti</t>
  </si>
  <si>
    <t xml:space="preserve">Coniolo (AL) </t>
  </si>
  <si>
    <t>006060</t>
  </si>
  <si>
    <t>Coniolo</t>
  </si>
  <si>
    <t xml:space="preserve">Conselice (RA) </t>
  </si>
  <si>
    <t>039008</t>
  </si>
  <si>
    <t>Conselice</t>
  </si>
  <si>
    <t xml:space="preserve">Conselve (PD) </t>
  </si>
  <si>
    <t>028034</t>
  </si>
  <si>
    <t>Conselve</t>
  </si>
  <si>
    <t xml:space="preserve">Contessa Entellina (PA) </t>
  </si>
  <si>
    <t>082033</t>
  </si>
  <si>
    <t>Contessa Entellina</t>
  </si>
  <si>
    <t xml:space="preserve">Contigliano (RI) </t>
  </si>
  <si>
    <t>057025</t>
  </si>
  <si>
    <t>Contigliano</t>
  </si>
  <si>
    <t xml:space="preserve">Contrada (AV) </t>
  </si>
  <si>
    <t>064029</t>
  </si>
  <si>
    <t>Contrada</t>
  </si>
  <si>
    <t xml:space="preserve">Controguerra (TE) </t>
  </si>
  <si>
    <t>067020</t>
  </si>
  <si>
    <t>Controguerra</t>
  </si>
  <si>
    <t xml:space="preserve">Controne (SA) </t>
  </si>
  <si>
    <t>065045</t>
  </si>
  <si>
    <t>Controne</t>
  </si>
  <si>
    <t xml:space="preserve">Contursi Terme (SA) </t>
  </si>
  <si>
    <t>065046</t>
  </si>
  <si>
    <t>Contursi Terme</t>
  </si>
  <si>
    <t xml:space="preserve">Conversano (BA) </t>
  </si>
  <si>
    <t>072019</t>
  </si>
  <si>
    <t>Conversano</t>
  </si>
  <si>
    <t xml:space="preserve">Conza della Campania (AV) </t>
  </si>
  <si>
    <t>064030</t>
  </si>
  <si>
    <t>Conza della Campania</t>
  </si>
  <si>
    <t xml:space="preserve">Conzano (AL) </t>
  </si>
  <si>
    <t>006061</t>
  </si>
  <si>
    <t>Conzano</t>
  </si>
  <si>
    <t xml:space="preserve">Copertino (LE) </t>
  </si>
  <si>
    <t>075022</t>
  </si>
  <si>
    <t>Copertino</t>
  </si>
  <si>
    <t xml:space="preserve">Copiano (PV) </t>
  </si>
  <si>
    <t>018053</t>
  </si>
  <si>
    <t>Copiano</t>
  </si>
  <si>
    <t xml:space="preserve">Copparo (FE) </t>
  </si>
  <si>
    <t>038007</t>
  </si>
  <si>
    <t>Copparo</t>
  </si>
  <si>
    <t xml:space="preserve">Corana (PV) </t>
  </si>
  <si>
    <t>018054</t>
  </si>
  <si>
    <t>Corana</t>
  </si>
  <si>
    <t xml:space="preserve">Corato (BA) </t>
  </si>
  <si>
    <t>072020</t>
  </si>
  <si>
    <t>Corato</t>
  </si>
  <si>
    <t xml:space="preserve">Corbara (SA) </t>
  </si>
  <si>
    <t>065047</t>
  </si>
  <si>
    <t>Corbara</t>
  </si>
  <si>
    <t xml:space="preserve">Corbetta (MI) </t>
  </si>
  <si>
    <t>015085</t>
  </si>
  <si>
    <t>Corbetta</t>
  </si>
  <si>
    <t xml:space="preserve">Corbola (RO) </t>
  </si>
  <si>
    <t>029017</t>
  </si>
  <si>
    <t>Corbola</t>
  </si>
  <si>
    <t xml:space="preserve">Corchiano (VT) </t>
  </si>
  <si>
    <t>056023</t>
  </si>
  <si>
    <t>Corchiano</t>
  </si>
  <si>
    <t xml:space="preserve">Corciano (PG) </t>
  </si>
  <si>
    <t>054015</t>
  </si>
  <si>
    <t>Corciano</t>
  </si>
  <si>
    <t xml:space="preserve">Cordenons (PN) </t>
  </si>
  <si>
    <t>093017</t>
  </si>
  <si>
    <t>Cordenons</t>
  </si>
  <si>
    <t xml:space="preserve">Cordignano (TV) </t>
  </si>
  <si>
    <t>026022</t>
  </si>
  <si>
    <t>Cordignano</t>
  </si>
  <si>
    <t xml:space="preserve">Cordovado (PN) </t>
  </si>
  <si>
    <t>093018</t>
  </si>
  <si>
    <t>Cordovado</t>
  </si>
  <si>
    <t xml:space="preserve">Coreglia Antelminelli (LU) </t>
  </si>
  <si>
    <t>046011</t>
  </si>
  <si>
    <t>Coreglia Antelminelli</t>
  </si>
  <si>
    <t xml:space="preserve">Coreglia Ligure (GE) </t>
  </si>
  <si>
    <t>010019</t>
  </si>
  <si>
    <t>Coreglia Ligure</t>
  </si>
  <si>
    <t xml:space="preserve">Coreno Ausonio (FR) </t>
  </si>
  <si>
    <t>060030</t>
  </si>
  <si>
    <t>Coreno Ausonio</t>
  </si>
  <si>
    <t xml:space="preserve">Corfinio (AQ) </t>
  </si>
  <si>
    <t>066041</t>
  </si>
  <si>
    <t>Corfinio</t>
  </si>
  <si>
    <t xml:space="preserve">Cori (LT) </t>
  </si>
  <si>
    <t>059006</t>
  </si>
  <si>
    <t>Cori</t>
  </si>
  <si>
    <t xml:space="preserve">Coriano (RN) </t>
  </si>
  <si>
    <t>099003</t>
  </si>
  <si>
    <t>Coriano</t>
  </si>
  <si>
    <t xml:space="preserve">Corigliano d'Otranto (LE) </t>
  </si>
  <si>
    <t>075023</t>
  </si>
  <si>
    <t>Corigliano d'Otranto</t>
  </si>
  <si>
    <t xml:space="preserve">Corinaldo (AN) </t>
  </si>
  <si>
    <t>042015</t>
  </si>
  <si>
    <t>Corinaldo</t>
  </si>
  <si>
    <t xml:space="preserve">Corio (TO) </t>
  </si>
  <si>
    <t>001094</t>
  </si>
  <si>
    <t>Corio</t>
  </si>
  <si>
    <t xml:space="preserve">Corleone (PA) </t>
  </si>
  <si>
    <t>082034</t>
  </si>
  <si>
    <t>Corleone</t>
  </si>
  <si>
    <t xml:space="preserve">Corleto Monforte (SA) </t>
  </si>
  <si>
    <t>065048</t>
  </si>
  <si>
    <t>Corleto Monforte</t>
  </si>
  <si>
    <t xml:space="preserve">Corleto Perticara (PZ) </t>
  </si>
  <si>
    <t>076029</t>
  </si>
  <si>
    <t>Corleto Perticara</t>
  </si>
  <si>
    <t xml:space="preserve">Cormano (MI) </t>
  </si>
  <si>
    <t>015086</t>
  </si>
  <si>
    <t>Cormano</t>
  </si>
  <si>
    <t xml:space="preserve">Cormons (GO) </t>
  </si>
  <si>
    <t>031002</t>
  </si>
  <si>
    <t>Cormons</t>
  </si>
  <si>
    <t xml:space="preserve">Corna Imagna (BG) </t>
  </si>
  <si>
    <t>016082</t>
  </si>
  <si>
    <t>Corna Imagna</t>
  </si>
  <si>
    <t xml:space="preserve">Cornalba (BG) </t>
  </si>
  <si>
    <t>016249</t>
  </si>
  <si>
    <t>Cornalba</t>
  </si>
  <si>
    <t xml:space="preserve">Cornaredo (MI) </t>
  </si>
  <si>
    <t>015087</t>
  </si>
  <si>
    <t>Cornaredo</t>
  </si>
  <si>
    <t xml:space="preserve">Cornate d'Adda (MB) </t>
  </si>
  <si>
    <t>Cornate d'Adda</t>
  </si>
  <si>
    <t>021023</t>
  </si>
  <si>
    <t xml:space="preserve">Cornedo Vicentino (VI) </t>
  </si>
  <si>
    <t>024034</t>
  </si>
  <si>
    <t>Cornedo Vicentino</t>
  </si>
  <si>
    <t xml:space="preserve">Cornegliano Laudense (LO) </t>
  </si>
  <si>
    <t>098021</t>
  </si>
  <si>
    <t>Cornegliano Laudense</t>
  </si>
  <si>
    <t xml:space="preserve">Corneliano d'Alba (CN) </t>
  </si>
  <si>
    <t>004072</t>
  </si>
  <si>
    <t>Corneliano d'Alba</t>
  </si>
  <si>
    <t xml:space="preserve">Corniglio (PR) </t>
  </si>
  <si>
    <t>034012</t>
  </si>
  <si>
    <t>Corniglio</t>
  </si>
  <si>
    <t xml:space="preserve">Corno di Rosazzo (UD) </t>
  </si>
  <si>
    <t>030030</t>
  </si>
  <si>
    <t>Corno di Rosazzo</t>
  </si>
  <si>
    <t xml:space="preserve">Corno Giovine (LO) </t>
  </si>
  <si>
    <t>098022</t>
  </si>
  <si>
    <t>Corno Giovine</t>
  </si>
  <si>
    <t xml:space="preserve">Cornovecchio (LO) </t>
  </si>
  <si>
    <t>098023</t>
  </si>
  <si>
    <t>Cornovecchio</t>
  </si>
  <si>
    <t xml:space="preserve">Cornuda (TV) </t>
  </si>
  <si>
    <t>026023</t>
  </si>
  <si>
    <t>Cornuda</t>
  </si>
  <si>
    <t xml:space="preserve">Correggio (RE) </t>
  </si>
  <si>
    <t>035020</t>
  </si>
  <si>
    <t>Correggio</t>
  </si>
  <si>
    <t xml:space="preserve">Correzzana (MB) </t>
  </si>
  <si>
    <t>Correzzana</t>
  </si>
  <si>
    <t xml:space="preserve">Correzzola (PD) </t>
  </si>
  <si>
    <t>028035</t>
  </si>
  <si>
    <t>Correzzola</t>
  </si>
  <si>
    <t xml:space="preserve">Corrido (CO) </t>
  </si>
  <si>
    <t>013077</t>
  </si>
  <si>
    <t>Corrido</t>
  </si>
  <si>
    <t xml:space="preserve">Corridonia (MC) </t>
  </si>
  <si>
    <t>043015</t>
  </si>
  <si>
    <t>Corridonia</t>
  </si>
  <si>
    <t xml:space="preserve">Corropoli (TE) </t>
  </si>
  <si>
    <t>067021</t>
  </si>
  <si>
    <t>Corropoli</t>
  </si>
  <si>
    <t xml:space="preserve">Corsano (LE) </t>
  </si>
  <si>
    <t>075024</t>
  </si>
  <si>
    <t>Corsano</t>
  </si>
  <si>
    <t xml:space="preserve">Corsico (MI) </t>
  </si>
  <si>
    <t>015093</t>
  </si>
  <si>
    <t>Corsico</t>
  </si>
  <si>
    <t xml:space="preserve">Corsione (AT) </t>
  </si>
  <si>
    <t>005044</t>
  </si>
  <si>
    <t>Corsione</t>
  </si>
  <si>
    <t>021024</t>
  </si>
  <si>
    <t xml:space="preserve">Cortale (CZ) </t>
  </si>
  <si>
    <t>079034</t>
  </si>
  <si>
    <t>Cortale</t>
  </si>
  <si>
    <t xml:space="preserve">Cortandone (AT) </t>
  </si>
  <si>
    <t>005045</t>
  </si>
  <si>
    <t>Cortandone</t>
  </si>
  <si>
    <t xml:space="preserve">Cortanze (AT) </t>
  </si>
  <si>
    <t>005046</t>
  </si>
  <si>
    <t>Cortanze</t>
  </si>
  <si>
    <t xml:space="preserve">Cortazzone (AT) </t>
  </si>
  <si>
    <t>005047</t>
  </si>
  <si>
    <t>Cortazzone</t>
  </si>
  <si>
    <t xml:space="preserve">Corte Brugnatella (PC) </t>
  </si>
  <si>
    <t>033017</t>
  </si>
  <si>
    <t>Corte Brugnatella</t>
  </si>
  <si>
    <t xml:space="preserve">Corte de' Cortesi con Cignone (CR) </t>
  </si>
  <si>
    <t>019032</t>
  </si>
  <si>
    <t>Corte de' Cortesi con Cignone</t>
  </si>
  <si>
    <t xml:space="preserve">Corte de' Frati (CR) </t>
  </si>
  <si>
    <t>019033</t>
  </si>
  <si>
    <t>Corte de' Frati</t>
  </si>
  <si>
    <t xml:space="preserve">Corte Franca (BS) </t>
  </si>
  <si>
    <t>017062</t>
  </si>
  <si>
    <t>Corte Franca</t>
  </si>
  <si>
    <t xml:space="preserve">Corte Palasio (LO) </t>
  </si>
  <si>
    <t>098024</t>
  </si>
  <si>
    <t>Corte Palasio</t>
  </si>
  <si>
    <t xml:space="preserve">Cortemaggiore (PC) </t>
  </si>
  <si>
    <t>033018</t>
  </si>
  <si>
    <t>Cortemaggiore</t>
  </si>
  <si>
    <t xml:space="preserve">Cortemilia (CN) </t>
  </si>
  <si>
    <t>004073</t>
  </si>
  <si>
    <t>Cortemilia</t>
  </si>
  <si>
    <t xml:space="preserve">Corteno Golgi (BS) </t>
  </si>
  <si>
    <t>017063</t>
  </si>
  <si>
    <t>Corteno Golgi</t>
  </si>
  <si>
    <t xml:space="preserve">Cortenova (LC) </t>
  </si>
  <si>
    <t>097025</t>
  </si>
  <si>
    <t>Cortenova</t>
  </si>
  <si>
    <t xml:space="preserve">Cortenuova (BG) </t>
  </si>
  <si>
    <t>016083</t>
  </si>
  <si>
    <t>Cortenuova</t>
  </si>
  <si>
    <t xml:space="preserve">Cortiglione (AT) </t>
  </si>
  <si>
    <t>005048</t>
  </si>
  <si>
    <t>Cortiglione</t>
  </si>
  <si>
    <t xml:space="preserve">Cortina d'Ampezzo (BL) </t>
  </si>
  <si>
    <t>025016</t>
  </si>
  <si>
    <t>Cortina d'Ampezzo</t>
  </si>
  <si>
    <t>021025</t>
  </si>
  <si>
    <t xml:space="preserve">Cortino (TE) </t>
  </si>
  <si>
    <t>067022</t>
  </si>
  <si>
    <t>Cortino</t>
  </si>
  <si>
    <t xml:space="preserve">Cortona (AR) </t>
  </si>
  <si>
    <t>051017</t>
  </si>
  <si>
    <t>Cortona</t>
  </si>
  <si>
    <t xml:space="preserve">Corvara (PE) </t>
  </si>
  <si>
    <t>068016</t>
  </si>
  <si>
    <t>Corvara</t>
  </si>
  <si>
    <t>021026</t>
  </si>
  <si>
    <t xml:space="preserve">Corvino San Quirico (PV) </t>
  </si>
  <si>
    <t>018057</t>
  </si>
  <si>
    <t>Corvino San Quirico</t>
  </si>
  <si>
    <t xml:space="preserve">Corzano (BS) </t>
  </si>
  <si>
    <t>017064</t>
  </si>
  <si>
    <t>Corzano</t>
  </si>
  <si>
    <t xml:space="preserve">Coseano (UD) </t>
  </si>
  <si>
    <t>030031</t>
  </si>
  <si>
    <t>Coseano</t>
  </si>
  <si>
    <t xml:space="preserve">Cosenza (CS) </t>
  </si>
  <si>
    <t>078045</t>
  </si>
  <si>
    <t>Cosenza</t>
  </si>
  <si>
    <t xml:space="preserve">Cosio d'Arroscia (IM) </t>
  </si>
  <si>
    <t>008023</t>
  </si>
  <si>
    <t>Cosio d'Arroscia</t>
  </si>
  <si>
    <t xml:space="preserve">Cosio Valtellino (SO) </t>
  </si>
  <si>
    <t>014024</t>
  </si>
  <si>
    <t>Cosio Valtellino</t>
  </si>
  <si>
    <t xml:space="preserve">Cosoleto (RC) </t>
  </si>
  <si>
    <t>080030</t>
  </si>
  <si>
    <t>Cosoleto</t>
  </si>
  <si>
    <t xml:space="preserve">Cossano Belbo (CN) </t>
  </si>
  <si>
    <t>004074</t>
  </si>
  <si>
    <t>Cossano Belbo</t>
  </si>
  <si>
    <t xml:space="preserve">Cossano Canavese (TO) </t>
  </si>
  <si>
    <t>001095</t>
  </si>
  <si>
    <t>Cossano Canavese</t>
  </si>
  <si>
    <t xml:space="preserve">Cossato (BI) </t>
  </si>
  <si>
    <t>096020</t>
  </si>
  <si>
    <t>Cossato</t>
  </si>
  <si>
    <t xml:space="preserve">Cosseria (SV) </t>
  </si>
  <si>
    <t>009026</t>
  </si>
  <si>
    <t>Cosseria</t>
  </si>
  <si>
    <t xml:space="preserve">Cossignano (AP) </t>
  </si>
  <si>
    <t>044016</t>
  </si>
  <si>
    <t>Cossignano</t>
  </si>
  <si>
    <t xml:space="preserve">Cossogno (VB) </t>
  </si>
  <si>
    <t>Cossogno</t>
  </si>
  <si>
    <t xml:space="preserve">Cossoine (SS) </t>
  </si>
  <si>
    <t>Cossoine</t>
  </si>
  <si>
    <t xml:space="preserve">Cossombrato (AT) </t>
  </si>
  <si>
    <t>005049</t>
  </si>
  <si>
    <t>Cossombrato</t>
  </si>
  <si>
    <t xml:space="preserve">Costa de' Nobili (PV) </t>
  </si>
  <si>
    <t>018058</t>
  </si>
  <si>
    <t>Costa de' Nobili</t>
  </si>
  <si>
    <t xml:space="preserve">Costa di Mezzate (BG) </t>
  </si>
  <si>
    <t>016084</t>
  </si>
  <si>
    <t>Costa di Mezzate</t>
  </si>
  <si>
    <t xml:space="preserve">Costa di Rovigo (RO) </t>
  </si>
  <si>
    <t>029018</t>
  </si>
  <si>
    <t>Costa di Rovigo</t>
  </si>
  <si>
    <t xml:space="preserve">Costa Masnaga (LC) </t>
  </si>
  <si>
    <t>097026</t>
  </si>
  <si>
    <t>Costa Masnaga</t>
  </si>
  <si>
    <t xml:space="preserve">Costa Serina (BG) </t>
  </si>
  <si>
    <t>016247</t>
  </si>
  <si>
    <t>Costa Serina</t>
  </si>
  <si>
    <t xml:space="preserve">Costa Valle Imagna (BG) </t>
  </si>
  <si>
    <t>016085</t>
  </si>
  <si>
    <t>Costa Valle Imagna</t>
  </si>
  <si>
    <t xml:space="preserve">Costa Vescovato (AL) </t>
  </si>
  <si>
    <t>006062</t>
  </si>
  <si>
    <t>Costa Vescovato</t>
  </si>
  <si>
    <t xml:space="preserve">Costa Volpino (BG) </t>
  </si>
  <si>
    <t>016086</t>
  </si>
  <si>
    <t>Costa Volpino</t>
  </si>
  <si>
    <t xml:space="preserve">Costabissara (VI) </t>
  </si>
  <si>
    <t>024035</t>
  </si>
  <si>
    <t>Costabissara</t>
  </si>
  <si>
    <t xml:space="preserve">Costacciaro (PG) </t>
  </si>
  <si>
    <t>054016</t>
  </si>
  <si>
    <t>Costacciaro</t>
  </si>
  <si>
    <t xml:space="preserve">Costanzana (VC) </t>
  </si>
  <si>
    <t>002047</t>
  </si>
  <si>
    <t>Costanzana</t>
  </si>
  <si>
    <t xml:space="preserve">Costarainera (IM) </t>
  </si>
  <si>
    <t>008024</t>
  </si>
  <si>
    <t>Costarainera</t>
  </si>
  <si>
    <t>023030</t>
  </si>
  <si>
    <t xml:space="preserve">Costigliole d'Asti (AT) </t>
  </si>
  <si>
    <t>005050</t>
  </si>
  <si>
    <t>Costigliole d'Asti</t>
  </si>
  <si>
    <t xml:space="preserve">Costigliole Saluzzo (CN) </t>
  </si>
  <si>
    <t>004075</t>
  </si>
  <si>
    <t>Costigliole Saluzzo</t>
  </si>
  <si>
    <t xml:space="preserve">Cotignola (RA) </t>
  </si>
  <si>
    <t>039009</t>
  </si>
  <si>
    <t>Cotignola</t>
  </si>
  <si>
    <t xml:space="preserve">Cotronei (KR) </t>
  </si>
  <si>
    <t>Cotronei</t>
  </si>
  <si>
    <t xml:space="preserve">Cottanello (RI) </t>
  </si>
  <si>
    <t>057026</t>
  </si>
  <si>
    <t>Cottanello</t>
  </si>
  <si>
    <t xml:space="preserve">Courmayeur (AO) </t>
  </si>
  <si>
    <t>007022</t>
  </si>
  <si>
    <t>Courmayeur</t>
  </si>
  <si>
    <t xml:space="preserve">Covo (BG) </t>
  </si>
  <si>
    <t>016087</t>
  </si>
  <si>
    <t>Covo</t>
  </si>
  <si>
    <t xml:space="preserve">Cozzo (PV) </t>
  </si>
  <si>
    <t>018059</t>
  </si>
  <si>
    <t>Cozzo</t>
  </si>
  <si>
    <t xml:space="preserve">Craco (MT) </t>
  </si>
  <si>
    <t>077007</t>
  </si>
  <si>
    <t>Craco</t>
  </si>
  <si>
    <t xml:space="preserve">Crandola Valsassina (LC) </t>
  </si>
  <si>
    <t>097027</t>
  </si>
  <si>
    <t>Crandola Valsassina</t>
  </si>
  <si>
    <t xml:space="preserve">Cravagliana (VC) </t>
  </si>
  <si>
    <t>002048</t>
  </si>
  <si>
    <t>Cravagliana</t>
  </si>
  <si>
    <t xml:space="preserve">Cravanzana (CN) </t>
  </si>
  <si>
    <t>004076</t>
  </si>
  <si>
    <t>Cravanzana</t>
  </si>
  <si>
    <t xml:space="preserve">Craveggia (VB) </t>
  </si>
  <si>
    <t>Craveggia</t>
  </si>
  <si>
    <t xml:space="preserve">Creazzo (VI) </t>
  </si>
  <si>
    <t>024036</t>
  </si>
  <si>
    <t>Creazzo</t>
  </si>
  <si>
    <t xml:space="preserve">Crecchio (CH) </t>
  </si>
  <si>
    <t>069027</t>
  </si>
  <si>
    <t>Crecchio</t>
  </si>
  <si>
    <t xml:space="preserve">Credaro (BG) </t>
  </si>
  <si>
    <t>016088</t>
  </si>
  <si>
    <t>Credaro</t>
  </si>
  <si>
    <t xml:space="preserve">Credera Rubbiano (CR) </t>
  </si>
  <si>
    <t>019034</t>
  </si>
  <si>
    <t>Credera Rubbiano</t>
  </si>
  <si>
    <t xml:space="preserve">Crema (CR) </t>
  </si>
  <si>
    <t>019035</t>
  </si>
  <si>
    <t>Crema</t>
  </si>
  <si>
    <t xml:space="preserve">Cremella (LC) </t>
  </si>
  <si>
    <t>097028</t>
  </si>
  <si>
    <t>Cremella</t>
  </si>
  <si>
    <t xml:space="preserve">Cremenaga (VA) </t>
  </si>
  <si>
    <t>012056</t>
  </si>
  <si>
    <t>Cremenaga</t>
  </si>
  <si>
    <t xml:space="preserve">Cremeno (LC) </t>
  </si>
  <si>
    <t>097029</t>
  </si>
  <si>
    <t>Cremeno</t>
  </si>
  <si>
    <t xml:space="preserve">Cremia (CO) </t>
  </si>
  <si>
    <t>013083</t>
  </si>
  <si>
    <t>Cremia</t>
  </si>
  <si>
    <t xml:space="preserve">Cremolino (AL) </t>
  </si>
  <si>
    <t>006063</t>
  </si>
  <si>
    <t>Cremolino</t>
  </si>
  <si>
    <t xml:space="preserve">Cremona (CR) </t>
  </si>
  <si>
    <t>019036</t>
  </si>
  <si>
    <t>Cremona</t>
  </si>
  <si>
    <t xml:space="preserve">Cremosano (CR) </t>
  </si>
  <si>
    <t>019037</t>
  </si>
  <si>
    <t>Cremosano</t>
  </si>
  <si>
    <t xml:space="preserve">Crescentino (VC) </t>
  </si>
  <si>
    <t>002049</t>
  </si>
  <si>
    <t>Crescentino</t>
  </si>
  <si>
    <t xml:space="preserve">Crespadoro (VI) </t>
  </si>
  <si>
    <t>024037</t>
  </si>
  <si>
    <t>Crespadoro</t>
  </si>
  <si>
    <t xml:space="preserve">Crespiatica (LO) </t>
  </si>
  <si>
    <t>098025</t>
  </si>
  <si>
    <t>Crespiatica</t>
  </si>
  <si>
    <t xml:space="preserve">Crespino (RO) </t>
  </si>
  <si>
    <t>029019</t>
  </si>
  <si>
    <t>Crespino</t>
  </si>
  <si>
    <t xml:space="preserve">Cressa (NO) </t>
  </si>
  <si>
    <t>003055</t>
  </si>
  <si>
    <t>Cressa</t>
  </si>
  <si>
    <t xml:space="preserve">Crevacuore (BI) </t>
  </si>
  <si>
    <t>096021</t>
  </si>
  <si>
    <t>Crevacuore</t>
  </si>
  <si>
    <t xml:space="preserve">Crevalcore (BO) </t>
  </si>
  <si>
    <t>037024</t>
  </si>
  <si>
    <t>Crevalcore</t>
  </si>
  <si>
    <t xml:space="preserve">Crevoladossola (VB) </t>
  </si>
  <si>
    <t>Crevoladossola</t>
  </si>
  <si>
    <t xml:space="preserve">Crispano (NA) </t>
  </si>
  <si>
    <t>063030</t>
  </si>
  <si>
    <t>Crispano</t>
  </si>
  <si>
    <t xml:space="preserve">Crispiano (TA) </t>
  </si>
  <si>
    <t>073004</t>
  </si>
  <si>
    <t>Crispiano</t>
  </si>
  <si>
    <t xml:space="preserve">Crissolo (CN) </t>
  </si>
  <si>
    <t>004077</t>
  </si>
  <si>
    <t>Crissolo</t>
  </si>
  <si>
    <t xml:space="preserve">Crocefieschi (GE) </t>
  </si>
  <si>
    <t>010020</t>
  </si>
  <si>
    <t>Crocefieschi</t>
  </si>
  <si>
    <t xml:space="preserve">Crocetta del Montello (TV) </t>
  </si>
  <si>
    <t>026025</t>
  </si>
  <si>
    <t>Crocetta del Montello</t>
  </si>
  <si>
    <t xml:space="preserve">Crodo (VB) </t>
  </si>
  <si>
    <t>Crodo</t>
  </si>
  <si>
    <t xml:space="preserve">Crognaleto (TE) </t>
  </si>
  <si>
    <t>067023</t>
  </si>
  <si>
    <t>Crognaleto</t>
  </si>
  <si>
    <t xml:space="preserve">Cropalati (CS) </t>
  </si>
  <si>
    <t>078046</t>
  </si>
  <si>
    <t>Cropalati</t>
  </si>
  <si>
    <t xml:space="preserve">Cropani (CZ) </t>
  </si>
  <si>
    <t>079036</t>
  </si>
  <si>
    <t>Cropani</t>
  </si>
  <si>
    <t xml:space="preserve">Crosia (CS) </t>
  </si>
  <si>
    <t>078047</t>
  </si>
  <si>
    <t>Crosia</t>
  </si>
  <si>
    <t xml:space="preserve">Crosio della Valle (VA) </t>
  </si>
  <si>
    <t>012057</t>
  </si>
  <si>
    <t>Crosio della Valle</t>
  </si>
  <si>
    <t xml:space="preserve">Crotone (KR) </t>
  </si>
  <si>
    <t>Crotone</t>
  </si>
  <si>
    <t xml:space="preserve">Crotta d'Adda (CR) </t>
  </si>
  <si>
    <t>019038</t>
  </si>
  <si>
    <t>Crotta d'Adda</t>
  </si>
  <si>
    <t xml:space="preserve">Crova (VC) </t>
  </si>
  <si>
    <t>002052</t>
  </si>
  <si>
    <t>Crova</t>
  </si>
  <si>
    <t xml:space="preserve">Croviana (TN) </t>
  </si>
  <si>
    <t>022068</t>
  </si>
  <si>
    <t>Croviana</t>
  </si>
  <si>
    <t xml:space="preserve">Crucoli (KR) </t>
  </si>
  <si>
    <t>Crucoli</t>
  </si>
  <si>
    <t xml:space="preserve">Cuasso al Monte (VA) </t>
  </si>
  <si>
    <t>012058</t>
  </si>
  <si>
    <t>Cuasso al Monte</t>
  </si>
  <si>
    <t xml:space="preserve">Cuccaro Vetere (SA) </t>
  </si>
  <si>
    <t>065049</t>
  </si>
  <si>
    <t>Cuccaro Vetere</t>
  </si>
  <si>
    <t xml:space="preserve">Cucciago (CO) </t>
  </si>
  <si>
    <t>013084</t>
  </si>
  <si>
    <t>Cucciago</t>
  </si>
  <si>
    <t xml:space="preserve">Cuceglio (TO) </t>
  </si>
  <si>
    <t>001096</t>
  </si>
  <si>
    <t>Cuceglio</t>
  </si>
  <si>
    <t xml:space="preserve">Cuggiono (MI) </t>
  </si>
  <si>
    <t>015096</t>
  </si>
  <si>
    <t>Cuggiono</t>
  </si>
  <si>
    <t xml:space="preserve">Cugliate-Fabiasco (VA) </t>
  </si>
  <si>
    <t>012059</t>
  </si>
  <si>
    <t>Cugliate-Fabiasco</t>
  </si>
  <si>
    <t xml:space="preserve">Cuglieri (OR) </t>
  </si>
  <si>
    <t>Cuglieri</t>
  </si>
  <si>
    <t xml:space="preserve">Cugnoli (PE) </t>
  </si>
  <si>
    <t>068017</t>
  </si>
  <si>
    <t>Cugnoli</t>
  </si>
  <si>
    <t xml:space="preserve">Cumiana (TO) </t>
  </si>
  <si>
    <t>001097</t>
  </si>
  <si>
    <t>Cumiana</t>
  </si>
  <si>
    <t xml:space="preserve">Cumignano sul Naviglio (CR) </t>
  </si>
  <si>
    <t>019039</t>
  </si>
  <si>
    <t>Cumignano sul Naviglio</t>
  </si>
  <si>
    <t xml:space="preserve">Cunardo (VA) </t>
  </si>
  <si>
    <t>012060</t>
  </si>
  <si>
    <t>Cunardo</t>
  </si>
  <si>
    <t xml:space="preserve">Cuneo (CN) </t>
  </si>
  <si>
    <t>004078</t>
  </si>
  <si>
    <t>Cuneo</t>
  </si>
  <si>
    <t xml:space="preserve">Cunico (AT) </t>
  </si>
  <si>
    <t>005051</t>
  </si>
  <si>
    <t>Cunico</t>
  </si>
  <si>
    <t xml:space="preserve">Cuorgnè (TO) </t>
  </si>
  <si>
    <t>001098</t>
  </si>
  <si>
    <t>Cuorgnè</t>
  </si>
  <si>
    <t xml:space="preserve">Cupello (CH) </t>
  </si>
  <si>
    <t>069028</t>
  </si>
  <si>
    <t>Cupello</t>
  </si>
  <si>
    <t xml:space="preserve">Cupra Marittima (AP) </t>
  </si>
  <si>
    <t>044017</t>
  </si>
  <si>
    <t>Cupra Marittima</t>
  </si>
  <si>
    <t xml:space="preserve">Cupramontana (AN) </t>
  </si>
  <si>
    <t>042016</t>
  </si>
  <si>
    <t>Cupramontana</t>
  </si>
  <si>
    <t xml:space="preserve">Cura Carpignano (PV) </t>
  </si>
  <si>
    <t>018060</t>
  </si>
  <si>
    <t>Cura Carpignano</t>
  </si>
  <si>
    <t xml:space="preserve">Curcuris (OR) </t>
  </si>
  <si>
    <t>Curcuris</t>
  </si>
  <si>
    <t xml:space="preserve">Cureggio (NO) </t>
  </si>
  <si>
    <t>003058</t>
  </si>
  <si>
    <t>Cureggio</t>
  </si>
  <si>
    <t xml:space="preserve">Curiglia con Monteviasco (VA) </t>
  </si>
  <si>
    <t>012061</t>
  </si>
  <si>
    <t>Curiglia con Monteviasco</t>
  </si>
  <si>
    <t xml:space="preserve">Curinga (CZ) </t>
  </si>
  <si>
    <t>079039</t>
  </si>
  <si>
    <t>Curinga</t>
  </si>
  <si>
    <t xml:space="preserve">Curino (BI) </t>
  </si>
  <si>
    <t>096023</t>
  </si>
  <si>
    <t>Curino</t>
  </si>
  <si>
    <t xml:space="preserve">Curno (BG) </t>
  </si>
  <si>
    <t>016089</t>
  </si>
  <si>
    <t>Curno</t>
  </si>
  <si>
    <t>021027</t>
  </si>
  <si>
    <t xml:space="preserve">Cursi (LE) </t>
  </si>
  <si>
    <t>075025</t>
  </si>
  <si>
    <t>Cursi</t>
  </si>
  <si>
    <t xml:space="preserve">Curtarolo (PD) </t>
  </si>
  <si>
    <t>028036</t>
  </si>
  <si>
    <t>Curtarolo</t>
  </si>
  <si>
    <t xml:space="preserve">Curtatone (MN) </t>
  </si>
  <si>
    <t>020021</t>
  </si>
  <si>
    <t>Curtatone</t>
  </si>
  <si>
    <t xml:space="preserve">Curti (CE) </t>
  </si>
  <si>
    <t>061032</t>
  </si>
  <si>
    <t>Curti</t>
  </si>
  <si>
    <t xml:space="preserve">Cusago (MI) </t>
  </si>
  <si>
    <t>015097</t>
  </si>
  <si>
    <t>Cusago</t>
  </si>
  <si>
    <t xml:space="preserve">Cusano Milanino (MI) </t>
  </si>
  <si>
    <t>015098</t>
  </si>
  <si>
    <t>Cusano Milanino</t>
  </si>
  <si>
    <t xml:space="preserve">Cusano Mutri (BN) </t>
  </si>
  <si>
    <t>062026</t>
  </si>
  <si>
    <t>Cusano Mutri</t>
  </si>
  <si>
    <t xml:space="preserve">Cusino (CO) </t>
  </si>
  <si>
    <t>013085</t>
  </si>
  <si>
    <t>Cusino</t>
  </si>
  <si>
    <t xml:space="preserve">Cusio (BG) </t>
  </si>
  <si>
    <t>016090</t>
  </si>
  <si>
    <t>Cusio</t>
  </si>
  <si>
    <t xml:space="preserve">Custonaci (TP) </t>
  </si>
  <si>
    <t>081007</t>
  </si>
  <si>
    <t>Custonaci</t>
  </si>
  <si>
    <t xml:space="preserve">Cutro (KR) </t>
  </si>
  <si>
    <t>Cutro</t>
  </si>
  <si>
    <t xml:space="preserve">Cutrofiano (LE) </t>
  </si>
  <si>
    <t>075026</t>
  </si>
  <si>
    <t>Cutrofiano</t>
  </si>
  <si>
    <t xml:space="preserve">Cuveglio (VA) </t>
  </si>
  <si>
    <t>012062</t>
  </si>
  <si>
    <t>Cuveglio</t>
  </si>
  <si>
    <t xml:space="preserve">Cuvio (VA) </t>
  </si>
  <si>
    <t>012063</t>
  </si>
  <si>
    <t>Cuvio</t>
  </si>
  <si>
    <t xml:space="preserve">Dairago (MI) </t>
  </si>
  <si>
    <t>015099</t>
  </si>
  <si>
    <t>Dairago</t>
  </si>
  <si>
    <t xml:space="preserve">Dalmine (BG) </t>
  </si>
  <si>
    <t>016091</t>
  </si>
  <si>
    <t>Dalmine</t>
  </si>
  <si>
    <t xml:space="preserve">Dambel (TN) </t>
  </si>
  <si>
    <t>022071</t>
  </si>
  <si>
    <t>Dambel</t>
  </si>
  <si>
    <t xml:space="preserve">Danta di Cadore (BL) </t>
  </si>
  <si>
    <t>025017</t>
  </si>
  <si>
    <t>Danta di Cadore</t>
  </si>
  <si>
    <t xml:space="preserve">Darfo Boario Terme (BS) </t>
  </si>
  <si>
    <t>017065</t>
  </si>
  <si>
    <t>Darfo Boario Terme</t>
  </si>
  <si>
    <t xml:space="preserve">Dasà (VV) </t>
  </si>
  <si>
    <t>Dasà</t>
  </si>
  <si>
    <t xml:space="preserve">Davagna (GE) </t>
  </si>
  <si>
    <t>010021</t>
  </si>
  <si>
    <t>Davagna</t>
  </si>
  <si>
    <t xml:space="preserve">Daverio (VA) </t>
  </si>
  <si>
    <t>012064</t>
  </si>
  <si>
    <t>Daverio</t>
  </si>
  <si>
    <t xml:space="preserve">Davoli (CZ) </t>
  </si>
  <si>
    <t>079042</t>
  </si>
  <si>
    <t>Davoli</t>
  </si>
  <si>
    <t xml:space="preserve">Dazio (SO) </t>
  </si>
  <si>
    <t>014025</t>
  </si>
  <si>
    <t>Dazio</t>
  </si>
  <si>
    <t xml:space="preserve">Decimomannu (CA) </t>
  </si>
  <si>
    <t>Decimomannu</t>
  </si>
  <si>
    <t>Decimoputzu</t>
  </si>
  <si>
    <t xml:space="preserve">Decollatura (CZ) </t>
  </si>
  <si>
    <t>079043</t>
  </si>
  <si>
    <t>Decollatura</t>
  </si>
  <si>
    <t xml:space="preserve">Dego (SV) </t>
  </si>
  <si>
    <t>009027</t>
  </si>
  <si>
    <t>Dego</t>
  </si>
  <si>
    <t xml:space="preserve">Deiva Marina (SP) </t>
  </si>
  <si>
    <t>011012</t>
  </si>
  <si>
    <t>Deiva Marina</t>
  </si>
  <si>
    <t xml:space="preserve">Delebio (SO) </t>
  </si>
  <si>
    <t>014026</t>
  </si>
  <si>
    <t>Delebio</t>
  </si>
  <si>
    <t xml:space="preserve">Delia (CL) </t>
  </si>
  <si>
    <t>085006</t>
  </si>
  <si>
    <t>Delia</t>
  </si>
  <si>
    <t xml:space="preserve">Delianuova (RC) </t>
  </si>
  <si>
    <t>080031</t>
  </si>
  <si>
    <t>Delianuova</t>
  </si>
  <si>
    <t xml:space="preserve">Deliceto (FG) </t>
  </si>
  <si>
    <t>071022</t>
  </si>
  <si>
    <t>Deliceto</t>
  </si>
  <si>
    <t xml:space="preserve">Dello (BS) </t>
  </si>
  <si>
    <t>017066</t>
  </si>
  <si>
    <t>Dello</t>
  </si>
  <si>
    <t xml:space="preserve">Demonte (CN) </t>
  </si>
  <si>
    <t>004079</t>
  </si>
  <si>
    <t>Demonte</t>
  </si>
  <si>
    <t xml:space="preserve">Denice (AL) </t>
  </si>
  <si>
    <t>006065</t>
  </si>
  <si>
    <t>Denice</t>
  </si>
  <si>
    <t xml:space="preserve">Denno (TN) </t>
  </si>
  <si>
    <t>022074</t>
  </si>
  <si>
    <t>Denno</t>
  </si>
  <si>
    <t xml:space="preserve">Dernice (AL) </t>
  </si>
  <si>
    <t>006066</t>
  </si>
  <si>
    <t>Dernice</t>
  </si>
  <si>
    <t xml:space="preserve">Derovere (CR) </t>
  </si>
  <si>
    <t>019040</t>
  </si>
  <si>
    <t>Derovere</t>
  </si>
  <si>
    <t xml:space="preserve">Deruta (PG) </t>
  </si>
  <si>
    <t>054017</t>
  </si>
  <si>
    <t>Deruta</t>
  </si>
  <si>
    <t xml:space="preserve">Dervio (LC) </t>
  </si>
  <si>
    <t>097030</t>
  </si>
  <si>
    <t>Dervio</t>
  </si>
  <si>
    <t xml:space="preserve">Desana (VC) </t>
  </si>
  <si>
    <t>002054</t>
  </si>
  <si>
    <t>Desana</t>
  </si>
  <si>
    <t xml:space="preserve">Desenzano del Garda (BS) </t>
  </si>
  <si>
    <t>017067</t>
  </si>
  <si>
    <t>Desenzano del Garda</t>
  </si>
  <si>
    <t xml:space="preserve">Desio (MB) </t>
  </si>
  <si>
    <t>Desio</t>
  </si>
  <si>
    <t xml:space="preserve">Desulo (NU) </t>
  </si>
  <si>
    <t>Desulo</t>
  </si>
  <si>
    <t xml:space="preserve">Diamante (CS) </t>
  </si>
  <si>
    <t>078048</t>
  </si>
  <si>
    <t>Diamante</t>
  </si>
  <si>
    <t xml:space="preserve">Diano Arentino (IM) </t>
  </si>
  <si>
    <t>008025</t>
  </si>
  <si>
    <t>Diano Arentino</t>
  </si>
  <si>
    <t xml:space="preserve">Diano Castello (IM) </t>
  </si>
  <si>
    <t>008026</t>
  </si>
  <si>
    <t>Diano Castello</t>
  </si>
  <si>
    <t xml:space="preserve">Diano d'Alba (CN) </t>
  </si>
  <si>
    <t>004080</t>
  </si>
  <si>
    <t>Diano d'Alba</t>
  </si>
  <si>
    <t xml:space="preserve">Diano Marina (IM) </t>
  </si>
  <si>
    <t>008027</t>
  </si>
  <si>
    <t>Diano Marina</t>
  </si>
  <si>
    <t xml:space="preserve">Diano San Pietro (IM) </t>
  </si>
  <si>
    <t>008028</t>
  </si>
  <si>
    <t>Diano San Pietro</t>
  </si>
  <si>
    <t xml:space="preserve">Dicomano (FI) </t>
  </si>
  <si>
    <t>048013</t>
  </si>
  <si>
    <t>Dicomano</t>
  </si>
  <si>
    <t xml:space="preserve">Dignano (UD) </t>
  </si>
  <si>
    <t>030032</t>
  </si>
  <si>
    <t>Dignano</t>
  </si>
  <si>
    <t xml:space="preserve">Dinami (VV) </t>
  </si>
  <si>
    <t>Dinami</t>
  </si>
  <si>
    <t xml:space="preserve">Dipignano (CS) </t>
  </si>
  <si>
    <t>078049</t>
  </si>
  <si>
    <t>Dipignano</t>
  </si>
  <si>
    <t xml:space="preserve">Diso (LE) </t>
  </si>
  <si>
    <t>075027</t>
  </si>
  <si>
    <t>Diso</t>
  </si>
  <si>
    <t xml:space="preserve">Divignano (NO) </t>
  </si>
  <si>
    <t>003060</t>
  </si>
  <si>
    <t>Divignano</t>
  </si>
  <si>
    <t xml:space="preserve">Dizzasco (CO) </t>
  </si>
  <si>
    <t>013087</t>
  </si>
  <si>
    <t>Dizzasco</t>
  </si>
  <si>
    <t>021028</t>
  </si>
  <si>
    <t xml:space="preserve">Doberdò del Lago (GO) </t>
  </si>
  <si>
    <t>031003</t>
  </si>
  <si>
    <t>Doberdò del Lago</t>
  </si>
  <si>
    <t xml:space="preserve">Dogliani (CN) </t>
  </si>
  <si>
    <t>004081</t>
  </si>
  <si>
    <t>Dogliani</t>
  </si>
  <si>
    <t xml:space="preserve">Dogliola (CH) </t>
  </si>
  <si>
    <t>069029</t>
  </si>
  <si>
    <t>Dogliola</t>
  </si>
  <si>
    <t xml:space="preserve">Dogna (UD) </t>
  </si>
  <si>
    <t>030033</t>
  </si>
  <si>
    <t>Dogna</t>
  </si>
  <si>
    <t xml:space="preserve">Dolcè (VR) </t>
  </si>
  <si>
    <t>023031</t>
  </si>
  <si>
    <t>Dolcè</t>
  </si>
  <si>
    <t xml:space="preserve">Dolceacqua (IM) </t>
  </si>
  <si>
    <t>008029</t>
  </si>
  <si>
    <t>Dolceacqua</t>
  </si>
  <si>
    <t xml:space="preserve">Dolcedo (IM) </t>
  </si>
  <si>
    <t>008030</t>
  </si>
  <si>
    <t>Dolcedo</t>
  </si>
  <si>
    <t xml:space="preserve">Dolegna del Collio (GO) </t>
  </si>
  <si>
    <t>031004</t>
  </si>
  <si>
    <t>Dolegna del Collio</t>
  </si>
  <si>
    <t>Dolianova</t>
  </si>
  <si>
    <t xml:space="preserve">Dolo (VE) </t>
  </si>
  <si>
    <t>027012</t>
  </si>
  <si>
    <t>Dolo</t>
  </si>
  <si>
    <t xml:space="preserve">Dolzago (LC) </t>
  </si>
  <si>
    <t>097031</t>
  </si>
  <si>
    <t>Dolzago</t>
  </si>
  <si>
    <t xml:space="preserve">Domanico (CS) </t>
  </si>
  <si>
    <t>078050</t>
  </si>
  <si>
    <t>Domanico</t>
  </si>
  <si>
    <t xml:space="preserve">Domaso (CO) </t>
  </si>
  <si>
    <t>013089</t>
  </si>
  <si>
    <t>Domaso</t>
  </si>
  <si>
    <t xml:space="preserve">Domegge di Cadore (BL) </t>
  </si>
  <si>
    <t>025018</t>
  </si>
  <si>
    <t>Domegge di Cadore</t>
  </si>
  <si>
    <t xml:space="preserve">Domicella (AV) </t>
  </si>
  <si>
    <t>064031</t>
  </si>
  <si>
    <t>Domicella</t>
  </si>
  <si>
    <t xml:space="preserve">Domodossola (VB) </t>
  </si>
  <si>
    <t>Domodossola</t>
  </si>
  <si>
    <t>Domus de Maria</t>
  </si>
  <si>
    <t>Domusnovas</t>
  </si>
  <si>
    <t xml:space="preserve">Donato (BI) </t>
  </si>
  <si>
    <t>096024</t>
  </si>
  <si>
    <t>Donato</t>
  </si>
  <si>
    <t xml:space="preserve">Dongo (CO) </t>
  </si>
  <si>
    <t>013090</t>
  </si>
  <si>
    <t>Dongo</t>
  </si>
  <si>
    <t xml:space="preserve">Donnas (AO) </t>
  </si>
  <si>
    <t>007023</t>
  </si>
  <si>
    <t>Donnas</t>
  </si>
  <si>
    <t>Donori</t>
  </si>
  <si>
    <t xml:space="preserve">Dorgali (NU) </t>
  </si>
  <si>
    <t>Dorgali</t>
  </si>
  <si>
    <t xml:space="preserve">Dorio (LC) </t>
  </si>
  <si>
    <t>097032</t>
  </si>
  <si>
    <t>Dorio</t>
  </si>
  <si>
    <t xml:space="preserve">Dormelletto (NO) </t>
  </si>
  <si>
    <t>003062</t>
  </si>
  <si>
    <t>Dormelletto</t>
  </si>
  <si>
    <t xml:space="preserve">Dorno (PV) </t>
  </si>
  <si>
    <t>018061</t>
  </si>
  <si>
    <t>Dorno</t>
  </si>
  <si>
    <t xml:space="preserve">Dorzano (BI) </t>
  </si>
  <si>
    <t>096025</t>
  </si>
  <si>
    <t>Dorzano</t>
  </si>
  <si>
    <t xml:space="preserve">Dosolo (MN) </t>
  </si>
  <si>
    <t>020022</t>
  </si>
  <si>
    <t>Dosolo</t>
  </si>
  <si>
    <t xml:space="preserve">Dossena (BG) </t>
  </si>
  <si>
    <t>016092</t>
  </si>
  <si>
    <t>Dossena</t>
  </si>
  <si>
    <t xml:space="preserve">Dosso del Liro (CO) </t>
  </si>
  <si>
    <t>013092</t>
  </si>
  <si>
    <t>Dosso del Liro</t>
  </si>
  <si>
    <t xml:space="preserve">Doues (AO) </t>
  </si>
  <si>
    <t>007024</t>
  </si>
  <si>
    <t>Doues</t>
  </si>
  <si>
    <t xml:space="preserve">Dovadola (FC) </t>
  </si>
  <si>
    <t>040011</t>
  </si>
  <si>
    <t>Dovadola</t>
  </si>
  <si>
    <t xml:space="preserve">Dovera (CR) </t>
  </si>
  <si>
    <t>019041</t>
  </si>
  <si>
    <t>Dovera</t>
  </si>
  <si>
    <t xml:space="preserve">Dozza (BO) </t>
  </si>
  <si>
    <t>037025</t>
  </si>
  <si>
    <t>Dozza</t>
  </si>
  <si>
    <t xml:space="preserve">Dragoni (CE) </t>
  </si>
  <si>
    <t>061033</t>
  </si>
  <si>
    <t>Dragoni</t>
  </si>
  <si>
    <t xml:space="preserve">Drapia (VV) </t>
  </si>
  <si>
    <t>Drapia</t>
  </si>
  <si>
    <t xml:space="preserve">Drena (TN) </t>
  </si>
  <si>
    <t>022078</t>
  </si>
  <si>
    <t>Drena</t>
  </si>
  <si>
    <t xml:space="preserve">Drenchia (UD) </t>
  </si>
  <si>
    <t>030034</t>
  </si>
  <si>
    <t>Drenchia</t>
  </si>
  <si>
    <t xml:space="preserve">Dresano (MI) </t>
  </si>
  <si>
    <t>Milano</t>
  </si>
  <si>
    <t>015101</t>
  </si>
  <si>
    <t>Dresano</t>
  </si>
  <si>
    <t xml:space="preserve">Dro (TN) </t>
  </si>
  <si>
    <t>022079</t>
  </si>
  <si>
    <t>Dro</t>
  </si>
  <si>
    <t xml:space="preserve">Dronero (CN) </t>
  </si>
  <si>
    <t>004082</t>
  </si>
  <si>
    <t>Dronero</t>
  </si>
  <si>
    <t xml:space="preserve">Druento (TO) </t>
  </si>
  <si>
    <t>001099</t>
  </si>
  <si>
    <t>Druento</t>
  </si>
  <si>
    <t xml:space="preserve">Druogno (VB) </t>
  </si>
  <si>
    <t>Druogno</t>
  </si>
  <si>
    <t xml:space="preserve">Dualchi (NU) </t>
  </si>
  <si>
    <t>Dualchi</t>
  </si>
  <si>
    <t xml:space="preserve">Dubino (SO) </t>
  </si>
  <si>
    <t>014027</t>
  </si>
  <si>
    <t>Dubino</t>
  </si>
  <si>
    <t xml:space="preserve">Due Carrare (PD) </t>
  </si>
  <si>
    <t>028106</t>
  </si>
  <si>
    <t>Due Carrare</t>
  </si>
  <si>
    <t xml:space="preserve">Dueville (VI) </t>
  </si>
  <si>
    <t>024038</t>
  </si>
  <si>
    <t>Dueville</t>
  </si>
  <si>
    <t xml:space="preserve">Dugenta (BN) </t>
  </si>
  <si>
    <t>062027</t>
  </si>
  <si>
    <t>Dugenta</t>
  </si>
  <si>
    <t>TS</t>
  </si>
  <si>
    <t>032001</t>
  </si>
  <si>
    <t xml:space="preserve">Dumenza (VA) </t>
  </si>
  <si>
    <t>012065</t>
  </si>
  <si>
    <t>Dumenza</t>
  </si>
  <si>
    <t xml:space="preserve">Duno (VA) </t>
  </si>
  <si>
    <t>012066</t>
  </si>
  <si>
    <t>Duno</t>
  </si>
  <si>
    <t xml:space="preserve">Durazzano (BN) </t>
  </si>
  <si>
    <t>062028</t>
  </si>
  <si>
    <t>Durazzano</t>
  </si>
  <si>
    <t xml:space="preserve">Duronia (CB) </t>
  </si>
  <si>
    <t>070022</t>
  </si>
  <si>
    <t>Duronia</t>
  </si>
  <si>
    <t xml:space="preserve">Dusino San Michele (AT) </t>
  </si>
  <si>
    <t>005052</t>
  </si>
  <si>
    <t>Dusino San Michele</t>
  </si>
  <si>
    <t xml:space="preserve">Eboli (SA) </t>
  </si>
  <si>
    <t>065050</t>
  </si>
  <si>
    <t>Eboli</t>
  </si>
  <si>
    <t xml:space="preserve">Edolo (BS) </t>
  </si>
  <si>
    <t>017068</t>
  </si>
  <si>
    <t>Edolo</t>
  </si>
  <si>
    <t>021029</t>
  </si>
  <si>
    <t xml:space="preserve">Elice (PE) </t>
  </si>
  <si>
    <t>068018</t>
  </si>
  <si>
    <t>Elice</t>
  </si>
  <si>
    <t>Elini</t>
  </si>
  <si>
    <t xml:space="preserve">Ello (LC) </t>
  </si>
  <si>
    <t>097033</t>
  </si>
  <si>
    <t>Ello</t>
  </si>
  <si>
    <t xml:space="preserve">Elmas (CA) </t>
  </si>
  <si>
    <t>Elmas</t>
  </si>
  <si>
    <t xml:space="preserve">Elva (CN) </t>
  </si>
  <si>
    <t>004083</t>
  </si>
  <si>
    <t>Elva</t>
  </si>
  <si>
    <t xml:space="preserve">Emarèse (AO) </t>
  </si>
  <si>
    <t>007025</t>
  </si>
  <si>
    <t>Emarèse</t>
  </si>
  <si>
    <t xml:space="preserve">Empoli (FI) </t>
  </si>
  <si>
    <t>048014</t>
  </si>
  <si>
    <t>Empoli</t>
  </si>
  <si>
    <t xml:space="preserve">Endine Gaiano (BG) </t>
  </si>
  <si>
    <t>016093</t>
  </si>
  <si>
    <t>Endine Gaiano</t>
  </si>
  <si>
    <t xml:space="preserve">Enego (VI) </t>
  </si>
  <si>
    <t>024039</t>
  </si>
  <si>
    <t>Enego</t>
  </si>
  <si>
    <t xml:space="preserve">Enemonzo (UD) </t>
  </si>
  <si>
    <t>030035</t>
  </si>
  <si>
    <t>Enemonzo</t>
  </si>
  <si>
    <t xml:space="preserve">Enna (EN) </t>
  </si>
  <si>
    <t>086009</t>
  </si>
  <si>
    <t>Enna</t>
  </si>
  <si>
    <t xml:space="preserve">Entracque (CN) </t>
  </si>
  <si>
    <t>004084</t>
  </si>
  <si>
    <t>Entracque</t>
  </si>
  <si>
    <t xml:space="preserve">Entratico (BG) </t>
  </si>
  <si>
    <t>016094</t>
  </si>
  <si>
    <t>Entratico</t>
  </si>
  <si>
    <t xml:space="preserve">Envie (CN) </t>
  </si>
  <si>
    <t>004085</t>
  </si>
  <si>
    <t>Envie</t>
  </si>
  <si>
    <t xml:space="preserve">Episcopia (PZ) </t>
  </si>
  <si>
    <t>076030</t>
  </si>
  <si>
    <t>Episcopia</t>
  </si>
  <si>
    <t xml:space="preserve">Eraclea (VE) </t>
  </si>
  <si>
    <t>027013</t>
  </si>
  <si>
    <t>Eraclea</t>
  </si>
  <si>
    <t xml:space="preserve">Erba (CO) </t>
  </si>
  <si>
    <t>013095</t>
  </si>
  <si>
    <t>Erba</t>
  </si>
  <si>
    <t xml:space="preserve">Erbè (VR) </t>
  </si>
  <si>
    <t>023032</t>
  </si>
  <si>
    <t>Erbè</t>
  </si>
  <si>
    <t xml:space="preserve">Erbezzo (VR) </t>
  </si>
  <si>
    <t>023033</t>
  </si>
  <si>
    <t>Erbezzo</t>
  </si>
  <si>
    <t xml:space="preserve">Erbusco (BS) </t>
  </si>
  <si>
    <t>017069</t>
  </si>
  <si>
    <t>Erbusco</t>
  </si>
  <si>
    <t xml:space="preserve">Erchie (BR) </t>
  </si>
  <si>
    <t>074006</t>
  </si>
  <si>
    <t>Erchie</t>
  </si>
  <si>
    <t xml:space="preserve">Ercolano (NA) </t>
  </si>
  <si>
    <t>063064</t>
  </si>
  <si>
    <t>Ercolano</t>
  </si>
  <si>
    <t xml:space="preserve">Erice (TP) </t>
  </si>
  <si>
    <t>081008</t>
  </si>
  <si>
    <t>Erice</t>
  </si>
  <si>
    <t xml:space="preserve">Erli (SV) </t>
  </si>
  <si>
    <t>009028</t>
  </si>
  <si>
    <t>Erli</t>
  </si>
  <si>
    <t xml:space="preserve">Erto e Casso (PN) </t>
  </si>
  <si>
    <t>093019</t>
  </si>
  <si>
    <t>Erto e Casso</t>
  </si>
  <si>
    <t xml:space="preserve">Erula (SS) </t>
  </si>
  <si>
    <t>Erula</t>
  </si>
  <si>
    <t xml:space="preserve">Erve (LC) </t>
  </si>
  <si>
    <t>097034</t>
  </si>
  <si>
    <t>Erve</t>
  </si>
  <si>
    <t xml:space="preserve">Esanatoglia (MC) </t>
  </si>
  <si>
    <t>043016</t>
  </si>
  <si>
    <t>Esanatoglia</t>
  </si>
  <si>
    <t>Escalaplano</t>
  </si>
  <si>
    <t>Escolca</t>
  </si>
  <si>
    <t xml:space="preserve">Esine (BS) </t>
  </si>
  <si>
    <t>017070</t>
  </si>
  <si>
    <t>Esine</t>
  </si>
  <si>
    <t xml:space="preserve">Esino Lario (LC) </t>
  </si>
  <si>
    <t>097035</t>
  </si>
  <si>
    <t>Esino Lario</t>
  </si>
  <si>
    <t xml:space="preserve">Esperia (FR) </t>
  </si>
  <si>
    <t>060031</t>
  </si>
  <si>
    <t>Esperia</t>
  </si>
  <si>
    <t xml:space="preserve">Esporlatu (SS) </t>
  </si>
  <si>
    <t>Esporlatu</t>
  </si>
  <si>
    <t xml:space="preserve">Este (PD) </t>
  </si>
  <si>
    <t>028037</t>
  </si>
  <si>
    <t>Este</t>
  </si>
  <si>
    <t>Esterzili</t>
  </si>
  <si>
    <t xml:space="preserve">Etroubles (AO) </t>
  </si>
  <si>
    <t>007026</t>
  </si>
  <si>
    <t>Etroubles</t>
  </si>
  <si>
    <t xml:space="preserve">Eupilio (CO) </t>
  </si>
  <si>
    <t>013097</t>
  </si>
  <si>
    <t>Eupilio</t>
  </si>
  <si>
    <t xml:space="preserve">Exilles (TO) </t>
  </si>
  <si>
    <t>001100</t>
  </si>
  <si>
    <t>Exilles</t>
  </si>
  <si>
    <t xml:space="preserve">Fabbrica Curone (AL) </t>
  </si>
  <si>
    <t>006067</t>
  </si>
  <si>
    <t>Fabbrica Curone</t>
  </si>
  <si>
    <t xml:space="preserve">Fabbrico (RE) </t>
  </si>
  <si>
    <t>035021</t>
  </si>
  <si>
    <t>Fabbrico</t>
  </si>
  <si>
    <t xml:space="preserve">Fabriano (AN) </t>
  </si>
  <si>
    <t>042017</t>
  </si>
  <si>
    <t>Fabriano</t>
  </si>
  <si>
    <t xml:space="preserve">Fabrica di Roma (VT) </t>
  </si>
  <si>
    <t>056024</t>
  </si>
  <si>
    <t>Fabrica di Roma</t>
  </si>
  <si>
    <t xml:space="preserve">Fabrizia (VV) </t>
  </si>
  <si>
    <t>Fabrizia</t>
  </si>
  <si>
    <t xml:space="preserve">Fabro (TR) </t>
  </si>
  <si>
    <t>055011</t>
  </si>
  <si>
    <t>Fabro</t>
  </si>
  <si>
    <t xml:space="preserve">Faedis (UD) </t>
  </si>
  <si>
    <t>030036</t>
  </si>
  <si>
    <t>Faedis</t>
  </si>
  <si>
    <t xml:space="preserve">Faedo Valtellino (SO) </t>
  </si>
  <si>
    <t>014028</t>
  </si>
  <si>
    <t>Faedo Valtellino</t>
  </si>
  <si>
    <t xml:space="preserve">Faenza (RA) </t>
  </si>
  <si>
    <t>039010</t>
  </si>
  <si>
    <t>Faenza</t>
  </si>
  <si>
    <t xml:space="preserve">Faeto (FG) </t>
  </si>
  <si>
    <t>071023</t>
  </si>
  <si>
    <t>Faeto</t>
  </si>
  <si>
    <t xml:space="preserve">Fagagna (UD) </t>
  </si>
  <si>
    <t>030037</t>
  </si>
  <si>
    <t>Fagagna</t>
  </si>
  <si>
    <t xml:space="preserve">Faggeto Lario (CO) </t>
  </si>
  <si>
    <t>013098</t>
  </si>
  <si>
    <t>Faggeto Lario</t>
  </si>
  <si>
    <t xml:space="preserve">Faggiano (TA) </t>
  </si>
  <si>
    <t>073005</t>
  </si>
  <si>
    <t>Faggiano</t>
  </si>
  <si>
    <t xml:space="preserve">Fagnano Alto (AQ) </t>
  </si>
  <si>
    <t>066042</t>
  </si>
  <si>
    <t>Fagnano Alto</t>
  </si>
  <si>
    <t xml:space="preserve">Fagnano Castello (CS) </t>
  </si>
  <si>
    <t>078051</t>
  </si>
  <si>
    <t>Fagnano Castello</t>
  </si>
  <si>
    <t xml:space="preserve">Fagnano Olona (VA) </t>
  </si>
  <si>
    <t>012067</t>
  </si>
  <si>
    <t>Fagnano Olona</t>
  </si>
  <si>
    <t xml:space="preserve">Fai della Paganella (TN) </t>
  </si>
  <si>
    <t>022081</t>
  </si>
  <si>
    <t>Fai della Paganella</t>
  </si>
  <si>
    <t xml:space="preserve">Faicchio (BN) </t>
  </si>
  <si>
    <t>062029</t>
  </si>
  <si>
    <t>Faicchio</t>
  </si>
  <si>
    <t xml:space="preserve">Falcade (BL) </t>
  </si>
  <si>
    <t>025019</t>
  </si>
  <si>
    <t>Falcade</t>
  </si>
  <si>
    <t xml:space="preserve">Falciano del Massico (CE) </t>
  </si>
  <si>
    <t>061101</t>
  </si>
  <si>
    <t>Falciano del Massico</t>
  </si>
  <si>
    <t xml:space="preserve">Falconara Albanese (CS) </t>
  </si>
  <si>
    <t>078052</t>
  </si>
  <si>
    <t>Falconara Albanese</t>
  </si>
  <si>
    <t xml:space="preserve">Falconara Marittima (AN) </t>
  </si>
  <si>
    <t>042018</t>
  </si>
  <si>
    <t>Falconara Marittima</t>
  </si>
  <si>
    <t xml:space="preserve">Falcone (ME) </t>
  </si>
  <si>
    <t>083019</t>
  </si>
  <si>
    <t>Falcone</t>
  </si>
  <si>
    <t xml:space="preserve">Faleria (VT) </t>
  </si>
  <si>
    <t>056025</t>
  </si>
  <si>
    <t>Faleria</t>
  </si>
  <si>
    <t xml:space="preserve">Falerna (CZ) </t>
  </si>
  <si>
    <t>079047</t>
  </si>
  <si>
    <t>Falerna</t>
  </si>
  <si>
    <t xml:space="preserve">Falerone (FM) </t>
  </si>
  <si>
    <t>Falerone</t>
  </si>
  <si>
    <t xml:space="preserve">Fallo (CH) </t>
  </si>
  <si>
    <t>069104</t>
  </si>
  <si>
    <t>Fallo</t>
  </si>
  <si>
    <t xml:space="preserve">Faloppio (CO) </t>
  </si>
  <si>
    <t>013099</t>
  </si>
  <si>
    <t>Faloppio</t>
  </si>
  <si>
    <t xml:space="preserve">Falvaterra (FR) </t>
  </si>
  <si>
    <t>060032</t>
  </si>
  <si>
    <t>Falvaterra</t>
  </si>
  <si>
    <t>021030</t>
  </si>
  <si>
    <t xml:space="preserve">Fanano (MO) </t>
  </si>
  <si>
    <t>036011</t>
  </si>
  <si>
    <t>Fanano</t>
  </si>
  <si>
    <t xml:space="preserve">Fanna (PN) </t>
  </si>
  <si>
    <t>093020</t>
  </si>
  <si>
    <t>Fanna</t>
  </si>
  <si>
    <t xml:space="preserve">Fano (PU) </t>
  </si>
  <si>
    <t>041013</t>
  </si>
  <si>
    <t>Fano</t>
  </si>
  <si>
    <t xml:space="preserve">Fano Adriano (TE) </t>
  </si>
  <si>
    <t>067024</t>
  </si>
  <si>
    <t>Fano Adriano</t>
  </si>
  <si>
    <t xml:space="preserve">Fara Filiorum Petri (CH) </t>
  </si>
  <si>
    <t>069030</t>
  </si>
  <si>
    <t>Fara Filiorum Petri</t>
  </si>
  <si>
    <t xml:space="preserve">Fara Gera d'Adda (BG) </t>
  </si>
  <si>
    <t>016096</t>
  </si>
  <si>
    <t>Fara Gera d'Adda</t>
  </si>
  <si>
    <t xml:space="preserve">Fara in Sabina (RI) </t>
  </si>
  <si>
    <t>057027</t>
  </si>
  <si>
    <t>Fara in Sabina</t>
  </si>
  <si>
    <t xml:space="preserve">Fara Novarese (NO) </t>
  </si>
  <si>
    <t>003065</t>
  </si>
  <si>
    <t>Fara Novarese</t>
  </si>
  <si>
    <t xml:space="preserve">Fara Olivana con Sola (BG) </t>
  </si>
  <si>
    <t>016097</t>
  </si>
  <si>
    <t>Fara Olivana con Sola</t>
  </si>
  <si>
    <t xml:space="preserve">Fara San Martino (CH) </t>
  </si>
  <si>
    <t>069031</t>
  </si>
  <si>
    <t>Fara San Martino</t>
  </si>
  <si>
    <t xml:space="preserve">Fara Vicentino (VI) </t>
  </si>
  <si>
    <t>024040</t>
  </si>
  <si>
    <t>Fara Vicentino</t>
  </si>
  <si>
    <t xml:space="preserve">Fardella (PZ) </t>
  </si>
  <si>
    <t>076031</t>
  </si>
  <si>
    <t>Fardella</t>
  </si>
  <si>
    <t xml:space="preserve">Farigliano (CN) </t>
  </si>
  <si>
    <t>004086</t>
  </si>
  <si>
    <t>Farigliano</t>
  </si>
  <si>
    <t xml:space="preserve">Farindola (PE) </t>
  </si>
  <si>
    <t>068019</t>
  </si>
  <si>
    <t>Farindola</t>
  </si>
  <si>
    <t xml:space="preserve">Farini (PC) </t>
  </si>
  <si>
    <t>033019</t>
  </si>
  <si>
    <t>Farini</t>
  </si>
  <si>
    <t xml:space="preserve">Farnese (VT) </t>
  </si>
  <si>
    <t>056026</t>
  </si>
  <si>
    <t>Farnese</t>
  </si>
  <si>
    <t xml:space="preserve">Farra di Soligo (TV) </t>
  </si>
  <si>
    <t>026026</t>
  </si>
  <si>
    <t>Farra di Soligo</t>
  </si>
  <si>
    <t xml:space="preserve">Farra d'Isonzo (GO) </t>
  </si>
  <si>
    <t>031005</t>
  </si>
  <si>
    <t>Farra d'Isonzo</t>
  </si>
  <si>
    <t xml:space="preserve">Fasano (BR) </t>
  </si>
  <si>
    <t>074007</t>
  </si>
  <si>
    <t>Fasano</t>
  </si>
  <si>
    <t xml:space="preserve">Fascia (GE) </t>
  </si>
  <si>
    <t>010022</t>
  </si>
  <si>
    <t>Fascia</t>
  </si>
  <si>
    <t xml:space="preserve">Fauglia (PI) </t>
  </si>
  <si>
    <t>050014</t>
  </si>
  <si>
    <t>Fauglia</t>
  </si>
  <si>
    <t xml:space="preserve">Faule (CN) </t>
  </si>
  <si>
    <t>004087</t>
  </si>
  <si>
    <t>Faule</t>
  </si>
  <si>
    <t xml:space="preserve">Favale di Malvaro (GE) </t>
  </si>
  <si>
    <t>010023</t>
  </si>
  <si>
    <t>Favale di Malvaro</t>
  </si>
  <si>
    <t xml:space="preserve">Favara (AG) </t>
  </si>
  <si>
    <t>084017</t>
  </si>
  <si>
    <t>Favara</t>
  </si>
  <si>
    <t xml:space="preserve">Favignana (TP) </t>
  </si>
  <si>
    <t>081009</t>
  </si>
  <si>
    <t>Favignana</t>
  </si>
  <si>
    <t xml:space="preserve">Favria (TO) </t>
  </si>
  <si>
    <t>001101</t>
  </si>
  <si>
    <t>Favria</t>
  </si>
  <si>
    <t xml:space="preserve">Feisoglio (CN) </t>
  </si>
  <si>
    <t>004088</t>
  </si>
  <si>
    <t>Feisoglio</t>
  </si>
  <si>
    <t xml:space="preserve">Feletto (TO) </t>
  </si>
  <si>
    <t>001102</t>
  </si>
  <si>
    <t>Feletto</t>
  </si>
  <si>
    <t xml:space="preserve">Felino (PR) </t>
  </si>
  <si>
    <t>034013</t>
  </si>
  <si>
    <t>Felino</t>
  </si>
  <si>
    <t xml:space="preserve">Felitto (SA) </t>
  </si>
  <si>
    <t>065051</t>
  </si>
  <si>
    <t>Felitto</t>
  </si>
  <si>
    <t xml:space="preserve">Felizzano (AL) </t>
  </si>
  <si>
    <t>006068</t>
  </si>
  <si>
    <t>Felizzano</t>
  </si>
  <si>
    <t xml:space="preserve">Feltre (BL) </t>
  </si>
  <si>
    <t>025021</t>
  </si>
  <si>
    <t>Feltre</t>
  </si>
  <si>
    <t xml:space="preserve">Fenegrò (CO) </t>
  </si>
  <si>
    <t>013100</t>
  </si>
  <si>
    <t>Fenegrò</t>
  </si>
  <si>
    <t xml:space="preserve">Fenestrelle (TO) </t>
  </si>
  <si>
    <t>001103</t>
  </si>
  <si>
    <t>Fenestrelle</t>
  </si>
  <si>
    <t xml:space="preserve">Fénis (AO) </t>
  </si>
  <si>
    <t>007027</t>
  </si>
  <si>
    <t>Fénis</t>
  </si>
  <si>
    <t xml:space="preserve">Ferentillo (TR) </t>
  </si>
  <si>
    <t>055012</t>
  </si>
  <si>
    <t>Ferentillo</t>
  </si>
  <si>
    <t xml:space="preserve">Ferentino (FR) </t>
  </si>
  <si>
    <t>060033</t>
  </si>
  <si>
    <t>Ferentino</t>
  </si>
  <si>
    <t xml:space="preserve">Ferla (SR) </t>
  </si>
  <si>
    <t>089008</t>
  </si>
  <si>
    <t>Ferla</t>
  </si>
  <si>
    <t xml:space="preserve">Fermignano (PU) </t>
  </si>
  <si>
    <t>041014</t>
  </si>
  <si>
    <t>Fermignano</t>
  </si>
  <si>
    <t xml:space="preserve">Fermo (FM) </t>
  </si>
  <si>
    <t>Fermo</t>
  </si>
  <si>
    <t xml:space="preserve">Ferno (VA) </t>
  </si>
  <si>
    <t>012068</t>
  </si>
  <si>
    <t>Ferno</t>
  </si>
  <si>
    <t xml:space="preserve">Feroleto Antico (CZ) </t>
  </si>
  <si>
    <t>079048</t>
  </si>
  <si>
    <t>Feroleto Antico</t>
  </si>
  <si>
    <t xml:space="preserve">Feroleto della Chiesa (RC) </t>
  </si>
  <si>
    <t>080032</t>
  </si>
  <si>
    <t>Feroleto della Chiesa</t>
  </si>
  <si>
    <t xml:space="preserve">Ferrandina (MT) </t>
  </si>
  <si>
    <t>077008</t>
  </si>
  <si>
    <t>Ferrandina</t>
  </si>
  <si>
    <t xml:space="preserve">Ferrara (FE) </t>
  </si>
  <si>
    <t>038008</t>
  </si>
  <si>
    <t>Ferrara</t>
  </si>
  <si>
    <t xml:space="preserve">Ferrara di Monte Baldo (VR) </t>
  </si>
  <si>
    <t>023034</t>
  </si>
  <si>
    <t>Ferrara di Monte Baldo</t>
  </si>
  <si>
    <t xml:space="preserve">Ferrazzano (CB) </t>
  </si>
  <si>
    <t>070023</t>
  </si>
  <si>
    <t>Ferrazzano</t>
  </si>
  <si>
    <t xml:space="preserve">Ferrera di Varese (VA) </t>
  </si>
  <si>
    <t>012069</t>
  </si>
  <si>
    <t>Ferrera di Varese</t>
  </si>
  <si>
    <t xml:space="preserve">Ferrera Erbognone (PV) </t>
  </si>
  <si>
    <t>018062</t>
  </si>
  <si>
    <t>Ferrera Erbognone</t>
  </si>
  <si>
    <t xml:space="preserve">Ferrere (AT) </t>
  </si>
  <si>
    <t>005053</t>
  </si>
  <si>
    <t>Ferrere</t>
  </si>
  <si>
    <t xml:space="preserve">Ferriere (PC) </t>
  </si>
  <si>
    <t>033020</t>
  </si>
  <si>
    <t>Ferriere</t>
  </si>
  <si>
    <t xml:space="preserve">Ferruzzano (RC) </t>
  </si>
  <si>
    <t>080033</t>
  </si>
  <si>
    <t>Ferruzzano</t>
  </si>
  <si>
    <t xml:space="preserve">Fiamignano (RI) </t>
  </si>
  <si>
    <t>057028</t>
  </si>
  <si>
    <t>Fiamignano</t>
  </si>
  <si>
    <t xml:space="preserve">Fiano (TO) </t>
  </si>
  <si>
    <t>001104</t>
  </si>
  <si>
    <t>Fiano</t>
  </si>
  <si>
    <t xml:space="preserve">Fiano Romano (RM) </t>
  </si>
  <si>
    <t>058036</t>
  </si>
  <si>
    <t>Fiano Romano</t>
  </si>
  <si>
    <t xml:space="preserve">Fiastra (MC) </t>
  </si>
  <si>
    <t>043017</t>
  </si>
  <si>
    <t>Fiastra</t>
  </si>
  <si>
    <t xml:space="preserve">Fiavè (TN) </t>
  </si>
  <si>
    <t>022083</t>
  </si>
  <si>
    <t>Fiavè</t>
  </si>
  <si>
    <t xml:space="preserve">Ficarazzi (PA) </t>
  </si>
  <si>
    <t>082035</t>
  </si>
  <si>
    <t>Ficarazzi</t>
  </si>
  <si>
    <t xml:space="preserve">Ficarolo (RO) </t>
  </si>
  <si>
    <t>029021</t>
  </si>
  <si>
    <t>Ficarolo</t>
  </si>
  <si>
    <t xml:space="preserve">Ficarra (ME) </t>
  </si>
  <si>
    <t>083020</t>
  </si>
  <si>
    <t>Ficarra</t>
  </si>
  <si>
    <t xml:space="preserve">Ficulle (TR) </t>
  </si>
  <si>
    <t>055013</t>
  </si>
  <si>
    <t>Ficulle</t>
  </si>
  <si>
    <t xml:space="preserve">Fidenza (PR) </t>
  </si>
  <si>
    <t>034014</t>
  </si>
  <si>
    <t>Fidenza</t>
  </si>
  <si>
    <t>021031</t>
  </si>
  <si>
    <t xml:space="preserve">Fierozzo (TN) </t>
  </si>
  <si>
    <t>022085</t>
  </si>
  <si>
    <t>Fierozzo</t>
  </si>
  <si>
    <t xml:space="preserve">Fiesco (CR) </t>
  </si>
  <si>
    <t>019043</t>
  </si>
  <si>
    <t>Fiesco</t>
  </si>
  <si>
    <t xml:space="preserve">Fiesole (FI) </t>
  </si>
  <si>
    <t>048015</t>
  </si>
  <si>
    <t>Fiesole</t>
  </si>
  <si>
    <t xml:space="preserve">Fiesse (BS) </t>
  </si>
  <si>
    <t>017071</t>
  </si>
  <si>
    <t>Fiesse</t>
  </si>
  <si>
    <t xml:space="preserve">Fiesso d'Artico (VE) </t>
  </si>
  <si>
    <t>027014</t>
  </si>
  <si>
    <t>Fiesso d'Artico</t>
  </si>
  <si>
    <t xml:space="preserve">Fiesso Umbertiano (RO) </t>
  </si>
  <si>
    <t>029022</t>
  </si>
  <si>
    <t>Fiesso Umbertiano</t>
  </si>
  <si>
    <t xml:space="preserve">Figino Serenza (CO) </t>
  </si>
  <si>
    <t>013101</t>
  </si>
  <si>
    <t>Figino Serenza</t>
  </si>
  <si>
    <t xml:space="preserve">Figline Vegliaturo (CS) </t>
  </si>
  <si>
    <t>078053</t>
  </si>
  <si>
    <t>Figline Vegliaturo</t>
  </si>
  <si>
    <t xml:space="preserve">Filacciano (RM) </t>
  </si>
  <si>
    <t>058037</t>
  </si>
  <si>
    <t>Filacciano</t>
  </si>
  <si>
    <t xml:space="preserve">Filadelfia (VV) </t>
  </si>
  <si>
    <t>Filadelfia</t>
  </si>
  <si>
    <t xml:space="preserve">Filago (BG) </t>
  </si>
  <si>
    <t>016098</t>
  </si>
  <si>
    <t>Filago</t>
  </si>
  <si>
    <t xml:space="preserve">Filandari (VV) </t>
  </si>
  <si>
    <t>Filandari</t>
  </si>
  <si>
    <t xml:space="preserve">Filattiera (MS) </t>
  </si>
  <si>
    <t>045006</t>
  </si>
  <si>
    <t>Filattiera</t>
  </si>
  <si>
    <t xml:space="preserve">Filettino (FR) </t>
  </si>
  <si>
    <t>060034</t>
  </si>
  <si>
    <t>Filettino</t>
  </si>
  <si>
    <t xml:space="preserve">Filetto (CH) </t>
  </si>
  <si>
    <t>069032</t>
  </si>
  <si>
    <t>Filetto</t>
  </si>
  <si>
    <t xml:space="preserve">Filiano (PZ) </t>
  </si>
  <si>
    <t>076032</t>
  </si>
  <si>
    <t>Filiano</t>
  </si>
  <si>
    <t xml:space="preserve">Filighera (PV) </t>
  </si>
  <si>
    <t>018063</t>
  </si>
  <si>
    <t>Filighera</t>
  </si>
  <si>
    <t xml:space="preserve">Filignano (IS) </t>
  </si>
  <si>
    <t>094019</t>
  </si>
  <si>
    <t>Filignano</t>
  </si>
  <si>
    <t xml:space="preserve">Filogaso (VV) </t>
  </si>
  <si>
    <t>Filogaso</t>
  </si>
  <si>
    <t xml:space="preserve">Filottrano (AN) </t>
  </si>
  <si>
    <t>042019</t>
  </si>
  <si>
    <t>Filottrano</t>
  </si>
  <si>
    <t xml:space="preserve">Finale Emilia (MO) </t>
  </si>
  <si>
    <t>036012</t>
  </si>
  <si>
    <t>Finale Emilia</t>
  </si>
  <si>
    <t xml:space="preserve">Finale Ligure (SV) </t>
  </si>
  <si>
    <t>009029</t>
  </si>
  <si>
    <t>Finale Ligure</t>
  </si>
  <si>
    <t xml:space="preserve">Fino del Monte (BG) </t>
  </si>
  <si>
    <t>016099</t>
  </si>
  <si>
    <t>Fino del Monte</t>
  </si>
  <si>
    <t xml:space="preserve">Fino Mornasco (CO) </t>
  </si>
  <si>
    <t>013102</t>
  </si>
  <si>
    <t>Fino Mornasco</t>
  </si>
  <si>
    <t xml:space="preserve">Fiorano al Serio (BG) </t>
  </si>
  <si>
    <t>016100</t>
  </si>
  <si>
    <t>Fiorano al Serio</t>
  </si>
  <si>
    <t xml:space="preserve">Fiorano Canavese (TO) </t>
  </si>
  <si>
    <t>001105</t>
  </si>
  <si>
    <t>Fiorano Canavese</t>
  </si>
  <si>
    <t xml:space="preserve">Fiorano Modenese (MO) </t>
  </si>
  <si>
    <t>036013</t>
  </si>
  <si>
    <t>Fiorano Modenese</t>
  </si>
  <si>
    <t xml:space="preserve">Fiorenzuola d'Arda (PC) </t>
  </si>
  <si>
    <t>033021</t>
  </si>
  <si>
    <t>Fiorenzuola d'Arda</t>
  </si>
  <si>
    <t xml:space="preserve">Firenze (FI) </t>
  </si>
  <si>
    <t>048017</t>
  </si>
  <si>
    <t>Firenze</t>
  </si>
  <si>
    <t xml:space="preserve">Firmo (CS) </t>
  </si>
  <si>
    <t>078054</t>
  </si>
  <si>
    <t>Firmo</t>
  </si>
  <si>
    <t xml:space="preserve">Fisciano (SA) </t>
  </si>
  <si>
    <t>065052</t>
  </si>
  <si>
    <t>Fisciano</t>
  </si>
  <si>
    <t xml:space="preserve">Fiuggi (FR) </t>
  </si>
  <si>
    <t>060035</t>
  </si>
  <si>
    <t>Fiuggi</t>
  </si>
  <si>
    <t xml:space="preserve">Fiumalbo (MO) </t>
  </si>
  <si>
    <t>036014</t>
  </si>
  <si>
    <t>Fiumalbo</t>
  </si>
  <si>
    <t xml:space="preserve">Fiumara (RC) </t>
  </si>
  <si>
    <t>080034</t>
  </si>
  <si>
    <t>Fiumara</t>
  </si>
  <si>
    <t xml:space="preserve">Fiume Veneto (PN) </t>
  </si>
  <si>
    <t>093021</t>
  </si>
  <si>
    <t>Fiume Veneto</t>
  </si>
  <si>
    <t xml:space="preserve">Fiumedinisi (ME) </t>
  </si>
  <si>
    <t>083021</t>
  </si>
  <si>
    <t>Fiumedinisi</t>
  </si>
  <si>
    <t xml:space="preserve">Fiumefreddo Bruzio (CS) </t>
  </si>
  <si>
    <t>078055</t>
  </si>
  <si>
    <t>Fiumefreddo Bruzio</t>
  </si>
  <si>
    <t xml:space="preserve">Fiumefreddo di Sicilia (CT) </t>
  </si>
  <si>
    <t>087016</t>
  </si>
  <si>
    <t>Fiumefreddo di Sicilia</t>
  </si>
  <si>
    <t xml:space="preserve">Fiumicino (RM) </t>
  </si>
  <si>
    <t>058120</t>
  </si>
  <si>
    <t>Fiumicino</t>
  </si>
  <si>
    <t xml:space="preserve">Fiuminata (MC) </t>
  </si>
  <si>
    <t>043019</t>
  </si>
  <si>
    <t>Fiuminata</t>
  </si>
  <si>
    <t xml:space="preserve">Fivizzano (MS) </t>
  </si>
  <si>
    <t>045007</t>
  </si>
  <si>
    <t>Fivizzano</t>
  </si>
  <si>
    <t xml:space="preserve">Flaibano (UD) </t>
  </si>
  <si>
    <t>030039</t>
  </si>
  <si>
    <t>Flaibano</t>
  </si>
  <si>
    <t xml:space="preserve">Flero (BS) </t>
  </si>
  <si>
    <t>017072</t>
  </si>
  <si>
    <t>Flero</t>
  </si>
  <si>
    <t xml:space="preserve">Floresta (ME) </t>
  </si>
  <si>
    <t>083022</t>
  </si>
  <si>
    <t>Floresta</t>
  </si>
  <si>
    <t xml:space="preserve">Floridia (SR) </t>
  </si>
  <si>
    <t>089009</t>
  </si>
  <si>
    <t>Floridia</t>
  </si>
  <si>
    <t xml:space="preserve">Florinas (SS) </t>
  </si>
  <si>
    <t>Florinas</t>
  </si>
  <si>
    <t xml:space="preserve">Flumeri (AV) </t>
  </si>
  <si>
    <t>064032</t>
  </si>
  <si>
    <t>Flumeri</t>
  </si>
  <si>
    <t>Fluminimaggiore</t>
  </si>
  <si>
    <t xml:space="preserve">Flussio (OR) </t>
  </si>
  <si>
    <t>Flussio</t>
  </si>
  <si>
    <t xml:space="preserve">Fobello (VC) </t>
  </si>
  <si>
    <t>002057</t>
  </si>
  <si>
    <t>Fobello</t>
  </si>
  <si>
    <t xml:space="preserve">Foggia (FG) </t>
  </si>
  <si>
    <t>071024</t>
  </si>
  <si>
    <t xml:space="preserve">Foglianise (BN) </t>
  </si>
  <si>
    <t>062030</t>
  </si>
  <si>
    <t>Foglianise</t>
  </si>
  <si>
    <t xml:space="preserve">Fogliano Redipuglia (GO) </t>
  </si>
  <si>
    <t>031006</t>
  </si>
  <si>
    <t>Fogliano Redipuglia</t>
  </si>
  <si>
    <t xml:space="preserve">Foglizzo (TO) </t>
  </si>
  <si>
    <t>001106</t>
  </si>
  <si>
    <t>Foglizzo</t>
  </si>
  <si>
    <t xml:space="preserve">Foiano della Chiana (AR) </t>
  </si>
  <si>
    <t>051018</t>
  </si>
  <si>
    <t>Foiano della Chiana</t>
  </si>
  <si>
    <t xml:space="preserve">Foiano di Val Fortore (BN) </t>
  </si>
  <si>
    <t>062031</t>
  </si>
  <si>
    <t>Foiano di Val Fortore</t>
  </si>
  <si>
    <t xml:space="preserve">Folgaria (TN) </t>
  </si>
  <si>
    <t>022087</t>
  </si>
  <si>
    <t>Folgaria</t>
  </si>
  <si>
    <t xml:space="preserve">Folignano (AP) </t>
  </si>
  <si>
    <t>044020</t>
  </si>
  <si>
    <t>Folignano</t>
  </si>
  <si>
    <t xml:space="preserve">Foligno (PG) </t>
  </si>
  <si>
    <t>054018</t>
  </si>
  <si>
    <t>Foligno</t>
  </si>
  <si>
    <t xml:space="preserve">Follina (TV) </t>
  </si>
  <si>
    <t>026027</t>
  </si>
  <si>
    <t>Follina</t>
  </si>
  <si>
    <t xml:space="preserve">Follo (SP) </t>
  </si>
  <si>
    <t>011013</t>
  </si>
  <si>
    <t>Follo</t>
  </si>
  <si>
    <t xml:space="preserve">Follonica (GR) </t>
  </si>
  <si>
    <t>053009</t>
  </si>
  <si>
    <t>Follonica</t>
  </si>
  <si>
    <t xml:space="preserve">Fombio (LO) </t>
  </si>
  <si>
    <t>098026</t>
  </si>
  <si>
    <t>Fombio</t>
  </si>
  <si>
    <t xml:space="preserve">Fondachelli-Fantina (ME) </t>
  </si>
  <si>
    <t>083023</t>
  </si>
  <si>
    <t>Fondachelli-Fantina</t>
  </si>
  <si>
    <t xml:space="preserve">Fondi (LT) </t>
  </si>
  <si>
    <t>059007</t>
  </si>
  <si>
    <t>Fondi</t>
  </si>
  <si>
    <t xml:space="preserve">Fonni (NU) </t>
  </si>
  <si>
    <t>Fonni</t>
  </si>
  <si>
    <t xml:space="preserve">Fontainemore (AO) </t>
  </si>
  <si>
    <t>007028</t>
  </si>
  <si>
    <t>Fontainemore</t>
  </si>
  <si>
    <t xml:space="preserve">Fontana Liri (FR) </t>
  </si>
  <si>
    <t>060036</t>
  </si>
  <si>
    <t>Fontana Liri</t>
  </si>
  <si>
    <t xml:space="preserve">Fontanafredda (PN) </t>
  </si>
  <si>
    <t>093022</t>
  </si>
  <si>
    <t>Fontanafredda</t>
  </si>
  <si>
    <t xml:space="preserve">Fontanarosa (AV) </t>
  </si>
  <si>
    <t>064033</t>
  </si>
  <si>
    <t>Fontanarosa</t>
  </si>
  <si>
    <t xml:space="preserve">Fontanelice (BO) </t>
  </si>
  <si>
    <t>037026</t>
  </si>
  <si>
    <t>Fontanelice</t>
  </si>
  <si>
    <t xml:space="preserve">Fontanella (BG) </t>
  </si>
  <si>
    <t>016101</t>
  </si>
  <si>
    <t>Fontanella</t>
  </si>
  <si>
    <t xml:space="preserve">Fontanellato (PR) </t>
  </si>
  <si>
    <t>034015</t>
  </si>
  <si>
    <t>Fontanellato</t>
  </si>
  <si>
    <t xml:space="preserve">Fontanelle (TV) </t>
  </si>
  <si>
    <t>026028</t>
  </si>
  <si>
    <t>Fontanelle</t>
  </si>
  <si>
    <t xml:space="preserve">Fontaneto d'Agogna (NO) </t>
  </si>
  <si>
    <t>003066</t>
  </si>
  <si>
    <t>Fontaneto d'Agogna</t>
  </si>
  <si>
    <t xml:space="preserve">Fontanetto Po (VC) </t>
  </si>
  <si>
    <t>002058</t>
  </si>
  <si>
    <t>Fontanetto Po</t>
  </si>
  <si>
    <t xml:space="preserve">Fontanigorda (GE) </t>
  </si>
  <si>
    <t>010024</t>
  </si>
  <si>
    <t>Fontanigorda</t>
  </si>
  <si>
    <t xml:space="preserve">Fontanile (AT) </t>
  </si>
  <si>
    <t>005054</t>
  </si>
  <si>
    <t>Fontanile</t>
  </si>
  <si>
    <t xml:space="preserve">Fontaniva (PD) </t>
  </si>
  <si>
    <t>028038</t>
  </si>
  <si>
    <t>Fontaniva</t>
  </si>
  <si>
    <t xml:space="preserve">Fonte (TV) </t>
  </si>
  <si>
    <t>026029</t>
  </si>
  <si>
    <t xml:space="preserve">Fonte Nuova (RM) </t>
  </si>
  <si>
    <t>058122</t>
  </si>
  <si>
    <t>Fonte Nuova</t>
  </si>
  <si>
    <t xml:space="preserve">Fontecchio (AQ) </t>
  </si>
  <si>
    <t>066043</t>
  </si>
  <si>
    <t>Fontecchio</t>
  </si>
  <si>
    <t xml:space="preserve">Fontechiari (FR) </t>
  </si>
  <si>
    <t>060037</t>
  </si>
  <si>
    <t>Fontechiari</t>
  </si>
  <si>
    <t xml:space="preserve">Fontegreca (CE) </t>
  </si>
  <si>
    <t>061034</t>
  </si>
  <si>
    <t>Fontegreca</t>
  </si>
  <si>
    <t xml:space="preserve">Fonteno (BG) </t>
  </si>
  <si>
    <t>016102</t>
  </si>
  <si>
    <t>Fonteno</t>
  </si>
  <si>
    <t xml:space="preserve">Fontevivo (PR) </t>
  </si>
  <si>
    <t>034016</t>
  </si>
  <si>
    <t>Fontevivo</t>
  </si>
  <si>
    <t xml:space="preserve">Fonzaso (BL) </t>
  </si>
  <si>
    <t>025022</t>
  </si>
  <si>
    <t>Fonzaso</t>
  </si>
  <si>
    <t xml:space="preserve">Foppolo (BG) </t>
  </si>
  <si>
    <t>016103</t>
  </si>
  <si>
    <t>Foppolo</t>
  </si>
  <si>
    <t xml:space="preserve">Forano (RI) </t>
  </si>
  <si>
    <t>057029</t>
  </si>
  <si>
    <t>Forano</t>
  </si>
  <si>
    <t xml:space="preserve">Force (AP) </t>
  </si>
  <si>
    <t>044021</t>
  </si>
  <si>
    <t>Force</t>
  </si>
  <si>
    <t xml:space="preserve">Forchia (BN) </t>
  </si>
  <si>
    <t>062032</t>
  </si>
  <si>
    <t>Forchia</t>
  </si>
  <si>
    <t xml:space="preserve">Forcola (SO) </t>
  </si>
  <si>
    <t>014029</t>
  </si>
  <si>
    <t>Forcola</t>
  </si>
  <si>
    <t xml:space="preserve">Fordongianus (OR) </t>
  </si>
  <si>
    <t>Fordongianus</t>
  </si>
  <si>
    <t xml:space="preserve">Forenza (PZ) </t>
  </si>
  <si>
    <t>076033</t>
  </si>
  <si>
    <t>Forenza</t>
  </si>
  <si>
    <t xml:space="preserve">Foresto Sparso (BG) </t>
  </si>
  <si>
    <t>016104</t>
  </si>
  <si>
    <t>Foresto Sparso</t>
  </si>
  <si>
    <t xml:space="preserve">Forgaria nel Friuli (UD) </t>
  </si>
  <si>
    <t>030137</t>
  </si>
  <si>
    <t>Forgaria nel Friuli</t>
  </si>
  <si>
    <t xml:space="preserve">Forino (AV) </t>
  </si>
  <si>
    <t>064034</t>
  </si>
  <si>
    <t>Forino</t>
  </si>
  <si>
    <t xml:space="preserve">Forio (NA) </t>
  </si>
  <si>
    <t>063031</t>
  </si>
  <si>
    <t>Forio</t>
  </si>
  <si>
    <t xml:space="preserve">Forlì (FC) </t>
  </si>
  <si>
    <t>040012</t>
  </si>
  <si>
    <t>Forlì</t>
  </si>
  <si>
    <t xml:space="preserve">Forlì del Sannio (IS) </t>
  </si>
  <si>
    <t>094020</t>
  </si>
  <si>
    <t>Forlì del Sannio</t>
  </si>
  <si>
    <t xml:space="preserve">Forlimpopoli (FC) </t>
  </si>
  <si>
    <t>040013</t>
  </si>
  <si>
    <t>Forlimpopoli</t>
  </si>
  <si>
    <t xml:space="preserve">Formazza (VB) </t>
  </si>
  <si>
    <t>Formazza</t>
  </si>
  <si>
    <t xml:space="preserve">Formello (RM) </t>
  </si>
  <si>
    <t>058038</t>
  </si>
  <si>
    <t>Formello</t>
  </si>
  <si>
    <t xml:space="preserve">Formia (LT) </t>
  </si>
  <si>
    <t>059008</t>
  </si>
  <si>
    <t>Formia</t>
  </si>
  <si>
    <t xml:space="preserve">Formicola (CE) </t>
  </si>
  <si>
    <t>061035</t>
  </si>
  <si>
    <t>Formicola</t>
  </si>
  <si>
    <t xml:space="preserve">Formigara (CR) </t>
  </si>
  <si>
    <t>019044</t>
  </si>
  <si>
    <t>Formigara</t>
  </si>
  <si>
    <t xml:space="preserve">Formigine (MO) </t>
  </si>
  <si>
    <t>036015</t>
  </si>
  <si>
    <t>Formigine</t>
  </si>
  <si>
    <t xml:space="preserve">Formigliana (VC) </t>
  </si>
  <si>
    <t>002059</t>
  </si>
  <si>
    <t>Formigliana</t>
  </si>
  <si>
    <t xml:space="preserve">Fornace (TN) </t>
  </si>
  <si>
    <t>022089</t>
  </si>
  <si>
    <t>Fornace</t>
  </si>
  <si>
    <t xml:space="preserve">Fornelli (IS) </t>
  </si>
  <si>
    <t>094021</t>
  </si>
  <si>
    <t>Fornelli</t>
  </si>
  <si>
    <t xml:space="preserve">Forni Avoltri (UD) </t>
  </si>
  <si>
    <t>030040</t>
  </si>
  <si>
    <t>Forni Avoltri</t>
  </si>
  <si>
    <t xml:space="preserve">Forni di Sopra (UD) </t>
  </si>
  <si>
    <t>030041</t>
  </si>
  <si>
    <t>Forni di Sopra</t>
  </si>
  <si>
    <t xml:space="preserve">Forni di Sotto (UD) </t>
  </si>
  <si>
    <t>030042</t>
  </si>
  <si>
    <t>Forni di Sotto</t>
  </si>
  <si>
    <t xml:space="preserve">Forno Canavese (TO) </t>
  </si>
  <si>
    <t>001107</t>
  </si>
  <si>
    <t>Forno Canavese</t>
  </si>
  <si>
    <t xml:space="preserve">Fornovo di Taro (PR) </t>
  </si>
  <si>
    <t>034017</t>
  </si>
  <si>
    <t>Fornovo di Taro</t>
  </si>
  <si>
    <t xml:space="preserve">Fornovo San Giovanni (BG) </t>
  </si>
  <si>
    <t>016105</t>
  </si>
  <si>
    <t>Fornovo San Giovanni</t>
  </si>
  <si>
    <t xml:space="preserve">Forte dei Marmi (LU) </t>
  </si>
  <si>
    <t>046013</t>
  </si>
  <si>
    <t>Forte dei Marmi</t>
  </si>
  <si>
    <t>021032</t>
  </si>
  <si>
    <t xml:space="preserve">Fortunago (PV) </t>
  </si>
  <si>
    <t>018064</t>
  </si>
  <si>
    <t>Fortunago</t>
  </si>
  <si>
    <t xml:space="preserve">Forza d'Agrò (ME) </t>
  </si>
  <si>
    <t>083024</t>
  </si>
  <si>
    <t>Forza d'Agrò</t>
  </si>
  <si>
    <t xml:space="preserve">Fosciandora (LU) </t>
  </si>
  <si>
    <t>046014</t>
  </si>
  <si>
    <t>Fosciandora</t>
  </si>
  <si>
    <t xml:space="preserve">Fosdinovo (MS) </t>
  </si>
  <si>
    <t>045008</t>
  </si>
  <si>
    <t>Fosdinovo</t>
  </si>
  <si>
    <t xml:space="preserve">Fossa (AQ) </t>
  </si>
  <si>
    <t>066044</t>
  </si>
  <si>
    <t>Fossa</t>
  </si>
  <si>
    <t xml:space="preserve">Fossacesia (CH) </t>
  </si>
  <si>
    <t>069033</t>
  </si>
  <si>
    <t>Fossacesia</t>
  </si>
  <si>
    <t xml:space="preserve">Fossalta di Piave (VE) </t>
  </si>
  <si>
    <t>027015</t>
  </si>
  <si>
    <t>Fossalta di Piave</t>
  </si>
  <si>
    <t xml:space="preserve">Fossalta di Portogruaro (VE) </t>
  </si>
  <si>
    <t>027016</t>
  </si>
  <si>
    <t>Fossalta di Portogruaro</t>
  </si>
  <si>
    <t xml:space="preserve">Fossalto (CB) </t>
  </si>
  <si>
    <t>070024</t>
  </si>
  <si>
    <t>Fossalto</t>
  </si>
  <si>
    <t xml:space="preserve">Fossano (CN) </t>
  </si>
  <si>
    <t>004089</t>
  </si>
  <si>
    <t>Fossano</t>
  </si>
  <si>
    <t xml:space="preserve">Fossato di Vico (PG) </t>
  </si>
  <si>
    <t>054019</t>
  </si>
  <si>
    <t>Fossato di Vico</t>
  </si>
  <si>
    <t xml:space="preserve">Fossato Serralta (CZ) </t>
  </si>
  <si>
    <t>079052</t>
  </si>
  <si>
    <t>Fossato Serralta</t>
  </si>
  <si>
    <t xml:space="preserve">Fossò (VE) </t>
  </si>
  <si>
    <t>027017</t>
  </si>
  <si>
    <t>Fossò</t>
  </si>
  <si>
    <t xml:space="preserve">Fossombrone (PU) </t>
  </si>
  <si>
    <t>041015</t>
  </si>
  <si>
    <t>Fossombrone</t>
  </si>
  <si>
    <t xml:space="preserve">Foza (VI) </t>
  </si>
  <si>
    <t>024041</t>
  </si>
  <si>
    <t>Foza</t>
  </si>
  <si>
    <t xml:space="preserve">Frabosa Soprana (CN) </t>
  </si>
  <si>
    <t>004090</t>
  </si>
  <si>
    <t>Frabosa Soprana</t>
  </si>
  <si>
    <t xml:space="preserve">Frabosa Sottana (CN) </t>
  </si>
  <si>
    <t>004091</t>
  </si>
  <si>
    <t>Frabosa Sottana</t>
  </si>
  <si>
    <t xml:space="preserve">Fraconalto (AL) </t>
  </si>
  <si>
    <t>006069</t>
  </si>
  <si>
    <t>Fraconalto</t>
  </si>
  <si>
    <t xml:space="preserve">Fragagnano (TA) </t>
  </si>
  <si>
    <t>073006</t>
  </si>
  <si>
    <t>Fragagnano</t>
  </si>
  <si>
    <t xml:space="preserve">Fragneto l'Abate (BN) </t>
  </si>
  <si>
    <t>062033</t>
  </si>
  <si>
    <t>Fragneto l'Abate</t>
  </si>
  <si>
    <t xml:space="preserve">Fragneto Monforte (BN) </t>
  </si>
  <si>
    <t>062034</t>
  </si>
  <si>
    <t>Fragneto Monforte</t>
  </si>
  <si>
    <t xml:space="preserve">Fraine (CH) </t>
  </si>
  <si>
    <t>069034</t>
  </si>
  <si>
    <t>Fraine</t>
  </si>
  <si>
    <t xml:space="preserve">Framura (SP) </t>
  </si>
  <si>
    <t>011014</t>
  </si>
  <si>
    <t>Framura</t>
  </si>
  <si>
    <t xml:space="preserve">Francavilla al Mare (CH) </t>
  </si>
  <si>
    <t>069035</t>
  </si>
  <si>
    <t>Francavilla al Mare</t>
  </si>
  <si>
    <t xml:space="preserve">Francavilla Angitola (VV) </t>
  </si>
  <si>
    <t>Francavilla Angitola</t>
  </si>
  <si>
    <t xml:space="preserve">Francavilla Bisio (AL) </t>
  </si>
  <si>
    <t>006070</t>
  </si>
  <si>
    <t>Francavilla Bisio</t>
  </si>
  <si>
    <t xml:space="preserve">Francavilla d'Ete (FM) </t>
  </si>
  <si>
    <t>Francavilla d'Ete</t>
  </si>
  <si>
    <t xml:space="preserve">Francavilla di Sicilia (ME) </t>
  </si>
  <si>
    <t>083025</t>
  </si>
  <si>
    <t>Francavilla di Sicilia</t>
  </si>
  <si>
    <t xml:space="preserve">Francavilla Fontana (BR) </t>
  </si>
  <si>
    <t>074008</t>
  </si>
  <si>
    <t>Francavilla Fontana</t>
  </si>
  <si>
    <t xml:space="preserve">Francavilla in Sinni (PZ) </t>
  </si>
  <si>
    <t>076034</t>
  </si>
  <si>
    <t>Francavilla in Sinni</t>
  </si>
  <si>
    <t xml:space="preserve">Francavilla Marittima (CS) </t>
  </si>
  <si>
    <t>078056</t>
  </si>
  <si>
    <t>Francavilla Marittima</t>
  </si>
  <si>
    <t xml:space="preserve">Francica (VV) </t>
  </si>
  <si>
    <t>Francica</t>
  </si>
  <si>
    <t xml:space="preserve">Francofonte (SR) </t>
  </si>
  <si>
    <t>089010</t>
  </si>
  <si>
    <t>Francofonte</t>
  </si>
  <si>
    <t xml:space="preserve">Francolise (CE) </t>
  </si>
  <si>
    <t>061036</t>
  </si>
  <si>
    <t>Francolise</t>
  </si>
  <si>
    <t xml:space="preserve">Frascaro (AL) </t>
  </si>
  <si>
    <t>006071</t>
  </si>
  <si>
    <t>Frascaro</t>
  </si>
  <si>
    <t xml:space="preserve">Frascarolo (PV) </t>
  </si>
  <si>
    <t>018065</t>
  </si>
  <si>
    <t>Frascarolo</t>
  </si>
  <si>
    <t xml:space="preserve">Frascati (RM) </t>
  </si>
  <si>
    <t>058039</t>
  </si>
  <si>
    <t>Frascati</t>
  </si>
  <si>
    <t xml:space="preserve">Frascineto (CS) </t>
  </si>
  <si>
    <t>078057</t>
  </si>
  <si>
    <t>Frascineto</t>
  </si>
  <si>
    <t xml:space="preserve">Frassilongo (TN) </t>
  </si>
  <si>
    <t>022090</t>
  </si>
  <si>
    <t>Frassilongo</t>
  </si>
  <si>
    <t xml:space="preserve">Frassinelle Polesine (RO) </t>
  </si>
  <si>
    <t>029023</t>
  </si>
  <si>
    <t>Frassinelle Polesine</t>
  </si>
  <si>
    <t xml:space="preserve">Frassinello Monferrato (AL) </t>
  </si>
  <si>
    <t>006072</t>
  </si>
  <si>
    <t>Frassinello Monferrato</t>
  </si>
  <si>
    <t xml:space="preserve">Frassineto Po (AL) </t>
  </si>
  <si>
    <t>006073</t>
  </si>
  <si>
    <t>Frassineto Po</t>
  </si>
  <si>
    <t xml:space="preserve">Frassinetto (TO) </t>
  </si>
  <si>
    <t>001108</t>
  </si>
  <si>
    <t>Frassinetto</t>
  </si>
  <si>
    <t xml:space="preserve">Frassino (CN) </t>
  </si>
  <si>
    <t>004092</t>
  </si>
  <si>
    <t>Frassino</t>
  </si>
  <si>
    <t xml:space="preserve">Frassinoro (MO) </t>
  </si>
  <si>
    <t>036016</t>
  </si>
  <si>
    <t>Frassinoro</t>
  </si>
  <si>
    <t xml:space="preserve">Frasso Sabino (RI) </t>
  </si>
  <si>
    <t>057030</t>
  </si>
  <si>
    <t>Frasso Sabino</t>
  </si>
  <si>
    <t xml:space="preserve">Frasso Telesino (BN) </t>
  </si>
  <si>
    <t>062035</t>
  </si>
  <si>
    <t>Frasso Telesino</t>
  </si>
  <si>
    <t xml:space="preserve">Fratta Polesine (RO) </t>
  </si>
  <si>
    <t>029024</t>
  </si>
  <si>
    <t>Fratta Polesine</t>
  </si>
  <si>
    <t xml:space="preserve">Fratta Todina (PG) </t>
  </si>
  <si>
    <t>054020</t>
  </si>
  <si>
    <t>Fratta Todina</t>
  </si>
  <si>
    <t xml:space="preserve">Frattamaggiore (NA) </t>
  </si>
  <si>
    <t>063032</t>
  </si>
  <si>
    <t>Frattamaggiore</t>
  </si>
  <si>
    <t xml:space="preserve">Frattaminore (NA) </t>
  </si>
  <si>
    <t>063033</t>
  </si>
  <si>
    <t>Frattaminore</t>
  </si>
  <si>
    <t xml:space="preserve">Fratte Rosa (PU) </t>
  </si>
  <si>
    <t>041016</t>
  </si>
  <si>
    <t>Fratte Rosa</t>
  </si>
  <si>
    <t xml:space="preserve">Frazzanò (ME) </t>
  </si>
  <si>
    <t>083026</t>
  </si>
  <si>
    <t>Frazzanò</t>
  </si>
  <si>
    <t xml:space="preserve">Fregona (TV) </t>
  </si>
  <si>
    <t>026030</t>
  </si>
  <si>
    <t>Fregona</t>
  </si>
  <si>
    <t xml:space="preserve">Fresagrandinaria (CH) </t>
  </si>
  <si>
    <t>069036</t>
  </si>
  <si>
    <t>Fresagrandinaria</t>
  </si>
  <si>
    <t xml:space="preserve">Fresonara (AL) </t>
  </si>
  <si>
    <t>006074</t>
  </si>
  <si>
    <t>Fresonara</t>
  </si>
  <si>
    <t xml:space="preserve">Frigento (AV) </t>
  </si>
  <si>
    <t>064035</t>
  </si>
  <si>
    <t>Frigento</t>
  </si>
  <si>
    <t xml:space="preserve">Frignano (CE) </t>
  </si>
  <si>
    <t>061037</t>
  </si>
  <si>
    <t>Frignano</t>
  </si>
  <si>
    <t xml:space="preserve">Frinco (AT) </t>
  </si>
  <si>
    <t>005055</t>
  </si>
  <si>
    <t>Frinco</t>
  </si>
  <si>
    <t xml:space="preserve">Frisa (CH) </t>
  </si>
  <si>
    <t>069037</t>
  </si>
  <si>
    <t>Frisa</t>
  </si>
  <si>
    <t xml:space="preserve">Frisanco (PN) </t>
  </si>
  <si>
    <t>093024</t>
  </si>
  <si>
    <t>Frisanco</t>
  </si>
  <si>
    <t xml:space="preserve">Front (TO) </t>
  </si>
  <si>
    <t>001109</t>
  </si>
  <si>
    <t>Front</t>
  </si>
  <si>
    <t xml:space="preserve">Frontino (PU) </t>
  </si>
  <si>
    <t>041017</t>
  </si>
  <si>
    <t>Frontino</t>
  </si>
  <si>
    <t xml:space="preserve">Frontone (PU) </t>
  </si>
  <si>
    <t>041018</t>
  </si>
  <si>
    <t>Frontone</t>
  </si>
  <si>
    <t xml:space="preserve">Frosinone (FR) </t>
  </si>
  <si>
    <t>060038</t>
  </si>
  <si>
    <t>Frosinone</t>
  </si>
  <si>
    <t xml:space="preserve">Frosolone (IS) </t>
  </si>
  <si>
    <t>094022</t>
  </si>
  <si>
    <t>Frosolone</t>
  </si>
  <si>
    <t xml:space="preserve">Frossasco (TO) </t>
  </si>
  <si>
    <t>001110</t>
  </si>
  <si>
    <t>Frossasco</t>
  </si>
  <si>
    <t xml:space="preserve">Frugarolo (AL) </t>
  </si>
  <si>
    <t>006075</t>
  </si>
  <si>
    <t>Frugarolo</t>
  </si>
  <si>
    <t>006076</t>
  </si>
  <si>
    <t xml:space="preserve">Fucecchio (FI) </t>
  </si>
  <si>
    <t>048019</t>
  </si>
  <si>
    <t>Fucecchio</t>
  </si>
  <si>
    <t xml:space="preserve">Fuipiano Valle Imagna (BG) </t>
  </si>
  <si>
    <t>016106</t>
  </si>
  <si>
    <t>Fuipiano Valle Imagna</t>
  </si>
  <si>
    <t xml:space="preserve">Fumane (VR) </t>
  </si>
  <si>
    <t>023035</t>
  </si>
  <si>
    <t>Fumane</t>
  </si>
  <si>
    <t xml:space="preserve">Fumone (FR) </t>
  </si>
  <si>
    <t>060039</t>
  </si>
  <si>
    <t>Fumone</t>
  </si>
  <si>
    <t>021033</t>
  </si>
  <si>
    <t xml:space="preserve">Furci (CH) </t>
  </si>
  <si>
    <t>069038</t>
  </si>
  <si>
    <t>Furci</t>
  </si>
  <si>
    <t xml:space="preserve">Furci Siculo (ME) </t>
  </si>
  <si>
    <t>083027</t>
  </si>
  <si>
    <t>Furci Siculo</t>
  </si>
  <si>
    <t xml:space="preserve">Furnari (ME) </t>
  </si>
  <si>
    <t>083028</t>
  </si>
  <si>
    <t>Furnari</t>
  </si>
  <si>
    <t xml:space="preserve">Furore (SA) </t>
  </si>
  <si>
    <t>065053</t>
  </si>
  <si>
    <t>Furore</t>
  </si>
  <si>
    <t>Furtei</t>
  </si>
  <si>
    <t xml:space="preserve">Fuscaldo (CS) </t>
  </si>
  <si>
    <t>078058</t>
  </si>
  <si>
    <t>Fuscaldo</t>
  </si>
  <si>
    <t xml:space="preserve">Fusignano (RA) </t>
  </si>
  <si>
    <t>039011</t>
  </si>
  <si>
    <t>Fusignano</t>
  </si>
  <si>
    <t xml:space="preserve">Fusine (SO) </t>
  </si>
  <si>
    <t>014030</t>
  </si>
  <si>
    <t>Fusine</t>
  </si>
  <si>
    <t xml:space="preserve">Futani (SA) </t>
  </si>
  <si>
    <t>065054</t>
  </si>
  <si>
    <t>Futani</t>
  </si>
  <si>
    <t xml:space="preserve">Gabbioneta-Binanuova (CR) </t>
  </si>
  <si>
    <t>019045</t>
  </si>
  <si>
    <t>Gabbioneta-Binanuova</t>
  </si>
  <si>
    <t xml:space="preserve">Gabiano (AL) </t>
  </si>
  <si>
    <t>006077</t>
  </si>
  <si>
    <t>Gabiano</t>
  </si>
  <si>
    <t xml:space="preserve">Gabicce Mare (PU) </t>
  </si>
  <si>
    <t>041019</t>
  </si>
  <si>
    <t>Gabicce Mare</t>
  </si>
  <si>
    <t xml:space="preserve">Gaby (AO) </t>
  </si>
  <si>
    <t>007029</t>
  </si>
  <si>
    <t>Gaby</t>
  </si>
  <si>
    <t xml:space="preserve">Gadesco-Pieve Delmona (CR) </t>
  </si>
  <si>
    <t>019046</t>
  </si>
  <si>
    <t>Gadesco-Pieve Delmona</t>
  </si>
  <si>
    <t xml:space="preserve">Gadoni (NU) </t>
  </si>
  <si>
    <t>Gadoni</t>
  </si>
  <si>
    <t xml:space="preserve">Gaeta (LT) </t>
  </si>
  <si>
    <t>059009</t>
  </si>
  <si>
    <t>Gaeta</t>
  </si>
  <si>
    <t xml:space="preserve">Gaggi (ME) </t>
  </si>
  <si>
    <t>083029</t>
  </si>
  <si>
    <t>Gaggi</t>
  </si>
  <si>
    <t xml:space="preserve">Gaggiano (MI) </t>
  </si>
  <si>
    <t>015103</t>
  </si>
  <si>
    <t>Gaggiano</t>
  </si>
  <si>
    <t xml:space="preserve">Gaggio Montano (BO) </t>
  </si>
  <si>
    <t>037027</t>
  </si>
  <si>
    <t>Gaggio Montano</t>
  </si>
  <si>
    <t xml:space="preserve">Gaglianico (BI) </t>
  </si>
  <si>
    <t>096026</t>
  </si>
  <si>
    <t>Gaglianico</t>
  </si>
  <si>
    <t xml:space="preserve">Gagliano Aterno (AQ) </t>
  </si>
  <si>
    <t>066045</t>
  </si>
  <si>
    <t>Gagliano Aterno</t>
  </si>
  <si>
    <t xml:space="preserve">Gagliano Castelferrato (EN) </t>
  </si>
  <si>
    <t>086010</t>
  </si>
  <si>
    <t>Gagliano Castelferrato</t>
  </si>
  <si>
    <t xml:space="preserve">Gagliano del Capo (LE) </t>
  </si>
  <si>
    <t>075028</t>
  </si>
  <si>
    <t>Gagliano del Capo</t>
  </si>
  <si>
    <t xml:space="preserve">Gagliato (CZ) </t>
  </si>
  <si>
    <t>079055</t>
  </si>
  <si>
    <t>Gagliato</t>
  </si>
  <si>
    <t xml:space="preserve">Gagliole (MC) </t>
  </si>
  <si>
    <t>043020</t>
  </si>
  <si>
    <t>Gagliole</t>
  </si>
  <si>
    <t xml:space="preserve">Gaiarine (TV) </t>
  </si>
  <si>
    <t>026031</t>
  </si>
  <si>
    <t>Gaiarine</t>
  </si>
  <si>
    <t xml:space="preserve">Gaiba (RO) </t>
  </si>
  <si>
    <t>029025</t>
  </si>
  <si>
    <t>Gaiba</t>
  </si>
  <si>
    <t xml:space="preserve">Gaiola (CN) </t>
  </si>
  <si>
    <t>004093</t>
  </si>
  <si>
    <t>Gaiola</t>
  </si>
  <si>
    <t xml:space="preserve">Gaiole in Chianti (SI) </t>
  </si>
  <si>
    <t>052013</t>
  </si>
  <si>
    <t>Gaiole in Chianti</t>
  </si>
  <si>
    <t>Gairo</t>
  </si>
  <si>
    <t>021034</t>
  </si>
  <si>
    <t xml:space="preserve">Galati Mamertino (ME) </t>
  </si>
  <si>
    <t>083030</t>
  </si>
  <si>
    <t>Galati Mamertino</t>
  </si>
  <si>
    <t xml:space="preserve">Galatina (LE) </t>
  </si>
  <si>
    <t>075029</t>
  </si>
  <si>
    <t>Galatina</t>
  </si>
  <si>
    <t xml:space="preserve">Galatone (LE) </t>
  </si>
  <si>
    <t>075030</t>
  </si>
  <si>
    <t>Galatone</t>
  </si>
  <si>
    <t xml:space="preserve">Galatro (RC) </t>
  </si>
  <si>
    <t>080035</t>
  </si>
  <si>
    <t>Galatro</t>
  </si>
  <si>
    <t xml:space="preserve">Galbiate (LC) </t>
  </si>
  <si>
    <t>097036</t>
  </si>
  <si>
    <t>Galbiate</t>
  </si>
  <si>
    <t xml:space="preserve">Galeata (FC) </t>
  </si>
  <si>
    <t>040014</t>
  </si>
  <si>
    <t>Galeata</t>
  </si>
  <si>
    <t xml:space="preserve">Galgagnano (LO) </t>
  </si>
  <si>
    <t>098027</t>
  </si>
  <si>
    <t>Galgagnano</t>
  </si>
  <si>
    <t xml:space="preserve">Gallarate (VA) </t>
  </si>
  <si>
    <t>012070</t>
  </si>
  <si>
    <t>Gallarate</t>
  </si>
  <si>
    <t xml:space="preserve">Gallese (VT) </t>
  </si>
  <si>
    <t>056027</t>
  </si>
  <si>
    <t>Gallese</t>
  </si>
  <si>
    <t xml:space="preserve">Galliate (NO) </t>
  </si>
  <si>
    <t>003068</t>
  </si>
  <si>
    <t>Galliate</t>
  </si>
  <si>
    <t xml:space="preserve">Galliate Lombardo (VA) </t>
  </si>
  <si>
    <t>012071</t>
  </si>
  <si>
    <t>Galliate Lombardo</t>
  </si>
  <si>
    <t xml:space="preserve">Galliavola (PV) </t>
  </si>
  <si>
    <t>018066</t>
  </si>
  <si>
    <t>Galliavola</t>
  </si>
  <si>
    <t xml:space="preserve">Gallicano (LU) </t>
  </si>
  <si>
    <t>046015</t>
  </si>
  <si>
    <t>Gallicano</t>
  </si>
  <si>
    <t xml:space="preserve">Gallicano nel Lazio (RM) </t>
  </si>
  <si>
    <t>058040</t>
  </si>
  <si>
    <t>Gallicano nel Lazio</t>
  </si>
  <si>
    <t xml:space="preserve">Gallicchio (PZ) </t>
  </si>
  <si>
    <t>076035</t>
  </si>
  <si>
    <t>Gallicchio</t>
  </si>
  <si>
    <t xml:space="preserve">Galliera (BO) </t>
  </si>
  <si>
    <t>037028</t>
  </si>
  <si>
    <t>Galliera</t>
  </si>
  <si>
    <t xml:space="preserve">Galliera Veneta (PD) </t>
  </si>
  <si>
    <t>028039</t>
  </si>
  <si>
    <t>Galliera Veneta</t>
  </si>
  <si>
    <t xml:space="preserve">Gallinaro (FR) </t>
  </si>
  <si>
    <t>060040</t>
  </si>
  <si>
    <t>Gallinaro</t>
  </si>
  <si>
    <t xml:space="preserve">Gallio (VI) </t>
  </si>
  <si>
    <t>024042</t>
  </si>
  <si>
    <t>Gallio</t>
  </si>
  <si>
    <t xml:space="preserve">Gallipoli (LE) </t>
  </si>
  <si>
    <t>075031</t>
  </si>
  <si>
    <t>Gallipoli</t>
  </si>
  <si>
    <t xml:space="preserve">Gallo Matese (CE) </t>
  </si>
  <si>
    <t>061038</t>
  </si>
  <si>
    <t>Gallo Matese</t>
  </si>
  <si>
    <t xml:space="preserve">Gallodoro (ME) </t>
  </si>
  <si>
    <t>083031</t>
  </si>
  <si>
    <t>Gallodoro</t>
  </si>
  <si>
    <t xml:space="preserve">Galluccio (CE) </t>
  </si>
  <si>
    <t>061039</t>
  </si>
  <si>
    <t>Galluccio</t>
  </si>
  <si>
    <t xml:space="preserve">Galtellì (NU) </t>
  </si>
  <si>
    <t>Galtellì</t>
  </si>
  <si>
    <t xml:space="preserve">Galzignano Terme (PD) </t>
  </si>
  <si>
    <t>028040</t>
  </si>
  <si>
    <t>Galzignano Terme</t>
  </si>
  <si>
    <t xml:space="preserve">Gamalero (AL) </t>
  </si>
  <si>
    <t>006078</t>
  </si>
  <si>
    <t>Gamalero</t>
  </si>
  <si>
    <t xml:space="preserve">Gambara (BS) </t>
  </si>
  <si>
    <t>017073</t>
  </si>
  <si>
    <t>Gambara</t>
  </si>
  <si>
    <t xml:space="preserve">Gambarana (PV) </t>
  </si>
  <si>
    <t>018067</t>
  </si>
  <si>
    <t>Gambarana</t>
  </si>
  <si>
    <t xml:space="preserve">Gambasca (CN) </t>
  </si>
  <si>
    <t>004094</t>
  </si>
  <si>
    <t>Gambasca</t>
  </si>
  <si>
    <t xml:space="preserve">Gambassi Terme (FI) </t>
  </si>
  <si>
    <t>048020</t>
  </si>
  <si>
    <t>Gambassi Terme</t>
  </si>
  <si>
    <t xml:space="preserve">Gambatesa (CB) </t>
  </si>
  <si>
    <t>070025</t>
  </si>
  <si>
    <t>Gambatesa</t>
  </si>
  <si>
    <t xml:space="preserve">Gambellara (VI) </t>
  </si>
  <si>
    <t>024043</t>
  </si>
  <si>
    <t>Gambellara</t>
  </si>
  <si>
    <t xml:space="preserve">Gamberale (CH) </t>
  </si>
  <si>
    <t>069039</t>
  </si>
  <si>
    <t>Gamberale</t>
  </si>
  <si>
    <t xml:space="preserve">Gambettola (FC) </t>
  </si>
  <si>
    <t>040015</t>
  </si>
  <si>
    <t>Gambettola</t>
  </si>
  <si>
    <t xml:space="preserve">Gambolò (PV) </t>
  </si>
  <si>
    <t>018068</t>
  </si>
  <si>
    <t>Gambolò</t>
  </si>
  <si>
    <t xml:space="preserve">Gandellino (BG) </t>
  </si>
  <si>
    <t>016107</t>
  </si>
  <si>
    <t>Gandellino</t>
  </si>
  <si>
    <t xml:space="preserve">Gandino (BG) </t>
  </si>
  <si>
    <t>016108</t>
  </si>
  <si>
    <t>Gandino</t>
  </si>
  <si>
    <t xml:space="preserve">Gandosso (BG) </t>
  </si>
  <si>
    <t>016109</t>
  </si>
  <si>
    <t>Gandosso</t>
  </si>
  <si>
    <t xml:space="preserve">Gangi (PA) </t>
  </si>
  <si>
    <t>082036</t>
  </si>
  <si>
    <t>Gangi</t>
  </si>
  <si>
    <t xml:space="preserve">Garaguso (MT) </t>
  </si>
  <si>
    <t>077009</t>
  </si>
  <si>
    <t>Garaguso</t>
  </si>
  <si>
    <t xml:space="preserve">Garbagna (AL) </t>
  </si>
  <si>
    <t>006079</t>
  </si>
  <si>
    <t>Garbagna</t>
  </si>
  <si>
    <t xml:space="preserve">Garbagna Novarese (NO) </t>
  </si>
  <si>
    <t>003069</t>
  </si>
  <si>
    <t>Garbagna Novarese</t>
  </si>
  <si>
    <t xml:space="preserve">Garbagnate Milanese (MI) </t>
  </si>
  <si>
    <t>015105</t>
  </si>
  <si>
    <t>Garbagnate Milanese</t>
  </si>
  <si>
    <t xml:space="preserve">Garbagnate Monastero (LC) </t>
  </si>
  <si>
    <t>097037</t>
  </si>
  <si>
    <t>Garbagnate Monastero</t>
  </si>
  <si>
    <t xml:space="preserve">Garda (VR) </t>
  </si>
  <si>
    <t>023036</t>
  </si>
  <si>
    <t>Garda</t>
  </si>
  <si>
    <t xml:space="preserve">Gardone Riviera (BS) </t>
  </si>
  <si>
    <t>017074</t>
  </si>
  <si>
    <t>Gardone Riviera</t>
  </si>
  <si>
    <t xml:space="preserve">Gardone Val Trompia (BS) </t>
  </si>
  <si>
    <t>017075</t>
  </si>
  <si>
    <t>Gardone Val Trompia</t>
  </si>
  <si>
    <t xml:space="preserve">Garessio (CN) </t>
  </si>
  <si>
    <t>004095</t>
  </si>
  <si>
    <t>Garessio</t>
  </si>
  <si>
    <t xml:space="preserve">Gargallo (NO) </t>
  </si>
  <si>
    <t>003070</t>
  </si>
  <si>
    <t>Gargallo</t>
  </si>
  <si>
    <t>021035</t>
  </si>
  <si>
    <t xml:space="preserve">Gargnano (BS) </t>
  </si>
  <si>
    <t>017076</t>
  </si>
  <si>
    <t>Gargnano</t>
  </si>
  <si>
    <t xml:space="preserve">Garlasco (PV) </t>
  </si>
  <si>
    <t>018069</t>
  </si>
  <si>
    <t>Garlasco</t>
  </si>
  <si>
    <t xml:space="preserve">Garlate (LC) </t>
  </si>
  <si>
    <t>097038</t>
  </si>
  <si>
    <t>Garlate</t>
  </si>
  <si>
    <t xml:space="preserve">Garlenda (SV) </t>
  </si>
  <si>
    <t>009030</t>
  </si>
  <si>
    <t>Garlenda</t>
  </si>
  <si>
    <t xml:space="preserve">Garniga Terme (TN) </t>
  </si>
  <si>
    <t>022091</t>
  </si>
  <si>
    <t>Garniga Terme</t>
  </si>
  <si>
    <t xml:space="preserve">Garzeno (CO) </t>
  </si>
  <si>
    <t>013106</t>
  </si>
  <si>
    <t>Garzeno</t>
  </si>
  <si>
    <t xml:space="preserve">Garzigliana (TO) </t>
  </si>
  <si>
    <t>001111</t>
  </si>
  <si>
    <t>Garzigliana</t>
  </si>
  <si>
    <t xml:space="preserve">Gasperina (CZ) </t>
  </si>
  <si>
    <t>079056</t>
  </si>
  <si>
    <t>Gasperina</t>
  </si>
  <si>
    <t xml:space="preserve">Gassino Torinese (TO) </t>
  </si>
  <si>
    <t>001112</t>
  </si>
  <si>
    <t>Gassino Torinese</t>
  </si>
  <si>
    <t xml:space="preserve">Gattatico (RE) </t>
  </si>
  <si>
    <t>035022</t>
  </si>
  <si>
    <t>Gattatico</t>
  </si>
  <si>
    <t xml:space="preserve">Gatteo (FC) </t>
  </si>
  <si>
    <t>040016</t>
  </si>
  <si>
    <t>Gatteo</t>
  </si>
  <si>
    <t xml:space="preserve">Gattinara (VC) </t>
  </si>
  <si>
    <t>002061</t>
  </si>
  <si>
    <t>Gattinara</t>
  </si>
  <si>
    <t xml:space="preserve">Gavardo (BS) </t>
  </si>
  <si>
    <t>017077</t>
  </si>
  <si>
    <t>Gavardo</t>
  </si>
  <si>
    <t xml:space="preserve">Gavello (RO) </t>
  </si>
  <si>
    <t>029026</t>
  </si>
  <si>
    <t>Gavello</t>
  </si>
  <si>
    <t xml:space="preserve">Gaverina Terme (BG) </t>
  </si>
  <si>
    <t>016110</t>
  </si>
  <si>
    <t>Gaverina Terme</t>
  </si>
  <si>
    <t xml:space="preserve">Gavi (AL) </t>
  </si>
  <si>
    <t>006081</t>
  </si>
  <si>
    <t>Gavi</t>
  </si>
  <si>
    <t xml:space="preserve">Gavignano (RM) </t>
  </si>
  <si>
    <t>058041</t>
  </si>
  <si>
    <t>Gavignano</t>
  </si>
  <si>
    <t xml:space="preserve">Gavirate (VA) </t>
  </si>
  <si>
    <t>012072</t>
  </si>
  <si>
    <t>Gavirate</t>
  </si>
  <si>
    <t xml:space="preserve">Gavoi (NU) </t>
  </si>
  <si>
    <t>Gavoi</t>
  </si>
  <si>
    <t xml:space="preserve">Gavorrano (GR) </t>
  </si>
  <si>
    <t>053010</t>
  </si>
  <si>
    <t>Gavorrano</t>
  </si>
  <si>
    <t xml:space="preserve">Gazoldo degli Ippoliti (MN) </t>
  </si>
  <si>
    <t>020024</t>
  </si>
  <si>
    <t>Gazoldo degli Ippoliti</t>
  </si>
  <si>
    <t xml:space="preserve">Gazzada Schianno (VA) </t>
  </si>
  <si>
    <t>012073</t>
  </si>
  <si>
    <t>Gazzada Schianno</t>
  </si>
  <si>
    <t xml:space="preserve">Gazzaniga (BG) </t>
  </si>
  <si>
    <t>016111</t>
  </si>
  <si>
    <t>Gazzaniga</t>
  </si>
  <si>
    <t xml:space="preserve">Gazzo (PD) </t>
  </si>
  <si>
    <t>028041</t>
  </si>
  <si>
    <t>Gazzo</t>
  </si>
  <si>
    <t xml:space="preserve">Gazzo Veronese (VR) </t>
  </si>
  <si>
    <t>023037</t>
  </si>
  <si>
    <t>Gazzo Veronese</t>
  </si>
  <si>
    <t xml:space="preserve">Gazzola (PC) </t>
  </si>
  <si>
    <t>033022</t>
  </si>
  <si>
    <t>Gazzola</t>
  </si>
  <si>
    <t xml:space="preserve">Gazzuolo (MN) </t>
  </si>
  <si>
    <t>020025</t>
  </si>
  <si>
    <t>Gazzuolo</t>
  </si>
  <si>
    <t xml:space="preserve">Gela (CL) </t>
  </si>
  <si>
    <t>085007</t>
  </si>
  <si>
    <t>Gela</t>
  </si>
  <si>
    <t xml:space="preserve">Gemmano (RN) </t>
  </si>
  <si>
    <t>099004</t>
  </si>
  <si>
    <t>Gemmano</t>
  </si>
  <si>
    <t xml:space="preserve">Gemona del Friuli (UD) </t>
  </si>
  <si>
    <t>030043</t>
  </si>
  <si>
    <t>Gemona del Friuli</t>
  </si>
  <si>
    <t xml:space="preserve">Gemonio (VA) </t>
  </si>
  <si>
    <t>012074</t>
  </si>
  <si>
    <t>Gemonio</t>
  </si>
  <si>
    <t xml:space="preserve">Genazzano (RM) </t>
  </si>
  <si>
    <t>058042</t>
  </si>
  <si>
    <t>Genazzano</t>
  </si>
  <si>
    <t xml:space="preserve">Genga (AN) </t>
  </si>
  <si>
    <t>042020</t>
  </si>
  <si>
    <t>Genga</t>
  </si>
  <si>
    <t xml:space="preserve">Genivolta (CR) </t>
  </si>
  <si>
    <t>019047</t>
  </si>
  <si>
    <t>Genivolta</t>
  </si>
  <si>
    <t xml:space="preserve">Genola (CN) </t>
  </si>
  <si>
    <t>004096</t>
  </si>
  <si>
    <t>Genola</t>
  </si>
  <si>
    <t>Genoni</t>
  </si>
  <si>
    <t xml:space="preserve">Genova (GE) </t>
  </si>
  <si>
    <t>010025</t>
  </si>
  <si>
    <t>Genova</t>
  </si>
  <si>
    <t>Genuri</t>
  </si>
  <si>
    <t xml:space="preserve">Genzano di Lucania (PZ) </t>
  </si>
  <si>
    <t>076036</t>
  </si>
  <si>
    <t>Genzano di Lucania</t>
  </si>
  <si>
    <t xml:space="preserve">Genzano di Roma (RM) </t>
  </si>
  <si>
    <t>058043</t>
  </si>
  <si>
    <t>Genzano di Roma</t>
  </si>
  <si>
    <t xml:space="preserve">Gera Lario (CO) </t>
  </si>
  <si>
    <t>013107</t>
  </si>
  <si>
    <t>Gera Lario</t>
  </si>
  <si>
    <t xml:space="preserve">Gerace (RC) </t>
  </si>
  <si>
    <t>080036</t>
  </si>
  <si>
    <t>Gerace</t>
  </si>
  <si>
    <t xml:space="preserve">Geraci Siculo (PA) </t>
  </si>
  <si>
    <t>082037</t>
  </si>
  <si>
    <t>Geraci Siculo</t>
  </si>
  <si>
    <t xml:space="preserve">Gerano (RM) </t>
  </si>
  <si>
    <t>058044</t>
  </si>
  <si>
    <t>Gerano</t>
  </si>
  <si>
    <t xml:space="preserve">Gerenzago (PV) </t>
  </si>
  <si>
    <t>018071</t>
  </si>
  <si>
    <t>Gerenzago</t>
  </si>
  <si>
    <t xml:space="preserve">Gerenzano (VA) </t>
  </si>
  <si>
    <t>012075</t>
  </si>
  <si>
    <t>Gerenzano</t>
  </si>
  <si>
    <t>Gergei</t>
  </si>
  <si>
    <t xml:space="preserve">Germagnano (TO) </t>
  </si>
  <si>
    <t>001113</t>
  </si>
  <si>
    <t>Germagnano</t>
  </si>
  <si>
    <t xml:space="preserve">Germagno (VB) </t>
  </si>
  <si>
    <t>Germagno</t>
  </si>
  <si>
    <t xml:space="preserve">Germignaga (VA) </t>
  </si>
  <si>
    <t>012076</t>
  </si>
  <si>
    <t>Germignaga</t>
  </si>
  <si>
    <t xml:space="preserve">Gerocarne (VV) </t>
  </si>
  <si>
    <t>Gerocarne</t>
  </si>
  <si>
    <t xml:space="preserve">Gerola Alta (SO) </t>
  </si>
  <si>
    <t>014031</t>
  </si>
  <si>
    <t>Gerola Alta</t>
  </si>
  <si>
    <t xml:space="preserve">Gerre de' Caprioli (CR) </t>
  </si>
  <si>
    <t>019048</t>
  </si>
  <si>
    <t>Gerre de' Caprioli</t>
  </si>
  <si>
    <t>Gesico</t>
  </si>
  <si>
    <t xml:space="preserve">Gessate (MI) </t>
  </si>
  <si>
    <t>015106</t>
  </si>
  <si>
    <t>Gessate</t>
  </si>
  <si>
    <t xml:space="preserve">Gessopalena (CH) </t>
  </si>
  <si>
    <t>069040</t>
  </si>
  <si>
    <t>Gessopalena</t>
  </si>
  <si>
    <t>Gesturi</t>
  </si>
  <si>
    <t xml:space="preserve">Gesualdo (AV) </t>
  </si>
  <si>
    <t>064036</t>
  </si>
  <si>
    <t>Gesualdo</t>
  </si>
  <si>
    <t xml:space="preserve">Ghedi (BS) </t>
  </si>
  <si>
    <t>017078</t>
  </si>
  <si>
    <t>Ghedi</t>
  </si>
  <si>
    <t xml:space="preserve">Ghemme (NO) </t>
  </si>
  <si>
    <t>003073</t>
  </si>
  <si>
    <t>Ghemme</t>
  </si>
  <si>
    <t xml:space="preserve">Ghiffa (VB) </t>
  </si>
  <si>
    <t>Ghiffa</t>
  </si>
  <si>
    <t xml:space="preserve">Ghilarza (OR) </t>
  </si>
  <si>
    <t>Ghilarza</t>
  </si>
  <si>
    <t xml:space="preserve">Ghisalba (BG) </t>
  </si>
  <si>
    <t>016113</t>
  </si>
  <si>
    <t>Ghisalba</t>
  </si>
  <si>
    <t xml:space="preserve">Ghislarengo (VC) </t>
  </si>
  <si>
    <t>002062</t>
  </si>
  <si>
    <t>Ghislarengo</t>
  </si>
  <si>
    <t xml:space="preserve">Giacciano con Baruchella (RO) </t>
  </si>
  <si>
    <t>029027</t>
  </si>
  <si>
    <t>Giacciano con Baruchella</t>
  </si>
  <si>
    <t xml:space="preserve">Giaglione (TO) </t>
  </si>
  <si>
    <t>001114</t>
  </si>
  <si>
    <t>Giaglione</t>
  </si>
  <si>
    <t xml:space="preserve">Gianico (BS) </t>
  </si>
  <si>
    <t>017079</t>
  </si>
  <si>
    <t>Gianico</t>
  </si>
  <si>
    <t xml:space="preserve">Giano dell'Umbria (PG) </t>
  </si>
  <si>
    <t>054021</t>
  </si>
  <si>
    <t>Giano dell'Umbria</t>
  </si>
  <si>
    <t xml:space="preserve">Giano Vetusto (CE) </t>
  </si>
  <si>
    <t>061040</t>
  </si>
  <si>
    <t>Giano Vetusto</t>
  </si>
  <si>
    <t xml:space="preserve">Giardinello (PA) </t>
  </si>
  <si>
    <t>082038</t>
  </si>
  <si>
    <t>Giardinello</t>
  </si>
  <si>
    <t xml:space="preserve">Giardini-Naxos (ME) </t>
  </si>
  <si>
    <t>083032</t>
  </si>
  <si>
    <t>Giardini-Naxos</t>
  </si>
  <si>
    <t xml:space="preserve">Giarole (AL) </t>
  </si>
  <si>
    <t>006082</t>
  </si>
  <si>
    <t>Giarole</t>
  </si>
  <si>
    <t xml:space="preserve">Giarratana (RG) </t>
  </si>
  <si>
    <t>088004</t>
  </si>
  <si>
    <t>Giarratana</t>
  </si>
  <si>
    <t xml:space="preserve">Giarre (CT) </t>
  </si>
  <si>
    <t>087017</t>
  </si>
  <si>
    <t>Giarre</t>
  </si>
  <si>
    <t xml:space="preserve">Giave (SS) </t>
  </si>
  <si>
    <t>Giave</t>
  </si>
  <si>
    <t xml:space="preserve">Giaveno (TO) </t>
  </si>
  <si>
    <t>001115</t>
  </si>
  <si>
    <t>Giaveno</t>
  </si>
  <si>
    <t xml:space="preserve">Giavera del Montello (TV) </t>
  </si>
  <si>
    <t>026032</t>
  </si>
  <si>
    <t>Giavera del Montello</t>
  </si>
  <si>
    <t>Giba</t>
  </si>
  <si>
    <t xml:space="preserve">Gibellina (TP) </t>
  </si>
  <si>
    <t>081010</t>
  </si>
  <si>
    <t>Gibellina</t>
  </si>
  <si>
    <t xml:space="preserve">Gifflenga (BI) </t>
  </si>
  <si>
    <t>096027</t>
  </si>
  <si>
    <t>Gifflenga</t>
  </si>
  <si>
    <t xml:space="preserve">Giffone (RC) </t>
  </si>
  <si>
    <t>080037</t>
  </si>
  <si>
    <t>Giffone</t>
  </si>
  <si>
    <t xml:space="preserve">Giffoni Sei Casali (SA) </t>
  </si>
  <si>
    <t>065055</t>
  </si>
  <si>
    <t>Giffoni Sei Casali</t>
  </si>
  <si>
    <t xml:space="preserve">Giffoni Valle Piana (SA) </t>
  </si>
  <si>
    <t>065056</t>
  </si>
  <si>
    <t>Giffoni Valle Piana</t>
  </si>
  <si>
    <t xml:space="preserve">Gignese (VB) </t>
  </si>
  <si>
    <t>Gignese</t>
  </si>
  <si>
    <t xml:space="preserve">Gignod (AO) </t>
  </si>
  <si>
    <t>007030</t>
  </si>
  <si>
    <t>Gignod</t>
  </si>
  <si>
    <t xml:space="preserve">Gildone (CB) </t>
  </si>
  <si>
    <t>070026</t>
  </si>
  <si>
    <t>Gildone</t>
  </si>
  <si>
    <t xml:space="preserve">Gimigliano (CZ) </t>
  </si>
  <si>
    <t>079058</t>
  </si>
  <si>
    <t>Gimigliano</t>
  </si>
  <si>
    <t xml:space="preserve">Ginestra (PZ) </t>
  </si>
  <si>
    <t>076099</t>
  </si>
  <si>
    <t>Ginestra</t>
  </si>
  <si>
    <t xml:space="preserve">Ginestra degli Schiavoni (BN) </t>
  </si>
  <si>
    <t>062036</t>
  </si>
  <si>
    <t>Ginestra degli Schiavoni</t>
  </si>
  <si>
    <t xml:space="preserve">Ginosa (TA) </t>
  </si>
  <si>
    <t>073007</t>
  </si>
  <si>
    <t>Ginosa</t>
  </si>
  <si>
    <t xml:space="preserve">Gioi (SA) </t>
  </si>
  <si>
    <t>065057</t>
  </si>
  <si>
    <t>Gioi</t>
  </si>
  <si>
    <t xml:space="preserve">Gioia dei Marsi (AQ) </t>
  </si>
  <si>
    <t>066046</t>
  </si>
  <si>
    <t>Gioia dei Marsi</t>
  </si>
  <si>
    <t xml:space="preserve">Gioia del Colle (BA) </t>
  </si>
  <si>
    <t>072021</t>
  </si>
  <si>
    <t>Gioia del Colle</t>
  </si>
  <si>
    <t xml:space="preserve">Gioia Sannitica (CE) </t>
  </si>
  <si>
    <t>061041</t>
  </si>
  <si>
    <t>Gioia Sannitica</t>
  </si>
  <si>
    <t xml:space="preserve">Gioia Tauro (RC) </t>
  </si>
  <si>
    <t>080038</t>
  </si>
  <si>
    <t>Gioia Tauro</t>
  </si>
  <si>
    <t xml:space="preserve">Gioiosa Ionica (RC) </t>
  </si>
  <si>
    <t>080039</t>
  </si>
  <si>
    <t>Gioiosa Ionica</t>
  </si>
  <si>
    <t xml:space="preserve">Gioiosa Marea (ME) </t>
  </si>
  <si>
    <t>083033</t>
  </si>
  <si>
    <t>Gioiosa Marea</t>
  </si>
  <si>
    <t xml:space="preserve">Giove (TR) </t>
  </si>
  <si>
    <t>055014</t>
  </si>
  <si>
    <t>Giove</t>
  </si>
  <si>
    <t xml:space="preserve">Giovinazzo (BA) </t>
  </si>
  <si>
    <t>072022</t>
  </si>
  <si>
    <t>Giovinazzo</t>
  </si>
  <si>
    <t xml:space="preserve">Giovo (TN) </t>
  </si>
  <si>
    <t>022092</t>
  </si>
  <si>
    <t>Giovo</t>
  </si>
  <si>
    <t>Girasole</t>
  </si>
  <si>
    <t xml:space="preserve">Girifalco (CZ) </t>
  </si>
  <si>
    <t>079059</t>
  </si>
  <si>
    <t>Girifalco</t>
  </si>
  <si>
    <t xml:space="preserve">Gissi (CH) </t>
  </si>
  <si>
    <t>069041</t>
  </si>
  <si>
    <t>Gissi</t>
  </si>
  <si>
    <t xml:space="preserve">Giuggianello (LE) </t>
  </si>
  <si>
    <t>075032</t>
  </si>
  <si>
    <t>Giuggianello</t>
  </si>
  <si>
    <t xml:space="preserve">Giugliano in Campania (NA) </t>
  </si>
  <si>
    <t>063034</t>
  </si>
  <si>
    <t>Giugliano in Campania</t>
  </si>
  <si>
    <t xml:space="preserve">Giuliana (PA) </t>
  </si>
  <si>
    <t>082039</t>
  </si>
  <si>
    <t>Giuliana</t>
  </si>
  <si>
    <t xml:space="preserve">Giuliano di Roma (FR) </t>
  </si>
  <si>
    <t>060041</t>
  </si>
  <si>
    <t>Giuliano di Roma</t>
  </si>
  <si>
    <t xml:space="preserve">Giuliano Teatino (CH) </t>
  </si>
  <si>
    <t>069042</t>
  </si>
  <si>
    <t>Giuliano Teatino</t>
  </si>
  <si>
    <t xml:space="preserve">Giulianova (TE) </t>
  </si>
  <si>
    <t>067025</t>
  </si>
  <si>
    <t>Giulianova</t>
  </si>
  <si>
    <t xml:space="preserve">Giungano (SA) </t>
  </si>
  <si>
    <t>065058</t>
  </si>
  <si>
    <t>Giungano</t>
  </si>
  <si>
    <t xml:space="preserve">Giurdignano (LE) </t>
  </si>
  <si>
    <t>075033</t>
  </si>
  <si>
    <t>Giurdignano</t>
  </si>
  <si>
    <t xml:space="preserve">Giussago (PV) </t>
  </si>
  <si>
    <t>018072</t>
  </si>
  <si>
    <t>Giussago</t>
  </si>
  <si>
    <t xml:space="preserve">Giussano (MB) </t>
  </si>
  <si>
    <t>Giussano</t>
  </si>
  <si>
    <t xml:space="preserve">Giustenice (SV) </t>
  </si>
  <si>
    <t>009031</t>
  </si>
  <si>
    <t>Giustenice</t>
  </si>
  <si>
    <t xml:space="preserve">Giustino (TN) </t>
  </si>
  <si>
    <t>022093</t>
  </si>
  <si>
    <t>Giustino</t>
  </si>
  <si>
    <t xml:space="preserve">Giusvalla (SV) </t>
  </si>
  <si>
    <t>009032</t>
  </si>
  <si>
    <t>Giusvalla</t>
  </si>
  <si>
    <t xml:space="preserve">Givoletto (TO) </t>
  </si>
  <si>
    <t>001116</t>
  </si>
  <si>
    <t>Givoletto</t>
  </si>
  <si>
    <t xml:space="preserve">Gizzeria (CZ) </t>
  </si>
  <si>
    <t>079060</t>
  </si>
  <si>
    <t>Gizzeria</t>
  </si>
  <si>
    <t>021036</t>
  </si>
  <si>
    <t xml:space="preserve">Godega di Sant'Urbano (TV) </t>
  </si>
  <si>
    <t>026033</t>
  </si>
  <si>
    <t>Godega di Sant'Urbano</t>
  </si>
  <si>
    <t>018073</t>
  </si>
  <si>
    <t xml:space="preserve">Godrano (PA) </t>
  </si>
  <si>
    <t>082040</t>
  </si>
  <si>
    <t>Godrano</t>
  </si>
  <si>
    <t xml:space="preserve">Goito (MN) </t>
  </si>
  <si>
    <t>020026</t>
  </si>
  <si>
    <t>Goito</t>
  </si>
  <si>
    <t xml:space="preserve">Golasecca (VA) </t>
  </si>
  <si>
    <t>012077</t>
  </si>
  <si>
    <t>Golasecca</t>
  </si>
  <si>
    <t xml:space="preserve">Golferenzo (PV) </t>
  </si>
  <si>
    <t>018074</t>
  </si>
  <si>
    <t>Golferenzo</t>
  </si>
  <si>
    <t>Golfo Aranci</t>
  </si>
  <si>
    <t xml:space="preserve">Gombito (CR) </t>
  </si>
  <si>
    <t>019049</t>
  </si>
  <si>
    <t>Gombito</t>
  </si>
  <si>
    <t xml:space="preserve">Gonars (UD) </t>
  </si>
  <si>
    <t>030044</t>
  </si>
  <si>
    <t>Gonars</t>
  </si>
  <si>
    <t>Goni</t>
  </si>
  <si>
    <t>Gonnesa</t>
  </si>
  <si>
    <t xml:space="preserve">Gonnoscodina (OR) </t>
  </si>
  <si>
    <t>Gonnoscodina</t>
  </si>
  <si>
    <t>Gonnosfanadiga</t>
  </si>
  <si>
    <t xml:space="preserve">Gonnosnò (OR) </t>
  </si>
  <si>
    <t>Gonnosnò</t>
  </si>
  <si>
    <t xml:space="preserve">Gonnostramatza (OR) </t>
  </si>
  <si>
    <t>Gonnostramatza</t>
  </si>
  <si>
    <t xml:space="preserve">Gonzaga (MN) </t>
  </si>
  <si>
    <t>020027</t>
  </si>
  <si>
    <t>Gonzaga</t>
  </si>
  <si>
    <t xml:space="preserve">Gordona (SO) </t>
  </si>
  <si>
    <t>014032</t>
  </si>
  <si>
    <t>Gordona</t>
  </si>
  <si>
    <t xml:space="preserve">Gorga (RM) </t>
  </si>
  <si>
    <t>058045</t>
  </si>
  <si>
    <t>Gorga</t>
  </si>
  <si>
    <t xml:space="preserve">Gorgo al Monticano (TV) </t>
  </si>
  <si>
    <t>026034</t>
  </si>
  <si>
    <t>Gorgo al Monticano</t>
  </si>
  <si>
    <t xml:space="preserve">Gorgoglione (MT) </t>
  </si>
  <si>
    <t>077010</t>
  </si>
  <si>
    <t>Gorgoglione</t>
  </si>
  <si>
    <t xml:space="preserve">Gorgonzola (MI) </t>
  </si>
  <si>
    <t>015108</t>
  </si>
  <si>
    <t>Gorgonzola</t>
  </si>
  <si>
    <t xml:space="preserve">Goriano Sicoli (AQ) </t>
  </si>
  <si>
    <t>066047</t>
  </si>
  <si>
    <t>Goriano Sicoli</t>
  </si>
  <si>
    <t xml:space="preserve">Gorizia (GO) </t>
  </si>
  <si>
    <t>031007</t>
  </si>
  <si>
    <t>Gorizia</t>
  </si>
  <si>
    <t xml:space="preserve">Gorla Maggiore (VA) </t>
  </si>
  <si>
    <t>012078</t>
  </si>
  <si>
    <t>Gorla Maggiore</t>
  </si>
  <si>
    <t xml:space="preserve">Gorla Minore (VA) </t>
  </si>
  <si>
    <t>012079</t>
  </si>
  <si>
    <t>Gorla Minore</t>
  </si>
  <si>
    <t xml:space="preserve">Gorlago (BG) </t>
  </si>
  <si>
    <t>016114</t>
  </si>
  <si>
    <t>Gorlago</t>
  </si>
  <si>
    <t xml:space="preserve">Gorle (BG) </t>
  </si>
  <si>
    <t>016115</t>
  </si>
  <si>
    <t>Gorle</t>
  </si>
  <si>
    <t>012080</t>
  </si>
  <si>
    <t xml:space="preserve">Gorno (BG) </t>
  </si>
  <si>
    <t>016116</t>
  </si>
  <si>
    <t>Gorno</t>
  </si>
  <si>
    <t xml:space="preserve">Goro (FE) </t>
  </si>
  <si>
    <t>038025</t>
  </si>
  <si>
    <t>Goro</t>
  </si>
  <si>
    <t xml:space="preserve">Gorreto (GE) </t>
  </si>
  <si>
    <t>010026</t>
  </si>
  <si>
    <t>Gorreto</t>
  </si>
  <si>
    <t xml:space="preserve">Gorzegno (CN) </t>
  </si>
  <si>
    <t>004097</t>
  </si>
  <si>
    <t>Gorzegno</t>
  </si>
  <si>
    <t xml:space="preserve">Gosaldo (BL) </t>
  </si>
  <si>
    <t>025025</t>
  </si>
  <si>
    <t>Gosaldo</t>
  </si>
  <si>
    <t xml:space="preserve">Gossolengo (PC) </t>
  </si>
  <si>
    <t>033023</t>
  </si>
  <si>
    <t>Gossolengo</t>
  </si>
  <si>
    <t xml:space="preserve">Gottasecca (CN) </t>
  </si>
  <si>
    <t>004098</t>
  </si>
  <si>
    <t>Gottasecca</t>
  </si>
  <si>
    <t xml:space="preserve">Gottolengo (BS) </t>
  </si>
  <si>
    <t>017080</t>
  </si>
  <si>
    <t>Gottolengo</t>
  </si>
  <si>
    <t xml:space="preserve">Govone (CN) </t>
  </si>
  <si>
    <t>004099</t>
  </si>
  <si>
    <t>Govone</t>
  </si>
  <si>
    <t xml:space="preserve">Gozzano (NO) </t>
  </si>
  <si>
    <t>003076</t>
  </si>
  <si>
    <t>Gozzano</t>
  </si>
  <si>
    <t xml:space="preserve">Gradara (PU) </t>
  </si>
  <si>
    <t>041020</t>
  </si>
  <si>
    <t>Gradara</t>
  </si>
  <si>
    <t xml:space="preserve">Gradisca d'Isonzo (GO) </t>
  </si>
  <si>
    <t>031008</t>
  </si>
  <si>
    <t>Gradisca d'Isonzo</t>
  </si>
  <si>
    <t xml:space="preserve">Grado (GO) </t>
  </si>
  <si>
    <t>031009</t>
  </si>
  <si>
    <t>Grado</t>
  </si>
  <si>
    <t xml:space="preserve">Gradoli (VT) </t>
  </si>
  <si>
    <t>056028</t>
  </si>
  <si>
    <t>Gradoli</t>
  </si>
  <si>
    <t xml:space="preserve">Graffignana (LO) </t>
  </si>
  <si>
    <t>098028</t>
  </si>
  <si>
    <t>Graffignana</t>
  </si>
  <si>
    <t xml:space="preserve">Graffignano (VT) </t>
  </si>
  <si>
    <t>056029</t>
  </si>
  <si>
    <t>Graffignano</t>
  </si>
  <si>
    <t xml:space="preserve">Graglia (BI) </t>
  </si>
  <si>
    <t>096028</t>
  </si>
  <si>
    <t>Graglia</t>
  </si>
  <si>
    <t xml:space="preserve">Gragnano (NA) </t>
  </si>
  <si>
    <t>063035</t>
  </si>
  <si>
    <t>Gragnano</t>
  </si>
  <si>
    <t xml:space="preserve">Gragnano Trebbiense (PC) </t>
  </si>
  <si>
    <t>033024</t>
  </si>
  <si>
    <t>Gragnano Trebbiense</t>
  </si>
  <si>
    <t xml:space="preserve">Grammichele (CT) </t>
  </si>
  <si>
    <t>087018</t>
  </si>
  <si>
    <t>Grammichele</t>
  </si>
  <si>
    <t>005056</t>
  </si>
  <si>
    <t xml:space="preserve">Granarolo dell'Emilia (BO) </t>
  </si>
  <si>
    <t>037030</t>
  </si>
  <si>
    <t>Granarolo dell'Emilia</t>
  </si>
  <si>
    <t xml:space="preserve">Grandate (CO) </t>
  </si>
  <si>
    <t>013110</t>
  </si>
  <si>
    <t>Grandate</t>
  </si>
  <si>
    <t xml:space="preserve">Grandola ed Uniti (CO) </t>
  </si>
  <si>
    <t>013111</t>
  </si>
  <si>
    <t>Grandola ed Uniti</t>
  </si>
  <si>
    <t xml:space="preserve">Graniti (ME) </t>
  </si>
  <si>
    <t>083034</t>
  </si>
  <si>
    <t>Graniti</t>
  </si>
  <si>
    <t xml:space="preserve">Granozzo con Monticello (NO) </t>
  </si>
  <si>
    <t>003077</t>
  </si>
  <si>
    <t>Granozzo con Monticello</t>
  </si>
  <si>
    <t xml:space="preserve">Grantola (VA) </t>
  </si>
  <si>
    <t>012081</t>
  </si>
  <si>
    <t>Grantola</t>
  </si>
  <si>
    <t xml:space="preserve">Grantorto (PD) </t>
  </si>
  <si>
    <t>028042</t>
  </si>
  <si>
    <t>Grantorto</t>
  </si>
  <si>
    <t xml:space="preserve">Granze (PD) </t>
  </si>
  <si>
    <t>028043</t>
  </si>
  <si>
    <t>Granze</t>
  </si>
  <si>
    <t xml:space="preserve">Grassano (MT) </t>
  </si>
  <si>
    <t>077011</t>
  </si>
  <si>
    <t>Grassano</t>
  </si>
  <si>
    <t xml:space="preserve">Grassobbio (BG) </t>
  </si>
  <si>
    <t>016117</t>
  </si>
  <si>
    <t>Grassobbio</t>
  </si>
  <si>
    <t xml:space="preserve">Gratteri (PA) </t>
  </si>
  <si>
    <t>082041</t>
  </si>
  <si>
    <t>Gratteri</t>
  </si>
  <si>
    <t xml:space="preserve">Gravedona ed Uniti (CO) </t>
  </si>
  <si>
    <t>013249</t>
  </si>
  <si>
    <t>Gravedona ed Uniti</t>
  </si>
  <si>
    <t xml:space="preserve">Gravellona Lomellina (PV) </t>
  </si>
  <si>
    <t>018075</t>
  </si>
  <si>
    <t>Gravellona Lomellina</t>
  </si>
  <si>
    <t xml:space="preserve">Gravellona Toce (VB) </t>
  </si>
  <si>
    <t>Gravellona Toce</t>
  </si>
  <si>
    <t xml:space="preserve">Gravere (TO) </t>
  </si>
  <si>
    <t>001117</t>
  </si>
  <si>
    <t>Gravere</t>
  </si>
  <si>
    <t xml:space="preserve">Gravina di Catania (CT) </t>
  </si>
  <si>
    <t>087019</t>
  </si>
  <si>
    <t>Gravina di Catania</t>
  </si>
  <si>
    <t xml:space="preserve">Gravina in Puglia (BA) </t>
  </si>
  <si>
    <t>072023</t>
  </si>
  <si>
    <t>Gravina in Puglia</t>
  </si>
  <si>
    <t xml:space="preserve">Grazzanise (CE) </t>
  </si>
  <si>
    <t>061042</t>
  </si>
  <si>
    <t>Grazzanise</t>
  </si>
  <si>
    <t xml:space="preserve">Grazzano Badoglio (AT) </t>
  </si>
  <si>
    <t>005057</t>
  </si>
  <si>
    <t>Grazzano Badoglio</t>
  </si>
  <si>
    <t xml:space="preserve">Greccio (RI) </t>
  </si>
  <si>
    <t>057031</t>
  </si>
  <si>
    <t>Greccio</t>
  </si>
  <si>
    <t xml:space="preserve">Greci (AV) </t>
  </si>
  <si>
    <t>064037</t>
  </si>
  <si>
    <t>Greci</t>
  </si>
  <si>
    <t xml:space="preserve">Greggio (VC) </t>
  </si>
  <si>
    <t>002065</t>
  </si>
  <si>
    <t>Greggio</t>
  </si>
  <si>
    <t xml:space="preserve">Gremiasco (AL) </t>
  </si>
  <si>
    <t>006083</t>
  </si>
  <si>
    <t>Gremiasco</t>
  </si>
  <si>
    <t xml:space="preserve">Gressan (AO) </t>
  </si>
  <si>
    <t>007031</t>
  </si>
  <si>
    <t>Gressan</t>
  </si>
  <si>
    <t>007032</t>
  </si>
  <si>
    <t xml:space="preserve">Gressoney-Saint-Jean (AO) </t>
  </si>
  <si>
    <t>007033</t>
  </si>
  <si>
    <t>Gressoney-Saint-Jean</t>
  </si>
  <si>
    <t xml:space="preserve">Greve in Chianti (FI) </t>
  </si>
  <si>
    <t>048021</t>
  </si>
  <si>
    <t>Greve in Chianti</t>
  </si>
  <si>
    <t xml:space="preserve">Grezzago (MI) </t>
  </si>
  <si>
    <t>015110</t>
  </si>
  <si>
    <t>Grezzago</t>
  </si>
  <si>
    <t xml:space="preserve">Grezzana (VR) </t>
  </si>
  <si>
    <t>023038</t>
  </si>
  <si>
    <t>Grezzana</t>
  </si>
  <si>
    <t xml:space="preserve">Griante (CO) </t>
  </si>
  <si>
    <t>013113</t>
  </si>
  <si>
    <t>Griante</t>
  </si>
  <si>
    <t xml:space="preserve">Gricignano di Aversa (CE) </t>
  </si>
  <si>
    <t>061043</t>
  </si>
  <si>
    <t>Gricignano di Aversa</t>
  </si>
  <si>
    <t xml:space="preserve">Grignasco (NO) </t>
  </si>
  <si>
    <t>003079</t>
  </si>
  <si>
    <t>Grignasco</t>
  </si>
  <si>
    <t xml:space="preserve">Grigno (TN) </t>
  </si>
  <si>
    <t>022095</t>
  </si>
  <si>
    <t>Grigno</t>
  </si>
  <si>
    <t xml:space="preserve">Grimacco (UD) </t>
  </si>
  <si>
    <t>030045</t>
  </si>
  <si>
    <t>Grimacco</t>
  </si>
  <si>
    <t xml:space="preserve">Grimaldi (CS) </t>
  </si>
  <si>
    <t>078059</t>
  </si>
  <si>
    <t>Grimaldi</t>
  </si>
  <si>
    <t xml:space="preserve">Grinzane Cavour (CN) </t>
  </si>
  <si>
    <t>004100</t>
  </si>
  <si>
    <t>Grinzane Cavour</t>
  </si>
  <si>
    <t xml:space="preserve">Grisignano di Zocco (VI) </t>
  </si>
  <si>
    <t>024046</t>
  </si>
  <si>
    <t>Grisignano di Zocco</t>
  </si>
  <si>
    <t xml:space="preserve">Grisolia (CS) </t>
  </si>
  <si>
    <t>078060</t>
  </si>
  <si>
    <t>Grisolia</t>
  </si>
  <si>
    <t xml:space="preserve">Grizzana Morandi (BO) </t>
  </si>
  <si>
    <t>037031</t>
  </si>
  <si>
    <t>Grizzana Morandi</t>
  </si>
  <si>
    <t xml:space="preserve">Grognardo (AL) </t>
  </si>
  <si>
    <t>006084</t>
  </si>
  <si>
    <t>Grognardo</t>
  </si>
  <si>
    <t xml:space="preserve">Gromo (BG) </t>
  </si>
  <si>
    <t>016118</t>
  </si>
  <si>
    <t>Gromo</t>
  </si>
  <si>
    <t xml:space="preserve">Grondona (AL) </t>
  </si>
  <si>
    <t>006085</t>
  </si>
  <si>
    <t>Grondona</t>
  </si>
  <si>
    <t xml:space="preserve">Grone (BG) </t>
  </si>
  <si>
    <t>016119</t>
  </si>
  <si>
    <t>Grone</t>
  </si>
  <si>
    <t xml:space="preserve">Grontardo (CR) </t>
  </si>
  <si>
    <t>019050</t>
  </si>
  <si>
    <t>Grontardo</t>
  </si>
  <si>
    <t xml:space="preserve">Gropello Cairoli (PV) </t>
  </si>
  <si>
    <t>018076</t>
  </si>
  <si>
    <t>Gropello Cairoli</t>
  </si>
  <si>
    <t xml:space="preserve">Gropparello (PC) </t>
  </si>
  <si>
    <t>033025</t>
  </si>
  <si>
    <t>Gropparello</t>
  </si>
  <si>
    <t xml:space="preserve">Groscavallo (TO) </t>
  </si>
  <si>
    <t>001118</t>
  </si>
  <si>
    <t>Groscavallo</t>
  </si>
  <si>
    <t xml:space="preserve">Grosio (SO) </t>
  </si>
  <si>
    <t>014033</t>
  </si>
  <si>
    <t>Grosio</t>
  </si>
  <si>
    <t xml:space="preserve">Grosotto (SO) </t>
  </si>
  <si>
    <t>014034</t>
  </si>
  <si>
    <t>Grosotto</t>
  </si>
  <si>
    <t xml:space="preserve">Grosseto (GR) </t>
  </si>
  <si>
    <t>053011</t>
  </si>
  <si>
    <t>Grosseto</t>
  </si>
  <si>
    <t xml:space="preserve">Grosso (TO) </t>
  </si>
  <si>
    <t>001119</t>
  </si>
  <si>
    <t>Grosso</t>
  </si>
  <si>
    <t xml:space="preserve">Grottaferrata (RM) </t>
  </si>
  <si>
    <t>058046</t>
  </si>
  <si>
    <t>Grottaferrata</t>
  </si>
  <si>
    <t xml:space="preserve">Grottaglie (TA) </t>
  </si>
  <si>
    <t>073008</t>
  </si>
  <si>
    <t>Grottaglie</t>
  </si>
  <si>
    <t xml:space="preserve">Grottaminarda (AV) </t>
  </si>
  <si>
    <t>064038</t>
  </si>
  <si>
    <t>Grottaminarda</t>
  </si>
  <si>
    <t xml:space="preserve">Grottammare (AP) </t>
  </si>
  <si>
    <t>044023</t>
  </si>
  <si>
    <t>Grottammare</t>
  </si>
  <si>
    <t xml:space="preserve">Grottazzolina (FM) </t>
  </si>
  <si>
    <t>Grottazzolina</t>
  </si>
  <si>
    <t xml:space="preserve">Grotte (AG) </t>
  </si>
  <si>
    <t>084018</t>
  </si>
  <si>
    <t>Grotte</t>
  </si>
  <si>
    <t xml:space="preserve">Grotte di Castro (VT) </t>
  </si>
  <si>
    <t>056030</t>
  </si>
  <si>
    <t>Grotte di Castro</t>
  </si>
  <si>
    <t xml:space="preserve">Grotteria (RC) </t>
  </si>
  <si>
    <t>080040</t>
  </si>
  <si>
    <t>Grotteria</t>
  </si>
  <si>
    <t xml:space="preserve">Grottole (MT) </t>
  </si>
  <si>
    <t>077012</t>
  </si>
  <si>
    <t>Grottole</t>
  </si>
  <si>
    <t xml:space="preserve">Grottolella (AV) </t>
  </si>
  <si>
    <t>064039</t>
  </si>
  <si>
    <t>Grottolella</t>
  </si>
  <si>
    <t xml:space="preserve">Gruaro (VE) </t>
  </si>
  <si>
    <t>027018</t>
  </si>
  <si>
    <t>Gruaro</t>
  </si>
  <si>
    <t xml:space="preserve">Grugliasco (TO) </t>
  </si>
  <si>
    <t>001120</t>
  </si>
  <si>
    <t>Grugliasco</t>
  </si>
  <si>
    <t xml:space="preserve">Grumello Cremonese ed Uniti (CR) </t>
  </si>
  <si>
    <t>019051</t>
  </si>
  <si>
    <t>Grumello Cremonese ed Uniti</t>
  </si>
  <si>
    <t xml:space="preserve">Grumello del Monte (BG) </t>
  </si>
  <si>
    <t>016120</t>
  </si>
  <si>
    <t>Grumello del Monte</t>
  </si>
  <si>
    <t xml:space="preserve">Grumento Nova (PZ) </t>
  </si>
  <si>
    <t>076037</t>
  </si>
  <si>
    <t>Grumento Nova</t>
  </si>
  <si>
    <t xml:space="preserve">Grumo Appula (BA) </t>
  </si>
  <si>
    <t>072024</t>
  </si>
  <si>
    <t>Grumo Appula</t>
  </si>
  <si>
    <t xml:space="preserve">Grumo Nevano (NA) </t>
  </si>
  <si>
    <t>063036</t>
  </si>
  <si>
    <t>Grumo Nevano</t>
  </si>
  <si>
    <t xml:space="preserve">Grumolo delle Abbadesse (VI) </t>
  </si>
  <si>
    <t>024047</t>
  </si>
  <si>
    <t>Grumolo delle Abbadesse</t>
  </si>
  <si>
    <t xml:space="preserve">Guagnano (LE) </t>
  </si>
  <si>
    <t>075034</t>
  </si>
  <si>
    <t>Guagnano</t>
  </si>
  <si>
    <t xml:space="preserve">Gualdo (MC) </t>
  </si>
  <si>
    <t>043021</t>
  </si>
  <si>
    <t>Gualdo</t>
  </si>
  <si>
    <t xml:space="preserve">Gualdo Cattaneo (PG) </t>
  </si>
  <si>
    <t>054022</t>
  </si>
  <si>
    <t>Gualdo Cattaneo</t>
  </si>
  <si>
    <t xml:space="preserve">Gualdo Tadino (PG) </t>
  </si>
  <si>
    <t>054023</t>
  </si>
  <si>
    <t>Gualdo Tadino</t>
  </si>
  <si>
    <t xml:space="preserve">Gualtieri (RE) </t>
  </si>
  <si>
    <t>035023</t>
  </si>
  <si>
    <t>Gualtieri</t>
  </si>
  <si>
    <t xml:space="preserve">Gualtieri Sicaminò (ME) </t>
  </si>
  <si>
    <t>083035</t>
  </si>
  <si>
    <t>Gualtieri Sicaminò</t>
  </si>
  <si>
    <t>Guamaggiore</t>
  </si>
  <si>
    <t xml:space="preserve">Guanzate (CO) </t>
  </si>
  <si>
    <t>013114</t>
  </si>
  <si>
    <t>Guanzate</t>
  </si>
  <si>
    <t xml:space="preserve">Guarcino (FR) </t>
  </si>
  <si>
    <t>060042</t>
  </si>
  <si>
    <t>Guarcino</t>
  </si>
  <si>
    <t xml:space="preserve">Guarda Veneta (RO) </t>
  </si>
  <si>
    <t>029028</t>
  </si>
  <si>
    <t>Guarda Veneta</t>
  </si>
  <si>
    <t xml:space="preserve">Guardabosone (VC) </t>
  </si>
  <si>
    <t>002066</t>
  </si>
  <si>
    <t>Guardabosone</t>
  </si>
  <si>
    <t xml:space="preserve">Guardamiglio (LO) </t>
  </si>
  <si>
    <t>098029</t>
  </si>
  <si>
    <t>Guardamiglio</t>
  </si>
  <si>
    <t xml:space="preserve">Guardavalle (CZ) </t>
  </si>
  <si>
    <t>079061</t>
  </si>
  <si>
    <t>Guardavalle</t>
  </si>
  <si>
    <t xml:space="preserve">Guardea (TR) </t>
  </si>
  <si>
    <t>055015</t>
  </si>
  <si>
    <t>Guardea</t>
  </si>
  <si>
    <t xml:space="preserve">Guardia Lombardi (AV) </t>
  </si>
  <si>
    <t>064040</t>
  </si>
  <si>
    <t>Guardia Lombardi</t>
  </si>
  <si>
    <t xml:space="preserve">Guardia Perticara (PZ) </t>
  </si>
  <si>
    <t>076038</t>
  </si>
  <si>
    <t>Guardia Perticara</t>
  </si>
  <si>
    <t xml:space="preserve">Guardia Piemontese (CS) </t>
  </si>
  <si>
    <t>078061</t>
  </si>
  <si>
    <t>Guardia Piemontese</t>
  </si>
  <si>
    <t xml:space="preserve">Guardia Sanframondi (BN) </t>
  </si>
  <si>
    <t>062037</t>
  </si>
  <si>
    <t>Guardia Sanframondi</t>
  </si>
  <si>
    <t xml:space="preserve">Guardiagrele (CH) </t>
  </si>
  <si>
    <t>069043</t>
  </si>
  <si>
    <t>Guardiagrele</t>
  </si>
  <si>
    <t xml:space="preserve">Guardialfiera (CB) </t>
  </si>
  <si>
    <t>070027</t>
  </si>
  <si>
    <t>Guardialfiera</t>
  </si>
  <si>
    <t xml:space="preserve">Guardiaregia (CB) </t>
  </si>
  <si>
    <t>070028</t>
  </si>
  <si>
    <t>Guardiaregia</t>
  </si>
  <si>
    <t xml:space="preserve">Guardistallo (PI) </t>
  </si>
  <si>
    <t>050015</t>
  </si>
  <si>
    <t>Guardistallo</t>
  </si>
  <si>
    <t xml:space="preserve">Guarene (CN) </t>
  </si>
  <si>
    <t>004101</t>
  </si>
  <si>
    <t>Guarene</t>
  </si>
  <si>
    <t>Guasila</t>
  </si>
  <si>
    <t xml:space="preserve">Guastalla (RE) </t>
  </si>
  <si>
    <t>035024</t>
  </si>
  <si>
    <t>Guastalla</t>
  </si>
  <si>
    <t xml:space="preserve">Guazzora (AL) </t>
  </si>
  <si>
    <t>006086</t>
  </si>
  <si>
    <t>Guazzora</t>
  </si>
  <si>
    <t xml:space="preserve">Gubbio (PG) </t>
  </si>
  <si>
    <t>054024</t>
  </si>
  <si>
    <t>Gubbio</t>
  </si>
  <si>
    <t xml:space="preserve">Gudo Visconti (MI) </t>
  </si>
  <si>
    <t>015112</t>
  </si>
  <si>
    <t>Gudo Visconti</t>
  </si>
  <si>
    <t xml:space="preserve">Guglionesi (CB) </t>
  </si>
  <si>
    <t>070029</t>
  </si>
  <si>
    <t>Guglionesi</t>
  </si>
  <si>
    <t xml:space="preserve">Guidizzolo (MN) </t>
  </si>
  <si>
    <t>020028</t>
  </si>
  <si>
    <t>Guidizzolo</t>
  </si>
  <si>
    <t xml:space="preserve">Guidonia Montecelio (RM) </t>
  </si>
  <si>
    <t>058047</t>
  </si>
  <si>
    <t>Guidonia Montecelio</t>
  </si>
  <si>
    <t xml:space="preserve">Guiglia (MO) </t>
  </si>
  <si>
    <t>036017</t>
  </si>
  <si>
    <t>Guiglia</t>
  </si>
  <si>
    <t xml:space="preserve">Guilmi (CH) </t>
  </si>
  <si>
    <t>069044</t>
  </si>
  <si>
    <t>Guilmi</t>
  </si>
  <si>
    <t xml:space="preserve">Gurro (VB) </t>
  </si>
  <si>
    <t>Gurro</t>
  </si>
  <si>
    <t>Guspini</t>
  </si>
  <si>
    <t xml:space="preserve">Gussago (BS) </t>
  </si>
  <si>
    <t>017081</t>
  </si>
  <si>
    <t>Gussago</t>
  </si>
  <si>
    <t xml:space="preserve">Gussola (CR) </t>
  </si>
  <si>
    <t>019052</t>
  </si>
  <si>
    <t>Gussola</t>
  </si>
  <si>
    <t>007034</t>
  </si>
  <si>
    <t xml:space="preserve">Idro (BS) </t>
  </si>
  <si>
    <t>017082</t>
  </si>
  <si>
    <t>Idro</t>
  </si>
  <si>
    <t>Iglesias</t>
  </si>
  <si>
    <t xml:space="preserve">Igliano (CN) </t>
  </si>
  <si>
    <t>004102</t>
  </si>
  <si>
    <t>Igliano</t>
  </si>
  <si>
    <t>Ilbono</t>
  </si>
  <si>
    <t xml:space="preserve">Illasi (VR) </t>
  </si>
  <si>
    <t>023039</t>
  </si>
  <si>
    <t>Illasi</t>
  </si>
  <si>
    <t xml:space="preserve">Illorai (SS) </t>
  </si>
  <si>
    <t>Illorai</t>
  </si>
  <si>
    <t xml:space="preserve">Imbersago (LC) </t>
  </si>
  <si>
    <t>097039</t>
  </si>
  <si>
    <t>Imbersago</t>
  </si>
  <si>
    <t xml:space="preserve">Imer (TN) </t>
  </si>
  <si>
    <t>022097</t>
  </si>
  <si>
    <t>Imer</t>
  </si>
  <si>
    <t xml:space="preserve">Imola (BO) </t>
  </si>
  <si>
    <t>037032</t>
  </si>
  <si>
    <t>Imola</t>
  </si>
  <si>
    <t xml:space="preserve">Imperia (IM) </t>
  </si>
  <si>
    <t>008031</t>
  </si>
  <si>
    <t>Imperia</t>
  </si>
  <si>
    <t xml:space="preserve">Impruneta (FI) </t>
  </si>
  <si>
    <t>048022</t>
  </si>
  <si>
    <t>Impruneta</t>
  </si>
  <si>
    <t xml:space="preserve">Inarzo (VA) </t>
  </si>
  <si>
    <t>012082</t>
  </si>
  <si>
    <t>Inarzo</t>
  </si>
  <si>
    <t xml:space="preserve">Incisa Scapaccino (AT) </t>
  </si>
  <si>
    <t>005058</t>
  </si>
  <si>
    <t>Incisa Scapaccino</t>
  </si>
  <si>
    <t xml:space="preserve">Incudine (BS) </t>
  </si>
  <si>
    <t>017083</t>
  </si>
  <si>
    <t>Incudine</t>
  </si>
  <si>
    <t xml:space="preserve">Induno Olona (VA) </t>
  </si>
  <si>
    <t>012083</t>
  </si>
  <si>
    <t>Induno Olona</t>
  </si>
  <si>
    <t xml:space="preserve">Ingria (TO) </t>
  </si>
  <si>
    <t>001121</t>
  </si>
  <si>
    <t>Ingria</t>
  </si>
  <si>
    <t xml:space="preserve">Intragna (VB) </t>
  </si>
  <si>
    <t>Intragna</t>
  </si>
  <si>
    <t xml:space="preserve">Introbio (LC) </t>
  </si>
  <si>
    <t>097040</t>
  </si>
  <si>
    <t>Introbio</t>
  </si>
  <si>
    <t xml:space="preserve">Introd (AO) </t>
  </si>
  <si>
    <t>007035</t>
  </si>
  <si>
    <t>Introd</t>
  </si>
  <si>
    <t xml:space="preserve">Introdacqua (AQ) </t>
  </si>
  <si>
    <t>066048</t>
  </si>
  <si>
    <t>Introdacqua</t>
  </si>
  <si>
    <t xml:space="preserve">Inverigo (CO) </t>
  </si>
  <si>
    <t>013118</t>
  </si>
  <si>
    <t>Inverigo</t>
  </si>
  <si>
    <t xml:space="preserve">Inverno e Monteleone (PV) </t>
  </si>
  <si>
    <t>018077</t>
  </si>
  <si>
    <t>Inverno e Monteleone</t>
  </si>
  <si>
    <t xml:space="preserve">Inverso Pinasca (TO) </t>
  </si>
  <si>
    <t>001122</t>
  </si>
  <si>
    <t>Inverso Pinasca</t>
  </si>
  <si>
    <t xml:space="preserve">Inveruno (MI) </t>
  </si>
  <si>
    <t>015113</t>
  </si>
  <si>
    <t>Inveruno</t>
  </si>
  <si>
    <t xml:space="preserve">Invorio (NO) </t>
  </si>
  <si>
    <t>003082</t>
  </si>
  <si>
    <t>Invorio</t>
  </si>
  <si>
    <t xml:space="preserve">Inzago (MI) </t>
  </si>
  <si>
    <t>015114</t>
  </si>
  <si>
    <t>Inzago</t>
  </si>
  <si>
    <t xml:space="preserve">Irgoli (NU) </t>
  </si>
  <si>
    <t>Irgoli</t>
  </si>
  <si>
    <t xml:space="preserve">Irma (BS) </t>
  </si>
  <si>
    <t>017084</t>
  </si>
  <si>
    <t>Irma</t>
  </si>
  <si>
    <t xml:space="preserve">Irsina (MT) </t>
  </si>
  <si>
    <t>077013</t>
  </si>
  <si>
    <t>Irsina</t>
  </si>
  <si>
    <t xml:space="preserve">Isasca (CN) </t>
  </si>
  <si>
    <t>004103</t>
  </si>
  <si>
    <t>Isasca</t>
  </si>
  <si>
    <t xml:space="preserve">Isca sullo Ionio (CZ) </t>
  </si>
  <si>
    <t>079063</t>
  </si>
  <si>
    <t>Isca sullo Ionio</t>
  </si>
  <si>
    <t xml:space="preserve">Ischia (NA) </t>
  </si>
  <si>
    <t>063037</t>
  </si>
  <si>
    <t>Ischia</t>
  </si>
  <si>
    <t xml:space="preserve">Ischia di Castro (VT) </t>
  </si>
  <si>
    <t>056031</t>
  </si>
  <si>
    <t>Ischia di Castro</t>
  </si>
  <si>
    <t xml:space="preserve">Ischitella (FG) </t>
  </si>
  <si>
    <t>071025</t>
  </si>
  <si>
    <t>Ischitella</t>
  </si>
  <si>
    <t xml:space="preserve">Iseo (BS) </t>
  </si>
  <si>
    <t>017085</t>
  </si>
  <si>
    <t>Iseo</t>
  </si>
  <si>
    <t xml:space="preserve">Isera (TN) </t>
  </si>
  <si>
    <t>022098</t>
  </si>
  <si>
    <t>Isera</t>
  </si>
  <si>
    <t xml:space="preserve">Isernia (IS) </t>
  </si>
  <si>
    <t>094023</t>
  </si>
  <si>
    <t>Isernia</t>
  </si>
  <si>
    <t>Isili</t>
  </si>
  <si>
    <t xml:space="preserve">Isnello (PA) </t>
  </si>
  <si>
    <t>082042</t>
  </si>
  <si>
    <t>Isnello</t>
  </si>
  <si>
    <t xml:space="preserve">Isola d'Asti (AT) </t>
  </si>
  <si>
    <t>005059</t>
  </si>
  <si>
    <t>Isola d'Asti</t>
  </si>
  <si>
    <t xml:space="preserve">Isola del Cantone (GE) </t>
  </si>
  <si>
    <t>010027</t>
  </si>
  <si>
    <t>Isola del Cantone</t>
  </si>
  <si>
    <t xml:space="preserve">Isola del Giglio (GR) </t>
  </si>
  <si>
    <t>053012</t>
  </si>
  <si>
    <t>Isola del Giglio</t>
  </si>
  <si>
    <t xml:space="preserve">Isola del Gran Sasso d'Italia (TE) </t>
  </si>
  <si>
    <t>067026</t>
  </si>
  <si>
    <t>Isola del Gran Sasso d'Italia</t>
  </si>
  <si>
    <t xml:space="preserve">Isola del Liri (FR) </t>
  </si>
  <si>
    <t>060043</t>
  </si>
  <si>
    <t>Isola del Liri</t>
  </si>
  <si>
    <t xml:space="preserve">Isola del Piano (PU) </t>
  </si>
  <si>
    <t>041021</t>
  </si>
  <si>
    <t>Isola del Piano</t>
  </si>
  <si>
    <t xml:space="preserve">Isola della Scala (VR) </t>
  </si>
  <si>
    <t>023040</t>
  </si>
  <si>
    <t>Isola della Scala</t>
  </si>
  <si>
    <t xml:space="preserve">Isola delle Femmine (PA) </t>
  </si>
  <si>
    <t>082043</t>
  </si>
  <si>
    <t>Isola delle Femmine</t>
  </si>
  <si>
    <t xml:space="preserve">Isola di Capo Rizzuto (KR) </t>
  </si>
  <si>
    <t>Isola di Capo Rizzuto</t>
  </si>
  <si>
    <t xml:space="preserve">Isola di Fondra (BG) </t>
  </si>
  <si>
    <t>016121</t>
  </si>
  <si>
    <t>Isola di Fondra</t>
  </si>
  <si>
    <t xml:space="preserve">Isola Dovarese (CR) </t>
  </si>
  <si>
    <t>019053</t>
  </si>
  <si>
    <t>Isola Dovarese</t>
  </si>
  <si>
    <t xml:space="preserve">Isola Rizza (VR) </t>
  </si>
  <si>
    <t>023041</t>
  </si>
  <si>
    <t>Isola Rizza</t>
  </si>
  <si>
    <t xml:space="preserve">Isola Sant'Antonio (AL) </t>
  </si>
  <si>
    <t>006087</t>
  </si>
  <si>
    <t>Isola Sant'Antonio</t>
  </si>
  <si>
    <t xml:space="preserve">Isola Vicentina (VI) </t>
  </si>
  <si>
    <t>024048</t>
  </si>
  <si>
    <t>Isola Vicentina</t>
  </si>
  <si>
    <t xml:space="preserve">Isolabella (TO) </t>
  </si>
  <si>
    <t>001123</t>
  </si>
  <si>
    <t>Isolabella</t>
  </si>
  <si>
    <t xml:space="preserve">Isolabona (IM) </t>
  </si>
  <si>
    <t>008032</t>
  </si>
  <si>
    <t>Isolabona</t>
  </si>
  <si>
    <t xml:space="preserve">Isole Tremiti (FG) </t>
  </si>
  <si>
    <t>071026</t>
  </si>
  <si>
    <t>Isole Tremiti</t>
  </si>
  <si>
    <t xml:space="preserve">Isorella (BS) </t>
  </si>
  <si>
    <t>017086</t>
  </si>
  <si>
    <t>Isorella</t>
  </si>
  <si>
    <t xml:space="preserve">Ispani (SA) </t>
  </si>
  <si>
    <t>065059</t>
  </si>
  <si>
    <t>Ispani</t>
  </si>
  <si>
    <t xml:space="preserve">Ispica (RG) </t>
  </si>
  <si>
    <t>088005</t>
  </si>
  <si>
    <t>Ispica</t>
  </si>
  <si>
    <t xml:space="preserve">Ispra (VA) </t>
  </si>
  <si>
    <t>012084</t>
  </si>
  <si>
    <t>Ispra</t>
  </si>
  <si>
    <t xml:space="preserve">Issiglio (TO) </t>
  </si>
  <si>
    <t>001124</t>
  </si>
  <si>
    <t>Issiglio</t>
  </si>
  <si>
    <t xml:space="preserve">Issime (AO) </t>
  </si>
  <si>
    <t>007036</t>
  </si>
  <si>
    <t>Issime</t>
  </si>
  <si>
    <t xml:space="preserve">Isso (BG) </t>
  </si>
  <si>
    <t>016122</t>
  </si>
  <si>
    <t>Isso</t>
  </si>
  <si>
    <t xml:space="preserve">Issogne (AO) </t>
  </si>
  <si>
    <t>007037</t>
  </si>
  <si>
    <t>Issogne</t>
  </si>
  <si>
    <t xml:space="preserve">Istrana (TV) </t>
  </si>
  <si>
    <t>026035</t>
  </si>
  <si>
    <t>Istrana</t>
  </si>
  <si>
    <t xml:space="preserve">Itala (ME) </t>
  </si>
  <si>
    <t>083036</t>
  </si>
  <si>
    <t>Itala</t>
  </si>
  <si>
    <t xml:space="preserve">Itri (LT) </t>
  </si>
  <si>
    <t>059010</t>
  </si>
  <si>
    <t>Itri</t>
  </si>
  <si>
    <t xml:space="preserve">Ittireddu (SS) </t>
  </si>
  <si>
    <t>Ittireddu</t>
  </si>
  <si>
    <t xml:space="preserve">Ittiri (SS) </t>
  </si>
  <si>
    <t>Ittiri</t>
  </si>
  <si>
    <t xml:space="preserve">Ivrea (TO) </t>
  </si>
  <si>
    <t>001125</t>
  </si>
  <si>
    <t>Ivrea</t>
  </si>
  <si>
    <t xml:space="preserve">Izano (CR) </t>
  </si>
  <si>
    <t>019054</t>
  </si>
  <si>
    <t>Izano</t>
  </si>
  <si>
    <t xml:space="preserve">Jacurso (CZ) </t>
  </si>
  <si>
    <t>079065</t>
  </si>
  <si>
    <t>Jacurso</t>
  </si>
  <si>
    <t xml:space="preserve">Jelsi (CB) </t>
  </si>
  <si>
    <t>070030</t>
  </si>
  <si>
    <t>Jelsi</t>
  </si>
  <si>
    <t xml:space="preserve">Jenne (RM) </t>
  </si>
  <si>
    <t>058048</t>
  </si>
  <si>
    <t>Jenne</t>
  </si>
  <si>
    <t xml:space="preserve">Jerago con Orago (VA) </t>
  </si>
  <si>
    <t>012085</t>
  </si>
  <si>
    <t>Jerago con Orago</t>
  </si>
  <si>
    <t>Jerzu</t>
  </si>
  <si>
    <t xml:space="preserve">Jesi (AN) </t>
  </si>
  <si>
    <t>042021</t>
  </si>
  <si>
    <t>Jesi</t>
  </si>
  <si>
    <t xml:space="preserve">Jesolo (VE) </t>
  </si>
  <si>
    <t>027019</t>
  </si>
  <si>
    <t>Jesolo</t>
  </si>
  <si>
    <t xml:space="preserve">Jolanda di Savoia (FE) </t>
  </si>
  <si>
    <t>038010</t>
  </si>
  <si>
    <t>Jolanda di Savoia</t>
  </si>
  <si>
    <t xml:space="preserve">Joppolo (VV) </t>
  </si>
  <si>
    <t>Joppolo</t>
  </si>
  <si>
    <t xml:space="preserve">Joppolo Giancaxio (AG) </t>
  </si>
  <si>
    <t>084019</t>
  </si>
  <si>
    <t>Joppolo Giancaxio</t>
  </si>
  <si>
    <t>007038</t>
  </si>
  <si>
    <t xml:space="preserve">La Cassa (TO) </t>
  </si>
  <si>
    <t>001126</t>
  </si>
  <si>
    <t>La Cassa</t>
  </si>
  <si>
    <t xml:space="preserve">La Loggia (TO) </t>
  </si>
  <si>
    <t>001127</t>
  </si>
  <si>
    <t>La Loggia</t>
  </si>
  <si>
    <t>La Maddalena</t>
  </si>
  <si>
    <t xml:space="preserve">La Magdeleine (AO) </t>
  </si>
  <si>
    <t>007039</t>
  </si>
  <si>
    <t>La Magdeleine</t>
  </si>
  <si>
    <t xml:space="preserve">La Morra (CN) </t>
  </si>
  <si>
    <t>004105</t>
  </si>
  <si>
    <t>La Morra</t>
  </si>
  <si>
    <t xml:space="preserve">La Salle (AO) </t>
  </si>
  <si>
    <t>007040</t>
  </si>
  <si>
    <t>La Salle</t>
  </si>
  <si>
    <t xml:space="preserve">La Spezia (SP) </t>
  </si>
  <si>
    <t>011015</t>
  </si>
  <si>
    <t>La Spezia</t>
  </si>
  <si>
    <t xml:space="preserve">La Thuile (AO) </t>
  </si>
  <si>
    <t>007041</t>
  </si>
  <si>
    <t>La Thuile</t>
  </si>
  <si>
    <t>021117</t>
  </si>
  <si>
    <t xml:space="preserve">La Valle Agordina (BL) </t>
  </si>
  <si>
    <t>025027</t>
  </si>
  <si>
    <t>La Valle Agordina</t>
  </si>
  <si>
    <t xml:space="preserve">Labico (RM) </t>
  </si>
  <si>
    <t>058049</t>
  </si>
  <si>
    <t>Labico</t>
  </si>
  <si>
    <t xml:space="preserve">Labro (RI) </t>
  </si>
  <si>
    <t>057032</t>
  </si>
  <si>
    <t>Labro</t>
  </si>
  <si>
    <t xml:space="preserve">Lacchiarella (MI) </t>
  </si>
  <si>
    <t>015115</t>
  </si>
  <si>
    <t>Lacchiarella</t>
  </si>
  <si>
    <t xml:space="preserve">Lacco Ameno (NA) </t>
  </si>
  <si>
    <t>063038</t>
  </si>
  <si>
    <t>Lacco Ameno</t>
  </si>
  <si>
    <t xml:space="preserve">Lacedonia (AV) </t>
  </si>
  <si>
    <t>064041</t>
  </si>
  <si>
    <t>Lacedonia</t>
  </si>
  <si>
    <t>021037</t>
  </si>
  <si>
    <t xml:space="preserve">Laconi (OR) </t>
  </si>
  <si>
    <t>Laconi</t>
  </si>
  <si>
    <t xml:space="preserve">Ladispoli (RM) </t>
  </si>
  <si>
    <t>058116</t>
  </si>
  <si>
    <t>Ladispoli</t>
  </si>
  <si>
    <t xml:space="preserve">Laerru (SS) </t>
  </si>
  <si>
    <t>Laerru</t>
  </si>
  <si>
    <t xml:space="preserve">Laganadi (RC) </t>
  </si>
  <si>
    <t>080041</t>
  </si>
  <si>
    <t>Laganadi</t>
  </si>
  <si>
    <t xml:space="preserve">Laghi (VI) </t>
  </si>
  <si>
    <t>024049</t>
  </si>
  <si>
    <t>Laghi</t>
  </si>
  <si>
    <t xml:space="preserve">Laglio (CO) </t>
  </si>
  <si>
    <t>013119</t>
  </si>
  <si>
    <t>Laglio</t>
  </si>
  <si>
    <t xml:space="preserve">Lagnasco (CN) </t>
  </si>
  <si>
    <t>004104</t>
  </si>
  <si>
    <t>Lagnasco</t>
  </si>
  <si>
    <t xml:space="preserve">Lago (CS) </t>
  </si>
  <si>
    <t>078062</t>
  </si>
  <si>
    <t>Lago</t>
  </si>
  <si>
    <t xml:space="preserve">Lagonegro (PZ) </t>
  </si>
  <si>
    <t>076039</t>
  </si>
  <si>
    <t>Lagonegro</t>
  </si>
  <si>
    <t xml:space="preserve">Lagosanto (FE) </t>
  </si>
  <si>
    <t>038011</t>
  </si>
  <si>
    <t>Lagosanto</t>
  </si>
  <si>
    <t>021038</t>
  </si>
  <si>
    <t xml:space="preserve">Laigueglia (SV) </t>
  </si>
  <si>
    <t>009033</t>
  </si>
  <si>
    <t>Laigueglia</t>
  </si>
  <si>
    <t xml:space="preserve">Lainate (MI) </t>
  </si>
  <si>
    <t>015116</t>
  </si>
  <si>
    <t>Lainate</t>
  </si>
  <si>
    <t xml:space="preserve">Laino (CO) </t>
  </si>
  <si>
    <t>013120</t>
  </si>
  <si>
    <t>Laino</t>
  </si>
  <si>
    <t xml:space="preserve">Laino Borgo (CS) </t>
  </si>
  <si>
    <t>078063</t>
  </si>
  <si>
    <t>Laino Borgo</t>
  </si>
  <si>
    <t xml:space="preserve">Laino Castello (CS) </t>
  </si>
  <si>
    <t>078064</t>
  </si>
  <si>
    <t>Laino Castello</t>
  </si>
  <si>
    <t>021039</t>
  </si>
  <si>
    <t>021040</t>
  </si>
  <si>
    <t xml:space="preserve">Lajatico (PI) </t>
  </si>
  <si>
    <t>050016</t>
  </si>
  <si>
    <t>Lajatico</t>
  </si>
  <si>
    <t xml:space="preserve">Lallio (BG) </t>
  </si>
  <si>
    <t>016123</t>
  </si>
  <si>
    <t>Lallio</t>
  </si>
  <si>
    <t xml:space="preserve">Lama dei Peligni (CH) </t>
  </si>
  <si>
    <t>069045</t>
  </si>
  <si>
    <t>Lama dei Peligni</t>
  </si>
  <si>
    <t xml:space="preserve">Lama Mocogno (MO) </t>
  </si>
  <si>
    <t>036018</t>
  </si>
  <si>
    <t>Lama Mocogno</t>
  </si>
  <si>
    <t xml:space="preserve">Lambrugo (CO) </t>
  </si>
  <si>
    <t>013121</t>
  </si>
  <si>
    <t>Lambrugo</t>
  </si>
  <si>
    <t xml:space="preserve">Lamezia Terme (CZ) </t>
  </si>
  <si>
    <t>079160</t>
  </si>
  <si>
    <t>Lamezia Terme</t>
  </si>
  <si>
    <t xml:space="preserve">Lamon (BL) </t>
  </si>
  <si>
    <t>025026</t>
  </si>
  <si>
    <t>Lamon</t>
  </si>
  <si>
    <t xml:space="preserve">Lampedusa e Linosa (AG) </t>
  </si>
  <si>
    <t>084020</t>
  </si>
  <si>
    <t>Lampedusa e Linosa</t>
  </si>
  <si>
    <t xml:space="preserve">Lamporecchio (PT) </t>
  </si>
  <si>
    <t>047005</t>
  </si>
  <si>
    <t>Lamporecchio</t>
  </si>
  <si>
    <t xml:space="preserve">Lamporo (VC) </t>
  </si>
  <si>
    <t>002067</t>
  </si>
  <si>
    <t>Lamporo</t>
  </si>
  <si>
    <t>021041</t>
  </si>
  <si>
    <t xml:space="preserve">Lanciano (CH) </t>
  </si>
  <si>
    <t>069046</t>
  </si>
  <si>
    <t>Lanciano</t>
  </si>
  <si>
    <t xml:space="preserve">Landiona (NO) </t>
  </si>
  <si>
    <t>003083</t>
  </si>
  <si>
    <t>Landiona</t>
  </si>
  <si>
    <t xml:space="preserve">Landriano (PV) </t>
  </si>
  <si>
    <t>018078</t>
  </si>
  <si>
    <t>Landriano</t>
  </si>
  <si>
    <t xml:space="preserve">Langhirano (PR) </t>
  </si>
  <si>
    <t>034018</t>
  </si>
  <si>
    <t>Langhirano</t>
  </si>
  <si>
    <t xml:space="preserve">Langosco (PV) </t>
  </si>
  <si>
    <t>018079</t>
  </si>
  <si>
    <t>Langosco</t>
  </si>
  <si>
    <t>Lanusei</t>
  </si>
  <si>
    <t xml:space="preserve">Lanuvio (RM) </t>
  </si>
  <si>
    <t>058050</t>
  </si>
  <si>
    <t>Lanuvio</t>
  </si>
  <si>
    <t xml:space="preserve">Lanzada (SO) </t>
  </si>
  <si>
    <t>014036</t>
  </si>
  <si>
    <t>Lanzada</t>
  </si>
  <si>
    <t xml:space="preserve">Lanzo Torinese (TO) </t>
  </si>
  <si>
    <t>001128</t>
  </si>
  <si>
    <t>Lanzo Torinese</t>
  </si>
  <si>
    <t xml:space="preserve">Lapedona (FM) </t>
  </si>
  <si>
    <t>Lapedona</t>
  </si>
  <si>
    <t xml:space="preserve">Lapio (AV) </t>
  </si>
  <si>
    <t>064042</t>
  </si>
  <si>
    <t>Lapio</t>
  </si>
  <si>
    <t xml:space="preserve">Lappano (CS) </t>
  </si>
  <si>
    <t>078065</t>
  </si>
  <si>
    <t>Lappano</t>
  </si>
  <si>
    <t xml:space="preserve">L'Aquila (AQ) </t>
  </si>
  <si>
    <t>066049</t>
  </si>
  <si>
    <t>L'Aquila</t>
  </si>
  <si>
    <t xml:space="preserve">Larciano (PT) </t>
  </si>
  <si>
    <t>047006</t>
  </si>
  <si>
    <t>Larciano</t>
  </si>
  <si>
    <t xml:space="preserve">Lardirago (PV) </t>
  </si>
  <si>
    <t>018080</t>
  </si>
  <si>
    <t>Lardirago</t>
  </si>
  <si>
    <t xml:space="preserve">Lariano (RM) </t>
  </si>
  <si>
    <t>058115</t>
  </si>
  <si>
    <t>Lariano</t>
  </si>
  <si>
    <t xml:space="preserve">Larino (CB) </t>
  </si>
  <si>
    <t>070031</t>
  </si>
  <si>
    <t>Larino</t>
  </si>
  <si>
    <t>Las Plassas</t>
  </si>
  <si>
    <t>021042</t>
  </si>
  <si>
    <t xml:space="preserve">Lascari (PA) </t>
  </si>
  <si>
    <t>082044</t>
  </si>
  <si>
    <t>Lascari</t>
  </si>
  <si>
    <t xml:space="preserve">Lasnigo (CO) </t>
  </si>
  <si>
    <t>013123</t>
  </si>
  <si>
    <t>Lasnigo</t>
  </si>
  <si>
    <t xml:space="preserve">Lastebasse (VI) </t>
  </si>
  <si>
    <t>024050</t>
  </si>
  <si>
    <t>Lastebasse</t>
  </si>
  <si>
    <t xml:space="preserve">Lastra a Signa (FI) </t>
  </si>
  <si>
    <t>048024</t>
  </si>
  <si>
    <t>Lastra a Signa</t>
  </si>
  <si>
    <t xml:space="preserve">Latera (VT) </t>
  </si>
  <si>
    <t>056032</t>
  </si>
  <si>
    <t>Latera</t>
  </si>
  <si>
    <t xml:space="preserve">Laterza (TA) </t>
  </si>
  <si>
    <t>073009</t>
  </si>
  <si>
    <t>Laterza</t>
  </si>
  <si>
    <t xml:space="preserve">Latiano (BR) </t>
  </si>
  <si>
    <t>074009</t>
  </si>
  <si>
    <t>Latiano</t>
  </si>
  <si>
    <t xml:space="preserve">Latina (LT) </t>
  </si>
  <si>
    <t>059011</t>
  </si>
  <si>
    <t>Latina</t>
  </si>
  <si>
    <t xml:space="preserve">Latisana (UD) </t>
  </si>
  <si>
    <t>030046</t>
  </si>
  <si>
    <t>Latisana</t>
  </si>
  <si>
    <t xml:space="preserve">Latronico (PZ) </t>
  </si>
  <si>
    <t>076040</t>
  </si>
  <si>
    <t>Latronico</t>
  </si>
  <si>
    <t xml:space="preserve">Lattarico (CS) </t>
  </si>
  <si>
    <t>078066</t>
  </si>
  <si>
    <t>Lattarico</t>
  </si>
  <si>
    <t xml:space="preserve">Lauco (UD) </t>
  </si>
  <si>
    <t>030047</t>
  </si>
  <si>
    <t>Lauco</t>
  </si>
  <si>
    <t xml:space="preserve">Laureana Cilento (SA) </t>
  </si>
  <si>
    <t>065060</t>
  </si>
  <si>
    <t>Laureana Cilento</t>
  </si>
  <si>
    <t xml:space="preserve">Laureana di Borrello (RC) </t>
  </si>
  <si>
    <t>080042</t>
  </si>
  <si>
    <t>Laureana di Borrello</t>
  </si>
  <si>
    <t>021043</t>
  </si>
  <si>
    <t xml:space="preserve">Laurenzana (PZ) </t>
  </si>
  <si>
    <t>076041</t>
  </si>
  <si>
    <t>Laurenzana</t>
  </si>
  <si>
    <t xml:space="preserve">Lauria (PZ) </t>
  </si>
  <si>
    <t>076042</t>
  </si>
  <si>
    <t>Lauria</t>
  </si>
  <si>
    <t xml:space="preserve">Lauriano (TO) </t>
  </si>
  <si>
    <t>001129</t>
  </si>
  <si>
    <t>Lauriano</t>
  </si>
  <si>
    <t xml:space="preserve">Laurino (SA) </t>
  </si>
  <si>
    <t>065061</t>
  </si>
  <si>
    <t>Laurino</t>
  </si>
  <si>
    <t xml:space="preserve">Laurito (SA) </t>
  </si>
  <si>
    <t>065062</t>
  </si>
  <si>
    <t>Laurito</t>
  </si>
  <si>
    <t xml:space="preserve">Lauro (AV) </t>
  </si>
  <si>
    <t>064043</t>
  </si>
  <si>
    <t>Lauro</t>
  </si>
  <si>
    <t xml:space="preserve">Lavagna (GE) </t>
  </si>
  <si>
    <t>010028</t>
  </si>
  <si>
    <t>Lavagna</t>
  </si>
  <si>
    <t xml:space="preserve">Lavagno (VR) </t>
  </si>
  <si>
    <t>023042</t>
  </si>
  <si>
    <t>Lavagno</t>
  </si>
  <si>
    <t xml:space="preserve">Lavarone (TN) </t>
  </si>
  <si>
    <t>022102</t>
  </si>
  <si>
    <t>Lavarone</t>
  </si>
  <si>
    <t xml:space="preserve">Lavello (PZ) </t>
  </si>
  <si>
    <t>076043</t>
  </si>
  <si>
    <t>Lavello</t>
  </si>
  <si>
    <t xml:space="preserve">Lavena Ponte Tresa (VA) </t>
  </si>
  <si>
    <t>012086</t>
  </si>
  <si>
    <t>Lavena Ponte Tresa</t>
  </si>
  <si>
    <t>012087</t>
  </si>
  <si>
    <t xml:space="preserve">Lavenone (BS) </t>
  </si>
  <si>
    <t>017087</t>
  </si>
  <si>
    <t>Lavenone</t>
  </si>
  <si>
    <t xml:space="preserve">Laviano (SA) </t>
  </si>
  <si>
    <t>065063</t>
  </si>
  <si>
    <t>Laviano</t>
  </si>
  <si>
    <t xml:space="preserve">Lavis (TN) </t>
  </si>
  <si>
    <t>022103</t>
  </si>
  <si>
    <t>Lavis</t>
  </si>
  <si>
    <t xml:space="preserve">Lazise (VR) </t>
  </si>
  <si>
    <t>023043</t>
  </si>
  <si>
    <t>Lazise</t>
  </si>
  <si>
    <t xml:space="preserve">Lazzate (MB) </t>
  </si>
  <si>
    <t>Lazzate</t>
  </si>
  <si>
    <t xml:space="preserve">Lecce (LE) </t>
  </si>
  <si>
    <t>075035</t>
  </si>
  <si>
    <t xml:space="preserve">Lecce nei Marsi (AQ) </t>
  </si>
  <si>
    <t>066050</t>
  </si>
  <si>
    <t>Lecce nei Marsi</t>
  </si>
  <si>
    <t xml:space="preserve">Lecco (LC) </t>
  </si>
  <si>
    <t>097042</t>
  </si>
  <si>
    <t>Lecco</t>
  </si>
  <si>
    <t xml:space="preserve">Ledro (TN) </t>
  </si>
  <si>
    <t>022229</t>
  </si>
  <si>
    <t>Ledro</t>
  </si>
  <si>
    <t xml:space="preserve">Leffe (BG) </t>
  </si>
  <si>
    <t>016124</t>
  </si>
  <si>
    <t>Leffe</t>
  </si>
  <si>
    <t xml:space="preserve">Leggiuno (VA) </t>
  </si>
  <si>
    <t>012088</t>
  </si>
  <si>
    <t>Leggiuno</t>
  </si>
  <si>
    <t xml:space="preserve">Legnago (VR) </t>
  </si>
  <si>
    <t>023044</t>
  </si>
  <si>
    <t>Legnago</t>
  </si>
  <si>
    <t xml:space="preserve">Legnano (MI) </t>
  </si>
  <si>
    <t>015118</t>
  </si>
  <si>
    <t>Legnano</t>
  </si>
  <si>
    <t xml:space="preserve">Legnaro (PD) </t>
  </si>
  <si>
    <t>028044</t>
  </si>
  <si>
    <t>Legnaro</t>
  </si>
  <si>
    <t xml:space="preserve">Lei (NU) </t>
  </si>
  <si>
    <t>Lei</t>
  </si>
  <si>
    <t>001130</t>
  </si>
  <si>
    <t xml:space="preserve">Leivi (GE) </t>
  </si>
  <si>
    <t>010029</t>
  </si>
  <si>
    <t>Leivi</t>
  </si>
  <si>
    <t xml:space="preserve">Lemie (TO) </t>
  </si>
  <si>
    <t>001131</t>
  </si>
  <si>
    <t>Lemie</t>
  </si>
  <si>
    <t xml:space="preserve">Lendinara (RO) </t>
  </si>
  <si>
    <t>029029</t>
  </si>
  <si>
    <t>Lendinara</t>
  </si>
  <si>
    <t xml:space="preserve">Leni (ME) </t>
  </si>
  <si>
    <t>083037</t>
  </si>
  <si>
    <t>Leni</t>
  </si>
  <si>
    <t xml:space="preserve">Lenna (BG) </t>
  </si>
  <si>
    <t>016125</t>
  </si>
  <si>
    <t>Lenna</t>
  </si>
  <si>
    <t xml:space="preserve">Leno (BS) </t>
  </si>
  <si>
    <t>017088</t>
  </si>
  <si>
    <t>Leno</t>
  </si>
  <si>
    <t xml:space="preserve">Lenola (LT) </t>
  </si>
  <si>
    <t>059012</t>
  </si>
  <si>
    <t>Lenola</t>
  </si>
  <si>
    <t xml:space="preserve">Lenta (VC) </t>
  </si>
  <si>
    <t>002068</t>
  </si>
  <si>
    <t>Lenta</t>
  </si>
  <si>
    <t xml:space="preserve">Lentate sul Seveso (MB) </t>
  </si>
  <si>
    <t>Lentate sul Seveso</t>
  </si>
  <si>
    <t xml:space="preserve">Lentella (CH) </t>
  </si>
  <si>
    <t>069047</t>
  </si>
  <si>
    <t>Lentella</t>
  </si>
  <si>
    <t xml:space="preserve">Lentini (SR) </t>
  </si>
  <si>
    <t>089011</t>
  </si>
  <si>
    <t>Lentini</t>
  </si>
  <si>
    <t xml:space="preserve">Leonessa (RI) </t>
  </si>
  <si>
    <t>057033</t>
  </si>
  <si>
    <t>Leonessa</t>
  </si>
  <si>
    <t xml:space="preserve">Leonforte (EN) </t>
  </si>
  <si>
    <t>086011</t>
  </si>
  <si>
    <t>Leonforte</t>
  </si>
  <si>
    <t xml:space="preserve">Leporano (TA) </t>
  </si>
  <si>
    <t>073010</t>
  </si>
  <si>
    <t>Leporano</t>
  </si>
  <si>
    <t xml:space="preserve">Lequile (LE) </t>
  </si>
  <si>
    <t>075036</t>
  </si>
  <si>
    <t>Lequile</t>
  </si>
  <si>
    <t xml:space="preserve">Lequio Berria (CN) </t>
  </si>
  <si>
    <t>004106</t>
  </si>
  <si>
    <t>Lequio Berria</t>
  </si>
  <si>
    <t xml:space="preserve">Lequio Tanaro (CN) </t>
  </si>
  <si>
    <t>004107</t>
  </si>
  <si>
    <t>Lequio Tanaro</t>
  </si>
  <si>
    <t xml:space="preserve">Lercara Friddi (PA) </t>
  </si>
  <si>
    <t>082045</t>
  </si>
  <si>
    <t>Lercara Friddi</t>
  </si>
  <si>
    <t xml:space="preserve">Lerici (SP) </t>
  </si>
  <si>
    <t>011016</t>
  </si>
  <si>
    <t>Lerici</t>
  </si>
  <si>
    <t xml:space="preserve">Lerma (AL) </t>
  </si>
  <si>
    <t>006088</t>
  </si>
  <si>
    <t>Lerma</t>
  </si>
  <si>
    <t xml:space="preserve">Lesa (NO) </t>
  </si>
  <si>
    <t>003084</t>
  </si>
  <si>
    <t>Lesa</t>
  </si>
  <si>
    <t xml:space="preserve">Lesegno (CN) </t>
  </si>
  <si>
    <t>004108</t>
  </si>
  <si>
    <t>Lesegno</t>
  </si>
  <si>
    <t xml:space="preserve">Lesignano de' Bagni (PR) </t>
  </si>
  <si>
    <t>034019</t>
  </si>
  <si>
    <t>Lesignano de' Bagni</t>
  </si>
  <si>
    <t xml:space="preserve">Lesina (FG) </t>
  </si>
  <si>
    <t>071027</t>
  </si>
  <si>
    <t>Lesina</t>
  </si>
  <si>
    <t xml:space="preserve">Lesmo (MB) </t>
  </si>
  <si>
    <t>Lesmo</t>
  </si>
  <si>
    <t xml:space="preserve">Lessolo (TO) </t>
  </si>
  <si>
    <t>001132</t>
  </si>
  <si>
    <t>Lessolo</t>
  </si>
  <si>
    <t xml:space="preserve">Lessona (BI) </t>
  </si>
  <si>
    <t>Lessona</t>
  </si>
  <si>
    <t xml:space="preserve">Lestizza (UD) </t>
  </si>
  <si>
    <t>030048</t>
  </si>
  <si>
    <t>Lestizza</t>
  </si>
  <si>
    <t xml:space="preserve">Letino (CE) </t>
  </si>
  <si>
    <t>061044</t>
  </si>
  <si>
    <t>Letino</t>
  </si>
  <si>
    <t xml:space="preserve">Letojanni (ME) </t>
  </si>
  <si>
    <t>083038</t>
  </si>
  <si>
    <t>Letojanni</t>
  </si>
  <si>
    <t xml:space="preserve">Lettere (NA) </t>
  </si>
  <si>
    <t>063039</t>
  </si>
  <si>
    <t>Lettere</t>
  </si>
  <si>
    <t xml:space="preserve">Lettomanoppello (PE) </t>
  </si>
  <si>
    <t>068020</t>
  </si>
  <si>
    <t>Lettomanoppello</t>
  </si>
  <si>
    <t xml:space="preserve">Lettopalena (CH) </t>
  </si>
  <si>
    <t>069048</t>
  </si>
  <si>
    <t>Lettopalena</t>
  </si>
  <si>
    <t xml:space="preserve">Levanto (SP) </t>
  </si>
  <si>
    <t>011017</t>
  </si>
  <si>
    <t>Levanto</t>
  </si>
  <si>
    <t xml:space="preserve">Levate (BG) </t>
  </si>
  <si>
    <t>016126</t>
  </si>
  <si>
    <t>Levate</t>
  </si>
  <si>
    <t xml:space="preserve">Leverano (LE) </t>
  </si>
  <si>
    <t>075037</t>
  </si>
  <si>
    <t>Leverano</t>
  </si>
  <si>
    <t xml:space="preserve">Levice (CN) </t>
  </si>
  <si>
    <t>004109</t>
  </si>
  <si>
    <t>Levice</t>
  </si>
  <si>
    <t xml:space="preserve">Levico Terme (TN) </t>
  </si>
  <si>
    <t>022104</t>
  </si>
  <si>
    <t>Levico Terme</t>
  </si>
  <si>
    <t xml:space="preserve">Levone (TO) </t>
  </si>
  <si>
    <t>001133</t>
  </si>
  <si>
    <t>Levone</t>
  </si>
  <si>
    <t xml:space="preserve">Lezzeno (CO) </t>
  </si>
  <si>
    <t>013126</t>
  </si>
  <si>
    <t>Lezzeno</t>
  </si>
  <si>
    <t xml:space="preserve">Liberi (CE) </t>
  </si>
  <si>
    <t>061045</t>
  </si>
  <si>
    <t>Liberi</t>
  </si>
  <si>
    <t xml:space="preserve">Librizzi (ME) </t>
  </si>
  <si>
    <t>083039</t>
  </si>
  <si>
    <t>Librizzi</t>
  </si>
  <si>
    <t xml:space="preserve">Licata (AG) </t>
  </si>
  <si>
    <t>084021</t>
  </si>
  <si>
    <t>Licata</t>
  </si>
  <si>
    <t xml:space="preserve">Licciana Nardi (MS) </t>
  </si>
  <si>
    <t>045009</t>
  </si>
  <si>
    <t>Licciana Nardi</t>
  </si>
  <si>
    <t xml:space="preserve">Licenza (RM) </t>
  </si>
  <si>
    <t>058051</t>
  </si>
  <si>
    <t>Licenza</t>
  </si>
  <si>
    <t xml:space="preserve">Licodia Eubea (CT) </t>
  </si>
  <si>
    <t>087020</t>
  </si>
  <si>
    <t>Licodia Eubea</t>
  </si>
  <si>
    <t xml:space="preserve">Lierna (LC) </t>
  </si>
  <si>
    <t>097043</t>
  </si>
  <si>
    <t>Lierna</t>
  </si>
  <si>
    <t xml:space="preserve">Lignana (VC) </t>
  </si>
  <si>
    <t>002070</t>
  </si>
  <si>
    <t>Lignana</t>
  </si>
  <si>
    <t xml:space="preserve">Lignano Sabbiadoro (UD) </t>
  </si>
  <si>
    <t>030049</t>
  </si>
  <si>
    <t>Lignano Sabbiadoro</t>
  </si>
  <si>
    <t xml:space="preserve">Lillianes (AO) </t>
  </si>
  <si>
    <t>007042</t>
  </si>
  <si>
    <t>Lillianes</t>
  </si>
  <si>
    <t xml:space="preserve">Limana (BL) </t>
  </si>
  <si>
    <t>025029</t>
  </si>
  <si>
    <t>Limana</t>
  </si>
  <si>
    <t xml:space="preserve">Limatola (BN) </t>
  </si>
  <si>
    <t>062038</t>
  </si>
  <si>
    <t>Limatola</t>
  </si>
  <si>
    <t xml:space="preserve">Limbadi (VV) </t>
  </si>
  <si>
    <t>Limbadi</t>
  </si>
  <si>
    <t xml:space="preserve">Limbiate (MB) </t>
  </si>
  <si>
    <t>Limbiate</t>
  </si>
  <si>
    <t xml:space="preserve">Limena (PD) </t>
  </si>
  <si>
    <t>028045</t>
  </si>
  <si>
    <t>Limena</t>
  </si>
  <si>
    <t xml:space="preserve">Limido Comasco (CO) </t>
  </si>
  <si>
    <t>013128</t>
  </si>
  <si>
    <t>Limido Comasco</t>
  </si>
  <si>
    <t xml:space="preserve">Limina (ME) </t>
  </si>
  <si>
    <t>083040</t>
  </si>
  <si>
    <t>Limina</t>
  </si>
  <si>
    <t xml:space="preserve">Limone Piemonte (CN) </t>
  </si>
  <si>
    <t>004110</t>
  </si>
  <si>
    <t>Limone Piemonte</t>
  </si>
  <si>
    <t xml:space="preserve">Limone sul Garda (BS) </t>
  </si>
  <si>
    <t>017089</t>
  </si>
  <si>
    <t>Limone sul Garda</t>
  </si>
  <si>
    <t xml:space="preserve">Limosano (CB) </t>
  </si>
  <si>
    <t>070032</t>
  </si>
  <si>
    <t>Limosano</t>
  </si>
  <si>
    <t xml:space="preserve">Linarolo (PV) </t>
  </si>
  <si>
    <t>018081</t>
  </si>
  <si>
    <t>Linarolo</t>
  </si>
  <si>
    <t xml:space="preserve">Linguaglossa (CT) </t>
  </si>
  <si>
    <t>087021</t>
  </si>
  <si>
    <t>Linguaglossa</t>
  </si>
  <si>
    <t xml:space="preserve">Lioni (AV) </t>
  </si>
  <si>
    <t>064044</t>
  </si>
  <si>
    <t>Lioni</t>
  </si>
  <si>
    <t xml:space="preserve">Lipari (ME) </t>
  </si>
  <si>
    <t>083041</t>
  </si>
  <si>
    <t>Lipari</t>
  </si>
  <si>
    <t xml:space="preserve">Lipomo (CO) </t>
  </si>
  <si>
    <t>013129</t>
  </si>
  <si>
    <t>Lipomo</t>
  </si>
  <si>
    <t xml:space="preserve">Liscate (MI) </t>
  </si>
  <si>
    <t>015122</t>
  </si>
  <si>
    <t>Liscate</t>
  </si>
  <si>
    <t xml:space="preserve">Liscia (CH) </t>
  </si>
  <si>
    <t>069049</t>
  </si>
  <si>
    <t>Liscia</t>
  </si>
  <si>
    <t xml:space="preserve">Lisciano Niccone (PG) </t>
  </si>
  <si>
    <t>054025</t>
  </si>
  <si>
    <t>Lisciano Niccone</t>
  </si>
  <si>
    <t xml:space="preserve">Lisio (CN) </t>
  </si>
  <si>
    <t>004111</t>
  </si>
  <si>
    <t>Lisio</t>
  </si>
  <si>
    <t xml:space="preserve">Lissone (MB) </t>
  </si>
  <si>
    <t>Lissone</t>
  </si>
  <si>
    <t xml:space="preserve">Liveri (NA) </t>
  </si>
  <si>
    <t>063040</t>
  </si>
  <si>
    <t>Liveri</t>
  </si>
  <si>
    <t xml:space="preserve">Livigno (SO) </t>
  </si>
  <si>
    <t>014037</t>
  </si>
  <si>
    <t>Livigno</t>
  </si>
  <si>
    <t xml:space="preserve">Livinallongo del Col di Lana (BL) </t>
  </si>
  <si>
    <t>025030</t>
  </si>
  <si>
    <t>Livinallongo del Col di Lana</t>
  </si>
  <si>
    <t xml:space="preserve">Livo (CO) </t>
  </si>
  <si>
    <t>013130</t>
  </si>
  <si>
    <t>Livo</t>
  </si>
  <si>
    <t xml:space="preserve">Livorno (LI) </t>
  </si>
  <si>
    <t>049009</t>
  </si>
  <si>
    <t>Livorno</t>
  </si>
  <si>
    <t xml:space="preserve">Livorno Ferraris (VC) </t>
  </si>
  <si>
    <t>002071</t>
  </si>
  <si>
    <t>Livorno Ferraris</t>
  </si>
  <si>
    <t xml:space="preserve">Livraga (LO) </t>
  </si>
  <si>
    <t>098030</t>
  </si>
  <si>
    <t>Livraga</t>
  </si>
  <si>
    <t xml:space="preserve">Lizzanello (LE) </t>
  </si>
  <si>
    <t>075038</t>
  </si>
  <si>
    <t>Lizzanello</t>
  </si>
  <si>
    <t xml:space="preserve">Lizzano (TA) </t>
  </si>
  <si>
    <t>073011</t>
  </si>
  <si>
    <t>Lizzano</t>
  </si>
  <si>
    <t xml:space="preserve">Lizzano in Belvedere (BO) </t>
  </si>
  <si>
    <t>037033</t>
  </si>
  <si>
    <t>Lizzano in Belvedere</t>
  </si>
  <si>
    <t xml:space="preserve">Loano (SV) </t>
  </si>
  <si>
    <t>009034</t>
  </si>
  <si>
    <t>Loano</t>
  </si>
  <si>
    <t xml:space="preserve">Loazzolo (AT) </t>
  </si>
  <si>
    <t>005060</t>
  </si>
  <si>
    <t>Loazzolo</t>
  </si>
  <si>
    <t xml:space="preserve">Locana (TO) </t>
  </si>
  <si>
    <t>001134</t>
  </si>
  <si>
    <t>Locana</t>
  </si>
  <si>
    <t xml:space="preserve">Locate di Triulzi (MI) </t>
  </si>
  <si>
    <t>015125</t>
  </si>
  <si>
    <t>Locate di Triulzi</t>
  </si>
  <si>
    <t xml:space="preserve">Locate Varesino (CO) </t>
  </si>
  <si>
    <t>013131</t>
  </si>
  <si>
    <t>Locate Varesino</t>
  </si>
  <si>
    <t xml:space="preserve">Locatello (BG) </t>
  </si>
  <si>
    <t>016127</t>
  </si>
  <si>
    <t>Locatello</t>
  </si>
  <si>
    <t>Loceri</t>
  </si>
  <si>
    <t xml:space="preserve">Locorotondo (BA) </t>
  </si>
  <si>
    <t>072025</t>
  </si>
  <si>
    <t>Locorotondo</t>
  </si>
  <si>
    <t xml:space="preserve">Locri (RC) </t>
  </si>
  <si>
    <t>080043</t>
  </si>
  <si>
    <t>Locri</t>
  </si>
  <si>
    <t xml:space="preserve">Loculi (NU) </t>
  </si>
  <si>
    <t>Loculi</t>
  </si>
  <si>
    <t xml:space="preserve">Lodè (NU) </t>
  </si>
  <si>
    <t>Lodè</t>
  </si>
  <si>
    <t xml:space="preserve">Lodi (LO) </t>
  </si>
  <si>
    <t>098031</t>
  </si>
  <si>
    <t>Lodi</t>
  </si>
  <si>
    <t xml:space="preserve">Lodi Vecchio (LO) </t>
  </si>
  <si>
    <t>098032</t>
  </si>
  <si>
    <t>Lodi Vecchio</t>
  </si>
  <si>
    <t xml:space="preserve">Lodine (NU) </t>
  </si>
  <si>
    <t>Lodine</t>
  </si>
  <si>
    <t xml:space="preserve">Lodrino (BS) </t>
  </si>
  <si>
    <t>017090</t>
  </si>
  <si>
    <t>Lodrino</t>
  </si>
  <si>
    <t xml:space="preserve">Lograto (BS) </t>
  </si>
  <si>
    <t>017091</t>
  </si>
  <si>
    <t>Lograto</t>
  </si>
  <si>
    <t xml:space="preserve">Loiano (BO) </t>
  </si>
  <si>
    <t>037034</t>
  </si>
  <si>
    <t>Loiano</t>
  </si>
  <si>
    <t>Loiri Porto San Paolo</t>
  </si>
  <si>
    <t xml:space="preserve">Lomagna (LC) </t>
  </si>
  <si>
    <t>097044</t>
  </si>
  <si>
    <t>Lomagna</t>
  </si>
  <si>
    <t xml:space="preserve">Lomazzo (CO) </t>
  </si>
  <si>
    <t>013133</t>
  </si>
  <si>
    <t>Lomazzo</t>
  </si>
  <si>
    <t xml:space="preserve">Lombardore (TO) </t>
  </si>
  <si>
    <t>001135</t>
  </si>
  <si>
    <t>Lombardore</t>
  </si>
  <si>
    <t xml:space="preserve">Lombriasco (TO) </t>
  </si>
  <si>
    <t>001136</t>
  </si>
  <si>
    <t>Lombriasco</t>
  </si>
  <si>
    <t xml:space="preserve">Lomello (PV) </t>
  </si>
  <si>
    <t>018083</t>
  </si>
  <si>
    <t>Lomello</t>
  </si>
  <si>
    <t xml:space="preserve">Lona-Lases (TN) </t>
  </si>
  <si>
    <t>022108</t>
  </si>
  <si>
    <t>Lona-Lases</t>
  </si>
  <si>
    <t xml:space="preserve">Lonate Ceppino (VA) </t>
  </si>
  <si>
    <t>012089</t>
  </si>
  <si>
    <t>Lonate Ceppino</t>
  </si>
  <si>
    <t xml:space="preserve">Lonate Pozzolo (VA) </t>
  </si>
  <si>
    <t>012090</t>
  </si>
  <si>
    <t>Lonate Pozzolo</t>
  </si>
  <si>
    <t xml:space="preserve">Lonato del Garda (BS) </t>
  </si>
  <si>
    <t>017092</t>
  </si>
  <si>
    <t>Lonato del Garda</t>
  </si>
  <si>
    <t xml:space="preserve">Londa (FI) </t>
  </si>
  <si>
    <t>048025</t>
  </si>
  <si>
    <t>Londa</t>
  </si>
  <si>
    <t xml:space="preserve">Longano (IS) </t>
  </si>
  <si>
    <t>094024</t>
  </si>
  <si>
    <t>Longano</t>
  </si>
  <si>
    <t xml:space="preserve">Longare (VI) </t>
  </si>
  <si>
    <t>024051</t>
  </si>
  <si>
    <t>Longare</t>
  </si>
  <si>
    <t xml:space="preserve">Longarone (BL) </t>
  </si>
  <si>
    <t>Longarone</t>
  </si>
  <si>
    <t xml:space="preserve">Longhena (BS) </t>
  </si>
  <si>
    <t>017093</t>
  </si>
  <si>
    <t>Longhena</t>
  </si>
  <si>
    <t xml:space="preserve">Longi (ME) </t>
  </si>
  <si>
    <t>083042</t>
  </si>
  <si>
    <t>Longi</t>
  </si>
  <si>
    <t xml:space="preserve">Longiano (FC) </t>
  </si>
  <si>
    <t>040018</t>
  </si>
  <si>
    <t>Longiano</t>
  </si>
  <si>
    <t xml:space="preserve">Longobardi (CS) </t>
  </si>
  <si>
    <t>078067</t>
  </si>
  <si>
    <t>Longobardi</t>
  </si>
  <si>
    <t xml:space="preserve">Longobucco (CS) </t>
  </si>
  <si>
    <t>078068</t>
  </si>
  <si>
    <t>Longobucco</t>
  </si>
  <si>
    <t xml:space="preserve">Longone al Segrino (CO) </t>
  </si>
  <si>
    <t>013134</t>
  </si>
  <si>
    <t>Longone al Segrino</t>
  </si>
  <si>
    <t xml:space="preserve">Longone Sabino (RI) </t>
  </si>
  <si>
    <t>057034</t>
  </si>
  <si>
    <t>Longone Sabino</t>
  </si>
  <si>
    <t xml:space="preserve">Lonigo (VI) </t>
  </si>
  <si>
    <t>024052</t>
  </si>
  <si>
    <t>Lonigo</t>
  </si>
  <si>
    <t xml:space="preserve">Loranzè (TO) </t>
  </si>
  <si>
    <t>001137</t>
  </si>
  <si>
    <t>Loranzè</t>
  </si>
  <si>
    <t xml:space="preserve">Loreggia (PD) </t>
  </si>
  <si>
    <t>028046</t>
  </si>
  <si>
    <t>Loreggia</t>
  </si>
  <si>
    <t xml:space="preserve">Loreglia (VB) </t>
  </si>
  <si>
    <t>Loreglia</t>
  </si>
  <si>
    <t xml:space="preserve">Lorenzago di Cadore (BL) </t>
  </si>
  <si>
    <t>025032</t>
  </si>
  <si>
    <t>Lorenzago di Cadore</t>
  </si>
  <si>
    <t xml:space="preserve">Loreo (RO) </t>
  </si>
  <si>
    <t>029030</t>
  </si>
  <si>
    <t>Loreo</t>
  </si>
  <si>
    <t xml:space="preserve">Loreto (AN) </t>
  </si>
  <si>
    <t>042022</t>
  </si>
  <si>
    <t>Loreto</t>
  </si>
  <si>
    <t xml:space="preserve">Loreto Aprutino (PE) </t>
  </si>
  <si>
    <t>068021</t>
  </si>
  <si>
    <t>Loreto Aprutino</t>
  </si>
  <si>
    <t xml:space="preserve">Loria (TV) </t>
  </si>
  <si>
    <t>026036</t>
  </si>
  <si>
    <t>Loria</t>
  </si>
  <si>
    <t xml:space="preserve">Loro Ciuffenna (AR) </t>
  </si>
  <si>
    <t>051020</t>
  </si>
  <si>
    <t>Loro Ciuffenna</t>
  </si>
  <si>
    <t xml:space="preserve">Loro Piceno (MC) </t>
  </si>
  <si>
    <t>043022</t>
  </si>
  <si>
    <t>Loro Piceno</t>
  </si>
  <si>
    <t xml:space="preserve">Lorsica (GE) </t>
  </si>
  <si>
    <t>010030</t>
  </si>
  <si>
    <t>Lorsica</t>
  </si>
  <si>
    <t xml:space="preserve">Losine (BS) </t>
  </si>
  <si>
    <t>017094</t>
  </si>
  <si>
    <t>Losine</t>
  </si>
  <si>
    <t>Lotzorai</t>
  </si>
  <si>
    <t xml:space="preserve">Lovere (BG) </t>
  </si>
  <si>
    <t>016128</t>
  </si>
  <si>
    <t>Lovere</t>
  </si>
  <si>
    <t xml:space="preserve">Lovero (SO) </t>
  </si>
  <si>
    <t>014038</t>
  </si>
  <si>
    <t>Lovero</t>
  </si>
  <si>
    <t xml:space="preserve">Lozio (BS) </t>
  </si>
  <si>
    <t>017095</t>
  </si>
  <si>
    <t>Lozio</t>
  </si>
  <si>
    <t xml:space="preserve">Lozza (VA) </t>
  </si>
  <si>
    <t>012091</t>
  </si>
  <si>
    <t>Lozza</t>
  </si>
  <si>
    <t xml:space="preserve">Lozzo Atestino (PD) </t>
  </si>
  <si>
    <t>028047</t>
  </si>
  <si>
    <t>Lozzo Atestino</t>
  </si>
  <si>
    <t xml:space="preserve">Lozzo di Cadore (BL) </t>
  </si>
  <si>
    <t>025033</t>
  </si>
  <si>
    <t>Lozzo di Cadore</t>
  </si>
  <si>
    <t xml:space="preserve">Lozzolo (VC) </t>
  </si>
  <si>
    <t>002072</t>
  </si>
  <si>
    <t>Lozzolo</t>
  </si>
  <si>
    <t xml:space="preserve">Lubriano (VT) </t>
  </si>
  <si>
    <t>056033</t>
  </si>
  <si>
    <t>Lubriano</t>
  </si>
  <si>
    <t xml:space="preserve">Lucca (LU) </t>
  </si>
  <si>
    <t>046017</t>
  </si>
  <si>
    <t>Lucca</t>
  </si>
  <si>
    <t xml:space="preserve">Lucca Sicula (AG) </t>
  </si>
  <si>
    <t>084022</t>
  </si>
  <si>
    <t>Lucca Sicula</t>
  </si>
  <si>
    <t xml:space="preserve">Lucera (FG) </t>
  </si>
  <si>
    <t>071028</t>
  </si>
  <si>
    <t>Lucera</t>
  </si>
  <si>
    <t xml:space="preserve">Lucignano (AR) </t>
  </si>
  <si>
    <t>051021</t>
  </si>
  <si>
    <t>Lucignano</t>
  </si>
  <si>
    <t xml:space="preserve">Lucinasco (IM) </t>
  </si>
  <si>
    <t>008033</t>
  </si>
  <si>
    <t>Lucinasco</t>
  </si>
  <si>
    <t xml:space="preserve">Lucito (CB) </t>
  </si>
  <si>
    <t>070033</t>
  </si>
  <si>
    <t>Lucito</t>
  </si>
  <si>
    <t xml:space="preserve">Luco dei Marsi (AQ) </t>
  </si>
  <si>
    <t>066051</t>
  </si>
  <si>
    <t>Luco dei Marsi</t>
  </si>
  <si>
    <t xml:space="preserve">Lucoli (AQ) </t>
  </si>
  <si>
    <t>066052</t>
  </si>
  <si>
    <t>Lucoli</t>
  </si>
  <si>
    <t xml:space="preserve">Lugagnano Val d'Arda (PC) </t>
  </si>
  <si>
    <t>033026</t>
  </si>
  <si>
    <t>Lugagnano Val d'Arda</t>
  </si>
  <si>
    <t xml:space="preserve">Lugnano in Teverina (TR) </t>
  </si>
  <si>
    <t>055016</t>
  </si>
  <si>
    <t>Lugnano in Teverina</t>
  </si>
  <si>
    <t xml:space="preserve">Lugo (RA) </t>
  </si>
  <si>
    <t>039012</t>
  </si>
  <si>
    <t>Lugo</t>
  </si>
  <si>
    <t xml:space="preserve">Lugo di Vicenza (VI) </t>
  </si>
  <si>
    <t>024053</t>
  </si>
  <si>
    <t>Lugo di Vicenza</t>
  </si>
  <si>
    <t xml:space="preserve">Luino (VA) </t>
  </si>
  <si>
    <t>012092</t>
  </si>
  <si>
    <t>Luino</t>
  </si>
  <si>
    <t xml:space="preserve">Luisago (CO) </t>
  </si>
  <si>
    <t>013135</t>
  </si>
  <si>
    <t>Luisago</t>
  </si>
  <si>
    <t xml:space="preserve">Lula (NU) </t>
  </si>
  <si>
    <t>Lula</t>
  </si>
  <si>
    <t xml:space="preserve">Lumarzo (GE) </t>
  </si>
  <si>
    <t>010031</t>
  </si>
  <si>
    <t>Lumarzo</t>
  </si>
  <si>
    <t xml:space="preserve">Lumezzane (BS) </t>
  </si>
  <si>
    <t>017096</t>
  </si>
  <si>
    <t>Lumezzane</t>
  </si>
  <si>
    <t>Lunamatrona</t>
  </si>
  <si>
    <t xml:space="preserve">Lunano (PU) </t>
  </si>
  <si>
    <t>041022</t>
  </si>
  <si>
    <t>Lunano</t>
  </si>
  <si>
    <t xml:space="preserve">Lungavilla (PV) </t>
  </si>
  <si>
    <t>018084</t>
  </si>
  <si>
    <t>Lungavilla</t>
  </si>
  <si>
    <t xml:space="preserve">Lungro (CS) </t>
  </si>
  <si>
    <t>078069</t>
  </si>
  <si>
    <t>Lungro</t>
  </si>
  <si>
    <t xml:space="preserve">Luogosano (AV) </t>
  </si>
  <si>
    <t>064045</t>
  </si>
  <si>
    <t>Luogosano</t>
  </si>
  <si>
    <t>Luogosanto</t>
  </si>
  <si>
    <t xml:space="preserve">Lupara (CB) </t>
  </si>
  <si>
    <t>070034</t>
  </si>
  <si>
    <t>Lupara</t>
  </si>
  <si>
    <t xml:space="preserve">Lurago d'Erba (CO) </t>
  </si>
  <si>
    <t>013136</t>
  </si>
  <si>
    <t>Lurago d'Erba</t>
  </si>
  <si>
    <t xml:space="preserve">Lurago Marinone (CO) </t>
  </si>
  <si>
    <t>013137</t>
  </si>
  <si>
    <t>Lurago Marinone</t>
  </si>
  <si>
    <t xml:space="preserve">Lurano (BG) </t>
  </si>
  <si>
    <t>016129</t>
  </si>
  <si>
    <t>Lurano</t>
  </si>
  <si>
    <t>Luras</t>
  </si>
  <si>
    <t xml:space="preserve">Lurate Caccivio (CO) </t>
  </si>
  <si>
    <t>013138</t>
  </si>
  <si>
    <t>Lurate Caccivio</t>
  </si>
  <si>
    <t xml:space="preserve">Lusciano (CE) </t>
  </si>
  <si>
    <t>061046</t>
  </si>
  <si>
    <t>Lusciano</t>
  </si>
  <si>
    <t xml:space="preserve">Luserna (TN) </t>
  </si>
  <si>
    <t>022109</t>
  </si>
  <si>
    <t>Luserna</t>
  </si>
  <si>
    <t xml:space="preserve">Luserna San Giovanni (TO) </t>
  </si>
  <si>
    <t>001139</t>
  </si>
  <si>
    <t>Luserna San Giovanni</t>
  </si>
  <si>
    <t xml:space="preserve">Lusernetta (TO) </t>
  </si>
  <si>
    <t>001140</t>
  </si>
  <si>
    <t>Lusernetta</t>
  </si>
  <si>
    <t xml:space="preserve">Lusevera (UD) </t>
  </si>
  <si>
    <t>030051</t>
  </si>
  <si>
    <t>Lusevera</t>
  </si>
  <si>
    <t xml:space="preserve">Lusia (RO) </t>
  </si>
  <si>
    <t>029031</t>
  </si>
  <si>
    <t>Lusia</t>
  </si>
  <si>
    <t xml:space="preserve">Lusigliè (TO) </t>
  </si>
  <si>
    <t>001141</t>
  </si>
  <si>
    <t>Lusigliè</t>
  </si>
  <si>
    <t>021044</t>
  </si>
  <si>
    <t xml:space="preserve">Lustra (SA) </t>
  </si>
  <si>
    <t>065064</t>
  </si>
  <si>
    <t>Lustra</t>
  </si>
  <si>
    <t xml:space="preserve">Luvinate (VA) </t>
  </si>
  <si>
    <t>012093</t>
  </si>
  <si>
    <t>Luvinate</t>
  </si>
  <si>
    <t xml:space="preserve">Luzzana (BG) </t>
  </si>
  <si>
    <t>016130</t>
  </si>
  <si>
    <t>Luzzana</t>
  </si>
  <si>
    <t xml:space="preserve">Luzzara (RE) </t>
  </si>
  <si>
    <t>035026</t>
  </si>
  <si>
    <t>Luzzara</t>
  </si>
  <si>
    <t xml:space="preserve">Luzzi (CS) </t>
  </si>
  <si>
    <t>078070</t>
  </si>
  <si>
    <t>Luzzi</t>
  </si>
  <si>
    <t xml:space="preserve">Maccastorna (LO) </t>
  </si>
  <si>
    <t>098033</t>
  </si>
  <si>
    <t>Maccastorna</t>
  </si>
  <si>
    <t xml:space="preserve">Macchia d'Isernia (IS) </t>
  </si>
  <si>
    <t>094025</t>
  </si>
  <si>
    <t>Macchia d'Isernia</t>
  </si>
  <si>
    <t xml:space="preserve">Macchia Valfortore (CB) </t>
  </si>
  <si>
    <t>070035</t>
  </si>
  <si>
    <t>Macchia Valfortore</t>
  </si>
  <si>
    <t xml:space="preserve">Macchiagodena (IS) </t>
  </si>
  <si>
    <t>094026</t>
  </si>
  <si>
    <t>Macchiagodena</t>
  </si>
  <si>
    <t xml:space="preserve">Macello (TO) </t>
  </si>
  <si>
    <t>001142</t>
  </si>
  <si>
    <t>Macello</t>
  </si>
  <si>
    <t xml:space="preserve">Macerata (MC) </t>
  </si>
  <si>
    <t>043023</t>
  </si>
  <si>
    <t>Macerata</t>
  </si>
  <si>
    <t xml:space="preserve">Macerata Campania (CE) </t>
  </si>
  <si>
    <t>061047</t>
  </si>
  <si>
    <t>Macerata Campania</t>
  </si>
  <si>
    <t xml:space="preserve">Macerata Feltria (PU) </t>
  </si>
  <si>
    <t>041023</t>
  </si>
  <si>
    <t>Macerata Feltria</t>
  </si>
  <si>
    <t xml:space="preserve">Macherio (MB) </t>
  </si>
  <si>
    <t>Macherio</t>
  </si>
  <si>
    <t xml:space="preserve">Maclodio (BS) </t>
  </si>
  <si>
    <t>017097</t>
  </si>
  <si>
    <t>Maclodio</t>
  </si>
  <si>
    <t xml:space="preserve">Macomer (NU) </t>
  </si>
  <si>
    <t>Macomer</t>
  </si>
  <si>
    <t xml:space="preserve">Macra (CN) </t>
  </si>
  <si>
    <t>004112</t>
  </si>
  <si>
    <t>Macra</t>
  </si>
  <si>
    <t xml:space="preserve">Macugnaga (VB) </t>
  </si>
  <si>
    <t>Macugnaga</t>
  </si>
  <si>
    <t xml:space="preserve">Maddaloni (CE) </t>
  </si>
  <si>
    <t>061048</t>
  </si>
  <si>
    <t>Maddaloni</t>
  </si>
  <si>
    <t xml:space="preserve">Madesimo (SO) </t>
  </si>
  <si>
    <t>014035</t>
  </si>
  <si>
    <t>Madesimo</t>
  </si>
  <si>
    <t xml:space="preserve">Madignano (CR) </t>
  </si>
  <si>
    <t>019055</t>
  </si>
  <si>
    <t>Madignano</t>
  </si>
  <si>
    <t xml:space="preserve">Madone (BG) </t>
  </si>
  <si>
    <t>016131</t>
  </si>
  <si>
    <t>Madone</t>
  </si>
  <si>
    <t xml:space="preserve">Madonna del Sasso (VB) </t>
  </si>
  <si>
    <t>Madonna del Sasso</t>
  </si>
  <si>
    <t xml:space="preserve">Maenza (LT) </t>
  </si>
  <si>
    <t>059013</t>
  </si>
  <si>
    <t>Maenza</t>
  </si>
  <si>
    <t xml:space="preserve">Mafalda (CB) </t>
  </si>
  <si>
    <t>070036</t>
  </si>
  <si>
    <t>Mafalda</t>
  </si>
  <si>
    <t xml:space="preserve">Magasa (BS) </t>
  </si>
  <si>
    <t>017098</t>
  </si>
  <si>
    <t>Magasa</t>
  </si>
  <si>
    <t xml:space="preserve">Magenta (MI) </t>
  </si>
  <si>
    <t>015130</t>
  </si>
  <si>
    <t>Magenta</t>
  </si>
  <si>
    <t xml:space="preserve">Maggiora (NO) </t>
  </si>
  <si>
    <t>003088</t>
  </si>
  <si>
    <t>Maggiora</t>
  </si>
  <si>
    <t xml:space="preserve">Magherno (PV) </t>
  </si>
  <si>
    <t>018085</t>
  </si>
  <si>
    <t>Magherno</t>
  </si>
  <si>
    <t xml:space="preserve">Magione (PG) </t>
  </si>
  <si>
    <t>054026</t>
  </si>
  <si>
    <t>Magione</t>
  </si>
  <si>
    <t xml:space="preserve">Magisano (CZ) </t>
  </si>
  <si>
    <t>079068</t>
  </si>
  <si>
    <t>Magisano</t>
  </si>
  <si>
    <t xml:space="preserve">Magliano Alfieri (CN) </t>
  </si>
  <si>
    <t>004113</t>
  </si>
  <si>
    <t>Magliano Alfieri</t>
  </si>
  <si>
    <t xml:space="preserve">Magliano Alpi (CN) </t>
  </si>
  <si>
    <t>004114</t>
  </si>
  <si>
    <t>Magliano Alpi</t>
  </si>
  <si>
    <t xml:space="preserve">Magliano de' Marsi (AQ) </t>
  </si>
  <si>
    <t>066053</t>
  </si>
  <si>
    <t>Magliano de' Marsi</t>
  </si>
  <si>
    <t xml:space="preserve">Magliano di Tenna (FM) </t>
  </si>
  <si>
    <t>Magliano di Tenna</t>
  </si>
  <si>
    <t xml:space="preserve">Magliano in Toscana (GR) </t>
  </si>
  <si>
    <t>053013</t>
  </si>
  <si>
    <t>Magliano in Toscana</t>
  </si>
  <si>
    <t xml:space="preserve">Magliano Romano (RM) </t>
  </si>
  <si>
    <t>058052</t>
  </si>
  <si>
    <t>Magliano Romano</t>
  </si>
  <si>
    <t xml:space="preserve">Magliano Sabina (RI) </t>
  </si>
  <si>
    <t>057035</t>
  </si>
  <si>
    <t>Magliano Sabina</t>
  </si>
  <si>
    <t xml:space="preserve">Magliano Vetere (SA) </t>
  </si>
  <si>
    <t>065065</t>
  </si>
  <si>
    <t>Magliano Vetere</t>
  </si>
  <si>
    <t xml:space="preserve">Maglie (LE) </t>
  </si>
  <si>
    <t>075039</t>
  </si>
  <si>
    <t>Maglie</t>
  </si>
  <si>
    <t xml:space="preserve">Magliolo (SV) </t>
  </si>
  <si>
    <t>009035</t>
  </si>
  <si>
    <t>Magliolo</t>
  </si>
  <si>
    <t xml:space="preserve">Maglione (TO) </t>
  </si>
  <si>
    <t>001143</t>
  </si>
  <si>
    <t>Maglione</t>
  </si>
  <si>
    <t xml:space="preserve">Magnacavallo (MN) </t>
  </si>
  <si>
    <t>020029</t>
  </si>
  <si>
    <t>Magnacavallo</t>
  </si>
  <si>
    <t xml:space="preserve">Magnago (MI) </t>
  </si>
  <si>
    <t>015131</t>
  </si>
  <si>
    <t>Magnago</t>
  </si>
  <si>
    <t xml:space="preserve">Magnano (BI) </t>
  </si>
  <si>
    <t>096030</t>
  </si>
  <si>
    <t>Magnano</t>
  </si>
  <si>
    <t xml:space="preserve">Magnano in Riviera (UD) </t>
  </si>
  <si>
    <t>030052</t>
  </si>
  <si>
    <t>Magnano in Riviera</t>
  </si>
  <si>
    <t xml:space="preserve">Magomadas (OR) </t>
  </si>
  <si>
    <t>Magomadas</t>
  </si>
  <si>
    <t>021045</t>
  </si>
  <si>
    <t xml:space="preserve">Magreglio (CO) </t>
  </si>
  <si>
    <t>013139</t>
  </si>
  <si>
    <t>Magreglio</t>
  </si>
  <si>
    <t xml:space="preserve">Maida (CZ) </t>
  </si>
  <si>
    <t>079069</t>
  </si>
  <si>
    <t>Maida</t>
  </si>
  <si>
    <t xml:space="preserve">Maierà (CS) </t>
  </si>
  <si>
    <t>078071</t>
  </si>
  <si>
    <t>Maierà</t>
  </si>
  <si>
    <t xml:space="preserve">Maierato (VV) </t>
  </si>
  <si>
    <t>Maierato</t>
  </si>
  <si>
    <t xml:space="preserve">Maiolati Spontini (AN) </t>
  </si>
  <si>
    <t>042023</t>
  </si>
  <si>
    <t>Maiolati Spontini</t>
  </si>
  <si>
    <t xml:space="preserve">Maiolo (RN) </t>
  </si>
  <si>
    <t>Maiolo</t>
  </si>
  <si>
    <t xml:space="preserve">Maiori (SA) </t>
  </si>
  <si>
    <t>065066</t>
  </si>
  <si>
    <t>Maiori</t>
  </si>
  <si>
    <t xml:space="preserve">Mairago (LO) </t>
  </si>
  <si>
    <t>098034</t>
  </si>
  <si>
    <t>Mairago</t>
  </si>
  <si>
    <t xml:space="preserve">Mairano (BS) </t>
  </si>
  <si>
    <t>017099</t>
  </si>
  <si>
    <t>Mairano</t>
  </si>
  <si>
    <t xml:space="preserve">Maissana (SP) </t>
  </si>
  <si>
    <t>011018</t>
  </si>
  <si>
    <t>Maissana</t>
  </si>
  <si>
    <t xml:space="preserve">Majano (UD) </t>
  </si>
  <si>
    <t>030053</t>
  </si>
  <si>
    <t>Majano</t>
  </si>
  <si>
    <t xml:space="preserve">Malagnino (CR) </t>
  </si>
  <si>
    <t>019056</t>
  </si>
  <si>
    <t>Malagnino</t>
  </si>
  <si>
    <t xml:space="preserve">Malalbergo (BO) </t>
  </si>
  <si>
    <t>037035</t>
  </si>
  <si>
    <t>Malalbergo</t>
  </si>
  <si>
    <t xml:space="preserve">Malborghetto Valbruna (UD) </t>
  </si>
  <si>
    <t>030054</t>
  </si>
  <si>
    <t>Malborghetto Valbruna</t>
  </si>
  <si>
    <t xml:space="preserve">Malcesine (VR) </t>
  </si>
  <si>
    <t>023045</t>
  </si>
  <si>
    <t>Malcesine</t>
  </si>
  <si>
    <t>022110</t>
  </si>
  <si>
    <t xml:space="preserve">Malegno (BS) </t>
  </si>
  <si>
    <t>017100</t>
  </si>
  <si>
    <t>Malegno</t>
  </si>
  <si>
    <t xml:space="preserve">Maleo (LO) </t>
  </si>
  <si>
    <t>098035</t>
  </si>
  <si>
    <t>Maleo</t>
  </si>
  <si>
    <t xml:space="preserve">Malesco (VB) </t>
  </si>
  <si>
    <t>Malesco</t>
  </si>
  <si>
    <t xml:space="preserve">Maletto (CT) </t>
  </si>
  <si>
    <t>087022</t>
  </si>
  <si>
    <t>Maletto</t>
  </si>
  <si>
    <t xml:space="preserve">Malfa (ME) </t>
  </si>
  <si>
    <t>083043</t>
  </si>
  <si>
    <t>Malfa</t>
  </si>
  <si>
    <t xml:space="preserve">Malgrate (LC) </t>
  </si>
  <si>
    <t>097045</t>
  </si>
  <si>
    <t>Malgrate</t>
  </si>
  <si>
    <t xml:space="preserve">Malito (CS) </t>
  </si>
  <si>
    <t>078072</t>
  </si>
  <si>
    <t>Malito</t>
  </si>
  <si>
    <t xml:space="preserve">Mallare (SV) </t>
  </si>
  <si>
    <t>009036</t>
  </si>
  <si>
    <t>Mallare</t>
  </si>
  <si>
    <t>021046</t>
  </si>
  <si>
    <t xml:space="preserve">Malnate (VA) </t>
  </si>
  <si>
    <t>012096</t>
  </si>
  <si>
    <t>Malnate</t>
  </si>
  <si>
    <t xml:space="preserve">Malo (VI) </t>
  </si>
  <si>
    <t>024055</t>
  </si>
  <si>
    <t>Malo</t>
  </si>
  <si>
    <t xml:space="preserve">Malonno (BS) </t>
  </si>
  <si>
    <t>017101</t>
  </si>
  <si>
    <t>Malonno</t>
  </si>
  <si>
    <t xml:space="preserve">Maltignano (AP) </t>
  </si>
  <si>
    <t>044027</t>
  </si>
  <si>
    <t>Maltignano</t>
  </si>
  <si>
    <t xml:space="preserve">Malvagna (ME) </t>
  </si>
  <si>
    <t>083044</t>
  </si>
  <si>
    <t>Malvagna</t>
  </si>
  <si>
    <t xml:space="preserve">Malvicino (AL) </t>
  </si>
  <si>
    <t>006090</t>
  </si>
  <si>
    <t>Malvicino</t>
  </si>
  <si>
    <t xml:space="preserve">Malvito (CS) </t>
  </si>
  <si>
    <t>078073</t>
  </si>
  <si>
    <t>Malvito</t>
  </si>
  <si>
    <t xml:space="preserve">Mammola (RC) </t>
  </si>
  <si>
    <t>080044</t>
  </si>
  <si>
    <t>Mammola</t>
  </si>
  <si>
    <t xml:space="preserve">Mamoiada (NU) </t>
  </si>
  <si>
    <t>Mamoiada</t>
  </si>
  <si>
    <t xml:space="preserve">Manciano (GR) </t>
  </si>
  <si>
    <t>053014</t>
  </si>
  <si>
    <t>Manciano</t>
  </si>
  <si>
    <t xml:space="preserve">Mandanici (ME) </t>
  </si>
  <si>
    <t>083045</t>
  </si>
  <si>
    <t>Mandanici</t>
  </si>
  <si>
    <t>Mandas</t>
  </si>
  <si>
    <t xml:space="preserve">Mandatoriccio (CS) </t>
  </si>
  <si>
    <t>078074</t>
  </si>
  <si>
    <t>Mandatoriccio</t>
  </si>
  <si>
    <t xml:space="preserve">Mandela (RM) </t>
  </si>
  <si>
    <t>058053</t>
  </si>
  <si>
    <t>Mandela</t>
  </si>
  <si>
    <t xml:space="preserve">Mandello del Lario (LC) </t>
  </si>
  <si>
    <t>097046</t>
  </si>
  <si>
    <t>Mandello del Lario</t>
  </si>
  <si>
    <t xml:space="preserve">Mandello Vitta (NO) </t>
  </si>
  <si>
    <t>003090</t>
  </si>
  <si>
    <t>Mandello Vitta</t>
  </si>
  <si>
    <t xml:space="preserve">Manduria (TA) </t>
  </si>
  <si>
    <t>073012</t>
  </si>
  <si>
    <t>Manduria</t>
  </si>
  <si>
    <t xml:space="preserve">Manerba del Garda (BS) </t>
  </si>
  <si>
    <t>017102</t>
  </si>
  <si>
    <t>Manerba del Garda</t>
  </si>
  <si>
    <t xml:space="preserve">Manerbio (BS) </t>
  </si>
  <si>
    <t>017103</t>
  </si>
  <si>
    <t>Manerbio</t>
  </si>
  <si>
    <t xml:space="preserve">Manfredonia (FG) </t>
  </si>
  <si>
    <t>071029</t>
  </si>
  <si>
    <t>Manfredonia</t>
  </si>
  <si>
    <t xml:space="preserve">Mango (CN) </t>
  </si>
  <si>
    <t>004115</t>
  </si>
  <si>
    <t>Mango</t>
  </si>
  <si>
    <t xml:space="preserve">Mangone (CS) </t>
  </si>
  <si>
    <t>078075</t>
  </si>
  <si>
    <t>Mangone</t>
  </si>
  <si>
    <t xml:space="preserve">Maniace (CT) </t>
  </si>
  <si>
    <t>087057</t>
  </si>
  <si>
    <t>Maniace</t>
  </si>
  <si>
    <t xml:space="preserve">Maniago (PN) </t>
  </si>
  <si>
    <t>093025</t>
  </si>
  <si>
    <t>Maniago</t>
  </si>
  <si>
    <t xml:space="preserve">Manocalzati (AV) </t>
  </si>
  <si>
    <t>064046</t>
  </si>
  <si>
    <t>Manocalzati</t>
  </si>
  <si>
    <t xml:space="preserve">Manoppello (PE) </t>
  </si>
  <si>
    <t>068022</t>
  </si>
  <si>
    <t>Manoppello</t>
  </si>
  <si>
    <t xml:space="preserve">Mansuè (TV) </t>
  </si>
  <si>
    <t>026037</t>
  </si>
  <si>
    <t>Mansuè</t>
  </si>
  <si>
    <t xml:space="preserve">Manta (CN) </t>
  </si>
  <si>
    <t>004116</t>
  </si>
  <si>
    <t>Manta</t>
  </si>
  <si>
    <t xml:space="preserve">Mantello (SO) </t>
  </si>
  <si>
    <t>014039</t>
  </si>
  <si>
    <t>Mantello</t>
  </si>
  <si>
    <t xml:space="preserve">Mantova (MN) </t>
  </si>
  <si>
    <t>020030</t>
  </si>
  <si>
    <t>Mantova</t>
  </si>
  <si>
    <t xml:space="preserve">Manzano (UD) </t>
  </si>
  <si>
    <t>030055</t>
  </si>
  <si>
    <t>Manzano</t>
  </si>
  <si>
    <t xml:space="preserve">Manziana (RM) </t>
  </si>
  <si>
    <t>058054</t>
  </si>
  <si>
    <t>Manziana</t>
  </si>
  <si>
    <t xml:space="preserve">Mapello (BG) </t>
  </si>
  <si>
    <t>016132</t>
  </si>
  <si>
    <t>Mapello</t>
  </si>
  <si>
    <t xml:space="preserve">Mappano (TO) </t>
  </si>
  <si>
    <t>Torino</t>
  </si>
  <si>
    <t>001316</t>
  </si>
  <si>
    <t>Mappano</t>
  </si>
  <si>
    <t xml:space="preserve">Mara (SS) </t>
  </si>
  <si>
    <t>Mara</t>
  </si>
  <si>
    <t xml:space="preserve">Maracalagonis (CA) </t>
  </si>
  <si>
    <t>Maracalagonis</t>
  </si>
  <si>
    <t xml:space="preserve">Maranello (MO) </t>
  </si>
  <si>
    <t>036019</t>
  </si>
  <si>
    <t>Maranello</t>
  </si>
  <si>
    <t xml:space="preserve">Marano di Napoli (NA) </t>
  </si>
  <si>
    <t>063041</t>
  </si>
  <si>
    <t>Marano di Napoli</t>
  </si>
  <si>
    <t xml:space="preserve">Marano di Valpolicella (VR) </t>
  </si>
  <si>
    <t>023046</t>
  </si>
  <si>
    <t>Marano di Valpolicella</t>
  </si>
  <si>
    <t xml:space="preserve">Marano Equo (RM) </t>
  </si>
  <si>
    <t>058055</t>
  </si>
  <si>
    <t>Marano Equo</t>
  </si>
  <si>
    <t xml:space="preserve">Marano Lagunare (UD) </t>
  </si>
  <si>
    <t>030056</t>
  </si>
  <si>
    <t>Marano Lagunare</t>
  </si>
  <si>
    <t xml:space="preserve">Marano Marchesato (CS) </t>
  </si>
  <si>
    <t>078076</t>
  </si>
  <si>
    <t>Marano Marchesato</t>
  </si>
  <si>
    <t xml:space="preserve">Marano Principato (CS) </t>
  </si>
  <si>
    <t>078077</t>
  </si>
  <si>
    <t>Marano Principato</t>
  </si>
  <si>
    <t xml:space="preserve">Marano sul Panaro (MO) </t>
  </si>
  <si>
    <t>036020</t>
  </si>
  <si>
    <t>Marano sul Panaro</t>
  </si>
  <si>
    <t xml:space="preserve">Marano Ticino (NO) </t>
  </si>
  <si>
    <t>003091</t>
  </si>
  <si>
    <t>Marano Ticino</t>
  </si>
  <si>
    <t xml:space="preserve">Marano Vicentino (VI) </t>
  </si>
  <si>
    <t>024056</t>
  </si>
  <si>
    <t>Marano Vicentino</t>
  </si>
  <si>
    <t xml:space="preserve">Maranzana (AT) </t>
  </si>
  <si>
    <t>005061</t>
  </si>
  <si>
    <t>Maranzana</t>
  </si>
  <si>
    <t xml:space="preserve">Maratea (PZ) </t>
  </si>
  <si>
    <t>076044</t>
  </si>
  <si>
    <t>Maratea</t>
  </si>
  <si>
    <t xml:space="preserve">Marcallo con Casone (MI) </t>
  </si>
  <si>
    <t>015134</t>
  </si>
  <si>
    <t>Marcallo con Casone</t>
  </si>
  <si>
    <t xml:space="preserve">Marcaria (MN) </t>
  </si>
  <si>
    <t>020031</t>
  </si>
  <si>
    <t>Marcaria</t>
  </si>
  <si>
    <t xml:space="preserve">Marcedusa (CZ) </t>
  </si>
  <si>
    <t>079071</t>
  </si>
  <si>
    <t>Marcedusa</t>
  </si>
  <si>
    <t xml:space="preserve">Marcellina (RM) </t>
  </si>
  <si>
    <t>058056</t>
  </si>
  <si>
    <t>Marcellina</t>
  </si>
  <si>
    <t xml:space="preserve">Marcellinara (CZ) </t>
  </si>
  <si>
    <t>079072</t>
  </si>
  <si>
    <t>Marcellinara</t>
  </si>
  <si>
    <t xml:space="preserve">Marcetelli (RI) </t>
  </si>
  <si>
    <t>057036</t>
  </si>
  <si>
    <t>Marcetelli</t>
  </si>
  <si>
    <t xml:space="preserve">Marcheno (BS) </t>
  </si>
  <si>
    <t>017104</t>
  </si>
  <si>
    <t>Marcheno</t>
  </si>
  <si>
    <t xml:space="preserve">Marchirolo (VA) </t>
  </si>
  <si>
    <t>012097</t>
  </si>
  <si>
    <t>Marchirolo</t>
  </si>
  <si>
    <t xml:space="preserve">Marciana (LI) </t>
  </si>
  <si>
    <t>049010</t>
  </si>
  <si>
    <t>Marciana</t>
  </si>
  <si>
    <t xml:space="preserve">Marciana Marina (LI) </t>
  </si>
  <si>
    <t>049011</t>
  </si>
  <si>
    <t>Marciana Marina</t>
  </si>
  <si>
    <t xml:space="preserve">Marcianise (CE) </t>
  </si>
  <si>
    <t>061049</t>
  </si>
  <si>
    <t>Marcianise</t>
  </si>
  <si>
    <t xml:space="preserve">Marciano della Chiana (AR) </t>
  </si>
  <si>
    <t>051022</t>
  </si>
  <si>
    <t>Marciano della Chiana</t>
  </si>
  <si>
    <t xml:space="preserve">Marcignago (PV) </t>
  </si>
  <si>
    <t>018086</t>
  </si>
  <si>
    <t>Marcignago</t>
  </si>
  <si>
    <t xml:space="preserve">Marcon (VE) </t>
  </si>
  <si>
    <t>027020</t>
  </si>
  <si>
    <t>Marcon</t>
  </si>
  <si>
    <t>021047</t>
  </si>
  <si>
    <t xml:space="preserve">Marene (CN) </t>
  </si>
  <si>
    <t>004117</t>
  </si>
  <si>
    <t>Marene</t>
  </si>
  <si>
    <t xml:space="preserve">Mareno di Piave (TV) </t>
  </si>
  <si>
    <t>026038</t>
  </si>
  <si>
    <t>Mareno di Piave</t>
  </si>
  <si>
    <t xml:space="preserve">Marentino (TO) </t>
  </si>
  <si>
    <t>001144</t>
  </si>
  <si>
    <t>Marentino</t>
  </si>
  <si>
    <t xml:space="preserve">Maretto (AT) </t>
  </si>
  <si>
    <t>005062</t>
  </si>
  <si>
    <t>Maretto</t>
  </si>
  <si>
    <t xml:space="preserve">Margarita (CN) </t>
  </si>
  <si>
    <t>004118</t>
  </si>
  <si>
    <t>Margarita</t>
  </si>
  <si>
    <t xml:space="preserve">Margherita di Savoia (BT) </t>
  </si>
  <si>
    <t>Margherita di Savoia</t>
  </si>
  <si>
    <t xml:space="preserve">Margno (LC) </t>
  </si>
  <si>
    <t>097047</t>
  </si>
  <si>
    <t>Margno</t>
  </si>
  <si>
    <t xml:space="preserve">Mariana Mantovana (MN) </t>
  </si>
  <si>
    <t>020032</t>
  </si>
  <si>
    <t>Mariana Mantovana</t>
  </si>
  <si>
    <t xml:space="preserve">Mariano Comense (CO) </t>
  </si>
  <si>
    <t>013143</t>
  </si>
  <si>
    <t>Mariano Comense</t>
  </si>
  <si>
    <t xml:space="preserve">Mariano del Friuli (GO) </t>
  </si>
  <si>
    <t>031010</t>
  </si>
  <si>
    <t>Mariano del Friuli</t>
  </si>
  <si>
    <t xml:space="preserve">Marianopoli (CL) </t>
  </si>
  <si>
    <t>085008</t>
  </si>
  <si>
    <t>Marianopoli</t>
  </si>
  <si>
    <t xml:space="preserve">Mariglianella (NA) </t>
  </si>
  <si>
    <t>063042</t>
  </si>
  <si>
    <t>Mariglianella</t>
  </si>
  <si>
    <t xml:space="preserve">Marigliano (NA) </t>
  </si>
  <si>
    <t>063043</t>
  </si>
  <si>
    <t>Marigliano</t>
  </si>
  <si>
    <t xml:space="preserve">Marina di Gioiosa Ionica (RC) </t>
  </si>
  <si>
    <t>080045</t>
  </si>
  <si>
    <t>Marina di Gioiosa Ionica</t>
  </si>
  <si>
    <t xml:space="preserve">Marineo (PA) </t>
  </si>
  <si>
    <t>082046</t>
  </si>
  <si>
    <t>Marineo</t>
  </si>
  <si>
    <t xml:space="preserve">Marino (RM) </t>
  </si>
  <si>
    <t>058057</t>
  </si>
  <si>
    <t>Marino</t>
  </si>
  <si>
    <t>021048</t>
  </si>
  <si>
    <t xml:space="preserve">Marliana (PT) </t>
  </si>
  <si>
    <t>047007</t>
  </si>
  <si>
    <t>Marliana</t>
  </si>
  <si>
    <t xml:space="preserve">Marmentino (BS) </t>
  </si>
  <si>
    <t>017105</t>
  </si>
  <si>
    <t>Marmentino</t>
  </si>
  <si>
    <t xml:space="preserve">Marmirolo (MN) </t>
  </si>
  <si>
    <t>020033</t>
  </si>
  <si>
    <t>Marmirolo</t>
  </si>
  <si>
    <t xml:space="preserve">Marmora (CN) </t>
  </si>
  <si>
    <t>004119</t>
  </si>
  <si>
    <t>Marmora</t>
  </si>
  <si>
    <t xml:space="preserve">Marnate (VA) </t>
  </si>
  <si>
    <t>012098</t>
  </si>
  <si>
    <t>Marnate</t>
  </si>
  <si>
    <t xml:space="preserve">Marone (BS) </t>
  </si>
  <si>
    <t>017106</t>
  </si>
  <si>
    <t>Marone</t>
  </si>
  <si>
    <t xml:space="preserve">Maropati (RC) </t>
  </si>
  <si>
    <t>080046</t>
  </si>
  <si>
    <t>Maropati</t>
  </si>
  <si>
    <t xml:space="preserve">Marostica (VI) </t>
  </si>
  <si>
    <t>024057</t>
  </si>
  <si>
    <t>Marostica</t>
  </si>
  <si>
    <t xml:space="preserve">Marrubiu (OR) </t>
  </si>
  <si>
    <t>Marrubiu</t>
  </si>
  <si>
    <t xml:space="preserve">Marsaglia (CN) </t>
  </si>
  <si>
    <t>004120</t>
  </si>
  <si>
    <t>Marsaglia</t>
  </si>
  <si>
    <t xml:space="preserve">Marsala (TP) </t>
  </si>
  <si>
    <t>081011</t>
  </si>
  <si>
    <t>Marsala</t>
  </si>
  <si>
    <t xml:space="preserve">Marsciano (PG) </t>
  </si>
  <si>
    <t>054027</t>
  </si>
  <si>
    <t>Marsciano</t>
  </si>
  <si>
    <t xml:space="preserve">Marsico Nuovo (PZ) </t>
  </si>
  <si>
    <t>076045</t>
  </si>
  <si>
    <t>Marsico Nuovo</t>
  </si>
  <si>
    <t xml:space="preserve">Marsicovetere (PZ) </t>
  </si>
  <si>
    <t>076046</t>
  </si>
  <si>
    <t>Marsicovetere</t>
  </si>
  <si>
    <t xml:space="preserve">Marta (VT) </t>
  </si>
  <si>
    <t>056034</t>
  </si>
  <si>
    <t>Marta</t>
  </si>
  <si>
    <t xml:space="preserve">Martano (LE) </t>
  </si>
  <si>
    <t>075040</t>
  </si>
  <si>
    <t>Martano</t>
  </si>
  <si>
    <t xml:space="preserve">Martellago (VE) </t>
  </si>
  <si>
    <t>027021</t>
  </si>
  <si>
    <t>Martellago</t>
  </si>
  <si>
    <t>021049</t>
  </si>
  <si>
    <t xml:space="preserve">Martignacco (UD) </t>
  </si>
  <si>
    <t>030057</t>
  </si>
  <si>
    <t>Martignacco</t>
  </si>
  <si>
    <t xml:space="preserve">Martignana di Po (CR) </t>
  </si>
  <si>
    <t>019057</t>
  </si>
  <si>
    <t>Martignana di Po</t>
  </si>
  <si>
    <t xml:space="preserve">Martignano (LE) </t>
  </si>
  <si>
    <t>075041</t>
  </si>
  <si>
    <t>Martignano</t>
  </si>
  <si>
    <t xml:space="preserve">Martina Franca (TA) </t>
  </si>
  <si>
    <t>073013</t>
  </si>
  <si>
    <t>Martina Franca</t>
  </si>
  <si>
    <t xml:space="preserve">Martinengo (BG) </t>
  </si>
  <si>
    <t>016133</t>
  </si>
  <si>
    <t>Martinengo</t>
  </si>
  <si>
    <t xml:space="preserve">Martiniana Po (CN) </t>
  </si>
  <si>
    <t>004121</t>
  </si>
  <si>
    <t>Martiniana Po</t>
  </si>
  <si>
    <t xml:space="preserve">Martinsicuro (TE) </t>
  </si>
  <si>
    <t>067047</t>
  </si>
  <si>
    <t>Martinsicuro</t>
  </si>
  <si>
    <t xml:space="preserve">Martirano (CZ) </t>
  </si>
  <si>
    <t>079073</t>
  </si>
  <si>
    <t>Martirano</t>
  </si>
  <si>
    <t xml:space="preserve">Martirano Lombardo (CZ) </t>
  </si>
  <si>
    <t>079074</t>
  </si>
  <si>
    <t>Martirano Lombardo</t>
  </si>
  <si>
    <t xml:space="preserve">Martis (SS) </t>
  </si>
  <si>
    <t>Martis</t>
  </si>
  <si>
    <t xml:space="preserve">Martone (RC) </t>
  </si>
  <si>
    <t>080047</t>
  </si>
  <si>
    <t>Martone</t>
  </si>
  <si>
    <t xml:space="preserve">Marudo (LO) </t>
  </si>
  <si>
    <t>098036</t>
  </si>
  <si>
    <t>Marudo</t>
  </si>
  <si>
    <t xml:space="preserve">Maruggio (TA) </t>
  </si>
  <si>
    <t>073014</t>
  </si>
  <si>
    <t>Maruggio</t>
  </si>
  <si>
    <t xml:space="preserve">Marzabotto (BO) </t>
  </si>
  <si>
    <t>037036</t>
  </si>
  <si>
    <t>Marzabotto</t>
  </si>
  <si>
    <t xml:space="preserve">Marzano (PV) </t>
  </si>
  <si>
    <t>018087</t>
  </si>
  <si>
    <t>Marzano</t>
  </si>
  <si>
    <t xml:space="preserve">Marzano Appio (CE) </t>
  </si>
  <si>
    <t>061050</t>
  </si>
  <si>
    <t>Marzano Appio</t>
  </si>
  <si>
    <t xml:space="preserve">Marzano di Nola (AV) </t>
  </si>
  <si>
    <t>064047</t>
  </si>
  <si>
    <t>Marzano di Nola</t>
  </si>
  <si>
    <t xml:space="preserve">Marzi (CS) </t>
  </si>
  <si>
    <t>078078</t>
  </si>
  <si>
    <t>Marzi</t>
  </si>
  <si>
    <t xml:space="preserve">Marzio (VA) </t>
  </si>
  <si>
    <t>012099</t>
  </si>
  <si>
    <t>Marzio</t>
  </si>
  <si>
    <t>Masainas</t>
  </si>
  <si>
    <t xml:space="preserve">Masate (MI) </t>
  </si>
  <si>
    <t>015136</t>
  </si>
  <si>
    <t>Masate</t>
  </si>
  <si>
    <t xml:space="preserve">Mascali (CT) </t>
  </si>
  <si>
    <t>087023</t>
  </si>
  <si>
    <t>Mascali</t>
  </si>
  <si>
    <t xml:space="preserve">Mascalucia (CT) </t>
  </si>
  <si>
    <t>087024</t>
  </si>
  <si>
    <t>Mascalucia</t>
  </si>
  <si>
    <t xml:space="preserve">Maschito (PZ) </t>
  </si>
  <si>
    <t>076047</t>
  </si>
  <si>
    <t>Maschito</t>
  </si>
  <si>
    <t xml:space="preserve">Masciago Primo (VA) </t>
  </si>
  <si>
    <t>012100</t>
  </si>
  <si>
    <t>Masciago Primo</t>
  </si>
  <si>
    <t xml:space="preserve">Maser (TV) </t>
  </si>
  <si>
    <t>026039</t>
  </si>
  <si>
    <t>Maser</t>
  </si>
  <si>
    <t xml:space="preserve">Masera (VB) </t>
  </si>
  <si>
    <t>Masera</t>
  </si>
  <si>
    <t xml:space="preserve">Maserà di Padova (PD) </t>
  </si>
  <si>
    <t>028048</t>
  </si>
  <si>
    <t>Maserà di Padova</t>
  </si>
  <si>
    <t xml:space="preserve">Maserada sul Piave (TV) </t>
  </si>
  <si>
    <t>026040</t>
  </si>
  <si>
    <t>Maserada sul Piave</t>
  </si>
  <si>
    <t xml:space="preserve">Masi (PD) </t>
  </si>
  <si>
    <t>028049</t>
  </si>
  <si>
    <t>Masi</t>
  </si>
  <si>
    <t xml:space="preserve">Masi Torello (FE) </t>
  </si>
  <si>
    <t>038012</t>
  </si>
  <si>
    <t>Masi Torello</t>
  </si>
  <si>
    <t xml:space="preserve">Masio (AL) </t>
  </si>
  <si>
    <t>006091</t>
  </si>
  <si>
    <t>Masio</t>
  </si>
  <si>
    <t xml:space="preserve">Maslianico (CO) </t>
  </si>
  <si>
    <t>013144</t>
  </si>
  <si>
    <t>Maslianico</t>
  </si>
  <si>
    <t xml:space="preserve">Masone (GE) </t>
  </si>
  <si>
    <t>010032</t>
  </si>
  <si>
    <t>Masone</t>
  </si>
  <si>
    <t xml:space="preserve">Massa (MS) </t>
  </si>
  <si>
    <t>045010</t>
  </si>
  <si>
    <t>Massa</t>
  </si>
  <si>
    <t xml:space="preserve">Massa d'Albe (AQ) </t>
  </si>
  <si>
    <t>066054</t>
  </si>
  <si>
    <t>Massa d'Albe</t>
  </si>
  <si>
    <t xml:space="preserve">Massa di Somma (NA) </t>
  </si>
  <si>
    <t>063092</t>
  </si>
  <si>
    <t>Massa di Somma</t>
  </si>
  <si>
    <t xml:space="preserve">Massa e Cozzile (PT) </t>
  </si>
  <si>
    <t>047008</t>
  </si>
  <si>
    <t>Massa e Cozzile</t>
  </si>
  <si>
    <t xml:space="preserve">Massa Fermana (FM) </t>
  </si>
  <si>
    <t>Massa Fermana</t>
  </si>
  <si>
    <t xml:space="preserve">Massa Lombarda (RA) </t>
  </si>
  <si>
    <t>039013</t>
  </si>
  <si>
    <t>Massa Lombarda</t>
  </si>
  <si>
    <t xml:space="preserve">Massa Lubrense (NA) </t>
  </si>
  <si>
    <t>063044</t>
  </si>
  <si>
    <t>Massa Lubrense</t>
  </si>
  <si>
    <t xml:space="preserve">Massa Marittima (GR) </t>
  </si>
  <si>
    <t>053015</t>
  </si>
  <si>
    <t>Massa Marittima</t>
  </si>
  <si>
    <t xml:space="preserve">Massa Martana (PG) </t>
  </si>
  <si>
    <t>054028</t>
  </si>
  <si>
    <t>Massa Martana</t>
  </si>
  <si>
    <t xml:space="preserve">Massafra (TA) </t>
  </si>
  <si>
    <t>073015</t>
  </si>
  <si>
    <t>Massafra</t>
  </si>
  <si>
    <t xml:space="preserve">Massalengo (LO) </t>
  </si>
  <si>
    <t>098037</t>
  </si>
  <si>
    <t>Massalengo</t>
  </si>
  <si>
    <t xml:space="preserve">Massanzago (PD) </t>
  </si>
  <si>
    <t>028050</t>
  </si>
  <si>
    <t>Massanzago</t>
  </si>
  <si>
    <t xml:space="preserve">Massarosa (LU) </t>
  </si>
  <si>
    <t>046018</t>
  </si>
  <si>
    <t>Massarosa</t>
  </si>
  <si>
    <t xml:space="preserve">Massazza (BI) </t>
  </si>
  <si>
    <t>096031</t>
  </si>
  <si>
    <t>Massazza</t>
  </si>
  <si>
    <t xml:space="preserve">Massello (TO) </t>
  </si>
  <si>
    <t>001145</t>
  </si>
  <si>
    <t>Massello</t>
  </si>
  <si>
    <t xml:space="preserve">Masserano (BI) </t>
  </si>
  <si>
    <t>096032</t>
  </si>
  <si>
    <t>Masserano</t>
  </si>
  <si>
    <t xml:space="preserve">Massignano (AP) </t>
  </si>
  <si>
    <t>044029</t>
  </si>
  <si>
    <t>Massignano</t>
  </si>
  <si>
    <t xml:space="preserve">Massimeno (TN) </t>
  </si>
  <si>
    <t>022112</t>
  </si>
  <si>
    <t>Massimeno</t>
  </si>
  <si>
    <t xml:space="preserve">Massimino (SV) </t>
  </si>
  <si>
    <t>009037</t>
  </si>
  <si>
    <t>Massimino</t>
  </si>
  <si>
    <t xml:space="preserve">Massino Visconti (NO) </t>
  </si>
  <si>
    <t>003093</t>
  </si>
  <si>
    <t>Massino Visconti</t>
  </si>
  <si>
    <t xml:space="preserve">Massiola (VB) </t>
  </si>
  <si>
    <t>Massiola</t>
  </si>
  <si>
    <t xml:space="preserve">Masullas (OR) </t>
  </si>
  <si>
    <t>Masullas</t>
  </si>
  <si>
    <t xml:space="preserve">Matelica (MC) </t>
  </si>
  <si>
    <t>043024</t>
  </si>
  <si>
    <t>Matelica</t>
  </si>
  <si>
    <t xml:space="preserve">Matera (MT) </t>
  </si>
  <si>
    <t>077014</t>
  </si>
  <si>
    <t>Matera</t>
  </si>
  <si>
    <t xml:space="preserve">Mathi (TO) </t>
  </si>
  <si>
    <t>001146</t>
  </si>
  <si>
    <t>Mathi</t>
  </si>
  <si>
    <t xml:space="preserve">Matino (LE) </t>
  </si>
  <si>
    <t>075042</t>
  </si>
  <si>
    <t>Matino</t>
  </si>
  <si>
    <t xml:space="preserve">Matrice (CB) </t>
  </si>
  <si>
    <t>070037</t>
  </si>
  <si>
    <t>Matrice</t>
  </si>
  <si>
    <t xml:space="preserve">Mattie (TO) </t>
  </si>
  <si>
    <t>001147</t>
  </si>
  <si>
    <t>Mattie</t>
  </si>
  <si>
    <t xml:space="preserve">Mattinata (FG) </t>
  </si>
  <si>
    <t>071031</t>
  </si>
  <si>
    <t>Mattinata</t>
  </si>
  <si>
    <t xml:space="preserve">Mazara del Vallo (TP) </t>
  </si>
  <si>
    <t>081012</t>
  </si>
  <si>
    <t>Mazara del Vallo</t>
  </si>
  <si>
    <t xml:space="preserve">Mazzano (BS) </t>
  </si>
  <si>
    <t>017107</t>
  </si>
  <si>
    <t>Mazzano</t>
  </si>
  <si>
    <t xml:space="preserve">Mazzano Romano (RM) </t>
  </si>
  <si>
    <t>058058</t>
  </si>
  <si>
    <t>Mazzano Romano</t>
  </si>
  <si>
    <t xml:space="preserve">Mazzarino (CL) </t>
  </si>
  <si>
    <t>085009</t>
  </si>
  <si>
    <t>Mazzarino</t>
  </si>
  <si>
    <t xml:space="preserve">Mazzarrà Sant'Andrea (ME) </t>
  </si>
  <si>
    <t>083046</t>
  </si>
  <si>
    <t>Mazzarrà Sant'Andrea</t>
  </si>
  <si>
    <t xml:space="preserve">Mazzarrone (CT) </t>
  </si>
  <si>
    <t>087056</t>
  </si>
  <si>
    <t>Mazzarrone</t>
  </si>
  <si>
    <t xml:space="preserve">Mazzè (TO) </t>
  </si>
  <si>
    <t>001148</t>
  </si>
  <si>
    <t>Mazzè</t>
  </si>
  <si>
    <t xml:space="preserve">Mazzin (TN) </t>
  </si>
  <si>
    <t>022113</t>
  </si>
  <si>
    <t>Mazzin</t>
  </si>
  <si>
    <t xml:space="preserve">Mazzo di Valtellina (SO) </t>
  </si>
  <si>
    <t>014040</t>
  </si>
  <si>
    <t>Mazzo di Valtellina</t>
  </si>
  <si>
    <t xml:space="preserve">Meana di Susa (TO) </t>
  </si>
  <si>
    <t>001149</t>
  </si>
  <si>
    <t>Meana di Susa</t>
  </si>
  <si>
    <t xml:space="preserve">Meana Sardo (NU) </t>
  </si>
  <si>
    <t>Meana Sardo</t>
  </si>
  <si>
    <t xml:space="preserve">Meda (MB) </t>
  </si>
  <si>
    <t>Meda</t>
  </si>
  <si>
    <t xml:space="preserve">Mede (PV) </t>
  </si>
  <si>
    <t>018088</t>
  </si>
  <si>
    <t>Mede</t>
  </si>
  <si>
    <t xml:space="preserve">Medea (GO) </t>
  </si>
  <si>
    <t>031011</t>
  </si>
  <si>
    <t>Medea</t>
  </si>
  <si>
    <t xml:space="preserve">Medesano (PR) </t>
  </si>
  <si>
    <t>034020</t>
  </si>
  <si>
    <t>Medesano</t>
  </si>
  <si>
    <t xml:space="preserve">Medicina (BO) </t>
  </si>
  <si>
    <t>037037</t>
  </si>
  <si>
    <t>Medicina</t>
  </si>
  <si>
    <t xml:space="preserve">Mediglia (MI) </t>
  </si>
  <si>
    <t>015139</t>
  </si>
  <si>
    <t>Mediglia</t>
  </si>
  <si>
    <t xml:space="preserve">Medolago (BG) </t>
  </si>
  <si>
    <t>016250</t>
  </si>
  <si>
    <t>Medolago</t>
  </si>
  <si>
    <t xml:space="preserve">Medole (MN) </t>
  </si>
  <si>
    <t>020034</t>
  </si>
  <si>
    <t>Medole</t>
  </si>
  <si>
    <t xml:space="preserve">Medolla (MO) </t>
  </si>
  <si>
    <t>036021</t>
  </si>
  <si>
    <t>Medolla</t>
  </si>
  <si>
    <t xml:space="preserve">Meduna di Livenza (TV) </t>
  </si>
  <si>
    <t>026041</t>
  </si>
  <si>
    <t>Meduna di Livenza</t>
  </si>
  <si>
    <t xml:space="preserve">Meduno (PN) </t>
  </si>
  <si>
    <t>093026</t>
  </si>
  <si>
    <t>Meduno</t>
  </si>
  <si>
    <t xml:space="preserve">Megliadino San Vitale (PD) </t>
  </si>
  <si>
    <t>028052</t>
  </si>
  <si>
    <t>Megliadino San Vitale</t>
  </si>
  <si>
    <t xml:space="preserve">Meina (NO) </t>
  </si>
  <si>
    <t>003095</t>
  </si>
  <si>
    <t>Meina</t>
  </si>
  <si>
    <t xml:space="preserve">Melara (RO) </t>
  </si>
  <si>
    <t>029032</t>
  </si>
  <si>
    <t>Melara</t>
  </si>
  <si>
    <t xml:space="preserve">Melazzo (AL) </t>
  </si>
  <si>
    <t>006092</t>
  </si>
  <si>
    <t>Melazzo</t>
  </si>
  <si>
    <t xml:space="preserve">Meldola (FC) </t>
  </si>
  <si>
    <t>040019</t>
  </si>
  <si>
    <t>Meldola</t>
  </si>
  <si>
    <t xml:space="preserve">Mele (GE) </t>
  </si>
  <si>
    <t>010033</t>
  </si>
  <si>
    <t>Mele</t>
  </si>
  <si>
    <t xml:space="preserve">Melegnano (MI) </t>
  </si>
  <si>
    <t>015140</t>
  </si>
  <si>
    <t>Melegnano</t>
  </si>
  <si>
    <t xml:space="preserve">Melendugno (LE) </t>
  </si>
  <si>
    <t>075043</t>
  </si>
  <si>
    <t>Melendugno</t>
  </si>
  <si>
    <t xml:space="preserve">Meleti (LO) </t>
  </si>
  <si>
    <t>098038</t>
  </si>
  <si>
    <t>Meleti</t>
  </si>
  <si>
    <t xml:space="preserve">Melfi (PZ) </t>
  </si>
  <si>
    <t>076048</t>
  </si>
  <si>
    <t>Melfi</t>
  </si>
  <si>
    <t xml:space="preserve">Melicuccà (RC) </t>
  </si>
  <si>
    <t>080048</t>
  </si>
  <si>
    <t>Melicuccà</t>
  </si>
  <si>
    <t xml:space="preserve">Melicucco (RC) </t>
  </si>
  <si>
    <t>080049</t>
  </si>
  <si>
    <t>Melicucco</t>
  </si>
  <si>
    <t xml:space="preserve">Melilli (SR) </t>
  </si>
  <si>
    <t>089012</t>
  </si>
  <si>
    <t>Melilli</t>
  </si>
  <si>
    <t xml:space="preserve">Melissa (KR) </t>
  </si>
  <si>
    <t>Melissa</t>
  </si>
  <si>
    <t xml:space="preserve">Melissano (LE) </t>
  </si>
  <si>
    <t>075044</t>
  </si>
  <si>
    <t>Melissano</t>
  </si>
  <si>
    <t xml:space="preserve">Melito di Napoli (NA) </t>
  </si>
  <si>
    <t>063045</t>
  </si>
  <si>
    <t>Melito di Napoli</t>
  </si>
  <si>
    <t xml:space="preserve">Melito di Porto Salvo (RC) </t>
  </si>
  <si>
    <t>080050</t>
  </si>
  <si>
    <t>Melito di Porto Salvo</t>
  </si>
  <si>
    <t xml:space="preserve">Melito Irpino (AV) </t>
  </si>
  <si>
    <t>064048</t>
  </si>
  <si>
    <t>Melito Irpino</t>
  </si>
  <si>
    <t xml:space="preserve">Melizzano (BN) </t>
  </si>
  <si>
    <t>062039</t>
  </si>
  <si>
    <t>Melizzano</t>
  </si>
  <si>
    <t xml:space="preserve">Melle (CN) </t>
  </si>
  <si>
    <t>004122</t>
  </si>
  <si>
    <t>Melle</t>
  </si>
  <si>
    <t xml:space="preserve">Mello (SO) </t>
  </si>
  <si>
    <t>014041</t>
  </si>
  <si>
    <t>Mello</t>
  </si>
  <si>
    <t xml:space="preserve">Melpignano (LE) </t>
  </si>
  <si>
    <t>075045</t>
  </si>
  <si>
    <t>Melpignano</t>
  </si>
  <si>
    <t>021050</t>
  </si>
  <si>
    <t xml:space="preserve">Melzo (MI) </t>
  </si>
  <si>
    <t>015142</t>
  </si>
  <si>
    <t>Melzo</t>
  </si>
  <si>
    <t xml:space="preserve">Menaggio (CO) </t>
  </si>
  <si>
    <t>013145</t>
  </si>
  <si>
    <t>Menaggio</t>
  </si>
  <si>
    <t xml:space="preserve">Menconico (PV) </t>
  </si>
  <si>
    <t>018089</t>
  </si>
  <si>
    <t>Menconico</t>
  </si>
  <si>
    <t xml:space="preserve">Mendatica (IM) </t>
  </si>
  <si>
    <t>008034</t>
  </si>
  <si>
    <t>Mendatica</t>
  </si>
  <si>
    <t xml:space="preserve">Mendicino (CS) </t>
  </si>
  <si>
    <t>078079</t>
  </si>
  <si>
    <t>Mendicino</t>
  </si>
  <si>
    <t xml:space="preserve">Menfi (AG) </t>
  </si>
  <si>
    <t>084023</t>
  </si>
  <si>
    <t>Menfi</t>
  </si>
  <si>
    <t xml:space="preserve">Mentana (RM) </t>
  </si>
  <si>
    <t>058059</t>
  </si>
  <si>
    <t>Mentana</t>
  </si>
  <si>
    <t xml:space="preserve">Meolo (VE) </t>
  </si>
  <si>
    <t>027022</t>
  </si>
  <si>
    <t>Meolo</t>
  </si>
  <si>
    <t xml:space="preserve">Merana (AL) </t>
  </si>
  <si>
    <t>006093</t>
  </si>
  <si>
    <t>Merana</t>
  </si>
  <si>
    <t>021051</t>
  </si>
  <si>
    <t xml:space="preserve">Merate (LC) </t>
  </si>
  <si>
    <t>097048</t>
  </si>
  <si>
    <t>Merate</t>
  </si>
  <si>
    <t xml:space="preserve">Mercallo (VA) </t>
  </si>
  <si>
    <t>012101</t>
  </si>
  <si>
    <t>Mercallo</t>
  </si>
  <si>
    <t xml:space="preserve">Mercatello sul Metauro (PU) </t>
  </si>
  <si>
    <t>041025</t>
  </si>
  <si>
    <t>Mercatello sul Metauro</t>
  </si>
  <si>
    <t xml:space="preserve">Mercatino Conca (PU) </t>
  </si>
  <si>
    <t>041026</t>
  </si>
  <si>
    <t>Mercatino Conca</t>
  </si>
  <si>
    <t xml:space="preserve">Mercato San Severino (SA) </t>
  </si>
  <si>
    <t>065067</t>
  </si>
  <si>
    <t>Mercato San Severino</t>
  </si>
  <si>
    <t xml:space="preserve">Mercato Saraceno (FC) </t>
  </si>
  <si>
    <t>040020</t>
  </si>
  <si>
    <t>Mercato Saraceno</t>
  </si>
  <si>
    <t xml:space="preserve">Mercenasco (TO) </t>
  </si>
  <si>
    <t>001150</t>
  </si>
  <si>
    <t>Mercenasco</t>
  </si>
  <si>
    <t xml:space="preserve">Mercogliano (AV) </t>
  </si>
  <si>
    <t>064049</t>
  </si>
  <si>
    <t>Mercogliano</t>
  </si>
  <si>
    <t xml:space="preserve">Mereto di Tomba (UD) </t>
  </si>
  <si>
    <t>030058</t>
  </si>
  <si>
    <t>Mereto di Tomba</t>
  </si>
  <si>
    <t xml:space="preserve">Mergo (AN) </t>
  </si>
  <si>
    <t>042024</t>
  </si>
  <si>
    <t>Mergo</t>
  </si>
  <si>
    <t xml:space="preserve">Mergozzo (VB) </t>
  </si>
  <si>
    <t>Mergozzo</t>
  </si>
  <si>
    <t xml:space="preserve">Merì (ME) </t>
  </si>
  <si>
    <t>083047</t>
  </si>
  <si>
    <t>Merì</t>
  </si>
  <si>
    <t xml:space="preserve">Merlara (PD) </t>
  </si>
  <si>
    <t>028053</t>
  </si>
  <si>
    <t>Merlara</t>
  </si>
  <si>
    <t xml:space="preserve">Merlino (LO) </t>
  </si>
  <si>
    <t>098039</t>
  </si>
  <si>
    <t>Merlino</t>
  </si>
  <si>
    <t xml:space="preserve">Merone (CO) </t>
  </si>
  <si>
    <t>013147</t>
  </si>
  <si>
    <t>Merone</t>
  </si>
  <si>
    <t xml:space="preserve">Mesagne (BR) </t>
  </si>
  <si>
    <t>074010</t>
  </si>
  <si>
    <t>Mesagne</t>
  </si>
  <si>
    <t xml:space="preserve">Mese (SO) </t>
  </si>
  <si>
    <t>014043</t>
  </si>
  <si>
    <t>Mese</t>
  </si>
  <si>
    <t xml:space="preserve">Mesenzana (VA) </t>
  </si>
  <si>
    <t>012102</t>
  </si>
  <si>
    <t>Mesenzana</t>
  </si>
  <si>
    <t xml:space="preserve">Mesero (MI) </t>
  </si>
  <si>
    <t>015144</t>
  </si>
  <si>
    <t>Mesero</t>
  </si>
  <si>
    <t xml:space="preserve">Mesola (FE) </t>
  </si>
  <si>
    <t>038014</t>
  </si>
  <si>
    <t>Mesola</t>
  </si>
  <si>
    <t xml:space="preserve">Mesoraca (KR) </t>
  </si>
  <si>
    <t>Mesoraca</t>
  </si>
  <si>
    <t xml:space="preserve">Messina (ME) </t>
  </si>
  <si>
    <t>083048</t>
  </si>
  <si>
    <t>Messina</t>
  </si>
  <si>
    <t xml:space="preserve">Mestrino (PD) </t>
  </si>
  <si>
    <t>028054</t>
  </si>
  <si>
    <t>Mestrino</t>
  </si>
  <si>
    <t xml:space="preserve">Meta (NA) </t>
  </si>
  <si>
    <t>063046</t>
  </si>
  <si>
    <t>Meta</t>
  </si>
  <si>
    <t xml:space="preserve">Mezzago (MB) </t>
  </si>
  <si>
    <t>Mezzago</t>
  </si>
  <si>
    <t xml:space="preserve">Mezzana (TN) </t>
  </si>
  <si>
    <t>022114</t>
  </si>
  <si>
    <t>Mezzana</t>
  </si>
  <si>
    <t xml:space="preserve">Mezzana Bigli (PV) </t>
  </si>
  <si>
    <t>018090</t>
  </si>
  <si>
    <t>Mezzana Bigli</t>
  </si>
  <si>
    <t xml:space="preserve">Mezzana Mortigliengo (BI) </t>
  </si>
  <si>
    <t>096033</t>
  </si>
  <si>
    <t>Mezzana Mortigliengo</t>
  </si>
  <si>
    <t xml:space="preserve">Mezzana Rabattone (PV) </t>
  </si>
  <si>
    <t>018091</t>
  </si>
  <si>
    <t>Mezzana Rabattone</t>
  </si>
  <si>
    <t xml:space="preserve">Mezzane di Sotto (VR) </t>
  </si>
  <si>
    <t>023047</t>
  </si>
  <si>
    <t>Mezzane di Sotto</t>
  </si>
  <si>
    <t xml:space="preserve">Mezzanego (GE) </t>
  </si>
  <si>
    <t>010034</t>
  </si>
  <si>
    <t>Mezzanego</t>
  </si>
  <si>
    <t xml:space="preserve">Mezzanino (PV) </t>
  </si>
  <si>
    <t>018092</t>
  </si>
  <si>
    <t>Mezzanino</t>
  </si>
  <si>
    <t xml:space="preserve">Mezzano (TN) </t>
  </si>
  <si>
    <t>022115</t>
  </si>
  <si>
    <t>Mezzano</t>
  </si>
  <si>
    <t xml:space="preserve">Mezzenile (TO) </t>
  </si>
  <si>
    <t>001152</t>
  </si>
  <si>
    <t>Mezzenile</t>
  </si>
  <si>
    <t xml:space="preserve">Mezzocorona (TN) </t>
  </si>
  <si>
    <t>022116</t>
  </si>
  <si>
    <t>Mezzocorona</t>
  </si>
  <si>
    <t xml:space="preserve">Mezzojuso (PA) </t>
  </si>
  <si>
    <t>082047</t>
  </si>
  <si>
    <t>Mezzojuso</t>
  </si>
  <si>
    <t xml:space="preserve">Mezzoldo (BG) </t>
  </si>
  <si>
    <t>016134</t>
  </si>
  <si>
    <t>Mezzoldo</t>
  </si>
  <si>
    <t xml:space="preserve">Mezzolombardo (TN) </t>
  </si>
  <si>
    <t>022117</t>
  </si>
  <si>
    <t>Mezzolombardo</t>
  </si>
  <si>
    <t xml:space="preserve">Mezzomerico (NO) </t>
  </si>
  <si>
    <t>003097</t>
  </si>
  <si>
    <t>Mezzomerico</t>
  </si>
  <si>
    <t xml:space="preserve">Miagliano (BI) </t>
  </si>
  <si>
    <t>096034</t>
  </si>
  <si>
    <t>Miagliano</t>
  </si>
  <si>
    <t xml:space="preserve">Miane (TV) </t>
  </si>
  <si>
    <t>026042</t>
  </si>
  <si>
    <t>Miane</t>
  </si>
  <si>
    <t xml:space="preserve">Miasino (NO) </t>
  </si>
  <si>
    <t>003098</t>
  </si>
  <si>
    <t>Miasino</t>
  </si>
  <si>
    <t xml:space="preserve">Miazzina (VB) </t>
  </si>
  <si>
    <t>Miazzina</t>
  </si>
  <si>
    <t xml:space="preserve">Micigliano (RI) </t>
  </si>
  <si>
    <t>057037</t>
  </si>
  <si>
    <t>Micigliano</t>
  </si>
  <si>
    <t xml:space="preserve">Miggiano (LE) </t>
  </si>
  <si>
    <t>075046</t>
  </si>
  <si>
    <t>Miggiano</t>
  </si>
  <si>
    <t xml:space="preserve">Miglianico (CH) </t>
  </si>
  <si>
    <t>069050</t>
  </si>
  <si>
    <t>Miglianico</t>
  </si>
  <si>
    <t xml:space="preserve">Miglierina (CZ) </t>
  </si>
  <si>
    <t>079077</t>
  </si>
  <si>
    <t>Miglierina</t>
  </si>
  <si>
    <t xml:space="preserve">Miglionico (MT) </t>
  </si>
  <si>
    <t>077015</t>
  </si>
  <si>
    <t>Miglionico</t>
  </si>
  <si>
    <t xml:space="preserve">Mignanego (GE) </t>
  </si>
  <si>
    <t>010035</t>
  </si>
  <si>
    <t>Mignanego</t>
  </si>
  <si>
    <t xml:space="preserve">Mignano Monte Lungo (CE) </t>
  </si>
  <si>
    <t>061051</t>
  </si>
  <si>
    <t>Mignano Monte Lungo</t>
  </si>
  <si>
    <t xml:space="preserve">Milano (MI) </t>
  </si>
  <si>
    <t>015146</t>
  </si>
  <si>
    <t xml:space="preserve">Milazzo (ME) </t>
  </si>
  <si>
    <t>083049</t>
  </si>
  <si>
    <t>Milazzo</t>
  </si>
  <si>
    <t xml:space="preserve">Milena (CL) </t>
  </si>
  <si>
    <t>085010</t>
  </si>
  <si>
    <t>Milena</t>
  </si>
  <si>
    <t xml:space="preserve">Mileto (VV) </t>
  </si>
  <si>
    <t>Mileto</t>
  </si>
  <si>
    <t xml:space="preserve">Milis (OR) </t>
  </si>
  <si>
    <t>Milis</t>
  </si>
  <si>
    <t xml:space="preserve">Militello in Val di Catania (CT) </t>
  </si>
  <si>
    <t>087025</t>
  </si>
  <si>
    <t>Militello in Val di Catania</t>
  </si>
  <si>
    <t xml:space="preserve">Militello Rosmarino (ME) </t>
  </si>
  <si>
    <t>083050</t>
  </si>
  <si>
    <t>Militello Rosmarino</t>
  </si>
  <si>
    <t xml:space="preserve">Millesimo (SV) </t>
  </si>
  <si>
    <t>009038</t>
  </si>
  <si>
    <t>Millesimo</t>
  </si>
  <si>
    <t xml:space="preserve">Milo (CT) </t>
  </si>
  <si>
    <t>087026</t>
  </si>
  <si>
    <t>Milo</t>
  </si>
  <si>
    <t xml:space="preserve">Milzano (BS) </t>
  </si>
  <si>
    <t>017108</t>
  </si>
  <si>
    <t>Milzano</t>
  </si>
  <si>
    <t xml:space="preserve">Mineo (CT) </t>
  </si>
  <si>
    <t>087027</t>
  </si>
  <si>
    <t>Mineo</t>
  </si>
  <si>
    <t xml:space="preserve">Minerbe (VR) </t>
  </si>
  <si>
    <t>023048</t>
  </si>
  <si>
    <t>Minerbe</t>
  </si>
  <si>
    <t xml:space="preserve">Minerbio (BO) </t>
  </si>
  <si>
    <t>037038</t>
  </si>
  <si>
    <t>Minerbio</t>
  </si>
  <si>
    <t xml:space="preserve">Minervino di Lecce (LE) </t>
  </si>
  <si>
    <t>075047</t>
  </si>
  <si>
    <t>Minervino di Lecce</t>
  </si>
  <si>
    <t xml:space="preserve">Minervino Murge (BT) </t>
  </si>
  <si>
    <t>Minervino Murge</t>
  </si>
  <si>
    <t xml:space="preserve">Minori (SA) </t>
  </si>
  <si>
    <t>065068</t>
  </si>
  <si>
    <t>Minori</t>
  </si>
  <si>
    <t xml:space="preserve">Minturno (LT) </t>
  </si>
  <si>
    <t>059014</t>
  </si>
  <si>
    <t>Minturno</t>
  </si>
  <si>
    <t xml:space="preserve">Minucciano (LU) </t>
  </si>
  <si>
    <t>046019</t>
  </si>
  <si>
    <t>Minucciano</t>
  </si>
  <si>
    <t xml:space="preserve">Mioglia (SV) </t>
  </si>
  <si>
    <t>009039</t>
  </si>
  <si>
    <t>Mioglia</t>
  </si>
  <si>
    <t xml:space="preserve">Mira (VE) </t>
  </si>
  <si>
    <t>027023</t>
  </si>
  <si>
    <t>Mira</t>
  </si>
  <si>
    <t xml:space="preserve">Mirabella Eclano (AV) </t>
  </si>
  <si>
    <t>064050</t>
  </si>
  <si>
    <t>Mirabella Eclano</t>
  </si>
  <si>
    <t xml:space="preserve">Mirabella Imbaccari (CT) </t>
  </si>
  <si>
    <t>087028</t>
  </si>
  <si>
    <t>Mirabella Imbaccari</t>
  </si>
  <si>
    <t xml:space="preserve">Mirabello Monferrato (AL) </t>
  </si>
  <si>
    <t>006094</t>
  </si>
  <si>
    <t>Mirabello Monferrato</t>
  </si>
  <si>
    <t xml:space="preserve">Mirabello Sannitico (CB) </t>
  </si>
  <si>
    <t>070038</t>
  </si>
  <si>
    <t>Mirabello Sannitico</t>
  </si>
  <si>
    <t xml:space="preserve">Miradolo Terme (PV) </t>
  </si>
  <si>
    <t>018093</t>
  </si>
  <si>
    <t>Miradolo Terme</t>
  </si>
  <si>
    <t xml:space="preserve">Miranda (IS) </t>
  </si>
  <si>
    <t>094027</t>
  </si>
  <si>
    <t>Miranda</t>
  </si>
  <si>
    <t xml:space="preserve">Mirandola (MO) </t>
  </si>
  <si>
    <t>036022</t>
  </si>
  <si>
    <t>Mirandola</t>
  </si>
  <si>
    <t xml:space="preserve">Mirano (VE) </t>
  </si>
  <si>
    <t>027024</t>
  </si>
  <si>
    <t>Mirano</t>
  </si>
  <si>
    <t xml:space="preserve">Mirto (ME) </t>
  </si>
  <si>
    <t>083051</t>
  </si>
  <si>
    <t>Mirto</t>
  </si>
  <si>
    <t xml:space="preserve">Misano Adriatico (RN) </t>
  </si>
  <si>
    <t>099005</t>
  </si>
  <si>
    <t>Misano Adriatico</t>
  </si>
  <si>
    <t xml:space="preserve">Misano di Gera d'Adda (BG) </t>
  </si>
  <si>
    <t>016135</t>
  </si>
  <si>
    <t>Misano di Gera d'Adda</t>
  </si>
  <si>
    <t xml:space="preserve">Misilmeri (PA) </t>
  </si>
  <si>
    <t>082048</t>
  </si>
  <si>
    <t>Misilmeri</t>
  </si>
  <si>
    <t xml:space="preserve">Misinto (MB) </t>
  </si>
  <si>
    <t>Misinto</t>
  </si>
  <si>
    <t xml:space="preserve">Missaglia (LC) </t>
  </si>
  <si>
    <t>097049</t>
  </si>
  <si>
    <t>Missaglia</t>
  </si>
  <si>
    <t xml:space="preserve">Missanello (PZ) </t>
  </si>
  <si>
    <t>076049</t>
  </si>
  <si>
    <t>Missanello</t>
  </si>
  <si>
    <t xml:space="preserve">Misterbianco (CT) </t>
  </si>
  <si>
    <t>087029</t>
  </si>
  <si>
    <t>Misterbianco</t>
  </si>
  <si>
    <t xml:space="preserve">Mistretta (ME) </t>
  </si>
  <si>
    <t>083052</t>
  </si>
  <si>
    <t>Mistretta</t>
  </si>
  <si>
    <t xml:space="preserve">Moasca (AT) </t>
  </si>
  <si>
    <t>005063</t>
  </si>
  <si>
    <t>Moasca</t>
  </si>
  <si>
    <t xml:space="preserve">Moconesi (GE) </t>
  </si>
  <si>
    <t>010036</t>
  </si>
  <si>
    <t>Moconesi</t>
  </si>
  <si>
    <t xml:space="preserve">Modena (MO) </t>
  </si>
  <si>
    <t>036023</t>
  </si>
  <si>
    <t>Modena</t>
  </si>
  <si>
    <t xml:space="preserve">Modica (RG) </t>
  </si>
  <si>
    <t>088006</t>
  </si>
  <si>
    <t>Modica</t>
  </si>
  <si>
    <t xml:space="preserve">Modigliana (FC) </t>
  </si>
  <si>
    <t>040022</t>
  </si>
  <si>
    <t>Modigliana</t>
  </si>
  <si>
    <t xml:space="preserve">Modolo (OR) </t>
  </si>
  <si>
    <t>Modolo</t>
  </si>
  <si>
    <t xml:space="preserve">Modugno (BA) </t>
  </si>
  <si>
    <t>072027</t>
  </si>
  <si>
    <t>Modugno</t>
  </si>
  <si>
    <t xml:space="preserve">Moena (TN) </t>
  </si>
  <si>
    <t>022118</t>
  </si>
  <si>
    <t>Moena</t>
  </si>
  <si>
    <t xml:space="preserve">Moggio (LC) </t>
  </si>
  <si>
    <t>097050</t>
  </si>
  <si>
    <t>Moggio</t>
  </si>
  <si>
    <t xml:space="preserve">Moggio Udinese (UD) </t>
  </si>
  <si>
    <t>030059</t>
  </si>
  <si>
    <t>Moggio Udinese</t>
  </si>
  <si>
    <t xml:space="preserve">Moglia (MN) </t>
  </si>
  <si>
    <t>020035</t>
  </si>
  <si>
    <t>Moglia</t>
  </si>
  <si>
    <t xml:space="preserve">Mogliano (MC) </t>
  </si>
  <si>
    <t>043025</t>
  </si>
  <si>
    <t>Mogliano</t>
  </si>
  <si>
    <t xml:space="preserve">Mogliano Veneto (TV) </t>
  </si>
  <si>
    <t>026043</t>
  </si>
  <si>
    <t>Mogliano Veneto</t>
  </si>
  <si>
    <t xml:space="preserve">Mogorella (OR) </t>
  </si>
  <si>
    <t>Mogorella</t>
  </si>
  <si>
    <t xml:space="preserve">Mogoro (OR) </t>
  </si>
  <si>
    <t>Mogoro</t>
  </si>
  <si>
    <t xml:space="preserve">Moiano (BN) </t>
  </si>
  <si>
    <t>062040</t>
  </si>
  <si>
    <t>Moiano</t>
  </si>
  <si>
    <t xml:space="preserve">Moimacco (UD) </t>
  </si>
  <si>
    <t>030060</t>
  </si>
  <si>
    <t>Moimacco</t>
  </si>
  <si>
    <t xml:space="preserve">Moio Alcantara (ME) </t>
  </si>
  <si>
    <t>083053</t>
  </si>
  <si>
    <t>Moio Alcantara</t>
  </si>
  <si>
    <t xml:space="preserve">Moio de' Calvi (BG) </t>
  </si>
  <si>
    <t>016136</t>
  </si>
  <si>
    <t>Moio de' Calvi</t>
  </si>
  <si>
    <t xml:space="preserve">Moio della Civitella (SA) </t>
  </si>
  <si>
    <t>065069</t>
  </si>
  <si>
    <t>Moio della Civitella</t>
  </si>
  <si>
    <t xml:space="preserve">Moiola (CN) </t>
  </si>
  <si>
    <t>004123</t>
  </si>
  <si>
    <t>Moiola</t>
  </si>
  <si>
    <t xml:space="preserve">Mola di Bari (BA) </t>
  </si>
  <si>
    <t>072028</t>
  </si>
  <si>
    <t>Mola di Bari</t>
  </si>
  <si>
    <t xml:space="preserve">Molare (AL) </t>
  </si>
  <si>
    <t>006095</t>
  </si>
  <si>
    <t>Molare</t>
  </si>
  <si>
    <t xml:space="preserve">Molazzana (LU) </t>
  </si>
  <si>
    <t>046020</t>
  </si>
  <si>
    <t>Molazzana</t>
  </si>
  <si>
    <t xml:space="preserve">Molfetta (BA) </t>
  </si>
  <si>
    <t>072029</t>
  </si>
  <si>
    <t>Molfetta</t>
  </si>
  <si>
    <t xml:space="preserve">Molina Aterno (AQ) </t>
  </si>
  <si>
    <t>066055</t>
  </si>
  <si>
    <t>Molina Aterno</t>
  </si>
  <si>
    <t xml:space="preserve">Molinara (BN) </t>
  </si>
  <si>
    <t>062041</t>
  </si>
  <si>
    <t>Molinara</t>
  </si>
  <si>
    <t xml:space="preserve">Molinella (BO) </t>
  </si>
  <si>
    <t>037039</t>
  </si>
  <si>
    <t>Molinella</t>
  </si>
  <si>
    <t xml:space="preserve">Molini di Triora (IM) </t>
  </si>
  <si>
    <t>008035</t>
  </si>
  <si>
    <t>Molini di Triora</t>
  </si>
  <si>
    <t xml:space="preserve">Molino dei Torti (AL) </t>
  </si>
  <si>
    <t>006096</t>
  </si>
  <si>
    <t>Molino dei Torti</t>
  </si>
  <si>
    <t xml:space="preserve">Molise (CB) </t>
  </si>
  <si>
    <t>070039</t>
  </si>
  <si>
    <t>Molise</t>
  </si>
  <si>
    <t xml:space="preserve">Moliterno (PZ) </t>
  </si>
  <si>
    <t>076050</t>
  </si>
  <si>
    <t>Moliterno</t>
  </si>
  <si>
    <t xml:space="preserve">Mollia (VC) </t>
  </si>
  <si>
    <t>002078</t>
  </si>
  <si>
    <t>Mollia</t>
  </si>
  <si>
    <t xml:space="preserve">Molochio (RC) </t>
  </si>
  <si>
    <t>080051</t>
  </si>
  <si>
    <t>Molochio</t>
  </si>
  <si>
    <t xml:space="preserve">Molteno (LC) </t>
  </si>
  <si>
    <t>097051</t>
  </si>
  <si>
    <t>Molteno</t>
  </si>
  <si>
    <t xml:space="preserve">Moltrasio (CO) </t>
  </si>
  <si>
    <t>013152</t>
  </si>
  <si>
    <t>Moltrasio</t>
  </si>
  <si>
    <t xml:space="preserve">Molveno (TN) </t>
  </si>
  <si>
    <t>022120</t>
  </si>
  <si>
    <t>Molveno</t>
  </si>
  <si>
    <t xml:space="preserve">Mombaldone (AT) </t>
  </si>
  <si>
    <t>005064</t>
  </si>
  <si>
    <t>Mombaldone</t>
  </si>
  <si>
    <t xml:space="preserve">Mombarcaro (CN) </t>
  </si>
  <si>
    <t>004124</t>
  </si>
  <si>
    <t>Mombarcaro</t>
  </si>
  <si>
    <t xml:space="preserve">Mombaroccio (PU) </t>
  </si>
  <si>
    <t>041027</t>
  </si>
  <si>
    <t>Mombaroccio</t>
  </si>
  <si>
    <t xml:space="preserve">Mombaruzzo (AT) </t>
  </si>
  <si>
    <t>005065</t>
  </si>
  <si>
    <t>Mombaruzzo</t>
  </si>
  <si>
    <t xml:space="preserve">Mombasiglio (CN) </t>
  </si>
  <si>
    <t>004125</t>
  </si>
  <si>
    <t>Mombasiglio</t>
  </si>
  <si>
    <t xml:space="preserve">Mombello di Torino (TO) </t>
  </si>
  <si>
    <t>001153</t>
  </si>
  <si>
    <t>Mombello di Torino</t>
  </si>
  <si>
    <t xml:space="preserve">Mombello Monferrato (AL) </t>
  </si>
  <si>
    <t>006097</t>
  </si>
  <si>
    <t>Mombello Monferrato</t>
  </si>
  <si>
    <t xml:space="preserve">Mombercelli (AT) </t>
  </si>
  <si>
    <t>005066</t>
  </si>
  <si>
    <t>Mombercelli</t>
  </si>
  <si>
    <t xml:space="preserve">Momo (NO) </t>
  </si>
  <si>
    <t>003100</t>
  </si>
  <si>
    <t>Momo</t>
  </si>
  <si>
    <t xml:space="preserve">Mompantero (TO) </t>
  </si>
  <si>
    <t>001154</t>
  </si>
  <si>
    <t>Mompantero</t>
  </si>
  <si>
    <t xml:space="preserve">Mompeo (RI) </t>
  </si>
  <si>
    <t>057038</t>
  </si>
  <si>
    <t>Mompeo</t>
  </si>
  <si>
    <t xml:space="preserve">Momperone (AL) </t>
  </si>
  <si>
    <t>006098</t>
  </si>
  <si>
    <t>Momperone</t>
  </si>
  <si>
    <t xml:space="preserve">Monacilioni (CB) </t>
  </si>
  <si>
    <t>070040</t>
  </si>
  <si>
    <t>Monacilioni</t>
  </si>
  <si>
    <t xml:space="preserve">Monale (AT) </t>
  </si>
  <si>
    <t>005067</t>
  </si>
  <si>
    <t>Monale</t>
  </si>
  <si>
    <t xml:space="preserve">Monasterace (RC) </t>
  </si>
  <si>
    <t>080052</t>
  </si>
  <si>
    <t>Monasterace</t>
  </si>
  <si>
    <t xml:space="preserve">Monastero Bormida (AT) </t>
  </si>
  <si>
    <t>005068</t>
  </si>
  <si>
    <t>Monastero Bormida</t>
  </si>
  <si>
    <t xml:space="preserve">Monastero di Lanzo (TO) </t>
  </si>
  <si>
    <t>001155</t>
  </si>
  <si>
    <t>Monastero di Lanzo</t>
  </si>
  <si>
    <t xml:space="preserve">Monastero di Vasco (CN) </t>
  </si>
  <si>
    <t>004126</t>
  </si>
  <si>
    <t>Monastero di Vasco</t>
  </si>
  <si>
    <t xml:space="preserve">Monasterolo Casotto (CN) </t>
  </si>
  <si>
    <t>004127</t>
  </si>
  <si>
    <t>Monasterolo Casotto</t>
  </si>
  <si>
    <t xml:space="preserve">Monasterolo del Castello (BG) </t>
  </si>
  <si>
    <t>016137</t>
  </si>
  <si>
    <t>Monasterolo del Castello</t>
  </si>
  <si>
    <t xml:space="preserve">Monasterolo di Savigliano (CN) </t>
  </si>
  <si>
    <t>004128</t>
  </si>
  <si>
    <t>Monasterolo di Savigliano</t>
  </si>
  <si>
    <t xml:space="preserve">Monastier di Treviso (TV) </t>
  </si>
  <si>
    <t>026044</t>
  </si>
  <si>
    <t>Monastier di Treviso</t>
  </si>
  <si>
    <t>Monastir</t>
  </si>
  <si>
    <t xml:space="preserve">Moncalieri (TO) </t>
  </si>
  <si>
    <t>001156</t>
  </si>
  <si>
    <t>Moncalieri</t>
  </si>
  <si>
    <t xml:space="preserve">Moncalvo (AT) </t>
  </si>
  <si>
    <t>005069</t>
  </si>
  <si>
    <t>Moncalvo</t>
  </si>
  <si>
    <t xml:space="preserve">Moncenisio (TO) </t>
  </si>
  <si>
    <t>001157</t>
  </si>
  <si>
    <t>Moncenisio</t>
  </si>
  <si>
    <t xml:space="preserve">Moncestino (AL) </t>
  </si>
  <si>
    <t>006099</t>
  </si>
  <si>
    <t>Moncestino</t>
  </si>
  <si>
    <t xml:space="preserve">Monchiero (CN) </t>
  </si>
  <si>
    <t>004129</t>
  </si>
  <si>
    <t>Monchiero</t>
  </si>
  <si>
    <t xml:space="preserve">Monchio delle Corti (PR) </t>
  </si>
  <si>
    <t>034022</t>
  </si>
  <si>
    <t>Monchio delle Corti</t>
  </si>
  <si>
    <t xml:space="preserve">Moncrivello (VC) </t>
  </si>
  <si>
    <t>002079</t>
  </si>
  <si>
    <t>Moncrivello</t>
  </si>
  <si>
    <t xml:space="preserve">Moncucco Torinese (AT) </t>
  </si>
  <si>
    <t>005070</t>
  </si>
  <si>
    <t>Moncucco Torinese</t>
  </si>
  <si>
    <t xml:space="preserve">Mondaino (RN) </t>
  </si>
  <si>
    <t>099006</t>
  </si>
  <si>
    <t>Mondaino</t>
  </si>
  <si>
    <t xml:space="preserve">Mondavio (PU) </t>
  </si>
  <si>
    <t>041028</t>
  </si>
  <si>
    <t>Mondavio</t>
  </si>
  <si>
    <t xml:space="preserve">Mondolfo (PU) </t>
  </si>
  <si>
    <t>041029</t>
  </si>
  <si>
    <t>Mondolfo</t>
  </si>
  <si>
    <t xml:space="preserve">Mondovì (CN) </t>
  </si>
  <si>
    <t>004130</t>
  </si>
  <si>
    <t>Mondovì</t>
  </si>
  <si>
    <t xml:space="preserve">Mondragone (CE) </t>
  </si>
  <si>
    <t>061052</t>
  </si>
  <si>
    <t>Mondragone</t>
  </si>
  <si>
    <t xml:space="preserve">Moneglia (GE) </t>
  </si>
  <si>
    <t>010037</t>
  </si>
  <si>
    <t>Moneglia</t>
  </si>
  <si>
    <t xml:space="preserve">Monesiglio (CN) </t>
  </si>
  <si>
    <t>004131</t>
  </si>
  <si>
    <t>Monesiglio</t>
  </si>
  <si>
    <t xml:space="preserve">Monfalcone (GO) </t>
  </si>
  <si>
    <t>031012</t>
  </si>
  <si>
    <t>Monfalcone</t>
  </si>
  <si>
    <t xml:space="preserve">Monforte d'Alba (CN) </t>
  </si>
  <si>
    <t>004132</t>
  </si>
  <si>
    <t>Monforte d'Alba</t>
  </si>
  <si>
    <t xml:space="preserve">Monforte San Giorgio (ME) </t>
  </si>
  <si>
    <t>083054</t>
  </si>
  <si>
    <t>Monforte San Giorgio</t>
  </si>
  <si>
    <t xml:space="preserve">Monfumo (TV) </t>
  </si>
  <si>
    <t>026045</t>
  </si>
  <si>
    <t>Monfumo</t>
  </si>
  <si>
    <t xml:space="preserve">Mongardino (AT) </t>
  </si>
  <si>
    <t>005071</t>
  </si>
  <si>
    <t>Mongardino</t>
  </si>
  <si>
    <t xml:space="preserve">Monghidoro (BO) </t>
  </si>
  <si>
    <t>037040</t>
  </si>
  <si>
    <t>Monghidoro</t>
  </si>
  <si>
    <t xml:space="preserve">Mongiana (VV) </t>
  </si>
  <si>
    <t>Mongiana</t>
  </si>
  <si>
    <t xml:space="preserve">Mongiardino Ligure (AL) </t>
  </si>
  <si>
    <t>006100</t>
  </si>
  <si>
    <t>Mongiardino Ligure</t>
  </si>
  <si>
    <t xml:space="preserve">Mongiuffi Melia (ME) </t>
  </si>
  <si>
    <t>083055</t>
  </si>
  <si>
    <t>Mongiuffi Melia</t>
  </si>
  <si>
    <t xml:space="preserve">Mongrando (BI) </t>
  </si>
  <si>
    <t>096035</t>
  </si>
  <si>
    <t>Mongrando</t>
  </si>
  <si>
    <t xml:space="preserve">Mongrassano (CS) </t>
  </si>
  <si>
    <t>078080</t>
  </si>
  <si>
    <t>Mongrassano</t>
  </si>
  <si>
    <t>021052</t>
  </si>
  <si>
    <t xml:space="preserve">Monguzzo (CO) </t>
  </si>
  <si>
    <t>013153</t>
  </si>
  <si>
    <t>Monguzzo</t>
  </si>
  <si>
    <t xml:space="preserve">Moniga del Garda (BS) </t>
  </si>
  <si>
    <t>017109</t>
  </si>
  <si>
    <t>Moniga del Garda</t>
  </si>
  <si>
    <t xml:space="preserve">Monleale (AL) </t>
  </si>
  <si>
    <t>006101</t>
  </si>
  <si>
    <t>Monleale</t>
  </si>
  <si>
    <t xml:space="preserve">Monno (BS) </t>
  </si>
  <si>
    <t>017110</t>
  </si>
  <si>
    <t>Monno</t>
  </si>
  <si>
    <t xml:space="preserve">Monopoli (BA) </t>
  </si>
  <si>
    <t>072030</t>
  </si>
  <si>
    <t>Monopoli</t>
  </si>
  <si>
    <t xml:space="preserve">Monreale (PA) </t>
  </si>
  <si>
    <t>082049</t>
  </si>
  <si>
    <t>Monreale</t>
  </si>
  <si>
    <t xml:space="preserve">Monrupino (TS) </t>
  </si>
  <si>
    <t>032002</t>
  </si>
  <si>
    <t>Monrupino</t>
  </si>
  <si>
    <t xml:space="preserve">Monsampietro Morico (FM) </t>
  </si>
  <si>
    <t>Monsampietro Morico</t>
  </si>
  <si>
    <t xml:space="preserve">Monsampolo del Tronto (AP) </t>
  </si>
  <si>
    <t>044031</t>
  </si>
  <si>
    <t>Monsampolo del Tronto</t>
  </si>
  <si>
    <t xml:space="preserve">Monsano (AN) </t>
  </si>
  <si>
    <t>042025</t>
  </si>
  <si>
    <t>Monsano</t>
  </si>
  <si>
    <t xml:space="preserve">Monselice (PD) </t>
  </si>
  <si>
    <t>028055</t>
  </si>
  <si>
    <t>Monselice</t>
  </si>
  <si>
    <t xml:space="preserve">Monserrato (CA) </t>
  </si>
  <si>
    <t>Monserrato</t>
  </si>
  <si>
    <t xml:space="preserve">Monsummano Terme (PT) </t>
  </si>
  <si>
    <t>047009</t>
  </si>
  <si>
    <t>Monsummano Terme</t>
  </si>
  <si>
    <t xml:space="preserve">Montà (CN) </t>
  </si>
  <si>
    <t>004133</t>
  </si>
  <si>
    <t>Montà</t>
  </si>
  <si>
    <t xml:space="preserve">Montabone (AT) </t>
  </si>
  <si>
    <t>005072</t>
  </si>
  <si>
    <t>Montabone</t>
  </si>
  <si>
    <t xml:space="preserve">Montacuto (AL) </t>
  </si>
  <si>
    <t>006102</t>
  </si>
  <si>
    <t>Montacuto</t>
  </si>
  <si>
    <t xml:space="preserve">Montafia (AT) </t>
  </si>
  <si>
    <t>005073</t>
  </si>
  <si>
    <t>Montafia</t>
  </si>
  <si>
    <t xml:space="preserve">Montagano (CB) </t>
  </si>
  <si>
    <t>070041</t>
  </si>
  <si>
    <t>Montagano</t>
  </si>
  <si>
    <t>021053</t>
  </si>
  <si>
    <t xml:space="preserve">Montagna in Valtellina (SO) </t>
  </si>
  <si>
    <t>014044</t>
  </si>
  <si>
    <t>Montagna in Valtellina</t>
  </si>
  <si>
    <t xml:space="preserve">Montagnana (PD) </t>
  </si>
  <si>
    <t>028056</t>
  </si>
  <si>
    <t>Montagnana</t>
  </si>
  <si>
    <t xml:space="preserve">Montagnareale (ME) </t>
  </si>
  <si>
    <t>083056</t>
  </si>
  <si>
    <t>Montagnareale</t>
  </si>
  <si>
    <t xml:space="preserve">Montaguto (AV) </t>
  </si>
  <si>
    <t>064051</t>
  </si>
  <si>
    <t>Montaguto</t>
  </si>
  <si>
    <t xml:space="preserve">Montaione (FI) </t>
  </si>
  <si>
    <t>048027</t>
  </si>
  <si>
    <t>Montaione</t>
  </si>
  <si>
    <t xml:space="preserve">Montalbano Elicona (ME) </t>
  </si>
  <si>
    <t>083057</t>
  </si>
  <si>
    <t>Montalbano Elicona</t>
  </si>
  <si>
    <t xml:space="preserve">Montalbano Jonico (MT) </t>
  </si>
  <si>
    <t>077016</t>
  </si>
  <si>
    <t>Montalbano Jonico</t>
  </si>
  <si>
    <t xml:space="preserve">Montalcino (SI) </t>
  </si>
  <si>
    <t>Montalcino</t>
  </si>
  <si>
    <t xml:space="preserve">Montaldeo (AL) </t>
  </si>
  <si>
    <t>006103</t>
  </si>
  <si>
    <t>Montaldeo</t>
  </si>
  <si>
    <t xml:space="preserve">Montaldo Bormida (AL) </t>
  </si>
  <si>
    <t>006104</t>
  </si>
  <si>
    <t>Montaldo Bormida</t>
  </si>
  <si>
    <t xml:space="preserve">Montaldo di Mondovì (CN) </t>
  </si>
  <si>
    <t>004134</t>
  </si>
  <si>
    <t>Montaldo di Mondovì</t>
  </si>
  <si>
    <t xml:space="preserve">Montaldo Roero (CN) </t>
  </si>
  <si>
    <t>004135</t>
  </si>
  <si>
    <t>Montaldo Roero</t>
  </si>
  <si>
    <t xml:space="preserve">Montaldo Scarampi (AT) </t>
  </si>
  <si>
    <t>005074</t>
  </si>
  <si>
    <t>Montaldo Scarampi</t>
  </si>
  <si>
    <t xml:space="preserve">Montaldo Torinese (TO) </t>
  </si>
  <si>
    <t>001158</t>
  </si>
  <si>
    <t>Montaldo Torinese</t>
  </si>
  <si>
    <t xml:space="preserve">Montale (PT) </t>
  </si>
  <si>
    <t>047010</t>
  </si>
  <si>
    <t>Montale</t>
  </si>
  <si>
    <t xml:space="preserve">Montalenghe (TO) </t>
  </si>
  <si>
    <t>001159</t>
  </si>
  <si>
    <t>Montalenghe</t>
  </si>
  <si>
    <t xml:space="preserve">Montallegro (AG) </t>
  </si>
  <si>
    <t>084024</t>
  </si>
  <si>
    <t>Montallegro</t>
  </si>
  <si>
    <t xml:space="preserve">Montalto delle Marche (AP) </t>
  </si>
  <si>
    <t>044032</t>
  </si>
  <si>
    <t>Montalto delle Marche</t>
  </si>
  <si>
    <t xml:space="preserve">Montalto di Castro (VT) </t>
  </si>
  <si>
    <t>056035</t>
  </si>
  <si>
    <t>Montalto di Castro</t>
  </si>
  <si>
    <t xml:space="preserve">Montalto Dora (TO) </t>
  </si>
  <si>
    <t>001160</t>
  </si>
  <si>
    <t>Montalto Dora</t>
  </si>
  <si>
    <t xml:space="preserve">Montalto Pavese (PV) </t>
  </si>
  <si>
    <t>018094</t>
  </si>
  <si>
    <t>Montalto Pavese</t>
  </si>
  <si>
    <t xml:space="preserve">Montalto Uffugo (CS) </t>
  </si>
  <si>
    <t>078081</t>
  </si>
  <si>
    <t>Montalto Uffugo</t>
  </si>
  <si>
    <t xml:space="preserve">Montanaro (TO) </t>
  </si>
  <si>
    <t>001161</t>
  </si>
  <si>
    <t>Montanaro</t>
  </si>
  <si>
    <t xml:space="preserve">Montanaso Lombardo (LO) </t>
  </si>
  <si>
    <t>098040</t>
  </si>
  <si>
    <t>Montanaso Lombardo</t>
  </si>
  <si>
    <t xml:space="preserve">Montanera (CN) </t>
  </si>
  <si>
    <t>004136</t>
  </si>
  <si>
    <t>Montanera</t>
  </si>
  <si>
    <t xml:space="preserve">Montano Antilia (SA) </t>
  </si>
  <si>
    <t>065070</t>
  </si>
  <si>
    <t>Montano Antilia</t>
  </si>
  <si>
    <t xml:space="preserve">Montano Lucino (CO) </t>
  </si>
  <si>
    <t>013154</t>
  </si>
  <si>
    <t>Montano Lucino</t>
  </si>
  <si>
    <t xml:space="preserve">Montappone (FM) </t>
  </si>
  <si>
    <t>Montappone</t>
  </si>
  <si>
    <t xml:space="preserve">Montaquila (IS) </t>
  </si>
  <si>
    <t>094028</t>
  </si>
  <si>
    <t>Montaquila</t>
  </si>
  <si>
    <t xml:space="preserve">Montasola (RI) </t>
  </si>
  <si>
    <t>057039</t>
  </si>
  <si>
    <t>Montasola</t>
  </si>
  <si>
    <t xml:space="preserve">Montauro (CZ) </t>
  </si>
  <si>
    <t>079080</t>
  </si>
  <si>
    <t>Montauro</t>
  </si>
  <si>
    <t xml:space="preserve">Montazzoli (CH) </t>
  </si>
  <si>
    <t>069051</t>
  </si>
  <si>
    <t>Montazzoli</t>
  </si>
  <si>
    <t xml:space="preserve">Monte Argentario (GR) </t>
  </si>
  <si>
    <t>053016</t>
  </si>
  <si>
    <t>Monte Argentario</t>
  </si>
  <si>
    <t xml:space="preserve">Monte Castello di Vibio (PG) </t>
  </si>
  <si>
    <t>054029</t>
  </si>
  <si>
    <t>Monte Castello di Vibio</t>
  </si>
  <si>
    <t xml:space="preserve">Monte Cavallo (MC) </t>
  </si>
  <si>
    <t>043027</t>
  </si>
  <si>
    <t>Monte Cavallo</t>
  </si>
  <si>
    <t xml:space="preserve">Monte Cerignone (PU) </t>
  </si>
  <si>
    <t>041031</t>
  </si>
  <si>
    <t>Monte Cerignone</t>
  </si>
  <si>
    <t xml:space="preserve">Monte Compatri (RM) </t>
  </si>
  <si>
    <t>058060</t>
  </si>
  <si>
    <t>Monte Compatri</t>
  </si>
  <si>
    <t xml:space="preserve">Monte Cremasco (CR) </t>
  </si>
  <si>
    <t>019058</t>
  </si>
  <si>
    <t>Monte Cremasco</t>
  </si>
  <si>
    <t xml:space="preserve">Monte di Malo (VI) </t>
  </si>
  <si>
    <t>024063</t>
  </si>
  <si>
    <t>Monte di Malo</t>
  </si>
  <si>
    <t xml:space="preserve">Monte di Procida (NA) </t>
  </si>
  <si>
    <t>063047</t>
  </si>
  <si>
    <t>Monte di Procida</t>
  </si>
  <si>
    <t xml:space="preserve">Monte Giberto (FM) </t>
  </si>
  <si>
    <t>Monte Giberto</t>
  </si>
  <si>
    <t xml:space="preserve">Monte Grimano Terme (PU) </t>
  </si>
  <si>
    <t>041035</t>
  </si>
  <si>
    <t>Monte Grimano Terme</t>
  </si>
  <si>
    <t xml:space="preserve">Monte Isola (BS) </t>
  </si>
  <si>
    <t>017111</t>
  </si>
  <si>
    <t>Monte Isola</t>
  </si>
  <si>
    <t xml:space="preserve">Monte Marenzo (LC) </t>
  </si>
  <si>
    <t>097052</t>
  </si>
  <si>
    <t>Monte Marenzo</t>
  </si>
  <si>
    <t xml:space="preserve">Monte Porzio (PU) </t>
  </si>
  <si>
    <t>041038</t>
  </si>
  <si>
    <t>Monte Porzio</t>
  </si>
  <si>
    <t xml:space="preserve">Monte Porzio Catone (RM) </t>
  </si>
  <si>
    <t>058064</t>
  </si>
  <si>
    <t>Monte Porzio Catone</t>
  </si>
  <si>
    <t xml:space="preserve">Monte Rinaldo (FM) </t>
  </si>
  <si>
    <t>Monte Rinaldo</t>
  </si>
  <si>
    <t xml:space="preserve">Monte Roberto (AN) </t>
  </si>
  <si>
    <t>042029</t>
  </si>
  <si>
    <t>Monte Roberto</t>
  </si>
  <si>
    <t xml:space="preserve">Monte Romano (VT) </t>
  </si>
  <si>
    <t>056037</t>
  </si>
  <si>
    <t>Monte Romano</t>
  </si>
  <si>
    <t xml:space="preserve">Monte San Biagio (LT) </t>
  </si>
  <si>
    <t>059015</t>
  </si>
  <si>
    <t>Monte San Biagio</t>
  </si>
  <si>
    <t xml:space="preserve">Monte San Giacomo (SA) </t>
  </si>
  <si>
    <t>065075</t>
  </si>
  <si>
    <t>Monte San Giacomo</t>
  </si>
  <si>
    <t xml:space="preserve">Monte San Giovanni Campano (FR) </t>
  </si>
  <si>
    <t>060044</t>
  </si>
  <si>
    <t>Monte San Giovanni Campano</t>
  </si>
  <si>
    <t xml:space="preserve">Monte San Giovanni in Sabina (RI) </t>
  </si>
  <si>
    <t>057043</t>
  </si>
  <si>
    <t>Monte San Giovanni in Sabina</t>
  </si>
  <si>
    <t xml:space="preserve">Monte San Giusto (MC) </t>
  </si>
  <si>
    <t>043031</t>
  </si>
  <si>
    <t>Monte San Giusto</t>
  </si>
  <si>
    <t xml:space="preserve">Monte San Martino (MC) </t>
  </si>
  <si>
    <t>043032</t>
  </si>
  <si>
    <t>Monte San Martino</t>
  </si>
  <si>
    <t xml:space="preserve">Monte San Pietrangeli (FM) </t>
  </si>
  <si>
    <t>Monte San Pietrangeli</t>
  </si>
  <si>
    <t xml:space="preserve">Monte San Pietro (BO) </t>
  </si>
  <si>
    <t>037042</t>
  </si>
  <si>
    <t>Monte San Pietro</t>
  </si>
  <si>
    <t xml:space="preserve">Monte San Savino (AR) </t>
  </si>
  <si>
    <t>051025</t>
  </si>
  <si>
    <t>Monte San Savino</t>
  </si>
  <si>
    <t xml:space="preserve">Monte San Vito (AN) </t>
  </si>
  <si>
    <t>042030</t>
  </si>
  <si>
    <t>Monte San Vito</t>
  </si>
  <si>
    <t xml:space="preserve">Monte Santa Maria Tiberina (PG) </t>
  </si>
  <si>
    <t>054032</t>
  </si>
  <si>
    <t>Monte Santa Maria Tiberina</t>
  </si>
  <si>
    <t xml:space="preserve">Monte Sant'Angelo (FG) </t>
  </si>
  <si>
    <t>071033</t>
  </si>
  <si>
    <t>Monte Sant'Angelo</t>
  </si>
  <si>
    <t xml:space="preserve">Monte Urano (FM) </t>
  </si>
  <si>
    <t>Monte Urano</t>
  </si>
  <si>
    <t xml:space="preserve">Monte Vidon Combatte (FM) </t>
  </si>
  <si>
    <t>Monte Vidon Combatte</t>
  </si>
  <si>
    <t xml:space="preserve">Monte Vidon Corrado (FM) </t>
  </si>
  <si>
    <t>Monte Vidon Corrado</t>
  </si>
  <si>
    <t xml:space="preserve">Montebello della Battaglia (PV) </t>
  </si>
  <si>
    <t>018095</t>
  </si>
  <si>
    <t>Montebello della Battaglia</t>
  </si>
  <si>
    <t xml:space="preserve">Montebello di Bertona (PE) </t>
  </si>
  <si>
    <t>068023</t>
  </si>
  <si>
    <t>Montebello di Bertona</t>
  </si>
  <si>
    <t>080053</t>
  </si>
  <si>
    <t xml:space="preserve">Montebello sul Sangro (CH) </t>
  </si>
  <si>
    <t>069009</t>
  </si>
  <si>
    <t>Montebello sul Sangro</t>
  </si>
  <si>
    <t xml:space="preserve">Montebello Vicentino (VI) </t>
  </si>
  <si>
    <t>024060</t>
  </si>
  <si>
    <t>Montebello Vicentino</t>
  </si>
  <si>
    <t xml:space="preserve">Montebelluna (TV) </t>
  </si>
  <si>
    <t>026046</t>
  </si>
  <si>
    <t>Montebelluna</t>
  </si>
  <si>
    <t xml:space="preserve">Montebruno (GE) </t>
  </si>
  <si>
    <t>010038</t>
  </si>
  <si>
    <t>Montebruno</t>
  </si>
  <si>
    <t xml:space="preserve">Montebuono (RI) </t>
  </si>
  <si>
    <t>057040</t>
  </si>
  <si>
    <t>Montebuono</t>
  </si>
  <si>
    <t xml:space="preserve">Montecalvo in Foglia (PU) </t>
  </si>
  <si>
    <t>041030</t>
  </si>
  <si>
    <t>Montecalvo in Foglia</t>
  </si>
  <si>
    <t xml:space="preserve">Montecalvo Irpino (AV) </t>
  </si>
  <si>
    <t>064052</t>
  </si>
  <si>
    <t>Montecalvo Irpino</t>
  </si>
  <si>
    <t xml:space="preserve">Montecalvo Versiggia (PV) </t>
  </si>
  <si>
    <t>018096</t>
  </si>
  <si>
    <t>Montecalvo Versiggia</t>
  </si>
  <si>
    <t xml:space="preserve">Montecarlo (LU) </t>
  </si>
  <si>
    <t>046021</t>
  </si>
  <si>
    <t>Montecarlo</t>
  </si>
  <si>
    <t xml:space="preserve">Montecarotto (AN) </t>
  </si>
  <si>
    <t>042026</t>
  </si>
  <si>
    <t>Montecarotto</t>
  </si>
  <si>
    <t xml:space="preserve">Montecassiano (MC) </t>
  </si>
  <si>
    <t>043026</t>
  </si>
  <si>
    <t>Montecassiano</t>
  </si>
  <si>
    <t xml:space="preserve">Montecastello (AL) </t>
  </si>
  <si>
    <t>006105</t>
  </si>
  <si>
    <t>Montecastello</t>
  </si>
  <si>
    <t xml:space="preserve">Montecastrilli (TR) </t>
  </si>
  <si>
    <t>055017</t>
  </si>
  <si>
    <t>Montecastrilli</t>
  </si>
  <si>
    <t xml:space="preserve">Montecatini Val di Cecina (PI) </t>
  </si>
  <si>
    <t>050019</t>
  </si>
  <si>
    <t>Montecatini Val di Cecina</t>
  </si>
  <si>
    <t xml:space="preserve">Montecatini-Terme (PT) </t>
  </si>
  <si>
    <t>047011</t>
  </si>
  <si>
    <t>Montecatini-Terme</t>
  </si>
  <si>
    <t xml:space="preserve">Montecchia di Crosara (VR) </t>
  </si>
  <si>
    <t>023049</t>
  </si>
  <si>
    <t>Montecchia di Crosara</t>
  </si>
  <si>
    <t xml:space="preserve">Montecchio (TR) </t>
  </si>
  <si>
    <t>055018</t>
  </si>
  <si>
    <t>Montecchio</t>
  </si>
  <si>
    <t xml:space="preserve">Montecchio Emilia (RE) </t>
  </si>
  <si>
    <t>035027</t>
  </si>
  <si>
    <t>Montecchio Emilia</t>
  </si>
  <si>
    <t xml:space="preserve">Montecchio Maggiore (VI) </t>
  </si>
  <si>
    <t>024061</t>
  </si>
  <si>
    <t>Montecchio Maggiore</t>
  </si>
  <si>
    <t xml:space="preserve">Montecchio Precalcino (VI) </t>
  </si>
  <si>
    <t>024062</t>
  </si>
  <si>
    <t>Montecchio Precalcino</t>
  </si>
  <si>
    <t xml:space="preserve">Montechiaro d'Acqui (AL) </t>
  </si>
  <si>
    <t>006106</t>
  </si>
  <si>
    <t>Montechiaro d'Acqui</t>
  </si>
  <si>
    <t xml:space="preserve">Montechiaro d'Asti (AT) </t>
  </si>
  <si>
    <t>005075</t>
  </si>
  <si>
    <t>Montechiaro d'Asti</t>
  </si>
  <si>
    <t xml:space="preserve">Montechiarugolo (PR) </t>
  </si>
  <si>
    <t>034023</t>
  </si>
  <si>
    <t>Montechiarugolo</t>
  </si>
  <si>
    <t xml:space="preserve">Montecilfone (CB) </t>
  </si>
  <si>
    <t>070042</t>
  </si>
  <si>
    <t>Montecilfone</t>
  </si>
  <si>
    <t>Montecopiolo</t>
  </si>
  <si>
    <t xml:space="preserve">Montecorice (SA) </t>
  </si>
  <si>
    <t>065071</t>
  </si>
  <si>
    <t>Montecorice</t>
  </si>
  <si>
    <t xml:space="preserve">Montecorvino Pugliano (SA) </t>
  </si>
  <si>
    <t>065072</t>
  </si>
  <si>
    <t>Montecorvino Pugliano</t>
  </si>
  <si>
    <t xml:space="preserve">Montecorvino Rovella (SA) </t>
  </si>
  <si>
    <t>065073</t>
  </si>
  <si>
    <t>Montecorvino Rovella</t>
  </si>
  <si>
    <t xml:space="preserve">Montecosaro (MC) </t>
  </si>
  <si>
    <t>043028</t>
  </si>
  <si>
    <t>Montecosaro</t>
  </si>
  <si>
    <t xml:space="preserve">Montecrestese (VB) </t>
  </si>
  <si>
    <t>Montecrestese</t>
  </si>
  <si>
    <t xml:space="preserve">Montecreto (MO) </t>
  </si>
  <si>
    <t>036024</t>
  </si>
  <si>
    <t>Montecreto</t>
  </si>
  <si>
    <t xml:space="preserve">Montedinove (AP) </t>
  </si>
  <si>
    <t>044034</t>
  </si>
  <si>
    <t>Montedinove</t>
  </si>
  <si>
    <t xml:space="preserve">Montedoro (CL) </t>
  </si>
  <si>
    <t>085011</t>
  </si>
  <si>
    <t>Montedoro</t>
  </si>
  <si>
    <t xml:space="preserve">Montefalcione (AV) </t>
  </si>
  <si>
    <t>064053</t>
  </si>
  <si>
    <t>Montefalcione</t>
  </si>
  <si>
    <t xml:space="preserve">Montefalco (PG) </t>
  </si>
  <si>
    <t>054030</t>
  </si>
  <si>
    <t>Montefalco</t>
  </si>
  <si>
    <t xml:space="preserve">Montefalcone Appennino (FM) </t>
  </si>
  <si>
    <t>Montefalcone Appennino</t>
  </si>
  <si>
    <t xml:space="preserve">Montefalcone di Val Fortore (BN) </t>
  </si>
  <si>
    <t>062042</t>
  </si>
  <si>
    <t>Montefalcone di Val Fortore</t>
  </si>
  <si>
    <t xml:space="preserve">Montefalcone nel Sannio (CB) </t>
  </si>
  <si>
    <t>070043</t>
  </si>
  <si>
    <t>Montefalcone nel Sannio</t>
  </si>
  <si>
    <t xml:space="preserve">Montefano (MC) </t>
  </si>
  <si>
    <t>043029</t>
  </si>
  <si>
    <t>Montefano</t>
  </si>
  <si>
    <t xml:space="preserve">Montefelcino (PU) </t>
  </si>
  <si>
    <t>041034</t>
  </si>
  <si>
    <t>Montefelcino</t>
  </si>
  <si>
    <t xml:space="preserve">Monteferrante (CH) </t>
  </si>
  <si>
    <t>069052</t>
  </si>
  <si>
    <t>Monteferrante</t>
  </si>
  <si>
    <t xml:space="preserve">Montefiascone (VT) </t>
  </si>
  <si>
    <t>056036</t>
  </si>
  <si>
    <t>Montefiascone</t>
  </si>
  <si>
    <t xml:space="preserve">Montefino (TE) </t>
  </si>
  <si>
    <t>067027</t>
  </si>
  <si>
    <t>Montefino</t>
  </si>
  <si>
    <t xml:space="preserve">Montefiore Conca (RN) </t>
  </si>
  <si>
    <t>099008</t>
  </si>
  <si>
    <t>Montefiore Conca</t>
  </si>
  <si>
    <t xml:space="preserve">Montefiore dell'Aso (AP) </t>
  </si>
  <si>
    <t>044036</t>
  </si>
  <si>
    <t>Montefiore dell'Aso</t>
  </si>
  <si>
    <t xml:space="preserve">Montefiorino (MO) </t>
  </si>
  <si>
    <t>036025</t>
  </si>
  <si>
    <t>Montefiorino</t>
  </si>
  <si>
    <t xml:space="preserve">Monteflavio (RM) </t>
  </si>
  <si>
    <t>058061</t>
  </si>
  <si>
    <t>Monteflavio</t>
  </si>
  <si>
    <t xml:space="preserve">Monteforte Cilento (SA) </t>
  </si>
  <si>
    <t>065074</t>
  </si>
  <si>
    <t>Monteforte Cilento</t>
  </si>
  <si>
    <t xml:space="preserve">Monteforte d'Alpone (VR) </t>
  </si>
  <si>
    <t>023050</t>
  </si>
  <si>
    <t>Monteforte d'Alpone</t>
  </si>
  <si>
    <t xml:space="preserve">Monteforte Irpino (AV) </t>
  </si>
  <si>
    <t>064054</t>
  </si>
  <si>
    <t>Monteforte Irpino</t>
  </si>
  <si>
    <t xml:space="preserve">Montefortino (FM) </t>
  </si>
  <si>
    <t>Montefortino</t>
  </si>
  <si>
    <t xml:space="preserve">Montefranco (TR) </t>
  </si>
  <si>
    <t>055019</t>
  </si>
  <si>
    <t>Montefranco</t>
  </si>
  <si>
    <t xml:space="preserve">Montefredane (AV) </t>
  </si>
  <si>
    <t>064055</t>
  </si>
  <si>
    <t>Montefredane</t>
  </si>
  <si>
    <t xml:space="preserve">Montefusco (AV) </t>
  </si>
  <si>
    <t>064056</t>
  </si>
  <si>
    <t>Montefusco</t>
  </si>
  <si>
    <t xml:space="preserve">Montegabbione (TR) </t>
  </si>
  <si>
    <t>055020</t>
  </si>
  <si>
    <t>Montegabbione</t>
  </si>
  <si>
    <t xml:space="preserve">Montegalda (VI) </t>
  </si>
  <si>
    <t>024064</t>
  </si>
  <si>
    <t>Montegalda</t>
  </si>
  <si>
    <t xml:space="preserve">Montegaldella (VI) </t>
  </si>
  <si>
    <t>024065</t>
  </si>
  <si>
    <t>Montegaldella</t>
  </si>
  <si>
    <t xml:space="preserve">Montegallo (AP) </t>
  </si>
  <si>
    <t>044038</t>
  </si>
  <si>
    <t>Montegallo</t>
  </si>
  <si>
    <t xml:space="preserve">Montegioco (AL) </t>
  </si>
  <si>
    <t>006107</t>
  </si>
  <si>
    <t>Montegioco</t>
  </si>
  <si>
    <t xml:space="preserve">Montegiordano (CS) </t>
  </si>
  <si>
    <t>078082</t>
  </si>
  <si>
    <t>Montegiordano</t>
  </si>
  <si>
    <t xml:space="preserve">Montegiorgio (FM) </t>
  </si>
  <si>
    <t>Montegiorgio</t>
  </si>
  <si>
    <t xml:space="preserve">Montegranaro (FM) </t>
  </si>
  <si>
    <t>Montegranaro</t>
  </si>
  <si>
    <t xml:space="preserve">Montegridolfo (RN) </t>
  </si>
  <si>
    <t>099009</t>
  </si>
  <si>
    <t>Montegridolfo</t>
  </si>
  <si>
    <t xml:space="preserve">Montegrino Valtravaglia (VA) </t>
  </si>
  <si>
    <t>012103</t>
  </si>
  <si>
    <t>Montegrino Valtravaglia</t>
  </si>
  <si>
    <t xml:space="preserve">Montegrosso d'Asti (AT) </t>
  </si>
  <si>
    <t>005076</t>
  </si>
  <si>
    <t>Montegrosso d'Asti</t>
  </si>
  <si>
    <t xml:space="preserve">Montegrosso Pian Latte (IM) </t>
  </si>
  <si>
    <t>008037</t>
  </si>
  <si>
    <t>Montegrosso Pian Latte</t>
  </si>
  <si>
    <t xml:space="preserve">Montegrotto Terme (PD) </t>
  </si>
  <si>
    <t>028057</t>
  </si>
  <si>
    <t>Montegrotto Terme</t>
  </si>
  <si>
    <t xml:space="preserve">Monteiasi (TA) </t>
  </si>
  <si>
    <t>073016</t>
  </si>
  <si>
    <t>Monteiasi</t>
  </si>
  <si>
    <t xml:space="preserve">Montelabbate (PU) </t>
  </si>
  <si>
    <t>041036</t>
  </si>
  <si>
    <t>Montelabbate</t>
  </si>
  <si>
    <t xml:space="preserve">Montelanico (RM) </t>
  </si>
  <si>
    <t>058062</t>
  </si>
  <si>
    <t>Montelanico</t>
  </si>
  <si>
    <t xml:space="preserve">Montelapiano (CH) </t>
  </si>
  <si>
    <t>069053</t>
  </si>
  <si>
    <t>Montelapiano</t>
  </si>
  <si>
    <t xml:space="preserve">Monteleone di Fermo (FM) </t>
  </si>
  <si>
    <t>Monteleone di Fermo</t>
  </si>
  <si>
    <t xml:space="preserve">Monteleone di Puglia (FG) </t>
  </si>
  <si>
    <t>071032</t>
  </si>
  <si>
    <t>Monteleone di Puglia</t>
  </si>
  <si>
    <t xml:space="preserve">Monteleone di Spoleto (PG) </t>
  </si>
  <si>
    <t>054031</t>
  </si>
  <si>
    <t>Monteleone di Spoleto</t>
  </si>
  <si>
    <t xml:space="preserve">Monteleone d'Orvieto (TR) </t>
  </si>
  <si>
    <t>055021</t>
  </si>
  <si>
    <t>Monteleone d'Orvieto</t>
  </si>
  <si>
    <t xml:space="preserve">Monteleone Rocca Doria (SS) </t>
  </si>
  <si>
    <t>Monteleone Rocca Doria</t>
  </si>
  <si>
    <t xml:space="preserve">Monteleone Sabino (RI) </t>
  </si>
  <si>
    <t>057041</t>
  </si>
  <si>
    <t>Monteleone Sabino</t>
  </si>
  <si>
    <t xml:space="preserve">Montelepre (PA) </t>
  </si>
  <si>
    <t>082050</t>
  </si>
  <si>
    <t>Montelepre</t>
  </si>
  <si>
    <t xml:space="preserve">Montelibretti (RM) </t>
  </si>
  <si>
    <t>058063</t>
  </si>
  <si>
    <t>Montelibretti</t>
  </si>
  <si>
    <t xml:space="preserve">Montella (AV) </t>
  </si>
  <si>
    <t>064057</t>
  </si>
  <si>
    <t>Montella</t>
  </si>
  <si>
    <t xml:space="preserve">Montello (BG) </t>
  </si>
  <si>
    <t>016139</t>
  </si>
  <si>
    <t>Montello</t>
  </si>
  <si>
    <t xml:space="preserve">Montelongo (CB) </t>
  </si>
  <si>
    <t>070044</t>
  </si>
  <si>
    <t>Montelongo</t>
  </si>
  <si>
    <t xml:space="preserve">Montelparo (FM) </t>
  </si>
  <si>
    <t>Montelparo</t>
  </si>
  <si>
    <t xml:space="preserve">Montelupo Albese (CN) </t>
  </si>
  <si>
    <t>004137</t>
  </si>
  <si>
    <t>Montelupo Albese</t>
  </si>
  <si>
    <t xml:space="preserve">Montelupo Fiorentino (FI) </t>
  </si>
  <si>
    <t>048028</t>
  </si>
  <si>
    <t>Montelupo Fiorentino</t>
  </si>
  <si>
    <t xml:space="preserve">Montelupone (MC) </t>
  </si>
  <si>
    <t>043030</t>
  </si>
  <si>
    <t>Montelupone</t>
  </si>
  <si>
    <t xml:space="preserve">Montemaggiore Belsito (PA) </t>
  </si>
  <si>
    <t>082051</t>
  </si>
  <si>
    <t>Montemaggiore Belsito</t>
  </si>
  <si>
    <t>005077</t>
  </si>
  <si>
    <t xml:space="preserve">Montemale di Cuneo (CN) </t>
  </si>
  <si>
    <t>004138</t>
  </si>
  <si>
    <t>Montemale di Cuneo</t>
  </si>
  <si>
    <t xml:space="preserve">Montemarano (AV) </t>
  </si>
  <si>
    <t>064058</t>
  </si>
  <si>
    <t>Montemarano</t>
  </si>
  <si>
    <t xml:space="preserve">Montemarciano (AN) </t>
  </si>
  <si>
    <t>042027</t>
  </si>
  <si>
    <t>Montemarciano</t>
  </si>
  <si>
    <t xml:space="preserve">Montemarzino (AL) </t>
  </si>
  <si>
    <t>006108</t>
  </si>
  <si>
    <t>Montemarzino</t>
  </si>
  <si>
    <t xml:space="preserve">Montemesola (TA) </t>
  </si>
  <si>
    <t>073017</t>
  </si>
  <si>
    <t>Montemesola</t>
  </si>
  <si>
    <t xml:space="preserve">Montemezzo (CO) </t>
  </si>
  <si>
    <t>013155</t>
  </si>
  <si>
    <t>Montemezzo</t>
  </si>
  <si>
    <t xml:space="preserve">Montemignaio (AR) </t>
  </si>
  <si>
    <t>051023</t>
  </si>
  <si>
    <t>Montemignaio</t>
  </si>
  <si>
    <t xml:space="preserve">Montemiletto (AV) </t>
  </si>
  <si>
    <t>064059</t>
  </si>
  <si>
    <t>Montemiletto</t>
  </si>
  <si>
    <t xml:space="preserve">Montemilone (PZ) </t>
  </si>
  <si>
    <t>076051</t>
  </si>
  <si>
    <t>Montemilone</t>
  </si>
  <si>
    <t xml:space="preserve">Montemitro (CB) </t>
  </si>
  <si>
    <t>070045</t>
  </si>
  <si>
    <t>Montemitro</t>
  </si>
  <si>
    <t xml:space="preserve">Montemonaco (AP) </t>
  </si>
  <si>
    <t>044044</t>
  </si>
  <si>
    <t>Montemonaco</t>
  </si>
  <si>
    <t xml:space="preserve">Montemurlo (PO) </t>
  </si>
  <si>
    <t>Montemurlo</t>
  </si>
  <si>
    <t xml:space="preserve">Montemurro (PZ) </t>
  </si>
  <si>
    <t>076052</t>
  </si>
  <si>
    <t>Montemurro</t>
  </si>
  <si>
    <t xml:space="preserve">Montenars (UD) </t>
  </si>
  <si>
    <t>030061</t>
  </si>
  <si>
    <t>Montenars</t>
  </si>
  <si>
    <t xml:space="preserve">Montenero di Bisaccia (CB) </t>
  </si>
  <si>
    <t>070046</t>
  </si>
  <si>
    <t>Montenero di Bisaccia</t>
  </si>
  <si>
    <t xml:space="preserve">Montenero Sabino (RI) </t>
  </si>
  <si>
    <t>057042</t>
  </si>
  <si>
    <t>Montenero Sabino</t>
  </si>
  <si>
    <t xml:space="preserve">Montenero Val Cocchiara (IS) </t>
  </si>
  <si>
    <t>094029</t>
  </si>
  <si>
    <t>Montenero Val Cocchiara</t>
  </si>
  <si>
    <t xml:space="preserve">Montenerodomo (CH) </t>
  </si>
  <si>
    <t>069054</t>
  </si>
  <si>
    <t>Montenerodomo</t>
  </si>
  <si>
    <t xml:space="preserve">Monteodorisio (CH) </t>
  </si>
  <si>
    <t>069055</t>
  </si>
  <si>
    <t>Monteodorisio</t>
  </si>
  <si>
    <t xml:space="preserve">Montepaone (CZ) </t>
  </si>
  <si>
    <t>079081</t>
  </si>
  <si>
    <t>Montepaone</t>
  </si>
  <si>
    <t xml:space="preserve">Monteparano (TA) </t>
  </si>
  <si>
    <t>073018</t>
  </si>
  <si>
    <t>Monteparano</t>
  </si>
  <si>
    <t xml:space="preserve">Monteprandone (AP) </t>
  </si>
  <si>
    <t>044045</t>
  </si>
  <si>
    <t>Monteprandone</t>
  </si>
  <si>
    <t xml:space="preserve">Montepulciano (SI) </t>
  </si>
  <si>
    <t>052015</t>
  </si>
  <si>
    <t>Montepulciano</t>
  </si>
  <si>
    <t xml:space="preserve">Monterchi (AR) </t>
  </si>
  <si>
    <t>051024</t>
  </si>
  <si>
    <t>Monterchi</t>
  </si>
  <si>
    <t xml:space="preserve">Montereale (AQ) </t>
  </si>
  <si>
    <t>066056</t>
  </si>
  <si>
    <t>Montereale</t>
  </si>
  <si>
    <t xml:space="preserve">Montereale Valcellina (PN) </t>
  </si>
  <si>
    <t>093027</t>
  </si>
  <si>
    <t>Montereale Valcellina</t>
  </si>
  <si>
    <t xml:space="preserve">Monterenzio (BO) </t>
  </si>
  <si>
    <t>037041</t>
  </si>
  <si>
    <t>Monterenzio</t>
  </si>
  <si>
    <t xml:space="preserve">Monteriggioni (SI) </t>
  </si>
  <si>
    <t>052016</t>
  </si>
  <si>
    <t>Monteriggioni</t>
  </si>
  <si>
    <t xml:space="preserve">Monteroduni (IS) </t>
  </si>
  <si>
    <t>094030</t>
  </si>
  <si>
    <t>Monteroduni</t>
  </si>
  <si>
    <t xml:space="preserve">Monteroni d'Arbia (SI) </t>
  </si>
  <si>
    <t>052017</t>
  </si>
  <si>
    <t>Monteroni d'Arbia</t>
  </si>
  <si>
    <t xml:space="preserve">Monteroni di Lecce (LE) </t>
  </si>
  <si>
    <t>075048</t>
  </si>
  <si>
    <t>Monteroni di Lecce</t>
  </si>
  <si>
    <t xml:space="preserve">Monterosi (VT) </t>
  </si>
  <si>
    <t>056038</t>
  </si>
  <si>
    <t>Monterosi</t>
  </si>
  <si>
    <t xml:space="preserve">Monterosso al Mare (SP) </t>
  </si>
  <si>
    <t>011019</t>
  </si>
  <si>
    <t>Monterosso al Mare</t>
  </si>
  <si>
    <t xml:space="preserve">Monterosso Almo (RG) </t>
  </si>
  <si>
    <t>088007</t>
  </si>
  <si>
    <t>Monterosso Almo</t>
  </si>
  <si>
    <t xml:space="preserve">Monterosso Calabro (VV) </t>
  </si>
  <si>
    <t>Monterosso Calabro</t>
  </si>
  <si>
    <t xml:space="preserve">Monterosso Grana (CN) </t>
  </si>
  <si>
    <t>004139</t>
  </si>
  <si>
    <t>Monterosso Grana</t>
  </si>
  <si>
    <t xml:space="preserve">Monterotondo (RM) </t>
  </si>
  <si>
    <t>058065</t>
  </si>
  <si>
    <t>Monterotondo</t>
  </si>
  <si>
    <t xml:space="preserve">Monterotondo Marittimo (GR) </t>
  </si>
  <si>
    <t>053027</t>
  </si>
  <si>
    <t>Monterotondo Marittimo</t>
  </si>
  <si>
    <t xml:space="preserve">Monterubbiano (FM) </t>
  </si>
  <si>
    <t>Monterubbiano</t>
  </si>
  <si>
    <t xml:space="preserve">Montesano Salentino (LE) </t>
  </si>
  <si>
    <t>075049</t>
  </si>
  <si>
    <t>Montesano Salentino</t>
  </si>
  <si>
    <t xml:space="preserve">Montesano sulla Marcellana (SA) </t>
  </si>
  <si>
    <t>065076</t>
  </si>
  <si>
    <t>Montesano sulla Marcellana</t>
  </si>
  <si>
    <t xml:space="preserve">Montesarchio (BN) </t>
  </si>
  <si>
    <t>062043</t>
  </si>
  <si>
    <t>Montesarchio</t>
  </si>
  <si>
    <t xml:space="preserve">Montescaglioso (MT) </t>
  </si>
  <si>
    <t>077017</t>
  </si>
  <si>
    <t>Montescaglioso</t>
  </si>
  <si>
    <t xml:space="preserve">Montescano (PV) </t>
  </si>
  <si>
    <t>018097</t>
  </si>
  <si>
    <t>Montescano</t>
  </si>
  <si>
    <t xml:space="preserve">Montescheno (VB) </t>
  </si>
  <si>
    <t>Montescheno</t>
  </si>
  <si>
    <t xml:space="preserve">Montescudaio (PI) </t>
  </si>
  <si>
    <t>050020</t>
  </si>
  <si>
    <t>Montescudaio</t>
  </si>
  <si>
    <t xml:space="preserve">Montese (MO) </t>
  </si>
  <si>
    <t>036026</t>
  </si>
  <si>
    <t>Montese</t>
  </si>
  <si>
    <t xml:space="preserve">Montesegale (PV) </t>
  </si>
  <si>
    <t>018098</t>
  </si>
  <si>
    <t>Montesegale</t>
  </si>
  <si>
    <t xml:space="preserve">Montesilvano (PE) </t>
  </si>
  <si>
    <t>068024</t>
  </si>
  <si>
    <t>Montesilvano</t>
  </si>
  <si>
    <t xml:space="preserve">Montespertoli (FI) </t>
  </si>
  <si>
    <t>048030</t>
  </si>
  <si>
    <t>Montespertoli</t>
  </si>
  <si>
    <t xml:space="preserve">Monteu da Po (TO) </t>
  </si>
  <si>
    <t>001162</t>
  </si>
  <si>
    <t>Monteu da Po</t>
  </si>
  <si>
    <t xml:space="preserve">Monteu Roero (CN) </t>
  </si>
  <si>
    <t>004140</t>
  </si>
  <si>
    <t>Monteu Roero</t>
  </si>
  <si>
    <t xml:space="preserve">Montevago (AG) </t>
  </si>
  <si>
    <t>084025</t>
  </si>
  <si>
    <t>Montevago</t>
  </si>
  <si>
    <t xml:space="preserve">Montevarchi (AR) </t>
  </si>
  <si>
    <t>051026</t>
  </si>
  <si>
    <t>Montevarchi</t>
  </si>
  <si>
    <t xml:space="preserve">Montevecchia (LC) </t>
  </si>
  <si>
    <t>097053</t>
  </si>
  <si>
    <t>Montevecchia</t>
  </si>
  <si>
    <t xml:space="preserve">Monteverde (AV) </t>
  </si>
  <si>
    <t>064060</t>
  </si>
  <si>
    <t>Monteverde</t>
  </si>
  <si>
    <t xml:space="preserve">Monteverdi Marittimo (PI) </t>
  </si>
  <si>
    <t>050021</t>
  </si>
  <si>
    <t>Monteverdi Marittimo</t>
  </si>
  <si>
    <t xml:space="preserve">Monteviale (VI) </t>
  </si>
  <si>
    <t>024066</t>
  </si>
  <si>
    <t>Monteviale</t>
  </si>
  <si>
    <t xml:space="preserve">Montezemolo (CN) </t>
  </si>
  <si>
    <t>004141</t>
  </si>
  <si>
    <t>Montezemolo</t>
  </si>
  <si>
    <t>Monti</t>
  </si>
  <si>
    <t xml:space="preserve">Montiano (FC) </t>
  </si>
  <si>
    <t>040028</t>
  </si>
  <si>
    <t>Montiano</t>
  </si>
  <si>
    <t xml:space="preserve">Monticelli Brusati (BS) </t>
  </si>
  <si>
    <t>017112</t>
  </si>
  <si>
    <t>Monticelli Brusati</t>
  </si>
  <si>
    <t xml:space="preserve">Monticelli d'Ongina (PC) </t>
  </si>
  <si>
    <t>033027</t>
  </si>
  <si>
    <t>Monticelli d'Ongina</t>
  </si>
  <si>
    <t xml:space="preserve">Monticelli Pavese (PV) </t>
  </si>
  <si>
    <t>018099</t>
  </si>
  <si>
    <t>Monticelli Pavese</t>
  </si>
  <si>
    <t xml:space="preserve">Monticello Brianza (LC) </t>
  </si>
  <si>
    <t>097054</t>
  </si>
  <si>
    <t>Monticello Brianza</t>
  </si>
  <si>
    <t xml:space="preserve">Monticello Conte Otto (VI) </t>
  </si>
  <si>
    <t>024067</t>
  </si>
  <si>
    <t>Monticello Conte Otto</t>
  </si>
  <si>
    <t xml:space="preserve">Monticello d'Alba (CN) </t>
  </si>
  <si>
    <t>004142</t>
  </si>
  <si>
    <t>Monticello d'Alba</t>
  </si>
  <si>
    <t xml:space="preserve">Montichiari (BS) </t>
  </si>
  <si>
    <t>017113</t>
  </si>
  <si>
    <t>Montichiari</t>
  </si>
  <si>
    <t xml:space="preserve">Monticiano (SI) </t>
  </si>
  <si>
    <t>052018</t>
  </si>
  <si>
    <t>Monticiano</t>
  </si>
  <si>
    <t xml:space="preserve">Montieri (GR) </t>
  </si>
  <si>
    <t>053017</t>
  </si>
  <si>
    <t>Montieri</t>
  </si>
  <si>
    <t xml:space="preserve">Montiglio Monferrato (AT) </t>
  </si>
  <si>
    <t>005121</t>
  </si>
  <si>
    <t>Montiglio Monferrato</t>
  </si>
  <si>
    <t xml:space="preserve">Montignoso (MS) </t>
  </si>
  <si>
    <t>045011</t>
  </si>
  <si>
    <t>Montignoso</t>
  </si>
  <si>
    <t xml:space="preserve">Montirone (BS) </t>
  </si>
  <si>
    <t>017114</t>
  </si>
  <si>
    <t>Montirone</t>
  </si>
  <si>
    <t xml:space="preserve">Montjovet (AO) </t>
  </si>
  <si>
    <t>007043</t>
  </si>
  <si>
    <t>Montjovet</t>
  </si>
  <si>
    <t xml:space="preserve">Montodine (CR) </t>
  </si>
  <si>
    <t>019059</t>
  </si>
  <si>
    <t>Montodine</t>
  </si>
  <si>
    <t xml:space="preserve">Montoggio (GE) </t>
  </si>
  <si>
    <t>010039</t>
  </si>
  <si>
    <t>Montoggio</t>
  </si>
  <si>
    <t xml:space="preserve">Montone (PG) </t>
  </si>
  <si>
    <t>054033</t>
  </si>
  <si>
    <t>Montone</t>
  </si>
  <si>
    <t xml:space="preserve">Montopoli di Sabina (RI) </t>
  </si>
  <si>
    <t>057044</t>
  </si>
  <si>
    <t>Montopoli di Sabina</t>
  </si>
  <si>
    <t xml:space="preserve">Montopoli in Val d'Arno (PI) </t>
  </si>
  <si>
    <t>050022</t>
  </si>
  <si>
    <t>Montopoli in Val d'Arno</t>
  </si>
  <si>
    <t xml:space="preserve">Montorfano (CO) </t>
  </si>
  <si>
    <t>013157</t>
  </si>
  <si>
    <t>Montorfano</t>
  </si>
  <si>
    <t xml:space="preserve">Montorio al Vomano (TE) </t>
  </si>
  <si>
    <t>067028</t>
  </si>
  <si>
    <t>Montorio al Vomano</t>
  </si>
  <si>
    <t xml:space="preserve">Montorio nei Frentani (CB) </t>
  </si>
  <si>
    <t>070047</t>
  </si>
  <si>
    <t>Montorio nei Frentani</t>
  </si>
  <si>
    <t xml:space="preserve">Montorio Romano (RM) </t>
  </si>
  <si>
    <t>058066</t>
  </si>
  <si>
    <t>Montorio Romano</t>
  </si>
  <si>
    <t xml:space="preserve">Montorso Vicentino (VI) </t>
  </si>
  <si>
    <t>024068</t>
  </si>
  <si>
    <t>Montorso Vicentino</t>
  </si>
  <si>
    <t xml:space="preserve">Montottone (FM) </t>
  </si>
  <si>
    <t>Montottone</t>
  </si>
  <si>
    <t xml:space="preserve">Montresta (OR) </t>
  </si>
  <si>
    <t>Montresta</t>
  </si>
  <si>
    <t xml:space="preserve">Montù Beccaria (PV) </t>
  </si>
  <si>
    <t>018100</t>
  </si>
  <si>
    <t>Montù Beccaria</t>
  </si>
  <si>
    <t xml:space="preserve">Monvalle (VA) </t>
  </si>
  <si>
    <t>012104</t>
  </si>
  <si>
    <t>Monvalle</t>
  </si>
  <si>
    <t xml:space="preserve">Monza (MB) </t>
  </si>
  <si>
    <t>Monza</t>
  </si>
  <si>
    <t xml:space="preserve">Monzambano (MN) </t>
  </si>
  <si>
    <t>020036</t>
  </si>
  <si>
    <t>Monzambano</t>
  </si>
  <si>
    <t xml:space="preserve">Monzuno (BO) </t>
  </si>
  <si>
    <t>037044</t>
  </si>
  <si>
    <t>Monzuno</t>
  </si>
  <si>
    <t xml:space="preserve">Morano Calabro (CS) </t>
  </si>
  <si>
    <t>078083</t>
  </si>
  <si>
    <t>Morano Calabro</t>
  </si>
  <si>
    <t xml:space="preserve">Morano sul Po (AL) </t>
  </si>
  <si>
    <t>006109</t>
  </si>
  <si>
    <t>Morano sul Po</t>
  </si>
  <si>
    <t xml:space="preserve">Moraro (GO) </t>
  </si>
  <si>
    <t>031013</t>
  </si>
  <si>
    <t>Moraro</t>
  </si>
  <si>
    <t xml:space="preserve">Morazzone (VA) </t>
  </si>
  <si>
    <t>012105</t>
  </si>
  <si>
    <t>Morazzone</t>
  </si>
  <si>
    <t xml:space="preserve">Morbegno (SO) </t>
  </si>
  <si>
    <t>014045</t>
  </si>
  <si>
    <t>Morbegno</t>
  </si>
  <si>
    <t xml:space="preserve">Morbello (AL) </t>
  </si>
  <si>
    <t>006110</t>
  </si>
  <si>
    <t>Morbello</t>
  </si>
  <si>
    <t xml:space="preserve">Morciano di Leuca (LE) </t>
  </si>
  <si>
    <t>075050</t>
  </si>
  <si>
    <t>Morciano di Leuca</t>
  </si>
  <si>
    <t xml:space="preserve">Morciano di Romagna (RN) </t>
  </si>
  <si>
    <t>099011</t>
  </si>
  <si>
    <t>Morciano di Romagna</t>
  </si>
  <si>
    <t xml:space="preserve">Morcone (BN) </t>
  </si>
  <si>
    <t>062044</t>
  </si>
  <si>
    <t>Morcone</t>
  </si>
  <si>
    <t xml:space="preserve">Mordano (BO) </t>
  </si>
  <si>
    <t>037045</t>
  </si>
  <si>
    <t>Mordano</t>
  </si>
  <si>
    <t xml:space="preserve">Morengo (BG) </t>
  </si>
  <si>
    <t>016140</t>
  </si>
  <si>
    <t>Morengo</t>
  </si>
  <si>
    <t xml:space="preserve">Mores (SS) </t>
  </si>
  <si>
    <t>Mores</t>
  </si>
  <si>
    <t xml:space="preserve">Moresco (FM) </t>
  </si>
  <si>
    <t>Moresco</t>
  </si>
  <si>
    <t xml:space="preserve">Moretta (CN) </t>
  </si>
  <si>
    <t>004143</t>
  </si>
  <si>
    <t>Moretta</t>
  </si>
  <si>
    <t xml:space="preserve">Morfasso (PC) </t>
  </si>
  <si>
    <t>033028</t>
  </si>
  <si>
    <t>Morfasso</t>
  </si>
  <si>
    <t xml:space="preserve">Morgano (TV) </t>
  </si>
  <si>
    <t>026047</t>
  </si>
  <si>
    <t>Morgano</t>
  </si>
  <si>
    <t xml:space="preserve">Morgex (AO) </t>
  </si>
  <si>
    <t>007044</t>
  </si>
  <si>
    <t>Morgex</t>
  </si>
  <si>
    <t xml:space="preserve">Morgongiori (OR) </t>
  </si>
  <si>
    <t>Morgongiori</t>
  </si>
  <si>
    <t xml:space="preserve">Mori (TN) </t>
  </si>
  <si>
    <t>022123</t>
  </si>
  <si>
    <t>Mori</t>
  </si>
  <si>
    <t xml:space="preserve">Moriago della Battaglia (TV) </t>
  </si>
  <si>
    <t>026048</t>
  </si>
  <si>
    <t>Moriago della Battaglia</t>
  </si>
  <si>
    <t xml:space="preserve">Moricone (RM) </t>
  </si>
  <si>
    <t>058067</t>
  </si>
  <si>
    <t>Moricone</t>
  </si>
  <si>
    <t xml:space="preserve">Morigerati (SA) </t>
  </si>
  <si>
    <t>065077</t>
  </si>
  <si>
    <t>Morigerati</t>
  </si>
  <si>
    <t xml:space="preserve">Morimondo (MI) </t>
  </si>
  <si>
    <t>015150</t>
  </si>
  <si>
    <t>Morimondo</t>
  </si>
  <si>
    <t xml:space="preserve">Morino (AQ) </t>
  </si>
  <si>
    <t>066057</t>
  </si>
  <si>
    <t>Morino</t>
  </si>
  <si>
    <t xml:space="preserve">Moriondo Torinese (TO) </t>
  </si>
  <si>
    <t>001163</t>
  </si>
  <si>
    <t>Moriondo Torinese</t>
  </si>
  <si>
    <t xml:space="preserve">Morlupo (RM) </t>
  </si>
  <si>
    <t>058068</t>
  </si>
  <si>
    <t>Morlupo</t>
  </si>
  <si>
    <t xml:space="preserve">Mormanno (CS) </t>
  </si>
  <si>
    <t>078084</t>
  </si>
  <si>
    <t>Mormanno</t>
  </si>
  <si>
    <t xml:space="preserve">Mornago (VA) </t>
  </si>
  <si>
    <t>012106</t>
  </si>
  <si>
    <t>Mornago</t>
  </si>
  <si>
    <t xml:space="preserve">Mornese (AL) </t>
  </si>
  <si>
    <t>006111</t>
  </si>
  <si>
    <t>Mornese</t>
  </si>
  <si>
    <t xml:space="preserve">Mornico al Serio (BG) </t>
  </si>
  <si>
    <t>016141</t>
  </si>
  <si>
    <t>Mornico al Serio</t>
  </si>
  <si>
    <t xml:space="preserve">Mornico Losana (PV) </t>
  </si>
  <si>
    <t>018101</t>
  </si>
  <si>
    <t>Mornico Losana</t>
  </si>
  <si>
    <t xml:space="preserve">Morolo (FR) </t>
  </si>
  <si>
    <t>060045</t>
  </si>
  <si>
    <t>Morolo</t>
  </si>
  <si>
    <t xml:space="preserve">Morozzo (CN) </t>
  </si>
  <si>
    <t>004144</t>
  </si>
  <si>
    <t>Morozzo</t>
  </si>
  <si>
    <t xml:space="preserve">Morra De Sanctis (AV) </t>
  </si>
  <si>
    <t>064063</t>
  </si>
  <si>
    <t>Morra De Sanctis</t>
  </si>
  <si>
    <t xml:space="preserve">Morro d'Alba (AN) </t>
  </si>
  <si>
    <t>042031</t>
  </si>
  <si>
    <t>Morro d'Alba</t>
  </si>
  <si>
    <t xml:space="preserve">Morro d'Oro (TE) </t>
  </si>
  <si>
    <t>067029</t>
  </si>
  <si>
    <t>Morro d'Oro</t>
  </si>
  <si>
    <t xml:space="preserve">Morro Reatino (RI) </t>
  </si>
  <si>
    <t>057045</t>
  </si>
  <si>
    <t>Morro Reatino</t>
  </si>
  <si>
    <t xml:space="preserve">Morrone del Sannio (CB) </t>
  </si>
  <si>
    <t>070048</t>
  </si>
  <si>
    <t>Morrone del Sannio</t>
  </si>
  <si>
    <t xml:space="preserve">Morrovalle (MC) </t>
  </si>
  <si>
    <t>043033</t>
  </si>
  <si>
    <t>Morrovalle</t>
  </si>
  <si>
    <t xml:space="preserve">Morsano al Tagliamento (PN) </t>
  </si>
  <si>
    <t>093028</t>
  </si>
  <si>
    <t>Morsano al Tagliamento</t>
  </si>
  <si>
    <t xml:space="preserve">Morsasco (AL) </t>
  </si>
  <si>
    <t>006112</t>
  </si>
  <si>
    <t>Morsasco</t>
  </si>
  <si>
    <t xml:space="preserve">Mortara (PV) </t>
  </si>
  <si>
    <t>018102</t>
  </si>
  <si>
    <t>Mortara</t>
  </si>
  <si>
    <t xml:space="preserve">Mortegliano (UD) </t>
  </si>
  <si>
    <t>030062</t>
  </si>
  <si>
    <t>Mortegliano</t>
  </si>
  <si>
    <t xml:space="preserve">Morterone (LC) </t>
  </si>
  <si>
    <t>097055</t>
  </si>
  <si>
    <t>Morterone</t>
  </si>
  <si>
    <t xml:space="preserve">Moruzzo (UD) </t>
  </si>
  <si>
    <t>030063</t>
  </si>
  <si>
    <t>Moruzzo</t>
  </si>
  <si>
    <t xml:space="preserve">Moscazzano (CR) </t>
  </si>
  <si>
    <t>019060</t>
  </si>
  <si>
    <t>Moscazzano</t>
  </si>
  <si>
    <t xml:space="preserve">Moschiano (AV) </t>
  </si>
  <si>
    <t>064064</t>
  </si>
  <si>
    <t>Moschiano</t>
  </si>
  <si>
    <t xml:space="preserve">Mosciano Sant'Angelo (TE) </t>
  </si>
  <si>
    <t>067030</t>
  </si>
  <si>
    <t>Mosciano Sant'Angelo</t>
  </si>
  <si>
    <t xml:space="preserve">Moscufo (PE) </t>
  </si>
  <si>
    <t>068025</t>
  </si>
  <si>
    <t>Moscufo</t>
  </si>
  <si>
    <t>021054</t>
  </si>
  <si>
    <t xml:space="preserve">Mossa (GO) </t>
  </si>
  <si>
    <t>031014</t>
  </si>
  <si>
    <t>Mossa</t>
  </si>
  <si>
    <t xml:space="preserve">Motta Baluffi (CR) </t>
  </si>
  <si>
    <t>019061</t>
  </si>
  <si>
    <t>Motta Baluffi</t>
  </si>
  <si>
    <t xml:space="preserve">Motta Camastra (ME) </t>
  </si>
  <si>
    <t>083058</t>
  </si>
  <si>
    <t>Motta Camastra</t>
  </si>
  <si>
    <t xml:space="preserve">Motta d'Affermo (ME) </t>
  </si>
  <si>
    <t>083059</t>
  </si>
  <si>
    <t>Motta d'Affermo</t>
  </si>
  <si>
    <t xml:space="preserve">Motta de' Conti (VC) </t>
  </si>
  <si>
    <t>002082</t>
  </si>
  <si>
    <t>Motta de' Conti</t>
  </si>
  <si>
    <t xml:space="preserve">Motta di Livenza (TV) </t>
  </si>
  <si>
    <t>026049</t>
  </si>
  <si>
    <t>Motta di Livenza</t>
  </si>
  <si>
    <t xml:space="preserve">Motta Montecorvino (FG) </t>
  </si>
  <si>
    <t>071034</t>
  </si>
  <si>
    <t>Motta Montecorvino</t>
  </si>
  <si>
    <t xml:space="preserve">Motta San Giovanni (RC) </t>
  </si>
  <si>
    <t>080054</t>
  </si>
  <si>
    <t>Motta San Giovanni</t>
  </si>
  <si>
    <t xml:space="preserve">Motta Santa Lucia (CZ) </t>
  </si>
  <si>
    <t>079083</t>
  </si>
  <si>
    <t>Motta Santa Lucia</t>
  </si>
  <si>
    <t xml:space="preserve">Motta Sant'Anastasia (CT) </t>
  </si>
  <si>
    <t>087030</t>
  </si>
  <si>
    <t>Motta Sant'Anastasia</t>
  </si>
  <si>
    <t xml:space="preserve">Motta Visconti (MI) </t>
  </si>
  <si>
    <t>015151</t>
  </si>
  <si>
    <t>Motta Visconti</t>
  </si>
  <si>
    <t xml:space="preserve">Mottafollone (CS) </t>
  </si>
  <si>
    <t>078085</t>
  </si>
  <si>
    <t>Mottafollone</t>
  </si>
  <si>
    <t xml:space="preserve">Mottalciata (BI) </t>
  </si>
  <si>
    <t>096037</t>
  </si>
  <si>
    <t>Mottalciata</t>
  </si>
  <si>
    <t xml:space="preserve">Motteggiana (MN) </t>
  </si>
  <si>
    <t>020037</t>
  </si>
  <si>
    <t>Motteggiana</t>
  </si>
  <si>
    <t xml:space="preserve">Mottola (TA) </t>
  </si>
  <si>
    <t>073019</t>
  </si>
  <si>
    <t>Mottola</t>
  </si>
  <si>
    <t xml:space="preserve">Mozzagrogna (CH) </t>
  </si>
  <si>
    <t>069056</t>
  </si>
  <si>
    <t>Mozzagrogna</t>
  </si>
  <si>
    <t xml:space="preserve">Mozzanica (BG) </t>
  </si>
  <si>
    <t>016142</t>
  </si>
  <si>
    <t>Mozzanica</t>
  </si>
  <si>
    <t xml:space="preserve">Mozzate (CO) </t>
  </si>
  <si>
    <t>013159</t>
  </si>
  <si>
    <t>Mozzate</t>
  </si>
  <si>
    <t xml:space="preserve">Mozzecane (VR) </t>
  </si>
  <si>
    <t>023051</t>
  </si>
  <si>
    <t>Mozzecane</t>
  </si>
  <si>
    <t xml:space="preserve">Mozzo (BG) </t>
  </si>
  <si>
    <t>016143</t>
  </si>
  <si>
    <t>Mozzo</t>
  </si>
  <si>
    <t xml:space="preserve">Muccia (MC) </t>
  </si>
  <si>
    <t>043034</t>
  </si>
  <si>
    <t>Muccia</t>
  </si>
  <si>
    <t xml:space="preserve">Muggia (TS) </t>
  </si>
  <si>
    <t>032003</t>
  </si>
  <si>
    <t>Muggia</t>
  </si>
  <si>
    <t xml:space="preserve">Muggiò (MB) </t>
  </si>
  <si>
    <t>Muggiò</t>
  </si>
  <si>
    <t xml:space="preserve">Mugnano del Cardinale (AV) </t>
  </si>
  <si>
    <t>064065</t>
  </si>
  <si>
    <t>Mugnano del Cardinale</t>
  </si>
  <si>
    <t xml:space="preserve">Mugnano di Napoli (NA) </t>
  </si>
  <si>
    <t>063048</t>
  </si>
  <si>
    <t>Mugnano di Napoli</t>
  </si>
  <si>
    <t xml:space="preserve">Mulazzano (LO) </t>
  </si>
  <si>
    <t>098041</t>
  </si>
  <si>
    <t>Mulazzano</t>
  </si>
  <si>
    <t xml:space="preserve">Mulazzo (MS) </t>
  </si>
  <si>
    <t>045012</t>
  </si>
  <si>
    <t>Mulazzo</t>
  </si>
  <si>
    <t xml:space="preserve">Mura (BS) </t>
  </si>
  <si>
    <t>017115</t>
  </si>
  <si>
    <t>Mura</t>
  </si>
  <si>
    <t>Muravera</t>
  </si>
  <si>
    <t xml:space="preserve">Murazzano (CN) </t>
  </si>
  <si>
    <t>004145</t>
  </si>
  <si>
    <t>Murazzano</t>
  </si>
  <si>
    <t xml:space="preserve">Murello (CN) </t>
  </si>
  <si>
    <t>004146</t>
  </si>
  <si>
    <t>Murello</t>
  </si>
  <si>
    <t xml:space="preserve">Murialdo (SV) </t>
  </si>
  <si>
    <t>009040</t>
  </si>
  <si>
    <t>Murialdo</t>
  </si>
  <si>
    <t>006113</t>
  </si>
  <si>
    <t xml:space="preserve">Murlo (SI) </t>
  </si>
  <si>
    <t>052019</t>
  </si>
  <si>
    <t>Murlo</t>
  </si>
  <si>
    <t xml:space="preserve">Muro Leccese (LE) </t>
  </si>
  <si>
    <t>075051</t>
  </si>
  <si>
    <t>Muro Leccese</t>
  </si>
  <si>
    <t xml:space="preserve">Muro Lucano (PZ) </t>
  </si>
  <si>
    <t>076053</t>
  </si>
  <si>
    <t>Muro Lucano</t>
  </si>
  <si>
    <t xml:space="preserve">Muros (SS) </t>
  </si>
  <si>
    <t>Muros</t>
  </si>
  <si>
    <t xml:space="preserve">Muscoline (BS) </t>
  </si>
  <si>
    <t>017116</t>
  </si>
  <si>
    <t>Muscoline</t>
  </si>
  <si>
    <t>Musei</t>
  </si>
  <si>
    <t xml:space="preserve">Musile di Piave (VE) </t>
  </si>
  <si>
    <t>027025</t>
  </si>
  <si>
    <t>Musile di Piave</t>
  </si>
  <si>
    <t xml:space="preserve">Musso (CO) </t>
  </si>
  <si>
    <t>013160</t>
  </si>
  <si>
    <t>Musso</t>
  </si>
  <si>
    <t xml:space="preserve">Mussolente (VI) </t>
  </si>
  <si>
    <t>024070</t>
  </si>
  <si>
    <t>Mussolente</t>
  </si>
  <si>
    <t xml:space="preserve">Mussomeli (CL) </t>
  </si>
  <si>
    <t>085012</t>
  </si>
  <si>
    <t>Mussomeli</t>
  </si>
  <si>
    <t xml:space="preserve">Muzzana del Turgnano (UD) </t>
  </si>
  <si>
    <t>030064</t>
  </si>
  <si>
    <t>Muzzana del Turgnano</t>
  </si>
  <si>
    <t xml:space="preserve">Muzzano (BI) </t>
  </si>
  <si>
    <t>096038</t>
  </si>
  <si>
    <t>Muzzano</t>
  </si>
  <si>
    <t xml:space="preserve">Nago-Torbole (TN) </t>
  </si>
  <si>
    <t>022124</t>
  </si>
  <si>
    <t>Nago-Torbole</t>
  </si>
  <si>
    <t>021055</t>
  </si>
  <si>
    <t xml:space="preserve">Napoli (NA) </t>
  </si>
  <si>
    <t>063049</t>
  </si>
  <si>
    <t>Napoli</t>
  </si>
  <si>
    <t xml:space="preserve">Narbolia (OR) </t>
  </si>
  <si>
    <t>Narbolia</t>
  </si>
  <si>
    <t>Narcao</t>
  </si>
  <si>
    <t xml:space="preserve">Nardò (LE) </t>
  </si>
  <si>
    <t>075052</t>
  </si>
  <si>
    <t>Nardò</t>
  </si>
  <si>
    <t xml:space="preserve">Nardodipace (VV) </t>
  </si>
  <si>
    <t>Nardodipace</t>
  </si>
  <si>
    <t xml:space="preserve">Narni (TR) </t>
  </si>
  <si>
    <t>055022</t>
  </si>
  <si>
    <t>Narni</t>
  </si>
  <si>
    <t xml:space="preserve">Naro (AG) </t>
  </si>
  <si>
    <t>084026</t>
  </si>
  <si>
    <t>Naro</t>
  </si>
  <si>
    <t xml:space="preserve">Narzole (CN) </t>
  </si>
  <si>
    <t>004147</t>
  </si>
  <si>
    <t>Narzole</t>
  </si>
  <si>
    <t xml:space="preserve">Nasino (SV) </t>
  </si>
  <si>
    <t>009041</t>
  </si>
  <si>
    <t>Nasino</t>
  </si>
  <si>
    <t xml:space="preserve">Naso (ME) </t>
  </si>
  <si>
    <t>083060</t>
  </si>
  <si>
    <t>Naso</t>
  </si>
  <si>
    <t>021056</t>
  </si>
  <si>
    <t xml:space="preserve">Nave (BS) </t>
  </si>
  <si>
    <t>017117</t>
  </si>
  <si>
    <t>Nave</t>
  </si>
  <si>
    <t xml:space="preserve">Navelli (AQ) </t>
  </si>
  <si>
    <t>066058</t>
  </si>
  <si>
    <t>Navelli</t>
  </si>
  <si>
    <t>021057</t>
  </si>
  <si>
    <t xml:space="preserve">Nazzano (RM) </t>
  </si>
  <si>
    <t>058069</t>
  </si>
  <si>
    <t>Nazzano</t>
  </si>
  <si>
    <t xml:space="preserve">Ne (GE) </t>
  </si>
  <si>
    <t>010040</t>
  </si>
  <si>
    <t>Ne</t>
  </si>
  <si>
    <t xml:space="preserve">Nebbiuno (NO) </t>
  </si>
  <si>
    <t>003103</t>
  </si>
  <si>
    <t>Nebbiuno</t>
  </si>
  <si>
    <t>023052</t>
  </si>
  <si>
    <t xml:space="preserve">Neirone (GE) </t>
  </si>
  <si>
    <t>010041</t>
  </si>
  <si>
    <t>Neirone</t>
  </si>
  <si>
    <t xml:space="preserve">Neive (CN) </t>
  </si>
  <si>
    <t>004148</t>
  </si>
  <si>
    <t>Neive</t>
  </si>
  <si>
    <t xml:space="preserve">Nembro (BG) </t>
  </si>
  <si>
    <t>016144</t>
  </si>
  <si>
    <t>Nembro</t>
  </si>
  <si>
    <t xml:space="preserve">Nemi (RM) </t>
  </si>
  <si>
    <t>058070</t>
  </si>
  <si>
    <t>Nemi</t>
  </si>
  <si>
    <t xml:space="preserve">Nemoli (PZ) </t>
  </si>
  <si>
    <t>076054</t>
  </si>
  <si>
    <t>Nemoli</t>
  </si>
  <si>
    <t xml:space="preserve">Neoneli (OR) </t>
  </si>
  <si>
    <t>Neoneli</t>
  </si>
  <si>
    <t xml:space="preserve">Nepi (VT) </t>
  </si>
  <si>
    <t>056039</t>
  </si>
  <si>
    <t>Nepi</t>
  </si>
  <si>
    <t xml:space="preserve">Nereto (TE) </t>
  </si>
  <si>
    <t>067031</t>
  </si>
  <si>
    <t>Nereto</t>
  </si>
  <si>
    <t xml:space="preserve">Nerola (RM) </t>
  </si>
  <si>
    <t>058071</t>
  </si>
  <si>
    <t>Nerola</t>
  </si>
  <si>
    <t xml:space="preserve">Nervesa della Battaglia (TV) </t>
  </si>
  <si>
    <t>026050</t>
  </si>
  <si>
    <t>Nervesa della Battaglia</t>
  </si>
  <si>
    <t xml:space="preserve">Nerviano (MI) </t>
  </si>
  <si>
    <t>015154</t>
  </si>
  <si>
    <t>Nerviano</t>
  </si>
  <si>
    <t xml:space="preserve">Nespolo (RI) </t>
  </si>
  <si>
    <t>057046</t>
  </si>
  <si>
    <t>Nespolo</t>
  </si>
  <si>
    <t xml:space="preserve">Nesso (CO) </t>
  </si>
  <si>
    <t>013161</t>
  </si>
  <si>
    <t>Nesso</t>
  </si>
  <si>
    <t xml:space="preserve">Netro (BI) </t>
  </si>
  <si>
    <t>096039</t>
  </si>
  <si>
    <t>Netro</t>
  </si>
  <si>
    <t xml:space="preserve">Nettuno (RM) </t>
  </si>
  <si>
    <t>058072</t>
  </si>
  <si>
    <t>Nettuno</t>
  </si>
  <si>
    <t xml:space="preserve">Neviano (LE) </t>
  </si>
  <si>
    <t>075053</t>
  </si>
  <si>
    <t>Neviano</t>
  </si>
  <si>
    <t xml:space="preserve">Neviano degli Arduini (PR) </t>
  </si>
  <si>
    <t>034024</t>
  </si>
  <si>
    <t>Neviano degli Arduini</t>
  </si>
  <si>
    <t xml:space="preserve">Neviglie (CN) </t>
  </si>
  <si>
    <t>004149</t>
  </si>
  <si>
    <t>Neviglie</t>
  </si>
  <si>
    <t xml:space="preserve">Niardo (BS) </t>
  </si>
  <si>
    <t>017118</t>
  </si>
  <si>
    <t>Niardo</t>
  </si>
  <si>
    <t xml:space="preserve">Nibbiola (NO) </t>
  </si>
  <si>
    <t>003104</t>
  </si>
  <si>
    <t>Nibbiola</t>
  </si>
  <si>
    <t xml:space="preserve">Nibionno (LC) </t>
  </si>
  <si>
    <t>097056</t>
  </si>
  <si>
    <t>Nibionno</t>
  </si>
  <si>
    <t xml:space="preserve">Nichelino (TO) </t>
  </si>
  <si>
    <t>001164</t>
  </si>
  <si>
    <t>Nichelino</t>
  </si>
  <si>
    <t xml:space="preserve">Nicolosi (CT) </t>
  </si>
  <si>
    <t>087031</t>
  </si>
  <si>
    <t>Nicolosi</t>
  </si>
  <si>
    <t xml:space="preserve">Nicorvo (PV) </t>
  </si>
  <si>
    <t>018103</t>
  </si>
  <si>
    <t>Nicorvo</t>
  </si>
  <si>
    <t xml:space="preserve">Nicosia (EN) </t>
  </si>
  <si>
    <t>086012</t>
  </si>
  <si>
    <t>Nicosia</t>
  </si>
  <si>
    <t xml:space="preserve">Nicotera (VV) </t>
  </si>
  <si>
    <t>Nicotera</t>
  </si>
  <si>
    <t xml:space="preserve">Niella Belbo (CN) </t>
  </si>
  <si>
    <t>004150</t>
  </si>
  <si>
    <t>Niella Belbo</t>
  </si>
  <si>
    <t xml:space="preserve">Niella Tanaro (CN) </t>
  </si>
  <si>
    <t>004151</t>
  </si>
  <si>
    <t>Niella Tanaro</t>
  </si>
  <si>
    <t xml:space="preserve">Nimis (UD) </t>
  </si>
  <si>
    <t>030065</t>
  </si>
  <si>
    <t>Nimis</t>
  </si>
  <si>
    <t xml:space="preserve">Niscemi (CL) </t>
  </si>
  <si>
    <t>085013</t>
  </si>
  <si>
    <t>Niscemi</t>
  </si>
  <si>
    <t xml:space="preserve">Nissoria (EN) </t>
  </si>
  <si>
    <t>086013</t>
  </si>
  <si>
    <t>Nissoria</t>
  </si>
  <si>
    <t xml:space="preserve">Nizza di Sicilia (ME) </t>
  </si>
  <si>
    <t>083061</t>
  </si>
  <si>
    <t>Nizza di Sicilia</t>
  </si>
  <si>
    <t xml:space="preserve">Nizza Monferrato (AT) </t>
  </si>
  <si>
    <t>005080</t>
  </si>
  <si>
    <t>Nizza Monferrato</t>
  </si>
  <si>
    <t xml:space="preserve">Noale (VE) </t>
  </si>
  <si>
    <t>027026</t>
  </si>
  <si>
    <t>Noale</t>
  </si>
  <si>
    <t xml:space="preserve">Noasca (TO) </t>
  </si>
  <si>
    <t>001165</t>
  </si>
  <si>
    <t>Noasca</t>
  </si>
  <si>
    <t xml:space="preserve">Nocara (CS) </t>
  </si>
  <si>
    <t>078086</t>
  </si>
  <si>
    <t>Nocara</t>
  </si>
  <si>
    <t xml:space="preserve">Nocciano (PE) </t>
  </si>
  <si>
    <t>068026</t>
  </si>
  <si>
    <t>Nocciano</t>
  </si>
  <si>
    <t xml:space="preserve">Nocera Inferiore (SA) </t>
  </si>
  <si>
    <t>065078</t>
  </si>
  <si>
    <t>Nocera Inferiore</t>
  </si>
  <si>
    <t xml:space="preserve">Nocera Superiore (SA) </t>
  </si>
  <si>
    <t>065079</t>
  </si>
  <si>
    <t>Nocera Superiore</t>
  </si>
  <si>
    <t xml:space="preserve">Nocera Terinese (CZ) </t>
  </si>
  <si>
    <t>079087</t>
  </si>
  <si>
    <t>Nocera Terinese</t>
  </si>
  <si>
    <t xml:space="preserve">Nocera Umbra (PG) </t>
  </si>
  <si>
    <t>054034</t>
  </si>
  <si>
    <t>Nocera Umbra</t>
  </si>
  <si>
    <t xml:space="preserve">Noceto (PR) </t>
  </si>
  <si>
    <t>034025</t>
  </si>
  <si>
    <t>Noceto</t>
  </si>
  <si>
    <t xml:space="preserve">Noci (BA) </t>
  </si>
  <si>
    <t>072031</t>
  </si>
  <si>
    <t>Noci</t>
  </si>
  <si>
    <t xml:space="preserve">Nociglia (LE) </t>
  </si>
  <si>
    <t>075054</t>
  </si>
  <si>
    <t>Nociglia</t>
  </si>
  <si>
    <t xml:space="preserve">Noepoli (PZ) </t>
  </si>
  <si>
    <t>076055</t>
  </si>
  <si>
    <t>Noepoli</t>
  </si>
  <si>
    <t xml:space="preserve">Nogara (VR) </t>
  </si>
  <si>
    <t>023053</t>
  </si>
  <si>
    <t>Nogara</t>
  </si>
  <si>
    <t xml:space="preserve">Nogaredo (TN) </t>
  </si>
  <si>
    <t>022127</t>
  </si>
  <si>
    <t>Nogaredo</t>
  </si>
  <si>
    <t xml:space="preserve">Nogarole Rocca (VR) </t>
  </si>
  <si>
    <t>023054</t>
  </si>
  <si>
    <t>Nogarole Rocca</t>
  </si>
  <si>
    <t xml:space="preserve">Nogarole Vicentino (VI) </t>
  </si>
  <si>
    <t>024072</t>
  </si>
  <si>
    <t>Nogarole Vicentino</t>
  </si>
  <si>
    <t xml:space="preserve">Noicattaro (BA) </t>
  </si>
  <si>
    <t>072032</t>
  </si>
  <si>
    <t>Noicattaro</t>
  </si>
  <si>
    <t xml:space="preserve">Nola (NA) </t>
  </si>
  <si>
    <t>063050</t>
  </si>
  <si>
    <t>Nola</t>
  </si>
  <si>
    <t xml:space="preserve">Nole (TO) </t>
  </si>
  <si>
    <t>001166</t>
  </si>
  <si>
    <t>Nole</t>
  </si>
  <si>
    <t xml:space="preserve">Noli (SV) </t>
  </si>
  <si>
    <t>009042</t>
  </si>
  <si>
    <t>Noli</t>
  </si>
  <si>
    <t xml:space="preserve">Nomaglio (TO) </t>
  </si>
  <si>
    <t>001167</t>
  </si>
  <si>
    <t>Nomaglio</t>
  </si>
  <si>
    <t xml:space="preserve">Nomi (TN) </t>
  </si>
  <si>
    <t>022128</t>
  </si>
  <si>
    <t>Nomi</t>
  </si>
  <si>
    <t xml:space="preserve">Nonantola (MO) </t>
  </si>
  <si>
    <t>036027</t>
  </si>
  <si>
    <t>Nonantola</t>
  </si>
  <si>
    <t xml:space="preserve">None (TO) </t>
  </si>
  <si>
    <t>001168</t>
  </si>
  <si>
    <t>None</t>
  </si>
  <si>
    <t xml:space="preserve">Nonio (VB) </t>
  </si>
  <si>
    <t>Nonio</t>
  </si>
  <si>
    <t xml:space="preserve">Noragugume (NU) </t>
  </si>
  <si>
    <t>Noragugume</t>
  </si>
  <si>
    <t xml:space="preserve">Norbello (OR) </t>
  </si>
  <si>
    <t>Norbello</t>
  </si>
  <si>
    <t xml:space="preserve">Norcia (PG) </t>
  </si>
  <si>
    <t>054035</t>
  </si>
  <si>
    <t>Norcia</t>
  </si>
  <si>
    <t xml:space="preserve">Norma (LT) </t>
  </si>
  <si>
    <t>059016</t>
  </si>
  <si>
    <t>Norma</t>
  </si>
  <si>
    <t xml:space="preserve">Nosate (MI) </t>
  </si>
  <si>
    <t>015155</t>
  </si>
  <si>
    <t>Nosate</t>
  </si>
  <si>
    <t xml:space="preserve">Notaresco (TE) </t>
  </si>
  <si>
    <t>067032</t>
  </si>
  <si>
    <t>Notaresco</t>
  </si>
  <si>
    <t xml:space="preserve">Noto (SR) </t>
  </si>
  <si>
    <t>089013</t>
  </si>
  <si>
    <t>Noto</t>
  </si>
  <si>
    <t>021058</t>
  </si>
  <si>
    <t xml:space="preserve">Nova Milanese (MB) </t>
  </si>
  <si>
    <t>Nova Milanese</t>
  </si>
  <si>
    <t>021059</t>
  </si>
  <si>
    <t xml:space="preserve">Nova Siri (MT) </t>
  </si>
  <si>
    <t>077018</t>
  </si>
  <si>
    <t>Nova Siri</t>
  </si>
  <si>
    <t xml:space="preserve">Novafeltria (RN) </t>
  </si>
  <si>
    <t>Novafeltria</t>
  </si>
  <si>
    <t xml:space="preserve">Novaledo (TN) </t>
  </si>
  <si>
    <t>022129</t>
  </si>
  <si>
    <t>Novaledo</t>
  </si>
  <si>
    <t xml:space="preserve">Novalesa (TO) </t>
  </si>
  <si>
    <t>001169</t>
  </si>
  <si>
    <t>Novalesa</t>
  </si>
  <si>
    <t xml:space="preserve">Novara (NO) </t>
  </si>
  <si>
    <t>003106</t>
  </si>
  <si>
    <t>Novara</t>
  </si>
  <si>
    <t xml:space="preserve">Novara di Sicilia (ME) </t>
  </si>
  <si>
    <t>083062</t>
  </si>
  <si>
    <t>Novara di Sicilia</t>
  </si>
  <si>
    <t xml:space="preserve">Novate Mezzola (SO) </t>
  </si>
  <si>
    <t>014046</t>
  </si>
  <si>
    <t>Novate Mezzola</t>
  </si>
  <si>
    <t xml:space="preserve">Novate Milanese (MI) </t>
  </si>
  <si>
    <t>015157</t>
  </si>
  <si>
    <t>Novate Milanese</t>
  </si>
  <si>
    <t xml:space="preserve">Nove (VI) </t>
  </si>
  <si>
    <t>024073</t>
  </si>
  <si>
    <t>Nove</t>
  </si>
  <si>
    <t xml:space="preserve">Novedrate (CO) </t>
  </si>
  <si>
    <t>013163</t>
  </si>
  <si>
    <t>Novedrate</t>
  </si>
  <si>
    <t xml:space="preserve">Novellara (RE) </t>
  </si>
  <si>
    <t>035028</t>
  </si>
  <si>
    <t>Novellara</t>
  </si>
  <si>
    <t xml:space="preserve">Novello (CN) </t>
  </si>
  <si>
    <t>004152</t>
  </si>
  <si>
    <t>Novello</t>
  </si>
  <si>
    <t xml:space="preserve">Noventa di Piave (VE) </t>
  </si>
  <si>
    <t>027027</t>
  </si>
  <si>
    <t>Noventa di Piave</t>
  </si>
  <si>
    <t xml:space="preserve">Noventa Padovana (PD) </t>
  </si>
  <si>
    <t>028058</t>
  </si>
  <si>
    <t>Noventa Padovana</t>
  </si>
  <si>
    <t xml:space="preserve">Noventa Vicentina (VI) </t>
  </si>
  <si>
    <t>024074</t>
  </si>
  <si>
    <t>Noventa Vicentina</t>
  </si>
  <si>
    <t xml:space="preserve">Novi di Modena (MO) </t>
  </si>
  <si>
    <t>036028</t>
  </si>
  <si>
    <t>Novi di Modena</t>
  </si>
  <si>
    <t xml:space="preserve">Novi Ligure (AL) </t>
  </si>
  <si>
    <t>006114</t>
  </si>
  <si>
    <t>Novi Ligure</t>
  </si>
  <si>
    <t xml:space="preserve">Novi Velia (SA) </t>
  </si>
  <si>
    <t>065080</t>
  </si>
  <si>
    <t>Novi Velia</t>
  </si>
  <si>
    <t xml:space="preserve">Noviglio (MI) </t>
  </si>
  <si>
    <t>015158</t>
  </si>
  <si>
    <t>Noviglio</t>
  </si>
  <si>
    <t xml:space="preserve">Novoli (LE) </t>
  </si>
  <si>
    <t>075055</t>
  </si>
  <si>
    <t>Novoli</t>
  </si>
  <si>
    <t xml:space="preserve">Nucetto (CN) </t>
  </si>
  <si>
    <t>004153</t>
  </si>
  <si>
    <t>Nucetto</t>
  </si>
  <si>
    <t xml:space="preserve">Nughedu San Nicolò (SS) </t>
  </si>
  <si>
    <t>Nughedu San Nicolò</t>
  </si>
  <si>
    <t xml:space="preserve">Nughedu Santa Vittoria (OR) </t>
  </si>
  <si>
    <t>Nughedu Santa Vittoria</t>
  </si>
  <si>
    <t xml:space="preserve">Nule (SS) </t>
  </si>
  <si>
    <t>Nule</t>
  </si>
  <si>
    <t xml:space="preserve">Nulvi (SS) </t>
  </si>
  <si>
    <t>Nulvi</t>
  </si>
  <si>
    <t xml:space="preserve">Numana (AN) </t>
  </si>
  <si>
    <t>042032</t>
  </si>
  <si>
    <t>Numana</t>
  </si>
  <si>
    <t xml:space="preserve">Nuoro (NU) </t>
  </si>
  <si>
    <t>Nuoro</t>
  </si>
  <si>
    <t xml:space="preserve">Nurachi (OR) </t>
  </si>
  <si>
    <t>Nurachi</t>
  </si>
  <si>
    <t>Nuragus</t>
  </si>
  <si>
    <t>Nurallao</t>
  </si>
  <si>
    <t>Nuraminis</t>
  </si>
  <si>
    <t xml:space="preserve">Nureci (OR) </t>
  </si>
  <si>
    <t>Nureci</t>
  </si>
  <si>
    <t>Nurri</t>
  </si>
  <si>
    <t xml:space="preserve">Nus (AO) </t>
  </si>
  <si>
    <t>007045</t>
  </si>
  <si>
    <t>Nus</t>
  </si>
  <si>
    <t xml:space="preserve">Nusco (AV) </t>
  </si>
  <si>
    <t>064066</t>
  </si>
  <si>
    <t>Nusco</t>
  </si>
  <si>
    <t xml:space="preserve">Nuvolento (BS) </t>
  </si>
  <si>
    <t>017119</t>
  </si>
  <si>
    <t>Nuvolento</t>
  </si>
  <si>
    <t xml:space="preserve">Nuvolera (BS) </t>
  </si>
  <si>
    <t>017120</t>
  </si>
  <si>
    <t>Nuvolera</t>
  </si>
  <si>
    <t>Nuxis</t>
  </si>
  <si>
    <t xml:space="preserve">Occhieppo Inferiore (BI) </t>
  </si>
  <si>
    <t>096040</t>
  </si>
  <si>
    <t>Occhieppo Inferiore</t>
  </si>
  <si>
    <t xml:space="preserve">Occhieppo Superiore (BI) </t>
  </si>
  <si>
    <t>096041</t>
  </si>
  <si>
    <t>Occhieppo Superiore</t>
  </si>
  <si>
    <t xml:space="preserve">Occhiobello (RO) </t>
  </si>
  <si>
    <t>029033</t>
  </si>
  <si>
    <t>Occhiobello</t>
  </si>
  <si>
    <t xml:space="preserve">Occimiano (AL) </t>
  </si>
  <si>
    <t>006115</t>
  </si>
  <si>
    <t>Occimiano</t>
  </si>
  <si>
    <t xml:space="preserve">Ocre (AQ) </t>
  </si>
  <si>
    <t>066059</t>
  </si>
  <si>
    <t>Ocre</t>
  </si>
  <si>
    <t xml:space="preserve">Odalengo Grande (AL) </t>
  </si>
  <si>
    <t>006116</t>
  </si>
  <si>
    <t>Odalengo Grande</t>
  </si>
  <si>
    <t xml:space="preserve">Odalengo Piccolo (AL) </t>
  </si>
  <si>
    <t>006117</t>
  </si>
  <si>
    <t>Odalengo Piccolo</t>
  </si>
  <si>
    <t xml:space="preserve">Oderzo (TV) </t>
  </si>
  <si>
    <t>026051</t>
  </si>
  <si>
    <t>Oderzo</t>
  </si>
  <si>
    <t xml:space="preserve">Odolo (BS) </t>
  </si>
  <si>
    <t>017121</t>
  </si>
  <si>
    <t>Odolo</t>
  </si>
  <si>
    <t xml:space="preserve">Ofena (AQ) </t>
  </si>
  <si>
    <t>066060</t>
  </si>
  <si>
    <t>Ofena</t>
  </si>
  <si>
    <t xml:space="preserve">Offagna (AN) </t>
  </si>
  <si>
    <t>042033</t>
  </si>
  <si>
    <t>Offagna</t>
  </si>
  <si>
    <t xml:space="preserve">Offanengo (CR) </t>
  </si>
  <si>
    <t>019062</t>
  </si>
  <si>
    <t>Offanengo</t>
  </si>
  <si>
    <t xml:space="preserve">Offida (AP) </t>
  </si>
  <si>
    <t>044054</t>
  </si>
  <si>
    <t>Offida</t>
  </si>
  <si>
    <t xml:space="preserve">Offlaga (BS) </t>
  </si>
  <si>
    <t>017122</t>
  </si>
  <si>
    <t>Offlaga</t>
  </si>
  <si>
    <t xml:space="preserve">Oggebbio (VB) </t>
  </si>
  <si>
    <t>Oggebbio</t>
  </si>
  <si>
    <t xml:space="preserve">Oggiona con Santo Stefano (VA) </t>
  </si>
  <si>
    <t>012107</t>
  </si>
  <si>
    <t>Oggiona con Santo Stefano</t>
  </si>
  <si>
    <t xml:space="preserve">Oggiono (LC) </t>
  </si>
  <si>
    <t>097057</t>
  </si>
  <si>
    <t>Oggiono</t>
  </si>
  <si>
    <t xml:space="preserve">Oglianico (TO) </t>
  </si>
  <si>
    <t>001170</t>
  </si>
  <si>
    <t>Oglianico</t>
  </si>
  <si>
    <t xml:space="preserve">Ogliastro Cilento (SA) </t>
  </si>
  <si>
    <t>065081</t>
  </si>
  <si>
    <t>Ogliastro Cilento</t>
  </si>
  <si>
    <t>Olbia</t>
  </si>
  <si>
    <t xml:space="preserve">Olcenengo (VC) </t>
  </si>
  <si>
    <t>002088</t>
  </si>
  <si>
    <t>Olcenengo</t>
  </si>
  <si>
    <t xml:space="preserve">Oldenico (VC) </t>
  </si>
  <si>
    <t>002089</t>
  </si>
  <si>
    <t>Oldenico</t>
  </si>
  <si>
    <t xml:space="preserve">Oleggio (NO) </t>
  </si>
  <si>
    <t>003108</t>
  </si>
  <si>
    <t>Oleggio</t>
  </si>
  <si>
    <t xml:space="preserve">Oleggio Castello (NO) </t>
  </si>
  <si>
    <t>003109</t>
  </si>
  <si>
    <t>Oleggio Castello</t>
  </si>
  <si>
    <t xml:space="preserve">Olevano di Lomellina (PV) </t>
  </si>
  <si>
    <t>018104</t>
  </si>
  <si>
    <t>Olevano di Lomellina</t>
  </si>
  <si>
    <t xml:space="preserve">Olevano Romano (RM) </t>
  </si>
  <si>
    <t>058073</t>
  </si>
  <si>
    <t>Olevano Romano</t>
  </si>
  <si>
    <t xml:space="preserve">Olevano sul Tusciano (SA) </t>
  </si>
  <si>
    <t>065082</t>
  </si>
  <si>
    <t>Olevano sul Tusciano</t>
  </si>
  <si>
    <t xml:space="preserve">Olgiate Comasco (CO) </t>
  </si>
  <si>
    <t>013165</t>
  </si>
  <si>
    <t>Olgiate Comasco</t>
  </si>
  <si>
    <t xml:space="preserve">Olgiate Molgora (LC) </t>
  </si>
  <si>
    <t>097058</t>
  </si>
  <si>
    <t>Olgiate Molgora</t>
  </si>
  <si>
    <t xml:space="preserve">Olgiate Olona (VA) </t>
  </si>
  <si>
    <t>012108</t>
  </si>
  <si>
    <t>Olgiate Olona</t>
  </si>
  <si>
    <t xml:space="preserve">Olginate (LC) </t>
  </si>
  <si>
    <t>097059</t>
  </si>
  <si>
    <t>Olginate</t>
  </si>
  <si>
    <t xml:space="preserve">Oliena (NU) </t>
  </si>
  <si>
    <t>Oliena</t>
  </si>
  <si>
    <t xml:space="preserve">Oliva Gessi (PV) </t>
  </si>
  <si>
    <t>018105</t>
  </si>
  <si>
    <t>Oliva Gessi</t>
  </si>
  <si>
    <t xml:space="preserve">Olivadi (CZ) </t>
  </si>
  <si>
    <t>079088</t>
  </si>
  <si>
    <t>Olivadi</t>
  </si>
  <si>
    <t xml:space="preserve">Oliveri (ME) </t>
  </si>
  <si>
    <t>083063</t>
  </si>
  <si>
    <t>Oliveri</t>
  </si>
  <si>
    <t xml:space="preserve">Oliveto Citra (SA) </t>
  </si>
  <si>
    <t>065083</t>
  </si>
  <si>
    <t>Oliveto Citra</t>
  </si>
  <si>
    <t xml:space="preserve">Oliveto Lario (LC) </t>
  </si>
  <si>
    <t>097060</t>
  </si>
  <si>
    <t>Oliveto Lario</t>
  </si>
  <si>
    <t xml:space="preserve">Oliveto Lucano (MT) </t>
  </si>
  <si>
    <t>077019</t>
  </si>
  <si>
    <t>Oliveto Lucano</t>
  </si>
  <si>
    <t xml:space="preserve">Olivetta San Michele (IM) </t>
  </si>
  <si>
    <t>008038</t>
  </si>
  <si>
    <t>Olivetta San Michele</t>
  </si>
  <si>
    <t xml:space="preserve">Olivola (AL) </t>
  </si>
  <si>
    <t>006118</t>
  </si>
  <si>
    <t>Olivola</t>
  </si>
  <si>
    <t xml:space="preserve">Ollastra (OR) </t>
  </si>
  <si>
    <t>Ollastra</t>
  </si>
  <si>
    <t xml:space="preserve">Ollolai (NU) </t>
  </si>
  <si>
    <t>Ollolai</t>
  </si>
  <si>
    <t xml:space="preserve">Ollomont (AO) </t>
  </si>
  <si>
    <t>007046</t>
  </si>
  <si>
    <t>Ollomont</t>
  </si>
  <si>
    <t xml:space="preserve">Olmedo (SS) </t>
  </si>
  <si>
    <t>Olmedo</t>
  </si>
  <si>
    <t xml:space="preserve">Olmeneta (CR) </t>
  </si>
  <si>
    <t>019063</t>
  </si>
  <si>
    <t>Olmeneta</t>
  </si>
  <si>
    <t xml:space="preserve">Olmo al Brembo (BG) </t>
  </si>
  <si>
    <t>016145</t>
  </si>
  <si>
    <t>Olmo al Brembo</t>
  </si>
  <si>
    <t xml:space="preserve">Olmo Gentile (AT) </t>
  </si>
  <si>
    <t>005081</t>
  </si>
  <si>
    <t>Olmo Gentile</t>
  </si>
  <si>
    <t xml:space="preserve">Oltre il Colle (BG) </t>
  </si>
  <si>
    <t>016146</t>
  </si>
  <si>
    <t>Oltre il Colle</t>
  </si>
  <si>
    <t xml:space="preserve">Oltressenda Alta (BG) </t>
  </si>
  <si>
    <t>016147</t>
  </si>
  <si>
    <t>Oltressenda Alta</t>
  </si>
  <si>
    <t xml:space="preserve">Oltrona di San Mamette (CO) </t>
  </si>
  <si>
    <t>013169</t>
  </si>
  <si>
    <t>Oltrona di San Mamette</t>
  </si>
  <si>
    <t xml:space="preserve">Olzai (NU) </t>
  </si>
  <si>
    <t>Olzai</t>
  </si>
  <si>
    <t xml:space="preserve">Ome (BS) </t>
  </si>
  <si>
    <t>017123</t>
  </si>
  <si>
    <t>Ome</t>
  </si>
  <si>
    <t xml:space="preserve">Omegna (VB) </t>
  </si>
  <si>
    <t>Omegna</t>
  </si>
  <si>
    <t xml:space="preserve">Omignano (SA) </t>
  </si>
  <si>
    <t>065084</t>
  </si>
  <si>
    <t>Omignano</t>
  </si>
  <si>
    <t xml:space="preserve">Onanì (NU) </t>
  </si>
  <si>
    <t>Onanì</t>
  </si>
  <si>
    <t xml:space="preserve">Onano (VT) </t>
  </si>
  <si>
    <t>056040</t>
  </si>
  <si>
    <t>Onano</t>
  </si>
  <si>
    <t xml:space="preserve">Oncino (CN) </t>
  </si>
  <si>
    <t>004154</t>
  </si>
  <si>
    <t>Oncino</t>
  </si>
  <si>
    <t xml:space="preserve">Oneta (BG) </t>
  </si>
  <si>
    <t>016148</t>
  </si>
  <si>
    <t>Oneta</t>
  </si>
  <si>
    <t xml:space="preserve">Onifai (NU) </t>
  </si>
  <si>
    <t>Onifai</t>
  </si>
  <si>
    <t xml:space="preserve">Oniferi (NU) </t>
  </si>
  <si>
    <t>Oniferi</t>
  </si>
  <si>
    <t xml:space="preserve">Ono San Pietro (BS) </t>
  </si>
  <si>
    <t>017124</t>
  </si>
  <si>
    <t>Ono San Pietro</t>
  </si>
  <si>
    <t xml:space="preserve">Onore (BG) </t>
  </si>
  <si>
    <t>016149</t>
  </si>
  <si>
    <t>Onore</t>
  </si>
  <si>
    <t xml:space="preserve">Onzo (SV) </t>
  </si>
  <si>
    <t>009043</t>
  </si>
  <si>
    <t>Onzo</t>
  </si>
  <si>
    <t xml:space="preserve">Opera (MI) </t>
  </si>
  <si>
    <t>015159</t>
  </si>
  <si>
    <t>Opera</t>
  </si>
  <si>
    <t xml:space="preserve">Opi (AQ) </t>
  </si>
  <si>
    <t>066061</t>
  </si>
  <si>
    <t>Opi</t>
  </si>
  <si>
    <t xml:space="preserve">Oppeano (VR) </t>
  </si>
  <si>
    <t>023055</t>
  </si>
  <si>
    <t>Oppeano</t>
  </si>
  <si>
    <t xml:space="preserve">Oppido Lucano (PZ) </t>
  </si>
  <si>
    <t>076056</t>
  </si>
  <si>
    <t>Oppido Lucano</t>
  </si>
  <si>
    <t xml:space="preserve">Oppido Mamertina (RC) </t>
  </si>
  <si>
    <t>080055</t>
  </si>
  <si>
    <t>Oppido Mamertina</t>
  </si>
  <si>
    <t>021060</t>
  </si>
  <si>
    <t xml:space="preserve">Orani (NU) </t>
  </si>
  <si>
    <t>Orani</t>
  </si>
  <si>
    <t xml:space="preserve">Oratino (CB) </t>
  </si>
  <si>
    <t>070049</t>
  </si>
  <si>
    <t>Oratino</t>
  </si>
  <si>
    <t xml:space="preserve">Orbassano (TO) </t>
  </si>
  <si>
    <t>001171</t>
  </si>
  <si>
    <t>Orbassano</t>
  </si>
  <si>
    <t xml:space="preserve">Orbetello (GR) </t>
  </si>
  <si>
    <t>053018</t>
  </si>
  <si>
    <t>Orbetello</t>
  </si>
  <si>
    <t xml:space="preserve">Orciano Pisano (PI) </t>
  </si>
  <si>
    <t>050023</t>
  </si>
  <si>
    <t>Orciano Pisano</t>
  </si>
  <si>
    <t xml:space="preserve">Orco Feglino (SV) </t>
  </si>
  <si>
    <t>009044</t>
  </si>
  <si>
    <t>Orco Feglino</t>
  </si>
  <si>
    <t xml:space="preserve">Ordona (FG) </t>
  </si>
  <si>
    <t>071063</t>
  </si>
  <si>
    <t>Ordona</t>
  </si>
  <si>
    <t xml:space="preserve">Orero (GE) </t>
  </si>
  <si>
    <t>010042</t>
  </si>
  <si>
    <t>Orero</t>
  </si>
  <si>
    <t xml:space="preserve">Orgiano (VI) </t>
  </si>
  <si>
    <t>024075</t>
  </si>
  <si>
    <t>Orgiano</t>
  </si>
  <si>
    <t xml:space="preserve">Orgosolo (NU) </t>
  </si>
  <si>
    <t>Orgosolo</t>
  </si>
  <si>
    <t xml:space="preserve">Oria (BR) </t>
  </si>
  <si>
    <t>074011</t>
  </si>
  <si>
    <t>Oria</t>
  </si>
  <si>
    <t xml:space="preserve">Oricola (AQ) </t>
  </si>
  <si>
    <t>066062</t>
  </si>
  <si>
    <t>Oricola</t>
  </si>
  <si>
    <t xml:space="preserve">Origgio (VA) </t>
  </si>
  <si>
    <t>012109</t>
  </si>
  <si>
    <t>Origgio</t>
  </si>
  <si>
    <t xml:space="preserve">Orino (VA) </t>
  </si>
  <si>
    <t>012110</t>
  </si>
  <si>
    <t>Orino</t>
  </si>
  <si>
    <t xml:space="preserve">Orio al Serio (BG) </t>
  </si>
  <si>
    <t>016150</t>
  </si>
  <si>
    <t>Orio al Serio</t>
  </si>
  <si>
    <t xml:space="preserve">Orio Canavese (TO) </t>
  </si>
  <si>
    <t>001172</t>
  </si>
  <si>
    <t>Orio Canavese</t>
  </si>
  <si>
    <t xml:space="preserve">Orio Litta (LO) </t>
  </si>
  <si>
    <t>098042</t>
  </si>
  <si>
    <t>Orio Litta</t>
  </si>
  <si>
    <t xml:space="preserve">Oriolo (CS) </t>
  </si>
  <si>
    <t>078087</t>
  </si>
  <si>
    <t>Oriolo</t>
  </si>
  <si>
    <t xml:space="preserve">Oriolo Romano (VT) </t>
  </si>
  <si>
    <t>056041</t>
  </si>
  <si>
    <t>Oriolo Romano</t>
  </si>
  <si>
    <t xml:space="preserve">Oristano (OR) </t>
  </si>
  <si>
    <t>Oristano</t>
  </si>
  <si>
    <t xml:space="preserve">Ormea (CN) </t>
  </si>
  <si>
    <t>004155</t>
  </si>
  <si>
    <t>Ormea</t>
  </si>
  <si>
    <t xml:space="preserve">Ormelle (TV) </t>
  </si>
  <si>
    <t>026052</t>
  </si>
  <si>
    <t>Ormelle</t>
  </si>
  <si>
    <t xml:space="preserve">Ornago (MB) </t>
  </si>
  <si>
    <t>Ornago</t>
  </si>
  <si>
    <t xml:space="preserve">Ornavasso (VB) </t>
  </si>
  <si>
    <t>Ornavasso</t>
  </si>
  <si>
    <t xml:space="preserve">Ornica (BG) </t>
  </si>
  <si>
    <t>016151</t>
  </si>
  <si>
    <t>Ornica</t>
  </si>
  <si>
    <t xml:space="preserve">Orosei (NU) </t>
  </si>
  <si>
    <t>Orosei</t>
  </si>
  <si>
    <t xml:space="preserve">Orotelli (NU) </t>
  </si>
  <si>
    <t>Orotelli</t>
  </si>
  <si>
    <t xml:space="preserve">Orria (SA) </t>
  </si>
  <si>
    <t>065085</t>
  </si>
  <si>
    <t>Orria</t>
  </si>
  <si>
    <t>Orroli</t>
  </si>
  <si>
    <t xml:space="preserve">Orsago (TV) </t>
  </si>
  <si>
    <t>026053</t>
  </si>
  <si>
    <t>Orsago</t>
  </si>
  <si>
    <t xml:space="preserve">Orsara Bormida (AL) </t>
  </si>
  <si>
    <t>006119</t>
  </si>
  <si>
    <t>Orsara Bormida</t>
  </si>
  <si>
    <t xml:space="preserve">Orsara di Puglia (FG) </t>
  </si>
  <si>
    <t>071035</t>
  </si>
  <si>
    <t>Orsara di Puglia</t>
  </si>
  <si>
    <t xml:space="preserve">Orsenigo (CO) </t>
  </si>
  <si>
    <t>013170</t>
  </si>
  <si>
    <t>Orsenigo</t>
  </si>
  <si>
    <t xml:space="preserve">Orsogna (CH) </t>
  </si>
  <si>
    <t>069057</t>
  </si>
  <si>
    <t>Orsogna</t>
  </si>
  <si>
    <t xml:space="preserve">Orsomarso (CS) </t>
  </si>
  <si>
    <t>078088</t>
  </si>
  <si>
    <t>Orsomarso</t>
  </si>
  <si>
    <t xml:space="preserve">Orta di Atella (CE) </t>
  </si>
  <si>
    <t>061053</t>
  </si>
  <si>
    <t>Orta di Atella</t>
  </si>
  <si>
    <t xml:space="preserve">Orta Nova (FG) </t>
  </si>
  <si>
    <t>071036</t>
  </si>
  <si>
    <t>Orta Nova</t>
  </si>
  <si>
    <t xml:space="preserve">Orta San Giulio (NO) </t>
  </si>
  <si>
    <t>003112</t>
  </si>
  <si>
    <t>Orta San Giulio</t>
  </si>
  <si>
    <t>Ortacesus</t>
  </si>
  <si>
    <t xml:space="preserve">Orte (VT) </t>
  </si>
  <si>
    <t>056042</t>
  </si>
  <si>
    <t>Orte</t>
  </si>
  <si>
    <t xml:space="preserve">Ortelle (LE) </t>
  </si>
  <si>
    <t>075056</t>
  </si>
  <si>
    <t>Ortelle</t>
  </si>
  <si>
    <t xml:space="preserve">Ortezzano (FM) </t>
  </si>
  <si>
    <t>Ortezzano</t>
  </si>
  <si>
    <t xml:space="preserve">Ortignano Raggiolo (AR) </t>
  </si>
  <si>
    <t>051027</t>
  </si>
  <si>
    <t>Ortignano Raggiolo</t>
  </si>
  <si>
    <t>021061</t>
  </si>
  <si>
    <t xml:space="preserve">Ortona (CH) </t>
  </si>
  <si>
    <t>069058</t>
  </si>
  <si>
    <t>Ortona</t>
  </si>
  <si>
    <t xml:space="preserve">Ortona dei Marsi (AQ) </t>
  </si>
  <si>
    <t>066063</t>
  </si>
  <si>
    <t>Ortona dei Marsi</t>
  </si>
  <si>
    <t>011020</t>
  </si>
  <si>
    <t xml:space="preserve">Ortovero (SV) </t>
  </si>
  <si>
    <t>009045</t>
  </si>
  <si>
    <t>Ortovero</t>
  </si>
  <si>
    <t xml:space="preserve">Ortucchio (AQ) </t>
  </si>
  <si>
    <t>066064</t>
  </si>
  <si>
    <t>Ortucchio</t>
  </si>
  <si>
    <t xml:space="preserve">Ortueri (NU) </t>
  </si>
  <si>
    <t>Ortueri</t>
  </si>
  <si>
    <t xml:space="preserve">Orune (NU) </t>
  </si>
  <si>
    <t>Orune</t>
  </si>
  <si>
    <t xml:space="preserve">Orvieto (TR) </t>
  </si>
  <si>
    <t>055023</t>
  </si>
  <si>
    <t>Orvieto</t>
  </si>
  <si>
    <t xml:space="preserve">Orvinio (RI) </t>
  </si>
  <si>
    <t>057047</t>
  </si>
  <si>
    <t>Orvinio</t>
  </si>
  <si>
    <t xml:space="preserve">Orzinuovi (BS) </t>
  </si>
  <si>
    <t>017125</t>
  </si>
  <si>
    <t>Orzinuovi</t>
  </si>
  <si>
    <t xml:space="preserve">Orzivecchi (BS) </t>
  </si>
  <si>
    <t>017126</t>
  </si>
  <si>
    <t>Orzivecchi</t>
  </si>
  <si>
    <t xml:space="preserve">Osasco (TO) </t>
  </si>
  <si>
    <t>001173</t>
  </si>
  <si>
    <t>Osasco</t>
  </si>
  <si>
    <t xml:space="preserve">Osasio (TO) </t>
  </si>
  <si>
    <t>001174</t>
  </si>
  <si>
    <t>Osasio</t>
  </si>
  <si>
    <t>Oschiri</t>
  </si>
  <si>
    <t xml:space="preserve">Osidda (NU) </t>
  </si>
  <si>
    <t>Osidda</t>
  </si>
  <si>
    <t xml:space="preserve">Osiglia (SV) </t>
  </si>
  <si>
    <t>009046</t>
  </si>
  <si>
    <t>Osiglia</t>
  </si>
  <si>
    <t xml:space="preserve">Osilo (SS) </t>
  </si>
  <si>
    <t>Osilo</t>
  </si>
  <si>
    <t xml:space="preserve">Osimo (AN) </t>
  </si>
  <si>
    <t>042034</t>
  </si>
  <si>
    <t>Osimo</t>
  </si>
  <si>
    <t>Osini</t>
  </si>
  <si>
    <t xml:space="preserve">Osio Sopra (BG) </t>
  </si>
  <si>
    <t>016152</t>
  </si>
  <si>
    <t>Osio Sopra</t>
  </si>
  <si>
    <t xml:space="preserve">Osio Sotto (BG) </t>
  </si>
  <si>
    <t>016153</t>
  </si>
  <si>
    <t>Osio Sotto</t>
  </si>
  <si>
    <t xml:space="preserve">Osnago (LC) </t>
  </si>
  <si>
    <t>097061</t>
  </si>
  <si>
    <t>Osnago</t>
  </si>
  <si>
    <t xml:space="preserve">Osoppo (UD) </t>
  </si>
  <si>
    <t>030066</t>
  </si>
  <si>
    <t>Osoppo</t>
  </si>
  <si>
    <t xml:space="preserve">Ospedaletti (IM) </t>
  </si>
  <si>
    <t>008039</t>
  </si>
  <si>
    <t>Ospedaletti</t>
  </si>
  <si>
    <t xml:space="preserve">Ospedaletto (TN) </t>
  </si>
  <si>
    <t>022130</t>
  </si>
  <si>
    <t>Ospedaletto</t>
  </si>
  <si>
    <t xml:space="preserve">Ospedaletto d'Alpinolo (AV) </t>
  </si>
  <si>
    <t>064067</t>
  </si>
  <si>
    <t>Ospedaletto d'Alpinolo</t>
  </si>
  <si>
    <t xml:space="preserve">Ospedaletto Euganeo (PD) </t>
  </si>
  <si>
    <t>028059</t>
  </si>
  <si>
    <t>Ospedaletto Euganeo</t>
  </si>
  <si>
    <t xml:space="preserve">Ospedaletto Lodigiano (LO) </t>
  </si>
  <si>
    <t>098043</t>
  </si>
  <si>
    <t>Ospedaletto Lodigiano</t>
  </si>
  <si>
    <t xml:space="preserve">Ospitale di Cadore (BL) </t>
  </si>
  <si>
    <t>025035</t>
  </si>
  <si>
    <t>Ospitale di Cadore</t>
  </si>
  <si>
    <t xml:space="preserve">Ospitaletto (BS) </t>
  </si>
  <si>
    <t>017127</t>
  </si>
  <si>
    <t>Ospitaletto</t>
  </si>
  <si>
    <t xml:space="preserve">Ossago Lodigiano (LO) </t>
  </si>
  <si>
    <t>098044</t>
  </si>
  <si>
    <t>Ossago Lodigiano</t>
  </si>
  <si>
    <t xml:space="preserve">Ossana (TN) </t>
  </si>
  <si>
    <t>022131</t>
  </si>
  <si>
    <t>Ossana</t>
  </si>
  <si>
    <t xml:space="preserve">Ossi (SS) </t>
  </si>
  <si>
    <t>Ossi</t>
  </si>
  <si>
    <t xml:space="preserve">Ossimo (BS) </t>
  </si>
  <si>
    <t>017128</t>
  </si>
  <si>
    <t>Ossimo</t>
  </si>
  <si>
    <t xml:space="preserve">Ossona (MI) </t>
  </si>
  <si>
    <t>015164</t>
  </si>
  <si>
    <t>Ossona</t>
  </si>
  <si>
    <t xml:space="preserve">Ostana (CN) </t>
  </si>
  <si>
    <t>004156</t>
  </si>
  <si>
    <t>Ostana</t>
  </si>
  <si>
    <t xml:space="preserve">Ostellato (FE) </t>
  </si>
  <si>
    <t>038017</t>
  </si>
  <si>
    <t>Ostellato</t>
  </si>
  <si>
    <t xml:space="preserve">Ostiano (CR) </t>
  </si>
  <si>
    <t>019064</t>
  </si>
  <si>
    <t>Ostiano</t>
  </si>
  <si>
    <t xml:space="preserve">Ostiglia (MN) </t>
  </si>
  <si>
    <t>020038</t>
  </si>
  <si>
    <t>Ostiglia</t>
  </si>
  <si>
    <t xml:space="preserve">Ostra (AN) </t>
  </si>
  <si>
    <t>042035</t>
  </si>
  <si>
    <t>Ostra</t>
  </si>
  <si>
    <t xml:space="preserve">Ostra Vetere (AN) </t>
  </si>
  <si>
    <t>042036</t>
  </si>
  <si>
    <t>Ostra Vetere</t>
  </si>
  <si>
    <t xml:space="preserve">Ostuni (BR) </t>
  </si>
  <si>
    <t>074012</t>
  </si>
  <si>
    <t>Ostuni</t>
  </si>
  <si>
    <t xml:space="preserve">Otranto (LE) </t>
  </si>
  <si>
    <t>075057</t>
  </si>
  <si>
    <t>Otranto</t>
  </si>
  <si>
    <t xml:space="preserve">Otricoli (TR) </t>
  </si>
  <si>
    <t>055024</t>
  </si>
  <si>
    <t>Otricoli</t>
  </si>
  <si>
    <t xml:space="preserve">Ottana (NU) </t>
  </si>
  <si>
    <t>Ottana</t>
  </si>
  <si>
    <t xml:space="preserve">Ottati (SA) </t>
  </si>
  <si>
    <t>065086</t>
  </si>
  <si>
    <t>Ottati</t>
  </si>
  <si>
    <t xml:space="preserve">Ottaviano (NA) </t>
  </si>
  <si>
    <t>063051</t>
  </si>
  <si>
    <t>Ottaviano</t>
  </si>
  <si>
    <t xml:space="preserve">Ottiglio (AL) </t>
  </si>
  <si>
    <t>006120</t>
  </si>
  <si>
    <t>Ottiglio</t>
  </si>
  <si>
    <t xml:space="preserve">Ottobiano (PV) </t>
  </si>
  <si>
    <t>018106</t>
  </si>
  <si>
    <t>Ottobiano</t>
  </si>
  <si>
    <t xml:space="preserve">Ottone (PC) </t>
  </si>
  <si>
    <t>033030</t>
  </si>
  <si>
    <t>Ottone</t>
  </si>
  <si>
    <t xml:space="preserve">Oulx (TO) </t>
  </si>
  <si>
    <t>001175</t>
  </si>
  <si>
    <t>Oulx</t>
  </si>
  <si>
    <t xml:space="preserve">Ovada (AL) </t>
  </si>
  <si>
    <t>006121</t>
  </si>
  <si>
    <t>Ovada</t>
  </si>
  <si>
    <t xml:space="preserve">Ovaro (UD) </t>
  </si>
  <si>
    <t>030067</t>
  </si>
  <si>
    <t>Ovaro</t>
  </si>
  <si>
    <t xml:space="preserve">Oviglio (AL) </t>
  </si>
  <si>
    <t>006122</t>
  </si>
  <si>
    <t>Oviglio</t>
  </si>
  <si>
    <t xml:space="preserve">Ovindoli (AQ) </t>
  </si>
  <si>
    <t>066065</t>
  </si>
  <si>
    <t>Ovindoli</t>
  </si>
  <si>
    <t xml:space="preserve">Ovodda (NU) </t>
  </si>
  <si>
    <t>Ovodda</t>
  </si>
  <si>
    <t xml:space="preserve">Oyace (AO) </t>
  </si>
  <si>
    <t>007047</t>
  </si>
  <si>
    <t>Oyace</t>
  </si>
  <si>
    <t xml:space="preserve">Ozegna (TO) </t>
  </si>
  <si>
    <t>001176</t>
  </si>
  <si>
    <t>Ozegna</t>
  </si>
  <si>
    <t xml:space="preserve">Ozieri (SS) </t>
  </si>
  <si>
    <t>Ozieri</t>
  </si>
  <si>
    <t xml:space="preserve">Ozzano dell'Emilia (BO) </t>
  </si>
  <si>
    <t>037046</t>
  </si>
  <si>
    <t>Ozzano dell'Emilia</t>
  </si>
  <si>
    <t xml:space="preserve">Ozzano Monferrato (AL) </t>
  </si>
  <si>
    <t>006123</t>
  </si>
  <si>
    <t>Ozzano Monferrato</t>
  </si>
  <si>
    <t xml:space="preserve">Ozzero (MI) </t>
  </si>
  <si>
    <t>015165</t>
  </si>
  <si>
    <t>Ozzero</t>
  </si>
  <si>
    <t>Pabillonis</t>
  </si>
  <si>
    <t xml:space="preserve">Pace del Mela (ME) </t>
  </si>
  <si>
    <t>083064</t>
  </si>
  <si>
    <t>Pace del Mela</t>
  </si>
  <si>
    <t xml:space="preserve">Paceco (TP) </t>
  </si>
  <si>
    <t>081013</t>
  </si>
  <si>
    <t>Paceco</t>
  </si>
  <si>
    <t xml:space="preserve">Pacentro (AQ) </t>
  </si>
  <si>
    <t>066066</t>
  </si>
  <si>
    <t>Pacentro</t>
  </si>
  <si>
    <t xml:space="preserve">Pachino (SR) </t>
  </si>
  <si>
    <t>089014</t>
  </si>
  <si>
    <t>Pachino</t>
  </si>
  <si>
    <t xml:space="preserve">Paciano (PG) </t>
  </si>
  <si>
    <t>054036</t>
  </si>
  <si>
    <t>Paciano</t>
  </si>
  <si>
    <t xml:space="preserve">Padenghe sul Garda (BS) </t>
  </si>
  <si>
    <t>017129</t>
  </si>
  <si>
    <t>Padenghe sul Garda</t>
  </si>
  <si>
    <t xml:space="preserve">Paderna (AL) </t>
  </si>
  <si>
    <t>006124</t>
  </si>
  <si>
    <t>Paderna</t>
  </si>
  <si>
    <t xml:space="preserve">Paderno d'Adda (LC) </t>
  </si>
  <si>
    <t>097062</t>
  </si>
  <si>
    <t>Paderno d'Adda</t>
  </si>
  <si>
    <t xml:space="preserve">Paderno Dugnano (MI) </t>
  </si>
  <si>
    <t>015166</t>
  </si>
  <si>
    <t>Paderno Dugnano</t>
  </si>
  <si>
    <t xml:space="preserve">Paderno Franciacorta (BS) </t>
  </si>
  <si>
    <t>017130</t>
  </si>
  <si>
    <t>Paderno Franciacorta</t>
  </si>
  <si>
    <t xml:space="preserve">Paderno Ponchielli (CR) </t>
  </si>
  <si>
    <t>019065</t>
  </si>
  <si>
    <t>Paderno Ponchielli</t>
  </si>
  <si>
    <t xml:space="preserve">Padova (PD) </t>
  </si>
  <si>
    <t>028060</t>
  </si>
  <si>
    <t>Padova</t>
  </si>
  <si>
    <t xml:space="preserve">Padria (SS) </t>
  </si>
  <si>
    <t>Padria</t>
  </si>
  <si>
    <t>Padru</t>
  </si>
  <si>
    <t xml:space="preserve">Padula (SA) </t>
  </si>
  <si>
    <t>065087</t>
  </si>
  <si>
    <t>Padula</t>
  </si>
  <si>
    <t xml:space="preserve">Paduli (BN) </t>
  </si>
  <si>
    <t>062045</t>
  </si>
  <si>
    <t>Paduli</t>
  </si>
  <si>
    <t xml:space="preserve">Paesana (CN) </t>
  </si>
  <si>
    <t>004157</t>
  </si>
  <si>
    <t>Paesana</t>
  </si>
  <si>
    <t xml:space="preserve">Paese (TV) </t>
  </si>
  <si>
    <t>026055</t>
  </si>
  <si>
    <t>Paese</t>
  </si>
  <si>
    <t xml:space="preserve">Pagani (SA) </t>
  </si>
  <si>
    <t>065088</t>
  </si>
  <si>
    <t>Pagani</t>
  </si>
  <si>
    <t xml:space="preserve">Paganico Sabino (RI) </t>
  </si>
  <si>
    <t>057048</t>
  </si>
  <si>
    <t>Paganico Sabino</t>
  </si>
  <si>
    <t xml:space="preserve">Pagazzano (BG) </t>
  </si>
  <si>
    <t>016154</t>
  </si>
  <si>
    <t>Pagazzano</t>
  </si>
  <si>
    <t xml:space="preserve">Pagliara (ME) </t>
  </si>
  <si>
    <t>083065</t>
  </si>
  <si>
    <t>Pagliara</t>
  </si>
  <si>
    <t xml:space="preserve">Paglieta (CH) </t>
  </si>
  <si>
    <t>069059</t>
  </si>
  <si>
    <t>Paglieta</t>
  </si>
  <si>
    <t xml:space="preserve">Pagnacco (UD) </t>
  </si>
  <si>
    <t>030068</t>
  </si>
  <si>
    <t>Pagnacco</t>
  </si>
  <si>
    <t xml:space="preserve">Pagno (CN) </t>
  </si>
  <si>
    <t>004158</t>
  </si>
  <si>
    <t>Pagno</t>
  </si>
  <si>
    <t xml:space="preserve">Pagnona (LC) </t>
  </si>
  <si>
    <t>097063</t>
  </si>
  <si>
    <t>Pagnona</t>
  </si>
  <si>
    <t xml:space="preserve">Pago del Vallo di Lauro (AV) </t>
  </si>
  <si>
    <t>064068</t>
  </si>
  <si>
    <t>Pago del Vallo di Lauro</t>
  </si>
  <si>
    <t xml:space="preserve">Pago Veiano (BN) </t>
  </si>
  <si>
    <t>062046</t>
  </si>
  <si>
    <t>Pago Veiano</t>
  </si>
  <si>
    <t xml:space="preserve">Paisco Loveno (BS) </t>
  </si>
  <si>
    <t>017131</t>
  </si>
  <si>
    <t>Paisco Loveno</t>
  </si>
  <si>
    <t xml:space="preserve">Paitone (BS) </t>
  </si>
  <si>
    <t>017132</t>
  </si>
  <si>
    <t>Paitone</t>
  </si>
  <si>
    <t xml:space="preserve">Paladina (BG) </t>
  </si>
  <si>
    <t>016155</t>
  </si>
  <si>
    <t>Paladina</t>
  </si>
  <si>
    <t xml:space="preserve">Palagano (MO) </t>
  </si>
  <si>
    <t>036029</t>
  </si>
  <si>
    <t>Palagano</t>
  </si>
  <si>
    <t xml:space="preserve">Palagianello (TA) </t>
  </si>
  <si>
    <t>073020</t>
  </si>
  <si>
    <t>Palagianello</t>
  </si>
  <si>
    <t xml:space="preserve">Palagiano (TA) </t>
  </si>
  <si>
    <t>073021</t>
  </si>
  <si>
    <t>Palagiano</t>
  </si>
  <si>
    <t xml:space="preserve">Palagonia (CT) </t>
  </si>
  <si>
    <t>087032</t>
  </si>
  <si>
    <t>Palagonia</t>
  </si>
  <si>
    <t xml:space="preserve">Palaia (PI) </t>
  </si>
  <si>
    <t>050024</t>
  </si>
  <si>
    <t>Palaia</t>
  </si>
  <si>
    <t xml:space="preserve">Palanzano (PR) </t>
  </si>
  <si>
    <t>034026</t>
  </si>
  <si>
    <t>Palanzano</t>
  </si>
  <si>
    <t xml:space="preserve">Palata (CB) </t>
  </si>
  <si>
    <t>070050</t>
  </si>
  <si>
    <t>Palata</t>
  </si>
  <si>
    <t>Palau</t>
  </si>
  <si>
    <t xml:space="preserve">Palazzago (BG) </t>
  </si>
  <si>
    <t>016156</t>
  </si>
  <si>
    <t>Palazzago</t>
  </si>
  <si>
    <t xml:space="preserve">Palazzo Adriano (PA) </t>
  </si>
  <si>
    <t>082052</t>
  </si>
  <si>
    <t>Palazzo Adriano</t>
  </si>
  <si>
    <t xml:space="preserve">Palazzo Canavese (TO) </t>
  </si>
  <si>
    <t>001177</t>
  </si>
  <si>
    <t>Palazzo Canavese</t>
  </si>
  <si>
    <t xml:space="preserve">Palazzo Pignano (CR) </t>
  </si>
  <si>
    <t>019066</t>
  </si>
  <si>
    <t>Palazzo Pignano</t>
  </si>
  <si>
    <t xml:space="preserve">Palazzo San Gervasio (PZ) </t>
  </si>
  <si>
    <t>076057</t>
  </si>
  <si>
    <t>Palazzo San Gervasio</t>
  </si>
  <si>
    <t xml:space="preserve">Palazzolo Acreide (SR) </t>
  </si>
  <si>
    <t>089015</t>
  </si>
  <si>
    <t>Palazzolo Acreide</t>
  </si>
  <si>
    <t xml:space="preserve">Palazzolo dello Stella (UD) </t>
  </si>
  <si>
    <t>030069</t>
  </si>
  <si>
    <t>Palazzolo dello Stella</t>
  </si>
  <si>
    <t xml:space="preserve">Palazzolo sull'Oglio (BS) </t>
  </si>
  <si>
    <t>017133</t>
  </si>
  <si>
    <t>Palazzolo sull'Oglio</t>
  </si>
  <si>
    <t xml:space="preserve">Palazzolo Vercellese (VC) </t>
  </si>
  <si>
    <t>002090</t>
  </si>
  <si>
    <t>Palazzolo Vercellese</t>
  </si>
  <si>
    <t xml:space="preserve">Palena (CH) </t>
  </si>
  <si>
    <t>069060</t>
  </si>
  <si>
    <t>Palena</t>
  </si>
  <si>
    <t xml:space="preserve">Palermiti (CZ) </t>
  </si>
  <si>
    <t>079089</t>
  </si>
  <si>
    <t>Palermiti</t>
  </si>
  <si>
    <t xml:space="preserve">Palermo (PA) </t>
  </si>
  <si>
    <t>082053</t>
  </si>
  <si>
    <t>Palermo</t>
  </si>
  <si>
    <t xml:space="preserve">Palestrina (RM) </t>
  </si>
  <si>
    <t>058074</t>
  </si>
  <si>
    <t>Palestrina</t>
  </si>
  <si>
    <t xml:space="preserve">Palestro (PV) </t>
  </si>
  <si>
    <t>018107</t>
  </si>
  <si>
    <t>Palestro</t>
  </si>
  <si>
    <t xml:space="preserve">Paliano (FR) </t>
  </si>
  <si>
    <t>060046</t>
  </si>
  <si>
    <t>Paliano</t>
  </si>
  <si>
    <t xml:space="preserve">Palizzi (RC) </t>
  </si>
  <si>
    <t>080056</t>
  </si>
  <si>
    <t>Palizzi</t>
  </si>
  <si>
    <t xml:space="preserve">Pallagorio (KR) </t>
  </si>
  <si>
    <t>Pallagorio</t>
  </si>
  <si>
    <t xml:space="preserve">Pallanzeno (VB) </t>
  </si>
  <si>
    <t>Pallanzeno</t>
  </si>
  <si>
    <t xml:space="preserve">Pallare (SV) </t>
  </si>
  <si>
    <t>009047</t>
  </si>
  <si>
    <t>Pallare</t>
  </si>
  <si>
    <t xml:space="preserve">Palma Campania (NA) </t>
  </si>
  <si>
    <t>063052</t>
  </si>
  <si>
    <t>Palma Campania</t>
  </si>
  <si>
    <t xml:space="preserve">Palma di Montechiaro (AG) </t>
  </si>
  <si>
    <t>084027</t>
  </si>
  <si>
    <t>Palma di Montechiaro</t>
  </si>
  <si>
    <t xml:space="preserve">Palmanova (UD) </t>
  </si>
  <si>
    <t>030070</t>
  </si>
  <si>
    <t>Palmanova</t>
  </si>
  <si>
    <t xml:space="preserve">Palmariggi (LE) </t>
  </si>
  <si>
    <t>075058</t>
  </si>
  <si>
    <t>Palmariggi</t>
  </si>
  <si>
    <t xml:space="preserve">Palmas Arborea (OR) </t>
  </si>
  <si>
    <t>Palmas Arborea</t>
  </si>
  <si>
    <t xml:space="preserve">Palmi (RC) </t>
  </si>
  <si>
    <t>080057</t>
  </si>
  <si>
    <t>Palmi</t>
  </si>
  <si>
    <t xml:space="preserve">Palmiano (AP) </t>
  </si>
  <si>
    <t>044056</t>
  </si>
  <si>
    <t>Palmiano</t>
  </si>
  <si>
    <t xml:space="preserve">Palmoli (CH) </t>
  </si>
  <si>
    <t>069061</t>
  </si>
  <si>
    <t>Palmoli</t>
  </si>
  <si>
    <t xml:space="preserve">Palo del Colle (BA) </t>
  </si>
  <si>
    <t>072033</t>
  </si>
  <si>
    <t>Palo del Colle</t>
  </si>
  <si>
    <t xml:space="preserve">Palombara Sabina (RM) </t>
  </si>
  <si>
    <t>058075</t>
  </si>
  <si>
    <t>Palombara Sabina</t>
  </si>
  <si>
    <t xml:space="preserve">Palombaro (CH) </t>
  </si>
  <si>
    <t>069062</t>
  </si>
  <si>
    <t>Palombaro</t>
  </si>
  <si>
    <t xml:space="preserve">Palomonte (SA) </t>
  </si>
  <si>
    <t>065089</t>
  </si>
  <si>
    <t>Palomonte</t>
  </si>
  <si>
    <t xml:space="preserve">Palosco (BG) </t>
  </si>
  <si>
    <t>016157</t>
  </si>
  <si>
    <t>Palosco</t>
  </si>
  <si>
    <t xml:space="preserve">Palù (VR) </t>
  </si>
  <si>
    <t>023056</t>
  </si>
  <si>
    <t>Palù</t>
  </si>
  <si>
    <t xml:space="preserve">Palù del Fersina (TN) </t>
  </si>
  <si>
    <t>022133</t>
  </si>
  <si>
    <t>Palù del Fersina</t>
  </si>
  <si>
    <t xml:space="preserve">Paludi (CS) </t>
  </si>
  <si>
    <t>078089</t>
  </si>
  <si>
    <t>Paludi</t>
  </si>
  <si>
    <t xml:space="preserve">Paluzza (UD) </t>
  </si>
  <si>
    <t>030071</t>
  </si>
  <si>
    <t>Paluzza</t>
  </si>
  <si>
    <t xml:space="preserve">Pamparato (CN) </t>
  </si>
  <si>
    <t>004159</t>
  </si>
  <si>
    <t>Pamparato</t>
  </si>
  <si>
    <t xml:space="preserve">Pancalieri (TO) </t>
  </si>
  <si>
    <t>001178</t>
  </si>
  <si>
    <t>Pancalieri</t>
  </si>
  <si>
    <t xml:space="preserve">Pancarana (PV) </t>
  </si>
  <si>
    <t>018108</t>
  </si>
  <si>
    <t>Pancarana</t>
  </si>
  <si>
    <t xml:space="preserve">Panchià (TN) </t>
  </si>
  <si>
    <t>022134</t>
  </si>
  <si>
    <t>Panchià</t>
  </si>
  <si>
    <t xml:space="preserve">Pandino (CR) </t>
  </si>
  <si>
    <t>019067</t>
  </si>
  <si>
    <t>Pandino</t>
  </si>
  <si>
    <t xml:space="preserve">Panettieri (CS) </t>
  </si>
  <si>
    <t>078090</t>
  </si>
  <si>
    <t>Panettieri</t>
  </si>
  <si>
    <t xml:space="preserve">Panicale (PG) </t>
  </si>
  <si>
    <t>054037</t>
  </si>
  <si>
    <t>Panicale</t>
  </si>
  <si>
    <t xml:space="preserve">Pannarano (BN) </t>
  </si>
  <si>
    <t>062047</t>
  </si>
  <si>
    <t>Pannarano</t>
  </si>
  <si>
    <t xml:space="preserve">Panni (FG) </t>
  </si>
  <si>
    <t>071037</t>
  </si>
  <si>
    <t>Panni</t>
  </si>
  <si>
    <t xml:space="preserve">Pantelleria (TP) </t>
  </si>
  <si>
    <t>081014</t>
  </si>
  <si>
    <t>Pantelleria</t>
  </si>
  <si>
    <t xml:space="preserve">Pantigliate (MI) </t>
  </si>
  <si>
    <t>015167</t>
  </si>
  <si>
    <t>Pantigliate</t>
  </si>
  <si>
    <t xml:space="preserve">Paola (CS) </t>
  </si>
  <si>
    <t>078091</t>
  </si>
  <si>
    <t>Paola</t>
  </si>
  <si>
    <t xml:space="preserve">Paolisi (BN) </t>
  </si>
  <si>
    <t>062048</t>
  </si>
  <si>
    <t>Paolisi</t>
  </si>
  <si>
    <t xml:space="preserve">Papasidero (CS) </t>
  </si>
  <si>
    <t>078092</t>
  </si>
  <si>
    <t>Papasidero</t>
  </si>
  <si>
    <t xml:space="preserve">Papozze (RO) </t>
  </si>
  <si>
    <t>029034</t>
  </si>
  <si>
    <t>Papozze</t>
  </si>
  <si>
    <t xml:space="preserve">Parabiago (MI) </t>
  </si>
  <si>
    <t>015168</t>
  </si>
  <si>
    <t>Parabiago</t>
  </si>
  <si>
    <t xml:space="preserve">Parabita (LE) </t>
  </si>
  <si>
    <t>075059</t>
  </si>
  <si>
    <t>Parabita</t>
  </si>
  <si>
    <t xml:space="preserve">Paratico (BS) </t>
  </si>
  <si>
    <t>017134</t>
  </si>
  <si>
    <t>Paratico</t>
  </si>
  <si>
    <t>021062</t>
  </si>
  <si>
    <t xml:space="preserve">Parella (TO) </t>
  </si>
  <si>
    <t>001179</t>
  </si>
  <si>
    <t>Parella</t>
  </si>
  <si>
    <t xml:space="preserve">Parenti (CS) </t>
  </si>
  <si>
    <t>078093</t>
  </si>
  <si>
    <t>Parenti</t>
  </si>
  <si>
    <t xml:space="preserve">Parete (CE) </t>
  </si>
  <si>
    <t>061054</t>
  </si>
  <si>
    <t>Parete</t>
  </si>
  <si>
    <t xml:space="preserve">Pareto (AL) </t>
  </si>
  <si>
    <t>006125</t>
  </si>
  <si>
    <t>Pareto</t>
  </si>
  <si>
    <t xml:space="preserve">Parghelia (VV) </t>
  </si>
  <si>
    <t>Parghelia</t>
  </si>
  <si>
    <t xml:space="preserve">Parlasco (LC) </t>
  </si>
  <si>
    <t>097064</t>
  </si>
  <si>
    <t>Parlasco</t>
  </si>
  <si>
    <t xml:space="preserve">Parma (PR) </t>
  </si>
  <si>
    <t>034027</t>
  </si>
  <si>
    <t>Parma</t>
  </si>
  <si>
    <t xml:space="preserve">Parodi Ligure (AL) </t>
  </si>
  <si>
    <t>006126</t>
  </si>
  <si>
    <t>Parodi Ligure</t>
  </si>
  <si>
    <t xml:space="preserve">Paroldo (CN) </t>
  </si>
  <si>
    <t>004160</t>
  </si>
  <si>
    <t>Paroldo</t>
  </si>
  <si>
    <t xml:space="preserve">Parolise (AV) </t>
  </si>
  <si>
    <t>064069</t>
  </si>
  <si>
    <t>Parolise</t>
  </si>
  <si>
    <t xml:space="preserve">Parona (PV) </t>
  </si>
  <si>
    <t>018109</t>
  </si>
  <si>
    <t>Parona</t>
  </si>
  <si>
    <t xml:space="preserve">Parrano (TR) </t>
  </si>
  <si>
    <t>055025</t>
  </si>
  <si>
    <t>Parrano</t>
  </si>
  <si>
    <t xml:space="preserve">Parre (BG) </t>
  </si>
  <si>
    <t>016158</t>
  </si>
  <si>
    <t>Parre</t>
  </si>
  <si>
    <t xml:space="preserve">Partanna (TP) </t>
  </si>
  <si>
    <t>081015</t>
  </si>
  <si>
    <t>Partanna</t>
  </si>
  <si>
    <t xml:space="preserve">Partinico (PA) </t>
  </si>
  <si>
    <t>082054</t>
  </si>
  <si>
    <t>Partinico</t>
  </si>
  <si>
    <t xml:space="preserve">Paruzzaro (NO) </t>
  </si>
  <si>
    <t>003114</t>
  </si>
  <si>
    <t>Paruzzaro</t>
  </si>
  <si>
    <t xml:space="preserve">Parzanica (BG) </t>
  </si>
  <si>
    <t>016159</t>
  </si>
  <si>
    <t>Parzanica</t>
  </si>
  <si>
    <t xml:space="preserve">Pasian di Prato (UD) </t>
  </si>
  <si>
    <t>030072</t>
  </si>
  <si>
    <t>Pasian di Prato</t>
  </si>
  <si>
    <t xml:space="preserve">Pasiano di Pordenone (PN) </t>
  </si>
  <si>
    <t>093029</t>
  </si>
  <si>
    <t>Pasiano di Pordenone</t>
  </si>
  <si>
    <t xml:space="preserve">Paspardo (BS) </t>
  </si>
  <si>
    <t>017135</t>
  </si>
  <si>
    <t>Paspardo</t>
  </si>
  <si>
    <t xml:space="preserve">Passerano Marmorito (AT) </t>
  </si>
  <si>
    <t>005082</t>
  </si>
  <si>
    <t>Passerano Marmorito</t>
  </si>
  <si>
    <t xml:space="preserve">Passignano sul Trasimeno (PG) </t>
  </si>
  <si>
    <t>054038</t>
  </si>
  <si>
    <t>Passignano sul Trasimeno</t>
  </si>
  <si>
    <t xml:space="preserve">Passirano (BS) </t>
  </si>
  <si>
    <t>017136</t>
  </si>
  <si>
    <t>Passirano</t>
  </si>
  <si>
    <t xml:space="preserve">Pastena (FR) </t>
  </si>
  <si>
    <t>060047</t>
  </si>
  <si>
    <t>Pastena</t>
  </si>
  <si>
    <t xml:space="preserve">Pastorano (CE) </t>
  </si>
  <si>
    <t>061055</t>
  </si>
  <si>
    <t>Pastorano</t>
  </si>
  <si>
    <t xml:space="preserve">Pastrengo (VR) </t>
  </si>
  <si>
    <t>023057</t>
  </si>
  <si>
    <t>Pastrengo</t>
  </si>
  <si>
    <t xml:space="preserve">Pasturana (AL) </t>
  </si>
  <si>
    <t>006127</t>
  </si>
  <si>
    <t>Pasturana</t>
  </si>
  <si>
    <t xml:space="preserve">Pasturo (LC) </t>
  </si>
  <si>
    <t>097065</t>
  </si>
  <si>
    <t>Pasturo</t>
  </si>
  <si>
    <t xml:space="preserve">Paternò (CT) </t>
  </si>
  <si>
    <t>087033</t>
  </si>
  <si>
    <t>Paternò</t>
  </si>
  <si>
    <t xml:space="preserve">Paterno (PZ) </t>
  </si>
  <si>
    <t>076100</t>
  </si>
  <si>
    <t>Paterno</t>
  </si>
  <si>
    <t xml:space="preserve">Paterno Calabro (CS) </t>
  </si>
  <si>
    <t>078094</t>
  </si>
  <si>
    <t>Paterno Calabro</t>
  </si>
  <si>
    <t xml:space="preserve">Paternopoli (AV) </t>
  </si>
  <si>
    <t>064070</t>
  </si>
  <si>
    <t>Paternopoli</t>
  </si>
  <si>
    <t xml:space="preserve">Patrica (FR) </t>
  </si>
  <si>
    <t>060048</t>
  </si>
  <si>
    <t>Patrica</t>
  </si>
  <si>
    <t xml:space="preserve">Pattada (SS) </t>
  </si>
  <si>
    <t>Pattada</t>
  </si>
  <si>
    <t xml:space="preserve">Patti (ME) </t>
  </si>
  <si>
    <t>083066</t>
  </si>
  <si>
    <t>Patti</t>
  </si>
  <si>
    <t xml:space="preserve">Patù (LE) </t>
  </si>
  <si>
    <t>075060</t>
  </si>
  <si>
    <t>Patù</t>
  </si>
  <si>
    <t xml:space="preserve">Pau (OR) </t>
  </si>
  <si>
    <t>Pau</t>
  </si>
  <si>
    <t xml:space="preserve">Paularo (UD) </t>
  </si>
  <si>
    <t>030073</t>
  </si>
  <si>
    <t>Paularo</t>
  </si>
  <si>
    <t>Pauli Arbarei</t>
  </si>
  <si>
    <t xml:space="preserve">Paulilatino (OR) </t>
  </si>
  <si>
    <t>Paulilatino</t>
  </si>
  <si>
    <t xml:space="preserve">Paullo (MI) </t>
  </si>
  <si>
    <t>015169</t>
  </si>
  <si>
    <t>Paullo</t>
  </si>
  <si>
    <t xml:space="preserve">Paupisi (BN) </t>
  </si>
  <si>
    <t>062049</t>
  </si>
  <si>
    <t>Paupisi</t>
  </si>
  <si>
    <t xml:space="preserve">Pavarolo (TO) </t>
  </si>
  <si>
    <t>001180</t>
  </si>
  <si>
    <t>Pavarolo</t>
  </si>
  <si>
    <t xml:space="preserve">Pavia (PV) </t>
  </si>
  <si>
    <t>018110</t>
  </si>
  <si>
    <t>Pavia</t>
  </si>
  <si>
    <t xml:space="preserve">Pavia di Udine (UD) </t>
  </si>
  <si>
    <t>030074</t>
  </si>
  <si>
    <t>Pavia di Udine</t>
  </si>
  <si>
    <t xml:space="preserve">Pavone Canavese (TO) </t>
  </si>
  <si>
    <t>001181</t>
  </si>
  <si>
    <t>Pavone Canavese</t>
  </si>
  <si>
    <t xml:space="preserve">Pavone del Mella (BS) </t>
  </si>
  <si>
    <t>017137</t>
  </si>
  <si>
    <t>Pavone del Mella</t>
  </si>
  <si>
    <t xml:space="preserve">Pavullo nel Frignano (MO) </t>
  </si>
  <si>
    <t>036030</t>
  </si>
  <si>
    <t>Pavullo nel Frignano</t>
  </si>
  <si>
    <t xml:space="preserve">Pazzano (RC) </t>
  </si>
  <si>
    <t>080058</t>
  </si>
  <si>
    <t>Pazzano</t>
  </si>
  <si>
    <t xml:space="preserve">Peccioli (PI) </t>
  </si>
  <si>
    <t>050025</t>
  </si>
  <si>
    <t>Peccioli</t>
  </si>
  <si>
    <t xml:space="preserve">Pecetto di Valenza (AL) </t>
  </si>
  <si>
    <t>006128</t>
  </si>
  <si>
    <t>Pecetto di Valenza</t>
  </si>
  <si>
    <t xml:space="preserve">Pecetto Torinese (TO) </t>
  </si>
  <si>
    <t>001183</t>
  </si>
  <si>
    <t>Pecetto Torinese</t>
  </si>
  <si>
    <t xml:space="preserve">Pedara (CT) </t>
  </si>
  <si>
    <t>087034</t>
  </si>
  <si>
    <t>Pedara</t>
  </si>
  <si>
    <t xml:space="preserve">Pedaso (FM) </t>
  </si>
  <si>
    <t>Pedaso</t>
  </si>
  <si>
    <t xml:space="preserve">Pedavena (BL) </t>
  </si>
  <si>
    <t>025036</t>
  </si>
  <si>
    <t>Pedavena</t>
  </si>
  <si>
    <t xml:space="preserve">Pedemonte (VI) </t>
  </si>
  <si>
    <t>024076</t>
  </si>
  <si>
    <t>Pedemonte</t>
  </si>
  <si>
    <t xml:space="preserve">Pederobba (TV) </t>
  </si>
  <si>
    <t>026056</t>
  </si>
  <si>
    <t>Pederobba</t>
  </si>
  <si>
    <t xml:space="preserve">Pedesina (SO) </t>
  </si>
  <si>
    <t>014047</t>
  </si>
  <si>
    <t>Pedesina</t>
  </si>
  <si>
    <t xml:space="preserve">Pedivigliano (CS) </t>
  </si>
  <si>
    <t>078096</t>
  </si>
  <si>
    <t>Pedivigliano</t>
  </si>
  <si>
    <t xml:space="preserve">Pedrengo (BG) </t>
  </si>
  <si>
    <t>016160</t>
  </si>
  <si>
    <t>Pedrengo</t>
  </si>
  <si>
    <t xml:space="preserve">Peglio (CO) </t>
  </si>
  <si>
    <t>013178</t>
  </si>
  <si>
    <t>Peglio</t>
  </si>
  <si>
    <t xml:space="preserve">Pegognaga (MN) </t>
  </si>
  <si>
    <t>020039</t>
  </si>
  <si>
    <t>Pegognaga</t>
  </si>
  <si>
    <t xml:space="preserve">Peia (BG) </t>
  </si>
  <si>
    <t>016161</t>
  </si>
  <si>
    <t>Peia</t>
  </si>
  <si>
    <t xml:space="preserve">Peio (TN) </t>
  </si>
  <si>
    <t>022136</t>
  </si>
  <si>
    <t>Peio</t>
  </si>
  <si>
    <t xml:space="preserve">Pelago (FI) </t>
  </si>
  <si>
    <t>048032</t>
  </si>
  <si>
    <t>Pelago</t>
  </si>
  <si>
    <t xml:space="preserve">Pella (NO) </t>
  </si>
  <si>
    <t>003115</t>
  </si>
  <si>
    <t>Pella</t>
  </si>
  <si>
    <t xml:space="preserve">Pellegrino Parmense (PR) </t>
  </si>
  <si>
    <t>034028</t>
  </si>
  <si>
    <t>Pellegrino Parmense</t>
  </si>
  <si>
    <t xml:space="preserve">Pellezzano (SA) </t>
  </si>
  <si>
    <t>065090</t>
  </si>
  <si>
    <t>Pellezzano</t>
  </si>
  <si>
    <t xml:space="preserve">Pellizzano (TN) </t>
  </si>
  <si>
    <t>022137</t>
  </si>
  <si>
    <t>Pellizzano</t>
  </si>
  <si>
    <t xml:space="preserve">Pelugo (TN) </t>
  </si>
  <si>
    <t>022138</t>
  </si>
  <si>
    <t>Pelugo</t>
  </si>
  <si>
    <t xml:space="preserve">Penango (AT) </t>
  </si>
  <si>
    <t>005083</t>
  </si>
  <si>
    <t>Penango</t>
  </si>
  <si>
    <t xml:space="preserve">Penna in Teverina (TR) </t>
  </si>
  <si>
    <t>055026</t>
  </si>
  <si>
    <t>Penna in Teverina</t>
  </si>
  <si>
    <t xml:space="preserve">Penna San Giovanni (MC) </t>
  </si>
  <si>
    <t>043035</t>
  </si>
  <si>
    <t>Penna San Giovanni</t>
  </si>
  <si>
    <t xml:space="preserve">Penna Sant'Andrea (TE) </t>
  </si>
  <si>
    <t>067033</t>
  </si>
  <si>
    <t>Penna Sant'Andrea</t>
  </si>
  <si>
    <t xml:space="preserve">Pennabilli (RN) </t>
  </si>
  <si>
    <t>Pennabilli</t>
  </si>
  <si>
    <t xml:space="preserve">Pennadomo (CH) </t>
  </si>
  <si>
    <t>069063</t>
  </si>
  <si>
    <t>Pennadomo</t>
  </si>
  <si>
    <t xml:space="preserve">Pennapiedimonte (CH) </t>
  </si>
  <si>
    <t>069064</t>
  </si>
  <si>
    <t>Pennapiedimonte</t>
  </si>
  <si>
    <t xml:space="preserve">Penne (PE) </t>
  </si>
  <si>
    <t>068027</t>
  </si>
  <si>
    <t>Penne</t>
  </si>
  <si>
    <t xml:space="preserve">Pentone (CZ) </t>
  </si>
  <si>
    <t>079092</t>
  </si>
  <si>
    <t>Pentone</t>
  </si>
  <si>
    <t xml:space="preserve">Perano (CH) </t>
  </si>
  <si>
    <t>069065</t>
  </si>
  <si>
    <t>Perano</t>
  </si>
  <si>
    <t xml:space="preserve">Perarolo di Cadore (BL) </t>
  </si>
  <si>
    <t>025037</t>
  </si>
  <si>
    <t>Perarolo di Cadore</t>
  </si>
  <si>
    <t>021063</t>
  </si>
  <si>
    <t xml:space="preserve">Percile (RM) </t>
  </si>
  <si>
    <t>058076</t>
  </si>
  <si>
    <t>Percile</t>
  </si>
  <si>
    <t>Perdasdefogu</t>
  </si>
  <si>
    <t>Perdaxius</t>
  </si>
  <si>
    <t xml:space="preserve">Perdifumo (SA) </t>
  </si>
  <si>
    <t>065091</t>
  </si>
  <si>
    <t>Perdifumo</t>
  </si>
  <si>
    <t xml:space="preserve">Pereto (AQ) </t>
  </si>
  <si>
    <t>066067</t>
  </si>
  <si>
    <t>Pereto</t>
  </si>
  <si>
    <t xml:space="preserve">Perfugas (SS) </t>
  </si>
  <si>
    <t>Perfugas</t>
  </si>
  <si>
    <t xml:space="preserve">Pergine Valsugana (TN) </t>
  </si>
  <si>
    <t>022139</t>
  </si>
  <si>
    <t>Pergine Valsugana</t>
  </si>
  <si>
    <t xml:space="preserve">Pergola (PU) </t>
  </si>
  <si>
    <t>041043</t>
  </si>
  <si>
    <t>Pergola</t>
  </si>
  <si>
    <t xml:space="preserve">Perinaldo (IM) </t>
  </si>
  <si>
    <t>008040</t>
  </si>
  <si>
    <t>Perinaldo</t>
  </si>
  <si>
    <t xml:space="preserve">Perito (SA) </t>
  </si>
  <si>
    <t>065092</t>
  </si>
  <si>
    <t>Perito</t>
  </si>
  <si>
    <t xml:space="preserve">Perledo (LC) </t>
  </si>
  <si>
    <t>097067</t>
  </si>
  <si>
    <t>Perledo</t>
  </si>
  <si>
    <t xml:space="preserve">Perletto (CN) </t>
  </si>
  <si>
    <t>004161</t>
  </si>
  <si>
    <t>Perletto</t>
  </si>
  <si>
    <t xml:space="preserve">Perlo (CN) </t>
  </si>
  <si>
    <t>004162</t>
  </si>
  <si>
    <t>Perlo</t>
  </si>
  <si>
    <t xml:space="preserve">Perloz (AO) </t>
  </si>
  <si>
    <t>007048</t>
  </si>
  <si>
    <t>Perloz</t>
  </si>
  <si>
    <t xml:space="preserve">Pernumia (PD) </t>
  </si>
  <si>
    <t>028061</t>
  </si>
  <si>
    <t>Pernumia</t>
  </si>
  <si>
    <t xml:space="preserve">Pero (MI) </t>
  </si>
  <si>
    <t>015170</t>
  </si>
  <si>
    <t>Pero</t>
  </si>
  <si>
    <t xml:space="preserve">Perosa Argentina (TO) </t>
  </si>
  <si>
    <t>001184</t>
  </si>
  <si>
    <t>Perosa Argentina</t>
  </si>
  <si>
    <t xml:space="preserve">Perosa Canavese (TO) </t>
  </si>
  <si>
    <t>001185</t>
  </si>
  <si>
    <t>Perosa Canavese</t>
  </si>
  <si>
    <t xml:space="preserve">Perrero (TO) </t>
  </si>
  <si>
    <t>001186</t>
  </si>
  <si>
    <t>Perrero</t>
  </si>
  <si>
    <t xml:space="preserve">Persico Dosimo (CR) </t>
  </si>
  <si>
    <t>019068</t>
  </si>
  <si>
    <t>Persico Dosimo</t>
  </si>
  <si>
    <t xml:space="preserve">Pertengo (VC) </t>
  </si>
  <si>
    <t>002091</t>
  </si>
  <si>
    <t>Pertengo</t>
  </si>
  <si>
    <t xml:space="preserve">Pertica Alta (BS) </t>
  </si>
  <si>
    <t>017139</t>
  </si>
  <si>
    <t>Pertica Alta</t>
  </si>
  <si>
    <t xml:space="preserve">Pertica Bassa (BS) </t>
  </si>
  <si>
    <t>017140</t>
  </si>
  <si>
    <t>Pertica Bassa</t>
  </si>
  <si>
    <t xml:space="preserve">Pertosa (SA) </t>
  </si>
  <si>
    <t>065093</t>
  </si>
  <si>
    <t>Pertosa</t>
  </si>
  <si>
    <t xml:space="preserve">Pertusio (TO) </t>
  </si>
  <si>
    <t>001187</t>
  </si>
  <si>
    <t>Pertusio</t>
  </si>
  <si>
    <t xml:space="preserve">Perugia (PG) </t>
  </si>
  <si>
    <t>054039</t>
  </si>
  <si>
    <t>Perugia</t>
  </si>
  <si>
    <t xml:space="preserve">Pesaro (PU) </t>
  </si>
  <si>
    <t>041044</t>
  </si>
  <si>
    <t>Pesaro</t>
  </si>
  <si>
    <t xml:space="preserve">Pescaglia (LU) </t>
  </si>
  <si>
    <t>046022</t>
  </si>
  <si>
    <t>Pescaglia</t>
  </si>
  <si>
    <t xml:space="preserve">Pescantina (VR) </t>
  </si>
  <si>
    <t>023058</t>
  </si>
  <si>
    <t>Pescantina</t>
  </si>
  <si>
    <t xml:space="preserve">Pescara (PE) </t>
  </si>
  <si>
    <t>068028</t>
  </si>
  <si>
    <t>Pescara</t>
  </si>
  <si>
    <t xml:space="preserve">Pescarolo ed Uniti (CR) </t>
  </si>
  <si>
    <t>019069</t>
  </si>
  <si>
    <t>Pescarolo ed Uniti</t>
  </si>
  <si>
    <t xml:space="preserve">Pescasseroli (AQ) </t>
  </si>
  <si>
    <t>066068</t>
  </si>
  <si>
    <t>Pescasseroli</t>
  </si>
  <si>
    <t xml:space="preserve">Pescate (LC) </t>
  </si>
  <si>
    <t>097068</t>
  </si>
  <si>
    <t>Pescate</t>
  </si>
  <si>
    <t xml:space="preserve">Pesche (IS) </t>
  </si>
  <si>
    <t>094031</t>
  </si>
  <si>
    <t>Pesche</t>
  </si>
  <si>
    <t xml:space="preserve">Peschici (FG) </t>
  </si>
  <si>
    <t>071038</t>
  </si>
  <si>
    <t>Peschici</t>
  </si>
  <si>
    <t xml:space="preserve">Peschiera Borromeo (MI) </t>
  </si>
  <si>
    <t>015171</t>
  </si>
  <si>
    <t>Peschiera Borromeo</t>
  </si>
  <si>
    <t xml:space="preserve">Peschiera del Garda (VR) </t>
  </si>
  <si>
    <t>023059</t>
  </si>
  <si>
    <t>Peschiera del Garda</t>
  </si>
  <si>
    <t xml:space="preserve">Pescia (PT) </t>
  </si>
  <si>
    <t>047012</t>
  </si>
  <si>
    <t>Pescia</t>
  </si>
  <si>
    <t xml:space="preserve">Pescina (AQ) </t>
  </si>
  <si>
    <t>066069</t>
  </si>
  <si>
    <t>Pescina</t>
  </si>
  <si>
    <t xml:space="preserve">Pesco Sannita (BN) </t>
  </si>
  <si>
    <t>062050</t>
  </si>
  <si>
    <t>Pesco Sannita</t>
  </si>
  <si>
    <t xml:space="preserve">Pescocostanzo (AQ) </t>
  </si>
  <si>
    <t>066070</t>
  </si>
  <si>
    <t>Pescocostanzo</t>
  </si>
  <si>
    <t xml:space="preserve">Pescolanciano (IS) </t>
  </si>
  <si>
    <t>094032</t>
  </si>
  <si>
    <t>Pescolanciano</t>
  </si>
  <si>
    <t xml:space="preserve">Pescopagano (PZ) </t>
  </si>
  <si>
    <t>076058</t>
  </si>
  <si>
    <t>Pescopagano</t>
  </si>
  <si>
    <t xml:space="preserve">Pescopennataro (IS) </t>
  </si>
  <si>
    <t>094033</t>
  </si>
  <si>
    <t>Pescopennataro</t>
  </si>
  <si>
    <t xml:space="preserve">Pescorocchiano (RI) </t>
  </si>
  <si>
    <t>057049</t>
  </si>
  <si>
    <t>Pescorocchiano</t>
  </si>
  <si>
    <t xml:space="preserve">Pescosansonesco (PE) </t>
  </si>
  <si>
    <t>068029</t>
  </si>
  <si>
    <t>Pescosansonesco</t>
  </si>
  <si>
    <t xml:space="preserve">Pescosolido (FR) </t>
  </si>
  <si>
    <t>060049</t>
  </si>
  <si>
    <t>Pescosolido</t>
  </si>
  <si>
    <t xml:space="preserve">Pessano con Bornago (MI) </t>
  </si>
  <si>
    <t>015172</t>
  </si>
  <si>
    <t>Pessano con Bornago</t>
  </si>
  <si>
    <t xml:space="preserve">Pessina Cremonese (CR) </t>
  </si>
  <si>
    <t>019070</t>
  </si>
  <si>
    <t>Pessina Cremonese</t>
  </si>
  <si>
    <t xml:space="preserve">Pessinetto (TO) </t>
  </si>
  <si>
    <t>001188</t>
  </si>
  <si>
    <t>Pessinetto</t>
  </si>
  <si>
    <t xml:space="preserve">Petacciato (CB) </t>
  </si>
  <si>
    <t>070051</t>
  </si>
  <si>
    <t>Petacciato</t>
  </si>
  <si>
    <t xml:space="preserve">Petilia Policastro (KR) </t>
  </si>
  <si>
    <t>Petilia Policastro</t>
  </si>
  <si>
    <t xml:space="preserve">Petina (SA) </t>
  </si>
  <si>
    <t>065094</t>
  </si>
  <si>
    <t>Petina</t>
  </si>
  <si>
    <t xml:space="preserve">Petralia Soprana (PA) </t>
  </si>
  <si>
    <t>082055</t>
  </si>
  <si>
    <t>Petralia Soprana</t>
  </si>
  <si>
    <t xml:space="preserve">Petralia Sottana (PA) </t>
  </si>
  <si>
    <t>082056</t>
  </si>
  <si>
    <t>Petralia Sottana</t>
  </si>
  <si>
    <t xml:space="preserve">Petrella Salto (RI) </t>
  </si>
  <si>
    <t>057050</t>
  </si>
  <si>
    <t>Petrella Salto</t>
  </si>
  <si>
    <t xml:space="preserve">Petrella Tifernina (CB) </t>
  </si>
  <si>
    <t>070052</t>
  </si>
  <si>
    <t>Petrella Tifernina</t>
  </si>
  <si>
    <t xml:space="preserve">Petriano (PU) </t>
  </si>
  <si>
    <t>041045</t>
  </si>
  <si>
    <t>Petriano</t>
  </si>
  <si>
    <t xml:space="preserve">Petriolo (MC) </t>
  </si>
  <si>
    <t>043036</t>
  </si>
  <si>
    <t>Petriolo</t>
  </si>
  <si>
    <t xml:space="preserve">Petritoli (FM) </t>
  </si>
  <si>
    <t>Petritoli</t>
  </si>
  <si>
    <t xml:space="preserve">Petrizzi (CZ) </t>
  </si>
  <si>
    <t>079094</t>
  </si>
  <si>
    <t>Petrizzi</t>
  </si>
  <si>
    <t xml:space="preserve">Petronà (CZ) </t>
  </si>
  <si>
    <t>079095</t>
  </si>
  <si>
    <t>Petronà</t>
  </si>
  <si>
    <t xml:space="preserve">Petrosino (TP) </t>
  </si>
  <si>
    <t>081024</t>
  </si>
  <si>
    <t>Petrosino</t>
  </si>
  <si>
    <t xml:space="preserve">Petruro Irpino (AV) </t>
  </si>
  <si>
    <t>064071</t>
  </si>
  <si>
    <t>Petruro Irpino</t>
  </si>
  <si>
    <t xml:space="preserve">Pettenasco (NO) </t>
  </si>
  <si>
    <t>003116</t>
  </si>
  <si>
    <t>Pettenasco</t>
  </si>
  <si>
    <t xml:space="preserve">Pettinengo (BI) </t>
  </si>
  <si>
    <t>096042</t>
  </si>
  <si>
    <t>Pettinengo</t>
  </si>
  <si>
    <t xml:space="preserve">Pettineo (ME) </t>
  </si>
  <si>
    <t>083067</t>
  </si>
  <si>
    <t>Pettineo</t>
  </si>
  <si>
    <t xml:space="preserve">Pettoranello del Molise (IS) </t>
  </si>
  <si>
    <t>094034</t>
  </si>
  <si>
    <t>Pettoranello del Molise</t>
  </si>
  <si>
    <t xml:space="preserve">Pettorano sul Gizio (AQ) </t>
  </si>
  <si>
    <t>066071</t>
  </si>
  <si>
    <t>Pettorano sul Gizio</t>
  </si>
  <si>
    <t xml:space="preserve">Pettorazza Grimani (RO) </t>
  </si>
  <si>
    <t>029035</t>
  </si>
  <si>
    <t>Pettorazza Grimani</t>
  </si>
  <si>
    <t xml:space="preserve">Peveragno (CN) </t>
  </si>
  <si>
    <t>004163</t>
  </si>
  <si>
    <t>Peveragno</t>
  </si>
  <si>
    <t xml:space="preserve">Pezzana (VC) </t>
  </si>
  <si>
    <t>002093</t>
  </si>
  <si>
    <t>Pezzana</t>
  </si>
  <si>
    <t xml:space="preserve">Pezzaze (BS) </t>
  </si>
  <si>
    <t>017141</t>
  </si>
  <si>
    <t>Pezzaze</t>
  </si>
  <si>
    <t xml:space="preserve">Pezzolo Valle Uzzone (CN) </t>
  </si>
  <si>
    <t>004164</t>
  </si>
  <si>
    <t>Pezzolo Valle Uzzone</t>
  </si>
  <si>
    <t xml:space="preserve">Piacenza (PC) </t>
  </si>
  <si>
    <t>033032</t>
  </si>
  <si>
    <t>Piacenza</t>
  </si>
  <si>
    <t xml:space="preserve">Piacenza d'Adige (PD) </t>
  </si>
  <si>
    <t>028062</t>
  </si>
  <si>
    <t>Piacenza d'Adige</t>
  </si>
  <si>
    <t xml:space="preserve">Piaggine (SA) </t>
  </si>
  <si>
    <t>065095</t>
  </si>
  <si>
    <t>Piaggine</t>
  </si>
  <si>
    <t xml:space="preserve">Pian Camuno (BS) </t>
  </si>
  <si>
    <t>017142</t>
  </si>
  <si>
    <t>Pian Camuno</t>
  </si>
  <si>
    <t xml:space="preserve">Piana Crixia (SV) </t>
  </si>
  <si>
    <t>009048</t>
  </si>
  <si>
    <t>Piana Crixia</t>
  </si>
  <si>
    <t xml:space="preserve">Piana degli Albanesi (PA) </t>
  </si>
  <si>
    <t>082057</t>
  </si>
  <si>
    <t>Piana degli Albanesi</t>
  </si>
  <si>
    <t xml:space="preserve">Piana di Monte Verna (CE) </t>
  </si>
  <si>
    <t>061056</t>
  </si>
  <si>
    <t>Piana di Monte Verna</t>
  </si>
  <si>
    <t xml:space="preserve">Piancastagnaio (SI) </t>
  </si>
  <si>
    <t>052020</t>
  </si>
  <si>
    <t>Piancastagnaio</t>
  </si>
  <si>
    <t xml:space="preserve">Piancogno (BS) </t>
  </si>
  <si>
    <t>017206</t>
  </si>
  <si>
    <t>Piancogno</t>
  </si>
  <si>
    <t xml:space="preserve">Piandimeleto (PU) </t>
  </si>
  <si>
    <t>041047</t>
  </si>
  <si>
    <t>Piandimeleto</t>
  </si>
  <si>
    <t xml:space="preserve">Piane Crati (CS) </t>
  </si>
  <si>
    <t>078097</t>
  </si>
  <si>
    <t>Piane Crati</t>
  </si>
  <si>
    <t xml:space="preserve">Pianella (PE) </t>
  </si>
  <si>
    <t>068030</t>
  </si>
  <si>
    <t>Pianella</t>
  </si>
  <si>
    <t xml:space="preserve">Pianello del Lario (CO) </t>
  </si>
  <si>
    <t>013183</t>
  </si>
  <si>
    <t>Pianello del Lario</t>
  </si>
  <si>
    <t xml:space="preserve">Pianello Val Tidone (PC) </t>
  </si>
  <si>
    <t>033033</t>
  </si>
  <si>
    <t>Pianello Val Tidone</t>
  </si>
  <si>
    <t xml:space="preserve">Pianengo (CR) </t>
  </si>
  <si>
    <t>019072</t>
  </si>
  <si>
    <t>Pianengo</t>
  </si>
  <si>
    <t xml:space="preserve">Pianezza (TO) </t>
  </si>
  <si>
    <t>001189</t>
  </si>
  <si>
    <t>Pianezza</t>
  </si>
  <si>
    <t xml:space="preserve">Pianezze (VI) </t>
  </si>
  <si>
    <t>024077</t>
  </si>
  <si>
    <t>Pianezze</t>
  </si>
  <si>
    <t xml:space="preserve">Pianfei (CN) </t>
  </si>
  <si>
    <t>004165</t>
  </si>
  <si>
    <t>Pianfei</t>
  </si>
  <si>
    <t xml:space="preserve">Pianico (BG) </t>
  </si>
  <si>
    <t>016162</t>
  </si>
  <si>
    <t>Pianico</t>
  </si>
  <si>
    <t xml:space="preserve">Pianiga (VE) </t>
  </si>
  <si>
    <t>027028</t>
  </si>
  <si>
    <t>Pianiga</t>
  </si>
  <si>
    <t xml:space="preserve">Piano di Sorrento (NA) </t>
  </si>
  <si>
    <t>063053</t>
  </si>
  <si>
    <t>Piano di Sorrento</t>
  </si>
  <si>
    <t xml:space="preserve">Pianopoli (CZ) </t>
  </si>
  <si>
    <t>079096</t>
  </si>
  <si>
    <t>Pianopoli</t>
  </si>
  <si>
    <t xml:space="preserve">Pianoro (BO) </t>
  </si>
  <si>
    <t>037047</t>
  </si>
  <si>
    <t>Pianoro</t>
  </si>
  <si>
    <t xml:space="preserve">Piansano (VT) </t>
  </si>
  <si>
    <t>056043</t>
  </si>
  <si>
    <t>Piansano</t>
  </si>
  <si>
    <t xml:space="preserve">Piantedo (SO) </t>
  </si>
  <si>
    <t>014048</t>
  </si>
  <si>
    <t>Piantedo</t>
  </si>
  <si>
    <t xml:space="preserve">Piario (BG) </t>
  </si>
  <si>
    <t>016163</t>
  </si>
  <si>
    <t>Piario</t>
  </si>
  <si>
    <t xml:space="preserve">Piasco (CN) </t>
  </si>
  <si>
    <t>004166</t>
  </si>
  <si>
    <t>Piasco</t>
  </si>
  <si>
    <t xml:space="preserve">Piateda (SO) </t>
  </si>
  <si>
    <t>014049</t>
  </si>
  <si>
    <t>Piateda</t>
  </si>
  <si>
    <t xml:space="preserve">Piatto (BI) </t>
  </si>
  <si>
    <t>096043</t>
  </si>
  <si>
    <t>Piatto</t>
  </si>
  <si>
    <t xml:space="preserve">Piazza al Serchio (LU) </t>
  </si>
  <si>
    <t>046023</t>
  </si>
  <si>
    <t>Piazza al Serchio</t>
  </si>
  <si>
    <t xml:space="preserve">Piazza Armerina (EN) </t>
  </si>
  <si>
    <t>086014</t>
  </si>
  <si>
    <t>Piazza Armerina</t>
  </si>
  <si>
    <t xml:space="preserve">Piazza Brembana (BG) </t>
  </si>
  <si>
    <t>016164</t>
  </si>
  <si>
    <t>Piazza Brembana</t>
  </si>
  <si>
    <t xml:space="preserve">Piazzatorre (BG) </t>
  </si>
  <si>
    <t>016165</t>
  </si>
  <si>
    <t>Piazzatorre</t>
  </si>
  <si>
    <t xml:space="preserve">Piazzola sul Brenta (PD) </t>
  </si>
  <si>
    <t>028063</t>
  </si>
  <si>
    <t>Piazzola sul Brenta</t>
  </si>
  <si>
    <t xml:space="preserve">Piazzolo (BG) </t>
  </si>
  <si>
    <t>016166</t>
  </si>
  <si>
    <t>Piazzolo</t>
  </si>
  <si>
    <t xml:space="preserve">Picciano (PE) </t>
  </si>
  <si>
    <t>068031</t>
  </si>
  <si>
    <t>Picciano</t>
  </si>
  <si>
    <t xml:space="preserve">Picerno (PZ) </t>
  </si>
  <si>
    <t>076059</t>
  </si>
  <si>
    <t>Picerno</t>
  </si>
  <si>
    <t xml:space="preserve">Picinisco (FR) </t>
  </si>
  <si>
    <t>060050</t>
  </si>
  <si>
    <t>Picinisco</t>
  </si>
  <si>
    <t xml:space="preserve">Pico (FR) </t>
  </si>
  <si>
    <t>060051</t>
  </si>
  <si>
    <t>Pico</t>
  </si>
  <si>
    <t xml:space="preserve">Piea (AT) </t>
  </si>
  <si>
    <t>005084</t>
  </si>
  <si>
    <t>Piea</t>
  </si>
  <si>
    <t xml:space="preserve">Piedicavallo (BI) </t>
  </si>
  <si>
    <t>096044</t>
  </si>
  <si>
    <t>Piedicavallo</t>
  </si>
  <si>
    <t xml:space="preserve">Piedimonte Etneo (CT) </t>
  </si>
  <si>
    <t>087035</t>
  </si>
  <si>
    <t>Piedimonte Etneo</t>
  </si>
  <si>
    <t xml:space="preserve">Piedimonte Matese (CE) </t>
  </si>
  <si>
    <t>061057</t>
  </si>
  <si>
    <t>Piedimonte Matese</t>
  </si>
  <si>
    <t xml:space="preserve">Piedimonte San Germano (FR) </t>
  </si>
  <si>
    <t>060052</t>
  </si>
  <si>
    <t>Piedimonte San Germano</t>
  </si>
  <si>
    <t xml:space="preserve">Piedimulera (VB) </t>
  </si>
  <si>
    <t>Piedimulera</t>
  </si>
  <si>
    <t xml:space="preserve">Piegaro (PG) </t>
  </si>
  <si>
    <t>054040</t>
  </si>
  <si>
    <t>Piegaro</t>
  </si>
  <si>
    <t xml:space="preserve">Pienza (SI) </t>
  </si>
  <si>
    <t>052021</t>
  </si>
  <si>
    <t>Pienza</t>
  </si>
  <si>
    <t xml:space="preserve">Pieranica (CR) </t>
  </si>
  <si>
    <t>019073</t>
  </si>
  <si>
    <t>Pieranica</t>
  </si>
  <si>
    <t xml:space="preserve">Pietra de' Giorgi (PV) </t>
  </si>
  <si>
    <t>018111</t>
  </si>
  <si>
    <t>Pietra de' Giorgi</t>
  </si>
  <si>
    <t xml:space="preserve">Pietra Ligure (SV) </t>
  </si>
  <si>
    <t>009049</t>
  </si>
  <si>
    <t>Pietra Ligure</t>
  </si>
  <si>
    <t xml:space="preserve">Pietra Marazzi (AL) </t>
  </si>
  <si>
    <t>006129</t>
  </si>
  <si>
    <t>Pietra Marazzi</t>
  </si>
  <si>
    <t xml:space="preserve">Pietrabbondante (IS) </t>
  </si>
  <si>
    <t>094035</t>
  </si>
  <si>
    <t>Pietrabbondante</t>
  </si>
  <si>
    <t xml:space="preserve">Pietrabruna (IM) </t>
  </si>
  <si>
    <t>008041</t>
  </si>
  <si>
    <t>Pietrabruna</t>
  </si>
  <si>
    <t xml:space="preserve">Pietracamela (TE) </t>
  </si>
  <si>
    <t>067034</t>
  </si>
  <si>
    <t>Pietracamela</t>
  </si>
  <si>
    <t xml:space="preserve">Pietracatella (CB) </t>
  </si>
  <si>
    <t>070053</t>
  </si>
  <si>
    <t>Pietracatella</t>
  </si>
  <si>
    <t xml:space="preserve">Pietracupa (CB) </t>
  </si>
  <si>
    <t>070054</t>
  </si>
  <si>
    <t>Pietracupa</t>
  </si>
  <si>
    <t xml:space="preserve">Pietradefusi (AV) </t>
  </si>
  <si>
    <t>064072</t>
  </si>
  <si>
    <t>Pietradefusi</t>
  </si>
  <si>
    <t xml:space="preserve">Pietraferrazzana (CH) </t>
  </si>
  <si>
    <t>069103</t>
  </si>
  <si>
    <t>Pietraferrazzana</t>
  </si>
  <si>
    <t xml:space="preserve">Pietrafitta (CS) </t>
  </si>
  <si>
    <t>078098</t>
  </si>
  <si>
    <t>Pietrafitta</t>
  </si>
  <si>
    <t xml:space="preserve">Pietragalla (PZ) </t>
  </si>
  <si>
    <t>076060</t>
  </si>
  <si>
    <t>Pietragalla</t>
  </si>
  <si>
    <t xml:space="preserve">Pietralunga (PG) </t>
  </si>
  <si>
    <t>054041</t>
  </si>
  <si>
    <t>Pietralunga</t>
  </si>
  <si>
    <t xml:space="preserve">Pietramelara (CE) </t>
  </si>
  <si>
    <t>061058</t>
  </si>
  <si>
    <t>Pietramelara</t>
  </si>
  <si>
    <t xml:space="preserve">Pietramontecorvino (FG) </t>
  </si>
  <si>
    <t>071039</t>
  </si>
  <si>
    <t>Pietramontecorvino</t>
  </si>
  <si>
    <t xml:space="preserve">Pietranico (PE) </t>
  </si>
  <si>
    <t>068032</t>
  </si>
  <si>
    <t>Pietranico</t>
  </si>
  <si>
    <t xml:space="preserve">Pietrapaola (CS) </t>
  </si>
  <si>
    <t>078099</t>
  </si>
  <si>
    <t>Pietrapaola</t>
  </si>
  <si>
    <t xml:space="preserve">Pietrapertosa (PZ) </t>
  </si>
  <si>
    <t>076061</t>
  </si>
  <si>
    <t>Pietrapertosa</t>
  </si>
  <si>
    <t xml:space="preserve">Pietraperzia (EN) </t>
  </si>
  <si>
    <t>086015</t>
  </si>
  <si>
    <t>Pietraperzia</t>
  </si>
  <si>
    <t xml:space="preserve">Pietraporzio (CN) </t>
  </si>
  <si>
    <t>004167</t>
  </si>
  <si>
    <t>Pietraporzio</t>
  </si>
  <si>
    <t xml:space="preserve">Pietraroja (BN) </t>
  </si>
  <si>
    <t>062051</t>
  </si>
  <si>
    <t>Pietraroja</t>
  </si>
  <si>
    <t xml:space="preserve">Pietrarubbia (PU) </t>
  </si>
  <si>
    <t>041048</t>
  </si>
  <si>
    <t>Pietrarubbia</t>
  </si>
  <si>
    <t xml:space="preserve">Pietrasanta (LU) </t>
  </si>
  <si>
    <t>046024</t>
  </si>
  <si>
    <t>Pietrasanta</t>
  </si>
  <si>
    <t xml:space="preserve">Pietrastornina (AV) </t>
  </si>
  <si>
    <t>064073</t>
  </si>
  <si>
    <t>Pietrastornina</t>
  </si>
  <si>
    <t xml:space="preserve">Pietravairano (CE) </t>
  </si>
  <si>
    <t>061059</t>
  </si>
  <si>
    <t>Pietravairano</t>
  </si>
  <si>
    <t xml:space="preserve">Pietrelcina (BN) </t>
  </si>
  <si>
    <t>062052</t>
  </si>
  <si>
    <t>Pietrelcina</t>
  </si>
  <si>
    <t xml:space="preserve">Pieve a Nievole (PT) </t>
  </si>
  <si>
    <t>047013</t>
  </si>
  <si>
    <t>Pieve a Nievole</t>
  </si>
  <si>
    <t xml:space="preserve">Pieve Albignola (PV) </t>
  </si>
  <si>
    <t>018112</t>
  </si>
  <si>
    <t>Pieve Albignola</t>
  </si>
  <si>
    <t xml:space="preserve">Pieve del Cairo (PV) </t>
  </si>
  <si>
    <t>018113</t>
  </si>
  <si>
    <t>Pieve del Cairo</t>
  </si>
  <si>
    <t xml:space="preserve">Pieve di Cadore (BL) </t>
  </si>
  <si>
    <t>025039</t>
  </si>
  <si>
    <t>Pieve di Cadore</t>
  </si>
  <si>
    <t xml:space="preserve">Pieve di Cento (BO) </t>
  </si>
  <si>
    <t>037048</t>
  </si>
  <si>
    <t>Pieve di Cento</t>
  </si>
  <si>
    <t xml:space="preserve">Pieve di Soligo (TV) </t>
  </si>
  <si>
    <t>026057</t>
  </si>
  <si>
    <t>Pieve di Soligo</t>
  </si>
  <si>
    <t xml:space="preserve">Pieve di Teco (IM) </t>
  </si>
  <si>
    <t>008042</t>
  </si>
  <si>
    <t>Pieve di Teco</t>
  </si>
  <si>
    <t xml:space="preserve">Pieve d'Olmi (CR) </t>
  </si>
  <si>
    <t>019074</t>
  </si>
  <si>
    <t>Pieve d'Olmi</t>
  </si>
  <si>
    <t xml:space="preserve">Pieve Emanuele (MI) </t>
  </si>
  <si>
    <t>015173</t>
  </si>
  <si>
    <t>Pieve Emanuele</t>
  </si>
  <si>
    <t xml:space="preserve">Pieve Fissiraga (LO) </t>
  </si>
  <si>
    <t>098045</t>
  </si>
  <si>
    <t>Pieve Fissiraga</t>
  </si>
  <si>
    <t xml:space="preserve">Pieve Fosciana (LU) </t>
  </si>
  <si>
    <t>046025</t>
  </si>
  <si>
    <t>Pieve Fosciana</t>
  </si>
  <si>
    <t xml:space="preserve">Pieve Ligure (GE) </t>
  </si>
  <si>
    <t>010043</t>
  </si>
  <si>
    <t>Pieve Ligure</t>
  </si>
  <si>
    <t xml:space="preserve">Pieve Porto Morone (PV) </t>
  </si>
  <si>
    <t>018114</t>
  </si>
  <si>
    <t>Pieve Porto Morone</t>
  </si>
  <si>
    <t xml:space="preserve">Pieve San Giacomo (CR) </t>
  </si>
  <si>
    <t>019075</t>
  </si>
  <si>
    <t>Pieve San Giacomo</t>
  </si>
  <si>
    <t xml:space="preserve">Pieve Santo Stefano (AR) </t>
  </si>
  <si>
    <t>051030</t>
  </si>
  <si>
    <t>Pieve Santo Stefano</t>
  </si>
  <si>
    <t xml:space="preserve">Pieve Tesino (TN) </t>
  </si>
  <si>
    <t>022142</t>
  </si>
  <si>
    <t>Pieve Tesino</t>
  </si>
  <si>
    <t xml:space="preserve">Pieve Torina (MC) </t>
  </si>
  <si>
    <t>043038</t>
  </si>
  <si>
    <t>Pieve Torina</t>
  </si>
  <si>
    <t xml:space="preserve">Pieve Vergonte (VB) </t>
  </si>
  <si>
    <t>Pieve Vergonte</t>
  </si>
  <si>
    <t xml:space="preserve">Pievepelago (MO) </t>
  </si>
  <si>
    <t>036031</t>
  </si>
  <si>
    <t>Pievepelago</t>
  </si>
  <si>
    <t xml:space="preserve">Piglio (FR) </t>
  </si>
  <si>
    <t>060053</t>
  </si>
  <si>
    <t>Piglio</t>
  </si>
  <si>
    <t xml:space="preserve">Pigna (IM) </t>
  </si>
  <si>
    <t>008043</t>
  </si>
  <si>
    <t>Pigna</t>
  </si>
  <si>
    <t xml:space="preserve">Pignataro Interamna (FR) </t>
  </si>
  <si>
    <t>060054</t>
  </si>
  <si>
    <t>Pignataro Interamna</t>
  </si>
  <si>
    <t xml:space="preserve">Pignataro Maggiore (CE) </t>
  </si>
  <si>
    <t>061060</t>
  </si>
  <si>
    <t>Pignataro Maggiore</t>
  </si>
  <si>
    <t xml:space="preserve">Pignola (PZ) </t>
  </si>
  <si>
    <t>076062</t>
  </si>
  <si>
    <t>Pignola</t>
  </si>
  <si>
    <t xml:space="preserve">Pignone (SP) </t>
  </si>
  <si>
    <t>011021</t>
  </si>
  <si>
    <t>Pignone</t>
  </si>
  <si>
    <t xml:space="preserve">Pigra (CO) </t>
  </si>
  <si>
    <t>013184</t>
  </si>
  <si>
    <t>Pigra</t>
  </si>
  <si>
    <t xml:space="preserve">Pila (VC) </t>
  </si>
  <si>
    <t>002096</t>
  </si>
  <si>
    <t>Pila</t>
  </si>
  <si>
    <t>Pimentel</t>
  </si>
  <si>
    <t xml:space="preserve">Pimonte (NA) </t>
  </si>
  <si>
    <t>063054</t>
  </si>
  <si>
    <t>Pimonte</t>
  </si>
  <si>
    <t xml:space="preserve">Pinarolo Po (PV) </t>
  </si>
  <si>
    <t>018115</t>
  </si>
  <si>
    <t>Pinarolo Po</t>
  </si>
  <si>
    <t xml:space="preserve">Pinasca (TO) </t>
  </si>
  <si>
    <t>001190</t>
  </si>
  <si>
    <t>Pinasca</t>
  </si>
  <si>
    <t xml:space="preserve">Pincara (RO) </t>
  </si>
  <si>
    <t>029036</t>
  </si>
  <si>
    <t>Pincara</t>
  </si>
  <si>
    <t xml:space="preserve">Pinerolo (TO) </t>
  </si>
  <si>
    <t>001191</t>
  </si>
  <si>
    <t>Pinerolo</t>
  </si>
  <si>
    <t xml:space="preserve">Pineto (TE) </t>
  </si>
  <si>
    <t>067035</t>
  </si>
  <si>
    <t>Pineto</t>
  </si>
  <si>
    <t xml:space="preserve">Pino d'Asti (AT) </t>
  </si>
  <si>
    <t>005085</t>
  </si>
  <si>
    <t>Pino d'Asti</t>
  </si>
  <si>
    <t xml:space="preserve">Pino Torinese (TO) </t>
  </si>
  <si>
    <t>001192</t>
  </si>
  <si>
    <t>Pino Torinese</t>
  </si>
  <si>
    <t xml:space="preserve">Pinzano al Tagliamento (PN) </t>
  </si>
  <si>
    <t>093030</t>
  </si>
  <si>
    <t>Pinzano al Tagliamento</t>
  </si>
  <si>
    <t xml:space="preserve">Pinzolo (TN) </t>
  </si>
  <si>
    <t>022143</t>
  </si>
  <si>
    <t>Pinzolo</t>
  </si>
  <si>
    <t xml:space="preserve">Piobbico (PU) </t>
  </si>
  <si>
    <t>041049</t>
  </si>
  <si>
    <t>Piobbico</t>
  </si>
  <si>
    <t xml:space="preserve">Piobesi d'Alba (CN) </t>
  </si>
  <si>
    <t>004168</t>
  </si>
  <si>
    <t>Piobesi d'Alba</t>
  </si>
  <si>
    <t xml:space="preserve">Piobesi Torinese (TO) </t>
  </si>
  <si>
    <t>001193</t>
  </si>
  <si>
    <t>Piobesi Torinese</t>
  </si>
  <si>
    <t xml:space="preserve">Piode (VC) </t>
  </si>
  <si>
    <t>002097</t>
  </si>
  <si>
    <t>Piode</t>
  </si>
  <si>
    <t xml:space="preserve">Pioltello (MI) </t>
  </si>
  <si>
    <t>015175</t>
  </si>
  <si>
    <t>Pioltello</t>
  </si>
  <si>
    <t xml:space="preserve">Piombino (LI) </t>
  </si>
  <si>
    <t>049012</t>
  </si>
  <si>
    <t>Piombino</t>
  </si>
  <si>
    <t xml:space="preserve">Piombino Dese (PD) </t>
  </si>
  <si>
    <t>028064</t>
  </si>
  <si>
    <t>Piombino Dese</t>
  </si>
  <si>
    <t xml:space="preserve">Pioraco (MC) </t>
  </si>
  <si>
    <t>043039</t>
  </si>
  <si>
    <t>Pioraco</t>
  </si>
  <si>
    <t xml:space="preserve">Piossasco (TO) </t>
  </si>
  <si>
    <t>001194</t>
  </si>
  <si>
    <t>Piossasco</t>
  </si>
  <si>
    <t xml:space="preserve">Piovà Massaia (AT) </t>
  </si>
  <si>
    <t>005086</t>
  </si>
  <si>
    <t>Piovà Massaia</t>
  </si>
  <si>
    <t xml:space="preserve">Piove di Sacco (PD) </t>
  </si>
  <si>
    <t>028065</t>
  </si>
  <si>
    <t>Piove di Sacco</t>
  </si>
  <si>
    <t xml:space="preserve">Piovene Rocchette (VI) </t>
  </si>
  <si>
    <t>024078</t>
  </si>
  <si>
    <t>Piovene Rocchette</t>
  </si>
  <si>
    <t xml:space="preserve">Piozzano (PC) </t>
  </si>
  <si>
    <t>033034</t>
  </si>
  <si>
    <t>Piozzano</t>
  </si>
  <si>
    <t xml:space="preserve">Piozzo (CN) </t>
  </si>
  <si>
    <t>004169</t>
  </si>
  <si>
    <t>Piozzo</t>
  </si>
  <si>
    <t xml:space="preserve">Piraino (ME) </t>
  </si>
  <si>
    <t>083068</t>
  </si>
  <si>
    <t>Piraino</t>
  </si>
  <si>
    <t xml:space="preserve">Pisa (PI) </t>
  </si>
  <si>
    <t>050026</t>
  </si>
  <si>
    <t>Pisa</t>
  </si>
  <si>
    <t xml:space="preserve">Pisano (NO) </t>
  </si>
  <si>
    <t>003119</t>
  </si>
  <si>
    <t>Pisano</t>
  </si>
  <si>
    <t xml:space="preserve">Piscina (TO) </t>
  </si>
  <si>
    <t>001195</t>
  </si>
  <si>
    <t>Piscina</t>
  </si>
  <si>
    <t>Piscinas</t>
  </si>
  <si>
    <t xml:space="preserve">Pisciotta (SA) </t>
  </si>
  <si>
    <t>065096</t>
  </si>
  <si>
    <t>Pisciotta</t>
  </si>
  <si>
    <t xml:space="preserve">Pisogne (BS) </t>
  </si>
  <si>
    <t>017143</t>
  </si>
  <si>
    <t>Pisogne</t>
  </si>
  <si>
    <t xml:space="preserve">Pisoniano (RM) </t>
  </si>
  <si>
    <t>058077</t>
  </si>
  <si>
    <t>Pisoniano</t>
  </si>
  <si>
    <t xml:space="preserve">Pisticci (MT) </t>
  </si>
  <si>
    <t>077020</t>
  </si>
  <si>
    <t>Pisticci</t>
  </si>
  <si>
    <t xml:space="preserve">Pistoia (PT) </t>
  </si>
  <si>
    <t>047014</t>
  </si>
  <si>
    <t>Pistoia</t>
  </si>
  <si>
    <t xml:space="preserve">Pitigliano (GR) </t>
  </si>
  <si>
    <t>053019</t>
  </si>
  <si>
    <t>Pitigliano</t>
  </si>
  <si>
    <t xml:space="preserve">Piubega (MN) </t>
  </si>
  <si>
    <t>020041</t>
  </si>
  <si>
    <t>Piubega</t>
  </si>
  <si>
    <t xml:space="preserve">Piuro (SO) </t>
  </si>
  <si>
    <t>014050</t>
  </si>
  <si>
    <t>Piuro</t>
  </si>
  <si>
    <t xml:space="preserve">Piverone (TO) </t>
  </si>
  <si>
    <t>001196</t>
  </si>
  <si>
    <t>Piverone</t>
  </si>
  <si>
    <t xml:space="preserve">Pizzale (PV) </t>
  </si>
  <si>
    <t>018116</t>
  </si>
  <si>
    <t>Pizzale</t>
  </si>
  <si>
    <t xml:space="preserve">Pizzighettone (CR) </t>
  </si>
  <si>
    <t>019076</t>
  </si>
  <si>
    <t>Pizzighettone</t>
  </si>
  <si>
    <t xml:space="preserve">Pizzo (VV) </t>
  </si>
  <si>
    <t>Pizzo</t>
  </si>
  <si>
    <t xml:space="preserve">Pizzoferrato (CH) </t>
  </si>
  <si>
    <t>069066</t>
  </si>
  <si>
    <t>Pizzoferrato</t>
  </si>
  <si>
    <t xml:space="preserve">Pizzoli (AQ) </t>
  </si>
  <si>
    <t>066072</t>
  </si>
  <si>
    <t>Pizzoli</t>
  </si>
  <si>
    <t xml:space="preserve">Pizzone (IS) </t>
  </si>
  <si>
    <t>094036</t>
  </si>
  <si>
    <t>Pizzone</t>
  </si>
  <si>
    <t xml:space="preserve">Pizzoni (VV) </t>
  </si>
  <si>
    <t>Pizzoni</t>
  </si>
  <si>
    <t xml:space="preserve">Placanica (RC) </t>
  </si>
  <si>
    <t>080059</t>
  </si>
  <si>
    <t>Placanica</t>
  </si>
  <si>
    <t xml:space="preserve">Plataci (CS) </t>
  </si>
  <si>
    <t>078100</t>
  </si>
  <si>
    <t>Plataci</t>
  </si>
  <si>
    <t xml:space="preserve">Platania (CZ) </t>
  </si>
  <si>
    <t>079099</t>
  </si>
  <si>
    <t>Platania</t>
  </si>
  <si>
    <t xml:space="preserve">Platì (RC) </t>
  </si>
  <si>
    <t>080060</t>
  </si>
  <si>
    <t>Platì</t>
  </si>
  <si>
    <t>021064</t>
  </si>
  <si>
    <t xml:space="preserve">Plesio (CO) </t>
  </si>
  <si>
    <t>013185</t>
  </si>
  <si>
    <t>Plesio</t>
  </si>
  <si>
    <t xml:space="preserve">Ploaghe (SS) </t>
  </si>
  <si>
    <t>Ploaghe</t>
  </si>
  <si>
    <t xml:space="preserve">Plodio (SV) </t>
  </si>
  <si>
    <t>009050</t>
  </si>
  <si>
    <t>Plodio</t>
  </si>
  <si>
    <t xml:space="preserve">Pocapaglia (CN) </t>
  </si>
  <si>
    <t>004170</t>
  </si>
  <si>
    <t>Pocapaglia</t>
  </si>
  <si>
    <t xml:space="preserve">Pocenia (UD) </t>
  </si>
  <si>
    <t>030075</t>
  </si>
  <si>
    <t>Pocenia</t>
  </si>
  <si>
    <t xml:space="preserve">Podenzana (MS) </t>
  </si>
  <si>
    <t>045013</t>
  </si>
  <si>
    <t>Podenzana</t>
  </si>
  <si>
    <t xml:space="preserve">Podenzano (PC) </t>
  </si>
  <si>
    <t>033035</t>
  </si>
  <si>
    <t>Podenzano</t>
  </si>
  <si>
    <t xml:space="preserve">Pofi (FR) </t>
  </si>
  <si>
    <t>060055</t>
  </si>
  <si>
    <t>Pofi</t>
  </si>
  <si>
    <t xml:space="preserve">Poggiardo (LE) </t>
  </si>
  <si>
    <t>075061</t>
  </si>
  <si>
    <t>Poggiardo</t>
  </si>
  <si>
    <t xml:space="preserve">Poggibonsi (SI) </t>
  </si>
  <si>
    <t>052022</t>
  </si>
  <si>
    <t>Poggibonsi</t>
  </si>
  <si>
    <t xml:space="preserve">Poggio a Caiano (PO) </t>
  </si>
  <si>
    <t>Poggio a Caiano</t>
  </si>
  <si>
    <t xml:space="preserve">Poggio Bustone (RI) </t>
  </si>
  <si>
    <t>057051</t>
  </si>
  <si>
    <t>Poggio Bustone</t>
  </si>
  <si>
    <t xml:space="preserve">Poggio Catino (RI) </t>
  </si>
  <si>
    <t>057052</t>
  </si>
  <si>
    <t>Poggio Catino</t>
  </si>
  <si>
    <t xml:space="preserve">Poggio Imperiale (FG) </t>
  </si>
  <si>
    <t>071040</t>
  </si>
  <si>
    <t>Poggio Imperiale</t>
  </si>
  <si>
    <t xml:space="preserve">Poggio Mirteto (RI) </t>
  </si>
  <si>
    <t>057053</t>
  </si>
  <si>
    <t>Poggio Mirteto</t>
  </si>
  <si>
    <t xml:space="preserve">Poggio Moiano (RI) </t>
  </si>
  <si>
    <t>057054</t>
  </si>
  <si>
    <t>Poggio Moiano</t>
  </si>
  <si>
    <t xml:space="preserve">Poggio Nativo (RI) </t>
  </si>
  <si>
    <t>057055</t>
  </si>
  <si>
    <t>Poggio Nativo</t>
  </si>
  <si>
    <t xml:space="preserve">Poggio Picenze (AQ) </t>
  </si>
  <si>
    <t>066073</t>
  </si>
  <si>
    <t>Poggio Picenze</t>
  </si>
  <si>
    <t xml:space="preserve">Poggio Renatico (FE) </t>
  </si>
  <si>
    <t>038018</t>
  </si>
  <si>
    <t>Poggio Renatico</t>
  </si>
  <si>
    <t xml:space="preserve">Poggio Rusco (MN) </t>
  </si>
  <si>
    <t>020042</t>
  </si>
  <si>
    <t>Poggio Rusco</t>
  </si>
  <si>
    <t xml:space="preserve">Poggio San Lorenzo (RI) </t>
  </si>
  <si>
    <t>057056</t>
  </si>
  <si>
    <t>Poggio San Lorenzo</t>
  </si>
  <si>
    <t xml:space="preserve">Poggio San Marcello (AN) </t>
  </si>
  <si>
    <t>042037</t>
  </si>
  <si>
    <t>Poggio San Marcello</t>
  </si>
  <si>
    <t xml:space="preserve">Poggio San Vicino (MC) </t>
  </si>
  <si>
    <t>043040</t>
  </si>
  <si>
    <t>Poggio San Vicino</t>
  </si>
  <si>
    <t xml:space="preserve">Poggio Sannita (IS) </t>
  </si>
  <si>
    <t>094037</t>
  </si>
  <si>
    <t>Poggio Sannita</t>
  </si>
  <si>
    <t xml:space="preserve">Poggiodomo (PG) </t>
  </si>
  <si>
    <t>054042</t>
  </si>
  <si>
    <t>Poggiodomo</t>
  </si>
  <si>
    <t xml:space="preserve">Poggiofiorito (CH) </t>
  </si>
  <si>
    <t>069067</t>
  </si>
  <si>
    <t>Poggiofiorito</t>
  </si>
  <si>
    <t xml:space="preserve">Poggiomarino (NA) </t>
  </si>
  <si>
    <t>063055</t>
  </si>
  <si>
    <t>Poggiomarino</t>
  </si>
  <si>
    <t xml:space="preserve">Poggioreale (TP) </t>
  </si>
  <si>
    <t>081016</t>
  </si>
  <si>
    <t>Poggioreale</t>
  </si>
  <si>
    <t xml:space="preserve">Poggiorsini (BA) </t>
  </si>
  <si>
    <t>072034</t>
  </si>
  <si>
    <t>Poggiorsini</t>
  </si>
  <si>
    <t xml:space="preserve">Poggiridenti (SO) </t>
  </si>
  <si>
    <t>014051</t>
  </si>
  <si>
    <t>Poggiridenti</t>
  </si>
  <si>
    <t xml:space="preserve">Pogliano Milanese (MI) </t>
  </si>
  <si>
    <t>015176</t>
  </si>
  <si>
    <t>Pogliano Milanese</t>
  </si>
  <si>
    <t xml:space="preserve">Pognana Lario (CO) </t>
  </si>
  <si>
    <t>013186</t>
  </si>
  <si>
    <t>Pognana Lario</t>
  </si>
  <si>
    <t xml:space="preserve">Pognano (BG) </t>
  </si>
  <si>
    <t>016167</t>
  </si>
  <si>
    <t>Pognano</t>
  </si>
  <si>
    <t xml:space="preserve">Pogno (NO) </t>
  </si>
  <si>
    <t>003120</t>
  </si>
  <si>
    <t>Pogno</t>
  </si>
  <si>
    <t xml:space="preserve">Poirino (TO) </t>
  </si>
  <si>
    <t>001197</t>
  </si>
  <si>
    <t>Poirino</t>
  </si>
  <si>
    <t xml:space="preserve">Pojana Maggiore (VI) </t>
  </si>
  <si>
    <t>024079</t>
  </si>
  <si>
    <t>Pojana Maggiore</t>
  </si>
  <si>
    <t xml:space="preserve">Polaveno (BS) </t>
  </si>
  <si>
    <t>017144</t>
  </si>
  <si>
    <t>Polaveno</t>
  </si>
  <si>
    <t xml:space="preserve">Polcenigo (PN) </t>
  </si>
  <si>
    <t>093031</t>
  </si>
  <si>
    <t>Polcenigo</t>
  </si>
  <si>
    <t xml:space="preserve">Polesella (RO) </t>
  </si>
  <si>
    <t>029037</t>
  </si>
  <si>
    <t>Polesella</t>
  </si>
  <si>
    <t xml:space="preserve">Poli (RM) </t>
  </si>
  <si>
    <t>058078</t>
  </si>
  <si>
    <t>Poli</t>
  </si>
  <si>
    <t xml:space="preserve">Polia (VV) </t>
  </si>
  <si>
    <t>Polia</t>
  </si>
  <si>
    <t xml:space="preserve">Policoro (MT) </t>
  </si>
  <si>
    <t>077021</t>
  </si>
  <si>
    <t>Policoro</t>
  </si>
  <si>
    <t xml:space="preserve">Polignano a Mare (BA) </t>
  </si>
  <si>
    <t>072035</t>
  </si>
  <si>
    <t>Polignano a Mare</t>
  </si>
  <si>
    <t xml:space="preserve">Polinago (MO) </t>
  </si>
  <si>
    <t>036032</t>
  </si>
  <si>
    <t>Polinago</t>
  </si>
  <si>
    <t xml:space="preserve">Polino (TR) </t>
  </si>
  <si>
    <t>055027</t>
  </si>
  <si>
    <t>Polino</t>
  </si>
  <si>
    <t xml:space="preserve">Polistena (RC) </t>
  </si>
  <si>
    <t>080061</t>
  </si>
  <si>
    <t>Polistena</t>
  </si>
  <si>
    <t xml:space="preserve">Polizzi Generosa (PA) </t>
  </si>
  <si>
    <t>082058</t>
  </si>
  <si>
    <t>Polizzi Generosa</t>
  </si>
  <si>
    <t xml:space="preserve">Polla (SA) </t>
  </si>
  <si>
    <t>065097</t>
  </si>
  <si>
    <t>Polla</t>
  </si>
  <si>
    <t xml:space="preserve">Pollein (AO) </t>
  </si>
  <si>
    <t>007049</t>
  </si>
  <si>
    <t>Pollein</t>
  </si>
  <si>
    <t xml:space="preserve">Pollena Trocchia (NA) </t>
  </si>
  <si>
    <t>063056</t>
  </si>
  <si>
    <t>Pollena Trocchia</t>
  </si>
  <si>
    <t xml:space="preserve">Pollenza (MC) </t>
  </si>
  <si>
    <t>043041</t>
  </si>
  <si>
    <t>Pollenza</t>
  </si>
  <si>
    <t xml:space="preserve">Pollica (SA) </t>
  </si>
  <si>
    <t>065098</t>
  </si>
  <si>
    <t>Pollica</t>
  </si>
  <si>
    <t xml:space="preserve">Pollina (PA) </t>
  </si>
  <si>
    <t>082059</t>
  </si>
  <si>
    <t>Pollina</t>
  </si>
  <si>
    <t xml:space="preserve">Pollone (BI) </t>
  </si>
  <si>
    <t>096046</t>
  </si>
  <si>
    <t>Pollone</t>
  </si>
  <si>
    <t xml:space="preserve">Pollutri (CH) </t>
  </si>
  <si>
    <t>069068</t>
  </si>
  <si>
    <t>Pollutri</t>
  </si>
  <si>
    <t xml:space="preserve">Polonghera (CN) </t>
  </si>
  <si>
    <t>004171</t>
  </si>
  <si>
    <t>Polonghera</t>
  </si>
  <si>
    <t xml:space="preserve">Polpenazze del Garda (BS) </t>
  </si>
  <si>
    <t>017145</t>
  </si>
  <si>
    <t>Polpenazze del Garda</t>
  </si>
  <si>
    <t xml:space="preserve">Polverara (PD) </t>
  </si>
  <si>
    <t>028066</t>
  </si>
  <si>
    <t>Polverara</t>
  </si>
  <si>
    <t xml:space="preserve">Polverigi (AN) </t>
  </si>
  <si>
    <t>042038</t>
  </si>
  <si>
    <t>Polverigi</t>
  </si>
  <si>
    <t xml:space="preserve">Pomarance (PI) </t>
  </si>
  <si>
    <t>050027</t>
  </si>
  <si>
    <t>Pomarance</t>
  </si>
  <si>
    <t xml:space="preserve">Pomaretto (TO) </t>
  </si>
  <si>
    <t>001198</t>
  </si>
  <si>
    <t>Pomaretto</t>
  </si>
  <si>
    <t xml:space="preserve">Pomarico (MT) </t>
  </si>
  <si>
    <t>077022</t>
  </si>
  <si>
    <t>Pomarico</t>
  </si>
  <si>
    <t xml:space="preserve">Pomaro Monferrato (AL) </t>
  </si>
  <si>
    <t>006131</t>
  </si>
  <si>
    <t>Pomaro Monferrato</t>
  </si>
  <si>
    <t xml:space="preserve">Pomarolo (TN) </t>
  </si>
  <si>
    <t>022144</t>
  </si>
  <si>
    <t>Pomarolo</t>
  </si>
  <si>
    <t xml:space="preserve">Pombia (NO) </t>
  </si>
  <si>
    <t>003121</t>
  </si>
  <si>
    <t>Pombia</t>
  </si>
  <si>
    <t xml:space="preserve">Pomezia (RM) </t>
  </si>
  <si>
    <t>058079</t>
  </si>
  <si>
    <t>Pomezia</t>
  </si>
  <si>
    <t xml:space="preserve">Pomigliano d'Arco (NA) </t>
  </si>
  <si>
    <t>063057</t>
  </si>
  <si>
    <t>Pomigliano d'Arco</t>
  </si>
  <si>
    <t xml:space="preserve">Pompei (NA) </t>
  </si>
  <si>
    <t>063058</t>
  </si>
  <si>
    <t>Pompei</t>
  </si>
  <si>
    <t xml:space="preserve">Pompeiana (IM) </t>
  </si>
  <si>
    <t>008044</t>
  </si>
  <si>
    <t>Pompeiana</t>
  </si>
  <si>
    <t xml:space="preserve">Pompiano (BS) </t>
  </si>
  <si>
    <t>017146</t>
  </si>
  <si>
    <t>Pompiano</t>
  </si>
  <si>
    <t xml:space="preserve">Pomponesco (MN) </t>
  </si>
  <si>
    <t>020043</t>
  </si>
  <si>
    <t>Pomponesco</t>
  </si>
  <si>
    <t xml:space="preserve">Pompu (OR) </t>
  </si>
  <si>
    <t>Pompu</t>
  </si>
  <si>
    <t xml:space="preserve">Poncarale (BS) </t>
  </si>
  <si>
    <t>017147</t>
  </si>
  <si>
    <t>Poncarale</t>
  </si>
  <si>
    <t xml:space="preserve">Ponderano (BI) </t>
  </si>
  <si>
    <t>096047</t>
  </si>
  <si>
    <t>Ponderano</t>
  </si>
  <si>
    <t xml:space="preserve">Ponna (CO) </t>
  </si>
  <si>
    <t>013187</t>
  </si>
  <si>
    <t>Ponna</t>
  </si>
  <si>
    <t xml:space="preserve">Ponsacco (PI) </t>
  </si>
  <si>
    <t>050028</t>
  </si>
  <si>
    <t>Ponsacco</t>
  </si>
  <si>
    <t xml:space="preserve">Ponso (PD) </t>
  </si>
  <si>
    <t>028067</t>
  </si>
  <si>
    <t>Ponso</t>
  </si>
  <si>
    <t xml:space="preserve">Pontassieve (FI) </t>
  </si>
  <si>
    <t>048033</t>
  </si>
  <si>
    <t>Pontassieve</t>
  </si>
  <si>
    <t xml:space="preserve">Pontboset (AO) </t>
  </si>
  <si>
    <t>007050</t>
  </si>
  <si>
    <t>Pontboset</t>
  </si>
  <si>
    <t>001199</t>
  </si>
  <si>
    <t xml:space="preserve">Ponte (BN) </t>
  </si>
  <si>
    <t>062053</t>
  </si>
  <si>
    <t>Ponte</t>
  </si>
  <si>
    <t xml:space="preserve">Ponte Buggianese (PT) </t>
  </si>
  <si>
    <t>047016</t>
  </si>
  <si>
    <t>Ponte Buggianese</t>
  </si>
  <si>
    <t xml:space="preserve">Ponte dell'Olio (PC) </t>
  </si>
  <si>
    <t>033036</t>
  </si>
  <si>
    <t>Ponte dell'Olio</t>
  </si>
  <si>
    <t xml:space="preserve">Ponte di Legno (BS) </t>
  </si>
  <si>
    <t>017148</t>
  </si>
  <si>
    <t>Ponte di Legno</t>
  </si>
  <si>
    <t xml:space="preserve">Ponte di Piave (TV) </t>
  </si>
  <si>
    <t>026058</t>
  </si>
  <si>
    <t>Ponte di Piave</t>
  </si>
  <si>
    <t>021065</t>
  </si>
  <si>
    <t xml:space="preserve">Ponte in Valtellina (SO) </t>
  </si>
  <si>
    <t>014052</t>
  </si>
  <si>
    <t>Ponte in Valtellina</t>
  </si>
  <si>
    <t xml:space="preserve">Ponte Lambro (CO) </t>
  </si>
  <si>
    <t>013188</t>
  </si>
  <si>
    <t>Ponte Lambro</t>
  </si>
  <si>
    <t xml:space="preserve">Ponte nelle Alpi (BL) </t>
  </si>
  <si>
    <t>025040</t>
  </si>
  <si>
    <t>Ponte nelle Alpi</t>
  </si>
  <si>
    <t xml:space="preserve">Ponte Nizza (PV) </t>
  </si>
  <si>
    <t>018117</t>
  </si>
  <si>
    <t>Ponte Nizza</t>
  </si>
  <si>
    <t xml:space="preserve">Ponte Nossa (BG) </t>
  </si>
  <si>
    <t>016168</t>
  </si>
  <si>
    <t>Ponte Nossa</t>
  </si>
  <si>
    <t xml:space="preserve">Ponte San Nicolò (PD) </t>
  </si>
  <si>
    <t>028069</t>
  </si>
  <si>
    <t>Ponte San Nicolò</t>
  </si>
  <si>
    <t xml:space="preserve">Ponte San Pietro (BG) </t>
  </si>
  <si>
    <t>016170</t>
  </si>
  <si>
    <t>Ponte San Pietro</t>
  </si>
  <si>
    <t xml:space="preserve">Pontebba (UD) </t>
  </si>
  <si>
    <t>030076</t>
  </si>
  <si>
    <t>Pontebba</t>
  </si>
  <si>
    <t xml:space="preserve">Pontecagnano Faiano (SA) </t>
  </si>
  <si>
    <t>065099</t>
  </si>
  <si>
    <t>Pontecagnano Faiano</t>
  </si>
  <si>
    <t xml:space="preserve">Pontecchio Polesine (RO) </t>
  </si>
  <si>
    <t>029038</t>
  </si>
  <si>
    <t>Pontecchio Polesine</t>
  </si>
  <si>
    <t xml:space="preserve">Pontechianale (CN) </t>
  </si>
  <si>
    <t>004172</t>
  </si>
  <si>
    <t>Pontechianale</t>
  </si>
  <si>
    <t xml:space="preserve">Pontecorvo (FR) </t>
  </si>
  <si>
    <t>060056</t>
  </si>
  <si>
    <t>Pontecorvo</t>
  </si>
  <si>
    <t xml:space="preserve">Pontecurone (AL) </t>
  </si>
  <si>
    <t>006132</t>
  </si>
  <si>
    <t>Pontecurone</t>
  </si>
  <si>
    <t xml:space="preserve">Pontedassio (IM) </t>
  </si>
  <si>
    <t>008045</t>
  </si>
  <si>
    <t>Pontedassio</t>
  </si>
  <si>
    <t xml:space="preserve">Pontedera (PI) </t>
  </si>
  <si>
    <t>050029</t>
  </si>
  <si>
    <t>Pontedera</t>
  </si>
  <si>
    <t xml:space="preserve">Pontelandolfo (BN) </t>
  </si>
  <si>
    <t>062054</t>
  </si>
  <si>
    <t>Pontelandolfo</t>
  </si>
  <si>
    <t xml:space="preserve">Pontelatone (CE) </t>
  </si>
  <si>
    <t>061061</t>
  </si>
  <si>
    <t>Pontelatone</t>
  </si>
  <si>
    <t xml:space="preserve">Pontelongo (PD) </t>
  </si>
  <si>
    <t>028068</t>
  </si>
  <si>
    <t>Pontelongo</t>
  </si>
  <si>
    <t xml:space="preserve">Pontenure (PC) </t>
  </si>
  <si>
    <t>033037</t>
  </si>
  <si>
    <t>Pontenure</t>
  </si>
  <si>
    <t xml:space="preserve">Ponteranica (BG) </t>
  </si>
  <si>
    <t>016169</t>
  </si>
  <si>
    <t>Ponteranica</t>
  </si>
  <si>
    <t xml:space="preserve">Pontestura (AL) </t>
  </si>
  <si>
    <t>006133</t>
  </si>
  <si>
    <t>Pontestura</t>
  </si>
  <si>
    <t xml:space="preserve">Pontevico (BS) </t>
  </si>
  <si>
    <t>017149</t>
  </si>
  <si>
    <t>Pontevico</t>
  </si>
  <si>
    <t xml:space="preserve">Pontey (AO) </t>
  </si>
  <si>
    <t>007051</t>
  </si>
  <si>
    <t>Pontey</t>
  </si>
  <si>
    <t xml:space="preserve">Ponti (AL) </t>
  </si>
  <si>
    <t>006134</t>
  </si>
  <si>
    <t>Ponti</t>
  </si>
  <si>
    <t xml:space="preserve">Ponti sul Mincio (MN) </t>
  </si>
  <si>
    <t>020044</t>
  </si>
  <si>
    <t>Ponti sul Mincio</t>
  </si>
  <si>
    <t xml:space="preserve">Pontida (BG) </t>
  </si>
  <si>
    <t>016171</t>
  </si>
  <si>
    <t>Pontida</t>
  </si>
  <si>
    <t xml:space="preserve">Pontinia (LT) </t>
  </si>
  <si>
    <t>059017</t>
  </si>
  <si>
    <t>Pontinia</t>
  </si>
  <si>
    <t xml:space="preserve">Pontinvrea (SV) </t>
  </si>
  <si>
    <t>009051</t>
  </si>
  <si>
    <t>Pontinvrea</t>
  </si>
  <si>
    <t xml:space="preserve">Pontirolo Nuovo (BG) </t>
  </si>
  <si>
    <t>016172</t>
  </si>
  <si>
    <t>Pontirolo Nuovo</t>
  </si>
  <si>
    <t xml:space="preserve">Pontoglio (BS) </t>
  </si>
  <si>
    <t>017150</t>
  </si>
  <si>
    <t>Pontoglio</t>
  </si>
  <si>
    <t xml:space="preserve">Pontremoli (MS) </t>
  </si>
  <si>
    <t>045014</t>
  </si>
  <si>
    <t>Pontremoli</t>
  </si>
  <si>
    <t xml:space="preserve">Pont-Saint-Martin (AO) </t>
  </si>
  <si>
    <t>007052</t>
  </si>
  <si>
    <t>Pont-Saint-Martin</t>
  </si>
  <si>
    <t xml:space="preserve">Ponza (LT) </t>
  </si>
  <si>
    <t>059018</t>
  </si>
  <si>
    <t>Ponza</t>
  </si>
  <si>
    <t xml:space="preserve">Ponzano di Fermo (FM) </t>
  </si>
  <si>
    <t>Ponzano di Fermo</t>
  </si>
  <si>
    <t xml:space="preserve">Ponzano Monferrato (AL) </t>
  </si>
  <si>
    <t>006135</t>
  </si>
  <si>
    <t>Ponzano Monferrato</t>
  </si>
  <si>
    <t xml:space="preserve">Ponzano Romano (RM) </t>
  </si>
  <si>
    <t>058080</t>
  </si>
  <si>
    <t>Ponzano Romano</t>
  </si>
  <si>
    <t xml:space="preserve">Ponzano Veneto (TV) </t>
  </si>
  <si>
    <t>026059</t>
  </si>
  <si>
    <t>Ponzano Veneto</t>
  </si>
  <si>
    <t xml:space="preserve">Ponzone (AL) </t>
  </si>
  <si>
    <t>006136</t>
  </si>
  <si>
    <t>Ponzone</t>
  </si>
  <si>
    <t>068033</t>
  </si>
  <si>
    <t xml:space="preserve">Poppi (AR) </t>
  </si>
  <si>
    <t>051031</t>
  </si>
  <si>
    <t>Poppi</t>
  </si>
  <si>
    <t xml:space="preserve">Porano (TR) </t>
  </si>
  <si>
    <t>055028</t>
  </si>
  <si>
    <t>Porano</t>
  </si>
  <si>
    <t xml:space="preserve">Porcari (LU) </t>
  </si>
  <si>
    <t>046026</t>
  </si>
  <si>
    <t>Porcari</t>
  </si>
  <si>
    <t xml:space="preserve">Porcia (PN) </t>
  </si>
  <si>
    <t>093032</t>
  </si>
  <si>
    <t>Porcia</t>
  </si>
  <si>
    <t xml:space="preserve">Pordenone (PN) </t>
  </si>
  <si>
    <t>093033</t>
  </si>
  <si>
    <t>Pordenone</t>
  </si>
  <si>
    <t xml:space="preserve">Porlezza (CO) </t>
  </si>
  <si>
    <t>013189</t>
  </si>
  <si>
    <t>Porlezza</t>
  </si>
  <si>
    <t xml:space="preserve">Pornassio (IM) </t>
  </si>
  <si>
    <t>008046</t>
  </si>
  <si>
    <t>Pornassio</t>
  </si>
  <si>
    <t xml:space="preserve">Porpetto (UD) </t>
  </si>
  <si>
    <t>030077</t>
  </si>
  <si>
    <t>Porpetto</t>
  </si>
  <si>
    <t xml:space="preserve">Portacomaro (AT) </t>
  </si>
  <si>
    <t>005087</t>
  </si>
  <si>
    <t>Portacomaro</t>
  </si>
  <si>
    <t xml:space="preserve">Portalbera (PV) </t>
  </si>
  <si>
    <t>018118</t>
  </si>
  <si>
    <t>Portalbera</t>
  </si>
  <si>
    <t xml:space="preserve">Porte (TO) </t>
  </si>
  <si>
    <t>001200</t>
  </si>
  <si>
    <t>Porte</t>
  </si>
  <si>
    <t xml:space="preserve">Portici (NA) </t>
  </si>
  <si>
    <t>063059</t>
  </si>
  <si>
    <t>Portici</t>
  </si>
  <si>
    <t xml:space="preserve">Portico di Caserta (CE) </t>
  </si>
  <si>
    <t>061062</t>
  </si>
  <si>
    <t>Portico di Caserta</t>
  </si>
  <si>
    <t xml:space="preserve">Portico e San Benedetto (FC) </t>
  </si>
  <si>
    <t>040031</t>
  </si>
  <si>
    <t>Portico e San Benedetto</t>
  </si>
  <si>
    <t xml:space="preserve">Portigliola (RC) </t>
  </si>
  <si>
    <t>080062</t>
  </si>
  <si>
    <t>Portigliola</t>
  </si>
  <si>
    <t xml:space="preserve">Porto Azzurro (LI) </t>
  </si>
  <si>
    <t>049013</t>
  </si>
  <si>
    <t>Porto Azzurro</t>
  </si>
  <si>
    <t xml:space="preserve">Porto Ceresio (VA) </t>
  </si>
  <si>
    <t>012113</t>
  </si>
  <si>
    <t>Porto Ceresio</t>
  </si>
  <si>
    <t xml:space="preserve">Porto Cesareo (LE) </t>
  </si>
  <si>
    <t>075097</t>
  </si>
  <si>
    <t>Porto Cesareo</t>
  </si>
  <si>
    <t xml:space="preserve">Porto Empedocle (AG) </t>
  </si>
  <si>
    <t>084028</t>
  </si>
  <si>
    <t>Porto Empedocle</t>
  </si>
  <si>
    <t xml:space="preserve">Porto Mantovano (MN) </t>
  </si>
  <si>
    <t>020045</t>
  </si>
  <si>
    <t>Porto Mantovano</t>
  </si>
  <si>
    <t xml:space="preserve">Porto Recanati (MC) </t>
  </si>
  <si>
    <t>043042</t>
  </si>
  <si>
    <t>Porto Recanati</t>
  </si>
  <si>
    <t xml:space="preserve">Porto San Giorgio (FM) </t>
  </si>
  <si>
    <t>Porto San Giorgio</t>
  </si>
  <si>
    <t xml:space="preserve">Porto Sant'Elpidio (FM) </t>
  </si>
  <si>
    <t>Porto Sant'Elpidio</t>
  </si>
  <si>
    <t xml:space="preserve">Porto Tolle (RO) </t>
  </si>
  <si>
    <t>029039</t>
  </si>
  <si>
    <t>Porto Tolle</t>
  </si>
  <si>
    <t xml:space="preserve">Porto Torres (SS) </t>
  </si>
  <si>
    <t>Porto Torres</t>
  </si>
  <si>
    <t xml:space="preserve">Porto Valtravaglia (VA) </t>
  </si>
  <si>
    <t>012114</t>
  </si>
  <si>
    <t>Porto Valtravaglia</t>
  </si>
  <si>
    <t xml:space="preserve">Porto Viro (RO) </t>
  </si>
  <si>
    <t>029052</t>
  </si>
  <si>
    <t>Porto Viro</t>
  </si>
  <si>
    <t xml:space="preserve">Portobuffolè (TV) </t>
  </si>
  <si>
    <t>026060</t>
  </si>
  <si>
    <t>Portobuffolè</t>
  </si>
  <si>
    <t xml:space="preserve">Portocannone (CB) </t>
  </si>
  <si>
    <t>070055</t>
  </si>
  <si>
    <t>Portocannone</t>
  </si>
  <si>
    <t xml:space="preserve">Portoferraio (LI) </t>
  </si>
  <si>
    <t>049014</t>
  </si>
  <si>
    <t>Portoferraio</t>
  </si>
  <si>
    <t xml:space="preserve">Portofino (GE) </t>
  </si>
  <si>
    <t>010044</t>
  </si>
  <si>
    <t>Portofino</t>
  </si>
  <si>
    <t xml:space="preserve">Portogruaro (VE) </t>
  </si>
  <si>
    <t>027029</t>
  </si>
  <si>
    <t>Portogruaro</t>
  </si>
  <si>
    <t xml:space="preserve">Portomaggiore (FE) </t>
  </si>
  <si>
    <t>038019</t>
  </si>
  <si>
    <t>Portomaggiore</t>
  </si>
  <si>
    <t xml:space="preserve">Portopalo di Capo Passero (SR) </t>
  </si>
  <si>
    <t>089020</t>
  </si>
  <si>
    <t>Portopalo di Capo Passero</t>
  </si>
  <si>
    <t>Portoscuso</t>
  </si>
  <si>
    <t xml:space="preserve">Portovenere (SP) </t>
  </si>
  <si>
    <t>011022</t>
  </si>
  <si>
    <t>Portovenere</t>
  </si>
  <si>
    <t xml:space="preserve">Portula (BI) </t>
  </si>
  <si>
    <t>096048</t>
  </si>
  <si>
    <t>Portula</t>
  </si>
  <si>
    <t xml:space="preserve">Posada (NU) </t>
  </si>
  <si>
    <t>Posada</t>
  </si>
  <si>
    <t xml:space="preserve">Posina (VI) </t>
  </si>
  <si>
    <t>024080</t>
  </si>
  <si>
    <t>Posina</t>
  </si>
  <si>
    <t xml:space="preserve">Positano (SA) </t>
  </si>
  <si>
    <t>065100</t>
  </si>
  <si>
    <t>Positano</t>
  </si>
  <si>
    <t xml:space="preserve">Possagno (TV) </t>
  </si>
  <si>
    <t>026061</t>
  </si>
  <si>
    <t>Possagno</t>
  </si>
  <si>
    <t xml:space="preserve">Posta (RI) </t>
  </si>
  <si>
    <t>057057</t>
  </si>
  <si>
    <t>Posta</t>
  </si>
  <si>
    <t xml:space="preserve">Posta Fibreno (FR) </t>
  </si>
  <si>
    <t>060057</t>
  </si>
  <si>
    <t>Posta Fibreno</t>
  </si>
  <si>
    <t>021066</t>
  </si>
  <si>
    <t xml:space="preserve">Postalesio (SO) </t>
  </si>
  <si>
    <t>014053</t>
  </si>
  <si>
    <t>Postalesio</t>
  </si>
  <si>
    <t xml:space="preserve">Postiglione (SA) </t>
  </si>
  <si>
    <t>065101</t>
  </si>
  <si>
    <t>Postiglione</t>
  </si>
  <si>
    <t xml:space="preserve">Postua (VC) </t>
  </si>
  <si>
    <t>002102</t>
  </si>
  <si>
    <t>Postua</t>
  </si>
  <si>
    <t xml:space="preserve">Potenza (PZ) </t>
  </si>
  <si>
    <t>076063</t>
  </si>
  <si>
    <t>Potenza</t>
  </si>
  <si>
    <t xml:space="preserve">Potenza Picena (MC) </t>
  </si>
  <si>
    <t>043043</t>
  </si>
  <si>
    <t>Potenza Picena</t>
  </si>
  <si>
    <t xml:space="preserve">Pove del Grappa (VI) </t>
  </si>
  <si>
    <t>024081</t>
  </si>
  <si>
    <t>Pove del Grappa</t>
  </si>
  <si>
    <t xml:space="preserve">Povegliano (TV) </t>
  </si>
  <si>
    <t>026062</t>
  </si>
  <si>
    <t>Povegliano</t>
  </si>
  <si>
    <t xml:space="preserve">Povegliano Veronese (VR) </t>
  </si>
  <si>
    <t>023060</t>
  </si>
  <si>
    <t>Povegliano Veronese</t>
  </si>
  <si>
    <t xml:space="preserve">Poviglio (RE) </t>
  </si>
  <si>
    <t>035029</t>
  </si>
  <si>
    <t>Poviglio</t>
  </si>
  <si>
    <t xml:space="preserve">Povoletto (UD) </t>
  </si>
  <si>
    <t>030078</t>
  </si>
  <si>
    <t>Povoletto</t>
  </si>
  <si>
    <t xml:space="preserve">Pozzaglia Sabina (RI) </t>
  </si>
  <si>
    <t>057058</t>
  </si>
  <si>
    <t>Pozzaglia Sabina</t>
  </si>
  <si>
    <t xml:space="preserve">Pozzaglio ed Uniti (CR) </t>
  </si>
  <si>
    <t>019077</t>
  </si>
  <si>
    <t>Pozzaglio ed Uniti</t>
  </si>
  <si>
    <t xml:space="preserve">Pozzallo (RG) </t>
  </si>
  <si>
    <t>088008</t>
  </si>
  <si>
    <t>Pozzallo</t>
  </si>
  <si>
    <t xml:space="preserve">Pozzilli (IS) </t>
  </si>
  <si>
    <t>094038</t>
  </si>
  <si>
    <t>Pozzilli</t>
  </si>
  <si>
    <t xml:space="preserve">Pozzo d'Adda (MI) </t>
  </si>
  <si>
    <t>015177</t>
  </si>
  <si>
    <t>Pozzo d'Adda</t>
  </si>
  <si>
    <t xml:space="preserve">Pozzol Groppo (AL) </t>
  </si>
  <si>
    <t>006137</t>
  </si>
  <si>
    <t>Pozzol Groppo</t>
  </si>
  <si>
    <t xml:space="preserve">Pozzolengo (BS) </t>
  </si>
  <si>
    <t>017151</t>
  </si>
  <si>
    <t>Pozzolengo</t>
  </si>
  <si>
    <t xml:space="preserve">Pozzoleone (VI) </t>
  </si>
  <si>
    <t>024082</t>
  </si>
  <si>
    <t>Pozzoleone</t>
  </si>
  <si>
    <t xml:space="preserve">Pozzolo Formigaro (AL) </t>
  </si>
  <si>
    <t>006138</t>
  </si>
  <si>
    <t>Pozzolo Formigaro</t>
  </si>
  <si>
    <t xml:space="preserve">Pozzomaggiore (SS) </t>
  </si>
  <si>
    <t>Pozzomaggiore</t>
  </si>
  <si>
    <t xml:space="preserve">Pozzonovo (PD) </t>
  </si>
  <si>
    <t>028070</t>
  </si>
  <si>
    <t>Pozzonovo</t>
  </si>
  <si>
    <t xml:space="preserve">Pozzuoli (NA) </t>
  </si>
  <si>
    <t>063060</t>
  </si>
  <si>
    <t>Pozzuoli</t>
  </si>
  <si>
    <t xml:space="preserve">Pozzuolo del Friuli (UD) </t>
  </si>
  <si>
    <t>030079</t>
  </si>
  <si>
    <t>Pozzuolo del Friuli</t>
  </si>
  <si>
    <t xml:space="preserve">Pozzuolo Martesana (MI) </t>
  </si>
  <si>
    <t>015178</t>
  </si>
  <si>
    <t>Pozzuolo Martesana</t>
  </si>
  <si>
    <t xml:space="preserve">Pradalunga (BG) </t>
  </si>
  <si>
    <t>016173</t>
  </si>
  <si>
    <t>Pradalunga</t>
  </si>
  <si>
    <t xml:space="preserve">Pradamano (UD) </t>
  </si>
  <si>
    <t>030080</t>
  </si>
  <si>
    <t>Pradamano</t>
  </si>
  <si>
    <t xml:space="preserve">Pradleves (CN) </t>
  </si>
  <si>
    <t>004173</t>
  </si>
  <si>
    <t>Pradleves</t>
  </si>
  <si>
    <t xml:space="preserve">Pragelato (TO) </t>
  </si>
  <si>
    <t>001201</t>
  </si>
  <si>
    <t>Pragelato</t>
  </si>
  <si>
    <t xml:space="preserve">Praia a Mare (CS) </t>
  </si>
  <si>
    <t>078101</t>
  </si>
  <si>
    <t>Praia a Mare</t>
  </si>
  <si>
    <t xml:space="preserve">Praiano (SA) </t>
  </si>
  <si>
    <t>065102</t>
  </si>
  <si>
    <t>Praiano</t>
  </si>
  <si>
    <t xml:space="preserve">Pralboino (BS) </t>
  </si>
  <si>
    <t>017152</t>
  </si>
  <si>
    <t>Pralboino</t>
  </si>
  <si>
    <t xml:space="preserve">Prali (TO) </t>
  </si>
  <si>
    <t>001202</t>
  </si>
  <si>
    <t>Prali</t>
  </si>
  <si>
    <t xml:space="preserve">Pralormo (TO) </t>
  </si>
  <si>
    <t>001203</t>
  </si>
  <si>
    <t>Pralormo</t>
  </si>
  <si>
    <t xml:space="preserve">Pralungo (BI) </t>
  </si>
  <si>
    <t>096049</t>
  </si>
  <si>
    <t>Pralungo</t>
  </si>
  <si>
    <t xml:space="preserve">Pramaggiore (VE) </t>
  </si>
  <si>
    <t>027030</t>
  </si>
  <si>
    <t>Pramaggiore</t>
  </si>
  <si>
    <t xml:space="preserve">Pramollo (TO) </t>
  </si>
  <si>
    <t>001204</t>
  </si>
  <si>
    <t>Pramollo</t>
  </si>
  <si>
    <t xml:space="preserve">Prarolo (VC) </t>
  </si>
  <si>
    <t>002104</t>
  </si>
  <si>
    <t>Prarolo</t>
  </si>
  <si>
    <t xml:space="preserve">Prarostino (TO) </t>
  </si>
  <si>
    <t>001205</t>
  </si>
  <si>
    <t>Prarostino</t>
  </si>
  <si>
    <t xml:space="preserve">Prasco (AL) </t>
  </si>
  <si>
    <t>006139</t>
  </si>
  <si>
    <t>Prasco</t>
  </si>
  <si>
    <t xml:space="preserve">Prascorsano (TO) </t>
  </si>
  <si>
    <t>001206</t>
  </si>
  <si>
    <t>Prascorsano</t>
  </si>
  <si>
    <t xml:space="preserve">Prata Camportaccio (SO) </t>
  </si>
  <si>
    <t>014054</t>
  </si>
  <si>
    <t>Prata Camportaccio</t>
  </si>
  <si>
    <t xml:space="preserve">Prata d'Ansidonia (AQ) </t>
  </si>
  <si>
    <t>066074</t>
  </si>
  <si>
    <t>Prata d'Ansidonia</t>
  </si>
  <si>
    <t xml:space="preserve">Prata di Pordenone (PN) </t>
  </si>
  <si>
    <t>093034</t>
  </si>
  <si>
    <t>Prata di Pordenone</t>
  </si>
  <si>
    <t xml:space="preserve">Prata di Principato Ultra (AV) </t>
  </si>
  <si>
    <t>064074</t>
  </si>
  <si>
    <t>Prata di Principato Ultra</t>
  </si>
  <si>
    <t xml:space="preserve">Prata Sannita (CE) </t>
  </si>
  <si>
    <t>061063</t>
  </si>
  <si>
    <t>Prata Sannita</t>
  </si>
  <si>
    <t xml:space="preserve">Pratella (CE) </t>
  </si>
  <si>
    <t>061064</t>
  </si>
  <si>
    <t>Pratella</t>
  </si>
  <si>
    <t xml:space="preserve">Pratiglione (TO) </t>
  </si>
  <si>
    <t>001207</t>
  </si>
  <si>
    <t>Pratiglione</t>
  </si>
  <si>
    <t xml:space="preserve">Prato (PO) </t>
  </si>
  <si>
    <t>Prato</t>
  </si>
  <si>
    <t>021067</t>
  </si>
  <si>
    <t xml:space="preserve">Prato Carnico (UD) </t>
  </si>
  <si>
    <t>030081</t>
  </si>
  <si>
    <t>Prato Carnico</t>
  </si>
  <si>
    <t xml:space="preserve">Prato Sesia (NO) </t>
  </si>
  <si>
    <t>003122</t>
  </si>
  <si>
    <t>Prato Sesia</t>
  </si>
  <si>
    <t xml:space="preserve">Pratola Peligna (AQ) </t>
  </si>
  <si>
    <t>066075</t>
  </si>
  <si>
    <t>Pratola Peligna</t>
  </si>
  <si>
    <t xml:space="preserve">Pratola Serra (AV) </t>
  </si>
  <si>
    <t>064075</t>
  </si>
  <si>
    <t>Pratola Serra</t>
  </si>
  <si>
    <t xml:space="preserve">Pravisdomini (PN) </t>
  </si>
  <si>
    <t>093035</t>
  </si>
  <si>
    <t>Pravisdomini</t>
  </si>
  <si>
    <t xml:space="preserve">Pray (BI) </t>
  </si>
  <si>
    <t>096050</t>
  </si>
  <si>
    <t>Pray</t>
  </si>
  <si>
    <t xml:space="preserve">Prazzo (CN) </t>
  </si>
  <si>
    <t>004174</t>
  </si>
  <si>
    <t>Prazzo</t>
  </si>
  <si>
    <t xml:space="preserve">Precenicco (UD) </t>
  </si>
  <si>
    <t>030082</t>
  </si>
  <si>
    <t>Precenicco</t>
  </si>
  <si>
    <t xml:space="preserve">Preci (PG) </t>
  </si>
  <si>
    <t>054043</t>
  </si>
  <si>
    <t>Preci</t>
  </si>
  <si>
    <t xml:space="preserve">Predappio (FC) </t>
  </si>
  <si>
    <t>040032</t>
  </si>
  <si>
    <t>Predappio</t>
  </si>
  <si>
    <t xml:space="preserve">Predazzo (TN) </t>
  </si>
  <si>
    <t>022147</t>
  </si>
  <si>
    <t>Predazzo</t>
  </si>
  <si>
    <t>021068</t>
  </si>
  <si>
    <t xml:space="preserve">Predore (BG) </t>
  </si>
  <si>
    <t>016174</t>
  </si>
  <si>
    <t>Predore</t>
  </si>
  <si>
    <t xml:space="preserve">Predosa (AL) </t>
  </si>
  <si>
    <t>006140</t>
  </si>
  <si>
    <t>Predosa</t>
  </si>
  <si>
    <t xml:space="preserve">Preganziol (TV) </t>
  </si>
  <si>
    <t>026063</t>
  </si>
  <si>
    <t>Preganziol</t>
  </si>
  <si>
    <t xml:space="preserve">Pregnana Milanese (MI) </t>
  </si>
  <si>
    <t>015179</t>
  </si>
  <si>
    <t>Pregnana Milanese</t>
  </si>
  <si>
    <t xml:space="preserve">Prelà (IM) </t>
  </si>
  <si>
    <t>008047</t>
  </si>
  <si>
    <t>Prelà</t>
  </si>
  <si>
    <t xml:space="preserve">Premana (LC) </t>
  </si>
  <si>
    <t>097069</t>
  </si>
  <si>
    <t>Premana</t>
  </si>
  <si>
    <t xml:space="preserve">Premariacco (UD) </t>
  </si>
  <si>
    <t>030083</t>
  </si>
  <si>
    <t>Premariacco</t>
  </si>
  <si>
    <t xml:space="preserve">Premeno (VB) </t>
  </si>
  <si>
    <t>Premeno</t>
  </si>
  <si>
    <t xml:space="preserve">Premia (VB) </t>
  </si>
  <si>
    <t>Premia</t>
  </si>
  <si>
    <t xml:space="preserve">Premilcuore (FC) </t>
  </si>
  <si>
    <t>040033</t>
  </si>
  <si>
    <t>Premilcuore</t>
  </si>
  <si>
    <t xml:space="preserve">Premolo (BG) </t>
  </si>
  <si>
    <t>016175</t>
  </si>
  <si>
    <t>Premolo</t>
  </si>
  <si>
    <t xml:space="preserve">Premosello-Chiovenda (VB) </t>
  </si>
  <si>
    <t>Premosello-Chiovenda</t>
  </si>
  <si>
    <t xml:space="preserve">Preone (UD) </t>
  </si>
  <si>
    <t>030084</t>
  </si>
  <si>
    <t>Preone</t>
  </si>
  <si>
    <t xml:space="preserve">Prepotto (UD) </t>
  </si>
  <si>
    <t>030085</t>
  </si>
  <si>
    <t>Prepotto</t>
  </si>
  <si>
    <t>007053</t>
  </si>
  <si>
    <t xml:space="preserve">Preseglie (BS) </t>
  </si>
  <si>
    <t>017153</t>
  </si>
  <si>
    <t>Preseglie</t>
  </si>
  <si>
    <t xml:space="preserve">Presenzano (CE) </t>
  </si>
  <si>
    <t>061065</t>
  </si>
  <si>
    <t>Presenzano</t>
  </si>
  <si>
    <t xml:space="preserve">Presezzo (BG) </t>
  </si>
  <si>
    <t>016176</t>
  </si>
  <si>
    <t>Presezzo</t>
  </si>
  <si>
    <t xml:space="preserve">Pressana (VR) </t>
  </si>
  <si>
    <t>023061</t>
  </si>
  <si>
    <t>Pressana</t>
  </si>
  <si>
    <t xml:space="preserve">Pretoro (CH) </t>
  </si>
  <si>
    <t>069069</t>
  </si>
  <si>
    <t>Pretoro</t>
  </si>
  <si>
    <t xml:space="preserve">Prevalle (BS) </t>
  </si>
  <si>
    <t>017155</t>
  </si>
  <si>
    <t>Prevalle</t>
  </si>
  <si>
    <t xml:space="preserve">Prezza (AQ) </t>
  </si>
  <si>
    <t>066076</t>
  </si>
  <si>
    <t>Prezza</t>
  </si>
  <si>
    <t xml:space="preserve">Priero (CN) </t>
  </si>
  <si>
    <t>004175</t>
  </si>
  <si>
    <t>Priero</t>
  </si>
  <si>
    <t xml:space="preserve">Prignano Cilento (SA) </t>
  </si>
  <si>
    <t>065103</t>
  </si>
  <si>
    <t>Prignano Cilento</t>
  </si>
  <si>
    <t xml:space="preserve">Prignano sulla Secchia (MO) </t>
  </si>
  <si>
    <t>036033</t>
  </si>
  <si>
    <t>Prignano sulla Secchia</t>
  </si>
  <si>
    <t xml:space="preserve">Primaluna (LC) </t>
  </si>
  <si>
    <t>097070</t>
  </si>
  <si>
    <t>Primaluna</t>
  </si>
  <si>
    <t xml:space="preserve">Priocca (CN) </t>
  </si>
  <si>
    <t>004176</t>
  </si>
  <si>
    <t>Priocca</t>
  </si>
  <si>
    <t xml:space="preserve">Priola (CN) </t>
  </si>
  <si>
    <t>004177</t>
  </si>
  <si>
    <t>Priola</t>
  </si>
  <si>
    <t xml:space="preserve">Priolo Gargallo (SR) </t>
  </si>
  <si>
    <t>089021</t>
  </si>
  <si>
    <t>Priolo Gargallo</t>
  </si>
  <si>
    <t xml:space="preserve">Priverno (LT) </t>
  </si>
  <si>
    <t>059019</t>
  </si>
  <si>
    <t>Priverno</t>
  </si>
  <si>
    <t xml:space="preserve">Prizzi (PA) </t>
  </si>
  <si>
    <t>082060</t>
  </si>
  <si>
    <t>Prizzi</t>
  </si>
  <si>
    <t xml:space="preserve">Proceno (VT) </t>
  </si>
  <si>
    <t>056044</t>
  </si>
  <si>
    <t>Proceno</t>
  </si>
  <si>
    <t xml:space="preserve">Procida (NA) </t>
  </si>
  <si>
    <t>063061</t>
  </si>
  <si>
    <t>Procida</t>
  </si>
  <si>
    <t xml:space="preserve">Propata (GE) </t>
  </si>
  <si>
    <t>010045</t>
  </si>
  <si>
    <t>Propata</t>
  </si>
  <si>
    <t xml:space="preserve">Proserpio (CO) </t>
  </si>
  <si>
    <t>013192</t>
  </si>
  <si>
    <t>Proserpio</t>
  </si>
  <si>
    <t xml:space="preserve">Prossedi (LT) </t>
  </si>
  <si>
    <t>059020</t>
  </si>
  <si>
    <t>Prossedi</t>
  </si>
  <si>
    <t xml:space="preserve">Provaglio d'Iseo (BS) </t>
  </si>
  <si>
    <t>017156</t>
  </si>
  <si>
    <t>Provaglio d'Iseo</t>
  </si>
  <si>
    <t xml:space="preserve">Provaglio Val Sabbia (BS) </t>
  </si>
  <si>
    <t>017157</t>
  </si>
  <si>
    <t>Provaglio Val Sabbia</t>
  </si>
  <si>
    <t>021069</t>
  </si>
  <si>
    <t xml:space="preserve">Provvidenti (CB) </t>
  </si>
  <si>
    <t>070056</t>
  </si>
  <si>
    <t>Provvidenti</t>
  </si>
  <si>
    <t xml:space="preserve">Prunetto (CN) </t>
  </si>
  <si>
    <t>004178</t>
  </si>
  <si>
    <t>Prunetto</t>
  </si>
  <si>
    <t>017158</t>
  </si>
  <si>
    <t xml:space="preserve">Puglianello (BN) </t>
  </si>
  <si>
    <t>062055</t>
  </si>
  <si>
    <t>Puglianello</t>
  </si>
  <si>
    <t xml:space="preserve">Pula (CA) </t>
  </si>
  <si>
    <t>Pula</t>
  </si>
  <si>
    <t xml:space="preserve">Pulfero (UD) </t>
  </si>
  <si>
    <t>030086</t>
  </si>
  <si>
    <t>Pulfero</t>
  </si>
  <si>
    <t xml:space="preserve">Pulsano (TA) </t>
  </si>
  <si>
    <t>073022</t>
  </si>
  <si>
    <t>Pulsano</t>
  </si>
  <si>
    <t xml:space="preserve">Pumenengo (BG) </t>
  </si>
  <si>
    <t>016177</t>
  </si>
  <si>
    <t>Pumenengo</t>
  </si>
  <si>
    <t xml:space="preserve">Pusiano (CO) </t>
  </si>
  <si>
    <t>013193</t>
  </si>
  <si>
    <t>Pusiano</t>
  </si>
  <si>
    <t xml:space="preserve">Putifigari (SS) </t>
  </si>
  <si>
    <t>Putifigari</t>
  </si>
  <si>
    <t xml:space="preserve">Putignano (BA) </t>
  </si>
  <si>
    <t>072036</t>
  </si>
  <si>
    <t>Putignano</t>
  </si>
  <si>
    <t xml:space="preserve">Quadrelle (AV) </t>
  </si>
  <si>
    <t>064076</t>
  </si>
  <si>
    <t>Quadrelle</t>
  </si>
  <si>
    <t xml:space="preserve">Quadri (CH) </t>
  </si>
  <si>
    <t>069070</t>
  </si>
  <si>
    <t>Quadri</t>
  </si>
  <si>
    <t xml:space="preserve">Quagliuzzo (TO) </t>
  </si>
  <si>
    <t>001208</t>
  </si>
  <si>
    <t>Quagliuzzo</t>
  </si>
  <si>
    <t xml:space="preserve">Qualiano (NA) </t>
  </si>
  <si>
    <t>063062</t>
  </si>
  <si>
    <t>Qualiano</t>
  </si>
  <si>
    <t xml:space="preserve">Quaranti (AT) </t>
  </si>
  <si>
    <t>005088</t>
  </si>
  <si>
    <t>Quaranti</t>
  </si>
  <si>
    <t xml:space="preserve">Quargnento (AL) </t>
  </si>
  <si>
    <t>006141</t>
  </si>
  <si>
    <t>Quargnento</t>
  </si>
  <si>
    <t xml:space="preserve">Quarna Sopra (VB) </t>
  </si>
  <si>
    <t>Quarna Sopra</t>
  </si>
  <si>
    <t xml:space="preserve">Quarna Sotto (VB) </t>
  </si>
  <si>
    <t>Quarna Sotto</t>
  </si>
  <si>
    <t xml:space="preserve">Quarona (VC) </t>
  </si>
  <si>
    <t>002107</t>
  </si>
  <si>
    <t>Quarona</t>
  </si>
  <si>
    <t xml:space="preserve">Quarrata (PT) </t>
  </si>
  <si>
    <t>047017</t>
  </si>
  <si>
    <t>Quarrata</t>
  </si>
  <si>
    <t xml:space="preserve">Quart (AO) </t>
  </si>
  <si>
    <t>007054</t>
  </si>
  <si>
    <t>Quart</t>
  </si>
  <si>
    <t xml:space="preserve">Quarto (NA) </t>
  </si>
  <si>
    <t>063063</t>
  </si>
  <si>
    <t>Quarto</t>
  </si>
  <si>
    <t xml:space="preserve">Quarto d'Altino (VE) </t>
  </si>
  <si>
    <t>027031</t>
  </si>
  <si>
    <t>Quarto d'Altino</t>
  </si>
  <si>
    <t xml:space="preserve">Quartu Sant'Elena (CA) </t>
  </si>
  <si>
    <t>Quartu Sant'Elena</t>
  </si>
  <si>
    <t xml:space="preserve">Quartucciu (CA) </t>
  </si>
  <si>
    <t>Quartucciu</t>
  </si>
  <si>
    <t xml:space="preserve">Quassolo (TO) </t>
  </si>
  <si>
    <t>001209</t>
  </si>
  <si>
    <t>Quassolo</t>
  </si>
  <si>
    <t xml:space="preserve">Quattordio (AL) </t>
  </si>
  <si>
    <t>006142</t>
  </si>
  <si>
    <t>Quattordio</t>
  </si>
  <si>
    <t xml:space="preserve">Quattro Castella (RE) </t>
  </si>
  <si>
    <t>035030</t>
  </si>
  <si>
    <t>Quattro Castella</t>
  </si>
  <si>
    <t xml:space="preserve">Quiliano (SV) </t>
  </si>
  <si>
    <t>009052</t>
  </si>
  <si>
    <t>Quiliano</t>
  </si>
  <si>
    <t xml:space="preserve">Quincinetto (TO) </t>
  </si>
  <si>
    <t>001210</t>
  </si>
  <si>
    <t>Quincinetto</t>
  </si>
  <si>
    <t xml:space="preserve">Quindici (AV) </t>
  </si>
  <si>
    <t>064077</t>
  </si>
  <si>
    <t>Quindici</t>
  </si>
  <si>
    <t xml:space="preserve">Quingentole (MN) </t>
  </si>
  <si>
    <t>020046</t>
  </si>
  <si>
    <t>Quingentole</t>
  </si>
  <si>
    <t xml:space="preserve">Quintano (CR) </t>
  </si>
  <si>
    <t>019078</t>
  </si>
  <si>
    <t>Quintano</t>
  </si>
  <si>
    <t xml:space="preserve">Quinto di Treviso (TV) </t>
  </si>
  <si>
    <t>026064</t>
  </si>
  <si>
    <t>Quinto di Treviso</t>
  </si>
  <si>
    <t xml:space="preserve">Quinto Vercellese (VC) </t>
  </si>
  <si>
    <t>002108</t>
  </si>
  <si>
    <t>Quinto Vercellese</t>
  </si>
  <si>
    <t xml:space="preserve">Quinto Vicentino (VI) </t>
  </si>
  <si>
    <t>024083</t>
  </si>
  <si>
    <t>Quinto Vicentino</t>
  </si>
  <si>
    <t xml:space="preserve">Quinzano d'Oglio (BS) </t>
  </si>
  <si>
    <t>017159</t>
  </si>
  <si>
    <t>Quinzano d'Oglio</t>
  </si>
  <si>
    <t xml:space="preserve">Quistello (MN) </t>
  </si>
  <si>
    <t>020047</t>
  </si>
  <si>
    <t>Quistello</t>
  </si>
  <si>
    <t xml:space="preserve">Rabbi (TN) </t>
  </si>
  <si>
    <t>022150</t>
  </si>
  <si>
    <t>Rabbi</t>
  </si>
  <si>
    <t xml:space="preserve">Racale (LE) </t>
  </si>
  <si>
    <t>075063</t>
  </si>
  <si>
    <t>Racale</t>
  </si>
  <si>
    <t xml:space="preserve">Racalmuto (AG) </t>
  </si>
  <si>
    <t>084029</t>
  </si>
  <si>
    <t>Racalmuto</t>
  </si>
  <si>
    <t xml:space="preserve">Racconigi (CN) </t>
  </si>
  <si>
    <t>004179</t>
  </si>
  <si>
    <t>Racconigi</t>
  </si>
  <si>
    <t xml:space="preserve">Raccuja (ME) </t>
  </si>
  <si>
    <t>083069</t>
  </si>
  <si>
    <t>Raccuja</t>
  </si>
  <si>
    <t>021070</t>
  </si>
  <si>
    <t xml:space="preserve">Radda in Chianti (SI) </t>
  </si>
  <si>
    <t>052023</t>
  </si>
  <si>
    <t>Radda in Chianti</t>
  </si>
  <si>
    <t xml:space="preserve">Raddusa (CT) </t>
  </si>
  <si>
    <t>087036</t>
  </si>
  <si>
    <t>Raddusa</t>
  </si>
  <si>
    <t xml:space="preserve">Radicofani (SI) </t>
  </si>
  <si>
    <t>052024</t>
  </si>
  <si>
    <t>Radicofani</t>
  </si>
  <si>
    <t xml:space="preserve">Radicondoli (SI) </t>
  </si>
  <si>
    <t>052025</t>
  </si>
  <si>
    <t>Radicondoli</t>
  </si>
  <si>
    <t xml:space="preserve">Raffadali (AG) </t>
  </si>
  <si>
    <t>084030</t>
  </si>
  <si>
    <t>Raffadali</t>
  </si>
  <si>
    <t xml:space="preserve">Ragalna (CT) </t>
  </si>
  <si>
    <t>087058</t>
  </si>
  <si>
    <t>Ragalna</t>
  </si>
  <si>
    <t xml:space="preserve">Ragogna (UD) </t>
  </si>
  <si>
    <t>030087</t>
  </si>
  <si>
    <t>Ragogna</t>
  </si>
  <si>
    <t xml:space="preserve">Ragusa (RG) </t>
  </si>
  <si>
    <t>088009</t>
  </si>
  <si>
    <t>Ragusa</t>
  </si>
  <si>
    <t xml:space="preserve">Raiano (AQ) </t>
  </si>
  <si>
    <t>066077</t>
  </si>
  <si>
    <t>Raiano</t>
  </si>
  <si>
    <t xml:space="preserve">Ramacca (CT) </t>
  </si>
  <si>
    <t>087037</t>
  </si>
  <si>
    <t>Ramacca</t>
  </si>
  <si>
    <t xml:space="preserve">Rancio Valcuvia (VA) </t>
  </si>
  <si>
    <t>012115</t>
  </si>
  <si>
    <t>Rancio Valcuvia</t>
  </si>
  <si>
    <t xml:space="preserve">Ranco (VA) </t>
  </si>
  <si>
    <t>012116</t>
  </si>
  <si>
    <t>Ranco</t>
  </si>
  <si>
    <t xml:space="preserve">Randazzo (CT) </t>
  </si>
  <si>
    <t>087038</t>
  </si>
  <si>
    <t>Randazzo</t>
  </si>
  <si>
    <t xml:space="preserve">Ranica (BG) </t>
  </si>
  <si>
    <t>016178</t>
  </si>
  <si>
    <t>Ranica</t>
  </si>
  <si>
    <t xml:space="preserve">Ranzanico (BG) </t>
  </si>
  <si>
    <t>016179</t>
  </si>
  <si>
    <t>Ranzanico</t>
  </si>
  <si>
    <t xml:space="preserve">Ranzo (IM) </t>
  </si>
  <si>
    <t>008048</t>
  </si>
  <si>
    <t>Ranzo</t>
  </si>
  <si>
    <t xml:space="preserve">Rapagnano (FM) </t>
  </si>
  <si>
    <t>Rapagnano</t>
  </si>
  <si>
    <t xml:space="preserve">Rapallo (GE) </t>
  </si>
  <si>
    <t>010046</t>
  </si>
  <si>
    <t>Rapallo</t>
  </si>
  <si>
    <t xml:space="preserve">Rapino (CH) </t>
  </si>
  <si>
    <t>069071</t>
  </si>
  <si>
    <t>Rapino</t>
  </si>
  <si>
    <t xml:space="preserve">Rapolano Terme (SI) </t>
  </si>
  <si>
    <t>052026</t>
  </si>
  <si>
    <t>Rapolano Terme</t>
  </si>
  <si>
    <t xml:space="preserve">Rapolla (PZ) </t>
  </si>
  <si>
    <t>076064</t>
  </si>
  <si>
    <t>Rapolla</t>
  </si>
  <si>
    <t xml:space="preserve">Rapone (PZ) </t>
  </si>
  <si>
    <t>076065</t>
  </si>
  <si>
    <t>Rapone</t>
  </si>
  <si>
    <t xml:space="preserve">Rassa (VC) </t>
  </si>
  <si>
    <t>002110</t>
  </si>
  <si>
    <t>Rassa</t>
  </si>
  <si>
    <t>021071</t>
  </si>
  <si>
    <t xml:space="preserve">Rasura (SO) </t>
  </si>
  <si>
    <t>014055</t>
  </si>
  <si>
    <t>Rasura</t>
  </si>
  <si>
    <t xml:space="preserve">Ravanusa (AG) </t>
  </si>
  <si>
    <t>084031</t>
  </si>
  <si>
    <t>Ravanusa</t>
  </si>
  <si>
    <t xml:space="preserve">Ravarino (MO) </t>
  </si>
  <si>
    <t>036034</t>
  </si>
  <si>
    <t>Ravarino</t>
  </si>
  <si>
    <t xml:space="preserve">Ravascletto (UD) </t>
  </si>
  <si>
    <t>030088</t>
  </si>
  <si>
    <t>Ravascletto</t>
  </si>
  <si>
    <t xml:space="preserve">Ravello (SA) </t>
  </si>
  <si>
    <t>065104</t>
  </si>
  <si>
    <t>Ravello</t>
  </si>
  <si>
    <t xml:space="preserve">Ravenna (RA) </t>
  </si>
  <si>
    <t>039014</t>
  </si>
  <si>
    <t>Ravenna</t>
  </si>
  <si>
    <t xml:space="preserve">Raveo (UD) </t>
  </si>
  <si>
    <t>030089</t>
  </si>
  <si>
    <t>Raveo</t>
  </si>
  <si>
    <t xml:space="preserve">Raviscanina (CE) </t>
  </si>
  <si>
    <t>061066</t>
  </si>
  <si>
    <t>Raviscanina</t>
  </si>
  <si>
    <t xml:space="preserve">Re (VB) </t>
  </si>
  <si>
    <t>Re</t>
  </si>
  <si>
    <t xml:space="preserve">Rea (PV) </t>
  </si>
  <si>
    <t>018119</t>
  </si>
  <si>
    <t>Rea</t>
  </si>
  <si>
    <t xml:space="preserve">Realmonte (AG) </t>
  </si>
  <si>
    <t>084032</t>
  </si>
  <si>
    <t>Realmonte</t>
  </si>
  <si>
    <t xml:space="preserve">Reana del Rojale (UD) </t>
  </si>
  <si>
    <t>030090</t>
  </si>
  <si>
    <t>Reana del Rojale</t>
  </si>
  <si>
    <t xml:space="preserve">Reano (TO) </t>
  </si>
  <si>
    <t>001211</t>
  </si>
  <si>
    <t>Reano</t>
  </si>
  <si>
    <t xml:space="preserve">Recale (CE) </t>
  </si>
  <si>
    <t>061067</t>
  </si>
  <si>
    <t>Recale</t>
  </si>
  <si>
    <t xml:space="preserve">Recanati (MC) </t>
  </si>
  <si>
    <t>043044</t>
  </si>
  <si>
    <t>Recanati</t>
  </si>
  <si>
    <t xml:space="preserve">Recco (GE) </t>
  </si>
  <si>
    <t>010047</t>
  </si>
  <si>
    <t>Recco</t>
  </si>
  <si>
    <t xml:space="preserve">Recetto (NO) </t>
  </si>
  <si>
    <t>003129</t>
  </si>
  <si>
    <t>Recetto</t>
  </si>
  <si>
    <t xml:space="preserve">Recoaro Terme (VI) </t>
  </si>
  <si>
    <t>024084</t>
  </si>
  <si>
    <t>Recoaro Terme</t>
  </si>
  <si>
    <t xml:space="preserve">Redavalle (PV) </t>
  </si>
  <si>
    <t>018120</t>
  </si>
  <si>
    <t>Redavalle</t>
  </si>
  <si>
    <t xml:space="preserve">Redondesco (MN) </t>
  </si>
  <si>
    <t>020048</t>
  </si>
  <si>
    <t>Redondesco</t>
  </si>
  <si>
    <t xml:space="preserve">Refrancore (AT) </t>
  </si>
  <si>
    <t>005089</t>
  </si>
  <si>
    <t>Refrancore</t>
  </si>
  <si>
    <t xml:space="preserve">Refrontolo (TV) </t>
  </si>
  <si>
    <t>026065</t>
  </si>
  <si>
    <t>Refrontolo</t>
  </si>
  <si>
    <t xml:space="preserve">Regalbuto (EN) </t>
  </si>
  <si>
    <t>086016</t>
  </si>
  <si>
    <t>Regalbuto</t>
  </si>
  <si>
    <t xml:space="preserve">Reggello (FI) </t>
  </si>
  <si>
    <t>048035</t>
  </si>
  <si>
    <t>Reggello</t>
  </si>
  <si>
    <t xml:space="preserve">Reggio di Calabria (RC) </t>
  </si>
  <si>
    <t>080063</t>
  </si>
  <si>
    <t>Reggio di Calabria</t>
  </si>
  <si>
    <t xml:space="preserve">Reggio nell'Emilia (RE) </t>
  </si>
  <si>
    <t>035033</t>
  </si>
  <si>
    <t>Reggio nell'Emilia</t>
  </si>
  <si>
    <t xml:space="preserve">Reggiolo (RE) </t>
  </si>
  <si>
    <t>035032</t>
  </si>
  <si>
    <t>Reggiolo</t>
  </si>
  <si>
    <t xml:space="preserve">Reino (BN) </t>
  </si>
  <si>
    <t>062056</t>
  </si>
  <si>
    <t>Reino</t>
  </si>
  <si>
    <t xml:space="preserve">Reitano (ME) </t>
  </si>
  <si>
    <t>083070</t>
  </si>
  <si>
    <t>Reitano</t>
  </si>
  <si>
    <t xml:space="preserve">Remanzacco (UD) </t>
  </si>
  <si>
    <t>030091</t>
  </si>
  <si>
    <t>Remanzacco</t>
  </si>
  <si>
    <t xml:space="preserve">Remedello (BS) </t>
  </si>
  <si>
    <t>017160</t>
  </si>
  <si>
    <t>Remedello</t>
  </si>
  <si>
    <t xml:space="preserve">Renate (MB) </t>
  </si>
  <si>
    <t>Renate</t>
  </si>
  <si>
    <t xml:space="preserve">Rende (CS) </t>
  </si>
  <si>
    <t>078102</t>
  </si>
  <si>
    <t>Rende</t>
  </si>
  <si>
    <t>021072</t>
  </si>
  <si>
    <t xml:space="preserve">Resana (TV) </t>
  </si>
  <si>
    <t>026066</t>
  </si>
  <si>
    <t>Resana</t>
  </si>
  <si>
    <t xml:space="preserve">Rescaldina (MI) </t>
  </si>
  <si>
    <t>015181</t>
  </si>
  <si>
    <t>Rescaldina</t>
  </si>
  <si>
    <t xml:space="preserve">Resia (UD) </t>
  </si>
  <si>
    <t>030092</t>
  </si>
  <si>
    <t>Resia</t>
  </si>
  <si>
    <t xml:space="preserve">Resiutta (UD) </t>
  </si>
  <si>
    <t>030093</t>
  </si>
  <si>
    <t>Resiutta</t>
  </si>
  <si>
    <t xml:space="preserve">Resuttano (CL) </t>
  </si>
  <si>
    <t>085014</t>
  </si>
  <si>
    <t>Resuttano</t>
  </si>
  <si>
    <t xml:space="preserve">Retorbido (PV) </t>
  </si>
  <si>
    <t>018121</t>
  </si>
  <si>
    <t>Retorbido</t>
  </si>
  <si>
    <t xml:space="preserve">Revello (CN) </t>
  </si>
  <si>
    <t>004180</t>
  </si>
  <si>
    <t>Revello</t>
  </si>
  <si>
    <t xml:space="preserve">Revigliasco d'Asti (AT) </t>
  </si>
  <si>
    <t>005090</t>
  </si>
  <si>
    <t>Revigliasco d'Asti</t>
  </si>
  <si>
    <t xml:space="preserve">Revine Lago (TV) </t>
  </si>
  <si>
    <t>026067</t>
  </si>
  <si>
    <t>Revine Lago</t>
  </si>
  <si>
    <t xml:space="preserve">Rezzago (CO) </t>
  </si>
  <si>
    <t>013195</t>
  </si>
  <si>
    <t>Rezzago</t>
  </si>
  <si>
    <t xml:space="preserve">Rezzato (BS) </t>
  </si>
  <si>
    <t>017161</t>
  </si>
  <si>
    <t>Rezzato</t>
  </si>
  <si>
    <t xml:space="preserve">Rezzo (IM) </t>
  </si>
  <si>
    <t>008049</t>
  </si>
  <si>
    <t>Rezzo</t>
  </si>
  <si>
    <t xml:space="preserve">Rezzoaglio (GE) </t>
  </si>
  <si>
    <t>010048</t>
  </si>
  <si>
    <t>Rezzoaglio</t>
  </si>
  <si>
    <t>007055</t>
  </si>
  <si>
    <t>007056</t>
  </si>
  <si>
    <t xml:space="preserve">Rho (MI) </t>
  </si>
  <si>
    <t>015182</t>
  </si>
  <si>
    <t>Rho</t>
  </si>
  <si>
    <t xml:space="preserve">Riace (RC) </t>
  </si>
  <si>
    <t>080064</t>
  </si>
  <si>
    <t>Riace</t>
  </si>
  <si>
    <t xml:space="preserve">Rialto (SV) </t>
  </si>
  <si>
    <t>009053</t>
  </si>
  <si>
    <t>Rialto</t>
  </si>
  <si>
    <t xml:space="preserve">Riano (RM) </t>
  </si>
  <si>
    <t>058081</t>
  </si>
  <si>
    <t>Riano</t>
  </si>
  <si>
    <t xml:space="preserve">Riardo (CE) </t>
  </si>
  <si>
    <t>061068</t>
  </si>
  <si>
    <t>Riardo</t>
  </si>
  <si>
    <t xml:space="preserve">Ribera (AG) </t>
  </si>
  <si>
    <t>084033</t>
  </si>
  <si>
    <t>Ribera</t>
  </si>
  <si>
    <t xml:space="preserve">Ribordone (TO) </t>
  </si>
  <si>
    <t>001212</t>
  </si>
  <si>
    <t>Ribordone</t>
  </si>
  <si>
    <t xml:space="preserve">Ricadi (VV) </t>
  </si>
  <si>
    <t>Ricadi</t>
  </si>
  <si>
    <t xml:space="preserve">Ricaldone (AL) </t>
  </si>
  <si>
    <t>006143</t>
  </si>
  <si>
    <t>Ricaldone</t>
  </si>
  <si>
    <t xml:space="preserve">Riccia (CB) </t>
  </si>
  <si>
    <t>070057</t>
  </si>
  <si>
    <t>Riccia</t>
  </si>
  <si>
    <t xml:space="preserve">Riccione (RN) </t>
  </si>
  <si>
    <t>099013</t>
  </si>
  <si>
    <t>Riccione</t>
  </si>
  <si>
    <t xml:space="preserve">Riccò del Golfo di Spezia (SP) </t>
  </si>
  <si>
    <t>011023</t>
  </si>
  <si>
    <t>Riccò del Golfo di Spezia</t>
  </si>
  <si>
    <t xml:space="preserve">Ricengo (CR) </t>
  </si>
  <si>
    <t>019079</t>
  </si>
  <si>
    <t>Ricengo</t>
  </si>
  <si>
    <t xml:space="preserve">Ricigliano (SA) </t>
  </si>
  <si>
    <t>065105</t>
  </si>
  <si>
    <t>Ricigliano</t>
  </si>
  <si>
    <t xml:space="preserve">Riese Pio X (TV) </t>
  </si>
  <si>
    <t>026068</t>
  </si>
  <si>
    <t>Riese Pio X</t>
  </si>
  <si>
    <t xml:space="preserve">Riesi (CL) </t>
  </si>
  <si>
    <t>085015</t>
  </si>
  <si>
    <t>Riesi</t>
  </si>
  <si>
    <t xml:space="preserve">Rieti (RI) </t>
  </si>
  <si>
    <t>057059</t>
  </si>
  <si>
    <t>Rieti</t>
  </si>
  <si>
    <t>021073</t>
  </si>
  <si>
    <t xml:space="preserve">Rifreddo (CN) </t>
  </si>
  <si>
    <t>004181</t>
  </si>
  <si>
    <t>Rifreddo</t>
  </si>
  <si>
    <t xml:space="preserve">Rignano Flaminio (RM) </t>
  </si>
  <si>
    <t>058082</t>
  </si>
  <si>
    <t>Rignano Flaminio</t>
  </si>
  <si>
    <t xml:space="preserve">Rignano Garganico (FG) </t>
  </si>
  <si>
    <t>071041</t>
  </si>
  <si>
    <t>Rignano Garganico</t>
  </si>
  <si>
    <t xml:space="preserve">Rignano sull'Arno (FI) </t>
  </si>
  <si>
    <t>048036</t>
  </si>
  <si>
    <t>Rignano sull'Arno</t>
  </si>
  <si>
    <t xml:space="preserve">Rigolato (UD) </t>
  </si>
  <si>
    <t>030094</t>
  </si>
  <si>
    <t>Rigolato</t>
  </si>
  <si>
    <t xml:space="preserve">Rimella (VC) </t>
  </si>
  <si>
    <t>002113</t>
  </si>
  <si>
    <t>Rimella</t>
  </si>
  <si>
    <t xml:space="preserve">Rimini (RN) </t>
  </si>
  <si>
    <t>099014</t>
  </si>
  <si>
    <t>Rimini</t>
  </si>
  <si>
    <t>021074</t>
  </si>
  <si>
    <t xml:space="preserve">Rio Saliceto (RE) </t>
  </si>
  <si>
    <t>035034</t>
  </si>
  <si>
    <t>Rio Saliceto</t>
  </si>
  <si>
    <t xml:space="preserve">Riofreddo (RM) </t>
  </si>
  <si>
    <t>058083</t>
  </si>
  <si>
    <t>Riofreddo</t>
  </si>
  <si>
    <t xml:space="preserve">Riola Sardo (OR) </t>
  </si>
  <si>
    <t>Riola Sardo</t>
  </si>
  <si>
    <t xml:space="preserve">Riolo Terme (RA) </t>
  </si>
  <si>
    <t>039015</t>
  </si>
  <si>
    <t>Riolo Terme</t>
  </si>
  <si>
    <t xml:space="preserve">Riolunato (MO) </t>
  </si>
  <si>
    <t>036035</t>
  </si>
  <si>
    <t>Riolunato</t>
  </si>
  <si>
    <t xml:space="preserve">Riomaggiore (SP) </t>
  </si>
  <si>
    <t>011024</t>
  </si>
  <si>
    <t>Riomaggiore</t>
  </si>
  <si>
    <t xml:space="preserve">Rionero in Vulture (PZ) </t>
  </si>
  <si>
    <t>076066</t>
  </si>
  <si>
    <t>Rionero in Vulture</t>
  </si>
  <si>
    <t xml:space="preserve">Rionero Sannitico (IS) </t>
  </si>
  <si>
    <t>094039</t>
  </si>
  <si>
    <t>Rionero Sannitico</t>
  </si>
  <si>
    <t xml:space="preserve">Ripa Teatina (CH) </t>
  </si>
  <si>
    <t>069072</t>
  </si>
  <si>
    <t>Ripa Teatina</t>
  </si>
  <si>
    <t xml:space="preserve">Ripabottoni (CB) </t>
  </si>
  <si>
    <t>070058</t>
  </si>
  <si>
    <t>Ripabottoni</t>
  </si>
  <si>
    <t xml:space="preserve">Ripacandida (PZ) </t>
  </si>
  <si>
    <t>076067</t>
  </si>
  <si>
    <t>Ripacandida</t>
  </si>
  <si>
    <t xml:space="preserve">Ripalimosani (CB) </t>
  </si>
  <si>
    <t>070059</t>
  </si>
  <si>
    <t>Ripalimosani</t>
  </si>
  <si>
    <t xml:space="preserve">Ripalta Arpina (CR) </t>
  </si>
  <si>
    <t>019080</t>
  </si>
  <si>
    <t>Ripalta Arpina</t>
  </si>
  <si>
    <t xml:space="preserve">Ripalta Cremasca (CR) </t>
  </si>
  <si>
    <t>019081</t>
  </si>
  <si>
    <t>Ripalta Cremasca</t>
  </si>
  <si>
    <t xml:space="preserve">Ripalta Guerina (CR) </t>
  </si>
  <si>
    <t>019082</t>
  </si>
  <si>
    <t>Ripalta Guerina</t>
  </si>
  <si>
    <t xml:space="preserve">Riparbella (PI) </t>
  </si>
  <si>
    <t>050030</t>
  </si>
  <si>
    <t>Riparbella</t>
  </si>
  <si>
    <t xml:space="preserve">Ripatransone (AP) </t>
  </si>
  <si>
    <t>044063</t>
  </si>
  <si>
    <t>Ripatransone</t>
  </si>
  <si>
    <t xml:space="preserve">Ripe San Ginesio (MC) </t>
  </si>
  <si>
    <t>043045</t>
  </si>
  <si>
    <t>Ripe San Ginesio</t>
  </si>
  <si>
    <t xml:space="preserve">Ripi (FR) </t>
  </si>
  <si>
    <t>060058</t>
  </si>
  <si>
    <t>Ripi</t>
  </si>
  <si>
    <t xml:space="preserve">Riposto (CT) </t>
  </si>
  <si>
    <t>087039</t>
  </si>
  <si>
    <t>Riposto</t>
  </si>
  <si>
    <t xml:space="preserve">Rittana (CN) </t>
  </si>
  <si>
    <t>004182</t>
  </si>
  <si>
    <t>Rittana</t>
  </si>
  <si>
    <t xml:space="preserve">Riva del Garda (TN) </t>
  </si>
  <si>
    <t>022153</t>
  </si>
  <si>
    <t>Riva del Garda</t>
  </si>
  <si>
    <t xml:space="preserve">Riva di Solto (BG) </t>
  </si>
  <si>
    <t>016180</t>
  </si>
  <si>
    <t>Riva di Solto</t>
  </si>
  <si>
    <t xml:space="preserve">Riva Ligure (IM) </t>
  </si>
  <si>
    <t>008050</t>
  </si>
  <si>
    <t>Riva Ligure</t>
  </si>
  <si>
    <t xml:space="preserve">Riva presso Chieri (TO) </t>
  </si>
  <si>
    <t>001215</t>
  </si>
  <si>
    <t>Riva presso Chieri</t>
  </si>
  <si>
    <t xml:space="preserve">Rivalba (TO) </t>
  </si>
  <si>
    <t>001213</t>
  </si>
  <si>
    <t>Rivalba</t>
  </si>
  <si>
    <t xml:space="preserve">Rivalta Bormida (AL) </t>
  </si>
  <si>
    <t>006144</t>
  </si>
  <si>
    <t>Rivalta Bormida</t>
  </si>
  <si>
    <t xml:space="preserve">Rivalta di Torino (TO) </t>
  </si>
  <si>
    <t>001214</t>
  </si>
  <si>
    <t>Rivalta di Torino</t>
  </si>
  <si>
    <t xml:space="preserve">Rivamonte Agordino (BL) </t>
  </si>
  <si>
    <t>025043</t>
  </si>
  <si>
    <t>Rivamonte Agordino</t>
  </si>
  <si>
    <t xml:space="preserve">Rivanazzano Terme (PV) </t>
  </si>
  <si>
    <t>018122</t>
  </si>
  <si>
    <t>Rivanazzano Terme</t>
  </si>
  <si>
    <t xml:space="preserve">Rivara (TO) </t>
  </si>
  <si>
    <t>001216</t>
  </si>
  <si>
    <t>Rivara</t>
  </si>
  <si>
    <t xml:space="preserve">Rivarolo Canavese (TO) </t>
  </si>
  <si>
    <t>001217</t>
  </si>
  <si>
    <t>Rivarolo Canavese</t>
  </si>
  <si>
    <t xml:space="preserve">Rivarolo del Re ed Uniti (CR) </t>
  </si>
  <si>
    <t>019083</t>
  </si>
  <si>
    <t>Rivarolo del Re ed Uniti</t>
  </si>
  <si>
    <t xml:space="preserve">Rivarolo Mantovano (MN) </t>
  </si>
  <si>
    <t>020050</t>
  </si>
  <si>
    <t>Rivarolo Mantovano</t>
  </si>
  <si>
    <t xml:space="preserve">Rivarone (AL) </t>
  </si>
  <si>
    <t>006145</t>
  </si>
  <si>
    <t>Rivarone</t>
  </si>
  <si>
    <t xml:space="preserve">Rivarossa (TO) </t>
  </si>
  <si>
    <t>001218</t>
  </si>
  <si>
    <t>Rivarossa</t>
  </si>
  <si>
    <t xml:space="preserve">Rive (VC) </t>
  </si>
  <si>
    <t>002115</t>
  </si>
  <si>
    <t>Rive</t>
  </si>
  <si>
    <t xml:space="preserve">Rive d'Arcano (UD) </t>
  </si>
  <si>
    <t>030095</t>
  </si>
  <si>
    <t>Rive d'Arcano</t>
  </si>
  <si>
    <t xml:space="preserve">Rivello (PZ) </t>
  </si>
  <si>
    <t>076068</t>
  </si>
  <si>
    <t>Rivello</t>
  </si>
  <si>
    <t xml:space="preserve">Rivergaro (PC) </t>
  </si>
  <si>
    <t>033038</t>
  </si>
  <si>
    <t>Rivergaro</t>
  </si>
  <si>
    <t xml:space="preserve">Rivisondoli (AQ) </t>
  </si>
  <si>
    <t>066078</t>
  </si>
  <si>
    <t>Rivisondoli</t>
  </si>
  <si>
    <t xml:space="preserve">Rivodutri (RI) </t>
  </si>
  <si>
    <t>057060</t>
  </si>
  <si>
    <t>Rivodutri</t>
  </si>
  <si>
    <t xml:space="preserve">Rivoli (TO) </t>
  </si>
  <si>
    <t>001219</t>
  </si>
  <si>
    <t>Rivoli</t>
  </si>
  <si>
    <t xml:space="preserve">Rivoli Veronese (VR) </t>
  </si>
  <si>
    <t>023062</t>
  </si>
  <si>
    <t>Rivoli Veronese</t>
  </si>
  <si>
    <t xml:space="preserve">Rivolta d'Adda (CR) </t>
  </si>
  <si>
    <t>019084</t>
  </si>
  <si>
    <t>Rivolta d'Adda</t>
  </si>
  <si>
    <t xml:space="preserve">Rizziconi (RC) </t>
  </si>
  <si>
    <t>080065</t>
  </si>
  <si>
    <t>Rizziconi</t>
  </si>
  <si>
    <t xml:space="preserve">Roana (VI) </t>
  </si>
  <si>
    <t>024085</t>
  </si>
  <si>
    <t>Roana</t>
  </si>
  <si>
    <t xml:space="preserve">Roaschia (CN) </t>
  </si>
  <si>
    <t>004183</t>
  </si>
  <si>
    <t>Roaschia</t>
  </si>
  <si>
    <t xml:space="preserve">Roascio (CN) </t>
  </si>
  <si>
    <t>004184</t>
  </si>
  <si>
    <t>Roascio</t>
  </si>
  <si>
    <t xml:space="preserve">Roasio (VC) </t>
  </si>
  <si>
    <t>002116</t>
  </si>
  <si>
    <t>Roasio</t>
  </si>
  <si>
    <t xml:space="preserve">Roatto (AT) </t>
  </si>
  <si>
    <t>005091</t>
  </si>
  <si>
    <t>Roatto</t>
  </si>
  <si>
    <t xml:space="preserve">Robassomero (TO) </t>
  </si>
  <si>
    <t>001220</t>
  </si>
  <si>
    <t>Robassomero</t>
  </si>
  <si>
    <t xml:space="preserve">Robbiate (LC) </t>
  </si>
  <si>
    <t>097071</t>
  </si>
  <si>
    <t>Robbiate</t>
  </si>
  <si>
    <t xml:space="preserve">Robbio (PV) </t>
  </si>
  <si>
    <t>018123</t>
  </si>
  <si>
    <t>Robbio</t>
  </si>
  <si>
    <t xml:space="preserve">Robecchetto con Induno (MI) </t>
  </si>
  <si>
    <t>015183</t>
  </si>
  <si>
    <t>Robecchetto con Induno</t>
  </si>
  <si>
    <t xml:space="preserve">Robecco d'Oglio (CR) </t>
  </si>
  <si>
    <t>019085</t>
  </si>
  <si>
    <t>Robecco d'Oglio</t>
  </si>
  <si>
    <t xml:space="preserve">Robecco Pavese (PV) </t>
  </si>
  <si>
    <t>018124</t>
  </si>
  <si>
    <t>Robecco Pavese</t>
  </si>
  <si>
    <t xml:space="preserve">Robecco sul Naviglio (MI) </t>
  </si>
  <si>
    <t>015184</t>
  </si>
  <si>
    <t>Robecco sul Naviglio</t>
  </si>
  <si>
    <t xml:space="preserve">Robella (AT) </t>
  </si>
  <si>
    <t>005092</t>
  </si>
  <si>
    <t>Robella</t>
  </si>
  <si>
    <t xml:space="preserve">Robilante (CN) </t>
  </si>
  <si>
    <t>004185</t>
  </si>
  <si>
    <t>Robilante</t>
  </si>
  <si>
    <t xml:space="preserve">Roburent (CN) </t>
  </si>
  <si>
    <t>004186</t>
  </si>
  <si>
    <t>Roburent</t>
  </si>
  <si>
    <t xml:space="preserve">Rocca Canavese (TO) </t>
  </si>
  <si>
    <t>001221</t>
  </si>
  <si>
    <t>Rocca Canavese</t>
  </si>
  <si>
    <t xml:space="preserve">Rocca Canterano (RM) </t>
  </si>
  <si>
    <t>058084</t>
  </si>
  <si>
    <t>Rocca Canterano</t>
  </si>
  <si>
    <t xml:space="preserve">Rocca Cigliè (CN) </t>
  </si>
  <si>
    <t>004188</t>
  </si>
  <si>
    <t>Rocca Cigliè</t>
  </si>
  <si>
    <t xml:space="preserve">Rocca d'Arazzo (AT) </t>
  </si>
  <si>
    <t>005093</t>
  </si>
  <si>
    <t>Rocca d'Arazzo</t>
  </si>
  <si>
    <t xml:space="preserve">Rocca d'Arce (FR) </t>
  </si>
  <si>
    <t>060059</t>
  </si>
  <si>
    <t>Rocca d'Arce</t>
  </si>
  <si>
    <t xml:space="preserve">Rocca de' Baldi (CN) </t>
  </si>
  <si>
    <t>004189</t>
  </si>
  <si>
    <t>Rocca de' Baldi</t>
  </si>
  <si>
    <t xml:space="preserve">Rocca de' Giorgi (PV) </t>
  </si>
  <si>
    <t>018125</t>
  </si>
  <si>
    <t>Rocca de' Giorgi</t>
  </si>
  <si>
    <t xml:space="preserve">Rocca d'Evandro (CE) </t>
  </si>
  <si>
    <t>061069</t>
  </si>
  <si>
    <t>Rocca d'Evandro</t>
  </si>
  <si>
    <t xml:space="preserve">Rocca di Botte (AQ) </t>
  </si>
  <si>
    <t>066080</t>
  </si>
  <si>
    <t>Rocca di Botte</t>
  </si>
  <si>
    <t xml:space="preserve">Rocca di Cambio (AQ) </t>
  </si>
  <si>
    <t>066081</t>
  </si>
  <si>
    <t>Rocca di Cambio</t>
  </si>
  <si>
    <t xml:space="preserve">Rocca di Cave (RM) </t>
  </si>
  <si>
    <t>058085</t>
  </si>
  <si>
    <t>Rocca di Cave</t>
  </si>
  <si>
    <t xml:space="preserve">Rocca di Mezzo (AQ) </t>
  </si>
  <si>
    <t>066082</t>
  </si>
  <si>
    <t>Rocca di Mezzo</t>
  </si>
  <si>
    <t xml:space="preserve">Rocca di Neto (KR) </t>
  </si>
  <si>
    <t>Rocca di Neto</t>
  </si>
  <si>
    <t xml:space="preserve">Rocca di Papa (RM) </t>
  </si>
  <si>
    <t>058086</t>
  </si>
  <si>
    <t>Rocca di Papa</t>
  </si>
  <si>
    <t xml:space="preserve">Rocca Grimalda (AL) </t>
  </si>
  <si>
    <t>006147</t>
  </si>
  <si>
    <t>Rocca Grimalda</t>
  </si>
  <si>
    <t xml:space="preserve">Rocca Imperiale (CS) </t>
  </si>
  <si>
    <t>078103</t>
  </si>
  <si>
    <t>Rocca Imperiale</t>
  </si>
  <si>
    <t xml:space="preserve">Rocca Massima (LT) </t>
  </si>
  <si>
    <t>059022</t>
  </si>
  <si>
    <t>Rocca Massima</t>
  </si>
  <si>
    <t xml:space="preserve">Rocca Pia (AQ) </t>
  </si>
  <si>
    <t>066083</t>
  </si>
  <si>
    <t>Rocca Pia</t>
  </si>
  <si>
    <t xml:space="preserve">Rocca Pietore (BL) </t>
  </si>
  <si>
    <t>025044</t>
  </si>
  <si>
    <t>Rocca Pietore</t>
  </si>
  <si>
    <t xml:space="preserve">Rocca Priora (RM) </t>
  </si>
  <si>
    <t>058088</t>
  </si>
  <si>
    <t>Rocca Priora</t>
  </si>
  <si>
    <t xml:space="preserve">Rocca San Casciano (FC) </t>
  </si>
  <si>
    <t>040036</t>
  </si>
  <si>
    <t>Rocca San Casciano</t>
  </si>
  <si>
    <t xml:space="preserve">Rocca San Felice (AV) </t>
  </si>
  <si>
    <t>064079</t>
  </si>
  <si>
    <t>Rocca San Felice</t>
  </si>
  <si>
    <t xml:space="preserve">Rocca San Giovanni (CH) </t>
  </si>
  <si>
    <t>069074</t>
  </si>
  <si>
    <t>Rocca San Giovanni</t>
  </si>
  <si>
    <t xml:space="preserve">Rocca Santa Maria (TE) </t>
  </si>
  <si>
    <t>067036</t>
  </si>
  <si>
    <t>Rocca Santa Maria</t>
  </si>
  <si>
    <t xml:space="preserve">Rocca Santo Stefano (RM) </t>
  </si>
  <si>
    <t>058089</t>
  </si>
  <si>
    <t>Rocca Santo Stefano</t>
  </si>
  <si>
    <t xml:space="preserve">Rocca Sinibalda (RI) </t>
  </si>
  <si>
    <t>057062</t>
  </si>
  <si>
    <t>Rocca Sinibalda</t>
  </si>
  <si>
    <t xml:space="preserve">Rocca Susella (PV) </t>
  </si>
  <si>
    <t>018126</t>
  </si>
  <si>
    <t>Rocca Susella</t>
  </si>
  <si>
    <t xml:space="preserve">Roccabascerana (AV) </t>
  </si>
  <si>
    <t>064078</t>
  </si>
  <si>
    <t>Roccabascerana</t>
  </si>
  <si>
    <t xml:space="preserve">Roccabernarda (KR) </t>
  </si>
  <si>
    <t>Roccabernarda</t>
  </si>
  <si>
    <t xml:space="preserve">Roccabianca (PR) </t>
  </si>
  <si>
    <t>034030</t>
  </si>
  <si>
    <t>Roccabianca</t>
  </si>
  <si>
    <t xml:space="preserve">Roccabruna (CN) </t>
  </si>
  <si>
    <t>004187</t>
  </si>
  <si>
    <t>Roccabruna</t>
  </si>
  <si>
    <t xml:space="preserve">Roccacasale (AQ) </t>
  </si>
  <si>
    <t>066079</t>
  </si>
  <si>
    <t>Roccacasale</t>
  </si>
  <si>
    <t xml:space="preserve">Roccadaspide (SA) </t>
  </si>
  <si>
    <t>065106</t>
  </si>
  <si>
    <t>Roccadaspide</t>
  </si>
  <si>
    <t xml:space="preserve">Roccafiorita (ME) </t>
  </si>
  <si>
    <t>083071</t>
  </si>
  <si>
    <t>Roccafiorita</t>
  </si>
  <si>
    <t xml:space="preserve">Roccafluvione (AP) </t>
  </si>
  <si>
    <t>044064</t>
  </si>
  <si>
    <t>Roccafluvione</t>
  </si>
  <si>
    <t xml:space="preserve">Roccaforte del Greco (RC) </t>
  </si>
  <si>
    <t>080066</t>
  </si>
  <si>
    <t>Roccaforte del Greco</t>
  </si>
  <si>
    <t xml:space="preserve">Roccaforte Ligure (AL) </t>
  </si>
  <si>
    <t>006146</t>
  </si>
  <si>
    <t>Roccaforte Ligure</t>
  </si>
  <si>
    <t xml:space="preserve">Roccaforte Mondovì (CN) </t>
  </si>
  <si>
    <t>004190</t>
  </si>
  <si>
    <t>Roccaforte Mondovì</t>
  </si>
  <si>
    <t xml:space="preserve">Roccaforzata (TA) </t>
  </si>
  <si>
    <t>073023</t>
  </si>
  <si>
    <t>Roccaforzata</t>
  </si>
  <si>
    <t xml:space="preserve">Roccafranca (BS) </t>
  </si>
  <si>
    <t>017162</t>
  </si>
  <si>
    <t>Roccafranca</t>
  </si>
  <si>
    <t xml:space="preserve">Roccagiovine (RM) </t>
  </si>
  <si>
    <t>058087</t>
  </si>
  <si>
    <t>Roccagiovine</t>
  </si>
  <si>
    <t xml:space="preserve">Roccagloriosa (SA) </t>
  </si>
  <si>
    <t>065107</t>
  </si>
  <si>
    <t>Roccagloriosa</t>
  </si>
  <si>
    <t xml:space="preserve">Roccagorga (LT) </t>
  </si>
  <si>
    <t>059021</t>
  </si>
  <si>
    <t>Roccagorga</t>
  </si>
  <si>
    <t xml:space="preserve">Roccalbegna (GR) </t>
  </si>
  <si>
    <t>053020</t>
  </si>
  <si>
    <t>Roccalbegna</t>
  </si>
  <si>
    <t xml:space="preserve">Roccalumera (ME) </t>
  </si>
  <si>
    <t>083072</t>
  </si>
  <si>
    <t>Roccalumera</t>
  </si>
  <si>
    <t xml:space="preserve">Roccamandolfi (IS) </t>
  </si>
  <si>
    <t>094040</t>
  </si>
  <si>
    <t>Roccamandolfi</t>
  </si>
  <si>
    <t xml:space="preserve">Roccamena (PA) </t>
  </si>
  <si>
    <t>082061</t>
  </si>
  <si>
    <t>Roccamena</t>
  </si>
  <si>
    <t xml:space="preserve">Roccamonfina (CE) </t>
  </si>
  <si>
    <t>061070</t>
  </si>
  <si>
    <t>Roccamonfina</t>
  </si>
  <si>
    <t xml:space="preserve">Roccamontepiano (CH) </t>
  </si>
  <si>
    <t>069073</t>
  </si>
  <si>
    <t>Roccamontepiano</t>
  </si>
  <si>
    <t xml:space="preserve">Roccamorice (PE) </t>
  </si>
  <si>
    <t>068034</t>
  </si>
  <si>
    <t>Roccamorice</t>
  </si>
  <si>
    <t xml:space="preserve">Roccanova (PZ) </t>
  </si>
  <si>
    <t>076069</t>
  </si>
  <si>
    <t>Roccanova</t>
  </si>
  <si>
    <t xml:space="preserve">Roccantica (RI) </t>
  </si>
  <si>
    <t>057061</t>
  </si>
  <si>
    <t>Roccantica</t>
  </si>
  <si>
    <t xml:space="preserve">Roccapalumba (PA) </t>
  </si>
  <si>
    <t>082062</t>
  </si>
  <si>
    <t>Roccapalumba</t>
  </si>
  <si>
    <t xml:space="preserve">Roccapiemonte (SA) </t>
  </si>
  <si>
    <t>065108</t>
  </si>
  <si>
    <t>Roccapiemonte</t>
  </si>
  <si>
    <t xml:space="preserve">Roccarainola (NA) </t>
  </si>
  <si>
    <t>063065</t>
  </si>
  <si>
    <t>Roccarainola</t>
  </si>
  <si>
    <t xml:space="preserve">Roccaraso (AQ) </t>
  </si>
  <si>
    <t>066084</t>
  </si>
  <si>
    <t>Roccaraso</t>
  </si>
  <si>
    <t xml:space="preserve">Roccaromana (CE) </t>
  </si>
  <si>
    <t>061071</t>
  </si>
  <si>
    <t>Roccaromana</t>
  </si>
  <si>
    <t xml:space="preserve">Roccascalegna (CH) </t>
  </si>
  <si>
    <t>069075</t>
  </si>
  <si>
    <t>Roccascalegna</t>
  </si>
  <si>
    <t xml:space="preserve">Roccasecca (FR) </t>
  </si>
  <si>
    <t>060060</t>
  </si>
  <si>
    <t>Roccasecca</t>
  </si>
  <si>
    <t xml:space="preserve">Roccasecca dei Volsci (LT) </t>
  </si>
  <si>
    <t>059023</t>
  </si>
  <si>
    <t>Roccasecca dei Volsci</t>
  </si>
  <si>
    <t xml:space="preserve">Roccasicura (IS) </t>
  </si>
  <si>
    <t>094041</t>
  </si>
  <si>
    <t>Roccasicura</t>
  </si>
  <si>
    <t xml:space="preserve">Roccasparvera (CN) </t>
  </si>
  <si>
    <t>004191</t>
  </si>
  <si>
    <t>Roccasparvera</t>
  </si>
  <si>
    <t xml:space="preserve">Roccaspinalveti (CH) </t>
  </si>
  <si>
    <t>069076</t>
  </si>
  <si>
    <t>Roccaspinalveti</t>
  </si>
  <si>
    <t xml:space="preserve">Roccastrada (GR) </t>
  </si>
  <si>
    <t>053021</t>
  </si>
  <si>
    <t>Roccastrada</t>
  </si>
  <si>
    <t xml:space="preserve">Roccavaldina (ME) </t>
  </si>
  <si>
    <t>083073</t>
  </si>
  <si>
    <t>Roccavaldina</t>
  </si>
  <si>
    <t xml:space="preserve">Roccaverano (AT) </t>
  </si>
  <si>
    <t>005094</t>
  </si>
  <si>
    <t>Roccaverano</t>
  </si>
  <si>
    <t xml:space="preserve">Roccavignale (SV) </t>
  </si>
  <si>
    <t>009054</t>
  </si>
  <si>
    <t>Roccavignale</t>
  </si>
  <si>
    <t xml:space="preserve">Roccavione (CN) </t>
  </si>
  <si>
    <t>004192</t>
  </si>
  <si>
    <t>Roccavione</t>
  </si>
  <si>
    <t xml:space="preserve">Roccavivara (CB) </t>
  </si>
  <si>
    <t>070060</t>
  </si>
  <si>
    <t>Roccavivara</t>
  </si>
  <si>
    <t xml:space="preserve">Roccella Ionica (RC) </t>
  </si>
  <si>
    <t>080067</t>
  </si>
  <si>
    <t>Roccella Ionica</t>
  </si>
  <si>
    <t xml:space="preserve">Roccella Valdemone (ME) </t>
  </si>
  <si>
    <t>083074</t>
  </si>
  <si>
    <t>Roccella Valdemone</t>
  </si>
  <si>
    <t xml:space="preserve">Rocchetta a Volturno (IS) </t>
  </si>
  <si>
    <t>094042</t>
  </si>
  <si>
    <t>Rocchetta a Volturno</t>
  </si>
  <si>
    <t xml:space="preserve">Rocchetta Belbo (CN) </t>
  </si>
  <si>
    <t>004193</t>
  </si>
  <si>
    <t>Rocchetta Belbo</t>
  </si>
  <si>
    <t xml:space="preserve">Rocchetta di Vara (SP) </t>
  </si>
  <si>
    <t>011025</t>
  </si>
  <si>
    <t>Rocchetta di Vara</t>
  </si>
  <si>
    <t xml:space="preserve">Rocchetta e Croce (CE) </t>
  </si>
  <si>
    <t>061072</t>
  </si>
  <si>
    <t>Rocchetta e Croce</t>
  </si>
  <si>
    <t xml:space="preserve">Rocchetta Ligure (AL) </t>
  </si>
  <si>
    <t>006148</t>
  </si>
  <si>
    <t>Rocchetta Ligure</t>
  </si>
  <si>
    <t xml:space="preserve">Rocchetta Nervina (IM) </t>
  </si>
  <si>
    <t>008051</t>
  </si>
  <si>
    <t>Rocchetta Nervina</t>
  </si>
  <si>
    <t xml:space="preserve">Rocchetta Palafea (AT) </t>
  </si>
  <si>
    <t>005095</t>
  </si>
  <si>
    <t>Rocchetta Palafea</t>
  </si>
  <si>
    <t xml:space="preserve">Rocchetta Sant'Antonio (FG) </t>
  </si>
  <si>
    <t>071042</t>
  </si>
  <si>
    <t>Rocchetta Sant'Antonio</t>
  </si>
  <si>
    <t xml:space="preserve">Rocchetta Tanaro (AT) </t>
  </si>
  <si>
    <t>005096</t>
  </si>
  <si>
    <t>Rocchetta Tanaro</t>
  </si>
  <si>
    <t xml:space="preserve">Rodano (MI) </t>
  </si>
  <si>
    <t>015185</t>
  </si>
  <si>
    <t>Rodano</t>
  </si>
  <si>
    <t xml:space="preserve">Roddi (CN) </t>
  </si>
  <si>
    <t>004194</t>
  </si>
  <si>
    <t>Roddi</t>
  </si>
  <si>
    <t xml:space="preserve">Roddino (CN) </t>
  </si>
  <si>
    <t>004195</t>
  </si>
  <si>
    <t>Roddino</t>
  </si>
  <si>
    <t xml:space="preserve">Rodello (CN) </t>
  </si>
  <si>
    <t>004196</t>
  </si>
  <si>
    <t>Rodello</t>
  </si>
  <si>
    <t>021075</t>
  </si>
  <si>
    <t xml:space="preserve">Rodengo Saiano (BS) </t>
  </si>
  <si>
    <t>017163</t>
  </si>
  <si>
    <t>Rodengo Saiano</t>
  </si>
  <si>
    <t xml:space="preserve">Rodero (CO) </t>
  </si>
  <si>
    <t>013197</t>
  </si>
  <si>
    <t>Rodero</t>
  </si>
  <si>
    <t xml:space="preserve">Rodi Garganico (FG) </t>
  </si>
  <si>
    <t>071043</t>
  </si>
  <si>
    <t>Rodi Garganico</t>
  </si>
  <si>
    <t xml:space="preserve">Rodì Milici (ME) </t>
  </si>
  <si>
    <t>083075</t>
  </si>
  <si>
    <t>Rodì Milici</t>
  </si>
  <si>
    <t xml:space="preserve">Rodigo (MN) </t>
  </si>
  <si>
    <t>020051</t>
  </si>
  <si>
    <t>Rodigo</t>
  </si>
  <si>
    <t xml:space="preserve">Roè Volciano (BS) </t>
  </si>
  <si>
    <t>017164</t>
  </si>
  <si>
    <t>Roè Volciano</t>
  </si>
  <si>
    <t xml:space="preserve">Rofrano (SA) </t>
  </si>
  <si>
    <t>065109</t>
  </si>
  <si>
    <t>Rofrano</t>
  </si>
  <si>
    <t xml:space="preserve">Rogeno (LC) </t>
  </si>
  <si>
    <t>097072</t>
  </si>
  <si>
    <t>Rogeno</t>
  </si>
  <si>
    <t xml:space="preserve">Roggiano Gravina (CS) </t>
  </si>
  <si>
    <t>078104</t>
  </si>
  <si>
    <t>Roggiano Gravina</t>
  </si>
  <si>
    <t xml:space="preserve">Roghudi (RC) </t>
  </si>
  <si>
    <t>080068</t>
  </si>
  <si>
    <t>Roghudi</t>
  </si>
  <si>
    <t xml:space="preserve">Rogliano (CS) </t>
  </si>
  <si>
    <t>078105</t>
  </si>
  <si>
    <t>Rogliano</t>
  </si>
  <si>
    <t xml:space="preserve">Rognano (PV) </t>
  </si>
  <si>
    <t>018127</t>
  </si>
  <si>
    <t>Rognano</t>
  </si>
  <si>
    <t xml:space="preserve">Rogno (BG) </t>
  </si>
  <si>
    <t>016182</t>
  </si>
  <si>
    <t>Rogno</t>
  </si>
  <si>
    <t xml:space="preserve">Rogolo (SO) </t>
  </si>
  <si>
    <t>014056</t>
  </si>
  <si>
    <t>Rogolo</t>
  </si>
  <si>
    <t xml:space="preserve">Roiate (RM) </t>
  </si>
  <si>
    <t>058090</t>
  </si>
  <si>
    <t>Roiate</t>
  </si>
  <si>
    <t xml:space="preserve">Roio del Sangro (CH) </t>
  </si>
  <si>
    <t>069077</t>
  </si>
  <si>
    <t>Roio del Sangro</t>
  </si>
  <si>
    <t xml:space="preserve">Roisan (AO) </t>
  </si>
  <si>
    <t>007057</t>
  </si>
  <si>
    <t>Roisan</t>
  </si>
  <si>
    <t xml:space="preserve">Roletto (TO) </t>
  </si>
  <si>
    <t>001222</t>
  </si>
  <si>
    <t>Roletto</t>
  </si>
  <si>
    <t xml:space="preserve">Rolo (RE) </t>
  </si>
  <si>
    <t>035035</t>
  </si>
  <si>
    <t>Rolo</t>
  </si>
  <si>
    <t xml:space="preserve">Roma (RM) </t>
  </si>
  <si>
    <t>058091</t>
  </si>
  <si>
    <t>Roma</t>
  </si>
  <si>
    <t xml:space="preserve">Romagnano al Monte (SA) </t>
  </si>
  <si>
    <t>065110</t>
  </si>
  <si>
    <t>Romagnano al Monte</t>
  </si>
  <si>
    <t xml:space="preserve">Romagnano Sesia (NO) </t>
  </si>
  <si>
    <t>003130</t>
  </si>
  <si>
    <t>Romagnano Sesia</t>
  </si>
  <si>
    <t xml:space="preserve">Romagnese (PV) </t>
  </si>
  <si>
    <t>018128</t>
  </si>
  <si>
    <t>Romagnese</t>
  </si>
  <si>
    <t xml:space="preserve">Romana (SS) </t>
  </si>
  <si>
    <t>Romana</t>
  </si>
  <si>
    <t xml:space="preserve">Romanengo (CR) </t>
  </si>
  <si>
    <t>019086</t>
  </si>
  <si>
    <t>Romanengo</t>
  </si>
  <si>
    <t xml:space="preserve">Romano Canavese (TO) </t>
  </si>
  <si>
    <t>001223</t>
  </si>
  <si>
    <t>Romano Canavese</t>
  </si>
  <si>
    <t xml:space="preserve">Romano d'Ezzelino (VI) </t>
  </si>
  <si>
    <t>024086</t>
  </si>
  <si>
    <t>Romano d'Ezzelino</t>
  </si>
  <si>
    <t xml:space="preserve">Romano di Lombardia (BG) </t>
  </si>
  <si>
    <t>016183</t>
  </si>
  <si>
    <t>Romano di Lombardia</t>
  </si>
  <si>
    <t xml:space="preserve">Romans d'Isonzo (GO) </t>
  </si>
  <si>
    <t>031015</t>
  </si>
  <si>
    <t>Romans d'Isonzo</t>
  </si>
  <si>
    <t xml:space="preserve">Rombiolo (VV) </t>
  </si>
  <si>
    <t>Rombiolo</t>
  </si>
  <si>
    <t xml:space="preserve">Romeno (TN) </t>
  </si>
  <si>
    <t>022155</t>
  </si>
  <si>
    <t>Romeno</t>
  </si>
  <si>
    <t xml:space="preserve">Romentino (NO) </t>
  </si>
  <si>
    <t>003131</t>
  </si>
  <si>
    <t>Romentino</t>
  </si>
  <si>
    <t xml:space="preserve">Rometta (ME) </t>
  </si>
  <si>
    <t>083076</t>
  </si>
  <si>
    <t>Rometta</t>
  </si>
  <si>
    <t xml:space="preserve">Roncà (VR) </t>
  </si>
  <si>
    <t>023063</t>
  </si>
  <si>
    <t>Roncà</t>
  </si>
  <si>
    <t xml:space="preserve">Roncade (TV) </t>
  </si>
  <si>
    <t>026069</t>
  </si>
  <si>
    <t>Roncade</t>
  </si>
  <si>
    <t xml:space="preserve">Roncadelle (BS) </t>
  </si>
  <si>
    <t>017165</t>
  </si>
  <si>
    <t>Roncadelle</t>
  </si>
  <si>
    <t xml:space="preserve">Roncaro (PV) </t>
  </si>
  <si>
    <t>018129</t>
  </si>
  <si>
    <t>Roncaro</t>
  </si>
  <si>
    <t xml:space="preserve">Roncegno Terme (TN) </t>
  </si>
  <si>
    <t>022156</t>
  </si>
  <si>
    <t>Roncegno Terme</t>
  </si>
  <si>
    <t xml:space="preserve">Roncello (MB) </t>
  </si>
  <si>
    <t>Roncello</t>
  </si>
  <si>
    <t xml:space="preserve">Ronchi dei Legionari (GO) </t>
  </si>
  <si>
    <t>031016</t>
  </si>
  <si>
    <t>Ronchi dei Legionari</t>
  </si>
  <si>
    <t xml:space="preserve">Ronchi Valsugana (TN) </t>
  </si>
  <si>
    <t>022157</t>
  </si>
  <si>
    <t>Ronchi Valsugana</t>
  </si>
  <si>
    <t xml:space="preserve">Ronchis (UD) </t>
  </si>
  <si>
    <t>030097</t>
  </si>
  <si>
    <t>Ronchis</t>
  </si>
  <si>
    <t xml:space="preserve">Ronciglione (VT) </t>
  </si>
  <si>
    <t>056045</t>
  </si>
  <si>
    <t>Ronciglione</t>
  </si>
  <si>
    <t xml:space="preserve">Ronco all'Adige (VR) </t>
  </si>
  <si>
    <t>023064</t>
  </si>
  <si>
    <t>Ronco all'Adige</t>
  </si>
  <si>
    <t xml:space="preserve">Ronco Biellese (BI) </t>
  </si>
  <si>
    <t>096053</t>
  </si>
  <si>
    <t>Ronco Biellese</t>
  </si>
  <si>
    <t xml:space="preserve">Ronco Briantino (MB) </t>
  </si>
  <si>
    <t>Ronco Briantino</t>
  </si>
  <si>
    <t xml:space="preserve">Ronco Canavese (TO) </t>
  </si>
  <si>
    <t>001224</t>
  </si>
  <si>
    <t>Ronco Canavese</t>
  </si>
  <si>
    <t xml:space="preserve">Ronco Scrivia (GE) </t>
  </si>
  <si>
    <t>010049</t>
  </si>
  <si>
    <t>Ronco Scrivia</t>
  </si>
  <si>
    <t xml:space="preserve">Roncobello (BG) </t>
  </si>
  <si>
    <t>016184</t>
  </si>
  <si>
    <t>Roncobello</t>
  </si>
  <si>
    <t xml:space="preserve">Roncoferraro (MN) </t>
  </si>
  <si>
    <t>020052</t>
  </si>
  <si>
    <t>Roncoferraro</t>
  </si>
  <si>
    <t xml:space="preserve">Roncofreddo (FC) </t>
  </si>
  <si>
    <t>040037</t>
  </si>
  <si>
    <t>Roncofreddo</t>
  </si>
  <si>
    <t xml:space="preserve">Roncola (BG) </t>
  </si>
  <si>
    <t>016185</t>
  </si>
  <si>
    <t>Roncola</t>
  </si>
  <si>
    <t xml:space="preserve">Rondanina (GE) </t>
  </si>
  <si>
    <t>010050</t>
  </si>
  <si>
    <t>Rondanina</t>
  </si>
  <si>
    <t xml:space="preserve">Rondissone (TO) </t>
  </si>
  <si>
    <t>001225</t>
  </si>
  <si>
    <t>Rondissone</t>
  </si>
  <si>
    <t xml:space="preserve">Ronsecco (VC) </t>
  </si>
  <si>
    <t>002118</t>
  </si>
  <si>
    <t>Ronsecco</t>
  </si>
  <si>
    <t xml:space="preserve">Ronzo-Chienis (TN) </t>
  </si>
  <si>
    <t>022135</t>
  </si>
  <si>
    <t>Ronzo-Chienis</t>
  </si>
  <si>
    <t xml:space="preserve">Ronzone (TN) </t>
  </si>
  <si>
    <t>022159</t>
  </si>
  <si>
    <t>Ronzone</t>
  </si>
  <si>
    <t xml:space="preserve">Roppolo (BI) </t>
  </si>
  <si>
    <t>096054</t>
  </si>
  <si>
    <t>Roppolo</t>
  </si>
  <si>
    <t xml:space="preserve">Rorà (TO) </t>
  </si>
  <si>
    <t>001226</t>
  </si>
  <si>
    <t>Rorà</t>
  </si>
  <si>
    <t xml:space="preserve">Rosà (VI) </t>
  </si>
  <si>
    <t>024087</t>
  </si>
  <si>
    <t>Rosà</t>
  </si>
  <si>
    <t xml:space="preserve">Rosarno (RC) </t>
  </si>
  <si>
    <t>080069</t>
  </si>
  <si>
    <t>Rosarno</t>
  </si>
  <si>
    <t xml:space="preserve">Rosasco (PV) </t>
  </si>
  <si>
    <t>018130</t>
  </si>
  <si>
    <t>Rosasco</t>
  </si>
  <si>
    <t xml:space="preserve">Rosate (MI) </t>
  </si>
  <si>
    <t>015188</t>
  </si>
  <si>
    <t>Rosate</t>
  </si>
  <si>
    <t xml:space="preserve">Rosazza (BI) </t>
  </si>
  <si>
    <t>096055</t>
  </si>
  <si>
    <t>Rosazza</t>
  </si>
  <si>
    <t xml:space="preserve">Rosciano (PE) </t>
  </si>
  <si>
    <t>068035</t>
  </si>
  <si>
    <t>Rosciano</t>
  </si>
  <si>
    <t xml:space="preserve">Roscigno (SA) </t>
  </si>
  <si>
    <t>065111</t>
  </si>
  <si>
    <t>Roscigno</t>
  </si>
  <si>
    <t xml:space="preserve">Rose (CS) </t>
  </si>
  <si>
    <t>078106</t>
  </si>
  <si>
    <t>Rose</t>
  </si>
  <si>
    <t xml:space="preserve">Rosello (CH) </t>
  </si>
  <si>
    <t>069078</t>
  </si>
  <si>
    <t>Rosello</t>
  </si>
  <si>
    <t xml:space="preserve">Roseto Capo Spulico (CS) </t>
  </si>
  <si>
    <t>078107</t>
  </si>
  <si>
    <t>Roseto Capo Spulico</t>
  </si>
  <si>
    <t xml:space="preserve">Roseto degli Abruzzi (TE) </t>
  </si>
  <si>
    <t>067037</t>
  </si>
  <si>
    <t>Roseto degli Abruzzi</t>
  </si>
  <si>
    <t xml:space="preserve">Roseto Valfortore (FG) </t>
  </si>
  <si>
    <t>071044</t>
  </si>
  <si>
    <t>Roseto Valfortore</t>
  </si>
  <si>
    <t xml:space="preserve">Rosignano Marittimo (LI) </t>
  </si>
  <si>
    <t>049017</t>
  </si>
  <si>
    <t>Rosignano Marittimo</t>
  </si>
  <si>
    <t xml:space="preserve">Rosignano Monferrato (AL) </t>
  </si>
  <si>
    <t>006149</t>
  </si>
  <si>
    <t>Rosignano Monferrato</t>
  </si>
  <si>
    <t xml:space="preserve">Rosolina (RO) </t>
  </si>
  <si>
    <t>029040</t>
  </si>
  <si>
    <t>Rosolina</t>
  </si>
  <si>
    <t xml:space="preserve">Rosolini (SR) </t>
  </si>
  <si>
    <t>089016</t>
  </si>
  <si>
    <t>Rosolini</t>
  </si>
  <si>
    <t xml:space="preserve">Rosora (AN) </t>
  </si>
  <si>
    <t>042040</t>
  </si>
  <si>
    <t>Rosora</t>
  </si>
  <si>
    <t xml:space="preserve">Rossa (VC) </t>
  </si>
  <si>
    <t>002121</t>
  </si>
  <si>
    <t>Rossa</t>
  </si>
  <si>
    <t xml:space="preserve">Rossana (CN) </t>
  </si>
  <si>
    <t>004197</t>
  </si>
  <si>
    <t>Rossana</t>
  </si>
  <si>
    <t xml:space="preserve">Rossano Veneto (VI) </t>
  </si>
  <si>
    <t>024088</t>
  </si>
  <si>
    <t>Rossano Veneto</t>
  </si>
  <si>
    <t xml:space="preserve">Rossiglione (GE) </t>
  </si>
  <si>
    <t>010051</t>
  </si>
  <si>
    <t>Rossiglione</t>
  </si>
  <si>
    <t xml:space="preserve">Rosta (TO) </t>
  </si>
  <si>
    <t>001228</t>
  </si>
  <si>
    <t>Rosta</t>
  </si>
  <si>
    <t xml:space="preserve">Rota d'Imagna (BG) </t>
  </si>
  <si>
    <t>016186</t>
  </si>
  <si>
    <t>Rota d'Imagna</t>
  </si>
  <si>
    <t xml:space="preserve">Rota Greca (CS) </t>
  </si>
  <si>
    <t>078109</t>
  </si>
  <si>
    <t>Rota Greca</t>
  </si>
  <si>
    <t xml:space="preserve">Rotella (AP) </t>
  </si>
  <si>
    <t>044065</t>
  </si>
  <si>
    <t>Rotella</t>
  </si>
  <si>
    <t xml:space="preserve">Rotello (CB) </t>
  </si>
  <si>
    <t>070061</t>
  </si>
  <si>
    <t>Rotello</t>
  </si>
  <si>
    <t xml:space="preserve">Rotonda (PZ) </t>
  </si>
  <si>
    <t>076070</t>
  </si>
  <si>
    <t>Rotonda</t>
  </si>
  <si>
    <t xml:space="preserve">Rotondella (MT) </t>
  </si>
  <si>
    <t>077023</t>
  </si>
  <si>
    <t>Rotondella</t>
  </si>
  <si>
    <t xml:space="preserve">Rotondi (AV) </t>
  </si>
  <si>
    <t>064080</t>
  </si>
  <si>
    <t>Rotondi</t>
  </si>
  <si>
    <t xml:space="preserve">Rottofreno (PC) </t>
  </si>
  <si>
    <t>033039</t>
  </si>
  <si>
    <t>Rottofreno</t>
  </si>
  <si>
    <t xml:space="preserve">Rotzo (VI) </t>
  </si>
  <si>
    <t>024089</t>
  </si>
  <si>
    <t>Rotzo</t>
  </si>
  <si>
    <t xml:space="preserve">Roure (TO) </t>
  </si>
  <si>
    <t>001227</t>
  </si>
  <si>
    <t>Roure</t>
  </si>
  <si>
    <t xml:space="preserve">Rovasenda (VC) </t>
  </si>
  <si>
    <t>002122</t>
  </si>
  <si>
    <t>Rovasenda</t>
  </si>
  <si>
    <t xml:space="preserve">Rovato (BS) </t>
  </si>
  <si>
    <t>017166</t>
  </si>
  <si>
    <t>Rovato</t>
  </si>
  <si>
    <t xml:space="preserve">Rovegno (GE) </t>
  </si>
  <si>
    <t>010052</t>
  </si>
  <si>
    <t>Rovegno</t>
  </si>
  <si>
    <t xml:space="preserve">Rovellasca (CO) </t>
  </si>
  <si>
    <t>013201</t>
  </si>
  <si>
    <t>Rovellasca</t>
  </si>
  <si>
    <t xml:space="preserve">Rovello Porro (CO) </t>
  </si>
  <si>
    <t>013202</t>
  </si>
  <si>
    <t>Rovello Porro</t>
  </si>
  <si>
    <t xml:space="preserve">Roverbella (MN) </t>
  </si>
  <si>
    <t>020053</t>
  </si>
  <si>
    <t>Roverbella</t>
  </si>
  <si>
    <t xml:space="preserve">Roverchiara (VR) </t>
  </si>
  <si>
    <t>023065</t>
  </si>
  <si>
    <t>Roverchiara</t>
  </si>
  <si>
    <t xml:space="preserve">Roverè della Luna (TN) </t>
  </si>
  <si>
    <t>022160</t>
  </si>
  <si>
    <t>Roverè della Luna</t>
  </si>
  <si>
    <t xml:space="preserve">Roverè Veronese (VR) </t>
  </si>
  <si>
    <t>023067</t>
  </si>
  <si>
    <t>Roverè Veronese</t>
  </si>
  <si>
    <t xml:space="preserve">Roveredo di Guà (VR) </t>
  </si>
  <si>
    <t>023066</t>
  </si>
  <si>
    <t>Roveredo di Guà</t>
  </si>
  <si>
    <t xml:space="preserve">Roveredo in Piano (PN) </t>
  </si>
  <si>
    <t>093036</t>
  </si>
  <si>
    <t>Roveredo in Piano</t>
  </si>
  <si>
    <t xml:space="preserve">Rovereto (TN) </t>
  </si>
  <si>
    <t>022161</t>
  </si>
  <si>
    <t>Rovereto</t>
  </si>
  <si>
    <t xml:space="preserve">Rovescala (PV) </t>
  </si>
  <si>
    <t>018131</t>
  </si>
  <si>
    <t>Rovescala</t>
  </si>
  <si>
    <t xml:space="preserve">Rovetta (BG) </t>
  </si>
  <si>
    <t>016187</t>
  </si>
  <si>
    <t>Rovetta</t>
  </si>
  <si>
    <t xml:space="preserve">Roviano (RM) </t>
  </si>
  <si>
    <t>058092</t>
  </si>
  <si>
    <t>Roviano</t>
  </si>
  <si>
    <t xml:space="preserve">Rovigo (RO) </t>
  </si>
  <si>
    <t>029041</t>
  </si>
  <si>
    <t>Rovigo</t>
  </si>
  <si>
    <t xml:space="preserve">Rovito (CS) </t>
  </si>
  <si>
    <t>078110</t>
  </si>
  <si>
    <t>Rovito</t>
  </si>
  <si>
    <t xml:space="preserve">Rovolon (PD) </t>
  </si>
  <si>
    <t>028071</t>
  </si>
  <si>
    <t>Rovolon</t>
  </si>
  <si>
    <t xml:space="preserve">Rozzano (MI) </t>
  </si>
  <si>
    <t>015189</t>
  </si>
  <si>
    <t>Rozzano</t>
  </si>
  <si>
    <t xml:space="preserve">Rubano (PD) </t>
  </si>
  <si>
    <t>028072</t>
  </si>
  <si>
    <t>Rubano</t>
  </si>
  <si>
    <t xml:space="preserve">Rubiana (TO) </t>
  </si>
  <si>
    <t>001229</t>
  </si>
  <si>
    <t>Rubiana</t>
  </si>
  <si>
    <t xml:space="preserve">Rubiera (RE) </t>
  </si>
  <si>
    <t>035036</t>
  </si>
  <si>
    <t>Rubiera</t>
  </si>
  <si>
    <t xml:space="preserve">Ruda (UD) </t>
  </si>
  <si>
    <t>030098</t>
  </si>
  <si>
    <t>Ruda</t>
  </si>
  <si>
    <t xml:space="preserve">Rudiano (BS) </t>
  </si>
  <si>
    <t>017167</t>
  </si>
  <si>
    <t>Rudiano</t>
  </si>
  <si>
    <t xml:space="preserve">Rueglio (TO) </t>
  </si>
  <si>
    <t>001230</t>
  </si>
  <si>
    <t>Rueglio</t>
  </si>
  <si>
    <t xml:space="preserve">Ruffano (LE) </t>
  </si>
  <si>
    <t>075064</t>
  </si>
  <si>
    <t>Ruffano</t>
  </si>
  <si>
    <t xml:space="preserve">Ruffia (CN) </t>
  </si>
  <si>
    <t>004198</t>
  </si>
  <si>
    <t>Ruffia</t>
  </si>
  <si>
    <t xml:space="preserve">Ruffrè-Mendola (TN) </t>
  </si>
  <si>
    <t>022162</t>
  </si>
  <si>
    <t>Ruffrè-Mendola</t>
  </si>
  <si>
    <t xml:space="preserve">Rufina (FI) </t>
  </si>
  <si>
    <t>048037</t>
  </si>
  <si>
    <t>Rufina</t>
  </si>
  <si>
    <t xml:space="preserve">Ruinas (OR) </t>
  </si>
  <si>
    <t>Ruinas</t>
  </si>
  <si>
    <t xml:space="preserve">Rumo (TN) </t>
  </si>
  <si>
    <t>022163</t>
  </si>
  <si>
    <t>Rumo</t>
  </si>
  <si>
    <t xml:space="preserve">Ruoti (PZ) </t>
  </si>
  <si>
    <t>076071</t>
  </si>
  <si>
    <t>Ruoti</t>
  </si>
  <si>
    <t xml:space="preserve">Russi (RA) </t>
  </si>
  <si>
    <t>039016</t>
  </si>
  <si>
    <t>Russi</t>
  </si>
  <si>
    <t xml:space="preserve">Rutigliano (BA) </t>
  </si>
  <si>
    <t>072037</t>
  </si>
  <si>
    <t>Rutigliano</t>
  </si>
  <si>
    <t xml:space="preserve">Rutino (SA) </t>
  </si>
  <si>
    <t>065112</t>
  </si>
  <si>
    <t>Rutino</t>
  </si>
  <si>
    <t xml:space="preserve">Ruviano (CE) </t>
  </si>
  <si>
    <t>061073</t>
  </si>
  <si>
    <t>Ruviano</t>
  </si>
  <si>
    <t xml:space="preserve">Ruvo del Monte (PZ) </t>
  </si>
  <si>
    <t>076072</t>
  </si>
  <si>
    <t>Ruvo del Monte</t>
  </si>
  <si>
    <t xml:space="preserve">Ruvo di Puglia (BA) </t>
  </si>
  <si>
    <t>072038</t>
  </si>
  <si>
    <t>Ruvo di Puglia</t>
  </si>
  <si>
    <t xml:space="preserve">Sabaudia (LT) </t>
  </si>
  <si>
    <t>059024</t>
  </si>
  <si>
    <t>Sabaudia</t>
  </si>
  <si>
    <t xml:space="preserve">Sabbio Chiese (BS) </t>
  </si>
  <si>
    <t>017168</t>
  </si>
  <si>
    <t>Sabbio Chiese</t>
  </si>
  <si>
    <t xml:space="preserve">Sabbioneta (MN) </t>
  </si>
  <si>
    <t>020054</t>
  </si>
  <si>
    <t>Sabbioneta</t>
  </si>
  <si>
    <t xml:space="preserve">Sacco (SA) </t>
  </si>
  <si>
    <t>065113</t>
  </si>
  <si>
    <t>Sacco</t>
  </si>
  <si>
    <t xml:space="preserve">Saccolongo (PD) </t>
  </si>
  <si>
    <t>028073</t>
  </si>
  <si>
    <t>Saccolongo</t>
  </si>
  <si>
    <t xml:space="preserve">Sacile (PN) </t>
  </si>
  <si>
    <t>093037</t>
  </si>
  <si>
    <t>Sacile</t>
  </si>
  <si>
    <t xml:space="preserve">Sacrofano (RM) </t>
  </si>
  <si>
    <t>058093</t>
  </si>
  <si>
    <t>Sacrofano</t>
  </si>
  <si>
    <t>Sadali</t>
  </si>
  <si>
    <t xml:space="preserve">Sagama (OR) </t>
  </si>
  <si>
    <t>Sagama</t>
  </si>
  <si>
    <t xml:space="preserve">Sagliano Micca (BI) </t>
  </si>
  <si>
    <t>096056</t>
  </si>
  <si>
    <t>Sagliano Micca</t>
  </si>
  <si>
    <t xml:space="preserve">Sagrado (GO) </t>
  </si>
  <si>
    <t>031017</t>
  </si>
  <si>
    <t>Sagrado</t>
  </si>
  <si>
    <t xml:space="preserve">Sagron Mis (TN) </t>
  </si>
  <si>
    <t>022164</t>
  </si>
  <si>
    <t>Sagron Mis</t>
  </si>
  <si>
    <t xml:space="preserve">Saint-Christophe (AO) </t>
  </si>
  <si>
    <t>007058</t>
  </si>
  <si>
    <t>Saint-Christophe</t>
  </si>
  <si>
    <t xml:space="preserve">Saint-Denis (AO) </t>
  </si>
  <si>
    <t>007059</t>
  </si>
  <si>
    <t>Saint-Denis</t>
  </si>
  <si>
    <t xml:space="preserve">Saint-Marcel (AO) </t>
  </si>
  <si>
    <t>007060</t>
  </si>
  <si>
    <t>Saint-Marcel</t>
  </si>
  <si>
    <t xml:space="preserve">Saint-Nicolas (AO) </t>
  </si>
  <si>
    <t>007061</t>
  </si>
  <si>
    <t>Saint-Nicolas</t>
  </si>
  <si>
    <t xml:space="preserve">Saint-Oyen (AO) </t>
  </si>
  <si>
    <t>007062</t>
  </si>
  <si>
    <t>Saint-Oyen</t>
  </si>
  <si>
    <t xml:space="preserve">Saint-Pierre (AO) </t>
  </si>
  <si>
    <t>007063</t>
  </si>
  <si>
    <t>Saint-Pierre</t>
  </si>
  <si>
    <t xml:space="preserve">Saint-Rhémy-en-Bosses (AO) </t>
  </si>
  <si>
    <t>007064</t>
  </si>
  <si>
    <t>Saint-Rhémy-en-Bosses</t>
  </si>
  <si>
    <t xml:space="preserve">Saint-Vincent (AO) </t>
  </si>
  <si>
    <t>007065</t>
  </si>
  <si>
    <t>Saint-Vincent</t>
  </si>
  <si>
    <t xml:space="preserve">Sala Baganza (PR) </t>
  </si>
  <si>
    <t>034031</t>
  </si>
  <si>
    <t>Sala Baganza</t>
  </si>
  <si>
    <t xml:space="preserve">Sala Biellese (BI) </t>
  </si>
  <si>
    <t>096057</t>
  </si>
  <si>
    <t>Sala Biellese</t>
  </si>
  <si>
    <t xml:space="preserve">Sala Bolognese (BO) </t>
  </si>
  <si>
    <t>037050</t>
  </si>
  <si>
    <t>Sala Bolognese</t>
  </si>
  <si>
    <t xml:space="preserve">Sala Comacina (CO) </t>
  </si>
  <si>
    <t>013203</t>
  </si>
  <si>
    <t>Sala Comacina</t>
  </si>
  <si>
    <t xml:space="preserve">Sala Consilina (SA) </t>
  </si>
  <si>
    <t>065114</t>
  </si>
  <si>
    <t>Sala Consilina</t>
  </si>
  <si>
    <t xml:space="preserve">Sala Monferrato (AL) </t>
  </si>
  <si>
    <t>006150</t>
  </si>
  <si>
    <t>Sala Monferrato</t>
  </si>
  <si>
    <t xml:space="preserve">Salandra (MT) </t>
  </si>
  <si>
    <t>077024</t>
  </si>
  <si>
    <t>Salandra</t>
  </si>
  <si>
    <t xml:space="preserve">Salaparuta (TP) </t>
  </si>
  <si>
    <t>081017</t>
  </si>
  <si>
    <t>Salaparuta</t>
  </si>
  <si>
    <t xml:space="preserve">Salara (RO) </t>
  </si>
  <si>
    <t>029042</t>
  </si>
  <si>
    <t>Salara</t>
  </si>
  <si>
    <t xml:space="preserve">Salasco (VC) </t>
  </si>
  <si>
    <t>002126</t>
  </si>
  <si>
    <t>Salasco</t>
  </si>
  <si>
    <t xml:space="preserve">Salassa (TO) </t>
  </si>
  <si>
    <t>001231</t>
  </si>
  <si>
    <t>Salassa</t>
  </si>
  <si>
    <t xml:space="preserve">Salbertrand (TO) </t>
  </si>
  <si>
    <t>001232</t>
  </si>
  <si>
    <t>Salbertrand</t>
  </si>
  <si>
    <t xml:space="preserve">Salcedo (VI) </t>
  </si>
  <si>
    <t>024090</t>
  </si>
  <si>
    <t>Salcedo</t>
  </si>
  <si>
    <t xml:space="preserve">Salcito (CB) </t>
  </si>
  <si>
    <t>070062</t>
  </si>
  <si>
    <t>Salcito</t>
  </si>
  <si>
    <t xml:space="preserve">Sale (AL) </t>
  </si>
  <si>
    <t>006151</t>
  </si>
  <si>
    <t>Sale</t>
  </si>
  <si>
    <t xml:space="preserve">Sale delle Langhe (CN) </t>
  </si>
  <si>
    <t>004199</t>
  </si>
  <si>
    <t>Sale delle Langhe</t>
  </si>
  <si>
    <t xml:space="preserve">Sale Marasino (BS) </t>
  </si>
  <si>
    <t>017169</t>
  </si>
  <si>
    <t>Sale Marasino</t>
  </si>
  <si>
    <t xml:space="preserve">Sale San Giovanni (CN) </t>
  </si>
  <si>
    <t>004200</t>
  </si>
  <si>
    <t>Sale San Giovanni</t>
  </si>
  <si>
    <t xml:space="preserve">Salemi (TP) </t>
  </si>
  <si>
    <t>081018</t>
  </si>
  <si>
    <t>Salemi</t>
  </si>
  <si>
    <t xml:space="preserve">Salento (SA) </t>
  </si>
  <si>
    <t>065115</t>
  </si>
  <si>
    <t>Salento</t>
  </si>
  <si>
    <t xml:space="preserve">Salerano Canavese (TO) </t>
  </si>
  <si>
    <t>001233</t>
  </si>
  <si>
    <t>Salerano Canavese</t>
  </si>
  <si>
    <t xml:space="preserve">Salerano sul Lambro (LO) </t>
  </si>
  <si>
    <t>098046</t>
  </si>
  <si>
    <t>Salerano sul Lambro</t>
  </si>
  <si>
    <t xml:space="preserve">Salerno (SA) </t>
  </si>
  <si>
    <t>065116</t>
  </si>
  <si>
    <t>Salerno</t>
  </si>
  <si>
    <t xml:space="preserve">Salgareda (TV) </t>
  </si>
  <si>
    <t>026070</t>
  </si>
  <si>
    <t>Salgareda</t>
  </si>
  <si>
    <t xml:space="preserve">Sali Vercellese (VC) </t>
  </si>
  <si>
    <t>002127</t>
  </si>
  <si>
    <t>Sali Vercellese</t>
  </si>
  <si>
    <t xml:space="preserve">Salice Salentino (LE) </t>
  </si>
  <si>
    <t>075065</t>
  </si>
  <si>
    <t>Salice Salentino</t>
  </si>
  <si>
    <t xml:space="preserve">Saliceto (CN) </t>
  </si>
  <si>
    <t>004201</t>
  </si>
  <si>
    <t>Saliceto</t>
  </si>
  <si>
    <t xml:space="preserve">Salisano (RI) </t>
  </si>
  <si>
    <t>057063</t>
  </si>
  <si>
    <t>Salisano</t>
  </si>
  <si>
    <t xml:space="preserve">Salizzole (VR) </t>
  </si>
  <si>
    <t>023068</t>
  </si>
  <si>
    <t>Salizzole</t>
  </si>
  <si>
    <t xml:space="preserve">Salle (PE) </t>
  </si>
  <si>
    <t>068036</t>
  </si>
  <si>
    <t>Salle</t>
  </si>
  <si>
    <t xml:space="preserve">Salmour (CN) </t>
  </si>
  <si>
    <t>004202</t>
  </si>
  <si>
    <t>Salmour</t>
  </si>
  <si>
    <t xml:space="preserve">Salò (BS) </t>
  </si>
  <si>
    <t>017170</t>
  </si>
  <si>
    <t>Salò</t>
  </si>
  <si>
    <t>021076</t>
  </si>
  <si>
    <t xml:space="preserve">Salsomaggiore Terme (PR) </t>
  </si>
  <si>
    <t>034032</t>
  </si>
  <si>
    <t>Salsomaggiore Terme</t>
  </si>
  <si>
    <t xml:space="preserve">Saltrio (VA) </t>
  </si>
  <si>
    <t>012117</t>
  </si>
  <si>
    <t>Saltrio</t>
  </si>
  <si>
    <t xml:space="preserve">Saludecio (RN) </t>
  </si>
  <si>
    <t>099015</t>
  </si>
  <si>
    <t>Saludecio</t>
  </si>
  <si>
    <t xml:space="preserve">Saluggia (VC) </t>
  </si>
  <si>
    <t>002128</t>
  </si>
  <si>
    <t>Saluggia</t>
  </si>
  <si>
    <t xml:space="preserve">Salussola (BI) </t>
  </si>
  <si>
    <t>096058</t>
  </si>
  <si>
    <t>Salussola</t>
  </si>
  <si>
    <t xml:space="preserve">Saluzzo (CN) </t>
  </si>
  <si>
    <t>004203</t>
  </si>
  <si>
    <t>Saluzzo</t>
  </si>
  <si>
    <t xml:space="preserve">Salve (LE) </t>
  </si>
  <si>
    <t>075066</t>
  </si>
  <si>
    <t>Salve</t>
  </si>
  <si>
    <t xml:space="preserve">Salvirola (CR) </t>
  </si>
  <si>
    <t>019087</t>
  </si>
  <si>
    <t>Salvirola</t>
  </si>
  <si>
    <t xml:space="preserve">Salvitelle (SA) </t>
  </si>
  <si>
    <t>065117</t>
  </si>
  <si>
    <t>Salvitelle</t>
  </si>
  <si>
    <t xml:space="preserve">Salza di Pinerolo (TO) </t>
  </si>
  <si>
    <t>001234</t>
  </si>
  <si>
    <t>Salza di Pinerolo</t>
  </si>
  <si>
    <t xml:space="preserve">Salza Irpina (AV) </t>
  </si>
  <si>
    <t>064081</t>
  </si>
  <si>
    <t>Salza Irpina</t>
  </si>
  <si>
    <t xml:space="preserve">Salzano (VE) </t>
  </si>
  <si>
    <t>027032</t>
  </si>
  <si>
    <t>Salzano</t>
  </si>
  <si>
    <t xml:space="preserve">Samarate (VA) </t>
  </si>
  <si>
    <t>012118</t>
  </si>
  <si>
    <t>Samarate</t>
  </si>
  <si>
    <t>Samassi</t>
  </si>
  <si>
    <t>Samatzai</t>
  </si>
  <si>
    <t xml:space="preserve">Sambuca di Sicilia (AG) </t>
  </si>
  <si>
    <t>084034</t>
  </si>
  <si>
    <t>Sambuca di Sicilia</t>
  </si>
  <si>
    <t xml:space="preserve">Sambuca Pistoiese (PT) </t>
  </si>
  <si>
    <t>047018</t>
  </si>
  <si>
    <t>Sambuca Pistoiese</t>
  </si>
  <si>
    <t xml:space="preserve">Sambuci (RM) </t>
  </si>
  <si>
    <t>058094</t>
  </si>
  <si>
    <t>Sambuci</t>
  </si>
  <si>
    <t xml:space="preserve">Sambuco (CN) </t>
  </si>
  <si>
    <t>004204</t>
  </si>
  <si>
    <t>Sambuco</t>
  </si>
  <si>
    <t xml:space="preserve">Sammichele di Bari (BA) </t>
  </si>
  <si>
    <t>072039</t>
  </si>
  <si>
    <t>Sammichele di Bari</t>
  </si>
  <si>
    <t xml:space="preserve">Samo (RC) </t>
  </si>
  <si>
    <t>080070</t>
  </si>
  <si>
    <t>Samo</t>
  </si>
  <si>
    <t xml:space="preserve">Samolaco (SO) </t>
  </si>
  <si>
    <t>014057</t>
  </si>
  <si>
    <t>Samolaco</t>
  </si>
  <si>
    <t xml:space="preserve">Samone (TN) </t>
  </si>
  <si>
    <t>Samone</t>
  </si>
  <si>
    <t>001235</t>
  </si>
  <si>
    <t xml:space="preserve">Sampeyre (CN) </t>
  </si>
  <si>
    <t>004205</t>
  </si>
  <si>
    <t>Sampeyre</t>
  </si>
  <si>
    <t xml:space="preserve">Samugheo (OR) </t>
  </si>
  <si>
    <t>Samugheo</t>
  </si>
  <si>
    <t xml:space="preserve">San Bartolomeo al Mare (IM) </t>
  </si>
  <si>
    <t>008052</t>
  </si>
  <si>
    <t>San Bartolomeo al Mare</t>
  </si>
  <si>
    <t xml:space="preserve">San Bartolomeo in Galdo (BN) </t>
  </si>
  <si>
    <t>062057</t>
  </si>
  <si>
    <t>San Bartolomeo in Galdo</t>
  </si>
  <si>
    <t xml:space="preserve">San Bartolomeo Val Cavargna (CO) </t>
  </si>
  <si>
    <t>013204</t>
  </si>
  <si>
    <t>San Bartolomeo Val Cavargna</t>
  </si>
  <si>
    <t xml:space="preserve">San Basile (CS) </t>
  </si>
  <si>
    <t>078111</t>
  </si>
  <si>
    <t>San Basile</t>
  </si>
  <si>
    <t>San Basilio</t>
  </si>
  <si>
    <t xml:space="preserve">San Bassano (CR) </t>
  </si>
  <si>
    <t>019088</t>
  </si>
  <si>
    <t>San Bassano</t>
  </si>
  <si>
    <t xml:space="preserve">San Bellino (RO) </t>
  </si>
  <si>
    <t>029043</t>
  </si>
  <si>
    <t>San Bellino</t>
  </si>
  <si>
    <t xml:space="preserve">San Benedetto Belbo (CN) </t>
  </si>
  <si>
    <t>004206</t>
  </si>
  <si>
    <t>San Benedetto Belbo</t>
  </si>
  <si>
    <t xml:space="preserve">San Benedetto dei Marsi (AQ) </t>
  </si>
  <si>
    <t>066085</t>
  </si>
  <si>
    <t>San Benedetto dei Marsi</t>
  </si>
  <si>
    <t xml:space="preserve">San Benedetto del Tronto (AP) </t>
  </si>
  <si>
    <t>044066</t>
  </si>
  <si>
    <t>San Benedetto del Tronto</t>
  </si>
  <si>
    <t xml:space="preserve">San Benedetto in Perillis (AQ) </t>
  </si>
  <si>
    <t>066086</t>
  </si>
  <si>
    <t>San Benedetto in Perillis</t>
  </si>
  <si>
    <t xml:space="preserve">San Benedetto Po (MN) </t>
  </si>
  <si>
    <t>020055</t>
  </si>
  <si>
    <t>San Benedetto Po</t>
  </si>
  <si>
    <t xml:space="preserve">San Benedetto Ullano (CS) </t>
  </si>
  <si>
    <t>078112</t>
  </si>
  <si>
    <t>San Benedetto Ullano</t>
  </si>
  <si>
    <t xml:space="preserve">San Benedetto Val di Sambro (BO) </t>
  </si>
  <si>
    <t>037051</t>
  </si>
  <si>
    <t>San Benedetto Val di Sambro</t>
  </si>
  <si>
    <t xml:space="preserve">San Benigno Canavese (TO) </t>
  </si>
  <si>
    <t>001236</t>
  </si>
  <si>
    <t>San Benigno Canavese</t>
  </si>
  <si>
    <t xml:space="preserve">San Bernardino Verbano (VB) </t>
  </si>
  <si>
    <t>San Bernardino Verbano</t>
  </si>
  <si>
    <t xml:space="preserve">San Biagio della Cima (IM) </t>
  </si>
  <si>
    <t>008053</t>
  </si>
  <si>
    <t>San Biagio della Cima</t>
  </si>
  <si>
    <t xml:space="preserve">San Biagio di Callalta (TV) </t>
  </si>
  <si>
    <t>026071</t>
  </si>
  <si>
    <t>San Biagio di Callalta</t>
  </si>
  <si>
    <t xml:space="preserve">San Biagio Platani (AG) </t>
  </si>
  <si>
    <t>084035</t>
  </si>
  <si>
    <t>San Biagio Platani</t>
  </si>
  <si>
    <t xml:space="preserve">San Biagio Saracinisco (FR) </t>
  </si>
  <si>
    <t>060061</t>
  </si>
  <si>
    <t>San Biagio Saracinisco</t>
  </si>
  <si>
    <t xml:space="preserve">San Biase (CB) </t>
  </si>
  <si>
    <t>070063</t>
  </si>
  <si>
    <t>San Biase</t>
  </si>
  <si>
    <t xml:space="preserve">San Bonifacio (VR) </t>
  </si>
  <si>
    <t>023069</t>
  </si>
  <si>
    <t>San Bonifacio</t>
  </si>
  <si>
    <t xml:space="preserve">San Buono (CH) </t>
  </si>
  <si>
    <t>069079</t>
  </si>
  <si>
    <t>San Buono</t>
  </si>
  <si>
    <t xml:space="preserve">San Calogero (VV) </t>
  </si>
  <si>
    <t>San Calogero</t>
  </si>
  <si>
    <t>021077</t>
  </si>
  <si>
    <t xml:space="preserve">San Canzian d'Isonzo (GO) </t>
  </si>
  <si>
    <t>031018</t>
  </si>
  <si>
    <t>San Canzian d'Isonzo</t>
  </si>
  <si>
    <t xml:space="preserve">San Carlo Canavese (TO) </t>
  </si>
  <si>
    <t>001237</t>
  </si>
  <si>
    <t>San Carlo Canavese</t>
  </si>
  <si>
    <t xml:space="preserve">San Casciano dei Bagni (SI) </t>
  </si>
  <si>
    <t>052027</t>
  </si>
  <si>
    <t>San Casciano dei Bagni</t>
  </si>
  <si>
    <t xml:space="preserve">San Casciano in Val di Pesa (FI) </t>
  </si>
  <si>
    <t>048038</t>
  </si>
  <si>
    <t>San Casciano in Val di Pesa</t>
  </si>
  <si>
    <t xml:space="preserve">San Cassiano (LE) </t>
  </si>
  <si>
    <t>075095</t>
  </si>
  <si>
    <t>San Cassiano</t>
  </si>
  <si>
    <t xml:space="preserve">San Cataldo (CL) </t>
  </si>
  <si>
    <t>085016</t>
  </si>
  <si>
    <t>San Cataldo</t>
  </si>
  <si>
    <t xml:space="preserve">San Cesareo (RM) </t>
  </si>
  <si>
    <t>058119</t>
  </si>
  <si>
    <t>San Cesareo</t>
  </si>
  <si>
    <t xml:space="preserve">San Cesario di Lecce (LE) </t>
  </si>
  <si>
    <t>075068</t>
  </si>
  <si>
    <t>San Cesario di Lecce</t>
  </si>
  <si>
    <t xml:space="preserve">San Cesario sul Panaro (MO) </t>
  </si>
  <si>
    <t>036036</t>
  </si>
  <si>
    <t>San Cesario sul Panaro</t>
  </si>
  <si>
    <t xml:space="preserve">San Chirico Nuovo (PZ) </t>
  </si>
  <si>
    <t>076073</t>
  </si>
  <si>
    <t>San Chirico Nuovo</t>
  </si>
  <si>
    <t xml:space="preserve">San Chirico Raparo (PZ) </t>
  </si>
  <si>
    <t>076074</t>
  </si>
  <si>
    <t>San Chirico Raparo</t>
  </si>
  <si>
    <t xml:space="preserve">San Cipirello (PA) </t>
  </si>
  <si>
    <t>082063</t>
  </si>
  <si>
    <t>San Cipirello</t>
  </si>
  <si>
    <t xml:space="preserve">San Cipriano d'Aversa (CE) </t>
  </si>
  <si>
    <t>061074</t>
  </si>
  <si>
    <t>San Cipriano d'Aversa</t>
  </si>
  <si>
    <t xml:space="preserve">San Cipriano Picentino (SA) </t>
  </si>
  <si>
    <t>065118</t>
  </si>
  <si>
    <t>San Cipriano Picentino</t>
  </si>
  <si>
    <t xml:space="preserve">San Cipriano Po (PV) </t>
  </si>
  <si>
    <t>018133</t>
  </si>
  <si>
    <t>San Cipriano Po</t>
  </si>
  <si>
    <t xml:space="preserve">San Clemente (RN) </t>
  </si>
  <si>
    <t>099016</t>
  </si>
  <si>
    <t>San Clemente</t>
  </si>
  <si>
    <t xml:space="preserve">San Colombano al Lambro (MI) </t>
  </si>
  <si>
    <t>015191</t>
  </si>
  <si>
    <t>San Colombano al Lambro</t>
  </si>
  <si>
    <t xml:space="preserve">San Colombano Belmonte (TO) </t>
  </si>
  <si>
    <t>001238</t>
  </si>
  <si>
    <t>San Colombano Belmonte</t>
  </si>
  <si>
    <t xml:space="preserve">San Colombano Certenoli (GE) </t>
  </si>
  <si>
    <t>010053</t>
  </si>
  <si>
    <t>San Colombano Certenoli</t>
  </si>
  <si>
    <t xml:space="preserve">San Cono (CT) </t>
  </si>
  <si>
    <t>087040</t>
  </si>
  <si>
    <t>San Cono</t>
  </si>
  <si>
    <t xml:space="preserve">San Cosmo Albanese (CS) </t>
  </si>
  <si>
    <t>078113</t>
  </si>
  <si>
    <t>San Cosmo Albanese</t>
  </si>
  <si>
    <t xml:space="preserve">San Costantino Albanese (PZ) </t>
  </si>
  <si>
    <t>076075</t>
  </si>
  <si>
    <t>San Costantino Albanese</t>
  </si>
  <si>
    <t xml:space="preserve">San Costantino Calabro (VV) </t>
  </si>
  <si>
    <t>San Costantino Calabro</t>
  </si>
  <si>
    <t xml:space="preserve">San Costanzo (PU) </t>
  </si>
  <si>
    <t>041051</t>
  </si>
  <si>
    <t>San Costanzo</t>
  </si>
  <si>
    <t xml:space="preserve">San Cristoforo (AL) </t>
  </si>
  <si>
    <t>006152</t>
  </si>
  <si>
    <t>San Cristoforo</t>
  </si>
  <si>
    <t xml:space="preserve">San Damiano al Colle (PV) </t>
  </si>
  <si>
    <t>018134</t>
  </si>
  <si>
    <t>San Damiano al Colle</t>
  </si>
  <si>
    <t xml:space="preserve">San Damiano d'Asti (AT) </t>
  </si>
  <si>
    <t>005097</t>
  </si>
  <si>
    <t>San Damiano d'Asti</t>
  </si>
  <si>
    <t xml:space="preserve">San Damiano Macra (CN) </t>
  </si>
  <si>
    <t>004207</t>
  </si>
  <si>
    <t>San Damiano Macra</t>
  </si>
  <si>
    <t xml:space="preserve">San Daniele del Friuli (UD) </t>
  </si>
  <si>
    <t>030099</t>
  </si>
  <si>
    <t>San Daniele del Friuli</t>
  </si>
  <si>
    <t xml:space="preserve">San Daniele Po (CR) </t>
  </si>
  <si>
    <t>019089</t>
  </si>
  <si>
    <t>San Daniele Po</t>
  </si>
  <si>
    <t xml:space="preserve">San Demetrio Corone (CS) </t>
  </si>
  <si>
    <t>078114</t>
  </si>
  <si>
    <t>San Demetrio Corone</t>
  </si>
  <si>
    <t xml:space="preserve">San Demetrio ne' Vestini (AQ) </t>
  </si>
  <si>
    <t>066087</t>
  </si>
  <si>
    <t>San Demetrio ne' Vestini</t>
  </si>
  <si>
    <t xml:space="preserve">San Didero (TO) </t>
  </si>
  <si>
    <t>001239</t>
  </si>
  <si>
    <t>San Didero</t>
  </si>
  <si>
    <t xml:space="preserve">San Donà di Piave (VE) </t>
  </si>
  <si>
    <t>027033</t>
  </si>
  <si>
    <t>San Donà di Piave</t>
  </si>
  <si>
    <t xml:space="preserve">San Donaci (BR) </t>
  </si>
  <si>
    <t>074013</t>
  </si>
  <si>
    <t>San Donaci</t>
  </si>
  <si>
    <t xml:space="preserve">San Donato di Lecce (LE) </t>
  </si>
  <si>
    <t>075069</t>
  </si>
  <si>
    <t>San Donato di Lecce</t>
  </si>
  <si>
    <t xml:space="preserve">San Donato di Ninea (CS) </t>
  </si>
  <si>
    <t>078115</t>
  </si>
  <si>
    <t>San Donato di Ninea</t>
  </si>
  <si>
    <t xml:space="preserve">San Donato Milanese (MI) </t>
  </si>
  <si>
    <t>015192</t>
  </si>
  <si>
    <t>San Donato Milanese</t>
  </si>
  <si>
    <t xml:space="preserve">San Donato Val di Comino (FR) </t>
  </si>
  <si>
    <t>060062</t>
  </si>
  <si>
    <t>San Donato Val di Comino</t>
  </si>
  <si>
    <t>032004</t>
  </si>
  <si>
    <t xml:space="preserve">San Fele (PZ) </t>
  </si>
  <si>
    <t>076076</t>
  </si>
  <si>
    <t>San Fele</t>
  </si>
  <si>
    <t xml:space="preserve">San Felice a Cancello (CE) </t>
  </si>
  <si>
    <t>061075</t>
  </si>
  <si>
    <t>San Felice a Cancello</t>
  </si>
  <si>
    <t xml:space="preserve">San Felice Circeo (LT) </t>
  </si>
  <si>
    <t>059025</t>
  </si>
  <si>
    <t>San Felice Circeo</t>
  </si>
  <si>
    <t xml:space="preserve">San Felice del Benaco (BS) </t>
  </si>
  <si>
    <t>017171</t>
  </si>
  <si>
    <t>San Felice del Benaco</t>
  </si>
  <si>
    <t xml:space="preserve">San Felice del Molise (CB) </t>
  </si>
  <si>
    <t>070064</t>
  </si>
  <si>
    <t>San Felice del Molise</t>
  </si>
  <si>
    <t xml:space="preserve">San Felice sul Panaro (MO) </t>
  </si>
  <si>
    <t>036037</t>
  </si>
  <si>
    <t>San Felice sul Panaro</t>
  </si>
  <si>
    <t xml:space="preserve">San Ferdinando (RC) </t>
  </si>
  <si>
    <t>080097</t>
  </si>
  <si>
    <t>San Ferdinando</t>
  </si>
  <si>
    <t xml:space="preserve">San Ferdinando di Puglia (BT) </t>
  </si>
  <si>
    <t>San Ferdinando di Puglia</t>
  </si>
  <si>
    <t xml:space="preserve">San Fermo della Battaglia (CO) </t>
  </si>
  <si>
    <t>013206</t>
  </si>
  <si>
    <t>San Fermo della Battaglia</t>
  </si>
  <si>
    <t xml:space="preserve">San Fili (CS) </t>
  </si>
  <si>
    <t>078116</t>
  </si>
  <si>
    <t>San Fili</t>
  </si>
  <si>
    <t xml:space="preserve">San Filippo del Mela (ME) </t>
  </si>
  <si>
    <t>083077</t>
  </si>
  <si>
    <t>San Filippo del Mela</t>
  </si>
  <si>
    <t xml:space="preserve">San Fior (TV) </t>
  </si>
  <si>
    <t>026072</t>
  </si>
  <si>
    <t>San Fior</t>
  </si>
  <si>
    <t xml:space="preserve">San Fiorano (LO) </t>
  </si>
  <si>
    <t>098047</t>
  </si>
  <si>
    <t>San Fiorano</t>
  </si>
  <si>
    <t xml:space="preserve">San Floriano del Collio (GO) </t>
  </si>
  <si>
    <t>031019</t>
  </si>
  <si>
    <t>San Floriano del Collio</t>
  </si>
  <si>
    <t xml:space="preserve">San Floro (CZ) </t>
  </si>
  <si>
    <t>079108</t>
  </si>
  <si>
    <t>San Floro</t>
  </si>
  <si>
    <t xml:space="preserve">San Francesco al Campo (TO) </t>
  </si>
  <si>
    <t>001240</t>
  </si>
  <si>
    <t>San Francesco al Campo</t>
  </si>
  <si>
    <t xml:space="preserve">San Fratello (ME) </t>
  </si>
  <si>
    <t>083078</t>
  </si>
  <si>
    <t>San Fratello</t>
  </si>
  <si>
    <t>San Gavino Monreale</t>
  </si>
  <si>
    <t xml:space="preserve">San Gemini (TR) </t>
  </si>
  <si>
    <t>055029</t>
  </si>
  <si>
    <t>San Gemini</t>
  </si>
  <si>
    <t>021079</t>
  </si>
  <si>
    <t xml:space="preserve">San Genesio ed Uniti (PV) </t>
  </si>
  <si>
    <t>018135</t>
  </si>
  <si>
    <t>San Genesio ed Uniti</t>
  </si>
  <si>
    <t xml:space="preserve">San Gennaro Vesuviano (NA) </t>
  </si>
  <si>
    <t>063066</t>
  </si>
  <si>
    <t>San Gennaro Vesuviano</t>
  </si>
  <si>
    <t xml:space="preserve">San Germano Chisone (TO) </t>
  </si>
  <si>
    <t>001242</t>
  </si>
  <si>
    <t>San Germano Chisone</t>
  </si>
  <si>
    <t xml:space="preserve">San Germano Vercellese (VC) </t>
  </si>
  <si>
    <t>002131</t>
  </si>
  <si>
    <t>San Germano Vercellese</t>
  </si>
  <si>
    <t xml:space="preserve">San Gervasio Bresciano (BS) </t>
  </si>
  <si>
    <t>017172</t>
  </si>
  <si>
    <t>San Gervasio Bresciano</t>
  </si>
  <si>
    <t xml:space="preserve">San Giacomo degli Schiavoni (CB) </t>
  </si>
  <si>
    <t>070065</t>
  </si>
  <si>
    <t>San Giacomo degli Schiavoni</t>
  </si>
  <si>
    <t xml:space="preserve">San Giacomo delle Segnate (MN) </t>
  </si>
  <si>
    <t>020056</t>
  </si>
  <si>
    <t>San Giacomo delle Segnate</t>
  </si>
  <si>
    <t xml:space="preserve">San Giacomo Filippo (SO) </t>
  </si>
  <si>
    <t>014058</t>
  </si>
  <si>
    <t>San Giacomo Filippo</t>
  </si>
  <si>
    <t xml:space="preserve">San Gillio (TO) </t>
  </si>
  <si>
    <t>001243</t>
  </si>
  <si>
    <t>San Gillio</t>
  </si>
  <si>
    <t xml:space="preserve">San Gimignano (SI) </t>
  </si>
  <si>
    <t>052028</t>
  </si>
  <si>
    <t>San Gimignano</t>
  </si>
  <si>
    <t xml:space="preserve">San Ginesio (MC) </t>
  </si>
  <si>
    <t>043046</t>
  </si>
  <si>
    <t>San Ginesio</t>
  </si>
  <si>
    <t xml:space="preserve">San Giorgio a Cremano (NA) </t>
  </si>
  <si>
    <t>063067</t>
  </si>
  <si>
    <t>San Giorgio a Cremano</t>
  </si>
  <si>
    <t xml:space="preserve">San Giorgio a Liri (FR) </t>
  </si>
  <si>
    <t>060063</t>
  </si>
  <si>
    <t>San Giorgio a Liri</t>
  </si>
  <si>
    <t xml:space="preserve">San Giorgio Albanese (CS) </t>
  </si>
  <si>
    <t>078118</t>
  </si>
  <si>
    <t>San Giorgio Albanese</t>
  </si>
  <si>
    <t xml:space="preserve">San Giorgio Canavese (TO) </t>
  </si>
  <si>
    <t>001244</t>
  </si>
  <si>
    <t>San Giorgio Canavese</t>
  </si>
  <si>
    <t xml:space="preserve">San Giorgio del Sannio (BN) </t>
  </si>
  <si>
    <t>062058</t>
  </si>
  <si>
    <t>San Giorgio del Sannio</t>
  </si>
  <si>
    <t xml:space="preserve">San Giorgio della Richinvelda (PN) </t>
  </si>
  <si>
    <t>093038</t>
  </si>
  <si>
    <t>San Giorgio della Richinvelda</t>
  </si>
  <si>
    <t xml:space="preserve">San Giorgio delle Pertiche (PD) </t>
  </si>
  <si>
    <t>028075</t>
  </si>
  <si>
    <t>San Giorgio delle Pertiche</t>
  </si>
  <si>
    <t xml:space="preserve">San Giorgio di Lomellina (PV) </t>
  </si>
  <si>
    <t>018136</t>
  </si>
  <si>
    <t>San Giorgio di Lomellina</t>
  </si>
  <si>
    <t>020057</t>
  </si>
  <si>
    <t xml:space="preserve">San Giorgio di Nogaro (UD) </t>
  </si>
  <si>
    <t>030100</t>
  </si>
  <si>
    <t>San Giorgio di Nogaro</t>
  </si>
  <si>
    <t xml:space="preserve">San Giorgio di Piano (BO) </t>
  </si>
  <si>
    <t>037052</t>
  </si>
  <si>
    <t>San Giorgio di Piano</t>
  </si>
  <si>
    <t xml:space="preserve">San Giorgio in Bosco (PD) </t>
  </si>
  <si>
    <t>028076</t>
  </si>
  <si>
    <t>San Giorgio in Bosco</t>
  </si>
  <si>
    <t xml:space="preserve">San Giorgio Ionico (TA) </t>
  </si>
  <si>
    <t>073024</t>
  </si>
  <si>
    <t>San Giorgio Ionico</t>
  </si>
  <si>
    <t xml:space="preserve">San Giorgio La Molara (BN) </t>
  </si>
  <si>
    <t>062059</t>
  </si>
  <si>
    <t>San Giorgio La Molara</t>
  </si>
  <si>
    <t xml:space="preserve">San Giorgio Lucano (MT) </t>
  </si>
  <si>
    <t>077025</t>
  </si>
  <si>
    <t>San Giorgio Lucano</t>
  </si>
  <si>
    <t xml:space="preserve">San Giorgio Monferrato (AL) </t>
  </si>
  <si>
    <t>006153</t>
  </si>
  <si>
    <t>San Giorgio Monferrato</t>
  </si>
  <si>
    <t xml:space="preserve">San Giorgio Morgeto (RC) </t>
  </si>
  <si>
    <t>080071</t>
  </si>
  <si>
    <t>San Giorgio Morgeto</t>
  </si>
  <si>
    <t xml:space="preserve">San Giorgio Piacentino (PC) </t>
  </si>
  <si>
    <t>033040</t>
  </si>
  <si>
    <t>San Giorgio Piacentino</t>
  </si>
  <si>
    <t xml:space="preserve">San Giorgio Scarampi (AT) </t>
  </si>
  <si>
    <t>005098</t>
  </si>
  <si>
    <t>San Giorgio Scarampi</t>
  </si>
  <si>
    <t xml:space="preserve">San Giorgio su Legnano (MI) </t>
  </si>
  <si>
    <t>015194</t>
  </si>
  <si>
    <t>San Giorgio su Legnano</t>
  </si>
  <si>
    <t xml:space="preserve">San Giorio di Susa (TO) </t>
  </si>
  <si>
    <t>001245</t>
  </si>
  <si>
    <t>San Giorio di Susa</t>
  </si>
  <si>
    <t xml:space="preserve">San Giovanni a Piro (SA) </t>
  </si>
  <si>
    <t>065119</t>
  </si>
  <si>
    <t>San Giovanni a Piro</t>
  </si>
  <si>
    <t xml:space="preserve">San Giovanni al Natisone (UD) </t>
  </si>
  <si>
    <t>030101</t>
  </si>
  <si>
    <t>San Giovanni al Natisone</t>
  </si>
  <si>
    <t xml:space="preserve">San Giovanni Bianco (BG) </t>
  </si>
  <si>
    <t>016188</t>
  </si>
  <si>
    <t>San Giovanni Bianco</t>
  </si>
  <si>
    <t xml:space="preserve">San Giovanni del Dosso (MN) </t>
  </si>
  <si>
    <t>020058</t>
  </si>
  <si>
    <t>San Giovanni del Dosso</t>
  </si>
  <si>
    <t xml:space="preserve">San Giovanni di Gerace (RC) </t>
  </si>
  <si>
    <t>080072</t>
  </si>
  <si>
    <t>San Giovanni di Gerace</t>
  </si>
  <si>
    <t xml:space="preserve">San Giovanni Gemini (AG) </t>
  </si>
  <si>
    <t>084036</t>
  </si>
  <si>
    <t>San Giovanni Gemini</t>
  </si>
  <si>
    <t xml:space="preserve">San Giovanni Ilarione (VR) </t>
  </si>
  <si>
    <t>023070</t>
  </si>
  <si>
    <t>San Giovanni Ilarione</t>
  </si>
  <si>
    <t xml:space="preserve">San Giovanni in Croce (CR) </t>
  </si>
  <si>
    <t>019090</t>
  </si>
  <si>
    <t>San Giovanni in Croce</t>
  </si>
  <si>
    <t xml:space="preserve">San Giovanni in Fiore (CS) </t>
  </si>
  <si>
    <t>078119</t>
  </si>
  <si>
    <t>San Giovanni in Fiore</t>
  </si>
  <si>
    <t xml:space="preserve">San Giovanni in Galdo (CB) </t>
  </si>
  <si>
    <t>070066</t>
  </si>
  <si>
    <t>San Giovanni in Galdo</t>
  </si>
  <si>
    <t xml:space="preserve">San Giovanni in Marignano (RN) </t>
  </si>
  <si>
    <t>099017</t>
  </si>
  <si>
    <t>San Giovanni in Marignano</t>
  </si>
  <si>
    <t xml:space="preserve">San Giovanni in Persiceto (BO) </t>
  </si>
  <si>
    <t>037053</t>
  </si>
  <si>
    <t>San Giovanni in Persiceto</t>
  </si>
  <si>
    <t xml:space="preserve">San Giovanni Incarico (FR) </t>
  </si>
  <si>
    <t>060064</t>
  </si>
  <si>
    <t>San Giovanni Incarico</t>
  </si>
  <si>
    <t xml:space="preserve">San Giovanni la Punta (CT) </t>
  </si>
  <si>
    <t>087041</t>
  </si>
  <si>
    <t>San Giovanni la Punta</t>
  </si>
  <si>
    <t xml:space="preserve">San Giovanni Lipioni (CH) </t>
  </si>
  <si>
    <t>069080</t>
  </si>
  <si>
    <t>San Giovanni Lipioni</t>
  </si>
  <si>
    <t xml:space="preserve">San Giovanni Lupatoto (VR) </t>
  </si>
  <si>
    <t>023071</t>
  </si>
  <si>
    <t>San Giovanni Lupatoto</t>
  </si>
  <si>
    <t xml:space="preserve">San Giovanni Rotondo (FG) </t>
  </si>
  <si>
    <t>071046</t>
  </si>
  <si>
    <t>San Giovanni Rotondo</t>
  </si>
  <si>
    <t>San Giovanni Suergiu</t>
  </si>
  <si>
    <t xml:space="preserve">San Giovanni Teatino (CH) </t>
  </si>
  <si>
    <t>069081</t>
  </si>
  <si>
    <t>San Giovanni Teatino</t>
  </si>
  <si>
    <t xml:space="preserve">San Giovanni Valdarno (AR) </t>
  </si>
  <si>
    <t>051033</t>
  </si>
  <si>
    <t>San Giovanni Valdarno</t>
  </si>
  <si>
    <t xml:space="preserve">San Giuliano del Sannio (CB) </t>
  </si>
  <si>
    <t>070067</t>
  </si>
  <si>
    <t>San Giuliano del Sannio</t>
  </si>
  <si>
    <t xml:space="preserve">San Giuliano di Puglia (CB) </t>
  </si>
  <si>
    <t>070068</t>
  </si>
  <si>
    <t>San Giuliano di Puglia</t>
  </si>
  <si>
    <t xml:space="preserve">San Giuliano Milanese (MI) </t>
  </si>
  <si>
    <t>015195</t>
  </si>
  <si>
    <t>San Giuliano Milanese</t>
  </si>
  <si>
    <t xml:space="preserve">San Giuliano Terme (PI) </t>
  </si>
  <si>
    <t>050031</t>
  </si>
  <si>
    <t>San Giuliano Terme</t>
  </si>
  <si>
    <t xml:space="preserve">San Giuseppe Jato (PA) </t>
  </si>
  <si>
    <t>082064</t>
  </si>
  <si>
    <t>San Giuseppe Jato</t>
  </si>
  <si>
    <t xml:space="preserve">San Giuseppe Vesuviano (NA) </t>
  </si>
  <si>
    <t>063068</t>
  </si>
  <si>
    <t>San Giuseppe Vesuviano</t>
  </si>
  <si>
    <t xml:space="preserve">San Giustino (PG) </t>
  </si>
  <si>
    <t>054044</t>
  </si>
  <si>
    <t>San Giustino</t>
  </si>
  <si>
    <t xml:space="preserve">San Giusto Canavese (TO) </t>
  </si>
  <si>
    <t>001246</t>
  </si>
  <si>
    <t>San Giusto Canavese</t>
  </si>
  <si>
    <t xml:space="preserve">San Godenzo (FI) </t>
  </si>
  <si>
    <t>048039</t>
  </si>
  <si>
    <t>San Godenzo</t>
  </si>
  <si>
    <t xml:space="preserve">San Gregorio da Sassola (RM) </t>
  </si>
  <si>
    <t>058095</t>
  </si>
  <si>
    <t>San Gregorio da Sassola</t>
  </si>
  <si>
    <t xml:space="preserve">San Gregorio di Catania (CT) </t>
  </si>
  <si>
    <t>087042</t>
  </si>
  <si>
    <t>San Gregorio di Catania</t>
  </si>
  <si>
    <t xml:space="preserve">San Gregorio d'Ippona (VV) </t>
  </si>
  <si>
    <t>San Gregorio d'Ippona</t>
  </si>
  <si>
    <t xml:space="preserve">San Gregorio Magno (SA) </t>
  </si>
  <si>
    <t>065120</t>
  </si>
  <si>
    <t>San Gregorio Magno</t>
  </si>
  <si>
    <t xml:space="preserve">San Gregorio Matese (CE) </t>
  </si>
  <si>
    <t>061076</t>
  </si>
  <si>
    <t>San Gregorio Matese</t>
  </si>
  <si>
    <t xml:space="preserve">San Gregorio nelle Alpi (BL) </t>
  </si>
  <si>
    <t>025045</t>
  </si>
  <si>
    <t>San Gregorio nelle Alpi</t>
  </si>
  <si>
    <t xml:space="preserve">San Lazzaro di Savena (BO) </t>
  </si>
  <si>
    <t>037054</t>
  </si>
  <si>
    <t>San Lazzaro di Savena</t>
  </si>
  <si>
    <t xml:space="preserve">San Leo (RN) </t>
  </si>
  <si>
    <t>San Leo</t>
  </si>
  <si>
    <t xml:space="preserve">San Leonardo (UD) </t>
  </si>
  <si>
    <t>030102</t>
  </si>
  <si>
    <t>San Leonardo</t>
  </si>
  <si>
    <t>021080</t>
  </si>
  <si>
    <t xml:space="preserve">San Leucio del Sannio (BN) </t>
  </si>
  <si>
    <t>062060</t>
  </si>
  <si>
    <t>San Leucio del Sannio</t>
  </si>
  <si>
    <t xml:space="preserve">San Lorenzello (BN) </t>
  </si>
  <si>
    <t>062061</t>
  </si>
  <si>
    <t>San Lorenzello</t>
  </si>
  <si>
    <t xml:space="preserve">San Lorenzo (RC) </t>
  </si>
  <si>
    <t>080073</t>
  </si>
  <si>
    <t>San Lorenzo</t>
  </si>
  <si>
    <t xml:space="preserve">San Lorenzo al Mare (IM) </t>
  </si>
  <si>
    <t>008054</t>
  </si>
  <si>
    <t>San Lorenzo al Mare</t>
  </si>
  <si>
    <t xml:space="preserve">San Lorenzo Bellizzi (CS) </t>
  </si>
  <si>
    <t>078120</t>
  </si>
  <si>
    <t>San Lorenzo Bellizzi</t>
  </si>
  <si>
    <t xml:space="preserve">San Lorenzo del Vallo (CS) </t>
  </si>
  <si>
    <t>078121</t>
  </si>
  <si>
    <t>San Lorenzo del Vallo</t>
  </si>
  <si>
    <t>021081</t>
  </si>
  <si>
    <t xml:space="preserve">San Lorenzo in Campo (PU) </t>
  </si>
  <si>
    <t>041054</t>
  </si>
  <si>
    <t>San Lorenzo in Campo</t>
  </si>
  <si>
    <t xml:space="preserve">San Lorenzo Isontino (GO) </t>
  </si>
  <si>
    <t>031020</t>
  </si>
  <si>
    <t>San Lorenzo Isontino</t>
  </si>
  <si>
    <t xml:space="preserve">San Lorenzo Maggiore (BN) </t>
  </si>
  <si>
    <t>062062</t>
  </si>
  <si>
    <t>San Lorenzo Maggiore</t>
  </si>
  <si>
    <t xml:space="preserve">San Lorenzo Nuovo (VT) </t>
  </si>
  <si>
    <t>056047</t>
  </si>
  <si>
    <t>San Lorenzo Nuovo</t>
  </si>
  <si>
    <t xml:space="preserve">San Luca (RC) </t>
  </si>
  <si>
    <t>080074</t>
  </si>
  <si>
    <t>San Luca</t>
  </si>
  <si>
    <t xml:space="preserve">San Lucido (CS) </t>
  </si>
  <si>
    <t>078122</t>
  </si>
  <si>
    <t>San Lucido</t>
  </si>
  <si>
    <t xml:space="preserve">San Lupo (BN) </t>
  </si>
  <si>
    <t>062063</t>
  </si>
  <si>
    <t>San Lupo</t>
  </si>
  <si>
    <t xml:space="preserve">San Mango d'Aquino (CZ) </t>
  </si>
  <si>
    <t>079110</t>
  </si>
  <si>
    <t>San Mango d'Aquino</t>
  </si>
  <si>
    <t xml:space="preserve">San Mango Piemonte (SA) </t>
  </si>
  <si>
    <t>065121</t>
  </si>
  <si>
    <t>San Mango Piemonte</t>
  </si>
  <si>
    <t xml:space="preserve">San Mango sul Calore (AV) </t>
  </si>
  <si>
    <t>064082</t>
  </si>
  <si>
    <t>San Mango sul Calore</t>
  </si>
  <si>
    <t xml:space="preserve">San Marcellino (CE) </t>
  </si>
  <si>
    <t>061077</t>
  </si>
  <si>
    <t>San Marcellino</t>
  </si>
  <si>
    <t xml:space="preserve">San Marcello (AN) </t>
  </si>
  <si>
    <t>042041</t>
  </si>
  <si>
    <t>San Marcello</t>
  </si>
  <si>
    <t xml:space="preserve">San Marco Argentano (CS) </t>
  </si>
  <si>
    <t>078123</t>
  </si>
  <si>
    <t>San Marco Argentano</t>
  </si>
  <si>
    <t xml:space="preserve">San Marco d'Alunzio (ME) </t>
  </si>
  <si>
    <t>083079</t>
  </si>
  <si>
    <t>San Marco d'Alunzio</t>
  </si>
  <si>
    <t xml:space="preserve">San Marco dei Cavoti (BN) </t>
  </si>
  <si>
    <t>062064</t>
  </si>
  <si>
    <t>San Marco dei Cavoti</t>
  </si>
  <si>
    <t xml:space="preserve">San Marco Evangelista (CE) </t>
  </si>
  <si>
    <t>061104</t>
  </si>
  <si>
    <t>San Marco Evangelista</t>
  </si>
  <si>
    <t xml:space="preserve">San Marco in Lamis (FG) </t>
  </si>
  <si>
    <t>071047</t>
  </si>
  <si>
    <t>San Marco in Lamis</t>
  </si>
  <si>
    <t xml:space="preserve">San Marco la Catola (FG) </t>
  </si>
  <si>
    <t>071048</t>
  </si>
  <si>
    <t>San Marco la Catola</t>
  </si>
  <si>
    <t xml:space="preserve">San Martino al Tagliamento (PN) </t>
  </si>
  <si>
    <t>093039</t>
  </si>
  <si>
    <t>San Martino al Tagliamento</t>
  </si>
  <si>
    <t xml:space="preserve">San Martino Alfieri (AT) </t>
  </si>
  <si>
    <t>005099</t>
  </si>
  <si>
    <t>San Martino Alfieri</t>
  </si>
  <si>
    <t xml:space="preserve">San Martino Buon Albergo (VR) </t>
  </si>
  <si>
    <t>023073</t>
  </si>
  <si>
    <t>San Martino Buon Albergo</t>
  </si>
  <si>
    <t xml:space="preserve">San Martino Canavese (TO) </t>
  </si>
  <si>
    <t>001247</t>
  </si>
  <si>
    <t>San Martino Canavese</t>
  </si>
  <si>
    <t xml:space="preserve">San Martino d'Agri (PZ) </t>
  </si>
  <si>
    <t>076077</t>
  </si>
  <si>
    <t>San Martino d'Agri</t>
  </si>
  <si>
    <t xml:space="preserve">San Martino dall'Argine (MN) </t>
  </si>
  <si>
    <t>020059</t>
  </si>
  <si>
    <t>San Martino dall'Argine</t>
  </si>
  <si>
    <t xml:space="preserve">San Martino del Lago (CR) </t>
  </si>
  <si>
    <t>019091</t>
  </si>
  <si>
    <t>San Martino del Lago</t>
  </si>
  <si>
    <t xml:space="preserve">San Martino di Finita (CS) </t>
  </si>
  <si>
    <t>078124</t>
  </si>
  <si>
    <t>San Martino di Finita</t>
  </si>
  <si>
    <t xml:space="preserve">San Martino di Lupari (PD) </t>
  </si>
  <si>
    <t>028077</t>
  </si>
  <si>
    <t>San Martino di Lupari</t>
  </si>
  <si>
    <t xml:space="preserve">San Martino di Venezze (RO) </t>
  </si>
  <si>
    <t>029044</t>
  </si>
  <si>
    <t>San Martino di Venezze</t>
  </si>
  <si>
    <t>021082</t>
  </si>
  <si>
    <t>021083</t>
  </si>
  <si>
    <t xml:space="preserve">San Martino in Pensilis (CB) </t>
  </si>
  <si>
    <t>070069</t>
  </si>
  <si>
    <t>San Martino in Pensilis</t>
  </si>
  <si>
    <t xml:space="preserve">San Martino in Rio (RE) </t>
  </si>
  <si>
    <t>035037</t>
  </si>
  <si>
    <t>San Martino in Rio</t>
  </si>
  <si>
    <t xml:space="preserve">San Martino in Strada (LO) </t>
  </si>
  <si>
    <t>098048</t>
  </si>
  <si>
    <t>San Martino in Strada</t>
  </si>
  <si>
    <t xml:space="preserve">San Martino Sannita (BN) </t>
  </si>
  <si>
    <t>062065</t>
  </si>
  <si>
    <t>San Martino Sannita</t>
  </si>
  <si>
    <t xml:space="preserve">San Martino Siccomario (PV) </t>
  </si>
  <si>
    <t>018137</t>
  </si>
  <si>
    <t>San Martino Siccomario</t>
  </si>
  <si>
    <t xml:space="preserve">San Martino sulla Marrucina (CH) </t>
  </si>
  <si>
    <t>069082</t>
  </si>
  <si>
    <t>San Martino sulla Marrucina</t>
  </si>
  <si>
    <t xml:space="preserve">San Martino Valle Caudina (AV) </t>
  </si>
  <si>
    <t>064083</t>
  </si>
  <si>
    <t>San Martino Valle Caudina</t>
  </si>
  <si>
    <t xml:space="preserve">San Marzano di San Giuseppe (TA) </t>
  </si>
  <si>
    <t>073025</t>
  </si>
  <si>
    <t>San Marzano di San Giuseppe</t>
  </si>
  <si>
    <t xml:space="preserve">San Marzano Oliveto (AT) </t>
  </si>
  <si>
    <t>005100</t>
  </si>
  <si>
    <t>San Marzano Oliveto</t>
  </si>
  <si>
    <t xml:space="preserve">San Marzano sul Sarno (SA) </t>
  </si>
  <si>
    <t>065122</t>
  </si>
  <si>
    <t>San Marzano sul Sarno</t>
  </si>
  <si>
    <t xml:space="preserve">San Massimo (CB) </t>
  </si>
  <si>
    <t>070070</t>
  </si>
  <si>
    <t>San Massimo</t>
  </si>
  <si>
    <t xml:space="preserve">San Maurizio Canavese (TO) </t>
  </si>
  <si>
    <t>001248</t>
  </si>
  <si>
    <t>San Maurizio Canavese</t>
  </si>
  <si>
    <t xml:space="preserve">San Maurizio d'Opaglio (NO) </t>
  </si>
  <si>
    <t>003133</t>
  </si>
  <si>
    <t>San Maurizio d'Opaglio</t>
  </si>
  <si>
    <t xml:space="preserve">San Mauro Castelverde (PA) </t>
  </si>
  <si>
    <t>082065</t>
  </si>
  <si>
    <t>San Mauro Castelverde</t>
  </si>
  <si>
    <t xml:space="preserve">San Mauro Cilento (SA) </t>
  </si>
  <si>
    <t>065123</t>
  </si>
  <si>
    <t>San Mauro Cilento</t>
  </si>
  <si>
    <t xml:space="preserve">San Mauro di Saline (VR) </t>
  </si>
  <si>
    <t>023074</t>
  </si>
  <si>
    <t>San Mauro di Saline</t>
  </si>
  <si>
    <t xml:space="preserve">San Mauro Forte (MT) </t>
  </si>
  <si>
    <t>077026</t>
  </si>
  <si>
    <t>San Mauro Forte</t>
  </si>
  <si>
    <t xml:space="preserve">San Mauro la Bruca (SA) </t>
  </si>
  <si>
    <t>065124</t>
  </si>
  <si>
    <t>San Mauro la Bruca</t>
  </si>
  <si>
    <t xml:space="preserve">San Mauro Marchesato (KR) </t>
  </si>
  <si>
    <t>San Mauro Marchesato</t>
  </si>
  <si>
    <t xml:space="preserve">San Mauro Pascoli (FC) </t>
  </si>
  <si>
    <t>040041</t>
  </si>
  <si>
    <t>San Mauro Pascoli</t>
  </si>
  <si>
    <t xml:space="preserve">San Mauro Torinese (TO) </t>
  </si>
  <si>
    <t>001249</t>
  </si>
  <si>
    <t>San Mauro Torinese</t>
  </si>
  <si>
    <t xml:space="preserve">San Michele al Tagliamento (VE) </t>
  </si>
  <si>
    <t>027034</t>
  </si>
  <si>
    <t>San Michele al Tagliamento</t>
  </si>
  <si>
    <t xml:space="preserve">San Michele all'Adige (TN) </t>
  </si>
  <si>
    <t>022167</t>
  </si>
  <si>
    <t>San Michele all'Adige</t>
  </si>
  <si>
    <t xml:space="preserve">San Michele di Ganzaria (CT) </t>
  </si>
  <si>
    <t>087043</t>
  </si>
  <si>
    <t>San Michele di Ganzaria</t>
  </si>
  <si>
    <t xml:space="preserve">San Michele di Serino (AV) </t>
  </si>
  <si>
    <t>064084</t>
  </si>
  <si>
    <t>San Michele di Serino</t>
  </si>
  <si>
    <t xml:space="preserve">San Michele Mondovì (CN) </t>
  </si>
  <si>
    <t>004210</t>
  </si>
  <si>
    <t>San Michele Mondovì</t>
  </si>
  <si>
    <t xml:space="preserve">San Michele Salentino (BR) </t>
  </si>
  <si>
    <t>074014</t>
  </si>
  <si>
    <t>San Michele Salentino</t>
  </si>
  <si>
    <t xml:space="preserve">San Miniato (PI) </t>
  </si>
  <si>
    <t>050032</t>
  </si>
  <si>
    <t>San Miniato</t>
  </si>
  <si>
    <t xml:space="preserve">San Nazzaro (BN) </t>
  </si>
  <si>
    <t>062066</t>
  </si>
  <si>
    <t>San Nazzaro</t>
  </si>
  <si>
    <t xml:space="preserve">San Nazzaro Sesia (NO) </t>
  </si>
  <si>
    <t>003134</t>
  </si>
  <si>
    <t>San Nazzaro Sesia</t>
  </si>
  <si>
    <t xml:space="preserve">San Nazzaro Val Cavargna (CO) </t>
  </si>
  <si>
    <t>013207</t>
  </si>
  <si>
    <t>San Nazzaro Val Cavargna</t>
  </si>
  <si>
    <t xml:space="preserve">San Nicandro Garganico (FG) </t>
  </si>
  <si>
    <t>071049</t>
  </si>
  <si>
    <t>San Nicandro Garganico</t>
  </si>
  <si>
    <t xml:space="preserve">San Nicola Arcella (CS) </t>
  </si>
  <si>
    <t>078125</t>
  </si>
  <si>
    <t>San Nicola Arcella</t>
  </si>
  <si>
    <t xml:space="preserve">San Nicola Baronia (AV) </t>
  </si>
  <si>
    <t>064085</t>
  </si>
  <si>
    <t>San Nicola Baronia</t>
  </si>
  <si>
    <t xml:space="preserve">San Nicola da Crissa (VV) </t>
  </si>
  <si>
    <t>San Nicola da Crissa</t>
  </si>
  <si>
    <t xml:space="preserve">San Nicola dell'Alto (KR) </t>
  </si>
  <si>
    <t>San Nicola dell'Alto</t>
  </si>
  <si>
    <t xml:space="preserve">San Nicola la Strada (CE) </t>
  </si>
  <si>
    <t>061078</t>
  </si>
  <si>
    <t>San Nicola la Strada</t>
  </si>
  <si>
    <t xml:space="preserve">San Nicola Manfredi (BN) </t>
  </si>
  <si>
    <t>062067</t>
  </si>
  <si>
    <t>San Nicola Manfredi</t>
  </si>
  <si>
    <t xml:space="preserve">San Nicolò d'Arcidano (OR) </t>
  </si>
  <si>
    <t>San Nicolò d'Arcidano</t>
  </si>
  <si>
    <t xml:space="preserve">San Nicolò di Comelico (BL) </t>
  </si>
  <si>
    <t>025046</t>
  </si>
  <si>
    <t>San Nicolò di Comelico</t>
  </si>
  <si>
    <t>San Nicolò Gerrei</t>
  </si>
  <si>
    <t>021084</t>
  </si>
  <si>
    <t xml:space="preserve">San Pancrazio Salentino (BR) </t>
  </si>
  <si>
    <t>074015</t>
  </si>
  <si>
    <t>San Pancrazio Salentino</t>
  </si>
  <si>
    <t xml:space="preserve">San Paolo (BS) </t>
  </si>
  <si>
    <t>017138</t>
  </si>
  <si>
    <t>San Paolo</t>
  </si>
  <si>
    <t xml:space="preserve">San Paolo Albanese (PZ) </t>
  </si>
  <si>
    <t>076020</t>
  </si>
  <si>
    <t>San Paolo Albanese</t>
  </si>
  <si>
    <t xml:space="preserve">San Paolo Bel Sito (NA) </t>
  </si>
  <si>
    <t>063069</t>
  </si>
  <si>
    <t>San Paolo Bel Sito</t>
  </si>
  <si>
    <t xml:space="preserve">San Paolo d'Argon (BG) </t>
  </si>
  <si>
    <t>016189</t>
  </si>
  <si>
    <t>San Paolo d'Argon</t>
  </si>
  <si>
    <t xml:space="preserve">San Paolo di Civitate (FG) </t>
  </si>
  <si>
    <t>071050</t>
  </si>
  <si>
    <t>San Paolo di Civitate</t>
  </si>
  <si>
    <t xml:space="preserve">San Paolo di Jesi (AN) </t>
  </si>
  <si>
    <t>042042</t>
  </si>
  <si>
    <t>San Paolo di Jesi</t>
  </si>
  <si>
    <t xml:space="preserve">San Paolo Solbrito (AT) </t>
  </si>
  <si>
    <t>005101</t>
  </si>
  <si>
    <t>San Paolo Solbrito</t>
  </si>
  <si>
    <t xml:space="preserve">San Pellegrino Terme (BG) </t>
  </si>
  <si>
    <t>016190</t>
  </si>
  <si>
    <t>San Pellegrino Terme</t>
  </si>
  <si>
    <t xml:space="preserve">San Pier d'Isonzo (GO) </t>
  </si>
  <si>
    <t>031021</t>
  </si>
  <si>
    <t>San Pier d'Isonzo</t>
  </si>
  <si>
    <t xml:space="preserve">San Pier Niceto (ME) </t>
  </si>
  <si>
    <t>083080</t>
  </si>
  <si>
    <t>San Pier Niceto</t>
  </si>
  <si>
    <t xml:space="preserve">San Piero Patti (ME) </t>
  </si>
  <si>
    <t>083081</t>
  </si>
  <si>
    <t>San Piero Patti</t>
  </si>
  <si>
    <t xml:space="preserve">San Pietro a Maida (CZ) </t>
  </si>
  <si>
    <t>079114</t>
  </si>
  <si>
    <t>San Pietro a Maida</t>
  </si>
  <si>
    <t xml:space="preserve">San Pietro al Natisone (UD) </t>
  </si>
  <si>
    <t>030103</t>
  </si>
  <si>
    <t>San Pietro al Natisone</t>
  </si>
  <si>
    <t xml:space="preserve">San Pietro al Tanagro (SA) </t>
  </si>
  <si>
    <t>065125</t>
  </si>
  <si>
    <t>San Pietro al Tanagro</t>
  </si>
  <si>
    <t xml:space="preserve">San Pietro Apostolo (CZ) </t>
  </si>
  <si>
    <t>079115</t>
  </si>
  <si>
    <t>San Pietro Apostolo</t>
  </si>
  <si>
    <t xml:space="preserve">San Pietro Avellana (IS) </t>
  </si>
  <si>
    <t>094043</t>
  </si>
  <si>
    <t>San Pietro Avellana</t>
  </si>
  <si>
    <t xml:space="preserve">San Pietro Clarenza (CT) </t>
  </si>
  <si>
    <t>087044</t>
  </si>
  <si>
    <t>San Pietro Clarenza</t>
  </si>
  <si>
    <t xml:space="preserve">San Pietro di Cadore (BL) </t>
  </si>
  <si>
    <t>025047</t>
  </si>
  <si>
    <t>San Pietro di Cadore</t>
  </si>
  <si>
    <t xml:space="preserve">San Pietro di Caridà (RC) </t>
  </si>
  <si>
    <t>080075</t>
  </si>
  <si>
    <t>San Pietro di Caridà</t>
  </si>
  <si>
    <t xml:space="preserve">San Pietro di Feletto (TV) </t>
  </si>
  <si>
    <t>026073</t>
  </si>
  <si>
    <t>San Pietro di Feletto</t>
  </si>
  <si>
    <t xml:space="preserve">San Pietro di Morubio (VR) </t>
  </si>
  <si>
    <t>023075</t>
  </si>
  <si>
    <t>San Pietro di Morubio</t>
  </si>
  <si>
    <t xml:space="preserve">San Pietro in Amantea (CS) </t>
  </si>
  <si>
    <t>078126</t>
  </si>
  <si>
    <t>San Pietro in Amantea</t>
  </si>
  <si>
    <t xml:space="preserve">San Pietro in Cariano (VR) </t>
  </si>
  <si>
    <t>023076</t>
  </si>
  <si>
    <t>San Pietro in Cariano</t>
  </si>
  <si>
    <t xml:space="preserve">San Pietro in Casale (BO) </t>
  </si>
  <si>
    <t>037055</t>
  </si>
  <si>
    <t>San Pietro in Casale</t>
  </si>
  <si>
    <t xml:space="preserve">San Pietro in Cerro (PC) </t>
  </si>
  <si>
    <t>033041</t>
  </si>
  <si>
    <t>San Pietro in Cerro</t>
  </si>
  <si>
    <t xml:space="preserve">San Pietro in Gu (PD) </t>
  </si>
  <si>
    <t>028078</t>
  </si>
  <si>
    <t>San Pietro in Gu</t>
  </si>
  <si>
    <t xml:space="preserve">San Pietro in Guarano (CS) </t>
  </si>
  <si>
    <t>078127</t>
  </si>
  <si>
    <t>San Pietro in Guarano</t>
  </si>
  <si>
    <t xml:space="preserve">San Pietro in Lama (LE) </t>
  </si>
  <si>
    <t>075071</t>
  </si>
  <si>
    <t>San Pietro in Lama</t>
  </si>
  <si>
    <t xml:space="preserve">San Pietro Infine (CE) </t>
  </si>
  <si>
    <t>061079</t>
  </si>
  <si>
    <t>San Pietro Infine</t>
  </si>
  <si>
    <t xml:space="preserve">San Pietro Mosezzo (NO) </t>
  </si>
  <si>
    <t>003135</t>
  </si>
  <si>
    <t>San Pietro Mosezzo</t>
  </si>
  <si>
    <t xml:space="preserve">San Pietro Mussolino (VI) </t>
  </si>
  <si>
    <t>024094</t>
  </si>
  <si>
    <t>San Pietro Mussolino</t>
  </si>
  <si>
    <t xml:space="preserve">San Pietro Val Lemina (TO) </t>
  </si>
  <si>
    <t>001250</t>
  </si>
  <si>
    <t>San Pietro Val Lemina</t>
  </si>
  <si>
    <t xml:space="preserve">San Pietro Vernotico (BR) </t>
  </si>
  <si>
    <t>074016</t>
  </si>
  <si>
    <t>San Pietro Vernotico</t>
  </si>
  <si>
    <t xml:space="preserve">San Pietro Viminario (PD) </t>
  </si>
  <si>
    <t>028079</t>
  </si>
  <si>
    <t>San Pietro Viminario</t>
  </si>
  <si>
    <t xml:space="preserve">San Pio delle Camere (AQ) </t>
  </si>
  <si>
    <t>066088</t>
  </si>
  <si>
    <t>San Pio delle Camere</t>
  </si>
  <si>
    <t xml:space="preserve">San Polo dei Cavalieri (RM) </t>
  </si>
  <si>
    <t>058096</t>
  </si>
  <si>
    <t>San Polo dei Cavalieri</t>
  </si>
  <si>
    <t xml:space="preserve">San Polo d'Enza (RE) </t>
  </si>
  <si>
    <t>035038</t>
  </si>
  <si>
    <t>San Polo d'Enza</t>
  </si>
  <si>
    <t xml:space="preserve">San Polo di Piave (TV) </t>
  </si>
  <si>
    <t>026074</t>
  </si>
  <si>
    <t>San Polo di Piave</t>
  </si>
  <si>
    <t xml:space="preserve">San Polo Matese (CB) </t>
  </si>
  <si>
    <t>070071</t>
  </si>
  <si>
    <t>San Polo Matese</t>
  </si>
  <si>
    <t xml:space="preserve">San Ponso (TO) </t>
  </si>
  <si>
    <t>001251</t>
  </si>
  <si>
    <t>San Ponso</t>
  </si>
  <si>
    <t xml:space="preserve">San Possidonio (MO) </t>
  </si>
  <si>
    <t>036038</t>
  </si>
  <si>
    <t>San Possidonio</t>
  </si>
  <si>
    <t xml:space="preserve">San Potito Sannitico (CE) </t>
  </si>
  <si>
    <t>061080</t>
  </si>
  <si>
    <t>San Potito Sannitico</t>
  </si>
  <si>
    <t xml:space="preserve">San Potito Ultra (AV) </t>
  </si>
  <si>
    <t>064086</t>
  </si>
  <si>
    <t>San Potito Ultra</t>
  </si>
  <si>
    <t xml:space="preserve">San Prisco (CE) </t>
  </si>
  <si>
    <t>061081</t>
  </si>
  <si>
    <t>San Prisco</t>
  </si>
  <si>
    <t xml:space="preserve">San Procopio (RC) </t>
  </si>
  <si>
    <t>080076</t>
  </si>
  <si>
    <t>San Procopio</t>
  </si>
  <si>
    <t xml:space="preserve">San Prospero (MO) </t>
  </si>
  <si>
    <t>036039</t>
  </si>
  <si>
    <t>San Prospero</t>
  </si>
  <si>
    <t xml:space="preserve">San Quirico d'Orcia (SI) </t>
  </si>
  <si>
    <t>052030</t>
  </si>
  <si>
    <t>San Quirico d'Orcia</t>
  </si>
  <si>
    <t xml:space="preserve">San Quirino (PN) </t>
  </si>
  <si>
    <t>093040</t>
  </si>
  <si>
    <t>San Quirino</t>
  </si>
  <si>
    <t xml:space="preserve">San Raffaele Cimena (TO) </t>
  </si>
  <si>
    <t>001252</t>
  </si>
  <si>
    <t>San Raffaele Cimena</t>
  </si>
  <si>
    <t xml:space="preserve">San Roberto (RC) </t>
  </si>
  <si>
    <t>080077</t>
  </si>
  <si>
    <t>San Roberto</t>
  </si>
  <si>
    <t xml:space="preserve">San Rocco al Porto (LO) </t>
  </si>
  <si>
    <t>098049</t>
  </si>
  <si>
    <t>San Rocco al Porto</t>
  </si>
  <si>
    <t xml:space="preserve">San Romano in Garfagnana (LU) </t>
  </si>
  <si>
    <t>046027</t>
  </si>
  <si>
    <t>San Romano in Garfagnana</t>
  </si>
  <si>
    <t xml:space="preserve">San Rufo (SA) </t>
  </si>
  <si>
    <t>065126</t>
  </si>
  <si>
    <t>San Rufo</t>
  </si>
  <si>
    <t xml:space="preserve">San Salvatore di Fitalia (ME) </t>
  </si>
  <si>
    <t>083082</t>
  </si>
  <si>
    <t>San Salvatore di Fitalia</t>
  </si>
  <si>
    <t xml:space="preserve">San Salvatore Monferrato (AL) </t>
  </si>
  <si>
    <t>006154</t>
  </si>
  <si>
    <t>San Salvatore Monferrato</t>
  </si>
  <si>
    <t xml:space="preserve">San Salvatore Telesino (BN) </t>
  </si>
  <si>
    <t>062068</t>
  </si>
  <si>
    <t>San Salvatore Telesino</t>
  </si>
  <si>
    <t xml:space="preserve">San Salvo (CH) </t>
  </si>
  <si>
    <t>069083</t>
  </si>
  <si>
    <t>San Salvo</t>
  </si>
  <si>
    <t xml:space="preserve">San Sebastiano al Vesuvio (NA) </t>
  </si>
  <si>
    <t>063070</t>
  </si>
  <si>
    <t>San Sebastiano al Vesuvio</t>
  </si>
  <si>
    <t xml:space="preserve">San Sebastiano Curone (AL) </t>
  </si>
  <si>
    <t>006155</t>
  </si>
  <si>
    <t>San Sebastiano Curone</t>
  </si>
  <si>
    <t xml:space="preserve">San Sebastiano da Po (TO) </t>
  </si>
  <si>
    <t>001253</t>
  </si>
  <si>
    <t>San Sebastiano da Po</t>
  </si>
  <si>
    <t xml:space="preserve">San Secondo di Pinerolo (TO) </t>
  </si>
  <si>
    <t>001254</t>
  </si>
  <si>
    <t>San Secondo di Pinerolo</t>
  </si>
  <si>
    <t xml:space="preserve">San Secondo Parmense (PR) </t>
  </si>
  <si>
    <t>034033</t>
  </si>
  <si>
    <t>San Secondo Parmense</t>
  </si>
  <si>
    <t xml:space="preserve">San Severino Lucano (PZ) </t>
  </si>
  <si>
    <t>076078</t>
  </si>
  <si>
    <t>San Severino Lucano</t>
  </si>
  <si>
    <t xml:space="preserve">San Severino Marche (MC) </t>
  </si>
  <si>
    <t>043047</t>
  </si>
  <si>
    <t>San Severino Marche</t>
  </si>
  <si>
    <t xml:space="preserve">San Severo (FG) </t>
  </si>
  <si>
    <t>071051</t>
  </si>
  <si>
    <t>San Severo</t>
  </si>
  <si>
    <t xml:space="preserve">San Siro (CO) </t>
  </si>
  <si>
    <t>013248</t>
  </si>
  <si>
    <t>San Siro</t>
  </si>
  <si>
    <t xml:space="preserve">San Sossio Baronia (AV) </t>
  </si>
  <si>
    <t>064087</t>
  </si>
  <si>
    <t>San Sossio Baronia</t>
  </si>
  <si>
    <t xml:space="preserve">San Sostene (CZ) </t>
  </si>
  <si>
    <t>079116</t>
  </si>
  <si>
    <t>San Sostene</t>
  </si>
  <si>
    <t xml:space="preserve">San Sosti (CS) </t>
  </si>
  <si>
    <t>078128</t>
  </si>
  <si>
    <t>San Sosti</t>
  </si>
  <si>
    <t>San Sperate</t>
  </si>
  <si>
    <t>027036</t>
  </si>
  <si>
    <t xml:space="preserve">San Tammaro (CE) </t>
  </si>
  <si>
    <t>061085</t>
  </si>
  <si>
    <t>San Tammaro</t>
  </si>
  <si>
    <t xml:space="preserve">San Teodoro (ME) </t>
  </si>
  <si>
    <t>083090</t>
  </si>
  <si>
    <t>San Teodoro</t>
  </si>
  <si>
    <t xml:space="preserve">San Tomaso Agordino (BL) </t>
  </si>
  <si>
    <t>025049</t>
  </si>
  <si>
    <t>San Tomaso Agordino</t>
  </si>
  <si>
    <t xml:space="preserve">San Valentino in Abruzzo Citeriore (PE) </t>
  </si>
  <si>
    <t>068038</t>
  </si>
  <si>
    <t>San Valentino in Abruzzo Citeriore</t>
  </si>
  <si>
    <t xml:space="preserve">San Valentino Torio (SA) </t>
  </si>
  <si>
    <t>065132</t>
  </si>
  <si>
    <t>San Valentino Torio</t>
  </si>
  <si>
    <t xml:space="preserve">San Venanzo (TR) </t>
  </si>
  <si>
    <t>055030</t>
  </si>
  <si>
    <t>San Venanzo</t>
  </si>
  <si>
    <t xml:space="preserve">San Vendemiano (TV) </t>
  </si>
  <si>
    <t>026076</t>
  </si>
  <si>
    <t>San Vendemiano</t>
  </si>
  <si>
    <t xml:space="preserve">San Vero Milis (OR) </t>
  </si>
  <si>
    <t>San Vero Milis</t>
  </si>
  <si>
    <t xml:space="preserve">San Vincenzo (LI) </t>
  </si>
  <si>
    <t>049018</t>
  </si>
  <si>
    <t>San Vincenzo</t>
  </si>
  <si>
    <t xml:space="preserve">San Vincenzo La Costa (CS) </t>
  </si>
  <si>
    <t>078135</t>
  </si>
  <si>
    <t>San Vincenzo La Costa</t>
  </si>
  <si>
    <t xml:space="preserve">San Vincenzo Valle Roveto (AQ) </t>
  </si>
  <si>
    <t>066092</t>
  </si>
  <si>
    <t>San Vincenzo Valle Roveto</t>
  </si>
  <si>
    <t xml:space="preserve">San Vitaliano (NA) </t>
  </si>
  <si>
    <t>063075</t>
  </si>
  <si>
    <t>San Vitaliano</t>
  </si>
  <si>
    <t>San Vito</t>
  </si>
  <si>
    <t xml:space="preserve">San Vito al Tagliamento (PN) </t>
  </si>
  <si>
    <t>093041</t>
  </si>
  <si>
    <t>San Vito al Tagliamento</t>
  </si>
  <si>
    <t xml:space="preserve">San Vito al Torre (UD) </t>
  </si>
  <si>
    <t>030105</t>
  </si>
  <si>
    <t>San Vito al Torre</t>
  </si>
  <si>
    <t xml:space="preserve">San Vito Chietino (CH) </t>
  </si>
  <si>
    <t>069086</t>
  </si>
  <si>
    <t>San Vito Chietino</t>
  </si>
  <si>
    <t xml:space="preserve">San Vito dei Normanni (BR) </t>
  </si>
  <si>
    <t>074017</t>
  </si>
  <si>
    <t>San Vito dei Normanni</t>
  </si>
  <si>
    <t xml:space="preserve">San Vito di Cadore (BL) </t>
  </si>
  <si>
    <t>025051</t>
  </si>
  <si>
    <t>San Vito di Cadore</t>
  </si>
  <si>
    <t xml:space="preserve">San Vito di Fagagna (UD) </t>
  </si>
  <si>
    <t>030106</t>
  </si>
  <si>
    <t>San Vito di Fagagna</t>
  </si>
  <si>
    <t xml:space="preserve">San Vito di Leguzzano (VI) </t>
  </si>
  <si>
    <t>024096</t>
  </si>
  <si>
    <t>San Vito di Leguzzano</t>
  </si>
  <si>
    <t xml:space="preserve">San Vito Lo Capo (TP) </t>
  </si>
  <si>
    <t>081020</t>
  </si>
  <si>
    <t>San Vito Lo Capo</t>
  </si>
  <si>
    <t xml:space="preserve">San Vito Romano (RM) </t>
  </si>
  <si>
    <t>058100</t>
  </si>
  <si>
    <t>San Vito Romano</t>
  </si>
  <si>
    <t xml:space="preserve">San Vito sullo Ionio (CZ) </t>
  </si>
  <si>
    <t>079122</t>
  </si>
  <si>
    <t>San Vito sullo Ionio</t>
  </si>
  <si>
    <t xml:space="preserve">San Vittore del Lazio (FR) </t>
  </si>
  <si>
    <t>060070</t>
  </si>
  <si>
    <t>San Vittore del Lazio</t>
  </si>
  <si>
    <t xml:space="preserve">San Vittore Olona (MI) </t>
  </si>
  <si>
    <t>015201</t>
  </si>
  <si>
    <t>San Vittore Olona</t>
  </si>
  <si>
    <t xml:space="preserve">San Zeno di Montagna (VR) </t>
  </si>
  <si>
    <t>023079</t>
  </si>
  <si>
    <t>San Zeno di Montagna</t>
  </si>
  <si>
    <t xml:space="preserve">San Zeno Naviglio (BS) </t>
  </si>
  <si>
    <t>017173</t>
  </si>
  <si>
    <t>San Zeno Naviglio</t>
  </si>
  <si>
    <t xml:space="preserve">San Zenone al Lambro (MI) </t>
  </si>
  <si>
    <t>015202</t>
  </si>
  <si>
    <t>San Zenone al Lambro</t>
  </si>
  <si>
    <t xml:space="preserve">San Zenone al Po (PV) </t>
  </si>
  <si>
    <t>018145</t>
  </si>
  <si>
    <t>San Zenone al Po</t>
  </si>
  <si>
    <t xml:space="preserve">San Zenone degli Ezzelini (TV) </t>
  </si>
  <si>
    <t>026077</t>
  </si>
  <si>
    <t>San Zenone degli Ezzelini</t>
  </si>
  <si>
    <t xml:space="preserve">Sanarica (LE) </t>
  </si>
  <si>
    <t>075067</t>
  </si>
  <si>
    <t>Sanarica</t>
  </si>
  <si>
    <t xml:space="preserve">Sandigliano (BI) </t>
  </si>
  <si>
    <t>096059</t>
  </si>
  <si>
    <t>Sandigliano</t>
  </si>
  <si>
    <t xml:space="preserve">Sandrigo (VI) </t>
  </si>
  <si>
    <t>024091</t>
  </si>
  <si>
    <t>Sandrigo</t>
  </si>
  <si>
    <t xml:space="preserve">Sanfrè (CN) </t>
  </si>
  <si>
    <t>004208</t>
  </si>
  <si>
    <t>Sanfrè</t>
  </si>
  <si>
    <t xml:space="preserve">Sanfront (CN) </t>
  </si>
  <si>
    <t>004209</t>
  </si>
  <si>
    <t>Sanfront</t>
  </si>
  <si>
    <t xml:space="preserve">Sangano (TO) </t>
  </si>
  <si>
    <t>001241</t>
  </si>
  <si>
    <t>Sangano</t>
  </si>
  <si>
    <t xml:space="preserve">Sangiano (VA) </t>
  </si>
  <si>
    <t>012141</t>
  </si>
  <si>
    <t>Sangiano</t>
  </si>
  <si>
    <t xml:space="preserve">Sangineto (CS) </t>
  </si>
  <si>
    <t>078117</t>
  </si>
  <si>
    <t>Sangineto</t>
  </si>
  <si>
    <t xml:space="preserve">Sanguinetto (VR) </t>
  </si>
  <si>
    <t>023072</t>
  </si>
  <si>
    <t>Sanguinetto</t>
  </si>
  <si>
    <t>Sanluri</t>
  </si>
  <si>
    <t xml:space="preserve">Sannazzaro de' Burgondi (PV) </t>
  </si>
  <si>
    <t>018138</t>
  </si>
  <si>
    <t>Sannazzaro de' Burgondi</t>
  </si>
  <si>
    <t xml:space="preserve">Sannicandro di Bari (BA) </t>
  </si>
  <si>
    <t>072040</t>
  </si>
  <si>
    <t>Sannicandro di Bari</t>
  </si>
  <si>
    <t xml:space="preserve">Sannicola (LE) </t>
  </si>
  <si>
    <t>075070</t>
  </si>
  <si>
    <t>Sannicola</t>
  </si>
  <si>
    <t xml:space="preserve">Sanremo (IM) </t>
  </si>
  <si>
    <t>008055</t>
  </si>
  <si>
    <t>Sanremo</t>
  </si>
  <si>
    <t xml:space="preserve">Sansepolcro (AR) </t>
  </si>
  <si>
    <t>051034</t>
  </si>
  <si>
    <t>Sansepolcro</t>
  </si>
  <si>
    <t xml:space="preserve">Santa Brigida (BG) </t>
  </si>
  <si>
    <t>016191</t>
  </si>
  <si>
    <t>Santa Brigida</t>
  </si>
  <si>
    <t xml:space="preserve">Santa Caterina Albanese (CS) </t>
  </si>
  <si>
    <t>078129</t>
  </si>
  <si>
    <t>Santa Caterina Albanese</t>
  </si>
  <si>
    <t xml:space="preserve">Santa Caterina dello Ionio (CZ) </t>
  </si>
  <si>
    <t>079117</t>
  </si>
  <si>
    <t>Santa Caterina dello Ionio</t>
  </si>
  <si>
    <t xml:space="preserve">Santa Caterina Villarmosa (CL) </t>
  </si>
  <si>
    <t>085017</t>
  </si>
  <si>
    <t>Santa Caterina Villarmosa</t>
  </si>
  <si>
    <t xml:space="preserve">Santa Cesarea Terme (LE) </t>
  </si>
  <si>
    <t>075072</t>
  </si>
  <si>
    <t>Santa Cesarea Terme</t>
  </si>
  <si>
    <t xml:space="preserve">Santa Cristina d'Aspromonte (RC) </t>
  </si>
  <si>
    <t>080078</t>
  </si>
  <si>
    <t>Santa Cristina d'Aspromonte</t>
  </si>
  <si>
    <t xml:space="preserve">Santa Cristina e Bissone (PV) </t>
  </si>
  <si>
    <t>018139</t>
  </si>
  <si>
    <t>Santa Cristina e Bissone</t>
  </si>
  <si>
    <t xml:space="preserve">Santa Cristina Gela (PA) </t>
  </si>
  <si>
    <t>082066</t>
  </si>
  <si>
    <t>Santa Cristina Gela</t>
  </si>
  <si>
    <t>021085</t>
  </si>
  <si>
    <t xml:space="preserve">Santa Croce Camerina (RG) </t>
  </si>
  <si>
    <t>088010</t>
  </si>
  <si>
    <t>Santa Croce Camerina</t>
  </si>
  <si>
    <t xml:space="preserve">Santa Croce del Sannio (BN) </t>
  </si>
  <si>
    <t>062069</t>
  </si>
  <si>
    <t>Santa Croce del Sannio</t>
  </si>
  <si>
    <t xml:space="preserve">Santa Croce di Magliano (CB) </t>
  </si>
  <si>
    <t>070072</t>
  </si>
  <si>
    <t>Santa Croce di Magliano</t>
  </si>
  <si>
    <t xml:space="preserve">Santa Croce sull'Arno (PI) </t>
  </si>
  <si>
    <t>050033</t>
  </si>
  <si>
    <t>Santa Croce sull'Arno</t>
  </si>
  <si>
    <t xml:space="preserve">Santa Domenica Talao (CS) </t>
  </si>
  <si>
    <t>078130</t>
  </si>
  <si>
    <t>Santa Domenica Talao</t>
  </si>
  <si>
    <t xml:space="preserve">Santa Domenica Vittoria (ME) </t>
  </si>
  <si>
    <t>083083</t>
  </si>
  <si>
    <t>Santa Domenica Vittoria</t>
  </si>
  <si>
    <t xml:space="preserve">Santa Elisabetta (AG) </t>
  </si>
  <si>
    <t>084037</t>
  </si>
  <si>
    <t>Santa Elisabetta</t>
  </si>
  <si>
    <t xml:space="preserve">Santa Fiora (GR) </t>
  </si>
  <si>
    <t>053022</t>
  </si>
  <si>
    <t>Santa Fiora</t>
  </si>
  <si>
    <t xml:space="preserve">Santa Flavia (PA) </t>
  </si>
  <si>
    <t>082067</t>
  </si>
  <si>
    <t>Santa Flavia</t>
  </si>
  <si>
    <t xml:space="preserve">Santa Giuletta (PV) </t>
  </si>
  <si>
    <t>018140</t>
  </si>
  <si>
    <t>Santa Giuletta</t>
  </si>
  <si>
    <t xml:space="preserve">Santa Giusta (OR) </t>
  </si>
  <si>
    <t>Santa Giusta</t>
  </si>
  <si>
    <t xml:space="preserve">Santa Giustina (BL) </t>
  </si>
  <si>
    <t>025048</t>
  </si>
  <si>
    <t>Santa Giustina</t>
  </si>
  <si>
    <t xml:space="preserve">Santa Giustina in Colle (PD) </t>
  </si>
  <si>
    <t>028080</t>
  </si>
  <si>
    <t>Santa Giustina in Colle</t>
  </si>
  <si>
    <t xml:space="preserve">Santa Luce (PI) </t>
  </si>
  <si>
    <t>050034</t>
  </si>
  <si>
    <t>Santa Luce</t>
  </si>
  <si>
    <t xml:space="preserve">Santa Lucia del Mela (ME) </t>
  </si>
  <si>
    <t>083086</t>
  </si>
  <si>
    <t>Santa Lucia del Mela</t>
  </si>
  <si>
    <t xml:space="preserve">Santa Lucia di Piave (TV) </t>
  </si>
  <si>
    <t>026075</t>
  </si>
  <si>
    <t>Santa Lucia di Piave</t>
  </si>
  <si>
    <t xml:space="preserve">Santa Lucia di Serino (AV) </t>
  </si>
  <si>
    <t>064088</t>
  </si>
  <si>
    <t>Santa Lucia di Serino</t>
  </si>
  <si>
    <t xml:space="preserve">Santa Margherita di Belice (AG) </t>
  </si>
  <si>
    <t>084038</t>
  </si>
  <si>
    <t>Santa Margherita di Belice</t>
  </si>
  <si>
    <t xml:space="preserve">Santa Margherita di Staffora (PV) </t>
  </si>
  <si>
    <t>018142</t>
  </si>
  <si>
    <t>Santa Margherita di Staffora</t>
  </si>
  <si>
    <t xml:space="preserve">Santa Margherita Ligure (GE) </t>
  </si>
  <si>
    <t>010054</t>
  </si>
  <si>
    <t>Santa Margherita Ligure</t>
  </si>
  <si>
    <t xml:space="preserve">Santa Maria a Monte (PI) </t>
  </si>
  <si>
    <t>050035</t>
  </si>
  <si>
    <t>Santa Maria a Monte</t>
  </si>
  <si>
    <t xml:space="preserve">Santa Maria a Vico (CE) </t>
  </si>
  <si>
    <t>061082</t>
  </si>
  <si>
    <t>Santa Maria a Vico</t>
  </si>
  <si>
    <t xml:space="preserve">Santa Maria Capua Vetere (CE) </t>
  </si>
  <si>
    <t>061083</t>
  </si>
  <si>
    <t>Santa Maria Capua Vetere</t>
  </si>
  <si>
    <t xml:space="preserve">Santa Maria Coghinas (SS) </t>
  </si>
  <si>
    <t>Santa Maria Coghinas</t>
  </si>
  <si>
    <t xml:space="preserve">Santa Maria del Cedro (CS) </t>
  </si>
  <si>
    <t>078132</t>
  </si>
  <si>
    <t>Santa Maria del Cedro</t>
  </si>
  <si>
    <t xml:space="preserve">Santa Maria del Molise (IS) </t>
  </si>
  <si>
    <t>094045</t>
  </si>
  <si>
    <t>Santa Maria del Molise</t>
  </si>
  <si>
    <t xml:space="preserve">Santa Maria della Versa (PV) </t>
  </si>
  <si>
    <t>018143</t>
  </si>
  <si>
    <t>Santa Maria della Versa</t>
  </si>
  <si>
    <t xml:space="preserve">Santa Maria di Licodia (CT) </t>
  </si>
  <si>
    <t>087047</t>
  </si>
  <si>
    <t>Santa Maria di Licodia</t>
  </si>
  <si>
    <t xml:space="preserve">Santa Maria di Sala (VE) </t>
  </si>
  <si>
    <t>027035</t>
  </si>
  <si>
    <t>Santa Maria di Sala</t>
  </si>
  <si>
    <t xml:space="preserve">Santa Maria Hoè (LC) </t>
  </si>
  <si>
    <t>097074</t>
  </si>
  <si>
    <t>Santa Maria Hoè</t>
  </si>
  <si>
    <t xml:space="preserve">Santa Maria Imbaro (CH) </t>
  </si>
  <si>
    <t>069084</t>
  </si>
  <si>
    <t>Santa Maria Imbaro</t>
  </si>
  <si>
    <t xml:space="preserve">Santa Maria la Carità (NA) </t>
  </si>
  <si>
    <t>063090</t>
  </si>
  <si>
    <t>Santa Maria la Carità</t>
  </si>
  <si>
    <t xml:space="preserve">Santa Maria la Fossa (CE) </t>
  </si>
  <si>
    <t>061084</t>
  </si>
  <si>
    <t>Santa Maria la Fossa</t>
  </si>
  <si>
    <t xml:space="preserve">Santa Maria la Longa (UD) </t>
  </si>
  <si>
    <t>030104</t>
  </si>
  <si>
    <t>Santa Maria la Longa</t>
  </si>
  <si>
    <t xml:space="preserve">Santa Maria Maggiore (VB) </t>
  </si>
  <si>
    <t>Santa Maria Maggiore</t>
  </si>
  <si>
    <t xml:space="preserve">Santa Maria Nuova (AN) </t>
  </si>
  <si>
    <t>042043</t>
  </si>
  <si>
    <t>Santa Maria Nuova</t>
  </si>
  <si>
    <t xml:space="preserve">Santa Marina (SA) </t>
  </si>
  <si>
    <t>065127</t>
  </si>
  <si>
    <t>Santa Marina</t>
  </si>
  <si>
    <t xml:space="preserve">Santa Marina Salina (ME) </t>
  </si>
  <si>
    <t>083087</t>
  </si>
  <si>
    <t>Santa Marina Salina</t>
  </si>
  <si>
    <t xml:space="preserve">Santa Marinella (RM) </t>
  </si>
  <si>
    <t>058097</t>
  </si>
  <si>
    <t>Santa Marinella</t>
  </si>
  <si>
    <t xml:space="preserve">Santa Ninfa (TP) </t>
  </si>
  <si>
    <t>081019</t>
  </si>
  <si>
    <t>Santa Ninfa</t>
  </si>
  <si>
    <t xml:space="preserve">Santa Paolina (AV) </t>
  </si>
  <si>
    <t>064093</t>
  </si>
  <si>
    <t>Santa Paolina</t>
  </si>
  <si>
    <t xml:space="preserve">Santa Severina (KR) </t>
  </si>
  <si>
    <t>Santa Severina</t>
  </si>
  <si>
    <t xml:space="preserve">Santa Sofia (FC) </t>
  </si>
  <si>
    <t>040043</t>
  </si>
  <si>
    <t>Santa Sofia</t>
  </si>
  <si>
    <t xml:space="preserve">Santa Sofia d'Epiro (CS) </t>
  </si>
  <si>
    <t>078133</t>
  </si>
  <si>
    <t>Santa Sofia d'Epiro</t>
  </si>
  <si>
    <t xml:space="preserve">Santa Teresa di Riva (ME) </t>
  </si>
  <si>
    <t>083089</t>
  </si>
  <si>
    <t>Santa Teresa di Riva</t>
  </si>
  <si>
    <t>Santa Teresa Gallura</t>
  </si>
  <si>
    <t xml:space="preserve">Santa Venerina (CT) </t>
  </si>
  <si>
    <t>087048</t>
  </si>
  <si>
    <t>Santa Venerina</t>
  </si>
  <si>
    <t xml:space="preserve">Santa Vittoria d'Alba (CN) </t>
  </si>
  <si>
    <t>004212</t>
  </si>
  <si>
    <t>Santa Vittoria d'Alba</t>
  </si>
  <si>
    <t xml:space="preserve">Santa Vittoria in Matenano (FM) </t>
  </si>
  <si>
    <t>Santa Vittoria in Matenano</t>
  </si>
  <si>
    <t>Santadi</t>
  </si>
  <si>
    <t xml:space="preserve">Sant'Agapito (IS) </t>
  </si>
  <si>
    <t>094044</t>
  </si>
  <si>
    <t>Sant'Agapito</t>
  </si>
  <si>
    <t xml:space="preserve">Sant'Agata Bolognese (BO) </t>
  </si>
  <si>
    <t>037056</t>
  </si>
  <si>
    <t>Sant'Agata Bolognese</t>
  </si>
  <si>
    <t xml:space="preserve">Sant'Agata de' Goti (BN) </t>
  </si>
  <si>
    <t>062070</t>
  </si>
  <si>
    <t>Sant'Agata de' Goti</t>
  </si>
  <si>
    <t xml:space="preserve">Sant'Agata del Bianco (RC) </t>
  </si>
  <si>
    <t>080079</t>
  </si>
  <si>
    <t>Sant'Agata del Bianco</t>
  </si>
  <si>
    <t xml:space="preserve">Sant'Agata di Esaro (CS) </t>
  </si>
  <si>
    <t>078131</t>
  </si>
  <si>
    <t>Sant'Agata di Esaro</t>
  </si>
  <si>
    <t xml:space="preserve">Sant'Agata di Militello (ME) </t>
  </si>
  <si>
    <t>083084</t>
  </si>
  <si>
    <t>Sant'Agata di Militello</t>
  </si>
  <si>
    <t xml:space="preserve">Sant'Agata di Puglia (FG) </t>
  </si>
  <si>
    <t>071052</t>
  </si>
  <si>
    <t>Sant'Agata di Puglia</t>
  </si>
  <si>
    <t xml:space="preserve">Sant'Agata Feltria (RN) </t>
  </si>
  <si>
    <t>Sant'Agata Feltria</t>
  </si>
  <si>
    <t xml:space="preserve">Sant'Agata Fossili (AL) </t>
  </si>
  <si>
    <t>006156</t>
  </si>
  <si>
    <t>Sant'Agata Fossili</t>
  </si>
  <si>
    <t xml:space="preserve">Sant'Agata li Battiati (CT) </t>
  </si>
  <si>
    <t>087045</t>
  </si>
  <si>
    <t>Sant'Agata li Battiati</t>
  </si>
  <si>
    <t xml:space="preserve">Sant'Agata sul Santerno (RA) </t>
  </si>
  <si>
    <t>039017</t>
  </si>
  <si>
    <t>Sant'Agata sul Santerno</t>
  </si>
  <si>
    <t xml:space="preserve">Sant'Agnello (NA) </t>
  </si>
  <si>
    <t>063071</t>
  </si>
  <si>
    <t>Sant'Agnello</t>
  </si>
  <si>
    <t xml:space="preserve">Sant'Albano Stura (CN) </t>
  </si>
  <si>
    <t>004211</t>
  </si>
  <si>
    <t>Sant'Albano Stura</t>
  </si>
  <si>
    <t xml:space="preserve">Sant'Alessio con Vialone (PV) </t>
  </si>
  <si>
    <t>018141</t>
  </si>
  <si>
    <t>Sant'Alessio con Vialone</t>
  </si>
  <si>
    <t xml:space="preserve">Sant'Alessio in Aspromonte (RC) </t>
  </si>
  <si>
    <t>080080</t>
  </si>
  <si>
    <t>Sant'Alessio in Aspromonte</t>
  </si>
  <si>
    <t xml:space="preserve">Sant'Alessio Siculo (ME) </t>
  </si>
  <si>
    <t>083085</t>
  </si>
  <si>
    <t>Sant'Alessio Siculo</t>
  </si>
  <si>
    <t xml:space="preserve">Sant'Alfio (CT) </t>
  </si>
  <si>
    <t>087046</t>
  </si>
  <si>
    <t>Sant'Alfio</t>
  </si>
  <si>
    <t xml:space="preserve">Sant'Ambrogio di Torino (TO) </t>
  </si>
  <si>
    <t>001255</t>
  </si>
  <si>
    <t>Sant'Ambrogio di Torino</t>
  </si>
  <si>
    <t xml:space="preserve">Sant'Ambrogio di Valpolicella (VR) </t>
  </si>
  <si>
    <t>023077</t>
  </si>
  <si>
    <t>Sant'Ambrogio di Valpolicella</t>
  </si>
  <si>
    <t xml:space="preserve">Sant'Ambrogio sul Garigliano (FR) </t>
  </si>
  <si>
    <t>060065</t>
  </si>
  <si>
    <t>Sant'Ambrogio sul Garigliano</t>
  </si>
  <si>
    <t xml:space="preserve">Sant'Anastasia (NA) </t>
  </si>
  <si>
    <t>063072</t>
  </si>
  <si>
    <t>Sant'Anastasia</t>
  </si>
  <si>
    <t xml:space="preserve">Sant'Anatolia di Narco (PG) </t>
  </si>
  <si>
    <t>054045</t>
  </si>
  <si>
    <t>Sant'Anatolia di Narco</t>
  </si>
  <si>
    <t xml:space="preserve">Sant'Andrea Apostolo dello Ionio (CZ) </t>
  </si>
  <si>
    <t>079118</t>
  </si>
  <si>
    <t>Sant'Andrea Apostolo dello Ionio</t>
  </si>
  <si>
    <t xml:space="preserve">Sant'Andrea del Garigliano (FR) </t>
  </si>
  <si>
    <t>060066</t>
  </si>
  <si>
    <t>Sant'Andrea del Garigliano</t>
  </si>
  <si>
    <t xml:space="preserve">Sant'Andrea di Conza (AV) </t>
  </si>
  <si>
    <t>064089</t>
  </si>
  <si>
    <t>Sant'Andrea di Conza</t>
  </si>
  <si>
    <t>Sant'Andrea Frius</t>
  </si>
  <si>
    <t xml:space="preserve">Sant'Angelo a Cupolo (BN) </t>
  </si>
  <si>
    <t>062071</t>
  </si>
  <si>
    <t>Sant'Angelo a Cupolo</t>
  </si>
  <si>
    <t xml:space="preserve">Sant'Angelo a Fasanella (SA) </t>
  </si>
  <si>
    <t>065128</t>
  </si>
  <si>
    <t>Sant'Angelo a Fasanella</t>
  </si>
  <si>
    <t xml:space="preserve">Sant'Angelo a Scala (AV) </t>
  </si>
  <si>
    <t>064091</t>
  </si>
  <si>
    <t>Sant'Angelo a Scala</t>
  </si>
  <si>
    <t xml:space="preserve">Sant'Angelo all'Esca (AV) </t>
  </si>
  <si>
    <t>064090</t>
  </si>
  <si>
    <t>Sant'Angelo all'Esca</t>
  </si>
  <si>
    <t xml:space="preserve">Sant'Angelo d'Alife (CE) </t>
  </si>
  <si>
    <t>061086</t>
  </si>
  <si>
    <t>Sant'Angelo d'Alife</t>
  </si>
  <si>
    <t xml:space="preserve">Sant'Angelo dei Lombardi (AV) </t>
  </si>
  <si>
    <t>064092</t>
  </si>
  <si>
    <t>Sant'Angelo dei Lombardi</t>
  </si>
  <si>
    <t xml:space="preserve">Sant'Angelo del Pesco (IS) </t>
  </si>
  <si>
    <t>094046</t>
  </si>
  <si>
    <t>Sant'Angelo del Pesco</t>
  </si>
  <si>
    <t xml:space="preserve">Sant'Angelo di Brolo (ME) </t>
  </si>
  <si>
    <t>083088</t>
  </si>
  <si>
    <t>Sant'Angelo di Brolo</t>
  </si>
  <si>
    <t xml:space="preserve">Sant'Angelo di Piove di Sacco (PD) </t>
  </si>
  <si>
    <t>028082</t>
  </si>
  <si>
    <t>Sant'Angelo di Piove di Sacco</t>
  </si>
  <si>
    <t xml:space="preserve">Sant'Angelo in Pontano (MC) </t>
  </si>
  <si>
    <t>043048</t>
  </si>
  <si>
    <t>Sant'Angelo in Pontano</t>
  </si>
  <si>
    <t xml:space="preserve">Sant'Angelo in Vado (PU) </t>
  </si>
  <si>
    <t>041057</t>
  </si>
  <si>
    <t>Sant'Angelo in Vado</t>
  </si>
  <si>
    <t xml:space="preserve">Sant'Angelo Le Fratte (PZ) </t>
  </si>
  <si>
    <t>076079</t>
  </si>
  <si>
    <t>Sant'Angelo Le Fratte</t>
  </si>
  <si>
    <t xml:space="preserve">Sant'Angelo Limosano (CB) </t>
  </si>
  <si>
    <t>070073</t>
  </si>
  <si>
    <t>Sant'Angelo Limosano</t>
  </si>
  <si>
    <t xml:space="preserve">Sant'Angelo Lodigiano (LO) </t>
  </si>
  <si>
    <t>098050</t>
  </si>
  <si>
    <t>Sant'Angelo Lodigiano</t>
  </si>
  <si>
    <t xml:space="preserve">Sant'Angelo Lomellina (PV) </t>
  </si>
  <si>
    <t>018144</t>
  </si>
  <si>
    <t>Sant'Angelo Lomellina</t>
  </si>
  <si>
    <t xml:space="preserve">Sant'Angelo Muxaro (AG) </t>
  </si>
  <si>
    <t>084039</t>
  </si>
  <si>
    <t>Sant'Angelo Muxaro</t>
  </si>
  <si>
    <t xml:space="preserve">Sant'Angelo Romano (RM) </t>
  </si>
  <si>
    <t>058098</t>
  </si>
  <si>
    <t>Sant'Angelo Romano</t>
  </si>
  <si>
    <t>Sant'Anna Arresi</t>
  </si>
  <si>
    <t xml:space="preserve">Sant'Anna d'Alfaedo (VR) </t>
  </si>
  <si>
    <t>023078</t>
  </si>
  <si>
    <t>Sant'Anna d'Alfaedo</t>
  </si>
  <si>
    <t xml:space="preserve">Sant'Antimo (NA) </t>
  </si>
  <si>
    <t>063073</t>
  </si>
  <si>
    <t>Sant'Antimo</t>
  </si>
  <si>
    <t>Sant'Antioco</t>
  </si>
  <si>
    <t xml:space="preserve">Sant'Antonino di Susa (TO) </t>
  </si>
  <si>
    <t>001256</t>
  </si>
  <si>
    <t>Sant'Antonino di Susa</t>
  </si>
  <si>
    <t xml:space="preserve">Sant'Antonio Abate (NA) </t>
  </si>
  <si>
    <t>063074</t>
  </si>
  <si>
    <t>Sant'Antonio Abate</t>
  </si>
  <si>
    <t>Sant'Antonio di Gallura</t>
  </si>
  <si>
    <t xml:space="preserve">Sant'Apollinare (FR) </t>
  </si>
  <si>
    <t>060067</t>
  </si>
  <si>
    <t>Sant'Apollinare</t>
  </si>
  <si>
    <t xml:space="preserve">Sant'Arcangelo (PZ) </t>
  </si>
  <si>
    <t>076080</t>
  </si>
  <si>
    <t>Sant'Arcangelo</t>
  </si>
  <si>
    <t xml:space="preserve">Santarcangelo di Romagna (RN) </t>
  </si>
  <si>
    <t>099018</t>
  </si>
  <si>
    <t>Santarcangelo di Romagna</t>
  </si>
  <si>
    <t xml:space="preserve">Sant'Arcangelo Trimonte (BN) </t>
  </si>
  <si>
    <t>062078</t>
  </si>
  <si>
    <t>Sant'Arcangelo Trimonte</t>
  </si>
  <si>
    <t xml:space="preserve">Sant'Arpino (CE) </t>
  </si>
  <si>
    <t>061087</t>
  </si>
  <si>
    <t>Sant'Arpino</t>
  </si>
  <si>
    <t xml:space="preserve">Sant'Arsenio (SA) </t>
  </si>
  <si>
    <t>065129</t>
  </si>
  <si>
    <t>Sant'Arsenio</t>
  </si>
  <si>
    <t xml:space="preserve">Sante Marie (AQ) </t>
  </si>
  <si>
    <t>066089</t>
  </si>
  <si>
    <t>Sante Marie</t>
  </si>
  <si>
    <t xml:space="preserve">Sant'Egidio alla Vibrata (TE) </t>
  </si>
  <si>
    <t>067038</t>
  </si>
  <si>
    <t>Sant'Egidio alla Vibrata</t>
  </si>
  <si>
    <t xml:space="preserve">Sant'Egidio del Monte Albino (SA) </t>
  </si>
  <si>
    <t>065130</t>
  </si>
  <si>
    <t>Sant'Egidio del Monte Albino</t>
  </si>
  <si>
    <t xml:space="preserve">Sant'Elena (PD) </t>
  </si>
  <si>
    <t>028083</t>
  </si>
  <si>
    <t>Sant'Elena</t>
  </si>
  <si>
    <t xml:space="preserve">Sant'Elena Sannita (IS) </t>
  </si>
  <si>
    <t>094047</t>
  </si>
  <si>
    <t>Sant'Elena Sannita</t>
  </si>
  <si>
    <t xml:space="preserve">Sant'Elia a Pianisi (CB) </t>
  </si>
  <si>
    <t>070074</t>
  </si>
  <si>
    <t>Sant'Elia a Pianisi</t>
  </si>
  <si>
    <t xml:space="preserve">Sant'Elia Fiumerapido (FR) </t>
  </si>
  <si>
    <t>060068</t>
  </si>
  <si>
    <t>Sant'Elia Fiumerapido</t>
  </si>
  <si>
    <t xml:space="preserve">Sant'Elpidio a Mare (FM) </t>
  </si>
  <si>
    <t>Sant'Elpidio a Mare</t>
  </si>
  <si>
    <t xml:space="preserve">Santena (TO) </t>
  </si>
  <si>
    <t>001257</t>
  </si>
  <si>
    <t>Santena</t>
  </si>
  <si>
    <t xml:space="preserve">Santeramo in Colle (BA) </t>
  </si>
  <si>
    <t>072041</t>
  </si>
  <si>
    <t>Santeramo in Colle</t>
  </si>
  <si>
    <t xml:space="preserve">Sant'Eufemia a Maiella (PE) </t>
  </si>
  <si>
    <t>068037</t>
  </si>
  <si>
    <t>Sant'Eufemia a Maiella</t>
  </si>
  <si>
    <t xml:space="preserve">Sant'Eufemia d'Aspromonte (RC) </t>
  </si>
  <si>
    <t>080081</t>
  </si>
  <si>
    <t>Sant'Eufemia d'Aspromonte</t>
  </si>
  <si>
    <t xml:space="preserve">Sant'Eusanio del Sangro (CH) </t>
  </si>
  <si>
    <t>069085</t>
  </si>
  <si>
    <t>Sant'Eusanio del Sangro</t>
  </si>
  <si>
    <t xml:space="preserve">Sant'Eusanio Forconese (AQ) </t>
  </si>
  <si>
    <t>066090</t>
  </si>
  <si>
    <t>Sant'Eusanio Forconese</t>
  </si>
  <si>
    <t xml:space="preserve">Santhià (VC) </t>
  </si>
  <si>
    <t>002133</t>
  </si>
  <si>
    <t>Santhià</t>
  </si>
  <si>
    <t xml:space="preserve">Santi Cosma e Damiano (LT) </t>
  </si>
  <si>
    <t>059026</t>
  </si>
  <si>
    <t>Santi Cosma e Damiano</t>
  </si>
  <si>
    <t xml:space="preserve">Sant'Ilario dello Ionio (RC) </t>
  </si>
  <si>
    <t>080082</t>
  </si>
  <si>
    <t>Sant'Ilario dello Ionio</t>
  </si>
  <si>
    <t xml:space="preserve">Sant'Ilario d'Enza (RE) </t>
  </si>
  <si>
    <t>035039</t>
  </si>
  <si>
    <t>Sant'Ilario d'Enza</t>
  </si>
  <si>
    <t xml:space="preserve">Sant'Ippolito (PU) </t>
  </si>
  <si>
    <t>041058</t>
  </si>
  <si>
    <t>Sant'Ippolito</t>
  </si>
  <si>
    <t xml:space="preserve">Santo Stefano al Mare (IM) </t>
  </si>
  <si>
    <t>008056</t>
  </si>
  <si>
    <t>Santo Stefano al Mare</t>
  </si>
  <si>
    <t xml:space="preserve">Santo Stefano Belbo (CN) </t>
  </si>
  <si>
    <t>004213</t>
  </si>
  <si>
    <t>Santo Stefano Belbo</t>
  </si>
  <si>
    <t xml:space="preserve">Santo Stefano d'Aveto (GE) </t>
  </si>
  <si>
    <t>010056</t>
  </si>
  <si>
    <t>Santo Stefano d'Aveto</t>
  </si>
  <si>
    <t xml:space="preserve">Santo Stefano del Sole (AV) </t>
  </si>
  <si>
    <t>064095</t>
  </si>
  <si>
    <t>Santo Stefano del Sole</t>
  </si>
  <si>
    <t xml:space="preserve">Santo Stefano di Cadore (BL) </t>
  </si>
  <si>
    <t>025050</t>
  </si>
  <si>
    <t>Santo Stefano di Cadore</t>
  </si>
  <si>
    <t xml:space="preserve">Santo Stefano di Camastra (ME) </t>
  </si>
  <si>
    <t>083091</t>
  </si>
  <si>
    <t>Santo Stefano di Camastra</t>
  </si>
  <si>
    <t xml:space="preserve">Santo Stefano di Magra (SP) </t>
  </si>
  <si>
    <t>011026</t>
  </si>
  <si>
    <t>Santo Stefano di Magra</t>
  </si>
  <si>
    <t xml:space="preserve">Santo Stefano di Rogliano (CS) </t>
  </si>
  <si>
    <t>078134</t>
  </si>
  <si>
    <t>Santo Stefano di Rogliano</t>
  </si>
  <si>
    <t xml:space="preserve">Santo Stefano di Sessanio (AQ) </t>
  </si>
  <si>
    <t>066091</t>
  </si>
  <si>
    <t>Santo Stefano di Sessanio</t>
  </si>
  <si>
    <t xml:space="preserve">Santo Stefano in Aspromonte (RC) </t>
  </si>
  <si>
    <t>080083</t>
  </si>
  <si>
    <t>Santo Stefano in Aspromonte</t>
  </si>
  <si>
    <t xml:space="preserve">Santo Stefano Lodigiano (LO) </t>
  </si>
  <si>
    <t>098051</t>
  </si>
  <si>
    <t>Santo Stefano Lodigiano</t>
  </si>
  <si>
    <t xml:space="preserve">Santo Stefano Quisquina (AG) </t>
  </si>
  <si>
    <t>084040</t>
  </si>
  <si>
    <t>Santo Stefano Quisquina</t>
  </si>
  <si>
    <t xml:space="preserve">Santo Stefano Roero (CN) </t>
  </si>
  <si>
    <t>004214</t>
  </si>
  <si>
    <t>Santo Stefano Roero</t>
  </si>
  <si>
    <t xml:space="preserve">Santo Stefano Ticino (MI) </t>
  </si>
  <si>
    <t>015200</t>
  </si>
  <si>
    <t>Santo Stefano Ticino</t>
  </si>
  <si>
    <t xml:space="preserve">Sant'Olcese (GE) </t>
  </si>
  <si>
    <t>010055</t>
  </si>
  <si>
    <t>Sant'Olcese</t>
  </si>
  <si>
    <t xml:space="preserve">Santomenna (SA) </t>
  </si>
  <si>
    <t>065131</t>
  </si>
  <si>
    <t>Santomenna</t>
  </si>
  <si>
    <t xml:space="preserve">Sant'Omero (TE) </t>
  </si>
  <si>
    <t>067039</t>
  </si>
  <si>
    <t>Sant'Omero</t>
  </si>
  <si>
    <t xml:space="preserve">Sant'Omobono Terme (BG) </t>
  </si>
  <si>
    <t>Sant'Omobono Terme</t>
  </si>
  <si>
    <t xml:space="preserve">Sant'Onofrio (VV) </t>
  </si>
  <si>
    <t>Sant'Onofrio</t>
  </si>
  <si>
    <t xml:space="preserve">Santopadre (FR) </t>
  </si>
  <si>
    <t>060069</t>
  </si>
  <si>
    <t>Santopadre</t>
  </si>
  <si>
    <t xml:space="preserve">Sant'Oreste (RM) </t>
  </si>
  <si>
    <t>058099</t>
  </si>
  <si>
    <t>Sant'Oreste</t>
  </si>
  <si>
    <t xml:space="preserve">Santorso (VI) </t>
  </si>
  <si>
    <t>024095</t>
  </si>
  <si>
    <t>Santorso</t>
  </si>
  <si>
    <t xml:space="preserve">Sant'Orsola Terme (TN) </t>
  </si>
  <si>
    <t>022168</t>
  </si>
  <si>
    <t>Sant'Orsola Terme</t>
  </si>
  <si>
    <t xml:space="preserve">Santu Lussurgiu (OR) </t>
  </si>
  <si>
    <t>Santu Lussurgiu</t>
  </si>
  <si>
    <t xml:space="preserve">Sant'Urbano (PD) </t>
  </si>
  <si>
    <t>028084</t>
  </si>
  <si>
    <t>Sant'Urbano</t>
  </si>
  <si>
    <t xml:space="preserve">Sanza (SA) </t>
  </si>
  <si>
    <t>065133</t>
  </si>
  <si>
    <t>Sanza</t>
  </si>
  <si>
    <t xml:space="preserve">Sanzeno (TN) </t>
  </si>
  <si>
    <t>022169</t>
  </si>
  <si>
    <t>Sanzeno</t>
  </si>
  <si>
    <t xml:space="preserve">Saonara (PD) </t>
  </si>
  <si>
    <t>028085</t>
  </si>
  <si>
    <t>Saonara</t>
  </si>
  <si>
    <t xml:space="preserve">Saponara (ME) </t>
  </si>
  <si>
    <t>083092</t>
  </si>
  <si>
    <t>Saponara</t>
  </si>
  <si>
    <t>Sappada</t>
  </si>
  <si>
    <t xml:space="preserve">Sapri (SA) </t>
  </si>
  <si>
    <t>065134</t>
  </si>
  <si>
    <t>Sapri</t>
  </si>
  <si>
    <t xml:space="preserve">Saracena (CS) </t>
  </si>
  <si>
    <t>078136</t>
  </si>
  <si>
    <t>Saracena</t>
  </si>
  <si>
    <t xml:space="preserve">Saracinesco (RM) </t>
  </si>
  <si>
    <t>058101</t>
  </si>
  <si>
    <t>Saracinesco</t>
  </si>
  <si>
    <t xml:space="preserve">Sarcedo (VI) </t>
  </si>
  <si>
    <t>024097</t>
  </si>
  <si>
    <t>Sarcedo</t>
  </si>
  <si>
    <t xml:space="preserve">Sarconi (PZ) </t>
  </si>
  <si>
    <t>076081</t>
  </si>
  <si>
    <t>Sarconi</t>
  </si>
  <si>
    <t>Sardara</t>
  </si>
  <si>
    <t xml:space="preserve">Sardigliano (AL) </t>
  </si>
  <si>
    <t>006157</t>
  </si>
  <si>
    <t>Sardigliano</t>
  </si>
  <si>
    <t xml:space="preserve">Sarego (VI) </t>
  </si>
  <si>
    <t>024098</t>
  </si>
  <si>
    <t>Sarego</t>
  </si>
  <si>
    <t>021086</t>
  </si>
  <si>
    <t xml:space="preserve">Sarezzano (AL) </t>
  </si>
  <si>
    <t>006158</t>
  </si>
  <si>
    <t>Sarezzano</t>
  </si>
  <si>
    <t xml:space="preserve">Sarezzo (BS) </t>
  </si>
  <si>
    <t>017174</t>
  </si>
  <si>
    <t>Sarezzo</t>
  </si>
  <si>
    <t xml:space="preserve">Sarmato (PC) </t>
  </si>
  <si>
    <t>033042</t>
  </si>
  <si>
    <t>Sarmato</t>
  </si>
  <si>
    <t xml:space="preserve">Sarmede (TV) </t>
  </si>
  <si>
    <t>026078</t>
  </si>
  <si>
    <t>Sarmede</t>
  </si>
  <si>
    <t xml:space="preserve">Sarnano (MC) </t>
  </si>
  <si>
    <t>043049</t>
  </si>
  <si>
    <t>Sarnano</t>
  </si>
  <si>
    <t xml:space="preserve">Sarnico (BG) </t>
  </si>
  <si>
    <t>016193</t>
  </si>
  <si>
    <t>Sarnico</t>
  </si>
  <si>
    <t xml:space="preserve">Sarno (SA) </t>
  </si>
  <si>
    <t>065135</t>
  </si>
  <si>
    <t>Sarno</t>
  </si>
  <si>
    <t xml:space="preserve">Sarnonico (TN) </t>
  </si>
  <si>
    <t>022170</t>
  </si>
  <si>
    <t>Sarnonico</t>
  </si>
  <si>
    <t xml:space="preserve">Saronno (VA) </t>
  </si>
  <si>
    <t>012119</t>
  </si>
  <si>
    <t>Saronno</t>
  </si>
  <si>
    <t xml:space="preserve">Sarre (AO) </t>
  </si>
  <si>
    <t>007066</t>
  </si>
  <si>
    <t>Sarre</t>
  </si>
  <si>
    <t xml:space="preserve">Sarroch (CA) </t>
  </si>
  <si>
    <t>Sarroch</t>
  </si>
  <si>
    <t xml:space="preserve">Sarsina (FC) </t>
  </si>
  <si>
    <t>040044</t>
  </si>
  <si>
    <t>Sarsina</t>
  </si>
  <si>
    <t xml:space="preserve">Sarteano (SI) </t>
  </si>
  <si>
    <t>052031</t>
  </si>
  <si>
    <t>Sarteano</t>
  </si>
  <si>
    <t xml:space="preserve">Sartirana Lomellina (PV) </t>
  </si>
  <si>
    <t>018146</t>
  </si>
  <si>
    <t>Sartirana Lomellina</t>
  </si>
  <si>
    <t xml:space="preserve">Sarule (NU) </t>
  </si>
  <si>
    <t>Sarule</t>
  </si>
  <si>
    <t xml:space="preserve">Sarzana (SP) </t>
  </si>
  <si>
    <t>011027</t>
  </si>
  <si>
    <t>Sarzana</t>
  </si>
  <si>
    <t xml:space="preserve">Sassano (SA) </t>
  </si>
  <si>
    <t>065136</t>
  </si>
  <si>
    <t>Sassano</t>
  </si>
  <si>
    <t xml:space="preserve">Sassari (SS) </t>
  </si>
  <si>
    <t>Sassari</t>
  </si>
  <si>
    <t xml:space="preserve">Sassello (SV) </t>
  </si>
  <si>
    <t>009055</t>
  </si>
  <si>
    <t>Sassello</t>
  </si>
  <si>
    <t xml:space="preserve">Sassetta (LI) </t>
  </si>
  <si>
    <t>049019</t>
  </si>
  <si>
    <t>Sassetta</t>
  </si>
  <si>
    <t xml:space="preserve">Sassinoro (BN) </t>
  </si>
  <si>
    <t>062072</t>
  </si>
  <si>
    <t>Sassinoro</t>
  </si>
  <si>
    <t xml:space="preserve">Sasso di Castalda (PZ) </t>
  </si>
  <si>
    <t>076082</t>
  </si>
  <si>
    <t>Sasso di Castalda</t>
  </si>
  <si>
    <t xml:space="preserve">Sasso Marconi (BO) </t>
  </si>
  <si>
    <t>037057</t>
  </si>
  <si>
    <t>Sasso Marconi</t>
  </si>
  <si>
    <t>Sassofeltrio</t>
  </si>
  <si>
    <t xml:space="preserve">Sassoferrato (AN) </t>
  </si>
  <si>
    <t>042044</t>
  </si>
  <si>
    <t>Sassoferrato</t>
  </si>
  <si>
    <t xml:space="preserve">Sassuolo (MO) </t>
  </si>
  <si>
    <t>036040</t>
  </si>
  <si>
    <t>Sassuolo</t>
  </si>
  <si>
    <t xml:space="preserve">Satriano (CZ) </t>
  </si>
  <si>
    <t>079123</t>
  </si>
  <si>
    <t>Satriano</t>
  </si>
  <si>
    <t xml:space="preserve">Satriano di Lucania (PZ) </t>
  </si>
  <si>
    <t>076083</t>
  </si>
  <si>
    <t>Satriano di Lucania</t>
  </si>
  <si>
    <t xml:space="preserve">Sauris (UD) </t>
  </si>
  <si>
    <t>030107</t>
  </si>
  <si>
    <t>Sauris</t>
  </si>
  <si>
    <t xml:space="preserve">Sauze di Cesana (TO) </t>
  </si>
  <si>
    <t>001258</t>
  </si>
  <si>
    <t>Sauze di Cesana</t>
  </si>
  <si>
    <t xml:space="preserve">Sauze d'Oulx (TO) </t>
  </si>
  <si>
    <t>001259</t>
  </si>
  <si>
    <t>Sauze d'Oulx</t>
  </si>
  <si>
    <t xml:space="preserve">Sava (TA) </t>
  </si>
  <si>
    <t>073026</t>
  </si>
  <si>
    <t>Sava</t>
  </si>
  <si>
    <t xml:space="preserve">Savelli (KR) </t>
  </si>
  <si>
    <t>Savelli</t>
  </si>
  <si>
    <t xml:space="preserve">Saviano (NA) </t>
  </si>
  <si>
    <t>063076</t>
  </si>
  <si>
    <t>Saviano</t>
  </si>
  <si>
    <t xml:space="preserve">Savigliano (CN) </t>
  </si>
  <si>
    <t>004215</t>
  </si>
  <si>
    <t>Savigliano</t>
  </si>
  <si>
    <t xml:space="preserve">Savignano Irpino (AV) </t>
  </si>
  <si>
    <t>064096</t>
  </si>
  <si>
    <t>Savignano Irpino</t>
  </si>
  <si>
    <t xml:space="preserve">Savignano sul Panaro (MO) </t>
  </si>
  <si>
    <t>036041</t>
  </si>
  <si>
    <t>Savignano sul Panaro</t>
  </si>
  <si>
    <t xml:space="preserve">Savignano sul Rubicone (FC) </t>
  </si>
  <si>
    <t>040045</t>
  </si>
  <si>
    <t>Savignano sul Rubicone</t>
  </si>
  <si>
    <t xml:space="preserve">Savignone (GE) </t>
  </si>
  <si>
    <t>010057</t>
  </si>
  <si>
    <t>Savignone</t>
  </si>
  <si>
    <t xml:space="preserve">Saviore dell'Adamello (BS) </t>
  </si>
  <si>
    <t>017175</t>
  </si>
  <si>
    <t>Saviore dell'Adamello</t>
  </si>
  <si>
    <t xml:space="preserve">Savoca (ME) </t>
  </si>
  <si>
    <t>083093</t>
  </si>
  <si>
    <t>Savoca</t>
  </si>
  <si>
    <t xml:space="preserve">Savogna (UD) </t>
  </si>
  <si>
    <t>030108</t>
  </si>
  <si>
    <t>Savogna</t>
  </si>
  <si>
    <t xml:space="preserve">Savogna d'Isonzo (GO) </t>
  </si>
  <si>
    <t>031022</t>
  </si>
  <si>
    <t>Savogna d'Isonzo</t>
  </si>
  <si>
    <t xml:space="preserve">Savoia di Lucania (PZ) </t>
  </si>
  <si>
    <t>076084</t>
  </si>
  <si>
    <t>Savoia di Lucania</t>
  </si>
  <si>
    <t xml:space="preserve">Savona (SV) </t>
  </si>
  <si>
    <t>009056</t>
  </si>
  <si>
    <t>Savona</t>
  </si>
  <si>
    <t xml:space="preserve">Scafa (PE) </t>
  </si>
  <si>
    <t>068039</t>
  </si>
  <si>
    <t>Scafa</t>
  </si>
  <si>
    <t xml:space="preserve">Scafati (SA) </t>
  </si>
  <si>
    <t>065137</t>
  </si>
  <si>
    <t>Scafati</t>
  </si>
  <si>
    <t xml:space="preserve">Scagnello (CN) </t>
  </si>
  <si>
    <t>004216</t>
  </si>
  <si>
    <t>Scagnello</t>
  </si>
  <si>
    <t xml:space="preserve">Scala (SA) </t>
  </si>
  <si>
    <t>065138</t>
  </si>
  <si>
    <t>Scala</t>
  </si>
  <si>
    <t xml:space="preserve">Scala Coeli (CS) </t>
  </si>
  <si>
    <t>078137</t>
  </si>
  <si>
    <t>Scala Coeli</t>
  </si>
  <si>
    <t xml:space="preserve">Scaldasole (PV) </t>
  </si>
  <si>
    <t>018147</t>
  </si>
  <si>
    <t>Scaldasole</t>
  </si>
  <si>
    <t xml:space="preserve">Scalea (CS) </t>
  </si>
  <si>
    <t>078138</t>
  </si>
  <si>
    <t>Scalea</t>
  </si>
  <si>
    <t xml:space="preserve">Scalenghe (TO) </t>
  </si>
  <si>
    <t>001260</t>
  </si>
  <si>
    <t>Scalenghe</t>
  </si>
  <si>
    <t xml:space="preserve">Scaletta Zanclea (ME) </t>
  </si>
  <si>
    <t>083094</t>
  </si>
  <si>
    <t>Scaletta Zanclea</t>
  </si>
  <si>
    <t xml:space="preserve">Scampitella (AV) </t>
  </si>
  <si>
    <t>064097</t>
  </si>
  <si>
    <t>Scampitella</t>
  </si>
  <si>
    <t xml:space="preserve">Scandale (KR) </t>
  </si>
  <si>
    <t>Scandale</t>
  </si>
  <si>
    <t xml:space="preserve">Scandiano (RE) </t>
  </si>
  <si>
    <t>035040</t>
  </si>
  <si>
    <t>Scandiano</t>
  </si>
  <si>
    <t xml:space="preserve">Scandicci (FI) </t>
  </si>
  <si>
    <t>048041</t>
  </si>
  <si>
    <t>Scandicci</t>
  </si>
  <si>
    <t xml:space="preserve">Scandolara Ravara (CR) </t>
  </si>
  <si>
    <t>019092</t>
  </si>
  <si>
    <t>Scandolara Ravara</t>
  </si>
  <si>
    <t xml:space="preserve">Scandolara Ripa d'Oglio (CR) </t>
  </si>
  <si>
    <t>019093</t>
  </si>
  <si>
    <t>Scandolara Ripa d'Oglio</t>
  </si>
  <si>
    <t xml:space="preserve">Scandriglia (RI) </t>
  </si>
  <si>
    <t>057064</t>
  </si>
  <si>
    <t>Scandriglia</t>
  </si>
  <si>
    <t xml:space="preserve">Scanno (AQ) </t>
  </si>
  <si>
    <t>066093</t>
  </si>
  <si>
    <t>Scanno</t>
  </si>
  <si>
    <t xml:space="preserve">Scano di Montiferro (OR) </t>
  </si>
  <si>
    <t>Scano di Montiferro</t>
  </si>
  <si>
    <t xml:space="preserve">Scansano (GR) </t>
  </si>
  <si>
    <t>053023</t>
  </si>
  <si>
    <t>Scansano</t>
  </si>
  <si>
    <t xml:space="preserve">Scanzano Jonico (MT) </t>
  </si>
  <si>
    <t>077031</t>
  </si>
  <si>
    <t>Scanzano Jonico</t>
  </si>
  <si>
    <t xml:space="preserve">Scanzorosciate (BG) </t>
  </si>
  <si>
    <t>016194</t>
  </si>
  <si>
    <t>Scanzorosciate</t>
  </si>
  <si>
    <t xml:space="preserve">Scapoli (IS) </t>
  </si>
  <si>
    <t>094048</t>
  </si>
  <si>
    <t>Scapoli</t>
  </si>
  <si>
    <t xml:space="preserve">Scarlino (GR) </t>
  </si>
  <si>
    <t>053024</t>
  </si>
  <si>
    <t>Scarlino</t>
  </si>
  <si>
    <t xml:space="preserve">Scarmagno (TO) </t>
  </si>
  <si>
    <t>001261</t>
  </si>
  <si>
    <t>Scarmagno</t>
  </si>
  <si>
    <t xml:space="preserve">Scarnafigi (CN) </t>
  </si>
  <si>
    <t>004217</t>
  </si>
  <si>
    <t>Scarnafigi</t>
  </si>
  <si>
    <t>021087</t>
  </si>
  <si>
    <t xml:space="preserve">Scerni (CH) </t>
  </si>
  <si>
    <t>069087</t>
  </si>
  <si>
    <t>Scerni</t>
  </si>
  <si>
    <t xml:space="preserve">Scheggia e Pascelupo (PG) </t>
  </si>
  <si>
    <t>054046</t>
  </si>
  <si>
    <t>Scheggia e Pascelupo</t>
  </si>
  <si>
    <t xml:space="preserve">Scheggino (PG) </t>
  </si>
  <si>
    <t>054047</t>
  </si>
  <si>
    <t>Scheggino</t>
  </si>
  <si>
    <t xml:space="preserve">Schiavi di Abruzzo (CH) </t>
  </si>
  <si>
    <t>069088</t>
  </si>
  <si>
    <t>Schiavi di Abruzzo</t>
  </si>
  <si>
    <t xml:space="preserve">Schiavon (VI) </t>
  </si>
  <si>
    <t>024099</t>
  </si>
  <si>
    <t>Schiavon</t>
  </si>
  <si>
    <t xml:space="preserve">Schignano (CO) </t>
  </si>
  <si>
    <t>013211</t>
  </si>
  <si>
    <t>Schignano</t>
  </si>
  <si>
    <t xml:space="preserve">Schilpario (BG) </t>
  </si>
  <si>
    <t>016195</t>
  </si>
  <si>
    <t>Schilpario</t>
  </si>
  <si>
    <t xml:space="preserve">Schio (VI) </t>
  </si>
  <si>
    <t>024100</t>
  </si>
  <si>
    <t>Schio</t>
  </si>
  <si>
    <t xml:space="preserve">Schivenoglia (MN) </t>
  </si>
  <si>
    <t>020060</t>
  </si>
  <si>
    <t>Schivenoglia</t>
  </si>
  <si>
    <t xml:space="preserve">Sciacca (AG) </t>
  </si>
  <si>
    <t>084041</t>
  </si>
  <si>
    <t>Sciacca</t>
  </si>
  <si>
    <t xml:space="preserve">Sciara (PA) </t>
  </si>
  <si>
    <t>082068</t>
  </si>
  <si>
    <t>Sciara</t>
  </si>
  <si>
    <t xml:space="preserve">Scicli (RG) </t>
  </si>
  <si>
    <t>088011</t>
  </si>
  <si>
    <t>Scicli</t>
  </si>
  <si>
    <t xml:space="preserve">Scido (RC) </t>
  </si>
  <si>
    <t>080084</t>
  </si>
  <si>
    <t>Scido</t>
  </si>
  <si>
    <t xml:space="preserve">Scigliano (CS) </t>
  </si>
  <si>
    <t>078139</t>
  </si>
  <si>
    <t>Scigliano</t>
  </si>
  <si>
    <t xml:space="preserve">Scilla (RC) </t>
  </si>
  <si>
    <t>080085</t>
  </si>
  <si>
    <t>Scilla</t>
  </si>
  <si>
    <t xml:space="preserve">Scillato (PA) </t>
  </si>
  <si>
    <t>082081</t>
  </si>
  <si>
    <t>Scillato</t>
  </si>
  <si>
    <t xml:space="preserve">Sciolze (TO) </t>
  </si>
  <si>
    <t>001262</t>
  </si>
  <si>
    <t>Sciolze</t>
  </si>
  <si>
    <t xml:space="preserve">Scisciano (NA) </t>
  </si>
  <si>
    <t>063077</t>
  </si>
  <si>
    <t>Scisciano</t>
  </si>
  <si>
    <t xml:space="preserve">Sclafani Bagni (PA) </t>
  </si>
  <si>
    <t>082069</t>
  </si>
  <si>
    <t>Sclafani Bagni</t>
  </si>
  <si>
    <t xml:space="preserve">Scontrone (AQ) </t>
  </si>
  <si>
    <t>066094</t>
  </si>
  <si>
    <t>Scontrone</t>
  </si>
  <si>
    <t xml:space="preserve">Scopa (VC) </t>
  </si>
  <si>
    <t>002134</t>
  </si>
  <si>
    <t>Scopa</t>
  </si>
  <si>
    <t xml:space="preserve">Scopello (VC) </t>
  </si>
  <si>
    <t>002135</t>
  </si>
  <si>
    <t>Scopello</t>
  </si>
  <si>
    <t xml:space="preserve">Scoppito (AQ) </t>
  </si>
  <si>
    <t>066095</t>
  </si>
  <si>
    <t>Scoppito</t>
  </si>
  <si>
    <t xml:space="preserve">Scordia (CT) </t>
  </si>
  <si>
    <t>087049</t>
  </si>
  <si>
    <t>Scordia</t>
  </si>
  <si>
    <t xml:space="preserve">Scorrano (LE) </t>
  </si>
  <si>
    <t>075073</t>
  </si>
  <si>
    <t>Scorrano</t>
  </si>
  <si>
    <t xml:space="preserve">Scorzè (VE) </t>
  </si>
  <si>
    <t>027037</t>
  </si>
  <si>
    <t>Scorzè</t>
  </si>
  <si>
    <t xml:space="preserve">Scurcola Marsicana (AQ) </t>
  </si>
  <si>
    <t>066096</t>
  </si>
  <si>
    <t>Scurcola Marsicana</t>
  </si>
  <si>
    <t xml:space="preserve">Scurelle (TN) </t>
  </si>
  <si>
    <t>022171</t>
  </si>
  <si>
    <t>Scurelle</t>
  </si>
  <si>
    <t xml:space="preserve">Scurzolengo (AT) </t>
  </si>
  <si>
    <t>005103</t>
  </si>
  <si>
    <t>Scurzolengo</t>
  </si>
  <si>
    <t xml:space="preserve">Seborga (IM) </t>
  </si>
  <si>
    <t>008057</t>
  </si>
  <si>
    <t>Seborga</t>
  </si>
  <si>
    <t xml:space="preserve">Secinaro (AQ) </t>
  </si>
  <si>
    <t>066097</t>
  </si>
  <si>
    <t>Secinaro</t>
  </si>
  <si>
    <t xml:space="preserve">Seclì (LE) </t>
  </si>
  <si>
    <t>075074</t>
  </si>
  <si>
    <t>Seclì</t>
  </si>
  <si>
    <t xml:space="preserve">Secugnago (LO) </t>
  </si>
  <si>
    <t>098052</t>
  </si>
  <si>
    <t>Secugnago</t>
  </si>
  <si>
    <t xml:space="preserve">Sedegliano (UD) </t>
  </si>
  <si>
    <t>030109</t>
  </si>
  <si>
    <t>Sedegliano</t>
  </si>
  <si>
    <t xml:space="preserve">Sedico (BL) </t>
  </si>
  <si>
    <t>025053</t>
  </si>
  <si>
    <t>Sedico</t>
  </si>
  <si>
    <t xml:space="preserve">Sedilo (OR) </t>
  </si>
  <si>
    <t>Sedilo</t>
  </si>
  <si>
    <t xml:space="preserve">Sedini (SS) </t>
  </si>
  <si>
    <t>Sedini</t>
  </si>
  <si>
    <t xml:space="preserve">Sedriano (MI) </t>
  </si>
  <si>
    <t>015204</t>
  </si>
  <si>
    <t>Sedriano</t>
  </si>
  <si>
    <t xml:space="preserve">Sedrina (BG) </t>
  </si>
  <si>
    <t>016196</t>
  </si>
  <si>
    <t>Sedrina</t>
  </si>
  <si>
    <t xml:space="preserve">Sefro (MC) </t>
  </si>
  <si>
    <t>043050</t>
  </si>
  <si>
    <t>Sefro</t>
  </si>
  <si>
    <t>Segariu</t>
  </si>
  <si>
    <t xml:space="preserve">Seggiano (GR) </t>
  </si>
  <si>
    <t>053025</t>
  </si>
  <si>
    <t>Seggiano</t>
  </si>
  <si>
    <t xml:space="preserve">Segni (RM) </t>
  </si>
  <si>
    <t>058102</t>
  </si>
  <si>
    <t>Segni</t>
  </si>
  <si>
    <t xml:space="preserve">Segonzano (TN) </t>
  </si>
  <si>
    <t>022172</t>
  </si>
  <si>
    <t>Segonzano</t>
  </si>
  <si>
    <t xml:space="preserve">Segrate (MI) </t>
  </si>
  <si>
    <t>015205</t>
  </si>
  <si>
    <t>Segrate</t>
  </si>
  <si>
    <t xml:space="preserve">Segusino (TV) </t>
  </si>
  <si>
    <t>026079</t>
  </si>
  <si>
    <t>Segusino</t>
  </si>
  <si>
    <t xml:space="preserve">Selargius (CA) </t>
  </si>
  <si>
    <t>Selargius</t>
  </si>
  <si>
    <t xml:space="preserve">Selci (RI) </t>
  </si>
  <si>
    <t>057065</t>
  </si>
  <si>
    <t>Selci</t>
  </si>
  <si>
    <t>Selegas</t>
  </si>
  <si>
    <t xml:space="preserve">Sellano (PG) </t>
  </si>
  <si>
    <t>054048</t>
  </si>
  <si>
    <t>Sellano</t>
  </si>
  <si>
    <t xml:space="preserve">Sellero (BS) </t>
  </si>
  <si>
    <t>017176</t>
  </si>
  <si>
    <t>Sellero</t>
  </si>
  <si>
    <t xml:space="preserve">Sellia (CZ) </t>
  </si>
  <si>
    <t>079126</t>
  </si>
  <si>
    <t>Sellia</t>
  </si>
  <si>
    <t xml:space="preserve">Sellia Marina (CZ) </t>
  </si>
  <si>
    <t>079127</t>
  </si>
  <si>
    <t>Sellia Marina</t>
  </si>
  <si>
    <t>021088</t>
  </si>
  <si>
    <t xml:space="preserve">Selva di Cadore (BL) </t>
  </si>
  <si>
    <t>025054</t>
  </si>
  <si>
    <t>Selva di Cadore</t>
  </si>
  <si>
    <t xml:space="preserve">Selva di Progno (VR) </t>
  </si>
  <si>
    <t>023080</t>
  </si>
  <si>
    <t>Selva di Progno</t>
  </si>
  <si>
    <t>021089</t>
  </si>
  <si>
    <t xml:space="preserve">Selvazzano Dentro (PD) </t>
  </si>
  <si>
    <t>028086</t>
  </si>
  <si>
    <t>Selvazzano Dentro</t>
  </si>
  <si>
    <t xml:space="preserve">Selvino (BG) </t>
  </si>
  <si>
    <t>016197</t>
  </si>
  <si>
    <t>Selvino</t>
  </si>
  <si>
    <t xml:space="preserve">Semestene (SS) </t>
  </si>
  <si>
    <t>Semestene</t>
  </si>
  <si>
    <t xml:space="preserve">Semiana (PV) </t>
  </si>
  <si>
    <t>018148</t>
  </si>
  <si>
    <t>Semiana</t>
  </si>
  <si>
    <t xml:space="preserve">Seminara (RC) </t>
  </si>
  <si>
    <t>080086</t>
  </si>
  <si>
    <t>Seminara</t>
  </si>
  <si>
    <t xml:space="preserve">Semproniano (GR) </t>
  </si>
  <si>
    <t>053028</t>
  </si>
  <si>
    <t>Semproniano</t>
  </si>
  <si>
    <t xml:space="preserve">Senago (MI) </t>
  </si>
  <si>
    <t>015206</t>
  </si>
  <si>
    <t>Senago</t>
  </si>
  <si>
    <t>021091</t>
  </si>
  <si>
    <t>021118</t>
  </si>
  <si>
    <t xml:space="preserve">Seneghe (OR) </t>
  </si>
  <si>
    <t>Seneghe</t>
  </si>
  <si>
    <t xml:space="preserve">Senerchia (AV) </t>
  </si>
  <si>
    <t>064098</t>
  </si>
  <si>
    <t>Senerchia</t>
  </si>
  <si>
    <t xml:space="preserve">Seniga (BS) </t>
  </si>
  <si>
    <t>017177</t>
  </si>
  <si>
    <t>Seniga</t>
  </si>
  <si>
    <t xml:space="preserve">Senigallia (AN) </t>
  </si>
  <si>
    <t>042045</t>
  </si>
  <si>
    <t>Senigallia</t>
  </si>
  <si>
    <t xml:space="preserve">Senis (OR) </t>
  </si>
  <si>
    <t>Senis</t>
  </si>
  <si>
    <t xml:space="preserve">Senise (PZ) </t>
  </si>
  <si>
    <t>076085</t>
  </si>
  <si>
    <t>Senise</t>
  </si>
  <si>
    <t xml:space="preserve">Senna Comasco (CO) </t>
  </si>
  <si>
    <t>013212</t>
  </si>
  <si>
    <t>Senna Comasco</t>
  </si>
  <si>
    <t xml:space="preserve">Senna Lodigiana (LO) </t>
  </si>
  <si>
    <t>098053</t>
  </si>
  <si>
    <t>Senna Lodigiana</t>
  </si>
  <si>
    <t xml:space="preserve">Sennariolo (OR) </t>
  </si>
  <si>
    <t>Sennariolo</t>
  </si>
  <si>
    <t xml:space="preserve">Sennori (SS) </t>
  </si>
  <si>
    <t>Sennori</t>
  </si>
  <si>
    <t>Senorbì</t>
  </si>
  <si>
    <t xml:space="preserve">Sepino (CB) </t>
  </si>
  <si>
    <t>070075</t>
  </si>
  <si>
    <t>Sepino</t>
  </si>
  <si>
    <t xml:space="preserve">Sequals (PN) </t>
  </si>
  <si>
    <t>093042</t>
  </si>
  <si>
    <t>Sequals</t>
  </si>
  <si>
    <t xml:space="preserve">Seravezza (LU) </t>
  </si>
  <si>
    <t>046028</t>
  </si>
  <si>
    <t>Seravezza</t>
  </si>
  <si>
    <t>Serdiana</t>
  </si>
  <si>
    <t xml:space="preserve">Seregno (MB) </t>
  </si>
  <si>
    <t>Seregno</t>
  </si>
  <si>
    <t xml:space="preserve">Seren del Grappa (BL) </t>
  </si>
  <si>
    <t>025055</t>
  </si>
  <si>
    <t>Seren del Grappa</t>
  </si>
  <si>
    <t xml:space="preserve">Sergnano (CR) </t>
  </si>
  <si>
    <t>019094</t>
  </si>
  <si>
    <t>Sergnano</t>
  </si>
  <si>
    <t xml:space="preserve">Seriate (BG) </t>
  </si>
  <si>
    <t>016198</t>
  </si>
  <si>
    <t>Seriate</t>
  </si>
  <si>
    <t xml:space="preserve">Serina (BG) </t>
  </si>
  <si>
    <t>016199</t>
  </si>
  <si>
    <t>Serina</t>
  </si>
  <si>
    <t xml:space="preserve">Serino (AV) </t>
  </si>
  <si>
    <t>064099</t>
  </si>
  <si>
    <t>Serino</t>
  </si>
  <si>
    <t xml:space="preserve">Serle (BS) </t>
  </si>
  <si>
    <t>017178</t>
  </si>
  <si>
    <t>Serle</t>
  </si>
  <si>
    <t>020061</t>
  </si>
  <si>
    <t xml:space="preserve">Sermoneta (LT) </t>
  </si>
  <si>
    <t>059027</t>
  </si>
  <si>
    <t>Sermoneta</t>
  </si>
  <si>
    <t xml:space="preserve">Sernaglia della Battaglia (TV) </t>
  </si>
  <si>
    <t>026080</t>
  </si>
  <si>
    <t>Sernaglia della Battaglia</t>
  </si>
  <si>
    <t xml:space="preserve">Sernio (SO) </t>
  </si>
  <si>
    <t>014059</t>
  </si>
  <si>
    <t>Sernio</t>
  </si>
  <si>
    <t xml:space="preserve">Serole (AT) </t>
  </si>
  <si>
    <t>005104</t>
  </si>
  <si>
    <t>Serole</t>
  </si>
  <si>
    <t xml:space="preserve">Serra d'Aiello (CS) </t>
  </si>
  <si>
    <t>078140</t>
  </si>
  <si>
    <t>Serra d'Aiello</t>
  </si>
  <si>
    <t xml:space="preserve">Serra de' Conti (AN) </t>
  </si>
  <si>
    <t>042046</t>
  </si>
  <si>
    <t>Serra de' Conti</t>
  </si>
  <si>
    <t xml:space="preserve">Serra Riccò (GE) </t>
  </si>
  <si>
    <t>010058</t>
  </si>
  <si>
    <t>Serra Riccò</t>
  </si>
  <si>
    <t xml:space="preserve">Serra San Bruno (VV) </t>
  </si>
  <si>
    <t>Serra San Bruno</t>
  </si>
  <si>
    <t xml:space="preserve">Serra San Quirico (AN) </t>
  </si>
  <si>
    <t>042047</t>
  </si>
  <si>
    <t>Serra San Quirico</t>
  </si>
  <si>
    <t xml:space="preserve">Serra Sant'Abbondio (PU) </t>
  </si>
  <si>
    <t>041061</t>
  </si>
  <si>
    <t>Serra Sant'Abbondio</t>
  </si>
  <si>
    <t xml:space="preserve">Serracapriola (FG) </t>
  </si>
  <si>
    <t>071053</t>
  </si>
  <si>
    <t>Serracapriola</t>
  </si>
  <si>
    <t xml:space="preserve">Serradifalco (CL) </t>
  </si>
  <si>
    <t>085018</t>
  </si>
  <si>
    <t>Serradifalco</t>
  </si>
  <si>
    <t xml:space="preserve">Serralunga d'Alba (CN) </t>
  </si>
  <si>
    <t>004218</t>
  </si>
  <si>
    <t>Serralunga d'Alba</t>
  </si>
  <si>
    <t xml:space="preserve">Serralunga di Crea (AL) </t>
  </si>
  <si>
    <t>006159</t>
  </si>
  <si>
    <t>Serralunga di Crea</t>
  </si>
  <si>
    <t>Serramanna</t>
  </si>
  <si>
    <t xml:space="preserve">Serramazzoni (MO) </t>
  </si>
  <si>
    <t>036042</t>
  </si>
  <si>
    <t>Serramazzoni</t>
  </si>
  <si>
    <t xml:space="preserve">Serramezzana (SA) </t>
  </si>
  <si>
    <t>065139</t>
  </si>
  <si>
    <t>Serramezzana</t>
  </si>
  <si>
    <t xml:space="preserve">Serramonacesca (PE) </t>
  </si>
  <si>
    <t>068040</t>
  </si>
  <si>
    <t>Serramonacesca</t>
  </si>
  <si>
    <t xml:space="preserve">Serrapetrona (MC) </t>
  </si>
  <si>
    <t>043051</t>
  </si>
  <si>
    <t>Serrapetrona</t>
  </si>
  <si>
    <t xml:space="preserve">Serrara Fontana (NA) </t>
  </si>
  <si>
    <t>063078</t>
  </si>
  <si>
    <t>Serrara Fontana</t>
  </si>
  <si>
    <t xml:space="preserve">Serrastretta (CZ) </t>
  </si>
  <si>
    <t>079129</t>
  </si>
  <si>
    <t>Serrastretta</t>
  </si>
  <si>
    <t xml:space="preserve">Serrata (RC) </t>
  </si>
  <si>
    <t>080087</t>
  </si>
  <si>
    <t>Serrata</t>
  </si>
  <si>
    <t xml:space="preserve">Serravalle a Po (MN) </t>
  </si>
  <si>
    <t>020062</t>
  </si>
  <si>
    <t>Serravalle a Po</t>
  </si>
  <si>
    <t xml:space="preserve">Serravalle di Chienti (MC) </t>
  </si>
  <si>
    <t>043052</t>
  </si>
  <si>
    <t>Serravalle di Chienti</t>
  </si>
  <si>
    <t xml:space="preserve">Serravalle Langhe (CN) </t>
  </si>
  <si>
    <t>004219</t>
  </si>
  <si>
    <t>Serravalle Langhe</t>
  </si>
  <si>
    <t xml:space="preserve">Serravalle Pistoiese (PT) </t>
  </si>
  <si>
    <t>047020</t>
  </si>
  <si>
    <t>Serravalle Pistoiese</t>
  </si>
  <si>
    <t xml:space="preserve">Serravalle Scrivia (AL) </t>
  </si>
  <si>
    <t>006160</t>
  </si>
  <si>
    <t>Serravalle Scrivia</t>
  </si>
  <si>
    <t xml:space="preserve">Serravalle Sesia (VC) </t>
  </si>
  <si>
    <t>002137</t>
  </si>
  <si>
    <t>Serravalle Sesia</t>
  </si>
  <si>
    <t xml:space="preserve">Serre (SA) </t>
  </si>
  <si>
    <t>065140</t>
  </si>
  <si>
    <t>Serre</t>
  </si>
  <si>
    <t>Serrenti</t>
  </si>
  <si>
    <t>Serri</t>
  </si>
  <si>
    <t xml:space="preserve">Serrone (FR) </t>
  </si>
  <si>
    <t>060071</t>
  </si>
  <si>
    <t>Serrone</t>
  </si>
  <si>
    <t xml:space="preserve">Sersale (CZ) </t>
  </si>
  <si>
    <t>079130</t>
  </si>
  <si>
    <t>Sersale</t>
  </si>
  <si>
    <t xml:space="preserve">Servigliano (FM) </t>
  </si>
  <si>
    <t>Servigliano</t>
  </si>
  <si>
    <t xml:space="preserve">Sessa Aurunca (CE) </t>
  </si>
  <si>
    <t>061088</t>
  </si>
  <si>
    <t>Sessa Aurunca</t>
  </si>
  <si>
    <t xml:space="preserve">Sessa Cilento (SA) </t>
  </si>
  <si>
    <t>065141</t>
  </si>
  <si>
    <t>Sessa Cilento</t>
  </si>
  <si>
    <t xml:space="preserve">Sessame (AT) </t>
  </si>
  <si>
    <t>005105</t>
  </si>
  <si>
    <t>Sessame</t>
  </si>
  <si>
    <t xml:space="preserve">Sessano del Molise (IS) </t>
  </si>
  <si>
    <t>094049</t>
  </si>
  <si>
    <t>Sessano del Molise</t>
  </si>
  <si>
    <t xml:space="preserve">Sesta Godano (SP) </t>
  </si>
  <si>
    <t>011028</t>
  </si>
  <si>
    <t>Sesta Godano</t>
  </si>
  <si>
    <t xml:space="preserve">Sestino (AR) </t>
  </si>
  <si>
    <t>051035</t>
  </si>
  <si>
    <t>Sestino</t>
  </si>
  <si>
    <t>021092</t>
  </si>
  <si>
    <t xml:space="preserve">Sesto al Reghena (PN) </t>
  </si>
  <si>
    <t>093043</t>
  </si>
  <si>
    <t>Sesto al Reghena</t>
  </si>
  <si>
    <t xml:space="preserve">Sesto Calende (VA) </t>
  </si>
  <si>
    <t>012120</t>
  </si>
  <si>
    <t>Sesto Calende</t>
  </si>
  <si>
    <t xml:space="preserve">Sesto Campano (IS) </t>
  </si>
  <si>
    <t>094050</t>
  </si>
  <si>
    <t>Sesto Campano</t>
  </si>
  <si>
    <t xml:space="preserve">Sesto ed Uniti (CR) </t>
  </si>
  <si>
    <t>019095</t>
  </si>
  <si>
    <t>Sesto ed Uniti</t>
  </si>
  <si>
    <t xml:space="preserve">Sesto Fiorentino (FI) </t>
  </si>
  <si>
    <t>048043</t>
  </si>
  <si>
    <t>Sesto Fiorentino</t>
  </si>
  <si>
    <t xml:space="preserve">Sesto San Giovanni (MI) </t>
  </si>
  <si>
    <t>015209</t>
  </si>
  <si>
    <t>Sesto San Giovanni</t>
  </si>
  <si>
    <t xml:space="preserve">Sestola (MO) </t>
  </si>
  <si>
    <t>036043</t>
  </si>
  <si>
    <t>Sestola</t>
  </si>
  <si>
    <t xml:space="preserve">Sestri Levante (GE) </t>
  </si>
  <si>
    <t>010059</t>
  </si>
  <si>
    <t>Sestri Levante</t>
  </si>
  <si>
    <t xml:space="preserve">Sestriere (TO) </t>
  </si>
  <si>
    <t>001263</t>
  </si>
  <si>
    <t>Sestriere</t>
  </si>
  <si>
    <t xml:space="preserve">Sestu (CA) </t>
  </si>
  <si>
    <t>Sestu</t>
  </si>
  <si>
    <t xml:space="preserve">Settala (MI) </t>
  </si>
  <si>
    <t>015210</t>
  </si>
  <si>
    <t>Settala</t>
  </si>
  <si>
    <t xml:space="preserve">Settefrati (FR) </t>
  </si>
  <si>
    <t>060072</t>
  </si>
  <si>
    <t>Settefrati</t>
  </si>
  <si>
    <t xml:space="preserve">Settime (AT) </t>
  </si>
  <si>
    <t>005106</t>
  </si>
  <si>
    <t>Settime</t>
  </si>
  <si>
    <t xml:space="preserve">Settimo Milanese (MI) </t>
  </si>
  <si>
    <t>015211</t>
  </si>
  <si>
    <t>Settimo Milanese</t>
  </si>
  <si>
    <t xml:space="preserve">Settimo Rottaro (TO) </t>
  </si>
  <si>
    <t>001264</t>
  </si>
  <si>
    <t>Settimo Rottaro</t>
  </si>
  <si>
    <t xml:space="preserve">Settimo San Pietro (CA) </t>
  </si>
  <si>
    <t>Settimo San Pietro</t>
  </si>
  <si>
    <t xml:space="preserve">Settimo Torinese (TO) </t>
  </si>
  <si>
    <t>001265</t>
  </si>
  <si>
    <t>Settimo Torinese</t>
  </si>
  <si>
    <t xml:space="preserve">Settimo Vittone (TO) </t>
  </si>
  <si>
    <t>001266</t>
  </si>
  <si>
    <t>Settimo Vittone</t>
  </si>
  <si>
    <t xml:space="preserve">Settingiano (CZ) </t>
  </si>
  <si>
    <t>079131</t>
  </si>
  <si>
    <t>Settingiano</t>
  </si>
  <si>
    <t>Setzu</t>
  </si>
  <si>
    <t>Seui</t>
  </si>
  <si>
    <t>Seulo</t>
  </si>
  <si>
    <t xml:space="preserve">Seveso (MB) </t>
  </si>
  <si>
    <t>Seveso</t>
  </si>
  <si>
    <t xml:space="preserve">Sezzadio (AL) </t>
  </si>
  <si>
    <t>006161</t>
  </si>
  <si>
    <t>Sezzadio</t>
  </si>
  <si>
    <t xml:space="preserve">Sezze (LT) </t>
  </si>
  <si>
    <t>059028</t>
  </si>
  <si>
    <t>Sezze</t>
  </si>
  <si>
    <t xml:space="preserve">Sfruz (TN) </t>
  </si>
  <si>
    <t>022173</t>
  </si>
  <si>
    <t>Sfruz</t>
  </si>
  <si>
    <t xml:space="preserve">Sgonico (TS) </t>
  </si>
  <si>
    <t>032005</t>
  </si>
  <si>
    <t>Sgonico</t>
  </si>
  <si>
    <t xml:space="preserve">Sgurgola (FR) </t>
  </si>
  <si>
    <t>060073</t>
  </si>
  <si>
    <t>Sgurgola</t>
  </si>
  <si>
    <t xml:space="preserve">Siamaggiore (OR) </t>
  </si>
  <si>
    <t>Siamaggiore</t>
  </si>
  <si>
    <t xml:space="preserve">Siamanna (OR) </t>
  </si>
  <si>
    <t>Siamanna</t>
  </si>
  <si>
    <t xml:space="preserve">Siano (SA) </t>
  </si>
  <si>
    <t>065142</t>
  </si>
  <si>
    <t>Siano</t>
  </si>
  <si>
    <t xml:space="preserve">Siapiccia (OR) </t>
  </si>
  <si>
    <t>Siapiccia</t>
  </si>
  <si>
    <t xml:space="preserve">Sicignano degli Alburni (SA) </t>
  </si>
  <si>
    <t>065143</t>
  </si>
  <si>
    <t>Sicignano degli Alburni</t>
  </si>
  <si>
    <t xml:space="preserve">Siculiana (AG) </t>
  </si>
  <si>
    <t>084042</t>
  </si>
  <si>
    <t>Siculiana</t>
  </si>
  <si>
    <t>Siddi</t>
  </si>
  <si>
    <t xml:space="preserve">Siderno (RC) </t>
  </si>
  <si>
    <t>080088</t>
  </si>
  <si>
    <t>Siderno</t>
  </si>
  <si>
    <t xml:space="preserve">Siena (SI) </t>
  </si>
  <si>
    <t>052032</t>
  </si>
  <si>
    <t>Siena</t>
  </si>
  <si>
    <t xml:space="preserve">Sigillo (PG) </t>
  </si>
  <si>
    <t>054049</t>
  </si>
  <si>
    <t>Sigillo</t>
  </si>
  <si>
    <t xml:space="preserve">Signa (FI) </t>
  </si>
  <si>
    <t>048044</t>
  </si>
  <si>
    <t>Signa</t>
  </si>
  <si>
    <t>021093</t>
  </si>
  <si>
    <t xml:space="preserve">Silanus (NU) </t>
  </si>
  <si>
    <t>Silanus</t>
  </si>
  <si>
    <t xml:space="preserve">Silea (TV) </t>
  </si>
  <si>
    <t>026081</t>
  </si>
  <si>
    <t>Silea</t>
  </si>
  <si>
    <t xml:space="preserve">Siligo (SS) </t>
  </si>
  <si>
    <t>Siligo</t>
  </si>
  <si>
    <t>Siliqua</t>
  </si>
  <si>
    <t>Silius</t>
  </si>
  <si>
    <t xml:space="preserve">Sillavengo (NO) </t>
  </si>
  <si>
    <t>003138</t>
  </si>
  <si>
    <t>Sillavengo</t>
  </si>
  <si>
    <t xml:space="preserve">Silvano d'Orba (AL) </t>
  </si>
  <si>
    <t>006162</t>
  </si>
  <si>
    <t>Silvano d'Orba</t>
  </si>
  <si>
    <t xml:space="preserve">Silvano Pietra (PV) </t>
  </si>
  <si>
    <t>018149</t>
  </si>
  <si>
    <t>Silvano Pietra</t>
  </si>
  <si>
    <t xml:space="preserve">Silvi (TE) </t>
  </si>
  <si>
    <t>067040</t>
  </si>
  <si>
    <t>Silvi</t>
  </si>
  <si>
    <t xml:space="preserve">Simala (OR) </t>
  </si>
  <si>
    <t>Simala</t>
  </si>
  <si>
    <t xml:space="preserve">Simaxis (OR) </t>
  </si>
  <si>
    <t>Simaxis</t>
  </si>
  <si>
    <t xml:space="preserve">Simbario (VV) </t>
  </si>
  <si>
    <t>Simbario</t>
  </si>
  <si>
    <t xml:space="preserve">Simeri Crichi (CZ) </t>
  </si>
  <si>
    <t>079133</t>
  </si>
  <si>
    <t>Simeri Crichi</t>
  </si>
  <si>
    <t xml:space="preserve">Sinagra (ME) </t>
  </si>
  <si>
    <t>083095</t>
  </si>
  <si>
    <t>Sinagra</t>
  </si>
  <si>
    <t xml:space="preserve">Sinalunga (SI) </t>
  </si>
  <si>
    <t>052033</t>
  </si>
  <si>
    <t>Sinalunga</t>
  </si>
  <si>
    <t xml:space="preserve">Sindia (NU) </t>
  </si>
  <si>
    <t>Sindia</t>
  </si>
  <si>
    <t xml:space="preserve">Sini (OR) </t>
  </si>
  <si>
    <t>Sini</t>
  </si>
  <si>
    <t xml:space="preserve">Sinio (CN) </t>
  </si>
  <si>
    <t>004220</t>
  </si>
  <si>
    <t>Sinio</t>
  </si>
  <si>
    <t xml:space="preserve">Siniscola (NU) </t>
  </si>
  <si>
    <t>Siniscola</t>
  </si>
  <si>
    <t xml:space="preserve">Sinnai (CA) </t>
  </si>
  <si>
    <t>Sinnai</t>
  </si>
  <si>
    <t xml:space="preserve">Sinopoli (RC) </t>
  </si>
  <si>
    <t>080089</t>
  </si>
  <si>
    <t>Sinopoli</t>
  </si>
  <si>
    <t xml:space="preserve">Siracusa (SR) </t>
  </si>
  <si>
    <t>089017</t>
  </si>
  <si>
    <t>Siracusa</t>
  </si>
  <si>
    <t xml:space="preserve">Sirignano (AV) </t>
  </si>
  <si>
    <t>064100</t>
  </si>
  <si>
    <t>Sirignano</t>
  </si>
  <si>
    <t xml:space="preserve">Siris (OR) </t>
  </si>
  <si>
    <t>Siris</t>
  </si>
  <si>
    <t xml:space="preserve">Sirmione (BS) </t>
  </si>
  <si>
    <t>017179</t>
  </si>
  <si>
    <t>Sirmione</t>
  </si>
  <si>
    <t xml:space="preserve">Sirolo (AN) </t>
  </si>
  <si>
    <t>042048</t>
  </si>
  <si>
    <t>Sirolo</t>
  </si>
  <si>
    <t xml:space="preserve">Sirone (LC) </t>
  </si>
  <si>
    <t>097075</t>
  </si>
  <si>
    <t>Sirone</t>
  </si>
  <si>
    <t xml:space="preserve">Sirtori (LC) </t>
  </si>
  <si>
    <t>097076</t>
  </si>
  <si>
    <t>Sirtori</t>
  </si>
  <si>
    <t>Siurgus Donigala</t>
  </si>
  <si>
    <t xml:space="preserve">Siziano (PV) </t>
  </si>
  <si>
    <t>018150</t>
  </si>
  <si>
    <t>Siziano</t>
  </si>
  <si>
    <t xml:space="preserve">Sizzano (NO) </t>
  </si>
  <si>
    <t>003139</t>
  </si>
  <si>
    <t>Sizzano</t>
  </si>
  <si>
    <t>021094</t>
  </si>
  <si>
    <t xml:space="preserve">Smerillo (FM) </t>
  </si>
  <si>
    <t>Smerillo</t>
  </si>
  <si>
    <t xml:space="preserve">Soave (VR) </t>
  </si>
  <si>
    <t>023081</t>
  </si>
  <si>
    <t>Soave</t>
  </si>
  <si>
    <t xml:space="preserve">Socchieve (UD) </t>
  </si>
  <si>
    <t>030110</t>
  </si>
  <si>
    <t>Socchieve</t>
  </si>
  <si>
    <t xml:space="preserve">Soddì (OR) </t>
  </si>
  <si>
    <t>Soddì</t>
  </si>
  <si>
    <t xml:space="preserve">Sogliano al Rubicone (FC) </t>
  </si>
  <si>
    <t>040046</t>
  </si>
  <si>
    <t>Sogliano al Rubicone</t>
  </si>
  <si>
    <t xml:space="preserve">Sogliano Cavour (LE) </t>
  </si>
  <si>
    <t>075075</t>
  </si>
  <si>
    <t>Sogliano Cavour</t>
  </si>
  <si>
    <t xml:space="preserve">Soglio (AT) </t>
  </si>
  <si>
    <t>005107</t>
  </si>
  <si>
    <t>Soglio</t>
  </si>
  <si>
    <t xml:space="preserve">Soiano del Lago (BS) </t>
  </si>
  <si>
    <t>017180</t>
  </si>
  <si>
    <t>Soiano del Lago</t>
  </si>
  <si>
    <t xml:space="preserve">Solagna (VI) </t>
  </si>
  <si>
    <t>024101</t>
  </si>
  <si>
    <t>Solagna</t>
  </si>
  <si>
    <t xml:space="preserve">Solarino (SR) </t>
  </si>
  <si>
    <t>089018</t>
  </si>
  <si>
    <t>Solarino</t>
  </si>
  <si>
    <t xml:space="preserve">Solaro (MI) </t>
  </si>
  <si>
    <t>015213</t>
  </si>
  <si>
    <t>Solaro</t>
  </si>
  <si>
    <t xml:space="preserve">Solarolo (RA) </t>
  </si>
  <si>
    <t>039018</t>
  </si>
  <si>
    <t>Solarolo</t>
  </si>
  <si>
    <t xml:space="preserve">Solarolo Rainerio (CR) </t>
  </si>
  <si>
    <t>019096</t>
  </si>
  <si>
    <t>Solarolo Rainerio</t>
  </si>
  <si>
    <t xml:space="preserve">Solarussa (OR) </t>
  </si>
  <si>
    <t>Solarussa</t>
  </si>
  <si>
    <t xml:space="preserve">Solbiate Arno (VA) </t>
  </si>
  <si>
    <t>012121</t>
  </si>
  <si>
    <t>Solbiate Arno</t>
  </si>
  <si>
    <t xml:space="preserve">Solbiate Olona (VA) </t>
  </si>
  <si>
    <t>012122</t>
  </si>
  <si>
    <t>Solbiate Olona</t>
  </si>
  <si>
    <t xml:space="preserve">Soldano (IM) </t>
  </si>
  <si>
    <t>008058</t>
  </si>
  <si>
    <t>Soldano</t>
  </si>
  <si>
    <t>Soleminis</t>
  </si>
  <si>
    <t xml:space="preserve">Solero (AL) </t>
  </si>
  <si>
    <t>006163</t>
  </si>
  <si>
    <t>Solero</t>
  </si>
  <si>
    <t xml:space="preserve">Solesino (PD) </t>
  </si>
  <si>
    <t>028087</t>
  </si>
  <si>
    <t>Solesino</t>
  </si>
  <si>
    <t xml:space="preserve">Soleto (LE) </t>
  </si>
  <si>
    <t>075076</t>
  </si>
  <si>
    <t>Soleto</t>
  </si>
  <si>
    <t xml:space="preserve">Solferino (MN) </t>
  </si>
  <si>
    <t>020063</t>
  </si>
  <si>
    <t>Solferino</t>
  </si>
  <si>
    <t xml:space="preserve">Soliera (MO) </t>
  </si>
  <si>
    <t>036044</t>
  </si>
  <si>
    <t>Soliera</t>
  </si>
  <si>
    <t xml:space="preserve">Solignano (PR) </t>
  </si>
  <si>
    <t>034035</t>
  </si>
  <si>
    <t>Solignano</t>
  </si>
  <si>
    <t xml:space="preserve">Solofra (AV) </t>
  </si>
  <si>
    <t>064101</t>
  </si>
  <si>
    <t>Solofra</t>
  </si>
  <si>
    <t xml:space="preserve">Solonghello (AL) </t>
  </si>
  <si>
    <t>006164</t>
  </si>
  <si>
    <t>Solonghello</t>
  </si>
  <si>
    <t xml:space="preserve">Solopaca (BN) </t>
  </si>
  <si>
    <t>062073</t>
  </si>
  <si>
    <t>Solopaca</t>
  </si>
  <si>
    <t xml:space="preserve">Solto Collina (BG) </t>
  </si>
  <si>
    <t>016200</t>
  </si>
  <si>
    <t>Solto Collina</t>
  </si>
  <si>
    <t xml:space="preserve">Solza (BG) </t>
  </si>
  <si>
    <t>016251</t>
  </si>
  <si>
    <t>Solza</t>
  </si>
  <si>
    <t xml:space="preserve">Somaglia (LO) </t>
  </si>
  <si>
    <t>098054</t>
  </si>
  <si>
    <t>Somaglia</t>
  </si>
  <si>
    <t xml:space="preserve">Somano (CN) </t>
  </si>
  <si>
    <t>004221</t>
  </si>
  <si>
    <t>Somano</t>
  </si>
  <si>
    <t xml:space="preserve">Somma Lombardo (VA) </t>
  </si>
  <si>
    <t>012123</t>
  </si>
  <si>
    <t>Somma Lombardo</t>
  </si>
  <si>
    <t xml:space="preserve">Somma Vesuviana (NA) </t>
  </si>
  <si>
    <t>063079</t>
  </si>
  <si>
    <t>Somma Vesuviana</t>
  </si>
  <si>
    <t xml:space="preserve">Sommacampagna (VR) </t>
  </si>
  <si>
    <t>023082</t>
  </si>
  <si>
    <t>Sommacampagna</t>
  </si>
  <si>
    <t xml:space="preserve">Sommariva del Bosco (CN) </t>
  </si>
  <si>
    <t>004222</t>
  </si>
  <si>
    <t>Sommariva del Bosco</t>
  </si>
  <si>
    <t xml:space="preserve">Sommariva Perno (CN) </t>
  </si>
  <si>
    <t>004223</t>
  </si>
  <si>
    <t>Sommariva Perno</t>
  </si>
  <si>
    <t xml:space="preserve">Sommatino (CL) </t>
  </si>
  <si>
    <t>085019</t>
  </si>
  <si>
    <t>Sommatino</t>
  </si>
  <si>
    <t xml:space="preserve">Sommo (PV) </t>
  </si>
  <si>
    <t>018151</t>
  </si>
  <si>
    <t>Sommo</t>
  </si>
  <si>
    <t xml:space="preserve">Sona (VR) </t>
  </si>
  <si>
    <t>023083</t>
  </si>
  <si>
    <t>Sona</t>
  </si>
  <si>
    <t xml:space="preserve">Soncino (CR) </t>
  </si>
  <si>
    <t>019097</t>
  </si>
  <si>
    <t>Soncino</t>
  </si>
  <si>
    <t xml:space="preserve">Sondalo (SO) </t>
  </si>
  <si>
    <t>014060</t>
  </si>
  <si>
    <t>Sondalo</t>
  </si>
  <si>
    <t xml:space="preserve">Sondrio (SO) </t>
  </si>
  <si>
    <t>014061</t>
  </si>
  <si>
    <t>Sondrio</t>
  </si>
  <si>
    <t xml:space="preserve">Songavazzo (BG) </t>
  </si>
  <si>
    <t>016201</t>
  </si>
  <si>
    <t>Songavazzo</t>
  </si>
  <si>
    <t xml:space="preserve">Sonico (BS) </t>
  </si>
  <si>
    <t>017181</t>
  </si>
  <si>
    <t>Sonico</t>
  </si>
  <si>
    <t xml:space="preserve">Sonnino (LT) </t>
  </si>
  <si>
    <t>059029</t>
  </si>
  <si>
    <t>Sonnino</t>
  </si>
  <si>
    <t xml:space="preserve">Sora (FR) </t>
  </si>
  <si>
    <t>060074</t>
  </si>
  <si>
    <t>Sora</t>
  </si>
  <si>
    <t>022176</t>
  </si>
  <si>
    <t xml:space="preserve">Soragna (PR) </t>
  </si>
  <si>
    <t>034036</t>
  </si>
  <si>
    <t>Soragna</t>
  </si>
  <si>
    <t xml:space="preserve">Sorano (GR) </t>
  </si>
  <si>
    <t>053026</t>
  </si>
  <si>
    <t>Sorano</t>
  </si>
  <si>
    <t xml:space="preserve">Sorbo San Basile (CZ) </t>
  </si>
  <si>
    <t>079134</t>
  </si>
  <si>
    <t>Sorbo San Basile</t>
  </si>
  <si>
    <t xml:space="preserve">Sorbo Serpico (AV) </t>
  </si>
  <si>
    <t>064102</t>
  </si>
  <si>
    <t>Sorbo Serpico</t>
  </si>
  <si>
    <t xml:space="preserve">Sordevolo (BI) </t>
  </si>
  <si>
    <t>096063</t>
  </si>
  <si>
    <t>Sordevolo</t>
  </si>
  <si>
    <t xml:space="preserve">Sordio (LO) </t>
  </si>
  <si>
    <t>098055</t>
  </si>
  <si>
    <t>Sordio</t>
  </si>
  <si>
    <t xml:space="preserve">Soresina (CR) </t>
  </si>
  <si>
    <t>019098</t>
  </si>
  <si>
    <t>Soresina</t>
  </si>
  <si>
    <t xml:space="preserve">Sorgà (VR) </t>
  </si>
  <si>
    <t>023084</t>
  </si>
  <si>
    <t>Sorgà</t>
  </si>
  <si>
    <t xml:space="preserve">Sorgono (NU) </t>
  </si>
  <si>
    <t>Sorgono</t>
  </si>
  <si>
    <t xml:space="preserve">Sori (GE) </t>
  </si>
  <si>
    <t>010060</t>
  </si>
  <si>
    <t>Sori</t>
  </si>
  <si>
    <t xml:space="preserve">Sorianello (VV) </t>
  </si>
  <si>
    <t>Sorianello</t>
  </si>
  <si>
    <t xml:space="preserve">Soriano Calabro (VV) </t>
  </si>
  <si>
    <t>Soriano Calabro</t>
  </si>
  <si>
    <t xml:space="preserve">Soriano nel Cimino (VT) </t>
  </si>
  <si>
    <t>056048</t>
  </si>
  <si>
    <t>Soriano nel Cimino</t>
  </si>
  <si>
    <t xml:space="preserve">Sorico (CO) </t>
  </si>
  <si>
    <t>013216</t>
  </si>
  <si>
    <t>Sorico</t>
  </si>
  <si>
    <t xml:space="preserve">Soriso (NO) </t>
  </si>
  <si>
    <t>003140</t>
  </si>
  <si>
    <t>Soriso</t>
  </si>
  <si>
    <t xml:space="preserve">Sorisole (BG) </t>
  </si>
  <si>
    <t>016202</t>
  </si>
  <si>
    <t>Sorisole</t>
  </si>
  <si>
    <t xml:space="preserve">Sormano (CO) </t>
  </si>
  <si>
    <t>013217</t>
  </si>
  <si>
    <t>Sormano</t>
  </si>
  <si>
    <t xml:space="preserve">Sorradile (OR) </t>
  </si>
  <si>
    <t>Sorradile</t>
  </si>
  <si>
    <t xml:space="preserve">Sorrento (NA) </t>
  </si>
  <si>
    <t>063080</t>
  </si>
  <si>
    <t>Sorrento</t>
  </si>
  <si>
    <t xml:space="preserve">Sorso (SS) </t>
  </si>
  <si>
    <t>Sorso</t>
  </si>
  <si>
    <t xml:space="preserve">Sortino (SR) </t>
  </si>
  <si>
    <t>089019</t>
  </si>
  <si>
    <t>Sortino</t>
  </si>
  <si>
    <t xml:space="preserve">Sospiro (CR) </t>
  </si>
  <si>
    <t>019099</t>
  </si>
  <si>
    <t>Sospiro</t>
  </si>
  <si>
    <t xml:space="preserve">Sospirolo (BL) </t>
  </si>
  <si>
    <t>025056</t>
  </si>
  <si>
    <t>Sospirolo</t>
  </si>
  <si>
    <t xml:space="preserve">Sossano (VI) </t>
  </si>
  <si>
    <t>024102</t>
  </si>
  <si>
    <t>Sossano</t>
  </si>
  <si>
    <t xml:space="preserve">Sostegno (BI) </t>
  </si>
  <si>
    <t>096064</t>
  </si>
  <si>
    <t>Sostegno</t>
  </si>
  <si>
    <t xml:space="preserve">Sotto il Monte Giovanni XXIII (BG) </t>
  </si>
  <si>
    <t>016203</t>
  </si>
  <si>
    <t>Sotto il Monte Giovanni XXIII</t>
  </si>
  <si>
    <t xml:space="preserve">Sover (TN) </t>
  </si>
  <si>
    <t>022177</t>
  </si>
  <si>
    <t>Sover</t>
  </si>
  <si>
    <t xml:space="preserve">Soverato (CZ) </t>
  </si>
  <si>
    <t>079137</t>
  </si>
  <si>
    <t>Soverato</t>
  </si>
  <si>
    <t xml:space="preserve">Sovere (BG) </t>
  </si>
  <si>
    <t>016204</t>
  </si>
  <si>
    <t>Sovere</t>
  </si>
  <si>
    <t xml:space="preserve">Soveria Mannelli (CZ) </t>
  </si>
  <si>
    <t>079138</t>
  </si>
  <si>
    <t>Soveria Mannelli</t>
  </si>
  <si>
    <t xml:space="preserve">Soveria Simeri (CZ) </t>
  </si>
  <si>
    <t>079139</t>
  </si>
  <si>
    <t>Soveria Simeri</t>
  </si>
  <si>
    <t xml:space="preserve">Soverzene (BL) </t>
  </si>
  <si>
    <t>025057</t>
  </si>
  <si>
    <t>Soverzene</t>
  </si>
  <si>
    <t xml:space="preserve">Sovicille (SI) </t>
  </si>
  <si>
    <t>052034</t>
  </si>
  <si>
    <t>Sovicille</t>
  </si>
  <si>
    <t xml:space="preserve">Sovico (MB) </t>
  </si>
  <si>
    <t>Sovico</t>
  </si>
  <si>
    <t xml:space="preserve">Sovizzo (VI) </t>
  </si>
  <si>
    <t>Sovizzo</t>
  </si>
  <si>
    <t xml:space="preserve">Sovramonte (BL) </t>
  </si>
  <si>
    <t>025058</t>
  </si>
  <si>
    <t>Sovramonte</t>
  </si>
  <si>
    <t xml:space="preserve">Sozzago (NO) </t>
  </si>
  <si>
    <t>003141</t>
  </si>
  <si>
    <t>Sozzago</t>
  </si>
  <si>
    <t xml:space="preserve">Spadafora (ME) </t>
  </si>
  <si>
    <t>083096</t>
  </si>
  <si>
    <t>Spadafora</t>
  </si>
  <si>
    <t xml:space="preserve">Spadola (VV) </t>
  </si>
  <si>
    <t>Spadola</t>
  </si>
  <si>
    <t xml:space="preserve">Sparanise (CE) </t>
  </si>
  <si>
    <t>061089</t>
  </si>
  <si>
    <t>Sparanise</t>
  </si>
  <si>
    <t xml:space="preserve">Sparone (TO) </t>
  </si>
  <si>
    <t>001267</t>
  </si>
  <si>
    <t>Sparone</t>
  </si>
  <si>
    <t xml:space="preserve">Specchia (LE) </t>
  </si>
  <si>
    <t>075077</t>
  </si>
  <si>
    <t>Specchia</t>
  </si>
  <si>
    <t xml:space="preserve">Spello (PG) </t>
  </si>
  <si>
    <t>054050</t>
  </si>
  <si>
    <t>Spello</t>
  </si>
  <si>
    <t xml:space="preserve">Sperlinga (EN) </t>
  </si>
  <si>
    <t>086017</t>
  </si>
  <si>
    <t>Sperlinga</t>
  </si>
  <si>
    <t xml:space="preserve">Sperlonga (LT) </t>
  </si>
  <si>
    <t>059030</t>
  </si>
  <si>
    <t>Sperlonga</t>
  </si>
  <si>
    <t xml:space="preserve">Sperone (AV) </t>
  </si>
  <si>
    <t>064103</t>
  </si>
  <si>
    <t>Sperone</t>
  </si>
  <si>
    <t xml:space="preserve">Spessa (PV) </t>
  </si>
  <si>
    <t>018152</t>
  </si>
  <si>
    <t>Spessa</t>
  </si>
  <si>
    <t xml:space="preserve">Spezzano Albanese (CS) </t>
  </si>
  <si>
    <t>078142</t>
  </si>
  <si>
    <t>Spezzano Albanese</t>
  </si>
  <si>
    <t xml:space="preserve">Spezzano della Sila (CS) </t>
  </si>
  <si>
    <t>078143</t>
  </si>
  <si>
    <t>Spezzano della Sila</t>
  </si>
  <si>
    <t xml:space="preserve">Spiazzo (TN) </t>
  </si>
  <si>
    <t>022179</t>
  </si>
  <si>
    <t>Spiazzo</t>
  </si>
  <si>
    <t xml:space="preserve">Spigno Monferrato (AL) </t>
  </si>
  <si>
    <t>006165</t>
  </si>
  <si>
    <t>Spigno Monferrato</t>
  </si>
  <si>
    <t xml:space="preserve">Spigno Saturnia (LT) </t>
  </si>
  <si>
    <t>059031</t>
  </si>
  <si>
    <t>Spigno Saturnia</t>
  </si>
  <si>
    <t xml:space="preserve">Spilamberto (MO) </t>
  </si>
  <si>
    <t>036045</t>
  </si>
  <si>
    <t>Spilamberto</t>
  </si>
  <si>
    <t xml:space="preserve">Spilimbergo (PN) </t>
  </si>
  <si>
    <t>093044</t>
  </si>
  <si>
    <t>Spilimbergo</t>
  </si>
  <si>
    <t xml:space="preserve">Spilinga (VV) </t>
  </si>
  <si>
    <t>Spilinga</t>
  </si>
  <si>
    <t xml:space="preserve">Spinadesco (CR) </t>
  </si>
  <si>
    <t>019100</t>
  </si>
  <si>
    <t>Spinadesco</t>
  </si>
  <si>
    <t xml:space="preserve">Spinazzola (BT) </t>
  </si>
  <si>
    <t>Spinazzola</t>
  </si>
  <si>
    <t xml:space="preserve">Spinea (VE) </t>
  </si>
  <si>
    <t>027038</t>
  </si>
  <si>
    <t>Spinea</t>
  </si>
  <si>
    <t xml:space="preserve">Spineda (CR) </t>
  </si>
  <si>
    <t>019101</t>
  </si>
  <si>
    <t>Spineda</t>
  </si>
  <si>
    <t xml:space="preserve">Spinete (CB) </t>
  </si>
  <si>
    <t>070076</t>
  </si>
  <si>
    <t>Spinete</t>
  </si>
  <si>
    <t xml:space="preserve">Spineto Scrivia (AL) </t>
  </si>
  <si>
    <t>006166</t>
  </si>
  <si>
    <t>Spineto Scrivia</t>
  </si>
  <si>
    <t xml:space="preserve">Spinetoli (AP) </t>
  </si>
  <si>
    <t>044071</t>
  </si>
  <si>
    <t>Spinetoli</t>
  </si>
  <si>
    <t xml:space="preserve">Spino d'Adda (CR) </t>
  </si>
  <si>
    <t>019102</t>
  </si>
  <si>
    <t>Spino d'Adda</t>
  </si>
  <si>
    <t xml:space="preserve">Spinone al Lago (BG) </t>
  </si>
  <si>
    <t>016205</t>
  </si>
  <si>
    <t>Spinone al Lago</t>
  </si>
  <si>
    <t xml:space="preserve">Spinoso (PZ) </t>
  </si>
  <si>
    <t>076086</t>
  </si>
  <si>
    <t>Spinoso</t>
  </si>
  <si>
    <t xml:space="preserve">Spirano (BG) </t>
  </si>
  <si>
    <t>016206</t>
  </si>
  <si>
    <t>Spirano</t>
  </si>
  <si>
    <t xml:space="preserve">Spoleto (PG) </t>
  </si>
  <si>
    <t>054051</t>
  </si>
  <si>
    <t>Spoleto</t>
  </si>
  <si>
    <t xml:space="preserve">Spoltore (PE) </t>
  </si>
  <si>
    <t>068041</t>
  </si>
  <si>
    <t>Spoltore</t>
  </si>
  <si>
    <t xml:space="preserve">Spongano (LE) </t>
  </si>
  <si>
    <t>075078</t>
  </si>
  <si>
    <t>Spongano</t>
  </si>
  <si>
    <t xml:space="preserve">Spormaggiore (TN) </t>
  </si>
  <si>
    <t>022180</t>
  </si>
  <si>
    <t>Spormaggiore</t>
  </si>
  <si>
    <t xml:space="preserve">Sporminore (TN) </t>
  </si>
  <si>
    <t>022181</t>
  </si>
  <si>
    <t>Sporminore</t>
  </si>
  <si>
    <t xml:space="preserve">Spotorno (SV) </t>
  </si>
  <si>
    <t>009057</t>
  </si>
  <si>
    <t>Spotorno</t>
  </si>
  <si>
    <t xml:space="preserve">Spresiano (TV) </t>
  </si>
  <si>
    <t>026082</t>
  </si>
  <si>
    <t>Spresiano</t>
  </si>
  <si>
    <t xml:space="preserve">Spriana (SO) </t>
  </si>
  <si>
    <t>014062</t>
  </si>
  <si>
    <t>Spriana</t>
  </si>
  <si>
    <t xml:space="preserve">Squillace (CZ) </t>
  </si>
  <si>
    <t>079142</t>
  </si>
  <si>
    <t>Squillace</t>
  </si>
  <si>
    <t xml:space="preserve">Squinzano (LE) </t>
  </si>
  <si>
    <t>075079</t>
  </si>
  <si>
    <t>Squinzano</t>
  </si>
  <si>
    <t xml:space="preserve">Staffolo (AN) </t>
  </si>
  <si>
    <t>042049</t>
  </si>
  <si>
    <t>Staffolo</t>
  </si>
  <si>
    <t xml:space="preserve">Stagno Lombardo (CR) </t>
  </si>
  <si>
    <t>019103</t>
  </si>
  <si>
    <t>Stagno Lombardo</t>
  </si>
  <si>
    <t xml:space="preserve">Staiti (RC) </t>
  </si>
  <si>
    <t>080090</t>
  </si>
  <si>
    <t>Staiti</t>
  </si>
  <si>
    <t xml:space="preserve">Stalettì (CZ) </t>
  </si>
  <si>
    <t>079143</t>
  </si>
  <si>
    <t>Stalettì</t>
  </si>
  <si>
    <t xml:space="preserve">Stanghella (PD) </t>
  </si>
  <si>
    <t>028088</t>
  </si>
  <si>
    <t>Stanghella</t>
  </si>
  <si>
    <t xml:space="preserve">Staranzano (GO) </t>
  </si>
  <si>
    <t>031023</t>
  </si>
  <si>
    <t>Staranzano</t>
  </si>
  <si>
    <t xml:space="preserve">Statte (TA) </t>
  </si>
  <si>
    <t>073029</t>
  </si>
  <si>
    <t>Statte</t>
  </si>
  <si>
    <t xml:space="preserve">Stazzano (AL) </t>
  </si>
  <si>
    <t>006167</t>
  </si>
  <si>
    <t>Stazzano</t>
  </si>
  <si>
    <t xml:space="preserve">Stazzema (LU) </t>
  </si>
  <si>
    <t>046030</t>
  </si>
  <si>
    <t>Stazzema</t>
  </si>
  <si>
    <t xml:space="preserve">Stazzona (CO) </t>
  </si>
  <si>
    <t>013218</t>
  </si>
  <si>
    <t>Stazzona</t>
  </si>
  <si>
    <t xml:space="preserve">Stefanaconi (VV) </t>
  </si>
  <si>
    <t>Stefanaconi</t>
  </si>
  <si>
    <t xml:space="preserve">Stella (SV) </t>
  </si>
  <si>
    <t>009058</t>
  </si>
  <si>
    <t>Stella</t>
  </si>
  <si>
    <t xml:space="preserve">Stella Cilento (SA) </t>
  </si>
  <si>
    <t>065144</t>
  </si>
  <si>
    <t>Stella Cilento</t>
  </si>
  <si>
    <t xml:space="preserve">Stellanello (SV) </t>
  </si>
  <si>
    <t>009059</t>
  </si>
  <si>
    <t>Stellanello</t>
  </si>
  <si>
    <t>021095</t>
  </si>
  <si>
    <t xml:space="preserve">Stenico (TN) </t>
  </si>
  <si>
    <t>022182</t>
  </si>
  <si>
    <t>Stenico</t>
  </si>
  <si>
    <t xml:space="preserve">Sternatia (LE) </t>
  </si>
  <si>
    <t>075080</t>
  </si>
  <si>
    <t>Sternatia</t>
  </si>
  <si>
    <t xml:space="preserve">Stezzano (BG) </t>
  </si>
  <si>
    <t>016207</t>
  </si>
  <si>
    <t>Stezzano</t>
  </si>
  <si>
    <t xml:space="preserve">Stienta (RO) </t>
  </si>
  <si>
    <t>029045</t>
  </si>
  <si>
    <t>Stienta</t>
  </si>
  <si>
    <t xml:space="preserve">Stigliano (MT) </t>
  </si>
  <si>
    <t>077027</t>
  </si>
  <si>
    <t>Stigliano</t>
  </si>
  <si>
    <t xml:space="preserve">Stignano (RC) </t>
  </si>
  <si>
    <t>080091</t>
  </si>
  <si>
    <t>Stignano</t>
  </si>
  <si>
    <t xml:space="preserve">Stilo (RC) </t>
  </si>
  <si>
    <t>080092</t>
  </si>
  <si>
    <t>Stilo</t>
  </si>
  <si>
    <t xml:space="preserve">Stimigliano (RI) </t>
  </si>
  <si>
    <t>057066</t>
  </si>
  <si>
    <t>Stimigliano</t>
  </si>
  <si>
    <t xml:space="preserve">Stintino (SS) </t>
  </si>
  <si>
    <t>Stintino</t>
  </si>
  <si>
    <t xml:space="preserve">Stio (SA) </t>
  </si>
  <si>
    <t>065145</t>
  </si>
  <si>
    <t>Stio</t>
  </si>
  <si>
    <t xml:space="preserve">Stornara (FG) </t>
  </si>
  <si>
    <t>071054</t>
  </si>
  <si>
    <t>Stornara</t>
  </si>
  <si>
    <t xml:space="preserve">Stornarella (FG) </t>
  </si>
  <si>
    <t>071055</t>
  </si>
  <si>
    <t>Stornarella</t>
  </si>
  <si>
    <t xml:space="preserve">Storo (TN) </t>
  </si>
  <si>
    <t>022183</t>
  </si>
  <si>
    <t>Storo</t>
  </si>
  <si>
    <t xml:space="preserve">Stra (VE) </t>
  </si>
  <si>
    <t>027039</t>
  </si>
  <si>
    <t>Stra</t>
  </si>
  <si>
    <t xml:space="preserve">Stradella (PV) </t>
  </si>
  <si>
    <t>018153</t>
  </si>
  <si>
    <t>Stradella</t>
  </si>
  <si>
    <t xml:space="preserve">Strambinello (TO) </t>
  </si>
  <si>
    <t>001268</t>
  </si>
  <si>
    <t>Strambinello</t>
  </si>
  <si>
    <t xml:space="preserve">Strambino (TO) </t>
  </si>
  <si>
    <t>001269</t>
  </si>
  <si>
    <t>Strambino</t>
  </si>
  <si>
    <t xml:space="preserve">Strangolagalli (FR) </t>
  </si>
  <si>
    <t>060075</t>
  </si>
  <si>
    <t>Strangolagalli</t>
  </si>
  <si>
    <t xml:space="preserve">Stregna (UD) </t>
  </si>
  <si>
    <t>030111</t>
  </si>
  <si>
    <t>Stregna</t>
  </si>
  <si>
    <t xml:space="preserve">Strembo (TN) </t>
  </si>
  <si>
    <t>022184</t>
  </si>
  <si>
    <t>Strembo</t>
  </si>
  <si>
    <t xml:space="preserve">Stresa (VB) </t>
  </si>
  <si>
    <t>Stresa</t>
  </si>
  <si>
    <t xml:space="preserve">Strevi (AL) </t>
  </si>
  <si>
    <t>006168</t>
  </si>
  <si>
    <t>Strevi</t>
  </si>
  <si>
    <t xml:space="preserve">Striano (NA) </t>
  </si>
  <si>
    <t>063081</t>
  </si>
  <si>
    <t>Striano</t>
  </si>
  <si>
    <t xml:space="preserve">Strona (BI) </t>
  </si>
  <si>
    <t>096065</t>
  </si>
  <si>
    <t>Strona</t>
  </si>
  <si>
    <t xml:space="preserve">Stroncone (TR) </t>
  </si>
  <si>
    <t>055031</t>
  </si>
  <si>
    <t>Stroncone</t>
  </si>
  <si>
    <t xml:space="preserve">Strongoli (KR) </t>
  </si>
  <si>
    <t>Strongoli</t>
  </si>
  <si>
    <t xml:space="preserve">Stroppiana (VC) </t>
  </si>
  <si>
    <t>002142</t>
  </si>
  <si>
    <t>Stroppiana</t>
  </si>
  <si>
    <t xml:space="preserve">Stroppo (CN) </t>
  </si>
  <si>
    <t>004224</t>
  </si>
  <si>
    <t>Stroppo</t>
  </si>
  <si>
    <t xml:space="preserve">Strozza (BG) </t>
  </si>
  <si>
    <t>016208</t>
  </si>
  <si>
    <t>Strozza</t>
  </si>
  <si>
    <t xml:space="preserve">Sturno (AV) </t>
  </si>
  <si>
    <t>064104</t>
  </si>
  <si>
    <t>Sturno</t>
  </si>
  <si>
    <t xml:space="preserve">Suardi (PV) </t>
  </si>
  <si>
    <t>018154</t>
  </si>
  <si>
    <t>Suardi</t>
  </si>
  <si>
    <t xml:space="preserve">Subbiano (AR) </t>
  </si>
  <si>
    <t>051037</t>
  </si>
  <si>
    <t>Subbiano</t>
  </si>
  <si>
    <t xml:space="preserve">Subiaco (RM) </t>
  </si>
  <si>
    <t>058103</t>
  </si>
  <si>
    <t>Subiaco</t>
  </si>
  <si>
    <t xml:space="preserve">Succivo (CE) </t>
  </si>
  <si>
    <t>061090</t>
  </si>
  <si>
    <t>Succivo</t>
  </si>
  <si>
    <t xml:space="preserve">Sueglio (LC) </t>
  </si>
  <si>
    <t>097077</t>
  </si>
  <si>
    <t>Sueglio</t>
  </si>
  <si>
    <t>Suelli</t>
  </si>
  <si>
    <t xml:space="preserve">Suello (LC) </t>
  </si>
  <si>
    <t>097078</t>
  </si>
  <si>
    <t>Suello</t>
  </si>
  <si>
    <t xml:space="preserve">Suisio (BG) </t>
  </si>
  <si>
    <t>016209</t>
  </si>
  <si>
    <t>Suisio</t>
  </si>
  <si>
    <t xml:space="preserve">Sulbiate (MB) </t>
  </si>
  <si>
    <t>Sulbiate</t>
  </si>
  <si>
    <t xml:space="preserve">Sulmona (AQ) </t>
  </si>
  <si>
    <t>066098</t>
  </si>
  <si>
    <t>Sulmona</t>
  </si>
  <si>
    <t xml:space="preserve">Sulzano (BS) </t>
  </si>
  <si>
    <t>017182</t>
  </si>
  <si>
    <t>Sulzano</t>
  </si>
  <si>
    <t xml:space="preserve">Sumirago (VA) </t>
  </si>
  <si>
    <t>012124</t>
  </si>
  <si>
    <t>Sumirago</t>
  </si>
  <si>
    <t xml:space="preserve">Summonte (AV) </t>
  </si>
  <si>
    <t>064105</t>
  </si>
  <si>
    <t>Summonte</t>
  </si>
  <si>
    <t xml:space="preserve">Suni (OR) </t>
  </si>
  <si>
    <t>Suni</t>
  </si>
  <si>
    <t xml:space="preserve">Suno (NO) </t>
  </si>
  <si>
    <t>003143</t>
  </si>
  <si>
    <t>Suno</t>
  </si>
  <si>
    <t xml:space="preserve">Supersano (LE) </t>
  </si>
  <si>
    <t>075081</t>
  </si>
  <si>
    <t>Supersano</t>
  </si>
  <si>
    <t xml:space="preserve">Supino (FR) </t>
  </si>
  <si>
    <t>060076</t>
  </si>
  <si>
    <t>Supino</t>
  </si>
  <si>
    <t xml:space="preserve">Surano (LE) </t>
  </si>
  <si>
    <t>075082</t>
  </si>
  <si>
    <t>Surano</t>
  </si>
  <si>
    <t xml:space="preserve">Surbo (LE) </t>
  </si>
  <si>
    <t>075083</t>
  </si>
  <si>
    <t>Surbo</t>
  </si>
  <si>
    <t xml:space="preserve">Susa (TO) </t>
  </si>
  <si>
    <t>001270</t>
  </si>
  <si>
    <t>Susa</t>
  </si>
  <si>
    <t xml:space="preserve">Susegana (TV) </t>
  </si>
  <si>
    <t>026083</t>
  </si>
  <si>
    <t>Susegana</t>
  </si>
  <si>
    <t xml:space="preserve">Sustinente (MN) </t>
  </si>
  <si>
    <t>020064</t>
  </si>
  <si>
    <t>Sustinente</t>
  </si>
  <si>
    <t xml:space="preserve">Sutera (CL) </t>
  </si>
  <si>
    <t>085020</t>
  </si>
  <si>
    <t>Sutera</t>
  </si>
  <si>
    <t xml:space="preserve">Sutri (VT) </t>
  </si>
  <si>
    <t>056049</t>
  </si>
  <si>
    <t>Sutri</t>
  </si>
  <si>
    <t xml:space="preserve">Sutrio (UD) </t>
  </si>
  <si>
    <t>030112</t>
  </si>
  <si>
    <t>Sutrio</t>
  </si>
  <si>
    <t xml:space="preserve">Suvereto (LI) </t>
  </si>
  <si>
    <t>049020</t>
  </si>
  <si>
    <t>Suvereto</t>
  </si>
  <si>
    <t xml:space="preserve">Suzzara (MN) </t>
  </si>
  <si>
    <t>020065</t>
  </si>
  <si>
    <t>Suzzara</t>
  </si>
  <si>
    <t xml:space="preserve">Taceno (LC) </t>
  </si>
  <si>
    <t>097079</t>
  </si>
  <si>
    <t>Taceno</t>
  </si>
  <si>
    <t xml:space="preserve">Tadasuni (OR) </t>
  </si>
  <si>
    <t>Tadasuni</t>
  </si>
  <si>
    <t xml:space="preserve">Taggia (IM) </t>
  </si>
  <si>
    <t>008059</t>
  </si>
  <si>
    <t>Taggia</t>
  </si>
  <si>
    <t xml:space="preserve">Tagliacozzo (AQ) </t>
  </si>
  <si>
    <t>066099</t>
  </si>
  <si>
    <t>Tagliacozzo</t>
  </si>
  <si>
    <t xml:space="preserve">Taglio di Po (RO) </t>
  </si>
  <si>
    <t>029046</t>
  </si>
  <si>
    <t>Taglio di Po</t>
  </si>
  <si>
    <t xml:space="preserve">Tagliolo Monferrato (AL) </t>
  </si>
  <si>
    <t>006169</t>
  </si>
  <si>
    <t>Tagliolo Monferrato</t>
  </si>
  <si>
    <t xml:space="preserve">Taibon Agordino (BL) </t>
  </si>
  <si>
    <t>025059</t>
  </si>
  <si>
    <t>Taibon Agordino</t>
  </si>
  <si>
    <t xml:space="preserve">Taino (VA) </t>
  </si>
  <si>
    <t>012125</t>
  </si>
  <si>
    <t>Taino</t>
  </si>
  <si>
    <t xml:space="preserve">Taipana (UD) </t>
  </si>
  <si>
    <t>030113</t>
  </si>
  <si>
    <t>Taipana</t>
  </si>
  <si>
    <t xml:space="preserve">Talamello (RN) </t>
  </si>
  <si>
    <t>Talamello</t>
  </si>
  <si>
    <t xml:space="preserve">Talamona (SO) </t>
  </si>
  <si>
    <t>014063</t>
  </si>
  <si>
    <t>Talamona</t>
  </si>
  <si>
    <t>Talana</t>
  </si>
  <si>
    <t xml:space="preserve">Taleggio (BG) </t>
  </si>
  <si>
    <t>016210</t>
  </si>
  <si>
    <t>Taleggio</t>
  </si>
  <si>
    <t xml:space="preserve">Talla (AR) </t>
  </si>
  <si>
    <t>051038</t>
  </si>
  <si>
    <t>Talla</t>
  </si>
  <si>
    <t xml:space="preserve">Talmassons (UD) </t>
  </si>
  <si>
    <t>030114</t>
  </si>
  <si>
    <t>Talmassons</t>
  </si>
  <si>
    <t xml:space="preserve">Tambre (BL) </t>
  </si>
  <si>
    <t>025060</t>
  </si>
  <si>
    <t>Tambre</t>
  </si>
  <si>
    <t xml:space="preserve">Taormina (ME) </t>
  </si>
  <si>
    <t>083097</t>
  </si>
  <si>
    <t>Taormina</t>
  </si>
  <si>
    <t xml:space="preserve">Tarano (RI) </t>
  </si>
  <si>
    <t>057067</t>
  </si>
  <si>
    <t>Tarano</t>
  </si>
  <si>
    <t xml:space="preserve">Taranta Peligna (CH) </t>
  </si>
  <si>
    <t>069089</t>
  </si>
  <si>
    <t>Taranta Peligna</t>
  </si>
  <si>
    <t xml:space="preserve">Tarantasca (CN) </t>
  </si>
  <si>
    <t>004225</t>
  </si>
  <si>
    <t>Tarantasca</t>
  </si>
  <si>
    <t xml:space="preserve">Taranto (TA) </t>
  </si>
  <si>
    <t>073027</t>
  </si>
  <si>
    <t xml:space="preserve">Tarcento (UD) </t>
  </si>
  <si>
    <t>030116</t>
  </si>
  <si>
    <t>Tarcento</t>
  </si>
  <si>
    <t xml:space="preserve">Tarquinia (VT) </t>
  </si>
  <si>
    <t>056050</t>
  </si>
  <si>
    <t>Tarquinia</t>
  </si>
  <si>
    <t xml:space="preserve">Tarsia (CS) </t>
  </si>
  <si>
    <t>078145</t>
  </si>
  <si>
    <t>Tarsia</t>
  </si>
  <si>
    <t xml:space="preserve">Tartano (SO) </t>
  </si>
  <si>
    <t>014064</t>
  </si>
  <si>
    <t>Tartano</t>
  </si>
  <si>
    <t xml:space="preserve">Tarvisio (UD) </t>
  </si>
  <si>
    <t>030117</t>
  </si>
  <si>
    <t>Tarvisio</t>
  </si>
  <si>
    <t xml:space="preserve">Tarzo (TV) </t>
  </si>
  <si>
    <t>026084</t>
  </si>
  <si>
    <t>Tarzo</t>
  </si>
  <si>
    <t xml:space="preserve">Tassarolo (AL) </t>
  </si>
  <si>
    <t>006170</t>
  </si>
  <si>
    <t>Tassarolo</t>
  </si>
  <si>
    <t xml:space="preserve">Taurano (AV) </t>
  </si>
  <si>
    <t>064106</t>
  </si>
  <si>
    <t>Taurano</t>
  </si>
  <si>
    <t xml:space="preserve">Taurasi (AV) </t>
  </si>
  <si>
    <t>064107</t>
  </si>
  <si>
    <t>Taurasi</t>
  </si>
  <si>
    <t xml:space="preserve">Taurianova (RC) </t>
  </si>
  <si>
    <t>080093</t>
  </si>
  <si>
    <t>Taurianova</t>
  </si>
  <si>
    <t xml:space="preserve">Taurisano (LE) </t>
  </si>
  <si>
    <t>075084</t>
  </si>
  <si>
    <t>Taurisano</t>
  </si>
  <si>
    <t xml:space="preserve">Tavagnacco (UD) </t>
  </si>
  <si>
    <t>030118</t>
  </si>
  <si>
    <t>Tavagnacco</t>
  </si>
  <si>
    <t xml:space="preserve">Tavagnasco (TO) </t>
  </si>
  <si>
    <t>001271</t>
  </si>
  <si>
    <t>Tavagnasco</t>
  </si>
  <si>
    <t xml:space="preserve">Tavazzano con Villavesco (LO) </t>
  </si>
  <si>
    <t>098056</t>
  </si>
  <si>
    <t>Tavazzano con Villavesco</t>
  </si>
  <si>
    <t xml:space="preserve">Tavenna (CB) </t>
  </si>
  <si>
    <t>070077</t>
  </si>
  <si>
    <t>Tavenna</t>
  </si>
  <si>
    <t xml:space="preserve">Taverna (CZ) </t>
  </si>
  <si>
    <t>079146</t>
  </si>
  <si>
    <t>Taverna</t>
  </si>
  <si>
    <t xml:space="preserve">Tavernerio (CO) </t>
  </si>
  <si>
    <t>013222</t>
  </si>
  <si>
    <t>Tavernerio</t>
  </si>
  <si>
    <t xml:space="preserve">Tavernola Bergamasca (BG) </t>
  </si>
  <si>
    <t>016211</t>
  </si>
  <si>
    <t>Tavernola Bergamasca</t>
  </si>
  <si>
    <t xml:space="preserve">Tavernole sul Mella (BS) </t>
  </si>
  <si>
    <t>017183</t>
  </si>
  <si>
    <t>Tavernole sul Mella</t>
  </si>
  <si>
    <t xml:space="preserve">Taviano (LE) </t>
  </si>
  <si>
    <t>075085</t>
  </si>
  <si>
    <t>Taviano</t>
  </si>
  <si>
    <t xml:space="preserve">Tavigliano (BI) </t>
  </si>
  <si>
    <t>096066</t>
  </si>
  <si>
    <t>Tavigliano</t>
  </si>
  <si>
    <t xml:space="preserve">Tavoleto (PU) </t>
  </si>
  <si>
    <t>041064</t>
  </si>
  <si>
    <t>Tavoleto</t>
  </si>
  <si>
    <t xml:space="preserve">Tavullia (PU) </t>
  </si>
  <si>
    <t>041065</t>
  </si>
  <si>
    <t>Tavullia</t>
  </si>
  <si>
    <t xml:space="preserve">Teana (PZ) </t>
  </si>
  <si>
    <t>076087</t>
  </si>
  <si>
    <t>Teana</t>
  </si>
  <si>
    <t xml:space="preserve">Teano (CE) </t>
  </si>
  <si>
    <t>061091</t>
  </si>
  <si>
    <t>Teano</t>
  </si>
  <si>
    <t xml:space="preserve">Teggiano (SA) </t>
  </si>
  <si>
    <t>065146</t>
  </si>
  <si>
    <t>Teggiano</t>
  </si>
  <si>
    <t xml:space="preserve">Teglio (SO) </t>
  </si>
  <si>
    <t>014065</t>
  </si>
  <si>
    <t>Teglio</t>
  </si>
  <si>
    <t xml:space="preserve">Teglio Veneto (VE) </t>
  </si>
  <si>
    <t>027040</t>
  </si>
  <si>
    <t>Teglio Veneto</t>
  </si>
  <si>
    <t xml:space="preserve">Telese Terme (BN) </t>
  </si>
  <si>
    <t>062074</t>
  </si>
  <si>
    <t>Telese Terme</t>
  </si>
  <si>
    <t xml:space="preserve">Telgate (BG) </t>
  </si>
  <si>
    <t>016212</t>
  </si>
  <si>
    <t>Telgate</t>
  </si>
  <si>
    <t>Telti</t>
  </si>
  <si>
    <t xml:space="preserve">Telve (TN) </t>
  </si>
  <si>
    <t>022188</t>
  </si>
  <si>
    <t>Telve</t>
  </si>
  <si>
    <t xml:space="preserve">Telve di Sopra (TN) </t>
  </si>
  <si>
    <t>022189</t>
  </si>
  <si>
    <t>Telve di Sopra</t>
  </si>
  <si>
    <t>Tempio Pausania</t>
  </si>
  <si>
    <t xml:space="preserve">Temù (BS) </t>
  </si>
  <si>
    <t>017184</t>
  </si>
  <si>
    <t>Temù</t>
  </si>
  <si>
    <t xml:space="preserve">Tenna (TN) </t>
  </si>
  <si>
    <t>022190</t>
  </si>
  <si>
    <t>Tenna</t>
  </si>
  <si>
    <t xml:space="preserve">Tenno (TN) </t>
  </si>
  <si>
    <t>022191</t>
  </si>
  <si>
    <t>Tenno</t>
  </si>
  <si>
    <t xml:space="preserve">Teolo (PD) </t>
  </si>
  <si>
    <t>028089</t>
  </si>
  <si>
    <t>Teolo</t>
  </si>
  <si>
    <t xml:space="preserve">Teora (AV) </t>
  </si>
  <si>
    <t>064108</t>
  </si>
  <si>
    <t>Teora</t>
  </si>
  <si>
    <t xml:space="preserve">Teramo (TE) </t>
  </si>
  <si>
    <t>067041</t>
  </si>
  <si>
    <t>Teramo</t>
  </si>
  <si>
    <t xml:space="preserve">Terdobbiate (NO) </t>
  </si>
  <si>
    <t>003144</t>
  </si>
  <si>
    <t>Terdobbiate</t>
  </si>
  <si>
    <t xml:space="preserve">Terelle (FR) </t>
  </si>
  <si>
    <t>060077</t>
  </si>
  <si>
    <t>Terelle</t>
  </si>
  <si>
    <t>021096</t>
  </si>
  <si>
    <t xml:space="preserve">Terenzo (PR) </t>
  </si>
  <si>
    <t>034038</t>
  </si>
  <si>
    <t>Terenzo</t>
  </si>
  <si>
    <t xml:space="preserve">Tergu (SS) </t>
  </si>
  <si>
    <t>Tergu</t>
  </si>
  <si>
    <t>021097</t>
  </si>
  <si>
    <t xml:space="preserve">Terlizzi (BA) </t>
  </si>
  <si>
    <t>072043</t>
  </si>
  <si>
    <t>Terlizzi</t>
  </si>
  <si>
    <t xml:space="preserve">Terme Vigliatore (ME) </t>
  </si>
  <si>
    <t>083106</t>
  </si>
  <si>
    <t>Terme Vigliatore</t>
  </si>
  <si>
    <t>021098</t>
  </si>
  <si>
    <t xml:space="preserve">Termini Imerese (PA) </t>
  </si>
  <si>
    <t>082070</t>
  </si>
  <si>
    <t>Termini Imerese</t>
  </si>
  <si>
    <t xml:space="preserve">Termoli (CB) </t>
  </si>
  <si>
    <t>070078</t>
  </si>
  <si>
    <t>Termoli</t>
  </si>
  <si>
    <t xml:space="preserve">Ternate (VA) </t>
  </si>
  <si>
    <t>012126</t>
  </si>
  <si>
    <t>Ternate</t>
  </si>
  <si>
    <t xml:space="preserve">Ternengo (BI) </t>
  </si>
  <si>
    <t>096067</t>
  </si>
  <si>
    <t>Ternengo</t>
  </si>
  <si>
    <t xml:space="preserve">Terni (TR) </t>
  </si>
  <si>
    <t>055032</t>
  </si>
  <si>
    <t>Terni</t>
  </si>
  <si>
    <t xml:space="preserve">Terno d'Isola (BG) </t>
  </si>
  <si>
    <t>016213</t>
  </si>
  <si>
    <t>Terno d'Isola</t>
  </si>
  <si>
    <t xml:space="preserve">Terracina (LT) </t>
  </si>
  <si>
    <t>059032</t>
  </si>
  <si>
    <t>Terracina</t>
  </si>
  <si>
    <t xml:space="preserve">Terragnolo (TN) </t>
  </si>
  <si>
    <t>022193</t>
  </si>
  <si>
    <t>Terragnolo</t>
  </si>
  <si>
    <t xml:space="preserve">Terralba (OR) </t>
  </si>
  <si>
    <t>Terralba</t>
  </si>
  <si>
    <t xml:space="preserve">Terranova da Sibari (CS) </t>
  </si>
  <si>
    <t>078146</t>
  </si>
  <si>
    <t>Terranova da Sibari</t>
  </si>
  <si>
    <t xml:space="preserve">Terranova dei Passerini (LO) </t>
  </si>
  <si>
    <t>098057</t>
  </si>
  <si>
    <t>Terranova dei Passerini</t>
  </si>
  <si>
    <t xml:space="preserve">Terranova di Pollino (PZ) </t>
  </si>
  <si>
    <t>076088</t>
  </si>
  <si>
    <t>Terranova di Pollino</t>
  </si>
  <si>
    <t xml:space="preserve">Terranova Sappo Minulio (RC) </t>
  </si>
  <si>
    <t>080094</t>
  </si>
  <si>
    <t>Terranova Sappo Minulio</t>
  </si>
  <si>
    <t xml:space="preserve">Terranuova Bracciolini (AR) </t>
  </si>
  <si>
    <t>051039</t>
  </si>
  <si>
    <t>Terranuova Bracciolini</t>
  </si>
  <si>
    <t xml:space="preserve">Terrasini (PA) </t>
  </si>
  <si>
    <t>082071</t>
  </si>
  <si>
    <t>Terrasini</t>
  </si>
  <si>
    <t xml:space="preserve">Terrassa Padovana (PD) </t>
  </si>
  <si>
    <t>028090</t>
  </si>
  <si>
    <t>Terrassa Padovana</t>
  </si>
  <si>
    <t xml:space="preserve">Terravecchia (CS) </t>
  </si>
  <si>
    <t>078147</t>
  </si>
  <si>
    <t>Terravecchia</t>
  </si>
  <si>
    <t xml:space="preserve">Terrazzo (VR) </t>
  </si>
  <si>
    <t>023085</t>
  </si>
  <si>
    <t>Terrazzo</t>
  </si>
  <si>
    <t xml:space="preserve">Terricciola (PI) </t>
  </si>
  <si>
    <t>050036</t>
  </si>
  <si>
    <t>Terricciola</t>
  </si>
  <si>
    <t xml:space="preserve">Terruggia (AL) </t>
  </si>
  <si>
    <t>006171</t>
  </si>
  <si>
    <t>Terruggia</t>
  </si>
  <si>
    <t>Tertenia</t>
  </si>
  <si>
    <t xml:space="preserve">Terzigno (NA) </t>
  </si>
  <si>
    <t>063082</t>
  </si>
  <si>
    <t>Terzigno</t>
  </si>
  <si>
    <t xml:space="preserve">Terzo (AL) </t>
  </si>
  <si>
    <t>006172</t>
  </si>
  <si>
    <t>Terzo</t>
  </si>
  <si>
    <t xml:space="preserve">Terzo d'Aquileia (UD) </t>
  </si>
  <si>
    <t>030120</t>
  </si>
  <si>
    <t>Terzo d'Aquileia</t>
  </si>
  <si>
    <t xml:space="preserve">Terzolas (TN) </t>
  </si>
  <si>
    <t>022195</t>
  </si>
  <si>
    <t>Terzolas</t>
  </si>
  <si>
    <t xml:space="preserve">Terzorio (IM) </t>
  </si>
  <si>
    <t>008060</t>
  </si>
  <si>
    <t>Terzorio</t>
  </si>
  <si>
    <t xml:space="preserve">Tesero (TN) </t>
  </si>
  <si>
    <t>022196</t>
  </si>
  <si>
    <t>Tesero</t>
  </si>
  <si>
    <t>021099</t>
  </si>
  <si>
    <t xml:space="preserve">Tessennano (VT) </t>
  </si>
  <si>
    <t>056051</t>
  </si>
  <si>
    <t>Tessennano</t>
  </si>
  <si>
    <t xml:space="preserve">Testico (SV) </t>
  </si>
  <si>
    <t>009060</t>
  </si>
  <si>
    <t>Testico</t>
  </si>
  <si>
    <t xml:space="preserve">Teti (NU) </t>
  </si>
  <si>
    <t>Teti</t>
  </si>
  <si>
    <t>Teulada</t>
  </si>
  <si>
    <t xml:space="preserve">Teverola (CE) </t>
  </si>
  <si>
    <t>061092</t>
  </si>
  <si>
    <t>Teverola</t>
  </si>
  <si>
    <t xml:space="preserve">Tezze sul Brenta (VI) </t>
  </si>
  <si>
    <t>024104</t>
  </si>
  <si>
    <t>Tezze sul Brenta</t>
  </si>
  <si>
    <t xml:space="preserve">Thiene (VI) </t>
  </si>
  <si>
    <t>024105</t>
  </si>
  <si>
    <t>Thiene</t>
  </si>
  <si>
    <t xml:space="preserve">Thiesi (SS) </t>
  </si>
  <si>
    <t>Thiesi</t>
  </si>
  <si>
    <t xml:space="preserve">Tiana (NU) </t>
  </si>
  <si>
    <t>Tiana</t>
  </si>
  <si>
    <t xml:space="preserve">Ticengo (CR) </t>
  </si>
  <si>
    <t>019104</t>
  </si>
  <si>
    <t>Ticengo</t>
  </si>
  <si>
    <t xml:space="preserve">Ticineto (AL) </t>
  </si>
  <si>
    <t>006173</t>
  </si>
  <si>
    <t>Ticineto</t>
  </si>
  <si>
    <t xml:space="preserve">Tiggiano (LE) </t>
  </si>
  <si>
    <t>075086</t>
  </si>
  <si>
    <t>Tiggiano</t>
  </si>
  <si>
    <t xml:space="preserve">Tiglieto (GE) </t>
  </si>
  <si>
    <t>010061</t>
  </si>
  <si>
    <t>Tiglieto</t>
  </si>
  <si>
    <t xml:space="preserve">Tigliole (AT) </t>
  </si>
  <si>
    <t>005108</t>
  </si>
  <si>
    <t>Tigliole</t>
  </si>
  <si>
    <t xml:space="preserve">Tignale (BS) </t>
  </si>
  <si>
    <t>017185</t>
  </si>
  <si>
    <t>Tignale</t>
  </si>
  <si>
    <t xml:space="preserve">Tinnura (OR) </t>
  </si>
  <si>
    <t>Tinnura</t>
  </si>
  <si>
    <t xml:space="preserve">Tione degli Abruzzi (AQ) </t>
  </si>
  <si>
    <t>066100</t>
  </si>
  <si>
    <t>Tione degli Abruzzi</t>
  </si>
  <si>
    <t xml:space="preserve">Tione di Trento (TN) </t>
  </si>
  <si>
    <t>022199</t>
  </si>
  <si>
    <t>Tione di Trento</t>
  </si>
  <si>
    <t xml:space="preserve">Tirano (SO) </t>
  </si>
  <si>
    <t>014066</t>
  </si>
  <si>
    <t>Tirano</t>
  </si>
  <si>
    <t>021100</t>
  </si>
  <si>
    <t xml:space="preserve">Tiriolo (CZ) </t>
  </si>
  <si>
    <t>079147</t>
  </si>
  <si>
    <t>Tiriolo</t>
  </si>
  <si>
    <t>021101</t>
  </si>
  <si>
    <t xml:space="preserve">Tissi (SS) </t>
  </si>
  <si>
    <t>Tissi</t>
  </si>
  <si>
    <t xml:space="preserve">Tito (PZ) </t>
  </si>
  <si>
    <t>076089</t>
  </si>
  <si>
    <t>Tito</t>
  </si>
  <si>
    <t xml:space="preserve">Tivoli (RM) </t>
  </si>
  <si>
    <t>058104</t>
  </si>
  <si>
    <t>Tivoli</t>
  </si>
  <si>
    <t xml:space="preserve">Tizzano Val Parma (PR) </t>
  </si>
  <si>
    <t>034039</t>
  </si>
  <si>
    <t>Tizzano Val Parma</t>
  </si>
  <si>
    <t xml:space="preserve">Toano (RE) </t>
  </si>
  <si>
    <t>035041</t>
  </si>
  <si>
    <t>Toano</t>
  </si>
  <si>
    <t xml:space="preserve">Tocco Caudio (BN) </t>
  </si>
  <si>
    <t>062075</t>
  </si>
  <si>
    <t>Tocco Caudio</t>
  </si>
  <si>
    <t xml:space="preserve">Tocco da Casauria (PE) </t>
  </si>
  <si>
    <t>068042</t>
  </si>
  <si>
    <t>Tocco da Casauria</t>
  </si>
  <si>
    <t xml:space="preserve">Toceno (VB) </t>
  </si>
  <si>
    <t>Toceno</t>
  </si>
  <si>
    <t xml:space="preserve">Todi (PG) </t>
  </si>
  <si>
    <t>054052</t>
  </si>
  <si>
    <t>Todi</t>
  </si>
  <si>
    <t xml:space="preserve">Toffia (RI) </t>
  </si>
  <si>
    <t>057068</t>
  </si>
  <si>
    <t>Toffia</t>
  </si>
  <si>
    <t xml:space="preserve">Toirano (SV) </t>
  </si>
  <si>
    <t>009061</t>
  </si>
  <si>
    <t>Toirano</t>
  </si>
  <si>
    <t xml:space="preserve">Tolentino (MC) </t>
  </si>
  <si>
    <t>043053</t>
  </si>
  <si>
    <t>Tolentino</t>
  </si>
  <si>
    <t xml:space="preserve">Tolfa (RM) </t>
  </si>
  <si>
    <t>058105</t>
  </si>
  <si>
    <t>Tolfa</t>
  </si>
  <si>
    <t xml:space="preserve">Tollegno (BI) </t>
  </si>
  <si>
    <t>096068</t>
  </si>
  <si>
    <t>Tollegno</t>
  </si>
  <si>
    <t xml:space="preserve">Tollo (CH) </t>
  </si>
  <si>
    <t>069090</t>
  </si>
  <si>
    <t>Tollo</t>
  </si>
  <si>
    <t xml:space="preserve">Tolmezzo (UD) </t>
  </si>
  <si>
    <t>030121</t>
  </si>
  <si>
    <t>Tolmezzo</t>
  </si>
  <si>
    <t xml:space="preserve">Tolve (PZ) </t>
  </si>
  <si>
    <t>076090</t>
  </si>
  <si>
    <t>Tolve</t>
  </si>
  <si>
    <t xml:space="preserve">Tombolo (PD) </t>
  </si>
  <si>
    <t>028091</t>
  </si>
  <si>
    <t>Tombolo</t>
  </si>
  <si>
    <t xml:space="preserve">Ton (TN) </t>
  </si>
  <si>
    <t>022200</t>
  </si>
  <si>
    <t>Ton</t>
  </si>
  <si>
    <t xml:space="preserve">Tonara (NU) </t>
  </si>
  <si>
    <t>Tonara</t>
  </si>
  <si>
    <t xml:space="preserve">Tonco (AT) </t>
  </si>
  <si>
    <t>005109</t>
  </si>
  <si>
    <t>Tonco</t>
  </si>
  <si>
    <t xml:space="preserve">Tonezza del Cimone (VI) </t>
  </si>
  <si>
    <t>024106</t>
  </si>
  <si>
    <t>Tonezza del Cimone</t>
  </si>
  <si>
    <t xml:space="preserve">Tora e Piccilli (CE) </t>
  </si>
  <si>
    <t>061093</t>
  </si>
  <si>
    <t>Tora e Piccilli</t>
  </si>
  <si>
    <t xml:space="preserve">Torano Castello (CS) </t>
  </si>
  <si>
    <t>078148</t>
  </si>
  <si>
    <t>Torano Castello</t>
  </si>
  <si>
    <t xml:space="preserve">Torano Nuovo (TE) </t>
  </si>
  <si>
    <t>067042</t>
  </si>
  <si>
    <t>Torano Nuovo</t>
  </si>
  <si>
    <t xml:space="preserve">Torbole Casaglia (BS) </t>
  </si>
  <si>
    <t>017186</t>
  </si>
  <si>
    <t>Torbole Casaglia</t>
  </si>
  <si>
    <t xml:space="preserve">Torcegno (TN) </t>
  </si>
  <si>
    <t>022202</t>
  </si>
  <si>
    <t>Torcegno</t>
  </si>
  <si>
    <t xml:space="preserve">Torchiara (SA) </t>
  </si>
  <si>
    <t>065147</t>
  </si>
  <si>
    <t>Torchiara</t>
  </si>
  <si>
    <t xml:space="preserve">Torchiarolo (BR) </t>
  </si>
  <si>
    <t>074018</t>
  </si>
  <si>
    <t>Torchiarolo</t>
  </si>
  <si>
    <t xml:space="preserve">Torella dei Lombardi (AV) </t>
  </si>
  <si>
    <t>064109</t>
  </si>
  <si>
    <t>Torella dei Lombardi</t>
  </si>
  <si>
    <t xml:space="preserve">Torella del Sannio (CB) </t>
  </si>
  <si>
    <t>070079</t>
  </si>
  <si>
    <t>Torella del Sannio</t>
  </si>
  <si>
    <t xml:space="preserve">Torgiano (PG) </t>
  </si>
  <si>
    <t>054053</t>
  </si>
  <si>
    <t>Torgiano</t>
  </si>
  <si>
    <t xml:space="preserve">Torgnon (AO) </t>
  </si>
  <si>
    <t>007067</t>
  </si>
  <si>
    <t>Torgnon</t>
  </si>
  <si>
    <t xml:space="preserve">Torino (TO) </t>
  </si>
  <si>
    <t>001272</t>
  </si>
  <si>
    <t xml:space="preserve">Torino di Sangro (CH) </t>
  </si>
  <si>
    <t>069091</t>
  </si>
  <si>
    <t>Torino di Sangro</t>
  </si>
  <si>
    <t xml:space="preserve">Toritto (BA) </t>
  </si>
  <si>
    <t>072044</t>
  </si>
  <si>
    <t>Toritto</t>
  </si>
  <si>
    <t xml:space="preserve">Torlino Vimercati (CR) </t>
  </si>
  <si>
    <t>019105</t>
  </si>
  <si>
    <t>Torlino Vimercati</t>
  </si>
  <si>
    <t xml:space="preserve">Tornaco (NO) </t>
  </si>
  <si>
    <t>003146</t>
  </si>
  <si>
    <t>Tornaco</t>
  </si>
  <si>
    <t xml:space="preserve">Tornareccio (CH) </t>
  </si>
  <si>
    <t>069092</t>
  </si>
  <si>
    <t>Tornareccio</t>
  </si>
  <si>
    <t xml:space="preserve">Tornata (CR) </t>
  </si>
  <si>
    <t>019106</t>
  </si>
  <si>
    <t>Tornata</t>
  </si>
  <si>
    <t xml:space="preserve">Tornimparte (AQ) </t>
  </si>
  <si>
    <t>066101</t>
  </si>
  <si>
    <t>Tornimparte</t>
  </si>
  <si>
    <t xml:space="preserve">Torno (CO) </t>
  </si>
  <si>
    <t>013223</t>
  </si>
  <si>
    <t>Torno</t>
  </si>
  <si>
    <t xml:space="preserve">Tornolo (PR) </t>
  </si>
  <si>
    <t>034040</t>
  </si>
  <si>
    <t>Tornolo</t>
  </si>
  <si>
    <t xml:space="preserve">Toro (CB) </t>
  </si>
  <si>
    <t>070080</t>
  </si>
  <si>
    <t>Toro</t>
  </si>
  <si>
    <t xml:space="preserve">Torpè (NU) </t>
  </si>
  <si>
    <t>Torpè</t>
  </si>
  <si>
    <t xml:space="preserve">Torraca (SA) </t>
  </si>
  <si>
    <t>065148</t>
  </si>
  <si>
    <t>Torraca</t>
  </si>
  <si>
    <t xml:space="preserve">Torralba (SS) </t>
  </si>
  <si>
    <t>Torralba</t>
  </si>
  <si>
    <t xml:space="preserve">Torrazza Coste (PV) </t>
  </si>
  <si>
    <t>018155</t>
  </si>
  <si>
    <t>Torrazza Coste</t>
  </si>
  <si>
    <t xml:space="preserve">Torrazza Piemonte (TO) </t>
  </si>
  <si>
    <t>001273</t>
  </si>
  <si>
    <t>Torrazza Piemonte</t>
  </si>
  <si>
    <t xml:space="preserve">Torrazzo (BI) </t>
  </si>
  <si>
    <t>096069</t>
  </si>
  <si>
    <t>Torrazzo</t>
  </si>
  <si>
    <t xml:space="preserve">Torre Annunziata (NA) </t>
  </si>
  <si>
    <t>063083</t>
  </si>
  <si>
    <t>Torre Annunziata</t>
  </si>
  <si>
    <t xml:space="preserve">Torre Beretti e Castellaro (PV) </t>
  </si>
  <si>
    <t>018156</t>
  </si>
  <si>
    <t>Torre Beretti e Castellaro</t>
  </si>
  <si>
    <t xml:space="preserve">Torre Boldone (BG) </t>
  </si>
  <si>
    <t>016214</t>
  </si>
  <si>
    <t>Torre Boldone</t>
  </si>
  <si>
    <t xml:space="preserve">Torre Bormida (CN) </t>
  </si>
  <si>
    <t>004226</t>
  </si>
  <si>
    <t>Torre Bormida</t>
  </si>
  <si>
    <t xml:space="preserve">Torre Cajetani (FR) </t>
  </si>
  <si>
    <t>060078</t>
  </si>
  <si>
    <t>Torre Cajetani</t>
  </si>
  <si>
    <t xml:space="preserve">Torre Canavese (TO) </t>
  </si>
  <si>
    <t>001274</t>
  </si>
  <si>
    <t>Torre Canavese</t>
  </si>
  <si>
    <t xml:space="preserve">Torre d'Arese (PV) </t>
  </si>
  <si>
    <t>018157</t>
  </si>
  <si>
    <t>Torre d'Arese</t>
  </si>
  <si>
    <t>Torre de' Busi</t>
  </si>
  <si>
    <t xml:space="preserve">Torre de' Negri (PV) </t>
  </si>
  <si>
    <t>018158</t>
  </si>
  <si>
    <t>Torre de' Negri</t>
  </si>
  <si>
    <t xml:space="preserve">Torre de' Passeri (PE) </t>
  </si>
  <si>
    <t>068043</t>
  </si>
  <si>
    <t>Torre de' Passeri</t>
  </si>
  <si>
    <t xml:space="preserve">Torre de' Picenardi (CR) </t>
  </si>
  <si>
    <t>019107</t>
  </si>
  <si>
    <t>Torre de' Picenardi</t>
  </si>
  <si>
    <t xml:space="preserve">Torre de' Roveri (BG) </t>
  </si>
  <si>
    <t>016216</t>
  </si>
  <si>
    <t>Torre de' Roveri</t>
  </si>
  <si>
    <t xml:space="preserve">Torre del Greco (NA) </t>
  </si>
  <si>
    <t>063084</t>
  </si>
  <si>
    <t>Torre del Greco</t>
  </si>
  <si>
    <t xml:space="preserve">Torre di Mosto (VE) </t>
  </si>
  <si>
    <t>027041</t>
  </si>
  <si>
    <t>Torre di Mosto</t>
  </si>
  <si>
    <t xml:space="preserve">Torre di Ruggiero (CZ) </t>
  </si>
  <si>
    <t>079148</t>
  </si>
  <si>
    <t>Torre di Ruggiero</t>
  </si>
  <si>
    <t xml:space="preserve">Torre di Santa Maria (SO) </t>
  </si>
  <si>
    <t>014067</t>
  </si>
  <si>
    <t>Torre di Santa Maria</t>
  </si>
  <si>
    <t xml:space="preserve">Torre d'Isola (PV) </t>
  </si>
  <si>
    <t>018159</t>
  </si>
  <si>
    <t>Torre d'Isola</t>
  </si>
  <si>
    <t xml:space="preserve">Torre Le Nocelle (AV) </t>
  </si>
  <si>
    <t>064110</t>
  </si>
  <si>
    <t>Torre Le Nocelle</t>
  </si>
  <si>
    <t xml:space="preserve">Torre Mondovì (CN) </t>
  </si>
  <si>
    <t>004227</t>
  </si>
  <si>
    <t>Torre Mondovì</t>
  </si>
  <si>
    <t xml:space="preserve">Torre Orsaia (SA) </t>
  </si>
  <si>
    <t>065149</t>
  </si>
  <si>
    <t>Torre Orsaia</t>
  </si>
  <si>
    <t xml:space="preserve">Torre Pallavicina (BG) </t>
  </si>
  <si>
    <t>016217</t>
  </si>
  <si>
    <t>Torre Pallavicina</t>
  </si>
  <si>
    <t xml:space="preserve">Torre Pellice (TO) </t>
  </si>
  <si>
    <t>001275</t>
  </si>
  <si>
    <t>Torre Pellice</t>
  </si>
  <si>
    <t xml:space="preserve">Torre San Giorgio (CN) </t>
  </si>
  <si>
    <t>004228</t>
  </si>
  <si>
    <t>Torre San Giorgio</t>
  </si>
  <si>
    <t xml:space="preserve">Torre San Patrizio (FM) </t>
  </si>
  <si>
    <t>Torre San Patrizio</t>
  </si>
  <si>
    <t xml:space="preserve">Torre Santa Susanna (BR) </t>
  </si>
  <si>
    <t>074019</t>
  </si>
  <si>
    <t>Torre Santa Susanna</t>
  </si>
  <si>
    <t xml:space="preserve">Torreano (UD) </t>
  </si>
  <si>
    <t>030122</t>
  </si>
  <si>
    <t>Torreano</t>
  </si>
  <si>
    <t xml:space="preserve">Torrebelvicino (VI) </t>
  </si>
  <si>
    <t>024107</t>
  </si>
  <si>
    <t>Torrebelvicino</t>
  </si>
  <si>
    <t xml:space="preserve">Torrebruna (CH) </t>
  </si>
  <si>
    <t>069093</t>
  </si>
  <si>
    <t>Torrebruna</t>
  </si>
  <si>
    <t xml:space="preserve">Torrecuso (BN) </t>
  </si>
  <si>
    <t>062076</t>
  </si>
  <si>
    <t>Torrecuso</t>
  </si>
  <si>
    <t xml:space="preserve">Torreglia (PD) </t>
  </si>
  <si>
    <t>028092</t>
  </si>
  <si>
    <t>Torreglia</t>
  </si>
  <si>
    <t xml:space="preserve">Torregrotta (ME) </t>
  </si>
  <si>
    <t>083098</t>
  </si>
  <si>
    <t>Torregrotta</t>
  </si>
  <si>
    <t xml:space="preserve">Torremaggiore (FG) </t>
  </si>
  <si>
    <t>071056</t>
  </si>
  <si>
    <t>Torremaggiore</t>
  </si>
  <si>
    <t xml:space="preserve">Torrenova (ME) </t>
  </si>
  <si>
    <t>083108</t>
  </si>
  <si>
    <t>Torrenova</t>
  </si>
  <si>
    <t xml:space="preserve">Torresina (CN) </t>
  </si>
  <si>
    <t>004229</t>
  </si>
  <si>
    <t>Torresina</t>
  </si>
  <si>
    <t xml:space="preserve">Torretta (PA) </t>
  </si>
  <si>
    <t>082072</t>
  </si>
  <si>
    <t>Torretta</t>
  </si>
  <si>
    <t xml:space="preserve">Torrevecchia Pia (PV) </t>
  </si>
  <si>
    <t>018160</t>
  </si>
  <si>
    <t>Torrevecchia Pia</t>
  </si>
  <si>
    <t xml:space="preserve">Torrevecchia Teatina (CH) </t>
  </si>
  <si>
    <t>069094</t>
  </si>
  <si>
    <t>Torrevecchia Teatina</t>
  </si>
  <si>
    <t xml:space="preserve">Torri del Benaco (VR) </t>
  </si>
  <si>
    <t>023086</t>
  </si>
  <si>
    <t>Torri del Benaco</t>
  </si>
  <si>
    <t xml:space="preserve">Torri di Quartesolo (VI) </t>
  </si>
  <si>
    <t>024108</t>
  </si>
  <si>
    <t>Torri di Quartesolo</t>
  </si>
  <si>
    <t xml:space="preserve">Torri in Sabina (RI) </t>
  </si>
  <si>
    <t>057070</t>
  </si>
  <si>
    <t>Torri in Sabina</t>
  </si>
  <si>
    <t xml:space="preserve">Torrice (FR) </t>
  </si>
  <si>
    <t>060079</t>
  </si>
  <si>
    <t>Torrice</t>
  </si>
  <si>
    <t xml:space="preserve">Torricella (TA) </t>
  </si>
  <si>
    <t>073028</t>
  </si>
  <si>
    <t>Torricella</t>
  </si>
  <si>
    <t xml:space="preserve">Torricella del Pizzo (CR) </t>
  </si>
  <si>
    <t>019108</t>
  </si>
  <si>
    <t>Torricella del Pizzo</t>
  </si>
  <si>
    <t xml:space="preserve">Torricella in Sabina (RI) </t>
  </si>
  <si>
    <t>057069</t>
  </si>
  <si>
    <t>Torricella in Sabina</t>
  </si>
  <si>
    <t xml:space="preserve">Torricella Peligna (CH) </t>
  </si>
  <si>
    <t>069095</t>
  </si>
  <si>
    <t>Torricella Peligna</t>
  </si>
  <si>
    <t xml:space="preserve">Torricella Sicura (TE) </t>
  </si>
  <si>
    <t>067043</t>
  </si>
  <si>
    <t>Torricella Sicura</t>
  </si>
  <si>
    <t xml:space="preserve">Torricella Verzate (PV) </t>
  </si>
  <si>
    <t>018161</t>
  </si>
  <si>
    <t>Torricella Verzate</t>
  </si>
  <si>
    <t xml:space="preserve">Torriglia (GE) </t>
  </si>
  <si>
    <t>010062</t>
  </si>
  <si>
    <t>Torriglia</t>
  </si>
  <si>
    <t xml:space="preserve">Torrile (PR) </t>
  </si>
  <si>
    <t>034041</t>
  </si>
  <si>
    <t>Torrile</t>
  </si>
  <si>
    <t xml:space="preserve">Torrioni (AV) </t>
  </si>
  <si>
    <t>064111</t>
  </si>
  <si>
    <t>Torrioni</t>
  </si>
  <si>
    <t xml:space="preserve">Torrita di Siena (SI) </t>
  </si>
  <si>
    <t>052035</t>
  </si>
  <si>
    <t>Torrita di Siena</t>
  </si>
  <si>
    <t xml:space="preserve">Torrita Tiberina (RM) </t>
  </si>
  <si>
    <t>058106</t>
  </si>
  <si>
    <t>Torrita Tiberina</t>
  </si>
  <si>
    <t>Tortolì</t>
  </si>
  <si>
    <t xml:space="preserve">Tortona (AL) </t>
  </si>
  <si>
    <t>006174</t>
  </si>
  <si>
    <t>Tortona</t>
  </si>
  <si>
    <t xml:space="preserve">Tortora (CS) </t>
  </si>
  <si>
    <t>078149</t>
  </si>
  <si>
    <t>Tortora</t>
  </si>
  <si>
    <t xml:space="preserve">Tortorella (SA) </t>
  </si>
  <si>
    <t>065150</t>
  </si>
  <si>
    <t>Tortorella</t>
  </si>
  <si>
    <t xml:space="preserve">Tortoreto (TE) </t>
  </si>
  <si>
    <t>067044</t>
  </si>
  <si>
    <t>Tortoreto</t>
  </si>
  <si>
    <t xml:space="preserve">Tortorici (ME) </t>
  </si>
  <si>
    <t>083099</t>
  </si>
  <si>
    <t>Tortorici</t>
  </si>
  <si>
    <t xml:space="preserve">Torviscosa (UD) </t>
  </si>
  <si>
    <t>030123</t>
  </si>
  <si>
    <t>Torviscosa</t>
  </si>
  <si>
    <t xml:space="preserve">Toscolano-Maderno (BS) </t>
  </si>
  <si>
    <t>017187</t>
  </si>
  <si>
    <t>Toscolano-Maderno</t>
  </si>
  <si>
    <t xml:space="preserve">Tossicia (TE) </t>
  </si>
  <si>
    <t>067045</t>
  </si>
  <si>
    <t>Tossicia</t>
  </si>
  <si>
    <t xml:space="preserve">Tovo di Sant'Agata (SO) </t>
  </si>
  <si>
    <t>014068</t>
  </si>
  <si>
    <t>Tovo di Sant'Agata</t>
  </si>
  <si>
    <t xml:space="preserve">Tovo San Giacomo (SV) </t>
  </si>
  <si>
    <t>009062</t>
  </si>
  <si>
    <t>Tovo San Giacomo</t>
  </si>
  <si>
    <t xml:space="preserve">Trabia (PA) </t>
  </si>
  <si>
    <t>082073</t>
  </si>
  <si>
    <t>Trabia</t>
  </si>
  <si>
    <t xml:space="preserve">Tradate (VA) </t>
  </si>
  <si>
    <t>012127</t>
  </si>
  <si>
    <t>Tradate</t>
  </si>
  <si>
    <t xml:space="preserve">Tramatza (OR) </t>
  </si>
  <si>
    <t>Tramatza</t>
  </si>
  <si>
    <t xml:space="preserve">Trambileno (TN) </t>
  </si>
  <si>
    <t>022203</t>
  </si>
  <si>
    <t>Trambileno</t>
  </si>
  <si>
    <t xml:space="preserve">Tramonti (SA) </t>
  </si>
  <si>
    <t>065151</t>
  </si>
  <si>
    <t>Tramonti</t>
  </si>
  <si>
    <t xml:space="preserve">Tramonti di Sopra (PN) </t>
  </si>
  <si>
    <t>093045</t>
  </si>
  <si>
    <t>Tramonti di Sopra</t>
  </si>
  <si>
    <t xml:space="preserve">Tramonti di Sotto (PN) </t>
  </si>
  <si>
    <t>093046</t>
  </si>
  <si>
    <t>Tramonti di Sotto</t>
  </si>
  <si>
    <t xml:space="preserve">Tramutola (PZ) </t>
  </si>
  <si>
    <t>076091</t>
  </si>
  <si>
    <t>Tramutola</t>
  </si>
  <si>
    <t xml:space="preserve">Trana (TO) </t>
  </si>
  <si>
    <t>001276</t>
  </si>
  <si>
    <t>Trana</t>
  </si>
  <si>
    <t xml:space="preserve">Trani (BT) </t>
  </si>
  <si>
    <t>Trani</t>
  </si>
  <si>
    <t xml:space="preserve">Traona (SO) </t>
  </si>
  <si>
    <t>014069</t>
  </si>
  <si>
    <t>Traona</t>
  </si>
  <si>
    <t xml:space="preserve">Trapani (TP) </t>
  </si>
  <si>
    <t>081021</t>
  </si>
  <si>
    <t>Trapani</t>
  </si>
  <si>
    <t xml:space="preserve">Trappeto (PA) </t>
  </si>
  <si>
    <t>082074</t>
  </si>
  <si>
    <t>Trappeto</t>
  </si>
  <si>
    <t xml:space="preserve">Trarego Viggiona (VB) </t>
  </si>
  <si>
    <t>Trarego Viggiona</t>
  </si>
  <si>
    <t xml:space="preserve">Trasacco (AQ) </t>
  </si>
  <si>
    <t>066102</t>
  </si>
  <si>
    <t>Trasacco</t>
  </si>
  <si>
    <t xml:space="preserve">Trasaghis (UD) </t>
  </si>
  <si>
    <t>030124</t>
  </si>
  <si>
    <t>Trasaghis</t>
  </si>
  <si>
    <t xml:space="preserve">Trasquera (VB) </t>
  </si>
  <si>
    <t>Trasquera</t>
  </si>
  <si>
    <t>Tratalias</t>
  </si>
  <si>
    <t xml:space="preserve">Travacò Siccomario (PV) </t>
  </si>
  <si>
    <t>018162</t>
  </si>
  <si>
    <t>Travacò Siccomario</t>
  </si>
  <si>
    <t xml:space="preserve">Travagliato (BS) </t>
  </si>
  <si>
    <t>017188</t>
  </si>
  <si>
    <t>Travagliato</t>
  </si>
  <si>
    <t xml:space="preserve">Travedona-Monate (VA) </t>
  </si>
  <si>
    <t>012128</t>
  </si>
  <si>
    <t>Travedona-Monate</t>
  </si>
  <si>
    <t xml:space="preserve">Traversella (TO) </t>
  </si>
  <si>
    <t>001278</t>
  </si>
  <si>
    <t>Traversella</t>
  </si>
  <si>
    <t xml:space="preserve">Traversetolo (PR) </t>
  </si>
  <si>
    <t>034042</t>
  </si>
  <si>
    <t>Traversetolo</t>
  </si>
  <si>
    <t xml:space="preserve">Traves (TO) </t>
  </si>
  <si>
    <t>001279</t>
  </si>
  <si>
    <t>Traves</t>
  </si>
  <si>
    <t xml:space="preserve">Travesio (PN) </t>
  </si>
  <si>
    <t>093047</t>
  </si>
  <si>
    <t>Travesio</t>
  </si>
  <si>
    <t xml:space="preserve">Travo (PC) </t>
  </si>
  <si>
    <t>033043</t>
  </si>
  <si>
    <t>Travo</t>
  </si>
  <si>
    <t xml:space="preserve">Trebaseleghe (PD) </t>
  </si>
  <si>
    <t>028093</t>
  </si>
  <si>
    <t>Trebaseleghe</t>
  </si>
  <si>
    <t xml:space="preserve">Trebisacce (CS) </t>
  </si>
  <si>
    <t>078150</t>
  </si>
  <si>
    <t>Trebisacce</t>
  </si>
  <si>
    <t xml:space="preserve">Trecase (NA) </t>
  </si>
  <si>
    <t>063091</t>
  </si>
  <si>
    <t>Trecase</t>
  </si>
  <si>
    <t xml:space="preserve">Trecastagni (CT) </t>
  </si>
  <si>
    <t>087050</t>
  </si>
  <si>
    <t>Trecastagni</t>
  </si>
  <si>
    <t xml:space="preserve">Trecate (NO) </t>
  </si>
  <si>
    <t>003149</t>
  </si>
  <si>
    <t>Trecate</t>
  </si>
  <si>
    <t xml:space="preserve">Trecchina (PZ) </t>
  </si>
  <si>
    <t>076092</t>
  </si>
  <si>
    <t>Trecchina</t>
  </si>
  <si>
    <t xml:space="preserve">Trecenta (RO) </t>
  </si>
  <si>
    <t>029047</t>
  </si>
  <si>
    <t>Trecenta</t>
  </si>
  <si>
    <t xml:space="preserve">Tredozio (FC) </t>
  </si>
  <si>
    <t>040049</t>
  </si>
  <si>
    <t>Tredozio</t>
  </si>
  <si>
    <t xml:space="preserve">Treglio (CH) </t>
  </si>
  <si>
    <t>069096</t>
  </si>
  <si>
    <t>Treglio</t>
  </si>
  <si>
    <t xml:space="preserve">Tregnago (VR) </t>
  </si>
  <si>
    <t>023087</t>
  </si>
  <si>
    <t>Tregnago</t>
  </si>
  <si>
    <t xml:space="preserve">Treia (MC) </t>
  </si>
  <si>
    <t>043054</t>
  </si>
  <si>
    <t>Treia</t>
  </si>
  <si>
    <t xml:space="preserve">Treiso (CN) </t>
  </si>
  <si>
    <t>004230</t>
  </si>
  <si>
    <t>Treiso</t>
  </si>
  <si>
    <t xml:space="preserve">Tremestieri Etneo (CT) </t>
  </si>
  <si>
    <t>087051</t>
  </si>
  <si>
    <t>Tremestieri Etneo</t>
  </si>
  <si>
    <t>017189</t>
  </si>
  <si>
    <t xml:space="preserve">Trentinara (SA) </t>
  </si>
  <si>
    <t>065152</t>
  </si>
  <si>
    <t>Trentinara</t>
  </si>
  <si>
    <t xml:space="preserve">Trento (TN) </t>
  </si>
  <si>
    <t>022205</t>
  </si>
  <si>
    <t>Trento</t>
  </si>
  <si>
    <t>061094</t>
  </si>
  <si>
    <t xml:space="preserve">Trenzano (BS) </t>
  </si>
  <si>
    <t>017190</t>
  </si>
  <si>
    <t>Trenzano</t>
  </si>
  <si>
    <t xml:space="preserve">Treppo Grande (UD) </t>
  </si>
  <si>
    <t>030126</t>
  </si>
  <si>
    <t>Treppo Grande</t>
  </si>
  <si>
    <t xml:space="preserve">Trepuzzi (LE) </t>
  </si>
  <si>
    <t>075087</t>
  </si>
  <si>
    <t>Trepuzzi</t>
  </si>
  <si>
    <t xml:space="preserve">Trequanda (SI) </t>
  </si>
  <si>
    <t>052036</t>
  </si>
  <si>
    <t>Trequanda</t>
  </si>
  <si>
    <t xml:space="preserve">Tresana (MS) </t>
  </si>
  <si>
    <t>045015</t>
  </si>
  <si>
    <t>Tresana</t>
  </si>
  <si>
    <t xml:space="preserve">Trescore Balneario (BG) </t>
  </si>
  <si>
    <t>016218</t>
  </si>
  <si>
    <t>Trescore Balneario</t>
  </si>
  <si>
    <t xml:space="preserve">Trescore Cremasco (CR) </t>
  </si>
  <si>
    <t>019109</t>
  </si>
  <si>
    <t>Trescore Cremasco</t>
  </si>
  <si>
    <t xml:space="preserve">Tresivio (SO) </t>
  </si>
  <si>
    <t>014070</t>
  </si>
  <si>
    <t>Tresivio</t>
  </si>
  <si>
    <t xml:space="preserve">Tresnuraghes (OR) </t>
  </si>
  <si>
    <t>Tresnuraghes</t>
  </si>
  <si>
    <t xml:space="preserve">Trevenzuolo (VR) </t>
  </si>
  <si>
    <t>023088</t>
  </si>
  <si>
    <t>Trevenzuolo</t>
  </si>
  <si>
    <t xml:space="preserve">Trevi (PG) </t>
  </si>
  <si>
    <t>054054</t>
  </si>
  <si>
    <t>Trevi</t>
  </si>
  <si>
    <t xml:space="preserve">Trevi nel Lazio (FR) </t>
  </si>
  <si>
    <t>060080</t>
  </si>
  <si>
    <t>Trevi nel Lazio</t>
  </si>
  <si>
    <t xml:space="preserve">Trevico (AV) </t>
  </si>
  <si>
    <t>064112</t>
  </si>
  <si>
    <t>Trevico</t>
  </si>
  <si>
    <t xml:space="preserve">Treviglio (BG) </t>
  </si>
  <si>
    <t>016219</t>
  </si>
  <si>
    <t>Treviglio</t>
  </si>
  <si>
    <t xml:space="preserve">Trevignano (TV) </t>
  </si>
  <si>
    <t>026085</t>
  </si>
  <si>
    <t>Trevignano</t>
  </si>
  <si>
    <t xml:space="preserve">Trevignano Romano (RM) </t>
  </si>
  <si>
    <t>058107</t>
  </si>
  <si>
    <t>Trevignano Romano</t>
  </si>
  <si>
    <t xml:space="preserve">Treville (AL) </t>
  </si>
  <si>
    <t>006175</t>
  </si>
  <si>
    <t>Treville</t>
  </si>
  <si>
    <t xml:space="preserve">Treviolo (BG) </t>
  </si>
  <si>
    <t>016220</t>
  </si>
  <si>
    <t>Treviolo</t>
  </si>
  <si>
    <t xml:space="preserve">Treviso (TV) </t>
  </si>
  <si>
    <t>026086</t>
  </si>
  <si>
    <t>Treviso</t>
  </si>
  <si>
    <t xml:space="preserve">Treviso Bresciano (BS) </t>
  </si>
  <si>
    <t>017191</t>
  </si>
  <si>
    <t>Treviso Bresciano</t>
  </si>
  <si>
    <t xml:space="preserve">Trezzano Rosa (MI) </t>
  </si>
  <si>
    <t>015219</t>
  </si>
  <si>
    <t>Trezzano Rosa</t>
  </si>
  <si>
    <t xml:space="preserve">Trezzano sul Naviglio (MI) </t>
  </si>
  <si>
    <t>015220</t>
  </si>
  <si>
    <t>Trezzano sul Naviglio</t>
  </si>
  <si>
    <t xml:space="preserve">Trezzo sull'Adda (MI) </t>
  </si>
  <si>
    <t>015221</t>
  </si>
  <si>
    <t>Trezzo sull'Adda</t>
  </si>
  <si>
    <t xml:space="preserve">Trezzo Tinella (CN) </t>
  </si>
  <si>
    <t>004231</t>
  </si>
  <si>
    <t>Trezzo Tinella</t>
  </si>
  <si>
    <t xml:space="preserve">Trezzone (CO) </t>
  </si>
  <si>
    <t>013226</t>
  </si>
  <si>
    <t>Trezzone</t>
  </si>
  <si>
    <t xml:space="preserve">Tribano (PD) </t>
  </si>
  <si>
    <t>028094</t>
  </si>
  <si>
    <t>Tribano</t>
  </si>
  <si>
    <t xml:space="preserve">Tribiano (MI) </t>
  </si>
  <si>
    <t>015222</t>
  </si>
  <si>
    <t>Tribiano</t>
  </si>
  <si>
    <t xml:space="preserve">Tribogna (GE) </t>
  </si>
  <si>
    <t>010063</t>
  </si>
  <si>
    <t>Tribogna</t>
  </si>
  <si>
    <t xml:space="preserve">Tricarico (MT) </t>
  </si>
  <si>
    <t>077028</t>
  </si>
  <si>
    <t>Tricarico</t>
  </si>
  <si>
    <t xml:space="preserve">Tricase (LE) </t>
  </si>
  <si>
    <t>075088</t>
  </si>
  <si>
    <t>Tricase</t>
  </si>
  <si>
    <t xml:space="preserve">Tricerro (VC) </t>
  </si>
  <si>
    <t>002147</t>
  </si>
  <si>
    <t>Tricerro</t>
  </si>
  <si>
    <t xml:space="preserve">Tricesimo (UD) </t>
  </si>
  <si>
    <t>030127</t>
  </si>
  <si>
    <t>Tricesimo</t>
  </si>
  <si>
    <t>Triei</t>
  </si>
  <si>
    <t xml:space="preserve">Trieste (TS) </t>
  </si>
  <si>
    <t>032006</t>
  </si>
  <si>
    <t>Trieste</t>
  </si>
  <si>
    <t xml:space="preserve">Triggiano (BA) </t>
  </si>
  <si>
    <t>072046</t>
  </si>
  <si>
    <t>Triggiano</t>
  </si>
  <si>
    <t xml:space="preserve">Trigolo (CR) </t>
  </si>
  <si>
    <t>019110</t>
  </si>
  <si>
    <t>Trigolo</t>
  </si>
  <si>
    <t xml:space="preserve">Trinità (CN) </t>
  </si>
  <si>
    <t>004232</t>
  </si>
  <si>
    <t>Trinità</t>
  </si>
  <si>
    <t>Trinità d'Agultu e Vignola</t>
  </si>
  <si>
    <t xml:space="preserve">Trinitapoli (BT) </t>
  </si>
  <si>
    <t>Trinitapoli</t>
  </si>
  <si>
    <t xml:space="preserve">Trino (VC) </t>
  </si>
  <si>
    <t>002148</t>
  </si>
  <si>
    <t>Trino</t>
  </si>
  <si>
    <t xml:space="preserve">Triora (IM) </t>
  </si>
  <si>
    <t>008061</t>
  </si>
  <si>
    <t>Triora</t>
  </si>
  <si>
    <t>083100</t>
  </si>
  <si>
    <t xml:space="preserve">Trisobbio (AL) </t>
  </si>
  <si>
    <t>006176</t>
  </si>
  <si>
    <t>Trisobbio</t>
  </si>
  <si>
    <t xml:space="preserve">Trissino (VI) </t>
  </si>
  <si>
    <t>024110</t>
  </si>
  <si>
    <t>Trissino</t>
  </si>
  <si>
    <t xml:space="preserve">Triuggio (MB) </t>
  </si>
  <si>
    <t>Triuggio</t>
  </si>
  <si>
    <t xml:space="preserve">Trivento (CB) </t>
  </si>
  <si>
    <t>070081</t>
  </si>
  <si>
    <t>Trivento</t>
  </si>
  <si>
    <t xml:space="preserve">Trivigliano (FR) </t>
  </si>
  <si>
    <t>060081</t>
  </si>
  <si>
    <t>Trivigliano</t>
  </si>
  <si>
    <t xml:space="preserve">Trivignano Udinese (UD) </t>
  </si>
  <si>
    <t>030128</t>
  </si>
  <si>
    <t>Trivignano Udinese</t>
  </si>
  <si>
    <t xml:space="preserve">Trivigno (PZ) </t>
  </si>
  <si>
    <t>076093</t>
  </si>
  <si>
    <t>Trivigno</t>
  </si>
  <si>
    <t xml:space="preserve">Trivolzio (PV) </t>
  </si>
  <si>
    <t>018163</t>
  </si>
  <si>
    <t>Trivolzio</t>
  </si>
  <si>
    <t>021102</t>
  </si>
  <si>
    <t xml:space="preserve">Trofarello (TO) </t>
  </si>
  <si>
    <t>001280</t>
  </si>
  <si>
    <t>Trofarello</t>
  </si>
  <si>
    <t xml:space="preserve">Troia (FG) </t>
  </si>
  <si>
    <t>071058</t>
  </si>
  <si>
    <t>Troia</t>
  </si>
  <si>
    <t xml:space="preserve">Troina (EN) </t>
  </si>
  <si>
    <t>086018</t>
  </si>
  <si>
    <t>Troina</t>
  </si>
  <si>
    <t xml:space="preserve">Tromello (PV) </t>
  </si>
  <si>
    <t>018164</t>
  </si>
  <si>
    <t>Tromello</t>
  </si>
  <si>
    <t xml:space="preserve">Trontano (VB) </t>
  </si>
  <si>
    <t>Trontano</t>
  </si>
  <si>
    <t xml:space="preserve">Tronzano Lago Maggiore (VA) </t>
  </si>
  <si>
    <t>012129</t>
  </si>
  <si>
    <t>Tronzano Lago Maggiore</t>
  </si>
  <si>
    <t xml:space="preserve">Tronzano Vercellese (VC) </t>
  </si>
  <si>
    <t>002150</t>
  </si>
  <si>
    <t>Tronzano Vercellese</t>
  </si>
  <si>
    <t xml:space="preserve">Tropea (VV) </t>
  </si>
  <si>
    <t>Tropea</t>
  </si>
  <si>
    <t xml:space="preserve">Trovo (PV) </t>
  </si>
  <si>
    <t>018165</t>
  </si>
  <si>
    <t>Trovo</t>
  </si>
  <si>
    <t xml:space="preserve">Truccazzano (MI) </t>
  </si>
  <si>
    <t>015224</t>
  </si>
  <si>
    <t>Truccazzano</t>
  </si>
  <si>
    <t>021103</t>
  </si>
  <si>
    <t xml:space="preserve">Tufara (CB) </t>
  </si>
  <si>
    <t>070082</t>
  </si>
  <si>
    <t>Tufara</t>
  </si>
  <si>
    <t xml:space="preserve">Tufillo (CH) </t>
  </si>
  <si>
    <t>069097</t>
  </si>
  <si>
    <t>Tufillo</t>
  </si>
  <si>
    <t xml:space="preserve">Tufino (NA) </t>
  </si>
  <si>
    <t>063085</t>
  </si>
  <si>
    <t>Tufino</t>
  </si>
  <si>
    <t xml:space="preserve">Tufo (AV) </t>
  </si>
  <si>
    <t>064113</t>
  </si>
  <si>
    <t>Tufo</t>
  </si>
  <si>
    <t xml:space="preserve">Tuglie (LE) </t>
  </si>
  <si>
    <t>075089</t>
  </si>
  <si>
    <t>Tuglie</t>
  </si>
  <si>
    <t>Tuili</t>
  </si>
  <si>
    <t xml:space="preserve">Tula (SS) </t>
  </si>
  <si>
    <t>Tula</t>
  </si>
  <si>
    <t xml:space="preserve">Tuoro sul Trasimeno (PG) </t>
  </si>
  <si>
    <t>054055</t>
  </si>
  <si>
    <t>Tuoro sul Trasimeno</t>
  </si>
  <si>
    <t xml:space="preserve">Turania (RI) </t>
  </si>
  <si>
    <t>057071</t>
  </si>
  <si>
    <t>Turania</t>
  </si>
  <si>
    <t xml:space="preserve">Turano Lodigiano (LO) </t>
  </si>
  <si>
    <t>098058</t>
  </si>
  <si>
    <t>Turano Lodigiano</t>
  </si>
  <si>
    <t xml:space="preserve">Turate (CO) </t>
  </si>
  <si>
    <t>013227</t>
  </si>
  <si>
    <t>Turate</t>
  </si>
  <si>
    <t xml:space="preserve">Turbigo (MI) </t>
  </si>
  <si>
    <t>015226</t>
  </si>
  <si>
    <t>Turbigo</t>
  </si>
  <si>
    <t xml:space="preserve">Turi (BA) </t>
  </si>
  <si>
    <t>072047</t>
  </si>
  <si>
    <t>Turi</t>
  </si>
  <si>
    <t>Turri</t>
  </si>
  <si>
    <t xml:space="preserve">Turriaco (GO) </t>
  </si>
  <si>
    <t>031024</t>
  </si>
  <si>
    <t>Turriaco</t>
  </si>
  <si>
    <t xml:space="preserve">Turrivalignani (PE) </t>
  </si>
  <si>
    <t>068044</t>
  </si>
  <si>
    <t>Turrivalignani</t>
  </si>
  <si>
    <t xml:space="preserve">Tursi (MT) </t>
  </si>
  <si>
    <t>077029</t>
  </si>
  <si>
    <t>Tursi</t>
  </si>
  <si>
    <t xml:space="preserve">Tusa (ME) </t>
  </si>
  <si>
    <t>083101</t>
  </si>
  <si>
    <t>Tusa</t>
  </si>
  <si>
    <t xml:space="preserve">Tuscania (VT) </t>
  </si>
  <si>
    <t>056052</t>
  </si>
  <si>
    <t>Tuscania</t>
  </si>
  <si>
    <t xml:space="preserve">Ubiale Clanezzo (BG) </t>
  </si>
  <si>
    <t>016221</t>
  </si>
  <si>
    <t>Ubiale Clanezzo</t>
  </si>
  <si>
    <t xml:space="preserve">Uboldo (VA) </t>
  </si>
  <si>
    <t>012130</t>
  </si>
  <si>
    <t>Uboldo</t>
  </si>
  <si>
    <t xml:space="preserve">Ucria (ME) </t>
  </si>
  <si>
    <t>083102</t>
  </si>
  <si>
    <t>Ucria</t>
  </si>
  <si>
    <t xml:space="preserve">Udine (UD) </t>
  </si>
  <si>
    <t>030129</t>
  </si>
  <si>
    <t>Udine</t>
  </si>
  <si>
    <t xml:space="preserve">Ugento (LE) </t>
  </si>
  <si>
    <t>075090</t>
  </si>
  <si>
    <t>Ugento</t>
  </si>
  <si>
    <t xml:space="preserve">Uggiano la Chiesa (LE) </t>
  </si>
  <si>
    <t>075091</t>
  </si>
  <si>
    <t>Uggiano la Chiesa</t>
  </si>
  <si>
    <t xml:space="preserve">Ulà Tirso (OR) </t>
  </si>
  <si>
    <t>Ulà Tirso</t>
  </si>
  <si>
    <t>Ulassai</t>
  </si>
  <si>
    <t>021104</t>
  </si>
  <si>
    <t xml:space="preserve">Umbertide (PG) </t>
  </si>
  <si>
    <t>054056</t>
  </si>
  <si>
    <t>Umbertide</t>
  </si>
  <si>
    <t xml:space="preserve">Umbriatico (KR) </t>
  </si>
  <si>
    <t>Umbriatico</t>
  </si>
  <si>
    <t xml:space="preserve">Urago d'Oglio (BS) </t>
  </si>
  <si>
    <t>017192</t>
  </si>
  <si>
    <t>Urago d'Oglio</t>
  </si>
  <si>
    <t xml:space="preserve">Uras (OR) </t>
  </si>
  <si>
    <t>Uras</t>
  </si>
  <si>
    <t xml:space="preserve">Urbana (PD) </t>
  </si>
  <si>
    <t>028095</t>
  </si>
  <si>
    <t>Urbana</t>
  </si>
  <si>
    <t xml:space="preserve">Urbania (PU) </t>
  </si>
  <si>
    <t>041066</t>
  </si>
  <si>
    <t>Urbania</t>
  </si>
  <si>
    <t xml:space="preserve">Urbe (SV) </t>
  </si>
  <si>
    <t>009063</t>
  </si>
  <si>
    <t>Urbe</t>
  </si>
  <si>
    <t xml:space="preserve">Urbino (PU) </t>
  </si>
  <si>
    <t>041067</t>
  </si>
  <si>
    <t>Urbino</t>
  </si>
  <si>
    <t xml:space="preserve">Urbisaglia (MC) </t>
  </si>
  <si>
    <t>043055</t>
  </si>
  <si>
    <t>Urbisaglia</t>
  </si>
  <si>
    <t xml:space="preserve">Urgnano (BG) </t>
  </si>
  <si>
    <t>016222</t>
  </si>
  <si>
    <t>Urgnano</t>
  </si>
  <si>
    <t xml:space="preserve">Uri (SS) </t>
  </si>
  <si>
    <t>Uri</t>
  </si>
  <si>
    <t xml:space="preserve">Ururi (CB) </t>
  </si>
  <si>
    <t>070083</t>
  </si>
  <si>
    <t>Ururi</t>
  </si>
  <si>
    <t>Urzulei</t>
  </si>
  <si>
    <t xml:space="preserve">Uscio (GE) </t>
  </si>
  <si>
    <t>010064</t>
  </si>
  <si>
    <t>Uscio</t>
  </si>
  <si>
    <t xml:space="preserve">Usellus (OR) </t>
  </si>
  <si>
    <t>Usellus</t>
  </si>
  <si>
    <t xml:space="preserve">Usini (SS) </t>
  </si>
  <si>
    <t>Usini</t>
  </si>
  <si>
    <t xml:space="preserve">Usmate Velate (MB) </t>
  </si>
  <si>
    <t>Usmate Velate</t>
  </si>
  <si>
    <t>Ussana</t>
  </si>
  <si>
    <t>Ussaramanna</t>
  </si>
  <si>
    <t>Ussassai</t>
  </si>
  <si>
    <t xml:space="preserve">Usseaux (TO) </t>
  </si>
  <si>
    <t>001281</t>
  </si>
  <si>
    <t>Usseaux</t>
  </si>
  <si>
    <t xml:space="preserve">Usseglio (TO) </t>
  </si>
  <si>
    <t>001282</t>
  </si>
  <si>
    <t>Usseglio</t>
  </si>
  <si>
    <t xml:space="preserve">Ussita (MC) </t>
  </si>
  <si>
    <t>043056</t>
  </si>
  <si>
    <t>Ussita</t>
  </si>
  <si>
    <t xml:space="preserve">Ustica (PA) </t>
  </si>
  <si>
    <t>082075</t>
  </si>
  <si>
    <t>Ustica</t>
  </si>
  <si>
    <t xml:space="preserve">Uta (CA) </t>
  </si>
  <si>
    <t>Uta</t>
  </si>
  <si>
    <t xml:space="preserve">Uzzano (PT) </t>
  </si>
  <si>
    <t>047021</t>
  </si>
  <si>
    <t>Uzzano</t>
  </si>
  <si>
    <t xml:space="preserve">Vaccarizzo Albanese (CS) </t>
  </si>
  <si>
    <t>078152</t>
  </si>
  <si>
    <t>Vaccarizzo Albanese</t>
  </si>
  <si>
    <t xml:space="preserve">Vacone (RI) </t>
  </si>
  <si>
    <t>057072</t>
  </si>
  <si>
    <t>Vacone</t>
  </si>
  <si>
    <t xml:space="preserve">Vacri (CH) </t>
  </si>
  <si>
    <t>069098</t>
  </si>
  <si>
    <t>Vacri</t>
  </si>
  <si>
    <t>021105</t>
  </si>
  <si>
    <t xml:space="preserve">Vado Ligure (SV) </t>
  </si>
  <si>
    <t>009064</t>
  </si>
  <si>
    <t>Vado Ligure</t>
  </si>
  <si>
    <t xml:space="preserve">Vagli Sotto (LU) </t>
  </si>
  <si>
    <t>046031</t>
  </si>
  <si>
    <t>Vagli Sotto</t>
  </si>
  <si>
    <t xml:space="preserve">Vaglia (FI) </t>
  </si>
  <si>
    <t>048046</t>
  </si>
  <si>
    <t>Vaglia</t>
  </si>
  <si>
    <t xml:space="preserve">Vaglio Basilicata (PZ) </t>
  </si>
  <si>
    <t>076094</t>
  </si>
  <si>
    <t>Vaglio Basilicata</t>
  </si>
  <si>
    <t xml:space="preserve">Vaglio Serra (AT) </t>
  </si>
  <si>
    <t>005111</t>
  </si>
  <si>
    <t>Vaglio Serra</t>
  </si>
  <si>
    <t xml:space="preserve">Vaiano (PO) </t>
  </si>
  <si>
    <t>Vaiano</t>
  </si>
  <si>
    <t xml:space="preserve">Vaiano Cremasco (CR) </t>
  </si>
  <si>
    <t>019111</t>
  </si>
  <si>
    <t>Vaiano Cremasco</t>
  </si>
  <si>
    <t xml:space="preserve">Vaie (TO) </t>
  </si>
  <si>
    <t>001283</t>
  </si>
  <si>
    <t>Vaie</t>
  </si>
  <si>
    <t xml:space="preserve">Vailate (CR) </t>
  </si>
  <si>
    <t>019112</t>
  </si>
  <si>
    <t>Vailate</t>
  </si>
  <si>
    <t xml:space="preserve">Vairano Patenora (CE) </t>
  </si>
  <si>
    <t>061095</t>
  </si>
  <si>
    <t>Vairano Patenora</t>
  </si>
  <si>
    <t xml:space="preserve">Vajont (PN) </t>
  </si>
  <si>
    <t>093052</t>
  </si>
  <si>
    <t>Vajont</t>
  </si>
  <si>
    <t xml:space="preserve">Val della Torre (TO) </t>
  </si>
  <si>
    <t>001284</t>
  </si>
  <si>
    <t>Val della Torre</t>
  </si>
  <si>
    <t xml:space="preserve">Val di Nizza (PV) </t>
  </si>
  <si>
    <t>018166</t>
  </si>
  <si>
    <t>Val di Nizza</t>
  </si>
  <si>
    <t>021107</t>
  </si>
  <si>
    <t xml:space="preserve">Val Masino (SO) </t>
  </si>
  <si>
    <t>014074</t>
  </si>
  <si>
    <t>Val Masino</t>
  </si>
  <si>
    <t xml:space="preserve">Val Rezzo (CO) </t>
  </si>
  <si>
    <t>013233</t>
  </si>
  <si>
    <t>Val Rezzo</t>
  </si>
  <si>
    <t xml:space="preserve">Valbondione (BG) </t>
  </si>
  <si>
    <t>016223</t>
  </si>
  <si>
    <t>Valbondione</t>
  </si>
  <si>
    <t xml:space="preserve">Valbrembo (BG) </t>
  </si>
  <si>
    <t>016224</t>
  </si>
  <si>
    <t>Valbrembo</t>
  </si>
  <si>
    <t xml:space="preserve">Valbrevenna (GE) </t>
  </si>
  <si>
    <t>010065</t>
  </si>
  <si>
    <t>Valbrevenna</t>
  </si>
  <si>
    <t xml:space="preserve">Valbrona (CO) </t>
  </si>
  <si>
    <t>013229</t>
  </si>
  <si>
    <t>Valbrona</t>
  </si>
  <si>
    <t xml:space="preserve">Valdagno (VI) </t>
  </si>
  <si>
    <t>024111</t>
  </si>
  <si>
    <t>Valdagno</t>
  </si>
  <si>
    <t>021106</t>
  </si>
  <si>
    <t xml:space="preserve">Valdastico (VI) </t>
  </si>
  <si>
    <t>024112</t>
  </si>
  <si>
    <t>Valdastico</t>
  </si>
  <si>
    <t xml:space="preserve">Valdengo (BI) </t>
  </si>
  <si>
    <t>096071</t>
  </si>
  <si>
    <t>Valdengo</t>
  </si>
  <si>
    <t xml:space="preserve">Valderice (TP) </t>
  </si>
  <si>
    <t>081022</t>
  </si>
  <si>
    <t>Valderice</t>
  </si>
  <si>
    <t xml:space="preserve">Valdidentro (SO) </t>
  </si>
  <si>
    <t>014071</t>
  </si>
  <si>
    <t>Valdidentro</t>
  </si>
  <si>
    <t xml:space="preserve">Valdieri (CN) </t>
  </si>
  <si>
    <t>004233</t>
  </si>
  <si>
    <t>Valdieri</t>
  </si>
  <si>
    <t xml:space="preserve">Valdina (ME) </t>
  </si>
  <si>
    <t>083103</t>
  </si>
  <si>
    <t>Valdina</t>
  </si>
  <si>
    <t xml:space="preserve">Valdisotto (SO) </t>
  </si>
  <si>
    <t>014072</t>
  </si>
  <si>
    <t>Valdisotto</t>
  </si>
  <si>
    <t xml:space="preserve">Valdobbiadene (TV) </t>
  </si>
  <si>
    <t>026087</t>
  </si>
  <si>
    <t>Valdobbiadene</t>
  </si>
  <si>
    <t xml:space="preserve">Valduggia (VC) </t>
  </si>
  <si>
    <t>002152</t>
  </si>
  <si>
    <t>Valduggia</t>
  </si>
  <si>
    <t xml:space="preserve">Valeggio (PV) </t>
  </si>
  <si>
    <t>018167</t>
  </si>
  <si>
    <t>Valeggio</t>
  </si>
  <si>
    <t xml:space="preserve">Valeggio sul Mincio (VR) </t>
  </si>
  <si>
    <t>023089</t>
  </si>
  <si>
    <t>Valeggio sul Mincio</t>
  </si>
  <si>
    <t xml:space="preserve">Valentano (VT) </t>
  </si>
  <si>
    <t>056053</t>
  </si>
  <si>
    <t>Valentano</t>
  </si>
  <si>
    <t xml:space="preserve">Valenza (AL) </t>
  </si>
  <si>
    <t>006177</t>
  </si>
  <si>
    <t>Valenza</t>
  </si>
  <si>
    <t xml:space="preserve">Valenzano (BA) </t>
  </si>
  <si>
    <t>072048</t>
  </si>
  <si>
    <t>Valenzano</t>
  </si>
  <si>
    <t xml:space="preserve">Valera Fratta (LO) </t>
  </si>
  <si>
    <t>098059</t>
  </si>
  <si>
    <t>Valera Fratta</t>
  </si>
  <si>
    <t xml:space="preserve">Valfabbrica (PG) </t>
  </si>
  <si>
    <t>054057</t>
  </si>
  <si>
    <t>Valfabbrica</t>
  </si>
  <si>
    <t xml:space="preserve">Valfenera (AT) </t>
  </si>
  <si>
    <t>005112</t>
  </si>
  <si>
    <t>Valfenera</t>
  </si>
  <si>
    <t xml:space="preserve">Valfloriana (TN) </t>
  </si>
  <si>
    <t>022209</t>
  </si>
  <si>
    <t>Valfloriana</t>
  </si>
  <si>
    <t xml:space="preserve">Valfurva (SO) </t>
  </si>
  <si>
    <t>014073</t>
  </si>
  <si>
    <t>Valfurva</t>
  </si>
  <si>
    <t xml:space="preserve">Valganna (VA) </t>
  </si>
  <si>
    <t>012131</t>
  </si>
  <si>
    <t>Valganna</t>
  </si>
  <si>
    <t xml:space="preserve">Valgioie (TO) </t>
  </si>
  <si>
    <t>001285</t>
  </si>
  <si>
    <t>Valgioie</t>
  </si>
  <si>
    <t xml:space="preserve">Valgoglio (BG) </t>
  </si>
  <si>
    <t>016225</t>
  </si>
  <si>
    <t>Valgoglio</t>
  </si>
  <si>
    <t xml:space="preserve">Valgrana (CN) </t>
  </si>
  <si>
    <t>004234</t>
  </si>
  <si>
    <t>Valgrana</t>
  </si>
  <si>
    <t xml:space="preserve">Valgreghentino (LC) </t>
  </si>
  <si>
    <t>097082</t>
  </si>
  <si>
    <t>Valgreghentino</t>
  </si>
  <si>
    <t xml:space="preserve">Valgrisenche (AO) </t>
  </si>
  <si>
    <t>007068</t>
  </si>
  <si>
    <t>Valgrisenche</t>
  </si>
  <si>
    <t xml:space="preserve">Valguarnera Caropepe (EN) </t>
  </si>
  <si>
    <t>086019</t>
  </si>
  <si>
    <t>Valguarnera Caropepe</t>
  </si>
  <si>
    <t xml:space="preserve">Vallada Agordina (BL) </t>
  </si>
  <si>
    <t>025062</t>
  </si>
  <si>
    <t>Vallada Agordina</t>
  </si>
  <si>
    <t xml:space="preserve">Vallanzengo (BI) </t>
  </si>
  <si>
    <t>096072</t>
  </si>
  <si>
    <t>Vallanzengo</t>
  </si>
  <si>
    <t xml:space="preserve">Vallarsa (TN) </t>
  </si>
  <si>
    <t>022210</t>
  </si>
  <si>
    <t>Vallarsa</t>
  </si>
  <si>
    <t xml:space="preserve">Vallata (AV) </t>
  </si>
  <si>
    <t>064114</t>
  </si>
  <si>
    <t>Vallata</t>
  </si>
  <si>
    <t xml:space="preserve">Valle Agricola (CE) </t>
  </si>
  <si>
    <t>061096</t>
  </si>
  <si>
    <t>Valle Agricola</t>
  </si>
  <si>
    <t>021108</t>
  </si>
  <si>
    <t xml:space="preserve">Valle Castellana (TE) </t>
  </si>
  <si>
    <t>067046</t>
  </si>
  <si>
    <t>Valle Castellana</t>
  </si>
  <si>
    <t xml:space="preserve">Valle dell'Angelo (SA) </t>
  </si>
  <si>
    <t>065153</t>
  </si>
  <si>
    <t>Valle dell'Angelo</t>
  </si>
  <si>
    <t xml:space="preserve">Valle di Cadore (BL) </t>
  </si>
  <si>
    <t>025063</t>
  </si>
  <si>
    <t>Valle di Cadore</t>
  </si>
  <si>
    <t>021109</t>
  </si>
  <si>
    <t xml:space="preserve">Valle di Maddaloni (CE) </t>
  </si>
  <si>
    <t>061097</t>
  </si>
  <si>
    <t>Valle di Maddaloni</t>
  </si>
  <si>
    <t xml:space="preserve">Valle Lomellina (PV) </t>
  </si>
  <si>
    <t>018168</t>
  </si>
  <si>
    <t>Valle Lomellina</t>
  </si>
  <si>
    <t xml:space="preserve">Valle Salimbene (PV) </t>
  </si>
  <si>
    <t>018169</t>
  </si>
  <si>
    <t>Valle Salimbene</t>
  </si>
  <si>
    <t xml:space="preserve">Valle San Nicolao (BI) </t>
  </si>
  <si>
    <t>096074</t>
  </si>
  <si>
    <t>Valle San Nicolao</t>
  </si>
  <si>
    <t xml:space="preserve">Vallebona (IM) </t>
  </si>
  <si>
    <t>008062</t>
  </si>
  <si>
    <t>Vallebona</t>
  </si>
  <si>
    <t xml:space="preserve">Vallecorsa (FR) </t>
  </si>
  <si>
    <t>060082</t>
  </si>
  <si>
    <t>Vallecorsa</t>
  </si>
  <si>
    <t xml:space="preserve">Vallecrosia (IM) </t>
  </si>
  <si>
    <t>008063</t>
  </si>
  <si>
    <t>Vallecrosia</t>
  </si>
  <si>
    <t xml:space="preserve">Valledolmo (PA) </t>
  </si>
  <si>
    <t>082076</t>
  </si>
  <si>
    <t>Valledolmo</t>
  </si>
  <si>
    <t xml:space="preserve">Valledoria (SS) </t>
  </si>
  <si>
    <t>Valledoria</t>
  </si>
  <si>
    <t xml:space="preserve">Vallefiorita (CZ) </t>
  </si>
  <si>
    <t>079151</t>
  </si>
  <si>
    <t>Vallefiorita</t>
  </si>
  <si>
    <t xml:space="preserve">Vallelonga (VV) </t>
  </si>
  <si>
    <t>Vallelonga</t>
  </si>
  <si>
    <t xml:space="preserve">Vallelunga Pratameno (CL) </t>
  </si>
  <si>
    <t>085021</t>
  </si>
  <si>
    <t>Vallelunga Pratameno</t>
  </si>
  <si>
    <t xml:space="preserve">Vallemaio (FR) </t>
  </si>
  <si>
    <t>060083</t>
  </si>
  <si>
    <t>Vallemaio</t>
  </si>
  <si>
    <t xml:space="preserve">Vallepietra (RM) </t>
  </si>
  <si>
    <t>058108</t>
  </si>
  <si>
    <t>Vallepietra</t>
  </si>
  <si>
    <t xml:space="preserve">Vallerano (VT) </t>
  </si>
  <si>
    <t>056054</t>
  </si>
  <si>
    <t>Vallerano</t>
  </si>
  <si>
    <t>Vallermosa</t>
  </si>
  <si>
    <t xml:space="preserve">Vallerotonda (FR) </t>
  </si>
  <si>
    <t>060084</t>
  </si>
  <si>
    <t>Vallerotonda</t>
  </si>
  <si>
    <t xml:space="preserve">Vallesaccarda (AV) </t>
  </si>
  <si>
    <t>064115</t>
  </si>
  <si>
    <t>Vallesaccarda</t>
  </si>
  <si>
    <t xml:space="preserve">Valleve (BG) </t>
  </si>
  <si>
    <t>016226</t>
  </si>
  <si>
    <t>Valleve</t>
  </si>
  <si>
    <t xml:space="preserve">Valli del Pasubio (VI) </t>
  </si>
  <si>
    <t>024113</t>
  </si>
  <si>
    <t>Valli del Pasubio</t>
  </si>
  <si>
    <t xml:space="preserve">Vallinfreda (RM) </t>
  </si>
  <si>
    <t>058109</t>
  </si>
  <si>
    <t>Vallinfreda</t>
  </si>
  <si>
    <t xml:space="preserve">Vallio Terme (BS) </t>
  </si>
  <si>
    <t>017193</t>
  </si>
  <si>
    <t>Vallio Terme</t>
  </si>
  <si>
    <t xml:space="preserve">Vallo della Lucania (SA) </t>
  </si>
  <si>
    <t>065154</t>
  </si>
  <si>
    <t>Vallo della Lucania</t>
  </si>
  <si>
    <t xml:space="preserve">Vallo di Nera (PG) </t>
  </si>
  <si>
    <t>054058</t>
  </si>
  <si>
    <t>Vallo di Nera</t>
  </si>
  <si>
    <t xml:space="preserve">Vallo Torinese (TO) </t>
  </si>
  <si>
    <t>001286</t>
  </si>
  <si>
    <t>Vallo Torinese</t>
  </si>
  <si>
    <t xml:space="preserve">Valloriate (CN) </t>
  </si>
  <si>
    <t>004235</t>
  </si>
  <si>
    <t>Valloriate</t>
  </si>
  <si>
    <t xml:space="preserve">Valmacca (AL) </t>
  </si>
  <si>
    <t>006178</t>
  </si>
  <si>
    <t>Valmacca</t>
  </si>
  <si>
    <t xml:space="preserve">Valmadrera (LC) </t>
  </si>
  <si>
    <t>097083</t>
  </si>
  <si>
    <t>Valmadrera</t>
  </si>
  <si>
    <t xml:space="preserve">Valmontone (RM) </t>
  </si>
  <si>
    <t>058110</t>
  </si>
  <si>
    <t>Valmontone</t>
  </si>
  <si>
    <t xml:space="preserve">Valmorea (CO) </t>
  </si>
  <si>
    <t>013232</t>
  </si>
  <si>
    <t>Valmorea</t>
  </si>
  <si>
    <t xml:space="preserve">Valmozzola (PR) </t>
  </si>
  <si>
    <t>034044</t>
  </si>
  <si>
    <t>Valmozzola</t>
  </si>
  <si>
    <t xml:space="preserve">Valnegra (BG) </t>
  </si>
  <si>
    <t>016227</t>
  </si>
  <si>
    <t>Valnegra</t>
  </si>
  <si>
    <t xml:space="preserve">Valpelline (AO) </t>
  </si>
  <si>
    <t>007069</t>
  </si>
  <si>
    <t>Valpelline</t>
  </si>
  <si>
    <t xml:space="preserve">Valperga (TO) </t>
  </si>
  <si>
    <t>001287</t>
  </si>
  <si>
    <t>Valperga</t>
  </si>
  <si>
    <t xml:space="preserve">Valprato Soana (TO) </t>
  </si>
  <si>
    <t>001288</t>
  </si>
  <si>
    <t>Valprato Soana</t>
  </si>
  <si>
    <t xml:space="preserve">Valsavarenche (AO) </t>
  </si>
  <si>
    <t>007070</t>
  </si>
  <si>
    <t>Valsavarenche</t>
  </si>
  <si>
    <t xml:space="preserve">Valsinni (MT) </t>
  </si>
  <si>
    <t>077030</t>
  </si>
  <si>
    <t>Valsinni</t>
  </si>
  <si>
    <t xml:space="preserve">Valsolda (CO) </t>
  </si>
  <si>
    <t>013234</t>
  </si>
  <si>
    <t>Valsolda</t>
  </si>
  <si>
    <t xml:space="preserve">Valstrona (VB) </t>
  </si>
  <si>
    <t>Valstrona</t>
  </si>
  <si>
    <t xml:space="preserve">Valtopina (PG) </t>
  </si>
  <si>
    <t>054059</t>
  </si>
  <si>
    <t>Valtopina</t>
  </si>
  <si>
    <t xml:space="preserve">Valtorta (BG) </t>
  </si>
  <si>
    <t>016229</t>
  </si>
  <si>
    <t>Valtorta</t>
  </si>
  <si>
    <t xml:space="preserve">Valtournenche (AO) </t>
  </si>
  <si>
    <t>007071</t>
  </si>
  <si>
    <t>Valtournenche</t>
  </si>
  <si>
    <t xml:space="preserve">Valva (SA) </t>
  </si>
  <si>
    <t>065155</t>
  </si>
  <si>
    <t>Valva</t>
  </si>
  <si>
    <t xml:space="preserve">Valverde (CT) </t>
  </si>
  <si>
    <t>Valverde</t>
  </si>
  <si>
    <t xml:space="preserve">Valvestino (BS) </t>
  </si>
  <si>
    <t>017194</t>
  </si>
  <si>
    <t>Valvestino</t>
  </si>
  <si>
    <t>021110</t>
  </si>
  <si>
    <t xml:space="preserve">Vanzaghello (MI) </t>
  </si>
  <si>
    <t>015249</t>
  </si>
  <si>
    <t>Vanzaghello</t>
  </si>
  <si>
    <t xml:space="preserve">Vanzago (MI) </t>
  </si>
  <si>
    <t>015229</t>
  </si>
  <si>
    <t>Vanzago</t>
  </si>
  <si>
    <t xml:space="preserve">Vanzone con San Carlo (VB) </t>
  </si>
  <si>
    <t>Vanzone con San Carlo</t>
  </si>
  <si>
    <t xml:space="preserve">Vaprio d'Adda (MI) </t>
  </si>
  <si>
    <t>015230</t>
  </si>
  <si>
    <t>Vaprio d'Adda</t>
  </si>
  <si>
    <t xml:space="preserve">Vaprio d'Agogna (NO) </t>
  </si>
  <si>
    <t>003153</t>
  </si>
  <si>
    <t>Vaprio d'Agogna</t>
  </si>
  <si>
    <t xml:space="preserve">Varallo (VC) </t>
  </si>
  <si>
    <t>002156</t>
  </si>
  <si>
    <t>Varallo</t>
  </si>
  <si>
    <t xml:space="preserve">Varallo Pombia (NO) </t>
  </si>
  <si>
    <t>003154</t>
  </si>
  <si>
    <t>Varallo Pombia</t>
  </si>
  <si>
    <t xml:space="preserve">Varano Borghi (VA) </t>
  </si>
  <si>
    <t>012132</t>
  </si>
  <si>
    <t>Varano Borghi</t>
  </si>
  <si>
    <t xml:space="preserve">Varano de' Melegari (PR) </t>
  </si>
  <si>
    <t>034045</t>
  </si>
  <si>
    <t>Varano de' Melegari</t>
  </si>
  <si>
    <t xml:space="preserve">Varapodio (RC) </t>
  </si>
  <si>
    <t>080095</t>
  </si>
  <si>
    <t>Varapodio</t>
  </si>
  <si>
    <t xml:space="preserve">Varazze (SV) </t>
  </si>
  <si>
    <t>009065</t>
  </si>
  <si>
    <t>Varazze</t>
  </si>
  <si>
    <t xml:space="preserve">Varco Sabino (RI) </t>
  </si>
  <si>
    <t>057073</t>
  </si>
  <si>
    <t>Varco Sabino</t>
  </si>
  <si>
    <t xml:space="preserve">Varedo (MB) </t>
  </si>
  <si>
    <t>Varedo</t>
  </si>
  <si>
    <t xml:space="preserve">Varenna (LC) </t>
  </si>
  <si>
    <t>097084</t>
  </si>
  <si>
    <t>Varenna</t>
  </si>
  <si>
    <t xml:space="preserve">Varese (VA) </t>
  </si>
  <si>
    <t>012133</t>
  </si>
  <si>
    <t>Varese</t>
  </si>
  <si>
    <t xml:space="preserve">Varese Ligure (SP) </t>
  </si>
  <si>
    <t>011029</t>
  </si>
  <si>
    <t>Varese Ligure</t>
  </si>
  <si>
    <t xml:space="preserve">Varisella (TO) </t>
  </si>
  <si>
    <t>001289</t>
  </si>
  <si>
    <t>Varisella</t>
  </si>
  <si>
    <t xml:space="preserve">Varmo (UD) </t>
  </si>
  <si>
    <t>030130</t>
  </si>
  <si>
    <t>Varmo</t>
  </si>
  <si>
    <t>021111</t>
  </si>
  <si>
    <t xml:space="preserve">Varsi (PR) </t>
  </si>
  <si>
    <t>034046</t>
  </si>
  <si>
    <t>Varsi</t>
  </si>
  <si>
    <t xml:space="preserve">Varzi (PV) </t>
  </si>
  <si>
    <t>018171</t>
  </si>
  <si>
    <t>Varzi</t>
  </si>
  <si>
    <t xml:space="preserve">Varzo (VB) </t>
  </si>
  <si>
    <t>Varzo</t>
  </si>
  <si>
    <t xml:space="preserve">Vasanello (VT) </t>
  </si>
  <si>
    <t>056055</t>
  </si>
  <si>
    <t>Vasanello</t>
  </si>
  <si>
    <t xml:space="preserve">Vasia (IM) </t>
  </si>
  <si>
    <t>008064</t>
  </si>
  <si>
    <t>Vasia</t>
  </si>
  <si>
    <t xml:space="preserve">Vasto (CH) </t>
  </si>
  <si>
    <t>069099</t>
  </si>
  <si>
    <t>Vasto</t>
  </si>
  <si>
    <t xml:space="preserve">Vastogirardi (IS) </t>
  </si>
  <si>
    <t>094051</t>
  </si>
  <si>
    <t>Vastogirardi</t>
  </si>
  <si>
    <t xml:space="preserve">Vauda Canavese (TO) </t>
  </si>
  <si>
    <t>001290</t>
  </si>
  <si>
    <t>Vauda Canavese</t>
  </si>
  <si>
    <t xml:space="preserve">Vazzano (VV) </t>
  </si>
  <si>
    <t>Vazzano</t>
  </si>
  <si>
    <t xml:space="preserve">Vazzola (TV) </t>
  </si>
  <si>
    <t>026088</t>
  </si>
  <si>
    <t>Vazzola</t>
  </si>
  <si>
    <t xml:space="preserve">Vecchiano (PI) </t>
  </si>
  <si>
    <t>050037</t>
  </si>
  <si>
    <t>Vecchiano</t>
  </si>
  <si>
    <t xml:space="preserve">Vedano al Lambro (MB) </t>
  </si>
  <si>
    <t>Vedano al Lambro</t>
  </si>
  <si>
    <t xml:space="preserve">Vedano Olona (VA) </t>
  </si>
  <si>
    <t>012134</t>
  </si>
  <si>
    <t>Vedano Olona</t>
  </si>
  <si>
    <t xml:space="preserve">Vedelago (TV) </t>
  </si>
  <si>
    <t>026089</t>
  </si>
  <si>
    <t>Vedelago</t>
  </si>
  <si>
    <t xml:space="preserve">Vedeseta (BG) </t>
  </si>
  <si>
    <t>016230</t>
  </si>
  <si>
    <t>Vedeseta</t>
  </si>
  <si>
    <t xml:space="preserve">Veduggio con Colzano (MB) </t>
  </si>
  <si>
    <t>Veduggio con Colzano</t>
  </si>
  <si>
    <t xml:space="preserve">Veggiano (PD) </t>
  </si>
  <si>
    <t>028096</t>
  </si>
  <si>
    <t>Veggiano</t>
  </si>
  <si>
    <t xml:space="preserve">Veglie (LE) </t>
  </si>
  <si>
    <t>075092</t>
  </si>
  <si>
    <t>Veglie</t>
  </si>
  <si>
    <t xml:space="preserve">Veglio (BI) </t>
  </si>
  <si>
    <t>096075</t>
  </si>
  <si>
    <t>Veglio</t>
  </si>
  <si>
    <t xml:space="preserve">Vejano (VT) </t>
  </si>
  <si>
    <t>056056</t>
  </si>
  <si>
    <t>Vejano</t>
  </si>
  <si>
    <t xml:space="preserve">Veleso (CO) </t>
  </si>
  <si>
    <t>013236</t>
  </si>
  <si>
    <t>Veleso</t>
  </si>
  <si>
    <t xml:space="preserve">Velezzo Lomellina (PV) </t>
  </si>
  <si>
    <t>018172</t>
  </si>
  <si>
    <t>Velezzo Lomellina</t>
  </si>
  <si>
    <t xml:space="preserve">Velletri (RM) </t>
  </si>
  <si>
    <t>058111</t>
  </si>
  <si>
    <t>Velletri</t>
  </si>
  <si>
    <t xml:space="preserve">Vellezzo Bellini (PV) </t>
  </si>
  <si>
    <t>018173</t>
  </si>
  <si>
    <t>Vellezzo Bellini</t>
  </si>
  <si>
    <t xml:space="preserve">Velo d'Astico (VI) </t>
  </si>
  <si>
    <t>024115</t>
  </si>
  <si>
    <t>Velo d'Astico</t>
  </si>
  <si>
    <t xml:space="preserve">Velo Veronese (VR) </t>
  </si>
  <si>
    <t>023090</t>
  </si>
  <si>
    <t>Velo Veronese</t>
  </si>
  <si>
    <t>021116</t>
  </si>
  <si>
    <t xml:space="preserve">Venafro (IS) </t>
  </si>
  <si>
    <t>094052</t>
  </si>
  <si>
    <t>Venafro</t>
  </si>
  <si>
    <t xml:space="preserve">Venaria Reale (TO) </t>
  </si>
  <si>
    <t>001292</t>
  </si>
  <si>
    <t>Venaria Reale</t>
  </si>
  <si>
    <t xml:space="preserve">Venarotta (AP) </t>
  </si>
  <si>
    <t>044073</t>
  </si>
  <si>
    <t>Venarotta</t>
  </si>
  <si>
    <t xml:space="preserve">Venasca (CN) </t>
  </si>
  <si>
    <t>004237</t>
  </si>
  <si>
    <t>Venasca</t>
  </si>
  <si>
    <t xml:space="preserve">Venaus (TO) </t>
  </si>
  <si>
    <t>001291</t>
  </si>
  <si>
    <t>Venaus</t>
  </si>
  <si>
    <t xml:space="preserve">Vendone (SV) </t>
  </si>
  <si>
    <t>009066</t>
  </si>
  <si>
    <t>Vendone</t>
  </si>
  <si>
    <t xml:space="preserve">Venegono Inferiore (VA) </t>
  </si>
  <si>
    <t>012136</t>
  </si>
  <si>
    <t>Venegono Inferiore</t>
  </si>
  <si>
    <t xml:space="preserve">Venegono Superiore (VA) </t>
  </si>
  <si>
    <t>012137</t>
  </si>
  <si>
    <t>Venegono Superiore</t>
  </si>
  <si>
    <t xml:space="preserve">Venetico (ME) </t>
  </si>
  <si>
    <t>083104</t>
  </si>
  <si>
    <t>Venetico</t>
  </si>
  <si>
    <t xml:space="preserve">Venezia (VE) </t>
  </si>
  <si>
    <t>027042</t>
  </si>
  <si>
    <t>Venezia</t>
  </si>
  <si>
    <t xml:space="preserve">Veniano (CO) </t>
  </si>
  <si>
    <t>013238</t>
  </si>
  <si>
    <t>Veniano</t>
  </si>
  <si>
    <t xml:space="preserve">Venosa (PZ) </t>
  </si>
  <si>
    <t>076095</t>
  </si>
  <si>
    <t>Venosa</t>
  </si>
  <si>
    <t xml:space="preserve">Venticano (AV) </t>
  </si>
  <si>
    <t>064116</t>
  </si>
  <si>
    <t>Venticano</t>
  </si>
  <si>
    <t xml:space="preserve">Ventimiglia (IM) </t>
  </si>
  <si>
    <t>008065</t>
  </si>
  <si>
    <t>Ventimiglia</t>
  </si>
  <si>
    <t xml:space="preserve">Ventimiglia di Sicilia (PA) </t>
  </si>
  <si>
    <t>082077</t>
  </si>
  <si>
    <t>Ventimiglia di Sicilia</t>
  </si>
  <si>
    <t xml:space="preserve">Ventotene (LT) </t>
  </si>
  <si>
    <t>059033</t>
  </si>
  <si>
    <t>Ventotene</t>
  </si>
  <si>
    <t xml:space="preserve">Venzone (UD) </t>
  </si>
  <si>
    <t>030131</t>
  </si>
  <si>
    <t>Venzone</t>
  </si>
  <si>
    <t>021112</t>
  </si>
  <si>
    <t xml:space="preserve">Verano Brianza (MB) </t>
  </si>
  <si>
    <t>Verano Brianza</t>
  </si>
  <si>
    <t xml:space="preserve">Verbania (VB) </t>
  </si>
  <si>
    <t>Verbania</t>
  </si>
  <si>
    <t xml:space="preserve">Verbicaro (CS) </t>
  </si>
  <si>
    <t>078153</t>
  </si>
  <si>
    <t>Verbicaro</t>
  </si>
  <si>
    <t xml:space="preserve">Vercana (CO) </t>
  </si>
  <si>
    <t>013239</t>
  </si>
  <si>
    <t>Vercana</t>
  </si>
  <si>
    <t xml:space="preserve">Verceia (SO) </t>
  </si>
  <si>
    <t>014075</t>
  </si>
  <si>
    <t>Verceia</t>
  </si>
  <si>
    <t xml:space="preserve">Vercelli (VC) </t>
  </si>
  <si>
    <t>002158</t>
  </si>
  <si>
    <t>Vercelli</t>
  </si>
  <si>
    <t xml:space="preserve">Vercurago (LC) </t>
  </si>
  <si>
    <t>097086</t>
  </si>
  <si>
    <t>Vercurago</t>
  </si>
  <si>
    <t xml:space="preserve">Verdellino (BG) </t>
  </si>
  <si>
    <t>016232</t>
  </si>
  <si>
    <t>Verdellino</t>
  </si>
  <si>
    <t xml:space="preserve">Verdello (BG) </t>
  </si>
  <si>
    <t>016233</t>
  </si>
  <si>
    <t>Verdello</t>
  </si>
  <si>
    <t xml:space="preserve">Verduno (CN) </t>
  </si>
  <si>
    <t>004238</t>
  </si>
  <si>
    <t>Verduno</t>
  </si>
  <si>
    <t xml:space="preserve">Vergato (BO) </t>
  </si>
  <si>
    <t>037059</t>
  </si>
  <si>
    <t>Vergato</t>
  </si>
  <si>
    <t xml:space="preserve">Verghereto (FC) </t>
  </si>
  <si>
    <t>040050</t>
  </si>
  <si>
    <t>Verghereto</t>
  </si>
  <si>
    <t xml:space="preserve">Vergiate (VA) </t>
  </si>
  <si>
    <t>012138</t>
  </si>
  <si>
    <t>Vergiate</t>
  </si>
  <si>
    <t xml:space="preserve">Vermiglio (TN) </t>
  </si>
  <si>
    <t>022213</t>
  </si>
  <si>
    <t>Vermiglio</t>
  </si>
  <si>
    <t xml:space="preserve">Vernante (CN) </t>
  </si>
  <si>
    <t>004239</t>
  </si>
  <si>
    <t>Vernante</t>
  </si>
  <si>
    <t xml:space="preserve">Vernasca (PC) </t>
  </si>
  <si>
    <t>033044</t>
  </si>
  <si>
    <t>Vernasca</t>
  </si>
  <si>
    <t xml:space="preserve">Vernate (MI) </t>
  </si>
  <si>
    <t>015236</t>
  </si>
  <si>
    <t>Vernate</t>
  </si>
  <si>
    <t xml:space="preserve">Vernazza (SP) </t>
  </si>
  <si>
    <t>011030</t>
  </si>
  <si>
    <t>Vernazza</t>
  </si>
  <si>
    <t xml:space="preserve">Vernio (PO) </t>
  </si>
  <si>
    <t>Vernio</t>
  </si>
  <si>
    <t xml:space="preserve">Vernole (LE) </t>
  </si>
  <si>
    <t>075093</t>
  </si>
  <si>
    <t>Vernole</t>
  </si>
  <si>
    <t xml:space="preserve">Verolanuova (BS) </t>
  </si>
  <si>
    <t>017195</t>
  </si>
  <si>
    <t>Verolanuova</t>
  </si>
  <si>
    <t xml:space="preserve">Verolavecchia (BS) </t>
  </si>
  <si>
    <t>017196</t>
  </si>
  <si>
    <t>Verolavecchia</t>
  </si>
  <si>
    <t xml:space="preserve">Verolengo (TO) </t>
  </si>
  <si>
    <t>001293</t>
  </si>
  <si>
    <t>Verolengo</t>
  </si>
  <si>
    <t xml:space="preserve">Veroli (FR) </t>
  </si>
  <si>
    <t>060085</t>
  </si>
  <si>
    <t>Veroli</t>
  </si>
  <si>
    <t xml:space="preserve">Verona (VR) </t>
  </si>
  <si>
    <t>023091</t>
  </si>
  <si>
    <t>Verona</t>
  </si>
  <si>
    <t xml:space="preserve">Veronella (VR) </t>
  </si>
  <si>
    <t>023092</t>
  </si>
  <si>
    <t>Veronella</t>
  </si>
  <si>
    <t xml:space="preserve">Verrayes (AO) </t>
  </si>
  <si>
    <t>007072</t>
  </si>
  <si>
    <t>Verrayes</t>
  </si>
  <si>
    <t xml:space="preserve">Verrès (AO) </t>
  </si>
  <si>
    <t>007073</t>
  </si>
  <si>
    <t>Verrès</t>
  </si>
  <si>
    <t xml:space="preserve">Verretto (PV) </t>
  </si>
  <si>
    <t>018174</t>
  </si>
  <si>
    <t>Verretto</t>
  </si>
  <si>
    <t xml:space="preserve">Verrone (BI) </t>
  </si>
  <si>
    <t>096076</t>
  </si>
  <si>
    <t>Verrone</t>
  </si>
  <si>
    <t xml:space="preserve">Verrua Po (PV) </t>
  </si>
  <si>
    <t>018175</t>
  </si>
  <si>
    <t>Verrua Po</t>
  </si>
  <si>
    <t xml:space="preserve">Verrua Savoia (TO) </t>
  </si>
  <si>
    <t>001294</t>
  </si>
  <si>
    <t>Verrua Savoia</t>
  </si>
  <si>
    <t xml:space="preserve">Vertemate con Minoprio (CO) </t>
  </si>
  <si>
    <t>013242</t>
  </si>
  <si>
    <t>Vertemate con Minoprio</t>
  </si>
  <si>
    <t xml:space="preserve">Vertova (BG) </t>
  </si>
  <si>
    <t>016234</t>
  </si>
  <si>
    <t>Vertova</t>
  </si>
  <si>
    <t xml:space="preserve">Verucchio (RN) </t>
  </si>
  <si>
    <t>099020</t>
  </si>
  <si>
    <t>Verucchio</t>
  </si>
  <si>
    <t xml:space="preserve">Vervio (SO) </t>
  </si>
  <si>
    <t>014076</t>
  </si>
  <si>
    <t>Vervio</t>
  </si>
  <si>
    <t xml:space="preserve">Verzegnis (UD) </t>
  </si>
  <si>
    <t>030132</t>
  </si>
  <si>
    <t>Verzegnis</t>
  </si>
  <si>
    <t xml:space="preserve">Verzino (KR) </t>
  </si>
  <si>
    <t>Verzino</t>
  </si>
  <si>
    <t xml:space="preserve">Verzuolo (CN) </t>
  </si>
  <si>
    <t>004240</t>
  </si>
  <si>
    <t>Verzuolo</t>
  </si>
  <si>
    <t xml:space="preserve">Vescovana (PD) </t>
  </si>
  <si>
    <t>028097</t>
  </si>
  <si>
    <t>Vescovana</t>
  </si>
  <si>
    <t xml:space="preserve">Vescovato (CR) </t>
  </si>
  <si>
    <t>019113</t>
  </si>
  <si>
    <t>Vescovato</t>
  </si>
  <si>
    <t xml:space="preserve">Vesime (AT) </t>
  </si>
  <si>
    <t>005113</t>
  </si>
  <si>
    <t>Vesime</t>
  </si>
  <si>
    <t xml:space="preserve">Vespolate (NO) </t>
  </si>
  <si>
    <t>003158</t>
  </si>
  <si>
    <t>Vespolate</t>
  </si>
  <si>
    <t xml:space="preserve">Vessalico (IM) </t>
  </si>
  <si>
    <t>008066</t>
  </si>
  <si>
    <t>Vessalico</t>
  </si>
  <si>
    <t xml:space="preserve">Vestenanova (VR) </t>
  </si>
  <si>
    <t>023093</t>
  </si>
  <si>
    <t>Vestenanova</t>
  </si>
  <si>
    <t xml:space="preserve">Vestignè (TO) </t>
  </si>
  <si>
    <t>001295</t>
  </si>
  <si>
    <t>Vestignè</t>
  </si>
  <si>
    <t xml:space="preserve">Vestone (BS) </t>
  </si>
  <si>
    <t>017197</t>
  </si>
  <si>
    <t>Vestone</t>
  </si>
  <si>
    <t xml:space="preserve">Vetralla (VT) </t>
  </si>
  <si>
    <t>056057</t>
  </si>
  <si>
    <t>Vetralla</t>
  </si>
  <si>
    <t xml:space="preserve">Vetto (RE) </t>
  </si>
  <si>
    <t>035042</t>
  </si>
  <si>
    <t>Vetto</t>
  </si>
  <si>
    <t xml:space="preserve">Vezza d'Alba (CN) </t>
  </si>
  <si>
    <t>004241</t>
  </si>
  <si>
    <t>Vezza d'Alba</t>
  </si>
  <si>
    <t xml:space="preserve">Vezza d'Oglio (BS) </t>
  </si>
  <si>
    <t>017198</t>
  </si>
  <si>
    <t>Vezza d'Oglio</t>
  </si>
  <si>
    <t xml:space="preserve">Vezzano Ligure (SP) </t>
  </si>
  <si>
    <t>011031</t>
  </si>
  <si>
    <t>Vezzano Ligure</t>
  </si>
  <si>
    <t xml:space="preserve">Vezzano sul Crostolo (RE) </t>
  </si>
  <si>
    <t>035043</t>
  </si>
  <si>
    <t>Vezzano sul Crostolo</t>
  </si>
  <si>
    <t xml:space="preserve">Vezzi Portio (SV) </t>
  </si>
  <si>
    <t>009067</t>
  </si>
  <si>
    <t>Vezzi Portio</t>
  </si>
  <si>
    <t xml:space="preserve">Viadana (MN) </t>
  </si>
  <si>
    <t>020066</t>
  </si>
  <si>
    <t>Viadana</t>
  </si>
  <si>
    <t xml:space="preserve">Viadanica (BG) </t>
  </si>
  <si>
    <t>016235</t>
  </si>
  <si>
    <t>Viadanica</t>
  </si>
  <si>
    <t xml:space="preserve">Viagrande (CT) </t>
  </si>
  <si>
    <t>087053</t>
  </si>
  <si>
    <t>Viagrande</t>
  </si>
  <si>
    <t xml:space="preserve">Viale (AT) </t>
  </si>
  <si>
    <t>005114</t>
  </si>
  <si>
    <t>Viale</t>
  </si>
  <si>
    <t xml:space="preserve">Vialfrè (TO) </t>
  </si>
  <si>
    <t>001296</t>
  </si>
  <si>
    <t>Vialfrè</t>
  </si>
  <si>
    <t xml:space="preserve">Viano (RE) </t>
  </si>
  <si>
    <t>035044</t>
  </si>
  <si>
    <t>Viano</t>
  </si>
  <si>
    <t xml:space="preserve">Viareggio (LU) </t>
  </si>
  <si>
    <t>046033</t>
  </si>
  <si>
    <t>Viareggio</t>
  </si>
  <si>
    <t xml:space="preserve">Viarigi (AT) </t>
  </si>
  <si>
    <t>005115</t>
  </si>
  <si>
    <t>Viarigi</t>
  </si>
  <si>
    <t xml:space="preserve">Vibo Valentia (VV) </t>
  </si>
  <si>
    <t>Vibo Valentia</t>
  </si>
  <si>
    <t xml:space="preserve">Vibonati (SA) </t>
  </si>
  <si>
    <t>065156</t>
  </si>
  <si>
    <t>Vibonati</t>
  </si>
  <si>
    <t xml:space="preserve">Vicalvi (FR) </t>
  </si>
  <si>
    <t>060086</t>
  </si>
  <si>
    <t>Vicalvi</t>
  </si>
  <si>
    <t xml:space="preserve">Vicari (PA) </t>
  </si>
  <si>
    <t>082078</t>
  </si>
  <si>
    <t>Vicari</t>
  </si>
  <si>
    <t xml:space="preserve">Vicchio (FI) </t>
  </si>
  <si>
    <t>048049</t>
  </si>
  <si>
    <t>Vicchio</t>
  </si>
  <si>
    <t xml:space="preserve">Vicenza (VI) </t>
  </si>
  <si>
    <t>024116</t>
  </si>
  <si>
    <t>Vicenza</t>
  </si>
  <si>
    <t xml:space="preserve">Vico del Gargano (FG) </t>
  </si>
  <si>
    <t>071059</t>
  </si>
  <si>
    <t>Vico del Gargano</t>
  </si>
  <si>
    <t xml:space="preserve">Vico Equense (NA) </t>
  </si>
  <si>
    <t>063086</t>
  </si>
  <si>
    <t>Vico Equense</t>
  </si>
  <si>
    <t xml:space="preserve">Vico nel Lazio (FR) </t>
  </si>
  <si>
    <t>060087</t>
  </si>
  <si>
    <t>Vico nel Lazio</t>
  </si>
  <si>
    <t xml:space="preserve">Vicoforte (CN) </t>
  </si>
  <si>
    <t>004242</t>
  </si>
  <si>
    <t>Vicoforte</t>
  </si>
  <si>
    <t xml:space="preserve">Vicoli (PE) </t>
  </si>
  <si>
    <t>068045</t>
  </si>
  <si>
    <t>Vicoli</t>
  </si>
  <si>
    <t xml:space="preserve">Vicolungo (NO) </t>
  </si>
  <si>
    <t>003159</t>
  </si>
  <si>
    <t>Vicolungo</t>
  </si>
  <si>
    <t xml:space="preserve">Vicopisano (PI) </t>
  </si>
  <si>
    <t>050038</t>
  </si>
  <si>
    <t>Vicopisano</t>
  </si>
  <si>
    <t xml:space="preserve">Vicovaro (RM) </t>
  </si>
  <si>
    <t>058112</t>
  </si>
  <si>
    <t>Vicovaro</t>
  </si>
  <si>
    <t xml:space="preserve">Viddalba (SS) </t>
  </si>
  <si>
    <t>Viddalba</t>
  </si>
  <si>
    <t xml:space="preserve">Vidigulfo (PV) </t>
  </si>
  <si>
    <t>018176</t>
  </si>
  <si>
    <t>Vidigulfo</t>
  </si>
  <si>
    <t xml:space="preserve">Vidor (TV) </t>
  </si>
  <si>
    <t>026090</t>
  </si>
  <si>
    <t>Vidor</t>
  </si>
  <si>
    <t xml:space="preserve">Vidracco (TO) </t>
  </si>
  <si>
    <t>001298</t>
  </si>
  <si>
    <t>Vidracco</t>
  </si>
  <si>
    <t xml:space="preserve">Vieste (FG) </t>
  </si>
  <si>
    <t>071060</t>
  </si>
  <si>
    <t>Vieste</t>
  </si>
  <si>
    <t xml:space="preserve">Vietri di Potenza (PZ) </t>
  </si>
  <si>
    <t>076096</t>
  </si>
  <si>
    <t>Vietri di Potenza</t>
  </si>
  <si>
    <t xml:space="preserve">Vietri sul Mare (SA) </t>
  </si>
  <si>
    <t>065157</t>
  </si>
  <si>
    <t>Vietri sul Mare</t>
  </si>
  <si>
    <t xml:space="preserve">Viganò (LC) </t>
  </si>
  <si>
    <t>097090</t>
  </si>
  <si>
    <t>Viganò</t>
  </si>
  <si>
    <t xml:space="preserve">Vigano San Martino (BG) </t>
  </si>
  <si>
    <t>016236</t>
  </si>
  <si>
    <t>Vigano San Martino</t>
  </si>
  <si>
    <t xml:space="preserve">Vigarano Mainarda (FE) </t>
  </si>
  <si>
    <t>038022</t>
  </si>
  <si>
    <t>Vigarano Mainarda</t>
  </si>
  <si>
    <t xml:space="preserve">Vigasio (VR) </t>
  </si>
  <si>
    <t>023094</t>
  </si>
  <si>
    <t>Vigasio</t>
  </si>
  <si>
    <t xml:space="preserve">Vigevano (PV) </t>
  </si>
  <si>
    <t>018177</t>
  </si>
  <si>
    <t>Vigevano</t>
  </si>
  <si>
    <t xml:space="preserve">Viggianello (PZ) </t>
  </si>
  <si>
    <t>076097</t>
  </si>
  <si>
    <t>Viggianello</t>
  </si>
  <si>
    <t xml:space="preserve">Viggiano (PZ) </t>
  </si>
  <si>
    <t>076098</t>
  </si>
  <si>
    <t>Viggiano</t>
  </si>
  <si>
    <t xml:space="preserve">Viggiù (VA) </t>
  </si>
  <si>
    <t>012139</t>
  </si>
  <si>
    <t>Viggiù</t>
  </si>
  <si>
    <t xml:space="preserve">Vigliano Biellese (BI) </t>
  </si>
  <si>
    <t>096077</t>
  </si>
  <si>
    <t>Vigliano Biellese</t>
  </si>
  <si>
    <t xml:space="preserve">Vigliano d'Asti (AT) </t>
  </si>
  <si>
    <t>005116</t>
  </si>
  <si>
    <t>Vigliano d'Asti</t>
  </si>
  <si>
    <t xml:space="preserve">Vignale Monferrato (AL) </t>
  </si>
  <si>
    <t>006179</t>
  </si>
  <si>
    <t>Vignale Monferrato</t>
  </si>
  <si>
    <t xml:space="preserve">Vignanello (VT) </t>
  </si>
  <si>
    <t>056058</t>
  </si>
  <si>
    <t>Vignanello</t>
  </si>
  <si>
    <t xml:space="preserve">Vignate (MI) </t>
  </si>
  <si>
    <t>015237</t>
  </si>
  <si>
    <t>Vignate</t>
  </si>
  <si>
    <t xml:space="preserve">Vignola (MO) </t>
  </si>
  <si>
    <t>036046</t>
  </si>
  <si>
    <t>Vignola</t>
  </si>
  <si>
    <t xml:space="preserve">Vignola-Falesina (TN) </t>
  </si>
  <si>
    <t>022216</t>
  </si>
  <si>
    <t>Vignola-Falesina</t>
  </si>
  <si>
    <t xml:space="preserve">Vignole Borbera (AL) </t>
  </si>
  <si>
    <t>006180</t>
  </si>
  <si>
    <t>Vignole Borbera</t>
  </si>
  <si>
    <t xml:space="preserve">Vignolo (CN) </t>
  </si>
  <si>
    <t>004243</t>
  </si>
  <si>
    <t>Vignolo</t>
  </si>
  <si>
    <t xml:space="preserve">Vignone (VB) </t>
  </si>
  <si>
    <t>Vignone</t>
  </si>
  <si>
    <t xml:space="preserve">Vigo di Cadore (BL) </t>
  </si>
  <si>
    <t>025065</t>
  </si>
  <si>
    <t>Vigo di Cadore</t>
  </si>
  <si>
    <t xml:space="preserve">Vigodarzere (PD) </t>
  </si>
  <si>
    <t>028099</t>
  </si>
  <si>
    <t>Vigodarzere</t>
  </si>
  <si>
    <t xml:space="preserve">Vigolo (BG) </t>
  </si>
  <si>
    <t>016237</t>
  </si>
  <si>
    <t>Vigolo</t>
  </si>
  <si>
    <t xml:space="preserve">Vigolzone (PC) </t>
  </si>
  <si>
    <t>033045</t>
  </si>
  <si>
    <t>Vigolzone</t>
  </si>
  <si>
    <t xml:space="preserve">Vigone (TO) </t>
  </si>
  <si>
    <t>001299</t>
  </si>
  <si>
    <t>Vigone</t>
  </si>
  <si>
    <t xml:space="preserve">Vigonovo (VE) </t>
  </si>
  <si>
    <t>027043</t>
  </si>
  <si>
    <t>Vigonovo</t>
  </si>
  <si>
    <t xml:space="preserve">Vigonza (PD) </t>
  </si>
  <si>
    <t>028100</t>
  </si>
  <si>
    <t>Vigonza</t>
  </si>
  <si>
    <t xml:space="preserve">Viguzzolo (AL) </t>
  </si>
  <si>
    <t>006181</t>
  </si>
  <si>
    <t>Viguzzolo</t>
  </si>
  <si>
    <t xml:space="preserve">Villa Bartolomea (VR) </t>
  </si>
  <si>
    <t>023095</t>
  </si>
  <si>
    <t>Villa Bartolomea</t>
  </si>
  <si>
    <t xml:space="preserve">Villa Basilica (LU) </t>
  </si>
  <si>
    <t>046034</t>
  </si>
  <si>
    <t>Villa Basilica</t>
  </si>
  <si>
    <t xml:space="preserve">Villa Biscossi (PV) </t>
  </si>
  <si>
    <t>018178</t>
  </si>
  <si>
    <t>Villa Biscossi</t>
  </si>
  <si>
    <t xml:space="preserve">Villa Carcina (BS) </t>
  </si>
  <si>
    <t>017199</t>
  </si>
  <si>
    <t>Villa Carcina</t>
  </si>
  <si>
    <t xml:space="preserve">Villa Castelli (BR) </t>
  </si>
  <si>
    <t>074020</t>
  </si>
  <si>
    <t>Villa Castelli</t>
  </si>
  <si>
    <t xml:space="preserve">Villa Celiera (PE) </t>
  </si>
  <si>
    <t>068046</t>
  </si>
  <si>
    <t>Villa Celiera</t>
  </si>
  <si>
    <t xml:space="preserve">Villa Collemandina (LU) </t>
  </si>
  <si>
    <t>046035</t>
  </si>
  <si>
    <t>Villa Collemandina</t>
  </si>
  <si>
    <t xml:space="preserve">Villa Cortese (MI) </t>
  </si>
  <si>
    <t>015248</t>
  </si>
  <si>
    <t>Villa Cortese</t>
  </si>
  <si>
    <t xml:space="preserve">Villa d'Adda (BG) </t>
  </si>
  <si>
    <t>016238</t>
  </si>
  <si>
    <t>Villa d'Adda</t>
  </si>
  <si>
    <t xml:space="preserve">Villa d'Almè (BG) </t>
  </si>
  <si>
    <t>016239</t>
  </si>
  <si>
    <t>Villa d'Almè</t>
  </si>
  <si>
    <t xml:space="preserve">Villa del Bosco (BI) </t>
  </si>
  <si>
    <t>096078</t>
  </si>
  <si>
    <t>Villa del Bosco</t>
  </si>
  <si>
    <t xml:space="preserve">Villa del Conte (PD) </t>
  </si>
  <si>
    <t>028101</t>
  </si>
  <si>
    <t>Villa del Conte</t>
  </si>
  <si>
    <t xml:space="preserve">Villa di Briano (CE) </t>
  </si>
  <si>
    <t>061098</t>
  </si>
  <si>
    <t>Villa di Briano</t>
  </si>
  <si>
    <t xml:space="preserve">Villa di Chiavenna (SO) </t>
  </si>
  <si>
    <t>014077</t>
  </si>
  <si>
    <t>Villa di Chiavenna</t>
  </si>
  <si>
    <t xml:space="preserve">Villa di Serio (BG) </t>
  </si>
  <si>
    <t>016240</t>
  </si>
  <si>
    <t>Villa di Serio</t>
  </si>
  <si>
    <t xml:space="preserve">Villa di Tirano (SO) </t>
  </si>
  <si>
    <t>014078</t>
  </si>
  <si>
    <t>Villa di Tirano</t>
  </si>
  <si>
    <t xml:space="preserve">Villa d'Ogna (BG) </t>
  </si>
  <si>
    <t>016241</t>
  </si>
  <si>
    <t>Villa d'Ogna</t>
  </si>
  <si>
    <t xml:space="preserve">Villa Estense (PD) </t>
  </si>
  <si>
    <t>028102</t>
  </si>
  <si>
    <t>Villa Estense</t>
  </si>
  <si>
    <t xml:space="preserve">Villa Faraldi (IM) </t>
  </si>
  <si>
    <t>008067</t>
  </si>
  <si>
    <t>Villa Faraldi</t>
  </si>
  <si>
    <t xml:space="preserve">Villa Guardia (CO) </t>
  </si>
  <si>
    <t>013245</t>
  </si>
  <si>
    <t>Villa Guardia</t>
  </si>
  <si>
    <t xml:space="preserve">Villa Lagarina (TN) </t>
  </si>
  <si>
    <t>022222</t>
  </si>
  <si>
    <t>Villa Lagarina</t>
  </si>
  <si>
    <t xml:space="preserve">Villa Latina (FR) </t>
  </si>
  <si>
    <t>060088</t>
  </si>
  <si>
    <t>Villa Latina</t>
  </si>
  <si>
    <t xml:space="preserve">Villa Literno (CE) </t>
  </si>
  <si>
    <t>061099</t>
  </si>
  <si>
    <t>Villa Literno</t>
  </si>
  <si>
    <t xml:space="preserve">Villa Minozzo (RE) </t>
  </si>
  <si>
    <t>035045</t>
  </si>
  <si>
    <t>Villa Minozzo</t>
  </si>
  <si>
    <t xml:space="preserve">Villa San Giovanni (RC) </t>
  </si>
  <si>
    <t>080096</t>
  </si>
  <si>
    <t>Villa San Giovanni</t>
  </si>
  <si>
    <t xml:space="preserve">Villa San Giovanni in Tuscia (VT) </t>
  </si>
  <si>
    <t>056046</t>
  </si>
  <si>
    <t>Villa San Giovanni in Tuscia</t>
  </si>
  <si>
    <t xml:space="preserve">Villa San Pietro (CA) </t>
  </si>
  <si>
    <t>Villa San Pietro</t>
  </si>
  <si>
    <t xml:space="preserve">Villa San Secondo (AT) </t>
  </si>
  <si>
    <t>005119</t>
  </si>
  <si>
    <t>Villa San Secondo</t>
  </si>
  <si>
    <t xml:space="preserve">Villa Santa Lucia (FR) </t>
  </si>
  <si>
    <t>060089</t>
  </si>
  <si>
    <t>Villa Santa Lucia</t>
  </si>
  <si>
    <t xml:space="preserve">Villa Santa Lucia degli Abruzzi (AQ) </t>
  </si>
  <si>
    <t>066104</t>
  </si>
  <si>
    <t>Villa Santa Lucia degli Abruzzi</t>
  </si>
  <si>
    <t xml:space="preserve">Villa Santa Maria (CH) </t>
  </si>
  <si>
    <t>069102</t>
  </si>
  <si>
    <t>Villa Santa Maria</t>
  </si>
  <si>
    <t xml:space="preserve">Villa Sant'Angelo (AQ) </t>
  </si>
  <si>
    <t>066105</t>
  </si>
  <si>
    <t>Villa Sant'Angelo</t>
  </si>
  <si>
    <t xml:space="preserve">Villa Sant'Antonio (OR) </t>
  </si>
  <si>
    <t>Villa Sant'Antonio</t>
  </si>
  <si>
    <t xml:space="preserve">Villa Santina (UD) </t>
  </si>
  <si>
    <t>030133</t>
  </si>
  <si>
    <t>Villa Santina</t>
  </si>
  <si>
    <t xml:space="preserve">Villa Santo Stefano (FR) </t>
  </si>
  <si>
    <t>060090</t>
  </si>
  <si>
    <t>Villa Santo Stefano</t>
  </si>
  <si>
    <t xml:space="preserve">Villa Verde (OR) </t>
  </si>
  <si>
    <t>Villa Verde</t>
  </si>
  <si>
    <t>021113</t>
  </si>
  <si>
    <t xml:space="preserve">Villabate (PA) </t>
  </si>
  <si>
    <t>082079</t>
  </si>
  <si>
    <t>Villabate</t>
  </si>
  <si>
    <t xml:space="preserve">Villachiara (BS) </t>
  </si>
  <si>
    <t>017200</t>
  </si>
  <si>
    <t>Villachiara</t>
  </si>
  <si>
    <t>Villacidro</t>
  </si>
  <si>
    <t xml:space="preserve">Villadeati (AL) </t>
  </si>
  <si>
    <t>006182</t>
  </si>
  <si>
    <t>Villadeati</t>
  </si>
  <si>
    <t xml:space="preserve">Villadose (RO) </t>
  </si>
  <si>
    <t>029048</t>
  </si>
  <si>
    <t>Villadose</t>
  </si>
  <si>
    <t xml:space="preserve">Villadossola (VB) </t>
  </si>
  <si>
    <t>Villadossola</t>
  </si>
  <si>
    <t xml:space="preserve">Villafalletto (CN) </t>
  </si>
  <si>
    <t>004244</t>
  </si>
  <si>
    <t>Villafalletto</t>
  </si>
  <si>
    <t xml:space="preserve">Villafranca d'Asti (AT) </t>
  </si>
  <si>
    <t>005117</t>
  </si>
  <si>
    <t>Villafranca d'Asti</t>
  </si>
  <si>
    <t xml:space="preserve">Villafranca di Verona (VR) </t>
  </si>
  <si>
    <t>023096</t>
  </si>
  <si>
    <t>Villafranca di Verona</t>
  </si>
  <si>
    <t xml:space="preserve">Villafranca in Lunigiana (MS) </t>
  </si>
  <si>
    <t>045016</t>
  </si>
  <si>
    <t>Villafranca in Lunigiana</t>
  </si>
  <si>
    <t xml:space="preserve">Villafranca Padovana (PD) </t>
  </si>
  <si>
    <t>028103</t>
  </si>
  <si>
    <t>Villafranca Padovana</t>
  </si>
  <si>
    <t xml:space="preserve">Villafranca Piemonte (TO) </t>
  </si>
  <si>
    <t>001300</t>
  </si>
  <si>
    <t>Villafranca Piemonte</t>
  </si>
  <si>
    <t xml:space="preserve">Villafranca Sicula (AG) </t>
  </si>
  <si>
    <t>084043</t>
  </si>
  <si>
    <t>Villafranca Sicula</t>
  </si>
  <si>
    <t xml:space="preserve">Villafranca Tirrena (ME) </t>
  </si>
  <si>
    <t>083105</t>
  </si>
  <si>
    <t>Villafranca Tirrena</t>
  </si>
  <si>
    <t xml:space="preserve">Villafrati (PA) </t>
  </si>
  <si>
    <t>082080</t>
  </si>
  <si>
    <t>Villafrati</t>
  </si>
  <si>
    <t xml:space="preserve">Villaga (VI) </t>
  </si>
  <si>
    <t>024117</t>
  </si>
  <si>
    <t>Villaga</t>
  </si>
  <si>
    <t>Villagrande Strisaili</t>
  </si>
  <si>
    <t xml:space="preserve">Villalago (AQ) </t>
  </si>
  <si>
    <t>066103</t>
  </si>
  <si>
    <t>Villalago</t>
  </si>
  <si>
    <t xml:space="preserve">Villalba (CL) </t>
  </si>
  <si>
    <t>085022</t>
  </si>
  <si>
    <t>Villalba</t>
  </si>
  <si>
    <t xml:space="preserve">Villalfonsina (CH) </t>
  </si>
  <si>
    <t>069100</t>
  </si>
  <si>
    <t>Villalfonsina</t>
  </si>
  <si>
    <t xml:space="preserve">Villalvernia (AL) </t>
  </si>
  <si>
    <t>006183</t>
  </si>
  <si>
    <t>Villalvernia</t>
  </si>
  <si>
    <t xml:space="preserve">Villamagna (CH) </t>
  </si>
  <si>
    <t>069101</t>
  </si>
  <si>
    <t>Villamagna</t>
  </si>
  <si>
    <t xml:space="preserve">Villamaina (AV) </t>
  </si>
  <si>
    <t>064117</t>
  </si>
  <si>
    <t>Villamaina</t>
  </si>
  <si>
    <t>Villamar</t>
  </si>
  <si>
    <t xml:space="preserve">Villamarzana (RO) </t>
  </si>
  <si>
    <t>029049</t>
  </si>
  <si>
    <t>Villamarzana</t>
  </si>
  <si>
    <t>Villamassargia</t>
  </si>
  <si>
    <t xml:space="preserve">Villamiroglio (AL) </t>
  </si>
  <si>
    <t>006184</t>
  </si>
  <si>
    <t>Villamiroglio</t>
  </si>
  <si>
    <t>021114</t>
  </si>
  <si>
    <t xml:space="preserve">Villanova Biellese (BI) </t>
  </si>
  <si>
    <t>096079</t>
  </si>
  <si>
    <t>Villanova Biellese</t>
  </si>
  <si>
    <t xml:space="preserve">Villanova Canavese (TO) </t>
  </si>
  <si>
    <t>001301</t>
  </si>
  <si>
    <t>Villanova Canavese</t>
  </si>
  <si>
    <t xml:space="preserve">Villanova d'Albenga (SV) </t>
  </si>
  <si>
    <t>009068</t>
  </si>
  <si>
    <t>Villanova d'Albenga</t>
  </si>
  <si>
    <t xml:space="preserve">Villanova d'Ardenghi (PV) </t>
  </si>
  <si>
    <t>018179</t>
  </si>
  <si>
    <t>Villanova d'Ardenghi</t>
  </si>
  <si>
    <t xml:space="preserve">Villanova d'Asti (AT) </t>
  </si>
  <si>
    <t>005118</t>
  </si>
  <si>
    <t>Villanova d'Asti</t>
  </si>
  <si>
    <t xml:space="preserve">Villanova del Battista (AV) </t>
  </si>
  <si>
    <t>064118</t>
  </si>
  <si>
    <t>Villanova del Battista</t>
  </si>
  <si>
    <t xml:space="preserve">Villanova del Ghebbo (RO) </t>
  </si>
  <si>
    <t>029050</t>
  </si>
  <si>
    <t>Villanova del Ghebbo</t>
  </si>
  <si>
    <t xml:space="preserve">Villanova del Sillaro (LO) </t>
  </si>
  <si>
    <t>098060</t>
  </si>
  <si>
    <t>Villanova del Sillaro</t>
  </si>
  <si>
    <t xml:space="preserve">Villanova di Camposampiero (PD) </t>
  </si>
  <si>
    <t>028104</t>
  </si>
  <si>
    <t>Villanova di Camposampiero</t>
  </si>
  <si>
    <t xml:space="preserve">Villanova Marchesana (RO) </t>
  </si>
  <si>
    <t>029051</t>
  </si>
  <si>
    <t>Villanova Marchesana</t>
  </si>
  <si>
    <t xml:space="preserve">Villanova Mondovì (CN) </t>
  </si>
  <si>
    <t>004245</t>
  </si>
  <si>
    <t>Villanova Mondovì</t>
  </si>
  <si>
    <t xml:space="preserve">Villanova Monferrato (AL) </t>
  </si>
  <si>
    <t>006185</t>
  </si>
  <si>
    <t>Villanova Monferrato</t>
  </si>
  <si>
    <t xml:space="preserve">Villanova Monteleone (SS) </t>
  </si>
  <si>
    <t>Villanova Monteleone</t>
  </si>
  <si>
    <t xml:space="preserve">Villanova Solaro (CN) </t>
  </si>
  <si>
    <t>004246</t>
  </si>
  <si>
    <t>Villanova Solaro</t>
  </si>
  <si>
    <t xml:space="preserve">Villanova sull'Arda (PC) </t>
  </si>
  <si>
    <t>033046</t>
  </si>
  <si>
    <t>Villanova sull'Arda</t>
  </si>
  <si>
    <t xml:space="preserve">Villanova Truschedu (OR) </t>
  </si>
  <si>
    <t>Villanova Truschedu</t>
  </si>
  <si>
    <t>Villanova Tulo</t>
  </si>
  <si>
    <t>Villanovaforru</t>
  </si>
  <si>
    <t>Villanovafranca</t>
  </si>
  <si>
    <t xml:space="preserve">Villanterio (PV) </t>
  </si>
  <si>
    <t>018180</t>
  </si>
  <si>
    <t>Villanterio</t>
  </si>
  <si>
    <t xml:space="preserve">Villanuova sul Clisi (BS) </t>
  </si>
  <si>
    <t>017201</t>
  </si>
  <si>
    <t>Villanuova sul Clisi</t>
  </si>
  <si>
    <t>Villaperuccio</t>
  </si>
  <si>
    <t xml:space="preserve">Villapiana (CS) </t>
  </si>
  <si>
    <t>078154</t>
  </si>
  <si>
    <t>Villapiana</t>
  </si>
  <si>
    <t>Villaputzu</t>
  </si>
  <si>
    <t xml:space="preserve">Villar Dora (TO) </t>
  </si>
  <si>
    <t>001303</t>
  </si>
  <si>
    <t>Villar Dora</t>
  </si>
  <si>
    <t xml:space="preserve">Villar Focchiardo (TO) </t>
  </si>
  <si>
    <t>001305</t>
  </si>
  <si>
    <t>Villar Focchiardo</t>
  </si>
  <si>
    <t xml:space="preserve">Villar Pellice (TO) </t>
  </si>
  <si>
    <t>001306</t>
  </si>
  <si>
    <t>Villar Pellice</t>
  </si>
  <si>
    <t xml:space="preserve">Villar Perosa (TO) </t>
  </si>
  <si>
    <t>001307</t>
  </si>
  <si>
    <t>Villar Perosa</t>
  </si>
  <si>
    <t xml:space="preserve">Villar San Costanzo (CN) </t>
  </si>
  <si>
    <t>004247</t>
  </si>
  <si>
    <t>Villar San Costanzo</t>
  </si>
  <si>
    <t xml:space="preserve">Villarbasse (TO) </t>
  </si>
  <si>
    <t>001302</t>
  </si>
  <si>
    <t>Villarbasse</t>
  </si>
  <si>
    <t xml:space="preserve">Villarboit (VC) </t>
  </si>
  <si>
    <t>002163</t>
  </si>
  <si>
    <t>Villarboit</t>
  </si>
  <si>
    <t xml:space="preserve">Villareggia (TO) </t>
  </si>
  <si>
    <t>001304</t>
  </si>
  <si>
    <t>Villareggia</t>
  </si>
  <si>
    <t xml:space="preserve">Villaricca (NA) </t>
  </si>
  <si>
    <t>063087</t>
  </si>
  <si>
    <t>Villaricca</t>
  </si>
  <si>
    <t xml:space="preserve">Villaromagnano (AL) </t>
  </si>
  <si>
    <t>006186</t>
  </si>
  <si>
    <t>Villaromagnano</t>
  </si>
  <si>
    <t xml:space="preserve">Villarosa (EN) </t>
  </si>
  <si>
    <t>086020</t>
  </si>
  <si>
    <t>Villarosa</t>
  </si>
  <si>
    <t>Villasalto</t>
  </si>
  <si>
    <t xml:space="preserve">Villasanta (MB) </t>
  </si>
  <si>
    <t>Villasanta</t>
  </si>
  <si>
    <t>Villasimius</t>
  </si>
  <si>
    <t>Villasor</t>
  </si>
  <si>
    <t>Villaspeciosa</t>
  </si>
  <si>
    <t xml:space="preserve">Villastellone (TO) </t>
  </si>
  <si>
    <t>001308</t>
  </si>
  <si>
    <t>Villastellone</t>
  </si>
  <si>
    <t xml:space="preserve">Villata (VC) </t>
  </si>
  <si>
    <t>002164</t>
  </si>
  <si>
    <t>Villata</t>
  </si>
  <si>
    <t xml:space="preserve">Villaurbana (OR) </t>
  </si>
  <si>
    <t>Villaurbana</t>
  </si>
  <si>
    <t xml:space="preserve">Villavallelonga (AQ) </t>
  </si>
  <si>
    <t>066106</t>
  </si>
  <si>
    <t>Villavallelonga</t>
  </si>
  <si>
    <t xml:space="preserve">Villaverla (VI) </t>
  </si>
  <si>
    <t>024118</t>
  </si>
  <si>
    <t>Villaverla</t>
  </si>
  <si>
    <t xml:space="preserve">Villeneuve (AO) </t>
  </si>
  <si>
    <t>007074</t>
  </si>
  <si>
    <t>Villeneuve</t>
  </si>
  <si>
    <t xml:space="preserve">Villesse (GO) </t>
  </si>
  <si>
    <t>031025</t>
  </si>
  <si>
    <t>Villesse</t>
  </si>
  <si>
    <t xml:space="preserve">Villetta Barrea (AQ) </t>
  </si>
  <si>
    <t>066107</t>
  </si>
  <si>
    <t>Villetta Barrea</t>
  </si>
  <si>
    <t xml:space="preserve">Villette (VB) </t>
  </si>
  <si>
    <t>Villette</t>
  </si>
  <si>
    <t xml:space="preserve">Villimpenta (MN) </t>
  </si>
  <si>
    <t>020068</t>
  </si>
  <si>
    <t>Villimpenta</t>
  </si>
  <si>
    <t xml:space="preserve">Villongo (BG) </t>
  </si>
  <si>
    <t>016242</t>
  </si>
  <si>
    <t>Villongo</t>
  </si>
  <si>
    <t xml:space="preserve">Villorba (TV) </t>
  </si>
  <si>
    <t>026091</t>
  </si>
  <si>
    <t>Villorba</t>
  </si>
  <si>
    <t xml:space="preserve">Vilminore di Scalve (BG) </t>
  </si>
  <si>
    <t>016243</t>
  </si>
  <si>
    <t>Vilminore di Scalve</t>
  </si>
  <si>
    <t xml:space="preserve">Vimercate (MB) </t>
  </si>
  <si>
    <t>Vimercate</t>
  </si>
  <si>
    <t xml:space="preserve">Vimodrone (MI) </t>
  </si>
  <si>
    <t>015242</t>
  </si>
  <si>
    <t>Vimodrone</t>
  </si>
  <si>
    <t xml:space="preserve">Vinadio (CN) </t>
  </si>
  <si>
    <t>004248</t>
  </si>
  <si>
    <t>Vinadio</t>
  </si>
  <si>
    <t xml:space="preserve">Vinchiaturo (CB) </t>
  </si>
  <si>
    <t>070084</t>
  </si>
  <si>
    <t>Vinchiaturo</t>
  </si>
  <si>
    <t xml:space="preserve">Vinchio (AT) </t>
  </si>
  <si>
    <t>005120</t>
  </si>
  <si>
    <t>Vinchio</t>
  </si>
  <si>
    <t xml:space="preserve">Vinci (FI) </t>
  </si>
  <si>
    <t>048050</t>
  </si>
  <si>
    <t>Vinci</t>
  </si>
  <si>
    <t xml:space="preserve">Vinovo (TO) </t>
  </si>
  <si>
    <t>001309</t>
  </si>
  <si>
    <t>Vinovo</t>
  </si>
  <si>
    <t xml:space="preserve">Vinzaglio (NO) </t>
  </si>
  <si>
    <t>003164</t>
  </si>
  <si>
    <t>Vinzaglio</t>
  </si>
  <si>
    <t xml:space="preserve">Viola (CN) </t>
  </si>
  <si>
    <t>004249</t>
  </si>
  <si>
    <t>Viola</t>
  </si>
  <si>
    <t xml:space="preserve">Vione (BS) </t>
  </si>
  <si>
    <t>017202</t>
  </si>
  <si>
    <t>Vione</t>
  </si>
  <si>
    <t>021115</t>
  </si>
  <si>
    <t xml:space="preserve">Virle Piemonte (TO) </t>
  </si>
  <si>
    <t>001310</t>
  </si>
  <si>
    <t>Virle Piemonte</t>
  </si>
  <si>
    <t xml:space="preserve">Visano (BS) </t>
  </si>
  <si>
    <t>017203</t>
  </si>
  <si>
    <t>Visano</t>
  </si>
  <si>
    <t xml:space="preserve">Vische (TO) </t>
  </si>
  <si>
    <t>001311</t>
  </si>
  <si>
    <t>Vische</t>
  </si>
  <si>
    <t xml:space="preserve">Visciano (NA) </t>
  </si>
  <si>
    <t>063088</t>
  </si>
  <si>
    <t>Visciano</t>
  </si>
  <si>
    <t xml:space="preserve">Visco (UD) </t>
  </si>
  <si>
    <t>030135</t>
  </si>
  <si>
    <t>Visco</t>
  </si>
  <si>
    <t xml:space="preserve">Visone (AL) </t>
  </si>
  <si>
    <t>006187</t>
  </si>
  <si>
    <t>Visone</t>
  </si>
  <si>
    <t xml:space="preserve">Visso (MC) </t>
  </si>
  <si>
    <t>043057</t>
  </si>
  <si>
    <t>Visso</t>
  </si>
  <si>
    <t xml:space="preserve">Vistarino (PV) </t>
  </si>
  <si>
    <t>018181</t>
  </si>
  <si>
    <t>Vistarino</t>
  </si>
  <si>
    <t xml:space="preserve">Vistrorio (TO) </t>
  </si>
  <si>
    <t>001312</t>
  </si>
  <si>
    <t>Vistrorio</t>
  </si>
  <si>
    <t xml:space="preserve">Vita (TP) </t>
  </si>
  <si>
    <t>081023</t>
  </si>
  <si>
    <t>Vita</t>
  </si>
  <si>
    <t xml:space="preserve">Viterbo (VT) </t>
  </si>
  <si>
    <t>056059</t>
  </si>
  <si>
    <t>Viterbo</t>
  </si>
  <si>
    <t xml:space="preserve">Viticuso (FR) </t>
  </si>
  <si>
    <t>060091</t>
  </si>
  <si>
    <t>Viticuso</t>
  </si>
  <si>
    <t xml:space="preserve">Vito d'Asio (PN) </t>
  </si>
  <si>
    <t>093049</t>
  </si>
  <si>
    <t>Vito d'Asio</t>
  </si>
  <si>
    <t xml:space="preserve">Vitorchiano (VT) </t>
  </si>
  <si>
    <t>056060</t>
  </si>
  <si>
    <t>Vitorchiano</t>
  </si>
  <si>
    <t xml:space="preserve">Vittoria (RG) </t>
  </si>
  <si>
    <t>088012</t>
  </si>
  <si>
    <t>Vittoria</t>
  </si>
  <si>
    <t xml:space="preserve">Vittorio Veneto (TV) </t>
  </si>
  <si>
    <t>026092</t>
  </si>
  <si>
    <t>Vittorio Veneto</t>
  </si>
  <si>
    <t xml:space="preserve">Vittorito (AQ) </t>
  </si>
  <si>
    <t>066108</t>
  </si>
  <si>
    <t>Vittorito</t>
  </si>
  <si>
    <t xml:space="preserve">Vittuone (MI) </t>
  </si>
  <si>
    <t>015243</t>
  </si>
  <si>
    <t>Vittuone</t>
  </si>
  <si>
    <t xml:space="preserve">Vitulano (BN) </t>
  </si>
  <si>
    <t>062077</t>
  </si>
  <si>
    <t>Vitulano</t>
  </si>
  <si>
    <t xml:space="preserve">Vitulazio (CE) </t>
  </si>
  <si>
    <t>061100</t>
  </si>
  <si>
    <t>Vitulazio</t>
  </si>
  <si>
    <t xml:space="preserve">Viù (TO) </t>
  </si>
  <si>
    <t>001313</t>
  </si>
  <si>
    <t>Viù</t>
  </si>
  <si>
    <t xml:space="preserve">Vivaro (PN) </t>
  </si>
  <si>
    <t>093050</t>
  </si>
  <si>
    <t>Vivaro</t>
  </si>
  <si>
    <t xml:space="preserve">Vivaro Romano (RM) </t>
  </si>
  <si>
    <t>058113</t>
  </si>
  <si>
    <t>Vivaro Romano</t>
  </si>
  <si>
    <t xml:space="preserve">Viverone (BI) </t>
  </si>
  <si>
    <t>096080</t>
  </si>
  <si>
    <t>Viverone</t>
  </si>
  <si>
    <t xml:space="preserve">Vizzini (CT) </t>
  </si>
  <si>
    <t>087054</t>
  </si>
  <si>
    <t>Vizzini</t>
  </si>
  <si>
    <t xml:space="preserve">Vizzola Ticino (VA) </t>
  </si>
  <si>
    <t>012140</t>
  </si>
  <si>
    <t>Vizzola Ticino</t>
  </si>
  <si>
    <t xml:space="preserve">Vizzolo Predabissi (MI) </t>
  </si>
  <si>
    <t>015244</t>
  </si>
  <si>
    <t>Vizzolo Predabissi</t>
  </si>
  <si>
    <t xml:space="preserve">Vo' (PD) </t>
  </si>
  <si>
    <t>028105</t>
  </si>
  <si>
    <t>Vo'</t>
  </si>
  <si>
    <t xml:space="preserve">Vobarno (BS) </t>
  </si>
  <si>
    <t>017204</t>
  </si>
  <si>
    <t>Vobarno</t>
  </si>
  <si>
    <t xml:space="preserve">Vobbia (GE) </t>
  </si>
  <si>
    <t>010066</t>
  </si>
  <si>
    <t>Vobbia</t>
  </si>
  <si>
    <t xml:space="preserve">Vocca (VC) </t>
  </si>
  <si>
    <t>002166</t>
  </si>
  <si>
    <t>Vocca</t>
  </si>
  <si>
    <t xml:space="preserve">Vodo Cadore (BL) </t>
  </si>
  <si>
    <t>025066</t>
  </si>
  <si>
    <t>Vodo Cadore</t>
  </si>
  <si>
    <t xml:space="preserve">Voghera (PV) </t>
  </si>
  <si>
    <t>018182</t>
  </si>
  <si>
    <t>Voghera</t>
  </si>
  <si>
    <t xml:space="preserve">Voghiera (FE) </t>
  </si>
  <si>
    <t>038023</t>
  </si>
  <si>
    <t>Voghiera</t>
  </si>
  <si>
    <t xml:space="preserve">Vogogna (VB) </t>
  </si>
  <si>
    <t>Vogogna</t>
  </si>
  <si>
    <t xml:space="preserve">Volano (TN) </t>
  </si>
  <si>
    <t>022224</t>
  </si>
  <si>
    <t>Volano</t>
  </si>
  <si>
    <t xml:space="preserve">Volla (NA) </t>
  </si>
  <si>
    <t>063089</t>
  </si>
  <si>
    <t>Volla</t>
  </si>
  <si>
    <t xml:space="preserve">Volongo (CR) </t>
  </si>
  <si>
    <t>019114</t>
  </si>
  <si>
    <t>Volongo</t>
  </si>
  <si>
    <t xml:space="preserve">Volpago del Montello (TV) </t>
  </si>
  <si>
    <t>026093</t>
  </si>
  <si>
    <t>Volpago del Montello</t>
  </si>
  <si>
    <t xml:space="preserve">Volpara (PV) </t>
  </si>
  <si>
    <t>018183</t>
  </si>
  <si>
    <t>Volpara</t>
  </si>
  <si>
    <t xml:space="preserve">Volpedo (AL) </t>
  </si>
  <si>
    <t>006188</t>
  </si>
  <si>
    <t>Volpedo</t>
  </si>
  <si>
    <t xml:space="preserve">Volpeglino (AL) </t>
  </si>
  <si>
    <t>006189</t>
  </si>
  <si>
    <t>Volpeglino</t>
  </si>
  <si>
    <t xml:space="preserve">Volpiano (TO) </t>
  </si>
  <si>
    <t>001314</t>
  </si>
  <si>
    <t>Volpiano</t>
  </si>
  <si>
    <t xml:space="preserve">Volta Mantovana (MN) </t>
  </si>
  <si>
    <t>020070</t>
  </si>
  <si>
    <t>Volta Mantovana</t>
  </si>
  <si>
    <t xml:space="preserve">Voltaggio (AL) </t>
  </si>
  <si>
    <t>006190</t>
  </si>
  <si>
    <t>Voltaggio</t>
  </si>
  <si>
    <t xml:space="preserve">Voltago Agordino (BL) </t>
  </si>
  <si>
    <t>025067</t>
  </si>
  <si>
    <t>Voltago Agordino</t>
  </si>
  <si>
    <t xml:space="preserve">Volterra (PI) </t>
  </si>
  <si>
    <t>050039</t>
  </si>
  <si>
    <t>Volterra</t>
  </si>
  <si>
    <t xml:space="preserve">Voltido (CR) </t>
  </si>
  <si>
    <t>019115</t>
  </si>
  <si>
    <t>Voltido</t>
  </si>
  <si>
    <t xml:space="preserve">Volturara Appula (FG) </t>
  </si>
  <si>
    <t>071061</t>
  </si>
  <si>
    <t>Volturara Appula</t>
  </si>
  <si>
    <t xml:space="preserve">Volturara Irpina (AV) </t>
  </si>
  <si>
    <t>064119</t>
  </si>
  <si>
    <t>Volturara Irpina</t>
  </si>
  <si>
    <t xml:space="preserve">Volturino (FG) </t>
  </si>
  <si>
    <t>071062</t>
  </si>
  <si>
    <t>Volturino</t>
  </si>
  <si>
    <t xml:space="preserve">Volvera (TO) </t>
  </si>
  <si>
    <t>001315</t>
  </si>
  <si>
    <t>Volvera</t>
  </si>
  <si>
    <t xml:space="preserve">Vottignasco (CN) </t>
  </si>
  <si>
    <t>004250</t>
  </si>
  <si>
    <t>Vottignasco</t>
  </si>
  <si>
    <t xml:space="preserve">Zaccanopoli (VV) </t>
  </si>
  <si>
    <t>Zaccanopoli</t>
  </si>
  <si>
    <t xml:space="preserve">Zafferana Etnea (CT) </t>
  </si>
  <si>
    <t>087055</t>
  </si>
  <si>
    <t>Zafferana Etnea</t>
  </si>
  <si>
    <t xml:space="preserve">Zagarise (CZ) </t>
  </si>
  <si>
    <t>079157</t>
  </si>
  <si>
    <t>Zagarise</t>
  </si>
  <si>
    <t xml:space="preserve">Zagarolo (RM) </t>
  </si>
  <si>
    <t>058114</t>
  </si>
  <si>
    <t>Zagarolo</t>
  </si>
  <si>
    <t xml:space="preserve">Zambrone (VV) </t>
  </si>
  <si>
    <t>Zambrone</t>
  </si>
  <si>
    <t xml:space="preserve">Zandobbio (BG) </t>
  </si>
  <si>
    <t>016244</t>
  </si>
  <si>
    <t>Zandobbio</t>
  </si>
  <si>
    <t xml:space="preserve">Zanè (VI) </t>
  </si>
  <si>
    <t>024119</t>
  </si>
  <si>
    <t>Zanè</t>
  </si>
  <si>
    <t xml:space="preserve">Zanica (BG) </t>
  </si>
  <si>
    <t>016245</t>
  </si>
  <si>
    <t>Zanica</t>
  </si>
  <si>
    <t xml:space="preserve">Zapponeta (FG) </t>
  </si>
  <si>
    <t>071064</t>
  </si>
  <si>
    <t>Zapponeta</t>
  </si>
  <si>
    <t xml:space="preserve">Zavattarello (PV) </t>
  </si>
  <si>
    <t>018184</t>
  </si>
  <si>
    <t>Zavattarello</t>
  </si>
  <si>
    <t xml:space="preserve">Zeccone (PV) </t>
  </si>
  <si>
    <t>018185</t>
  </si>
  <si>
    <t>Zeccone</t>
  </si>
  <si>
    <t xml:space="preserve">Zeddiani (OR) </t>
  </si>
  <si>
    <t>Zeddiani</t>
  </si>
  <si>
    <t xml:space="preserve">Zelbio (CO) </t>
  </si>
  <si>
    <t>013246</t>
  </si>
  <si>
    <t>Zelbio</t>
  </si>
  <si>
    <t xml:space="preserve">Zelo Buon Persico (LO) </t>
  </si>
  <si>
    <t>098061</t>
  </si>
  <si>
    <t>Zelo Buon Persico</t>
  </si>
  <si>
    <t xml:space="preserve">Zeme (PV) </t>
  </si>
  <si>
    <t>018186</t>
  </si>
  <si>
    <t>Zeme</t>
  </si>
  <si>
    <t xml:space="preserve">Zenevredo (PV) </t>
  </si>
  <si>
    <t>018187</t>
  </si>
  <si>
    <t>Zenevredo</t>
  </si>
  <si>
    <t xml:space="preserve">Zenson di Piave (TV) </t>
  </si>
  <si>
    <t>026094</t>
  </si>
  <si>
    <t>Zenson di Piave</t>
  </si>
  <si>
    <t xml:space="preserve">Zerba (PC) </t>
  </si>
  <si>
    <t>033047</t>
  </si>
  <si>
    <t>Zerba</t>
  </si>
  <si>
    <t xml:space="preserve">Zerbo (PV) </t>
  </si>
  <si>
    <t>018188</t>
  </si>
  <si>
    <t>Zerbo</t>
  </si>
  <si>
    <t xml:space="preserve">Zerbolò (PV) </t>
  </si>
  <si>
    <t>018189</t>
  </si>
  <si>
    <t>Zerbolò</t>
  </si>
  <si>
    <t xml:space="preserve">Zerfaliu (OR) </t>
  </si>
  <si>
    <t>Zerfaliu</t>
  </si>
  <si>
    <t xml:space="preserve">Zeri (MS) </t>
  </si>
  <si>
    <t>045017</t>
  </si>
  <si>
    <t>Zeri</t>
  </si>
  <si>
    <t xml:space="preserve">Zermeghedo (VI) </t>
  </si>
  <si>
    <t>024120</t>
  </si>
  <si>
    <t>Zermeghedo</t>
  </si>
  <si>
    <t xml:space="preserve">Zero Branco (TV) </t>
  </si>
  <si>
    <t>026095</t>
  </si>
  <si>
    <t>Zero Branco</t>
  </si>
  <si>
    <t xml:space="preserve">Zevio (VR) </t>
  </si>
  <si>
    <t>023097</t>
  </si>
  <si>
    <t>Zevio</t>
  </si>
  <si>
    <t xml:space="preserve">Ziano di Fiemme (TN) </t>
  </si>
  <si>
    <t>022226</t>
  </si>
  <si>
    <t>Ziano di Fiemme</t>
  </si>
  <si>
    <t xml:space="preserve">Ziano Piacentino (PC) </t>
  </si>
  <si>
    <t>033048</t>
  </si>
  <si>
    <t>Ziano Piacentino</t>
  </si>
  <si>
    <t xml:space="preserve">Zibido San Giacomo (MI) </t>
  </si>
  <si>
    <t>015247</t>
  </si>
  <si>
    <t>Zibido San Giacomo</t>
  </si>
  <si>
    <t xml:space="preserve">Zignago (SP) </t>
  </si>
  <si>
    <t>011032</t>
  </si>
  <si>
    <t>Zignago</t>
  </si>
  <si>
    <t xml:space="preserve">Zimella (VR) </t>
  </si>
  <si>
    <t>023098</t>
  </si>
  <si>
    <t>Zimella</t>
  </si>
  <si>
    <t xml:space="preserve">Zimone (BI) </t>
  </si>
  <si>
    <t>096081</t>
  </si>
  <si>
    <t>Zimone</t>
  </si>
  <si>
    <t xml:space="preserve">Zinasco (PV) </t>
  </si>
  <si>
    <t>018190</t>
  </si>
  <si>
    <t>Zinasco</t>
  </si>
  <si>
    <t xml:space="preserve">Zoagli (GE) </t>
  </si>
  <si>
    <t>010067</t>
  </si>
  <si>
    <t>Zoagli</t>
  </si>
  <si>
    <t xml:space="preserve">Zocca (MO) </t>
  </si>
  <si>
    <t>036047</t>
  </si>
  <si>
    <t>Zocca</t>
  </si>
  <si>
    <t xml:space="preserve">Zogno (BG) </t>
  </si>
  <si>
    <t>016246</t>
  </si>
  <si>
    <t>Zogno</t>
  </si>
  <si>
    <t xml:space="preserve">Zola Predosa (BO) </t>
  </si>
  <si>
    <t>037060</t>
  </si>
  <si>
    <t>Zola Predosa</t>
  </si>
  <si>
    <t xml:space="preserve">Zollino (LE) </t>
  </si>
  <si>
    <t>075094</t>
  </si>
  <si>
    <t>Zollino</t>
  </si>
  <si>
    <t xml:space="preserve">Zone (BS) </t>
  </si>
  <si>
    <t>017205</t>
  </si>
  <si>
    <t>Zone</t>
  </si>
  <si>
    <t xml:space="preserve">Zoppè di Cadore (BL) </t>
  </si>
  <si>
    <t>025069</t>
  </si>
  <si>
    <t>Zoppè di Cadore</t>
  </si>
  <si>
    <t xml:space="preserve">Zoppola (PN) </t>
  </si>
  <si>
    <t>093051</t>
  </si>
  <si>
    <t>Zoppola</t>
  </si>
  <si>
    <t xml:space="preserve">Zovencedo (VI) </t>
  </si>
  <si>
    <t>024121</t>
  </si>
  <si>
    <t>Zovencedo</t>
  </si>
  <si>
    <t xml:space="preserve">Zubiena (BI) </t>
  </si>
  <si>
    <t>096082</t>
  </si>
  <si>
    <t>Zubiena</t>
  </si>
  <si>
    <t xml:space="preserve">Zuccarello (SV) </t>
  </si>
  <si>
    <t>009069</t>
  </si>
  <si>
    <t>Zuccarello</t>
  </si>
  <si>
    <t xml:space="preserve">Zugliano (VI) </t>
  </si>
  <si>
    <t>024122</t>
  </si>
  <si>
    <t>Zugliano</t>
  </si>
  <si>
    <t xml:space="preserve">Zuglio (UD) </t>
  </si>
  <si>
    <t>030136</t>
  </si>
  <si>
    <t>Zuglio</t>
  </si>
  <si>
    <t xml:space="preserve">Zumaglia (BI) </t>
  </si>
  <si>
    <t>096083</t>
  </si>
  <si>
    <t>Zumaglia</t>
  </si>
  <si>
    <t xml:space="preserve">Zumpano (CS) </t>
  </si>
  <si>
    <t>078155</t>
  </si>
  <si>
    <t>Zumpano</t>
  </si>
  <si>
    <t xml:space="preserve">Zungoli (AV) </t>
  </si>
  <si>
    <t>064120</t>
  </si>
  <si>
    <t>Zungoli</t>
  </si>
  <si>
    <t xml:space="preserve">Zungri (VV) </t>
  </si>
  <si>
    <t>Zungri</t>
  </si>
  <si>
    <t>Rimborso della rata dei mutui (MT)</t>
  </si>
  <si>
    <t>Altri corrispettivi (AC)</t>
  </si>
  <si>
    <t>Tipologia di proprietario</t>
  </si>
  <si>
    <t>Comunità Montane (quota ERC)</t>
  </si>
  <si>
    <t>Canoni di derivaz/sottens idrica (quota ERC)</t>
  </si>
  <si>
    <t>Costo forniture all’ingrosso transfrontaliere</t>
  </si>
  <si>
    <t>anno</t>
  </si>
  <si>
    <t>u.d.m.</t>
  </si>
  <si>
    <t>area</t>
  </si>
  <si>
    <t>IP</t>
  </si>
  <si>
    <t>FAIP</t>
  </si>
  <si>
    <t>CFP</t>
  </si>
  <si>
    <t>FACP</t>
  </si>
  <si>
    <r>
      <t>CIN</t>
    </r>
    <r>
      <rPr>
        <vertAlign val="subscript"/>
        <sz val="10"/>
        <rFont val="Arial Narrow"/>
        <family val="2"/>
      </rPr>
      <t>fp</t>
    </r>
  </si>
  <si>
    <t>id</t>
  </si>
  <si>
    <t>CS/CnS</t>
  </si>
  <si>
    <t>α</t>
  </si>
  <si>
    <t>β levered</t>
  </si>
  <si>
    <t>ERP</t>
  </si>
  <si>
    <t>tc</t>
  </si>
  <si>
    <t>T</t>
  </si>
  <si>
    <t>time lag</t>
  </si>
  <si>
    <t>Rai</t>
  </si>
  <si>
    <t>fatture</t>
  </si>
  <si>
    <t>fornitori</t>
  </si>
  <si>
    <t>CCN</t>
  </si>
  <si>
    <t>CIN</t>
  </si>
  <si>
    <t xml:space="preserve">AMMORTAMENTO FINANZIARIO </t>
  </si>
  <si>
    <t>Produttorie d'inflazione</t>
  </si>
  <si>
    <r>
      <rPr>
        <b/>
        <sz val="16"/>
        <color indexed="8"/>
        <rFont val="Arial Narrow"/>
        <family val="2"/>
      </rPr>
      <t>dfl</t>
    </r>
    <r>
      <rPr>
        <b/>
        <i/>
        <sz val="16"/>
        <color indexed="8"/>
        <rFont val="Arial Narrow"/>
        <family val="2"/>
      </rPr>
      <t xml:space="preserve"> </t>
    </r>
    <r>
      <rPr>
        <i/>
        <sz val="16"/>
        <color indexed="8"/>
        <rFont val="Arial Narrow"/>
        <family val="2"/>
      </rPr>
      <t xml:space="preserve">- Deflatore degli investimenti / </t>
    </r>
    <r>
      <rPr>
        <b/>
        <i/>
        <sz val="16"/>
        <color indexed="8"/>
        <rFont val="Arial Narrow"/>
        <family val="2"/>
      </rPr>
      <t>VU</t>
    </r>
    <r>
      <rPr>
        <i/>
        <sz val="16"/>
        <color indexed="8"/>
        <rFont val="Arial Narrow"/>
        <family val="2"/>
      </rPr>
      <t xml:space="preserve"> - Vite Utili Regolatorie / altri </t>
    </r>
    <r>
      <rPr>
        <b/>
        <i/>
        <sz val="16"/>
        <color indexed="8"/>
        <rFont val="Arial Narrow"/>
        <family val="2"/>
      </rPr>
      <t>parametri</t>
    </r>
  </si>
  <si>
    <r>
      <t>costo medio EE per calcolo CO</t>
    </r>
    <r>
      <rPr>
        <b/>
        <i/>
        <vertAlign val="subscript"/>
        <sz val="10"/>
        <rFont val="Arial Narrow"/>
        <family val="2"/>
      </rPr>
      <t>EE</t>
    </r>
  </si>
  <si>
    <r>
      <t>costo medio ATO per calcolo CO</t>
    </r>
    <r>
      <rPr>
        <b/>
        <i/>
        <vertAlign val="subscript"/>
        <sz val="10"/>
        <rFont val="Arial Narrow"/>
        <family val="2"/>
      </rPr>
      <t>ATO</t>
    </r>
  </si>
  <si>
    <t>da t-1 a t</t>
  </si>
  <si>
    <t>da t-2 a t</t>
  </si>
  <si>
    <t>da t-3 a t</t>
  </si>
  <si>
    <t>da t-4 a t</t>
  </si>
  <si>
    <t>WRP</t>
  </si>
  <si>
    <t>risk free rate</t>
  </si>
  <si>
    <r>
      <t>K</t>
    </r>
    <r>
      <rPr>
        <vertAlign val="subscript"/>
        <sz val="10"/>
        <rFont val="Arial Narrow"/>
        <family val="2"/>
      </rPr>
      <t>m</t>
    </r>
  </si>
  <si>
    <r>
      <t>K</t>
    </r>
    <r>
      <rPr>
        <vertAlign val="subscript"/>
        <sz val="10"/>
        <color indexed="8"/>
        <rFont val="Arial Narrow"/>
        <family val="2"/>
      </rPr>
      <t>d</t>
    </r>
  </si>
  <si>
    <r>
      <rPr>
        <sz val="10"/>
        <color indexed="8"/>
        <rFont val="Arial Narrow"/>
        <family val="2"/>
      </rPr>
      <t>∏(1+I</t>
    </r>
    <r>
      <rPr>
        <vertAlign val="superscript"/>
        <sz val="10"/>
        <color indexed="8"/>
        <rFont val="Arial Narrow"/>
        <family val="2"/>
      </rPr>
      <t>t</t>
    </r>
    <r>
      <rPr>
        <sz val="10"/>
        <color indexed="8"/>
        <rFont val="Arial Narrow"/>
        <family val="2"/>
      </rPr>
      <t>)</t>
    </r>
  </si>
  <si>
    <r>
      <t>FoNI</t>
    </r>
    <r>
      <rPr>
        <vertAlign val="superscript"/>
        <sz val="10"/>
        <rFont val="Arial Narrow"/>
        <family val="2"/>
      </rPr>
      <t>a</t>
    </r>
    <r>
      <rPr>
        <vertAlign val="subscript"/>
        <sz val="10"/>
        <rFont val="Arial Narrow"/>
        <family val="2"/>
      </rPr>
      <t>non_inv</t>
    </r>
  </si>
  <si>
    <t>aaaa</t>
  </si>
  <si>
    <t>aaa</t>
  </si>
  <si>
    <t>aa</t>
  </si>
  <si>
    <t>FA CFP</t>
  </si>
  <si>
    <t>∏(1+It) / ANNO</t>
  </si>
  <si>
    <r>
      <t>CIN</t>
    </r>
    <r>
      <rPr>
        <b/>
        <vertAlign val="subscript"/>
        <sz val="10"/>
        <rFont val="Arial Narrow"/>
        <family val="2"/>
      </rPr>
      <t>fp</t>
    </r>
  </si>
  <si>
    <r>
      <t>IML</t>
    </r>
    <r>
      <rPr>
        <b/>
        <vertAlign val="subscript"/>
        <sz val="10"/>
        <color indexed="8"/>
        <rFont val="Arial Narrow"/>
        <family val="2"/>
      </rPr>
      <t>p</t>
    </r>
  </si>
  <si>
    <t>PIANO TARIFFARIO</t>
  </si>
  <si>
    <t>SCHEMI REGOLATORI</t>
  </si>
  <si>
    <t>UdM</t>
  </si>
  <si>
    <t>n_riga</t>
  </si>
  <si>
    <t>euro</t>
  </si>
  <si>
    <t>SI/NO</t>
  </si>
  <si>
    <t>n.</t>
  </si>
  <si>
    <t>FONDO NUOVI INVESTIMENTI</t>
  </si>
  <si>
    <t>FoNI</t>
  </si>
  <si>
    <t>INVESTIMENTI</t>
  </si>
  <si>
    <t>Investimenti al lordo dei contributi</t>
  </si>
  <si>
    <t>Contributi</t>
  </si>
  <si>
    <t>Investimenti al netto dei contributi</t>
  </si>
  <si>
    <t>OF/CIN</t>
  </si>
  <si>
    <t>VALORE RESIDUO A FINE CONCESSIONE</t>
  </si>
  <si>
    <t>VR a fine concessione</t>
  </si>
  <si>
    <t>CONTO ECONOMICO</t>
  </si>
  <si>
    <t>Voce_Conto_Economico</t>
  </si>
  <si>
    <t>Altri ricavi SII</t>
  </si>
  <si>
    <t xml:space="preserve">Ricavi da Altre Attività Idriche </t>
  </si>
  <si>
    <t>Totale Ricavi</t>
  </si>
  <si>
    <t>Costi Operativi (al netto del costo del personale)</t>
  </si>
  <si>
    <t>Costo del personale</t>
  </si>
  <si>
    <t>Totale  Costi</t>
  </si>
  <si>
    <t>MOL</t>
  </si>
  <si>
    <t>Ammortamenti</t>
  </si>
  <si>
    <t>Reddito Operativo</t>
  </si>
  <si>
    <t>Interessi passivi</t>
  </si>
  <si>
    <t>Risultato ante imposte</t>
  </si>
  <si>
    <t>Totale imposte</t>
  </si>
  <si>
    <t>Risultato di esercizio</t>
  </si>
  <si>
    <t>RENDICONTO FINANZIARIO</t>
  </si>
  <si>
    <t>Voce_Rendiconto_Finanziario</t>
  </si>
  <si>
    <t xml:space="preserve">Ricavi da Tariffa SII (al netto del FONI) </t>
  </si>
  <si>
    <t xml:space="preserve">Contributi di allacciamento </t>
  </si>
  <si>
    <t xml:space="preserve">RICAVI OPERATIVI </t>
  </si>
  <si>
    <t xml:space="preserve">Costi operativi </t>
  </si>
  <si>
    <t xml:space="preserve">COSTI OPERATIVI MONETARI </t>
  </si>
  <si>
    <t xml:space="preserve">Imposte </t>
  </si>
  <si>
    <t xml:space="preserve">IMPOSTE </t>
  </si>
  <si>
    <t xml:space="preserve">FLUSSI DI CASSA ECONOMICO </t>
  </si>
  <si>
    <t xml:space="preserve">Variazioni circolante commerciale </t>
  </si>
  <si>
    <t xml:space="preserve">Variazione credito IVA </t>
  </si>
  <si>
    <t xml:space="preserve">Variazione debito IVA </t>
  </si>
  <si>
    <t xml:space="preserve">FLUSSI DI CASSA OPERATIVO </t>
  </si>
  <si>
    <t xml:space="preserve">Investimenti con utilizzo del FoNI </t>
  </si>
  <si>
    <t xml:space="preserve">Altri investimenti </t>
  </si>
  <si>
    <t xml:space="preserve">FLUSSO DI CASSA ANTE FONTI FINANZIAMENTO </t>
  </si>
  <si>
    <t xml:space="preserve">FoNI </t>
  </si>
  <si>
    <t xml:space="preserve">Erogazione debito finanziario a breve </t>
  </si>
  <si>
    <t xml:space="preserve">Erogazione debito finanziario medio - lungo termine </t>
  </si>
  <si>
    <t xml:space="preserve">Erogazione contributi pubblici </t>
  </si>
  <si>
    <t xml:space="preserve">Apporto capitale sociale </t>
  </si>
  <si>
    <t xml:space="preserve">FLUSSO DI CASSA DISPONIBILE PER RIMBORSI </t>
  </si>
  <si>
    <t xml:space="preserve">Rimborso quota capitale per finanziamenti pregressi </t>
  </si>
  <si>
    <t xml:space="preserve">Rimborso quota interessi per finanziamenti pregressi </t>
  </si>
  <si>
    <t xml:space="preserve">Rimborso quota capitale per nuovi finanziamenti </t>
  </si>
  <si>
    <t xml:space="preserve">Rimborso quota interessi per nuovi finanziamenti </t>
  </si>
  <si>
    <t xml:space="preserve">TOTALE SERVIZIO DEL DEBITO </t>
  </si>
  <si>
    <t xml:space="preserve">FLUSSO DI CASSA DISPONIBILE POST SERVIZIO DEL DEBITO </t>
  </si>
  <si>
    <t>Valore residuo a fine concessione</t>
  </si>
  <si>
    <t>Stock di debito non rimborsato a fine affidamento (capitale + interessi)</t>
  </si>
  <si>
    <t>INDICATORI DI REDDITIVITA' E LIQUIDITA'</t>
  </si>
  <si>
    <t>Indicatore</t>
  </si>
  <si>
    <t>Udm</t>
  </si>
  <si>
    <t xml:space="preserve">TIR unlevered </t>
  </si>
  <si>
    <t xml:space="preserve">TIR levered </t>
  </si>
  <si>
    <t>ADSCR</t>
  </si>
  <si>
    <t>DSCR minimo</t>
  </si>
  <si>
    <t>LLCR</t>
  </si>
  <si>
    <r>
      <t>FNI</t>
    </r>
    <r>
      <rPr>
        <vertAlign val="superscript"/>
        <sz val="10"/>
        <color indexed="8"/>
        <rFont val="Arial Narrow"/>
        <family val="2"/>
      </rPr>
      <t>a</t>
    </r>
  </si>
  <si>
    <r>
      <t>AMM</t>
    </r>
    <r>
      <rPr>
        <vertAlign val="superscript"/>
        <sz val="10"/>
        <color indexed="8"/>
        <rFont val="Arial Narrow"/>
        <family val="2"/>
      </rPr>
      <t>a</t>
    </r>
    <r>
      <rPr>
        <vertAlign val="subscript"/>
        <sz val="10"/>
        <color indexed="8"/>
        <rFont val="Arial Narrow"/>
        <family val="2"/>
      </rPr>
      <t>FoNI</t>
    </r>
  </si>
  <si>
    <r>
      <t>ΔCUIT</t>
    </r>
    <r>
      <rPr>
        <vertAlign val="superscript"/>
        <sz val="10"/>
        <color indexed="8"/>
        <rFont val="Arial Narrow"/>
        <family val="2"/>
      </rPr>
      <t>a</t>
    </r>
    <r>
      <rPr>
        <vertAlign val="subscript"/>
        <sz val="10"/>
        <color indexed="8"/>
        <rFont val="Arial Narrow"/>
        <family val="2"/>
      </rPr>
      <t>FoNI</t>
    </r>
  </si>
  <si>
    <r>
      <t>FoNI</t>
    </r>
    <r>
      <rPr>
        <b/>
        <vertAlign val="superscript"/>
        <sz val="10"/>
        <color indexed="8"/>
        <rFont val="Arial Narrow"/>
        <family val="2"/>
      </rPr>
      <t>a</t>
    </r>
  </si>
  <si>
    <r>
      <t>ΔCUIT</t>
    </r>
    <r>
      <rPr>
        <b/>
        <vertAlign val="superscript"/>
        <sz val="10"/>
        <color indexed="8"/>
        <rFont val="Arial Narrow"/>
        <family val="2"/>
      </rPr>
      <t>a</t>
    </r>
    <r>
      <rPr>
        <b/>
        <vertAlign val="subscript"/>
        <sz val="10"/>
        <color indexed="8"/>
        <rFont val="Arial Narrow"/>
        <family val="2"/>
      </rPr>
      <t>FoNI</t>
    </r>
  </si>
  <si>
    <r>
      <t>Op</t>
    </r>
    <r>
      <rPr>
        <vertAlign val="superscript"/>
        <sz val="10"/>
        <color theme="1"/>
        <rFont val="Arial Narrow"/>
        <family val="2"/>
      </rPr>
      <t>new,a</t>
    </r>
  </si>
  <si>
    <r>
      <t>Azzeramento ΔCUIT</t>
    </r>
    <r>
      <rPr>
        <vertAlign val="superscript"/>
        <sz val="10"/>
        <color indexed="8"/>
        <rFont val="Arial Narrow"/>
        <family val="2"/>
      </rPr>
      <t>a</t>
    </r>
    <r>
      <rPr>
        <vertAlign val="subscript"/>
        <sz val="10"/>
        <color indexed="8"/>
        <rFont val="Arial Narrow"/>
        <family val="2"/>
      </rPr>
      <t>FoNI</t>
    </r>
  </si>
  <si>
    <r>
      <t>Azzeramento AMM</t>
    </r>
    <r>
      <rPr>
        <vertAlign val="superscript"/>
        <sz val="10"/>
        <color indexed="8"/>
        <rFont val="Arial Narrow"/>
        <family val="2"/>
      </rPr>
      <t>a</t>
    </r>
    <r>
      <rPr>
        <vertAlign val="subscript"/>
        <sz val="10"/>
        <color indexed="8"/>
        <rFont val="Arial Narrow"/>
        <family val="2"/>
      </rPr>
      <t>FoNI</t>
    </r>
  </si>
  <si>
    <r>
      <t>ΔCUIT</t>
    </r>
    <r>
      <rPr>
        <vertAlign val="subscript"/>
        <sz val="10"/>
        <rFont val="Arial Narrow"/>
        <family val="2"/>
      </rPr>
      <t>capex</t>
    </r>
  </si>
  <si>
    <t>Tipo di elaborazione tariffaria:</t>
  </si>
  <si>
    <t>Eventuale schema regolatorio</t>
  </si>
  <si>
    <t>Area di input per i soggetti competenti</t>
  </si>
  <si>
    <t>output</t>
  </si>
  <si>
    <t>non compilabile</t>
  </si>
  <si>
    <r>
      <t>FNI</t>
    </r>
    <r>
      <rPr>
        <vertAlign val="superscript"/>
        <sz val="10"/>
        <color indexed="8"/>
        <rFont val="Arial Narrow"/>
        <family val="2"/>
      </rPr>
      <t xml:space="preserve">new,a </t>
    </r>
    <r>
      <rPr>
        <sz val="10"/>
        <color indexed="8"/>
        <rFont val="Arial Narrow"/>
        <family val="2"/>
      </rPr>
      <t>da formula</t>
    </r>
  </si>
  <si>
    <t>Sezione "Interventi sulle componenti del FoNI"</t>
  </si>
  <si>
    <t>Limite al moltiplicatore tariffario</t>
  </si>
  <si>
    <t>presenza variazioni</t>
  </si>
  <si>
    <r>
      <t>Presenza FoNI</t>
    </r>
    <r>
      <rPr>
        <vertAlign val="subscript"/>
        <sz val="10"/>
        <color theme="1"/>
        <rFont val="Arial Narrow"/>
        <family val="2"/>
      </rPr>
      <t>noninv</t>
    </r>
    <r>
      <rPr>
        <sz val="10"/>
        <color theme="1"/>
        <rFont val="Arial Narrow"/>
        <family val="2"/>
      </rPr>
      <t xml:space="preserve"> </t>
    </r>
  </si>
  <si>
    <t>FACC</t>
  </si>
  <si>
    <t>giorni di dilazione:</t>
  </si>
  <si>
    <t>Parametri finanziari e fiscali</t>
  </si>
  <si>
    <t>dfl</t>
  </si>
  <si>
    <t>ΔCUIT</t>
  </si>
  <si>
    <t>Nome soggetto</t>
  </si>
  <si>
    <r>
      <rPr>
        <b/>
        <sz val="10"/>
        <color indexed="8"/>
        <rFont val="Arial Narrow"/>
        <family val="2"/>
      </rPr>
      <t>Δ</t>
    </r>
    <r>
      <rPr>
        <b/>
        <i/>
        <sz val="10"/>
        <color indexed="8"/>
        <rFont val="Arial Narrow"/>
        <family val="2"/>
      </rPr>
      <t xml:space="preserve">CUIT </t>
    </r>
    <r>
      <rPr>
        <i/>
        <sz val="10"/>
        <color indexed="8"/>
        <rFont val="Arial Narrow"/>
        <family val="2"/>
      </rPr>
      <t>- Immobilizzazioni di terzi</t>
    </r>
  </si>
  <si>
    <r>
      <t>CIN</t>
    </r>
    <r>
      <rPr>
        <b/>
        <vertAlign val="subscript"/>
        <sz val="10"/>
        <color indexed="8"/>
        <rFont val="Arial Narrow"/>
        <family val="2"/>
      </rPr>
      <t>p</t>
    </r>
  </si>
  <si>
    <r>
      <t>CIN</t>
    </r>
    <r>
      <rPr>
        <vertAlign val="subscript"/>
        <sz val="10"/>
        <rFont val="Arial Narrow"/>
        <family val="2"/>
      </rPr>
      <t>fp,p</t>
    </r>
    <r>
      <rPr>
        <sz val="10"/>
        <rFont val="Arial Narrow"/>
        <family val="2"/>
      </rPr>
      <t xml:space="preserve"> / CIN</t>
    </r>
  </si>
  <si>
    <r>
      <t>OF</t>
    </r>
    <r>
      <rPr>
        <b/>
        <vertAlign val="subscript"/>
        <sz val="10"/>
        <color indexed="8"/>
        <rFont val="Arial Narrow"/>
        <family val="2"/>
      </rPr>
      <t>p</t>
    </r>
  </si>
  <si>
    <r>
      <t>OFisc</t>
    </r>
    <r>
      <rPr>
        <b/>
        <vertAlign val="subscript"/>
        <sz val="10"/>
        <color indexed="8"/>
        <rFont val="Arial Narrow"/>
        <family val="2"/>
      </rPr>
      <t>p</t>
    </r>
  </si>
  <si>
    <r>
      <t>AMM</t>
    </r>
    <r>
      <rPr>
        <vertAlign val="subscript"/>
        <sz val="10"/>
        <rFont val="Arial Narrow"/>
        <family val="2"/>
      </rPr>
      <t>p</t>
    </r>
  </si>
  <si>
    <t>Ammortamento finanziario</t>
  </si>
  <si>
    <t>Dati di conto economico</t>
  </si>
  <si>
    <t>Parametri</t>
  </si>
  <si>
    <t>Dati anni precedenti</t>
  </si>
  <si>
    <t>lettura</t>
  </si>
  <si>
    <t>lettura/scrittura</t>
  </si>
  <si>
    <t>calcolo</t>
  </si>
  <si>
    <t>scrittura</t>
  </si>
  <si>
    <t>TT_Comuni_ATO</t>
  </si>
  <si>
    <t>Corrispettivi su infrastrutture di terzi</t>
  </si>
  <si>
    <t>Input_per_calcoli_finali</t>
  </si>
  <si>
    <t>CAPEX</t>
  </si>
  <si>
    <t>dcuit</t>
  </si>
  <si>
    <t>capex</t>
  </si>
  <si>
    <t>rc</t>
  </si>
  <si>
    <t>erc</t>
  </si>
  <si>
    <t>opex</t>
  </si>
  <si>
    <t>vrg_teta</t>
  </si>
  <si>
    <t>framework_schemi</t>
  </si>
  <si>
    <t>Dati_Anni_precedenti</t>
  </si>
  <si>
    <t>Servizi all'ingrosso: soggetti</t>
  </si>
  <si>
    <t>Servizi all'ingrosso: vendita</t>
  </si>
  <si>
    <t>Servizi all'ingrosso: acquisto</t>
  </si>
  <si>
    <t>Elaborazioni Intermedie</t>
  </si>
  <si>
    <t>FNI calcolato</t>
  </si>
  <si>
    <r>
      <t>AMM</t>
    </r>
    <r>
      <rPr>
        <vertAlign val="subscript"/>
        <sz val="10"/>
        <color theme="1"/>
        <rFont val="Arial Narrow"/>
        <family val="2"/>
      </rPr>
      <t>cfp</t>
    </r>
    <r>
      <rPr>
        <sz val="10"/>
        <color theme="1"/>
        <rFont val="Arial Narrow"/>
        <family val="2"/>
      </rPr>
      <t xml:space="preserve"> calcolato</t>
    </r>
  </si>
  <si>
    <r>
      <t>AMM</t>
    </r>
    <r>
      <rPr>
        <vertAlign val="superscript"/>
        <sz val="10"/>
        <color indexed="8"/>
        <rFont val="Arial Narrow"/>
        <family val="2"/>
      </rPr>
      <t>a</t>
    </r>
    <r>
      <rPr>
        <vertAlign val="subscript"/>
        <sz val="10"/>
        <color indexed="8"/>
        <rFont val="Arial Narrow"/>
        <family val="2"/>
      </rPr>
      <t>CFP</t>
    </r>
    <r>
      <rPr>
        <sz val="10"/>
        <color indexed="8"/>
        <rFont val="Arial Narrow"/>
        <family val="2"/>
      </rPr>
      <t xml:space="preserve"> da formula</t>
    </r>
  </si>
  <si>
    <t>CFP (Euro)</t>
  </si>
  <si>
    <t xml:space="preserve">IP </t>
  </si>
  <si>
    <t xml:space="preserve">FAIP </t>
  </si>
  <si>
    <t xml:space="preserve">CFP </t>
  </si>
  <si>
    <t>Dismissioni</t>
  </si>
  <si>
    <t>Nuovi_Investimenti</t>
  </si>
  <si>
    <r>
      <t>AMM</t>
    </r>
    <r>
      <rPr>
        <vertAlign val="superscript"/>
        <sz val="10"/>
        <color indexed="8"/>
        <rFont val="Arial Narrow"/>
        <family val="2"/>
      </rPr>
      <t>a</t>
    </r>
    <r>
      <rPr>
        <vertAlign val="subscript"/>
        <sz val="10"/>
        <color indexed="8"/>
        <rFont val="Arial Narrow"/>
        <family val="2"/>
      </rPr>
      <t>FoNI</t>
    </r>
    <r>
      <rPr>
        <sz val="10"/>
        <color indexed="8"/>
        <rFont val="Arial Narrow"/>
        <family val="2"/>
      </rPr>
      <t xml:space="preserve"> rinunciato da soggetto compilante</t>
    </r>
  </si>
  <si>
    <r>
      <t>FNI</t>
    </r>
    <r>
      <rPr>
        <vertAlign val="superscript"/>
        <sz val="10"/>
        <color indexed="8"/>
        <rFont val="Arial Narrow"/>
        <family val="2"/>
      </rPr>
      <t xml:space="preserve">new,a </t>
    </r>
    <r>
      <rPr>
        <sz val="10"/>
        <color indexed="8"/>
        <rFont val="Arial Narrow"/>
        <family val="2"/>
      </rPr>
      <t>rinunciato da soggetto compilante</t>
    </r>
  </si>
  <si>
    <t>(I, II, III, IV, V, VI)</t>
  </si>
  <si>
    <t>Note</t>
  </si>
  <si>
    <t>y</t>
  </si>
  <si>
    <r>
      <t>Opex</t>
    </r>
    <r>
      <rPr>
        <b/>
        <vertAlign val="superscript"/>
        <sz val="10"/>
        <color theme="1"/>
        <rFont val="Arial Narrow"/>
        <family val="2"/>
      </rPr>
      <t>a</t>
    </r>
  </si>
  <si>
    <r>
      <t>CO</t>
    </r>
    <r>
      <rPr>
        <vertAlign val="superscript"/>
        <sz val="10"/>
        <color theme="1"/>
        <rFont val="Arial Narrow"/>
        <family val="2"/>
      </rPr>
      <t>eff,a-2</t>
    </r>
    <r>
      <rPr>
        <vertAlign val="subscript"/>
        <sz val="10"/>
        <color theme="1"/>
        <rFont val="Arial Narrow"/>
        <family val="2"/>
      </rPr>
      <t>EE</t>
    </r>
  </si>
  <si>
    <r>
      <t>CO</t>
    </r>
    <r>
      <rPr>
        <vertAlign val="subscript"/>
        <sz val="10"/>
        <color theme="1"/>
        <rFont val="Arial Narrow"/>
        <family val="2"/>
      </rPr>
      <t>ATO</t>
    </r>
    <r>
      <rPr>
        <vertAlign val="superscript"/>
        <sz val="10"/>
        <color theme="1"/>
        <rFont val="Arial Narrow"/>
        <family val="2"/>
      </rPr>
      <t>a</t>
    </r>
  </si>
  <si>
    <r>
      <t>CO</t>
    </r>
    <r>
      <rPr>
        <vertAlign val="subscript"/>
        <sz val="10"/>
        <color theme="1"/>
        <rFont val="Arial Narrow"/>
        <family val="2"/>
      </rPr>
      <t>mor</t>
    </r>
    <r>
      <rPr>
        <vertAlign val="superscript"/>
        <sz val="10"/>
        <color theme="1"/>
        <rFont val="Arial Narrow"/>
        <family val="2"/>
      </rPr>
      <t>a</t>
    </r>
  </si>
  <si>
    <r>
      <t>CO</t>
    </r>
    <r>
      <rPr>
        <vertAlign val="subscript"/>
        <sz val="10"/>
        <color theme="1"/>
        <rFont val="Arial Narrow"/>
        <family val="2"/>
      </rPr>
      <t>res</t>
    </r>
    <r>
      <rPr>
        <vertAlign val="superscript"/>
        <sz val="10"/>
        <color theme="1"/>
        <rFont val="Arial Narrow"/>
        <family val="2"/>
      </rPr>
      <t>a</t>
    </r>
  </si>
  <si>
    <r>
      <t>CO</t>
    </r>
    <r>
      <rPr>
        <vertAlign val="superscript"/>
        <sz val="10"/>
        <color theme="1"/>
        <rFont val="Arial Narrow"/>
        <family val="2"/>
      </rPr>
      <t>a-2</t>
    </r>
    <r>
      <rPr>
        <vertAlign val="subscript"/>
        <sz val="10"/>
        <color theme="1"/>
        <rFont val="Arial Narrow"/>
        <family val="2"/>
      </rPr>
      <t>ATO</t>
    </r>
  </si>
  <si>
    <r>
      <t>CO</t>
    </r>
    <r>
      <rPr>
        <vertAlign val="superscript"/>
        <sz val="10"/>
        <color theme="1"/>
        <rFont val="Arial Narrow"/>
        <family val="2"/>
      </rPr>
      <t>medio,2013</t>
    </r>
    <r>
      <rPr>
        <vertAlign val="subscript"/>
        <sz val="10"/>
        <color theme="1"/>
        <rFont val="Arial Narrow"/>
        <family val="2"/>
      </rPr>
      <t>ATO</t>
    </r>
  </si>
  <si>
    <r>
      <rPr>
        <i/>
        <sz val="10"/>
        <color indexed="8"/>
        <rFont val="Arial Narrow"/>
        <family val="2"/>
      </rPr>
      <t>pop</t>
    </r>
    <r>
      <rPr>
        <vertAlign val="subscript"/>
        <sz val="10"/>
        <color indexed="8"/>
        <rFont val="Arial Narrow"/>
        <family val="2"/>
      </rPr>
      <t xml:space="preserve">ATO </t>
    </r>
    <r>
      <rPr>
        <sz val="10"/>
        <color indexed="8"/>
        <rFont val="Arial Narrow"/>
        <family val="2"/>
      </rPr>
      <t>di competenza del gestore</t>
    </r>
  </si>
  <si>
    <r>
      <t>Produttoria(1+I</t>
    </r>
    <r>
      <rPr>
        <vertAlign val="superscript"/>
        <sz val="10"/>
        <color theme="1"/>
        <rFont val="Arial Narrow"/>
        <family val="2"/>
      </rPr>
      <t>t</t>
    </r>
    <r>
      <rPr>
        <sz val="10"/>
        <color theme="1"/>
        <rFont val="Arial Narrow"/>
        <family val="2"/>
      </rPr>
      <t>) mobile di 2 anni</t>
    </r>
  </si>
  <si>
    <r>
      <t>Ricavi</t>
    </r>
    <r>
      <rPr>
        <vertAlign val="superscript"/>
        <sz val="10"/>
        <rFont val="Arial Narrow"/>
        <family val="2"/>
      </rPr>
      <t>a-2</t>
    </r>
    <r>
      <rPr>
        <vertAlign val="subscript"/>
        <sz val="10"/>
        <rFont val="Arial Narrow"/>
        <family val="2"/>
      </rPr>
      <t>A1+A5</t>
    </r>
  </si>
  <si>
    <r>
      <t>fatturato</t>
    </r>
    <r>
      <rPr>
        <vertAlign val="superscript"/>
        <sz val="10"/>
        <color indexed="8"/>
        <rFont val="Arial Narrow"/>
        <family val="2"/>
      </rPr>
      <t>a-2</t>
    </r>
  </si>
  <si>
    <r>
      <t>CO</t>
    </r>
    <r>
      <rPr>
        <vertAlign val="superscript"/>
        <sz val="10"/>
        <color theme="1"/>
        <rFont val="Arial Narrow"/>
        <family val="2"/>
      </rPr>
      <t>a</t>
    </r>
    <r>
      <rPr>
        <vertAlign val="subscript"/>
        <sz val="10"/>
        <color theme="1"/>
        <rFont val="Arial Narrow"/>
        <family val="2"/>
      </rPr>
      <t>mor</t>
    </r>
  </si>
  <si>
    <r>
      <t>CO</t>
    </r>
    <r>
      <rPr>
        <vertAlign val="superscript"/>
        <sz val="10"/>
        <color indexed="8"/>
        <rFont val="Arial Narrow"/>
        <family val="2"/>
      </rPr>
      <t>a</t>
    </r>
    <r>
      <rPr>
        <vertAlign val="subscript"/>
        <sz val="10"/>
        <color indexed="8"/>
        <rFont val="Arial Narrow"/>
        <family val="2"/>
      </rPr>
      <t>res</t>
    </r>
  </si>
  <si>
    <r>
      <rPr>
        <b/>
        <i/>
        <sz val="10"/>
        <color indexed="8"/>
        <rFont val="Arial Narrow"/>
        <family val="2"/>
      </rPr>
      <t>Opex</t>
    </r>
    <r>
      <rPr>
        <b/>
        <i/>
        <vertAlign val="subscript"/>
        <sz val="10"/>
        <color indexed="8"/>
        <rFont val="Arial Narrow"/>
        <family val="2"/>
      </rPr>
      <t>end</t>
    </r>
    <r>
      <rPr>
        <b/>
        <i/>
        <sz val="10"/>
        <color indexed="8"/>
        <rFont val="Arial Narrow"/>
        <family val="2"/>
      </rPr>
      <t xml:space="preserve"> </t>
    </r>
    <r>
      <rPr>
        <i/>
        <sz val="10"/>
        <color indexed="8"/>
        <rFont val="Arial Narrow"/>
        <family val="2"/>
      </rPr>
      <t>- Costi endogeni</t>
    </r>
  </si>
  <si>
    <r>
      <t>Opex</t>
    </r>
    <r>
      <rPr>
        <b/>
        <vertAlign val="subscript"/>
        <sz val="10"/>
        <rFont val="Arial Narrow"/>
        <family val="2"/>
      </rPr>
      <t>al</t>
    </r>
    <r>
      <rPr>
        <b/>
        <vertAlign val="superscript"/>
        <sz val="10"/>
        <rFont val="Arial Narrow"/>
        <family val="2"/>
      </rPr>
      <t>a</t>
    </r>
  </si>
  <si>
    <r>
      <t>CO</t>
    </r>
    <r>
      <rPr>
        <b/>
        <vertAlign val="subscript"/>
        <sz val="10"/>
        <color theme="1"/>
        <rFont val="Arial Narrow"/>
        <family val="2"/>
      </rPr>
      <t>altri</t>
    </r>
    <r>
      <rPr>
        <b/>
        <vertAlign val="superscript"/>
        <sz val="10"/>
        <color theme="1"/>
        <rFont val="Arial Narrow"/>
        <family val="2"/>
      </rPr>
      <t>a</t>
    </r>
  </si>
  <si>
    <t>Opex</t>
  </si>
  <si>
    <r>
      <t>CO</t>
    </r>
    <r>
      <rPr>
        <vertAlign val="superscript"/>
        <sz val="10"/>
        <color theme="1"/>
        <rFont val="Arial Narrow"/>
        <family val="2"/>
      </rPr>
      <t>medio,2013</t>
    </r>
    <r>
      <rPr>
        <vertAlign val="subscript"/>
        <sz val="10"/>
        <color theme="1"/>
        <rFont val="Arial Narrow"/>
        <family val="2"/>
      </rPr>
      <t xml:space="preserve">ATO </t>
    </r>
    <r>
      <rPr>
        <sz val="10"/>
        <color theme="1"/>
        <rFont val="Arial Narrow"/>
        <family val="2"/>
      </rPr>
      <t>* pop</t>
    </r>
    <r>
      <rPr>
        <vertAlign val="superscript"/>
        <sz val="10"/>
        <color theme="1"/>
        <rFont val="Arial Narrow"/>
        <family val="2"/>
      </rPr>
      <t>2013</t>
    </r>
    <r>
      <rPr>
        <sz val="10"/>
        <color theme="1"/>
        <rFont val="Arial Narrow"/>
        <family val="2"/>
      </rPr>
      <t>*z</t>
    </r>
  </si>
  <si>
    <t xml:space="preserve">Partita Iva </t>
  </si>
  <si>
    <t>P. IVA</t>
  </si>
  <si>
    <t>Denominazione / Ragione Sociale</t>
  </si>
  <si>
    <t>Elenco Gestori</t>
  </si>
  <si>
    <r>
      <t xml:space="preserve">P. IVA 
</t>
    </r>
    <r>
      <rPr>
        <b/>
        <u/>
        <sz val="10"/>
        <color indexed="8"/>
        <rFont val="Arial Narrow"/>
        <family val="2"/>
      </rPr>
      <t>Proprietario</t>
    </r>
  </si>
  <si>
    <r>
      <t xml:space="preserve">Codice Istat
</t>
    </r>
    <r>
      <rPr>
        <b/>
        <u/>
        <sz val="10"/>
        <color indexed="8"/>
        <rFont val="Arial Narrow"/>
        <family val="2"/>
      </rPr>
      <t>Comune proprietario</t>
    </r>
  </si>
  <si>
    <t>Tabelle di supporto anagrafica territorio</t>
  </si>
  <si>
    <t>TT_parametri</t>
  </si>
  <si>
    <t>01318460688</t>
  </si>
  <si>
    <t>02584940924</t>
  </si>
  <si>
    <t>01579450220</t>
  </si>
  <si>
    <t>04017080872</t>
  </si>
  <si>
    <t>01937820833</t>
  </si>
  <si>
    <t>00457550432</t>
  </si>
  <si>
    <t>01177760491</t>
  </si>
  <si>
    <t>01142420056</t>
  </si>
  <si>
    <t>01210690432</t>
  </si>
  <si>
    <t>01210650436</t>
  </si>
  <si>
    <t>03258180987</t>
  </si>
  <si>
    <t>02934390929</t>
  </si>
  <si>
    <t>07679350632</t>
  </si>
  <si>
    <t>02645680162</t>
  </si>
  <si>
    <t>01198370114</t>
  </si>
  <si>
    <t>02267050603</t>
  </si>
  <si>
    <t>05848061007</t>
  </si>
  <si>
    <t>00930530324</t>
  </si>
  <si>
    <t>00132380874</t>
  </si>
  <si>
    <t>06765250631</t>
  </si>
  <si>
    <t>02078000037</t>
  </si>
  <si>
    <t>01087110860</t>
  </si>
  <si>
    <t>02111020596</t>
  </si>
  <si>
    <t>02119730428</t>
  </si>
  <si>
    <t>03006290872</t>
  </si>
  <si>
    <t>00236750873</t>
  </si>
  <si>
    <t>00133090878</t>
  </si>
  <si>
    <t>02728750247</t>
  </si>
  <si>
    <t>01753240850</t>
  </si>
  <si>
    <t>00131630873</t>
  </si>
  <si>
    <t>04930470879</t>
  </si>
  <si>
    <t>00208430876</t>
  </si>
  <si>
    <t>03204200871</t>
  </si>
  <si>
    <t>00671330876</t>
  </si>
  <si>
    <t>02033280872</t>
  </si>
  <si>
    <t>00203500871</t>
  </si>
  <si>
    <t>05175700482</t>
  </si>
  <si>
    <t>02180710879</t>
  </si>
  <si>
    <t>03567090232</t>
  </si>
  <si>
    <t>03196760247</t>
  </si>
  <si>
    <t>03815490879</t>
  </si>
  <si>
    <t>00168550879</t>
  </si>
  <si>
    <t>02795950613</t>
  </si>
  <si>
    <t>02641830829</t>
  </si>
  <si>
    <t>00229030218</t>
  </si>
  <si>
    <t>00062810320</t>
  </si>
  <si>
    <t>00304790538</t>
  </si>
  <si>
    <t>00099020059</t>
  </si>
  <si>
    <t>00451260046</t>
  </si>
  <si>
    <t>01522200763</t>
  </si>
  <si>
    <t>00347000721</t>
  </si>
  <si>
    <t>04544770821</t>
  </si>
  <si>
    <t>00136200094</t>
  </si>
  <si>
    <t>00308580216</t>
  </si>
  <si>
    <t>00073940058</t>
  </si>
  <si>
    <t>07063880962</t>
  </si>
  <si>
    <t>00104260229</t>
  </si>
  <si>
    <t>00664670361</t>
  </si>
  <si>
    <t>02660800042</t>
  </si>
  <si>
    <t>02537750040</t>
  </si>
  <si>
    <t>00080810641</t>
  </si>
  <si>
    <t>01581060223</t>
  </si>
  <si>
    <t>04163490263</t>
  </si>
  <si>
    <t>04797200823</t>
  </si>
  <si>
    <t>02066710605</t>
  </si>
  <si>
    <t>01145190219</t>
  </si>
  <si>
    <t>02524850217</t>
  </si>
  <si>
    <t>01349430213</t>
  </si>
  <si>
    <t>01474680418</t>
  </si>
  <si>
    <t>00268520657</t>
  </si>
  <si>
    <t>01531350229</t>
  </si>
  <si>
    <t>01501460438</t>
  </si>
  <si>
    <t>01349510436</t>
  </si>
  <si>
    <t>01938630025</t>
  </si>
  <si>
    <t>00593060650</t>
  </si>
  <si>
    <t>00126510213</t>
  </si>
  <si>
    <t>00128850229</t>
  </si>
  <si>
    <t>01855890230</t>
  </si>
  <si>
    <t>00734480213</t>
  </si>
  <si>
    <t>02083310686</t>
  </si>
  <si>
    <t>01717730210</t>
  </si>
  <si>
    <t>01526780216</t>
  </si>
  <si>
    <t>02135000350</t>
  </si>
  <si>
    <t>00249230707</t>
  </si>
  <si>
    <t>00971870258</t>
  </si>
  <si>
    <t>94032050216</t>
  </si>
  <si>
    <t>03988240960</t>
  </si>
  <si>
    <t>00837210822</t>
  </si>
  <si>
    <t>01280290386</t>
  </si>
  <si>
    <t>01221980095</t>
  </si>
  <si>
    <t>00158530303</t>
  </si>
  <si>
    <t>13187590156</t>
  </si>
  <si>
    <t>03971840826</t>
  </si>
  <si>
    <t>00064780281</t>
  </si>
  <si>
    <t>00101350445</t>
  </si>
  <si>
    <t>04844450827</t>
  </si>
  <si>
    <t>01271960021</t>
  </si>
  <si>
    <t>00218950640</t>
  </si>
  <si>
    <t>00762070621</t>
  </si>
  <si>
    <t>00259680122</t>
  </si>
  <si>
    <t>00613570134</t>
  </si>
  <si>
    <t>00246520084</t>
  </si>
  <si>
    <t>00543510218</t>
  </si>
  <si>
    <t>00094410560</t>
  </si>
  <si>
    <t>00273990226</t>
  </si>
  <si>
    <t>00206420218</t>
  </si>
  <si>
    <t>00336110093</t>
  </si>
  <si>
    <t>00660580135</t>
  </si>
  <si>
    <t>00215570649</t>
  </si>
  <si>
    <t>00281000646</t>
  </si>
  <si>
    <t>00430250043</t>
  </si>
  <si>
    <t>00125730077</t>
  </si>
  <si>
    <t>00245080080</t>
  </si>
  <si>
    <t>00432110211</t>
  </si>
  <si>
    <t>00460490063</t>
  </si>
  <si>
    <t>00601910649</t>
  </si>
  <si>
    <t>00146380878</t>
  </si>
  <si>
    <t>00208840702</t>
  </si>
  <si>
    <t>00724360987</t>
  </si>
  <si>
    <t>01547311215</t>
  </si>
  <si>
    <t>00225670645</t>
  </si>
  <si>
    <t>00259250629</t>
  </si>
  <si>
    <t>00238700082</t>
  </si>
  <si>
    <t>00775890650</t>
  </si>
  <si>
    <t>00654470137</t>
  </si>
  <si>
    <t>00271100224</t>
  </si>
  <si>
    <t>00340950096</t>
  </si>
  <si>
    <t>00333890093</t>
  </si>
  <si>
    <t>00078230810</t>
  </si>
  <si>
    <t>00198100216</t>
  </si>
  <si>
    <t>00201210663</t>
  </si>
  <si>
    <t>00423160076</t>
  </si>
  <si>
    <t>00285990644</t>
  </si>
  <si>
    <t>00319630224</t>
  </si>
  <si>
    <t>00406670216</t>
  </si>
  <si>
    <t>00237220900</t>
  </si>
  <si>
    <t>00338310121</t>
  </si>
  <si>
    <t>02120471004</t>
  </si>
  <si>
    <t>00197920218</t>
  </si>
  <si>
    <t>00161690664</t>
  </si>
  <si>
    <t>00689510139</t>
  </si>
  <si>
    <t>00040890071</t>
  </si>
  <si>
    <t>00711040626</t>
  </si>
  <si>
    <t>00264460213</t>
  </si>
  <si>
    <t>00246610083</t>
  </si>
  <si>
    <t>01571630647</t>
  </si>
  <si>
    <t>00249830225</t>
  </si>
  <si>
    <t>00276040086</t>
  </si>
  <si>
    <t>00125720078</t>
  </si>
  <si>
    <t>00625040134</t>
  </si>
  <si>
    <t>00583310982</t>
  </si>
  <si>
    <t>00129240917</t>
  </si>
  <si>
    <t>00288910896</t>
  </si>
  <si>
    <t>00249310087</t>
  </si>
  <si>
    <t>00443370218</t>
  </si>
  <si>
    <t>00248800641</t>
  </si>
  <si>
    <t>00110390226</t>
  </si>
  <si>
    <t>00106960073</t>
  </si>
  <si>
    <t>00308140128</t>
  </si>
  <si>
    <t>00605220128</t>
  </si>
  <si>
    <t>05460810632</t>
  </si>
  <si>
    <t>00069680940</t>
  </si>
  <si>
    <t>00133870642</t>
  </si>
  <si>
    <t>00245240643</t>
  </si>
  <si>
    <t>00208720086</t>
  </si>
  <si>
    <t>00338410095</t>
  </si>
  <si>
    <t>00459960126</t>
  </si>
  <si>
    <t>01100140217</t>
  </si>
  <si>
    <t>00084640838</t>
  </si>
  <si>
    <t>00339030090</t>
  </si>
  <si>
    <t>00148360662</t>
  </si>
  <si>
    <t>00609670138</t>
  </si>
  <si>
    <t>00194560660</t>
  </si>
  <si>
    <t>00146270228</t>
  </si>
  <si>
    <t>00071920623</t>
  </si>
  <si>
    <t>00541410049</t>
  </si>
  <si>
    <t>00473460228</t>
  </si>
  <si>
    <t>00605620137</t>
  </si>
  <si>
    <t>00056600943</t>
  </si>
  <si>
    <t>01679720787</t>
  </si>
  <si>
    <t>00467880134</t>
  </si>
  <si>
    <t>00586900987</t>
  </si>
  <si>
    <t>00561660127</t>
  </si>
  <si>
    <t>01826320879</t>
  </si>
  <si>
    <t>00308160126</t>
  </si>
  <si>
    <t>00723590980</t>
  </si>
  <si>
    <t>00347080228</t>
  </si>
  <si>
    <t>00173460072</t>
  </si>
  <si>
    <t>00703370130</t>
  </si>
  <si>
    <t>00308700228</t>
  </si>
  <si>
    <t>00266100221</t>
  </si>
  <si>
    <t>00250430121</t>
  </si>
  <si>
    <t>00347620437</t>
  </si>
  <si>
    <t>00067610956</t>
  </si>
  <si>
    <t>01418900161</t>
  </si>
  <si>
    <t>00060670700</t>
  </si>
  <si>
    <t>00260750088</t>
  </si>
  <si>
    <t>00254630080</t>
  </si>
  <si>
    <t>00575440987</t>
  </si>
  <si>
    <t>00197020902</t>
  </si>
  <si>
    <t>01260810211</t>
  </si>
  <si>
    <t>00126690221</t>
  </si>
  <si>
    <t>00225510122</t>
  </si>
  <si>
    <t>00291400877</t>
  </si>
  <si>
    <t>00562710210</t>
  </si>
  <si>
    <t>00707370136</t>
  </si>
  <si>
    <t>00290400126</t>
  </si>
  <si>
    <t>00559790126</t>
  </si>
  <si>
    <t>00281900894</t>
  </si>
  <si>
    <t>00308120120</t>
  </si>
  <si>
    <t>01466940903</t>
  </si>
  <si>
    <t>01976030013</t>
  </si>
  <si>
    <t>00245460894</t>
  </si>
  <si>
    <t>00231710682</t>
  </si>
  <si>
    <t>00300450129</t>
  </si>
  <si>
    <t>00293350229</t>
  </si>
  <si>
    <t>00256490806</t>
  </si>
  <si>
    <t>01068620663</t>
  </si>
  <si>
    <t>00837130228</t>
  </si>
  <si>
    <t>00437620222</t>
  </si>
  <si>
    <t>00145790226</t>
  </si>
  <si>
    <t>01704570611</t>
  </si>
  <si>
    <t>00775910656</t>
  </si>
  <si>
    <t>01190030781</t>
  </si>
  <si>
    <t>00490870227</t>
  </si>
  <si>
    <t>00250760808</t>
  </si>
  <si>
    <t>00129330213</t>
  </si>
  <si>
    <t>00178720702</t>
  </si>
  <si>
    <t>00307740225</t>
  </si>
  <si>
    <t>00202700704</t>
  </si>
  <si>
    <t>00592550628</t>
  </si>
  <si>
    <t>00225150705</t>
  </si>
  <si>
    <t>00256240227</t>
  </si>
  <si>
    <t>00374450229</t>
  </si>
  <si>
    <t>00094260890</t>
  </si>
  <si>
    <t>00204900666</t>
  </si>
  <si>
    <t>00060680949</t>
  </si>
  <si>
    <t>00164280661</t>
  </si>
  <si>
    <t>00723520987</t>
  </si>
  <si>
    <t>00228820643</t>
  </si>
  <si>
    <t>00057170946</t>
  </si>
  <si>
    <t>00203670567</t>
  </si>
  <si>
    <t>00461850836</t>
  </si>
  <si>
    <t>00514790229</t>
  </si>
  <si>
    <t>00599700648</t>
  </si>
  <si>
    <t>00227400124</t>
  </si>
  <si>
    <t>00249250085</t>
  </si>
  <si>
    <t>03128441213</t>
  </si>
  <si>
    <t>00280990649</t>
  </si>
  <si>
    <t>00288090228</t>
  </si>
  <si>
    <t>00192920890</t>
  </si>
  <si>
    <t>00070170949</t>
  </si>
  <si>
    <t>00038870945</t>
  </si>
  <si>
    <t>00213320112</t>
  </si>
  <si>
    <t>00369850060</t>
  </si>
  <si>
    <t>00698230133</t>
  </si>
  <si>
    <t>00291040228</t>
  </si>
  <si>
    <t>00230080640</t>
  </si>
  <si>
    <t>00536140650</t>
  </si>
  <si>
    <t>00119310621</t>
  </si>
  <si>
    <t>00559800123</t>
  </si>
  <si>
    <t>00564180123</t>
  </si>
  <si>
    <t>00341710127</t>
  </si>
  <si>
    <t>00561110123</t>
  </si>
  <si>
    <t>00288640899</t>
  </si>
  <si>
    <t>00271850224</t>
  </si>
  <si>
    <t>00114540669</t>
  </si>
  <si>
    <t>01210550834</t>
  </si>
  <si>
    <t>01519250615</t>
  </si>
  <si>
    <t>00246590087</t>
  </si>
  <si>
    <t>00804390219</t>
  </si>
  <si>
    <t>00060040706</t>
  </si>
  <si>
    <t>00310810825</t>
  </si>
  <si>
    <t>00524040045</t>
  </si>
  <si>
    <t>01748270640</t>
  </si>
  <si>
    <t>00437840622</t>
  </si>
  <si>
    <t>00225160704</t>
  </si>
  <si>
    <t>00441540127</t>
  </si>
  <si>
    <t>00103020053</t>
  </si>
  <si>
    <t>00247030224</t>
  </si>
  <si>
    <t>01032850834</t>
  </si>
  <si>
    <t>00198130700</t>
  </si>
  <si>
    <t>00423290220</t>
  </si>
  <si>
    <t>00469730048</t>
  </si>
  <si>
    <t>00085820942</t>
  </si>
  <si>
    <t>00069900942</t>
  </si>
  <si>
    <t>01061910210</t>
  </si>
  <si>
    <t>00289020125</t>
  </si>
  <si>
    <t>00083920942</t>
  </si>
  <si>
    <t>00269570628</t>
  </si>
  <si>
    <t>00216540641</t>
  </si>
  <si>
    <t>00291090876</t>
  </si>
  <si>
    <t>00309450120</t>
  </si>
  <si>
    <t>00248280125</t>
  </si>
  <si>
    <t>00171670706</t>
  </si>
  <si>
    <t>00424320836</t>
  </si>
  <si>
    <t>00129520797</t>
  </si>
  <si>
    <t>00124130220</t>
  </si>
  <si>
    <t>00343350229</t>
  </si>
  <si>
    <t>00309290120</t>
  </si>
  <si>
    <t>00292860228</t>
  </si>
  <si>
    <t>00274540228</t>
  </si>
  <si>
    <t>00291620227</t>
  </si>
  <si>
    <t>00259700128</t>
  </si>
  <si>
    <t>01383640131</t>
  </si>
  <si>
    <t>00225170703</t>
  </si>
  <si>
    <t>00188100796</t>
  </si>
  <si>
    <t>00593600984</t>
  </si>
  <si>
    <t>00244940086</t>
  </si>
  <si>
    <t>00592090989</t>
  </si>
  <si>
    <t>00125740076</t>
  </si>
  <si>
    <t>00125770073</t>
  </si>
  <si>
    <t>00285120648</t>
  </si>
  <si>
    <t>00067470948</t>
  </si>
  <si>
    <t>00508670213</t>
  </si>
  <si>
    <t>01093630216</t>
  </si>
  <si>
    <t>00278660642</t>
  </si>
  <si>
    <t>00296280795</t>
  </si>
  <si>
    <t>00723610986</t>
  </si>
  <si>
    <t>01112920226</t>
  </si>
  <si>
    <t>00302450226</t>
  </si>
  <si>
    <t>00269940623</t>
  </si>
  <si>
    <t>00308220128</t>
  </si>
  <si>
    <t>00439580028</t>
  </si>
  <si>
    <t>00586120982</t>
  </si>
  <si>
    <t>00067360941</t>
  </si>
  <si>
    <t>01104351000</t>
  </si>
  <si>
    <t>00309210128</t>
  </si>
  <si>
    <t>00054330709</t>
  </si>
  <si>
    <t>00114000573</t>
  </si>
  <si>
    <t>00251050696</t>
  </si>
  <si>
    <t>00375660784</t>
  </si>
  <si>
    <t>02146620220</t>
  </si>
  <si>
    <t>00226700128</t>
  </si>
  <si>
    <t>00252960224</t>
  </si>
  <si>
    <t>00417480134</t>
  </si>
  <si>
    <t>00078040573</t>
  </si>
  <si>
    <t>01033260652</t>
  </si>
  <si>
    <t>00232380642</t>
  </si>
  <si>
    <t>00497770651</t>
  </si>
  <si>
    <t>00617120217</t>
  </si>
  <si>
    <t>00665240131</t>
  </si>
  <si>
    <t>00583030986</t>
  </si>
  <si>
    <t>00561000217</t>
  </si>
  <si>
    <t>00482100211</t>
  </si>
  <si>
    <t>00246210082</t>
  </si>
  <si>
    <t>00431880228</t>
  </si>
  <si>
    <t>00300460128</t>
  </si>
  <si>
    <t>00571350214</t>
  </si>
  <si>
    <t>01214250167</t>
  </si>
  <si>
    <t>00560000127</t>
  </si>
  <si>
    <t>00919470229</t>
  </si>
  <si>
    <t>00550530984</t>
  </si>
  <si>
    <t>00260520127</t>
  </si>
  <si>
    <t>00326880796</t>
  </si>
  <si>
    <t>00292580222</t>
  </si>
  <si>
    <t>00411690217</t>
  </si>
  <si>
    <t>00688470137</t>
  </si>
  <si>
    <t>00657120135</t>
  </si>
  <si>
    <t>00144860079</t>
  </si>
  <si>
    <t>00308920222</t>
  </si>
  <si>
    <t>00301080222</t>
  </si>
  <si>
    <t>00981210628</t>
  </si>
  <si>
    <t>00168960706</t>
  </si>
  <si>
    <t>00555080217</t>
  </si>
  <si>
    <t>00092580075</t>
  </si>
  <si>
    <t>00723560983</t>
  </si>
  <si>
    <t>01463830909</t>
  </si>
  <si>
    <t>00101220077</t>
  </si>
  <si>
    <t>00222350563</t>
  </si>
  <si>
    <t>00431040229</t>
  </si>
  <si>
    <t>00279280697</t>
  </si>
  <si>
    <t>00457290138</t>
  </si>
  <si>
    <t>00886010214</t>
  </si>
  <si>
    <t>04897750016</t>
  </si>
  <si>
    <t>00288630890</t>
  </si>
  <si>
    <t>00237790126</t>
  </si>
  <si>
    <t>00170690705</t>
  </si>
  <si>
    <t>00561750126</t>
  </si>
  <si>
    <t>00291490431</t>
  </si>
  <si>
    <t>00308770221</t>
  </si>
  <si>
    <t>00843840216</t>
  </si>
  <si>
    <t>00846180222</t>
  </si>
  <si>
    <t>00415540137</t>
  </si>
  <si>
    <t>00297790792</t>
  </si>
  <si>
    <t>00062380944</t>
  </si>
  <si>
    <t>00352170831</t>
  </si>
  <si>
    <t>00194980892</t>
  </si>
  <si>
    <t>00236000923</t>
  </si>
  <si>
    <t>00323920223</t>
  </si>
  <si>
    <t>00268840642</t>
  </si>
  <si>
    <t>00088320940</t>
  </si>
  <si>
    <t>00246310213</t>
  </si>
  <si>
    <t>00069690709</t>
  </si>
  <si>
    <t>00159650837</t>
  </si>
  <si>
    <t>00323010793</t>
  </si>
  <si>
    <t>00824210223</t>
  </si>
  <si>
    <t>00070680947</t>
  </si>
  <si>
    <t>01179900210</t>
  </si>
  <si>
    <t>00475910824</t>
  </si>
  <si>
    <t>00840510218</t>
  </si>
  <si>
    <t>00259850121</t>
  </si>
  <si>
    <t>00232220129</t>
  </si>
  <si>
    <t>00273580126</t>
  </si>
  <si>
    <t>00532060134</t>
  </si>
  <si>
    <t>00343860128</t>
  </si>
  <si>
    <t>00723540985</t>
  </si>
  <si>
    <t>00171370885</t>
  </si>
  <si>
    <t>00620980656</t>
  </si>
  <si>
    <t>00100080076</t>
  </si>
  <si>
    <t>00200980704</t>
  </si>
  <si>
    <t>00915040224</t>
  </si>
  <si>
    <t>01547361210</t>
  </si>
  <si>
    <t>00270970221</t>
  </si>
  <si>
    <t>00519350128</t>
  </si>
  <si>
    <t>00428660047</t>
  </si>
  <si>
    <t>00772840138</t>
  </si>
  <si>
    <t>00467860136</t>
  </si>
  <si>
    <t>00550180822</t>
  </si>
  <si>
    <t>00109710079</t>
  </si>
  <si>
    <t>00535400642</t>
  </si>
  <si>
    <t>00076020627</t>
  </si>
  <si>
    <t>00943900035</t>
  </si>
  <si>
    <t>00276510229</t>
  </si>
  <si>
    <t>00592460984</t>
  </si>
  <si>
    <t>00271270126</t>
  </si>
  <si>
    <t>00424960136</t>
  </si>
  <si>
    <t>00203870225</t>
  </si>
  <si>
    <t>00619770167</t>
  </si>
  <si>
    <t>01200850830</t>
  </si>
  <si>
    <t>00172780702</t>
  </si>
  <si>
    <t>01117471001</t>
  </si>
  <si>
    <t>00232110213</t>
  </si>
  <si>
    <t>00627760135</t>
  </si>
  <si>
    <t>02146780842</t>
  </si>
  <si>
    <t>00194370219</t>
  </si>
  <si>
    <t>00369990783</t>
  </si>
  <si>
    <t>00848050217</t>
  </si>
  <si>
    <t>00561740218</t>
  </si>
  <si>
    <t>00550240642</t>
  </si>
  <si>
    <t>00256270224</t>
  </si>
  <si>
    <t>00213100126</t>
  </si>
  <si>
    <t>00540190659</t>
  </si>
  <si>
    <t>02147150227</t>
  </si>
  <si>
    <t>00672650165</t>
  </si>
  <si>
    <t>00183900893</t>
  </si>
  <si>
    <t>00512950049</t>
  </si>
  <si>
    <t>00595780131</t>
  </si>
  <si>
    <t>00141580621</t>
  </si>
  <si>
    <t>00054500707</t>
  </si>
  <si>
    <t>00501900229</t>
  </si>
  <si>
    <t>00383060225</t>
  </si>
  <si>
    <t>00247300080</t>
  </si>
  <si>
    <t>00225230705</t>
  </si>
  <si>
    <t>00238010128</t>
  </si>
  <si>
    <t>00289760647</t>
  </si>
  <si>
    <t>00602620130</t>
  </si>
  <si>
    <t>02021450610</t>
  </si>
  <si>
    <t>00069850949</t>
  </si>
  <si>
    <t>00087410940</t>
  </si>
  <si>
    <t>00225240704</t>
  </si>
  <si>
    <t>00776020653</t>
  </si>
  <si>
    <t>00342700093</t>
  </si>
  <si>
    <t>00108010117</t>
  </si>
  <si>
    <t>00723570982</t>
  </si>
  <si>
    <t>00445110877</t>
  </si>
  <si>
    <t>00827900218</t>
  </si>
  <si>
    <t>00243280120</t>
  </si>
  <si>
    <t>00417550787</t>
  </si>
  <si>
    <t>00077920577</t>
  </si>
  <si>
    <t>00669730129</t>
  </si>
  <si>
    <t>00232370213</t>
  </si>
  <si>
    <t>00371360785</t>
  </si>
  <si>
    <t>00646310870</t>
  </si>
  <si>
    <t>00486930126</t>
  </si>
  <si>
    <t>00270960222</t>
  </si>
  <si>
    <t>00858820228</t>
  </si>
  <si>
    <t>00075820894</t>
  </si>
  <si>
    <t>00281270801</t>
  </si>
  <si>
    <t>00850870213</t>
  </si>
  <si>
    <t>00233230846</t>
  </si>
  <si>
    <t>00549420131</t>
  </si>
  <si>
    <t>00225520121</t>
  </si>
  <si>
    <t>00252040225</t>
  </si>
  <si>
    <t>00278910229</t>
  </si>
  <si>
    <t>00342680097</t>
  </si>
  <si>
    <t>01110350871</t>
  </si>
  <si>
    <t>00059460949</t>
  </si>
  <si>
    <t>01813440870</t>
  </si>
  <si>
    <t>00161500913</t>
  </si>
  <si>
    <t>00149180226</t>
  </si>
  <si>
    <t>00141040626</t>
  </si>
  <si>
    <t>00427590831</t>
  </si>
  <si>
    <t>00244230082</t>
  </si>
  <si>
    <t>00225250703</t>
  </si>
  <si>
    <t>00149120222</t>
  </si>
  <si>
    <t>00575990981</t>
  </si>
  <si>
    <t>00120060702</t>
  </si>
  <si>
    <t>00127760213</t>
  </si>
  <si>
    <t>00616910139</t>
  </si>
  <si>
    <t>00548810639</t>
  </si>
  <si>
    <t>00532810652</t>
  </si>
  <si>
    <t>00221640642</t>
  </si>
  <si>
    <t>00254570625</t>
  </si>
  <si>
    <t>00170280705</t>
  </si>
  <si>
    <t>00283850691</t>
  </si>
  <si>
    <t>00776040651</t>
  </si>
  <si>
    <t>00225500123</t>
  </si>
  <si>
    <t>00246350086</t>
  </si>
  <si>
    <t>01383990718</t>
  </si>
  <si>
    <t>00070360706</t>
  </si>
  <si>
    <t>00286500640</t>
  </si>
  <si>
    <t>00192880706</t>
  </si>
  <si>
    <t>00213100704</t>
  </si>
  <si>
    <t>00088660949</t>
  </si>
  <si>
    <t>00201720943</t>
  </si>
  <si>
    <t>83002290654</t>
  </si>
  <si>
    <t>00070150701</t>
  </si>
  <si>
    <t>00925430787</t>
  </si>
  <si>
    <t>00248270126</t>
  </si>
  <si>
    <t>00249580127</t>
  </si>
  <si>
    <t>00411450711</t>
  </si>
  <si>
    <t>00338310097</t>
  </si>
  <si>
    <t>00453310211</t>
  </si>
  <si>
    <t>00449290212</t>
  </si>
  <si>
    <t>00723580981</t>
  </si>
  <si>
    <t>00270850225</t>
  </si>
  <si>
    <t>01393700925</t>
  </si>
  <si>
    <t>00309390128</t>
  </si>
  <si>
    <t>00578180655</t>
  </si>
  <si>
    <t>00238720080</t>
  </si>
  <si>
    <t>00101810075</t>
  </si>
  <si>
    <t>00194580916</t>
  </si>
  <si>
    <t>00592940985</t>
  </si>
  <si>
    <t>00820670214</t>
  </si>
  <si>
    <t>00225260702</t>
  </si>
  <si>
    <t>00560020125</t>
  </si>
  <si>
    <t>00232480210</t>
  </si>
  <si>
    <t>00109530576</t>
  </si>
  <si>
    <t>01226060224</t>
  </si>
  <si>
    <t>00173470071</t>
  </si>
  <si>
    <t>00196170666</t>
  </si>
  <si>
    <t>00174260893</t>
  </si>
  <si>
    <t>00532480654</t>
  </si>
  <si>
    <t>82001870870</t>
  </si>
  <si>
    <t>01861100012</t>
  </si>
  <si>
    <t>00085210896</t>
  </si>
  <si>
    <t>00266020098</t>
  </si>
  <si>
    <t>00272300229</t>
  </si>
  <si>
    <t>00205850225</t>
  </si>
  <si>
    <t>00247990815</t>
  </si>
  <si>
    <t>00183590629</t>
  </si>
  <si>
    <t>00100510213</t>
  </si>
  <si>
    <t>00723620985</t>
  </si>
  <si>
    <t>00072980956</t>
  </si>
  <si>
    <t>00689040137</t>
  </si>
  <si>
    <t>00308670223</t>
  </si>
  <si>
    <t>00149130221</t>
  </si>
  <si>
    <t>00409340213</t>
  </si>
  <si>
    <t>00261120901</t>
  </si>
  <si>
    <t>04567220019</t>
  </si>
  <si>
    <t>00055460943</t>
  </si>
  <si>
    <t>00225270701</t>
  </si>
  <si>
    <t>00500140652</t>
  </si>
  <si>
    <t>02153090648</t>
  </si>
  <si>
    <t>00055450944</t>
  </si>
  <si>
    <t>01033760651</t>
  </si>
  <si>
    <t>00574180980</t>
  </si>
  <si>
    <t>00590410981</t>
  </si>
  <si>
    <t>00700520133</t>
  </si>
  <si>
    <t>00246270086</t>
  </si>
  <si>
    <t>00195810700</t>
  </si>
  <si>
    <t>01820400644</t>
  </si>
  <si>
    <t>00447200619</t>
  </si>
  <si>
    <t>00158780627</t>
  </si>
  <si>
    <t>00375680410</t>
  </si>
  <si>
    <t>00244500088</t>
  </si>
  <si>
    <t>00249810227</t>
  </si>
  <si>
    <t>00246630081</t>
  </si>
  <si>
    <t>00147730220</t>
  </si>
  <si>
    <t>00084570944</t>
  </si>
  <si>
    <t>00972050215</t>
  </si>
  <si>
    <t>00312750433</t>
  </si>
  <si>
    <t>00056650948</t>
  </si>
  <si>
    <t>00678420134</t>
  </si>
  <si>
    <t>00310930227</t>
  </si>
  <si>
    <t>00250550084</t>
  </si>
  <si>
    <t>00527720130</t>
  </si>
  <si>
    <t>00554520627</t>
  </si>
  <si>
    <t>00196880892</t>
  </si>
  <si>
    <t>00645800657</t>
  </si>
  <si>
    <t>00113100572</t>
  </si>
  <si>
    <t>00508900636</t>
  </si>
  <si>
    <t>00392090783</t>
  </si>
  <si>
    <t>03043330012</t>
  </si>
  <si>
    <t>00207480641</t>
  </si>
  <si>
    <t>00575500210</t>
  </si>
  <si>
    <t>00148590227</t>
  </si>
  <si>
    <t>00465770212</t>
  </si>
  <si>
    <t>00247030083</t>
  </si>
  <si>
    <t>00469710040</t>
  </si>
  <si>
    <t>00282190891</t>
  </si>
  <si>
    <t>00564860211</t>
  </si>
  <si>
    <t>00070290705</t>
  </si>
  <si>
    <t>00152040622</t>
  </si>
  <si>
    <t>00268010642</t>
  </si>
  <si>
    <t>01457180634</t>
  </si>
  <si>
    <t>00279660229</t>
  </si>
  <si>
    <t>01343210215</t>
  </si>
  <si>
    <t>00180270886</t>
  </si>
  <si>
    <t>00561740127</t>
  </si>
  <si>
    <t>00550290878</t>
  </si>
  <si>
    <t>00245030085</t>
  </si>
  <si>
    <t>00409320215</t>
  </si>
  <si>
    <t>00269920625</t>
  </si>
  <si>
    <t>00616510210</t>
  </si>
  <si>
    <t>00274820083</t>
  </si>
  <si>
    <t>02130281005</t>
  </si>
  <si>
    <t>01133700219</t>
  </si>
  <si>
    <t>00144520665</t>
  </si>
  <si>
    <t>00282280643</t>
  </si>
  <si>
    <t>00891180655</t>
  </si>
  <si>
    <t>00087290946</t>
  </si>
  <si>
    <t>01277110837</t>
  </si>
  <si>
    <t>00338460041</t>
  </si>
  <si>
    <t>01704560612</t>
  </si>
  <si>
    <t>00305670085</t>
  </si>
  <si>
    <t>00807170048</t>
  </si>
  <si>
    <t>01140550219</t>
  </si>
  <si>
    <t>00651160137</t>
  </si>
  <si>
    <t>00534600655</t>
  </si>
  <si>
    <t>00144850070</t>
  </si>
  <si>
    <t>82002010658</t>
  </si>
  <si>
    <t>00296510225</t>
  </si>
  <si>
    <t>00291640225</t>
  </si>
  <si>
    <t>00093580561</t>
  </si>
  <si>
    <t>00342900222</t>
  </si>
  <si>
    <t>00343390225</t>
  </si>
  <si>
    <t>00462260712</t>
  </si>
  <si>
    <t>00143430700</t>
  </si>
  <si>
    <t>05219430013</t>
  </si>
  <si>
    <t>00340240225</t>
  </si>
  <si>
    <t>00453130221</t>
  </si>
  <si>
    <t>00502440076</t>
  </si>
  <si>
    <t>00140360074</t>
  </si>
  <si>
    <t>00438230070</t>
  </si>
  <si>
    <t>00069960706</t>
  </si>
  <si>
    <t>00571270214</t>
  </si>
  <si>
    <t>02641460015</t>
  </si>
  <si>
    <t>00500900220</t>
  </si>
  <si>
    <t>00202560702</t>
  </si>
  <si>
    <t>00496810219</t>
  </si>
  <si>
    <t>00169140704</t>
  </si>
  <si>
    <t>00354000135</t>
  </si>
  <si>
    <t>00148160831</t>
  </si>
  <si>
    <t>00554050625</t>
  </si>
  <si>
    <t>00202720702</t>
  </si>
  <si>
    <t>00222840704</t>
  </si>
  <si>
    <t>00070680707</t>
  </si>
  <si>
    <t>02025280658</t>
  </si>
  <si>
    <t>00601540628</t>
  </si>
  <si>
    <t>00586020216</t>
  </si>
  <si>
    <t>00263850646</t>
  </si>
  <si>
    <t>00884620212</t>
  </si>
  <si>
    <t>00067510701</t>
  </si>
  <si>
    <t>00066290701</t>
  </si>
  <si>
    <t>00197180250</t>
  </si>
  <si>
    <t>01330200211</t>
  </si>
  <si>
    <t>03091710651</t>
  </si>
  <si>
    <t>00056470701</t>
  </si>
  <si>
    <t>00711050807</t>
  </si>
  <si>
    <t>00633460621</t>
  </si>
  <si>
    <t>00297870792</t>
  </si>
  <si>
    <t>00589640127</t>
  </si>
  <si>
    <t>00319210167</t>
  </si>
  <si>
    <t>00245050794</t>
  </si>
  <si>
    <t>00415100213</t>
  </si>
  <si>
    <t>00462610833</t>
  </si>
  <si>
    <t>00150050839</t>
  </si>
  <si>
    <t>01932680844</t>
  </si>
  <si>
    <t>00053710943</t>
  </si>
  <si>
    <t>00231130642</t>
  </si>
  <si>
    <t>01608070643</t>
  </si>
  <si>
    <t>00173110701</t>
  </si>
  <si>
    <t>00082350943</t>
  </si>
  <si>
    <t>00070460704</t>
  </si>
  <si>
    <t>00149220220</t>
  </si>
  <si>
    <t>00068900950</t>
  </si>
  <si>
    <t>02854170657</t>
  </si>
  <si>
    <t>00933830226</t>
  </si>
  <si>
    <t>00575930219</t>
  </si>
  <si>
    <t>00453840225</t>
  </si>
  <si>
    <t>00269760625</t>
  </si>
  <si>
    <t>00278180641</t>
  </si>
  <si>
    <t>00590990982</t>
  </si>
  <si>
    <t>00393920830</t>
  </si>
  <si>
    <t>00446860215</t>
  </si>
  <si>
    <t>00622530822</t>
  </si>
  <si>
    <t>00202010666</t>
  </si>
  <si>
    <t>00301120226</t>
  </si>
  <si>
    <t>00473450229</t>
  </si>
  <si>
    <t>01357390218</t>
  </si>
  <si>
    <t>00411710213</t>
  </si>
  <si>
    <t>01295940215</t>
  </si>
  <si>
    <t>01309880217</t>
  </si>
  <si>
    <t>00174500702</t>
  </si>
  <si>
    <t>00118430644</t>
  </si>
  <si>
    <t>01026810927</t>
  </si>
  <si>
    <t>00300810793</t>
  </si>
  <si>
    <t>00160250619</t>
  </si>
  <si>
    <t>00056870942</t>
  </si>
  <si>
    <t>00436290217</t>
  </si>
  <si>
    <t>00155310915</t>
  </si>
  <si>
    <t>00813410222</t>
  </si>
  <si>
    <t>01095160212</t>
  </si>
  <si>
    <t>00296790793</t>
  </si>
  <si>
    <t>00807660212</t>
  </si>
  <si>
    <t>00226820124</t>
  </si>
  <si>
    <t>00334870227</t>
  </si>
  <si>
    <t>00282850890</t>
  </si>
  <si>
    <t>00304810229</t>
  </si>
  <si>
    <t>00197250707</t>
  </si>
  <si>
    <t>00305970220</t>
  </si>
  <si>
    <t>00657140133</t>
  </si>
  <si>
    <t>00852560218</t>
  </si>
  <si>
    <t>00308750223</t>
  </si>
  <si>
    <t>00285750220</t>
  </si>
  <si>
    <t>01763870019</t>
  </si>
  <si>
    <t>00263320228</t>
  </si>
  <si>
    <t>00309330124</t>
  </si>
  <si>
    <t>00283550127</t>
  </si>
  <si>
    <t>01672600648</t>
  </si>
  <si>
    <t>00225310705</t>
  </si>
  <si>
    <t>00940160617</t>
  </si>
  <si>
    <t>00292750221</t>
  </si>
  <si>
    <t>00390750222</t>
  </si>
  <si>
    <t>00580370989</t>
  </si>
  <si>
    <t>00308910223</t>
  </si>
  <si>
    <t>00668860216</t>
  </si>
  <si>
    <t>00497820217</t>
  </si>
  <si>
    <t>00267990224</t>
  </si>
  <si>
    <t>00200660918</t>
  </si>
  <si>
    <t>01297980219</t>
  </si>
  <si>
    <t>00186930921</t>
  </si>
  <si>
    <t>00186560215</t>
  </si>
  <si>
    <t>00445330210</t>
  </si>
  <si>
    <t>00291650224</t>
  </si>
  <si>
    <t>00547920652</t>
  </si>
  <si>
    <t>00241950641</t>
  </si>
  <si>
    <t>00225330703</t>
  </si>
  <si>
    <t>00225320704</t>
  </si>
  <si>
    <t>00511190043</t>
  </si>
  <si>
    <t>01754310645</t>
  </si>
  <si>
    <t>00270830227</t>
  </si>
  <si>
    <t>00079880811</t>
  </si>
  <si>
    <t>01107430033</t>
  </si>
  <si>
    <t>00308240126</t>
  </si>
  <si>
    <t>00300630605</t>
  </si>
  <si>
    <t>00214800088</t>
  </si>
  <si>
    <t>02033030830</t>
  </si>
  <si>
    <t>00136660214</t>
  </si>
  <si>
    <t>00313710790</t>
  </si>
  <si>
    <t>00414320218</t>
  </si>
  <si>
    <t>00110300571</t>
  </si>
  <si>
    <t>00520110131</t>
  </si>
  <si>
    <t>00171510563</t>
  </si>
  <si>
    <t>01114860214</t>
  </si>
  <si>
    <t>00566730214</t>
  </si>
  <si>
    <t>00991250218</t>
  </si>
  <si>
    <t>00434390217</t>
  </si>
  <si>
    <t>00181030222</t>
  </si>
  <si>
    <t>02670280821</t>
  </si>
  <si>
    <t>00196790794</t>
  </si>
  <si>
    <t>81001610641</t>
  </si>
  <si>
    <t>01399810017</t>
  </si>
  <si>
    <t>00651150138</t>
  </si>
  <si>
    <t>00098450075</t>
  </si>
  <si>
    <t>00415160076</t>
  </si>
  <si>
    <t>01106460213</t>
  </si>
  <si>
    <t>00263100125</t>
  </si>
  <si>
    <t>00318100096</t>
  </si>
  <si>
    <t>00441340122</t>
  </si>
  <si>
    <t>01399790011</t>
  </si>
  <si>
    <t>00247040082</t>
  </si>
  <si>
    <t>00317720126</t>
  </si>
  <si>
    <t>80005130648</t>
  </si>
  <si>
    <t>00253800213</t>
  </si>
  <si>
    <t>00688460138</t>
  </si>
  <si>
    <t>00343510228</t>
  </si>
  <si>
    <t>00101620078</t>
  </si>
  <si>
    <t>00584970982</t>
  </si>
  <si>
    <t>00827970229</t>
  </si>
  <si>
    <t>00310910229</t>
  </si>
  <si>
    <t>00790100804</t>
  </si>
  <si>
    <t>01069990214</t>
  </si>
  <si>
    <t>00190790915</t>
  </si>
  <si>
    <t>00665590212</t>
  </si>
  <si>
    <t>00580940989</t>
  </si>
  <si>
    <t>00372410068</t>
  </si>
  <si>
    <t>00143390649</t>
  </si>
  <si>
    <t>00159270222</t>
  </si>
  <si>
    <t>00331480095</t>
  </si>
  <si>
    <t>00423040831</t>
  </si>
  <si>
    <t>00225210707</t>
  </si>
  <si>
    <t>00168050706</t>
  </si>
  <si>
    <t>00554670216</t>
  </si>
  <si>
    <t>00104390570</t>
  </si>
  <si>
    <t>00616760211</t>
  </si>
  <si>
    <t>05696180636</t>
  </si>
  <si>
    <t>00644530131</t>
  </si>
  <si>
    <t>00110350071</t>
  </si>
  <si>
    <t>00309230126</t>
  </si>
  <si>
    <t>00177740214</t>
  </si>
  <si>
    <t>00256420225</t>
  </si>
  <si>
    <t>00405990219</t>
  </si>
  <si>
    <t>00113470579</t>
  </si>
  <si>
    <t>00056590896</t>
  </si>
  <si>
    <t>00127190627</t>
  </si>
  <si>
    <t>00446990210</t>
  </si>
  <si>
    <t>00807070628</t>
  </si>
  <si>
    <t>00292600228</t>
  </si>
  <si>
    <t>00251170940</t>
  </si>
  <si>
    <t>00309250124</t>
  </si>
  <si>
    <t>00100650076</t>
  </si>
  <si>
    <t>02102300064</t>
  </si>
  <si>
    <t>02254180413</t>
  </si>
  <si>
    <t>01340850211</t>
  </si>
  <si>
    <t>01181950211</t>
  </si>
  <si>
    <t>00701630212</t>
  </si>
  <si>
    <t>00140370073</t>
  </si>
  <si>
    <t>00117980623</t>
  </si>
  <si>
    <t>00182790659</t>
  </si>
  <si>
    <t>01216560068</t>
  </si>
  <si>
    <t>01270510660</t>
  </si>
  <si>
    <t>00086470572</t>
  </si>
  <si>
    <t>01202730055</t>
  </si>
  <si>
    <t>01390570065</t>
  </si>
  <si>
    <t>93238890722</t>
  </si>
  <si>
    <t>00100070614</t>
  </si>
  <si>
    <t>02413680923</t>
  </si>
  <si>
    <t>00122320088</t>
  </si>
  <si>
    <t>00346660210</t>
  </si>
  <si>
    <t>01199390095</t>
  </si>
  <si>
    <t>00090190703</t>
  </si>
  <si>
    <t>00160190211</t>
  </si>
  <si>
    <t>00538970211</t>
  </si>
  <si>
    <t>01866890021</t>
  </si>
  <si>
    <t>00103480299</t>
  </si>
  <si>
    <t>00511030041</t>
  </si>
  <si>
    <t>10200211000</t>
  </si>
  <si>
    <t>01405600220</t>
  </si>
  <si>
    <t>02836490926</t>
  </si>
  <si>
    <t>01131060996</t>
  </si>
  <si>
    <t>01531480216</t>
  </si>
  <si>
    <t>01074150721</t>
  </si>
  <si>
    <t>02504010345</t>
  </si>
  <si>
    <t>03798601211</t>
  </si>
  <si>
    <t>00140940925</t>
  </si>
  <si>
    <t>00112200829</t>
  </si>
  <si>
    <t>00166140707</t>
  </si>
  <si>
    <t>03278040245</t>
  </si>
  <si>
    <t>03529980876</t>
  </si>
  <si>
    <t>01494020462</t>
  </si>
  <si>
    <t>07599620635</t>
  </si>
  <si>
    <t>01966240465</t>
  </si>
  <si>
    <t>02903940985</t>
  </si>
  <si>
    <t>00120880877</t>
  </si>
  <si>
    <t>01084890217</t>
  </si>
  <si>
    <t>00556730216</t>
  </si>
  <si>
    <t>01081070219</t>
  </si>
  <si>
    <t>00447010216</t>
  </si>
  <si>
    <t>01066120211</t>
  </si>
  <si>
    <t>00194710216</t>
  </si>
  <si>
    <t>01880180060</t>
  </si>
  <si>
    <t>00289380974</t>
  </si>
  <si>
    <t>00934000621</t>
  </si>
  <si>
    <t>00083520668</t>
  </si>
  <si>
    <t>04245520376</t>
  </si>
  <si>
    <t>01683140931</t>
  </si>
  <si>
    <t>01424590030</t>
  </si>
  <si>
    <t>01319611008</t>
  </si>
  <si>
    <t>01142090875</t>
  </si>
  <si>
    <t>01100710993</t>
  </si>
  <si>
    <t>00838520633</t>
  </si>
  <si>
    <t>01791490343</t>
  </si>
  <si>
    <t>01070220312</t>
  </si>
  <si>
    <t>02177670649</t>
  </si>
  <si>
    <t>01535470809</t>
  </si>
  <si>
    <t>01977850138</t>
  </si>
  <si>
    <t>04268260272</t>
  </si>
  <si>
    <t>03204110872</t>
  </si>
  <si>
    <t>02059030417</t>
  </si>
  <si>
    <t>00675230247</t>
  </si>
  <si>
    <t>01742310152</t>
  </si>
  <si>
    <t>01887790341</t>
  </si>
  <si>
    <t>00339970832</t>
  </si>
  <si>
    <t>02191980420</t>
  </si>
  <si>
    <t>01616760516</t>
  </si>
  <si>
    <t>03408010639</t>
  </si>
  <si>
    <t>02234900187</t>
  </si>
  <si>
    <t>03475190272</t>
  </si>
  <si>
    <t>00337460224</t>
  </si>
  <si>
    <t>05040110487</t>
  </si>
  <si>
    <t>02200370167</t>
  </si>
  <si>
    <t>03516070632</t>
  </si>
  <si>
    <t>00337870406</t>
  </si>
  <si>
    <t>01522960671</t>
  </si>
  <si>
    <t>01485710691</t>
  </si>
  <si>
    <t>00670090141</t>
  </si>
  <si>
    <t>03479980876</t>
  </si>
  <si>
    <t>01985420023</t>
  </si>
  <si>
    <t>02134270871</t>
  </si>
  <si>
    <t>01321570663</t>
  </si>
  <si>
    <t>03453020657</t>
  </si>
  <si>
    <t>01567890080</t>
  </si>
  <si>
    <t>02231010212</t>
  </si>
  <si>
    <t>02258260989</t>
  </si>
  <si>
    <t>00471980094</t>
  </si>
  <si>
    <t>01200660098</t>
  </si>
  <si>
    <t>04201250877</t>
  </si>
  <si>
    <t>03432640989</t>
  </si>
  <si>
    <t>01838990891</t>
  </si>
  <si>
    <t>01250250550</t>
  </si>
  <si>
    <t>02197250208</t>
  </si>
  <si>
    <t>05216080829</t>
  </si>
  <si>
    <t>03291390874</t>
  </si>
  <si>
    <t>00127770824</t>
  </si>
  <si>
    <t>02239130871</t>
  </si>
  <si>
    <t>02921240871</t>
  </si>
  <si>
    <t>05486580961</t>
  </si>
  <si>
    <t>05167541217</t>
  </si>
  <si>
    <t>01184670873</t>
  </si>
  <si>
    <t>00204750871</t>
  </si>
  <si>
    <t>00071500110</t>
  </si>
  <si>
    <t>01090780212</t>
  </si>
  <si>
    <t>00666400213</t>
  </si>
  <si>
    <t>02407940218</t>
  </si>
  <si>
    <t>04704430828</t>
  </si>
  <si>
    <t>01025240621</t>
  </si>
  <si>
    <t>07937540016</t>
  </si>
  <si>
    <t>04840770822</t>
  </si>
  <si>
    <t>04015810874</t>
  </si>
  <si>
    <t>03079180364</t>
  </si>
  <si>
    <t>02559020793</t>
  </si>
  <si>
    <t>01812230223</t>
  </si>
  <si>
    <t>01767320565</t>
  </si>
  <si>
    <t>00527910046</t>
  </si>
  <si>
    <t>00157980442</t>
  </si>
  <si>
    <t>81030450217</t>
  </si>
  <si>
    <t>00328950217</t>
  </si>
  <si>
    <t>01736540210</t>
  </si>
  <si>
    <t>00289770216</t>
  </si>
  <si>
    <t>00401880216</t>
  </si>
  <si>
    <t>01572880217</t>
  </si>
  <si>
    <t>00685230211</t>
  </si>
  <si>
    <t>01219050216</t>
  </si>
  <si>
    <t>02634920546</t>
  </si>
  <si>
    <t>03299640163</t>
  </si>
  <si>
    <t>02180620987</t>
  </si>
  <si>
    <t>02569060540</t>
  </si>
  <si>
    <t>03341820276</t>
  </si>
  <si>
    <t>A.C.A. S.P.A. IN HOUSE PROVIDING</t>
  </si>
  <si>
    <t>A.C.Q.U.A. V.I.T.A.N.A.</t>
  </si>
  <si>
    <t>A.M.A. S.p.A.</t>
  </si>
  <si>
    <t>A.M.A.M. Azienda Meridionale Acque Messina S.p.A.</t>
  </si>
  <si>
    <t>A.P.M. SPA AZIENDA PLURISERVIZI MACERATA</t>
  </si>
  <si>
    <t>A.S.A. - AZIENDA SERVIZI AMBIENTALI SPA</t>
  </si>
  <si>
    <t>A.S.P. S.P.A.</t>
  </si>
  <si>
    <t>A.S.S.M. S.P.A. - TOLENTINO</t>
  </si>
  <si>
    <t>A.S.SE.M. SPA</t>
  </si>
  <si>
    <t>A2A CICLO IDRICO</t>
  </si>
  <si>
    <t>ABBANOA SPA</t>
  </si>
  <si>
    <t>ABC Acqua Bene Comune Napoli a.s.</t>
  </si>
  <si>
    <t>ABM NEXT SRL</t>
  </si>
  <si>
    <t>Acam Acque SpA</t>
  </si>
  <si>
    <t>ACEA ATO 5 SPA</t>
  </si>
  <si>
    <t>ACEA ATO2 S.P.A.</t>
  </si>
  <si>
    <t>AcegasApsAmga S.p.A.</t>
  </si>
  <si>
    <t>ACOSET</t>
  </si>
  <si>
    <t>ACQUA CAMPANIA SPA</t>
  </si>
  <si>
    <t>ACQUA NOVARA.VCO S.P.A.</t>
  </si>
  <si>
    <t>ACQUAENNA S.C.P.A.</t>
  </si>
  <si>
    <t>ACQUALATINA SPA</t>
  </si>
  <si>
    <t>ACQUAMBIENTE MARCHE SRL</t>
  </si>
  <si>
    <t>ACQUE AURORA S.R.L.</t>
  </si>
  <si>
    <t>ACQUE BUFARDO E TORREROSSA SRL</t>
  </si>
  <si>
    <t>ACQUE CARCACI DEL FASANO SPA</t>
  </si>
  <si>
    <t>ACQUE DI CALTANISSETTA SPA</t>
  </si>
  <si>
    <t>Acque di Casalotto S.p.A.</t>
  </si>
  <si>
    <t>ACQUE FLORESTA SRL</t>
  </si>
  <si>
    <t>ACQUE LO SCIUTO S.R.L.</t>
  </si>
  <si>
    <t>ACQUE MADONNA DEL CARMINE</t>
  </si>
  <si>
    <t>acque matteo scuderi eredi del dr s. scuderi &amp;  C.</t>
  </si>
  <si>
    <t>ACQUE PONTE DI FERRO S.n.c.dei SIGG. SANTAGATI</t>
  </si>
  <si>
    <t>Acque S.p.A.</t>
  </si>
  <si>
    <t>ACQUE SUD S.R.L.</t>
  </si>
  <si>
    <t>Acque Veronesi s.c. a r.l.</t>
  </si>
  <si>
    <t>acquedotti  U.C.C.</t>
  </si>
  <si>
    <t>Acquedotti Ing. Sarino Pavone S.p.A.</t>
  </si>
  <si>
    <t>Acquedotti Scpa</t>
  </si>
  <si>
    <t>Acquedotto Consortile Biviere</t>
  </si>
  <si>
    <t>Acquedotto Cooperativo di Fié allo Sciliar</t>
  </si>
  <si>
    <t>ACQUEDOTTO DEL CARSO S.P.A. -  KRASKI VODOVOD D.D.</t>
  </si>
  <si>
    <t>ACQUEDOTTO DEL FIORA SPA</t>
  </si>
  <si>
    <t>Acquedotto della Piana S.p.A.</t>
  </si>
  <si>
    <t>ACQUEDOTTO LANGHE E ALPI CUNEESI SPA</t>
  </si>
  <si>
    <t>acquedotto lucano s.p.a.</t>
  </si>
  <si>
    <t>ACQUEDOTTO PUGLIESE SPA</t>
  </si>
  <si>
    <t>Acquedotto San Lazzaro S.p.A.</t>
  </si>
  <si>
    <t>Acquedotto Soc.coop. Neptunia Siusi</t>
  </si>
  <si>
    <t>ACQUEDOTTO VALTIGLIONE S.P.A.</t>
  </si>
  <si>
    <t>AIMAG S.P.A.</t>
  </si>
  <si>
    <t>ALPI ACQUE</t>
  </si>
  <si>
    <t>ALTA LANGA SERVIZI S.P.A.</t>
  </si>
  <si>
    <t>ALTO CALORE SERVIZI S.P.A.</t>
  </si>
  <si>
    <t>ALTO GARDA SERVIZI SPA</t>
  </si>
  <si>
    <t>AMAP Spa</t>
  </si>
  <si>
    <t>AMEA S.P.A.</t>
  </si>
  <si>
    <t>Amm.ne Separata Beni Usi Civici (ASBUC) della Frazione di Valles</t>
  </si>
  <si>
    <t>ARA PUSTERIA SPA</t>
  </si>
  <si>
    <t>ASBUC SPINGA</t>
  </si>
  <si>
    <t>ASET S.P.A.</t>
  </si>
  <si>
    <t>ASM TIONE - AZIENDA SERVIZI MUNICIPALIZZATI</t>
  </si>
  <si>
    <t>ASTEA SPA</t>
  </si>
  <si>
    <t>AUSINO S.P.A</t>
  </si>
  <si>
    <t>AZIENDA GARDESANA SERVIZI SPA</t>
  </si>
  <si>
    <t>AZIENDA PUBBLISERVIZI BRUNICO</t>
  </si>
  <si>
    <t>AZIENDA REGIONALE DELLE ATTIVITA PRODUTTIVE</t>
  </si>
  <si>
    <t>Azienda Servizi Municipalizzati di Merano Spa</t>
  </si>
  <si>
    <t>Azienda Speciale Regionale Molise Acque</t>
  </si>
  <si>
    <t>Bodenverbesserungskonsortium Penon - Cons. Migl. Fond. Penone</t>
  </si>
  <si>
    <t>BRIANZACQUE SRL</t>
  </si>
  <si>
    <t>BUCARO GIUSEPPE E C. S.R.L.</t>
  </si>
  <si>
    <t>C.A.D.F. S.p.A.</t>
  </si>
  <si>
    <t>C.I.R.A.  S.R.L.</t>
  </si>
  <si>
    <t>CAFC S.p.A.</t>
  </si>
  <si>
    <t>CAP HOLDING S.P.A</t>
  </si>
  <si>
    <t>CAV. GIROLAMO GUERCIA COSTRUZIONI SRL</t>
  </si>
  <si>
    <t>CIIP Cicli Integrati Impianti Primari S.p.A.</t>
  </si>
  <si>
    <t>CIRONE DOMENICO &amp; C. SAS</t>
  </si>
  <si>
    <t>CO.R.D.A.R. VALSESIA spa</t>
  </si>
  <si>
    <t>COMUNE ALZATE BRIANZA</t>
  </si>
  <si>
    <t>COMUNE CASTELLETTO UZZONE</t>
  </si>
  <si>
    <t>Comune Città di Glorenza</t>
  </si>
  <si>
    <t>Comune Costa Vescovato</t>
  </si>
  <si>
    <t>COMUNE DI  MOSCHIANO</t>
  </si>
  <si>
    <t>COMUNE DI ACI CATENA</t>
  </si>
  <si>
    <t>COMUNE DI ACQUAVIVA COLLECROCE</t>
  </si>
  <si>
    <t>COMUNE DI ADRO</t>
  </si>
  <si>
    <t>Comune di Afragola</t>
  </si>
  <si>
    <t>COMUNE DI AIELLO DEL SABATO</t>
  </si>
  <si>
    <t>COMUNE DI AIROLA</t>
  </si>
  <si>
    <t>COMUNE DI AIROLE</t>
  </si>
  <si>
    <t>COMUNE DI ALBANELLA</t>
  </si>
  <si>
    <t>COMUNE DI ALBESE CON CASSANO</t>
  </si>
  <si>
    <t>COMUNE DI ALBIANO</t>
  </si>
  <si>
    <t>COMUNE DI ALBISOLA SUPERIORE</t>
  </si>
  <si>
    <t>Comune di Albissola Marina</t>
  </si>
  <si>
    <t>Comune di Alcamo</t>
  </si>
  <si>
    <t>COMUNE DI ALDINO</t>
  </si>
  <si>
    <t>COMUNE DI ALFEDENA</t>
  </si>
  <si>
    <t>COMUNE DI ALLEIN</t>
  </si>
  <si>
    <t>COMUNE DI ALTAVILLA IRPINA</t>
  </si>
  <si>
    <t>COMUNE DI ANDALO</t>
  </si>
  <si>
    <t>Comune di Andriano</t>
  </si>
  <si>
    <t>COMUNE DI ANELA</t>
  </si>
  <si>
    <t>COMUNE DI ANGERA</t>
  </si>
  <si>
    <t>Comune di Anguillara Sabazia</t>
  </si>
  <si>
    <t>Comune di Anterivo</t>
  </si>
  <si>
    <t>COMUNE DI ANVERSA DEGLI ABRUZZI</t>
  </si>
  <si>
    <t>COMUNE DI ANZANO DEL PARCO</t>
  </si>
  <si>
    <t>COMUNE DI AOSTA</t>
  </si>
  <si>
    <t>COMUNE DI APOLLOSA</t>
  </si>
  <si>
    <t>Comune di Appiano sulla Strada del Vino</t>
  </si>
  <si>
    <t>COMUNE DI APRICALE</t>
  </si>
  <si>
    <t>Comune di Aquilonia</t>
  </si>
  <si>
    <t>Comune di Arco</t>
  </si>
  <si>
    <t>COMUNE DI ARMO</t>
  </si>
  <si>
    <t>COMUNE DI ARNAD</t>
  </si>
  <si>
    <t>COMUNE DI AROSIO</t>
  </si>
  <si>
    <t>COMUNE DI ARTOGNE</t>
  </si>
  <si>
    <t>COMUNE DI ARZANA</t>
  </si>
  <si>
    <t>COMUNE DI AUGUSTA</t>
  </si>
  <si>
    <t>COMUNE DI AURIGO</t>
  </si>
  <si>
    <t>Comune di Avelengo</t>
  </si>
  <si>
    <t>Comune di Avella</t>
  </si>
  <si>
    <t>COMUNE DI AVIO</t>
  </si>
  <si>
    <t>COMUNE DI AYAS</t>
  </si>
  <si>
    <t>Comune di Azzate</t>
  </si>
  <si>
    <t>COMUNE DI AZZIO</t>
  </si>
  <si>
    <t>COMUNE DI BACOLI</t>
  </si>
  <si>
    <t>COMUNE DI BAGNOLI DEL TRIGNO</t>
  </si>
  <si>
    <t>COMUNE DI BAGNOLI IRPINO</t>
  </si>
  <si>
    <t>Comune di Baiano</t>
  </si>
  <si>
    <t>COMUNE DI BAJARDO</t>
  </si>
  <si>
    <t>comune di balestrino</t>
  </si>
  <si>
    <t>COMUNE DI BARASSO</t>
  </si>
  <si>
    <t>Comune di Barbiano</t>
  </si>
  <si>
    <t>Comune di Barcellona Pozzo di Gotto</t>
  </si>
  <si>
    <t>COMUNE DI BARDINETO</t>
  </si>
  <si>
    <t>COMUNE DI BARETE</t>
  </si>
  <si>
    <t>COMUNE DI BARNI</t>
  </si>
  <si>
    <t>COMUNE DI BARREA</t>
  </si>
  <si>
    <t>COMUNE DI BASELGA DI PINE'</t>
  </si>
  <si>
    <t>comune di baselice</t>
  </si>
  <si>
    <t>COMUNE DI BATTIFOLLO</t>
  </si>
  <si>
    <t>COMUNE DI BEDOLLO</t>
  </si>
  <si>
    <t>COMUNE DI BELLAGIO</t>
  </si>
  <si>
    <t>COMUNE DI BELSITO</t>
  </si>
  <si>
    <t>Comune di Bene Lario</t>
  </si>
  <si>
    <t>COMUNE DI BERZO INFERIORE</t>
  </si>
  <si>
    <t>COMUNE DI BESANO</t>
  </si>
  <si>
    <t>COMUNE DI BIANCAVILLA</t>
  </si>
  <si>
    <t>COMUNE DI BIANDRONNO</t>
  </si>
  <si>
    <t>COMUNE DI BIENNO</t>
  </si>
  <si>
    <t>COMUNE DI BIENO</t>
  </si>
  <si>
    <t>COMUNE DI BIONAZ</t>
  </si>
  <si>
    <t>COMUNE DI BIZZARONE</t>
  </si>
  <si>
    <t>COMUNE DI BLEGGIO SUPERIORE</t>
  </si>
  <si>
    <t>Comune di Bocenago</t>
  </si>
  <si>
    <t>COMUNE DI BODIO LOMNAGO</t>
  </si>
  <si>
    <t>Comune di Bolognola</t>
  </si>
  <si>
    <t>COMUNE DI BONARCADO</t>
  </si>
  <si>
    <t>COMUNE DI BONATE SOTTO</t>
  </si>
  <si>
    <t>COMUNE DI BONEFRO</t>
  </si>
  <si>
    <t>Comune di Bordighera</t>
  </si>
  <si>
    <t>COMUNE DI BORGOMARO</t>
  </si>
  <si>
    <t>COMUNE DI BORNO</t>
  </si>
  <si>
    <t>COMUNE DI BOTTIDDA</t>
  </si>
  <si>
    <t>Comune di Brennero</t>
  </si>
  <si>
    <t>Comune di Brentonico</t>
  </si>
  <si>
    <t>COMUNE DI BRISSAGO VALTRAVAGLIA</t>
  </si>
  <si>
    <t>COMUNE DI BRONTE</t>
  </si>
  <si>
    <t>Comune di Bronzolo</t>
  </si>
  <si>
    <t>Comune di Brunate</t>
  </si>
  <si>
    <t>COMUNE DI BRUNELLO</t>
  </si>
  <si>
    <t>COMUNE DI BRUSIMPIANO</t>
  </si>
  <si>
    <t>Comune di Buccheri</t>
  </si>
  <si>
    <t>Comune di Buguggiate</t>
  </si>
  <si>
    <t>COMUNE DI BULTEI</t>
  </si>
  <si>
    <t>COMUNE DI BUROLO</t>
  </si>
  <si>
    <t>Comune di Buscemi</t>
  </si>
  <si>
    <t>Comune di Bussi sul Tirino</t>
  </si>
  <si>
    <t>Comune di Cadegliano Viconago</t>
  </si>
  <si>
    <t>COMUNE DI CADERZONE TERME</t>
  </si>
  <si>
    <t>COMUNE DI CALANNA</t>
  </si>
  <si>
    <t>COMUNE DI CALCERANICA AL LAGO</t>
  </si>
  <si>
    <t>COMUNE DI CALDES</t>
  </si>
  <si>
    <t>COMUNE DI CALDONAZZO</t>
  </si>
  <si>
    <t>COMUNE DI CALVI RISORTA</t>
  </si>
  <si>
    <t>comune di campagna</t>
  </si>
  <si>
    <t>COMUNE DI CAMPANA</t>
  </si>
  <si>
    <t>COMUNE DI CAMPITELLO DI FASSA</t>
  </si>
  <si>
    <t>COMUNE DI CAMPO CALABRO</t>
  </si>
  <si>
    <t>COMUNE DI CAMPO TURES</t>
  </si>
  <si>
    <t>COMUNE DI CAMPOCHIARO</t>
  </si>
  <si>
    <t>COMUNE DI CAMPODENNO</t>
  </si>
  <si>
    <t>COMUNE DI CAMPODIPIETRA</t>
  </si>
  <si>
    <t>COMUNE DI CAMPOLI DEL MONTE TABURNO</t>
  </si>
  <si>
    <t>COMUNE DI CAMPOMARINO</t>
  </si>
  <si>
    <t>COMUNE DI CANAL SAN BOVO</t>
  </si>
  <si>
    <t>COMUNE DI CANAZEI</t>
  </si>
  <si>
    <t>comune di canicattini bagni</t>
  </si>
  <si>
    <t>Comune di Canistro</t>
  </si>
  <si>
    <t>COMUNE DI CANTALUPO NEL SANNIO</t>
  </si>
  <si>
    <t>comune di Capitignano</t>
  </si>
  <si>
    <t>COMUNE DI CAPO DI PONTE</t>
  </si>
  <si>
    <t>Comune di Caposele</t>
  </si>
  <si>
    <t>Comune di Capracotta</t>
  </si>
  <si>
    <t>COMUNE DI CAPRAROLA</t>
  </si>
  <si>
    <t>COMUNE DI CAPRI LEONE</t>
  </si>
  <si>
    <t>COMUNE DI CAPRIANA</t>
  </si>
  <si>
    <t>COMUNE DI CAPRIGLIA IRPINA</t>
  </si>
  <si>
    <t>COMUNE DI CARAVATE</t>
  </si>
  <si>
    <t>comune di caravonica</t>
  </si>
  <si>
    <t>COMUNE DI CARDITO</t>
  </si>
  <si>
    <t>COMUNE DI CARIFE</t>
  </si>
  <si>
    <t>COMUNE DI CARISOLO</t>
  </si>
  <si>
    <t>Comune di Carlentini</t>
  </si>
  <si>
    <t>Comune di Carovilli</t>
  </si>
  <si>
    <t>COMUNE DI CARPINONE</t>
  </si>
  <si>
    <t>COMUNE DI CARRODANO</t>
  </si>
  <si>
    <t>COMUNE DI CARUGO</t>
  </si>
  <si>
    <t>COMUNE DI CARZANO</t>
  </si>
  <si>
    <t>Comune di Casalbore</t>
  </si>
  <si>
    <t>Comune di Casalbuono</t>
  </si>
  <si>
    <t>comune di casalduni</t>
  </si>
  <si>
    <t>COMUNE DI CASALZUIGNO</t>
  </si>
  <si>
    <t>COMUNE DI CASCIAGO</t>
  </si>
  <si>
    <t>COMUNE DI CASORATE SEMPIONE</t>
  </si>
  <si>
    <t>Comune di Cassano Valcuvia</t>
  </si>
  <si>
    <t>Comune di Cassaro</t>
  </si>
  <si>
    <t>COMUNE DI CASTEL CONDINO</t>
  </si>
  <si>
    <t>COMUNE DI CASTEL DEL MONTE</t>
  </si>
  <si>
    <t>COMUNE DI CASTEL DI LUCIO</t>
  </si>
  <si>
    <t>COMUNE DI CASTEL MORRONE</t>
  </si>
  <si>
    <t>comune di castel vittorio</t>
  </si>
  <si>
    <t>COMUNE DI CASTELBELLO-CIARDES</t>
  </si>
  <si>
    <t>COMUNE DI CASTELBOTTACCIO</t>
  </si>
  <si>
    <t>Comune di Castelbuono</t>
  </si>
  <si>
    <t>COMUNE DI CASTELDELFINO</t>
  </si>
  <si>
    <t>COMUNE DI CASTELFRANCO IN MISCANO</t>
  </si>
  <si>
    <t>COMUNE DI CASTELLINO DEL BIFERNO</t>
  </si>
  <si>
    <t>COMUNE DI CASTELLO CABIAGLIO</t>
  </si>
  <si>
    <t>Comune di Castello di Annone</t>
  </si>
  <si>
    <t>COMUNE DI CASTELLO TESINO</t>
  </si>
  <si>
    <t>Comune di Castell'Umberto</t>
  </si>
  <si>
    <t>COMUNE DI CASTELMAURO</t>
  </si>
  <si>
    <t>COMUNE DI CASTELNUOVO</t>
  </si>
  <si>
    <t>COMUNE DI CASTELNUOVO DI CEVA</t>
  </si>
  <si>
    <t>COMUNE DI CASTELPETROSO</t>
  </si>
  <si>
    <t>COMUNE DI CASTELPIZZUTO</t>
  </si>
  <si>
    <t>Comune di Castelrotto</t>
  </si>
  <si>
    <t>COMUNE DI CASTELVECCANA</t>
  </si>
  <si>
    <t>COMUNE DI CASTELVERRINO</t>
  </si>
  <si>
    <t>COMUNE DI CASTELVETERE IN VAL FORTORE</t>
  </si>
  <si>
    <t>COMUNE DI CASTELVETERE SUL CALORE</t>
  </si>
  <si>
    <t>COMUNE DI CASTIGLIONE DI SICILIA</t>
  </si>
  <si>
    <t>COMUNE DI CASTIGLIONE OLONA</t>
  </si>
  <si>
    <t>COMUNE DI CASTRONNO</t>
  </si>
  <si>
    <t>COMUNE DI CASTROPIGNANO</t>
  </si>
  <si>
    <t>Comune di Castroreale</t>
  </si>
  <si>
    <t>comune di catanzaro</t>
  </si>
  <si>
    <t>COMUNE DI CAVARENO</t>
  </si>
  <si>
    <t>Comune di Cavaria con Premezzo</t>
  </si>
  <si>
    <t>COMUNE DI CAVEDAGO</t>
  </si>
  <si>
    <t>COMUNE DI CAVEDINE</t>
  </si>
  <si>
    <t>COMUNE DI CAVIZZANA</t>
  </si>
  <si>
    <t>COMUNE DI CAZZAGO BRABBIA</t>
  </si>
  <si>
    <t>comune di cerano d'intelvi</t>
  </si>
  <si>
    <t>COMUNE DI CERCEPICCOLA</t>
  </si>
  <si>
    <t>Comune di Cerva</t>
  </si>
  <si>
    <t>Comune di Cerveno</t>
  </si>
  <si>
    <t>Comune di Cesio</t>
  </si>
  <si>
    <t>COMUNE DI CEVO</t>
  </si>
  <si>
    <t>COMUNE DI CHALLAND SAINT ANSELME</t>
  </si>
  <si>
    <t>COMUNE DI CHAMPDEPRAZ</t>
  </si>
  <si>
    <t>COMUNE DI CHIANCHE</t>
  </si>
  <si>
    <t>COMUNE DI CHIAUCI</t>
  </si>
  <si>
    <t>Comune di Chienes</t>
  </si>
  <si>
    <t>Comune di Chiusa</t>
  </si>
  <si>
    <t>COMUNE DI CHIUSANO DI SAN DOMENICO</t>
  </si>
  <si>
    <t>Comune di Cicala</t>
  </si>
  <si>
    <t>COMUNE DI CIMBERGO</t>
  </si>
  <si>
    <t>COMUNE DI CIMONE</t>
  </si>
  <si>
    <t>COMUNE DI CINTE TESINO</t>
  </si>
  <si>
    <t>comune di circello</t>
  </si>
  <si>
    <t>COMUNE DI CISLAGO</t>
  </si>
  <si>
    <t>COMUNE DI CIVIASCO</t>
  </si>
  <si>
    <t>COMUNE DI CIVIDATE CAMUNO</t>
  </si>
  <si>
    <t>COMUNE DI CIVITANOVA DEL SANNIO</t>
  </si>
  <si>
    <t>Comune di Civitavecchia</t>
  </si>
  <si>
    <t>COMUNE DI COCQUIO-TREVISAGO</t>
  </si>
  <si>
    <t>COMUNE DI COLLE D'ANCHISE</t>
  </si>
  <si>
    <t>COMUNE DI COLLE DI TORA</t>
  </si>
  <si>
    <t>COMUNE DI COLLEDIMEZZO</t>
  </si>
  <si>
    <t>COMUNE DI COLOSIMI</t>
  </si>
  <si>
    <t>COMUNE DI COMANO TERME</t>
  </si>
  <si>
    <t>Comune di Comerio</t>
  </si>
  <si>
    <t>COMUNE DI COMMEZZADURA</t>
  </si>
  <si>
    <t>COMUNE DI COMO</t>
  </si>
  <si>
    <t>COMUNE DI CONCERVIANO</t>
  </si>
  <si>
    <t>COMUNE DI CONTURSI TERME</t>
  </si>
  <si>
    <t>Comune di Conza della Campania</t>
  </si>
  <si>
    <t>comune di corleto monforte</t>
  </si>
  <si>
    <t>Comune di Cornedo all'Isarco</t>
  </si>
  <si>
    <t>COMUNE DI CORRIDO</t>
  </si>
  <si>
    <t>Comune di Cortina sulla strada del vino</t>
  </si>
  <si>
    <t>Comune di Corvara in Badia</t>
  </si>
  <si>
    <t>Comune di Cosio d'Arroscia</t>
  </si>
  <si>
    <t>COMUNE DI CROVIANA</t>
  </si>
  <si>
    <t>COMUNE DI CUGLIATE FABIASCO</t>
  </si>
  <si>
    <t>COMUNE DI CUSIO</t>
  </si>
  <si>
    <t>COMUNE DI CUVIO</t>
  </si>
  <si>
    <t>Comune di Dambel</t>
  </si>
  <si>
    <t>COMUNE DI DARFO BOARIO TERME</t>
  </si>
  <si>
    <t>COMUNE DI DAVERIO</t>
  </si>
  <si>
    <t>Comune di Davoli</t>
  </si>
  <si>
    <t>COMUNE DI DENNO</t>
  </si>
  <si>
    <t>COMUNE DI DOBBIACO</t>
  </si>
  <si>
    <t>COMUNE DI DOMASO</t>
  </si>
  <si>
    <t>COMUNE DI DONGO</t>
  </si>
  <si>
    <t>COMUNE DI DOUES</t>
  </si>
  <si>
    <t>comune di Drena</t>
  </si>
  <si>
    <t>COMUNE DI DRO</t>
  </si>
  <si>
    <t>COMUNE DI DUGENTA</t>
  </si>
  <si>
    <t>COMUNE DI DURONIA</t>
  </si>
  <si>
    <t>COMUNE DI EGNA</t>
  </si>
  <si>
    <t>COMUNE DI EMARESE</t>
  </si>
  <si>
    <t>COMUNE DI ESINE</t>
  </si>
  <si>
    <t>COMUNE DI ESPORLATU</t>
  </si>
  <si>
    <t>Comune di Etroubles</t>
  </si>
  <si>
    <t>COMUNE DI FABRICA DI ROMA</t>
  </si>
  <si>
    <t>COMUNE DI FAI DELLA PAGANELLA</t>
  </si>
  <si>
    <t>COMUNE DI FALLO</t>
  </si>
  <si>
    <t>COMUNE DI FALOPPIO</t>
  </si>
  <si>
    <t>Comune di Falzes</t>
  </si>
  <si>
    <t>Comune di Fenestrelle</t>
  </si>
  <si>
    <t>Comune di Ferla</t>
  </si>
  <si>
    <t>COMUNE DI FERNO</t>
  </si>
  <si>
    <t>COMUNE DI FERRAZZANO</t>
  </si>
  <si>
    <t>COMUNE DI FERRERA DI VARESE</t>
  </si>
  <si>
    <t>COMUNE DI FIASTRA</t>
  </si>
  <si>
    <t>COMUNE DI FIAVE'</t>
  </si>
  <si>
    <t>Comune di Fié allo Sciliar</t>
  </si>
  <si>
    <t>COMUNE DI FIEROZZO / GAMOA' VA VLAROTZ</t>
  </si>
  <si>
    <t>COMUNE DI FIGINO SERENZA</t>
  </si>
  <si>
    <t>Comune di Filadelfia</t>
  </si>
  <si>
    <t>COMUNE DI FILIGNANO</t>
  </si>
  <si>
    <t>COMUNE DI FIUMEDINISI</t>
  </si>
  <si>
    <t>COMUNE DI FLORIDIA</t>
  </si>
  <si>
    <t>COMUNE DI FLUMINIMAGGIORE</t>
  </si>
  <si>
    <t>COMUNE DI FOLGARIA</t>
  </si>
  <si>
    <t>COMUNE DI FONTANAROSA</t>
  </si>
  <si>
    <t>COMUNE DI FORINO</t>
  </si>
  <si>
    <t>COMUNE DI FORNELLI</t>
  </si>
  <si>
    <t>Comune di Fortezza</t>
  </si>
  <si>
    <t>COMUNE DI FOSSALTO</t>
  </si>
  <si>
    <t>COMUNE DI FRANCAVILLA DI SICILIA</t>
  </si>
  <si>
    <t>comune di Francica</t>
  </si>
  <si>
    <t>comune di frassilongo</t>
  </si>
  <si>
    <t>COMUNE DI FROSOLONE</t>
  </si>
  <si>
    <t>COMUNE DI GAIS</t>
  </si>
  <si>
    <t>COMUNE DI GANGI</t>
  </si>
  <si>
    <t>Comune di Gargazzone</t>
  </si>
  <si>
    <t>COMUNE DI GAVIRATE</t>
  </si>
  <si>
    <t>COMUNE DI GAZZADA SCHIANNO</t>
  </si>
  <si>
    <t>COMUNE DI GEMONIO</t>
  </si>
  <si>
    <t>COMUNE DI GERA LARIO</t>
  </si>
  <si>
    <t>Comune di Germignaga</t>
  </si>
  <si>
    <t>COMUNE DI GIANICO</t>
  </si>
  <si>
    <t>COMUNE DI GIARRATANA</t>
  </si>
  <si>
    <t>comune di giffoni valle piana</t>
  </si>
  <si>
    <t>COMUNE DI GIGNOD</t>
  </si>
  <si>
    <t>COMUNE DI GILDONE</t>
  </si>
  <si>
    <t>COMUNE DI GIOVO</t>
  </si>
  <si>
    <t>COMUNE DI GIUGLIANO IN CAMPANIA</t>
  </si>
  <si>
    <t>COMUNE DI GIUSTINO</t>
  </si>
  <si>
    <t>COMUNE DI GORNATE OLONA</t>
  </si>
  <si>
    <t>comune di gottasecca</t>
  </si>
  <si>
    <t>Comune di Grandate</t>
  </si>
  <si>
    <t>Comune di Grandola ed Uniti</t>
  </si>
  <si>
    <t>Comune di Gratteri</t>
  </si>
  <si>
    <t>COMUNE DI GRESSONEY-LA-TRINITE'</t>
  </si>
  <si>
    <t>COMUNE DI GROTTOLELLA</t>
  </si>
  <si>
    <t>COMUNE DI GUARDIA SANFRAMONDI</t>
  </si>
  <si>
    <t>COMUNE DI GURRO</t>
  </si>
  <si>
    <t>COMUNE DI IMER</t>
  </si>
  <si>
    <t>Comune di Incudine</t>
  </si>
  <si>
    <t>COMUNE DI INDUNO OLONA</t>
  </si>
  <si>
    <t>COMUNE DI INVERIGO</t>
  </si>
  <si>
    <t>COMUNE DI ISERA</t>
  </si>
  <si>
    <t>Comune di Isola di Fondra</t>
  </si>
  <si>
    <t>COMUNE DI ITALA</t>
  </si>
  <si>
    <t>COMUNE DI JELSI</t>
  </si>
  <si>
    <t>COMUNE DI LABICO</t>
  </si>
  <si>
    <t>Comune di Laives</t>
  </si>
  <si>
    <t>COMUNE DI LAMBRUGO</t>
  </si>
  <si>
    <t>Comune di Lampedusa e Linosa</t>
  </si>
  <si>
    <t>Comune di Lana</t>
  </si>
  <si>
    <t>COMUNE DI LAPPANO</t>
  </si>
  <si>
    <t>Comune di Lasa</t>
  </si>
  <si>
    <t>Comune di Lauregno</t>
  </si>
  <si>
    <t>Comune di Lauro</t>
  </si>
  <si>
    <t>COMUNE DI LAVARONE</t>
  </si>
  <si>
    <t>COMUNE DI LAVENO MOMBELLO</t>
  </si>
  <si>
    <t>Comune di Laviano</t>
  </si>
  <si>
    <t>COMUNE DI LEDRO</t>
  </si>
  <si>
    <t>COMUNE DI LENNA</t>
  </si>
  <si>
    <t>Comune di Lentini</t>
  </si>
  <si>
    <t>COMUNE DI LEQUIO BERRIA</t>
  </si>
  <si>
    <t>COMUNE DI LEZZENO</t>
  </si>
  <si>
    <t>COMUNE DI LIMATOLA</t>
  </si>
  <si>
    <t>COMUNE DI LIMOSANO</t>
  </si>
  <si>
    <t>COMUNE DI LIVO</t>
  </si>
  <si>
    <t>COMUNE DI LONA LASES</t>
  </si>
  <si>
    <t>COMUNE DI LUCINASCO</t>
  </si>
  <si>
    <t>COMUNE DI LUCITO</t>
  </si>
  <si>
    <t>comune di Luino</t>
  </si>
  <si>
    <t>COMUNE DI LUOGOSANO</t>
  </si>
  <si>
    <t>COMUNE DI LURAGO D'ERBA</t>
  </si>
  <si>
    <t>COMUNE DI LUSCIANO</t>
  </si>
  <si>
    <t>Comune di Macchia d'Isernia</t>
  </si>
  <si>
    <t>COMUNE DI MACCHIAGODENA</t>
  </si>
  <si>
    <t>COMUNE DI MAFALDA</t>
  </si>
  <si>
    <t>COMUNE DI MAGLIANO VETERE</t>
  </si>
  <si>
    <t>Comune di Magliolo</t>
  </si>
  <si>
    <t>Comune di Maissana</t>
  </si>
  <si>
    <t>COMUNE DI MALEGNO</t>
  </si>
  <si>
    <t>COMUNE DI MALETTO</t>
  </si>
  <si>
    <t>COMUNE DI MALLES VENOSTA</t>
  </si>
  <si>
    <t>Comune di Malnate</t>
  </si>
  <si>
    <t>COMUNE DI MANGONE</t>
  </si>
  <si>
    <t>COMUNE DI MARCETELLI</t>
  </si>
  <si>
    <t>COMUNE DI MARCHIROLO</t>
  </si>
  <si>
    <t>Comune di Marlengo</t>
  </si>
  <si>
    <t>COMUNE DI MARZI</t>
  </si>
  <si>
    <t>COMUNE DI MASCALI</t>
  </si>
  <si>
    <t>COMUNE DI MASCIAGO PRIMO</t>
  </si>
  <si>
    <t>Comune di Massimeno</t>
  </si>
  <si>
    <t>COMUNE DI MAZZIN</t>
  </si>
  <si>
    <t>COMUNE DI MELILLI</t>
  </si>
  <si>
    <t>Comune di Melito di Porto Salvo</t>
  </si>
  <si>
    <t>Comune di Meltina</t>
  </si>
  <si>
    <t>COMUNE DI MENFI</t>
  </si>
  <si>
    <t>COMUNE DI MERONE</t>
  </si>
  <si>
    <t>Comune di Mesenzana</t>
  </si>
  <si>
    <t>COMUNE DI MEZZANA</t>
  </si>
  <si>
    <t>COMUNE DI MEZZANO</t>
  </si>
  <si>
    <t>COMUNE DI MILLESIMO</t>
  </si>
  <si>
    <t>comune di mirabella imbaccari</t>
  </si>
  <si>
    <t>COMUNE DI MIRANDA</t>
  </si>
  <si>
    <t>COMUNE DI MISTERBIANCO</t>
  </si>
  <si>
    <t>COMUNE DI MODOLO</t>
  </si>
  <si>
    <t>COMUNE DI MOENA</t>
  </si>
  <si>
    <t>COMUNE DI MOIANO</t>
  </si>
  <si>
    <t>Comune di Molini di Triora</t>
  </si>
  <si>
    <t>COMUNE DI MOLISE</t>
  </si>
  <si>
    <t>COMUNE DI MONNO</t>
  </si>
  <si>
    <t>COMUNE DI MONTAGANO</t>
  </si>
  <si>
    <t>Comune di Montano lucino</t>
  </si>
  <si>
    <t>Comune di Monte di Procida</t>
  </si>
  <si>
    <t>Comune di Monte San Giacomo</t>
  </si>
  <si>
    <t>COMUNE DI MONTEFALCIONE</t>
  </si>
  <si>
    <t>Comune di Montefalcone di Val Fortore</t>
  </si>
  <si>
    <t>COMUNE DI MONTEFALCONE NEL SANNIO</t>
  </si>
  <si>
    <t>COMUNE DI MONTEFERRANTE</t>
  </si>
  <si>
    <t>COMUNE DI MONTEFORTE CILENTO</t>
  </si>
  <si>
    <t>Comune di Montegrino Valtravaglia</t>
  </si>
  <si>
    <t>COMUNE DI MONTEGROSSO PIAN LATTE</t>
  </si>
  <si>
    <t>COMUNE DI MONTELONGO</t>
  </si>
  <si>
    <t>COMUNE DI MONTEMARANO</t>
  </si>
  <si>
    <t>COMUNE DI MONTEMITRO</t>
  </si>
  <si>
    <t>COMUNE DI MONTENERO DI BISACCIA</t>
  </si>
  <si>
    <t>COMUNE DI MONTENERO VAL COCCHIARA</t>
  </si>
  <si>
    <t>comune di monteroduni</t>
  </si>
  <si>
    <t>comune di montesano sulla marcellana</t>
  </si>
  <si>
    <t>COMUNE DI MONTORIO NEI FRENTANI</t>
  </si>
  <si>
    <t>Comune di Morano Calabro</t>
  </si>
  <si>
    <t>COMUNE DI MORAZZONE</t>
  </si>
  <si>
    <t>COMUNE DI MORNAGO</t>
  </si>
  <si>
    <t>COMUNE DI MOTTA MONTECORVINO</t>
  </si>
  <si>
    <t>COMUNE DI MURIALDO</t>
  </si>
  <si>
    <t>Comune di Nalles</t>
  </si>
  <si>
    <t>COMUNE DI NATURNO</t>
  </si>
  <si>
    <t>COMUNE DI NIARDO</t>
  </si>
  <si>
    <t>COMUNE DI NOGAREDO</t>
  </si>
  <si>
    <t>comune di nuxis</t>
  </si>
  <si>
    <t>COMUNE DI OGGIONA CON SANTO STEFANO</t>
  </si>
  <si>
    <t>Comune di OGLIASTRO Cilento</t>
  </si>
  <si>
    <t>Comune di Oliveto Citra</t>
  </si>
  <si>
    <t>comune di ollomont</t>
  </si>
  <si>
    <t>COMUNE DI OLZAI</t>
  </si>
  <si>
    <t>COMUNE DI ONO SAN PIETRO</t>
  </si>
  <si>
    <t>Comune di Ora</t>
  </si>
  <si>
    <t>COMUNE DI ORATINO</t>
  </si>
  <si>
    <t>COMUNE DI ORINO</t>
  </si>
  <si>
    <t>Comune di Ortisei</t>
  </si>
  <si>
    <t>COMUNE DI ORVINIO</t>
  </si>
  <si>
    <t>COMUNE DI OSPEDALETTO</t>
  </si>
  <si>
    <t>Comune di Oyace</t>
  </si>
  <si>
    <t>COMUNE DI PACENTRO</t>
  </si>
  <si>
    <t>COMUNE DI PACHINO</t>
  </si>
  <si>
    <t>comune di padula</t>
  </si>
  <si>
    <t>COMUNE DI PALAGONIA</t>
  </si>
  <si>
    <t>COMUNE DI PALAZZO CANAVESE</t>
  </si>
  <si>
    <t>COMUNE DI PALAZZOLO ACREIDE</t>
  </si>
  <si>
    <t>COMUNE DI PALLARE</t>
  </si>
  <si>
    <t>COMUNE DI PALU' DEL FERSINA</t>
  </si>
  <si>
    <t>COMUNE DI PANCHIA'</t>
  </si>
  <si>
    <t>comune di pantelleria</t>
  </si>
  <si>
    <t>COMUNE DI PAOLISI</t>
  </si>
  <si>
    <t>COMUNE DI PASPARDO</t>
  </si>
  <si>
    <t>COMUNE DI PAULILATINO</t>
  </si>
  <si>
    <t>Comune di Peglio</t>
  </si>
  <si>
    <t>COMUNE DI PEIO</t>
  </si>
  <si>
    <t>COMUNE DI PELLIZZANO</t>
  </si>
  <si>
    <t>COMUNE DI PERCA</t>
  </si>
  <si>
    <t>COMUNE DI PERFUGAS</t>
  </si>
  <si>
    <t>COMUNE DI PERRERO</t>
  </si>
  <si>
    <t>COMUNE DI PESCHE</t>
  </si>
  <si>
    <t>COMUNE DI PETACCIATO</t>
  </si>
  <si>
    <t>COMUNE DI PETINA</t>
  </si>
  <si>
    <t>COMUNE DI PETRURO IRPINO</t>
  </si>
  <si>
    <t>COMUNE DI PIAGGINE</t>
  </si>
  <si>
    <t>COMUNE DI PIAN CAMUNO</t>
  </si>
  <si>
    <t>COMUNE DI PIANCOGNO</t>
  </si>
  <si>
    <t>COMUNE DI PIANELLO DEL LARIO</t>
  </si>
  <si>
    <t>COMUNE DI PIETRABRUNA</t>
  </si>
  <si>
    <t>COMUNE DI PIETRACATELLA</t>
  </si>
  <si>
    <t>COMUNE DI PIETRADEFUSI</t>
  </si>
  <si>
    <t>COMUNE DI PIETRAMELARA</t>
  </si>
  <si>
    <t>COMUNE DI PIETRAROJA</t>
  </si>
  <si>
    <t>COMUNE DI PIETRARUBBIA</t>
  </si>
  <si>
    <t>COMUNE DI PIEVE DI TECO</t>
  </si>
  <si>
    <t>COMUNE DI PIEVE TESINO</t>
  </si>
  <si>
    <t>COMUNE DI PIGNA</t>
  </si>
  <si>
    <t>COMUNE DI PINZOLO</t>
  </si>
  <si>
    <t>COMUNE DI PIZZONE</t>
  </si>
  <si>
    <t>Comune di Plaus</t>
  </si>
  <si>
    <t>COMUNE DI POGGIO SAN VICINO</t>
  </si>
  <si>
    <t>COMUNE DI POGGIO SANNITA</t>
  </si>
  <si>
    <t>COMUNE DI POGNANA LARIO</t>
  </si>
  <si>
    <t>COMUNE DI POMAROLO</t>
  </si>
  <si>
    <t>COMUNE DI POMPEIANA</t>
  </si>
  <si>
    <t>COMUNE DI PONNA</t>
  </si>
  <si>
    <t>COMUNE DI PONTELANDOLFO</t>
  </si>
  <si>
    <t>Comune di Portopalo di Capo Passero</t>
  </si>
  <si>
    <t>COMUNE DI POSTIGLIONE</t>
  </si>
  <si>
    <t>COMUNE DI POZZAGLIA SABINA</t>
  </si>
  <si>
    <t>Comune di Pozzuoli</t>
  </si>
  <si>
    <t>Comune di Praia a Mare</t>
  </si>
  <si>
    <t>Comune di Prali</t>
  </si>
  <si>
    <t>COMUNE DI PRATA DI PRINCIPATO ULTRA</t>
  </si>
  <si>
    <t>COMUNE DI PRATO ALLO STELVIO</t>
  </si>
  <si>
    <t>Comune di Predoi</t>
  </si>
  <si>
    <t>Comune di Prelà</t>
  </si>
  <si>
    <t>COMUNE DI PRIERO</t>
  </si>
  <si>
    <t>comune di priolo gargallo</t>
  </si>
  <si>
    <t>Comune di Proves</t>
  </si>
  <si>
    <t>COMUNE DI PROVVIDENTI</t>
  </si>
  <si>
    <t>COMUNE DI PUGLIANELLO</t>
  </si>
  <si>
    <t>COMUNE DI QUADRELLE</t>
  </si>
  <si>
    <t>comune di quarto</t>
  </si>
  <si>
    <t>COMUNE DI RABBI</t>
  </si>
  <si>
    <t>Comune di Racines</t>
  </si>
  <si>
    <t>COMUNE DI RAGUSA</t>
  </si>
  <si>
    <t>COMUNE DI RANCIO VALCUVIA</t>
  </si>
  <si>
    <t>COMUNE DI RANDAZZO</t>
  </si>
  <si>
    <t>COMUNE DI RANZO</t>
  </si>
  <si>
    <t>comune di Rasun-Anterselva</t>
  </si>
  <si>
    <t>COMUNE DI RECALE</t>
  </si>
  <si>
    <t>COMUNE DI REINO</t>
  </si>
  <si>
    <t>Comune di Renon</t>
  </si>
  <si>
    <t>COMUNE DI REZZO</t>
  </si>
  <si>
    <t>COMUNE DI RIGNANO FLAMINIO</t>
  </si>
  <si>
    <t>Comune di Rio di Pusteria</t>
  </si>
  <si>
    <t>COMUNE DI ROCCA PIA</t>
  </si>
  <si>
    <t>Comune di Roccabascerana</t>
  </si>
  <si>
    <t>comune di roccagloriosa</t>
  </si>
  <si>
    <t>comune di Roccasicura</t>
  </si>
  <si>
    <t>COMUNE DI ROCCELLA VALDEMONE</t>
  </si>
  <si>
    <t>COMUNE DI ROCCHETTA BELBO</t>
  </si>
  <si>
    <t>Comune di Rocchetta e Croce</t>
  </si>
  <si>
    <t>COMUNE DI ROCCHETTA NERVINA</t>
  </si>
  <si>
    <t>Comune di Rodello</t>
  </si>
  <si>
    <t>Comune di Rodengo</t>
  </si>
  <si>
    <t>Comune di Rodero</t>
  </si>
  <si>
    <t>Comune di Rofrano</t>
  </si>
  <si>
    <t>COMUNE DI ROISAN</t>
  </si>
  <si>
    <t>COMUNE DI ROMAGNANO AL MONTE</t>
  </si>
  <si>
    <t>COMUNE DI RONCEGNO TERME</t>
  </si>
  <si>
    <t>Comune di Ronchi Valsugana</t>
  </si>
  <si>
    <t>COMUNE DI RONCIGLIONE</t>
  </si>
  <si>
    <t>COMUNE DI RONZO-CHIENIS</t>
  </si>
  <si>
    <t>COMUNE DI RONZONE</t>
  </si>
  <si>
    <t>COMUNE DI ROSETO VALFORTORE</t>
  </si>
  <si>
    <t>COMUNE DI ROTELLO</t>
  </si>
  <si>
    <t>COMUNE DI ROURE</t>
  </si>
  <si>
    <t>COMUNE DI RUFFRE' MENDOLA</t>
  </si>
  <si>
    <t>COMUNE DI RUMO</t>
  </si>
  <si>
    <t>COMUNE DI SAINT-NICOLAS</t>
  </si>
  <si>
    <t>COMUNE DI SAINT-OYEN</t>
  </si>
  <si>
    <t>COMUNE DI SAINT-RHEMY-EN-BOSSES</t>
  </si>
  <si>
    <t>COMUNE DI SALCITO</t>
  </si>
  <si>
    <t>Comune di Salza di Pinerolo</t>
  </si>
  <si>
    <t>COMUNE DI SAMONE</t>
  </si>
  <si>
    <t>COMUNE DI SAN BIASE</t>
  </si>
  <si>
    <t>COMUNE DI SAN CANDIDO</t>
  </si>
  <si>
    <t>Comune di San Felice del Molise</t>
  </si>
  <si>
    <t>COMUNE DI SAN FERMO DELLA BATTAGLIA</t>
  </si>
  <si>
    <t>COMUNE DI SAN FILIPPO DEL MELA</t>
  </si>
  <si>
    <t>Comune di San Giorgio del Sannio</t>
  </si>
  <si>
    <t>Comune di San Giovanni in Galdo</t>
  </si>
  <si>
    <t>COMUNE DI SAN GIULIANO DEL SANNIO</t>
  </si>
  <si>
    <t>COMUNE DI SAN GIULIANO DI PUGLIA</t>
  </si>
  <si>
    <t>COMUNE DI SAN GREGORIO MAGNO</t>
  </si>
  <si>
    <t>COMUNE DI SAN LORENZELLO</t>
  </si>
  <si>
    <t>COMUNE DI SAN LORENZO DI SEBATO</t>
  </si>
  <si>
    <t>Comune di San Martino in Badia</t>
  </si>
  <si>
    <t>Comune di SAN MARTINO IN PENSILIS</t>
  </si>
  <si>
    <t>COMUNE DI SAN MASSIMO</t>
  </si>
  <si>
    <t>Comune di San Nicolò di Comelico</t>
  </si>
  <si>
    <t>Comune di San Pancrazio</t>
  </si>
  <si>
    <t>Comune di San Piero Patti</t>
  </si>
  <si>
    <t>comune di san pietro al tanagro</t>
  </si>
  <si>
    <t>COMUNE DI SAN POLO MATESE</t>
  </si>
  <si>
    <t>Comune di San Roberto</t>
  </si>
  <si>
    <t>COMUNE DI SAN SALVATORE TELESINO</t>
  </si>
  <si>
    <t>Comune di San Vito sullo Ionio</t>
  </si>
  <si>
    <t>COMUNE DI SANGIANO</t>
  </si>
  <si>
    <t>COMUNE DI SANTA BRIGIDA</t>
  </si>
  <si>
    <t>Comune di Santa Caterina dello Ionio</t>
  </si>
  <si>
    <t>Comune di Santa Cristina Val Gardena</t>
  </si>
  <si>
    <t>Comune di Santa Domenica Vittoria</t>
  </si>
  <si>
    <t>COMUNE DI SANTA LUCIA DEL MELA</t>
  </si>
  <si>
    <t>COMUNE DI SANTA MARGHERITA DI BELICE</t>
  </si>
  <si>
    <t>COMUNE DI SANT'AGAPITO</t>
  </si>
  <si>
    <t>COMUNE DI SANT'ANGELO A CUPOLO</t>
  </si>
  <si>
    <t>comune di SANT'ANGELO A SCALA</t>
  </si>
  <si>
    <t>COMUNE DI SANT'ANGELO DEI LOMBARDI</t>
  </si>
  <si>
    <t>COMUNE DI SANT'ANGELO LIMOSANO</t>
  </si>
  <si>
    <t>COMUNE DI SANT'ELENA SANNITA</t>
  </si>
  <si>
    <t>Comune di Sant'Elia a Pianisi</t>
  </si>
  <si>
    <t>COMUNE DI SANT'ORSOLA TERME</t>
  </si>
  <si>
    <t>COMUNE DI SANTU LUSSURGIU</t>
  </si>
  <si>
    <t>COMUNE DI SANZENO</t>
  </si>
  <si>
    <t>COMUNE DI SARENTINO</t>
  </si>
  <si>
    <t>COMUNE DI SARNONICO</t>
  </si>
  <si>
    <t>COMUNE DI SASSINORO</t>
  </si>
  <si>
    <t>COMUNE DI SAVIGNANO IRPINO</t>
  </si>
  <si>
    <t>COMUNE DI SAVIORE DELL'ADAMELLO</t>
  </si>
  <si>
    <t>COMUNE DI SCALETTA ZANCLEA</t>
  </si>
  <si>
    <t>Comune di Scena</t>
  </si>
  <si>
    <t>COMUNE DI SCILLATO</t>
  </si>
  <si>
    <t>comune di scontrone</t>
  </si>
  <si>
    <t>COMUNE DI SCURELLE</t>
  </si>
  <si>
    <t>COMUNE DI SEGONZANO</t>
  </si>
  <si>
    <t>COMUNE DI SELVA DEI MOLINI</t>
  </si>
  <si>
    <t>Comune di Selva di Val Gardena</t>
  </si>
  <si>
    <t>Comune di Senale - San Felice</t>
  </si>
  <si>
    <t>COMUNE DI SENALES</t>
  </si>
  <si>
    <t>COMUNE DI SEPINO</t>
  </si>
  <si>
    <t>Comune di Serino</t>
  </si>
  <si>
    <t>COMUNE DI SERRAMANNA</t>
  </si>
  <si>
    <t>Comune di Sersale</t>
  </si>
  <si>
    <t>Comune di Sessa Aurunca</t>
  </si>
  <si>
    <t>COMUNE DI SESSANO DEL MOLISE</t>
  </si>
  <si>
    <t>COMUNE DI SEUI</t>
  </si>
  <si>
    <t>COMUNE DI SFRUZ</t>
  </si>
  <si>
    <t>Comune di Silandro</t>
  </si>
  <si>
    <t>Comune di Simeri Crichi</t>
  </si>
  <si>
    <t>COMUNE DI SLUDERNO</t>
  </si>
  <si>
    <t>comune di solbiate arno</t>
  </si>
  <si>
    <t>Comune di Sortino</t>
  </si>
  <si>
    <t>COMUNE DI SPIAZZO</t>
  </si>
  <si>
    <t>COMUNE DI SPINETE</t>
  </si>
  <si>
    <t>COMUNE DI SPORMAGGIORE</t>
  </si>
  <si>
    <t>COMUNE DI STAZZONA</t>
  </si>
  <si>
    <t>Comune di Stelvio</t>
  </si>
  <si>
    <t>COMUNE DI STENICO</t>
  </si>
  <si>
    <t>COMUNE DI STORO</t>
  </si>
  <si>
    <t>COMUNE DI STRAMBINELLO</t>
  </si>
  <si>
    <t>Comune di Strembo</t>
  </si>
  <si>
    <t>Comune di Sumirago</t>
  </si>
  <si>
    <t>COMUNE DI TAINO</t>
  </si>
  <si>
    <t>Comune di Taurasi</t>
  </si>
  <si>
    <t>COMUNE DI TAVENNA</t>
  </si>
  <si>
    <t>Comune di Teano</t>
  </si>
  <si>
    <t>COMUNE DI TELVE</t>
  </si>
  <si>
    <t>COMUNE DI TELVE DI SOPRA</t>
  </si>
  <si>
    <t>COMUNE DI TEMU'</t>
  </si>
  <si>
    <t>COMUNE DI TENNO</t>
  </si>
  <si>
    <t>Comune di Terento</t>
  </si>
  <si>
    <t>COMUNE DI TERMENO SULLA STRADA DEL VINO</t>
  </si>
  <si>
    <t>COMUNE DI TERRAGNOLO</t>
  </si>
  <si>
    <t>COMUNE DI TERTENIA</t>
  </si>
  <si>
    <t>Comune di Tesimo</t>
  </si>
  <si>
    <t>COMUNE DI TEULADA</t>
  </si>
  <si>
    <t>COMUNE DI TIROLO</t>
  </si>
  <si>
    <t>COMUNE DI TORCEGNO</t>
  </si>
  <si>
    <t>COMUNE DI TORCHIARA</t>
  </si>
  <si>
    <t>COMUNE DI TORELLA DEI LOMBARDI</t>
  </si>
  <si>
    <t>COMUNE DI TORELLA DEL SANNIO</t>
  </si>
  <si>
    <t>COMUNE DI TORO</t>
  </si>
  <si>
    <t>comune di torre bormida</t>
  </si>
  <si>
    <t>COMUNE DI TORRIONI</t>
  </si>
  <si>
    <t>COMUNE DI TRAMBILENO</t>
  </si>
  <si>
    <t>COMUNE DI TRAPANI</t>
  </si>
  <si>
    <t>COMUNE DI TRASQUERA</t>
  </si>
  <si>
    <t>COMUNE DI TRAVEDONA MONATE</t>
  </si>
  <si>
    <t>Comune di Trevi nel Lazio</t>
  </si>
  <si>
    <t>COMUNE DI TRIORA</t>
  </si>
  <si>
    <t>COMUNE DI TRIPI</t>
  </si>
  <si>
    <t>COMUNE DI TRODENA NEL PARCO NATURALE</t>
  </si>
  <si>
    <t>COMUNE DI TROPEA</t>
  </si>
  <si>
    <t>COMUNE DI TUBRE</t>
  </si>
  <si>
    <t>COMUNE DI TURANIA</t>
  </si>
  <si>
    <t>COMUNE DI TURATE</t>
  </si>
  <si>
    <t>COMUNE DI TUSCANIA</t>
  </si>
  <si>
    <t>Comune di Ultimo</t>
  </si>
  <si>
    <t>COMUNE DI VADENA</t>
  </si>
  <si>
    <t>Comune di Val di Vizze</t>
  </si>
  <si>
    <t>Comune di Valdaora</t>
  </si>
  <si>
    <t>COMUNE DI VALFLORIANA</t>
  </si>
  <si>
    <t>COMUNE DI VALLEDOLMO</t>
  </si>
  <si>
    <t>COMUNE DI VALLEFIORITA</t>
  </si>
  <si>
    <t>comune di vallesaccarda</t>
  </si>
  <si>
    <t>COMUNE DI VALLO TORINESE</t>
  </si>
  <si>
    <t>COMUNE DI VALMOREA</t>
  </si>
  <si>
    <t>COMUNE DI VALPELLINE</t>
  </si>
  <si>
    <t>COMUNE DI VALTOURNENCHE</t>
  </si>
  <si>
    <t>COMUNE DI VANDOIES</t>
  </si>
  <si>
    <t>COMUNE DI VARANO BORGHI</t>
  </si>
  <si>
    <t>Comune di Varazze</t>
  </si>
  <si>
    <t>COMUNE DI VARESE</t>
  </si>
  <si>
    <t>COMUNE DI VARISELLA</t>
  </si>
  <si>
    <t>COMUNE DI VASIA</t>
  </si>
  <si>
    <t>COMUNE DI VEDANO OLONA</t>
  </si>
  <si>
    <t>COMUNE DI VENTICANO</t>
  </si>
  <si>
    <t>Comune di Verano</t>
  </si>
  <si>
    <t>COMUNE DI VERCANA</t>
  </si>
  <si>
    <t>COMUNE DI VERMIGLIO</t>
  </si>
  <si>
    <t>COMUNE DI VERRAYES</t>
  </si>
  <si>
    <t>COMUNE DI VEZZA D'OGLIO</t>
  </si>
  <si>
    <t>COMUNE DI VIGNOLA FALESINA</t>
  </si>
  <si>
    <t>COMUNE DI VILLA LAGARINA</t>
  </si>
  <si>
    <t>Comune di Villabassa</t>
  </si>
  <si>
    <t>Comune di Villafranca Tirrena</t>
  </si>
  <si>
    <t>COMUNE DI VILLAGRANDE STRISAILI</t>
  </si>
  <si>
    <t>COMUNE DI VIONE</t>
  </si>
  <si>
    <t>COMUNE DI VOLTAGGIO</t>
  </si>
  <si>
    <t>COMUNE DI VOLTURARA IRPINA</t>
  </si>
  <si>
    <t>COMUNE DI ZIANO DI FIEMME</t>
  </si>
  <si>
    <t>Comune di Zuccarello</t>
  </si>
  <si>
    <t>COMUNE NAGO-TORBOLE</t>
  </si>
  <si>
    <t>Comune San Martino in Passiria</t>
  </si>
  <si>
    <t>COMUNE SAN NAZZARO</t>
  </si>
  <si>
    <t>COMUNE VENEGONO INFERIORE</t>
  </si>
  <si>
    <t>COMUNI RIUNITI BELFORTE MONFERRATO SRL</t>
  </si>
  <si>
    <t>Comunità Comprensoriale Val Venosta</t>
  </si>
  <si>
    <t>Comunità Comprensoriale Valle Isarco</t>
  </si>
  <si>
    <t>Comunità comprensoriale Wipptal</t>
  </si>
  <si>
    <t>Consac Gestioni Idriche S.p.a.</t>
  </si>
  <si>
    <t>CONSORZIO ACQUEDOTTO MADONNA DELLA ROCCHETTA</t>
  </si>
  <si>
    <t>CONSORZIO DEI COMUNI PER L'ACQUEDOTTO DEL MONFERRATO</t>
  </si>
  <si>
    <t>CONSORZIO DI BONIFICA TERRE D'APULIA</t>
  </si>
  <si>
    <t>CONSORZIO INTERCOMUNALE SALVAGUARDIA AMBIENTALE</t>
  </si>
  <si>
    <t>CONSORZIO IRRIGUO E POTABILE DEI COMUNI DI CIPRESSA E COSTARAINERA</t>
  </si>
  <si>
    <t>Consorzio per acqua potabile</t>
  </si>
  <si>
    <t>CONSORZIO PER LA DEPURAZIONE DELLE ACQUE DI SCARICO DEL SAVONESE S.P.A.</t>
  </si>
  <si>
    <t>CONSORZIO PER LO SVILUPPO IND.LE DELLA VALLE DEL BIFERNO</t>
  </si>
  <si>
    <t>COOPERATIVA ACQUA POTABILE SAN MICHELE-APPIANO</t>
  </si>
  <si>
    <t>COOPERATIVA PER L'ACQUA POTABILE DI SAN COSTANTINO DI FIE'</t>
  </si>
  <si>
    <t>CORDAR SPA BIELLA SERVIZI</t>
  </si>
  <si>
    <t>COSTRUZIONI DONDI</t>
  </si>
  <si>
    <t>DOMUS ACQUA SRL</t>
  </si>
  <si>
    <t>E.G.U.A. S.r.l.</t>
  </si>
  <si>
    <t>EMILIAMBIENTE</t>
  </si>
  <si>
    <t>Ente acque della Sardegna - Enas</t>
  </si>
  <si>
    <t>ETRA SPA</t>
  </si>
  <si>
    <t>FRATELLI  GRASSI  NICOTRA  ACQUE</t>
  </si>
  <si>
    <t>G.E.A.L. S.P.A. Gestione esercizio acquedotti Lucchesi</t>
  </si>
  <si>
    <t>GAIA SPA</t>
  </si>
  <si>
    <t>GANDOVERE DEPURAZIONE SRL</t>
  </si>
  <si>
    <t>GARAFFO  &amp; SCILIO S.P.A.</t>
  </si>
  <si>
    <t>GEMEINDE WELSCHNOFEN / COMUNE DI NOVA LEVANTE</t>
  </si>
  <si>
    <t>GESTIONE ACQUA SPA</t>
  </si>
  <si>
    <t>GESTIONE IMPIANTI DEPURAZIONE ACQUE SPA</t>
  </si>
  <si>
    <t>Gestione Servizi Sannio - GE.SE.SA.</t>
  </si>
  <si>
    <t>GRAN SASSO ACQUA S.P.A.</t>
  </si>
  <si>
    <t>HERA S.P.A.</t>
  </si>
  <si>
    <t>HydroGEA spa</t>
  </si>
  <si>
    <t>Idrablu</t>
  </si>
  <si>
    <t>IDRICA</t>
  </si>
  <si>
    <t>IDROAGRICOLA S.R.L</t>
  </si>
  <si>
    <t>ING. ANTONIO FIORE E C.</t>
  </si>
  <si>
    <t>IRETI S.p.A.</t>
  </si>
  <si>
    <t>IRISACQUA SRL</t>
  </si>
  <si>
    <t>Jonica Multiservizi S.p.A.</t>
  </si>
  <si>
    <t>LARIANA DEPUR</t>
  </si>
  <si>
    <t>Livenza Tagliamento Acque S.p.A.</t>
  </si>
  <si>
    <t>MACCARRONE MARIA</t>
  </si>
  <si>
    <t>Marche Multiservizi S.p.A.</t>
  </si>
  <si>
    <t>MEDIO CHIAMPO SPA</t>
  </si>
  <si>
    <t>MM S.P.A.</t>
  </si>
  <si>
    <t>MONTAGNA2000</t>
  </si>
  <si>
    <t>nuove acque spa</t>
  </si>
  <si>
    <t>Ottogas Srl</t>
  </si>
  <si>
    <t>PAVIA ACQUE S.C.A.R.L.</t>
  </si>
  <si>
    <t>Provincia Autonoma di Trento - Agenzia per la Depurazione - Servizio Gestione degli Impianti</t>
  </si>
  <si>
    <t>PUBLIACQUA</t>
  </si>
  <si>
    <t>REGIONE CAMPANIA</t>
  </si>
  <si>
    <t>Romagna Acque Società delle Fonti S.p.A.</t>
  </si>
  <si>
    <t>RUZZO RETI SPA</t>
  </si>
  <si>
    <t>S.A.S.I. S.p.A.</t>
  </si>
  <si>
    <t>S.EC.AM. S.P.A.</t>
  </si>
  <si>
    <t>S.ED.A. S.R.L. SOCIETA' EDUZIONE ACQUE</t>
  </si>
  <si>
    <t>S.I.I. S.P.A.SERVIZIO IDRICO INTEGRATO DEL BIELLESE E VERCELLESE</t>
  </si>
  <si>
    <t>S.I.S.  SOCIETA' IDROMINERALI  SICILIANA</t>
  </si>
  <si>
    <t>SACA SERVIZI AMBIENTALI CENTRO ABRUZZO</t>
  </si>
  <si>
    <t>SEAB - SERVIZI ENERGIA AMBIENTE BOLZANO S.P.A. / SEAB - ENERGIE- UMWELTBETRIEBE BOZEN A.G.</t>
  </si>
  <si>
    <t>SEBINO SERVIZI SRL</t>
  </si>
  <si>
    <t>Servizi Ambientali s.p.a.</t>
  </si>
  <si>
    <t>SERVIZI COMUNALI ASSOCIATI SRL</t>
  </si>
  <si>
    <t>SERVIZI IDRICI ETNEI S.P.A</t>
  </si>
  <si>
    <t>Servizi Idrici Valle Camonica</t>
  </si>
  <si>
    <t>Servizi Integrati Acque del Mediterraneo - SIAM</t>
  </si>
  <si>
    <t>SERVIZIO IDRICO INTEGRATO S.C.p.A.</t>
  </si>
  <si>
    <t>SICAM SRL CON SOCIO UNICO</t>
  </si>
  <si>
    <t>Siciliacque S.p.A.</t>
  </si>
  <si>
    <t>SIDRA S.P.A.</t>
  </si>
  <si>
    <t>SO.GE.A. S.R.L. SOCIETA' GESTIONE ACQUEDOTTI</t>
  </si>
  <si>
    <t>SO.GE.IM. di Sorbello Rosario &amp; C.</t>
  </si>
  <si>
    <t>SOCIETA' ACQUA LODIGIANA SRL</t>
  </si>
  <si>
    <t>Società Acqua Procida S.A.P. S.r.l.</t>
  </si>
  <si>
    <t>società acque dell'etna e di s.giacomo</t>
  </si>
  <si>
    <t>Società Acquedotti Tirreni</t>
  </si>
  <si>
    <t>societa coop per utenti d´acqua potabile Eores</t>
  </si>
  <si>
    <t>Società cooperativa acquedotto Laion/Villa</t>
  </si>
  <si>
    <t>SOCIETA' GESTIONE ACQUEDOTTI - MONITORAGGI - IMPIANTI DEPURAZIONE  SGAMID  S.R.L.</t>
  </si>
  <si>
    <t>SOCIETA' IMPIANTI TECNOLOGICI S.R.L. "S.I.T. S.R.L."</t>
  </si>
  <si>
    <t>SOCIETA' METROPOLITANA ACQUE TORINO</t>
  </si>
  <si>
    <t>SOGEA srl</t>
  </si>
  <si>
    <t>SOGIP S.R.L.</t>
  </si>
  <si>
    <t>SORGEAQUA S.R.L.</t>
  </si>
  <si>
    <t>TALETE S.P.A.</t>
  </si>
  <si>
    <t>TENNACOLA SPA</t>
  </si>
  <si>
    <t>Trink- und Löschwasserinteressentschaft Karnol</t>
  </si>
  <si>
    <t>TRINKWASSERGENOSSENSCHAFT MISSIAN - UNTERRAIN</t>
  </si>
  <si>
    <t>Trinkwassergenossenschaft Reischach m.b.H</t>
  </si>
  <si>
    <t>TRINKWASSER-GENOSSENSCHAFT ST.PAULS BERG</t>
  </si>
  <si>
    <t>Trinkwassergenossenschaft von Aufhofen</t>
  </si>
  <si>
    <t>Trinkwasserinteressentschaft Albeins</t>
  </si>
  <si>
    <t>Trinkwasserinteressentschaft Großberg-Meransen</t>
  </si>
  <si>
    <t>TRINKWASSERINTERESSENTSCHAFT PERDONIG/GAID</t>
  </si>
  <si>
    <t>Umbra Acque S.p.A.</t>
  </si>
  <si>
    <t>UNIACQUE SPA</t>
  </si>
  <si>
    <t>Unione Comuni dell'Alta Valle Camonica</t>
  </si>
  <si>
    <t>VALLE UMBRA SERVIZI S.P.A.</t>
  </si>
  <si>
    <t>VERITAS SPA</t>
  </si>
  <si>
    <t>scambi ingrosso costi Water e Other</t>
  </si>
  <si>
    <t>Attività non idriche che utilizzano anche infrastrutture del servizio idrico</t>
  </si>
  <si>
    <t>morosità - art.30.2</t>
  </si>
  <si>
    <t>Sezione "verifica cause di esclusione dall'aggiornamento tariffario"</t>
  </si>
  <si>
    <r>
      <t xml:space="preserve">Moltiplicatore Tariffario </t>
    </r>
    <r>
      <rPr>
        <b/>
        <i/>
        <sz val="10"/>
        <color indexed="8"/>
        <rFont val="Symbol"/>
        <family val="1"/>
        <charset val="2"/>
      </rPr>
      <t>J</t>
    </r>
  </si>
  <si>
    <t>Sviluppo del Moltiplicatore</t>
  </si>
  <si>
    <t>sola lettura</t>
  </si>
  <si>
    <t>Altri dati economico finanziari</t>
  </si>
  <si>
    <t>TT_Gestori</t>
  </si>
  <si>
    <t>Elenco proprietari infrastrutture per calcolo Mutui/Altri corrispettivi ed eventuale Stratificazione di terzi</t>
  </si>
  <si>
    <r>
      <t>R</t>
    </r>
    <r>
      <rPr>
        <vertAlign val="subscript"/>
        <sz val="10"/>
        <color theme="1"/>
        <rFont val="Arial Narrow"/>
        <family val="2"/>
      </rPr>
      <t>b</t>
    </r>
    <r>
      <rPr>
        <vertAlign val="superscript"/>
        <sz val="10"/>
        <color theme="1"/>
        <rFont val="Arial Narrow"/>
        <family val="2"/>
      </rPr>
      <t>a-2</t>
    </r>
  </si>
  <si>
    <t>da t-5 a t</t>
  </si>
  <si>
    <t>grossista (1=water,0=other)</t>
  </si>
  <si>
    <t>+IVA 10%</t>
  </si>
  <si>
    <r>
      <t>Rc</t>
    </r>
    <r>
      <rPr>
        <vertAlign val="subscript"/>
        <sz val="11"/>
        <color theme="1"/>
        <rFont val="Arial Narrow"/>
        <family val="2"/>
      </rPr>
      <t>ERC</t>
    </r>
    <r>
      <rPr>
        <vertAlign val="superscript"/>
        <sz val="11"/>
        <color theme="1"/>
        <rFont val="Arial Narrow"/>
        <family val="2"/>
      </rPr>
      <t>a</t>
    </r>
  </si>
  <si>
    <r>
      <t>Rc</t>
    </r>
    <r>
      <rPr>
        <vertAlign val="superscript"/>
        <sz val="11"/>
        <color theme="1"/>
        <rFont val="Arial Narrow"/>
        <family val="2"/>
      </rPr>
      <t>a</t>
    </r>
    <r>
      <rPr>
        <vertAlign val="subscript"/>
        <sz val="11"/>
        <color theme="1"/>
        <rFont val="Arial Narrow"/>
        <family val="2"/>
      </rPr>
      <t>res</t>
    </r>
  </si>
  <si>
    <r>
      <t>Rimb</t>
    </r>
    <r>
      <rPr>
        <vertAlign val="subscript"/>
        <sz val="10"/>
        <color theme="1"/>
        <rFont val="Arial Narrow"/>
        <family val="2"/>
      </rPr>
      <t>335</t>
    </r>
    <r>
      <rPr>
        <vertAlign val="superscript"/>
        <sz val="10"/>
        <color theme="1"/>
        <rFont val="Arial Narrow"/>
        <family val="2"/>
      </rPr>
      <t>a</t>
    </r>
  </si>
  <si>
    <r>
      <t>Opex</t>
    </r>
    <r>
      <rPr>
        <vertAlign val="superscript"/>
        <sz val="10"/>
        <rFont val="Arial Narrow"/>
        <family val="2"/>
      </rPr>
      <t>a</t>
    </r>
    <r>
      <rPr>
        <vertAlign val="subscript"/>
        <sz val="10"/>
        <rFont val="Arial Narrow"/>
        <family val="2"/>
      </rPr>
      <t>QC</t>
    </r>
  </si>
  <si>
    <r>
      <t>VRG</t>
    </r>
    <r>
      <rPr>
        <vertAlign val="superscript"/>
        <sz val="10"/>
        <color theme="1"/>
        <rFont val="Arial Narrow"/>
        <family val="2"/>
      </rPr>
      <t>a</t>
    </r>
  </si>
  <si>
    <r>
      <t>Capex</t>
    </r>
    <r>
      <rPr>
        <vertAlign val="superscript"/>
        <sz val="10"/>
        <color theme="1"/>
        <rFont val="Arial Narrow"/>
        <family val="2"/>
      </rPr>
      <t>a</t>
    </r>
  </si>
  <si>
    <r>
      <t>FoNI</t>
    </r>
    <r>
      <rPr>
        <vertAlign val="superscript"/>
        <sz val="10"/>
        <color theme="1"/>
        <rFont val="Arial Narrow"/>
        <family val="2"/>
      </rPr>
      <t>a</t>
    </r>
  </si>
  <si>
    <r>
      <t>Opex</t>
    </r>
    <r>
      <rPr>
        <vertAlign val="superscript"/>
        <sz val="10"/>
        <color theme="1"/>
        <rFont val="Arial Narrow"/>
        <family val="2"/>
      </rPr>
      <t>a</t>
    </r>
  </si>
  <si>
    <r>
      <t>Rc</t>
    </r>
    <r>
      <rPr>
        <vertAlign val="subscript"/>
        <sz val="10"/>
        <color theme="1"/>
        <rFont val="Arial Narrow"/>
        <family val="2"/>
      </rPr>
      <t>TOT</t>
    </r>
    <r>
      <rPr>
        <vertAlign val="superscript"/>
        <sz val="10"/>
        <color theme="1"/>
        <rFont val="Arial Narrow"/>
        <family val="2"/>
      </rPr>
      <t>a</t>
    </r>
  </si>
  <si>
    <r>
      <t>Opex</t>
    </r>
    <r>
      <rPr>
        <vertAlign val="subscript"/>
        <sz val="10"/>
        <rFont val="Arial Narrow"/>
        <family val="2"/>
      </rPr>
      <t xml:space="preserve">end </t>
    </r>
    <r>
      <rPr>
        <sz val="10"/>
        <rFont val="Arial Narrow"/>
        <family val="2"/>
      </rPr>
      <t>al lordo</t>
    </r>
    <r>
      <rPr>
        <vertAlign val="subscript"/>
        <sz val="10"/>
        <rFont val="Arial Narrow"/>
        <family val="2"/>
      </rPr>
      <t xml:space="preserve"> </t>
    </r>
    <r>
      <rPr>
        <sz val="10"/>
        <rFont val="Arial Narrow"/>
        <family val="2"/>
      </rPr>
      <t>degli</t>
    </r>
    <r>
      <rPr>
        <b/>
        <sz val="10"/>
        <rFont val="Arial Narrow"/>
        <family val="2"/>
      </rPr>
      <t xml:space="preserve"> ERC</t>
    </r>
    <r>
      <rPr>
        <vertAlign val="subscript"/>
        <sz val="10"/>
        <rFont val="Arial Narrow"/>
        <family val="2"/>
      </rPr>
      <t>end</t>
    </r>
  </si>
  <si>
    <t>Area Geogr</t>
  </si>
  <si>
    <t>Conformità</t>
  </si>
  <si>
    <r>
      <t>Opex</t>
    </r>
    <r>
      <rPr>
        <b/>
        <vertAlign val="subscript"/>
        <sz val="10"/>
        <color theme="1"/>
        <rFont val="Arial Narrow"/>
        <family val="2"/>
      </rPr>
      <t>al</t>
    </r>
    <r>
      <rPr>
        <b/>
        <sz val="10"/>
        <color theme="1"/>
        <rFont val="Arial Narrow"/>
        <family val="2"/>
      </rPr>
      <t xml:space="preserve"> - </t>
    </r>
    <r>
      <rPr>
        <i/>
        <sz val="10"/>
        <color theme="1"/>
        <rFont val="Arial Narrow"/>
        <family val="2"/>
      </rPr>
      <t>Costi aggiornabili</t>
    </r>
  </si>
  <si>
    <r>
      <t>Co</t>
    </r>
    <r>
      <rPr>
        <b/>
        <i/>
        <vertAlign val="subscript"/>
        <sz val="10"/>
        <color indexed="8"/>
        <rFont val="Arial Narrow"/>
        <family val="2"/>
      </rPr>
      <t xml:space="preserve">ee </t>
    </r>
    <r>
      <rPr>
        <b/>
        <i/>
        <sz val="10"/>
        <color indexed="8"/>
        <rFont val="Arial Narrow"/>
        <family val="2"/>
      </rPr>
      <t>-</t>
    </r>
    <r>
      <rPr>
        <i/>
        <sz val="10"/>
        <color indexed="8"/>
        <rFont val="Arial Narrow"/>
        <family val="2"/>
      </rPr>
      <t xml:space="preserve"> Costi di energia elettrica</t>
    </r>
  </si>
  <si>
    <r>
      <t>Co</t>
    </r>
    <r>
      <rPr>
        <b/>
        <i/>
        <vertAlign val="subscript"/>
        <sz val="10"/>
        <color indexed="8"/>
        <rFont val="Arial Narrow"/>
        <family val="2"/>
      </rPr>
      <t xml:space="preserve">ws </t>
    </r>
    <r>
      <rPr>
        <b/>
        <i/>
        <sz val="10"/>
        <color indexed="8"/>
        <rFont val="Arial Narrow"/>
        <family val="2"/>
      </rPr>
      <t>-</t>
    </r>
    <r>
      <rPr>
        <i/>
        <sz val="10"/>
        <color indexed="8"/>
        <rFont val="Arial Narrow"/>
        <family val="2"/>
      </rPr>
      <t xml:space="preserve"> Costi all'ingrosso</t>
    </r>
  </si>
  <si>
    <r>
      <t>MT, AC</t>
    </r>
    <r>
      <rPr>
        <b/>
        <i/>
        <vertAlign val="subscript"/>
        <sz val="10"/>
        <color indexed="8"/>
        <rFont val="Arial Narrow"/>
        <family val="2"/>
      </rPr>
      <t xml:space="preserve"> </t>
    </r>
    <r>
      <rPr>
        <b/>
        <i/>
        <sz val="10"/>
        <color indexed="8"/>
        <rFont val="Arial Narrow"/>
        <family val="2"/>
      </rPr>
      <t>-</t>
    </r>
    <r>
      <rPr>
        <i/>
        <sz val="10"/>
        <color indexed="8"/>
        <rFont val="Arial Narrow"/>
        <family val="2"/>
      </rPr>
      <t xml:space="preserve"> Mutui e Altri corrispettivi</t>
    </r>
  </si>
  <si>
    <r>
      <t>Co</t>
    </r>
    <r>
      <rPr>
        <b/>
        <i/>
        <vertAlign val="subscript"/>
        <sz val="10"/>
        <color indexed="8"/>
        <rFont val="Arial Narrow"/>
        <family val="2"/>
      </rPr>
      <t xml:space="preserve">altri </t>
    </r>
    <r>
      <rPr>
        <b/>
        <i/>
        <sz val="10"/>
        <color indexed="8"/>
        <rFont val="Arial Narrow"/>
        <family val="2"/>
      </rPr>
      <t>-</t>
    </r>
    <r>
      <rPr>
        <i/>
        <sz val="10"/>
        <color indexed="8"/>
        <rFont val="Arial Narrow"/>
        <family val="2"/>
      </rPr>
      <t xml:space="preserve"> Altri costi</t>
    </r>
  </si>
  <si>
    <r>
      <t>Co</t>
    </r>
    <r>
      <rPr>
        <b/>
        <i/>
        <vertAlign val="subscript"/>
        <sz val="10"/>
        <color indexed="8"/>
        <rFont val="Arial Narrow"/>
        <family val="2"/>
      </rPr>
      <t xml:space="preserve">ATO </t>
    </r>
    <r>
      <rPr>
        <b/>
        <i/>
        <sz val="10"/>
        <color indexed="8"/>
        <rFont val="Arial Narrow"/>
        <family val="2"/>
      </rPr>
      <t>-</t>
    </r>
    <r>
      <rPr>
        <i/>
        <sz val="10"/>
        <color indexed="8"/>
        <rFont val="Arial Narrow"/>
        <family val="2"/>
      </rPr>
      <t xml:space="preserve"> Costi dell'ATO</t>
    </r>
  </si>
  <si>
    <r>
      <t>Co</t>
    </r>
    <r>
      <rPr>
        <b/>
        <i/>
        <vertAlign val="subscript"/>
        <sz val="10"/>
        <color indexed="8"/>
        <rFont val="Arial Narrow"/>
        <family val="2"/>
      </rPr>
      <t xml:space="preserve">mor </t>
    </r>
    <r>
      <rPr>
        <b/>
        <i/>
        <sz val="10"/>
        <color indexed="8"/>
        <rFont val="Arial Narrow"/>
        <family val="2"/>
      </rPr>
      <t>-</t>
    </r>
    <r>
      <rPr>
        <i/>
        <sz val="10"/>
        <color indexed="8"/>
        <rFont val="Arial Narrow"/>
        <family val="2"/>
      </rPr>
      <t xml:space="preserve"> Costi della morosità</t>
    </r>
  </si>
  <si>
    <r>
      <t>ERC</t>
    </r>
    <r>
      <rPr>
        <vertAlign val="subscript"/>
        <sz val="11"/>
        <color theme="1"/>
        <rFont val="Arial Narrow"/>
        <family val="2"/>
      </rPr>
      <t>al</t>
    </r>
    <r>
      <rPr>
        <vertAlign val="superscript"/>
        <sz val="11"/>
        <color theme="1"/>
        <rFont val="Arial Narrow"/>
        <family val="2"/>
      </rPr>
      <t>a-2 effettivo</t>
    </r>
  </si>
  <si>
    <r>
      <t>ERC</t>
    </r>
    <r>
      <rPr>
        <vertAlign val="subscript"/>
        <sz val="11"/>
        <color theme="1"/>
        <rFont val="Arial Narrow"/>
        <family val="2"/>
      </rPr>
      <t>al</t>
    </r>
    <r>
      <rPr>
        <vertAlign val="superscript"/>
        <sz val="11"/>
        <color theme="1"/>
        <rFont val="Arial Narrow"/>
        <family val="2"/>
      </rPr>
      <t>a-2</t>
    </r>
  </si>
  <si>
    <t>ψ (0,4-0,8)</t>
  </si>
  <si>
    <t>ALTRI DATI PER IL CALCOLO DELLA COMPONENTE CAPEX</t>
  </si>
  <si>
    <r>
      <t>ΔCUIT</t>
    </r>
    <r>
      <rPr>
        <vertAlign val="subscript"/>
        <sz val="10"/>
        <rFont val="Arial Narrow"/>
        <family val="2"/>
      </rPr>
      <t/>
    </r>
  </si>
  <si>
    <t>ψ [0,4÷0,8]</t>
  </si>
  <si>
    <r>
      <t>ΔCUIT</t>
    </r>
    <r>
      <rPr>
        <vertAlign val="superscript"/>
        <sz val="10"/>
        <color indexed="8"/>
        <rFont val="Arial Narrow"/>
        <family val="2"/>
      </rPr>
      <t>a</t>
    </r>
    <r>
      <rPr>
        <sz val="10"/>
        <color indexed="8"/>
        <rFont val="Arial Narrow"/>
        <family val="2"/>
      </rPr>
      <t xml:space="preserve"> da formula</t>
    </r>
  </si>
  <si>
    <t>n. abitante</t>
  </si>
  <si>
    <t>(0,4-0,8)</t>
  </si>
  <si>
    <r>
      <rPr>
        <sz val="10"/>
        <color theme="1"/>
        <rFont val="Symbol"/>
        <family val="1"/>
        <charset val="2"/>
      </rPr>
      <t>D</t>
    </r>
    <r>
      <rPr>
        <sz val="10"/>
        <color theme="1"/>
        <rFont val="Arial Narrow"/>
        <family val="2"/>
      </rPr>
      <t>CUIT massimo nel FoNI</t>
    </r>
  </si>
  <si>
    <t>Pop servita &gt;= 50% del gestore risultante</t>
  </si>
  <si>
    <t>Pop servita &lt; 50% del gestore risultante</t>
  </si>
  <si>
    <r>
      <t>Opex</t>
    </r>
    <r>
      <rPr>
        <b/>
        <vertAlign val="superscript"/>
        <sz val="10"/>
        <color indexed="8"/>
        <rFont val="Arial Narrow"/>
        <family val="2"/>
      </rPr>
      <t>a</t>
    </r>
  </si>
  <si>
    <r>
      <t>Capex</t>
    </r>
    <r>
      <rPr>
        <b/>
        <vertAlign val="superscript"/>
        <sz val="10"/>
        <color indexed="8"/>
        <rFont val="Arial Narrow"/>
        <family val="2"/>
      </rPr>
      <t>a</t>
    </r>
  </si>
  <si>
    <r>
      <t>IP</t>
    </r>
    <r>
      <rPr>
        <vertAlign val="subscript"/>
        <sz val="10"/>
        <rFont val="Arial Narrow"/>
        <family val="2"/>
      </rPr>
      <t>t</t>
    </r>
    <r>
      <rPr>
        <vertAlign val="superscript"/>
        <sz val="10"/>
        <rFont val="Arial Narrow"/>
        <family val="2"/>
      </rPr>
      <t>exp</t>
    </r>
  </si>
  <si>
    <r>
      <t>Capex</t>
    </r>
    <r>
      <rPr>
        <vertAlign val="superscript"/>
        <sz val="10"/>
        <rFont val="Arial Narrow"/>
        <family val="2"/>
      </rPr>
      <t>a</t>
    </r>
  </si>
  <si>
    <r>
      <t>ERC</t>
    </r>
    <r>
      <rPr>
        <b/>
        <vertAlign val="superscript"/>
        <sz val="10"/>
        <color indexed="8"/>
        <rFont val="Arial Narrow"/>
        <family val="2"/>
      </rPr>
      <t>a</t>
    </r>
  </si>
  <si>
    <r>
      <t>ERC</t>
    </r>
    <r>
      <rPr>
        <vertAlign val="superscript"/>
        <sz val="10"/>
        <color indexed="8"/>
        <rFont val="Arial Narrow"/>
        <family val="2"/>
      </rPr>
      <t>a</t>
    </r>
  </si>
  <si>
    <r>
      <t>R</t>
    </r>
    <r>
      <rPr>
        <vertAlign val="superscript"/>
        <sz val="10"/>
        <rFont val="Arial Narrow"/>
        <family val="2"/>
      </rPr>
      <t>a-2</t>
    </r>
    <r>
      <rPr>
        <vertAlign val="subscript"/>
        <sz val="10"/>
        <rFont val="Arial Narrow"/>
        <family val="2"/>
      </rPr>
      <t>b</t>
    </r>
  </si>
  <si>
    <r>
      <t>RC</t>
    </r>
    <r>
      <rPr>
        <vertAlign val="superscript"/>
        <sz val="10"/>
        <rFont val="Arial Narrow"/>
        <family val="2"/>
      </rPr>
      <t>a</t>
    </r>
    <r>
      <rPr>
        <vertAlign val="subscript"/>
        <sz val="10"/>
        <rFont val="Arial Narrow"/>
        <family val="2"/>
      </rPr>
      <t>TOT</t>
    </r>
  </si>
  <si>
    <r>
      <t>FA</t>
    </r>
    <r>
      <rPr>
        <vertAlign val="subscript"/>
        <sz val="10"/>
        <rFont val="Arial Narrow"/>
        <family val="2"/>
      </rPr>
      <t>IP,c,t</t>
    </r>
  </si>
  <si>
    <r>
      <t>Ip</t>
    </r>
    <r>
      <rPr>
        <vertAlign val="subscript"/>
        <sz val="10"/>
        <rFont val="Arial Narrow"/>
        <family val="2"/>
      </rPr>
      <t>c,t</t>
    </r>
  </si>
  <si>
    <r>
      <t>CFP</t>
    </r>
    <r>
      <rPr>
        <vertAlign val="subscript"/>
        <sz val="10"/>
        <rFont val="Arial Narrow"/>
        <family val="2"/>
      </rPr>
      <t>c,t</t>
    </r>
  </si>
  <si>
    <r>
      <t>FA</t>
    </r>
    <r>
      <rPr>
        <vertAlign val="subscript"/>
        <sz val="10"/>
        <rFont val="Arial Narrow"/>
        <family val="2"/>
      </rPr>
      <t>CFP,c,t</t>
    </r>
  </si>
  <si>
    <r>
      <t>CO</t>
    </r>
    <r>
      <rPr>
        <vertAlign val="superscript"/>
        <sz val="10"/>
        <color theme="1"/>
        <rFont val="Arial Narrow"/>
        <family val="2"/>
      </rPr>
      <t>medio,a-2</t>
    </r>
    <r>
      <rPr>
        <vertAlign val="subscript"/>
        <sz val="10"/>
        <color theme="1"/>
        <rFont val="Arial Narrow"/>
        <family val="2"/>
      </rPr>
      <t xml:space="preserve">EE </t>
    </r>
    <r>
      <rPr>
        <sz val="10"/>
        <color theme="1"/>
        <rFont val="Arial Narrow"/>
        <family val="2"/>
      </rPr>
      <t>* kWh</t>
    </r>
    <r>
      <rPr>
        <vertAlign val="superscript"/>
        <sz val="10"/>
        <color theme="1"/>
        <rFont val="Arial Narrow"/>
        <family val="2"/>
      </rPr>
      <t>a-2</t>
    </r>
    <r>
      <rPr>
        <sz val="10"/>
        <color theme="1"/>
        <rFont val="Arial Narrow"/>
        <family val="2"/>
      </rPr>
      <t>*1,1</t>
    </r>
  </si>
  <si>
    <r>
      <t>CO</t>
    </r>
    <r>
      <rPr>
        <vertAlign val="subscript"/>
        <sz val="10"/>
        <color theme="1"/>
        <rFont val="Arial Narrow"/>
        <family val="2"/>
      </rPr>
      <t>EE</t>
    </r>
    <r>
      <rPr>
        <vertAlign val="superscript"/>
        <sz val="10"/>
        <color theme="1"/>
        <rFont val="Arial Narrow"/>
        <family val="2"/>
      </rPr>
      <t>a-2</t>
    </r>
  </si>
  <si>
    <r>
      <t>Rc</t>
    </r>
    <r>
      <rPr>
        <vertAlign val="subscript"/>
        <sz val="11"/>
        <color theme="1"/>
        <rFont val="Arial Narrow"/>
        <family val="2"/>
      </rPr>
      <t>TOT</t>
    </r>
    <r>
      <rPr>
        <vertAlign val="superscript"/>
        <sz val="11"/>
        <color theme="1"/>
        <rFont val="Arial Narrow"/>
        <family val="2"/>
      </rPr>
      <t>a</t>
    </r>
  </si>
  <si>
    <r>
      <t>Rc</t>
    </r>
    <r>
      <rPr>
        <vertAlign val="subscript"/>
        <sz val="11"/>
        <color theme="1"/>
        <rFont val="Arial Narrow"/>
        <family val="2"/>
      </rPr>
      <t>TOT</t>
    </r>
    <r>
      <rPr>
        <vertAlign val="superscript"/>
        <sz val="11"/>
        <color theme="1"/>
        <rFont val="Arial Narrow"/>
        <family val="2"/>
      </rPr>
      <t>a</t>
    </r>
    <r>
      <rPr>
        <vertAlign val="superscript"/>
        <sz val="10"/>
        <color theme="1"/>
        <rFont val="Arial Narrow"/>
        <family val="2"/>
      </rPr>
      <t xml:space="preserve"> </t>
    </r>
    <r>
      <rPr>
        <sz val="10"/>
        <color theme="1"/>
        <rFont val="Arial Narrow"/>
        <family val="2"/>
      </rPr>
      <t>da input per calcoli finali</t>
    </r>
  </si>
  <si>
    <r>
      <t>Rc</t>
    </r>
    <r>
      <rPr>
        <vertAlign val="superscript"/>
        <sz val="10"/>
        <color theme="1"/>
        <rFont val="Arial Narrow"/>
        <family val="2"/>
      </rPr>
      <t>a</t>
    </r>
    <r>
      <rPr>
        <vertAlign val="subscript"/>
        <sz val="10"/>
        <color theme="1"/>
        <rFont val="Arial Narrow"/>
        <family val="2"/>
      </rPr>
      <t>Attiv b</t>
    </r>
  </si>
  <si>
    <r>
      <t>ERC</t>
    </r>
    <r>
      <rPr>
        <b/>
        <i/>
        <vertAlign val="subscript"/>
        <sz val="10"/>
        <color indexed="8"/>
        <rFont val="Arial Narrow"/>
        <family val="2"/>
      </rPr>
      <t>al</t>
    </r>
    <r>
      <rPr>
        <b/>
        <i/>
        <sz val="10"/>
        <color indexed="8"/>
        <rFont val="Arial Narrow"/>
        <family val="2"/>
      </rPr>
      <t xml:space="preserve"> - ERC aggiornabili</t>
    </r>
  </si>
  <si>
    <r>
      <t>ERC</t>
    </r>
    <r>
      <rPr>
        <vertAlign val="superscript"/>
        <sz val="10"/>
        <color theme="1"/>
        <rFont val="Arial Narrow"/>
        <family val="2"/>
      </rPr>
      <t>a</t>
    </r>
    <r>
      <rPr>
        <vertAlign val="subscript"/>
        <sz val="10"/>
        <color theme="1"/>
        <rFont val="Arial Narrow"/>
        <family val="2"/>
      </rPr>
      <t>al</t>
    </r>
  </si>
  <si>
    <r>
      <t>ERC</t>
    </r>
    <r>
      <rPr>
        <vertAlign val="superscript"/>
        <sz val="10"/>
        <color theme="1"/>
        <rFont val="Arial Narrow"/>
        <family val="2"/>
      </rPr>
      <t>a</t>
    </r>
    <r>
      <rPr>
        <vertAlign val="subscript"/>
        <sz val="10"/>
        <color theme="1"/>
        <rFont val="Arial Narrow"/>
        <family val="2"/>
      </rPr>
      <t>end</t>
    </r>
  </si>
  <si>
    <r>
      <t>ERC</t>
    </r>
    <r>
      <rPr>
        <b/>
        <i/>
        <vertAlign val="subscript"/>
        <sz val="10"/>
        <color indexed="8"/>
        <rFont val="Arial Narrow"/>
        <family val="2"/>
      </rPr>
      <t>end</t>
    </r>
    <r>
      <rPr>
        <b/>
        <i/>
        <sz val="10"/>
        <color indexed="8"/>
        <rFont val="Arial Narrow"/>
        <family val="2"/>
      </rPr>
      <t xml:space="preserve"> - ERC endogeni</t>
    </r>
  </si>
  <si>
    <t>FNI - Anticipazione per il finanziamento di nuovi investimenti</t>
  </si>
  <si>
    <r>
      <t>AMM</t>
    </r>
    <r>
      <rPr>
        <b/>
        <i/>
        <vertAlign val="subscript"/>
        <sz val="10"/>
        <color indexed="8"/>
        <rFont val="Arial Narrow"/>
        <family val="2"/>
      </rPr>
      <t>FoNI</t>
    </r>
    <r>
      <rPr>
        <b/>
        <i/>
        <sz val="10"/>
        <color indexed="8"/>
        <rFont val="Arial Narrow"/>
        <family val="2"/>
      </rPr>
      <t xml:space="preserve"> - Ammortamento sui contributi a fondo perduto</t>
    </r>
  </si>
  <si>
    <r>
      <rPr>
        <b/>
        <i/>
        <sz val="10"/>
        <color indexed="8"/>
        <rFont val="Symbol"/>
        <family val="1"/>
        <charset val="2"/>
      </rPr>
      <t>D</t>
    </r>
    <r>
      <rPr>
        <b/>
        <i/>
        <sz val="10"/>
        <color indexed="8"/>
        <rFont val="Arial Narrow"/>
        <family val="2"/>
      </rPr>
      <t>CUIT</t>
    </r>
    <r>
      <rPr>
        <b/>
        <i/>
        <vertAlign val="subscript"/>
        <sz val="10"/>
        <color indexed="8"/>
        <rFont val="Arial Narrow"/>
        <family val="2"/>
      </rPr>
      <t>FoNI</t>
    </r>
    <r>
      <rPr>
        <b/>
        <i/>
        <sz val="10"/>
        <color indexed="8"/>
        <rFont val="Arial Narrow"/>
        <family val="2"/>
      </rPr>
      <t xml:space="preserve"> - Eccedenza del costo per l’uso delle infrastrutture di terzi</t>
    </r>
  </si>
  <si>
    <r>
      <t>R</t>
    </r>
    <r>
      <rPr>
        <b/>
        <i/>
        <vertAlign val="subscript"/>
        <sz val="10"/>
        <color indexed="8"/>
        <rFont val="Arial"/>
        <family val="2"/>
      </rPr>
      <t>b</t>
    </r>
    <r>
      <rPr>
        <i/>
        <sz val="10"/>
        <color indexed="8"/>
        <rFont val="Arial"/>
        <family val="2"/>
      </rPr>
      <t xml:space="preserve"> - Ricavi altre attività idriche</t>
    </r>
  </si>
  <si>
    <r>
      <rPr>
        <b/>
        <i/>
        <sz val="10"/>
        <color indexed="8"/>
        <rFont val="Arial"/>
        <family val="2"/>
      </rPr>
      <t>C</t>
    </r>
    <r>
      <rPr>
        <b/>
        <i/>
        <vertAlign val="subscript"/>
        <sz val="10"/>
        <color indexed="8"/>
        <rFont val="Arial"/>
        <family val="2"/>
      </rPr>
      <t>b</t>
    </r>
    <r>
      <rPr>
        <i/>
        <sz val="10"/>
        <color indexed="8"/>
        <rFont val="Arial"/>
        <family val="2"/>
      </rPr>
      <t xml:space="preserve"> - Costi altre attività idriche</t>
    </r>
  </si>
  <si>
    <r>
      <t>VRG</t>
    </r>
    <r>
      <rPr>
        <vertAlign val="superscript"/>
        <sz val="10"/>
        <color theme="1"/>
        <rFont val="Arial Narrow"/>
        <family val="2"/>
      </rPr>
      <t>a</t>
    </r>
    <r>
      <rPr>
        <sz val="10"/>
        <color theme="1"/>
        <rFont val="Arial Narrow"/>
        <family val="2"/>
      </rPr>
      <t xml:space="preserve"> calcolato</t>
    </r>
  </si>
  <si>
    <r>
      <rPr>
        <sz val="10"/>
        <color theme="1"/>
        <rFont val="Symbol"/>
        <family val="1"/>
        <charset val="2"/>
      </rPr>
      <t>J</t>
    </r>
    <r>
      <rPr>
        <vertAlign val="superscript"/>
        <sz val="10"/>
        <color theme="1"/>
        <rFont val="Arial Narrow"/>
        <family val="2"/>
      </rPr>
      <t xml:space="preserve">a </t>
    </r>
    <r>
      <rPr>
        <sz val="10"/>
        <color theme="1"/>
        <rFont val="Arial Narrow"/>
        <family val="2"/>
      </rPr>
      <t>calcolato</t>
    </r>
  </si>
  <si>
    <t>Proprietario ai fini dei corrispettivi AC/MT</t>
  </si>
  <si>
    <t>Soggetto a cui si vende</t>
  </si>
  <si>
    <t>foglio di origine</t>
  </si>
  <si>
    <t>Totale nuovi investimenti</t>
  </si>
  <si>
    <t>CFP da FoNI</t>
  </si>
  <si>
    <t>A/B</t>
  </si>
  <si>
    <t xml:space="preserve">P. IVA </t>
  </si>
  <si>
    <t>Rai rate</t>
  </si>
  <si>
    <t>Soggetto Proprietario</t>
  </si>
  <si>
    <t>grado di completezza dei dati</t>
  </si>
  <si>
    <t>dati completi</t>
  </si>
  <si>
    <t>dati non completi</t>
  </si>
  <si>
    <t>grado di acquisizione della gestione</t>
  </si>
  <si>
    <t>acquisizione totale</t>
  </si>
  <si>
    <t>acquisizione parziale</t>
  </si>
  <si>
    <t>tipo di integrazione (incidenza popolazione deliberata d'ufficio)</t>
  </si>
  <si>
    <t>integrazione territorio</t>
  </si>
  <si>
    <t>entrambi</t>
  </si>
  <si>
    <t>nessuna</t>
  </si>
  <si>
    <t>tipo di integrazione (servizio o territorio servito)</t>
  </si>
  <si>
    <t>nessuna integrazione di territorio</t>
  </si>
  <si>
    <t>vigente al 31/12/2015</t>
  </si>
  <si>
    <t>Info_eventuali_aggregazioni</t>
  </si>
  <si>
    <r>
      <t>Op</t>
    </r>
    <r>
      <rPr>
        <vertAlign val="superscript"/>
        <sz val="10"/>
        <rFont val="Arial Narrow"/>
        <family val="2"/>
      </rPr>
      <t>new,a</t>
    </r>
  </si>
  <si>
    <r>
      <t>AMM</t>
    </r>
    <r>
      <rPr>
        <vertAlign val="superscript"/>
        <sz val="10"/>
        <rFont val="Arial Narrow"/>
        <family val="2"/>
      </rPr>
      <t>a</t>
    </r>
  </si>
  <si>
    <r>
      <t>OF</t>
    </r>
    <r>
      <rPr>
        <vertAlign val="superscript"/>
        <sz val="10"/>
        <rFont val="Arial Narrow"/>
        <family val="2"/>
      </rPr>
      <t>a</t>
    </r>
  </si>
  <si>
    <r>
      <t>OFisc</t>
    </r>
    <r>
      <rPr>
        <vertAlign val="superscript"/>
        <sz val="10"/>
        <rFont val="Arial Narrow"/>
        <family val="2"/>
      </rPr>
      <t>a</t>
    </r>
  </si>
  <si>
    <r>
      <rPr>
        <sz val="10"/>
        <rFont val="Symbol"/>
        <family val="1"/>
        <charset val="2"/>
      </rPr>
      <t>D</t>
    </r>
    <r>
      <rPr>
        <sz val="10"/>
        <rFont val="Arial Narrow"/>
        <family val="2"/>
      </rPr>
      <t>CUIT</t>
    </r>
    <r>
      <rPr>
        <vertAlign val="superscript"/>
        <sz val="10"/>
        <rFont val="Arial Narrow"/>
        <family val="2"/>
      </rPr>
      <t>a</t>
    </r>
    <r>
      <rPr>
        <vertAlign val="subscript"/>
        <sz val="10"/>
        <rFont val="Arial Narrow"/>
        <family val="2"/>
      </rPr>
      <t>Capex</t>
    </r>
  </si>
  <si>
    <r>
      <t>FNI</t>
    </r>
    <r>
      <rPr>
        <vertAlign val="superscript"/>
        <sz val="10"/>
        <rFont val="Arial Narrow"/>
        <family val="2"/>
      </rPr>
      <t>a</t>
    </r>
    <r>
      <rPr>
        <vertAlign val="subscript"/>
        <sz val="10"/>
        <rFont val="Arial Narrow"/>
        <family val="2"/>
      </rPr>
      <t>FoNI</t>
    </r>
  </si>
  <si>
    <r>
      <t>AMM</t>
    </r>
    <r>
      <rPr>
        <vertAlign val="superscript"/>
        <sz val="10"/>
        <rFont val="Arial Narrow"/>
        <family val="2"/>
      </rPr>
      <t>a</t>
    </r>
    <r>
      <rPr>
        <vertAlign val="subscript"/>
        <sz val="10"/>
        <rFont val="Arial Narrow"/>
        <family val="2"/>
      </rPr>
      <t>FoNI</t>
    </r>
  </si>
  <si>
    <r>
      <rPr>
        <sz val="10"/>
        <rFont val="Symbol"/>
        <family val="1"/>
        <charset val="2"/>
      </rPr>
      <t>D</t>
    </r>
    <r>
      <rPr>
        <sz val="10"/>
        <rFont val="Arial Narrow"/>
        <family val="2"/>
      </rPr>
      <t>CUIT</t>
    </r>
    <r>
      <rPr>
        <vertAlign val="superscript"/>
        <sz val="10"/>
        <rFont val="Arial Narrow"/>
        <family val="2"/>
      </rPr>
      <t>a</t>
    </r>
    <r>
      <rPr>
        <vertAlign val="subscript"/>
        <sz val="10"/>
        <rFont val="Arial Narrow"/>
        <family val="2"/>
      </rPr>
      <t>FoNI</t>
    </r>
  </si>
  <si>
    <t>Costo energia elettrica a bilancio</t>
  </si>
  <si>
    <t>Sezione altri dati</t>
  </si>
  <si>
    <r>
      <t>CO</t>
    </r>
    <r>
      <rPr>
        <vertAlign val="superscript"/>
        <sz val="10"/>
        <color indexed="8"/>
        <rFont val="Arial Narrow"/>
        <family val="2"/>
      </rPr>
      <t>reali</t>
    </r>
    <r>
      <rPr>
        <vertAlign val="subscript"/>
        <sz val="10"/>
        <color indexed="8"/>
        <rFont val="Arial Narrow"/>
        <family val="2"/>
      </rPr>
      <t>EE</t>
    </r>
    <r>
      <rPr>
        <sz val="10"/>
        <color indexed="8"/>
        <rFont val="Arial Narrow"/>
        <family val="2"/>
      </rPr>
      <t xml:space="preserve"> 
(altre imprese - AAI)</t>
    </r>
  </si>
  <si>
    <r>
      <t>CO</t>
    </r>
    <r>
      <rPr>
        <vertAlign val="superscript"/>
        <sz val="10"/>
        <color indexed="8"/>
        <rFont val="Arial Narrow"/>
        <family val="2"/>
      </rPr>
      <t>reali</t>
    </r>
    <r>
      <rPr>
        <vertAlign val="subscript"/>
        <sz val="10"/>
        <color indexed="8"/>
        <rFont val="Arial Narrow"/>
        <family val="2"/>
      </rPr>
      <t xml:space="preserve">EE </t>
    </r>
    <r>
      <rPr>
        <sz val="10"/>
        <color indexed="8"/>
        <rFont val="Arial Narrow"/>
        <family val="2"/>
      </rPr>
      <t xml:space="preserve">
(altre gruppo - AAI)</t>
    </r>
  </si>
  <si>
    <t>costo medio EE per calcolo COEE</t>
  </si>
  <si>
    <r>
      <t>FA</t>
    </r>
    <r>
      <rPr>
        <b/>
        <vertAlign val="subscript"/>
        <sz val="10"/>
        <color indexed="8"/>
        <rFont val="Arial Narrow"/>
        <family val="2"/>
      </rPr>
      <t>p</t>
    </r>
  </si>
  <si>
    <r>
      <t>IMN</t>
    </r>
    <r>
      <rPr>
        <b/>
        <vertAlign val="subscript"/>
        <sz val="10"/>
        <color indexed="8"/>
        <rFont val="Arial Narrow"/>
        <family val="2"/>
      </rPr>
      <t>p</t>
    </r>
  </si>
  <si>
    <r>
      <t>AMM</t>
    </r>
    <r>
      <rPr>
        <b/>
        <vertAlign val="subscript"/>
        <sz val="10"/>
        <color indexed="8"/>
        <rFont val="Arial Narrow"/>
        <family val="2"/>
      </rPr>
      <t>p</t>
    </r>
  </si>
  <si>
    <r>
      <t>CFP</t>
    </r>
    <r>
      <rPr>
        <b/>
        <vertAlign val="subscript"/>
        <sz val="10"/>
        <color indexed="8"/>
        <rFont val="Arial Narrow"/>
        <family val="2"/>
      </rPr>
      <t>p</t>
    </r>
  </si>
  <si>
    <r>
      <t>FA CFP</t>
    </r>
    <r>
      <rPr>
        <b/>
        <vertAlign val="subscript"/>
        <sz val="10"/>
        <color indexed="8"/>
        <rFont val="Arial Narrow"/>
        <family val="2"/>
      </rPr>
      <t>p</t>
    </r>
  </si>
  <si>
    <r>
      <t>CIN</t>
    </r>
    <r>
      <rPr>
        <vertAlign val="subscript"/>
        <sz val="10"/>
        <rFont val="Arial Narrow"/>
        <family val="2"/>
      </rPr>
      <t>fp,p</t>
    </r>
  </si>
  <si>
    <r>
      <t>AMM CFP</t>
    </r>
    <r>
      <rPr>
        <b/>
        <vertAlign val="subscript"/>
        <sz val="10"/>
        <color indexed="8"/>
        <rFont val="Arial Narrow"/>
        <family val="2"/>
      </rPr>
      <t>p</t>
    </r>
  </si>
  <si>
    <t>gestore / proprietario</t>
  </si>
  <si>
    <t>gestore</t>
  </si>
  <si>
    <t>proprietario</t>
  </si>
  <si>
    <t>popolazione</t>
  </si>
  <si>
    <r>
      <t>Numero di comuni serviti (</t>
    </r>
    <r>
      <rPr>
        <b/>
        <sz val="10"/>
        <rFont val="Arial Narrow"/>
        <family val="2"/>
      </rPr>
      <t>ComA</t>
    </r>
    <r>
      <rPr>
        <sz val="10"/>
        <rFont val="Arial Narrow"/>
        <family val="2"/>
      </rPr>
      <t>)</t>
    </r>
  </si>
  <si>
    <r>
      <t>Popolazione residente servita (</t>
    </r>
    <r>
      <rPr>
        <b/>
        <sz val="10"/>
        <rFont val="Arial Narrow"/>
        <family val="2"/>
      </rPr>
      <t>PRA</t>
    </r>
    <r>
      <rPr>
        <sz val="10"/>
        <rFont val="Arial Narrow"/>
        <family val="2"/>
      </rPr>
      <t>)</t>
    </r>
  </si>
  <si>
    <r>
      <t>Volume di acqua fatturato (</t>
    </r>
    <r>
      <rPr>
        <b/>
        <sz val="10"/>
        <rFont val="Arial Narrow"/>
        <family val="2"/>
      </rPr>
      <t>A20</t>
    </r>
    <r>
      <rPr>
        <sz val="10"/>
        <rFont val="Arial Narrow"/>
        <family val="2"/>
      </rPr>
      <t>)</t>
    </r>
  </si>
  <si>
    <r>
      <t>Utenze totali (</t>
    </r>
    <r>
      <rPr>
        <b/>
        <sz val="10"/>
        <rFont val="Arial Narrow"/>
        <family val="2"/>
      </rPr>
      <t>UtT</t>
    </r>
    <r>
      <rPr>
        <sz val="10"/>
        <rFont val="Arial Narrow"/>
        <family val="2"/>
      </rPr>
      <t>)</t>
    </r>
  </si>
  <si>
    <r>
      <t>Popolazione fluttuante (</t>
    </r>
    <r>
      <rPr>
        <b/>
        <sz val="10"/>
        <rFont val="Arial Narrow"/>
        <family val="2"/>
      </rPr>
      <t>PFA</t>
    </r>
    <r>
      <rPr>
        <sz val="10"/>
        <rFont val="Arial Narrow"/>
        <family val="2"/>
      </rPr>
      <t>)</t>
    </r>
  </si>
  <si>
    <r>
      <t>Superficie (</t>
    </r>
    <r>
      <rPr>
        <b/>
        <sz val="10"/>
        <rFont val="Arial Narrow"/>
        <family val="2"/>
      </rPr>
      <t>SUA</t>
    </r>
    <r>
      <rPr>
        <sz val="10"/>
        <rFont val="Arial Narrow"/>
        <family val="2"/>
      </rPr>
      <t>)</t>
    </r>
  </si>
  <si>
    <r>
      <t>Lunghezza rete (</t>
    </r>
    <r>
      <rPr>
        <b/>
        <sz val="10"/>
        <rFont val="Arial Narrow"/>
        <family val="2"/>
      </rPr>
      <t>L</t>
    </r>
    <r>
      <rPr>
        <sz val="10"/>
        <rFont val="Arial Narrow"/>
        <family val="2"/>
      </rPr>
      <t xml:space="preserve">) </t>
    </r>
  </si>
  <si>
    <r>
      <t>Numero di comuni serviti (</t>
    </r>
    <r>
      <rPr>
        <b/>
        <sz val="10"/>
        <rFont val="Arial Narrow"/>
        <family val="2"/>
      </rPr>
      <t>ComF</t>
    </r>
    <r>
      <rPr>
        <sz val="10"/>
        <rFont val="Arial Narrow"/>
        <family val="2"/>
      </rPr>
      <t>)</t>
    </r>
  </si>
  <si>
    <r>
      <t>Popolazione residente servita (</t>
    </r>
    <r>
      <rPr>
        <b/>
        <sz val="10"/>
        <rFont val="Arial Narrow"/>
        <family val="2"/>
      </rPr>
      <t>PRF</t>
    </r>
    <r>
      <rPr>
        <sz val="10"/>
        <rFont val="Arial Narrow"/>
        <family val="2"/>
      </rPr>
      <t>)</t>
    </r>
  </si>
  <si>
    <r>
      <t>Lunghezza rete fognaria (</t>
    </r>
    <r>
      <rPr>
        <b/>
        <sz val="10"/>
        <rFont val="Arial Narrow"/>
        <family val="2"/>
      </rPr>
      <t>LL</t>
    </r>
    <r>
      <rPr>
        <sz val="10"/>
        <rFont val="Arial Narrow"/>
        <family val="2"/>
      </rPr>
      <t>)</t>
    </r>
  </si>
  <si>
    <r>
      <t>Popolazione fluttuante (</t>
    </r>
    <r>
      <rPr>
        <b/>
        <sz val="10"/>
        <rFont val="Arial Narrow"/>
        <family val="2"/>
      </rPr>
      <t>PFF</t>
    </r>
    <r>
      <rPr>
        <sz val="10"/>
        <rFont val="Arial Narrow"/>
        <family val="2"/>
      </rPr>
      <t>)</t>
    </r>
  </si>
  <si>
    <r>
      <t>Superficie (</t>
    </r>
    <r>
      <rPr>
        <b/>
        <sz val="10"/>
        <rFont val="Arial Narrow"/>
        <family val="2"/>
      </rPr>
      <t>SUF</t>
    </r>
    <r>
      <rPr>
        <sz val="10"/>
        <rFont val="Arial Narrow"/>
        <family val="2"/>
      </rPr>
      <t>)</t>
    </r>
  </si>
  <si>
    <r>
      <t>Numero di comuni serviti (</t>
    </r>
    <r>
      <rPr>
        <b/>
        <sz val="10"/>
        <rFont val="Arial Narrow"/>
        <family val="2"/>
      </rPr>
      <t>ComD</t>
    </r>
    <r>
      <rPr>
        <sz val="10"/>
        <rFont val="Arial Narrow"/>
        <family val="2"/>
      </rPr>
      <t>)</t>
    </r>
  </si>
  <si>
    <r>
      <t>Popolazione residente servita (</t>
    </r>
    <r>
      <rPr>
        <b/>
        <sz val="10"/>
        <rFont val="Arial Narrow"/>
        <family val="2"/>
      </rPr>
      <t>PRD</t>
    </r>
    <r>
      <rPr>
        <sz val="10"/>
        <rFont val="Arial Narrow"/>
        <family val="2"/>
      </rPr>
      <t>)</t>
    </r>
  </si>
  <si>
    <r>
      <t>Popolazione fluttuante (</t>
    </r>
    <r>
      <rPr>
        <b/>
        <sz val="10"/>
        <rFont val="Arial Narrow"/>
        <family val="2"/>
      </rPr>
      <t>PFD</t>
    </r>
    <r>
      <rPr>
        <sz val="10"/>
        <rFont val="Arial Narrow"/>
        <family val="2"/>
      </rPr>
      <t>)</t>
    </r>
  </si>
  <si>
    <r>
      <t>Superficie (</t>
    </r>
    <r>
      <rPr>
        <b/>
        <sz val="10"/>
        <rFont val="Arial Narrow"/>
        <family val="2"/>
      </rPr>
      <t>SUD</t>
    </r>
    <r>
      <rPr>
        <sz val="10"/>
        <rFont val="Arial Narrow"/>
        <family val="2"/>
      </rPr>
      <t>)</t>
    </r>
  </si>
  <si>
    <r>
      <t>CFP</t>
    </r>
    <r>
      <rPr>
        <sz val="10"/>
        <rFont val="Arial Narrow"/>
        <family val="2"/>
      </rPr>
      <t xml:space="preserve"> (Euro)</t>
    </r>
  </si>
  <si>
    <r>
      <t>CFP</t>
    </r>
    <r>
      <rPr>
        <sz val="10"/>
        <rFont val="Arial Narrow"/>
        <family val="2"/>
      </rPr>
      <t xml:space="preserve"> Totale</t>
    </r>
  </si>
  <si>
    <r>
      <t xml:space="preserve">idato associato al </t>
    </r>
    <r>
      <rPr>
        <b/>
        <i/>
        <sz val="10"/>
        <color rgb="FFFF0000"/>
        <rFont val="Arial Narrow"/>
        <family val="2"/>
      </rPr>
      <t>gestore</t>
    </r>
  </si>
  <si>
    <t>Key_Prop</t>
  </si>
  <si>
    <t>Numero Cespiti</t>
  </si>
  <si>
    <t>New_Key_prop</t>
  </si>
  <si>
    <t>Fusione</t>
  </si>
  <si>
    <t>Proprietario risultante dalla fusione</t>
  </si>
  <si>
    <t>IDGestore</t>
  </si>
  <si>
    <t>IDATO</t>
  </si>
  <si>
    <t>Elenco_Proprietari</t>
  </si>
  <si>
    <t>Key_Prop_bis</t>
  </si>
  <si>
    <t>Corrispettivi_Proprietari</t>
  </si>
  <si>
    <t>natura giuridica del gestore</t>
  </si>
  <si>
    <r>
      <t xml:space="preserve">Proprietario </t>
    </r>
    <r>
      <rPr>
        <b/>
        <u/>
        <sz val="10"/>
        <rFont val="Arial Narrow"/>
        <family val="2"/>
      </rPr>
      <t>non più</t>
    </r>
    <r>
      <rPr>
        <b/>
        <sz val="10"/>
        <rFont val="Arial Narrow"/>
        <family val="2"/>
      </rPr>
      <t xml:space="preserve"> presente ai fini della RAB di terzi</t>
    </r>
  </si>
  <si>
    <r>
      <t>ΔCUIT</t>
    </r>
    <r>
      <rPr>
        <vertAlign val="subscript"/>
        <sz val="10"/>
        <rFont val="Arial Narrow"/>
        <family val="2"/>
      </rPr>
      <t>capex</t>
    </r>
    <r>
      <rPr>
        <sz val="10"/>
        <rFont val="Arial Narrow"/>
        <family val="2"/>
      </rPr>
      <t xml:space="preserve"> (controllo ammissibilità)</t>
    </r>
  </si>
  <si>
    <r>
      <rPr>
        <b/>
        <i/>
        <sz val="10"/>
        <color theme="1"/>
        <rFont val="Symbol"/>
        <family val="1"/>
        <charset val="2"/>
      </rPr>
      <t>S</t>
    </r>
    <r>
      <rPr>
        <b/>
        <i/>
        <sz val="10"/>
        <color theme="1"/>
        <rFont val="Arial Narrow"/>
        <family val="2"/>
      </rPr>
      <t>FoNI</t>
    </r>
    <r>
      <rPr>
        <b/>
        <i/>
        <vertAlign val="subscript"/>
        <sz val="10"/>
        <color theme="1"/>
        <rFont val="Arial Narrow"/>
        <family val="2"/>
      </rPr>
      <t>noninv</t>
    </r>
    <r>
      <rPr>
        <b/>
        <i/>
        <sz val="10"/>
        <color theme="1"/>
        <rFont val="Arial Narrow"/>
        <family val="2"/>
      </rPr>
      <t xml:space="preserve"> </t>
    </r>
    <r>
      <rPr>
        <i/>
        <sz val="10"/>
        <color theme="1"/>
        <rFont val="Arial Narrow"/>
        <family val="2"/>
      </rPr>
      <t>(a moneta dell'anno)</t>
    </r>
  </si>
  <si>
    <t>AC - controllo Anno deliberazione e Tipologia Proprietario</t>
  </si>
  <si>
    <t>Anno dismissione</t>
  </si>
  <si>
    <t>FA (Euro)</t>
  </si>
  <si>
    <t>FA cfp (Euro)</t>
  </si>
  <si>
    <t>N_riga</t>
  </si>
  <si>
    <t>Unpaid Ratio [UR] indicato</t>
  </si>
  <si>
    <t>AF MTI</t>
  </si>
  <si>
    <t>nomi delle tabelle</t>
  </si>
  <si>
    <t>Soggetti_Elenco</t>
  </si>
  <si>
    <t>Vendita_Servizi</t>
  </si>
  <si>
    <t>Acquisto_Servizi</t>
  </si>
  <si>
    <t>N_Riga</t>
  </si>
  <si>
    <t>N_Riga bis</t>
  </si>
  <si>
    <t>Tipologia di Proprietario</t>
  </si>
  <si>
    <t>Componenti calcolate</t>
  </si>
  <si>
    <t>ulteriori rimodulazioni del VRG</t>
  </si>
  <si>
    <t>idgestore</t>
  </si>
  <si>
    <t>Info_Soggetti_Aggregati</t>
  </si>
  <si>
    <t>Installazione/gestione bocche antincendio</t>
  </si>
  <si>
    <t>nome_soggetto</t>
  </si>
  <si>
    <t>Tutti i valori si intendono a moneta dell'anno del cespite</t>
  </si>
  <si>
    <t>da t-6 a t</t>
  </si>
  <si>
    <r>
      <t>Opex</t>
    </r>
    <r>
      <rPr>
        <vertAlign val="subscript"/>
        <sz val="10"/>
        <rFont val="Arial Narrow"/>
        <family val="2"/>
      </rPr>
      <t>end</t>
    </r>
    <r>
      <rPr>
        <sz val="10"/>
        <rFont val="Arial Narrow"/>
        <family val="2"/>
      </rPr>
      <t xml:space="preserve"> al netto degli ERC</t>
    </r>
    <r>
      <rPr>
        <vertAlign val="subscript"/>
        <sz val="10"/>
        <rFont val="Arial Narrow"/>
        <family val="2"/>
      </rPr>
      <t>end</t>
    </r>
  </si>
  <si>
    <t>B7) Altri servizi da altre imprese</t>
  </si>
  <si>
    <r>
      <t>ΔCUIT</t>
    </r>
    <r>
      <rPr>
        <vertAlign val="superscript"/>
        <sz val="10"/>
        <color indexed="8"/>
        <rFont val="Arial Narrow"/>
        <family val="2"/>
      </rPr>
      <t>a</t>
    </r>
    <r>
      <rPr>
        <vertAlign val="subscript"/>
        <sz val="10"/>
        <color indexed="8"/>
        <rFont val="Arial Narrow"/>
        <family val="2"/>
      </rPr>
      <t xml:space="preserve">FoNI </t>
    </r>
    <r>
      <rPr>
        <sz val="10"/>
        <color indexed="8"/>
        <rFont val="Arial Narrow"/>
        <family val="2"/>
      </rPr>
      <t>rinunciato dal soggetto compilante</t>
    </r>
  </si>
  <si>
    <r>
      <t>VRG</t>
    </r>
    <r>
      <rPr>
        <vertAlign val="superscript"/>
        <sz val="10"/>
        <rFont val="Arial Narrow"/>
        <family val="2"/>
      </rPr>
      <t>a</t>
    </r>
    <r>
      <rPr>
        <sz val="10"/>
        <rFont val="Arial Narrow"/>
        <family val="2"/>
      </rPr>
      <t xml:space="preserve"> al cap</t>
    </r>
  </si>
  <si>
    <r>
      <t>ϑ</t>
    </r>
    <r>
      <rPr>
        <vertAlign val="superscript"/>
        <sz val="10"/>
        <rFont val="Arial Narrow"/>
        <family val="2"/>
      </rPr>
      <t>a</t>
    </r>
    <r>
      <rPr>
        <sz val="10"/>
        <rFont val="Arial Narrow"/>
        <family val="2"/>
      </rPr>
      <t xml:space="preserve"> massimo applicabile</t>
    </r>
  </si>
  <si>
    <r>
      <rPr>
        <sz val="8.5"/>
        <rFont val="Symbol"/>
        <family val="1"/>
        <charset val="2"/>
      </rPr>
      <t>D</t>
    </r>
    <r>
      <rPr>
        <sz val="10"/>
        <rFont val="Arial Narrow"/>
        <family val="2"/>
      </rPr>
      <t>CUIT capex  (dettagliare nella relazione le motivazioni della collocazione tra i capex)</t>
    </r>
  </si>
  <si>
    <t>controllo dati anni precedenti</t>
  </si>
  <si>
    <r>
      <t>Rb</t>
    </r>
    <r>
      <rPr>
        <vertAlign val="superscript"/>
        <sz val="10"/>
        <color indexed="8"/>
        <rFont val="Arial Narrow"/>
        <family val="2"/>
      </rPr>
      <t>a-2</t>
    </r>
  </si>
  <si>
    <r>
      <t>Cb</t>
    </r>
    <r>
      <rPr>
        <vertAlign val="superscript"/>
        <sz val="10"/>
        <color indexed="8"/>
        <rFont val="Arial Narrow"/>
        <family val="2"/>
      </rPr>
      <t>a-2</t>
    </r>
  </si>
  <si>
    <r>
      <t>Rc</t>
    </r>
    <r>
      <rPr>
        <vertAlign val="subscript"/>
        <sz val="10"/>
        <color indexed="8"/>
        <rFont val="Arial Narrow"/>
        <family val="2"/>
      </rPr>
      <t>VOL</t>
    </r>
  </si>
  <si>
    <r>
      <t>Rc</t>
    </r>
    <r>
      <rPr>
        <vertAlign val="subscript"/>
        <sz val="10"/>
        <color indexed="8"/>
        <rFont val="Arial Narrow"/>
        <family val="2"/>
      </rPr>
      <t>EE</t>
    </r>
  </si>
  <si>
    <r>
      <t>Rc</t>
    </r>
    <r>
      <rPr>
        <vertAlign val="subscript"/>
        <sz val="10"/>
        <color indexed="8"/>
        <rFont val="Arial Narrow"/>
        <family val="2"/>
      </rPr>
      <t>WS</t>
    </r>
  </si>
  <si>
    <t>Altre componenti perequative</t>
  </si>
  <si>
    <t>Autorità Idrica Toscana</t>
  </si>
  <si>
    <t>Consiglio di Bacino Polesine</t>
  </si>
  <si>
    <t>013250</t>
  </si>
  <si>
    <t>Borgo Virgilio</t>
  </si>
  <si>
    <t>020071</t>
  </si>
  <si>
    <t>Casciana Terme Lari</t>
  </si>
  <si>
    <t>050040</t>
  </si>
  <si>
    <t>Castelfranco Piandiscò</t>
  </si>
  <si>
    <t>051040</t>
  </si>
  <si>
    <t>Colverde</t>
  </si>
  <si>
    <t>013251</t>
  </si>
  <si>
    <t>Cornale e Bastida</t>
  </si>
  <si>
    <t>018191</t>
  </si>
  <si>
    <t>Crespina Lorenzana</t>
  </si>
  <si>
    <t>050041</t>
  </si>
  <si>
    <t>Fabbriche di Vergemoli</t>
  </si>
  <si>
    <t>046036</t>
  </si>
  <si>
    <t>Figline e Incisa Valdarno</t>
  </si>
  <si>
    <t>048052</t>
  </si>
  <si>
    <t>Fiscaglia</t>
  </si>
  <si>
    <t>038027</t>
  </si>
  <si>
    <t>La Valletta Brianza</t>
  </si>
  <si>
    <t>097092</t>
  </si>
  <si>
    <t>Laveno-Mombello</t>
  </si>
  <si>
    <t>025071</t>
  </si>
  <si>
    <t>Maccagno con Pino e Veddasca</t>
  </si>
  <si>
    <t>012142</t>
  </si>
  <si>
    <t>Montoro</t>
  </si>
  <si>
    <t>064121</t>
  </si>
  <si>
    <t>Poggio Torriana</t>
  </si>
  <si>
    <t>099028</t>
  </si>
  <si>
    <t>Pratovecchio Stia</t>
  </si>
  <si>
    <t>051041</t>
  </si>
  <si>
    <t>Predaia</t>
  </si>
  <si>
    <t>022230</t>
  </si>
  <si>
    <t>Rivignano Teor</t>
  </si>
  <si>
    <t>030188</t>
  </si>
  <si>
    <t>San Lorenzo Dorsino</t>
  </si>
  <si>
    <t>022231</t>
  </si>
  <si>
    <t>016252</t>
  </si>
  <si>
    <t>Scarperia e San Piero</t>
  </si>
  <si>
    <t>048053</t>
  </si>
  <si>
    <t>Sillano Giuncugnano</t>
  </si>
  <si>
    <t>046037</t>
  </si>
  <si>
    <t>Sissa Trecasali</t>
  </si>
  <si>
    <t>034049</t>
  </si>
  <si>
    <t>Trecastelli</t>
  </si>
  <si>
    <t>042050</t>
  </si>
  <si>
    <t>013252</t>
  </si>
  <si>
    <t>Val Brembilla</t>
  </si>
  <si>
    <t>016253</t>
  </si>
  <si>
    <t>Valdaone</t>
  </si>
  <si>
    <t>022232</t>
  </si>
  <si>
    <t>Vallefoglia</t>
  </si>
  <si>
    <t>041068</t>
  </si>
  <si>
    <t>Valsamoggia</t>
  </si>
  <si>
    <t>037061</t>
  </si>
  <si>
    <t>Valvasone Arzene</t>
  </si>
  <si>
    <t>093053</t>
  </si>
  <si>
    <t>097091</t>
  </si>
  <si>
    <t xml:space="preserve">Anno di deliberazione </t>
  </si>
  <si>
    <t>costi sostenuti di fornitura all'ingrosso, criterio di competenza</t>
  </si>
  <si>
    <t>Rimborsi dagli utenti finali relativi alla gestione della morosità</t>
  </si>
  <si>
    <t>Nriga</t>
  </si>
  <si>
    <t>il file può essere caricato ?</t>
  </si>
  <si>
    <t>SONO PRESENTI ATO E GESTORE ?</t>
  </si>
  <si>
    <t>PRECOMPILATO</t>
  </si>
  <si>
    <t>1 = precompilato; 0 = deve fornire tutti i dati</t>
  </si>
  <si>
    <t xml:space="preserve"> Deflatore per anno 2012</t>
  </si>
  <si>
    <t xml:space="preserve"> Deflatore per anno 2013</t>
  </si>
  <si>
    <t xml:space="preserve"> Deflatore per anno 2014</t>
  </si>
  <si>
    <t xml:space="preserve"> Deflatore per anno 2015</t>
  </si>
  <si>
    <t xml:space="preserve"> Deflatore per anno 2016</t>
  </si>
  <si>
    <t xml:space="preserve"> Deflatore per anno 2017</t>
  </si>
  <si>
    <t xml:space="preserve"> Deflatore per anno 2018</t>
  </si>
  <si>
    <t xml:space="preserve"> Deflatore per anno 2019</t>
  </si>
  <si>
    <t>MEZZI DI TERZI</t>
  </si>
  <si>
    <t xml:space="preserve">Codice ISTAT </t>
  </si>
  <si>
    <r>
      <t xml:space="preserve">costi a seguito dell'applicazione del </t>
    </r>
    <r>
      <rPr>
        <i/>
        <sz val="8.5"/>
        <color rgb="FFFF0000"/>
        <rFont val="Symbol"/>
        <family val="1"/>
        <charset val="2"/>
      </rPr>
      <t>J</t>
    </r>
    <r>
      <rPr>
        <i/>
        <sz val="10"/>
        <color rgb="FFFF0000"/>
        <rFont val="Arial Narrow"/>
        <family val="2"/>
      </rPr>
      <t xml:space="preserve"> al grossista </t>
    </r>
  </si>
  <si>
    <t>scarico dati</t>
  </si>
  <si>
    <t>Sezione di elaborazione dei dati forniti</t>
  </si>
  <si>
    <t>DATI DI CONTO ECONOMICO</t>
  </si>
  <si>
    <t>ELENCO SOGGETTI PROPRIETARI</t>
  </si>
  <si>
    <t>COSTI ASSOCIATI AI SOGGETTI PROPRIETARI</t>
  </si>
  <si>
    <t>per costruzione</t>
  </si>
  <si>
    <t>RICAVI TARIFFARI</t>
  </si>
  <si>
    <t>Servizio idrico</t>
  </si>
  <si>
    <t>Soggetto da cui si acquista</t>
  </si>
  <si>
    <t>SCAMBI ALL'INGROSSO</t>
  </si>
  <si>
    <t>IMMOBILIZZAZIONI DEL GESTORE</t>
  </si>
  <si>
    <t>Categoria del cespite</t>
  </si>
  <si>
    <t>1. LAVORI IN CORSO</t>
  </si>
  <si>
    <t>3. DISMISSIONI</t>
  </si>
  <si>
    <t>AGGREGAZIONI</t>
  </si>
  <si>
    <t>1. INFORMAZIONI SUI SOGGETTI AGGREGATI</t>
  </si>
  <si>
    <t>Nome del soggetto</t>
  </si>
  <si>
    <t>In caso di compilazione, fornire tutte le informazioni richieste</t>
  </si>
  <si>
    <t>n. (3 cifre decimali)</t>
  </si>
  <si>
    <r>
      <t xml:space="preserve">n. </t>
    </r>
    <r>
      <rPr>
        <sz val="10"/>
        <color indexed="8"/>
        <rFont val="Arial Narrow"/>
        <family val="2"/>
      </rPr>
      <t>(3 cifre decimali)</t>
    </r>
  </si>
  <si>
    <t>info predisposizione</t>
  </si>
  <si>
    <r>
      <t>VRG</t>
    </r>
    <r>
      <rPr>
        <b/>
        <vertAlign val="superscript"/>
        <sz val="10"/>
        <color indexed="8"/>
        <rFont val="Arial Narrow"/>
        <family val="2"/>
      </rPr>
      <t>a</t>
    </r>
    <r>
      <rPr>
        <sz val="10"/>
        <color indexed="8"/>
        <rFont val="Arial Narrow"/>
        <family val="2"/>
      </rPr>
      <t xml:space="preserve"> (coerente con </t>
    </r>
    <r>
      <rPr>
        <sz val="10"/>
        <color indexed="8"/>
        <rFont val="Symbol"/>
        <family val="1"/>
        <charset val="2"/>
      </rPr>
      <t>J</t>
    </r>
    <r>
      <rPr>
        <sz val="10"/>
        <color indexed="8"/>
        <rFont val="Arial Narrow"/>
        <family val="2"/>
      </rPr>
      <t xml:space="preserve"> applicabile)</t>
    </r>
  </si>
  <si>
    <r>
      <rPr>
        <b/>
        <sz val="10"/>
        <color indexed="8"/>
        <rFont val="Symbol"/>
        <family val="1"/>
        <charset val="2"/>
      </rPr>
      <t>J</t>
    </r>
    <r>
      <rPr>
        <b/>
        <vertAlign val="superscript"/>
        <sz val="10"/>
        <color indexed="8"/>
        <rFont val="Arial Narrow"/>
        <family val="2"/>
      </rPr>
      <t>a</t>
    </r>
    <r>
      <rPr>
        <b/>
        <sz val="10"/>
        <color indexed="8"/>
        <rFont val="Arial Narrow"/>
        <family val="2"/>
      </rPr>
      <t xml:space="preserve"> applicabile</t>
    </r>
  </si>
  <si>
    <r>
      <t>VRG</t>
    </r>
    <r>
      <rPr>
        <b/>
        <vertAlign val="superscript"/>
        <sz val="10"/>
        <color indexed="8"/>
        <rFont val="Arial Narrow"/>
        <family val="2"/>
      </rPr>
      <t>a</t>
    </r>
    <r>
      <rPr>
        <b/>
        <sz val="10"/>
        <color indexed="8"/>
        <rFont val="Arial Narrow"/>
        <family val="2"/>
      </rPr>
      <t xml:space="preserve"> predisposto dal soggetto competente</t>
    </r>
  </si>
  <si>
    <t>SVILUPPO DEL MOLTIPLICATORE TARIFFARIO predisposto dal soggetto competente</t>
  </si>
  <si>
    <r>
      <rPr>
        <b/>
        <sz val="10"/>
        <color indexed="8"/>
        <rFont val="Symbol"/>
        <family val="1"/>
        <charset val="2"/>
      </rPr>
      <t>J</t>
    </r>
    <r>
      <rPr>
        <b/>
        <vertAlign val="superscript"/>
        <sz val="10"/>
        <color indexed="8"/>
        <rFont val="Arial Narrow"/>
        <family val="2"/>
      </rPr>
      <t>a</t>
    </r>
    <r>
      <rPr>
        <b/>
        <sz val="10"/>
        <color indexed="8"/>
        <rFont val="Arial Narrow"/>
        <family val="2"/>
      </rPr>
      <t xml:space="preserve"> predisposto dal soggetto competente</t>
    </r>
  </si>
  <si>
    <r>
      <t>VRG</t>
    </r>
    <r>
      <rPr>
        <vertAlign val="superscript"/>
        <sz val="10"/>
        <color indexed="8"/>
        <rFont val="Arial Narrow"/>
        <family val="2"/>
      </rPr>
      <t>a</t>
    </r>
    <r>
      <rPr>
        <sz val="10"/>
        <color indexed="8"/>
        <rFont val="Arial Narrow"/>
        <family val="2"/>
      </rPr>
      <t xml:space="preserve"> predisposto dal soggetto competente</t>
    </r>
  </si>
  <si>
    <t>Accoglimento Istanza per soggetto competente</t>
  </si>
  <si>
    <t>03119540130</t>
  </si>
  <si>
    <t>LARIO RETI HOLDING</t>
  </si>
  <si>
    <t>00111860193</t>
  </si>
  <si>
    <t>PADANIA ACQUE S.P.A.</t>
  </si>
  <si>
    <t>00169490257</t>
  </si>
  <si>
    <t>CONSORZIO PER L'ACQUEDOTTO DI AZZON</t>
  </si>
  <si>
    <t>00725430805</t>
  </si>
  <si>
    <t>Comune di Rosarno</t>
  </si>
  <si>
    <t>00523990836</t>
  </si>
  <si>
    <t>COMUNE DI TUSA</t>
  </si>
  <si>
    <t>00359470804</t>
  </si>
  <si>
    <t>Comune di Bivongi</t>
  </si>
  <si>
    <t>02354850220</t>
  </si>
  <si>
    <t>COMUNE DI PREDAIA</t>
  </si>
  <si>
    <t>00106030836</t>
  </si>
  <si>
    <t>COMUNE DI PACE DEL MELA</t>
  </si>
  <si>
    <t>00914010806</t>
  </si>
  <si>
    <t>COMUNE DI PAZZANO</t>
  </si>
  <si>
    <t>00327070793</t>
  </si>
  <si>
    <t>COMUNE DI ZUNGRI</t>
  </si>
  <si>
    <t>00818910804</t>
  </si>
  <si>
    <t>Comune di San Luca</t>
  </si>
  <si>
    <t>00080280886</t>
  </si>
  <si>
    <t>COMUNE DI ACATE</t>
  </si>
  <si>
    <t>00411750839</t>
  </si>
  <si>
    <t>COMUNE DI SANTA TERESA DI RIVA</t>
  </si>
  <si>
    <t>00465190833</t>
  </si>
  <si>
    <t>COMUNE DI GALLODORO</t>
  </si>
  <si>
    <t>00323900795</t>
  </si>
  <si>
    <t>COMUNE DI SAN NICOLA DA CRISSA</t>
  </si>
  <si>
    <t>00279020796</t>
  </si>
  <si>
    <t>COMUNE DI POLIA</t>
  </si>
  <si>
    <t>00336870803</t>
  </si>
  <si>
    <t>COMUNE DI BRUZZANO ZEFFIRIO</t>
  </si>
  <si>
    <t>00313730798</t>
  </si>
  <si>
    <t>COMUNE DI ZAMBRONE</t>
  </si>
  <si>
    <t>00745140830</t>
  </si>
  <si>
    <t>COMUNE DI SAN PIER NICETO</t>
  </si>
  <si>
    <t>00300480803</t>
  </si>
  <si>
    <t>COMUNE DI BIANCO</t>
  </si>
  <si>
    <t>00315870808</t>
  </si>
  <si>
    <t>COMUNE DI STILO</t>
  </si>
  <si>
    <t>00363920794</t>
  </si>
  <si>
    <t>COMUNE DI MONTEROSSO CALABRO</t>
  </si>
  <si>
    <t>00346700792</t>
  </si>
  <si>
    <t>COMUNE DI MILETO</t>
  </si>
  <si>
    <t>00407350834</t>
  </si>
  <si>
    <t>Comune di Piraino</t>
  </si>
  <si>
    <t>00322880790</t>
  </si>
  <si>
    <t>Comune di Spilinga</t>
  </si>
  <si>
    <t>00302030796</t>
  </si>
  <si>
    <t>Comune di Vibo Valentia</t>
  </si>
  <si>
    <t>00278200795</t>
  </si>
  <si>
    <t>Comune di Serra San Bruno</t>
  </si>
  <si>
    <t>00312730807</t>
  </si>
  <si>
    <t>Comune di Maropati</t>
  </si>
  <si>
    <t>00327470795</t>
  </si>
  <si>
    <t>00731330809</t>
  </si>
  <si>
    <t>COMUNE DI BENESTARE</t>
  </si>
  <si>
    <t>01240060804</t>
  </si>
  <si>
    <t>COMUNE DI PLATI'</t>
  </si>
  <si>
    <t>01269290878</t>
  </si>
  <si>
    <t>COMUNE DI RADDUSA</t>
  </si>
  <si>
    <t>00300090800</t>
  </si>
  <si>
    <t>COMUNE DI BRANCALEONE</t>
  </si>
  <si>
    <t>00710370800</t>
  </si>
  <si>
    <t>COMUNE DI AGNANA CALABRA</t>
  </si>
  <si>
    <t>00928660802</t>
  </si>
  <si>
    <t>COMUNE DI BOVALINO</t>
  </si>
  <si>
    <t>00138500806</t>
  </si>
  <si>
    <t>COMUNE DI LOCRI</t>
  </si>
  <si>
    <t>02402160226</t>
  </si>
  <si>
    <t>COMUNE DI BORGO CHIESE</t>
  </si>
  <si>
    <t>COMUNE DI PETRONA'</t>
  </si>
  <si>
    <t>02401920224</t>
  </si>
  <si>
    <t>COMUNE DI CASTEL IVANO</t>
  </si>
  <si>
    <t>02401970229</t>
  </si>
  <si>
    <t>COMUNE DI DIMARO FOLGARIDA</t>
  </si>
  <si>
    <t>02401900226</t>
  </si>
  <si>
    <t>COMUNE DI SELLA GIUDICARIE</t>
  </si>
  <si>
    <t>00251130621</t>
  </si>
  <si>
    <t>CONSORZIO ACQUEDOTTO TRA I COMUNI DI FRAGNETO MONFORTE E FRAGNETO L'ABATE</t>
  </si>
  <si>
    <t>00421660036</t>
  </si>
  <si>
    <t>COMUNE DI ANZOLA D'OSSOLA</t>
  </si>
  <si>
    <t>00326560091</t>
  </si>
  <si>
    <t>Comune di Vendone</t>
  </si>
  <si>
    <t>00327960092</t>
  </si>
  <si>
    <t>COMUNE DI CASANOVA LERRONE</t>
  </si>
  <si>
    <t>01231940907</t>
  </si>
  <si>
    <t>COMUNE DI BURGOS</t>
  </si>
  <si>
    <t>00468290044</t>
  </si>
  <si>
    <t>comune di bosia</t>
  </si>
  <si>
    <t>00275560837</t>
  </si>
  <si>
    <t>00364720417</t>
  </si>
  <si>
    <t>01029780903</t>
  </si>
  <si>
    <t>COMUNE DI BESSUDE</t>
  </si>
  <si>
    <t>03507580136</t>
  </si>
  <si>
    <t>COMUNE DI COLVERDE</t>
  </si>
  <si>
    <t>Sono presenti Errori</t>
  </si>
  <si>
    <r>
      <rPr>
        <sz val="10"/>
        <color indexed="8"/>
        <rFont val="Symbol"/>
        <family val="1"/>
        <charset val="2"/>
      </rPr>
      <t xml:space="preserve">y </t>
    </r>
    <r>
      <rPr>
        <sz val="10"/>
        <color theme="1"/>
        <rFont val="Arial"/>
        <family val="2"/>
      </rPr>
      <t>min</t>
    </r>
  </si>
  <si>
    <r>
      <rPr>
        <sz val="10"/>
        <color indexed="8"/>
        <rFont val="Symbol"/>
        <family val="1"/>
        <charset val="2"/>
      </rPr>
      <t xml:space="preserve">y </t>
    </r>
    <r>
      <rPr>
        <sz val="10"/>
        <color theme="1"/>
        <rFont val="Arial"/>
        <family val="2"/>
      </rPr>
      <t>max</t>
    </r>
  </si>
  <si>
    <r>
      <t>VRG</t>
    </r>
    <r>
      <rPr>
        <vertAlign val="superscript"/>
        <sz val="10"/>
        <color theme="1"/>
        <rFont val="Arial Narrow"/>
        <family val="2"/>
      </rPr>
      <t>a</t>
    </r>
    <r>
      <rPr>
        <sz val="10"/>
        <color theme="1"/>
        <rFont val="Arial Narrow"/>
        <family val="2"/>
      </rPr>
      <t xml:space="preserve"> (calcolo per applicabile)</t>
    </r>
  </si>
  <si>
    <r>
      <rPr>
        <sz val="10"/>
        <color theme="1"/>
        <rFont val="Arial Narrow"/>
        <family val="2"/>
      </rPr>
      <t xml:space="preserve">Limite al </t>
    </r>
    <r>
      <rPr>
        <b/>
        <sz val="10"/>
        <color theme="1"/>
        <rFont val="Arial Narrow"/>
        <family val="2"/>
      </rPr>
      <t>VRG</t>
    </r>
    <r>
      <rPr>
        <vertAlign val="superscript"/>
        <sz val="10"/>
        <color theme="1"/>
        <rFont val="Arial Narrow"/>
        <family val="2"/>
      </rPr>
      <t>a</t>
    </r>
    <r>
      <rPr>
        <sz val="10"/>
        <color theme="1"/>
        <rFont val="Arial Narrow"/>
        <family val="2"/>
      </rPr>
      <t xml:space="preserve"> (calcolo per applicabile)</t>
    </r>
  </si>
  <si>
    <t>Limite al moltiplicatore (calcolo per applicabile)</t>
  </si>
  <si>
    <r>
      <rPr>
        <sz val="10"/>
        <color theme="1"/>
        <rFont val="Symbol"/>
        <family val="1"/>
        <charset val="2"/>
      </rPr>
      <t>J</t>
    </r>
    <r>
      <rPr>
        <vertAlign val="superscript"/>
        <sz val="10"/>
        <color theme="1"/>
        <rFont val="Arial Narrow"/>
        <family val="2"/>
      </rPr>
      <t xml:space="preserve">a </t>
    </r>
    <r>
      <rPr>
        <sz val="10"/>
        <color theme="1"/>
        <rFont val="Arial Narrow"/>
        <family val="2"/>
      </rPr>
      <t>(calcolo per applicabile)</t>
    </r>
  </si>
  <si>
    <t>Tipo_file</t>
  </si>
  <si>
    <t>gg/mm/aaaa</t>
  </si>
  <si>
    <t>Per la compilazione seguire l'ordine dei fogli</t>
  </si>
  <si>
    <t>Versamento delle componenti perequative a CSEA</t>
  </si>
  <si>
    <t>Assicurarsi di aver correttamente
 fornito tali informazioni nel foglio dati tecnici</t>
  </si>
  <si>
    <r>
      <t>Capex</t>
    </r>
    <r>
      <rPr>
        <vertAlign val="superscript"/>
        <sz val="10"/>
        <color indexed="8"/>
        <rFont val="Arial Narrow"/>
        <family val="2"/>
      </rPr>
      <t>a</t>
    </r>
  </si>
  <si>
    <t>COMPONENTI DI COSTO Opex, Capex , FNInew, ERC</t>
  </si>
  <si>
    <r>
      <t>FNI</t>
    </r>
    <r>
      <rPr>
        <b/>
        <vertAlign val="superscript"/>
        <sz val="10"/>
        <color indexed="8"/>
        <rFont val="Arial Narrow"/>
        <family val="2"/>
      </rPr>
      <t>new,a</t>
    </r>
    <r>
      <rPr>
        <sz val="10"/>
        <color indexed="8"/>
        <rFont val="Arial Narrow"/>
        <family val="2"/>
      </rPr>
      <t/>
    </r>
  </si>
  <si>
    <t>2016-2019</t>
  </si>
  <si>
    <t>FACFP</t>
  </si>
  <si>
    <t>2011-2012</t>
  </si>
  <si>
    <t>2011-2013</t>
  </si>
  <si>
    <t>2011-2014</t>
  </si>
  <si>
    <t>2011-2015</t>
  </si>
  <si>
    <t>2011-2016</t>
  </si>
  <si>
    <t>2011-2017</t>
  </si>
  <si>
    <t>2011-2018</t>
  </si>
  <si>
    <t>2011-2019</t>
  </si>
  <si>
    <t>2012-2014</t>
  </si>
  <si>
    <t>2012-2015</t>
  </si>
  <si>
    <t>2012-2016</t>
  </si>
  <si>
    <t>2012-2017</t>
  </si>
  <si>
    <t>2012-2018</t>
  </si>
  <si>
    <t>2012-2019</t>
  </si>
  <si>
    <t>2013-2015</t>
  </si>
  <si>
    <t>2013-2016</t>
  </si>
  <si>
    <t>2013-2017</t>
  </si>
  <si>
    <t>2013-2018</t>
  </si>
  <si>
    <t>2013-2019</t>
  </si>
  <si>
    <t>2014-2016</t>
  </si>
  <si>
    <t>2014-2017</t>
  </si>
  <si>
    <t>2014-2018</t>
  </si>
  <si>
    <t>2014-2019</t>
  </si>
  <si>
    <t>2015-2017</t>
  </si>
  <si>
    <t>2015-2018</t>
  </si>
  <si>
    <t>2015-2019</t>
  </si>
  <si>
    <t>2016-2018</t>
  </si>
  <si>
    <t>2017-2019</t>
  </si>
  <si>
    <t xml:space="preserve"> Deflatore per anno 2020</t>
  </si>
  <si>
    <t xml:space="preserve"> Deflatore per anno 2021</t>
  </si>
  <si>
    <t xml:space="preserve"> Deflatore per anno 2022</t>
  </si>
  <si>
    <t xml:space="preserve"> Deflatore per anno 2023</t>
  </si>
  <si>
    <t xml:space="preserve"> Deflatore per anno 2024</t>
  </si>
  <si>
    <t xml:space="preserve"> Deflatore per anno 2025</t>
  </si>
  <si>
    <t xml:space="preserve"> Deflatore per anno 2026</t>
  </si>
  <si>
    <t xml:space="preserve"> Deflatore per anno 2027</t>
  </si>
  <si>
    <t xml:space="preserve"> Deflatore per anno 2028</t>
  </si>
  <si>
    <t xml:space="preserve"> Deflatore per anno 2029</t>
  </si>
  <si>
    <t xml:space="preserve"> Deflatore per anno 2030</t>
  </si>
  <si>
    <t xml:space="preserve"> Deflatore per anno 2031</t>
  </si>
  <si>
    <t xml:space="preserve"> Deflatore per anno 2032</t>
  </si>
  <si>
    <t xml:space="preserve"> Deflatore per anno 2033</t>
  </si>
  <si>
    <t xml:space="preserve"> Deflatore per anno 2034</t>
  </si>
  <si>
    <t xml:space="preserve"> Deflatore per anno 2035</t>
  </si>
  <si>
    <t xml:space="preserve"> Deflatore per anno 2036</t>
  </si>
  <si>
    <t xml:space="preserve"> Deflatore per anno 2037</t>
  </si>
  <si>
    <t xml:space="preserve"> Deflatore per anno 2038</t>
  </si>
  <si>
    <t xml:space="preserve"> Deflatore per anno 2039</t>
  </si>
  <si>
    <t xml:space="preserve"> Deflatore per anno 2040</t>
  </si>
  <si>
    <t xml:space="preserve"> Deflatore per anno 2041</t>
  </si>
  <si>
    <t xml:space="preserve"> Deflatore per anno 2042</t>
  </si>
  <si>
    <t xml:space="preserve"> Deflatore per anno 2043</t>
  </si>
  <si>
    <t xml:space="preserve"> Deflatore per anno 2044</t>
  </si>
  <si>
    <t xml:space="preserve"> Deflatore per anno 2045</t>
  </si>
  <si>
    <t xml:space="preserve"> Deflatore per anno 2046</t>
  </si>
  <si>
    <t xml:space="preserve"> Deflatore per anno 2047</t>
  </si>
  <si>
    <t xml:space="preserve"> Deflatore per anno 2048</t>
  </si>
  <si>
    <t xml:space="preserve"> Deflatore per anno 2049</t>
  </si>
  <si>
    <t xml:space="preserve"> Deflatore per anno 2050</t>
  </si>
  <si>
    <t xml:space="preserve"> Deflatore per anno 2051</t>
  </si>
  <si>
    <t xml:space="preserve"> Deflatore per anno 2052</t>
  </si>
  <si>
    <t xml:space="preserve"> Deflatore per anno 2053</t>
  </si>
  <si>
    <t xml:space="preserve"> Deflatore per anno 2054</t>
  </si>
  <si>
    <t xml:space="preserve"> Deflatore per anno 2055</t>
  </si>
  <si>
    <t>2011-2020</t>
  </si>
  <si>
    <t>2011-2021</t>
  </si>
  <si>
    <t>2011-2022</t>
  </si>
  <si>
    <t>2011-2023</t>
  </si>
  <si>
    <t>2011-2024</t>
  </si>
  <si>
    <t>2011-2025</t>
  </si>
  <si>
    <t>2011-2026</t>
  </si>
  <si>
    <t>2011-2027</t>
  </si>
  <si>
    <t>2011-2028</t>
  </si>
  <si>
    <t>2011-2029</t>
  </si>
  <si>
    <t>2011-2030</t>
  </si>
  <si>
    <t>2011-2031</t>
  </si>
  <si>
    <t>2011-2032</t>
  </si>
  <si>
    <t>2011-2033</t>
  </si>
  <si>
    <t>2011-2034</t>
  </si>
  <si>
    <t>2011-2035</t>
  </si>
  <si>
    <t>2011-2036</t>
  </si>
  <si>
    <t>2011-2037</t>
  </si>
  <si>
    <t>2011-2038</t>
  </si>
  <si>
    <t>2011-2039</t>
  </si>
  <si>
    <t>2011-2040</t>
  </si>
  <si>
    <t>2011-2041</t>
  </si>
  <si>
    <t>2011-2042</t>
  </si>
  <si>
    <t>2011-2043</t>
  </si>
  <si>
    <t>2011-2044</t>
  </si>
  <si>
    <t>2011-2045</t>
  </si>
  <si>
    <t>2011-2046</t>
  </si>
  <si>
    <t>2011-2047</t>
  </si>
  <si>
    <t>2011-2048</t>
  </si>
  <si>
    <t>2012-2020</t>
  </si>
  <si>
    <t>2012-2021</t>
  </si>
  <si>
    <t>2012-2022</t>
  </si>
  <si>
    <t>2012-2023</t>
  </si>
  <si>
    <t>2012-2024</t>
  </si>
  <si>
    <t>2012-2025</t>
  </si>
  <si>
    <t>2012-2026</t>
  </si>
  <si>
    <t>2012-2027</t>
  </si>
  <si>
    <t>2012-2028</t>
  </si>
  <si>
    <t>2012-2029</t>
  </si>
  <si>
    <t>2012-2030</t>
  </si>
  <si>
    <t>2012-2031</t>
  </si>
  <si>
    <t>2012-2032</t>
  </si>
  <si>
    <t>2012-2033</t>
  </si>
  <si>
    <t>2012-2034</t>
  </si>
  <si>
    <t>2012-2035</t>
  </si>
  <si>
    <t>2012-2036</t>
  </si>
  <si>
    <t>2012-2037</t>
  </si>
  <si>
    <t>2012-2038</t>
  </si>
  <si>
    <t>2012-2039</t>
  </si>
  <si>
    <t>2012-2040</t>
  </si>
  <si>
    <t>2012-2041</t>
  </si>
  <si>
    <t>2012-2042</t>
  </si>
  <si>
    <t>2012-2043</t>
  </si>
  <si>
    <t>2012-2044</t>
  </si>
  <si>
    <t>2012-2045</t>
  </si>
  <si>
    <t>2012-2046</t>
  </si>
  <si>
    <t>2012-2047</t>
  </si>
  <si>
    <t>2012-2048</t>
  </si>
  <si>
    <t>2013-2020</t>
  </si>
  <si>
    <t>2013-2021</t>
  </si>
  <si>
    <t>2013-2022</t>
  </si>
  <si>
    <t>2013-2023</t>
  </si>
  <si>
    <t>2013-2024</t>
  </si>
  <si>
    <t>2013-2025</t>
  </si>
  <si>
    <t>2013-2026</t>
  </si>
  <si>
    <t>2013-2027</t>
  </si>
  <si>
    <t>2013-2028</t>
  </si>
  <si>
    <t>2013-2029</t>
  </si>
  <si>
    <t>2013-2030</t>
  </si>
  <si>
    <t>2013-2031</t>
  </si>
  <si>
    <t>2013-2032</t>
  </si>
  <si>
    <t>2013-2033</t>
  </si>
  <si>
    <t>2013-2034</t>
  </si>
  <si>
    <t>2013-2035</t>
  </si>
  <si>
    <t>2013-2036</t>
  </si>
  <si>
    <t>2013-2037</t>
  </si>
  <si>
    <t>2013-2038</t>
  </si>
  <si>
    <t>2013-2039</t>
  </si>
  <si>
    <t>2013-2040</t>
  </si>
  <si>
    <t>2013-2041</t>
  </si>
  <si>
    <t>2013-2042</t>
  </si>
  <si>
    <t>2013-2043</t>
  </si>
  <si>
    <t>2013-2044</t>
  </si>
  <si>
    <t>2013-2045</t>
  </si>
  <si>
    <t>2013-2046</t>
  </si>
  <si>
    <t>2013-2047</t>
  </si>
  <si>
    <t>2013-2048</t>
  </si>
  <si>
    <t>2014-2020</t>
  </si>
  <si>
    <t>2014-2021</t>
  </si>
  <si>
    <t>2014-2022</t>
  </si>
  <si>
    <t>2014-2023</t>
  </si>
  <si>
    <t>2014-2024</t>
  </si>
  <si>
    <t>2014-2025</t>
  </si>
  <si>
    <t>2014-2026</t>
  </si>
  <si>
    <t>2014-2027</t>
  </si>
  <si>
    <t>2014-2028</t>
  </si>
  <si>
    <t>2014-2029</t>
  </si>
  <si>
    <t>2014-2030</t>
  </si>
  <si>
    <t>2014-2031</t>
  </si>
  <si>
    <t>2014-2032</t>
  </si>
  <si>
    <t>2014-2033</t>
  </si>
  <si>
    <t>2014-2034</t>
  </si>
  <si>
    <t>2014-2035</t>
  </si>
  <si>
    <t>2014-2036</t>
  </si>
  <si>
    <t>2014-2037</t>
  </si>
  <si>
    <t>2014-2038</t>
  </si>
  <si>
    <t>2014-2039</t>
  </si>
  <si>
    <t>2014-2040</t>
  </si>
  <si>
    <t>2014-2041</t>
  </si>
  <si>
    <t>2014-2042</t>
  </si>
  <si>
    <t>2014-2043</t>
  </si>
  <si>
    <t>2014-2044</t>
  </si>
  <si>
    <t>2014-2045</t>
  </si>
  <si>
    <t>2014-2046</t>
  </si>
  <si>
    <t>2014-2047</t>
  </si>
  <si>
    <t>2014-2048</t>
  </si>
  <si>
    <t>2015-2020</t>
  </si>
  <si>
    <t>2015-2021</t>
  </si>
  <si>
    <t>2015-2022</t>
  </si>
  <si>
    <t>2015-2023</t>
  </si>
  <si>
    <t>2015-2024</t>
  </si>
  <si>
    <t>2015-2025</t>
  </si>
  <si>
    <t>2015-2026</t>
  </si>
  <si>
    <t>2015-2027</t>
  </si>
  <si>
    <t>2015-2028</t>
  </si>
  <si>
    <t>2015-2029</t>
  </si>
  <si>
    <t>2015-2030</t>
  </si>
  <si>
    <t>2015-2031</t>
  </si>
  <si>
    <t>2015-2032</t>
  </si>
  <si>
    <t>2015-2033</t>
  </si>
  <si>
    <t>2015-2034</t>
  </si>
  <si>
    <t>2015-2035</t>
  </si>
  <si>
    <t>2015-2036</t>
  </si>
  <si>
    <t>2015-2037</t>
  </si>
  <si>
    <t>2015-2038</t>
  </si>
  <si>
    <t>2015-2039</t>
  </si>
  <si>
    <t>2015-2040</t>
  </si>
  <si>
    <t>2015-2041</t>
  </si>
  <si>
    <t>2015-2042</t>
  </si>
  <si>
    <t>2015-2043</t>
  </si>
  <si>
    <t>2015-2044</t>
  </si>
  <si>
    <t>2015-2045</t>
  </si>
  <si>
    <t>2015-2046</t>
  </si>
  <si>
    <t>2015-2047</t>
  </si>
  <si>
    <t>2015-2048</t>
  </si>
  <si>
    <t>2016-2020</t>
  </si>
  <si>
    <t>2016-2021</t>
  </si>
  <si>
    <t>2016-2022</t>
  </si>
  <si>
    <t>2016-2023</t>
  </si>
  <si>
    <t>2016-2024</t>
  </si>
  <si>
    <t>2016-2025</t>
  </si>
  <si>
    <t>2016-2026</t>
  </si>
  <si>
    <t>2016-2027</t>
  </si>
  <si>
    <t>2016-2028</t>
  </si>
  <si>
    <t>2016-2029</t>
  </si>
  <si>
    <t>2016-2030</t>
  </si>
  <si>
    <t>2016-2031</t>
  </si>
  <si>
    <t>2016-2032</t>
  </si>
  <si>
    <t>2016-2033</t>
  </si>
  <si>
    <t>2016-2034</t>
  </si>
  <si>
    <t>2016-2035</t>
  </si>
  <si>
    <t>2016-2036</t>
  </si>
  <si>
    <t>2016-2037</t>
  </si>
  <si>
    <t>2016-2038</t>
  </si>
  <si>
    <t>2016-2039</t>
  </si>
  <si>
    <t>2016-2040</t>
  </si>
  <si>
    <t>2016-2041</t>
  </si>
  <si>
    <t>2016-2042</t>
  </si>
  <si>
    <t>2016-2043</t>
  </si>
  <si>
    <t>2016-2044</t>
  </si>
  <si>
    <t>2016-2045</t>
  </si>
  <si>
    <t>2016-2046</t>
  </si>
  <si>
    <t>2016-2047</t>
  </si>
  <si>
    <t>2016-2048</t>
  </si>
  <si>
    <t>2017-2020</t>
  </si>
  <si>
    <t>2017-2021</t>
  </si>
  <si>
    <t>2017-2022</t>
  </si>
  <si>
    <t>2017-2023</t>
  </si>
  <si>
    <t>2017-2024</t>
  </si>
  <si>
    <t>2017-2025</t>
  </si>
  <si>
    <t>2017-2026</t>
  </si>
  <si>
    <t>2017-2027</t>
  </si>
  <si>
    <t>2017-2028</t>
  </si>
  <si>
    <t>2017-2029</t>
  </si>
  <si>
    <t>2017-2030</t>
  </si>
  <si>
    <t>2017-2031</t>
  </si>
  <si>
    <t>2017-2032</t>
  </si>
  <si>
    <t>2017-2033</t>
  </si>
  <si>
    <t>2017-2034</t>
  </si>
  <si>
    <t>2017-2035</t>
  </si>
  <si>
    <t>2017-2036</t>
  </si>
  <si>
    <t>2017-2037</t>
  </si>
  <si>
    <t>2017-2038</t>
  </si>
  <si>
    <t>2017-2039</t>
  </si>
  <si>
    <t>2017-2040</t>
  </si>
  <si>
    <t>2017-2041</t>
  </si>
  <si>
    <t>2017-2042</t>
  </si>
  <si>
    <t>2017-2043</t>
  </si>
  <si>
    <t>2017-2044</t>
  </si>
  <si>
    <t>2017-2045</t>
  </si>
  <si>
    <t>2017-2046</t>
  </si>
  <si>
    <t>2017-2047</t>
  </si>
  <si>
    <t>2017-2048</t>
  </si>
  <si>
    <t>AnnoDismissione</t>
  </si>
  <si>
    <t>ID categoria cespite</t>
  </si>
  <si>
    <t>Categoria cespite</t>
  </si>
  <si>
    <t>ID Immobilizzazione</t>
  </si>
  <si>
    <t>2013</t>
  </si>
  <si>
    <t>2014</t>
  </si>
  <si>
    <t>2015</t>
  </si>
  <si>
    <t>2016</t>
  </si>
  <si>
    <t>2017</t>
  </si>
  <si>
    <t>di cui: Ricavi ws</t>
  </si>
  <si>
    <t>Contributi c/e</t>
  </si>
  <si>
    <r>
      <t>ERC</t>
    </r>
    <r>
      <rPr>
        <vertAlign val="subscript"/>
        <sz val="10"/>
        <color indexed="8"/>
        <rFont val="Arial Narrow"/>
        <family val="2"/>
      </rPr>
      <t>end</t>
    </r>
  </si>
  <si>
    <r>
      <t>ERC</t>
    </r>
    <r>
      <rPr>
        <vertAlign val="subscript"/>
        <sz val="10"/>
        <color indexed="8"/>
        <rFont val="Arial Narrow"/>
        <family val="2"/>
      </rPr>
      <t>al</t>
    </r>
  </si>
  <si>
    <r>
      <t>Rc</t>
    </r>
    <r>
      <rPr>
        <vertAlign val="subscript"/>
        <sz val="10"/>
        <color indexed="8"/>
        <rFont val="Arial Narrow"/>
        <family val="2"/>
      </rPr>
      <t>tot</t>
    </r>
  </si>
  <si>
    <t>tipo di dati</t>
  </si>
  <si>
    <t>dati consuntivi</t>
  </si>
  <si>
    <t>dati preconsuntivi</t>
  </si>
  <si>
    <t>Informazioni per completamento proposta tariffaria</t>
  </si>
  <si>
    <t>Tabelle di riferimento (per i menu)</t>
  </si>
  <si>
    <t>fogli di supporto</t>
  </si>
  <si>
    <t>IDGESTORE</t>
  </si>
  <si>
    <t>IP 
(come da approvazione tariffaria)</t>
  </si>
  <si>
    <t>Parametro</t>
  </si>
  <si>
    <r>
      <t>minuendo</t>
    </r>
    <r>
      <rPr>
        <vertAlign val="superscript"/>
        <sz val="10"/>
        <color theme="1"/>
        <rFont val="Arial Narrow"/>
        <family val="2"/>
      </rPr>
      <t>a-2</t>
    </r>
  </si>
  <si>
    <r>
      <t>sottraendo</t>
    </r>
    <r>
      <rPr>
        <vertAlign val="superscript"/>
        <sz val="10"/>
        <color theme="1"/>
        <rFont val="Arial Narrow"/>
        <family val="2"/>
      </rPr>
      <t>a-2</t>
    </r>
  </si>
  <si>
    <r>
      <t>1 - CIN</t>
    </r>
    <r>
      <rPr>
        <vertAlign val="subscript"/>
        <sz val="10"/>
        <rFont val="Arial"/>
        <family val="2"/>
      </rPr>
      <t>fp</t>
    </r>
    <r>
      <rPr>
        <sz val="10"/>
        <rFont val="Arial"/>
        <family val="2"/>
      </rPr>
      <t xml:space="preserve"> / CIN</t>
    </r>
  </si>
  <si>
    <r>
      <rPr>
        <sz val="10"/>
        <color indexed="8"/>
        <rFont val="Symbol"/>
        <family val="1"/>
        <charset val="2"/>
      </rPr>
      <t>D</t>
    </r>
    <r>
      <rPr>
        <sz val="10"/>
        <color indexed="8"/>
        <rFont val="Arial Narrow"/>
        <family val="2"/>
      </rPr>
      <t>RC</t>
    </r>
    <r>
      <rPr>
        <vertAlign val="subscript"/>
        <sz val="8.5"/>
        <color indexed="8"/>
        <rFont val="Arial Narrow"/>
        <family val="2"/>
      </rPr>
      <t>IP</t>
    </r>
  </si>
  <si>
    <t>ΔIP</t>
  </si>
  <si>
    <t>ΔFA</t>
  </si>
  <si>
    <t>ΔAMM</t>
  </si>
  <si>
    <t>ΔCFP</t>
  </si>
  <si>
    <t>ΔFACFP</t>
  </si>
  <si>
    <t>ΔAMM CFP</t>
  </si>
  <si>
    <r>
      <rPr>
        <b/>
        <i/>
        <sz val="10"/>
        <color indexed="8"/>
        <rFont val="Symbol"/>
        <family val="1"/>
        <charset val="2"/>
      </rPr>
      <t>D</t>
    </r>
    <r>
      <rPr>
        <b/>
        <i/>
        <sz val="10"/>
        <color indexed="8"/>
        <rFont val="Arial Narrow"/>
        <family val="2"/>
      </rPr>
      <t>CUIT</t>
    </r>
    <r>
      <rPr>
        <b/>
        <i/>
        <vertAlign val="subscript"/>
        <sz val="10"/>
        <color indexed="8"/>
        <rFont val="Arial Narrow"/>
        <family val="2"/>
      </rPr>
      <t>capex</t>
    </r>
  </si>
  <si>
    <r>
      <t>Pop</t>
    </r>
    <r>
      <rPr>
        <vertAlign val="subscript"/>
        <sz val="10"/>
        <color indexed="8"/>
        <rFont val="Arial Narrow"/>
        <family val="2"/>
      </rPr>
      <t>ATO</t>
    </r>
  </si>
  <si>
    <r>
      <rPr>
        <b/>
        <i/>
        <sz val="10"/>
        <color indexed="8"/>
        <rFont val="Arial Narrow"/>
        <family val="2"/>
      </rPr>
      <t>Op</t>
    </r>
    <r>
      <rPr>
        <b/>
        <i/>
        <vertAlign val="subscript"/>
        <sz val="10"/>
        <color indexed="8"/>
        <rFont val="Arial Narrow"/>
        <family val="2"/>
      </rPr>
      <t>social</t>
    </r>
    <r>
      <rPr>
        <b/>
        <i/>
        <sz val="10"/>
        <color indexed="8"/>
        <rFont val="Arial Narrow"/>
        <family val="2"/>
      </rPr>
      <t/>
    </r>
  </si>
  <si>
    <r>
      <rPr>
        <b/>
        <sz val="8.5"/>
        <color theme="1"/>
        <rFont val="Symbol"/>
        <family val="1"/>
        <charset val="2"/>
      </rPr>
      <t>D</t>
    </r>
    <r>
      <rPr>
        <b/>
        <sz val="10"/>
        <color theme="1"/>
        <rFont val="Arial Narrow"/>
        <family val="2"/>
      </rPr>
      <t>Opex</t>
    </r>
    <r>
      <rPr>
        <b/>
        <vertAlign val="subscript"/>
        <sz val="10"/>
        <color theme="1"/>
        <rFont val="Arial Narrow"/>
        <family val="2"/>
      </rPr>
      <t>QC</t>
    </r>
  </si>
  <si>
    <t>ΔAMM - ΔAMM CFP</t>
  </si>
  <si>
    <t>ΔOF</t>
  </si>
  <si>
    <t>ΔOFisc</t>
  </si>
  <si>
    <r>
      <rPr>
        <sz val="8.5"/>
        <color theme="1"/>
        <rFont val="Symbol"/>
        <family val="1"/>
        <charset val="2"/>
      </rPr>
      <t>D</t>
    </r>
    <r>
      <rPr>
        <sz val="10"/>
        <color theme="1"/>
        <rFont val="Arial Narrow"/>
        <family val="2"/>
      </rPr>
      <t>Opex</t>
    </r>
    <r>
      <rPr>
        <vertAlign val="subscript"/>
        <sz val="10"/>
        <color theme="1"/>
        <rFont val="Arial Narrow"/>
        <family val="2"/>
      </rPr>
      <t>QC</t>
    </r>
  </si>
  <si>
    <t>id_gestore</t>
  </si>
  <si>
    <t>P.IVA</t>
  </si>
  <si>
    <t>Risorse da destinare alla contabilità speciale del Commissario Unico</t>
  </si>
  <si>
    <t>AF MTI-2</t>
  </si>
  <si>
    <t>Nelle colonne sono riportate le vite utili per lo sviluppo della RAB secondo la sequenza "Anno del cespite" - "Anno di calcolo"</t>
  </si>
  <si>
    <t>Prerequisito</t>
  </si>
  <si>
    <t>Note compilazione</t>
  </si>
  <si>
    <t xml:space="preserve">Notazione dato </t>
  </si>
  <si>
    <t>Descrizione dato</t>
  </si>
  <si>
    <t>M1a</t>
  </si>
  <si>
    <t>M2</t>
  </si>
  <si>
    <t>Interruzioni del servizio</t>
  </si>
  <si>
    <t>kWh</t>
  </si>
  <si>
    <t>M4a</t>
  </si>
  <si>
    <t>Frequenza allagamenti e/o sversamenti da fognatura</t>
  </si>
  <si>
    <t>M4b</t>
  </si>
  <si>
    <t>Adeguatezza normativa degli scaricatori di piena</t>
  </si>
  <si>
    <t>M4c</t>
  </si>
  <si>
    <t>Controllo degli scaricatori di piena</t>
  </si>
  <si>
    <t>Popolazione fluttuante</t>
  </si>
  <si>
    <t>M5</t>
  </si>
  <si>
    <t>Smaltimento fanghi in discarica</t>
  </si>
  <si>
    <t>M6</t>
  </si>
  <si>
    <t>Qualità tecnica</t>
  </si>
  <si>
    <t xml:space="preserve">Programma degli Interventi </t>
  </si>
  <si>
    <t>Indicatore (ID)</t>
  </si>
  <si>
    <t>Nome</t>
  </si>
  <si>
    <t>Tipologia</t>
  </si>
  <si>
    <t>Collegamento Macro-indicatore/ 
Prerequisito</t>
  </si>
  <si>
    <t>M1</t>
  </si>
  <si>
    <t>M3</t>
  </si>
  <si>
    <t>Altro</t>
  </si>
  <si>
    <t>Definizione</t>
  </si>
  <si>
    <t>Riferimenti</t>
  </si>
  <si>
    <t>S1</t>
  </si>
  <si>
    <t>Durata massima della singola sospensione programmata</t>
  </si>
  <si>
    <t>Standard specifico</t>
  </si>
  <si>
    <t>KNW1.1</t>
  </si>
  <si>
    <t>KNW1.1 Imperfetta conoscenza delle infrastrutture di acquedotto</t>
  </si>
  <si>
    <t>RES</t>
  </si>
  <si>
    <t>S2</t>
  </si>
  <si>
    <t xml:space="preserve">Tempo massimo per l’attivazione del servizio sostitutivo di emergenza in caso di sospensione del servizio idropotabile </t>
  </si>
  <si>
    <t>KNW1.2</t>
  </si>
  <si>
    <t xml:space="preserve">KNW1.2 Imperfetta conoscenza delle infrastrutture di fognatura </t>
  </si>
  <si>
    <t>ENV</t>
  </si>
  <si>
    <t>S3</t>
  </si>
  <si>
    <t>Tempo minimo di preavviso per interventi programmati che comportano una sospensione della fornitura</t>
  </si>
  <si>
    <t>KNW1.3</t>
  </si>
  <si>
    <t>KNW1.3 Imperfetta conoscenza delle infrastrutture di depurazione</t>
  </si>
  <si>
    <t xml:space="preserve"> intervento non classificabile come ENV o RES</t>
  </si>
  <si>
    <t>Disponibilità e affidabilità dei dati di misura</t>
  </si>
  <si>
    <t>KNW2.1</t>
  </si>
  <si>
    <t>KNW2.1 Assenza o inadeguatezza del sistema digitale di archiviazione per le infrastrutture di acquedotto</t>
  </si>
  <si>
    <t>Conformità alla normativa sulla qualità dell'acqua distribuita agli utenti</t>
  </si>
  <si>
    <t>KNW2.2</t>
  </si>
  <si>
    <t>KNW2.2 Assenza o inadeguatezza del sistema digitale di archiviazione per le infrastrutture di fognatura</t>
  </si>
  <si>
    <t>Imputare "SI" anche se l'intervento originario ha subito una modifica degli importi e delle specifiche tecniche in sede di aggiornamento</t>
  </si>
  <si>
    <t>Conformità alla normativa sulla gestione delle acque reflue urbane</t>
  </si>
  <si>
    <t>KNW2.3</t>
  </si>
  <si>
    <t>KNW2.3 Assenza o inadeguatezza del sistema digitale di archiviazione per le infrastrutture di depurazione</t>
  </si>
  <si>
    <t>Disponibilità e affidabilità dei dati di qualità tecnica</t>
  </si>
  <si>
    <t>APP1.1</t>
  </si>
  <si>
    <t>APP1.1 Insufficienza quantitativa del sistema delle fonti  e/o sovrasfruttamento delle fonti di approvvigionamento</t>
  </si>
  <si>
    <t>Perdite idriche</t>
  </si>
  <si>
    <t>Macro-indicatore (Standard generale)</t>
  </si>
  <si>
    <t>APP1.2</t>
  </si>
  <si>
    <t>APP1.2 Inadeguatezza della qualità delle fonti di approvvigionamento</t>
  </si>
  <si>
    <t>APP1.3</t>
  </si>
  <si>
    <t>APP1.3 Vulnerabilità delle fonti di approvvigionamento e/o inadeguatezza delle aree di salvaguardia</t>
  </si>
  <si>
    <t>New</t>
  </si>
  <si>
    <t>Qualità dell’acqua erogata</t>
  </si>
  <si>
    <t>APP2.1</t>
  </si>
  <si>
    <t>APP2.1 Assenza parziale o totale delle reti di adduzione</t>
  </si>
  <si>
    <t>Tipologia di intervento</t>
  </si>
  <si>
    <t>Replacement</t>
  </si>
  <si>
    <t>Sotto-indicatore del Macro-indicatore M4 (Standard generale)</t>
  </si>
  <si>
    <t>APP2.2</t>
  </si>
  <si>
    <t>APP2.2 Inadeguate condizioni fisiche delle reti e degli impianti di adduzione</t>
  </si>
  <si>
    <t>Maintenance</t>
  </si>
  <si>
    <t>APP2.3</t>
  </si>
  <si>
    <t>APP2.3 Insufficiente capacità idraulica e/o scarsa flessibilità di esercizio delle infrastrutture di adduzione</t>
  </si>
  <si>
    <t>APP3.1</t>
  </si>
  <si>
    <t xml:space="preserve">APP3.1 Ricorrenza di interruzioni dovute a fenomeni naturali o antropici </t>
  </si>
  <si>
    <t>APP4.1</t>
  </si>
  <si>
    <t>APP4.1 Non totale copertura  o cattivo funzionamento o vetustà dei misuratori (dei parametri di quantità e di qualità) nelle opere di presa</t>
  </si>
  <si>
    <t>Intervento sugli strumenti di misura funzionale all'adempimento del DM 93/2017</t>
  </si>
  <si>
    <t>x</t>
  </si>
  <si>
    <t>Qualità dell’acqua depurata</t>
  </si>
  <si>
    <t>APP4.2</t>
  </si>
  <si>
    <t>APP4.2 Non totale copertura o cattivo funzionamento o vetustà dei misuratori (dei parametri di quantità e di qualità) nelle infrastrutture di adduzione</t>
  </si>
  <si>
    <t>Eventuali ulteriori obiettivi che esulano dagli standard definiti ai sensi del RQTI (motivare in relazione)</t>
  </si>
  <si>
    <t>Obiettivo</t>
  </si>
  <si>
    <t>POT1.1</t>
  </si>
  <si>
    <t>POT1.1  Inadeguatezza di progetto, delle condizioni fisiche, di monitoraggio, dei trattamenti</t>
  </si>
  <si>
    <t>POT1.2</t>
  </si>
  <si>
    <t>POT1.2 Presenza di sottoprodotti della disinfezione nell'acqua erogata e/o necessità di sostituire la disinfezione con cloro con altro (UV, ozono)</t>
  </si>
  <si>
    <t>POT2.2</t>
  </si>
  <si>
    <t>POT3.1</t>
  </si>
  <si>
    <t xml:space="preserve">POT3.1 Trattamenti inadeguati o incompleti dei fanghi di potabilizzazione e altri residui; insufficiente recupero di materia e/o energia </t>
  </si>
  <si>
    <t>M5, Altro</t>
  </si>
  <si>
    <t>POT4.1</t>
  </si>
  <si>
    <t xml:space="preserve">POT4.1  Non totale copertura o cattivo funzionamento o vetustà dei misuratori (dei parametri di quantità e di qualità) </t>
  </si>
  <si>
    <t>DIS1.1</t>
  </si>
  <si>
    <t xml:space="preserve">DIS1.1 Assenza parziale o totale delle reti di distribuzione </t>
  </si>
  <si>
    <t>DIS1.2</t>
  </si>
  <si>
    <t>DIS1.2 Inadeguate condizioni fisiche delle reti e degli impianti di distribuzione (condotte, opere civili, apparecchiature meccaniche ed elettromeccaniche)</t>
  </si>
  <si>
    <t>DIS1.3</t>
  </si>
  <si>
    <t>DIS1.3 Capacità idraulica delle infrastrutture non rispondente ai livelli di domanda</t>
  </si>
  <si>
    <t>DIS1.4</t>
  </si>
  <si>
    <t>DIS1.4 Inadeguate capacità di compenso e di riserva dei serbatoi</t>
  </si>
  <si>
    <t>DIS2.1</t>
  </si>
  <si>
    <t>DIS2.1 Pressioni insufficienti</t>
  </si>
  <si>
    <t>M2, M3</t>
  </si>
  <si>
    <t>DIS2.2</t>
  </si>
  <si>
    <t>DIS2.2 Pressioni eccessive</t>
  </si>
  <si>
    <t>DIS3.1</t>
  </si>
  <si>
    <t xml:space="preserve">DIS3.1 Non totale copertura o  cattivo funzionamento o vetustà dei misuratori di processo (dei parametri di quantità e di qualità) </t>
  </si>
  <si>
    <t>DIS3.2</t>
  </si>
  <si>
    <t>DIS3.2 Non totale copertura o cattivo funzionamento o vetustà dei misuratori di utenza</t>
  </si>
  <si>
    <t>FOG1.1</t>
  </si>
  <si>
    <t>FOG1.1 Mancanza parziale o totale delle reti di raccolta e collettamento dei reflui in agglomerati di dimensione superiore ai 2.000 A.E.</t>
  </si>
  <si>
    <t>FOG1.2</t>
  </si>
  <si>
    <t>FOG1.2 Mancanza parziale o totale delle reti di raccolta e collettamento dei reflui in agglomerati di dimensione inferiore ai 2.000 A.E.</t>
  </si>
  <si>
    <t>FOG2.1</t>
  </si>
  <si>
    <t>FOG2.1 Inadeguate condizioni fisiche delle condotte fognarie, delle opere civili, delle apparecchiature meccaniche ed elettromeccaniche degli impianti</t>
  </si>
  <si>
    <t>M4a, M4b</t>
  </si>
  <si>
    <t>FOG2.2</t>
  </si>
  <si>
    <t>FOG2.2 Elevate infiltrazioni di acque parassite</t>
  </si>
  <si>
    <t>M4a, M4b, M6, Altro</t>
  </si>
  <si>
    <t>FOG2.3</t>
  </si>
  <si>
    <t>FOG2.3 Inadeguatezza dimensionale delle condotte fognarie</t>
  </si>
  <si>
    <t>FOG2.4</t>
  </si>
  <si>
    <t>FOG2.4 Scaricatori di piena non adeguati</t>
  </si>
  <si>
    <t>M4b, M4c</t>
  </si>
  <si>
    <t>FOG3.1</t>
  </si>
  <si>
    <t xml:space="preserve">FOG3.1 Non totale copertura o cattivo funzionamento o vetustà dei misuratori (dei parametri di quantità e di qualità) </t>
  </si>
  <si>
    <t xml:space="preserve"> M4a, M4b, M6</t>
  </si>
  <si>
    <t>DEP1.1</t>
  </si>
  <si>
    <t>DEP1.1 Assenza totale o parziale del servizio di depurazione in agglomerati di dimensione superiore ai 2.000 A.E.</t>
  </si>
  <si>
    <t>DEP1.2</t>
  </si>
  <si>
    <t>DEP1.2 Assenza totale o parziale del servizio di depurazione in agglomerati di dimensione inferiore ai 2.000 A.E.</t>
  </si>
  <si>
    <t>DEP1.3</t>
  </si>
  <si>
    <t>DEP1.3 Assenza di trattamento secondario o trattamento equivalente ex. art.4 Direttiva 91/271/CEE (ove applicabile)</t>
  </si>
  <si>
    <t>DEP1.4</t>
  </si>
  <si>
    <t>DEP1.4 Assenza di trattamenti terziari ex art. 5 Direttiva 91/271/CEE (per aree sensibili, ove applicabile)</t>
  </si>
  <si>
    <t>DEP1.5</t>
  </si>
  <si>
    <t>DEP1.5 Assenza di trattamenti appropriati ex. art. 7 Direttiva 91/271/CEE</t>
  </si>
  <si>
    <t>M5 (attraverso G5.1 e G5.2), M6</t>
  </si>
  <si>
    <t>DEP2.1</t>
  </si>
  <si>
    <t>DEP2.1 Inadeguatezza di progetto, delle condizioni fisiche, dei sistemi di monitoraggio, dei trattamenti di rimozione</t>
  </si>
  <si>
    <t xml:space="preserve">M6, Altro </t>
  </si>
  <si>
    <t>DEP2.2</t>
  </si>
  <si>
    <t xml:space="preserve">DEP2.2 Estrema frammentazione del servizio di depurazione </t>
  </si>
  <si>
    <t>M6, Altro</t>
  </si>
  <si>
    <t>DEP2.3</t>
  </si>
  <si>
    <t>DEP2.3 Criticità legate alla potenzialità di trattamento</t>
  </si>
  <si>
    <t>DEP3.1</t>
  </si>
  <si>
    <t>DEP3.1 Inadeguato recupero di materia e/o di energia dei fanghi residui di depurazione</t>
  </si>
  <si>
    <t>DEP3.2</t>
  </si>
  <si>
    <t xml:space="preserve">DEP3.2 Assenza o limitato recupero degli effluenti </t>
  </si>
  <si>
    <t>DEP3.3</t>
  </si>
  <si>
    <t xml:space="preserve">DEP3.3 Impatto negativo sul recapito finale </t>
  </si>
  <si>
    <t>DEP4.1</t>
  </si>
  <si>
    <t>DEP4.1 Non totale copertura o cattivo funzionamento o vetustà dei misuratori dei misuratori (dei parametri di quantità e di qualità)</t>
  </si>
  <si>
    <t>UTZ1.1</t>
  </si>
  <si>
    <t xml:space="preserve">UTZ1.1 Inadeguatezza del sistema di lettura e fatturazione </t>
  </si>
  <si>
    <t>UTZ2.1</t>
  </si>
  <si>
    <t>UTZ2.1 Inadeguatezza del servizio di assistenza all’utenza (es. call center, pronto intervento, sportelli e trattamento dei reclami)</t>
  </si>
  <si>
    <t>UTZ3.1</t>
  </si>
  <si>
    <t>UTZ3.1 Qualità del servizio inferiore agli standard individuati dalla carta dei servizi</t>
  </si>
  <si>
    <t>EFF1.1</t>
  </si>
  <si>
    <t>EFF1.1 Margini di miglioramento dell’efficienza economica e funzionale della gestione di infrastrutture di acquedotto (approvvigionamento, potabilizzazione, distribuzione)</t>
  </si>
  <si>
    <t>EFF1.2</t>
  </si>
  <si>
    <t>EFF1.2 Margini di miglioramento dell’efficienza economica e funzionale della gestione di infrastrutture di fognatura.</t>
  </si>
  <si>
    <t>EFF1.3</t>
  </si>
  <si>
    <t>EFF1.3 Margini di miglioramento dell’efficienza economica e funzionale della gestione di infrastrutture di depurazione.</t>
  </si>
  <si>
    <t>EFF2.1</t>
  </si>
  <si>
    <t>EFF2.1 Necessità di sviluppo di una pianificazione degli interventi di manutenzione e di sostituzione periodica degli asset</t>
  </si>
  <si>
    <t>EFF3.1</t>
  </si>
  <si>
    <t>EFF3.1 Criticità nella sicurezza delle condizioni di lavoro</t>
  </si>
  <si>
    <t>EFF4.1</t>
  </si>
  <si>
    <t xml:space="preserve">EFF4.1 Elevati consumi di energia elettrica in acquedotto </t>
  </si>
  <si>
    <t>EFF4.2</t>
  </si>
  <si>
    <t>EFF4.2 Mancanza di sistemi di recupero energetico in adduzione e/o in distribuzione (laddove fattibili)</t>
  </si>
  <si>
    <t>EFF4.3</t>
  </si>
  <si>
    <t>EFF4.3 Elevati consumi di energia elettrica in fognatura</t>
  </si>
  <si>
    <t>EFF4.4</t>
  </si>
  <si>
    <t>EFF4.4 Elevati consumi di energia elettrica negli impianti di depurazione</t>
  </si>
  <si>
    <t>EFF4.5</t>
  </si>
  <si>
    <t>EFF4.5 Assenza del recupero di energia dalla digestione anaerobica dei fanghi di depurazione o altro</t>
  </si>
  <si>
    <t>Vai a descrizione errori</t>
  </si>
  <si>
    <t>Criticità e/o obiettivo non previsti: motivare in Relazione</t>
  </si>
  <si>
    <t>Criticità non coerente con obbiettivo previsto: modificare o motivare in Relazione</t>
  </si>
  <si>
    <t>errori riscontrati</t>
  </si>
  <si>
    <t>ID intervento pianificato</t>
  </si>
  <si>
    <t>Titolo Intervento pianificato</t>
  </si>
  <si>
    <r>
      <t>Popolazione interessata dall'intervento</t>
    </r>
    <r>
      <rPr>
        <sz val="10"/>
        <color theme="0"/>
        <rFont val="Arial Narrow"/>
        <family val="2"/>
      </rPr>
      <t xml:space="preserve"> 
(ab/ A.E.)</t>
    </r>
  </si>
  <si>
    <t>Località interessata/e intervento</t>
  </si>
  <si>
    <t>check criticità/obiettivo non previsti</t>
  </si>
  <si>
    <t>check criticità - obiettivo</t>
  </si>
  <si>
    <t>check compilazione PdI</t>
  </si>
  <si>
    <t>check condanne depurazione</t>
  </si>
  <si>
    <t>Interventi gestionali per il miglioramento della qualità tecnica</t>
  </si>
  <si>
    <t>Errore nella compilazione di cui RES o di cui ENV</t>
  </si>
  <si>
    <t>Mancata compilazione colonne A:D</t>
  </si>
  <si>
    <t>ID intervento gestionale</t>
  </si>
  <si>
    <t xml:space="preserve">Macro-indicatore di qualità tecnica sotteso all'intervento </t>
  </si>
  <si>
    <t>di cui RES</t>
  </si>
  <si>
    <t>di cui ENV</t>
  </si>
  <si>
    <t>Realizzato</t>
  </si>
  <si>
    <t>Previsto</t>
  </si>
  <si>
    <t xml:space="preserve">Entrata in esercizio al lordo dei contributi </t>
  </si>
  <si>
    <t>M4</t>
  </si>
  <si>
    <t>Costi operativi</t>
  </si>
  <si>
    <t>PdI-legenda</t>
  </si>
  <si>
    <t>PdI-riepilogo</t>
  </si>
  <si>
    <t>Programma degli Interventi: legenda</t>
  </si>
  <si>
    <t>Programma degli Interventi: cronoprogramma_investimenti</t>
  </si>
  <si>
    <t>Programma degli Interventi: cronoprogramma_gestionale</t>
  </si>
  <si>
    <t>Programma degli Interventi: riepilogo</t>
  </si>
  <si>
    <t>crono_investimenti</t>
  </si>
  <si>
    <t>crono_gestionale</t>
  </si>
  <si>
    <t>investimenti</t>
  </si>
  <si>
    <t>gestionale</t>
  </si>
  <si>
    <t>COMUNE DI MAPELLO</t>
  </si>
  <si>
    <t>00685130163</t>
  </si>
  <si>
    <t>ASM VERCELLI SPA</t>
  </si>
  <si>
    <t>NOVARETI SPA</t>
  </si>
  <si>
    <t>COMUNE DI CLES</t>
  </si>
  <si>
    <t>COMUNE DI RONCOBELLO</t>
  </si>
  <si>
    <t>00672670163</t>
  </si>
  <si>
    <t>UNIFLOTTE S.r.L.</t>
  </si>
  <si>
    <t>02216751202</t>
  </si>
  <si>
    <t>COMUNE DI MENDATICA</t>
  </si>
  <si>
    <t>00246330088</t>
  </si>
  <si>
    <t>ENTE ACQUE UMBRE-TOSCANE</t>
  </si>
  <si>
    <t>02093350516</t>
  </si>
  <si>
    <t>COMUNE DI GROTTE DI CASTRO</t>
  </si>
  <si>
    <t>00095730560</t>
  </si>
  <si>
    <t>VALLE ORBA DEPURAZIONE S.R.L.</t>
  </si>
  <si>
    <t>acquevenete spa</t>
  </si>
  <si>
    <t>Comune di Ceto</t>
  </si>
  <si>
    <t>00723600987</t>
  </si>
  <si>
    <t>Iren Acqua Tigullio S.p.A.</t>
  </si>
  <si>
    <t>Viacqua S.p.A.</t>
  </si>
  <si>
    <t>ACQUEDOTTO ROCCA ROSSA S.R.L.</t>
  </si>
  <si>
    <t>COMUNE DI VELTURNO</t>
  </si>
  <si>
    <t>00419860218</t>
  </si>
  <si>
    <t>COMUNE DI MANDELA</t>
  </si>
  <si>
    <t>02145731002</t>
  </si>
  <si>
    <t>EIPLI (Ente per lo sviluppo dell'irrigazione e la trasformazione fondiaria in Puglia Lucania e Irpinia)</t>
  </si>
  <si>
    <t>Comune di Breno</t>
  </si>
  <si>
    <t>00583090980</t>
  </si>
  <si>
    <t>COMUNE DI CASORIA</t>
  </si>
  <si>
    <t>01505091213</t>
  </si>
  <si>
    <t>COMUNE DI POZZALLO</t>
  </si>
  <si>
    <t>00170330880</t>
  </si>
  <si>
    <t>COMUNE DI CASTELBIANCO</t>
  </si>
  <si>
    <t>00340200096</t>
  </si>
  <si>
    <t>COMUNE DI ROIO DEL SANGRO</t>
  </si>
  <si>
    <t>01471740694</t>
  </si>
  <si>
    <t>COMUNE DI NASINO</t>
  </si>
  <si>
    <t>00342860095</t>
  </si>
  <si>
    <t>comune di erli</t>
  </si>
  <si>
    <t>00341140093</t>
  </si>
  <si>
    <t>COMUNE DI VALDINA</t>
  </si>
  <si>
    <t>00474490836</t>
  </si>
  <si>
    <t>COMUNE DI VILLA SAN GIOVANNI</t>
  </si>
  <si>
    <t>Comune di Terricciola</t>
  </si>
  <si>
    <t>00286650502</t>
  </si>
  <si>
    <t>Comune di Camerata Cornello</t>
  </si>
  <si>
    <t>00328940168</t>
  </si>
  <si>
    <t>CONSORZIO COMUNI DELLA MEDIA SABINA</t>
  </si>
  <si>
    <t>COMUNE DI PALLAGORIO</t>
  </si>
  <si>
    <t>00297610792</t>
  </si>
  <si>
    <t>comune di villetta barrea</t>
  </si>
  <si>
    <t>00190970665</t>
  </si>
  <si>
    <t>Consorzio Acquedotto Campo-Salieto</t>
  </si>
  <si>
    <t>00169340254</t>
  </si>
  <si>
    <t>Consorzio Acquedotto Vicinia di Cojana</t>
  </si>
  <si>
    <t>00615010253</t>
  </si>
  <si>
    <t>COMUNE DI PENNADOMO</t>
  </si>
  <si>
    <t>00248530693</t>
  </si>
  <si>
    <t>Comune di Misilmeri</t>
  </si>
  <si>
    <t>02403880822</t>
  </si>
  <si>
    <t>Comune di Ponte di Legno</t>
  </si>
  <si>
    <t>00574390985</t>
  </si>
  <si>
    <t>02484440207</t>
  </si>
  <si>
    <t>COMUNE DI CAMPOTOSTO</t>
  </si>
  <si>
    <t>00085160661</t>
  </si>
  <si>
    <t>CONSORZIO ACQUEDOTTO TRE SORGENTI</t>
  </si>
  <si>
    <t>01434130843</t>
  </si>
  <si>
    <t>Comune di Castronovo di Sicilia</t>
  </si>
  <si>
    <t>00475000824</t>
  </si>
  <si>
    <t>Comune di Satriano</t>
  </si>
  <si>
    <t>00298190794</t>
  </si>
  <si>
    <t>COMUNE DI MONTEPAONE</t>
  </si>
  <si>
    <t>00297260796</t>
  </si>
  <si>
    <t>COMUNE DI SAN VERO MILIS</t>
  </si>
  <si>
    <t>00068380955</t>
  </si>
  <si>
    <t>Comune di Giardinello</t>
  </si>
  <si>
    <t>00532990827</t>
  </si>
  <si>
    <t>00298150798</t>
  </si>
  <si>
    <t>COMUNE GERACI SICULO</t>
  </si>
  <si>
    <t>00540780822</t>
  </si>
  <si>
    <t>COMUNE DI CASTELVECCHIO DI ROCCA BARBENA</t>
  </si>
  <si>
    <t>00379280092</t>
  </si>
  <si>
    <t>TRINKWASSER-GENOSSENSCHAFT TERLAN</t>
  </si>
  <si>
    <t>00212940217</t>
  </si>
  <si>
    <t>COMUNE DI ALTOPIANO DELLA VIGOLANA</t>
  </si>
  <si>
    <t>02402000224</t>
  </si>
  <si>
    <t>Cooperativa gestione acquedotto vicinia Zuel di Sopra</t>
  </si>
  <si>
    <t>00296800253</t>
  </si>
  <si>
    <t>COMUNE DI VILLE D'ANAUNIA</t>
  </si>
  <si>
    <t>02401760224</t>
  </si>
  <si>
    <t>Comune di santa maria del cedro</t>
  </si>
  <si>
    <t>00433700788</t>
  </si>
  <si>
    <t>Acqua Pubblica Sabina S.P.A.</t>
  </si>
  <si>
    <t>01138990575</t>
  </si>
  <si>
    <t>COMUNE DI SANTO STEFANO DI CAMASTRA</t>
  </si>
  <si>
    <t>00532860830</t>
  </si>
  <si>
    <t>COMUNE DI VALLELAGHI</t>
  </si>
  <si>
    <t>02401940222</t>
  </si>
  <si>
    <t>COMUNE DI SANT'ANGELO D'ALIFE</t>
  </si>
  <si>
    <t>01742670613</t>
  </si>
  <si>
    <t>COMUNE DI POLLINA</t>
  </si>
  <si>
    <t>00623750825</t>
  </si>
  <si>
    <t>COMUNE DI MOTTA D'AFFERMO</t>
  </si>
  <si>
    <t>00324270834</t>
  </si>
  <si>
    <t>COMUNE DI TORRENOVA</t>
  </si>
  <si>
    <t>01345160830</t>
  </si>
  <si>
    <t>COMUNE DI LETOJANNI</t>
  </si>
  <si>
    <t>00390050839</t>
  </si>
  <si>
    <t>COMUNE DI SPADAFORA</t>
  </si>
  <si>
    <t>00396110835</t>
  </si>
  <si>
    <t>COMUNE DI BAGNARA CALABRA</t>
  </si>
  <si>
    <t>01073000802</t>
  </si>
  <si>
    <t>ALFA S.r.l.</t>
  </si>
  <si>
    <t>03481930125</t>
  </si>
  <si>
    <t>COMUNE DI PRIMIERO SAN MARTINO DI CASTROZZA</t>
  </si>
  <si>
    <t>02401890229</t>
  </si>
  <si>
    <t>Comune di Terrasini</t>
  </si>
  <si>
    <t>00643580822</t>
  </si>
  <si>
    <t>COMUNE DI GAGGI</t>
  </si>
  <si>
    <t>01241900834</t>
  </si>
  <si>
    <t>COMUNE DI PIETRAVAIRANO</t>
  </si>
  <si>
    <t>01148000613</t>
  </si>
  <si>
    <t>Comune di Giarre</t>
  </si>
  <si>
    <t>00468980875</t>
  </si>
  <si>
    <t>COMUNE DI PIEVE DI BONO-PREZZO</t>
  </si>
  <si>
    <t>02401730227</t>
  </si>
  <si>
    <t>COMUNE DI MEZZOJUSO</t>
  </si>
  <si>
    <t>00506170828</t>
  </si>
  <si>
    <t>Comune di Sclafani Bagni</t>
  </si>
  <si>
    <t>02583080821</t>
  </si>
  <si>
    <t>COMUNE DI CITTIGLIO</t>
  </si>
  <si>
    <t>00254640121</t>
  </si>
  <si>
    <t>02878800610</t>
  </si>
  <si>
    <t>UNIONE DEI COMUNI DELL'ALTA ANAUNIA</t>
  </si>
  <si>
    <t>02346480227</t>
  </si>
  <si>
    <t>COMUNE DI PETRALIA SOTTANA</t>
  </si>
  <si>
    <t>00300440823</t>
  </si>
  <si>
    <t>COMUNE DI SAN LORENZO DORSINO</t>
  </si>
  <si>
    <t>02362480226</t>
  </si>
  <si>
    <t>Consorzio Bonifica Sud</t>
  </si>
  <si>
    <t>01803490695</t>
  </si>
  <si>
    <t>COMUNE DI PAOLA</t>
  </si>
  <si>
    <t>00899500789</t>
  </si>
  <si>
    <t>COMUNE DI ALTAVALLE</t>
  </si>
  <si>
    <t>02401930223</t>
  </si>
  <si>
    <t>COMUNE DI BASSANO IN TEVERINA</t>
  </si>
  <si>
    <t>00215170564</t>
  </si>
  <si>
    <t>COMUNE DI CIGOLE</t>
  </si>
  <si>
    <t>00577220981</t>
  </si>
  <si>
    <t>COMUNE DI LOSINE</t>
  </si>
  <si>
    <t>00583050984</t>
  </si>
  <si>
    <t>SOCIETA' COOPERATIVA ACQUA POTABILE DI CHIAVERANO</t>
  </si>
  <si>
    <t>00929150019</t>
  </si>
  <si>
    <t>COMUNE DI GRADOLI</t>
  </si>
  <si>
    <t>00212140560</t>
  </si>
  <si>
    <t>Comune di Latera</t>
  </si>
  <si>
    <t>00212130561</t>
  </si>
  <si>
    <t>COMUNE DI BACENO</t>
  </si>
  <si>
    <t>00422770032</t>
  </si>
  <si>
    <t>comune di vedeseta</t>
  </si>
  <si>
    <t>00827230160</t>
  </si>
  <si>
    <t>Comune di Piazzatorre</t>
  </si>
  <si>
    <t>00675260160</t>
  </si>
  <si>
    <t>COMUNE DI OLMO AL BREMBO</t>
  </si>
  <si>
    <t>00654490168</t>
  </si>
  <si>
    <t>COMUNE DI ANTRONA SCHIERANCO</t>
  </si>
  <si>
    <t>00524500030</t>
  </si>
  <si>
    <t>COMUNE DI BRANZI</t>
  </si>
  <si>
    <t>00619750169</t>
  </si>
  <si>
    <t>COMUNE DI PETRALIA SOPRANA</t>
  </si>
  <si>
    <t>03038600825</t>
  </si>
  <si>
    <t>COMUNE DI FILETTINO</t>
  </si>
  <si>
    <t>00291470607</t>
  </si>
  <si>
    <t>COMUNE DI VASANELLO</t>
  </si>
  <si>
    <t>00221130560</t>
  </si>
  <si>
    <t>COMUNE DI TERNO D'ISOLA</t>
  </si>
  <si>
    <t>00384900163</t>
  </si>
  <si>
    <t>cooperativa acqua potabile bienca srl</t>
  </si>
  <si>
    <t>01442480016</t>
  </si>
  <si>
    <t>COMUNE DI SUISIO</t>
  </si>
  <si>
    <t>00321890162</t>
  </si>
  <si>
    <t>Comune di Caltavuturo</t>
  </si>
  <si>
    <t>02667970822</t>
  </si>
  <si>
    <t>Comune di Ossimo</t>
  </si>
  <si>
    <t>00593390982</t>
  </si>
  <si>
    <t>COMUNE DI PORTE DI RENDENA</t>
  </si>
  <si>
    <t>02401990227</t>
  </si>
  <si>
    <t>COMUNE DI SUTRI</t>
  </si>
  <si>
    <t>00187650569</t>
  </si>
  <si>
    <t>Comune di Anticoli Corrado</t>
  </si>
  <si>
    <t>02145971004</t>
  </si>
  <si>
    <t>Comune di Cellere</t>
  </si>
  <si>
    <t>00219310562</t>
  </si>
  <si>
    <t>COMUNE DI GORZEGNO</t>
  </si>
  <si>
    <t>00478760044</t>
  </si>
  <si>
    <t>comune di capodimonte</t>
  </si>
  <si>
    <t>00215240565</t>
  </si>
  <si>
    <t>00426070033</t>
  </si>
  <si>
    <t>Acque  Ventrilla  di  Ventrilla  Tania</t>
  </si>
  <si>
    <t>05404220872</t>
  </si>
  <si>
    <t>COMUNE DI FORMAZZA</t>
  </si>
  <si>
    <t>00422780031</t>
  </si>
  <si>
    <t>COMUNE DI LUBRIANO</t>
  </si>
  <si>
    <t>00216010561</t>
  </si>
  <si>
    <t>Comune di Carfizzi</t>
  </si>
  <si>
    <t>00337920797</t>
  </si>
  <si>
    <t>00136380805</t>
  </si>
  <si>
    <t>HERATECH S.R.L.</t>
  </si>
  <si>
    <t>03578271201</t>
  </si>
  <si>
    <t>Comune di Monasterolo Casotto</t>
  </si>
  <si>
    <t>00460700040</t>
  </si>
  <si>
    <t>comune di onano</t>
  </si>
  <si>
    <t>00338260565</t>
  </si>
  <si>
    <t>COMUNE DI TRE VILLE</t>
  </si>
  <si>
    <t>02402200220</t>
  </si>
  <si>
    <t>COMUNE DI MONTALTO DI CASTRO</t>
  </si>
  <si>
    <t>00224500561</t>
  </si>
  <si>
    <t>SI.EL. Srl</t>
  </si>
  <si>
    <t>02054220906</t>
  </si>
  <si>
    <t>comune di roccagiovine</t>
  </si>
  <si>
    <t>02146001009</t>
  </si>
  <si>
    <t>COMUNE DI MEZZOLDO</t>
  </si>
  <si>
    <t>00671320166</t>
  </si>
  <si>
    <t>COMUNE DI VALDAONE</t>
  </si>
  <si>
    <t>02362470227</t>
  </si>
  <si>
    <t>COMUNE DI PIAZZOLO</t>
  </si>
  <si>
    <t>00727180168</t>
  </si>
  <si>
    <t>Comune di Canale Monterano</t>
  </si>
  <si>
    <t>02134821004</t>
  </si>
  <si>
    <t>Comune di Morlupo</t>
  </si>
  <si>
    <t>01083431005</t>
  </si>
  <si>
    <t>COMUNE DI RIOFREDDO</t>
  </si>
  <si>
    <t>02145861007</t>
  </si>
  <si>
    <t>COMUNE DI VALLEPIETRA</t>
  </si>
  <si>
    <t>01139071003</t>
  </si>
  <si>
    <t>Comune di Cerreto Laziale</t>
  </si>
  <si>
    <t>02146061003</t>
  </si>
  <si>
    <t>COMUNE DI CINETO ROMANO</t>
  </si>
  <si>
    <t>01064711003</t>
  </si>
  <si>
    <t>COMUNE DI CAPENA</t>
  </si>
  <si>
    <t>01096141005</t>
  </si>
  <si>
    <t>00224100602</t>
  </si>
  <si>
    <t>sasso costruzioni s.r.l.</t>
  </si>
  <si>
    <t>02797800642</t>
  </si>
  <si>
    <t>COMUNE DI VITORCHIANO</t>
  </si>
  <si>
    <t>00220670566</t>
  </si>
  <si>
    <t>Comune di Licenza</t>
  </si>
  <si>
    <t>02146111006</t>
  </si>
  <si>
    <t>COMUNE DI GERANO</t>
  </si>
  <si>
    <t>01125561009</t>
  </si>
  <si>
    <t>00308110790</t>
  </si>
  <si>
    <t>Comune di Calatafimi Segesta</t>
  </si>
  <si>
    <t>00266100817</t>
  </si>
  <si>
    <t>COMUNE DI CEMBRA LISIGNAGO</t>
  </si>
  <si>
    <t>02401950221</t>
  </si>
  <si>
    <t>COMUNE DI AMBIVERE</t>
  </si>
  <si>
    <t>02823100165</t>
  </si>
  <si>
    <t>COMUNE DI MADRUZZO</t>
  </si>
  <si>
    <t>02401750225</t>
  </si>
  <si>
    <t>Comune di Condrò</t>
  </si>
  <si>
    <t>00437320831</t>
  </si>
  <si>
    <t>comune di palma di montechiaro</t>
  </si>
  <si>
    <t>00736930843</t>
  </si>
  <si>
    <t>Comune di Marano Equo</t>
  </si>
  <si>
    <t>02145801003</t>
  </si>
  <si>
    <t>COMUNE DI PONTIDA</t>
  </si>
  <si>
    <t>00655980167</t>
  </si>
  <si>
    <t>02145941007</t>
  </si>
  <si>
    <t>COMUNE DI AVERARA</t>
  </si>
  <si>
    <t>01214260166</t>
  </si>
  <si>
    <t>COMUNE DI AVIATICO</t>
  </si>
  <si>
    <t>00374900165</t>
  </si>
  <si>
    <t>02525300063</t>
  </si>
  <si>
    <t>COMUNE DI BUONALBERGO</t>
  </si>
  <si>
    <t>00683510622</t>
  </si>
  <si>
    <t>COMUNE DI NOVEDRATE</t>
  </si>
  <si>
    <t>00606860138</t>
  </si>
  <si>
    <t>01100391000</t>
  </si>
  <si>
    <t>Comune di Galati Mamertino</t>
  </si>
  <si>
    <t>00425030830</t>
  </si>
  <si>
    <t>A.SPE.CO.N.</t>
  </si>
  <si>
    <t>01342050893</t>
  </si>
  <si>
    <t>CONSORZIO ACQUEDOTTO BARDELLO, BIANDRONNO, BREGANO E MALGESSO</t>
  </si>
  <si>
    <t>00568900120</t>
  </si>
  <si>
    <t>COMUNE DI MARZIO</t>
  </si>
  <si>
    <t>00559720123</t>
  </si>
  <si>
    <t>So.r.i spa</t>
  </si>
  <si>
    <t>00236310827</t>
  </si>
  <si>
    <t>COMUNE DI MERCALLO</t>
  </si>
  <si>
    <t>00561440124</t>
  </si>
  <si>
    <t>Comune di Zeri</t>
  </si>
  <si>
    <t>00191990456</t>
  </si>
  <si>
    <t>COMUNE DI ALTA VALLE INTELVI</t>
  </si>
  <si>
    <t>03686280136</t>
  </si>
  <si>
    <t>Consorzio Regionale per lo Sviluppo delle Attività Produttive della Regione Calabria</t>
  </si>
  <si>
    <t>00468360797</t>
  </si>
  <si>
    <t>COMUNE DI BORGO LARES</t>
  </si>
  <si>
    <t>02401740226</t>
  </si>
  <si>
    <t>Comune di Vitulazio</t>
  </si>
  <si>
    <t>01659360612</t>
  </si>
  <si>
    <t>Comune di Ardore</t>
  </si>
  <si>
    <t>00725530802</t>
  </si>
  <si>
    <t>comune di pastorano</t>
  </si>
  <si>
    <t>02703380614</t>
  </si>
  <si>
    <t>COMUNE DI REITANO</t>
  </si>
  <si>
    <t>00456790831</t>
  </si>
  <si>
    <t>COMUNE DI COTRONEI</t>
  </si>
  <si>
    <t>00297910796</t>
  </si>
  <si>
    <t>COMUNE DI MONSUMMANO TERME</t>
  </si>
  <si>
    <t>00363790478</t>
  </si>
  <si>
    <t>COMUNE DI LAJATICO</t>
  </si>
  <si>
    <t>00320160500</t>
  </si>
  <si>
    <t>COMUNE DI CAPRAIA E LIMITE</t>
  </si>
  <si>
    <t>00987710480</t>
  </si>
  <si>
    <t>COMUNE DI MONTESPERTOLI</t>
  </si>
  <si>
    <t>01175300480</t>
  </si>
  <si>
    <t>COMUNE DI PIEVE A NIEVOLE</t>
  </si>
  <si>
    <t>00127640472</t>
  </si>
  <si>
    <t>COMUNE DI CERRETO GUIDI</t>
  </si>
  <si>
    <t>03378170488</t>
  </si>
  <si>
    <t>Comune di Poggibonsi</t>
  </si>
  <si>
    <t>00097460521</t>
  </si>
  <si>
    <t>COMUNE DI FRAZZANO'</t>
  </si>
  <si>
    <t>00420090839</t>
  </si>
  <si>
    <t>COMUNE DI PECCIOLI</t>
  </si>
  <si>
    <t>00201900503</t>
  </si>
  <si>
    <t>COMUNE DI AMBLAR-DON</t>
  </si>
  <si>
    <t>02401960220</t>
  </si>
  <si>
    <t>COMUNE DI GAMBASSI TERME</t>
  </si>
  <si>
    <t>01141070480</t>
  </si>
  <si>
    <t>COMUNE DI MONTAIONE</t>
  </si>
  <si>
    <t>01182120483</t>
  </si>
  <si>
    <t>S.E.C.I. SRL</t>
  </si>
  <si>
    <t>06272150969</t>
  </si>
  <si>
    <t>Consorzio tra Comuni per la Gestione del Servizio Idrico Integrato nel Crotonese</t>
  </si>
  <si>
    <t>03484480797</t>
  </si>
  <si>
    <t>ACQUEDOTTI DEL CALORE LUCANO S.P.A.</t>
  </si>
  <si>
    <t>03722100652</t>
  </si>
  <si>
    <t>COMUNE DI CASCIANA TERME LARI</t>
  </si>
  <si>
    <t>02117740502</t>
  </si>
  <si>
    <t>CONSORZIO VALLE CRATI</t>
  </si>
  <si>
    <t>01939430789</t>
  </si>
  <si>
    <t>COMUNE DI SAN NICOLA ARCELLA</t>
  </si>
  <si>
    <t>00345230783</t>
  </si>
  <si>
    <t>COMUNE DI SAN MARCO D'ALUNZIO</t>
  </si>
  <si>
    <t>00732840830</t>
  </si>
  <si>
    <t>C.A.M.A. srl</t>
  </si>
  <si>
    <t>03545150827</t>
  </si>
  <si>
    <t>COMUNE DI CONTA'</t>
  </si>
  <si>
    <t>02401910225</t>
  </si>
  <si>
    <t>Acque Bresciane Srl</t>
  </si>
  <si>
    <t>03832490985</t>
  </si>
  <si>
    <t>CONSORZIO INTERCOMUNALE ACQUEDOTTO VINA</t>
  </si>
  <si>
    <t>00122530801</t>
  </si>
  <si>
    <t>Comune di Sefro</t>
  </si>
  <si>
    <t>00210940433</t>
  </si>
  <si>
    <t>COMUNE DI MACCAGNO CON PINO E VEDDASCA</t>
  </si>
  <si>
    <t>03396710125</t>
  </si>
  <si>
    <t>00343940839</t>
  </si>
  <si>
    <t>COMUNE DI SAGRON MIS</t>
  </si>
  <si>
    <t>00290910223</t>
  </si>
  <si>
    <t>CAISCAP</t>
  </si>
  <si>
    <t>00362030132</t>
  </si>
  <si>
    <t>COMUNE DI MAGREGLIO</t>
  </si>
  <si>
    <t>00571550136</t>
  </si>
  <si>
    <t>Consorzio per lo Sviluppo Industriale di Campobasso-Bojano Ente Pubblico Economico</t>
  </si>
  <si>
    <t>00205580707</t>
  </si>
  <si>
    <t>COMUNE DI BERCETO</t>
  </si>
  <si>
    <t>00202280343</t>
  </si>
  <si>
    <t>COMUNE DI SALA COMACINA</t>
  </si>
  <si>
    <t>00532640133</t>
  </si>
  <si>
    <t>NOVITO ACQUE SRL</t>
  </si>
  <si>
    <t>13883061007</t>
  </si>
  <si>
    <t>10146450969</t>
  </si>
  <si>
    <t>COMUNE DI ABETONE CUTIGLIANO</t>
  </si>
  <si>
    <t>01906470479</t>
  </si>
  <si>
    <t>00756380838</t>
  </si>
  <si>
    <t>COMUNE DI PALMI</t>
  </si>
  <si>
    <t>00710350802</t>
  </si>
  <si>
    <t>COMUNE DI TORREGROTTA</t>
  </si>
  <si>
    <t>00343400834</t>
  </si>
  <si>
    <t>COMO ACQUA S.R.L.</t>
  </si>
  <si>
    <t>03522110133</t>
  </si>
  <si>
    <t>check contributi</t>
  </si>
  <si>
    <t>check LIC</t>
  </si>
  <si>
    <t>Imputazione dei contributi non coerente</t>
  </si>
  <si>
    <t>Imputazione non coerente dei LIC</t>
  </si>
  <si>
    <t>SVILUPPO DEL MOLTIPLICATORE TARIFFARIO applicabile (nelle more dell'approvazione ARERA)</t>
  </si>
  <si>
    <t>Casali del Manco</t>
  </si>
  <si>
    <t xml:space="preserve">Casali del Manco (CS) </t>
  </si>
  <si>
    <t>078156</t>
  </si>
  <si>
    <t>101001</t>
  </si>
  <si>
    <t>101002</t>
  </si>
  <si>
    <t>101003</t>
  </si>
  <si>
    <t>101004</t>
  </si>
  <si>
    <t>101005</t>
  </si>
  <si>
    <t>101006</t>
  </si>
  <si>
    <t>101007</t>
  </si>
  <si>
    <t>101008</t>
  </si>
  <si>
    <t>101009</t>
  </si>
  <si>
    <t>101010</t>
  </si>
  <si>
    <t>101011</t>
  </si>
  <si>
    <t>101012</t>
  </si>
  <si>
    <t>101013</t>
  </si>
  <si>
    <t>101014</t>
  </si>
  <si>
    <t>101015</t>
  </si>
  <si>
    <t>101016</t>
  </si>
  <si>
    <t>101017</t>
  </si>
  <si>
    <t>101019</t>
  </si>
  <si>
    <t>101018</t>
  </si>
  <si>
    <t>101020</t>
  </si>
  <si>
    <t>101021</t>
  </si>
  <si>
    <t>101022</t>
  </si>
  <si>
    <t>101023</t>
  </si>
  <si>
    <t>101024</t>
  </si>
  <si>
    <t>101025</t>
  </si>
  <si>
    <t>101026</t>
  </si>
  <si>
    <t>101027</t>
  </si>
  <si>
    <t>102001</t>
  </si>
  <si>
    <t>102002</t>
  </si>
  <si>
    <t>102003</t>
  </si>
  <si>
    <t>102004</t>
  </si>
  <si>
    <t>102005</t>
  </si>
  <si>
    <t>102006</t>
  </si>
  <si>
    <t>102007</t>
  </si>
  <si>
    <t>102008</t>
  </si>
  <si>
    <t>102009</t>
  </si>
  <si>
    <t>102010</t>
  </si>
  <si>
    <t>102011</t>
  </si>
  <si>
    <t>102012</t>
  </si>
  <si>
    <t>102013</t>
  </si>
  <si>
    <t>102014</t>
  </si>
  <si>
    <t>102015</t>
  </si>
  <si>
    <t>102016</t>
  </si>
  <si>
    <t>102017</t>
  </si>
  <si>
    <t>102018</t>
  </si>
  <si>
    <t>102019</t>
  </si>
  <si>
    <t>102020</t>
  </si>
  <si>
    <t>102021</t>
  </si>
  <si>
    <t>102022</t>
  </si>
  <si>
    <t>102023</t>
  </si>
  <si>
    <t>102024</t>
  </si>
  <si>
    <t>102025</t>
  </si>
  <si>
    <t>102026</t>
  </si>
  <si>
    <t>102027</t>
  </si>
  <si>
    <t>102028</t>
  </si>
  <si>
    <t>102029</t>
  </si>
  <si>
    <t>102030</t>
  </si>
  <si>
    <t>102031</t>
  </si>
  <si>
    <t>102032</t>
  </si>
  <si>
    <t>102033</t>
  </si>
  <si>
    <t>102034</t>
  </si>
  <si>
    <t>102035</t>
  </si>
  <si>
    <t>102036</t>
  </si>
  <si>
    <t>102037</t>
  </si>
  <si>
    <t>102038</t>
  </si>
  <si>
    <t>102039</t>
  </si>
  <si>
    <t>102040</t>
  </si>
  <si>
    <t>102041</t>
  </si>
  <si>
    <t>102042</t>
  </si>
  <si>
    <t>102043</t>
  </si>
  <si>
    <t>102044</t>
  </si>
  <si>
    <t>102045</t>
  </si>
  <si>
    <t>102046</t>
  </si>
  <si>
    <t>102047</t>
  </si>
  <si>
    <t>102048</t>
  </si>
  <si>
    <t>102049</t>
  </si>
  <si>
    <t>102050</t>
  </si>
  <si>
    <t xml:space="preserve">Montoro (AV) </t>
  </si>
  <si>
    <t xml:space="preserve">Sissa Trecasali (PR) </t>
  </si>
  <si>
    <t>Polesine Zibello</t>
  </si>
  <si>
    <t xml:space="preserve">Polesine Zibello (PR) </t>
  </si>
  <si>
    <t>034050</t>
  </si>
  <si>
    <t>Ventasso</t>
  </si>
  <si>
    <t xml:space="preserve">Ventasso (RE) </t>
  </si>
  <si>
    <t>035046</t>
  </si>
  <si>
    <t xml:space="preserve">Valsamoggia (BO) </t>
  </si>
  <si>
    <t>Alto Reno Terme</t>
  </si>
  <si>
    <t xml:space="preserve">Alto Reno Terme (BO) </t>
  </si>
  <si>
    <t>037062</t>
  </si>
  <si>
    <t xml:space="preserve">Fiscaglia (FE) </t>
  </si>
  <si>
    <t>Terre del Reno</t>
  </si>
  <si>
    <t xml:space="preserve">Terre del Reno (FE) </t>
  </si>
  <si>
    <t>038028</t>
  </si>
  <si>
    <t>Forlì-Cesena</t>
  </si>
  <si>
    <t>099021</t>
  </si>
  <si>
    <t>099022</t>
  </si>
  <si>
    <t>099023</t>
  </si>
  <si>
    <t>099024</t>
  </si>
  <si>
    <t>099025</t>
  </si>
  <si>
    <t>099026</t>
  </si>
  <si>
    <t>099027</t>
  </si>
  <si>
    <t xml:space="preserve">Poggio Torriana (RN) </t>
  </si>
  <si>
    <t>099029</t>
  </si>
  <si>
    <t xml:space="preserve">Rivignano Teor (UD) </t>
  </si>
  <si>
    <t xml:space="preserve">Valvasone Arzene (PN) </t>
  </si>
  <si>
    <t xml:space="preserve">Cantello (VA) </t>
  </si>
  <si>
    <t xml:space="preserve">Laveno-Mombello (VA) </t>
  </si>
  <si>
    <t xml:space="preserve">Maccagno con Pino e Veddasca (VA) </t>
  </si>
  <si>
    <t xml:space="preserve">Colverde (CO) </t>
  </si>
  <si>
    <t>Tremezzina</t>
  </si>
  <si>
    <t xml:space="preserve">Tremezzina (CO) </t>
  </si>
  <si>
    <t>Alta Valle Intelvi</t>
  </si>
  <si>
    <t xml:space="preserve">Alta Valle Intelvi (CO) </t>
  </si>
  <si>
    <t>013253</t>
  </si>
  <si>
    <t xml:space="preserve">Val Brembilla (BG) </t>
  </si>
  <si>
    <t xml:space="preserve">Cornale e Bastida (PV) </t>
  </si>
  <si>
    <t>Corteolona e Genzone</t>
  </si>
  <si>
    <t xml:space="preserve">Corteolona e Genzone (PV) </t>
  </si>
  <si>
    <t>018192</t>
  </si>
  <si>
    <t>Sermide e Felonica</t>
  </si>
  <si>
    <t xml:space="preserve">Sermide e Felonica (MN) </t>
  </si>
  <si>
    <t xml:space="preserve">Borgo Virgilio (MN) </t>
  </si>
  <si>
    <t>Verderio</t>
  </si>
  <si>
    <t xml:space="preserve">Verderio (LC) </t>
  </si>
  <si>
    <t xml:space="preserve">La Valletta Brianza (LC) </t>
  </si>
  <si>
    <t>Monza e della Brianza</t>
  </si>
  <si>
    <t>108001</t>
  </si>
  <si>
    <t>108002</t>
  </si>
  <si>
    <t>108003</t>
  </si>
  <si>
    <t>108004</t>
  </si>
  <si>
    <t>108005</t>
  </si>
  <si>
    <t>108006</t>
  </si>
  <si>
    <t>108007</t>
  </si>
  <si>
    <t>108008</t>
  </si>
  <si>
    <t>108009</t>
  </si>
  <si>
    <t>108010</t>
  </si>
  <si>
    <t>108011</t>
  </si>
  <si>
    <t>108012</t>
  </si>
  <si>
    <t>108013</t>
  </si>
  <si>
    <t>108014</t>
  </si>
  <si>
    <t>108015</t>
  </si>
  <si>
    <t>108016</t>
  </si>
  <si>
    <t>108017</t>
  </si>
  <si>
    <t>108018</t>
  </si>
  <si>
    <t>108019</t>
  </si>
  <si>
    <t>108020</t>
  </si>
  <si>
    <t>108021</t>
  </si>
  <si>
    <t>108022</t>
  </si>
  <si>
    <t>108023</t>
  </si>
  <si>
    <t>108024</t>
  </si>
  <si>
    <t>108025</t>
  </si>
  <si>
    <t>108026</t>
  </si>
  <si>
    <t>108027</t>
  </si>
  <si>
    <t>108028</t>
  </si>
  <si>
    <t>108029</t>
  </si>
  <si>
    <t>108030</t>
  </si>
  <si>
    <t>108031</t>
  </si>
  <si>
    <t>108032</t>
  </si>
  <si>
    <t>108033</t>
  </si>
  <si>
    <t>108034</t>
  </si>
  <si>
    <t>108035</t>
  </si>
  <si>
    <t>108036</t>
  </si>
  <si>
    <t>108037</t>
  </si>
  <si>
    <t>108038</t>
  </si>
  <si>
    <t>108039</t>
  </si>
  <si>
    <t>108040</t>
  </si>
  <si>
    <t>108041</t>
  </si>
  <si>
    <t>108042</t>
  </si>
  <si>
    <t>108043</t>
  </si>
  <si>
    <t>108044</t>
  </si>
  <si>
    <t>108045</t>
  </si>
  <si>
    <t>108046</t>
  </si>
  <si>
    <t>108047</t>
  </si>
  <si>
    <t>108048</t>
  </si>
  <si>
    <t>108049</t>
  </si>
  <si>
    <t>108050</t>
  </si>
  <si>
    <t>108051</t>
  </si>
  <si>
    <t>108052</t>
  </si>
  <si>
    <t>108053</t>
  </si>
  <si>
    <t>108054</t>
  </si>
  <si>
    <t>108055</t>
  </si>
  <si>
    <t>Pesaro e Urbino</t>
  </si>
  <si>
    <t xml:space="preserve">Peglio (PU) </t>
  </si>
  <si>
    <t>041041</t>
  </si>
  <si>
    <t xml:space="preserve">Vallefoglia (PU) </t>
  </si>
  <si>
    <t>Colli al Metauro</t>
  </si>
  <si>
    <t xml:space="preserve">Colli al Metauro (PU) </t>
  </si>
  <si>
    <t>041069</t>
  </si>
  <si>
    <t>Terre Roveresche</t>
  </si>
  <si>
    <t xml:space="preserve">Terre Roveresche (PU) </t>
  </si>
  <si>
    <t>041070</t>
  </si>
  <si>
    <t xml:space="preserve">Trecastelli (AN) </t>
  </si>
  <si>
    <t>Valfornace</t>
  </si>
  <si>
    <t xml:space="preserve">Valfornace (MC) </t>
  </si>
  <si>
    <t>043058</t>
  </si>
  <si>
    <t>109001</t>
  </si>
  <si>
    <t>109002</t>
  </si>
  <si>
    <t>109003</t>
  </si>
  <si>
    <t>109004</t>
  </si>
  <si>
    <t>109005</t>
  </si>
  <si>
    <t>109006</t>
  </si>
  <si>
    <t>109007</t>
  </si>
  <si>
    <t>109008</t>
  </si>
  <si>
    <t>109009</t>
  </si>
  <si>
    <t>109010</t>
  </si>
  <si>
    <t>109011</t>
  </si>
  <si>
    <t>109012</t>
  </si>
  <si>
    <t>109013</t>
  </si>
  <si>
    <t>109014</t>
  </si>
  <si>
    <t>109015</t>
  </si>
  <si>
    <t>109016</t>
  </si>
  <si>
    <t>109017</t>
  </si>
  <si>
    <t>109018</t>
  </si>
  <si>
    <t>109019</t>
  </si>
  <si>
    <t>109020</t>
  </si>
  <si>
    <t>109021</t>
  </si>
  <si>
    <t>109022</t>
  </si>
  <si>
    <t>109023</t>
  </si>
  <si>
    <t>109024</t>
  </si>
  <si>
    <t>109025</t>
  </si>
  <si>
    <t>109026</t>
  </si>
  <si>
    <t>109027</t>
  </si>
  <si>
    <t>109028</t>
  </si>
  <si>
    <t>109029</t>
  </si>
  <si>
    <t>109030</t>
  </si>
  <si>
    <t>109031</t>
  </si>
  <si>
    <t>109032</t>
  </si>
  <si>
    <t>109033</t>
  </si>
  <si>
    <t>109034</t>
  </si>
  <si>
    <t>109035</t>
  </si>
  <si>
    <t>109036</t>
  </si>
  <si>
    <t>109037</t>
  </si>
  <si>
    <t>109038</t>
  </si>
  <si>
    <t>109039</t>
  </si>
  <si>
    <t>109040</t>
  </si>
  <si>
    <t xml:space="preserve">Samone (TO) </t>
  </si>
  <si>
    <t>096086</t>
  </si>
  <si>
    <t>Verbano-Cusio-Ossola</t>
  </si>
  <si>
    <t>103001</t>
  </si>
  <si>
    <t>103002</t>
  </si>
  <si>
    <t>103003</t>
  </si>
  <si>
    <t>103004</t>
  </si>
  <si>
    <t>103005</t>
  </si>
  <si>
    <t>103006</t>
  </si>
  <si>
    <t>103007</t>
  </si>
  <si>
    <t>103008</t>
  </si>
  <si>
    <t>103009</t>
  </si>
  <si>
    <t>103010</t>
  </si>
  <si>
    <t>103011</t>
  </si>
  <si>
    <t>103012</t>
  </si>
  <si>
    <t>Borgomezzavalle</t>
  </si>
  <si>
    <t xml:space="preserve">Borgomezzavalle (VB) </t>
  </si>
  <si>
    <t>103078</t>
  </si>
  <si>
    <t>103013</t>
  </si>
  <si>
    <t>Calasca-Castiglione</t>
  </si>
  <si>
    <t xml:space="preserve">Calasca-Castiglione (VB) </t>
  </si>
  <si>
    <t>103014</t>
  </si>
  <si>
    <t>103015</t>
  </si>
  <si>
    <t>103016</t>
  </si>
  <si>
    <t>103017</t>
  </si>
  <si>
    <t>103018</t>
  </si>
  <si>
    <t>103019</t>
  </si>
  <si>
    <t>103021</t>
  </si>
  <si>
    <t>103022</t>
  </si>
  <si>
    <t>103023</t>
  </si>
  <si>
    <t>103024</t>
  </si>
  <si>
    <t>103025</t>
  </si>
  <si>
    <t>103026</t>
  </si>
  <si>
    <t>103028</t>
  </si>
  <si>
    <t>103029</t>
  </si>
  <si>
    <t>103031</t>
  </si>
  <si>
    <t>103032</t>
  </si>
  <si>
    <t>103033</t>
  </si>
  <si>
    <t>103034</t>
  </si>
  <si>
    <t>103035</t>
  </si>
  <si>
    <t>103036</t>
  </si>
  <si>
    <t>103037</t>
  </si>
  <si>
    <t>103038</t>
  </si>
  <si>
    <t>103039</t>
  </si>
  <si>
    <t>103040</t>
  </si>
  <si>
    <t>103041</t>
  </si>
  <si>
    <t>103042</t>
  </si>
  <si>
    <t>103043</t>
  </si>
  <si>
    <t>103044</t>
  </si>
  <si>
    <t>103045</t>
  </si>
  <si>
    <t>103046</t>
  </si>
  <si>
    <t>103047</t>
  </si>
  <si>
    <t>103048</t>
  </si>
  <si>
    <t>103049</t>
  </si>
  <si>
    <t>103050</t>
  </si>
  <si>
    <t>103051</t>
  </si>
  <si>
    <t>103052</t>
  </si>
  <si>
    <t>103053</t>
  </si>
  <si>
    <t>103054</t>
  </si>
  <si>
    <t>103055</t>
  </si>
  <si>
    <t>103056</t>
  </si>
  <si>
    <t>103057</t>
  </si>
  <si>
    <t>103058</t>
  </si>
  <si>
    <t>103059</t>
  </si>
  <si>
    <t>103060</t>
  </si>
  <si>
    <t>103061</t>
  </si>
  <si>
    <t>103062</t>
  </si>
  <si>
    <t>103064</t>
  </si>
  <si>
    <t>103065</t>
  </si>
  <si>
    <t>103066</t>
  </si>
  <si>
    <t>103067</t>
  </si>
  <si>
    <t>103068</t>
  </si>
  <si>
    <t>103069</t>
  </si>
  <si>
    <t>103070</t>
  </si>
  <si>
    <t>103071</t>
  </si>
  <si>
    <t>103072</t>
  </si>
  <si>
    <t>103074</t>
  </si>
  <si>
    <t>103075</t>
  </si>
  <si>
    <t>103076</t>
  </si>
  <si>
    <t>103077</t>
  </si>
  <si>
    <t>096085</t>
  </si>
  <si>
    <t xml:space="preserve">Castro (LE) </t>
  </si>
  <si>
    <t>075096</t>
  </si>
  <si>
    <t>110001</t>
  </si>
  <si>
    <t>110002</t>
  </si>
  <si>
    <t>110003</t>
  </si>
  <si>
    <t>110004</t>
  </si>
  <si>
    <t>110005</t>
  </si>
  <si>
    <t>110006</t>
  </si>
  <si>
    <t>110007</t>
  </si>
  <si>
    <t>110008</t>
  </si>
  <si>
    <t>110009</t>
  </si>
  <si>
    <t>110010</t>
  </si>
  <si>
    <t>087052</t>
  </si>
  <si>
    <t xml:space="preserve">Fabbriche di Vergemoli (LU) </t>
  </si>
  <si>
    <t xml:space="preserve">Sillano Giuncugnano (LU) </t>
  </si>
  <si>
    <t>Abetone Cutigliano</t>
  </si>
  <si>
    <t xml:space="preserve">Abetone Cutigliano (PT) </t>
  </si>
  <si>
    <t>047023</t>
  </si>
  <si>
    <t>San Marcello Piteglio</t>
  </si>
  <si>
    <t xml:space="preserve">San Marcello Piteglio (PT) </t>
  </si>
  <si>
    <t>047024</t>
  </si>
  <si>
    <t xml:space="preserve">Figline e Incisa Valdarno (FI) </t>
  </si>
  <si>
    <t xml:space="preserve">Scarperia e San Piero (FI) </t>
  </si>
  <si>
    <t xml:space="preserve">Casciana Terme Lari (PI) </t>
  </si>
  <si>
    <t xml:space="preserve">Crespina Lorenzana (PI) </t>
  </si>
  <si>
    <t xml:space="preserve">Castelfranco Piandiscò (AR) </t>
  </si>
  <si>
    <t xml:space="preserve">Pratovecchio Stia (AR) </t>
  </si>
  <si>
    <t>052037</t>
  </si>
  <si>
    <t>100001</t>
  </si>
  <si>
    <t>100002</t>
  </si>
  <si>
    <t>100003</t>
  </si>
  <si>
    <t>100004</t>
  </si>
  <si>
    <t>100005</t>
  </si>
  <si>
    <t>100006</t>
  </si>
  <si>
    <t>100007</t>
  </si>
  <si>
    <t>Bolzano/Bozen</t>
  </si>
  <si>
    <t xml:space="preserve">Calliano (TN) </t>
  </si>
  <si>
    <t>022035</t>
  </si>
  <si>
    <t xml:space="preserve">Livo (TN) </t>
  </si>
  <si>
    <t>022106</t>
  </si>
  <si>
    <t>022165</t>
  </si>
  <si>
    <t xml:space="preserve">Predaia (TN) </t>
  </si>
  <si>
    <t xml:space="preserve">San Lorenzo Dorsino (TN) </t>
  </si>
  <si>
    <t xml:space="preserve">Valdaone (TN) </t>
  </si>
  <si>
    <t>Dimaro Folgarida</t>
  </si>
  <si>
    <t xml:space="preserve">Dimaro Folgarida (TN) </t>
  </si>
  <si>
    <t>022233</t>
  </si>
  <si>
    <t>Pieve di Bono-Prezzo</t>
  </si>
  <si>
    <t xml:space="preserve">Pieve di Bono-Prezzo (TN) </t>
  </si>
  <si>
    <t>022234</t>
  </si>
  <si>
    <t>Altavalle</t>
  </si>
  <si>
    <t xml:space="preserve">Altavalle (TN) </t>
  </si>
  <si>
    <t>022235</t>
  </si>
  <si>
    <t>Altopiano della Vigolana</t>
  </si>
  <si>
    <t xml:space="preserve">Altopiano della Vigolana (TN) </t>
  </si>
  <si>
    <t>022236</t>
  </si>
  <si>
    <t>Amblar-Don</t>
  </si>
  <si>
    <t xml:space="preserve">Amblar-Don (TN) </t>
  </si>
  <si>
    <t>022237</t>
  </si>
  <si>
    <t>Borgo Chiese</t>
  </si>
  <si>
    <t xml:space="preserve">Borgo Chiese (TN) </t>
  </si>
  <si>
    <t>022238</t>
  </si>
  <si>
    <t>Borgo Lares</t>
  </si>
  <si>
    <t xml:space="preserve">Borgo Lares (TN) </t>
  </si>
  <si>
    <t>022239</t>
  </si>
  <si>
    <t>Castel Ivano</t>
  </si>
  <si>
    <t xml:space="preserve">Castel Ivano (TN) </t>
  </si>
  <si>
    <t>022240</t>
  </si>
  <si>
    <t>Cembra Lisignago</t>
  </si>
  <si>
    <t xml:space="preserve">Cembra Lisignago (TN) </t>
  </si>
  <si>
    <t>022241</t>
  </si>
  <si>
    <t>Contà</t>
  </si>
  <si>
    <t xml:space="preserve">Contà (TN) </t>
  </si>
  <si>
    <t>022242</t>
  </si>
  <si>
    <t>Madruzzo</t>
  </si>
  <si>
    <t xml:space="preserve">Madruzzo (TN) </t>
  </si>
  <si>
    <t>022243</t>
  </si>
  <si>
    <t>Porte di Rendena</t>
  </si>
  <si>
    <t xml:space="preserve">Porte di Rendena (TN) </t>
  </si>
  <si>
    <t>022244</t>
  </si>
  <si>
    <t>Primiero San Martino di Castrozza</t>
  </si>
  <si>
    <t xml:space="preserve">Primiero San Martino di Castrozza (TN) </t>
  </si>
  <si>
    <t>022245</t>
  </si>
  <si>
    <t>Sella Giudicarie</t>
  </si>
  <si>
    <t xml:space="preserve">Sella Giudicarie (TN) </t>
  </si>
  <si>
    <t>022246</t>
  </si>
  <si>
    <t>Tre Ville</t>
  </si>
  <si>
    <t xml:space="preserve">Tre Ville (TN) </t>
  </si>
  <si>
    <t>022247</t>
  </si>
  <si>
    <t>Vallelaghi</t>
  </si>
  <si>
    <t xml:space="preserve">Vallelaghi (TN) </t>
  </si>
  <si>
    <t>022248</t>
  </si>
  <si>
    <t>022249</t>
  </si>
  <si>
    <t>Val Liona</t>
  </si>
  <si>
    <t xml:space="preserve">Val Liona (VI) </t>
  </si>
  <si>
    <t>024123</t>
  </si>
  <si>
    <t>Alpago</t>
  </si>
  <si>
    <t xml:space="preserve">Alpago (BL) </t>
  </si>
  <si>
    <t>025072</t>
  </si>
  <si>
    <t>Val di Zoldo</t>
  </si>
  <si>
    <t xml:space="preserve">Val di Zoldo (BL) </t>
  </si>
  <si>
    <t>025073</t>
  </si>
  <si>
    <t xml:space="preserve">Sappada (UD) </t>
  </si>
  <si>
    <t>030189</t>
  </si>
  <si>
    <t>Rimborsi effettuati ai sensi sentenza CC 335/2008 ed eccedenti la quota riconosciuta in tariffa</t>
  </si>
  <si>
    <t>Tool</t>
  </si>
  <si>
    <t>LIC dell'anno</t>
  </si>
  <si>
    <t>F</t>
  </si>
  <si>
    <t>Interventi infrastrutturali</t>
  </si>
  <si>
    <t>Fabbisogno degli investimenti per adeguamento agglomerati oggetto di condanne UE del 19/07/2012 e 10/04/2014</t>
  </si>
  <si>
    <t>Fabbisogno di investimenti coperto da tariffa</t>
  </si>
  <si>
    <t>Fabbisogno di investimenti coperto con risorse regionali o altre fonti pubbliche</t>
  </si>
  <si>
    <t>Parte del VRG destinata alla contabilità speciale del Commissario Unico</t>
  </si>
  <si>
    <t>Risorse regionali o altre fonti pubbliche destinate alla contabilità speciale del Commissario Unico</t>
  </si>
  <si>
    <t>Autorità Umbra Rifiuti Idrico</t>
  </si>
  <si>
    <t>Sezione "Interventi sullo schema regolatorio" e Oneri aggiuntivi</t>
  </si>
  <si>
    <t>selezione dello schema</t>
  </si>
  <si>
    <r>
      <rPr>
        <sz val="10"/>
        <color theme="1"/>
        <rFont val="Symbol"/>
        <family val="1"/>
        <charset val="2"/>
      </rPr>
      <t>J</t>
    </r>
    <r>
      <rPr>
        <vertAlign val="superscript"/>
        <sz val="10"/>
        <color theme="1"/>
        <rFont val="Arial Narrow"/>
        <family val="2"/>
      </rPr>
      <t>a-2</t>
    </r>
    <r>
      <rPr>
        <sz val="10"/>
        <color theme="1"/>
        <rFont val="Arial Narrow"/>
        <family val="2"/>
      </rPr>
      <t xml:space="preserve"> ai fini del calcolo dei conguagli</t>
    </r>
  </si>
  <si>
    <t>TICSI_tipologia d'uso</t>
  </si>
  <si>
    <t>Preq1</t>
  </si>
  <si>
    <t>Preq2</t>
  </si>
  <si>
    <t>Preq3</t>
  </si>
  <si>
    <t>Preq4</t>
  </si>
  <si>
    <t>intervento a cui sono associati costi della risorsa intesi come "... valorizzazione economica delle mancate opportunità (attuali e future) imposte, come conseguenza dell’allocazione per un determinato uso di una risorsa idrica scarsa in termini quali-quantitativi, ad altri potenziali utenti della medesima risorsa idrica".</t>
  </si>
  <si>
    <t>Prerequisito 4, M4a, M4b, M4c</t>
  </si>
  <si>
    <t>Prerequisito 4</t>
  </si>
  <si>
    <t>Prerequisito 1, M1, M3 (eventuale)</t>
  </si>
  <si>
    <t>Prerequisito 3</t>
  </si>
  <si>
    <t>Valore investimento annuo (lordo contributi)</t>
  </si>
  <si>
    <t>Ricostruzione immobilizzazioni del gestore</t>
  </si>
  <si>
    <t>IMNGestore</t>
  </si>
  <si>
    <t>Immobilizzazioni dei proprietari</t>
  </si>
  <si>
    <t>IMNProprietari - Sviluppo dei costi di capitale associati alle infrastrutture di terzi</t>
  </si>
  <si>
    <t>IMN P.</t>
  </si>
  <si>
    <t>dati da non valorizzare</t>
  </si>
  <si>
    <t>Integrazioni componenti a conguaglio: recupero volumi</t>
  </si>
  <si>
    <t>Integrazioni componenti a conguaglio: recupero energia elettrica</t>
  </si>
  <si>
    <t>Versione_file</t>
  </si>
  <si>
    <t>RDT</t>
  </si>
  <si>
    <t>TICSI_tipologia-sottotipologia_d'uso</t>
  </si>
  <si>
    <t>a) uso domestico</t>
  </si>
  <si>
    <t>uso condominiale</t>
  </si>
  <si>
    <t>uso domestico non residente</t>
  </si>
  <si>
    <t>b) uso industriale</t>
  </si>
  <si>
    <t>c) uso artigianale e commerciale</t>
  </si>
  <si>
    <t>d) uso agricolo e zootecnico</t>
  </si>
  <si>
    <t>e) uso pubblico non disalimentabile</t>
  </si>
  <si>
    <t>f) uso pubblico disalimentabile</t>
  </si>
  <si>
    <t>g) altri usi (categoria residuale)</t>
  </si>
  <si>
    <t>altro 1 (specificare in relazione)</t>
  </si>
  <si>
    <t>altro 2 (specificare in relazione)</t>
  </si>
  <si>
    <t>delibera Autorità</t>
  </si>
  <si>
    <t>Delibera Autorità</t>
  </si>
  <si>
    <t>quota % contributo Autorità</t>
  </si>
  <si>
    <r>
      <t xml:space="preserve">Oneri locali </t>
    </r>
    <r>
      <rPr>
        <vertAlign val="superscript"/>
        <sz val="10"/>
        <rFont val="Arial Narrow"/>
        <family val="2"/>
      </rPr>
      <t xml:space="preserve">a-2 </t>
    </r>
    <r>
      <rPr>
        <sz val="10"/>
        <rFont val="Arial Narrow"/>
        <family val="2"/>
      </rPr>
      <t>(esclusi ERC)</t>
    </r>
  </si>
  <si>
    <r>
      <t xml:space="preserve">Oneri locali </t>
    </r>
    <r>
      <rPr>
        <vertAlign val="superscript"/>
        <sz val="10"/>
        <color theme="1"/>
        <rFont val="Arial Narrow"/>
        <family val="2"/>
      </rPr>
      <t>a-2</t>
    </r>
  </si>
  <si>
    <t>Ente Regionale per il Servizio Idrico Integrato</t>
  </si>
  <si>
    <t>00299110643</t>
  </si>
  <si>
    <t>00315660795</t>
  </si>
  <si>
    <t>02715630824</t>
  </si>
  <si>
    <t>00518510821</t>
  </si>
  <si>
    <t>00059300707</t>
  </si>
  <si>
    <t>02790570820</t>
  </si>
  <si>
    <t>COMUNE DI CANDIDA</t>
  </si>
  <si>
    <t>COMUNE DI CERENZIA</t>
  </si>
  <si>
    <t>COMUNE DI PRIZZI</t>
  </si>
  <si>
    <t>COMUNE DI BORGETTO</t>
  </si>
  <si>
    <t>Comune di Campolieto</t>
  </si>
  <si>
    <t>comune di collesano</t>
  </si>
  <si>
    <r>
      <t>CO</t>
    </r>
    <r>
      <rPr>
        <vertAlign val="superscript"/>
        <sz val="10"/>
        <color indexed="8"/>
        <rFont val="Arial Narrow"/>
        <family val="2"/>
      </rPr>
      <t>𝑓𝑎𝑛𝑔ℎ𝑖</t>
    </r>
    <r>
      <rPr>
        <vertAlign val="subscript"/>
        <sz val="10"/>
        <color rgb="FF000000"/>
        <rFont val="Arial Narrow"/>
        <family val="2"/>
      </rPr>
      <t>𝑒𝑓𝑓𝑒𝑡𝑡𝑖𝑣𝑜</t>
    </r>
  </si>
  <si>
    <t>Idgestore</t>
  </si>
  <si>
    <t>Errore Proprietari duplicati</t>
  </si>
  <si>
    <t>Errore PIVA o CodiceISTAT</t>
  </si>
  <si>
    <t>Errore tipologia</t>
  </si>
  <si>
    <t>MT - controllo Anno deliberazione e Tipologia Proprietario</t>
  </si>
  <si>
    <t>Sono presenti errori</t>
  </si>
  <si>
    <t>Errore duplicazione soggetto</t>
  </si>
  <si>
    <t>Corrispettivi_proprietari</t>
  </si>
  <si>
    <t>Elenco soggetti proprietari</t>
  </si>
  <si>
    <t>Errore dati EE</t>
  </si>
  <si>
    <t>Errore compilazione</t>
  </si>
  <si>
    <t>Errore dati pop</t>
  </si>
  <si>
    <t>elemento i,j</t>
  </si>
  <si>
    <t>Errore denominazione Ambito</t>
  </si>
  <si>
    <t>Acquedotto</t>
  </si>
  <si>
    <t>Fognatura</t>
  </si>
  <si>
    <t>3 - Articolazione Tariffaria</t>
  </si>
  <si>
    <t>Struttura_corrispettivi</t>
  </si>
  <si>
    <t>B10) Ammortamenti e svalutazioni</t>
  </si>
  <si>
    <t>di cui per altre svalutazioni delle immobilizzazioni</t>
  </si>
  <si>
    <t>di cui per svalutazione dei crediti compresi nell'attivo circolante e delle disponibilità liquide</t>
  </si>
  <si>
    <t>di cui per Immobilizzazioni immateriali: avviamenti, capitalizzazione concessione, etc.</t>
  </si>
  <si>
    <t>di cui per salari e stipendi</t>
  </si>
  <si>
    <t>ricerca perdite (da terzi)</t>
  </si>
  <si>
    <t>ricerca perdite (da altre imprese del gruppo)</t>
  </si>
  <si>
    <t>smaltimento rifiuti (da terzi)</t>
  </si>
  <si>
    <t>smaltimento rifiuti (da altre imprese del gruppo)</t>
  </si>
  <si>
    <t>manutenzioni ordinarie (da terzi)</t>
  </si>
  <si>
    <t>manutenzioni ordinarie (da altre imprese del gruppo)</t>
  </si>
  <si>
    <t>di cui per materiali per manutenzioni</t>
  </si>
  <si>
    <t>di cui per reagenti</t>
  </si>
  <si>
    <t>errore compilazione</t>
  </si>
  <si>
    <t>CONSISTENZA DEL  PERSONALE</t>
  </si>
  <si>
    <t>Dirigenti</t>
  </si>
  <si>
    <t>Impiegati</t>
  </si>
  <si>
    <t>Operai</t>
  </si>
  <si>
    <t>Collaboratori</t>
  </si>
  <si>
    <t>N.</t>
  </si>
  <si>
    <t>COSTI DEL  PERSONALE</t>
  </si>
  <si>
    <t>Totale spesa in ricerca e sviluppo</t>
  </si>
  <si>
    <t>sono presenti errori</t>
  </si>
  <si>
    <t>errore
idgestore</t>
  </si>
  <si>
    <t>errore
P.IVA</t>
  </si>
  <si>
    <t>errore idgestore o Partita Iva</t>
  </si>
  <si>
    <t>di cui, in salvaguardia</t>
  </si>
  <si>
    <t>Costo medio della fornitura elettrica per l'acquisto in regime di salvaguardia</t>
  </si>
  <si>
    <t>KWh</t>
  </si>
  <si>
    <t>Categoria Nuovi investimenti</t>
  </si>
  <si>
    <t>Attività</t>
  </si>
  <si>
    <t>Macro-indicatore di riferimento*</t>
  </si>
  <si>
    <t>Categoria di immobilizzazioni</t>
  </si>
  <si>
    <r>
      <t>VU</t>
    </r>
    <r>
      <rPr>
        <b/>
        <i/>
        <vertAlign val="subscript"/>
        <sz val="10"/>
        <color theme="1"/>
        <rFont val="Times New Roman"/>
        <family val="1"/>
      </rPr>
      <t>c,t</t>
    </r>
  </si>
  <si>
    <t>M1-M2-MC1</t>
  </si>
  <si>
    <t>Condotte di acquedotto</t>
  </si>
  <si>
    <t>M1-M2-M3</t>
  </si>
  <si>
    <t>Opere idrauliche fisse di acquedotto</t>
  </si>
  <si>
    <t>M1-M2</t>
  </si>
  <si>
    <t>Impianti di sollevamento e pompaggio di acquedotto</t>
  </si>
  <si>
    <t>Impianti di potabilizzazione</t>
  </si>
  <si>
    <t>Altri trattamenti di potabilizzazione (tra cui dispositivi di disinfezione, stacciatura, filtrazione, addolcimento)</t>
  </si>
  <si>
    <t>M1-MC1-MC2</t>
  </si>
  <si>
    <t>Gruppi di misura - altre attrezzature di acquedotto</t>
  </si>
  <si>
    <t>Sistemi informativi di acquedotto</t>
  </si>
  <si>
    <t>Telecontrollo e teletrasmissione di acquedotto</t>
  </si>
  <si>
    <t>Condotte fognarie</t>
  </si>
  <si>
    <t>Sifoni e scaricatori di piena e altre opere idrauliche fisse di fognatura</t>
  </si>
  <si>
    <t>Vasche di laminazione e vasche di prima pioggia</t>
  </si>
  <si>
    <t>Impianti di sollevamento e pompaggio di fognatura</t>
  </si>
  <si>
    <t>Gruppi di misura - altre attrezzature di fognatura</t>
  </si>
  <si>
    <t>Sistemi informativi di fognatura</t>
  </si>
  <si>
    <t>Telecontrollo e teletrasmissione di fognatura</t>
  </si>
  <si>
    <t>M5-M6</t>
  </si>
  <si>
    <t>Impianti di sollevamento e pompaggio di depurazione</t>
  </si>
  <si>
    <t>Tecniche naturali di depurazione (tra cui fitodepurazione e lagunaggio)</t>
  </si>
  <si>
    <t>Impianti di depurazione – trattamenti sino al preliminare, integrativo, primario - fosse settiche e fosse Imhoff</t>
  </si>
  <si>
    <t>Impianti di depurazione – trattamenti sino al secondario</t>
  </si>
  <si>
    <t>Impianti di depurazione – trattamenti sino al terziario e terziario avanzato</t>
  </si>
  <si>
    <t>Impianti di essiccamento fanghi e di valorizzazione dei fanghi (tra cui mono-incenerimento, pirolisi, gassificazione)</t>
  </si>
  <si>
    <t>Gruppi di misura - altre attrezzature di depurazione</t>
  </si>
  <si>
    <t>Sistemi informativi di depurazione</t>
  </si>
  <si>
    <t>Telecontrollo e teletrasmissione di depurazione</t>
  </si>
  <si>
    <t>M1-M2-M3-M4-M5-M6</t>
  </si>
  <si>
    <t>M3-M6</t>
  </si>
  <si>
    <t>Laboratori e attrezzature</t>
  </si>
  <si>
    <t>MC1-MC2-M1-M2-M3-M4-M5-M6</t>
  </si>
  <si>
    <t>Sistemi informativi</t>
  </si>
  <si>
    <t>MC1-MC2- M1-M2-M3-M4-M5-M6</t>
  </si>
  <si>
    <t>Autoveicoli - automezzi</t>
  </si>
  <si>
    <t>MC1-MC2</t>
  </si>
  <si>
    <t>M3-M6-MC1-MC2</t>
  </si>
  <si>
    <t>Macro-indicatore di riferimento</t>
  </si>
  <si>
    <t>incidenza FoNI (%)</t>
  </si>
  <si>
    <t>SPIEGAZIONE EVENTUALE DIFFERENZA CON LA STRUTTURA TARIFFARIA</t>
  </si>
  <si>
    <t>di cui, CFP da FoNI
(come da approvazione tariffaria)</t>
  </si>
  <si>
    <t>di cui, CFP da FoNI</t>
  </si>
  <si>
    <t>errore id categoria cespite</t>
  </si>
  <si>
    <t>errore id immobilizzazione</t>
  </si>
  <si>
    <t>errore id anno cespite</t>
  </si>
  <si>
    <t>errore valori non negativi</t>
  </si>
  <si>
    <r>
      <t xml:space="preserve">idarera associato al </t>
    </r>
    <r>
      <rPr>
        <b/>
        <i/>
        <sz val="10"/>
        <color rgb="FFFF0000"/>
        <rFont val="Arial Narrow"/>
        <family val="2"/>
      </rPr>
      <t>gestore</t>
    </r>
  </si>
  <si>
    <t>IMN_gestore</t>
  </si>
  <si>
    <r>
      <t xml:space="preserve">consolidamento immobilizzazioni 
</t>
    </r>
    <r>
      <rPr>
        <b/>
        <i/>
        <sz val="10"/>
        <color rgb="FFFF0000"/>
        <rFont val="Arial Narrow"/>
        <family val="2"/>
      </rPr>
      <t xml:space="preserve">Include le immobilizzazioni fino ai nuovi investimenti 2018-2021 a moneta dell'anno del cespite
</t>
    </r>
    <r>
      <rPr>
        <b/>
        <i/>
        <sz val="10"/>
        <rFont val="Arial Narrow"/>
        <family val="2"/>
      </rPr>
      <t>Il foglio è solo di supporto al calcolo</t>
    </r>
  </si>
  <si>
    <t>2018-2020</t>
  </si>
  <si>
    <t>2018-2021</t>
  </si>
  <si>
    <t>2018-2022</t>
  </si>
  <si>
    <t>2018-2023</t>
  </si>
  <si>
    <t>2018-2024</t>
  </si>
  <si>
    <t>2018-2025</t>
  </si>
  <si>
    <t>2018-2026</t>
  </si>
  <si>
    <t>2018-2027</t>
  </si>
  <si>
    <t>2018-2028</t>
  </si>
  <si>
    <t>2018-2029</t>
  </si>
  <si>
    <t>2018-2030</t>
  </si>
  <si>
    <t>2018-2031</t>
  </si>
  <si>
    <t>2018-2032</t>
  </si>
  <si>
    <t>2018-2033</t>
  </si>
  <si>
    <t>2018-2034</t>
  </si>
  <si>
    <t>2018-2035</t>
  </si>
  <si>
    <t>2018-2036</t>
  </si>
  <si>
    <t>2018-2037</t>
  </si>
  <si>
    <t>2018-2038</t>
  </si>
  <si>
    <t>2018-2039</t>
  </si>
  <si>
    <t>2018-2040</t>
  </si>
  <si>
    <t>2018-2041</t>
  </si>
  <si>
    <t>2018-2042</t>
  </si>
  <si>
    <t>2018-2043</t>
  </si>
  <si>
    <t>2018-2044</t>
  </si>
  <si>
    <t>2018-2045</t>
  </si>
  <si>
    <t>2018-2046</t>
  </si>
  <si>
    <t>2018-2047</t>
  </si>
  <si>
    <t>2018-2048</t>
  </si>
  <si>
    <t>2019-2021</t>
  </si>
  <si>
    <t>2019-2022</t>
  </si>
  <si>
    <t>2019-2023</t>
  </si>
  <si>
    <t>2019-2024</t>
  </si>
  <si>
    <t>2019-2025</t>
  </si>
  <si>
    <t>2019-2026</t>
  </si>
  <si>
    <t>2019-2027</t>
  </si>
  <si>
    <t>2019-2028</t>
  </si>
  <si>
    <t>2019-2029</t>
  </si>
  <si>
    <t>2019-2030</t>
  </si>
  <si>
    <t>2019-2031</t>
  </si>
  <si>
    <t>2019-2032</t>
  </si>
  <si>
    <t>2019-2033</t>
  </si>
  <si>
    <t>2019-2034</t>
  </si>
  <si>
    <t>2019-2035</t>
  </si>
  <si>
    <t>2019-2036</t>
  </si>
  <si>
    <t>2019-2037</t>
  </si>
  <si>
    <t>2019-2038</t>
  </si>
  <si>
    <t>2019-2039</t>
  </si>
  <si>
    <t>2019-2040</t>
  </si>
  <si>
    <t>2019-2041</t>
  </si>
  <si>
    <t>2019-2042</t>
  </si>
  <si>
    <t>2019-2043</t>
  </si>
  <si>
    <t>2019-2044</t>
  </si>
  <si>
    <t>2019-2045</t>
  </si>
  <si>
    <t>2019-2046</t>
  </si>
  <si>
    <t>2019-2047</t>
  </si>
  <si>
    <t>2019-2048</t>
  </si>
  <si>
    <t>2020-2022</t>
  </si>
  <si>
    <t>2020-2023</t>
  </si>
  <si>
    <t>2020-2024</t>
  </si>
  <si>
    <t>2020-2025</t>
  </si>
  <si>
    <t>2020-2026</t>
  </si>
  <si>
    <t>2020-2027</t>
  </si>
  <si>
    <t>2020-2028</t>
  </si>
  <si>
    <t>2020-2029</t>
  </si>
  <si>
    <t>2020-2030</t>
  </si>
  <si>
    <t>2020-2031</t>
  </si>
  <si>
    <t>2020-2032</t>
  </si>
  <si>
    <t>2020-2033</t>
  </si>
  <si>
    <t>2020-2034</t>
  </si>
  <si>
    <t>2020-2035</t>
  </si>
  <si>
    <t>2020-2036</t>
  </si>
  <si>
    <t>2020-2037</t>
  </si>
  <si>
    <t>2020-2038</t>
  </si>
  <si>
    <t>2020-2039</t>
  </si>
  <si>
    <t>2020-2040</t>
  </si>
  <si>
    <t>2020-2041</t>
  </si>
  <si>
    <t>2020-2042</t>
  </si>
  <si>
    <t>2020-2043</t>
  </si>
  <si>
    <t>2020-2044</t>
  </si>
  <si>
    <t>2020-2045</t>
  </si>
  <si>
    <t>2020-2046</t>
  </si>
  <si>
    <t>2020-2047</t>
  </si>
  <si>
    <t>2020-2048</t>
  </si>
  <si>
    <t>2021-2023</t>
  </si>
  <si>
    <t>2021-2024</t>
  </si>
  <si>
    <t>2021-2025</t>
  </si>
  <si>
    <t>2021-2026</t>
  </si>
  <si>
    <t>2021-2027</t>
  </si>
  <si>
    <t>2021-2028</t>
  </si>
  <si>
    <t>2021-2029</t>
  </si>
  <si>
    <t>2021-2030</t>
  </si>
  <si>
    <t>2021-2031</t>
  </si>
  <si>
    <t>2021-2032</t>
  </si>
  <si>
    <t>2021-2033</t>
  </si>
  <si>
    <t>2021-2034</t>
  </si>
  <si>
    <t>2021-2035</t>
  </si>
  <si>
    <t>2021-2036</t>
  </si>
  <si>
    <t>2021-2037</t>
  </si>
  <si>
    <t>2021-2038</t>
  </si>
  <si>
    <t>2021-2039</t>
  </si>
  <si>
    <t>2021-2040</t>
  </si>
  <si>
    <t>2021-2041</t>
  </si>
  <si>
    <t>2021-2042</t>
  </si>
  <si>
    <t>2021-2043</t>
  </si>
  <si>
    <t>2021-2044</t>
  </si>
  <si>
    <t>2021-2045</t>
  </si>
  <si>
    <t>2021-2046</t>
  </si>
  <si>
    <t>2021-2047</t>
  </si>
  <si>
    <t>2021-2048</t>
  </si>
  <si>
    <r>
      <t>k</t>
    </r>
    <r>
      <rPr>
        <vertAlign val="subscript"/>
        <sz val="10"/>
        <color rgb="FF000000"/>
        <rFont val="Arial Narrow"/>
        <family val="2"/>
      </rPr>
      <t>m</t>
    </r>
  </si>
  <si>
    <t>Valore</t>
  </si>
  <si>
    <r>
      <t>LIC</t>
    </r>
    <r>
      <rPr>
        <vertAlign val="subscript"/>
        <sz val="10"/>
        <rFont val="Arial Narrow"/>
        <family val="2"/>
      </rPr>
      <t>ord</t>
    </r>
  </si>
  <si>
    <r>
      <t>LIC</t>
    </r>
    <r>
      <rPr>
        <vertAlign val="subscript"/>
        <sz val="10"/>
        <rFont val="Arial Narrow"/>
        <family val="2"/>
      </rPr>
      <t>pos</t>
    </r>
  </si>
  <si>
    <r>
      <t>CIN</t>
    </r>
    <r>
      <rPr>
        <vertAlign val="subscript"/>
        <sz val="10"/>
        <rFont val="Arial Narrow"/>
        <family val="2"/>
      </rPr>
      <t>fp</t>
    </r>
    <r>
      <rPr>
        <sz val="10"/>
        <rFont val="Arial Narrow"/>
        <family val="2"/>
      </rPr>
      <t xml:space="preserve"> / (CIN - LIC</t>
    </r>
    <r>
      <rPr>
        <vertAlign val="subscript"/>
        <sz val="10"/>
        <rFont val="Arial Narrow"/>
        <family val="2"/>
      </rPr>
      <t>ord</t>
    </r>
    <r>
      <rPr>
        <sz val="10"/>
        <rFont val="Arial Narrow"/>
        <family val="2"/>
      </rPr>
      <t>)</t>
    </r>
  </si>
  <si>
    <r>
      <t>OF (</t>
    </r>
    <r>
      <rPr>
        <i/>
        <sz val="10"/>
        <color theme="1"/>
        <rFont val="Arial Narrow"/>
        <family val="2"/>
      </rPr>
      <t>time lag</t>
    </r>
    <r>
      <rPr>
        <sz val="10"/>
        <color theme="1"/>
        <rFont val="Arial Narrow"/>
        <family val="2"/>
      </rPr>
      <t>)</t>
    </r>
  </si>
  <si>
    <r>
      <t>t</t>
    </r>
    <r>
      <rPr>
        <i/>
        <vertAlign val="subscript"/>
        <sz val="10"/>
        <color indexed="8"/>
        <rFont val="Arial Narrow"/>
        <family val="2"/>
      </rPr>
      <t>c</t>
    </r>
  </si>
  <si>
    <r>
      <t>K</t>
    </r>
    <r>
      <rPr>
        <i/>
        <vertAlign val="subscript"/>
        <sz val="10"/>
        <color indexed="8"/>
        <rFont val="Arial Narrow"/>
        <family val="2"/>
      </rPr>
      <t>d</t>
    </r>
  </si>
  <si>
    <r>
      <t>OF</t>
    </r>
    <r>
      <rPr>
        <vertAlign val="subscript"/>
        <sz val="10"/>
        <color theme="1"/>
        <rFont val="Arial Narrow"/>
        <family val="2"/>
      </rPr>
      <t>imm</t>
    </r>
  </si>
  <si>
    <r>
      <t>OF</t>
    </r>
    <r>
      <rPr>
        <vertAlign val="subscript"/>
        <sz val="10"/>
        <color theme="1"/>
        <rFont val="Arial Narrow"/>
        <family val="2"/>
      </rPr>
      <t>lic, ord</t>
    </r>
  </si>
  <si>
    <r>
      <t>S</t>
    </r>
    <r>
      <rPr>
        <vertAlign val="subscript"/>
        <sz val="10"/>
        <rFont val="Arial Narrow"/>
        <family val="2"/>
      </rPr>
      <t>LIC</t>
    </r>
  </si>
  <si>
    <t>Immobilizzazioni nette del gestore</t>
  </si>
  <si>
    <t>Immobilizzazioni nette del gestore - solo nuovi investimenti (serie cumulata)</t>
  </si>
  <si>
    <t>Immobilizzazioni nette del gestore - solo nuovi investimenti (serie storica)</t>
  </si>
  <si>
    <t>Immobilizzazioni nette dei proprietari</t>
  </si>
  <si>
    <r>
      <t>OFisc</t>
    </r>
    <r>
      <rPr>
        <b/>
        <vertAlign val="subscript"/>
        <sz val="10"/>
        <color theme="1"/>
        <rFont val="Arial Narrow"/>
        <family val="2"/>
      </rPr>
      <t>env</t>
    </r>
  </si>
  <si>
    <r>
      <t>OFisc</t>
    </r>
    <r>
      <rPr>
        <b/>
        <vertAlign val="subscript"/>
        <sz val="10"/>
        <color theme="1"/>
        <rFont val="Arial Narrow"/>
        <family val="2"/>
      </rPr>
      <t>res</t>
    </r>
  </si>
  <si>
    <r>
      <t>Rai</t>
    </r>
    <r>
      <rPr>
        <vertAlign val="subscript"/>
        <sz val="10"/>
        <rFont val="Arial Narrow"/>
        <family val="2"/>
      </rPr>
      <t>env</t>
    </r>
  </si>
  <si>
    <r>
      <t>Rai</t>
    </r>
    <r>
      <rPr>
        <vertAlign val="subscript"/>
        <sz val="10"/>
        <rFont val="Arial Narrow"/>
        <family val="2"/>
      </rPr>
      <t>res</t>
    </r>
  </si>
  <si>
    <r>
      <t>CIN</t>
    </r>
    <r>
      <rPr>
        <vertAlign val="subscript"/>
        <sz val="10"/>
        <color theme="1"/>
        <rFont val="Arial Narrow"/>
        <family val="2"/>
      </rPr>
      <t>fp,env</t>
    </r>
  </si>
  <si>
    <r>
      <t>CIN</t>
    </r>
    <r>
      <rPr>
        <vertAlign val="subscript"/>
        <sz val="10"/>
        <color theme="1"/>
        <rFont val="Arial Narrow"/>
        <family val="2"/>
      </rPr>
      <t>fp,res</t>
    </r>
  </si>
  <si>
    <r>
      <t>CIN</t>
    </r>
    <r>
      <rPr>
        <vertAlign val="subscript"/>
        <sz val="10"/>
        <color theme="1"/>
        <rFont val="Arial Narrow"/>
        <family val="2"/>
      </rPr>
      <t>res</t>
    </r>
  </si>
  <si>
    <r>
      <t>CIN</t>
    </r>
    <r>
      <rPr>
        <vertAlign val="subscript"/>
        <sz val="10"/>
        <color theme="1"/>
        <rFont val="Arial Narrow"/>
        <family val="2"/>
      </rPr>
      <t>env</t>
    </r>
  </si>
  <si>
    <r>
      <t>OF</t>
    </r>
    <r>
      <rPr>
        <b/>
        <vertAlign val="subscript"/>
        <sz val="10"/>
        <color theme="1"/>
        <rFont val="Arial Narrow"/>
        <family val="2"/>
      </rPr>
      <t>env</t>
    </r>
  </si>
  <si>
    <r>
      <t>OF</t>
    </r>
    <r>
      <rPr>
        <b/>
        <vertAlign val="subscript"/>
        <sz val="10"/>
        <color theme="1"/>
        <rFont val="Arial Narrow"/>
        <family val="2"/>
      </rPr>
      <t>res</t>
    </r>
  </si>
  <si>
    <r>
      <t>OF</t>
    </r>
    <r>
      <rPr>
        <vertAlign val="subscript"/>
        <sz val="10"/>
        <color theme="1"/>
        <rFont val="Arial Narrow"/>
        <family val="2"/>
      </rPr>
      <t>env</t>
    </r>
    <r>
      <rPr>
        <sz val="10"/>
        <color theme="1"/>
        <rFont val="Arial Narrow"/>
        <family val="2"/>
      </rPr>
      <t xml:space="preserve"> (time lag) </t>
    </r>
  </si>
  <si>
    <r>
      <t>OF</t>
    </r>
    <r>
      <rPr>
        <vertAlign val="subscript"/>
        <sz val="10"/>
        <color theme="1"/>
        <rFont val="Arial Narrow"/>
        <family val="2"/>
      </rPr>
      <t>res</t>
    </r>
    <r>
      <rPr>
        <sz val="10"/>
        <color theme="1"/>
        <rFont val="Arial Narrow"/>
        <family val="2"/>
      </rPr>
      <t xml:space="preserve"> (time lag) </t>
    </r>
  </si>
  <si>
    <r>
      <t>AMM</t>
    </r>
    <r>
      <rPr>
        <vertAlign val="subscript"/>
        <sz val="10"/>
        <color theme="1"/>
        <rFont val="Arial Narrow"/>
        <family val="2"/>
      </rPr>
      <t>env</t>
    </r>
  </si>
  <si>
    <r>
      <t>AMM</t>
    </r>
    <r>
      <rPr>
        <vertAlign val="subscript"/>
        <sz val="10"/>
        <color theme="1"/>
        <rFont val="Arial Narrow"/>
        <family val="2"/>
      </rPr>
      <t>res</t>
    </r>
  </si>
  <si>
    <r>
      <t>Sviluppo della componente ERC</t>
    </r>
    <r>
      <rPr>
        <b/>
        <vertAlign val="subscript"/>
        <sz val="10"/>
        <color theme="1"/>
        <rFont val="Arial Narrow"/>
        <family val="2"/>
      </rPr>
      <t>capex</t>
    </r>
  </si>
  <si>
    <r>
      <t>Sviluppo della componente ERC</t>
    </r>
    <r>
      <rPr>
        <b/>
        <vertAlign val="subscript"/>
        <sz val="10"/>
        <color theme="1"/>
        <rFont val="Arial Narrow"/>
        <family val="2"/>
      </rPr>
      <t>opex</t>
    </r>
  </si>
  <si>
    <r>
      <t>ERC</t>
    </r>
    <r>
      <rPr>
        <i/>
        <vertAlign val="superscript"/>
        <sz val="10"/>
        <color theme="1"/>
        <rFont val="Arial Narrow"/>
        <family val="2"/>
      </rPr>
      <t>a</t>
    </r>
    <r>
      <rPr>
        <i/>
        <vertAlign val="subscript"/>
        <sz val="10"/>
        <color theme="1"/>
        <rFont val="Arial Narrow"/>
        <family val="2"/>
      </rPr>
      <t>al</t>
    </r>
    <r>
      <rPr>
        <i/>
        <sz val="10"/>
        <rFont val="Arial Narrow"/>
        <family val="2"/>
      </rPr>
      <t xml:space="preserve"> (detrazione)</t>
    </r>
  </si>
  <si>
    <r>
      <t>Env</t>
    </r>
    <r>
      <rPr>
        <b/>
        <i/>
        <vertAlign val="subscript"/>
        <sz val="10"/>
        <color indexed="8"/>
        <rFont val="Arial Narrow"/>
        <family val="2"/>
      </rPr>
      <t>capex</t>
    </r>
  </si>
  <si>
    <r>
      <t>Res</t>
    </r>
    <r>
      <rPr>
        <b/>
        <i/>
        <vertAlign val="subscript"/>
        <sz val="10"/>
        <color indexed="8"/>
        <rFont val="Arial Narrow"/>
        <family val="2"/>
      </rPr>
      <t>capex</t>
    </r>
  </si>
  <si>
    <r>
      <t>ERC</t>
    </r>
    <r>
      <rPr>
        <b/>
        <i/>
        <vertAlign val="subscript"/>
        <sz val="10"/>
        <color indexed="8"/>
        <rFont val="Arial Narrow"/>
        <family val="2"/>
      </rPr>
      <t>tel</t>
    </r>
    <r>
      <rPr>
        <b/>
        <i/>
        <sz val="10"/>
        <color indexed="8"/>
        <rFont val="Arial Narrow"/>
        <family val="2"/>
      </rPr>
      <t xml:space="preserve"> - specifiche finalità</t>
    </r>
  </si>
  <si>
    <r>
      <t>ERC</t>
    </r>
    <r>
      <rPr>
        <i/>
        <vertAlign val="superscript"/>
        <sz val="10"/>
        <color theme="1"/>
        <rFont val="Arial Narrow"/>
        <family val="2"/>
      </rPr>
      <t>a</t>
    </r>
    <r>
      <rPr>
        <i/>
        <vertAlign val="subscript"/>
        <sz val="10"/>
        <color theme="1"/>
        <rFont val="Arial Narrow"/>
        <family val="2"/>
      </rPr>
      <t>al</t>
    </r>
    <r>
      <rPr>
        <i/>
        <sz val="10"/>
        <rFont val="Arial Narrow"/>
        <family val="2"/>
      </rPr>
      <t xml:space="preserve"> da formula</t>
    </r>
  </si>
  <si>
    <t>AMM (componente calcolata)</t>
  </si>
  <si>
    <r>
      <t>γ</t>
    </r>
    <r>
      <rPr>
        <b/>
        <vertAlign val="superscript"/>
        <sz val="10"/>
        <rFont val="Arial Narrow"/>
        <family val="2"/>
      </rPr>
      <t>OP</t>
    </r>
  </si>
  <si>
    <t>Cluster (j)</t>
  </si>
  <si>
    <t>Classe (i)</t>
  </si>
  <si>
    <r>
      <t>Opex</t>
    </r>
    <r>
      <rPr>
        <vertAlign val="subscript"/>
        <sz val="10"/>
        <rFont val="Arial Narrow"/>
        <family val="2"/>
      </rPr>
      <t>end</t>
    </r>
    <r>
      <rPr>
        <sz val="10"/>
        <rFont val="Arial Narrow"/>
        <family val="2"/>
      </rPr>
      <t xml:space="preserve"> da formula</t>
    </r>
  </si>
  <si>
    <r>
      <t>Opex</t>
    </r>
    <r>
      <rPr>
        <vertAlign val="subscript"/>
        <sz val="10"/>
        <rFont val="Arial Narrow"/>
        <family val="2"/>
      </rPr>
      <t>tel</t>
    </r>
  </si>
  <si>
    <r>
      <t>CO</t>
    </r>
    <r>
      <rPr>
        <b/>
        <vertAlign val="subscript"/>
        <sz val="10"/>
        <rFont val="Arial Narrow"/>
        <family val="2"/>
      </rPr>
      <t>ws</t>
    </r>
  </si>
  <si>
    <r>
      <t>CO</t>
    </r>
    <r>
      <rPr>
        <b/>
        <vertAlign val="subscript"/>
        <sz val="10"/>
        <color rgb="FF000000"/>
        <rFont val="Cambria"/>
        <family val="1"/>
      </rPr>
      <t>Δ</t>
    </r>
    <r>
      <rPr>
        <b/>
        <i/>
        <vertAlign val="subscript"/>
        <sz val="10"/>
        <color rgb="FF000000"/>
        <rFont val="Cambria"/>
        <family val="1"/>
      </rPr>
      <t>fanghi</t>
    </r>
    <r>
      <rPr>
        <b/>
        <i/>
        <vertAlign val="subscript"/>
        <sz val="10"/>
        <color indexed="8"/>
        <rFont val="Arial Narrow"/>
        <family val="2"/>
      </rPr>
      <t xml:space="preserve"> </t>
    </r>
    <r>
      <rPr>
        <b/>
        <i/>
        <sz val="10"/>
        <color indexed="8"/>
        <rFont val="Arial Narrow"/>
        <family val="2"/>
      </rPr>
      <t>-</t>
    </r>
    <r>
      <rPr>
        <i/>
        <sz val="10"/>
        <color indexed="8"/>
        <rFont val="Arial Narrow"/>
        <family val="2"/>
      </rPr>
      <t xml:space="preserve"> Oneri aggiuntivi per lo smaltimento dei fanghi di depurazione</t>
    </r>
  </si>
  <si>
    <r>
      <t>Co</t>
    </r>
    <r>
      <rPr>
        <vertAlign val="superscript"/>
        <sz val="10"/>
        <rFont val="Arial Narrow"/>
        <family val="2"/>
      </rPr>
      <t>effettivo,2017</t>
    </r>
    <r>
      <rPr>
        <vertAlign val="subscript"/>
        <sz val="10"/>
        <rFont val="Arial Narrow"/>
        <family val="2"/>
      </rPr>
      <t>fanghi</t>
    </r>
  </si>
  <si>
    <r>
      <t>Co</t>
    </r>
    <r>
      <rPr>
        <vertAlign val="superscript"/>
        <sz val="10"/>
        <rFont val="Arial Narrow"/>
        <family val="2"/>
      </rPr>
      <t>effettivo,a-2</t>
    </r>
    <r>
      <rPr>
        <vertAlign val="subscript"/>
        <sz val="10"/>
        <rFont val="Arial Narrow"/>
        <family val="2"/>
      </rPr>
      <t>fanghi</t>
    </r>
  </si>
  <si>
    <r>
      <t>CO</t>
    </r>
    <r>
      <rPr>
        <b/>
        <vertAlign val="subscript"/>
        <sz val="10"/>
        <color rgb="FF000000"/>
        <rFont val="Cambria"/>
        <family val="1"/>
      </rPr>
      <t>Δ</t>
    </r>
    <r>
      <rPr>
        <b/>
        <i/>
        <vertAlign val="subscript"/>
        <sz val="10"/>
        <color rgb="FF000000"/>
        <rFont val="Cambria"/>
        <family val="1"/>
      </rPr>
      <t>fanghi</t>
    </r>
    <r>
      <rPr>
        <b/>
        <i/>
        <vertAlign val="subscript"/>
        <sz val="10"/>
        <color indexed="8"/>
        <rFont val="Arial Narrow"/>
        <family val="2"/>
      </rPr>
      <t xml:space="preserve"> </t>
    </r>
  </si>
  <si>
    <r>
      <t>CO</t>
    </r>
    <r>
      <rPr>
        <vertAlign val="subscript"/>
        <sz val="10"/>
        <color rgb="FF000000"/>
        <rFont val="Cambria"/>
        <family val="1"/>
      </rPr>
      <t>Δ</t>
    </r>
    <r>
      <rPr>
        <i/>
        <vertAlign val="subscript"/>
        <sz val="10"/>
        <color rgb="FF000000"/>
        <rFont val="Cambria"/>
        <family val="1"/>
      </rPr>
      <t>fanghi</t>
    </r>
    <r>
      <rPr>
        <i/>
        <vertAlign val="subscript"/>
        <sz val="10"/>
        <color indexed="8"/>
        <rFont val="Arial Narrow"/>
        <family val="2"/>
      </rPr>
      <t xml:space="preserve"> </t>
    </r>
    <r>
      <rPr>
        <i/>
        <sz val="10"/>
        <color rgb="FF000000"/>
        <rFont val="Arial Narrow"/>
        <family val="2"/>
      </rPr>
      <t>(rispetto condizionalità)</t>
    </r>
  </si>
  <si>
    <r>
      <rPr>
        <b/>
        <sz val="10"/>
        <rFont val="Symbol"/>
        <family val="1"/>
        <charset val="2"/>
      </rPr>
      <t>D</t>
    </r>
    <r>
      <rPr>
        <b/>
        <sz val="10"/>
        <rFont val="Arial Narrow"/>
        <family val="2"/>
      </rPr>
      <t>CUIT</t>
    </r>
  </si>
  <si>
    <t>da t-7 a t</t>
  </si>
  <si>
    <t>da t-8 a t</t>
  </si>
  <si>
    <t>da t-9 a t</t>
  </si>
  <si>
    <t>da t-10 a t</t>
  </si>
  <si>
    <r>
      <t>Co</t>
    </r>
    <r>
      <rPr>
        <b/>
        <i/>
        <vertAlign val="subscript"/>
        <sz val="10"/>
        <color indexed="8"/>
        <rFont val="Arial Narrow"/>
        <family val="2"/>
      </rPr>
      <t xml:space="preserve">ARERA </t>
    </r>
    <r>
      <rPr>
        <b/>
        <i/>
        <sz val="10"/>
        <color indexed="8"/>
        <rFont val="Arial Narrow"/>
        <family val="2"/>
      </rPr>
      <t>-</t>
    </r>
    <r>
      <rPr>
        <i/>
        <sz val="10"/>
        <color indexed="8"/>
        <rFont val="Arial Narrow"/>
        <family val="2"/>
      </rPr>
      <t xml:space="preserve"> Costi dell'Autorità</t>
    </r>
  </si>
  <si>
    <r>
      <rPr>
        <b/>
        <i/>
        <sz val="10"/>
        <color indexed="8"/>
        <rFont val="Arial Narrow"/>
        <family val="2"/>
      </rPr>
      <t>Opex</t>
    </r>
    <r>
      <rPr>
        <b/>
        <i/>
        <vertAlign val="superscript"/>
        <sz val="10"/>
        <color indexed="8"/>
        <rFont val="Arial Narrow"/>
        <family val="2"/>
      </rPr>
      <t>a</t>
    </r>
    <r>
      <rPr>
        <b/>
        <i/>
        <vertAlign val="subscript"/>
        <sz val="10"/>
        <color indexed="8"/>
        <rFont val="Arial Narrow"/>
        <family val="2"/>
      </rPr>
      <t>tel</t>
    </r>
    <r>
      <rPr>
        <b/>
        <i/>
        <sz val="10"/>
        <color indexed="8"/>
        <rFont val="Arial Narrow"/>
        <family val="2"/>
      </rPr>
      <t xml:space="preserve"> </t>
    </r>
    <r>
      <rPr>
        <i/>
        <sz val="10"/>
        <color indexed="8"/>
        <rFont val="Arial Narrow"/>
        <family val="2"/>
      </rPr>
      <t xml:space="preserve">- Costi operativi associati a specifiche finalità </t>
    </r>
  </si>
  <si>
    <r>
      <t>OP</t>
    </r>
    <r>
      <rPr>
        <vertAlign val="superscript"/>
        <sz val="10"/>
        <rFont val="Arial Narrow"/>
        <family val="2"/>
      </rPr>
      <t>new</t>
    </r>
  </si>
  <si>
    <r>
      <t>Opex</t>
    </r>
    <r>
      <rPr>
        <vertAlign val="subscript"/>
        <sz val="10"/>
        <rFont val="Arial Narrow"/>
        <family val="2"/>
      </rPr>
      <t>QC</t>
    </r>
  </si>
  <si>
    <r>
      <t>Opex</t>
    </r>
    <r>
      <rPr>
        <vertAlign val="subscript"/>
        <sz val="10"/>
        <rFont val="Arial Narrow"/>
        <family val="2"/>
      </rPr>
      <t>QT</t>
    </r>
  </si>
  <si>
    <r>
      <t>Opex</t>
    </r>
    <r>
      <rPr>
        <b/>
        <vertAlign val="subscript"/>
        <sz val="10"/>
        <color theme="1"/>
        <rFont val="Arial Narrow"/>
        <family val="2"/>
      </rPr>
      <t>tel</t>
    </r>
  </si>
  <si>
    <r>
      <t>ERC</t>
    </r>
    <r>
      <rPr>
        <b/>
        <vertAlign val="superscript"/>
        <sz val="10"/>
        <color theme="1"/>
        <rFont val="Arial Narrow"/>
        <family val="2"/>
      </rPr>
      <t xml:space="preserve">a </t>
    </r>
    <r>
      <rPr>
        <b/>
        <vertAlign val="subscript"/>
        <sz val="10"/>
        <color theme="1"/>
        <rFont val="Arial Narrow"/>
        <family val="2"/>
      </rPr>
      <t>tel</t>
    </r>
  </si>
  <si>
    <t>Dati_conto_economico</t>
  </si>
  <si>
    <r>
      <rPr>
        <b/>
        <i/>
        <sz val="10"/>
        <color indexed="8"/>
        <rFont val="Arial Narrow"/>
        <family val="2"/>
      </rPr>
      <t>Op</t>
    </r>
    <r>
      <rPr>
        <b/>
        <i/>
        <vertAlign val="superscript"/>
        <sz val="10"/>
        <color indexed="8"/>
        <rFont val="Arial Narrow"/>
        <family val="2"/>
      </rPr>
      <t>new,a</t>
    </r>
    <r>
      <rPr>
        <b/>
        <i/>
        <sz val="10"/>
        <color indexed="8"/>
        <rFont val="Arial Narrow"/>
        <family val="2"/>
      </rPr>
      <t xml:space="preserve"> </t>
    </r>
    <r>
      <rPr>
        <i/>
        <sz val="10"/>
        <color indexed="8"/>
        <rFont val="Arial Narrow"/>
        <family val="2"/>
      </rPr>
      <t>- Costi per cambiamenti sistematici</t>
    </r>
  </si>
  <si>
    <r>
      <t>Op</t>
    </r>
    <r>
      <rPr>
        <b/>
        <i/>
        <vertAlign val="subscript"/>
        <sz val="10"/>
        <color indexed="8"/>
        <rFont val="Arial Narrow"/>
        <family val="2"/>
      </rPr>
      <t>mis</t>
    </r>
  </si>
  <si>
    <r>
      <t>Rc</t>
    </r>
    <r>
      <rPr>
        <vertAlign val="subscript"/>
        <sz val="11"/>
        <color theme="1"/>
        <rFont val="Arial Narrow"/>
        <family val="2"/>
      </rPr>
      <t>vol</t>
    </r>
    <r>
      <rPr>
        <sz val="11"/>
        <color theme="1"/>
        <rFont val="Arial Narrow"/>
        <family val="2"/>
      </rPr>
      <t xml:space="preserve"> </t>
    </r>
  </si>
  <si>
    <r>
      <t>Rc</t>
    </r>
    <r>
      <rPr>
        <vertAlign val="subscript"/>
        <sz val="11"/>
        <color theme="1"/>
        <rFont val="Arial Narrow"/>
        <family val="2"/>
      </rPr>
      <t>EE</t>
    </r>
    <r>
      <rPr>
        <sz val="11"/>
        <color theme="1"/>
        <rFont val="Arial Narrow"/>
        <family val="2"/>
      </rPr>
      <t xml:space="preserve"> </t>
    </r>
  </si>
  <si>
    <r>
      <t>Rc</t>
    </r>
    <r>
      <rPr>
        <vertAlign val="subscript"/>
        <sz val="11"/>
        <color theme="1"/>
        <rFont val="Arial Narrow"/>
        <family val="2"/>
      </rPr>
      <t>WS</t>
    </r>
    <r>
      <rPr>
        <sz val="11"/>
        <color theme="1"/>
        <rFont val="Arial Narrow"/>
        <family val="2"/>
      </rPr>
      <t xml:space="preserve"> </t>
    </r>
  </si>
  <si>
    <r>
      <t>Rc</t>
    </r>
    <r>
      <rPr>
        <vertAlign val="subscript"/>
        <sz val="11"/>
        <color theme="1"/>
        <rFont val="Arial Narrow"/>
        <family val="2"/>
      </rPr>
      <t>ERC</t>
    </r>
    <r>
      <rPr>
        <sz val="11"/>
        <color theme="1"/>
        <rFont val="Arial Narrow"/>
        <family val="2"/>
      </rPr>
      <t xml:space="preserve"> </t>
    </r>
  </si>
  <si>
    <r>
      <t>Rc</t>
    </r>
    <r>
      <rPr>
        <vertAlign val="subscript"/>
        <sz val="11"/>
        <color theme="1"/>
        <rFont val="Arial Narrow"/>
        <family val="2"/>
      </rPr>
      <t>ALTRO</t>
    </r>
    <r>
      <rPr>
        <sz val="11"/>
        <color theme="1"/>
        <rFont val="Arial Narrow"/>
        <family val="2"/>
      </rPr>
      <t xml:space="preserve"> </t>
    </r>
  </si>
  <si>
    <r>
      <t>RC</t>
    </r>
    <r>
      <rPr>
        <b/>
        <i/>
        <vertAlign val="subscript"/>
        <sz val="10"/>
        <color indexed="8"/>
        <rFont val="Arial Narrow"/>
        <family val="2"/>
      </rPr>
      <t>vol</t>
    </r>
    <r>
      <rPr>
        <b/>
        <i/>
        <sz val="10"/>
        <color indexed="8"/>
        <rFont val="Arial Narrow"/>
        <family val="2"/>
      </rPr>
      <t xml:space="preserve"> - </t>
    </r>
    <r>
      <rPr>
        <i/>
        <sz val="10"/>
        <color rgb="FF000000"/>
        <rFont val="Arial Narrow"/>
        <family val="2"/>
      </rPr>
      <t>recupero scostamento tariffe e volumi</t>
    </r>
  </si>
  <si>
    <r>
      <t>Rc</t>
    </r>
    <r>
      <rPr>
        <vertAlign val="subscript"/>
        <sz val="10"/>
        <color theme="1"/>
        <rFont val="Arial Narrow"/>
        <family val="2"/>
      </rPr>
      <t xml:space="preserve">vol </t>
    </r>
    <r>
      <rPr>
        <sz val="10"/>
        <color theme="1"/>
        <rFont val="Arial Narrow"/>
        <family val="2"/>
      </rPr>
      <t>da calcolo</t>
    </r>
  </si>
  <si>
    <r>
      <t>RC</t>
    </r>
    <r>
      <rPr>
        <b/>
        <i/>
        <vertAlign val="subscript"/>
        <sz val="10"/>
        <color indexed="8"/>
        <rFont val="Arial Narrow"/>
        <family val="2"/>
      </rPr>
      <t>EE</t>
    </r>
    <r>
      <rPr>
        <b/>
        <i/>
        <sz val="10"/>
        <color indexed="8"/>
        <rFont val="Arial Narrow"/>
        <family val="2"/>
      </rPr>
      <t xml:space="preserve"> - </t>
    </r>
    <r>
      <rPr>
        <i/>
        <sz val="10"/>
        <color rgb="FF000000"/>
        <rFont val="Arial Narrow"/>
        <family val="2"/>
      </rPr>
      <t>recupero scostamento costi di energia elettrica</t>
    </r>
  </si>
  <si>
    <r>
      <t>Rc</t>
    </r>
    <r>
      <rPr>
        <vertAlign val="subscript"/>
        <sz val="10"/>
        <color theme="1"/>
        <rFont val="Arial Narrow"/>
        <family val="2"/>
      </rPr>
      <t xml:space="preserve">EE </t>
    </r>
    <r>
      <rPr>
        <sz val="10"/>
        <color theme="1"/>
        <rFont val="Arial Narrow"/>
        <family val="2"/>
      </rPr>
      <t>da calcolo</t>
    </r>
  </si>
  <si>
    <r>
      <t>Co</t>
    </r>
    <r>
      <rPr>
        <vertAlign val="subscript"/>
        <sz val="10"/>
        <color theme="1"/>
        <rFont val="Arial Narrow"/>
        <family val="2"/>
      </rPr>
      <t>ws,j</t>
    </r>
    <r>
      <rPr>
        <vertAlign val="superscript"/>
        <sz val="10"/>
        <color theme="1"/>
        <rFont val="Arial Narrow"/>
        <family val="2"/>
      </rPr>
      <t>eff,a-2</t>
    </r>
  </si>
  <si>
    <r>
      <t>Co</t>
    </r>
    <r>
      <rPr>
        <vertAlign val="subscript"/>
        <sz val="10"/>
        <color theme="1"/>
        <rFont val="Arial Narrow"/>
        <family val="2"/>
      </rPr>
      <t>ws,j</t>
    </r>
    <r>
      <rPr>
        <vertAlign val="superscript"/>
        <sz val="10"/>
        <color theme="1"/>
        <rFont val="Arial Narrow"/>
        <family val="2"/>
      </rPr>
      <t>a-2</t>
    </r>
  </si>
  <si>
    <r>
      <t>Rc</t>
    </r>
    <r>
      <rPr>
        <vertAlign val="subscript"/>
        <sz val="10"/>
        <color theme="1"/>
        <rFont val="Arial Narrow"/>
        <family val="2"/>
      </rPr>
      <t xml:space="preserve">ws </t>
    </r>
    <r>
      <rPr>
        <sz val="10"/>
        <color theme="1"/>
        <rFont val="Arial Narrow"/>
        <family val="2"/>
      </rPr>
      <t>da calcolo</t>
    </r>
  </si>
  <si>
    <r>
      <t>RC</t>
    </r>
    <r>
      <rPr>
        <b/>
        <i/>
        <vertAlign val="subscript"/>
        <sz val="10"/>
        <color indexed="8"/>
        <rFont val="Arial Narrow"/>
        <family val="2"/>
      </rPr>
      <t>ws</t>
    </r>
    <r>
      <rPr>
        <b/>
        <i/>
        <sz val="10"/>
        <color indexed="8"/>
        <rFont val="Arial Narrow"/>
        <family val="2"/>
      </rPr>
      <t xml:space="preserve"> - </t>
    </r>
    <r>
      <rPr>
        <i/>
        <sz val="10"/>
        <color rgb="FF000000"/>
        <rFont val="Arial Narrow"/>
        <family val="2"/>
      </rPr>
      <t>recupero scostamento costi all'ingrosso</t>
    </r>
  </si>
  <si>
    <r>
      <t>RC</t>
    </r>
    <r>
      <rPr>
        <b/>
        <i/>
        <vertAlign val="subscript"/>
        <sz val="10"/>
        <color indexed="8"/>
        <rFont val="Arial Narrow"/>
        <family val="2"/>
      </rPr>
      <t>ERC</t>
    </r>
    <r>
      <rPr>
        <b/>
        <i/>
        <sz val="10"/>
        <color indexed="8"/>
        <rFont val="Arial Narrow"/>
        <family val="2"/>
      </rPr>
      <t xml:space="preserve"> - </t>
    </r>
    <r>
      <rPr>
        <i/>
        <sz val="10"/>
        <color rgb="FF000000"/>
        <rFont val="Arial Narrow"/>
        <family val="2"/>
      </rPr>
      <t>recupero scostamento componente ERC</t>
    </r>
  </si>
  <si>
    <r>
      <t>Rc</t>
    </r>
    <r>
      <rPr>
        <vertAlign val="subscript"/>
        <sz val="10"/>
        <color theme="1"/>
        <rFont val="Arial Narrow"/>
        <family val="2"/>
      </rPr>
      <t xml:space="preserve">ERC </t>
    </r>
    <r>
      <rPr>
        <sz val="10"/>
        <color theme="1"/>
        <rFont val="Arial Narrow"/>
        <family val="2"/>
      </rPr>
      <t>da calcolo</t>
    </r>
  </si>
  <si>
    <r>
      <t>RC</t>
    </r>
    <r>
      <rPr>
        <b/>
        <i/>
        <vertAlign val="subscript"/>
        <sz val="10"/>
        <color indexed="8"/>
        <rFont val="Arial Narrow"/>
        <family val="2"/>
      </rPr>
      <t>ALTRO</t>
    </r>
    <r>
      <rPr>
        <b/>
        <i/>
        <sz val="10"/>
        <color indexed="8"/>
        <rFont val="Arial Narrow"/>
        <family val="2"/>
      </rPr>
      <t xml:space="preserve"> - </t>
    </r>
    <r>
      <rPr>
        <i/>
        <sz val="10"/>
        <color rgb="FF000000"/>
        <rFont val="Arial Narrow"/>
        <family val="2"/>
      </rPr>
      <t>recupero altri scostamenti</t>
    </r>
  </si>
  <si>
    <r>
      <t>Rc</t>
    </r>
    <r>
      <rPr>
        <vertAlign val="superscript"/>
        <sz val="11"/>
        <color theme="1"/>
        <rFont val="Arial Narrow"/>
        <family val="2"/>
      </rPr>
      <t>a</t>
    </r>
    <r>
      <rPr>
        <vertAlign val="subscript"/>
        <sz val="11"/>
        <color theme="1"/>
        <rFont val="Arial Narrow"/>
        <family val="2"/>
      </rPr>
      <t>Altro</t>
    </r>
    <r>
      <rPr>
        <sz val="10"/>
        <color theme="1"/>
        <rFont val="Arial Narrow"/>
        <family val="2"/>
      </rPr>
      <t xml:space="preserve"> da calcolo</t>
    </r>
  </si>
  <si>
    <r>
      <t>γ</t>
    </r>
    <r>
      <rPr>
        <vertAlign val="subscript"/>
        <sz val="10"/>
        <color theme="1"/>
        <rFont val="Arial Narrow"/>
        <family val="2"/>
      </rPr>
      <t>b</t>
    </r>
  </si>
  <si>
    <r>
      <t>R</t>
    </r>
    <r>
      <rPr>
        <vertAlign val="subscript"/>
        <sz val="10"/>
        <color theme="1"/>
        <rFont val="Arial Narrow"/>
        <family val="2"/>
      </rPr>
      <t>b1</t>
    </r>
    <r>
      <rPr>
        <vertAlign val="superscript"/>
        <sz val="10"/>
        <color theme="1"/>
        <rFont val="Arial Narrow"/>
        <family val="2"/>
      </rPr>
      <t>a-2</t>
    </r>
  </si>
  <si>
    <r>
      <t>C</t>
    </r>
    <r>
      <rPr>
        <vertAlign val="subscript"/>
        <sz val="10"/>
        <color theme="1"/>
        <rFont val="Arial Narrow"/>
        <family val="2"/>
      </rPr>
      <t>b1</t>
    </r>
    <r>
      <rPr>
        <vertAlign val="superscript"/>
        <sz val="10"/>
        <color theme="1"/>
        <rFont val="Arial Narrow"/>
        <family val="2"/>
      </rPr>
      <t>a-2</t>
    </r>
  </si>
  <si>
    <r>
      <t>R</t>
    </r>
    <r>
      <rPr>
        <vertAlign val="subscript"/>
        <sz val="10"/>
        <color theme="1"/>
        <rFont val="Arial Narrow"/>
        <family val="2"/>
      </rPr>
      <t>b2</t>
    </r>
    <r>
      <rPr>
        <vertAlign val="superscript"/>
        <sz val="10"/>
        <color theme="1"/>
        <rFont val="Arial Narrow"/>
        <family val="2"/>
      </rPr>
      <t>a-2</t>
    </r>
  </si>
  <si>
    <r>
      <t>C</t>
    </r>
    <r>
      <rPr>
        <vertAlign val="subscript"/>
        <sz val="10"/>
        <color theme="1"/>
        <rFont val="Arial Narrow"/>
        <family val="2"/>
      </rPr>
      <t>b2</t>
    </r>
    <r>
      <rPr>
        <vertAlign val="superscript"/>
        <sz val="10"/>
        <color theme="1"/>
        <rFont val="Arial Narrow"/>
        <family val="2"/>
      </rPr>
      <t>a-2</t>
    </r>
  </si>
  <si>
    <t>di cui, per "Obiettivi di sostenibilità energetica e ambientale"</t>
  </si>
  <si>
    <r>
      <t>Totale C</t>
    </r>
    <r>
      <rPr>
        <b/>
        <vertAlign val="superscript"/>
        <sz val="10"/>
        <color indexed="8"/>
        <rFont val="Arial Narrow"/>
        <family val="2"/>
      </rPr>
      <t>a-2</t>
    </r>
    <r>
      <rPr>
        <b/>
        <vertAlign val="subscript"/>
        <sz val="10"/>
        <color indexed="8"/>
        <rFont val="Arial Narrow"/>
        <family val="2"/>
      </rPr>
      <t>b2</t>
    </r>
  </si>
  <si>
    <r>
      <t>RC</t>
    </r>
    <r>
      <rPr>
        <b/>
        <i/>
        <vertAlign val="subscript"/>
        <sz val="10"/>
        <color indexed="8"/>
        <rFont val="Arial Narrow"/>
        <family val="2"/>
      </rPr>
      <t>attività b</t>
    </r>
    <r>
      <rPr>
        <b/>
        <i/>
        <sz val="10"/>
        <color indexed="8"/>
        <rFont val="Arial Narrow"/>
        <family val="2"/>
      </rPr>
      <t xml:space="preserve"> </t>
    </r>
  </si>
  <si>
    <r>
      <t>CO</t>
    </r>
    <r>
      <rPr>
        <vertAlign val="subscript"/>
        <sz val="10"/>
        <color theme="1"/>
        <rFont val="Arial Narrow"/>
        <family val="2"/>
      </rPr>
      <t>res</t>
    </r>
    <r>
      <rPr>
        <vertAlign val="superscript"/>
        <sz val="10"/>
        <color theme="1"/>
        <rFont val="Arial Narrow"/>
        <family val="2"/>
      </rPr>
      <t>a-2</t>
    </r>
    <r>
      <rPr>
        <sz val="10"/>
        <color theme="1"/>
        <rFont val="Arial Narrow"/>
        <family val="2"/>
      </rPr>
      <t xml:space="preserve"> (al lordo dei contributi)</t>
    </r>
  </si>
  <si>
    <r>
      <t>RC</t>
    </r>
    <r>
      <rPr>
        <b/>
        <i/>
        <vertAlign val="subscript"/>
        <sz val="10"/>
        <color indexed="8"/>
        <rFont val="Arial Narrow"/>
        <family val="2"/>
      </rPr>
      <t>res</t>
    </r>
    <r>
      <rPr>
        <b/>
        <i/>
        <sz val="10"/>
        <color indexed="8"/>
        <rFont val="Arial Narrow"/>
        <family val="2"/>
      </rPr>
      <t xml:space="preserve"> </t>
    </r>
  </si>
  <si>
    <r>
      <t>CO</t>
    </r>
    <r>
      <rPr>
        <i/>
        <vertAlign val="superscript"/>
        <sz val="10"/>
        <color theme="1"/>
        <rFont val="Arial Narrow"/>
        <family val="2"/>
      </rPr>
      <t>a-2</t>
    </r>
    <r>
      <rPr>
        <i/>
        <vertAlign val="subscript"/>
        <sz val="10"/>
        <color theme="1"/>
        <rFont val="Arial Narrow"/>
        <family val="2"/>
      </rPr>
      <t>ARERA,effettivo</t>
    </r>
  </si>
  <si>
    <r>
      <t>CO</t>
    </r>
    <r>
      <rPr>
        <i/>
        <vertAlign val="superscript"/>
        <sz val="10"/>
        <color theme="1"/>
        <rFont val="Arial Narrow"/>
        <family val="2"/>
      </rPr>
      <t>a-2</t>
    </r>
    <r>
      <rPr>
        <i/>
        <vertAlign val="subscript"/>
        <sz val="10"/>
        <color theme="1"/>
        <rFont val="Arial Narrow"/>
        <family val="2"/>
      </rPr>
      <t>ARERA</t>
    </r>
  </si>
  <si>
    <r>
      <t>Rc</t>
    </r>
    <r>
      <rPr>
        <vertAlign val="superscript"/>
        <sz val="10"/>
        <color theme="1"/>
        <rFont val="Arial Narrow"/>
        <family val="2"/>
      </rPr>
      <t>a</t>
    </r>
    <r>
      <rPr>
        <vertAlign val="subscript"/>
        <sz val="10"/>
        <color theme="1"/>
        <rFont val="Arial Narrow"/>
        <family val="2"/>
      </rPr>
      <t>ARERA</t>
    </r>
  </si>
  <si>
    <t>Costi per variazioni sistemiche / eventi eccezionali</t>
  </si>
  <si>
    <r>
      <t>Opex</t>
    </r>
    <r>
      <rPr>
        <vertAlign val="superscript"/>
        <sz val="10"/>
        <color theme="1"/>
        <rFont val="Arial Narrow"/>
        <family val="2"/>
      </rPr>
      <t>a-2</t>
    </r>
    <r>
      <rPr>
        <vertAlign val="subscript"/>
        <sz val="10"/>
        <color theme="1"/>
        <rFont val="Arial Narrow"/>
        <family val="2"/>
      </rPr>
      <t>QC</t>
    </r>
  </si>
  <si>
    <r>
      <t>Opex</t>
    </r>
    <r>
      <rPr>
        <vertAlign val="subscript"/>
        <sz val="10"/>
        <color theme="1"/>
        <rFont val="Arial Narrow"/>
        <family val="2"/>
      </rPr>
      <t>QC</t>
    </r>
    <r>
      <rPr>
        <sz val="10"/>
        <color theme="1"/>
        <rFont val="Arial Narrow"/>
        <family val="2"/>
      </rPr>
      <t xml:space="preserve"> effettivamente sostenuti dal gestore</t>
    </r>
  </si>
  <si>
    <r>
      <t>Opex</t>
    </r>
    <r>
      <rPr>
        <vertAlign val="subscript"/>
        <sz val="10"/>
        <color theme="1"/>
        <rFont val="Arial Narrow"/>
        <family val="2"/>
      </rPr>
      <t>QT</t>
    </r>
    <r>
      <rPr>
        <sz val="10"/>
        <color theme="1"/>
        <rFont val="Arial Narrow"/>
        <family val="2"/>
      </rPr>
      <t xml:space="preserve"> effettivamente sostenuti dal gestore</t>
    </r>
  </si>
  <si>
    <r>
      <t>Opex</t>
    </r>
    <r>
      <rPr>
        <vertAlign val="superscript"/>
        <sz val="10"/>
        <color theme="1"/>
        <rFont val="Arial Narrow"/>
        <family val="2"/>
      </rPr>
      <t>a-2</t>
    </r>
    <r>
      <rPr>
        <vertAlign val="subscript"/>
        <sz val="10"/>
        <color theme="1"/>
        <rFont val="Arial Narrow"/>
        <family val="2"/>
      </rPr>
      <t>QT</t>
    </r>
  </si>
  <si>
    <r>
      <rPr>
        <b/>
        <sz val="8.5"/>
        <color theme="1"/>
        <rFont val="Symbol"/>
        <family val="1"/>
        <charset val="2"/>
      </rPr>
      <t>D</t>
    </r>
    <r>
      <rPr>
        <b/>
        <sz val="10"/>
        <color theme="1"/>
        <rFont val="Arial Narrow"/>
        <family val="2"/>
      </rPr>
      <t>Opex</t>
    </r>
    <r>
      <rPr>
        <b/>
        <vertAlign val="subscript"/>
        <sz val="10"/>
        <color theme="1"/>
        <rFont val="Arial Narrow"/>
        <family val="2"/>
      </rPr>
      <t>QT</t>
    </r>
  </si>
  <si>
    <r>
      <rPr>
        <sz val="8.5"/>
        <color theme="1"/>
        <rFont val="Symbol"/>
        <family val="1"/>
        <charset val="2"/>
      </rPr>
      <t>D</t>
    </r>
    <r>
      <rPr>
        <sz val="10"/>
        <color theme="1"/>
        <rFont val="Arial Narrow"/>
        <family val="2"/>
      </rPr>
      <t>Opex</t>
    </r>
    <r>
      <rPr>
        <vertAlign val="subscript"/>
        <sz val="10"/>
        <color theme="1"/>
        <rFont val="Arial Narrow"/>
        <family val="2"/>
      </rPr>
      <t>QT</t>
    </r>
  </si>
  <si>
    <r>
      <t>Op</t>
    </r>
    <r>
      <rPr>
        <vertAlign val="subscript"/>
        <sz val="10"/>
        <color theme="1"/>
        <rFont val="Arial Narrow"/>
        <family val="2"/>
      </rPr>
      <t>social</t>
    </r>
    <r>
      <rPr>
        <sz val="10"/>
        <color theme="1"/>
        <rFont val="Arial Narrow"/>
        <family val="2"/>
      </rPr>
      <t xml:space="preserve"> effettivamente sostenuti dal gestore</t>
    </r>
  </si>
  <si>
    <r>
      <rPr>
        <b/>
        <sz val="8.5"/>
        <color theme="1"/>
        <rFont val="Symbol"/>
        <family val="1"/>
        <charset val="2"/>
      </rPr>
      <t>D</t>
    </r>
    <r>
      <rPr>
        <b/>
        <sz val="10"/>
        <color theme="1"/>
        <rFont val="Arial Narrow"/>
        <family val="2"/>
      </rPr>
      <t>Op</t>
    </r>
    <r>
      <rPr>
        <b/>
        <vertAlign val="subscript"/>
        <sz val="10"/>
        <color theme="1"/>
        <rFont val="Arial Narrow"/>
        <family val="2"/>
      </rPr>
      <t>social</t>
    </r>
  </si>
  <si>
    <r>
      <rPr>
        <b/>
        <sz val="8.5"/>
        <color theme="1"/>
        <rFont val="Symbol"/>
        <family val="1"/>
        <charset val="2"/>
      </rPr>
      <t>D</t>
    </r>
    <r>
      <rPr>
        <b/>
        <sz val="10"/>
        <color theme="1"/>
        <rFont val="Arial Narrow"/>
        <family val="2"/>
      </rPr>
      <t>Op</t>
    </r>
    <r>
      <rPr>
        <b/>
        <vertAlign val="subscript"/>
        <sz val="10"/>
        <color theme="1"/>
        <rFont val="Arial Narrow"/>
        <family val="2"/>
      </rPr>
      <t>social</t>
    </r>
    <r>
      <rPr>
        <b/>
        <i/>
        <sz val="10"/>
        <color indexed="8"/>
        <rFont val="Arial Narrow"/>
        <family val="2"/>
      </rPr>
      <t xml:space="preserve"> - </t>
    </r>
    <r>
      <rPr>
        <i/>
        <sz val="10"/>
        <color rgb="FF000000"/>
        <rFont val="Arial Narrow"/>
        <family val="2"/>
      </rPr>
      <t>Recupero Op</t>
    </r>
    <r>
      <rPr>
        <i/>
        <vertAlign val="subscript"/>
        <sz val="10"/>
        <color rgb="FF000000"/>
        <rFont val="Arial Narrow"/>
        <family val="2"/>
      </rPr>
      <t>social</t>
    </r>
  </si>
  <si>
    <r>
      <rPr>
        <b/>
        <sz val="8.5"/>
        <color theme="1"/>
        <rFont val="Symbol"/>
        <family val="1"/>
        <charset val="2"/>
      </rPr>
      <t>D</t>
    </r>
    <r>
      <rPr>
        <b/>
        <sz val="10"/>
        <color theme="1"/>
        <rFont val="Arial Narrow"/>
        <family val="2"/>
      </rPr>
      <t>Opex</t>
    </r>
    <r>
      <rPr>
        <b/>
        <vertAlign val="subscript"/>
        <sz val="10"/>
        <color theme="1"/>
        <rFont val="Arial Narrow"/>
        <family val="2"/>
      </rPr>
      <t>QT</t>
    </r>
    <r>
      <rPr>
        <b/>
        <i/>
        <sz val="10"/>
        <color indexed="8"/>
        <rFont val="Arial Narrow"/>
        <family val="2"/>
      </rPr>
      <t xml:space="preserve"> - </t>
    </r>
    <r>
      <rPr>
        <i/>
        <sz val="10"/>
        <color rgb="FF000000"/>
        <rFont val="Arial Narrow"/>
        <family val="2"/>
      </rPr>
      <t>Recupero (a vantaggio utenza) Opex</t>
    </r>
    <r>
      <rPr>
        <i/>
        <vertAlign val="subscript"/>
        <sz val="10"/>
        <color rgb="FF000000"/>
        <rFont val="Arial Narrow"/>
        <family val="2"/>
      </rPr>
      <t>QT</t>
    </r>
  </si>
  <si>
    <r>
      <rPr>
        <b/>
        <sz val="8.5"/>
        <color theme="1"/>
        <rFont val="Symbol"/>
        <family val="1"/>
        <charset val="2"/>
      </rPr>
      <t>D</t>
    </r>
    <r>
      <rPr>
        <b/>
        <sz val="10"/>
        <color theme="1"/>
        <rFont val="Arial Narrow"/>
        <family val="2"/>
      </rPr>
      <t>Opex</t>
    </r>
    <r>
      <rPr>
        <b/>
        <vertAlign val="subscript"/>
        <sz val="10"/>
        <color theme="1"/>
        <rFont val="Arial Narrow"/>
        <family val="2"/>
      </rPr>
      <t>QC</t>
    </r>
    <r>
      <rPr>
        <b/>
        <i/>
        <sz val="10"/>
        <color indexed="8"/>
        <rFont val="Arial Narrow"/>
        <family val="2"/>
      </rPr>
      <t xml:space="preserve"> - </t>
    </r>
    <r>
      <rPr>
        <i/>
        <sz val="10"/>
        <color rgb="FF000000"/>
        <rFont val="Arial Narrow"/>
        <family val="2"/>
      </rPr>
      <t>Recupero (a vantaggio utenza) Opex</t>
    </r>
    <r>
      <rPr>
        <i/>
        <vertAlign val="subscript"/>
        <sz val="10"/>
        <color rgb="FF000000"/>
        <rFont val="Arial Narrow"/>
        <family val="2"/>
      </rPr>
      <t>QC</t>
    </r>
  </si>
  <si>
    <r>
      <t>RC</t>
    </r>
    <r>
      <rPr>
        <b/>
        <i/>
        <vertAlign val="subscript"/>
        <sz val="10"/>
        <color indexed="8"/>
        <rFont val="Arial Narrow"/>
        <family val="2"/>
      </rPr>
      <t>ARERA</t>
    </r>
    <r>
      <rPr>
        <b/>
        <i/>
        <sz val="10"/>
        <color indexed="8"/>
        <rFont val="Arial Narrow"/>
        <family val="2"/>
      </rPr>
      <t xml:space="preserve">  - </t>
    </r>
    <r>
      <rPr>
        <i/>
        <sz val="10"/>
        <color rgb="FF000000"/>
        <rFont val="Arial Narrow"/>
        <family val="2"/>
      </rPr>
      <t>Recupero CO</t>
    </r>
    <r>
      <rPr>
        <i/>
        <vertAlign val="subscript"/>
        <sz val="10"/>
        <color rgb="FF000000"/>
        <rFont val="Arial Narrow"/>
        <family val="2"/>
      </rPr>
      <t>ARERA</t>
    </r>
  </si>
  <si>
    <r>
      <t>Op</t>
    </r>
    <r>
      <rPr>
        <vertAlign val="subscript"/>
        <sz val="10"/>
        <color theme="1"/>
        <rFont val="Arial Narrow"/>
        <family val="2"/>
      </rPr>
      <t>mis</t>
    </r>
    <r>
      <rPr>
        <sz val="10"/>
        <color theme="1"/>
        <rFont val="Arial Narrow"/>
        <family val="2"/>
      </rPr>
      <t xml:space="preserve"> effettivamente sostenuti dal gestore</t>
    </r>
  </si>
  <si>
    <r>
      <rPr>
        <b/>
        <sz val="8.5"/>
        <color theme="1"/>
        <rFont val="Symbol"/>
        <family val="1"/>
        <charset val="2"/>
      </rPr>
      <t>D</t>
    </r>
    <r>
      <rPr>
        <b/>
        <sz val="10"/>
        <color theme="1"/>
        <rFont val="Arial Narrow"/>
        <family val="2"/>
      </rPr>
      <t>Op</t>
    </r>
    <r>
      <rPr>
        <b/>
        <vertAlign val="subscript"/>
        <sz val="10"/>
        <color theme="1"/>
        <rFont val="Arial Narrow"/>
        <family val="2"/>
      </rPr>
      <t>mis</t>
    </r>
  </si>
  <si>
    <r>
      <rPr>
        <sz val="8.5"/>
        <color theme="1"/>
        <rFont val="Symbol"/>
        <family val="1"/>
        <charset val="2"/>
      </rPr>
      <t>D</t>
    </r>
    <r>
      <rPr>
        <sz val="10"/>
        <color theme="1"/>
        <rFont val="Arial Narrow"/>
        <family val="2"/>
      </rPr>
      <t>Op</t>
    </r>
    <r>
      <rPr>
        <vertAlign val="subscript"/>
        <sz val="10"/>
        <color theme="1"/>
        <rFont val="Arial Narrow"/>
        <family val="2"/>
      </rPr>
      <t>social</t>
    </r>
  </si>
  <si>
    <r>
      <rPr>
        <sz val="8.5"/>
        <color theme="1"/>
        <rFont val="Symbol"/>
        <family val="1"/>
        <charset val="2"/>
      </rPr>
      <t>D</t>
    </r>
    <r>
      <rPr>
        <sz val="10"/>
        <color theme="1"/>
        <rFont val="Arial Narrow"/>
        <family val="2"/>
      </rPr>
      <t>Op</t>
    </r>
    <r>
      <rPr>
        <vertAlign val="subscript"/>
        <sz val="10"/>
        <color theme="1"/>
        <rFont val="Arial Narrow"/>
        <family val="2"/>
      </rPr>
      <t>mis</t>
    </r>
  </si>
  <si>
    <t>Sezione "Interventi sulle componenti del Capex"</t>
  </si>
  <si>
    <t>AMM calcolato</t>
  </si>
  <si>
    <r>
      <t>OF</t>
    </r>
    <r>
      <rPr>
        <sz val="10"/>
        <color theme="1"/>
        <rFont val="Arial Narrow"/>
        <family val="2"/>
      </rPr>
      <t xml:space="preserve"> calcolato</t>
    </r>
  </si>
  <si>
    <t>OFisc calcolato</t>
  </si>
  <si>
    <t>Sezione "Interventi sulle componenti dell'Opex"</t>
  </si>
  <si>
    <r>
      <t>Opex</t>
    </r>
    <r>
      <rPr>
        <vertAlign val="subscript"/>
        <sz val="10"/>
        <rFont val="Arial Narrow"/>
        <family val="2"/>
      </rPr>
      <t>al</t>
    </r>
  </si>
  <si>
    <r>
      <t>Opex</t>
    </r>
    <r>
      <rPr>
        <vertAlign val="subscript"/>
        <sz val="10"/>
        <rFont val="Arial Narrow"/>
        <family val="2"/>
      </rPr>
      <t>end</t>
    </r>
    <r>
      <rPr>
        <sz val="10"/>
        <rFont val="Arial Narrow"/>
        <family val="2"/>
      </rPr>
      <t xml:space="preserve"> calcolato</t>
    </r>
  </si>
  <si>
    <r>
      <t>Opex</t>
    </r>
    <r>
      <rPr>
        <vertAlign val="subscript"/>
        <sz val="10"/>
        <rFont val="Arial Narrow"/>
        <family val="2"/>
      </rPr>
      <t>al</t>
    </r>
    <r>
      <rPr>
        <sz val="10"/>
        <rFont val="Arial Narrow"/>
        <family val="2"/>
      </rPr>
      <t xml:space="preserve"> calcolato</t>
    </r>
  </si>
  <si>
    <r>
      <t>CO</t>
    </r>
    <r>
      <rPr>
        <vertAlign val="subscript"/>
        <sz val="10"/>
        <color theme="1"/>
        <rFont val="Arial Narrow"/>
        <family val="2"/>
      </rPr>
      <t>ATO</t>
    </r>
    <r>
      <rPr>
        <vertAlign val="superscript"/>
        <sz val="10"/>
        <color theme="1"/>
        <rFont val="Arial Narrow"/>
        <family val="2"/>
      </rPr>
      <t>a</t>
    </r>
    <r>
      <rPr>
        <b/>
        <sz val="10"/>
        <color theme="1"/>
        <rFont val="Arial Narrow"/>
        <family val="2"/>
      </rPr>
      <t xml:space="preserve"> </t>
    </r>
  </si>
  <si>
    <r>
      <t>CO</t>
    </r>
    <r>
      <rPr>
        <b/>
        <vertAlign val="superscript"/>
        <sz val="10"/>
        <color indexed="8"/>
        <rFont val="Arial Narrow"/>
        <family val="2"/>
      </rPr>
      <t>a</t>
    </r>
    <r>
      <rPr>
        <b/>
        <vertAlign val="subscript"/>
        <sz val="10"/>
        <color indexed="8"/>
        <rFont val="Arial Narrow"/>
        <family val="2"/>
      </rPr>
      <t>ARERA</t>
    </r>
    <r>
      <rPr>
        <b/>
        <sz val="10"/>
        <color theme="1"/>
        <rFont val="Arial Narrow"/>
        <family val="2"/>
      </rPr>
      <t xml:space="preserve"> </t>
    </r>
  </si>
  <si>
    <r>
      <t>Opex</t>
    </r>
    <r>
      <rPr>
        <vertAlign val="superscript"/>
        <sz val="10"/>
        <rFont val="Arial Narrow"/>
        <family val="2"/>
      </rPr>
      <t>a</t>
    </r>
    <r>
      <rPr>
        <vertAlign val="subscript"/>
        <sz val="10"/>
        <rFont val="Arial Narrow"/>
        <family val="2"/>
      </rPr>
      <t>QC</t>
    </r>
    <r>
      <rPr>
        <sz val="10"/>
        <rFont val="Arial Narrow"/>
        <family val="2"/>
      </rPr>
      <t xml:space="preserve"> </t>
    </r>
  </si>
  <si>
    <r>
      <t>Op</t>
    </r>
    <r>
      <rPr>
        <b/>
        <vertAlign val="subscript"/>
        <sz val="10"/>
        <color theme="1"/>
        <rFont val="Arial Narrow"/>
        <family val="2"/>
      </rPr>
      <t>social</t>
    </r>
    <r>
      <rPr>
        <sz val="10"/>
        <rFont val="Arial Narrow"/>
        <family val="2"/>
      </rPr>
      <t xml:space="preserve"> </t>
    </r>
  </si>
  <si>
    <r>
      <t>Op</t>
    </r>
    <r>
      <rPr>
        <b/>
        <vertAlign val="subscript"/>
        <sz val="10"/>
        <color theme="1"/>
        <rFont val="Arial Narrow"/>
        <family val="2"/>
      </rPr>
      <t>mis</t>
    </r>
    <r>
      <rPr>
        <sz val="10"/>
        <rFont val="Arial Narrow"/>
        <family val="2"/>
      </rPr>
      <t xml:space="preserve"> </t>
    </r>
  </si>
  <si>
    <t xml:space="preserve">MT + AC </t>
  </si>
  <si>
    <r>
      <t>CO</t>
    </r>
    <r>
      <rPr>
        <vertAlign val="subscript"/>
        <sz val="10"/>
        <color theme="1"/>
        <rFont val="Arial Narrow"/>
        <family val="2"/>
      </rPr>
      <t xml:space="preserve">EE </t>
    </r>
  </si>
  <si>
    <r>
      <t>Opex</t>
    </r>
    <r>
      <rPr>
        <vertAlign val="subscript"/>
        <sz val="10"/>
        <rFont val="Arial Narrow"/>
        <family val="2"/>
      </rPr>
      <t>al</t>
    </r>
    <r>
      <rPr>
        <vertAlign val="superscript"/>
        <sz val="10"/>
        <rFont val="Arial Narrow"/>
        <family val="2"/>
      </rPr>
      <t>a</t>
    </r>
    <r>
      <rPr>
        <sz val="10"/>
        <rFont val="Arial Narrow"/>
        <family val="2"/>
      </rPr>
      <t xml:space="preserve"> da formula</t>
    </r>
  </si>
  <si>
    <t>Sezione "Interventi sulle componenti dell'ERC"</t>
  </si>
  <si>
    <t>Sezione "Interventi sulle componenti dell'RC"</t>
  </si>
  <si>
    <r>
      <t>ERC</t>
    </r>
    <r>
      <rPr>
        <vertAlign val="subscript"/>
        <sz val="10"/>
        <rFont val="Arial Narrow"/>
        <family val="2"/>
      </rPr>
      <t>capex</t>
    </r>
    <r>
      <rPr>
        <sz val="10"/>
        <rFont val="Arial Narrow"/>
        <family val="2"/>
      </rPr>
      <t xml:space="preserve"> calcolato</t>
    </r>
  </si>
  <si>
    <r>
      <t>ERC</t>
    </r>
    <r>
      <rPr>
        <vertAlign val="subscript"/>
        <sz val="10"/>
        <rFont val="Arial Narrow"/>
        <family val="2"/>
      </rPr>
      <t>opex</t>
    </r>
    <r>
      <rPr>
        <sz val="10"/>
        <rFont val="Arial Narrow"/>
        <family val="2"/>
      </rPr>
      <t xml:space="preserve"> calcolato</t>
    </r>
  </si>
  <si>
    <r>
      <t>ERC</t>
    </r>
    <r>
      <rPr>
        <vertAlign val="subscript"/>
        <sz val="10"/>
        <color theme="1"/>
        <rFont val="Arial Narrow"/>
        <family val="2"/>
      </rPr>
      <t>capex</t>
    </r>
  </si>
  <si>
    <r>
      <t>ERC</t>
    </r>
    <r>
      <rPr>
        <vertAlign val="subscript"/>
        <sz val="10"/>
        <color theme="1"/>
        <rFont val="Arial Narrow"/>
        <family val="2"/>
      </rPr>
      <t>opex</t>
    </r>
  </si>
  <si>
    <r>
      <t>ERC</t>
    </r>
    <r>
      <rPr>
        <vertAlign val="subscript"/>
        <sz val="10"/>
        <color theme="1"/>
        <rFont val="Arial Narrow"/>
        <family val="2"/>
      </rPr>
      <t>end</t>
    </r>
  </si>
  <si>
    <r>
      <t>ERC</t>
    </r>
    <r>
      <rPr>
        <vertAlign val="subscript"/>
        <sz val="10"/>
        <color theme="1"/>
        <rFont val="Arial Narrow"/>
        <family val="2"/>
      </rPr>
      <t>al</t>
    </r>
  </si>
  <si>
    <r>
      <t>ERC</t>
    </r>
    <r>
      <rPr>
        <vertAlign val="subscript"/>
        <sz val="10"/>
        <color theme="1"/>
        <rFont val="Arial Narrow"/>
        <family val="2"/>
      </rPr>
      <t>tel</t>
    </r>
  </si>
  <si>
    <r>
      <t>ERC</t>
    </r>
    <r>
      <rPr>
        <b/>
        <vertAlign val="subscript"/>
        <sz val="10"/>
        <color theme="1"/>
        <rFont val="Arial Narrow"/>
        <family val="2"/>
      </rPr>
      <t>opex</t>
    </r>
  </si>
  <si>
    <r>
      <t>ERC</t>
    </r>
    <r>
      <rPr>
        <vertAlign val="subscript"/>
        <sz val="10"/>
        <color theme="1"/>
        <rFont val="Arial Narrow"/>
        <family val="2"/>
      </rPr>
      <t xml:space="preserve">opex </t>
    </r>
    <r>
      <rPr>
        <sz val="10"/>
        <color theme="1"/>
        <rFont val="Arial Narrow"/>
        <family val="2"/>
      </rPr>
      <t>da calcolo</t>
    </r>
  </si>
  <si>
    <r>
      <t>ENV</t>
    </r>
    <r>
      <rPr>
        <vertAlign val="subscript"/>
        <sz val="10"/>
        <color theme="1"/>
        <rFont val="Arial Narrow"/>
        <family val="2"/>
      </rPr>
      <t>capex</t>
    </r>
  </si>
  <si>
    <r>
      <t>RES</t>
    </r>
    <r>
      <rPr>
        <vertAlign val="subscript"/>
        <sz val="10"/>
        <color theme="1"/>
        <rFont val="Arial Narrow"/>
        <family val="2"/>
      </rPr>
      <t>capex</t>
    </r>
  </si>
  <si>
    <r>
      <t>ERC</t>
    </r>
    <r>
      <rPr>
        <vertAlign val="subscript"/>
        <sz val="10"/>
        <color theme="1"/>
        <rFont val="Arial Narrow"/>
        <family val="2"/>
      </rPr>
      <t xml:space="preserve">capex </t>
    </r>
    <r>
      <rPr>
        <sz val="10"/>
        <color theme="1"/>
        <rFont val="Arial Narrow"/>
        <family val="2"/>
      </rPr>
      <t>da calcolo</t>
    </r>
  </si>
  <si>
    <r>
      <t>ERC</t>
    </r>
    <r>
      <rPr>
        <b/>
        <vertAlign val="subscript"/>
        <sz val="10"/>
        <color theme="1"/>
        <rFont val="Arial Narrow"/>
        <family val="2"/>
      </rPr>
      <t>capex</t>
    </r>
  </si>
  <si>
    <r>
      <t>RC</t>
    </r>
    <r>
      <rPr>
        <vertAlign val="subscript"/>
        <sz val="10"/>
        <rFont val="Arial Narrow"/>
        <family val="2"/>
      </rPr>
      <t>vol</t>
    </r>
    <r>
      <rPr>
        <sz val="10"/>
        <rFont val="Arial Narrow"/>
        <family val="2"/>
      </rPr>
      <t xml:space="preserve"> calcolato</t>
    </r>
  </si>
  <si>
    <r>
      <t>RC</t>
    </r>
    <r>
      <rPr>
        <vertAlign val="subscript"/>
        <sz val="10"/>
        <rFont val="Arial Narrow"/>
        <family val="2"/>
      </rPr>
      <t>EE</t>
    </r>
    <r>
      <rPr>
        <sz val="10"/>
        <rFont val="Arial Narrow"/>
        <family val="2"/>
      </rPr>
      <t xml:space="preserve"> calcolato</t>
    </r>
  </si>
  <si>
    <r>
      <t>RC</t>
    </r>
    <r>
      <rPr>
        <vertAlign val="subscript"/>
        <sz val="10"/>
        <rFont val="Arial Narrow"/>
        <family val="2"/>
      </rPr>
      <t>ERC</t>
    </r>
    <r>
      <rPr>
        <sz val="10"/>
        <rFont val="Arial Narrow"/>
        <family val="2"/>
      </rPr>
      <t xml:space="preserve"> calcolato</t>
    </r>
  </si>
  <si>
    <r>
      <t>RC</t>
    </r>
    <r>
      <rPr>
        <vertAlign val="subscript"/>
        <sz val="10"/>
        <rFont val="Arial Narrow"/>
        <family val="2"/>
      </rPr>
      <t>ws</t>
    </r>
    <r>
      <rPr>
        <sz val="10"/>
        <rFont val="Arial Narrow"/>
        <family val="2"/>
      </rPr>
      <t xml:space="preserve"> calcolato</t>
    </r>
  </si>
  <si>
    <r>
      <t>RC</t>
    </r>
    <r>
      <rPr>
        <vertAlign val="subscript"/>
        <sz val="10"/>
        <rFont val="Arial Narrow"/>
        <family val="2"/>
      </rPr>
      <t>ALTRO</t>
    </r>
    <r>
      <rPr>
        <sz val="10"/>
        <rFont val="Arial Narrow"/>
        <family val="2"/>
      </rPr>
      <t xml:space="preserve"> calcolato</t>
    </r>
  </si>
  <si>
    <r>
      <rPr>
        <sz val="10"/>
        <color rgb="FFFF0000"/>
        <rFont val="Arial Narrow"/>
        <family val="2"/>
      </rPr>
      <t>Detrazione</t>
    </r>
    <r>
      <rPr>
        <sz val="10"/>
        <color theme="1"/>
        <rFont val="Arial Narrow"/>
        <family val="2"/>
      </rPr>
      <t xml:space="preserve"> della componente Rc</t>
    </r>
    <r>
      <rPr>
        <vertAlign val="subscript"/>
        <sz val="10"/>
        <color theme="1"/>
        <rFont val="Arial Narrow"/>
        <family val="2"/>
      </rPr>
      <t>vol</t>
    </r>
  </si>
  <si>
    <r>
      <rPr>
        <sz val="10"/>
        <color rgb="FFFF0000"/>
        <rFont val="Arial Narrow"/>
        <family val="2"/>
      </rPr>
      <t>Detrazione</t>
    </r>
    <r>
      <rPr>
        <sz val="10"/>
        <color theme="1"/>
        <rFont val="Arial Narrow"/>
        <family val="2"/>
      </rPr>
      <t xml:space="preserve"> della componente Rc</t>
    </r>
    <r>
      <rPr>
        <vertAlign val="subscript"/>
        <sz val="10"/>
        <color theme="1"/>
        <rFont val="Arial Narrow"/>
        <family val="2"/>
      </rPr>
      <t>EE</t>
    </r>
  </si>
  <si>
    <r>
      <rPr>
        <sz val="10"/>
        <color rgb="FFFF0000"/>
        <rFont val="Arial Narrow"/>
        <family val="2"/>
      </rPr>
      <t>Detrazione</t>
    </r>
    <r>
      <rPr>
        <sz val="10"/>
        <color theme="1"/>
        <rFont val="Arial Narrow"/>
        <family val="2"/>
      </rPr>
      <t xml:space="preserve"> della componente RC</t>
    </r>
    <r>
      <rPr>
        <vertAlign val="subscript"/>
        <sz val="10"/>
        <color theme="1"/>
        <rFont val="Arial Narrow"/>
        <family val="2"/>
      </rPr>
      <t>ws</t>
    </r>
  </si>
  <si>
    <r>
      <rPr>
        <sz val="10"/>
        <color rgb="FFFF0000"/>
        <rFont val="Arial Narrow"/>
        <family val="2"/>
      </rPr>
      <t>Detrazione</t>
    </r>
    <r>
      <rPr>
        <sz val="10"/>
        <color theme="1"/>
        <rFont val="Arial Narrow"/>
        <family val="2"/>
      </rPr>
      <t xml:space="preserve"> della componente RC</t>
    </r>
    <r>
      <rPr>
        <vertAlign val="subscript"/>
        <sz val="10"/>
        <color theme="1"/>
        <rFont val="Arial Narrow"/>
        <family val="2"/>
      </rPr>
      <t>ERC</t>
    </r>
  </si>
  <si>
    <r>
      <rPr>
        <sz val="10"/>
        <color rgb="FFFF0000"/>
        <rFont val="Arial Narrow"/>
        <family val="2"/>
      </rPr>
      <t>Detrazione</t>
    </r>
    <r>
      <rPr>
        <sz val="10"/>
        <color theme="1"/>
        <rFont val="Arial Narrow"/>
        <family val="2"/>
      </rPr>
      <t xml:space="preserve"> della componente RC</t>
    </r>
    <r>
      <rPr>
        <vertAlign val="subscript"/>
        <sz val="10"/>
        <color theme="1"/>
        <rFont val="Arial Narrow"/>
        <family val="2"/>
      </rPr>
      <t>ALTRO</t>
    </r>
  </si>
  <si>
    <t>Prima della eventuale ulteriore riallocazione dei conguagli</t>
  </si>
  <si>
    <t>Componenti post detrazioni</t>
  </si>
  <si>
    <t>Elaborazioni Iniziali</t>
  </si>
  <si>
    <t>Elaborazioni finali</t>
  </si>
  <si>
    <t>area di controllo</t>
  </si>
  <si>
    <r>
      <t>Rc</t>
    </r>
    <r>
      <rPr>
        <vertAlign val="subscript"/>
        <sz val="11"/>
        <color theme="1"/>
        <rFont val="Arial Narrow"/>
        <family val="2"/>
      </rPr>
      <t>TOT</t>
    </r>
    <r>
      <rPr>
        <vertAlign val="superscript"/>
        <sz val="11"/>
        <color theme="1"/>
        <rFont val="Arial Narrow"/>
        <family val="2"/>
      </rPr>
      <t>a</t>
    </r>
    <r>
      <rPr>
        <sz val="10"/>
        <color theme="1"/>
        <rFont val="Arial Narrow"/>
        <family val="2"/>
      </rPr>
      <t xml:space="preserve"> calcolato (include inflazione)</t>
    </r>
  </si>
  <si>
    <r>
      <t>Opex</t>
    </r>
    <r>
      <rPr>
        <vertAlign val="superscript"/>
        <sz val="10"/>
        <color theme="1"/>
        <rFont val="Arial Narrow"/>
        <family val="2"/>
      </rPr>
      <t>a</t>
    </r>
    <r>
      <rPr>
        <sz val="10"/>
        <color theme="1"/>
        <rFont val="Arial Narrow"/>
        <family val="2"/>
      </rPr>
      <t xml:space="preserve"> </t>
    </r>
  </si>
  <si>
    <r>
      <t>ERC</t>
    </r>
    <r>
      <rPr>
        <vertAlign val="superscript"/>
        <sz val="10"/>
        <color theme="1"/>
        <rFont val="Arial Narrow"/>
        <family val="2"/>
      </rPr>
      <t>a</t>
    </r>
    <r>
      <rPr>
        <sz val="10"/>
        <color theme="1"/>
        <rFont val="Arial Narrow"/>
        <family val="2"/>
      </rPr>
      <t xml:space="preserve"> </t>
    </r>
  </si>
  <si>
    <t>Componenti nel Piano Tariffario</t>
  </si>
  <si>
    <r>
      <t>VRG</t>
    </r>
    <r>
      <rPr>
        <vertAlign val="superscript"/>
        <sz val="10"/>
        <rFont val="Arial Narrow"/>
        <family val="2"/>
      </rPr>
      <t>a</t>
    </r>
    <r>
      <rPr>
        <sz val="10"/>
        <rFont val="Arial Narrow"/>
        <family val="2"/>
      </rPr>
      <t xml:space="preserve"> calcolato </t>
    </r>
  </si>
  <si>
    <r>
      <t>ϑ</t>
    </r>
    <r>
      <rPr>
        <vertAlign val="superscript"/>
        <sz val="10"/>
        <rFont val="Arial Narrow"/>
        <family val="2"/>
      </rPr>
      <t>a</t>
    </r>
    <r>
      <rPr>
        <sz val="10"/>
        <rFont val="Arial Narrow"/>
        <family val="2"/>
      </rPr>
      <t xml:space="preserve"> calcolato</t>
    </r>
  </si>
  <si>
    <t>info predisposizione iniziale</t>
  </si>
  <si>
    <t>info predisposizione intermedia</t>
  </si>
  <si>
    <t>info predisposizione finale</t>
  </si>
  <si>
    <t>info predisposizione applicabile</t>
  </si>
  <si>
    <r>
      <t>ϑ</t>
    </r>
    <r>
      <rPr>
        <b/>
        <vertAlign val="superscript"/>
        <sz val="10"/>
        <rFont val="Arial Narrow"/>
        <family val="2"/>
      </rPr>
      <t>a</t>
    </r>
    <r>
      <rPr>
        <b/>
        <sz val="10"/>
        <rFont val="Arial Narrow"/>
        <family val="2"/>
      </rPr>
      <t xml:space="preserve"> massimo applicabile</t>
    </r>
  </si>
  <si>
    <r>
      <t>VRG</t>
    </r>
    <r>
      <rPr>
        <b/>
        <vertAlign val="superscript"/>
        <sz val="10"/>
        <color theme="1"/>
        <rFont val="Arial Narrow"/>
        <family val="2"/>
      </rPr>
      <t>a</t>
    </r>
  </si>
  <si>
    <t>Fondo nuovi investimenti</t>
  </si>
  <si>
    <t>Costi ambientali e della risorsa</t>
  </si>
  <si>
    <r>
      <t xml:space="preserve">Sviluppo del </t>
    </r>
    <r>
      <rPr>
        <b/>
        <sz val="10"/>
        <color theme="1"/>
        <rFont val="Arial Narrow"/>
        <family val="2"/>
      </rPr>
      <t>VRG</t>
    </r>
  </si>
  <si>
    <r>
      <rPr>
        <sz val="10"/>
        <color theme="1"/>
        <rFont val="Arial Narrow"/>
        <family val="2"/>
      </rPr>
      <t>Sviluppo della componente</t>
    </r>
    <r>
      <rPr>
        <b/>
        <sz val="10"/>
        <color theme="1"/>
        <rFont val="Arial Narrow"/>
        <family val="2"/>
      </rPr>
      <t xml:space="preserve"> Capex</t>
    </r>
  </si>
  <si>
    <r>
      <rPr>
        <sz val="10"/>
        <color theme="1"/>
        <rFont val="Arial Narrow"/>
        <family val="2"/>
      </rPr>
      <t>Sviluppo della componente</t>
    </r>
    <r>
      <rPr>
        <b/>
        <sz val="10"/>
        <color theme="1"/>
        <rFont val="Arial Narrow"/>
        <family val="2"/>
      </rPr>
      <t xml:space="preserve"> FoNI</t>
    </r>
  </si>
  <si>
    <r>
      <rPr>
        <sz val="10"/>
        <color theme="1"/>
        <rFont val="Arial Narrow"/>
        <family val="2"/>
      </rPr>
      <t>Sviluppo della componente</t>
    </r>
    <r>
      <rPr>
        <b/>
        <sz val="10"/>
        <color theme="1"/>
        <rFont val="Arial Narrow"/>
        <family val="2"/>
      </rPr>
      <t xml:space="preserve"> Opex</t>
    </r>
  </si>
  <si>
    <r>
      <rPr>
        <sz val="10"/>
        <color theme="1"/>
        <rFont val="Arial Narrow"/>
        <family val="2"/>
      </rPr>
      <t xml:space="preserve">Sviluppo della componente </t>
    </r>
    <r>
      <rPr>
        <b/>
        <sz val="10"/>
        <color theme="1"/>
        <rFont val="Arial Narrow"/>
        <family val="2"/>
      </rPr>
      <t>ERC</t>
    </r>
  </si>
  <si>
    <r>
      <rPr>
        <sz val="10"/>
        <color theme="1"/>
        <rFont val="Arial Narrow"/>
        <family val="2"/>
      </rPr>
      <t xml:space="preserve">Sviluppo della componente </t>
    </r>
    <r>
      <rPr>
        <b/>
        <sz val="10"/>
        <color theme="1"/>
        <rFont val="Arial Narrow"/>
        <family val="2"/>
      </rPr>
      <t>Rc</t>
    </r>
  </si>
  <si>
    <t xml:space="preserve">ID Criticità  </t>
  </si>
  <si>
    <t>Descrizione</t>
  </si>
  <si>
    <t xml:space="preserve">Tipologia di costo ambientale eventualmente sotteso </t>
  </si>
  <si>
    <t>comma 1.1 dell'Allegato A alla deliberazione  580/2020/R/idr</t>
  </si>
  <si>
    <t>interventi a cui sono associati costi ambientali intesi come "...valorizzazione economica dalla riduzione e/o alterazione delle funzionalità proprie degli ecosistemi acquatici (ritenzione idraulica, laminazione delle piene, abbattimento dei nutrienti, fitodepurazione,
ricarica della falda, ecc., come enucleate dal decreto del Ministero dell’ambiente e della tutela del territorio e del mare, 24 febbraio 2015, n. 39), tali da danneggiare il funzionamento degli ecosistemi acquatici stessi e/o alcuni usi degli ecosistemi acquatici e/o il benessere derivante dal non-uso di una certa risorsa".</t>
  </si>
  <si>
    <t>ai sensi delle precedenti definizioni</t>
  </si>
  <si>
    <t>Intervento presente nel PdI trasmesso ai sensi della deliberazione 664/2015/R/idr come integrata dalla deliberazione 918/2017/idr?</t>
  </si>
  <si>
    <t xml:space="preserve">Intervento finalizzato ad obiettivi di sostenibilità ambientale o efficienza energetica </t>
  </si>
  <si>
    <t>Efficienza energetica (nel SII e nelle altre attività idriche)</t>
  </si>
  <si>
    <t xml:space="preserve">Sussistenza di eventuali misure di sostegno nazionali o comunitarie </t>
  </si>
  <si>
    <t>Fondo di Garanzia opere idriche</t>
  </si>
  <si>
    <t>Indicare in presenza di provvedimento di accoglimento dell'istanza</t>
  </si>
  <si>
    <t>Recupero di energia, materie prime e diffusione FER</t>
  </si>
  <si>
    <t>Piano Nazionale sez. "Invasi"/ Piano Straordinario</t>
  </si>
  <si>
    <t xml:space="preserve">indicare se intervento presente negli Allegati 1 e 2 al d.P.C.M. 17 aprile 2019 e successivi e nell'Allegato A al D.M. n. 526 del 6/12/2018  </t>
  </si>
  <si>
    <t>Riuso acque reflue</t>
  </si>
  <si>
    <t>Altro (specificare in Relazione)</t>
  </si>
  <si>
    <t>Es. Fondi Comunitari (FSC, Patti di Sviluppo), Prestiti BEI, Cdp etc.</t>
  </si>
  <si>
    <t>Nuova opera, realizzazione di nuove infrastrutture (es. costruzione impianto, estensione rete)</t>
  </si>
  <si>
    <t>Interventi su infrastrutture esistenti chiaramente individuati (es. sostituzione condotte, adeguamento/ potenziamento/ revamping impianti)</t>
  </si>
  <si>
    <r>
      <t>Considera tutti quegli interventi di carattere generale non precisamente identificabili dal gestore perché ad es. non programmati (es. "</t>
    </r>
    <r>
      <rPr>
        <i/>
        <sz val="12"/>
        <rFont val="Arial Narrow"/>
        <family val="2"/>
      </rPr>
      <t>Manutenzioni straordinarie acquedotto</t>
    </r>
    <r>
      <rPr>
        <sz val="12"/>
        <rFont val="Arial Narrow"/>
        <family val="2"/>
      </rPr>
      <t>")</t>
    </r>
  </si>
  <si>
    <t>MC1</t>
  </si>
  <si>
    <t>Avvio e cessazione del rapporto contrattuale</t>
  </si>
  <si>
    <t>MC2</t>
  </si>
  <si>
    <t>Gestione del rapporto contrattuale e accessibilità al servizio</t>
  </si>
  <si>
    <t>Intervento presente nel POS 2020-2027</t>
  </si>
  <si>
    <t xml:space="preserve">Prerequisito/ Macro-indicatore di qualità sotteso all'intervento </t>
  </si>
  <si>
    <t>Valore investimento annuo (lordo contributi) 2022</t>
  </si>
  <si>
    <t>Entrate in esercizio (lordo contributi) 2022</t>
  </si>
  <si>
    <t>Contributi 2022</t>
  </si>
  <si>
    <t>Valore investimento annuo (lordo contributi) 2023</t>
  </si>
  <si>
    <t>Entrate in esercizio (lordo contributi) 2023</t>
  </si>
  <si>
    <t>Contributi 2023</t>
  </si>
  <si>
    <t>di cui: Contributi pubblici 2023</t>
  </si>
  <si>
    <t>anno 2027</t>
  </si>
  <si>
    <t>Valore investimento annuo (lordo contributi) 2024</t>
  </si>
  <si>
    <t>Contributi 2024</t>
  </si>
  <si>
    <t>Valore investimento annuo (lordo contributi) 2025</t>
  </si>
  <si>
    <t>Entrate in esercizio (lordo contributi) 2025</t>
  </si>
  <si>
    <t>Contributi 2025</t>
  </si>
  <si>
    <t>Valore investimento annuo (lordo contributi) 2026</t>
  </si>
  <si>
    <t>Entrate in esercizio (lordo contributi) 2026</t>
  </si>
  <si>
    <t>Contributi 2026</t>
  </si>
  <si>
    <t>Valore investimento annuo (lordo contributi) 2027</t>
  </si>
  <si>
    <t>Contributi 2027</t>
  </si>
  <si>
    <t>Voci di costo da Conto Economico</t>
  </si>
  <si>
    <t>Riepilogo investimenti realizzati</t>
  </si>
  <si>
    <t>Riepilogo investimenti previsti</t>
  </si>
  <si>
    <t xml:space="preserve">Valore investimento annuo (netto contributi) </t>
  </si>
  <si>
    <t>Riepilogo Piano Opere Strategiche</t>
  </si>
  <si>
    <t xml:space="preserve">Valore investimento annuo (lordo contributi) </t>
  </si>
  <si>
    <t xml:space="preserve">Contributi </t>
  </si>
  <si>
    <r>
      <t>Opex QT (al lordo degli ERC</t>
    </r>
    <r>
      <rPr>
        <b/>
        <vertAlign val="subscript"/>
        <sz val="9"/>
        <color theme="0"/>
        <rFont val="Arial Narrow"/>
        <family val="2"/>
      </rPr>
      <t>QT</t>
    </r>
    <r>
      <rPr>
        <b/>
        <sz val="9"/>
        <color theme="0"/>
        <rFont val="Arial Narrow"/>
        <family val="2"/>
      </rPr>
      <t xml:space="preserve">) </t>
    </r>
  </si>
  <si>
    <t>IMN_consolidamento</t>
  </si>
  <si>
    <t>info</t>
  </si>
  <si>
    <t>Area suggerimenti</t>
  </si>
  <si>
    <r>
      <t>Op</t>
    </r>
    <r>
      <rPr>
        <vertAlign val="subscript"/>
        <sz val="10"/>
        <rFont val="Arial Narrow"/>
        <family val="2"/>
      </rPr>
      <t>social</t>
    </r>
  </si>
  <si>
    <r>
      <t>Op</t>
    </r>
    <r>
      <rPr>
        <vertAlign val="subscript"/>
        <sz val="10"/>
        <rFont val="Arial Narrow"/>
        <family val="2"/>
      </rPr>
      <t>mis</t>
    </r>
  </si>
  <si>
    <r>
      <t>Op</t>
    </r>
    <r>
      <rPr>
        <vertAlign val="subscript"/>
        <sz val="10"/>
        <color indexed="8"/>
        <rFont val="Arial Narrow"/>
        <family val="2"/>
      </rPr>
      <t>mis</t>
    </r>
  </si>
  <si>
    <r>
      <t>Co</t>
    </r>
    <r>
      <rPr>
        <vertAlign val="subscript"/>
        <sz val="10"/>
        <color indexed="8"/>
        <rFont val="Arial Narrow"/>
        <family val="2"/>
      </rPr>
      <t>ws</t>
    </r>
    <r>
      <rPr>
        <sz val="10"/>
        <color indexed="8"/>
        <rFont val="Arial Narrow"/>
        <family val="2"/>
      </rPr>
      <t xml:space="preserve"> </t>
    </r>
  </si>
  <si>
    <r>
      <t>Co</t>
    </r>
    <r>
      <rPr>
        <vertAlign val="subscript"/>
        <sz val="10"/>
        <color indexed="8"/>
        <rFont val="Calibri"/>
        <family val="2"/>
      </rPr>
      <t>Δ</t>
    </r>
    <r>
      <rPr>
        <vertAlign val="subscript"/>
        <sz val="10"/>
        <color indexed="8"/>
        <rFont val="Arial Narrow"/>
        <family val="2"/>
      </rPr>
      <t>fanghi</t>
    </r>
  </si>
  <si>
    <r>
      <t>CO</t>
    </r>
    <r>
      <rPr>
        <vertAlign val="subscript"/>
        <sz val="10"/>
        <rFont val="Arial Narrow"/>
        <family val="2"/>
      </rPr>
      <t>ARERA</t>
    </r>
  </si>
  <si>
    <r>
      <t>Opex</t>
    </r>
    <r>
      <rPr>
        <vertAlign val="superscript"/>
        <sz val="10"/>
        <rFont val="Arial Narrow"/>
        <family val="2"/>
      </rPr>
      <t>a</t>
    </r>
    <r>
      <rPr>
        <vertAlign val="subscript"/>
        <sz val="10"/>
        <rFont val="Arial Narrow"/>
        <family val="2"/>
      </rPr>
      <t>al</t>
    </r>
    <r>
      <rPr>
        <sz val="10"/>
        <rFont val="Arial Narrow"/>
        <family val="2"/>
      </rPr>
      <t xml:space="preserve"> </t>
    </r>
  </si>
  <si>
    <r>
      <t>Opex</t>
    </r>
    <r>
      <rPr>
        <vertAlign val="superscript"/>
        <sz val="10"/>
        <rFont val="Arial Narrow"/>
        <family val="2"/>
      </rPr>
      <t>a</t>
    </r>
    <r>
      <rPr>
        <vertAlign val="subscript"/>
        <sz val="10"/>
        <rFont val="Arial Narrow"/>
        <family val="2"/>
      </rPr>
      <t>end</t>
    </r>
    <r>
      <rPr>
        <sz val="10"/>
        <rFont val="Arial Narrow"/>
        <family val="2"/>
      </rPr>
      <t xml:space="preserve"> </t>
    </r>
  </si>
  <si>
    <r>
      <t>Opex</t>
    </r>
    <r>
      <rPr>
        <b/>
        <vertAlign val="superscript"/>
        <sz val="10"/>
        <color indexed="8"/>
        <rFont val="Arial Narrow"/>
        <family val="2"/>
      </rPr>
      <t>a</t>
    </r>
    <r>
      <rPr>
        <b/>
        <sz val="10"/>
        <color indexed="8"/>
        <rFont val="Arial Narrow"/>
        <family val="2"/>
      </rPr>
      <t xml:space="preserve"> </t>
    </r>
    <r>
      <rPr>
        <sz val="10"/>
        <color rgb="FF000000"/>
        <rFont val="Arial Narrow"/>
        <family val="2"/>
      </rPr>
      <t>(al netto degli ERC)</t>
    </r>
  </si>
  <si>
    <t>Totale investimenti pianificati</t>
  </si>
  <si>
    <r>
      <t>Ip</t>
    </r>
    <r>
      <rPr>
        <vertAlign val="subscript"/>
        <sz val="8.5"/>
        <color theme="1"/>
        <rFont val="Arial Narrow"/>
        <family val="2"/>
      </rPr>
      <t>t</t>
    </r>
    <r>
      <rPr>
        <vertAlign val="superscript"/>
        <sz val="10"/>
        <color theme="1"/>
        <rFont val="Arial Narrow"/>
        <family val="2"/>
      </rPr>
      <t>exp</t>
    </r>
  </si>
  <si>
    <r>
      <t>CFP</t>
    </r>
    <r>
      <rPr>
        <vertAlign val="superscript"/>
        <sz val="10"/>
        <color theme="1"/>
        <rFont val="Arial Narrow"/>
        <family val="2"/>
      </rPr>
      <t>exp</t>
    </r>
    <r>
      <rPr>
        <sz val="10"/>
        <color theme="1"/>
        <rFont val="Arial Narrow"/>
        <family val="2"/>
      </rPr>
      <t xml:space="preserve"> </t>
    </r>
  </si>
  <si>
    <r>
      <t>Ip</t>
    </r>
    <r>
      <rPr>
        <vertAlign val="subscript"/>
        <sz val="8.5"/>
        <color theme="1"/>
        <rFont val="Arial Narrow"/>
        <family val="2"/>
      </rPr>
      <t>t</t>
    </r>
    <r>
      <rPr>
        <vertAlign val="superscript"/>
        <sz val="10"/>
        <color theme="1"/>
        <rFont val="Arial Narrow"/>
        <family val="2"/>
      </rPr>
      <t>exp</t>
    </r>
    <r>
      <rPr>
        <sz val="10"/>
        <color theme="1"/>
        <rFont val="Arial Narrow"/>
        <family val="2"/>
      </rPr>
      <t xml:space="preserve"> + CFP</t>
    </r>
    <r>
      <rPr>
        <vertAlign val="superscript"/>
        <sz val="10"/>
        <color theme="1"/>
        <rFont val="Arial Narrow"/>
        <family val="2"/>
      </rPr>
      <t>exp</t>
    </r>
    <r>
      <rPr>
        <sz val="10"/>
        <color theme="1"/>
        <rFont val="Arial Narrow"/>
        <family val="2"/>
      </rPr>
      <t xml:space="preserve"> </t>
    </r>
  </si>
  <si>
    <r>
      <t>pop + 0,25 pop</t>
    </r>
    <r>
      <rPr>
        <vertAlign val="subscript"/>
        <sz val="10"/>
        <color theme="1"/>
        <rFont val="Arial Narrow"/>
        <family val="2"/>
      </rPr>
      <t>flut</t>
    </r>
  </si>
  <si>
    <r>
      <t>VRG</t>
    </r>
    <r>
      <rPr>
        <vertAlign val="subscript"/>
        <sz val="10"/>
        <color theme="1"/>
        <rFont val="Arial Narrow"/>
        <family val="2"/>
      </rPr>
      <t>PM,i</t>
    </r>
  </si>
  <si>
    <t>integrazione processi tecnici</t>
  </si>
  <si>
    <t>integrazione processi tecnici o territorio</t>
  </si>
  <si>
    <t>Aggregazioni o variazioni dei processi tecnici significative</t>
  </si>
  <si>
    <t>Sezione "Trattamento costi di morosità - Unpaid ratio"</t>
  </si>
  <si>
    <t>Sostenibilità finanziaria efficiente</t>
  </si>
  <si>
    <t>Matrice di schemi regolatori</t>
  </si>
  <si>
    <t>Regolazione tariffaria applicabile
Matrice di schemi regolatori</t>
  </si>
  <si>
    <r>
      <t xml:space="preserve">Regolazione tariffaria </t>
    </r>
    <r>
      <rPr>
        <b/>
        <sz val="10"/>
        <color theme="1"/>
        <rFont val="Arial Narrow"/>
        <family val="2"/>
      </rPr>
      <t xml:space="preserve">applicabile </t>
    </r>
  </si>
  <si>
    <t>Verifica cause di esclusione</t>
  </si>
  <si>
    <t>Adozione Carta dei Servizi</t>
  </si>
  <si>
    <t>AGGREGAZIONI O
VARIAZIONI DEI PROCESSI
TECNICI SIGNIFICATIVE</t>
  </si>
  <si>
    <t xml:space="preserve">
Schema I</t>
  </si>
  <si>
    <t xml:space="preserve">
Schema II</t>
  </si>
  <si>
    <t xml:space="preserve">
Schema III</t>
  </si>
  <si>
    <t xml:space="preserve">
Schema IV</t>
  </si>
  <si>
    <t xml:space="preserve">
Schema V</t>
  </si>
  <si>
    <t xml:space="preserve">
Schema VI</t>
  </si>
  <si>
    <r>
      <t>VRG</t>
    </r>
    <r>
      <rPr>
        <vertAlign val="subscript"/>
        <sz val="10"/>
        <color indexed="8"/>
        <rFont val="Arial Narrow"/>
        <family val="2"/>
      </rPr>
      <t>PM</t>
    </r>
  </si>
  <si>
    <t>Parametri per schema regolatorio</t>
  </si>
  <si>
    <t>1-1</t>
  </si>
  <si>
    <t>1-2</t>
  </si>
  <si>
    <t>1-3</t>
  </si>
  <si>
    <t>2-1</t>
  </si>
  <si>
    <t>2-2</t>
  </si>
  <si>
    <t>2-3</t>
  </si>
  <si>
    <r>
      <t>pop + 0,25pop</t>
    </r>
    <r>
      <rPr>
        <vertAlign val="subscript"/>
        <sz val="10"/>
        <color theme="1"/>
        <rFont val="Arial Narrow"/>
        <family val="2"/>
      </rPr>
      <t>flut</t>
    </r>
  </si>
  <si>
    <t>riga della matrice</t>
  </si>
  <si>
    <t>colonna della matrice</t>
  </si>
  <si>
    <t>Informazioni sulla predisposizione tariffaria</t>
  </si>
  <si>
    <t>Schema</t>
  </si>
  <si>
    <t>Posizionamento nella matrice</t>
  </si>
  <si>
    <t>prima riga, prima colonna</t>
  </si>
  <si>
    <t>prima riga, seconda colonna</t>
  </si>
  <si>
    <t>prima riga, terza colonna</t>
  </si>
  <si>
    <t>seconda riga, prima colonna</t>
  </si>
  <si>
    <t>seconda riga, seconda colonna</t>
  </si>
  <si>
    <t>seconda riga, terza colonna</t>
  </si>
  <si>
    <r>
      <t xml:space="preserve"> γ</t>
    </r>
    <r>
      <rPr>
        <b/>
        <vertAlign val="subscript"/>
        <sz val="10"/>
        <color theme="1"/>
        <rFont val="Arial Narrow"/>
        <family val="2"/>
      </rPr>
      <t>k</t>
    </r>
  </si>
  <si>
    <r>
      <t xml:space="preserve"> γ</t>
    </r>
    <r>
      <rPr>
        <b/>
        <vertAlign val="subscript"/>
        <sz val="10"/>
        <color theme="1"/>
        <rFont val="Arial Narrow"/>
        <family val="2"/>
      </rPr>
      <t>x</t>
    </r>
  </si>
  <si>
    <t>SCHEMA REGOLATORIO                                         (A)
SCHEMA REGOLATORIO DI CONVERGENZA           (B)</t>
  </si>
  <si>
    <t>Nessuna aggregazione o variazione dei processi tecnici significativa:     (NO)
                                                  oppure
Presenza di aggregazioni o variazioni dei processi tecnici significative:    (SI)</t>
  </si>
  <si>
    <t>Schema di convergenza</t>
  </si>
  <si>
    <r>
      <t xml:space="preserve">Controllo sul rispetto del vincolo di destinazione del </t>
    </r>
    <r>
      <rPr>
        <b/>
        <i/>
        <sz val="10"/>
        <color indexed="8"/>
        <rFont val="Arial Narrow"/>
        <family val="2"/>
      </rPr>
      <t>FoNI</t>
    </r>
  </si>
  <si>
    <t>Regolazione tariffaria applicabile</t>
  </si>
  <si>
    <t>Eventuale tipologia di Schema di convergenza</t>
  </si>
  <si>
    <t>Avvio dei processi di aggregazione del gestore unico d'ambito</t>
  </si>
  <si>
    <t>Meccanismi di convergenza</t>
  </si>
  <si>
    <t>Numero delle gestioni integrate</t>
  </si>
  <si>
    <r>
      <t xml:space="preserve">Fattore di aggregazione </t>
    </r>
    <r>
      <rPr>
        <b/>
        <sz val="10"/>
        <color theme="1"/>
        <rFont val="Arial Narrow"/>
        <family val="2"/>
      </rPr>
      <t>α</t>
    </r>
  </si>
  <si>
    <r>
      <t>CO</t>
    </r>
    <r>
      <rPr>
        <b/>
        <i/>
        <vertAlign val="superscript"/>
        <sz val="10"/>
        <color theme="1"/>
        <rFont val="Arial Narrow"/>
        <family val="2"/>
      </rPr>
      <t>S</t>
    </r>
    <r>
      <rPr>
        <b/>
        <i/>
        <vertAlign val="subscript"/>
        <sz val="10"/>
        <color theme="1"/>
        <rFont val="Arial Narrow"/>
        <family val="2"/>
      </rPr>
      <t>TOT</t>
    </r>
  </si>
  <si>
    <r>
      <t>VRG</t>
    </r>
    <r>
      <rPr>
        <b/>
        <i/>
        <vertAlign val="subscript"/>
        <sz val="10"/>
        <color theme="1"/>
        <rFont val="Arial Narrow"/>
        <family val="2"/>
      </rPr>
      <t>conv</t>
    </r>
  </si>
  <si>
    <r>
      <t>Capex</t>
    </r>
    <r>
      <rPr>
        <i/>
        <vertAlign val="subscript"/>
        <sz val="10"/>
        <color theme="1"/>
        <rFont val="Arial Narrow"/>
        <family val="2"/>
      </rPr>
      <t>conv</t>
    </r>
  </si>
  <si>
    <t>Ricavi tariffari delle gestioni integrate</t>
  </si>
  <si>
    <t>Ricavi Tariffe Industriali da formula TICSI</t>
  </si>
  <si>
    <r>
      <t>∑</t>
    </r>
    <r>
      <rPr>
        <b/>
        <vertAlign val="subscript"/>
        <sz val="10"/>
        <color theme="3"/>
        <rFont val="Calibri"/>
        <family val="2"/>
      </rPr>
      <t>p</t>
    </r>
    <r>
      <rPr>
        <b/>
        <sz val="10"/>
        <color theme="3"/>
        <rFont val="Calibri"/>
        <family val="2"/>
      </rPr>
      <t xml:space="preserve"> T</t>
    </r>
    <r>
      <rPr>
        <b/>
        <vertAlign val="subscript"/>
        <sz val="10"/>
        <color theme="3"/>
        <rFont val="Calibri"/>
        <family val="2"/>
      </rPr>
      <t>p</t>
    </r>
  </si>
  <si>
    <t xml:space="preserve">Ricavi complessivi da nuova struttura dei corrispettivi per collettamento e depurazione dei reflui industriali </t>
  </si>
  <si>
    <r>
      <t>∑</t>
    </r>
    <r>
      <rPr>
        <b/>
        <vertAlign val="subscript"/>
        <sz val="10"/>
        <color theme="3"/>
        <rFont val="Calibri"/>
        <family val="2"/>
      </rPr>
      <t>p</t>
    </r>
    <r>
      <rPr>
        <b/>
        <sz val="10"/>
        <color theme="3"/>
        <rFont val="Calibri"/>
        <family val="2"/>
      </rPr>
      <t xml:space="preserve"> T</t>
    </r>
    <r>
      <rPr>
        <b/>
        <vertAlign val="subscript"/>
        <sz val="10"/>
        <color theme="3"/>
        <rFont val="Calibri"/>
        <family val="2"/>
      </rPr>
      <t>p cap 10%</t>
    </r>
    <r>
      <rPr>
        <b/>
        <sz val="10"/>
        <color theme="3"/>
        <rFont val="Calibri"/>
        <family val="2"/>
        <scheme val="minor"/>
      </rPr>
      <t xml:space="preserve"> </t>
    </r>
    <r>
      <rPr>
        <b/>
        <vertAlign val="subscript"/>
        <sz val="10"/>
        <color theme="3"/>
        <rFont val="Calibri"/>
        <family val="2"/>
        <scheme val="minor"/>
      </rPr>
      <t>annuo</t>
    </r>
  </si>
  <si>
    <r>
      <rPr>
        <b/>
        <sz val="10"/>
        <color theme="3"/>
        <rFont val="Symbol"/>
        <family val="1"/>
        <charset val="2"/>
      </rPr>
      <t>D</t>
    </r>
    <r>
      <rPr>
        <b/>
        <sz val="10"/>
        <color theme="3"/>
        <rFont val="Calibri"/>
        <family val="2"/>
        <scheme val="minor"/>
      </rPr>
      <t>T</t>
    </r>
    <r>
      <rPr>
        <b/>
        <vertAlign val="subscript"/>
        <sz val="10"/>
        <color theme="3"/>
        <rFont val="Calibri"/>
        <family val="2"/>
        <scheme val="minor"/>
      </rPr>
      <t>G,ind</t>
    </r>
    <r>
      <rPr>
        <b/>
        <vertAlign val="superscript"/>
        <sz val="10"/>
        <color theme="3"/>
        <rFont val="Calibri"/>
        <family val="2"/>
        <scheme val="minor"/>
      </rPr>
      <t>ATO</t>
    </r>
  </si>
  <si>
    <t xml:space="preserve">OFisc </t>
  </si>
  <si>
    <t>OFisc (componente calcolata)</t>
  </si>
  <si>
    <t xml:space="preserve">OF </t>
  </si>
  <si>
    <t>OF (componente calcolata)</t>
  </si>
  <si>
    <t xml:space="preserve">AMM </t>
  </si>
  <si>
    <t>incidenza ENV (%)</t>
  </si>
  <si>
    <t>incidenza RES (%)</t>
  </si>
  <si>
    <t>Non ERC</t>
  </si>
  <si>
    <t>id tipologia immobilizzazione</t>
  </si>
  <si>
    <t>Sezione Conguagli (include inflazione)</t>
  </si>
  <si>
    <t>Bacino tariffario</t>
  </si>
  <si>
    <t>Bacino_Tariffario</t>
  </si>
  <si>
    <t>Bacino Tariffario</t>
  </si>
  <si>
    <t>1 - Bacini Tariffari</t>
  </si>
  <si>
    <t>Elenco_Bacini_Tariffari</t>
  </si>
  <si>
    <t>Bacini_Tariffari_Comuni</t>
  </si>
  <si>
    <t>Ricavi_bacini_tariffari</t>
  </si>
  <si>
    <t>Ui2 (importo fatturato componente Ui2)</t>
  </si>
  <si>
    <t>Ui3 (importo fatturato componente Ui3)</t>
  </si>
  <si>
    <t>Contributo versato ad ARERA</t>
  </si>
  <si>
    <t>2 - Comuni per ciascun Bacino Tariffario</t>
  </si>
  <si>
    <t xml:space="preserve">ALTRI DATI RELATIVI ALLA GESTIONE </t>
  </si>
  <si>
    <r>
      <t>(1+γ</t>
    </r>
    <r>
      <rPr>
        <b/>
        <vertAlign val="superscript"/>
        <sz val="10"/>
        <rFont val="Arial Narrow"/>
        <family val="2"/>
      </rPr>
      <t>OP</t>
    </r>
    <r>
      <rPr>
        <b/>
        <vertAlign val="subscript"/>
        <sz val="10"/>
        <rFont val="Arial Narrow"/>
        <family val="2"/>
      </rPr>
      <t>i,j</t>
    </r>
    <r>
      <rPr>
        <b/>
        <sz val="10"/>
        <rFont val="Arial Narrow"/>
        <family val="2"/>
      </rPr>
      <t>)*max(0;ΔOpex)</t>
    </r>
  </si>
  <si>
    <t>Bacini_Tariffari_Ricavi</t>
  </si>
  <si>
    <t>BaciniTariffariElenco</t>
  </si>
  <si>
    <t>Riduzione dell'utilizzo della plastica</t>
  </si>
  <si>
    <t>Totale Volumi</t>
  </si>
  <si>
    <t>Volumi</t>
  </si>
  <si>
    <r>
      <t>(1+γ</t>
    </r>
    <r>
      <rPr>
        <vertAlign val="superscript"/>
        <sz val="10"/>
        <rFont val="Arial Narrow"/>
        <family val="2"/>
      </rPr>
      <t>OP</t>
    </r>
    <r>
      <rPr>
        <vertAlign val="subscript"/>
        <sz val="10"/>
        <rFont val="Arial Narrow"/>
        <family val="2"/>
      </rPr>
      <t>i,j</t>
    </r>
    <r>
      <rPr>
        <sz val="10"/>
        <rFont val="Arial Narrow"/>
        <family val="2"/>
      </rPr>
      <t>)*max(0;ΔOpex)</t>
    </r>
  </si>
  <si>
    <t>Euro/kWh</t>
  </si>
  <si>
    <t>errore nei dati per morosità</t>
  </si>
  <si>
    <t>errore nei dati in valore assoluto</t>
  </si>
  <si>
    <r>
      <t>errore nelle voci "</t>
    </r>
    <r>
      <rPr>
        <i/>
        <sz val="11"/>
        <color theme="1"/>
        <rFont val="Calibri"/>
        <family val="2"/>
      </rPr>
      <t>di cui</t>
    </r>
    <r>
      <rPr>
        <sz val="11"/>
        <color theme="1"/>
        <rFont val="Calibri"/>
        <family val="2"/>
        <scheme val="minor"/>
      </rPr>
      <t>"</t>
    </r>
  </si>
  <si>
    <r>
      <t>CO</t>
    </r>
    <r>
      <rPr>
        <vertAlign val="subscript"/>
        <sz val="10"/>
        <color theme="1"/>
        <rFont val="Arial Narrow"/>
        <family val="2"/>
      </rPr>
      <t>ARERA</t>
    </r>
    <r>
      <rPr>
        <vertAlign val="superscript"/>
        <sz val="10"/>
        <color theme="1"/>
        <rFont val="Arial Narrow"/>
        <family val="2"/>
      </rPr>
      <t>a</t>
    </r>
  </si>
  <si>
    <t>uso domestico residente (procapite standard)</t>
  </si>
  <si>
    <t>incidenza ERC Res</t>
  </si>
  <si>
    <t>incidenza ERC Env</t>
  </si>
  <si>
    <t xml:space="preserve">anno 2023 </t>
  </si>
  <si>
    <t xml:space="preserve">anno 2022 </t>
  </si>
  <si>
    <t>POS-Piano_Opere_Strategiche</t>
  </si>
  <si>
    <t>Programma degli Interventi: POS - Piano Opere Strategiche</t>
  </si>
  <si>
    <t>crono_pos</t>
  </si>
  <si>
    <t>Trattamento dei costi di morosità</t>
  </si>
  <si>
    <t>B11) Variazione delle rimanenze di materie prime, sussidiarie, di consumo e merci</t>
  </si>
  <si>
    <t>Ui4 (importo fatturato componente Ui4)</t>
  </si>
  <si>
    <t>Stato_patrimoniale</t>
  </si>
  <si>
    <t>PEF - Stato patrimoniale</t>
  </si>
  <si>
    <t>Ricavi</t>
  </si>
  <si>
    <t>Costi</t>
  </si>
  <si>
    <t>Informazioni su aggregazioni (anche ai fini dello schema di convergenza)</t>
  </si>
  <si>
    <r>
      <t>Totale R</t>
    </r>
    <r>
      <rPr>
        <b/>
        <vertAlign val="superscript"/>
        <sz val="10"/>
        <color indexed="8"/>
        <rFont val="Arial Narrow"/>
        <family val="2"/>
      </rPr>
      <t>a-2</t>
    </r>
    <r>
      <rPr>
        <b/>
        <vertAlign val="subscript"/>
        <sz val="10"/>
        <color indexed="8"/>
        <rFont val="Arial Narrow"/>
        <family val="2"/>
      </rPr>
      <t>b2</t>
    </r>
  </si>
  <si>
    <r>
      <t xml:space="preserve">Tipologia di costo sotteso
</t>
    </r>
    <r>
      <rPr>
        <sz val="10"/>
        <rFont val="Arial Narrow"/>
        <family val="2"/>
      </rPr>
      <t>("Env", "Res", "Non ERC")</t>
    </r>
  </si>
  <si>
    <t>M3, Altro, MC1, MC2</t>
  </si>
  <si>
    <t>Prerequisito 1, M1, Altro, MC1, MC2</t>
  </si>
  <si>
    <t>M2, M3, M4a,M4b, Altro, MC1, MC2</t>
  </si>
  <si>
    <t>Altro, MC1, MC2</t>
  </si>
  <si>
    <t>check investimento annuo</t>
  </si>
  <si>
    <t>check POS</t>
  </si>
  <si>
    <t>Immobilizzazione</t>
  </si>
  <si>
    <t>M5 (attraverso G5.2), M6, Altro</t>
  </si>
  <si>
    <r>
      <t xml:space="preserve">Tipologia di costo sotteso
</t>
    </r>
    <r>
      <rPr>
        <sz val="10"/>
        <color theme="0"/>
        <rFont val="Arial Narrow"/>
        <family val="2"/>
      </rPr>
      <t>("Env", "Res", "Non ERC")</t>
    </r>
  </si>
  <si>
    <t>di cui Non ERC</t>
  </si>
  <si>
    <r>
      <t xml:space="preserve">Canoni connessi alla stipula di ulteriori contratti di finanziamento
</t>
    </r>
    <r>
      <rPr>
        <sz val="10"/>
        <rFont val="Arial Narrow"/>
        <family val="2"/>
      </rPr>
      <t>(tipo contratti di locazione finanziaria di opere di pubblica utilità)</t>
    </r>
  </si>
  <si>
    <t>IDARERA</t>
  </si>
  <si>
    <t>Comune di Castello - Molina di Fiemme</t>
  </si>
  <si>
    <t>COMUNE DI PARCINES</t>
  </si>
  <si>
    <t>COMUNE DI BESENELLO</t>
  </si>
  <si>
    <t>VIVA Servizi SpA</t>
  </si>
  <si>
    <t>COMUNE DI MOLVENO</t>
  </si>
  <si>
    <t>ASM Bressanone SpA</t>
  </si>
  <si>
    <t>COMUNE DI USSITA</t>
  </si>
  <si>
    <t>Lereti S.p.A.</t>
  </si>
  <si>
    <t>COMUNE DI LACES</t>
  </si>
  <si>
    <t>COMUNE DI MIGNANO MONTE LUNGO</t>
  </si>
  <si>
    <t>COMUNE DI ACI CASTELLO</t>
  </si>
  <si>
    <t>GORI S.p.A.</t>
  </si>
  <si>
    <t>Realizzazione e gestione servizi pubblici locali spa, per brevità COGEIDE spa</t>
  </si>
  <si>
    <t>COMUNE DI PORTO CERESIO</t>
  </si>
  <si>
    <t>COMUNE DI CAIRATE</t>
  </si>
  <si>
    <t>COMUNE DI ALBAVILLA</t>
  </si>
  <si>
    <t>Comune di ROTONDI</t>
  </si>
  <si>
    <t>SOCIETA' ACQUE IRRIGUE ACESE (S.A.I.A)</t>
  </si>
  <si>
    <t>UNITÉ DES COMMUNES VALDÔTAINES GRAND-COMBIN</t>
  </si>
  <si>
    <t>COMUNE DI PETTORANELLO DEL MOLISE</t>
  </si>
  <si>
    <t>Comune di Santa Maria Capua Vetere</t>
  </si>
  <si>
    <t>Comune di Soraga di Fassa</t>
  </si>
  <si>
    <t>Comune di Pelugo</t>
  </si>
  <si>
    <t>Comune di Carrosio</t>
  </si>
  <si>
    <t>Comune di Mercogliano</t>
  </si>
  <si>
    <t>COMUNE DI VALLARSA</t>
  </si>
  <si>
    <t>Comune di Ton</t>
  </si>
  <si>
    <t>Comune di Martello</t>
  </si>
  <si>
    <t>Comune di Cermes</t>
  </si>
  <si>
    <t>Comune di Villandro</t>
  </si>
  <si>
    <t>COMUNE DI SOVER</t>
  </si>
  <si>
    <t>Comune Valle di Casies</t>
  </si>
  <si>
    <t>COMUNE DI MONTJOVET</t>
  </si>
  <si>
    <t>COMUNE DI CARINARO</t>
  </si>
  <si>
    <t>Comune di Maslianico</t>
  </si>
  <si>
    <t>Comune di Avellino</t>
  </si>
  <si>
    <t>COMUNE DI CASTELLO DEL MATESE</t>
  </si>
  <si>
    <t>COMUNE DI SANT'ANGELO ALL'ESCA</t>
  </si>
  <si>
    <t>COMUNE DI DOMICELLA</t>
  </si>
  <si>
    <t>COMUNE DI SALVITELLE</t>
  </si>
  <si>
    <t>COMUNE DI ATRIPALDA</t>
  </si>
  <si>
    <t>COMUNE DI LOCATE VARESINO</t>
  </si>
  <si>
    <t>COMUNE DI SAN MARCO DEI CAVOTI</t>
  </si>
  <si>
    <t>COMUNE DI OLIVETTA SAN MICHELE</t>
  </si>
  <si>
    <t>COMUNE DI BORGO VIRGILIO</t>
  </si>
  <si>
    <t>COMUNE DI LONGANO</t>
  </si>
  <si>
    <t>comune di casalciprano</t>
  </si>
  <si>
    <t>COMUNE DI PIETRACUPA</t>
  </si>
  <si>
    <t>COMUNE DI TUFARA</t>
  </si>
  <si>
    <t>COMUNE DI BELMONTE DEL SANNIO</t>
  </si>
  <si>
    <t>COMUNE DI MONACILIONI</t>
  </si>
  <si>
    <t>COMUNE DI MATRICE</t>
  </si>
  <si>
    <t>COMUNE DI LONATE POZZOLO</t>
  </si>
  <si>
    <t>COMUNE DI SAMARATE</t>
  </si>
  <si>
    <t>COMUNE DI BERGOLO</t>
  </si>
  <si>
    <t>COMUNE DI GALLIATE LOMBARDO</t>
  </si>
  <si>
    <t>Comune di Maddaloni</t>
  </si>
  <si>
    <t>COMUNE DI SIDERNO</t>
  </si>
  <si>
    <t>Comune di Curti</t>
  </si>
  <si>
    <t>COMUNE DI CUSANO MUTRI</t>
  </si>
  <si>
    <t>COMUNE DI FRATTAMINORE</t>
  </si>
  <si>
    <t>Comune di Parolise</t>
  </si>
  <si>
    <t>Comune di Capua</t>
  </si>
  <si>
    <t>COMUNE DI MONTALBANO ELICONA</t>
  </si>
  <si>
    <t>comune bocchigliero</t>
  </si>
  <si>
    <t>PIAVE SERVIZI S.P.A.</t>
  </si>
  <si>
    <t>COMUNE DI MAIERATO</t>
  </si>
  <si>
    <t>Comune di Ricadi</t>
  </si>
  <si>
    <t>COMUNE DI FABRIZIA</t>
  </si>
  <si>
    <t>COMUNE  di  ARZANO</t>
  </si>
  <si>
    <t>COMUNE DI ROCCAMENA</t>
  </si>
  <si>
    <t>COMUNE DI BONATE SOPRA</t>
  </si>
  <si>
    <t>COMUNE DI VALENTANO</t>
  </si>
  <si>
    <t>Comune Civitella San Paolo</t>
  </si>
  <si>
    <t>COMUNE DI ALTO RENO TERME</t>
  </si>
  <si>
    <t>Comune di Fanano</t>
  </si>
  <si>
    <t>COMUNE DI COURMAYEUR</t>
  </si>
  <si>
    <t>comune di belmonte mezzagno</t>
  </si>
  <si>
    <t>COMUNE DI CAMPOFIORITO</t>
  </si>
  <si>
    <t>COMUNE DI CINISI</t>
  </si>
  <si>
    <t>COMUNE DI RASSA</t>
  </si>
  <si>
    <t>Comune di Altofonte</t>
  </si>
  <si>
    <t>COMUNE DI TRABIA</t>
  </si>
  <si>
    <t>COMUNE DI RAMACCA</t>
  </si>
  <si>
    <t>COMUNE DI GADONI</t>
  </si>
  <si>
    <t>COMUNE DI PACECO</t>
  </si>
  <si>
    <t>COMUNE DI VINADIO</t>
  </si>
  <si>
    <t>Comune di Montelepre</t>
  </si>
  <si>
    <t>COMUNE DI VALLELONGA</t>
  </si>
  <si>
    <t>comune di Librizzi</t>
  </si>
  <si>
    <t>COMUNE DI SINAGRA</t>
  </si>
  <si>
    <t>Comune di Furci Siculo</t>
  </si>
  <si>
    <t>comune di candidoni</t>
  </si>
  <si>
    <t>Comune di Ustica</t>
  </si>
  <si>
    <t>Comune di Mandanici</t>
  </si>
  <si>
    <t>Comune di  Gibellina</t>
  </si>
  <si>
    <t>Comune di Venetico</t>
  </si>
  <si>
    <t>COMUNE DI CASIGNANA</t>
  </si>
  <si>
    <t>COMUNE DI UCRIA</t>
  </si>
  <si>
    <t>COMUNE DI PETTINEO</t>
  </si>
  <si>
    <t>COMUNE DI MARSALA</t>
  </si>
  <si>
    <t>Comune di Tortora</t>
  </si>
  <si>
    <t>COMUNE DI VITA</t>
  </si>
  <si>
    <t>Comune di Ispica</t>
  </si>
  <si>
    <t>comune di biccari</t>
  </si>
  <si>
    <t>COMUNE DI ROVITO</t>
  </si>
  <si>
    <t>COMUNE DI MARANO PRINCIPATO</t>
  </si>
  <si>
    <t>COMUNE DI FAETO</t>
  </si>
  <si>
    <t>COMUNE DI MISTRETTA</t>
  </si>
  <si>
    <t>Comune di Palazzo Adriano</t>
  </si>
  <si>
    <t>CONSORZIO BELLOLAMPO</t>
  </si>
  <si>
    <t>COMUNE DI CARONIA</t>
  </si>
  <si>
    <t>Comune di Cervicati</t>
  </si>
  <si>
    <t>COMUNE DI CAMPOFELICE DI ROCCELLA</t>
  </si>
  <si>
    <t>COMUNE DI PANETTIERI</t>
  </si>
  <si>
    <t>COMUNE SAN PIETRO IN GUARANO</t>
  </si>
  <si>
    <t>COMUNE DI MONGRASSANO</t>
  </si>
  <si>
    <t>Comune di Scigliano</t>
  </si>
  <si>
    <t>Comune di Firmo</t>
  </si>
  <si>
    <t>COMUNE DI SANTA DOMENICA TALAO</t>
  </si>
  <si>
    <t>COMUNE DI MONTEGIORDANO</t>
  </si>
  <si>
    <t>Comune di Argusto</t>
  </si>
  <si>
    <t>Comune di Sellia</t>
  </si>
  <si>
    <t>Comune di San Giorgio Morgeto</t>
  </si>
  <si>
    <t>Comune di Paterno Calabro</t>
  </si>
  <si>
    <t>COMUNE DI CASTIGLIONE COSENTINO</t>
  </si>
  <si>
    <t>COMUNE DI PARGHELIA</t>
  </si>
  <si>
    <t>COMUNE DI BORGIA</t>
  </si>
  <si>
    <t>COMUNE DI MOLTRASIO</t>
  </si>
  <si>
    <t>COMUNE DI ZUNGOLI</t>
  </si>
  <si>
    <t>COMUNE DI MERI'</t>
  </si>
  <si>
    <t>comune di mormanno</t>
  </si>
  <si>
    <t>COMUNE DI ROTA GRECA</t>
  </si>
  <si>
    <t>Comune di Taurianova</t>
  </si>
  <si>
    <t>Comune di Calvizzano</t>
  </si>
  <si>
    <t>COMUNE DI CASAL DI PRINCIPE</t>
  </si>
  <si>
    <t>Comune di Polizzi Generosa</t>
  </si>
  <si>
    <t>comune di Castel di Sasso</t>
  </si>
  <si>
    <t>Comune Capriati a Volturno</t>
  </si>
  <si>
    <t>Comune di Sellia Marina</t>
  </si>
  <si>
    <t>COMUNE DI GIOIA TAURO</t>
  </si>
  <si>
    <t>Comune di Cetraro</t>
  </si>
  <si>
    <t>Comune di Settingiano</t>
  </si>
  <si>
    <t>Comune di Ragalna</t>
  </si>
  <si>
    <t>COMUNE DI TORRE LE NOCELLE</t>
  </si>
  <si>
    <t>COMUNE DI VILLA DI BRIANO</t>
  </si>
  <si>
    <t>Consorzio per la Depurazione dei Liquami Tra i Comuni di Giarre Riposto Mascali Fiumefreddo di Sicilia Sant'Alfio</t>
  </si>
  <si>
    <t>COMUNE DI MILAZZO</t>
  </si>
  <si>
    <t>COMUNE DI CAIANELLO</t>
  </si>
  <si>
    <t>Comune di Rota d'Imagna</t>
  </si>
  <si>
    <t>COMUNE DI MANIACE</t>
  </si>
  <si>
    <t>COMUNE DI TAORMINA</t>
  </si>
  <si>
    <t>COMUNE DI PIEDIMONTE ETNEO</t>
  </si>
  <si>
    <t>comune di solopaca</t>
  </si>
  <si>
    <t>Comune di Torre di Ruggiero</t>
  </si>
  <si>
    <t>comune di casavatore</t>
  </si>
  <si>
    <t>AQUA CONSULT TRATTAMENTO ACQUE</t>
  </si>
  <si>
    <t>Comune di Chiaravalle Centrale</t>
  </si>
  <si>
    <t>COMUNE DI LAINO CASTELLO</t>
  </si>
  <si>
    <t>COMUNE DI SAVA</t>
  </si>
  <si>
    <t>Comune di Gricignano di Aversa</t>
  </si>
  <si>
    <t>COMUNE DI CASTROVILLARI</t>
  </si>
  <si>
    <t>Comune di Casali del Manco</t>
  </si>
  <si>
    <t>Comune di San Marcellino</t>
  </si>
  <si>
    <t>COMUNE DI CAPODRISE</t>
  </si>
  <si>
    <t>COMUNE DI SAN NICOLA LA STRADA</t>
  </si>
  <si>
    <t>COMUNE DI TRENTOLA DUCENTA</t>
  </si>
  <si>
    <t>Comune di Scalea</t>
  </si>
  <si>
    <t>COMUNE DI CRISPANO</t>
  </si>
  <si>
    <t>CONSORZIO ACQUA POTABILE DI SAGLIANO MICCA</t>
  </si>
  <si>
    <t>COMUNE DI SAN PRISCO</t>
  </si>
  <si>
    <t>Comune di Panni</t>
  </si>
  <si>
    <t>COMUNE DI CAMPERTOGNO</t>
  </si>
  <si>
    <t>COMUNE DI CAPIZZI</t>
  </si>
  <si>
    <t>COMUNE DI MONTORO</t>
  </si>
  <si>
    <t>Comune di Cesarò</t>
  </si>
  <si>
    <t>COMUNE DI CAPO D'ORLANDO</t>
  </si>
  <si>
    <t>COMUNE DI CASTELVETRANO</t>
  </si>
  <si>
    <t>Comune di Succivo</t>
  </si>
  <si>
    <t>COMUNE DI GIOIOSA IONICA</t>
  </si>
  <si>
    <t>COMUNE DI CARAFFA DEL BIANCO</t>
  </si>
  <si>
    <t>COMUNE DI GUARDIA PIEMONTESE</t>
  </si>
  <si>
    <t>comune di partanna</t>
  </si>
  <si>
    <t>Comune di Pago Veiano</t>
  </si>
  <si>
    <t>COMUNE DI FRANCOLISE</t>
  </si>
  <si>
    <t>COMUNE DI POLISTENA</t>
  </si>
  <si>
    <t>CONSORZIO ACQUA POTABILE CAUSSO</t>
  </si>
  <si>
    <t>Comune di Soveria Simeri</t>
  </si>
  <si>
    <t>COMUNE DI MELICUCCO</t>
  </si>
  <si>
    <t>COMUNE DI ANTILLO (ME)</t>
  </si>
  <si>
    <t>comune di caserta</t>
  </si>
  <si>
    <t>COMUNE DI DELIANUOVA</t>
  </si>
  <si>
    <t>COMUNE DI MUGNANO DI NAPOLI</t>
  </si>
  <si>
    <t>COMUNE DI CARAFFA DI CATANZARO</t>
  </si>
  <si>
    <t>COMUNE DI MEDOLAGO</t>
  </si>
  <si>
    <t>Comune di Campobello di Mazara</t>
  </si>
  <si>
    <t>COMUNE DI OPPIDO MAMERTINA</t>
  </si>
  <si>
    <t>COMUNE DI SPORMINORE</t>
  </si>
  <si>
    <t>COMUNE DI CINQUEFRONDI</t>
  </si>
  <si>
    <t>COMUNE DI SCILLA</t>
  </si>
  <si>
    <t>COMUNE DI TERRANOVA DA SIBARI</t>
  </si>
  <si>
    <t>COMUNE DI SERRASTRETTA</t>
  </si>
  <si>
    <t>COMUNE DI VILLARICCA</t>
  </si>
  <si>
    <t>COMUNE DI CROSIA</t>
  </si>
  <si>
    <t>Comune di Capistrano</t>
  </si>
  <si>
    <t>COMUNE DI SAN GIOVANNI IN FIORE</t>
  </si>
  <si>
    <t>COMUNE DI SOVERATO</t>
  </si>
  <si>
    <t>COMUNE DI GIMIGLIANO</t>
  </si>
  <si>
    <t>COMUNE DI SALEMI</t>
  </si>
  <si>
    <t>COMUNE DI MIRABELLA ECLANO</t>
  </si>
  <si>
    <t>Comune di Monteforte Irpino</t>
  </si>
  <si>
    <t>COMUNE DI SANT'ALESSIO IN ASPROMONTE</t>
  </si>
  <si>
    <t>Comune di Cosenza</t>
  </si>
  <si>
    <t>COMUNE DI BUSSO</t>
  </si>
  <si>
    <t>Comune di Teverola</t>
  </si>
  <si>
    <t>COMUNE DI BELVEDERE MARITTIMO</t>
  </si>
  <si>
    <t>COMUNE DI CASTELLANA SICULA</t>
  </si>
  <si>
    <t>COMUNE DI SARACENA</t>
  </si>
  <si>
    <t>COMUNE DI SAINT-VINCENT</t>
  </si>
  <si>
    <t>COMUNE DI MONTALTO UFFUGO</t>
  </si>
  <si>
    <t>comune di pizzo</t>
  </si>
  <si>
    <t>COMUNE DI SAN MARCO ARGENTANO</t>
  </si>
  <si>
    <t>comune di Santa Caterina Albanese</t>
  </si>
  <si>
    <t>COMUNE DI PALOMONTE</t>
  </si>
  <si>
    <t>COMUNE DI ROSE</t>
  </si>
  <si>
    <t>COMUNE DI ROCCAVIGNALE</t>
  </si>
  <si>
    <t>Comune di Villa Literno</t>
  </si>
  <si>
    <t>COMUNE DI SAN SOSTI</t>
  </si>
  <si>
    <t>COMUNE DI ROGGIANO GRAVINA</t>
  </si>
  <si>
    <t>COMUNE DI MOLOCHIO</t>
  </si>
  <si>
    <t>COMUNE DI ACQUEDOLCI</t>
  </si>
  <si>
    <t>Comune di Frascineto</t>
  </si>
  <si>
    <t>COMUNE DI PIANOPOLI</t>
  </si>
  <si>
    <t>ECOTEC S.R.L.</t>
  </si>
  <si>
    <t>COMUNE DI ARIENZO</t>
  </si>
  <si>
    <t>Comune di Grottaminarda</t>
  </si>
  <si>
    <t>COMUNE DI ACRI</t>
  </si>
  <si>
    <t>COMUNE DI MONTEBELLO JONICO</t>
  </si>
  <si>
    <t>COMUNE DI PIETRAFITTA</t>
  </si>
  <si>
    <t>COMUNE DI VILLAFRATI</t>
  </si>
  <si>
    <t>COMUNE DI ZUMPANO</t>
  </si>
  <si>
    <t>Comune di Avola</t>
  </si>
  <si>
    <t>Comune di Trebisacce</t>
  </si>
  <si>
    <t>COMUNE DI PETROSINO</t>
  </si>
  <si>
    <t>COMUNE DI MOTTAFOLLONE</t>
  </si>
  <si>
    <t>COMUNE DI SACCO</t>
  </si>
  <si>
    <t>COMUNE DI MALVITO</t>
  </si>
  <si>
    <t>COMUNE DI LUSTRA</t>
  </si>
  <si>
    <t>COMUNE DI PORTICO DI CASERTA</t>
  </si>
  <si>
    <t>COMUNE DI MENDICINO</t>
  </si>
  <si>
    <t>Comune di Sant'Onofrio</t>
  </si>
  <si>
    <t>COMUNE DI CORIGLIANO-ROSSANO</t>
  </si>
  <si>
    <t>COMUNE DI FALCONE</t>
  </si>
  <si>
    <t>COMUNE DI ERICE</t>
  </si>
  <si>
    <t>COMUNE DI CELLOLE</t>
  </si>
  <si>
    <t>Comune di Caivano</t>
  </si>
  <si>
    <t>COMUNE DI CARLOPOLI</t>
  </si>
  <si>
    <t>COMUNE DI ARIANO IRPINO</t>
  </si>
  <si>
    <t>CONSORZIO DI SVILUPPO INDUSTRIALE DELLE VALLI DEL TRONTO DELL'ASO E DEL TESINO</t>
  </si>
  <si>
    <t>COMUNE DI CAPACCIO PAESTUM</t>
  </si>
  <si>
    <t>COMUNE DI LAURINO</t>
  </si>
  <si>
    <t>COMUNE DI FALCONARA ALBANESE</t>
  </si>
  <si>
    <t>COMUNE DI CORVARA</t>
  </si>
  <si>
    <t>Comune di Girifalco</t>
  </si>
  <si>
    <t>Comune di Mazara del Vallo</t>
  </si>
  <si>
    <t>COMUNE DI AMANTEA</t>
  </si>
  <si>
    <t>COMUNE DI OLIVERI</t>
  </si>
  <si>
    <t>COMUNE DI SAN VALENTINO IN ABRUZZO CITERIORE</t>
  </si>
  <si>
    <t>COMUNE DI BAGALADI</t>
  </si>
  <si>
    <t>COMUNE DI CROPALATI</t>
  </si>
  <si>
    <t>COMUNE DI SANT'AGATA DI ESARO</t>
  </si>
  <si>
    <t>Comune di Patti</t>
  </si>
  <si>
    <t>COMUNE DI PERTICA BASSA</t>
  </si>
  <si>
    <t>COMUNE DI CENTRO VALLE INTELVI</t>
  </si>
  <si>
    <t>COMUNE DI CELICO</t>
  </si>
  <si>
    <t>COMUNE DI SAN DONATO DI NINEA</t>
  </si>
  <si>
    <t>COMUNE DI CRUCOLI</t>
  </si>
  <si>
    <t>COMUNE DI ALI' TERME</t>
  </si>
  <si>
    <t>COMUNE DI SOLARINO</t>
  </si>
  <si>
    <t>comune di Platania</t>
  </si>
  <si>
    <t>COMUNE DI RIONERO SANNITICO</t>
  </si>
  <si>
    <t>COMUNE DI LAGO</t>
  </si>
  <si>
    <t>COMUNE DI SANT'EUFEMIA A MAIELLA</t>
  </si>
  <si>
    <t>comune di villamaina</t>
  </si>
  <si>
    <t>COMUNE DI CERZETO</t>
  </si>
  <si>
    <t>comune di sambuca di sicilia</t>
  </si>
  <si>
    <t>COMUNE DI GERACE</t>
  </si>
  <si>
    <t>Comune di Santo Stefano Quisquina</t>
  </si>
  <si>
    <t>Comune di Giustenice</t>
  </si>
  <si>
    <t>COMUNE DI ONZO</t>
  </si>
  <si>
    <t>Comune di Gizzeria</t>
  </si>
  <si>
    <t>COMUNE DI TORANO CASTELLO</t>
  </si>
  <si>
    <t>COMUNE DI ARGEGNO</t>
  </si>
  <si>
    <t>COMUNE DI LIMONE SUL GARDA</t>
  </si>
  <si>
    <t>COMUNE DI FEROLETO ANTICO</t>
  </si>
  <si>
    <t>COMUNE DI MARTIRANO LOMBARDO</t>
  </si>
  <si>
    <t>COMUNE DI FICARRA</t>
  </si>
  <si>
    <t>COMUNE DI CITTANOVA</t>
  </si>
  <si>
    <t>COMUNE DI CASTROREGIO</t>
  </si>
  <si>
    <t>COMUNE DI AMARONI</t>
  </si>
  <si>
    <t>Comune di Cerchiara di Calabria</t>
  </si>
  <si>
    <t>comune di gasperina</t>
  </si>
  <si>
    <t>COMUNE SAN PIETRO A MAIDA</t>
  </si>
  <si>
    <t>comune di rombiolo</t>
  </si>
  <si>
    <t>COMUNE DI LARINO</t>
  </si>
  <si>
    <t>COMUNE DI GUARDIA LOMBARDI</t>
  </si>
  <si>
    <t>Comune di Basicò</t>
  </si>
  <si>
    <t>COMUNE DI ALTAVILLA SILENTINA</t>
  </si>
  <si>
    <t>COMUNE DI MIGLIERINA</t>
  </si>
  <si>
    <t>COMUNE DI SANTA CRISTINA D'ASPROMONTE</t>
  </si>
  <si>
    <t>COMUNE DI CAMMARATA</t>
  </si>
  <si>
    <t>COMUNE DI CIANCIANA</t>
  </si>
  <si>
    <t>COMUNE  DI  ACERNO</t>
  </si>
  <si>
    <t>COMUNE DI PEDIVIGLIANO</t>
  </si>
  <si>
    <t>COMUNE DI GRIMALDI</t>
  </si>
  <si>
    <t>comune di longobucco</t>
  </si>
  <si>
    <t>Comune di Alessandria della Rocca</t>
  </si>
  <si>
    <t>comune di san marco la catola</t>
  </si>
  <si>
    <t>COMUNE DI SPEZZANO DELLA SILA</t>
  </si>
  <si>
    <t>COMUNE DI SERRATA</t>
  </si>
  <si>
    <t>COMUNE DI PIGNATARO MAGGIORE</t>
  </si>
  <si>
    <t>COMUNE DI SCALA COELI</t>
  </si>
  <si>
    <t>Comune di Terravecchia</t>
  </si>
  <si>
    <t>COMUNE DI CISANO SUL NEVA</t>
  </si>
  <si>
    <t>Comune di Senerchia</t>
  </si>
  <si>
    <t>COMUNE DI MONASTERACE</t>
  </si>
  <si>
    <t>COMUNE DI VARAPODIO</t>
  </si>
  <si>
    <t>COMUNE DI SAN FILI</t>
  </si>
  <si>
    <t>COMUNE DI SAN LORENZO BELLIZZI</t>
  </si>
  <si>
    <t>COMUNE DI LONGOBARDI</t>
  </si>
  <si>
    <t>COMUNE DI PIETRABBONDANTE</t>
  </si>
  <si>
    <t>COMUNE DI SASSELLO</t>
  </si>
  <si>
    <t>CONSORZIO BONIFICA DI PAESTUM</t>
  </si>
  <si>
    <t>VOLTURNO MULTIUTILITY SPA IN LIQUIDAZIONE</t>
  </si>
  <si>
    <t>COMUNE DI ALI'</t>
  </si>
  <si>
    <t>COMUNE DI BIANCHI</t>
  </si>
  <si>
    <t>COMUNE DI BISACQUINO</t>
  </si>
  <si>
    <t>Comune di Sesto Campano</t>
  </si>
  <si>
    <t>Comune di Comiso</t>
  </si>
  <si>
    <t>COMUNE DI SAN LUCIDO</t>
  </si>
  <si>
    <t>COMUNE DI FURNARI</t>
  </si>
  <si>
    <t>COMUNE DI MOTTA SANTA LUCIA</t>
  </si>
  <si>
    <t>COMUNE DI CAMERATA NUOVA</t>
  </si>
  <si>
    <t>COMUNE DI CALVANICO</t>
  </si>
  <si>
    <t>COMUNE DI SPEZZANO ALBANESE</t>
  </si>
  <si>
    <t>COMUNE DI CHEREMULE</t>
  </si>
  <si>
    <t>COMUNE DI SANT'ILARIO DELLO IONIO</t>
  </si>
  <si>
    <t>COMUNE DI MONFORTE SAN GIORGIO</t>
  </si>
  <si>
    <t>COMUNE DI ACQUAFORMOSA</t>
  </si>
  <si>
    <t>Consorzio di Bonifica della Basilicata</t>
  </si>
  <si>
    <t>COMUNE DI  CAULONIA</t>
  </si>
  <si>
    <t>COMUNE DI FUSCALDO</t>
  </si>
  <si>
    <t>COMUNE DI GIOIOSA MAREA</t>
  </si>
  <si>
    <t>COMUNE DI CORTALE</t>
  </si>
  <si>
    <t>COMUNE DI ISNELLO</t>
  </si>
  <si>
    <t>COMUNE DI MARINA DI GIOIOSA IONICA</t>
  </si>
  <si>
    <t>COMUNE DI SAN GIORGIO ALBANESE</t>
  </si>
  <si>
    <t>comune di castellammare del golfo</t>
  </si>
  <si>
    <t>COMUNE DI SEMINARA</t>
  </si>
  <si>
    <t>COMUNE DI ACQUARO</t>
  </si>
  <si>
    <t>Comune di Samo</t>
  </si>
  <si>
    <t>COMUNE DI TARSIA</t>
  </si>
  <si>
    <t>COMUNE DI BROGNATURO</t>
  </si>
  <si>
    <t>nuova mix</t>
  </si>
  <si>
    <t>Comune di Martirano</t>
  </si>
  <si>
    <t>COMUNE DI TORTORICI</t>
  </si>
  <si>
    <t>COMUNE DI LUNGRO</t>
  </si>
  <si>
    <t>COMUNE DI CARIATI</t>
  </si>
  <si>
    <t>COMUNE DI CONTESSA ENTELLINA</t>
  </si>
  <si>
    <t>COMUNE DI SAN GIOVANNI DI GERACE</t>
  </si>
  <si>
    <t>COMUNE DI CIRO' MARINA</t>
  </si>
  <si>
    <t>COMUNE DI SOLBIATE CON CAGNO</t>
  </si>
  <si>
    <t>COMUNE DI VAIRANO PATENORA</t>
  </si>
  <si>
    <t>COMUNE DI RIZZICONI</t>
  </si>
  <si>
    <t>COMUNE DI TERME VIGLIATORE</t>
  </si>
  <si>
    <t>CAPT CONSORZIO ACQUA POTABILE DI TAVIGLIANO S.</t>
  </si>
  <si>
    <t>COMUNE DI NUSCO</t>
  </si>
  <si>
    <t>COMUNE DI SPADOLA</t>
  </si>
  <si>
    <t>CUAPTI CONSORZIO UTENTI ACQUA POTATILE TAVIGLIANO INFERIORE</t>
  </si>
  <si>
    <t>comune di Altomonte</t>
  </si>
  <si>
    <t>COMUNE DI NASO</t>
  </si>
  <si>
    <t>COMUNE DI SAN CALOGERO</t>
  </si>
  <si>
    <t>COMUNE DI VILLAPIANA</t>
  </si>
  <si>
    <t>COMUNE DI SAN FERDINANDO</t>
  </si>
  <si>
    <t>COMUNE DI GUARDAVALLE</t>
  </si>
  <si>
    <t>COMUNE DI SAN TAMMARO</t>
  </si>
  <si>
    <t>Comune di Brolo</t>
  </si>
  <si>
    <t>COMUNE DI CONDOFURI</t>
  </si>
  <si>
    <t>COMUNE DI CURINGA</t>
  </si>
  <si>
    <t>Comune di Rende</t>
  </si>
  <si>
    <t>COMUNE DI MOTTA SAN GIOVANNI</t>
  </si>
  <si>
    <t>COMUNE DI SANTA MARIA DEL MOLISE</t>
  </si>
  <si>
    <t>COMUNE DI BUCCINO</t>
  </si>
  <si>
    <t>Comune di Bisaccia</t>
  </si>
  <si>
    <t>comune di botricello</t>
  </si>
  <si>
    <t>COMUNE DI CARCOFORO</t>
  </si>
  <si>
    <t>Comune di San Nicola Manfredi</t>
  </si>
  <si>
    <t>comune Acquaviva d'Isernia</t>
  </si>
  <si>
    <t>COMUNE DI FALERNA</t>
  </si>
  <si>
    <t>COMUNE DI SCAPOLI</t>
  </si>
  <si>
    <t>COMUNE DI MOTTA CAMASTRA</t>
  </si>
  <si>
    <t>Comune di Custonaci</t>
  </si>
  <si>
    <t>comune di montecalvo irpino</t>
  </si>
  <si>
    <t>comune di san vito lo capo</t>
  </si>
  <si>
    <t>Comune di Saponara</t>
  </si>
  <si>
    <t>COMUNE DI SANTA SOFIA D'EPIRO</t>
  </si>
  <si>
    <t>COMUNE DI GALLO MATESE</t>
  </si>
  <si>
    <t>COMUNE DI CHIGNOLO D'ISOLA</t>
  </si>
  <si>
    <t>COMUNE DI ROTONDA</t>
  </si>
  <si>
    <t>Comune di San Leucio del Sannio</t>
  </si>
  <si>
    <t>COMUNE DI ROCCALUMERA</t>
  </si>
  <si>
    <t>COMUNE DI LAUREANA DI BORRELLO</t>
  </si>
  <si>
    <t>COMUNE DI CEPPALONI</t>
  </si>
  <si>
    <t>COMUNE DI GIOIA SANNITICA</t>
  </si>
  <si>
    <t>Comune di Cerisano</t>
  </si>
  <si>
    <t>Comune di Soveria Mannelli</t>
  </si>
  <si>
    <t>COMUNE DI MELISSA</t>
  </si>
  <si>
    <t>Comune di Limbadi</t>
  </si>
  <si>
    <t>COMUNE DI ROCCA IMPERIALE</t>
  </si>
  <si>
    <t>comune di nizza di sicilia</t>
  </si>
  <si>
    <t>Comune di Camastra</t>
  </si>
  <si>
    <t>COMUNE DI PAGLIARA</t>
  </si>
  <si>
    <t>COMUNE DI FAGNANO CASTELLO</t>
  </si>
  <si>
    <t>COMUNE DI MARANO MARCHESATO</t>
  </si>
  <si>
    <t>COMUNE DI TAVERNA</t>
  </si>
  <si>
    <t>COMUNE DI VERBICARO</t>
  </si>
  <si>
    <t>COMUNE DI PETRIZZI</t>
  </si>
  <si>
    <t>COMUNE DI SAN PIETRO IN AMANTEA</t>
  </si>
  <si>
    <t>Comune di Riolunato</t>
  </si>
  <si>
    <t>COMUNE DI CUTRO</t>
  </si>
  <si>
    <t>COMUNE DI LUVINATE</t>
  </si>
  <si>
    <t>DIVINA SERVICE SRLS</t>
  </si>
  <si>
    <t>COMUNE DI ISCA SULLO IONIO</t>
  </si>
  <si>
    <t>COMUNE DI APRIGLIANO</t>
  </si>
  <si>
    <t>Comune di Amendolara</t>
  </si>
  <si>
    <t>Comune di Jacurso</t>
  </si>
  <si>
    <t>Comune di Fiumefreddo Bruzio</t>
  </si>
  <si>
    <t>COMUNE DI CESSANITI</t>
  </si>
  <si>
    <t>COMUNE DI FLUMERI</t>
  </si>
  <si>
    <t>COMUNE DI STURNO</t>
  </si>
  <si>
    <t>Comune di  Grotteria</t>
  </si>
  <si>
    <t>COMUNE DI SANT'ANGELO DI BROLO</t>
  </si>
  <si>
    <t>comune di san lorenzo del vallo</t>
  </si>
  <si>
    <t>COMUNE DI CONTRADA</t>
  </si>
  <si>
    <t>COMUNE DI SANT'ALESSIO SICULO</t>
  </si>
  <si>
    <t>Comune di Africo</t>
  </si>
  <si>
    <t>comune di vallata</t>
  </si>
  <si>
    <t>COMUNE DI BIVONA</t>
  </si>
  <si>
    <t>COMUNE DI PERITO</t>
  </si>
  <si>
    <t>comune di montemiletto</t>
  </si>
  <si>
    <t>Comune di Squillace</t>
  </si>
  <si>
    <t>COMUNE DI SAN LORENZO</t>
  </si>
  <si>
    <t>Comune di Felitto</t>
  </si>
  <si>
    <t>COMUNE DI MELICUCCA'</t>
  </si>
  <si>
    <t>COMUNE DI BAIA E LATINA</t>
  </si>
  <si>
    <t>Comune di San Fratello</t>
  </si>
  <si>
    <t>COMUNE DI CIVITELLA ROVETO</t>
  </si>
  <si>
    <t>Comune di Serramezzana</t>
  </si>
  <si>
    <t>COMUNE DI BONIFATI</t>
  </si>
  <si>
    <t>COMUNE DI RIACE</t>
  </si>
  <si>
    <t>comune di graniti</t>
  </si>
  <si>
    <t>COMUNE DI CARERI</t>
  </si>
  <si>
    <t>COMUNE DI SANT'ANGELO DEL PESCO</t>
  </si>
  <si>
    <t>COMUNE DI AMOROSI</t>
  </si>
  <si>
    <t>COMUNE DI MAMMOLA</t>
  </si>
  <si>
    <t>comune di stalettì</t>
  </si>
  <si>
    <t>comune di san costantino calabro</t>
  </si>
  <si>
    <t>Comune di Valle di Maddaloni</t>
  </si>
  <si>
    <t>COMUNE DI VALLE DELL'ANGELO</t>
  </si>
  <si>
    <t>COMUNE DI CASTELVENERE</t>
  </si>
  <si>
    <t>COMUNE DI MIOGLIA</t>
  </si>
  <si>
    <t>COMUNE DI CALVI</t>
  </si>
  <si>
    <t>COMUNE DI SORIANO CALABRO</t>
  </si>
  <si>
    <t>Comune di Roccamonfina</t>
  </si>
  <si>
    <t>COMUNE DI CENGIO</t>
  </si>
  <si>
    <t>COMUNE DI MARCELLINARA</t>
  </si>
  <si>
    <t>COMUNE DI GALATRO</t>
  </si>
  <si>
    <t>COMUNE DI PATERNOPOLI</t>
  </si>
  <si>
    <t>COMUNE DI DRAPIA</t>
  </si>
  <si>
    <t>COMUNE DI ORIOLO</t>
  </si>
  <si>
    <t>Comune di Sinopoli</t>
  </si>
  <si>
    <t>comune di galluccio</t>
  </si>
  <si>
    <t>COMUNE DI RODI' MILICI</t>
  </si>
  <si>
    <t>comune di simbario</t>
  </si>
  <si>
    <t>COMUNE DI BUONVICINO</t>
  </si>
  <si>
    <t>COMUNE DI VOLTURINO</t>
  </si>
  <si>
    <t>Comune di Feroleto della Chiesa</t>
  </si>
  <si>
    <t>COMUNE DI AGGIUS</t>
  </si>
  <si>
    <t>COMUNE DI SANTOMENNA</t>
  </si>
  <si>
    <t>comune di Andretta</t>
  </si>
  <si>
    <t>COMUNE DI FILANDARI</t>
  </si>
  <si>
    <t>COMUNE DI PRESENZANO</t>
  </si>
  <si>
    <t>COMUNE DI ANOIA</t>
  </si>
  <si>
    <t>COMUNE ROSETO CAPO SPULICO</t>
  </si>
  <si>
    <t>Comune di Giffone</t>
  </si>
  <si>
    <t>Comune di Dinami</t>
  </si>
  <si>
    <t>COMUNE DI LAINO BORGO</t>
  </si>
  <si>
    <t>COMUNE DI GRISOLIA</t>
  </si>
  <si>
    <t>COMUNE FRANCAVILLA ANGITOLA</t>
  </si>
  <si>
    <t>Comune di Francavilla Marittima</t>
  </si>
  <si>
    <t>COMUNE DI PARENTI</t>
  </si>
  <si>
    <t>COMUNE DI GAGLIATO</t>
  </si>
  <si>
    <t>COMUNE DI PIANE CRATI</t>
  </si>
  <si>
    <t>COMUNE DI CALOPEZZATI</t>
  </si>
  <si>
    <t>comune di Sangineto</t>
  </si>
  <si>
    <t>COMUNE DI LOTZORAI</t>
  </si>
  <si>
    <t>COMUNE DI MAZZARRA' SANT'ANDREA</t>
  </si>
  <si>
    <t>comune di Poggioreale</t>
  </si>
  <si>
    <t>COMUNE DI CLETO</t>
  </si>
  <si>
    <t>Comune di Colli a Volturno</t>
  </si>
  <si>
    <t>comune di Novara di sicilia</t>
  </si>
  <si>
    <t>COMUNE DI CUSINO</t>
  </si>
  <si>
    <t>COMUNE DI MONTEMEZZO</t>
  </si>
  <si>
    <t>COMUNE DI GRANTOLA</t>
  </si>
  <si>
    <t>COMUNE DI BELCASTRO</t>
  </si>
  <si>
    <t>COMUNE DI ORSOMARSO</t>
  </si>
  <si>
    <t>comune di caloveto</t>
  </si>
  <si>
    <t>COMUNE DI FILOGASO</t>
  </si>
  <si>
    <t>comune di Maierà</t>
  </si>
  <si>
    <t>COMUNE DI MIRTO</t>
  </si>
  <si>
    <t>COMUNE DI MILITELLO ROSMARINO</t>
  </si>
  <si>
    <t>COMUNE DI PRATA SANNITA</t>
  </si>
  <si>
    <t>COMUNE DI ANTONIMINA</t>
  </si>
  <si>
    <t>COMUNE DI FIUMALBO</t>
  </si>
  <si>
    <t>comune di san pietro di caridà</t>
  </si>
  <si>
    <t>COMUNE DI SAN BENEDETTO ULLANO</t>
  </si>
  <si>
    <t>COMUNE DI MAGISANO</t>
  </si>
  <si>
    <t>COMUNE DI ROCCAVALDINA</t>
  </si>
  <si>
    <t>COMUNE DI MONTAURO</t>
  </si>
  <si>
    <t>COMUNE DI PIZZONI</t>
  </si>
  <si>
    <t>COMUNE DI PIETRAPAOLA</t>
  </si>
  <si>
    <t>Comune di Sorbo San Basile</t>
  </si>
  <si>
    <t>Comune di San Sostene</t>
  </si>
  <si>
    <t>COMUNE DI BELLONA</t>
  </si>
  <si>
    <t>COMUNE DI SAN TEODORO</t>
  </si>
  <si>
    <t>comune di Vazzano</t>
  </si>
  <si>
    <t>COMUNE DI SICIGNANO DEGLI ALBURNI</t>
  </si>
  <si>
    <t>COMUNE DI RUVIANO</t>
  </si>
  <si>
    <t>COMUNE DI ROGHUDI</t>
  </si>
  <si>
    <t>comune di San Basile</t>
  </si>
  <si>
    <t>comune di roccamandolfi</t>
  </si>
  <si>
    <t>COMUNE DI DRAGONI</t>
  </si>
  <si>
    <t>Comune di Rocchetta a Volturno</t>
  </si>
  <si>
    <t>COMUNE DI PORTIGLIOLA</t>
  </si>
  <si>
    <t>comune di fondachelli fantina</t>
  </si>
  <si>
    <t>comune di lupara</t>
  </si>
  <si>
    <t>comune di calabritto</t>
  </si>
  <si>
    <t>COMUNE DI MASSIMINO</t>
  </si>
  <si>
    <t>Comune di Vaccarizzo Albanese</t>
  </si>
  <si>
    <t>Comune di San Martino di Finita</t>
  </si>
  <si>
    <t>Comune di Sorianello</t>
  </si>
  <si>
    <t>Comune di Dasà</t>
  </si>
  <si>
    <t>comune di santa ninfa</t>
  </si>
  <si>
    <t>Comune di Alberona</t>
  </si>
  <si>
    <t>Comune di  San Lupo</t>
  </si>
  <si>
    <t>COMUNE DI OSIGLIA</t>
  </si>
  <si>
    <t>Comune di Santa Marina Salina</t>
  </si>
  <si>
    <t>comune di ottati</t>
  </si>
  <si>
    <t>COMUNE DI CAMINI</t>
  </si>
  <si>
    <t>COMUNE DI CANOLO</t>
  </si>
  <si>
    <t>COMUNE DI COSOLETO</t>
  </si>
  <si>
    <t>COMUNE DI FONTEGRECA</t>
  </si>
  <si>
    <t>COMUNE DI CANNA</t>
  </si>
  <si>
    <t>Comune di Letino</t>
  </si>
  <si>
    <t>Comune di Aieta</t>
  </si>
  <si>
    <t>Comune di Domanico</t>
  </si>
  <si>
    <t>comune di zaccanopoli</t>
  </si>
  <si>
    <t>Comune di Malfa</t>
  </si>
  <si>
    <t>COMUNE DI MONGIUFFI MELIA</t>
  </si>
  <si>
    <t>COMUNE DI SAN COSMO ALBANESE</t>
  </si>
  <si>
    <t>COMUNE DI FOSSATO SERRALTA</t>
  </si>
  <si>
    <t>Comune di Raviscanina</t>
  </si>
  <si>
    <t>COMUNE DI TERRANOVA SAPPO MINULIO</t>
  </si>
  <si>
    <t>COMUNE DI PONTINVREA</t>
  </si>
  <si>
    <t>COMUNE DI FORLI' DEL SANNIO</t>
  </si>
  <si>
    <t>COMUNE NOVI VELIA</t>
  </si>
  <si>
    <t>COMUNE DI CASTELMOLA</t>
  </si>
  <si>
    <t>COMUNE DI PAPASIDERO</t>
  </si>
  <si>
    <t>Comune di San Gregorio Matese</t>
  </si>
  <si>
    <t>COMUNE DI VALLE AGRICOLA</t>
  </si>
  <si>
    <t>Comune di San Procopio</t>
  </si>
  <si>
    <t>COMUNE DI PALUDI</t>
  </si>
  <si>
    <t>COMUNE DI LONGI</t>
  </si>
  <si>
    <t>COMUNE DI VOLTURARA APPULA</t>
  </si>
  <si>
    <t>comune di civita</t>
  </si>
  <si>
    <t>COMUNE DI SAN PIETRO INFINE</t>
  </si>
  <si>
    <t>COMUNE MONTANO ANTILIA</t>
  </si>
  <si>
    <t>COMUNE DI BOVA</t>
  </si>
  <si>
    <t>COMUNE DI CARPANZANO</t>
  </si>
  <si>
    <t>COMUNE DI LAGANADI</t>
  </si>
  <si>
    <t>COMUNE DI MARCEDUSA</t>
  </si>
  <si>
    <t>COMUNE DI SANTA MARINA</t>
  </si>
  <si>
    <t>COMUNE DI CELLE DI SAN VITO</t>
  </si>
  <si>
    <t>COMUNE DI ROCCAFIORITA</t>
  </si>
  <si>
    <t>COMUNE DI OLIVADI</t>
  </si>
  <si>
    <t>COMUNE DI PLACANICA</t>
  </si>
  <si>
    <t>COMUNE DI CIORLANO</t>
  </si>
  <si>
    <t>COMUNE DI FLORESTA</t>
  </si>
  <si>
    <t>COMUNE DI ORRIA</t>
  </si>
  <si>
    <t>comune di castel san lorenzo</t>
  </si>
  <si>
    <t>COMUNE DI ALESSANDRIA DEL CARRETTO</t>
  </si>
  <si>
    <t>comune di San Mauro Marchesato</t>
  </si>
  <si>
    <t>COMUNE DI MORIGERATI</t>
  </si>
  <si>
    <t>comune di Pago del Vallo di Lauro</t>
  </si>
  <si>
    <t>COMUNE DI PONTELATONE</t>
  </si>
  <si>
    <t>COMUNE DI SAVOCA</t>
  </si>
  <si>
    <t>Comune di San Sossio Baronia</t>
  </si>
  <si>
    <t>COMUNE DI CENTRACHE</t>
  </si>
  <si>
    <t>comune di cellara</t>
  </si>
  <si>
    <t>Comune di Burgio</t>
  </si>
  <si>
    <t>comune di cenadi</t>
  </si>
  <si>
    <t>COMUNE DI RACCUJA</t>
  </si>
  <si>
    <t>Comune di Caselle in Pittari</t>
  </si>
  <si>
    <t>COMUNE DI SAN POTITO SANNITICO</t>
  </si>
  <si>
    <t>comune di scido</t>
  </si>
  <si>
    <t>comune di umbriatico</t>
  </si>
  <si>
    <t>Comune di Camerota</t>
  </si>
  <si>
    <t>comune di piedimonte matese</t>
  </si>
  <si>
    <t>COMUNE DI ROGLIANO</t>
  </si>
  <si>
    <t>COMUNE DI SCANDALE</t>
  </si>
  <si>
    <t>COMUNE DI ANDALI</t>
  </si>
  <si>
    <t>COMUNE DI VILLANOVA DEL BATTISTA</t>
  </si>
  <si>
    <t>COMUNE DI MONTAGNAREALE</t>
  </si>
  <si>
    <t>COMUNE DI SALENTO</t>
  </si>
  <si>
    <t>COMUNE DI FORMICOLA</t>
  </si>
  <si>
    <t>COMUNE DI LAPIO</t>
  </si>
  <si>
    <t>COMUNE DI SAN POTITO ULTRA</t>
  </si>
  <si>
    <t>comune di Marzano di Nola</t>
  </si>
  <si>
    <t>Comune di Ailano</t>
  </si>
  <si>
    <t>comune di carlantino</t>
  </si>
  <si>
    <t>COMUNE DI SCAMPITELLA</t>
  </si>
  <si>
    <t>COMUNE DI SAVELLI</t>
  </si>
  <si>
    <t>COMUNE DI ROCCAFORTE DEL GRECO</t>
  </si>
  <si>
    <t>COMUNE DI MALVAGNA</t>
  </si>
  <si>
    <t>COMUNE DI SAN SALVATORE DI FITALIA</t>
  </si>
  <si>
    <t>COMUNE DI AMATO</t>
  </si>
  <si>
    <t>Comune di Castelsilano</t>
  </si>
  <si>
    <t>COMUNE DI APICE</t>
  </si>
  <si>
    <t>COMUNE DI BUCCIANO</t>
  </si>
  <si>
    <t>COMUNE DI SANT'AGATA DEL BIANCO</t>
  </si>
  <si>
    <t>COMUNE DI CLIVIO</t>
  </si>
  <si>
    <t>Comune di Gesualdo</t>
  </si>
  <si>
    <t>COMUNE DI SANTA PAOLINA</t>
  </si>
  <si>
    <t>comune di conca della campania</t>
  </si>
  <si>
    <t>COMUNE DI SANTA CROCE DEL SANNIO</t>
  </si>
  <si>
    <t>Comune di Roccaromana</t>
  </si>
  <si>
    <t>COMUNE DI SPINETO SCRIVIA</t>
  </si>
  <si>
    <t>comune di stignano</t>
  </si>
  <si>
    <t>Comune di Greci</t>
  </si>
  <si>
    <t>Comune di Sant'Arcangelo Trimonte</t>
  </si>
  <si>
    <t>comune di monteverde</t>
  </si>
  <si>
    <t>Comune di Lacedonia</t>
  </si>
  <si>
    <t>COMUNE DI CAMPOLATTARO</t>
  </si>
  <si>
    <t>Comune di Orsara di Puglia</t>
  </si>
  <si>
    <t>comune di giano vetusto</t>
  </si>
  <si>
    <t>COMUNE DI ROCCA SAN FELICE</t>
  </si>
  <si>
    <t>COMUNE DI PADULI</t>
  </si>
  <si>
    <t>Comune di San Nicola Baronia</t>
  </si>
  <si>
    <t>COMUNE DI TERRANOVA DI POLLINO</t>
  </si>
  <si>
    <t>COMUNE DI CASTEL DEL GIUDICE</t>
  </si>
  <si>
    <t>Comune di Luserna</t>
  </si>
  <si>
    <t>COMUNE DI SORBO SERPICO</t>
  </si>
  <si>
    <t>COMUNE DI RIARDO</t>
  </si>
  <si>
    <t>COMUNE DI ALBI</t>
  </si>
  <si>
    <t>COMUNE DI BADOLATO</t>
  </si>
  <si>
    <t>Comune di Montaguto</t>
  </si>
  <si>
    <t>Comune di Bonito</t>
  </si>
  <si>
    <t>comune di grazzanise</t>
  </si>
  <si>
    <t>COMUNE SANTA MARIA A VICO</t>
  </si>
  <si>
    <t>COMUNE DI CARVICO</t>
  </si>
  <si>
    <t>Comune di Palazzago</t>
  </si>
  <si>
    <t>COMUNE DI FRIGNANO</t>
  </si>
  <si>
    <t>COMUNE DI OSPEDALETTO D'ALPINOLO</t>
  </si>
  <si>
    <t>Comune di Durazzano</t>
  </si>
  <si>
    <t>Comune di Faicchio</t>
  </si>
  <si>
    <t>comune di colleferro</t>
  </si>
  <si>
    <t>Comune di Valmontone</t>
  </si>
  <si>
    <t>COMUNE DI GEROCARNE</t>
  </si>
  <si>
    <t>COMUNE DI ARPAISE</t>
  </si>
  <si>
    <t>COMUNE DI TUFO</t>
  </si>
  <si>
    <t>COMUNE DI ALBIDONA</t>
  </si>
  <si>
    <t>COMUNE DI SAN MARTINO SANNITA</t>
  </si>
  <si>
    <t>Azienda Consortile Acquedotto Vena e Niceto</t>
  </si>
  <si>
    <t>COMUNE DI SAN PIETRO AVELLANA</t>
  </si>
  <si>
    <t>COMUNE DI DIAMANTE</t>
  </si>
  <si>
    <t>COMUNE DI ACQUAPPESA</t>
  </si>
  <si>
    <t>Comune di Favignana</t>
  </si>
  <si>
    <t>comune di carolei</t>
  </si>
  <si>
    <t>COMUNE DI SAN LORENZO MAGGIORE</t>
  </si>
  <si>
    <t>COMUNE DI MAIDA</t>
  </si>
  <si>
    <t>COMUNE DI BRIATICO</t>
  </si>
  <si>
    <t>COMUNE DI NOCARA</t>
  </si>
  <si>
    <t>COMUNE DI BELMONTE CALABRO</t>
  </si>
  <si>
    <t>COMUNE DI SAN FLORO</t>
  </si>
  <si>
    <t>COMUNE DI DIPIGNANO</t>
  </si>
  <si>
    <t>COMUNE DI CASTROLIBERO</t>
  </si>
  <si>
    <t>Comune di Staiti</t>
  </si>
  <si>
    <t>COMUNE DI MARTONE</t>
  </si>
  <si>
    <t>Comune di Caccuri</t>
  </si>
  <si>
    <t>COMUNE DI CAIAZZO</t>
  </si>
  <si>
    <t>comune di alife</t>
  </si>
  <si>
    <t>COMUNE DI PLATACI</t>
  </si>
  <si>
    <t>Comune di Falciano del Massico</t>
  </si>
  <si>
    <t>COMUNE DI ZAGARISE</t>
  </si>
  <si>
    <t>COMUNE DI CUNARDO</t>
  </si>
  <si>
    <t>COMUNE DI DECOLLATURA</t>
  </si>
  <si>
    <t>COMUNE DI SUMMONTE</t>
  </si>
  <si>
    <t>comune di joppolo</t>
  </si>
  <si>
    <t>COMUNE DI NARDODIPACE</t>
  </si>
  <si>
    <t>Comune di San Giovanni di Fassa - Sèn Jan</t>
  </si>
  <si>
    <t>comune di lioni</t>
  </si>
  <si>
    <t>comune di salza irpina</t>
  </si>
  <si>
    <t>comune di alcara li fusi</t>
  </si>
  <si>
    <t>Comune di Trevico</t>
  </si>
  <si>
    <t>COMUNE DI ATENA LUCANA</t>
  </si>
  <si>
    <t>Comune di Frigento</t>
  </si>
  <si>
    <t>Comune di Manocalzati</t>
  </si>
  <si>
    <t>COMUNE DI TORA E PICCILLI</t>
  </si>
  <si>
    <t>COMUNE DI FORZA D'AGRO'</t>
  </si>
  <si>
    <t>CONSORZIO GESTORI SERVIZI IDRICI S.C.R.L.</t>
  </si>
  <si>
    <t>VILLASERVICE SPA</t>
  </si>
  <si>
    <t>C.I.P.N.E.S. Gallura</t>
  </si>
  <si>
    <t>COMUNE DI REGGELLO</t>
  </si>
  <si>
    <t>COMUNE DI LONGARONE</t>
  </si>
  <si>
    <t>COMUNE DI MORINO</t>
  </si>
  <si>
    <t>COMUNE DI BELVEDERE DI SPINELLO</t>
  </si>
  <si>
    <t>COMUNE DI BORGO D'ANAUNIA</t>
  </si>
  <si>
    <t>SOCIETA' ACQUE POTABILI DI COSSILA - S.R.L.</t>
  </si>
  <si>
    <t>ACQUE PUBBLICHE SAVONESI S.C.P.A.</t>
  </si>
  <si>
    <t>Comune di Novella</t>
  </si>
  <si>
    <t>COMUNE DI MANDATORICCIO</t>
  </si>
  <si>
    <t>COMUNE DI CASARANO</t>
  </si>
  <si>
    <t>COMUNE DI VILLE DI FIEMME</t>
  </si>
  <si>
    <t>COMUNE DI CIS</t>
  </si>
  <si>
    <t>COMUNE DI BRESIMO</t>
  </si>
  <si>
    <t>00149110223</t>
  </si>
  <si>
    <t>00166310433</t>
  </si>
  <si>
    <t>00396990210</t>
  </si>
  <si>
    <t>01452870619</t>
  </si>
  <si>
    <t>00162000871</t>
  </si>
  <si>
    <t>00462110123</t>
  </si>
  <si>
    <t>00309270122</t>
  </si>
  <si>
    <t>00688320134</t>
  </si>
  <si>
    <t>00282190644</t>
  </si>
  <si>
    <t>00136270618</t>
  </si>
  <si>
    <t>00350700225</t>
  </si>
  <si>
    <t>00717150833</t>
  </si>
  <si>
    <t>00199400649</t>
  </si>
  <si>
    <t>00270840226</t>
  </si>
  <si>
    <t>00630910214</t>
  </si>
  <si>
    <t>00356410217</t>
  </si>
  <si>
    <t>00371870221</t>
  </si>
  <si>
    <t>01235170212</t>
  </si>
  <si>
    <t>00239180615</t>
  </si>
  <si>
    <t>00184530640</t>
  </si>
  <si>
    <t>02131560613</t>
  </si>
  <si>
    <t>01504060649</t>
  </si>
  <si>
    <t>00269180642</t>
  </si>
  <si>
    <t>00785160656</t>
  </si>
  <si>
    <t>00095990644</t>
  </si>
  <si>
    <t>00663490134</t>
  </si>
  <si>
    <t>02423810205</t>
  </si>
  <si>
    <t>00069890945</t>
  </si>
  <si>
    <t>00215860701</t>
  </si>
  <si>
    <t>00065400707</t>
  </si>
  <si>
    <t>00225340702</t>
  </si>
  <si>
    <t>00060620705</t>
  </si>
  <si>
    <t>00392890125</t>
  </si>
  <si>
    <t>00504690124</t>
  </si>
  <si>
    <t>00459940128</t>
  </si>
  <si>
    <t>00136920618</t>
  </si>
  <si>
    <t>00272360801</t>
  </si>
  <si>
    <t>00454800616</t>
  </si>
  <si>
    <t>01251551212</t>
  </si>
  <si>
    <t>00297790644</t>
  </si>
  <si>
    <t>00150590610</t>
  </si>
  <si>
    <t>00861070787</t>
  </si>
  <si>
    <t>01532380795</t>
  </si>
  <si>
    <t>00322890799</t>
  </si>
  <si>
    <t>01546611219</t>
  </si>
  <si>
    <t>02970820821</t>
  </si>
  <si>
    <t>00246860167</t>
  </si>
  <si>
    <t>00214690562</t>
  </si>
  <si>
    <t>03500441203</t>
  </si>
  <si>
    <t>00562780361</t>
  </si>
  <si>
    <t>00103330072</t>
  </si>
  <si>
    <t>00151990827</t>
  </si>
  <si>
    <t>02569410828</t>
  </si>
  <si>
    <t>02438370823</t>
  </si>
  <si>
    <t>01444690026</t>
  </si>
  <si>
    <t>00609230826</t>
  </si>
  <si>
    <t>87000530821</t>
  </si>
  <si>
    <t>00689220879</t>
  </si>
  <si>
    <t>00160510913</t>
  </si>
  <si>
    <t>00255210817</t>
  </si>
  <si>
    <t>00920640042</t>
  </si>
  <si>
    <t>00533320826</t>
  </si>
  <si>
    <t>00324460799</t>
  </si>
  <si>
    <t>00482300837</t>
  </si>
  <si>
    <t>00216350835</t>
  </si>
  <si>
    <t>00361970833</t>
  </si>
  <si>
    <t>00253000806</t>
  </si>
  <si>
    <t>00491510822</t>
  </si>
  <si>
    <t>00354630832</t>
  </si>
  <si>
    <t>00293920815</t>
  </si>
  <si>
    <t>00415010834</t>
  </si>
  <si>
    <t>00726930803</t>
  </si>
  <si>
    <t>00128180833</t>
  </si>
  <si>
    <t>00353710833</t>
  </si>
  <si>
    <t>00139550818</t>
  </si>
  <si>
    <t>00407150788</t>
  </si>
  <si>
    <t>01688180817</t>
  </si>
  <si>
    <t>00206560880</t>
  </si>
  <si>
    <t>00311550800</t>
  </si>
  <si>
    <t>00361640717</t>
  </si>
  <si>
    <t>00348230780</t>
  </si>
  <si>
    <t>00376350781</t>
  </si>
  <si>
    <t>01115330712</t>
  </si>
  <si>
    <t>01210220834</t>
  </si>
  <si>
    <t>00774460828</t>
  </si>
  <si>
    <t>04555900820</t>
  </si>
  <si>
    <t>00277970836</t>
  </si>
  <si>
    <t>01597120789</t>
  </si>
  <si>
    <t>00443640826</t>
  </si>
  <si>
    <t>00391660784</t>
  </si>
  <si>
    <t>01040920785</t>
  </si>
  <si>
    <t>00431630789</t>
  </si>
  <si>
    <t>01086380787</t>
  </si>
  <si>
    <t>00423160787</t>
  </si>
  <si>
    <t>00383810785</t>
  </si>
  <si>
    <t>01826020784</t>
  </si>
  <si>
    <t>00336440797</t>
  </si>
  <si>
    <t>00311650790</t>
  </si>
  <si>
    <t>00255090805</t>
  </si>
  <si>
    <t>00399900786</t>
  </si>
  <si>
    <t>00391420783</t>
  </si>
  <si>
    <t>00324940790</t>
  </si>
  <si>
    <t>00291270791</t>
  </si>
  <si>
    <t>00601410137</t>
  </si>
  <si>
    <t>01547930642</t>
  </si>
  <si>
    <t>00460150832</t>
  </si>
  <si>
    <t>00403460785</t>
  </si>
  <si>
    <t>00368270781</t>
  </si>
  <si>
    <t>00298560806</t>
  </si>
  <si>
    <t>02632181216</t>
  </si>
  <si>
    <t>03697540619</t>
  </si>
  <si>
    <t>00378410831</t>
  </si>
  <si>
    <t>02785040821</t>
  </si>
  <si>
    <t>00238090799</t>
  </si>
  <si>
    <t>01710120617</t>
  </si>
  <si>
    <t>00437760614</t>
  </si>
  <si>
    <t>00360710792</t>
  </si>
  <si>
    <t>00137710802</t>
  </si>
  <si>
    <t>00951830785</t>
  </si>
  <si>
    <t>00323390799</t>
  </si>
  <si>
    <t>02183980875</t>
  </si>
  <si>
    <t>00288230642</t>
  </si>
  <si>
    <t>01836330611</t>
  </si>
  <si>
    <t>92001220877</t>
  </si>
  <si>
    <t>00226540839</t>
  </si>
  <si>
    <t>01593030610</t>
  </si>
  <si>
    <t>00529360786</t>
  </si>
  <si>
    <t>00382800167</t>
  </si>
  <si>
    <t>01781170871</t>
  </si>
  <si>
    <t>00299100834</t>
  </si>
  <si>
    <t>00323420794</t>
  </si>
  <si>
    <t>00671800878</t>
  </si>
  <si>
    <t>00074320623</t>
  </si>
  <si>
    <t>00297730798</t>
  </si>
  <si>
    <t>01244961213</t>
  </si>
  <si>
    <t>00719910630</t>
  </si>
  <si>
    <t>00320090798</t>
  </si>
  <si>
    <t>00419860788</t>
  </si>
  <si>
    <t>01879170734</t>
  </si>
  <si>
    <t>00349860619</t>
  </si>
  <si>
    <t>00937850782</t>
  </si>
  <si>
    <t>03509990788</t>
  </si>
  <si>
    <t>03555290612</t>
  </si>
  <si>
    <t>01283770616</t>
  </si>
  <si>
    <t>00294190616</t>
  </si>
  <si>
    <t>01061000616</t>
  </si>
  <si>
    <t>00401460787</t>
  </si>
  <si>
    <t>02584501213</t>
  </si>
  <si>
    <t>00337000020</t>
  </si>
  <si>
    <t>00146680616</t>
  </si>
  <si>
    <t>00396700718</t>
  </si>
  <si>
    <t>00432380020</t>
  </si>
  <si>
    <t>00802550830</t>
  </si>
  <si>
    <t>02790550640</t>
  </si>
  <si>
    <t>00435590831</t>
  </si>
  <si>
    <t>00356650838</t>
  </si>
  <si>
    <t>00561960717</t>
  </si>
  <si>
    <t>00296480817</t>
  </si>
  <si>
    <t>02491910614</t>
  </si>
  <si>
    <t>00288960800</t>
  </si>
  <si>
    <t>00707110805</t>
  </si>
  <si>
    <t>00263580789</t>
  </si>
  <si>
    <t>00277760807</t>
  </si>
  <si>
    <t>00239820814</t>
  </si>
  <si>
    <t>00162960629</t>
  </si>
  <si>
    <t>01572710612</t>
  </si>
  <si>
    <t>00232920801</t>
  </si>
  <si>
    <t>01399270022</t>
  </si>
  <si>
    <t>00296920796</t>
  </si>
  <si>
    <t>00275260784</t>
  </si>
  <si>
    <t>00217530807</t>
  </si>
  <si>
    <t>00432870830</t>
  </si>
  <si>
    <t>00100110618</t>
  </si>
  <si>
    <t>00582060802</t>
  </si>
  <si>
    <t>01245801210</t>
  </si>
  <si>
    <t>00297990798</t>
  </si>
  <si>
    <t>02740990169</t>
  </si>
  <si>
    <t>02035220819</t>
  </si>
  <si>
    <t>00134970805</t>
  </si>
  <si>
    <t>00443750229</t>
  </si>
  <si>
    <t>00008010803</t>
  </si>
  <si>
    <t>00709140800</t>
  </si>
  <si>
    <t>00345480784</t>
  </si>
  <si>
    <t>00379460793</t>
  </si>
  <si>
    <t>03633691211</t>
  </si>
  <si>
    <t>01722020789</t>
  </si>
  <si>
    <t>00297810798</t>
  </si>
  <si>
    <t>00348180787</t>
  </si>
  <si>
    <t>00522040799</t>
  </si>
  <si>
    <t>00296900798</t>
  </si>
  <si>
    <t>00239730815</t>
  </si>
  <si>
    <t>01525210645</t>
  </si>
  <si>
    <t>00238090641</t>
  </si>
  <si>
    <t>00709480800</t>
  </si>
  <si>
    <t>00314410788</t>
  </si>
  <si>
    <t>00172190704</t>
  </si>
  <si>
    <t>00455580613</t>
  </si>
  <si>
    <t>00346830789</t>
  </si>
  <si>
    <t>03529220828</t>
  </si>
  <si>
    <t>00136550837</t>
  </si>
  <si>
    <t>01258050788</t>
  </si>
  <si>
    <t>00124750076</t>
  </si>
  <si>
    <t>00348990789</t>
  </si>
  <si>
    <t>00327770798</t>
  </si>
  <si>
    <t>00389920786</t>
  </si>
  <si>
    <t>01607300785</t>
  </si>
  <si>
    <t>01072160656</t>
  </si>
  <si>
    <t>00474710837</t>
  </si>
  <si>
    <t>00427870787</t>
  </si>
  <si>
    <t>00341340099</t>
  </si>
  <si>
    <t>03022340610</t>
  </si>
  <si>
    <t>00395970783</t>
  </si>
  <si>
    <t>00355760786</t>
  </si>
  <si>
    <t>00296580798</t>
  </si>
  <si>
    <t>00329020804</t>
  </si>
  <si>
    <t>00275550838</t>
  </si>
  <si>
    <t>00356630780</t>
  </si>
  <si>
    <t>00296840796</t>
  </si>
  <si>
    <t>02618730796</t>
  </si>
  <si>
    <t>00963470612</t>
  </si>
  <si>
    <t>00679980649</t>
  </si>
  <si>
    <t>00388690786</t>
  </si>
  <si>
    <t>00710360801</t>
  </si>
  <si>
    <t>01094200787</t>
  </si>
  <si>
    <t>00641070826</t>
  </si>
  <si>
    <t>00271570780</t>
  </si>
  <si>
    <t>00090570896</t>
  </si>
  <si>
    <t>00378820781</t>
  </si>
  <si>
    <t>00584590814</t>
  </si>
  <si>
    <t>00343630786</t>
  </si>
  <si>
    <t>00787540657</t>
  </si>
  <si>
    <t>00467550786</t>
  </si>
  <si>
    <t>00540330651</t>
  </si>
  <si>
    <t>01702630615</t>
  </si>
  <si>
    <t>00391910783</t>
  </si>
  <si>
    <t>00311700793</t>
  </si>
  <si>
    <t>03557570789</t>
  </si>
  <si>
    <t>00444370837</t>
  </si>
  <si>
    <t>80004000818</t>
  </si>
  <si>
    <t>00982870610</t>
  </si>
  <si>
    <t>01252221211</t>
  </si>
  <si>
    <t>00298170796</t>
  </si>
  <si>
    <t>00281220640</t>
  </si>
  <si>
    <t>00387320443</t>
  </si>
  <si>
    <t>00753770650</t>
  </si>
  <si>
    <t>01044730651</t>
  </si>
  <si>
    <t>01174860781</t>
  </si>
  <si>
    <t>00337920615</t>
  </si>
  <si>
    <t>01192340683</t>
  </si>
  <si>
    <t>00297440794</t>
  </si>
  <si>
    <t>00257580811</t>
  </si>
  <si>
    <t>00363060781</t>
  </si>
  <si>
    <t>00403120785</t>
  </si>
  <si>
    <t>00359110830</t>
  </si>
  <si>
    <t>00288790686</t>
  </si>
  <si>
    <t>00283390805</t>
  </si>
  <si>
    <t>00379080781</t>
  </si>
  <si>
    <t>00394550784</t>
  </si>
  <si>
    <t>00124600834</t>
  </si>
  <si>
    <t>00577640980</t>
  </si>
  <si>
    <t>03747990137</t>
  </si>
  <si>
    <t>00395920788</t>
  </si>
  <si>
    <t>00398580787</t>
  </si>
  <si>
    <t>00297210791</t>
  </si>
  <si>
    <t>00394310833</t>
  </si>
  <si>
    <t>00453630899</t>
  </si>
  <si>
    <t>00297970790</t>
  </si>
  <si>
    <t>00241810944</t>
  </si>
  <si>
    <t>01385940786</t>
  </si>
  <si>
    <t>00255660680</t>
  </si>
  <si>
    <t>00283420644</t>
  </si>
  <si>
    <t>00375970787</t>
  </si>
  <si>
    <t>00230740847</t>
  </si>
  <si>
    <t>01240160802</t>
  </si>
  <si>
    <t>02350240848</t>
  </si>
  <si>
    <t>00336100094</t>
  </si>
  <si>
    <t>00326580099</t>
  </si>
  <si>
    <t>00297850794</t>
  </si>
  <si>
    <t>01165330786</t>
  </si>
  <si>
    <t>00695450130</t>
  </si>
  <si>
    <t>00580240984</t>
  </si>
  <si>
    <t>00298110792</t>
  </si>
  <si>
    <t>00297640799</t>
  </si>
  <si>
    <t>00297960791</t>
  </si>
  <si>
    <t>00341180099</t>
  </si>
  <si>
    <t>00292200839</t>
  </si>
  <si>
    <t>00267230803</t>
  </si>
  <si>
    <t>01721500781</t>
  </si>
  <si>
    <t>00035480946</t>
  </si>
  <si>
    <t>00355900796</t>
  </si>
  <si>
    <t>01552200782</t>
  </si>
  <si>
    <t>00182150797</t>
  </si>
  <si>
    <t>01637380781</t>
  </si>
  <si>
    <t>00296600794</t>
  </si>
  <si>
    <t>00322590795</t>
  </si>
  <si>
    <t>00287070643</t>
  </si>
  <si>
    <t>00225220706</t>
  </si>
  <si>
    <t>01668940644</t>
  </si>
  <si>
    <t>00380690834</t>
  </si>
  <si>
    <t>00510570658</t>
  </si>
  <si>
    <t>00297670796</t>
  </si>
  <si>
    <t>00598370807</t>
  </si>
  <si>
    <t>01725440844</t>
  </si>
  <si>
    <t>00177830841</t>
  </si>
  <si>
    <t>00552610651</t>
  </si>
  <si>
    <t>00405550781</t>
  </si>
  <si>
    <t>00405200783</t>
  </si>
  <si>
    <t>00385040787</t>
  </si>
  <si>
    <t>01332520848</t>
  </si>
  <si>
    <t>01266720711</t>
  </si>
  <si>
    <t>00392700787</t>
  </si>
  <si>
    <t>00284250800</t>
  </si>
  <si>
    <t>01701660613</t>
  </si>
  <si>
    <t>00430880781</t>
  </si>
  <si>
    <t>01603830785</t>
  </si>
  <si>
    <t>00305870099</t>
  </si>
  <si>
    <t>00203910641</t>
  </si>
  <si>
    <t>00734340805</t>
  </si>
  <si>
    <t>00264540808</t>
  </si>
  <si>
    <t>00465450781</t>
  </si>
  <si>
    <t>01587530781</t>
  </si>
  <si>
    <t>00409460789</t>
  </si>
  <si>
    <t>00061480943</t>
  </si>
  <si>
    <t>00296950090</t>
  </si>
  <si>
    <t>01534690654</t>
  </si>
  <si>
    <t>02707310617</t>
  </si>
  <si>
    <t>00399640838</t>
  </si>
  <si>
    <t>00388560781</t>
  </si>
  <si>
    <t>00676920820</t>
  </si>
  <si>
    <t>00082370941</t>
  </si>
  <si>
    <t>00326540093</t>
  </si>
  <si>
    <t>00671280881</t>
  </si>
  <si>
    <t>00401530787</t>
  </si>
  <si>
    <t>02529440618</t>
  </si>
  <si>
    <t>00934250838</t>
  </si>
  <si>
    <t>00298040791</t>
  </si>
  <si>
    <t>02145901001</t>
  </si>
  <si>
    <t>00596080655</t>
  </si>
  <si>
    <t>01286100787</t>
  </si>
  <si>
    <t>00266660901</t>
  </si>
  <si>
    <t>00733560809</t>
  </si>
  <si>
    <t>00260270830</t>
  </si>
  <si>
    <t>00393710785</t>
  </si>
  <si>
    <t>01334900774</t>
  </si>
  <si>
    <t>00890760804</t>
  </si>
  <si>
    <t>00341640787</t>
  </si>
  <si>
    <t>00472080837</t>
  </si>
  <si>
    <t>00297780793</t>
  </si>
  <si>
    <t>00532510823</t>
  </si>
  <si>
    <t>00282520808</t>
  </si>
  <si>
    <t>01108650787</t>
  </si>
  <si>
    <t>00082410812</t>
  </si>
  <si>
    <t>01239050808</t>
  </si>
  <si>
    <t>00313680795</t>
  </si>
  <si>
    <t>01015640806</t>
  </si>
  <si>
    <t>01515200788</t>
  </si>
  <si>
    <t>00395370786</t>
  </si>
  <si>
    <t>00298720798</t>
  </si>
  <si>
    <t>45632178900</t>
  </si>
  <si>
    <t>00366940799</t>
  </si>
  <si>
    <t>00114760838</t>
  </si>
  <si>
    <t>00430420786</t>
  </si>
  <si>
    <t>01079800783</t>
  </si>
  <si>
    <t>02820290829</t>
  </si>
  <si>
    <t>00346710809</t>
  </si>
  <si>
    <t>00314310798</t>
  </si>
  <si>
    <t>03807550136</t>
  </si>
  <si>
    <t>01262970617</t>
  </si>
  <si>
    <t>00285740809</t>
  </si>
  <si>
    <t>00158240838</t>
  </si>
  <si>
    <t>00513260026</t>
  </si>
  <si>
    <t>00294030648</t>
  </si>
  <si>
    <t>00361220791</t>
  </si>
  <si>
    <t>00432590024</t>
  </si>
  <si>
    <t>01103740781</t>
  </si>
  <si>
    <t>01630950788</t>
  </si>
  <si>
    <t>00342960838</t>
  </si>
  <si>
    <t>00337960793</t>
  </si>
  <si>
    <t>01468070782</t>
  </si>
  <si>
    <t>00746140805</t>
  </si>
  <si>
    <t>00304310790</t>
  </si>
  <si>
    <t>00400390795</t>
  </si>
  <si>
    <t>00202480612</t>
  </si>
  <si>
    <t>00324280833</t>
  </si>
  <si>
    <t>00162630800</t>
  </si>
  <si>
    <t>00303930796</t>
  </si>
  <si>
    <t>00276350782</t>
  </si>
  <si>
    <t>00285810800</t>
  </si>
  <si>
    <t>00031730948</t>
  </si>
  <si>
    <t>00787310655</t>
  </si>
  <si>
    <t>00297110645</t>
  </si>
  <si>
    <t>00298230798</t>
  </si>
  <si>
    <t>00604670620</t>
  </si>
  <si>
    <t>00455290023</t>
  </si>
  <si>
    <t>00623030624</t>
  </si>
  <si>
    <t>00085810943</t>
  </si>
  <si>
    <t>00376490793</t>
  </si>
  <si>
    <t>00034280941</t>
  </si>
  <si>
    <t>00336470836</t>
  </si>
  <si>
    <t>80002670810</t>
  </si>
  <si>
    <t>00176920643</t>
  </si>
  <si>
    <t>80002000810</t>
  </si>
  <si>
    <t>00396920837</t>
  </si>
  <si>
    <t>00344900782</t>
  </si>
  <si>
    <t>00390470615</t>
  </si>
  <si>
    <t>00575760160</t>
  </si>
  <si>
    <t>00743620767</t>
  </si>
  <si>
    <t>00164670622</t>
  </si>
  <si>
    <t>00145100830</t>
  </si>
  <si>
    <t>00276000809</t>
  </si>
  <si>
    <t>00724640628</t>
  </si>
  <si>
    <t>00444090617</t>
  </si>
  <si>
    <t>01109380780</t>
  </si>
  <si>
    <t>00297290793</t>
  </si>
  <si>
    <t>00297630790</t>
  </si>
  <si>
    <t>00323370791</t>
  </si>
  <si>
    <t>01498550787</t>
  </si>
  <si>
    <t>00330820838</t>
  </si>
  <si>
    <t>82000950848</t>
  </si>
  <si>
    <t>00414810838</t>
  </si>
  <si>
    <t>00263860785</t>
  </si>
  <si>
    <t>00390390789</t>
  </si>
  <si>
    <t>00108070798</t>
  </si>
  <si>
    <t>00256290784</t>
  </si>
  <si>
    <t>00298100793</t>
  </si>
  <si>
    <t>00403220783</t>
  </si>
  <si>
    <t>00661380360</t>
  </si>
  <si>
    <t>00319390795</t>
  </si>
  <si>
    <t>00561870122</t>
  </si>
  <si>
    <t>02019370853</t>
  </si>
  <si>
    <t>01846470787</t>
  </si>
  <si>
    <t>00296980790</t>
  </si>
  <si>
    <t>00401030788</t>
  </si>
  <si>
    <t>00462790783</t>
  </si>
  <si>
    <t>00297800799</t>
  </si>
  <si>
    <t>01649740782</t>
  </si>
  <si>
    <t>00326670791</t>
  </si>
  <si>
    <t>01602920645</t>
  </si>
  <si>
    <t>01749360648</t>
  </si>
  <si>
    <t>00282690809</t>
  </si>
  <si>
    <t>00108980830</t>
  </si>
  <si>
    <t>01334140785</t>
  </si>
  <si>
    <t>00297820797</t>
  </si>
  <si>
    <t>00280880642</t>
  </si>
  <si>
    <t>00347890832</t>
  </si>
  <si>
    <t>00936740802</t>
  </si>
  <si>
    <t>00662180645</t>
  </si>
  <si>
    <t>01776600841</t>
  </si>
  <si>
    <t>01996080659</t>
  </si>
  <si>
    <t>00775970650</t>
  </si>
  <si>
    <t>00255490641</t>
  </si>
  <si>
    <t>00182160796</t>
  </si>
  <si>
    <t>00283710804</t>
  </si>
  <si>
    <t>00627950652</t>
  </si>
  <si>
    <t>00780640801</t>
  </si>
  <si>
    <t>01026790616</t>
  </si>
  <si>
    <t>03468330836</t>
  </si>
  <si>
    <t>00302030804</t>
  </si>
  <si>
    <t>00216210666</t>
  </si>
  <si>
    <t>01022270654</t>
  </si>
  <si>
    <t>00390090785</t>
  </si>
  <si>
    <t>01268330808</t>
  </si>
  <si>
    <t>01240170835</t>
  </si>
  <si>
    <t>00711270801</t>
  </si>
  <si>
    <t>00069960946</t>
  </si>
  <si>
    <t>00141570622</t>
  </si>
  <si>
    <t>00221370802</t>
  </si>
  <si>
    <t>00168290799</t>
  </si>
  <si>
    <t>00323430793</t>
  </si>
  <si>
    <t>01903810610</t>
  </si>
  <si>
    <t>00787220656</t>
  </si>
  <si>
    <t>00269900627</t>
  </si>
  <si>
    <t>00275230092</t>
  </si>
  <si>
    <t>00877870626</t>
  </si>
  <si>
    <t>00353840796</t>
  </si>
  <si>
    <t>01270860610</t>
  </si>
  <si>
    <t>00338220098</t>
  </si>
  <si>
    <t>00297830796</t>
  </si>
  <si>
    <t>00256700808</t>
  </si>
  <si>
    <t>01570180644</t>
  </si>
  <si>
    <t>00298600792</t>
  </si>
  <si>
    <t>01205810789</t>
  </si>
  <si>
    <t>01205380809</t>
  </si>
  <si>
    <t>00904540614</t>
  </si>
  <si>
    <t>00180620833</t>
  </si>
  <si>
    <t>00339420796</t>
  </si>
  <si>
    <t>00402260780</t>
  </si>
  <si>
    <t>01266750718</t>
  </si>
  <si>
    <t>00710280801</t>
  </si>
  <si>
    <t>00900370909</t>
  </si>
  <si>
    <t>00787430651</t>
  </si>
  <si>
    <t>01571330644</t>
  </si>
  <si>
    <t>00346710791</t>
  </si>
  <si>
    <t>01147850612</t>
  </si>
  <si>
    <t>00263400806</t>
  </si>
  <si>
    <t>01565420781</t>
  </si>
  <si>
    <t>00251040804</t>
  </si>
  <si>
    <t>00303060792</t>
  </si>
  <si>
    <t>00396610784</t>
  </si>
  <si>
    <t>00356330795</t>
  </si>
  <si>
    <t>00431430784</t>
  </si>
  <si>
    <t>00392350799</t>
  </si>
  <si>
    <t>00941340788</t>
  </si>
  <si>
    <t>00352000780</t>
  </si>
  <si>
    <t>00298220799</t>
  </si>
  <si>
    <t>00374210789</t>
  </si>
  <si>
    <t>01637150788</t>
  </si>
  <si>
    <t>00401810783</t>
  </si>
  <si>
    <t>00637690918</t>
  </si>
  <si>
    <t>83000850830</t>
  </si>
  <si>
    <t>00243300811</t>
  </si>
  <si>
    <t>01102630785</t>
  </si>
  <si>
    <t>00031500945</t>
  </si>
  <si>
    <t>00358500833</t>
  </si>
  <si>
    <t>00689060135</t>
  </si>
  <si>
    <t>00665280137</t>
  </si>
  <si>
    <t>00711160135</t>
  </si>
  <si>
    <t>00559980123</t>
  </si>
  <si>
    <t>00240690792</t>
  </si>
  <si>
    <t>00297890790</t>
  </si>
  <si>
    <t>00404880783</t>
  </si>
  <si>
    <t>00892760786</t>
  </si>
  <si>
    <t>00371570797</t>
  </si>
  <si>
    <t>00394620785</t>
  </si>
  <si>
    <t>00461950834</t>
  </si>
  <si>
    <t>00378460836</t>
  </si>
  <si>
    <t>00390480614</t>
  </si>
  <si>
    <t>00245650809</t>
  </si>
  <si>
    <t>00627060361</t>
  </si>
  <si>
    <t>00709900807</t>
  </si>
  <si>
    <t>00520700782</t>
  </si>
  <si>
    <t>00279600795</t>
  </si>
  <si>
    <t>03188690832</t>
  </si>
  <si>
    <t>00327310793</t>
  </si>
  <si>
    <t>00347570798</t>
  </si>
  <si>
    <t>03399400781</t>
  </si>
  <si>
    <t>00347860793</t>
  </si>
  <si>
    <t>00342150794</t>
  </si>
  <si>
    <t>01417600614</t>
  </si>
  <si>
    <t>01974610832</t>
  </si>
  <si>
    <t>00333020790</t>
  </si>
  <si>
    <t>00566190658</t>
  </si>
  <si>
    <t>04145950616</t>
  </si>
  <si>
    <t>00811830801</t>
  </si>
  <si>
    <t>00362320780</t>
  </si>
  <si>
    <t>00087790945</t>
  </si>
  <si>
    <t>01291600615</t>
  </si>
  <si>
    <t>00204380943</t>
  </si>
  <si>
    <t>00730350808</t>
  </si>
  <si>
    <t>03328780832</t>
  </si>
  <si>
    <t>00196700702</t>
  </si>
  <si>
    <t>00199100645</t>
  </si>
  <si>
    <t>00261180095</t>
  </si>
  <si>
    <t>01103860787</t>
  </si>
  <si>
    <t>00404280786</t>
  </si>
  <si>
    <t>00261780795</t>
  </si>
  <si>
    <t>00326650793</t>
  </si>
  <si>
    <t>01302760812</t>
  </si>
  <si>
    <t>00579050717</t>
  </si>
  <si>
    <t>00760550624</t>
  </si>
  <si>
    <t>00341680098</t>
  </si>
  <si>
    <t>00149690836</t>
  </si>
  <si>
    <t>00547700658</t>
  </si>
  <si>
    <t>00298160797</t>
  </si>
  <si>
    <t>00753410802</t>
  </si>
  <si>
    <t>00709150809</t>
  </si>
  <si>
    <t>01234470803</t>
  </si>
  <si>
    <t>01817970617</t>
  </si>
  <si>
    <t>01606620787</t>
  </si>
  <si>
    <t>01829600616</t>
  </si>
  <si>
    <t>00391170784</t>
  </si>
  <si>
    <t>00250850781</t>
  </si>
  <si>
    <t>00323400796</t>
  </si>
  <si>
    <t>01319630834</t>
  </si>
  <si>
    <t>00463870832</t>
  </si>
  <si>
    <t>00355620782</t>
  </si>
  <si>
    <t>00296630791</t>
  </si>
  <si>
    <t>00428020614</t>
  </si>
  <si>
    <t>00584850804</t>
  </si>
  <si>
    <t>00248290090</t>
  </si>
  <si>
    <t>00205770944</t>
  </si>
  <si>
    <t>02894940655</t>
  </si>
  <si>
    <t>00435020839</t>
  </si>
  <si>
    <t>01751310788</t>
  </si>
  <si>
    <t>00437840614</t>
  </si>
  <si>
    <t>00588520619</t>
  </si>
  <si>
    <t>00708900808</t>
  </si>
  <si>
    <t>00364800789</t>
  </si>
  <si>
    <t>02810650834</t>
  </si>
  <si>
    <t>00291570711</t>
  </si>
  <si>
    <t>00722090800</t>
  </si>
  <si>
    <t>00892690785</t>
  </si>
  <si>
    <t>01338430612</t>
  </si>
  <si>
    <t>03604020655</t>
  </si>
  <si>
    <t>02507750806</t>
  </si>
  <si>
    <t>00404190787</t>
  </si>
  <si>
    <t>00710510801</t>
  </si>
  <si>
    <t>00305160798</t>
  </si>
  <si>
    <t>02317620652</t>
  </si>
  <si>
    <t>01988240717</t>
  </si>
  <si>
    <t>00436200836</t>
  </si>
  <si>
    <t>00362830796</t>
  </si>
  <si>
    <t>00162590806</t>
  </si>
  <si>
    <t>01034110617</t>
  </si>
  <si>
    <t>01582160832</t>
  </si>
  <si>
    <t>00785210659</t>
  </si>
  <si>
    <t>00785180654</t>
  </si>
  <si>
    <t>01637140789</t>
  </si>
  <si>
    <t>00312790793</t>
  </si>
  <si>
    <t>03548800659</t>
  </si>
  <si>
    <t>00279810642</t>
  </si>
  <si>
    <t>01771020615</t>
  </si>
  <si>
    <t>00432860831</t>
  </si>
  <si>
    <t>01827510643</t>
  </si>
  <si>
    <t>00298080797</t>
  </si>
  <si>
    <t>00392720785</t>
  </si>
  <si>
    <t>01302890841</t>
  </si>
  <si>
    <t>00336400791</t>
  </si>
  <si>
    <t>00275600831</t>
  </si>
  <si>
    <t>00775940653</t>
  </si>
  <si>
    <t>00433190618</t>
  </si>
  <si>
    <t>00556080802</t>
  </si>
  <si>
    <t>00298090796</t>
  </si>
  <si>
    <t>84001750656</t>
  </si>
  <si>
    <t>00900390618</t>
  </si>
  <si>
    <t>00946800786</t>
  </si>
  <si>
    <t>00337940795</t>
  </si>
  <si>
    <t>00297600793</t>
  </si>
  <si>
    <t>00287530646</t>
  </si>
  <si>
    <t>00751420837</t>
  </si>
  <si>
    <t>03513930655</t>
  </si>
  <si>
    <t>00451350615</t>
  </si>
  <si>
    <t>00231010646</t>
  </si>
  <si>
    <t>00294520648</t>
  </si>
  <si>
    <t>00286270640</t>
  </si>
  <si>
    <t>00269590618</t>
  </si>
  <si>
    <t>00401300710</t>
  </si>
  <si>
    <t>00284260643</t>
  </si>
  <si>
    <t>01649030796</t>
  </si>
  <si>
    <t>00725760805</t>
  </si>
  <si>
    <t>00426710836</t>
  </si>
  <si>
    <t>00527130835</t>
  </si>
  <si>
    <t>00297380792</t>
  </si>
  <si>
    <t>00301160792</t>
  </si>
  <si>
    <t>00934880626</t>
  </si>
  <si>
    <t>00840560627</t>
  </si>
  <si>
    <t>00720540806</t>
  </si>
  <si>
    <t>00568840128</t>
  </si>
  <si>
    <t>01770970646</t>
  </si>
  <si>
    <t>01765150642</t>
  </si>
  <si>
    <t>01067490613</t>
  </si>
  <si>
    <t>00552820623</t>
  </si>
  <si>
    <t>01748220611</t>
  </si>
  <si>
    <t>00444580062</t>
  </si>
  <si>
    <t>00677690802</t>
  </si>
  <si>
    <t>01749600647</t>
  </si>
  <si>
    <t>00584860621</t>
  </si>
  <si>
    <t>00384190641</t>
  </si>
  <si>
    <t>00280370644</t>
  </si>
  <si>
    <t>00162710628</t>
  </si>
  <si>
    <t>00427820717</t>
  </si>
  <si>
    <t>01752120616</t>
  </si>
  <si>
    <t>00543570642</t>
  </si>
  <si>
    <t>00719660623</t>
  </si>
  <si>
    <t>00722650645</t>
  </si>
  <si>
    <t>00513860767</t>
  </si>
  <si>
    <t>00086220944</t>
  </si>
  <si>
    <t>00452400229</t>
  </si>
  <si>
    <t>00266790641</t>
  </si>
  <si>
    <t>01551140617</t>
  </si>
  <si>
    <t>01210140792</t>
  </si>
  <si>
    <t>00164790792</t>
  </si>
  <si>
    <t>00283270643</t>
  </si>
  <si>
    <t>00281080648</t>
  </si>
  <si>
    <t>01096280613</t>
  </si>
  <si>
    <t>01299510618</t>
  </si>
  <si>
    <t>01024090167</t>
  </si>
  <si>
    <t>02462070166</t>
  </si>
  <si>
    <t>02541640617</t>
  </si>
  <si>
    <t>00123800641</t>
  </si>
  <si>
    <t>01000330629</t>
  </si>
  <si>
    <t>00158370627</t>
  </si>
  <si>
    <t>01125531002</t>
  </si>
  <si>
    <t>01068101003</t>
  </si>
  <si>
    <t>00323360792</t>
  </si>
  <si>
    <t>01346800624</t>
  </si>
  <si>
    <t>00227100641</t>
  </si>
  <si>
    <t>01379770785</t>
  </si>
  <si>
    <t>00935280628</t>
  </si>
  <si>
    <t>02938180839</t>
  </si>
  <si>
    <t>00084690940</t>
  </si>
  <si>
    <t>00362420788</t>
  </si>
  <si>
    <t>00425340783</t>
  </si>
  <si>
    <t>01137730816</t>
  </si>
  <si>
    <t>00260620786</t>
  </si>
  <si>
    <t>00883970626</t>
  </si>
  <si>
    <t>00297450793</t>
  </si>
  <si>
    <t>00296880792</t>
  </si>
  <si>
    <t>01792920785</t>
  </si>
  <si>
    <t>01281140788</t>
  </si>
  <si>
    <t>00297920795</t>
  </si>
  <si>
    <t>02297690782</t>
  </si>
  <si>
    <t>00352800783</t>
  </si>
  <si>
    <t>00730360807</t>
  </si>
  <si>
    <t>00217520808</t>
  </si>
  <si>
    <t>00319580791</t>
  </si>
  <si>
    <t>00284410610</t>
  </si>
  <si>
    <t>01794300614</t>
  </si>
  <si>
    <t>00468100789</t>
  </si>
  <si>
    <t>00423460617</t>
  </si>
  <si>
    <t>00282020791</t>
  </si>
  <si>
    <t>00489260125</t>
  </si>
  <si>
    <t>01207810795</t>
  </si>
  <si>
    <t>00247210644</t>
  </si>
  <si>
    <t>00323880799</t>
  </si>
  <si>
    <t>00319140794</t>
  </si>
  <si>
    <t>02485300228</t>
  </si>
  <si>
    <t>00203920640</t>
  </si>
  <si>
    <t>00297440646</t>
  </si>
  <si>
    <t>00144310836</t>
  </si>
  <si>
    <t>00280410648</t>
  </si>
  <si>
    <t>00686480658</t>
  </si>
  <si>
    <t>01657500649</t>
  </si>
  <si>
    <t>00690020649</t>
  </si>
  <si>
    <t>03700710126</t>
  </si>
  <si>
    <t>01358730610</t>
  </si>
  <si>
    <t>00514760834</t>
  </si>
  <si>
    <t>03434470047</t>
  </si>
  <si>
    <t>02077720924</t>
  </si>
  <si>
    <t>00322750902</t>
  </si>
  <si>
    <t>01421240480</t>
  </si>
  <si>
    <t>01155460254</t>
  </si>
  <si>
    <t>00185610664</t>
  </si>
  <si>
    <t>00338420797</t>
  </si>
  <si>
    <t>00581260213</t>
  </si>
  <si>
    <t>02571060223</t>
  </si>
  <si>
    <t>00149000028</t>
  </si>
  <si>
    <t>01783570094</t>
  </si>
  <si>
    <t>02570500229</t>
  </si>
  <si>
    <t>01959080787</t>
  </si>
  <si>
    <t>00594290751</t>
  </si>
  <si>
    <t>02570230223</t>
  </si>
  <si>
    <t>00291010221</t>
  </si>
  <si>
    <t>00447920224</t>
  </si>
  <si>
    <t>Abruzzo</t>
  </si>
  <si>
    <t>Basilicata</t>
  </si>
  <si>
    <t>Calabria</t>
  </si>
  <si>
    <t>Campania</t>
  </si>
  <si>
    <t>Emilia-Romagna</t>
  </si>
  <si>
    <t>Friuli-Venezia Giulia</t>
  </si>
  <si>
    <t>Lazio</t>
  </si>
  <si>
    <t>Liguria</t>
  </si>
  <si>
    <t>Lombardia</t>
  </si>
  <si>
    <t>Marche</t>
  </si>
  <si>
    <t>Piemonte</t>
  </si>
  <si>
    <t>Puglia</t>
  </si>
  <si>
    <t>Sardegna</t>
  </si>
  <si>
    <t>Sicilia</t>
  </si>
  <si>
    <t>Toscana</t>
  </si>
  <si>
    <t>Umbria</t>
  </si>
  <si>
    <t>Veneto</t>
  </si>
  <si>
    <t>Corigliano-Rossano</t>
  </si>
  <si>
    <t>Capaccio Paestum</t>
  </si>
  <si>
    <t>Alta Val Tidone</t>
  </si>
  <si>
    <t>Sorbolo Mezzani</t>
  </si>
  <si>
    <t>Riva del Po</t>
  </si>
  <si>
    <t>Tresignana</t>
  </si>
  <si>
    <t>Fiumicello Villa Vicentina</t>
  </si>
  <si>
    <t>Treppo Ligosullo</t>
  </si>
  <si>
    <t>Montalto Carpasio</t>
  </si>
  <si>
    <t>Luni</t>
  </si>
  <si>
    <t>Borgo Mantovano</t>
  </si>
  <si>
    <t>Borgocarbonara</t>
  </si>
  <si>
    <t>San Giorgio Bigarello</t>
  </si>
  <si>
    <t>Cadrezzate con Osmate</t>
  </si>
  <si>
    <t>Castelgerundo</t>
  </si>
  <si>
    <t>Piadena Drizzona</t>
  </si>
  <si>
    <t>Valvarrone</t>
  </si>
  <si>
    <t>Colli Verdi</t>
  </si>
  <si>
    <t>Vermezzo con Zelo</t>
  </si>
  <si>
    <t>Centro Valle Intelvi</t>
  </si>
  <si>
    <t>Solbiate con Cagno</t>
  </si>
  <si>
    <t>Sassocorvaro Auditore</t>
  </si>
  <si>
    <t>Gattico-Veruno</t>
  </si>
  <si>
    <t>Valle Cannobina</t>
  </si>
  <si>
    <t>Quaregna Cerreto</t>
  </si>
  <si>
    <t>Valdilana</t>
  </si>
  <si>
    <t>Alto Sermenza</t>
  </si>
  <si>
    <t>Cellio con Breia</t>
  </si>
  <si>
    <t>Alluvioni Piovera</t>
  </si>
  <si>
    <t>Val di Chy</t>
  </si>
  <si>
    <t>Valchiusa</t>
  </si>
  <si>
    <t>Fubine Monferrato</t>
  </si>
  <si>
    <t>Lu e Cuccaro Monferrato</t>
  </si>
  <si>
    <t>Presicce-Acquarica</t>
  </si>
  <si>
    <t>Barberino Tavarnelle</t>
  </si>
  <si>
    <t>Laterina Pergine Valdarno</t>
  </si>
  <si>
    <t>Rio</t>
  </si>
  <si>
    <t>Terre d'Adige</t>
  </si>
  <si>
    <t>Ville d'Anaunia</t>
  </si>
  <si>
    <t>Colceresa</t>
  </si>
  <si>
    <t>Lusiana Conco</t>
  </si>
  <si>
    <t>Valbrenta</t>
  </si>
  <si>
    <t>Borgo Valbelluna</t>
  </si>
  <si>
    <t>Borgo Veneto</t>
  </si>
  <si>
    <t>Barbarano Mossano</t>
  </si>
  <si>
    <t>Pieve del Grappa</t>
  </si>
  <si>
    <t>078157</t>
  </si>
  <si>
    <t>033049</t>
  </si>
  <si>
    <t>034051</t>
  </si>
  <si>
    <t>038029</t>
  </si>
  <si>
    <t>038030</t>
  </si>
  <si>
    <t>030190</t>
  </si>
  <si>
    <t>030191</t>
  </si>
  <si>
    <t>008068</t>
  </si>
  <si>
    <t>020072</t>
  </si>
  <si>
    <t>020073</t>
  </si>
  <si>
    <t>012143</t>
  </si>
  <si>
    <t>098062</t>
  </si>
  <si>
    <t>019116</t>
  </si>
  <si>
    <t>097093</t>
  </si>
  <si>
    <t>016215</t>
  </si>
  <si>
    <t>018193</t>
  </si>
  <si>
    <t>015251</t>
  </si>
  <si>
    <t>013254</t>
  </si>
  <si>
    <t>013255</t>
  </si>
  <si>
    <t>041071</t>
  </si>
  <si>
    <t>003166</t>
  </si>
  <si>
    <t>103079</t>
  </si>
  <si>
    <t>096087</t>
  </si>
  <si>
    <t>096088</t>
  </si>
  <si>
    <t>002170</t>
  </si>
  <si>
    <t>002171</t>
  </si>
  <si>
    <t>006192</t>
  </si>
  <si>
    <t>006191</t>
  </si>
  <si>
    <t>001317</t>
  </si>
  <si>
    <t>001318</t>
  </si>
  <si>
    <t>006193</t>
  </si>
  <si>
    <t>075098</t>
  </si>
  <si>
    <t>048054</t>
  </si>
  <si>
    <t>051042</t>
  </si>
  <si>
    <t>049021</t>
  </si>
  <si>
    <t>022250</t>
  </si>
  <si>
    <t>022251</t>
  </si>
  <si>
    <t>024126</t>
  </si>
  <si>
    <t>024127</t>
  </si>
  <si>
    <t>024125</t>
  </si>
  <si>
    <t>025074</t>
  </si>
  <si>
    <t>028107</t>
  </si>
  <si>
    <t>024124</t>
  </si>
  <si>
    <t>026096</t>
  </si>
  <si>
    <t>Ente di Governo per i Rifiuti e le Risorse Idriche della Basilicata</t>
  </si>
  <si>
    <t>Ente Idrico Campano</t>
  </si>
  <si>
    <t>AGENZIA TERRITORIALE DELL'EMILIA ROMAGNA PER I SERVIZI IDRICI E I RIFIUTI</t>
  </si>
  <si>
    <t>AUTORITA' UNICA PER I SERVIZI IDRICI E I RIFIUTI</t>
  </si>
  <si>
    <t>ENTE D'AMBITO TERRITORIALE OTTIMALE n4 "LAZIO MERIDIONALE-LATINA"</t>
  </si>
  <si>
    <t>ENTE DI GOVERNO DELL'A.T.O. N° 1 LAZIO NORD - VITERBO</t>
  </si>
  <si>
    <t>Autorità dell'Ambito Territoriale Ottimale n.3 Lazio Centrale - Rieti</t>
  </si>
  <si>
    <t>A.T.O. - Ovest - Provincia di Imperia</t>
  </si>
  <si>
    <t>CITTA' METROPOLITANA DI GENOVA ENTE DI GOVERNO D'AMBITO CENTRO EST</t>
  </si>
  <si>
    <t>ATO EST: PROVINCIA DELLA SPEZIA</t>
  </si>
  <si>
    <t>Ufficio d'Ambito Territoriale Ottimale della Provincia di Varese</t>
  </si>
  <si>
    <t>Azienda Speciale "Ufficio d'Ambito Territoriale Ottimale della Provincia di Pavia"</t>
  </si>
  <si>
    <t>Ufficio d'Ambito di Brescia</t>
  </si>
  <si>
    <t>Ufficio d'Ambito della Città Metropolitana di Milano</t>
  </si>
  <si>
    <t>Ufficio d'ambito della Provincia di Monza Brianza</t>
  </si>
  <si>
    <t>Assemblea di Ambito territoriale ottimale n. 2 Marche Centro - Ancona</t>
  </si>
  <si>
    <t>Autorità di Ambito Territoriale Ottimale n. 4 MARCHE Centro Sud - Fermano e Maceratese</t>
  </si>
  <si>
    <t>Assemblea di Ambito Territoriale Ottimale n. 3 Marche Centro - Macerata</t>
  </si>
  <si>
    <t>Assemblea di Ambito Territoriale Ottimale n. 5 MARCHE SUD - ASCOLI PICENO E FERMO</t>
  </si>
  <si>
    <t>Assemblea di Ambito territoriale ottimale n.1 Marche Nord Pesaro e Urbino</t>
  </si>
  <si>
    <t>Ente di governo d'Ambito n.4 Cuneese per i Servizi Idrici</t>
  </si>
  <si>
    <t>Autorità d'ambito n. 3 Torinese</t>
  </si>
  <si>
    <t>Ente di Governo dell'Ambito n. 5 Astigiano Monferrato</t>
  </si>
  <si>
    <t>ENTE DI GOVERNO DELL'AMBITO DELLA SARDEGNA</t>
  </si>
  <si>
    <t>ASSEMBLEA TERRITORIALE IDRICA DI RAGUSA</t>
  </si>
  <si>
    <t>assemblea territoriale idrica di messina</t>
  </si>
  <si>
    <t>Assemblea territoriale idrica di Trapani</t>
  </si>
  <si>
    <t>Assemblea Territoriale Idrica Catania</t>
  </si>
  <si>
    <t>Assemblea Territoriale Idrica AG9 - Agrigento</t>
  </si>
  <si>
    <t>ASSEMBLEA TERRITORIALE IDRICA PALERMO</t>
  </si>
  <si>
    <t>Consorzio dei Comuni della Valle d'Aosta Bacino Imbrifero Montano</t>
  </si>
  <si>
    <t>Consiglio di Bacino "Veneto Orientale"</t>
  </si>
  <si>
    <t xml:space="preserve">Corigliano-Rossano (CS) </t>
  </si>
  <si>
    <t xml:space="preserve">Capaccio Paestum (SA) </t>
  </si>
  <si>
    <t xml:space="preserve">Alta Val Tidone (PC) </t>
  </si>
  <si>
    <t xml:space="preserve">Sorbolo Mezzani (PR) </t>
  </si>
  <si>
    <t xml:space="preserve">Riva del Po (FE) </t>
  </si>
  <si>
    <t xml:space="preserve">Tresignana (FE) </t>
  </si>
  <si>
    <t xml:space="preserve">Fiumicello Villa Vicentina (UD) </t>
  </si>
  <si>
    <t xml:space="preserve">Treppo Ligosullo (UD) </t>
  </si>
  <si>
    <t xml:space="preserve">Montalto Carpasio (IM) </t>
  </si>
  <si>
    <t xml:space="preserve">Luni (SP) </t>
  </si>
  <si>
    <t xml:space="preserve">Borgo Mantovano (MN) </t>
  </si>
  <si>
    <t xml:space="preserve">Borgocarbonara (MN) </t>
  </si>
  <si>
    <t xml:space="preserve">San Giorgio Bigarello (MN) </t>
  </si>
  <si>
    <t xml:space="preserve">Cadrezzate con Osmate (VA) </t>
  </si>
  <si>
    <t xml:space="preserve">Castelgerundo (LO) </t>
  </si>
  <si>
    <t xml:space="preserve">Piadena Drizzona (CR) </t>
  </si>
  <si>
    <t xml:space="preserve">Valvarrone (LC) </t>
  </si>
  <si>
    <t xml:space="preserve">Torre de' Busi (BG) </t>
  </si>
  <si>
    <t xml:space="preserve">Colli Verdi (PV) </t>
  </si>
  <si>
    <t xml:space="preserve">Vermezzo con Zelo (MI) </t>
  </si>
  <si>
    <t xml:space="preserve">Centro Valle Intelvi (CO) </t>
  </si>
  <si>
    <t xml:space="preserve">Solbiate con Cagno (CO) </t>
  </si>
  <si>
    <t xml:space="preserve">Sassocorvaro Auditore (PU) </t>
  </si>
  <si>
    <t xml:space="preserve">Gattico-Veruno (NO) </t>
  </si>
  <si>
    <t xml:space="preserve">Valle Cannobina (VB) </t>
  </si>
  <si>
    <t xml:space="preserve">Quaregna Cerreto (BI) </t>
  </si>
  <si>
    <t xml:space="preserve">Valdilana (BI) </t>
  </si>
  <si>
    <t xml:space="preserve">Alto Sermenza (VC) </t>
  </si>
  <si>
    <t xml:space="preserve">Cellio con Breia (VC) </t>
  </si>
  <si>
    <t xml:space="preserve">Alluvioni Piovera (AL) </t>
  </si>
  <si>
    <t xml:space="preserve">Val di Chy (TO) </t>
  </si>
  <si>
    <t xml:space="preserve">Valchiusa (TO) </t>
  </si>
  <si>
    <t xml:space="preserve">Fubine Monferrato (AL) </t>
  </si>
  <si>
    <t xml:space="preserve">Lu e Cuccaro Monferrato (AL) </t>
  </si>
  <si>
    <t xml:space="preserve">Presicce-Acquarica (LE) </t>
  </si>
  <si>
    <t xml:space="preserve">Barberino Tavarnelle (FI) </t>
  </si>
  <si>
    <t xml:space="preserve">Laterina Pergine Valdarno (AR) </t>
  </si>
  <si>
    <t xml:space="preserve">Rio (LI) </t>
  </si>
  <si>
    <t xml:space="preserve">Terre d'Adige (TN) </t>
  </si>
  <si>
    <t xml:space="preserve">Ville d'Anaunia (TN) </t>
  </si>
  <si>
    <t xml:space="preserve">Colceresa (VI) </t>
  </si>
  <si>
    <t xml:space="preserve">Lusiana Conco (VI) </t>
  </si>
  <si>
    <t xml:space="preserve">Valbrenta (VI) </t>
  </si>
  <si>
    <t xml:space="preserve">Borgo Valbelluna (BL) </t>
  </si>
  <si>
    <t xml:space="preserve">Borgo Veneto (PD) </t>
  </si>
  <si>
    <t xml:space="preserve">Barbarano Mossano (VI) </t>
  </si>
  <si>
    <t xml:space="preserve">Pieve del Grappa (TV) </t>
  </si>
  <si>
    <t>ATO MI - Città Metropolitana di Milano</t>
  </si>
  <si>
    <t>ATO NL - TRENTO</t>
  </si>
  <si>
    <t>ATO BOLZANO</t>
  </si>
  <si>
    <t>ATO PUSTERIA</t>
  </si>
  <si>
    <t>ATO VAL VENOSTA</t>
  </si>
  <si>
    <t>ATO VALLE ISARCO</t>
  </si>
  <si>
    <t>ATO Centro-Est (GENOVA)</t>
  </si>
  <si>
    <t>ATO Ovest (IMPERIA)</t>
  </si>
  <si>
    <t>ATO Est (LA SPEZIA)</t>
  </si>
  <si>
    <t>ATO Centro-Ovest 1 (SAVONA)</t>
  </si>
  <si>
    <t>ATO Centro-Ovest 2 (SAVONA)</t>
  </si>
  <si>
    <t>ATO 8 - FORLI'-CESENA</t>
  </si>
  <si>
    <t>AMBITO DISTRETTUALE NAPOLI</t>
  </si>
  <si>
    <t>AMBITO DISTRETTUALE SELE</t>
  </si>
  <si>
    <t>AMBITO DISTRETTUALE SARNESE-VESUVIANO</t>
  </si>
  <si>
    <t>AMBITO DISTRETTUALE CASERTA - TERRA DI LAVORO</t>
  </si>
  <si>
    <t>ATO UNICO REGIONE CALABRIA</t>
  </si>
  <si>
    <t>ATO SARDEGNA</t>
  </si>
  <si>
    <r>
      <t>VRG</t>
    </r>
    <r>
      <rPr>
        <vertAlign val="subscript"/>
        <sz val="10"/>
        <color theme="1"/>
        <rFont val="Arial Narrow"/>
        <family val="2"/>
      </rPr>
      <t>PM</t>
    </r>
  </si>
  <si>
    <t>soggetti_proprietari</t>
  </si>
  <si>
    <t>controllo_errori</t>
  </si>
  <si>
    <t>cespiti_proprietari</t>
  </si>
  <si>
    <t>IMN_Proprietari</t>
  </si>
  <si>
    <t>errore_voci_di_cui</t>
  </si>
  <si>
    <t>mancata_compilazione</t>
  </si>
  <si>
    <t>Tipologia di costo sotteso</t>
  </si>
  <si>
    <t>AMM (eventuale detrazione da "Input per calcoli finali")</t>
  </si>
  <si>
    <t>OF (eventuale detrazione da "Input per calcoli finali")</t>
  </si>
  <si>
    <t>OFisc ( (eventuale detrazione da "Input per calcoli finali")</t>
  </si>
  <si>
    <r>
      <t>Opex</t>
    </r>
    <r>
      <rPr>
        <vertAlign val="subscript"/>
        <sz val="10"/>
        <rFont val="Arial Narrow"/>
        <family val="2"/>
      </rPr>
      <t>end</t>
    </r>
    <r>
      <rPr>
        <sz val="10"/>
        <rFont val="Arial Narrow"/>
        <family val="2"/>
      </rPr>
      <t xml:space="preserve"> (eventuale detrazione da "Input per calcoli finali")</t>
    </r>
  </si>
  <si>
    <r>
      <t>Opex</t>
    </r>
    <r>
      <rPr>
        <vertAlign val="subscript"/>
        <sz val="10"/>
        <rFont val="Arial Narrow"/>
        <family val="2"/>
      </rPr>
      <t>al</t>
    </r>
    <r>
      <rPr>
        <vertAlign val="superscript"/>
        <sz val="10"/>
        <rFont val="Arial Narrow"/>
        <family val="2"/>
      </rPr>
      <t>a</t>
    </r>
    <r>
      <rPr>
        <sz val="10"/>
        <rFont val="Arial Narrow"/>
        <family val="2"/>
      </rPr>
      <t xml:space="preserve">  (eventuale detrazione da "Input per calcoli finali")</t>
    </r>
  </si>
  <si>
    <r>
      <t>ERC</t>
    </r>
    <r>
      <rPr>
        <vertAlign val="subscript"/>
        <sz val="10"/>
        <color theme="1"/>
        <rFont val="Arial Narrow"/>
        <family val="2"/>
      </rPr>
      <t xml:space="preserve">capex </t>
    </r>
    <r>
      <rPr>
        <sz val="10"/>
        <color theme="1"/>
        <rFont val="Arial Narrow"/>
        <family val="2"/>
      </rPr>
      <t xml:space="preserve"> (eventuale detrazione da "Input per calcoli finali")</t>
    </r>
  </si>
  <si>
    <r>
      <t>ERC</t>
    </r>
    <r>
      <rPr>
        <vertAlign val="subscript"/>
        <sz val="10"/>
        <color theme="1"/>
        <rFont val="Arial Narrow"/>
        <family val="2"/>
      </rPr>
      <t xml:space="preserve">opex </t>
    </r>
    <r>
      <rPr>
        <sz val="10"/>
        <color theme="1"/>
        <rFont val="Arial Narrow"/>
        <family val="2"/>
      </rPr>
      <t xml:space="preserve"> (eventuale detrazione da "Input per calcoli finali")</t>
    </r>
  </si>
  <si>
    <r>
      <t>Rc</t>
    </r>
    <r>
      <rPr>
        <vertAlign val="subscript"/>
        <sz val="10"/>
        <color theme="1"/>
        <rFont val="Arial Narrow"/>
        <family val="2"/>
      </rPr>
      <t xml:space="preserve">vol </t>
    </r>
    <r>
      <rPr>
        <sz val="10"/>
        <color theme="1"/>
        <rFont val="Arial Narrow"/>
        <family val="2"/>
      </rPr>
      <t xml:space="preserve"> (eventuale detrazione da "Input per calcoli finali")</t>
    </r>
  </si>
  <si>
    <r>
      <t>Rc</t>
    </r>
    <r>
      <rPr>
        <vertAlign val="subscript"/>
        <sz val="10"/>
        <color theme="1"/>
        <rFont val="Arial Narrow"/>
        <family val="2"/>
      </rPr>
      <t xml:space="preserve">EE </t>
    </r>
    <r>
      <rPr>
        <sz val="10"/>
        <color theme="1"/>
        <rFont val="Arial Narrow"/>
        <family val="2"/>
      </rPr>
      <t xml:space="preserve"> (eventuale detrazione da "Input per calcoli finali")</t>
    </r>
  </si>
  <si>
    <r>
      <t>Rc</t>
    </r>
    <r>
      <rPr>
        <vertAlign val="subscript"/>
        <sz val="10"/>
        <color theme="1"/>
        <rFont val="Arial Narrow"/>
        <family val="2"/>
      </rPr>
      <t xml:space="preserve">ws </t>
    </r>
    <r>
      <rPr>
        <sz val="10"/>
        <color theme="1"/>
        <rFont val="Arial Narrow"/>
        <family val="2"/>
      </rPr>
      <t xml:space="preserve"> (eventuale detrazione da "Input per calcoli finali")</t>
    </r>
  </si>
  <si>
    <r>
      <t>Rc</t>
    </r>
    <r>
      <rPr>
        <vertAlign val="subscript"/>
        <sz val="10"/>
        <color theme="1"/>
        <rFont val="Arial Narrow"/>
        <family val="2"/>
      </rPr>
      <t xml:space="preserve">ERC </t>
    </r>
    <r>
      <rPr>
        <sz val="10"/>
        <color theme="1"/>
        <rFont val="Arial Narrow"/>
        <family val="2"/>
      </rPr>
      <t xml:space="preserve"> (eventuale detrazione da "Input per calcoli finali")</t>
    </r>
  </si>
  <si>
    <r>
      <t>Rc</t>
    </r>
    <r>
      <rPr>
        <vertAlign val="superscript"/>
        <sz val="11"/>
        <color theme="1"/>
        <rFont val="Arial Narrow"/>
        <family val="2"/>
      </rPr>
      <t>a</t>
    </r>
    <r>
      <rPr>
        <vertAlign val="subscript"/>
        <sz val="11"/>
        <color theme="1"/>
        <rFont val="Arial Narrow"/>
        <family val="2"/>
      </rPr>
      <t>Altro</t>
    </r>
    <r>
      <rPr>
        <sz val="10"/>
        <color theme="1"/>
        <rFont val="Arial Narrow"/>
        <family val="2"/>
      </rPr>
      <t xml:space="preserve">  (eventuale detrazione da "Input per calcoli finali")</t>
    </r>
  </si>
  <si>
    <r>
      <t>al netto di quanto riconosciuto nella componente ERC</t>
    </r>
    <r>
      <rPr>
        <i/>
        <vertAlign val="subscript"/>
        <sz val="10"/>
        <color rgb="FFFF0000"/>
        <rFont val="Arial Narrow"/>
        <family val="2"/>
      </rPr>
      <t>capex</t>
    </r>
  </si>
  <si>
    <t>€/mc</t>
  </si>
  <si>
    <t>trasporto e smaltimento fanghi (da terzi)</t>
  </si>
  <si>
    <t>trasporto e smaltimento fanghi (da altre imprese del gruppo)</t>
  </si>
  <si>
    <t>di cui per uso impianti di altre imprese del gruppo</t>
  </si>
  <si>
    <t>di cui altre spese verso altre imprese del gruppo</t>
  </si>
  <si>
    <t>Rimodulazioni relative alla componente Capex</t>
  </si>
  <si>
    <t>Rimodulazioni relative alla componente Opex</t>
  </si>
  <si>
    <t>Rimodulazioni relative alla componente ERC</t>
  </si>
  <si>
    <t>Sezione "Rimodulazioni"</t>
  </si>
  <si>
    <r>
      <rPr>
        <sz val="10"/>
        <color theme="1"/>
        <rFont val="Arial Narrow"/>
        <family val="2"/>
      </rPr>
      <t xml:space="preserve">Limite al </t>
    </r>
    <r>
      <rPr>
        <b/>
        <sz val="10"/>
        <color theme="1"/>
        <rFont val="Arial Narrow"/>
        <family val="2"/>
      </rPr>
      <t>VRG</t>
    </r>
    <r>
      <rPr>
        <vertAlign val="superscript"/>
        <sz val="10"/>
        <color theme="1"/>
        <rFont val="Arial Narrow"/>
        <family val="2"/>
      </rPr>
      <t>a</t>
    </r>
    <r>
      <rPr>
        <sz val="10"/>
        <color theme="1"/>
        <rFont val="Arial Narrow"/>
        <family val="2"/>
      </rPr>
      <t xml:space="preserve"> </t>
    </r>
  </si>
  <si>
    <t xml:space="preserve">Limite al moltiplicatore </t>
  </si>
  <si>
    <t>Limite al moltiplicatore post eventuali detrazioni</t>
  </si>
  <si>
    <r>
      <t>VRG</t>
    </r>
    <r>
      <rPr>
        <vertAlign val="superscript"/>
        <sz val="10"/>
        <color theme="1"/>
        <rFont val="Arial Narrow"/>
        <family val="2"/>
      </rPr>
      <t>a</t>
    </r>
    <r>
      <rPr>
        <sz val="10"/>
        <color theme="1"/>
        <rFont val="Arial Narrow"/>
        <family val="2"/>
      </rPr>
      <t xml:space="preserve"> calc post eventuali detrazioni</t>
    </r>
  </si>
  <si>
    <r>
      <rPr>
        <sz val="10"/>
        <color theme="1"/>
        <rFont val="Symbol"/>
        <family val="1"/>
        <charset val="2"/>
      </rPr>
      <t>J</t>
    </r>
    <r>
      <rPr>
        <vertAlign val="superscript"/>
        <sz val="10"/>
        <color theme="1"/>
        <rFont val="Arial Narrow"/>
        <family val="2"/>
      </rPr>
      <t xml:space="preserve">a </t>
    </r>
    <r>
      <rPr>
        <sz val="10"/>
        <color theme="1"/>
        <rFont val="Arial Narrow"/>
        <family val="2"/>
      </rPr>
      <t>calc post eventuali detrazioni</t>
    </r>
  </si>
  <si>
    <r>
      <rPr>
        <sz val="10"/>
        <color theme="1"/>
        <rFont val="Arial Narrow"/>
        <family val="2"/>
      </rPr>
      <t xml:space="preserve">Limite al </t>
    </r>
    <r>
      <rPr>
        <b/>
        <sz val="10"/>
        <color theme="1"/>
        <rFont val="Arial Narrow"/>
        <family val="2"/>
      </rPr>
      <t>VRG</t>
    </r>
    <r>
      <rPr>
        <vertAlign val="superscript"/>
        <sz val="10"/>
        <color theme="1"/>
        <rFont val="Arial Narrow"/>
        <family val="2"/>
      </rPr>
      <t>a</t>
    </r>
    <r>
      <rPr>
        <sz val="10"/>
        <color theme="1"/>
        <rFont val="Arial Narrow"/>
        <family val="2"/>
      </rPr>
      <t xml:space="preserve"> post eventuali detrazioni</t>
    </r>
  </si>
  <si>
    <r>
      <t>VRG</t>
    </r>
    <r>
      <rPr>
        <vertAlign val="superscript"/>
        <sz val="10"/>
        <color theme="1"/>
        <rFont val="Arial Narrow"/>
        <family val="2"/>
      </rPr>
      <t>a</t>
    </r>
    <r>
      <rPr>
        <sz val="10"/>
        <color theme="1"/>
        <rFont val="Arial Narrow"/>
        <family val="2"/>
      </rPr>
      <t xml:space="preserve"> calc post ulteriori rimodulazioni</t>
    </r>
  </si>
  <si>
    <r>
      <rPr>
        <sz val="10"/>
        <color theme="1"/>
        <rFont val="Symbol"/>
        <family val="1"/>
        <charset val="2"/>
      </rPr>
      <t>J</t>
    </r>
    <r>
      <rPr>
        <vertAlign val="superscript"/>
        <sz val="10"/>
        <color theme="1"/>
        <rFont val="Arial Narrow"/>
        <family val="2"/>
      </rPr>
      <t xml:space="preserve">a </t>
    </r>
    <r>
      <rPr>
        <sz val="10"/>
        <color theme="1"/>
        <rFont val="Arial Narrow"/>
        <family val="2"/>
      </rPr>
      <t>calc post ulteriori rimodulazioni</t>
    </r>
  </si>
  <si>
    <r>
      <rPr>
        <sz val="10"/>
        <color theme="1"/>
        <rFont val="Arial Narrow"/>
        <family val="2"/>
      </rPr>
      <t xml:space="preserve">Limite al </t>
    </r>
    <r>
      <rPr>
        <b/>
        <sz val="10"/>
        <color theme="1"/>
        <rFont val="Arial Narrow"/>
        <family val="2"/>
      </rPr>
      <t>VRG</t>
    </r>
    <r>
      <rPr>
        <vertAlign val="superscript"/>
        <sz val="10"/>
        <color theme="1"/>
        <rFont val="Arial Narrow"/>
        <family val="2"/>
      </rPr>
      <t>a</t>
    </r>
    <r>
      <rPr>
        <sz val="10"/>
        <color theme="1"/>
        <rFont val="Arial Narrow"/>
        <family val="2"/>
      </rPr>
      <t xml:space="preserve"> post ulteriori rimodulazioni</t>
    </r>
  </si>
  <si>
    <t>Limite al moltiplicatore post ulteriori rimodulazioni</t>
  </si>
  <si>
    <t>SVILUPPO DEL VRG predisposto dal soggetto competente (include eventuali rimodulazioni)</t>
  </si>
  <si>
    <t>Elenco Bacini Tariffari</t>
  </si>
  <si>
    <t>Bacini Tariffari e Comuni per Bacino Tariffario</t>
  </si>
  <si>
    <t>Struttura dei corrispettivi</t>
  </si>
  <si>
    <t>Ricavi tariffari totali per Bacino Tariffario</t>
  </si>
  <si>
    <r>
      <t>Opex</t>
    </r>
    <r>
      <rPr>
        <vertAlign val="superscript"/>
        <sz val="10"/>
        <rFont val="Arial Narrow"/>
        <family val="2"/>
      </rPr>
      <t>a</t>
    </r>
    <r>
      <rPr>
        <vertAlign val="subscript"/>
        <sz val="10"/>
        <rFont val="Arial Narrow"/>
        <family val="2"/>
      </rPr>
      <t>QT</t>
    </r>
    <r>
      <rPr>
        <sz val="10"/>
        <rFont val="Arial Narrow"/>
        <family val="2"/>
      </rPr>
      <t xml:space="preserve"> </t>
    </r>
  </si>
  <si>
    <r>
      <t>Op</t>
    </r>
    <r>
      <rPr>
        <vertAlign val="superscript"/>
        <sz val="10"/>
        <rFont val="Arial Narrow"/>
        <family val="2"/>
      </rPr>
      <t>a</t>
    </r>
    <r>
      <rPr>
        <vertAlign val="subscript"/>
        <sz val="10"/>
        <rFont val="Arial Narrow"/>
        <family val="2"/>
      </rPr>
      <t>social</t>
    </r>
  </si>
  <si>
    <r>
      <t>Op</t>
    </r>
    <r>
      <rPr>
        <vertAlign val="superscript"/>
        <sz val="10"/>
        <rFont val="Arial Narrow"/>
        <family val="2"/>
      </rPr>
      <t>a</t>
    </r>
    <r>
      <rPr>
        <vertAlign val="subscript"/>
        <sz val="10"/>
        <rFont val="Arial Narrow"/>
        <family val="2"/>
      </rPr>
      <t>mis</t>
    </r>
  </si>
  <si>
    <t>IMN - proprietari</t>
  </si>
  <si>
    <t>IMN - gestore</t>
  </si>
  <si>
    <t>Dati tecnici</t>
  </si>
  <si>
    <t>Dati_tecnici</t>
  </si>
  <si>
    <t>limite alla crescita annuale del moltiplicatore tariffario</t>
  </si>
  <si>
    <t>Ricavi tariffari - Collettamento e depurazione reflui industriali</t>
  </si>
  <si>
    <t>Ricavi_Coll_Dep</t>
  </si>
  <si>
    <r>
      <t>Rc</t>
    </r>
    <r>
      <rPr>
        <vertAlign val="subscript"/>
        <sz val="10"/>
        <color theme="1"/>
        <rFont val="Arial Narrow"/>
        <family val="2"/>
      </rPr>
      <t>IP</t>
    </r>
    <r>
      <rPr>
        <sz val="10"/>
        <color theme="1"/>
        <rFont val="Arial Narrow"/>
        <family val="2"/>
      </rPr>
      <t xml:space="preserve"> (valori a moneta a-2, include eventuale FoNI</t>
    </r>
    <r>
      <rPr>
        <vertAlign val="subscript"/>
        <sz val="10"/>
        <color theme="1"/>
        <rFont val="Arial Narrow"/>
        <family val="2"/>
      </rPr>
      <t>noninv</t>
    </r>
    <r>
      <rPr>
        <sz val="10"/>
        <color theme="1"/>
        <rFont val="Arial Narrow"/>
        <family val="2"/>
      </rPr>
      <t>)</t>
    </r>
  </si>
  <si>
    <t>STATO PATRIMONIALE</t>
  </si>
  <si>
    <t xml:space="preserve">Ricavi per scostamento tra tariffe effettivamente applicate rispetto al VRG calcolato per l'anno (a-2) </t>
  </si>
  <si>
    <r>
      <t>(tarif</t>
    </r>
    <r>
      <rPr>
        <vertAlign val="superscript"/>
        <sz val="10"/>
        <color theme="1"/>
        <rFont val="Arial Narrow"/>
        <family val="2"/>
      </rPr>
      <t>a-2</t>
    </r>
    <r>
      <rPr>
        <sz val="10"/>
        <color theme="1"/>
        <rFont val="Arial Narrow"/>
        <family val="2"/>
      </rPr>
      <t>vscal</t>
    </r>
    <r>
      <rPr>
        <vertAlign val="superscript"/>
        <sz val="10"/>
        <color theme="1"/>
        <rFont val="Arial Narrow"/>
        <family val="2"/>
      </rPr>
      <t>a-2</t>
    </r>
    <r>
      <rPr>
        <sz val="10"/>
        <color theme="1"/>
        <rFont val="Arial Narrow"/>
        <family val="2"/>
      </rPr>
      <t>) (sottraendo, include dettaglio, ingrosso, ind)</t>
    </r>
  </si>
  <si>
    <t>4 - Totale ricavi da Tariffe Industriali</t>
  </si>
  <si>
    <r>
      <t>Ricavi Tariffe Industriali per componente RC</t>
    </r>
    <r>
      <rPr>
        <b/>
        <vertAlign val="subscript"/>
        <sz val="12"/>
        <color theme="0"/>
        <rFont val="Calibri"/>
        <family val="2"/>
      </rPr>
      <t>vol</t>
    </r>
  </si>
  <si>
    <t>Prerequisiti</t>
  </si>
  <si>
    <t xml:space="preserve">Valori in euro </t>
  </si>
  <si>
    <t>errori_compilazione</t>
  </si>
  <si>
    <t>errore_PdI</t>
  </si>
  <si>
    <t>Sono_presenti_errori</t>
  </si>
  <si>
    <t>presenza errori di compilazione
nel fogli dei cronoprogrammi</t>
  </si>
  <si>
    <t>Prerequisito 1, M1, MC2</t>
  </si>
  <si>
    <t>ACQ</t>
  </si>
  <si>
    <t>Il gestore gestisce il servizio di acquedotto?
Se sì, specificare:</t>
  </si>
  <si>
    <t>Al fine del calcolo dei macro-indicatori è necessario indicare se il servizio è gestito</t>
  </si>
  <si>
    <t>ACQ_c</t>
  </si>
  <si>
    <t>- captazione</t>
  </si>
  <si>
    <t>ACQ_a</t>
  </si>
  <si>
    <t>- adduzione</t>
  </si>
  <si>
    <t>ACQ_p</t>
  </si>
  <si>
    <t>-  potabilizzazione</t>
  </si>
  <si>
    <t>ACQ_d</t>
  </si>
  <si>
    <t>- distribuzione</t>
  </si>
  <si>
    <t>PRA</t>
  </si>
  <si>
    <t>Popolazione residente servita (PRA)</t>
  </si>
  <si>
    <t>ab.</t>
  </si>
  <si>
    <t>PFA</t>
  </si>
  <si>
    <t>Popolazione fluttuante (PFA)</t>
  </si>
  <si>
    <t>ComA</t>
  </si>
  <si>
    <t>Numero di comuni serviti (ComA)</t>
  </si>
  <si>
    <t xml:space="preserve">n. </t>
  </si>
  <si>
    <t>SUA</t>
  </si>
  <si>
    <t>Superficie  (SUA)</t>
  </si>
  <si>
    <t>kmq</t>
  </si>
  <si>
    <r>
      <t>EE</t>
    </r>
    <r>
      <rPr>
        <vertAlign val="subscript"/>
        <sz val="11"/>
        <color indexed="8"/>
        <rFont val="Calibri"/>
        <family val="2"/>
        <scheme val="minor"/>
      </rPr>
      <t>ACQ</t>
    </r>
  </si>
  <si>
    <t>Consumo di energia elettrica per servizio di acquedotto, al netto dell'energia autoprodotta</t>
  </si>
  <si>
    <t>Il dato include la quota parte relativa ai servizi comuni</t>
  </si>
  <si>
    <r>
      <t>EE</t>
    </r>
    <r>
      <rPr>
        <vertAlign val="subscript"/>
        <sz val="11"/>
        <color indexed="8"/>
        <rFont val="Calibri"/>
        <family val="2"/>
        <scheme val="minor"/>
      </rPr>
      <t>AAI</t>
    </r>
  </si>
  <si>
    <t>Consumo di energia elettrica per Altre Attività Idriche (definizione rilevante ai sensi dell'unbundling)</t>
  </si>
  <si>
    <t>Somma dei volumi di processo totali (presi ognuno in valore assoluto)</t>
  </si>
  <si>
    <t>mc</t>
  </si>
  <si>
    <t>Nei volumi di processo sono compresi i volumi scambiati con sistemi di acquedotto gestiti da altri gestori</t>
  </si>
  <si>
    <t>Somma dei volumi di processo misurati</t>
  </si>
  <si>
    <t>WP</t>
  </si>
  <si>
    <t>Quota volumi di processo misurati</t>
  </si>
  <si>
    <t xml:space="preserve">Vedere RQTI al comma 20.2 </t>
  </si>
  <si>
    <t>Somma dei volumi di utenza totali</t>
  </si>
  <si>
    <t>Volumi riferiti agli utenti finali, sono esclusi i volumi ceduti a reti di acquedotto gestite da altri gestori. 
N.B. Deve essere verificata la seguente equivalenza: WPtot + WUtot = ∑WIN + ∑WOUT</t>
  </si>
  <si>
    <t>Somma dei volumi di utenza misurati</t>
  </si>
  <si>
    <t>WU</t>
  </si>
  <si>
    <t>Quota volumi di utenza misurati</t>
  </si>
  <si>
    <t>Indicare se il prerequisito sulla disponibilità e affidabilità dei dati di misura è stato conseguito (prerequisito Preq1)</t>
  </si>
  <si>
    <t>Vedere RQTI, Art.20</t>
  </si>
  <si>
    <r>
      <t>Preq4</t>
    </r>
    <r>
      <rPr>
        <b/>
        <vertAlign val="subscript"/>
        <sz val="11"/>
        <color rgb="FF000000"/>
        <rFont val="Calibri"/>
        <family val="2"/>
      </rPr>
      <t>M1</t>
    </r>
  </si>
  <si>
    <t xml:space="preserve">Indicare l'esito della validazione ai fini della valutazione della disponibilità e affidabilità dei dati per M1 (prerequisito Preq4) </t>
  </si>
  <si>
    <r>
      <t>Ist</t>
    </r>
    <r>
      <rPr>
        <vertAlign val="subscript"/>
        <sz val="11"/>
        <color rgb="FF000000"/>
        <rFont val="Calibri"/>
        <family val="2"/>
        <scheme val="minor"/>
      </rPr>
      <t>D,M1</t>
    </r>
  </si>
  <si>
    <t>Indicare se è stata formulata istanza per eventi imprevisti e imprevedibili che hanno comportato il mancato rispetto degli obiettivi per M1</t>
  </si>
  <si>
    <t>Calcolo del macro-indicatore M1</t>
  </si>
  <si>
    <r>
      <t>∑W</t>
    </r>
    <r>
      <rPr>
        <vertAlign val="subscript"/>
        <sz val="11"/>
        <color theme="1"/>
        <rFont val="Calibri"/>
        <family val="2"/>
        <scheme val="minor"/>
      </rPr>
      <t>IN</t>
    </r>
  </si>
  <si>
    <t xml:space="preserve">Somma dei volumi in ingresso nel sistema di acquedotto </t>
  </si>
  <si>
    <t>Si considerano sia i volumi prelevati dall'ambiente che quelli importati da sistemi di acquedotto/captazione gestiti da altri gestori</t>
  </si>
  <si>
    <t>Wimp</t>
  </si>
  <si>
    <t>di cui volume di acqua importata da altri soggetti</t>
  </si>
  <si>
    <t>Volume di acqua (potabile o non potabile) prelevato da sistemi di acquedotto/captazione gestiti da altri gestori e immesso nella rete di adduzione e/o di distribuzione</t>
  </si>
  <si>
    <t>WAM</t>
  </si>
  <si>
    <t>di cui volume di acqua prelevato dall'ambiente</t>
  </si>
  <si>
    <t>Non devono essere considerati i volumi importati da altri soggetti</t>
  </si>
  <si>
    <r>
      <t>∑W</t>
    </r>
    <r>
      <rPr>
        <vertAlign val="subscript"/>
        <sz val="11"/>
        <color theme="1"/>
        <rFont val="Calibri"/>
        <family val="2"/>
        <scheme val="minor"/>
      </rPr>
      <t>OUT</t>
    </r>
  </si>
  <si>
    <t xml:space="preserve">Somma dei volumi in uscita dal sistema di acquedotto </t>
  </si>
  <si>
    <r>
      <t xml:space="preserve">Laddove il dato sia comprensivo delle perdite di trattamento misurate è obbligatorio compilare la riga successiva. 
Non è la somma dei "di cui" sottostanti.
</t>
    </r>
    <r>
      <rPr>
        <sz val="10"/>
        <rFont val="Calibri"/>
        <family val="2"/>
        <scheme val="minor"/>
      </rPr>
      <t>N.B. Deve essere verificata la seguente equivalenza: WPtot + WUtot = ∑WIN + ∑WOUT</t>
    </r>
  </si>
  <si>
    <t>WLT1</t>
  </si>
  <si>
    <r>
      <t>di cui perdite trattamento misurate (se incluse in ∑W</t>
    </r>
    <r>
      <rPr>
        <i/>
        <vertAlign val="subscript"/>
        <sz val="11"/>
        <color indexed="8"/>
        <rFont val="Calibri"/>
        <family val="2"/>
        <scheme val="minor"/>
      </rPr>
      <t>OUT</t>
    </r>
    <r>
      <rPr>
        <i/>
        <sz val="11"/>
        <color indexed="8"/>
        <rFont val="Calibri"/>
        <family val="2"/>
        <scheme val="minor"/>
      </rPr>
      <t>)</t>
    </r>
  </si>
  <si>
    <r>
      <t>E' facoltà del gestore includere le perdite di trattamento misurate in ∑W</t>
    </r>
    <r>
      <rPr>
        <vertAlign val="subscript"/>
        <sz val="10"/>
        <rFont val="Calibri"/>
        <family val="2"/>
        <scheme val="minor"/>
      </rPr>
      <t xml:space="preserve">OUT </t>
    </r>
    <r>
      <rPr>
        <sz val="10"/>
        <rFont val="Calibri"/>
        <family val="2"/>
        <scheme val="minor"/>
      </rPr>
      <t>, non si considera (in questa sede) come trattata l'acqua sottoposta alla sola disinfezione</t>
    </r>
  </si>
  <si>
    <t>Wesp</t>
  </si>
  <si>
    <t>di cui volume di acqua esportata in adduzione e/o in distribuzione</t>
  </si>
  <si>
    <t xml:space="preserve">Volume di acqua (potabile o non potabile) prelevato dalla rete di adduzione e/o di distribuzione e ceduto a sistemi di acquedotto gestiti da altri gestori </t>
  </si>
  <si>
    <r>
      <t>WL</t>
    </r>
    <r>
      <rPr>
        <vertAlign val="subscript"/>
        <sz val="11"/>
        <color theme="1"/>
        <rFont val="Calibri"/>
        <family val="2"/>
        <scheme val="minor"/>
      </rPr>
      <t>TOT</t>
    </r>
  </si>
  <si>
    <t>Volume perso complessivamente nell’anno  nelle fasi del servizio di acquedotto gestite</t>
  </si>
  <si>
    <t>WLA1</t>
  </si>
  <si>
    <t xml:space="preserve">     di cui perdite di acqua non potabile in adduzione</t>
  </si>
  <si>
    <t>WLT2</t>
  </si>
  <si>
    <r>
      <t xml:space="preserve">     di cui perdite trattamento (se non incluse in ∑W</t>
    </r>
    <r>
      <rPr>
        <i/>
        <vertAlign val="subscript"/>
        <sz val="11"/>
        <rFont val="Calibri"/>
        <family val="2"/>
        <scheme val="minor"/>
      </rPr>
      <t>OUT</t>
    </r>
    <r>
      <rPr>
        <i/>
        <sz val="11"/>
        <rFont val="Calibri"/>
        <family val="2"/>
        <scheme val="minor"/>
      </rPr>
      <t>)</t>
    </r>
  </si>
  <si>
    <t>Non si considera (in questa sede) come trattata l'acqua sottoposta alla sola disinfezione</t>
  </si>
  <si>
    <t>WLA2</t>
  </si>
  <si>
    <t xml:space="preserve">     di cui perdite di acqua potabile in adduzione</t>
  </si>
  <si>
    <t>Si considera (in questa sede) come potabile anche l'acqua che necessita di trattamenti di sola disinfezione</t>
  </si>
  <si>
    <t>WLD</t>
  </si>
  <si>
    <t xml:space="preserve">     di cui perdite idriche totali in distribuzione</t>
  </si>
  <si>
    <t>WD5</t>
  </si>
  <si>
    <t>Acqua potabile immessa nel sistema di distribuzione (esclusa acqua esportata)</t>
  </si>
  <si>
    <t xml:space="preserve">Dato da compilare (insieme ai "di cui") se è gestito il servizio di distribuzione </t>
  </si>
  <si>
    <t>RW</t>
  </si>
  <si>
    <t>di cui consumo fatturato (distribuzione)</t>
  </si>
  <si>
    <t>Consumi autorizzati fatturati (misurati e non misurati), dato utilizzato anche per il calcolo di G3.1</t>
  </si>
  <si>
    <t>NRW</t>
  </si>
  <si>
    <t>di cui consumo non fatturato (distribuzione)</t>
  </si>
  <si>
    <t>Consumi autorizzati non fatturati e perdite idriche totali in distribuzione (WLD)</t>
  </si>
  <si>
    <t>Lp</t>
  </si>
  <si>
    <t>Lunghezza totale delle condotte di adduzione e distribuzione, escluse le derivazioni d’utenza</t>
  </si>
  <si>
    <t>La</t>
  </si>
  <si>
    <t xml:space="preserve">     di cui lunghezza rete principale di adduzione (La)</t>
  </si>
  <si>
    <t>Ld</t>
  </si>
  <si>
    <t xml:space="preserve">     di cui lunghezza rete principale di distribuzione (Ld)</t>
  </si>
  <si>
    <t>Perdite idriche lineari</t>
  </si>
  <si>
    <t>mc/km/gg</t>
  </si>
  <si>
    <t xml:space="preserve">Vedere RQTI al comma 7.2 </t>
  </si>
  <si>
    <t>M1b</t>
  </si>
  <si>
    <t>Perdite idriche percentuali</t>
  </si>
  <si>
    <t>M1CL</t>
  </si>
  <si>
    <t>Perdite idriche - Classe di appartenenza</t>
  </si>
  <si>
    <t>OB1</t>
  </si>
  <si>
    <t xml:space="preserve">Perdite idriche - Obiettivo </t>
  </si>
  <si>
    <t>WPem</t>
  </si>
  <si>
    <t>Volumi di processo effettivamente misurati (volumi annui derivanti da letture validate già effettuate al 31 gennaio dell'anno a+1)</t>
  </si>
  <si>
    <t xml:space="preserve">     di cui da misuratori teleletti</t>
  </si>
  <si>
    <t>Solo telelettura da remoto con trasmissione dei dati al sistema di telecontrollo (no walk by/drive by)</t>
  </si>
  <si>
    <t>WUem</t>
  </si>
  <si>
    <t>Volumi di utenza effettivamente misurati (consumi annui derivanti da letture o autoletture validate già effettuate al 31 gennaio dell'anno a+1)</t>
  </si>
  <si>
    <t>G1.1</t>
  </si>
  <si>
    <t>Quota di volumi misurati sui totali</t>
  </si>
  <si>
    <t>Valutazione prerequisiti e indicazione istanze presentate per M2</t>
  </si>
  <si>
    <r>
      <t>Preq4</t>
    </r>
    <r>
      <rPr>
        <b/>
        <vertAlign val="subscript"/>
        <sz val="11"/>
        <color rgb="FF000000"/>
        <rFont val="Calibri"/>
        <family val="2"/>
        <scheme val="minor"/>
      </rPr>
      <t>M2</t>
    </r>
  </si>
  <si>
    <t xml:space="preserve">Indicare l'esito della validazione ai fini della valutazione della disponibilità e affidabilità dei dati per M2 (prerequisito Preq4) </t>
  </si>
  <si>
    <r>
      <t>Ist</t>
    </r>
    <r>
      <rPr>
        <vertAlign val="subscript"/>
        <sz val="11"/>
        <color rgb="FF000000"/>
        <rFont val="Calibri"/>
        <family val="2"/>
        <scheme val="minor"/>
      </rPr>
      <t>D,M2</t>
    </r>
  </si>
  <si>
    <t>Indicare se è stata formulata istanza per eventi imprevisti e imprevedibili che hanno comportato il mancato rispetto degli obiettivi per M2</t>
  </si>
  <si>
    <t>Calcolo del macro-indicatore M2</t>
  </si>
  <si>
    <t>UtT</t>
  </si>
  <si>
    <t>Numero di utenti finali serviti dal gestore per il servizio di acquedotto (esclusi utenti indiretti)</t>
  </si>
  <si>
    <r>
      <t>UtT</t>
    </r>
    <r>
      <rPr>
        <vertAlign val="subscript"/>
        <sz val="11"/>
        <color indexed="8"/>
        <rFont val="Calibri"/>
        <family val="2"/>
        <scheme val="minor"/>
      </rPr>
      <t>d</t>
    </r>
  </si>
  <si>
    <t xml:space="preserve">     di cui utenze domestiche</t>
  </si>
  <si>
    <t>Come da definizioni TICSI</t>
  </si>
  <si>
    <r>
      <t>UtT</t>
    </r>
    <r>
      <rPr>
        <vertAlign val="subscript"/>
        <sz val="11"/>
        <color indexed="8"/>
        <rFont val="Calibri"/>
        <family val="2"/>
        <scheme val="minor"/>
      </rPr>
      <t>nd</t>
    </r>
  </si>
  <si>
    <t xml:space="preserve">     di cui utenze non domestiche</t>
  </si>
  <si>
    <r>
      <t>UtT</t>
    </r>
    <r>
      <rPr>
        <vertAlign val="subscript"/>
        <sz val="11"/>
        <color indexed="8"/>
        <rFont val="Calibri"/>
        <family val="2"/>
        <scheme val="minor"/>
      </rPr>
      <t>cond</t>
    </r>
  </si>
  <si>
    <t>Numero di utenze condominiali servite dal gestore per il servizio di acquedotto</t>
  </si>
  <si>
    <t>Come da definizioni RQTI</t>
  </si>
  <si>
    <r>
      <t>UtT</t>
    </r>
    <r>
      <rPr>
        <vertAlign val="subscript"/>
        <sz val="11"/>
        <color indexed="8"/>
        <rFont val="Calibri"/>
        <family val="2"/>
        <scheme val="minor"/>
      </rPr>
      <t>indr</t>
    </r>
  </si>
  <si>
    <t>Numero di utenti indiretti sottesi alle utenze condominiali servite dal gestore per il servizio di acquedotto</t>
  </si>
  <si>
    <r>
      <t>UtT</t>
    </r>
    <r>
      <rPr>
        <vertAlign val="subscript"/>
        <sz val="11"/>
        <color indexed="8"/>
        <rFont val="Calibri"/>
        <family val="2"/>
        <scheme val="minor"/>
      </rPr>
      <t>indr,d</t>
    </r>
  </si>
  <si>
    <t xml:space="preserve">       di cui utenze domestiche</t>
  </si>
  <si>
    <r>
      <t>UtT</t>
    </r>
    <r>
      <rPr>
        <vertAlign val="subscript"/>
        <sz val="11"/>
        <color indexed="8"/>
        <rFont val="Calibri"/>
        <family val="2"/>
        <scheme val="minor"/>
      </rPr>
      <t>indr,nd</t>
    </r>
  </si>
  <si>
    <t xml:space="preserve">       di cui utenze non domestiche</t>
  </si>
  <si>
    <r>
      <t>U</t>
    </r>
    <r>
      <rPr>
        <vertAlign val="subscript"/>
        <sz val="11"/>
        <color indexed="8"/>
        <rFont val="Calibri"/>
        <family val="2"/>
        <scheme val="minor"/>
      </rPr>
      <t>tot,ACQ</t>
    </r>
  </si>
  <si>
    <t>Numero complessivo di utenti finali serviti dal gestore per il servizio di acquedotto (compresi utenti indiretti)</t>
  </si>
  <si>
    <t>Dato utilizzato anche per il calcolo di M3a, G3.2 e di G5.2</t>
  </si>
  <si>
    <t>Numero complessivo di utenti finali (compresi utenti indiretti) soggetti ad interruzioni del servizio nell’anno (di durata maggiore o uguale ad 1 ora)</t>
  </si>
  <si>
    <t>Gli utenti interessati dalle interruzioni si contano tante volte quante sono le interruzioni</t>
  </si>
  <si>
    <r>
      <t>∑t</t>
    </r>
    <r>
      <rPr>
        <vertAlign val="subscript"/>
        <sz val="11"/>
        <color theme="1"/>
        <rFont val="Calibri"/>
        <family val="2"/>
        <scheme val="minor"/>
      </rPr>
      <t>I</t>
    </r>
  </si>
  <si>
    <t>Durata totale delle interruzioni avvenute nell'anno (di durata maggiore o uguale ad 1 ora)</t>
  </si>
  <si>
    <t>ore</t>
  </si>
  <si>
    <r>
      <t>∑U</t>
    </r>
    <r>
      <rPr>
        <vertAlign val="subscript"/>
        <sz val="11"/>
        <color theme="1"/>
        <rFont val="Calibri"/>
        <family val="2"/>
        <scheme val="minor"/>
      </rPr>
      <t>I</t>
    </r>
    <r>
      <rPr>
        <sz val="11"/>
        <color theme="1"/>
        <rFont val="Calibri"/>
        <family val="2"/>
        <scheme val="minor"/>
      </rPr>
      <t xml:space="preserve"> </t>
    </r>
    <r>
      <rPr>
        <sz val="11"/>
        <color theme="1"/>
        <rFont val="Calibri"/>
        <family val="2"/>
      </rPr>
      <t xml:space="preserve">× </t>
    </r>
    <r>
      <rPr>
        <sz val="11"/>
        <color theme="1"/>
        <rFont val="Calibri"/>
        <family val="2"/>
        <scheme val="minor"/>
      </rPr>
      <t>t</t>
    </r>
    <r>
      <rPr>
        <vertAlign val="subscript"/>
        <sz val="11"/>
        <color theme="1"/>
        <rFont val="Calibri"/>
        <family val="2"/>
        <scheme val="minor"/>
      </rPr>
      <t>I</t>
    </r>
  </si>
  <si>
    <t>Sommatoria del prodotto delle durate delle interruzioni annue (di durata maggiore o uguale ad 1 ora), per il rispettivo numero di utenti finali soggetti all'interruzione (compresi utenti indiretti)</t>
  </si>
  <si>
    <r>
      <t>N.B.: non è il prodotto di ∑U</t>
    </r>
    <r>
      <rPr>
        <vertAlign val="subscript"/>
        <sz val="10"/>
        <rFont val="Calibri"/>
        <family val="2"/>
        <scheme val="minor"/>
      </rPr>
      <t>I</t>
    </r>
    <r>
      <rPr>
        <sz val="10"/>
        <rFont val="Calibri"/>
        <family val="2"/>
        <scheme val="minor"/>
      </rPr>
      <t xml:space="preserve"> e ∑t</t>
    </r>
    <r>
      <rPr>
        <vertAlign val="subscript"/>
        <sz val="10"/>
        <rFont val="Calibri"/>
        <family val="2"/>
        <scheme val="minor"/>
      </rPr>
      <t>I</t>
    </r>
  </si>
  <si>
    <t xml:space="preserve">Vedere RQTI al comma 9.5 </t>
  </si>
  <si>
    <t>M2CL</t>
  </si>
  <si>
    <t>Interruzioni del servizio - Classe di appartenenza</t>
  </si>
  <si>
    <t>OB2</t>
  </si>
  <si>
    <t>Interruzioni del servizio - Obiettivo (M2)</t>
  </si>
  <si>
    <r>
      <t>W</t>
    </r>
    <r>
      <rPr>
        <vertAlign val="subscript"/>
        <sz val="11"/>
        <color indexed="8"/>
        <rFont val="Calibri"/>
        <family val="2"/>
        <scheme val="minor"/>
      </rPr>
      <t>max</t>
    </r>
  </si>
  <si>
    <t xml:space="preserve">Volume massimo derivabile dal sistema delle fonti di approvvigionamento nel giorno di massimo consumo dell'anno </t>
  </si>
  <si>
    <t>mc/gg</t>
  </si>
  <si>
    <r>
      <t>W</t>
    </r>
    <r>
      <rPr>
        <vertAlign val="subscript"/>
        <sz val="11"/>
        <color indexed="8"/>
        <rFont val="Calibri"/>
        <family val="2"/>
        <scheme val="minor"/>
      </rPr>
      <t>gg</t>
    </r>
  </si>
  <si>
    <t>Volume necessario a soddisfare la domanda nel giorno di massimo consumo dell'anno</t>
  </si>
  <si>
    <t>G2.1</t>
  </si>
  <si>
    <t>Disponibilità di risorse idriche</t>
  </si>
  <si>
    <t>Indicazione istanze presentate per Standard Specifici</t>
  </si>
  <si>
    <r>
      <t>Ist</t>
    </r>
    <r>
      <rPr>
        <vertAlign val="subscript"/>
        <sz val="11"/>
        <color rgb="FF000000"/>
        <rFont val="Calibri"/>
        <family val="2"/>
        <scheme val="minor"/>
      </rPr>
      <t>D,Sp</t>
    </r>
  </si>
  <si>
    <t>Indicare se è stata formulata istanza per eventi imprevisti e imprevedibili che hanno comportato il mancato rispetto degli standard specifici S1 e/o S2 e/o S3</t>
  </si>
  <si>
    <r>
      <t>Ist</t>
    </r>
    <r>
      <rPr>
        <vertAlign val="subscript"/>
        <sz val="11"/>
        <color rgb="FF000000"/>
        <rFont val="Calibri"/>
        <family val="2"/>
        <scheme val="minor"/>
      </rPr>
      <t>E,Sp</t>
    </r>
  </si>
  <si>
    <t>Indicare se è stata formulata istanza per compromessa continuità gestionale a causa del mancato rispetto degli standard specifici S1 e/o S2 e/o S3</t>
  </si>
  <si>
    <t>Istanza ex-post ai sensi del comma 5.2, lett. b), del. 917/2017. Specificare motivazioni in relazione</t>
  </si>
  <si>
    <t>Dati relativi agli Standard Specifici</t>
  </si>
  <si>
    <r>
      <t>Int</t>
    </r>
    <r>
      <rPr>
        <vertAlign val="subscript"/>
        <sz val="11"/>
        <color indexed="8"/>
        <rFont val="Calibri"/>
        <family val="2"/>
        <scheme val="minor"/>
      </rPr>
      <t>tot,1h</t>
    </r>
  </si>
  <si>
    <t>Numero totale delle interruzioni avvenute nell'anno (di durata maggiore o uguale ad 1 ora)</t>
  </si>
  <si>
    <r>
      <t>Int</t>
    </r>
    <r>
      <rPr>
        <vertAlign val="subscript"/>
        <sz val="11"/>
        <color indexed="8"/>
        <rFont val="Calibri"/>
        <family val="2"/>
        <scheme val="minor"/>
      </rPr>
      <t>np</t>
    </r>
  </si>
  <si>
    <t>di cui numero di interruzioni non programmate</t>
  </si>
  <si>
    <r>
      <t>Int</t>
    </r>
    <r>
      <rPr>
        <vertAlign val="subscript"/>
        <sz val="11"/>
        <color indexed="8"/>
        <rFont val="Calibri"/>
        <family val="2"/>
        <scheme val="minor"/>
      </rPr>
      <t>p</t>
    </r>
  </si>
  <si>
    <t>di cui numero di interruzioni programmate</t>
  </si>
  <si>
    <r>
      <t>Int</t>
    </r>
    <r>
      <rPr>
        <vertAlign val="subscript"/>
        <sz val="11"/>
        <color indexed="8"/>
        <rFont val="Calibri"/>
        <family val="2"/>
        <scheme val="minor"/>
      </rPr>
      <t>p,S1</t>
    </r>
  </si>
  <si>
    <t>di cui numero di interruzioni con mancato rispetto dello standard specifico S1</t>
  </si>
  <si>
    <t xml:space="preserve">Vedere RQTI al comma 3.2 </t>
  </si>
  <si>
    <r>
      <t>Int</t>
    </r>
    <r>
      <rPr>
        <vertAlign val="subscript"/>
        <sz val="11"/>
        <color indexed="8"/>
        <rFont val="Calibri"/>
        <family val="2"/>
        <scheme val="minor"/>
      </rPr>
      <t>p,S3</t>
    </r>
  </si>
  <si>
    <t>Numero di interruzioni con mancato rispetto dello standard specifico S3</t>
  </si>
  <si>
    <t xml:space="preserve">Vedere RQTI al comma 3.4 </t>
  </si>
  <si>
    <r>
      <t>Int</t>
    </r>
    <r>
      <rPr>
        <vertAlign val="subscript"/>
        <sz val="11"/>
        <color indexed="8"/>
        <rFont val="Calibri"/>
        <family val="2"/>
        <scheme val="minor"/>
      </rPr>
      <t>em</t>
    </r>
  </si>
  <si>
    <t xml:space="preserve">Numero di interruzioni con attivazione del servizio sostitutivo di emergenza </t>
  </si>
  <si>
    <r>
      <t>Int</t>
    </r>
    <r>
      <rPr>
        <vertAlign val="subscript"/>
        <sz val="11"/>
        <color indexed="8"/>
        <rFont val="Calibri"/>
        <family val="2"/>
        <scheme val="minor"/>
      </rPr>
      <t>em,S2</t>
    </r>
  </si>
  <si>
    <t xml:space="preserve">di cui numero di interruzioni con mancato rispetto dello standard specifico S2 </t>
  </si>
  <si>
    <r>
      <t>∑U</t>
    </r>
    <r>
      <rPr>
        <vertAlign val="subscript"/>
        <sz val="11"/>
        <color theme="1"/>
        <rFont val="Calibri"/>
        <family val="2"/>
        <scheme val="minor"/>
      </rPr>
      <t>S1</t>
    </r>
    <r>
      <rPr>
        <sz val="11"/>
        <color theme="1"/>
        <rFont val="Calibri"/>
        <family val="2"/>
        <scheme val="minor"/>
      </rPr>
      <t xml:space="preserve"> </t>
    </r>
    <r>
      <rPr>
        <sz val="11"/>
        <color theme="1"/>
        <rFont val="Calibri"/>
        <family val="2"/>
      </rPr>
      <t/>
    </r>
  </si>
  <si>
    <t>Sommatoria degli utenti finali (compresi utenti indiretti) con mancato rispetto dello standard specifico S1</t>
  </si>
  <si>
    <r>
      <t xml:space="preserve">Gli utenti interessati si contano tante volte quanti sono i mancati rispetti dello standard - </t>
    </r>
    <r>
      <rPr>
        <u/>
        <sz val="10"/>
        <rFont val="Calibri"/>
        <family val="2"/>
        <scheme val="minor"/>
      </rPr>
      <t>includere anche i casi per cui il gestore non è tenuto a corrispondere l'indennizzo (motivare in relazione)</t>
    </r>
  </si>
  <si>
    <r>
      <t>∑U</t>
    </r>
    <r>
      <rPr>
        <vertAlign val="subscript"/>
        <sz val="11"/>
        <color theme="1"/>
        <rFont val="Calibri"/>
        <family val="2"/>
        <scheme val="minor"/>
      </rPr>
      <t>S2</t>
    </r>
    <r>
      <rPr>
        <sz val="11"/>
        <color theme="1"/>
        <rFont val="Calibri"/>
        <family val="2"/>
        <scheme val="minor"/>
      </rPr>
      <t xml:space="preserve"> </t>
    </r>
    <r>
      <rPr>
        <sz val="11"/>
        <color theme="1"/>
        <rFont val="Calibri"/>
        <family val="2"/>
      </rPr>
      <t/>
    </r>
  </si>
  <si>
    <t>Sommatoria degli utenti finali (compresi utenti indiretti) con mancato rispetto dello standard specifico S2</t>
  </si>
  <si>
    <r>
      <t>∑U</t>
    </r>
    <r>
      <rPr>
        <vertAlign val="subscript"/>
        <sz val="11"/>
        <color theme="1"/>
        <rFont val="Calibri"/>
        <family val="2"/>
        <scheme val="minor"/>
      </rPr>
      <t>S3</t>
    </r>
    <r>
      <rPr>
        <sz val="11"/>
        <color theme="1"/>
        <rFont val="Calibri"/>
        <family val="2"/>
        <scheme val="minor"/>
      </rPr>
      <t xml:space="preserve"> </t>
    </r>
    <r>
      <rPr>
        <sz val="11"/>
        <color theme="1"/>
        <rFont val="Calibri"/>
        <family val="2"/>
      </rPr>
      <t/>
    </r>
  </si>
  <si>
    <t>Sommatoria degli utenti finali (compresi utenti indiretti) con mancato rispetto dello standard specifico S3</t>
  </si>
  <si>
    <t>QA1</t>
  </si>
  <si>
    <t>Quesito riferito al 31 dicembre di ogni anno</t>
  </si>
  <si>
    <t>QA2</t>
  </si>
  <si>
    <t>Indicare se il gestore ha effettivamente applicato le procedure di cui al precedente alinea</t>
  </si>
  <si>
    <t>QA3</t>
  </si>
  <si>
    <t>Indicare se il gestore ha ottemperato alle disposizioni regionali eventualmente emanate in materia</t>
  </si>
  <si>
    <r>
      <t>C</t>
    </r>
    <r>
      <rPr>
        <vertAlign val="subscript"/>
        <sz val="11"/>
        <color rgb="FF000000"/>
        <rFont val="Calibri"/>
        <family val="2"/>
        <scheme val="minor"/>
      </rPr>
      <t>ACQ-min</t>
    </r>
  </si>
  <si>
    <t>Numero minimo di campioni (da controlli interni) che il gestore è tenuto a eseguire nell'anno</t>
  </si>
  <si>
    <r>
      <t>C</t>
    </r>
    <r>
      <rPr>
        <vertAlign val="subscript"/>
        <sz val="11"/>
        <color rgb="FF000000"/>
        <rFont val="Calibri"/>
        <family val="2"/>
        <scheme val="minor"/>
      </rPr>
      <t>ACQ-real</t>
    </r>
  </si>
  <si>
    <t xml:space="preserve">Numero campioni (da controlli interni) che il gestore ha eseguito nell'anno </t>
  </si>
  <si>
    <t>Inclusi anche i controlli a monte della distribuzione</t>
  </si>
  <si>
    <t>QA4</t>
  </si>
  <si>
    <t>Il gestore ha eseguito il numero minimo annuale di controlli interni?</t>
  </si>
  <si>
    <t>Il prerequisito sulla conformità alla normativa sulla qualità dell'acqua distribuita agli utenti è stato conseguito (prerequisito Preq2)?</t>
  </si>
  <si>
    <t>Vedere RQTI, Art.21 (N.B.: la valutazione del conseguimento del Preq2 va fatta anche per i soggetti che non gestiscono l'attività di distribuzione)</t>
  </si>
  <si>
    <r>
      <t>Preq4</t>
    </r>
    <r>
      <rPr>
        <b/>
        <vertAlign val="subscript"/>
        <sz val="11"/>
        <color rgb="FF000000"/>
        <rFont val="Calibri"/>
        <family val="2"/>
        <scheme val="minor"/>
      </rPr>
      <t>M3</t>
    </r>
  </si>
  <si>
    <t xml:space="preserve">Indicare l'esito della validazione ai fini della valutazione della disponibilità e affidabilità dei dati per M3 (prerequisito Preq4) </t>
  </si>
  <si>
    <r>
      <t>Ist</t>
    </r>
    <r>
      <rPr>
        <vertAlign val="subscript"/>
        <sz val="11"/>
        <color rgb="FF000000"/>
        <rFont val="Calibri"/>
        <family val="2"/>
        <scheme val="minor"/>
      </rPr>
      <t>D,M3</t>
    </r>
  </si>
  <si>
    <t>Indicare se è stata formulata istanza per eventi imprevisti e imprevedibili che hanno comportato il mancato rispetto degli obiettivi per M3</t>
  </si>
  <si>
    <t>Calcolo del macro-indicatore M3</t>
  </si>
  <si>
    <r>
      <t>Tot</t>
    </r>
    <r>
      <rPr>
        <vertAlign val="subscript"/>
        <sz val="11"/>
        <color indexed="8"/>
        <rFont val="Calibri"/>
        <family val="2"/>
        <scheme val="minor"/>
      </rPr>
      <t>ord</t>
    </r>
  </si>
  <si>
    <t>Numero di ordinanze di non potabilità avvenute nell'anno</t>
  </si>
  <si>
    <t>∑Ui</t>
  </si>
  <si>
    <r>
      <t>Numero complessivo di utenti finali interessati da ordinanze di non potabilità nell'anno</t>
    </r>
    <r>
      <rPr>
        <sz val="11"/>
        <color theme="9" tint="-0.249977111117893"/>
        <rFont val="Calibri"/>
        <family val="2"/>
        <scheme val="minor"/>
      </rPr>
      <t xml:space="preserve"> </t>
    </r>
    <r>
      <rPr>
        <sz val="11"/>
        <rFont val="Calibri"/>
        <family val="2"/>
        <scheme val="minor"/>
      </rPr>
      <t>(compresi utenti indiretti)</t>
    </r>
  </si>
  <si>
    <t>Gli utenti interessati dalle ordinanze si contano tante volte quante sono le ordinanze</t>
  </si>
  <si>
    <t>∑ti</t>
  </si>
  <si>
    <t>Durata totale delle ordinanze di non potabilità avvenute nell'anno</t>
  </si>
  <si>
    <t>gg</t>
  </si>
  <si>
    <t>∑(Ui*ti)</t>
  </si>
  <si>
    <t>Sommatoria del prodotto del numero di utenze soggette all'i-esima ordinanza di non potabilità (compresi utenti indiretti) per la durata della medesima ordinanza di non potabilità</t>
  </si>
  <si>
    <t>N.B.: non è il prodotto di ∑Ui e ∑ti</t>
  </si>
  <si>
    <t>M3a</t>
  </si>
  <si>
    <t>Incidenza ordinanze di non potabilità</t>
  </si>
  <si>
    <t xml:space="preserve">Vedere RQTI al comma 11.2 </t>
  </si>
  <si>
    <r>
      <t xml:space="preserve"> C</t>
    </r>
    <r>
      <rPr>
        <vertAlign val="subscript"/>
        <sz val="11"/>
        <color indexed="8"/>
        <rFont val="Calibri"/>
        <family val="2"/>
        <scheme val="minor"/>
      </rPr>
      <t>ACQ-tot</t>
    </r>
  </si>
  <si>
    <t>Numero campioni (da controlli interni) effettuati in distribuzione a valle di eventuali impianti di potabilizzazione</t>
  </si>
  <si>
    <r>
      <t>C</t>
    </r>
    <r>
      <rPr>
        <vertAlign val="subscript"/>
        <sz val="11"/>
        <rFont val="Calibri"/>
        <family val="2"/>
        <scheme val="minor"/>
      </rPr>
      <t>ACQ-cnc-A/B</t>
    </r>
  </si>
  <si>
    <r>
      <t>C</t>
    </r>
    <r>
      <rPr>
        <vertAlign val="subscript"/>
        <sz val="11"/>
        <rFont val="Calibri"/>
        <family val="2"/>
        <scheme val="minor"/>
      </rPr>
      <t>ACQ-cnc-C</t>
    </r>
  </si>
  <si>
    <t>M3b</t>
  </si>
  <si>
    <t>Tasso di campioni da controlli interni non conformi</t>
  </si>
  <si>
    <t xml:space="preserve">Vedere RQTI al comma 12.2 </t>
  </si>
  <si>
    <r>
      <t xml:space="preserve"> P</t>
    </r>
    <r>
      <rPr>
        <vertAlign val="subscript"/>
        <sz val="11"/>
        <color indexed="8"/>
        <rFont val="Calibri"/>
        <family val="2"/>
        <scheme val="minor"/>
      </rPr>
      <t>ACQ-tot</t>
    </r>
  </si>
  <si>
    <t>Numero parametri analizzati nei campioni (da controlli interni) effettuati in distribuzione a valle di eventuali impianti di potabilizzazione</t>
  </si>
  <si>
    <r>
      <t>P</t>
    </r>
    <r>
      <rPr>
        <vertAlign val="subscript"/>
        <sz val="11"/>
        <rFont val="Calibri"/>
        <family val="2"/>
        <scheme val="minor"/>
      </rPr>
      <t>ACQ-pnc</t>
    </r>
  </si>
  <si>
    <r>
      <t>P</t>
    </r>
    <r>
      <rPr>
        <vertAlign val="subscript"/>
        <sz val="11"/>
        <rFont val="Calibri"/>
        <family val="2"/>
        <scheme val="minor"/>
      </rPr>
      <t>ACQ-pnc-C</t>
    </r>
  </si>
  <si>
    <t>M3c</t>
  </si>
  <si>
    <t>Tasso di parametri da controlli interni non conformi</t>
  </si>
  <si>
    <t xml:space="preserve">Vedere RQTI al comma 13.2 </t>
  </si>
  <si>
    <t>M3CL</t>
  </si>
  <si>
    <t>Qualità dell'acqua erogata - Classe di appartenenza</t>
  </si>
  <si>
    <t>OB3</t>
  </si>
  <si>
    <t>Qualità dell'acqua erogata - Obiettivo</t>
  </si>
  <si>
    <t>G3.1</t>
  </si>
  <si>
    <t xml:space="preserve">Numero campioni (da controlli interni) effettuati in distribuzione a valle di eventuali impianti di potabilizzazione su volumi erogati </t>
  </si>
  <si>
    <t>n./1000 mc</t>
  </si>
  <si>
    <t>WSP</t>
  </si>
  <si>
    <t>G3.2</t>
  </si>
  <si>
    <t>Applicazione del modello Water Safety Plan (WSP)</t>
  </si>
  <si>
    <t>Vedere  RQTI al comma 10.5</t>
  </si>
  <si>
    <t>Adeguato</t>
  </si>
  <si>
    <t>Non adeguato</t>
  </si>
  <si>
    <t>FOG</t>
  </si>
  <si>
    <t>Il gestore gestisce il servizio di fognatura?
Se sì, specificare:</t>
  </si>
  <si>
    <t>FOG_m</t>
  </si>
  <si>
    <t>- fognatura mista</t>
  </si>
  <si>
    <t>FOG_n</t>
  </si>
  <si>
    <t>- fognatura nera</t>
  </si>
  <si>
    <t>FOG_b</t>
  </si>
  <si>
    <t>- fognatura bianca</t>
  </si>
  <si>
    <t>Se soggetta a regolazione tariffaria</t>
  </si>
  <si>
    <t>PRF</t>
  </si>
  <si>
    <t>Popolazione residente servita (PRF)</t>
  </si>
  <si>
    <t>PFF</t>
  </si>
  <si>
    <t>Popolazione fluttuante (PFF)</t>
  </si>
  <si>
    <t>ComF</t>
  </si>
  <si>
    <t>Numero di comuni serviti (ComF)</t>
  </si>
  <si>
    <t>SUF</t>
  </si>
  <si>
    <t>Superficie  (SUF)</t>
  </si>
  <si>
    <r>
      <t>EE</t>
    </r>
    <r>
      <rPr>
        <vertAlign val="subscript"/>
        <sz val="11"/>
        <color indexed="8"/>
        <rFont val="Calibri"/>
        <family val="2"/>
        <scheme val="minor"/>
      </rPr>
      <t>FOG</t>
    </r>
  </si>
  <si>
    <t>Consumo di energia elettrica per servizio di fognatura, al netto dell'energia autoprodotta</t>
  </si>
  <si>
    <r>
      <t>Agg</t>
    </r>
    <r>
      <rPr>
        <vertAlign val="subscript"/>
        <sz val="11"/>
        <rFont val="Calibri"/>
        <family val="2"/>
        <scheme val="minor"/>
      </rPr>
      <t>cond,FOG</t>
    </r>
  </si>
  <si>
    <r>
      <t>AE</t>
    </r>
    <r>
      <rPr>
        <vertAlign val="subscript"/>
        <sz val="11"/>
        <rFont val="Calibri"/>
        <family val="2"/>
        <scheme val="minor"/>
      </rPr>
      <t>cond,FOG</t>
    </r>
  </si>
  <si>
    <r>
      <t>Preq3</t>
    </r>
    <r>
      <rPr>
        <b/>
        <vertAlign val="subscript"/>
        <sz val="11"/>
        <color rgb="FF000000"/>
        <rFont val="Calibri"/>
        <family val="2"/>
        <scheme val="minor"/>
      </rPr>
      <t>M4</t>
    </r>
  </si>
  <si>
    <t>Relativamente al servizio di fognatura, il prerequisito sulla conformità alla normativa sulla gestione delle acque reflue è stato conseguito (prerequisito Preq3)?</t>
  </si>
  <si>
    <r>
      <t>Preq4</t>
    </r>
    <r>
      <rPr>
        <b/>
        <vertAlign val="subscript"/>
        <sz val="11"/>
        <color rgb="FF000000"/>
        <rFont val="Calibri"/>
        <family val="2"/>
      </rPr>
      <t>M4</t>
    </r>
  </si>
  <si>
    <t>Indicare l'esito della validazione ai fini della valutazione della disponibilità e affidabilità dei dati  per M4 (prerequisito Preq4)</t>
  </si>
  <si>
    <r>
      <t>Ist</t>
    </r>
    <r>
      <rPr>
        <vertAlign val="subscript"/>
        <sz val="11"/>
        <color rgb="FF000000"/>
        <rFont val="Calibri"/>
        <family val="2"/>
        <scheme val="minor"/>
      </rPr>
      <t>D,M4</t>
    </r>
  </si>
  <si>
    <t>Indicare se è stata formulata istanza per eventi imprevisti e imprevedibili che hanno comportato il mancato rispetto degli obiettivi per M4</t>
  </si>
  <si>
    <t>Calcolo del macro-indicatore M4</t>
  </si>
  <si>
    <t>Lm</t>
  </si>
  <si>
    <t>Lunghezza totale della rete di fognatura mista (esclusi gli allacci)</t>
  </si>
  <si>
    <t>Lb</t>
  </si>
  <si>
    <t>Lunghezza totale della rete di fognatura bianca (esclusi gli allacci)</t>
  </si>
  <si>
    <t xml:space="preserve">Da considerare laddove ricompresa nel SII ai fini della determinazione dei corrispettivi </t>
  </si>
  <si>
    <t>Ln</t>
  </si>
  <si>
    <t>Lunghezza totale della rete di fognatura nera (esclusi gli allacci)</t>
  </si>
  <si>
    <t>Lf</t>
  </si>
  <si>
    <t>Lunghezza totale della rete fognaria principale (esclusi gli allacci)</t>
  </si>
  <si>
    <r>
      <t>All</t>
    </r>
    <r>
      <rPr>
        <vertAlign val="subscript"/>
        <sz val="11"/>
        <color theme="1"/>
        <rFont val="Calibri"/>
        <family val="2"/>
        <scheme val="minor"/>
      </rPr>
      <t>m</t>
    </r>
  </si>
  <si>
    <r>
      <rPr>
        <sz val="11"/>
        <rFont val="Calibri"/>
        <family val="2"/>
        <scheme val="minor"/>
      </rPr>
      <t>Numero di episodi di allagamento da fognatura mista che  hanno determinat</t>
    </r>
    <r>
      <rPr>
        <sz val="11"/>
        <color indexed="8"/>
        <rFont val="Calibri"/>
        <family val="2"/>
        <scheme val="minor"/>
      </rPr>
      <t>o situazioni di disagio o di pericolo</t>
    </r>
  </si>
  <si>
    <r>
      <t>All</t>
    </r>
    <r>
      <rPr>
        <vertAlign val="subscript"/>
        <sz val="11"/>
        <color theme="1"/>
        <rFont val="Calibri"/>
        <family val="2"/>
        <scheme val="minor"/>
      </rPr>
      <t>b</t>
    </r>
  </si>
  <si>
    <r>
      <rPr>
        <sz val="11"/>
        <rFont val="Calibri"/>
        <family val="2"/>
        <scheme val="minor"/>
      </rPr>
      <t>Numero di episodi di allagamento da fognatura bianca che hanno determinat</t>
    </r>
    <r>
      <rPr>
        <sz val="11"/>
        <color indexed="8"/>
        <rFont val="Calibri"/>
        <family val="2"/>
        <scheme val="minor"/>
      </rPr>
      <t>o situazioni di disagio o di pericolo</t>
    </r>
  </si>
  <si>
    <r>
      <t>Svers</t>
    </r>
    <r>
      <rPr>
        <vertAlign val="subscript"/>
        <sz val="11"/>
        <color theme="1"/>
        <rFont val="Calibri"/>
        <family val="2"/>
        <scheme val="minor"/>
      </rPr>
      <t>n</t>
    </r>
  </si>
  <si>
    <t>Numero di episodi di sversamento da fognatura nera</t>
  </si>
  <si>
    <t>n./100 km</t>
  </si>
  <si>
    <t>Vedere RQTI al comma 15.2</t>
  </si>
  <si>
    <r>
      <t>NScar</t>
    </r>
    <r>
      <rPr>
        <vertAlign val="subscript"/>
        <sz val="11"/>
        <color theme="1"/>
        <rFont val="Calibri"/>
        <family val="2"/>
        <scheme val="minor"/>
      </rPr>
      <t>tot</t>
    </r>
  </si>
  <si>
    <t xml:space="preserve">Numero totale di scaricatori di piena gestiti </t>
  </si>
  <si>
    <r>
      <t>Nscar</t>
    </r>
    <r>
      <rPr>
        <vertAlign val="subscript"/>
        <sz val="11"/>
        <color theme="1"/>
        <rFont val="Calibri"/>
        <family val="2"/>
        <scheme val="minor"/>
      </rPr>
      <t>norm</t>
    </r>
  </si>
  <si>
    <r>
      <t>Nscar</t>
    </r>
    <r>
      <rPr>
        <vertAlign val="subscript"/>
        <sz val="11"/>
        <color theme="1"/>
        <rFont val="Calibri"/>
        <family val="2"/>
        <scheme val="minor"/>
      </rPr>
      <t>rich</t>
    </r>
  </si>
  <si>
    <t>Numero di scaricatori di piena richiesti dall'Autorità competente e non ancora realizzati</t>
  </si>
  <si>
    <t>Adeguatezza normativa degli scaricatori di piena (% non adeguati)</t>
  </si>
  <si>
    <t>Vedere RQTI al comma 16.2</t>
  </si>
  <si>
    <r>
      <t>Nscar</t>
    </r>
    <r>
      <rPr>
        <vertAlign val="subscript"/>
        <sz val="11"/>
        <color theme="1"/>
        <rFont val="Calibri"/>
        <family val="2"/>
        <scheme val="minor"/>
      </rPr>
      <t>ctrl</t>
    </r>
  </si>
  <si>
    <t>Numero di scaricatori soggetti ad ispezione e/o dotati di sistemi di rilevamento automatico delle attivazioni</t>
  </si>
  <si>
    <r>
      <t>Sono da contare 1 sola volta gli scaricatori con sistemi di rilevamento ed anche soggetti a ispezione (di conseguenza, non è la somma di Nscar</t>
    </r>
    <r>
      <rPr>
        <vertAlign val="subscript"/>
        <sz val="10"/>
        <rFont val="Calibri"/>
        <family val="2"/>
        <scheme val="minor"/>
      </rPr>
      <t>isp</t>
    </r>
    <r>
      <rPr>
        <sz val="10"/>
        <rFont val="Calibri"/>
        <family val="2"/>
        <scheme val="minor"/>
      </rPr>
      <t xml:space="preserve"> ed Nscar</t>
    </r>
    <r>
      <rPr>
        <vertAlign val="subscript"/>
        <sz val="10"/>
        <rFont val="Calibri"/>
        <family val="2"/>
        <scheme val="minor"/>
      </rPr>
      <t>ril</t>
    </r>
    <r>
      <rPr>
        <sz val="10"/>
        <rFont val="Calibri"/>
        <family val="2"/>
        <scheme val="minor"/>
      </rPr>
      <t>)</t>
    </r>
  </si>
  <si>
    <r>
      <t>Nscar</t>
    </r>
    <r>
      <rPr>
        <vertAlign val="subscript"/>
        <sz val="11"/>
        <color theme="1"/>
        <rFont val="Calibri"/>
        <family val="2"/>
        <scheme val="minor"/>
      </rPr>
      <t>isp</t>
    </r>
  </si>
  <si>
    <t>Numero di scaricatori soggetti ad ispezione nell'anno</t>
  </si>
  <si>
    <t>Uno scaricatore soggetto a più ispezioni nell'anno va conteggiato una sola volta</t>
  </si>
  <si>
    <r>
      <t>Nscar</t>
    </r>
    <r>
      <rPr>
        <vertAlign val="subscript"/>
        <sz val="11"/>
        <color theme="1"/>
        <rFont val="Calibri"/>
        <family val="2"/>
        <scheme val="minor"/>
      </rPr>
      <t>ril</t>
    </r>
  </si>
  <si>
    <t>Numero di scaricatori dotati di  sistemi di rilevamento automatico delle attivazioni</t>
  </si>
  <si>
    <t>Controllo degli scaricatori di piena (% non controllati)</t>
  </si>
  <si>
    <t>Vedere  RQTI al comma 17.2</t>
  </si>
  <si>
    <t>M4CL</t>
  </si>
  <si>
    <t>Adeguatezza del sistema fognario - Classe di appartenenza</t>
  </si>
  <si>
    <t>OB4</t>
  </si>
  <si>
    <t>Adeguatezza del sistema fognario - Obiettivo</t>
  </si>
  <si>
    <r>
      <t>Break</t>
    </r>
    <r>
      <rPr>
        <vertAlign val="subscript"/>
        <sz val="11"/>
        <color theme="1"/>
        <rFont val="Calibri"/>
        <family val="2"/>
        <scheme val="minor"/>
      </rPr>
      <t>FOG</t>
    </r>
  </si>
  <si>
    <t>Numero totale di rotture annue delle condotte di fognatura</t>
  </si>
  <si>
    <t>Esclusi gli allacci</t>
  </si>
  <si>
    <r>
      <t>L</t>
    </r>
    <r>
      <rPr>
        <vertAlign val="subscript"/>
        <sz val="11"/>
        <color theme="1"/>
        <rFont val="Calibri"/>
        <family val="2"/>
        <scheme val="minor"/>
      </rPr>
      <t>m-isp</t>
    </r>
  </si>
  <si>
    <t>Lunghezza totale della rete di fognatura mista (esclusi gli allacci) soggetta a ispezione</t>
  </si>
  <si>
    <r>
      <t>L</t>
    </r>
    <r>
      <rPr>
        <vertAlign val="subscript"/>
        <sz val="11"/>
        <color theme="1"/>
        <rFont val="Calibri"/>
        <family val="2"/>
        <scheme val="minor"/>
      </rPr>
      <t>m-visp</t>
    </r>
  </si>
  <si>
    <t>di cui soggetta a videoispezione</t>
  </si>
  <si>
    <r>
      <t>L</t>
    </r>
    <r>
      <rPr>
        <vertAlign val="subscript"/>
        <sz val="11"/>
        <color theme="1"/>
        <rFont val="Calibri"/>
        <family val="2"/>
        <scheme val="minor"/>
      </rPr>
      <t>b-isp</t>
    </r>
  </si>
  <si>
    <t xml:space="preserve">Lunghezza totale della rete di fognatura bianca (esclusi gli allacci) soggetta a ispezione </t>
  </si>
  <si>
    <r>
      <t>L</t>
    </r>
    <r>
      <rPr>
        <vertAlign val="subscript"/>
        <sz val="11"/>
        <color theme="1"/>
        <rFont val="Calibri"/>
        <family val="2"/>
        <scheme val="minor"/>
      </rPr>
      <t>b-visp</t>
    </r>
  </si>
  <si>
    <r>
      <t>L</t>
    </r>
    <r>
      <rPr>
        <vertAlign val="subscript"/>
        <sz val="11"/>
        <color theme="1"/>
        <rFont val="Calibri"/>
        <family val="2"/>
        <scheme val="minor"/>
      </rPr>
      <t>n-isp</t>
    </r>
  </si>
  <si>
    <t xml:space="preserve">Lunghezza totale della rete di fognatura nera (esclusi gli allacci) soggetta a ispezione </t>
  </si>
  <si>
    <r>
      <t>L</t>
    </r>
    <r>
      <rPr>
        <vertAlign val="subscript"/>
        <sz val="11"/>
        <color theme="1"/>
        <rFont val="Calibri"/>
        <family val="2"/>
        <scheme val="minor"/>
      </rPr>
      <t>n-visp</t>
    </r>
  </si>
  <si>
    <r>
      <t>Lf</t>
    </r>
    <r>
      <rPr>
        <b/>
        <vertAlign val="subscript"/>
        <sz val="11"/>
        <color theme="1"/>
        <rFont val="Calibri"/>
        <family val="2"/>
        <scheme val="minor"/>
      </rPr>
      <t>isp</t>
    </r>
  </si>
  <si>
    <t>Lunghezza totale della rete fognaria principale (esclusi gli allacci) soggetta ad ispezione</t>
  </si>
  <si>
    <t>G4.1</t>
  </si>
  <si>
    <t>Rotture annue di fognatura per chilometro di rete ispezionata</t>
  </si>
  <si>
    <t>Vedere RQTI al comma 14.4</t>
  </si>
  <si>
    <t>DEP</t>
  </si>
  <si>
    <t>Il gestore gestisce il servizio di depurazione?</t>
  </si>
  <si>
    <t>PRD</t>
  </si>
  <si>
    <t>Popolazione residente servita</t>
  </si>
  <si>
    <t>PFD</t>
  </si>
  <si>
    <t>ComD</t>
  </si>
  <si>
    <t>Numero di comuni serviti (ComD)</t>
  </si>
  <si>
    <t>SUD</t>
  </si>
  <si>
    <t>Superficie  (SUD)</t>
  </si>
  <si>
    <r>
      <t>Car</t>
    </r>
    <r>
      <rPr>
        <vertAlign val="subscript"/>
        <sz val="11"/>
        <color rgb="FF000000"/>
        <rFont val="Calibri"/>
        <family val="2"/>
        <scheme val="minor"/>
      </rPr>
      <t>dep</t>
    </r>
  </si>
  <si>
    <t xml:space="preserve">Totale carico inquinante collettato in rete fognaria e depurato in impianti di trattamento di acque reflue urbane incluse vasche Imhoff </t>
  </si>
  <si>
    <r>
      <t>Car</t>
    </r>
    <r>
      <rPr>
        <vertAlign val="subscript"/>
        <sz val="11"/>
        <color rgb="FF000000"/>
        <rFont val="Calibri"/>
        <family val="2"/>
        <scheme val="minor"/>
      </rPr>
      <t>dep,dnd</t>
    </r>
  </si>
  <si>
    <t>di cui di origine domestica o assimilabile</t>
  </si>
  <si>
    <r>
      <t>Car</t>
    </r>
    <r>
      <rPr>
        <vertAlign val="subscript"/>
        <sz val="11"/>
        <color rgb="FF000000"/>
        <rFont val="Calibri"/>
        <family val="2"/>
        <scheme val="minor"/>
      </rPr>
      <t>dep,ind</t>
    </r>
  </si>
  <si>
    <t>di cui origine industriale</t>
  </si>
  <si>
    <r>
      <t>EE</t>
    </r>
    <r>
      <rPr>
        <vertAlign val="subscript"/>
        <sz val="11"/>
        <color indexed="8"/>
        <rFont val="Calibri"/>
        <family val="2"/>
        <scheme val="minor"/>
      </rPr>
      <t>DEP</t>
    </r>
  </si>
  <si>
    <t>Consumo di energia elettrica per servizio di depurazione, al netto dell'energia autoprodotta</t>
  </si>
  <si>
    <r>
      <t>EE</t>
    </r>
    <r>
      <rPr>
        <vertAlign val="subscript"/>
        <sz val="11"/>
        <color rgb="FF000000"/>
        <rFont val="Calibri"/>
        <family val="2"/>
        <scheme val="minor"/>
      </rPr>
      <t>DEP,ess</t>
    </r>
  </si>
  <si>
    <t>di cui per sezione di essiccamento fanghi</t>
  </si>
  <si>
    <t xml:space="preserve">(Dato facoltativo) </t>
  </si>
  <si>
    <r>
      <t>Agg</t>
    </r>
    <r>
      <rPr>
        <vertAlign val="subscript"/>
        <sz val="11"/>
        <rFont val="Calibri"/>
        <family val="2"/>
        <scheme val="minor"/>
      </rPr>
      <t>cond,DEP</t>
    </r>
  </si>
  <si>
    <r>
      <t>AE</t>
    </r>
    <r>
      <rPr>
        <vertAlign val="subscript"/>
        <sz val="11"/>
        <rFont val="Calibri"/>
        <family val="2"/>
        <scheme val="minor"/>
      </rPr>
      <t>cond,DEP</t>
    </r>
  </si>
  <si>
    <r>
      <t>Preq3</t>
    </r>
    <r>
      <rPr>
        <b/>
        <vertAlign val="subscript"/>
        <sz val="11"/>
        <color rgb="FF000000"/>
        <rFont val="Calibri"/>
        <family val="2"/>
      </rPr>
      <t>M5</t>
    </r>
  </si>
  <si>
    <t>Relativamente al servizio di depurazione, il prerequisito sulla conformità alla normativa sulla gestione delle acque reflue è stato conseguito (prerequisito Preq3)?</t>
  </si>
  <si>
    <r>
      <t>Preq4</t>
    </r>
    <r>
      <rPr>
        <b/>
        <vertAlign val="subscript"/>
        <sz val="11"/>
        <color rgb="FF000000"/>
        <rFont val="Calibri"/>
        <family val="2"/>
        <scheme val="minor"/>
      </rPr>
      <t>M5</t>
    </r>
  </si>
  <si>
    <t>Indicare l'esito della validazione ai fini della valutazione della disponibilità e affidabilità dei dati per M5 (prerequisito Preq4)</t>
  </si>
  <si>
    <r>
      <t>Ist</t>
    </r>
    <r>
      <rPr>
        <vertAlign val="subscript"/>
        <sz val="11"/>
        <color rgb="FF000000"/>
        <rFont val="Calibri"/>
        <family val="2"/>
        <scheme val="minor"/>
      </rPr>
      <t>D,M5</t>
    </r>
  </si>
  <si>
    <t>Indicare se è stata formulata istanza per eventi imprevisti e imprevedibili che hanno comportato il mancato rispetto degli obiettivi per M5</t>
  </si>
  <si>
    <t>Calcolo del macro-indicatore M5</t>
  </si>
  <si>
    <r>
      <t>∑SS</t>
    </r>
    <r>
      <rPr>
        <vertAlign val="subscript"/>
        <sz val="11"/>
        <color rgb="FF000000"/>
        <rFont val="Calibri"/>
        <family val="2"/>
        <scheme val="minor"/>
      </rPr>
      <t>out,imp</t>
    </r>
  </si>
  <si>
    <t>t SS</t>
  </si>
  <si>
    <r>
      <t>∑SS</t>
    </r>
    <r>
      <rPr>
        <vertAlign val="subscript"/>
        <sz val="11"/>
        <color rgb="FF000000"/>
        <rFont val="Calibri"/>
        <family val="2"/>
        <scheme val="minor"/>
      </rPr>
      <t>disc,imp</t>
    </r>
  </si>
  <si>
    <t>di cui quantità complessiva di fanghi di depurazione destinati allo smaltimento finale in discarica</t>
  </si>
  <si>
    <t>Lo  smaltimento in discarica si riferisce al destino finale dei fanghi, a valle di eventuali trattamenti biologici e/o fisico-chimici</t>
  </si>
  <si>
    <r>
      <t>∑SS</t>
    </r>
    <r>
      <rPr>
        <vertAlign val="subscript"/>
        <sz val="11"/>
        <color rgb="FF000000"/>
        <rFont val="Calibri"/>
        <family val="2"/>
        <scheme val="minor"/>
      </rPr>
      <t>rec,imp</t>
    </r>
  </si>
  <si>
    <t>di cui quantità complessiva di fanghi di depurazione destinati al riutilizzo/recupero</t>
  </si>
  <si>
    <r>
      <t>∑SS</t>
    </r>
    <r>
      <rPr>
        <vertAlign val="subscript"/>
        <sz val="11"/>
        <color rgb="FF000000"/>
        <rFont val="Calibri"/>
        <family val="2"/>
        <scheme val="minor"/>
      </rPr>
      <t>rec,imp-a</t>
    </r>
  </si>
  <si>
    <t>di cui spandimento diretto in agricoltura</t>
  </si>
  <si>
    <r>
      <t>∑SS</t>
    </r>
    <r>
      <rPr>
        <vertAlign val="subscript"/>
        <sz val="11"/>
        <color rgb="FF000000"/>
        <rFont val="Calibri"/>
        <family val="2"/>
        <scheme val="minor"/>
      </rPr>
      <t>rec,imp-c</t>
    </r>
  </si>
  <si>
    <t>di cui per produzione di compost</t>
  </si>
  <si>
    <r>
      <t>∑SS</t>
    </r>
    <r>
      <rPr>
        <vertAlign val="subscript"/>
        <sz val="11"/>
        <color rgb="FF000000"/>
        <rFont val="Calibri"/>
        <family val="2"/>
        <scheme val="minor"/>
      </rPr>
      <t>rec,imp-t</t>
    </r>
  </si>
  <si>
    <t>di cui in termovalorizzatori</t>
  </si>
  <si>
    <t>Impianti dedicati al solo incenerimento dei fanghi di depurazione</t>
  </si>
  <si>
    <r>
      <t>∑SS</t>
    </r>
    <r>
      <rPr>
        <vertAlign val="subscript"/>
        <sz val="11"/>
        <color rgb="FF000000"/>
        <rFont val="Calibri"/>
        <family val="2"/>
        <scheme val="minor"/>
      </rPr>
      <t>rec,imp-al</t>
    </r>
  </si>
  <si>
    <t>di cui altro</t>
  </si>
  <si>
    <t>Fornire dettagli in relazione</t>
  </si>
  <si>
    <r>
      <t>∑MF</t>
    </r>
    <r>
      <rPr>
        <vertAlign val="subscript"/>
        <sz val="11"/>
        <color rgb="FF000000"/>
        <rFont val="Calibri"/>
        <family val="2"/>
        <scheme val="minor"/>
      </rPr>
      <t>tq,out,imp</t>
    </r>
  </si>
  <si>
    <t xml:space="preserve">Quantità complessiva di fanghi di depurazione tal quali in uscita dagli impianti </t>
  </si>
  <si>
    <t>t</t>
  </si>
  <si>
    <r>
      <t>∑MF</t>
    </r>
    <r>
      <rPr>
        <vertAlign val="subscript"/>
        <sz val="11"/>
        <color rgb="FF000000"/>
        <rFont val="Calibri"/>
        <family val="2"/>
        <scheme val="minor"/>
      </rPr>
      <t>tq,disc,imp</t>
    </r>
  </si>
  <si>
    <t>Quantità complessiva di fanghi di depurazione tal quali destinati allo smaltimento finale in discarica</t>
  </si>
  <si>
    <r>
      <t>%SS</t>
    </r>
    <r>
      <rPr>
        <b/>
        <vertAlign val="subscript"/>
        <sz val="11"/>
        <color rgb="FF000000"/>
        <rFont val="Calibri"/>
        <family val="2"/>
        <scheme val="minor"/>
      </rPr>
      <t>tot</t>
    </r>
  </si>
  <si>
    <t>Percentuale di sostanza secca mediamente contenuta nel quantitativo di fanghi complessivamente prodotto</t>
  </si>
  <si>
    <t xml:space="preserve">Vedere RQTI al comma 18.4 </t>
  </si>
  <si>
    <t>M5CL</t>
  </si>
  <si>
    <t>Smaltimento fanghi in discarica - Classe di appartenenza</t>
  </si>
  <si>
    <t>OB5</t>
  </si>
  <si>
    <t>Smaltimento fanghi in discarica  - Obiettivo</t>
  </si>
  <si>
    <r>
      <t>Agg</t>
    </r>
    <r>
      <rPr>
        <vertAlign val="subscript"/>
        <sz val="11"/>
        <rFont val="Calibri"/>
        <family val="2"/>
        <scheme val="minor"/>
      </rPr>
      <t>tot</t>
    </r>
  </si>
  <si>
    <t>Numero agglomerati individuati nel territorio gestito</t>
  </si>
  <si>
    <t>di cui superiori ai 2.000 A.E.</t>
  </si>
  <si>
    <t>G5.1</t>
  </si>
  <si>
    <t xml:space="preserve">Vedere RQTI al comma 18.7 </t>
  </si>
  <si>
    <r>
      <t>UtT</t>
    </r>
    <r>
      <rPr>
        <vertAlign val="subscript"/>
        <sz val="11"/>
        <color indexed="8"/>
        <rFont val="Calibri"/>
        <family val="2"/>
        <scheme val="minor"/>
      </rPr>
      <t>DEP</t>
    </r>
  </si>
  <si>
    <t>Numero di utenti finali serviti dal gestore per il servizio di depurazione (esclusi utenti indiretti)</t>
  </si>
  <si>
    <r>
      <t>UtT</t>
    </r>
    <r>
      <rPr>
        <vertAlign val="subscript"/>
        <sz val="11"/>
        <color indexed="8"/>
        <rFont val="Calibri"/>
        <family val="2"/>
        <scheme val="minor"/>
      </rPr>
      <t>DEP,dnd</t>
    </r>
  </si>
  <si>
    <r>
      <t>UtT</t>
    </r>
    <r>
      <rPr>
        <vertAlign val="subscript"/>
        <sz val="11"/>
        <color indexed="8"/>
        <rFont val="Calibri"/>
        <family val="2"/>
        <scheme val="minor"/>
      </rPr>
      <t>DEP,ind</t>
    </r>
  </si>
  <si>
    <t>di cui di origine industriale</t>
  </si>
  <si>
    <r>
      <t>UtT</t>
    </r>
    <r>
      <rPr>
        <vertAlign val="subscript"/>
        <sz val="11"/>
        <color indexed="8"/>
        <rFont val="Calibri"/>
        <family val="2"/>
        <scheme val="minor"/>
      </rPr>
      <t>cond,DEP</t>
    </r>
  </si>
  <si>
    <t>Numero di utenze condominiali servite dal gestore per il servizio di depurazione</t>
  </si>
  <si>
    <r>
      <t>UtT</t>
    </r>
    <r>
      <rPr>
        <vertAlign val="subscript"/>
        <sz val="11"/>
        <color indexed="8"/>
        <rFont val="Calibri"/>
        <family val="2"/>
        <scheme val="minor"/>
      </rPr>
      <t>indr,DEP</t>
    </r>
  </si>
  <si>
    <t>Numero di utenti indiretti sottesi alle utenze condominiali servite dal gestore per il servizio di depurazione</t>
  </si>
  <si>
    <r>
      <t>U</t>
    </r>
    <r>
      <rPr>
        <b/>
        <vertAlign val="subscript"/>
        <sz val="11"/>
        <color rgb="FF000000"/>
        <rFont val="Calibri"/>
        <family val="2"/>
        <scheme val="minor"/>
      </rPr>
      <t>tot,DEP</t>
    </r>
  </si>
  <si>
    <t>Numero di utenti finali serviti dal gestore per il servizio di depurazione (compresi utenti indiretti)</t>
  </si>
  <si>
    <r>
      <t>Gest</t>
    </r>
    <r>
      <rPr>
        <vertAlign val="subscript"/>
        <sz val="11"/>
        <color rgb="FF000000"/>
        <rFont val="Calibri"/>
        <family val="2"/>
        <scheme val="minor"/>
      </rPr>
      <t>SII</t>
    </r>
  </si>
  <si>
    <t>Il gestore gestisce in maniera integrata i servizi di distribuzione per l'acquedotto, di fognatura e di depurazione in tutti i Comuni serviti?</t>
  </si>
  <si>
    <t xml:space="preserve">Vedere RQTI al comma 18.8 </t>
  </si>
  <si>
    <r>
      <t>N</t>
    </r>
    <r>
      <rPr>
        <vertAlign val="subscript"/>
        <sz val="11"/>
        <color rgb="FF000000"/>
        <rFont val="Calibri"/>
        <family val="2"/>
        <scheme val="minor"/>
      </rPr>
      <t>Com,SII</t>
    </r>
  </si>
  <si>
    <t>Se "prevalentemente", in quanti Comuni il servizio è integrato?</t>
  </si>
  <si>
    <t>Se  "prevalentemente", indicare il numero di utenti finali serviti dal gestore (compresi utenti indiretti) nei Comuni in cui vengono forniti entrambi i servizi seguenti:</t>
  </si>
  <si>
    <r>
      <t>U</t>
    </r>
    <r>
      <rPr>
        <vertAlign val="subscript"/>
        <sz val="11"/>
        <color rgb="FF000000"/>
        <rFont val="Calibri"/>
        <family val="2"/>
        <scheme val="minor"/>
      </rPr>
      <t>tot,dist,SII</t>
    </r>
  </si>
  <si>
    <t xml:space="preserve">      - distribuzione di acquedotto</t>
  </si>
  <si>
    <r>
      <t>U</t>
    </r>
    <r>
      <rPr>
        <vertAlign val="subscript"/>
        <sz val="11"/>
        <color rgb="FF000000"/>
        <rFont val="Calibri"/>
        <family val="2"/>
        <scheme val="minor"/>
      </rPr>
      <t>tot,DEP,SII</t>
    </r>
  </si>
  <si>
    <t xml:space="preserve">      - depurazione</t>
  </si>
  <si>
    <t>G5.2</t>
  </si>
  <si>
    <t>Copertura del servizio di depurazione rispetto all'utenza servita da acquedotto</t>
  </si>
  <si>
    <r>
      <t>EN</t>
    </r>
    <r>
      <rPr>
        <vertAlign val="subscript"/>
        <sz val="11"/>
        <color rgb="FF000000"/>
        <rFont val="Calibri"/>
        <family val="2"/>
        <scheme val="minor"/>
      </rPr>
      <t>DEP</t>
    </r>
  </si>
  <si>
    <t xml:space="preserve">Consumo energetico negli impianti di depurazione </t>
  </si>
  <si>
    <t>tep</t>
  </si>
  <si>
    <t>Da compilare con riferimento a tutte le fonti di energia, non solo quella elettrica</t>
  </si>
  <si>
    <r>
      <t>EN</t>
    </r>
    <r>
      <rPr>
        <vertAlign val="subscript"/>
        <sz val="11"/>
        <color rgb="FF000000"/>
        <rFont val="Calibri"/>
        <family val="2"/>
        <scheme val="minor"/>
      </rPr>
      <t>DEP,ess</t>
    </r>
  </si>
  <si>
    <r>
      <t>EN</t>
    </r>
    <r>
      <rPr>
        <vertAlign val="subscript"/>
        <sz val="11"/>
        <color rgb="FF000000"/>
        <rFont val="Calibri"/>
        <family val="2"/>
        <scheme val="minor"/>
      </rPr>
      <t>DEP,au</t>
    </r>
  </si>
  <si>
    <t>Energia autoprodotta da cogenerazione nella fase di digestione anaerobica dei fanghi</t>
  </si>
  <si>
    <t>G5.3</t>
  </si>
  <si>
    <t>Impronta di carbonio del servizio di depurazione</t>
  </si>
  <si>
    <t>t CO2,eq</t>
  </si>
  <si>
    <t>(Dato facoltativo) 
Vedere norma UNI EN ISO 14064-1</t>
  </si>
  <si>
    <r>
      <t>Preq3</t>
    </r>
    <r>
      <rPr>
        <b/>
        <vertAlign val="subscript"/>
        <sz val="11"/>
        <color rgb="FF000000"/>
        <rFont val="Calibri"/>
        <family val="2"/>
      </rPr>
      <t>M6</t>
    </r>
  </si>
  <si>
    <r>
      <t>Preq4</t>
    </r>
    <r>
      <rPr>
        <b/>
        <vertAlign val="subscript"/>
        <sz val="11"/>
        <color rgb="FF000000"/>
        <rFont val="Calibri"/>
        <family val="2"/>
        <scheme val="minor"/>
      </rPr>
      <t>M6</t>
    </r>
  </si>
  <si>
    <t>Indicare l'esito della validazione ai fini della valutazione della disponibilità e affidabilità dei dati per M6 (prerequisito Preq4)</t>
  </si>
  <si>
    <r>
      <t>Ist</t>
    </r>
    <r>
      <rPr>
        <vertAlign val="subscript"/>
        <sz val="11"/>
        <color rgb="FF000000"/>
        <rFont val="Calibri"/>
        <family val="2"/>
        <scheme val="minor"/>
      </rPr>
      <t>D,M6</t>
    </r>
  </si>
  <si>
    <t xml:space="preserve">Indicare se è stata formulata istanza per eventi imprevisti e imprevedibili che hanno comportato il mancato rispetto degli obiettivi per M6 </t>
  </si>
  <si>
    <t>Calcolo del macro-indicatore M6</t>
  </si>
  <si>
    <t>Ndep</t>
  </si>
  <si>
    <t xml:space="preserve">Numero complessivo di impianti di depurazione (incluse vasche Imhoff) </t>
  </si>
  <si>
    <r>
      <t>Ndep</t>
    </r>
    <r>
      <rPr>
        <vertAlign val="subscript"/>
        <sz val="11"/>
        <color rgb="FF000000"/>
        <rFont val="Calibri"/>
        <family val="2"/>
        <scheme val="minor"/>
      </rPr>
      <t>2000</t>
    </r>
  </si>
  <si>
    <t>di cui di potenzialità pari o superiore a 2.000 AE</t>
  </si>
  <si>
    <r>
      <t>Ndep</t>
    </r>
    <r>
      <rPr>
        <vertAlign val="subscript"/>
        <sz val="11"/>
        <color rgb="FF000000"/>
        <rFont val="Calibri"/>
        <family val="2"/>
        <scheme val="minor"/>
      </rPr>
      <t>cost</t>
    </r>
  </si>
  <si>
    <t>di cui inferiori ai 10.000 AE se recapitanti in acque costiere</t>
  </si>
  <si>
    <t>N*</t>
  </si>
  <si>
    <t>Numero complessivo di impianti di depurazione soggetti a M6</t>
  </si>
  <si>
    <r>
      <t>N.B. la differenza tra Ndep</t>
    </r>
    <r>
      <rPr>
        <vertAlign val="subscript"/>
        <sz val="10"/>
        <rFont val="Calibri"/>
        <family val="2"/>
        <scheme val="minor"/>
      </rPr>
      <t>2000</t>
    </r>
    <r>
      <rPr>
        <sz val="10"/>
        <rFont val="Calibri"/>
        <family val="2"/>
        <scheme val="minor"/>
      </rPr>
      <t xml:space="preserve"> ed Ndep</t>
    </r>
    <r>
      <rPr>
        <vertAlign val="subscript"/>
        <sz val="10"/>
        <rFont val="Calibri"/>
        <family val="2"/>
        <scheme val="minor"/>
      </rPr>
      <t xml:space="preserve">cost </t>
    </r>
    <r>
      <rPr>
        <sz val="10"/>
        <rFont val="Calibri"/>
        <family val="2"/>
        <scheme val="minor"/>
      </rPr>
      <t>rappresenta l'insieme degli impianti considerati per il calcolo di M6</t>
    </r>
  </si>
  <si>
    <r>
      <t>N*</t>
    </r>
    <r>
      <rPr>
        <vertAlign val="subscript"/>
        <sz val="11"/>
        <rFont val="Calibri"/>
        <family val="2"/>
        <scheme val="minor"/>
      </rPr>
      <t>Tab2</t>
    </r>
  </si>
  <si>
    <t>di cui tenuti al rispetto della Tabella 2 dell'Allegato 5 alla Parte Terza del D.Lgs 152/2006 (aree sensibili)</t>
  </si>
  <si>
    <r>
      <t>N*</t>
    </r>
    <r>
      <rPr>
        <vertAlign val="subscript"/>
        <sz val="11"/>
        <rFont val="Calibri"/>
        <family val="2"/>
        <scheme val="minor"/>
      </rPr>
      <t>Tab4</t>
    </r>
  </si>
  <si>
    <r>
      <t>N*</t>
    </r>
    <r>
      <rPr>
        <vertAlign val="subscript"/>
        <sz val="11"/>
        <rFont val="Calibri"/>
        <family val="2"/>
        <scheme val="minor"/>
      </rPr>
      <t>Tab3</t>
    </r>
  </si>
  <si>
    <r>
      <t>∑C</t>
    </r>
    <r>
      <rPr>
        <vertAlign val="subscript"/>
        <sz val="11"/>
        <color rgb="FF000000"/>
        <rFont val="Calibri"/>
        <family val="2"/>
        <scheme val="minor"/>
      </rPr>
      <t>imp,DEP-tot</t>
    </r>
  </si>
  <si>
    <r>
      <t>∑C</t>
    </r>
    <r>
      <rPr>
        <vertAlign val="subscript"/>
        <sz val="11"/>
        <color rgb="FF000000"/>
        <rFont val="Calibri"/>
        <family val="2"/>
        <scheme val="minor"/>
      </rPr>
      <t>imp,DEP-cnc</t>
    </r>
  </si>
  <si>
    <r>
      <t>∑C</t>
    </r>
    <r>
      <rPr>
        <vertAlign val="subscript"/>
        <sz val="11"/>
        <color rgb="FF000000"/>
        <rFont val="Calibri"/>
        <family val="2"/>
        <scheme val="minor"/>
      </rPr>
      <t>imp,DEP-cnc,T1</t>
    </r>
  </si>
  <si>
    <r>
      <t>∑C</t>
    </r>
    <r>
      <rPr>
        <vertAlign val="subscript"/>
        <sz val="11"/>
        <color rgb="FF000000"/>
        <rFont val="Calibri"/>
        <family val="2"/>
        <scheme val="minor"/>
      </rPr>
      <t>imp,DEP-cnc,T2</t>
    </r>
  </si>
  <si>
    <r>
      <t>∑C</t>
    </r>
    <r>
      <rPr>
        <vertAlign val="subscript"/>
        <sz val="11"/>
        <color rgb="FF000000"/>
        <rFont val="Calibri"/>
        <family val="2"/>
        <scheme val="minor"/>
      </rPr>
      <t>imp,DEP-cnc,T1-2</t>
    </r>
  </si>
  <si>
    <r>
      <t>∑C</t>
    </r>
    <r>
      <rPr>
        <vertAlign val="subscript"/>
        <sz val="11"/>
        <color rgb="FF000000"/>
        <rFont val="Calibri"/>
        <family val="2"/>
        <scheme val="minor"/>
      </rPr>
      <t>imp,DEP-cnc,T4</t>
    </r>
  </si>
  <si>
    <t>Qualità dell'acqua depurata</t>
  </si>
  <si>
    <t xml:space="preserve">Vedere RQTI al comma 19.5 </t>
  </si>
  <si>
    <t>M6CL</t>
  </si>
  <si>
    <t>Qualità dell'acqua depurata - Classe di appartenenza</t>
  </si>
  <si>
    <t>OB6</t>
  </si>
  <si>
    <t>Qualità dell'acqua depurata  - Obiettivo</t>
  </si>
  <si>
    <t>G6.1</t>
  </si>
  <si>
    <t>Qualità dell'acqua depurata - esteso</t>
  </si>
  <si>
    <t xml:space="preserve">Vedere RQTI al comma 19.6 </t>
  </si>
  <si>
    <t>G6.2</t>
  </si>
  <si>
    <t>Numerosità dei campionamenti eseguiti</t>
  </si>
  <si>
    <r>
      <t>∑P</t>
    </r>
    <r>
      <rPr>
        <vertAlign val="subscript"/>
        <sz val="11"/>
        <color rgb="FF000000"/>
        <rFont val="Calibri"/>
        <family val="2"/>
        <scheme val="minor"/>
      </rPr>
      <t>imp,DEP-tot</t>
    </r>
  </si>
  <si>
    <r>
      <t>∑P</t>
    </r>
    <r>
      <rPr>
        <vertAlign val="subscript"/>
        <sz val="11"/>
        <color rgb="FF000000"/>
        <rFont val="Calibri"/>
        <family val="2"/>
        <scheme val="minor"/>
      </rPr>
      <t>imp,DEP-pnc</t>
    </r>
  </si>
  <si>
    <t>G6.3</t>
  </si>
  <si>
    <t>Tasso di parametri risultati oltre i limiti</t>
  </si>
  <si>
    <t xml:space="preserve">Vedere RQTI al comma 19.7 </t>
  </si>
  <si>
    <t>Prevalentemente</t>
  </si>
  <si>
    <r>
      <t xml:space="preserve">Altri dati di qualità tecnica 
</t>
    </r>
    <r>
      <rPr>
        <sz val="12"/>
        <color theme="3"/>
        <rFont val="Calibri"/>
        <family val="2"/>
        <scheme val="minor"/>
      </rPr>
      <t xml:space="preserve">Tutti i valori imputati sono intesi essere valori 
consuntivi </t>
    </r>
  </si>
  <si>
    <t>Sommatoria degli utenti finali (compresi utenti indiretti) con diritto all'indennizzo automatico per S1</t>
  </si>
  <si>
    <t xml:space="preserve">Gli utenti interessati si contano tante volte quanti sono i mancati rispetti dello standard con diritto all'indennizzo automatico </t>
  </si>
  <si>
    <t>Sommatoria degli utenti finali (compresi utenti indiretti) con diritto all'indennizzo automatico per S2</t>
  </si>
  <si>
    <t>Sommatoria degli utenti finali (compresi utenti indiretti) con diritto all'indennizzo automatico per S3</t>
  </si>
  <si>
    <t>Ammontare complessivo degli indennizzi erogato agli utenti finali (inclusi utenti indiretti) interessati da mancato rispetto degli standard specifici di qualità tecnica</t>
  </si>
  <si>
    <t>€</t>
  </si>
  <si>
    <t>Quesito riferito all'intervallo temporale dal 1 gennaio al 31 dicembre di ogni anno</t>
  </si>
  <si>
    <t>Ammontare complessivo degli indennizzi non ancora corrisposto agli utenti finali (inclusi utenti indiretti) interessati da mancato rispetto degli standard specifici di qualità tecnica</t>
  </si>
  <si>
    <t>S_plus</t>
  </si>
  <si>
    <t>Indicare se nella Carta dei Servizi in vigore è garantito uno standard migliorativo per gli standard specifici S1 e/o S2 e/o S3</t>
  </si>
  <si>
    <t>Eventualmente specificare in relazione</t>
  </si>
  <si>
    <t>ACQUEDOTTO - Dati sulla misura di utenza, inclusi obblighi di cui all'art. 15 dell'Allegato A alla del. 218/2016/R/idr (TIMSII)</t>
  </si>
  <si>
    <t>UtTmis</t>
  </si>
  <si>
    <t>Numero di utenze finali dotate di misuratore (esclusi utenti indiretti)</t>
  </si>
  <si>
    <t>Vedere TIMSII, comma 15.1</t>
  </si>
  <si>
    <t>UtTmis_acc</t>
  </si>
  <si>
    <t>di cui con misuratori accessibili</t>
  </si>
  <si>
    <t>UtTmis_pacc</t>
  </si>
  <si>
    <t>di cui con misuratori parzialmente accessibili</t>
  </si>
  <si>
    <t>UtTmis_nacc</t>
  </si>
  <si>
    <t>di cui con misuratori non accessibili</t>
  </si>
  <si>
    <t>UtTmis_sm</t>
  </si>
  <si>
    <t xml:space="preserve">     di cui con misuratore teleletto da remoto</t>
  </si>
  <si>
    <t>UtTbt</t>
  </si>
  <si>
    <t>Numero di utenze finali con dispositivi a bocca tarata (esclusi utenti indiretti)</t>
  </si>
  <si>
    <t>UtTmis_3000</t>
  </si>
  <si>
    <t>di cui con consumi medi annui fino a 3.000 mc (2 tentativi minimi)</t>
  </si>
  <si>
    <t>UtTmis_3000+</t>
  </si>
  <si>
    <t>di cui con consumi medi annui superiori a 3.000 mc (3 tentativi minimi)</t>
  </si>
  <si>
    <t>Racc3000</t>
  </si>
  <si>
    <t>Numero di tentativi di raccolta delle misure per utenti finali con consumi medi annui fino a 3.000 mc (totale)</t>
  </si>
  <si>
    <t>Racc3000_eff</t>
  </si>
  <si>
    <t>di cui andati a buon fine</t>
  </si>
  <si>
    <t>Racc3000_val</t>
  </si>
  <si>
    <t>di cui con misura validata</t>
  </si>
  <si>
    <t>Al3000</t>
  </si>
  <si>
    <t>Numero di autoletture dei misuratori di utenza prese in carico per utenti finali con consumi medi annui fino a 3.000 mc (totale)</t>
  </si>
  <si>
    <t>Al3000_val</t>
  </si>
  <si>
    <t>Racc3000+</t>
  </si>
  <si>
    <t>Numero di tentativi di raccolta delle misure per utenti finali con consumi medi annui superiori a 3.000 mc</t>
  </si>
  <si>
    <t>Racc3000+_eff</t>
  </si>
  <si>
    <t>Racc3000+_val</t>
  </si>
  <si>
    <t>Al3000+</t>
  </si>
  <si>
    <t>Numero di autoletture dei misuratori di utenza prese in carico per utenti finali con consumi medi annui superiori a 3.000 mc</t>
  </si>
  <si>
    <t>Al3000+_val</t>
  </si>
  <si>
    <t>Misut</t>
  </si>
  <si>
    <t>Numero di misuratori di utenza</t>
  </si>
  <si>
    <t>Si intendono i misuratori dei volumi installati presso gli utenti finali (esclusi utenti indiretti)</t>
  </si>
  <si>
    <t>Misut,5</t>
  </si>
  <si>
    <t>di cui con età ≤ 5 anni</t>
  </si>
  <si>
    <t>Misut,5-10</t>
  </si>
  <si>
    <t xml:space="preserve">di cui con età 6-10 anni </t>
  </si>
  <si>
    <t>Misut,10-15</t>
  </si>
  <si>
    <t>di cui con età 11-15 anni</t>
  </si>
  <si>
    <t>Misut,15</t>
  </si>
  <si>
    <t>di cui con età &gt; 15 anni</t>
  </si>
  <si>
    <t>Misut,10m</t>
  </si>
  <si>
    <t>di cui con età &gt; 10 anni meccanici</t>
  </si>
  <si>
    <t>Misut,13sv</t>
  </si>
  <si>
    <t>di cui con età &gt; 13 anni statici e venturimetrici</t>
  </si>
  <si>
    <t xml:space="preserve">ACQUEDOTTO - Ulteriori dati </t>
  </si>
  <si>
    <t>Nf</t>
  </si>
  <si>
    <t>Numero fonti di approvvigionamento di acqua destinata al consumo umano</t>
  </si>
  <si>
    <t>Inteso come numero di punti di prelievo ed escluse le importazioni di acqua da altri gestori/grossisti</t>
  </si>
  <si>
    <t>Npot</t>
  </si>
  <si>
    <t>Numero impianti di potabilizzazione delle acque  (esclusa semplice disinfezione)</t>
  </si>
  <si>
    <t>Esclusi i sistemi di dosaggio di disinfettanti in rete</t>
  </si>
  <si>
    <t>Volume di acqua prelevato dall'ambiente</t>
  </si>
  <si>
    <t>di cui da sorgenti</t>
  </si>
  <si>
    <t>di cui da pozzi</t>
  </si>
  <si>
    <t>di cui da corsi d'acqua, laghi, bacini artificiali</t>
  </si>
  <si>
    <t>di cui da acque marine o salmastre</t>
  </si>
  <si>
    <t>WA6</t>
  </si>
  <si>
    <t>Volumi in ingresso al trattamento di potabilizzazione (esclusa semplice disinfezione)</t>
  </si>
  <si>
    <t>Volume di acqua (prelevata dall’ambiente o importata) immesso negli impianti di potabilizzazione, è esclusa l’acqua sottoposta alla sola disinfezione</t>
  </si>
  <si>
    <t>di cui sottoposta a trattamento fisico semplice</t>
  </si>
  <si>
    <t>Comprende, ad esempio, stacciatura, sedimentazione, filtrazione</t>
  </si>
  <si>
    <t>di cui sottoposta a trattamento fisico e chimico normale</t>
  </si>
  <si>
    <t>Comprende, ad esempio, coagulazione e flocculazione (sono da escludere i volumi inseriti nella riga precedente)</t>
  </si>
  <si>
    <t>di cui sottoposta a trattamento fisico e chimico spinto e/o affinamento</t>
  </si>
  <si>
    <t>Comprende, ad esempio, ozonazione, adsorbimento, filtrazione su membrana, osmosi inversa (sono da escludere i volumi inseriti nelle righe precedenti)</t>
  </si>
  <si>
    <t>Numero di utenti finali serviti per il servizio di acquedotto, ma non allacciati alla fognatura (esclusi utenti indiretti)</t>
  </si>
  <si>
    <t>Si intendono gli utenti finali del servizio di acquedotto per cui non viene fatturato il servizio di fognatura; gli utenti sono da considerarsi serviti da fognatura anche nel caso in cui la stessa sia gestita separatamente da un altro gestore (rif. art. 156 del D.lgs 152/2006)</t>
  </si>
  <si>
    <t>Numero di prese di utenza</t>
  </si>
  <si>
    <t>Lall</t>
  </si>
  <si>
    <t>Lunghezza totale allacci</t>
  </si>
  <si>
    <t>Indicare lo sviluppo lineare totale delle condotte di allaccio, ovvero la somma delle lunghezze di tutte le condotte dallo stacco dalla rete principale al punto di consegna dell'acquedotto</t>
  </si>
  <si>
    <t>di cui con età di posa ≤ 10 anni</t>
  </si>
  <si>
    <t>di cui con età di posa 11-30 anni</t>
  </si>
  <si>
    <t>di cui con età di posa 31-40 anni</t>
  </si>
  <si>
    <t>di cui con età di posa 41-50 anni</t>
  </si>
  <si>
    <t>di cui con età di posa &gt; 50 anni</t>
  </si>
  <si>
    <t>di cui con età di posa non nota</t>
  </si>
  <si>
    <t>Dato calcolato per differenza dai precedenti</t>
  </si>
  <si>
    <t>Lunghezza rete principale di adduzione e di distribuzione georeferenziata</t>
  </si>
  <si>
    <t xml:space="preserve">Escluse le derivazioni d’utenza </t>
  </si>
  <si>
    <t>Lunghezza rete sottoposta a ricerca perdite con tecniche acustiche o tecniche/tecnologie differenti aventi il medesimo scopo</t>
  </si>
  <si>
    <t>Estensione rete distrettualizzata telecontrollata</t>
  </si>
  <si>
    <t>Solo rete principale di distribuzione, escluse le derivazioni d’utenza. Da considerare solo i distretti permanenti</t>
  </si>
  <si>
    <t>Lunghezza complessiva condotte sostituite, incluse condotte sostituite o risanate con tecniche senza scavo</t>
  </si>
  <si>
    <t>Solo la rete principale di adduzione e distribuzione, escluse le derivazioni d’utenza</t>
  </si>
  <si>
    <t>Numero di rotture annue sulla rete di distribuzione principale</t>
  </si>
  <si>
    <t>FOGNATURA - Ulteriori dati</t>
  </si>
  <si>
    <r>
      <t>N</t>
    </r>
    <r>
      <rPr>
        <vertAlign val="subscript"/>
        <sz val="11"/>
        <color theme="1"/>
        <rFont val="Calibri"/>
        <family val="2"/>
        <scheme val="minor"/>
      </rPr>
      <t>all,FOG</t>
    </r>
  </si>
  <si>
    <t>Numero di allacciamenti alla rete fognaria</t>
  </si>
  <si>
    <t>Lf,sos</t>
  </si>
  <si>
    <t>Lf,geo</t>
  </si>
  <si>
    <t>Lunghezza rete fognaria georeferenziata</t>
  </si>
  <si>
    <r>
      <t>UtT</t>
    </r>
    <r>
      <rPr>
        <vertAlign val="subscript"/>
        <sz val="11"/>
        <color indexed="8"/>
        <rFont val="Calibri"/>
        <family val="2"/>
        <scheme val="minor"/>
      </rPr>
      <t>FOG</t>
    </r>
  </si>
  <si>
    <t>Numero di utenti finali serviti dal gestore per il servizio di fognatura (esclusi utenti indiretti)</t>
  </si>
  <si>
    <r>
      <t>UtT</t>
    </r>
    <r>
      <rPr>
        <vertAlign val="subscript"/>
        <sz val="11"/>
        <color indexed="8"/>
        <rFont val="Calibri"/>
        <family val="2"/>
        <scheme val="minor"/>
      </rPr>
      <t>FOG,dnd</t>
    </r>
  </si>
  <si>
    <t xml:space="preserve">        di cui utenze domestiche e non domestiche assimilabili</t>
  </si>
  <si>
    <r>
      <t>UtT</t>
    </r>
    <r>
      <rPr>
        <vertAlign val="subscript"/>
        <sz val="11"/>
        <color indexed="8"/>
        <rFont val="Calibri"/>
        <family val="2"/>
        <scheme val="minor"/>
      </rPr>
      <t>FOG,ind</t>
    </r>
  </si>
  <si>
    <t xml:space="preserve">        di cui utenze industriali</t>
  </si>
  <si>
    <t>Come da definizioni TICSI. Non è la somma dei "di cui" sottostanti</t>
  </si>
  <si>
    <r>
      <t>UtT</t>
    </r>
    <r>
      <rPr>
        <vertAlign val="subscript"/>
        <sz val="11"/>
        <color indexed="8"/>
        <rFont val="Calibri"/>
        <family val="2"/>
        <scheme val="minor"/>
      </rPr>
      <t>FOG,ind,m</t>
    </r>
  </si>
  <si>
    <t>di cui dotate di misuratore di portata</t>
  </si>
  <si>
    <r>
      <t>UtT</t>
    </r>
    <r>
      <rPr>
        <vertAlign val="subscript"/>
        <sz val="11"/>
        <color indexed="8"/>
        <rFont val="Calibri"/>
        <family val="2"/>
        <scheme val="minor"/>
      </rPr>
      <t>FOG,ind,p</t>
    </r>
  </si>
  <si>
    <t>di cui dotate di pre-trattamenti</t>
  </si>
  <si>
    <r>
      <t>UtT</t>
    </r>
    <r>
      <rPr>
        <vertAlign val="subscript"/>
        <sz val="11"/>
        <color indexed="8"/>
        <rFont val="Calibri"/>
        <family val="2"/>
        <scheme val="minor"/>
      </rPr>
      <t>FOG,ind,d</t>
    </r>
  </si>
  <si>
    <t>di cui con parametri in deroga alla tabella 3, Allegato 5, Parte III, D.lgs 152/2006</t>
  </si>
  <si>
    <r>
      <t>UtT</t>
    </r>
    <r>
      <rPr>
        <vertAlign val="subscript"/>
        <sz val="11"/>
        <color indexed="8"/>
        <rFont val="Calibri"/>
        <family val="2"/>
        <scheme val="minor"/>
      </rPr>
      <t>cond,FOG</t>
    </r>
  </si>
  <si>
    <t>Numero di utenze condominiali servite dal gestore per il servizio di fognatura</t>
  </si>
  <si>
    <r>
      <t>UtT</t>
    </r>
    <r>
      <rPr>
        <vertAlign val="subscript"/>
        <sz val="11"/>
        <color indexed="8"/>
        <rFont val="Calibri"/>
        <family val="2"/>
        <scheme val="minor"/>
      </rPr>
      <t>indr,FOG</t>
    </r>
  </si>
  <si>
    <t>Numero di utenti indiretti sottesi alle utenze condominiali servite dal gestore per il servizio di fognatura</t>
  </si>
  <si>
    <r>
      <t>U</t>
    </r>
    <r>
      <rPr>
        <vertAlign val="subscript"/>
        <sz val="11"/>
        <color rgb="FF000000"/>
        <rFont val="Calibri"/>
        <family val="2"/>
        <scheme val="minor"/>
      </rPr>
      <t>tot,FOG</t>
    </r>
  </si>
  <si>
    <t>Numero di utenti finali serviti dal gestore per il servizio di fognatura (compresi utenti indiretti)</t>
  </si>
  <si>
    <r>
      <t>Car</t>
    </r>
    <r>
      <rPr>
        <vertAlign val="subscript"/>
        <sz val="11"/>
        <color theme="1"/>
        <rFont val="Calibri"/>
        <family val="2"/>
        <scheme val="minor"/>
      </rPr>
      <t>gen</t>
    </r>
  </si>
  <si>
    <t>Totale carico inquinante delle acque reflue del territorio servito (carico generato)</t>
  </si>
  <si>
    <t>Carico biodegradabile generato nel territorio in cui è svolto il servizio di fognatura</t>
  </si>
  <si>
    <r>
      <t>Car</t>
    </r>
    <r>
      <rPr>
        <vertAlign val="subscript"/>
        <sz val="11"/>
        <color theme="1"/>
        <rFont val="Calibri"/>
        <family val="2"/>
        <scheme val="minor"/>
      </rPr>
      <t>gen,dnd</t>
    </r>
  </si>
  <si>
    <t>di cui di origine domestica o non domestica assimilabile</t>
  </si>
  <si>
    <r>
      <t>Car</t>
    </r>
    <r>
      <rPr>
        <vertAlign val="subscript"/>
        <sz val="11"/>
        <color theme="1"/>
        <rFont val="Calibri"/>
        <family val="2"/>
        <scheme val="minor"/>
      </rPr>
      <t>gen,ind</t>
    </r>
  </si>
  <si>
    <r>
      <t>Car</t>
    </r>
    <r>
      <rPr>
        <vertAlign val="subscript"/>
        <sz val="11"/>
        <color theme="1"/>
        <rFont val="Calibri"/>
        <family val="2"/>
        <scheme val="minor"/>
      </rPr>
      <t>col</t>
    </r>
  </si>
  <si>
    <t>Totale carico inquinante delle acque reflue collettate in rete fognaria (carico collettato)</t>
  </si>
  <si>
    <t>Componente di carico biodegradabile generato nel territorio in cui è svolto il servizio di fognatura ed effettivamente collettato in fognatura</t>
  </si>
  <si>
    <r>
      <t>Car</t>
    </r>
    <r>
      <rPr>
        <vertAlign val="subscript"/>
        <sz val="11"/>
        <color theme="1"/>
        <rFont val="Calibri"/>
        <family val="2"/>
        <scheme val="minor"/>
      </rPr>
      <t>col,dnd</t>
    </r>
  </si>
  <si>
    <r>
      <t>Car</t>
    </r>
    <r>
      <rPr>
        <vertAlign val="subscript"/>
        <sz val="11"/>
        <color theme="1"/>
        <rFont val="Calibri"/>
        <family val="2"/>
        <scheme val="minor"/>
      </rPr>
      <t>col,ind</t>
    </r>
  </si>
  <si>
    <t>DEPURAZIONE - Ulteriori dati</t>
  </si>
  <si>
    <t>Numero complessivo di impianti di depurazione (incluse vasche Imhoff)</t>
  </si>
  <si>
    <r>
      <t>Ndep</t>
    </r>
    <r>
      <rPr>
        <vertAlign val="subscript"/>
        <sz val="11"/>
        <color rgb="FF000000"/>
        <rFont val="Calibri"/>
        <family val="2"/>
        <scheme val="minor"/>
      </rPr>
      <t>0</t>
    </r>
  </si>
  <si>
    <t>di cui vasche Imhoff</t>
  </si>
  <si>
    <r>
      <t>Ndep</t>
    </r>
    <r>
      <rPr>
        <vertAlign val="subscript"/>
        <sz val="11"/>
        <color rgb="FF000000"/>
        <rFont val="Calibri"/>
        <family val="2"/>
        <scheme val="minor"/>
      </rPr>
      <t>1</t>
    </r>
  </si>
  <si>
    <t>di cui con trattamento sino al primario</t>
  </si>
  <si>
    <r>
      <t>Ndep</t>
    </r>
    <r>
      <rPr>
        <vertAlign val="subscript"/>
        <sz val="11"/>
        <color rgb="FF000000"/>
        <rFont val="Calibri"/>
        <family val="2"/>
        <scheme val="minor"/>
      </rPr>
      <t>2</t>
    </r>
  </si>
  <si>
    <t>di cui con trattamento sino al secondario</t>
  </si>
  <si>
    <r>
      <t>Ndep</t>
    </r>
    <r>
      <rPr>
        <vertAlign val="subscript"/>
        <sz val="11"/>
        <color rgb="FF000000"/>
        <rFont val="Calibri"/>
        <family val="2"/>
        <scheme val="minor"/>
      </rPr>
      <t>3</t>
    </r>
  </si>
  <si>
    <t>di cui con trattamento sino al terziario</t>
  </si>
  <si>
    <r>
      <t>Ndep</t>
    </r>
    <r>
      <rPr>
        <vertAlign val="subscript"/>
        <sz val="11"/>
        <color rgb="FF000000"/>
        <rFont val="Calibri"/>
        <family val="2"/>
        <scheme val="minor"/>
      </rPr>
      <t>4</t>
    </r>
  </si>
  <si>
    <r>
      <t>Car</t>
    </r>
    <r>
      <rPr>
        <vertAlign val="subscript"/>
        <sz val="11"/>
        <color theme="1"/>
        <rFont val="Calibri"/>
        <family val="2"/>
        <scheme val="minor"/>
      </rPr>
      <t>gen_dep</t>
    </r>
  </si>
  <si>
    <t>Totale carico inquinante delle acque reflue del territorio gestito (carico generato)</t>
  </si>
  <si>
    <r>
      <t>Car</t>
    </r>
    <r>
      <rPr>
        <vertAlign val="subscript"/>
        <sz val="11"/>
        <color rgb="FF000000"/>
        <rFont val="Calibri"/>
        <family val="2"/>
        <scheme val="minor"/>
      </rPr>
      <t>dep0</t>
    </r>
  </si>
  <si>
    <t>di cui confluito in vasche Imhoff</t>
  </si>
  <si>
    <r>
      <t>Car</t>
    </r>
    <r>
      <rPr>
        <vertAlign val="subscript"/>
        <sz val="11"/>
        <color rgb="FF000000"/>
        <rFont val="Calibri"/>
        <family val="2"/>
        <scheme val="minor"/>
      </rPr>
      <t>dep1</t>
    </r>
  </si>
  <si>
    <t>di cui confluito in trattamenti sino ai primari</t>
  </si>
  <si>
    <r>
      <t>Car</t>
    </r>
    <r>
      <rPr>
        <vertAlign val="subscript"/>
        <sz val="11"/>
        <color rgb="FF000000"/>
        <rFont val="Calibri"/>
        <family val="2"/>
        <scheme val="minor"/>
      </rPr>
      <t>dep2</t>
    </r>
  </si>
  <si>
    <t>di cui confluito in trattamenti sino ai secondari</t>
  </si>
  <si>
    <r>
      <t>Car</t>
    </r>
    <r>
      <rPr>
        <vertAlign val="subscript"/>
        <sz val="11"/>
        <color rgb="FF000000"/>
        <rFont val="Calibri"/>
        <family val="2"/>
        <scheme val="minor"/>
      </rPr>
      <t>dep3</t>
    </r>
  </si>
  <si>
    <t>di cui confluito in trattamenti sino ai terziari</t>
  </si>
  <si>
    <t>Volume totale reflui in ingresso alla depurazione</t>
  </si>
  <si>
    <t>Volume totale rifiuti liquidi in ingresso alla depurazione</t>
  </si>
  <si>
    <t>Volume totale reflui depurati in uscita dalla depurazione</t>
  </si>
  <si>
    <r>
      <t>W</t>
    </r>
    <r>
      <rPr>
        <vertAlign val="subscript"/>
        <sz val="11"/>
        <color rgb="FF000000"/>
        <rFont val="Calibri"/>
        <family val="2"/>
        <scheme val="minor"/>
      </rPr>
      <t>DEP,r1</t>
    </r>
  </si>
  <si>
    <t>di cui destinabile al riutilizzo</t>
  </si>
  <si>
    <r>
      <t>W</t>
    </r>
    <r>
      <rPr>
        <vertAlign val="subscript"/>
        <sz val="11"/>
        <color rgb="FF000000"/>
        <rFont val="Calibri"/>
        <family val="2"/>
        <scheme val="minor"/>
      </rPr>
      <t>DEP,r2</t>
    </r>
  </si>
  <si>
    <t>di cui destinato al riutilizzo</t>
  </si>
  <si>
    <t>Numero complessivo di impianti di depurazione con sezione di essiccamento dei fanghi</t>
  </si>
  <si>
    <t>Numero complessivo di impianti di depurazione con digestione anaerobica nella linea di trattamento fanghi</t>
  </si>
  <si>
    <t>Non è la somma dei "di cui" sottostanti</t>
  </si>
  <si>
    <t>di cui co-trattamento con FORSU/altri scarti organici</t>
  </si>
  <si>
    <t>di cui con valorizzazione energetica del biogas prodotto</t>
  </si>
  <si>
    <t>Macro-indicatore</t>
  </si>
  <si>
    <t>Presenza prerequisito Preq1</t>
  </si>
  <si>
    <r>
      <t>Presenza prerequisito Preq4</t>
    </r>
    <r>
      <rPr>
        <b/>
        <vertAlign val="subscript"/>
        <sz val="11"/>
        <rFont val="Calibri"/>
        <family val="2"/>
        <scheme val="minor"/>
      </rPr>
      <t>M1</t>
    </r>
  </si>
  <si>
    <t>Presenza prerequisito Preq4M1</t>
  </si>
  <si>
    <t>Classe</t>
  </si>
  <si>
    <t>Obiettivo RQTI</t>
  </si>
  <si>
    <t>Valore obiettivo M1a</t>
  </si>
  <si>
    <t>Raggiungimento obiettivo</t>
  </si>
  <si>
    <t>Anno di riferimento per valutazione obiettivo per M1</t>
  </si>
  <si>
    <r>
      <t>Presenza prerequisito Preq4</t>
    </r>
    <r>
      <rPr>
        <b/>
        <vertAlign val="subscript"/>
        <sz val="11"/>
        <rFont val="Calibri"/>
        <family val="2"/>
        <scheme val="minor"/>
      </rPr>
      <t>M2</t>
    </r>
  </si>
  <si>
    <t>Presenza prerequisito Preq4M2</t>
  </si>
  <si>
    <t>Valore obiettivo M2</t>
  </si>
  <si>
    <t>Valore obiettivo M2a</t>
  </si>
  <si>
    <t xml:space="preserve">Raggiungimento obiettivo </t>
  </si>
  <si>
    <t>Anno di riferimento per valutazione obiettivo  per M2</t>
  </si>
  <si>
    <t>Istanze ex ante</t>
  </si>
  <si>
    <t>STANDARD SPECIFICI</t>
  </si>
  <si>
    <t>MACRO-INDICATORI</t>
  </si>
  <si>
    <t>Presenza prerequisito Preq2</t>
  </si>
  <si>
    <r>
      <t>Presenza prerequisito Preq4</t>
    </r>
    <r>
      <rPr>
        <b/>
        <vertAlign val="subscript"/>
        <sz val="11"/>
        <rFont val="Calibri"/>
        <family val="2"/>
        <scheme val="minor"/>
      </rPr>
      <t>M3</t>
    </r>
  </si>
  <si>
    <t xml:space="preserve">Esclusione dall'applicazione degli indennizzi automatici per operazioni straordinarie di aggregazione gestionale, ex comma 5.2 lett. a) </t>
  </si>
  <si>
    <t>Presenza prerequisito Preq4M3</t>
  </si>
  <si>
    <t>Temporanea applicazione del meccanismo incentivante, in caso di operazioni di aggregazione gestionale, al perimetro gestionale preesistente, ex comma 5.3 lett. a)</t>
  </si>
  <si>
    <t>Valore obiettivo M3a</t>
  </si>
  <si>
    <t>Temporanea applicazione del meccanismo incentivante ai soli macro-indicatori con il rispetto dei prerequisiti, ex comma 5.3 lett. b)</t>
  </si>
  <si>
    <t>Valore obiettivo M3b</t>
  </si>
  <si>
    <t>Valore obiettivo M3c</t>
  </si>
  <si>
    <t>Definizione di obiettivi da valutare cumulativamente su base biennale, ex comma 5.3 lett. c)</t>
  </si>
  <si>
    <t>Anno di riferimento per valutazione obiettivo  per M3</t>
  </si>
  <si>
    <r>
      <t>Presenza prerequisitoPreq3</t>
    </r>
    <r>
      <rPr>
        <b/>
        <vertAlign val="subscript"/>
        <sz val="11"/>
        <color rgb="FF000000"/>
        <rFont val="Calibri"/>
        <family val="2"/>
        <scheme val="minor"/>
      </rPr>
      <t>M4</t>
    </r>
  </si>
  <si>
    <t>Presenza prerequisitoPreq3M4</t>
  </si>
  <si>
    <r>
      <t>Presenza prerequisito Preq4</t>
    </r>
    <r>
      <rPr>
        <b/>
        <vertAlign val="subscript"/>
        <sz val="11"/>
        <color rgb="FF000000"/>
        <rFont val="Calibri"/>
        <family val="2"/>
      </rPr>
      <t>M4</t>
    </r>
  </si>
  <si>
    <t>Presenza prerequisito Preq4M4</t>
  </si>
  <si>
    <t>Valore obiettivo M4a</t>
  </si>
  <si>
    <t>Valore obiettivo M4b</t>
  </si>
  <si>
    <t>Valore obiettivo M4c</t>
  </si>
  <si>
    <t>Anno di riferimento per valutazione obiettivo per M4</t>
  </si>
  <si>
    <r>
      <t>Presenza prerequisitoPreq3</t>
    </r>
    <r>
      <rPr>
        <b/>
        <vertAlign val="subscript"/>
        <sz val="11"/>
        <color rgb="FF000000"/>
        <rFont val="Calibri"/>
        <family val="2"/>
        <scheme val="minor"/>
      </rPr>
      <t>M5</t>
    </r>
  </si>
  <si>
    <t>Presenza prerequisitoPreq3M5</t>
  </si>
  <si>
    <r>
      <t>Presenza prerequisito Preq4</t>
    </r>
    <r>
      <rPr>
        <b/>
        <vertAlign val="subscript"/>
        <sz val="11"/>
        <color rgb="FF000000"/>
        <rFont val="Calibri"/>
        <family val="2"/>
      </rPr>
      <t>M5</t>
    </r>
  </si>
  <si>
    <t>Presenza prerequisito Preq4M5</t>
  </si>
  <si>
    <r>
      <t>MF</t>
    </r>
    <r>
      <rPr>
        <b/>
        <vertAlign val="subscript"/>
        <sz val="11"/>
        <color rgb="FF000000"/>
        <rFont val="Calibri"/>
        <family val="2"/>
        <scheme val="minor"/>
      </rPr>
      <t>tq,disc</t>
    </r>
    <r>
      <rPr>
        <b/>
        <sz val="11"/>
        <color rgb="FF000000"/>
        <rFont val="Calibri"/>
        <family val="2"/>
        <scheme val="minor"/>
      </rPr>
      <t xml:space="preserve"> (∑MF</t>
    </r>
    <r>
      <rPr>
        <b/>
        <vertAlign val="subscript"/>
        <sz val="11"/>
        <color rgb="FF000000"/>
        <rFont val="Calibri"/>
        <family val="2"/>
        <scheme val="minor"/>
      </rPr>
      <t>tq,disc,imp</t>
    </r>
    <r>
      <rPr>
        <b/>
        <sz val="11"/>
        <color rgb="FF000000"/>
        <rFont val="Calibri"/>
        <family val="2"/>
        <scheme val="minor"/>
      </rPr>
      <t>)</t>
    </r>
  </si>
  <si>
    <t>MFtq,disc (∑MFtq,disc,imp)</t>
  </si>
  <si>
    <t>%SStot</t>
  </si>
  <si>
    <t xml:space="preserve">Valore obiettivo MFtq,disc </t>
  </si>
  <si>
    <t>Anno di riferimento per valutazione obiettivo per M5</t>
  </si>
  <si>
    <r>
      <t>Presenza prerequisitoPreq3</t>
    </r>
    <r>
      <rPr>
        <b/>
        <vertAlign val="subscript"/>
        <sz val="11"/>
        <color rgb="FF000000"/>
        <rFont val="Calibri"/>
        <family val="2"/>
        <scheme val="minor"/>
      </rPr>
      <t>M6</t>
    </r>
  </si>
  <si>
    <t>Presenza prerequisitoPreq3M6</t>
  </si>
  <si>
    <r>
      <t>Presenza prerequisito Preq4</t>
    </r>
    <r>
      <rPr>
        <b/>
        <vertAlign val="subscript"/>
        <sz val="11"/>
        <color rgb="FF000000"/>
        <rFont val="Calibri"/>
        <family val="2"/>
      </rPr>
      <t>M6</t>
    </r>
  </si>
  <si>
    <t>Presenza prerequisito Preq4M6</t>
  </si>
  <si>
    <t>Valore obiettivo M6</t>
  </si>
  <si>
    <t>Anno di riferimento per valutazione obiettivo per M6</t>
  </si>
  <si>
    <t>Anno di riferimento</t>
  </si>
  <si>
    <t>Prerequisiti 1,2,3</t>
  </si>
  <si>
    <t xml:space="preserve">Adeguato </t>
  </si>
  <si>
    <t>Istanza</t>
  </si>
  <si>
    <t>QT-Acquedotto</t>
  </si>
  <si>
    <t>QT-Fognatura</t>
  </si>
  <si>
    <t>QT-Depurazione</t>
  </si>
  <si>
    <t>QT-Altri dati</t>
  </si>
  <si>
    <r>
      <t xml:space="preserve">Guida alla compilazione: </t>
    </r>
    <r>
      <rPr>
        <b/>
        <i/>
        <u/>
        <sz val="12"/>
        <color rgb="FFFF0000"/>
        <rFont val="Calibri"/>
        <family val="2"/>
      </rPr>
      <t>Indicare SI/NO prima di compilare i dati</t>
    </r>
  </si>
  <si>
    <t xml:space="preserve">Criticità e/o obiettivo non previsti: motivare </t>
  </si>
  <si>
    <t>Criticità non coerente con obbiettivo: motivare</t>
  </si>
  <si>
    <t xml:space="preserve">Non imputate colonne A:D, H e J </t>
  </si>
  <si>
    <t>Valore anno &gt; LIC anno + Entrata anno</t>
  </si>
  <si>
    <r>
      <t>Totale C</t>
    </r>
    <r>
      <rPr>
        <b/>
        <vertAlign val="superscript"/>
        <sz val="10"/>
        <color indexed="8"/>
        <rFont val="Arial Narrow"/>
        <family val="2"/>
      </rPr>
      <t>a-2</t>
    </r>
    <r>
      <rPr>
        <b/>
        <vertAlign val="subscript"/>
        <sz val="10"/>
        <color indexed="8"/>
        <rFont val="Arial Narrow"/>
        <family val="2"/>
      </rPr>
      <t>b</t>
    </r>
    <r>
      <rPr>
        <b/>
        <vertAlign val="subscript"/>
        <sz val="10"/>
        <color theme="1"/>
        <rFont val="Arial Narrow"/>
        <family val="2"/>
      </rPr>
      <t>1</t>
    </r>
  </si>
  <si>
    <r>
      <t>Totale R</t>
    </r>
    <r>
      <rPr>
        <b/>
        <vertAlign val="superscript"/>
        <sz val="10"/>
        <color indexed="8"/>
        <rFont val="Arial Narrow"/>
        <family val="2"/>
      </rPr>
      <t>a-2</t>
    </r>
    <r>
      <rPr>
        <b/>
        <vertAlign val="subscript"/>
        <sz val="10"/>
        <color indexed="8"/>
        <rFont val="Arial Narrow"/>
        <family val="2"/>
      </rPr>
      <t>b</t>
    </r>
    <r>
      <rPr>
        <b/>
        <vertAlign val="subscript"/>
        <sz val="10"/>
        <color theme="1"/>
        <rFont val="Arial Narrow"/>
        <family val="2"/>
      </rPr>
      <t>1</t>
    </r>
  </si>
  <si>
    <t>SPESA IN RICERCA E SVILUPPO</t>
  </si>
  <si>
    <t xml:space="preserve">Importo finanziato (€) </t>
  </si>
  <si>
    <t xml:space="preserve">Soggetto finanziatore </t>
  </si>
  <si>
    <t>Data di sottoscrizione del finanziamento (gg/mm/aaaa)</t>
  </si>
  <si>
    <t>Data di scadenza del finanziamento (gg/mm/aaaa)</t>
  </si>
  <si>
    <t>Garanzie richieste</t>
  </si>
  <si>
    <r>
      <t>FoNI</t>
    </r>
    <r>
      <rPr>
        <b/>
        <vertAlign val="superscript"/>
        <sz val="10"/>
        <color indexed="8"/>
        <rFont val="Arial Narrow"/>
        <family val="2"/>
      </rPr>
      <t>a-2</t>
    </r>
    <r>
      <rPr>
        <b/>
        <sz val="10"/>
        <color theme="1"/>
        <rFont val="Arial Narrow"/>
        <family val="2"/>
      </rPr>
      <t xml:space="preserve"> </t>
    </r>
    <r>
      <rPr>
        <i/>
        <sz val="10"/>
        <color theme="1"/>
        <rFont val="Arial Narrow"/>
        <family val="2"/>
      </rPr>
      <t>dal foglio "Dati anni precedenti"</t>
    </r>
  </si>
  <si>
    <t xml:space="preserve">ALTRI IMPORTI IN BOLLETTA </t>
  </si>
  <si>
    <t>Tipologia di gestione</t>
  </si>
  <si>
    <t>Variabili di scala</t>
  </si>
  <si>
    <t>Altre attività idriche relative ai seguenti obiettivi di sostenibilità energetica ed ambientale</t>
  </si>
  <si>
    <t>procapite puntuale (1 componente)</t>
  </si>
  <si>
    <t>procapite puntuale (2 componenti)</t>
  </si>
  <si>
    <t>procapite puntuale (3 componenti)</t>
  </si>
  <si>
    <t>procapite puntuale (4 componenti)</t>
  </si>
  <si>
    <t>procapite puntuale (5 componenti)</t>
  </si>
  <si>
    <t>procapite puntuale (6 componenti)</t>
  </si>
  <si>
    <t>procapite puntuale (7 componenti)</t>
  </si>
  <si>
    <t>procapite puntuale (8 componenti)</t>
  </si>
  <si>
    <t>procapite puntuale (9 componenti)</t>
  </si>
  <si>
    <t>procapite puntuale (&gt;=10 componenti)</t>
  </si>
  <si>
    <t>Sottotipologia 1 di cui al Titolo 3, Articolo 9 del TICSI (specificare)</t>
  </si>
  <si>
    <t>Sottotipologia 2 di cui al Titolo 3, Articolo 9 del TICSI (specificare)</t>
  </si>
  <si>
    <t>5 - Totale ricavi per ciascun bacino tariffario</t>
  </si>
  <si>
    <t>spazio per la compilazione manuale
nessuna rivalutazione monetaria va effettuata</t>
  </si>
  <si>
    <t>Identificazione della riga della matrice di schemi</t>
  </si>
  <si>
    <t>Identificazione della colonna della matrice di schemi</t>
  </si>
  <si>
    <t>Eventuali detrazioni</t>
  </si>
  <si>
    <t>Saldo LIC (ord+POS)</t>
  </si>
  <si>
    <r>
      <t>ΔCUIT</t>
    </r>
    <r>
      <rPr>
        <vertAlign val="subscript"/>
        <sz val="10"/>
        <rFont val="Arial Narrow"/>
        <family val="2"/>
      </rPr>
      <t>capex</t>
    </r>
    <r>
      <rPr>
        <sz val="10"/>
        <rFont val="Arial Narrow"/>
        <family val="2"/>
      </rPr>
      <t xml:space="preserve"> da foglio "Altri dati economico_finanziari"</t>
    </r>
  </si>
  <si>
    <r>
      <t>Co</t>
    </r>
    <r>
      <rPr>
        <b/>
        <i/>
        <vertAlign val="subscript"/>
        <sz val="10"/>
        <color indexed="8"/>
        <rFont val="Arial Narrow"/>
        <family val="2"/>
      </rPr>
      <t xml:space="preserve">res </t>
    </r>
    <r>
      <rPr>
        <b/>
        <i/>
        <sz val="10"/>
        <color indexed="8"/>
        <rFont val="Arial Narrow"/>
        <family val="2"/>
      </rPr>
      <t>-</t>
    </r>
    <r>
      <rPr>
        <i/>
        <sz val="10"/>
        <color indexed="8"/>
        <rFont val="Arial Narrow"/>
        <family val="2"/>
      </rPr>
      <t xml:space="preserve"> Oneri locali</t>
    </r>
  </si>
  <si>
    <r>
      <t>AMM</t>
    </r>
    <r>
      <rPr>
        <vertAlign val="superscript"/>
        <sz val="10"/>
        <color indexed="8"/>
        <rFont val="Arial Narrow"/>
        <family val="2"/>
      </rPr>
      <t>a</t>
    </r>
    <r>
      <rPr>
        <vertAlign val="subscript"/>
        <sz val="10"/>
        <color indexed="8"/>
        <rFont val="Arial Narrow"/>
        <family val="2"/>
      </rPr>
      <t>CFP</t>
    </r>
    <r>
      <rPr>
        <sz val="10"/>
        <color indexed="8"/>
        <rFont val="Arial Narrow"/>
        <family val="2"/>
      </rPr>
      <t xml:space="preserve"> massimo nel FoNI</t>
    </r>
    <r>
      <rPr>
        <sz val="10"/>
        <color theme="1"/>
        <rFont val="Arial Narrow"/>
        <family val="2"/>
      </rPr>
      <t xml:space="preserve"> (post controllo sull'eventuale presenza di FoNI</t>
    </r>
    <r>
      <rPr>
        <vertAlign val="subscript"/>
        <sz val="10"/>
        <color theme="1"/>
        <rFont val="Arial Narrow"/>
        <family val="2"/>
      </rPr>
      <t>noninv</t>
    </r>
    <r>
      <rPr>
        <sz val="10"/>
        <color theme="1"/>
        <rFont val="Arial Narrow"/>
        <family val="2"/>
      </rPr>
      <t>)</t>
    </r>
  </si>
  <si>
    <r>
      <t>ΔCUIT</t>
    </r>
    <r>
      <rPr>
        <vertAlign val="superscript"/>
        <sz val="10"/>
        <color indexed="8"/>
        <rFont val="Arial Narrow"/>
        <family val="2"/>
      </rPr>
      <t>a</t>
    </r>
    <r>
      <rPr>
        <sz val="10"/>
        <color indexed="8"/>
        <rFont val="Arial Narrow"/>
        <family val="2"/>
      </rPr>
      <t xml:space="preserve"> massimo nel FoNI</t>
    </r>
    <r>
      <rPr>
        <sz val="10"/>
        <color theme="1"/>
        <rFont val="Arial Narrow"/>
        <family val="2"/>
      </rPr>
      <t xml:space="preserve">
 (post controllo sull'eventuale presenza di FoNI</t>
    </r>
    <r>
      <rPr>
        <vertAlign val="subscript"/>
        <sz val="10"/>
        <color theme="1"/>
        <rFont val="Arial Narrow"/>
        <family val="2"/>
      </rPr>
      <t>noninv</t>
    </r>
    <r>
      <rPr>
        <sz val="10"/>
        <color theme="1"/>
        <rFont val="Arial Narrow"/>
        <family val="2"/>
      </rPr>
      <t xml:space="preserve"> e Ammortamento finanziario)</t>
    </r>
  </si>
  <si>
    <r>
      <t>AMM</t>
    </r>
    <r>
      <rPr>
        <b/>
        <vertAlign val="superscript"/>
        <sz val="10"/>
        <color indexed="8"/>
        <rFont val="Arial Narrow"/>
        <family val="2"/>
      </rPr>
      <t>a</t>
    </r>
    <r>
      <rPr>
        <b/>
        <vertAlign val="subscript"/>
        <sz val="10"/>
        <color indexed="8"/>
        <rFont val="Arial Narrow"/>
        <family val="2"/>
      </rPr>
      <t xml:space="preserve">FoNI </t>
    </r>
  </si>
  <si>
    <t>ΔOpex</t>
  </si>
  <si>
    <r>
      <t>Rc</t>
    </r>
    <r>
      <rPr>
        <b/>
        <vertAlign val="subscript"/>
        <sz val="10"/>
        <color theme="1"/>
        <rFont val="Arial Narrow"/>
        <family val="2"/>
      </rPr>
      <t xml:space="preserve">vol </t>
    </r>
    <r>
      <rPr>
        <b/>
        <sz val="10"/>
        <color theme="1"/>
        <rFont val="Arial Narrow"/>
        <family val="2"/>
      </rPr>
      <t>(per dettaglio, ingrosso, ind)</t>
    </r>
  </si>
  <si>
    <r>
      <t>Rc</t>
    </r>
    <r>
      <rPr>
        <vertAlign val="subscript"/>
        <sz val="10"/>
        <color theme="1"/>
        <rFont val="Arial Narrow"/>
        <family val="2"/>
      </rPr>
      <t>vol</t>
    </r>
    <r>
      <rPr>
        <vertAlign val="superscript"/>
        <sz val="10"/>
        <color theme="1"/>
        <rFont val="Arial Narrow"/>
        <family val="2"/>
      </rPr>
      <t>a</t>
    </r>
    <r>
      <rPr>
        <b/>
        <sz val="10"/>
        <color theme="1"/>
        <rFont val="Arial Narrow"/>
        <family val="2"/>
      </rPr>
      <t xml:space="preserve"> </t>
    </r>
  </si>
  <si>
    <r>
      <t>Rc</t>
    </r>
    <r>
      <rPr>
        <vertAlign val="subscript"/>
        <sz val="10"/>
        <color theme="1"/>
        <rFont val="Arial Narrow"/>
        <family val="2"/>
      </rPr>
      <t>EE</t>
    </r>
    <r>
      <rPr>
        <vertAlign val="superscript"/>
        <sz val="10"/>
        <color theme="1"/>
        <rFont val="Arial Narrow"/>
        <family val="2"/>
      </rPr>
      <t>a</t>
    </r>
    <r>
      <rPr>
        <b/>
        <sz val="10"/>
        <color theme="1"/>
        <rFont val="Arial Narrow"/>
        <family val="2"/>
      </rPr>
      <t xml:space="preserve"> </t>
    </r>
  </si>
  <si>
    <r>
      <t>Rc</t>
    </r>
    <r>
      <rPr>
        <vertAlign val="subscript"/>
        <sz val="10"/>
        <color theme="1"/>
        <rFont val="Arial Narrow"/>
        <family val="2"/>
      </rPr>
      <t>ws</t>
    </r>
    <r>
      <rPr>
        <vertAlign val="superscript"/>
        <sz val="10"/>
        <color theme="1"/>
        <rFont val="Arial Narrow"/>
        <family val="2"/>
      </rPr>
      <t>a</t>
    </r>
    <r>
      <rPr>
        <b/>
        <sz val="10"/>
        <color theme="1"/>
        <rFont val="Arial Narrow"/>
        <family val="2"/>
      </rPr>
      <t xml:space="preserve"> </t>
    </r>
  </si>
  <si>
    <r>
      <t>Rc</t>
    </r>
    <r>
      <rPr>
        <vertAlign val="subscript"/>
        <sz val="11"/>
        <color theme="1"/>
        <rFont val="Arial Narrow"/>
        <family val="2"/>
      </rPr>
      <t>ERC</t>
    </r>
    <r>
      <rPr>
        <vertAlign val="superscript"/>
        <sz val="11"/>
        <color theme="1"/>
        <rFont val="Arial Narrow"/>
        <family val="2"/>
      </rPr>
      <t>a</t>
    </r>
    <r>
      <rPr>
        <b/>
        <sz val="10"/>
        <color theme="1"/>
        <rFont val="Arial Narrow"/>
        <family val="2"/>
      </rPr>
      <t xml:space="preserve"> </t>
    </r>
  </si>
  <si>
    <r>
      <t>Rc</t>
    </r>
    <r>
      <rPr>
        <vertAlign val="superscript"/>
        <sz val="11"/>
        <color theme="1"/>
        <rFont val="Arial Narrow"/>
        <family val="2"/>
      </rPr>
      <t>a</t>
    </r>
    <r>
      <rPr>
        <vertAlign val="subscript"/>
        <sz val="11"/>
        <color theme="1"/>
        <rFont val="Arial Narrow"/>
        <family val="2"/>
      </rPr>
      <t>Altro</t>
    </r>
    <r>
      <rPr>
        <b/>
        <sz val="10"/>
        <color theme="1"/>
        <rFont val="Arial Narrow"/>
        <family val="2"/>
      </rPr>
      <t xml:space="preserve"> </t>
    </r>
  </si>
  <si>
    <r>
      <t>Rc</t>
    </r>
    <r>
      <rPr>
        <vertAlign val="superscript"/>
        <sz val="10"/>
        <color theme="1"/>
        <rFont val="Arial Narrow"/>
        <family val="2"/>
      </rPr>
      <t>a</t>
    </r>
    <r>
      <rPr>
        <vertAlign val="subscript"/>
        <sz val="10"/>
        <color theme="1"/>
        <rFont val="Arial Narrow"/>
        <family val="2"/>
      </rPr>
      <t xml:space="preserve">appr </t>
    </r>
  </si>
  <si>
    <r>
      <t>FNI</t>
    </r>
    <r>
      <rPr>
        <b/>
        <vertAlign val="superscript"/>
        <sz val="10"/>
        <color indexed="8"/>
        <rFont val="Arial Narrow"/>
        <family val="2"/>
      </rPr>
      <t>a</t>
    </r>
    <r>
      <rPr>
        <b/>
        <sz val="10"/>
        <color indexed="8"/>
        <rFont val="Arial Narrow"/>
        <family val="2"/>
      </rPr>
      <t xml:space="preserve"> </t>
    </r>
  </si>
  <si>
    <r>
      <rPr>
        <b/>
        <sz val="10"/>
        <color theme="1"/>
        <rFont val="Arial Narrow"/>
        <family val="2"/>
      </rPr>
      <t>Determinazione del parametro α</t>
    </r>
    <r>
      <rPr>
        <sz val="10"/>
        <color theme="1"/>
        <rFont val="Arial Narrow"/>
        <family val="2"/>
      </rPr>
      <t xml:space="preserve">
da foglio "Input per calcoli finali"</t>
    </r>
  </si>
  <si>
    <r>
      <t>Rc</t>
    </r>
    <r>
      <rPr>
        <vertAlign val="superscript"/>
        <sz val="10"/>
        <color theme="1"/>
        <rFont val="Arial Narrow"/>
        <family val="2"/>
      </rPr>
      <t>a</t>
    </r>
    <r>
      <rPr>
        <vertAlign val="subscript"/>
        <sz val="10"/>
        <color theme="1"/>
        <rFont val="Arial Narrow"/>
        <family val="2"/>
      </rPr>
      <t>appr</t>
    </r>
  </si>
  <si>
    <t>Trasporto e smaltimento fanghi non già inclusi nella voce B7)</t>
  </si>
  <si>
    <t>Finanziamenti (capitale di terzi)</t>
  </si>
  <si>
    <t>Finanziamenti</t>
  </si>
  <si>
    <t>per ciascun soggetto indicare almeno l'ID gestore oppure la Partita IVA</t>
  </si>
  <si>
    <t>1. Soggetti con cui si hanno scambi di Servizi all'ingrosso (Vendita e/o Acquisto)</t>
  </si>
  <si>
    <t>2. Ricavi da tariffe applicate nella Vendita all'ingrosso</t>
  </si>
  <si>
    <t>3. Costi per acquisto all'ingrosso</t>
  </si>
  <si>
    <r>
      <t xml:space="preserve">gestore esercente il servizio di
</t>
    </r>
    <r>
      <rPr>
        <b/>
        <sz val="10"/>
        <rFont val="Arial Narrow"/>
        <family val="2"/>
      </rPr>
      <t>Acquedotto</t>
    </r>
  </si>
  <si>
    <r>
      <t xml:space="preserve">gestore esercente il servizio di
</t>
    </r>
    <r>
      <rPr>
        <b/>
        <sz val="10"/>
        <rFont val="Arial Narrow"/>
        <family val="2"/>
      </rPr>
      <t>Fognatura</t>
    </r>
  </si>
  <si>
    <r>
      <t xml:space="preserve">gestore esercente il servizio di
</t>
    </r>
    <r>
      <rPr>
        <b/>
        <sz val="10"/>
        <rFont val="Arial Narrow"/>
        <family val="2"/>
      </rPr>
      <t>Depurazione</t>
    </r>
  </si>
  <si>
    <r>
      <t xml:space="preserve">Valori da bilancio dell'anno </t>
    </r>
    <r>
      <rPr>
        <i/>
        <sz val="10"/>
        <rFont val="Arial Narrow"/>
        <family val="2"/>
      </rPr>
      <t>a-2</t>
    </r>
  </si>
  <si>
    <r>
      <t>ERC</t>
    </r>
    <r>
      <rPr>
        <vertAlign val="superscript"/>
        <sz val="10"/>
        <rFont val="Arial Narrow"/>
        <family val="2"/>
      </rPr>
      <t>a</t>
    </r>
    <r>
      <rPr>
        <vertAlign val="subscript"/>
        <sz val="10"/>
        <rFont val="Arial Narrow"/>
        <family val="2"/>
      </rPr>
      <t>capex</t>
    </r>
  </si>
  <si>
    <r>
      <t>ERC</t>
    </r>
    <r>
      <rPr>
        <vertAlign val="superscript"/>
        <sz val="10"/>
        <rFont val="Arial Narrow"/>
        <family val="2"/>
      </rPr>
      <t>a</t>
    </r>
    <r>
      <rPr>
        <vertAlign val="subscript"/>
        <sz val="10"/>
        <rFont val="Arial Narrow"/>
        <family val="2"/>
      </rPr>
      <t>opex</t>
    </r>
  </si>
  <si>
    <t>Dividend Payout Ratio</t>
  </si>
  <si>
    <t>I - Immobilizzazioni immateriali</t>
  </si>
  <si>
    <t>II - Immobilizzazioni materiali</t>
  </si>
  <si>
    <t>C) Attivo circolante</t>
  </si>
  <si>
    <t>I - Rimanenze</t>
  </si>
  <si>
    <t>III - Attività finanziarie che non costituiscono immobilizzazioni</t>
  </si>
  <si>
    <t>IV - Disponibilità liquide</t>
  </si>
  <si>
    <t>D) Ratei e risconti</t>
  </si>
  <si>
    <t>B) Fondi per rischi e oneri</t>
  </si>
  <si>
    <t>E) Ratei e risconti</t>
  </si>
  <si>
    <t>Ricavi da tariffe</t>
  </si>
  <si>
    <t>I - Capitale</t>
  </si>
  <si>
    <t>II - Riserva da soprapprezzo delle azioni</t>
  </si>
  <si>
    <t>III - Riserve di rivalutazione</t>
  </si>
  <si>
    <t>IV - Riserva legale</t>
  </si>
  <si>
    <t>V - Riserve statutarie</t>
  </si>
  <si>
    <t>VII - Riserva per operazioni di copertura dei flussi finanziari attesi</t>
  </si>
  <si>
    <t>VIII - Utile (perdita) portato a nuovo</t>
  </si>
  <si>
    <t>IX - Utile (perdita) dell'esercizio</t>
  </si>
  <si>
    <t>X - Riserva negativa per azioni proprie in portafoglio</t>
  </si>
  <si>
    <t>C) Trattamento di fine rapporto di lavoro subordinato</t>
  </si>
  <si>
    <t>1) obbligazioni</t>
  </si>
  <si>
    <t>2) obbligazioni convertibili</t>
  </si>
  <si>
    <t>3) debiti verso soci per finanziamenti</t>
  </si>
  <si>
    <t>4) debiti verso banche</t>
  </si>
  <si>
    <t>5) debiti verso altri finanziatori</t>
  </si>
  <si>
    <t>6) acconti</t>
  </si>
  <si>
    <t>7) debiti verso fornitori</t>
  </si>
  <si>
    <t>8) debiti rappresentati da titoli di credito</t>
  </si>
  <si>
    <t>9) debiti verso imprese controllate</t>
  </si>
  <si>
    <t>10) debiti verso imprese collegate</t>
  </si>
  <si>
    <t>11) debiti verso controllanti</t>
  </si>
  <si>
    <t>11-bis) debiti verso imprese sottoposte al controllo delle controllanti</t>
  </si>
  <si>
    <t>12) debiti tributari</t>
  </si>
  <si>
    <t>13) debiti verso istituti di previdenza e di sicurezza sociale</t>
  </si>
  <si>
    <t>14) altri debiti</t>
  </si>
  <si>
    <t>B) Immobilizzazioni, con separata indicazione di quelle concesse in locazione finanziaria</t>
  </si>
  <si>
    <t>A) Patrimonio netto</t>
  </si>
  <si>
    <t>PASSIVO</t>
  </si>
  <si>
    <t>ATTIVO</t>
  </si>
  <si>
    <r>
      <t>Op</t>
    </r>
    <r>
      <rPr>
        <vertAlign val="superscript"/>
        <sz val="10"/>
        <rFont val="Arial Narrow"/>
        <family val="2"/>
      </rPr>
      <t>new,a</t>
    </r>
    <r>
      <rPr>
        <sz val="10"/>
        <rFont val="Arial Narrow"/>
        <family val="2"/>
      </rPr>
      <t xml:space="preserve"> </t>
    </r>
  </si>
  <si>
    <r>
      <t>Opex</t>
    </r>
    <r>
      <rPr>
        <b/>
        <i/>
        <vertAlign val="subscript"/>
        <sz val="10"/>
        <color rgb="FF000000"/>
        <rFont val="Arial Narrow"/>
        <family val="2"/>
      </rPr>
      <t>QT</t>
    </r>
    <r>
      <rPr>
        <b/>
        <i/>
        <vertAlign val="superscript"/>
        <sz val="10"/>
        <color indexed="8"/>
        <rFont val="Arial Narrow"/>
        <family val="2"/>
      </rPr>
      <t xml:space="preserve"> </t>
    </r>
    <r>
      <rPr>
        <b/>
        <i/>
        <sz val="10"/>
        <color rgb="FF000000"/>
        <rFont val="Arial Narrow"/>
        <family val="2"/>
      </rPr>
      <t xml:space="preserve">- </t>
    </r>
    <r>
      <rPr>
        <i/>
        <sz val="10"/>
        <color rgb="FF000000"/>
        <rFont val="Arial Narrow"/>
        <family val="2"/>
      </rPr>
      <t>Costi per gli adeguamenti agli standard di qualità tecnica</t>
    </r>
  </si>
  <si>
    <t>Check coerenza Entrate in esercizio</t>
  </si>
  <si>
    <r>
      <t>Entrate in esercizio al lordo contributi - da foglio "</t>
    </r>
    <r>
      <rPr>
        <b/>
        <i/>
        <sz val="9"/>
        <color theme="0"/>
        <rFont val="Arial Narrow"/>
        <family val="2"/>
      </rPr>
      <t>PdI-cronoprogramma_investimenti</t>
    </r>
    <r>
      <rPr>
        <b/>
        <sz val="9"/>
        <color theme="0"/>
        <rFont val="Arial Narrow"/>
        <family val="2"/>
      </rPr>
      <t>"</t>
    </r>
  </si>
  <si>
    <r>
      <t>Entrate in esercizio al lordo contributi - da foglio "</t>
    </r>
    <r>
      <rPr>
        <b/>
        <i/>
        <sz val="9"/>
        <color theme="0"/>
        <rFont val="Arial Narrow"/>
        <family val="2"/>
      </rPr>
      <t>Nuovi_Investimenti</t>
    </r>
    <r>
      <rPr>
        <b/>
        <sz val="9"/>
        <color theme="0"/>
        <rFont val="Arial Narrow"/>
        <family val="2"/>
      </rPr>
      <t>"</t>
    </r>
  </si>
  <si>
    <r>
      <t>Contributi - da foglio "</t>
    </r>
    <r>
      <rPr>
        <b/>
        <i/>
        <sz val="9"/>
        <color theme="0"/>
        <rFont val="Arial Narrow"/>
        <family val="2"/>
      </rPr>
      <t>PdI-cronoprogramma_investimenti</t>
    </r>
    <r>
      <rPr>
        <b/>
        <sz val="9"/>
        <color theme="0"/>
        <rFont val="Arial Narrow"/>
        <family val="2"/>
      </rPr>
      <t>"</t>
    </r>
  </si>
  <si>
    <r>
      <t>Contributi - da foglio "</t>
    </r>
    <r>
      <rPr>
        <b/>
        <i/>
        <sz val="9"/>
        <color theme="0"/>
        <rFont val="Arial Narrow"/>
        <family val="2"/>
      </rPr>
      <t>Nuovi Investimenti</t>
    </r>
    <r>
      <rPr>
        <b/>
        <sz val="9"/>
        <color theme="0"/>
        <rFont val="Arial Narrow"/>
        <family val="2"/>
      </rPr>
      <t>"</t>
    </r>
  </si>
  <si>
    <t>Check coerenza Contributi</t>
  </si>
  <si>
    <r>
      <t>Valore investimento annuo (lordo contributi)- da foglio "</t>
    </r>
    <r>
      <rPr>
        <b/>
        <i/>
        <sz val="9"/>
        <color theme="0"/>
        <rFont val="Arial Narrow"/>
        <family val="2"/>
      </rPr>
      <t>PdI-cronoprogramma_investimenti</t>
    </r>
    <r>
      <rPr>
        <b/>
        <sz val="9"/>
        <color theme="0"/>
        <rFont val="Arial Narrow"/>
        <family val="2"/>
      </rPr>
      <t>"</t>
    </r>
  </si>
  <si>
    <t>Check coerenza Valore investimento annuo</t>
  </si>
  <si>
    <r>
      <t>Valore investimento annuo (lordo contributi)- da foglio "</t>
    </r>
    <r>
      <rPr>
        <b/>
        <i/>
        <sz val="9"/>
        <color theme="0"/>
        <rFont val="Arial Narrow"/>
        <family val="2"/>
      </rPr>
      <t>Piano_Tariffario</t>
    </r>
    <r>
      <rPr>
        <b/>
        <sz val="9"/>
        <color theme="0"/>
        <rFont val="Arial Narrow"/>
        <family val="2"/>
      </rPr>
      <t>"</t>
    </r>
  </si>
  <si>
    <r>
      <t>Contributi - da foglio "</t>
    </r>
    <r>
      <rPr>
        <b/>
        <i/>
        <sz val="9"/>
        <color theme="0"/>
        <rFont val="Arial Narrow"/>
        <family val="2"/>
      </rPr>
      <t>Piano_Tariffario</t>
    </r>
    <r>
      <rPr>
        <b/>
        <sz val="9"/>
        <color theme="0"/>
        <rFont val="Arial Narrow"/>
        <family val="2"/>
      </rPr>
      <t>"</t>
    </r>
  </si>
  <si>
    <t xml:space="preserve">Macro-indicatore </t>
  </si>
  <si>
    <t>Entrate in esercizio (lordo contributi) 2027</t>
  </si>
  <si>
    <t>Entrate in esercizio (lordo contributi) 2024</t>
  </si>
  <si>
    <r>
      <t>Opex</t>
    </r>
    <r>
      <rPr>
        <b/>
        <vertAlign val="subscript"/>
        <sz val="10"/>
        <color theme="1"/>
        <rFont val="Arial Narrow"/>
        <family val="2"/>
      </rPr>
      <t>QT</t>
    </r>
    <r>
      <rPr>
        <vertAlign val="subscript"/>
        <sz val="10"/>
        <rFont val="Arial Narrow"/>
        <family val="2"/>
      </rPr>
      <t xml:space="preserve"> </t>
    </r>
    <r>
      <rPr>
        <sz val="10"/>
        <color theme="1"/>
        <rFont val="Arial Narrow"/>
        <family val="2"/>
      </rPr>
      <t>(al netto della componente ERC</t>
    </r>
    <r>
      <rPr>
        <vertAlign val="subscript"/>
        <sz val="10"/>
        <color theme="1"/>
        <rFont val="Arial Narrow"/>
        <family val="2"/>
      </rPr>
      <t>QT</t>
    </r>
    <r>
      <rPr>
        <sz val="10"/>
        <color theme="1"/>
        <rFont val="Arial Narrow"/>
        <family val="2"/>
      </rPr>
      <t>)</t>
    </r>
  </si>
  <si>
    <r>
      <t>Condizioni di azzeramento delle componenti ΔCUIT</t>
    </r>
    <r>
      <rPr>
        <b/>
        <vertAlign val="subscript"/>
        <sz val="10"/>
        <color theme="1"/>
        <rFont val="Arial Narrow"/>
        <family val="2"/>
      </rPr>
      <t>FoNI</t>
    </r>
    <r>
      <rPr>
        <b/>
        <sz val="10"/>
        <color theme="1"/>
        <rFont val="Arial Narrow"/>
        <family val="2"/>
      </rPr>
      <t xml:space="preserve"> e AMM</t>
    </r>
    <r>
      <rPr>
        <b/>
        <vertAlign val="subscript"/>
        <sz val="10"/>
        <color theme="1"/>
        <rFont val="Arial Narrow"/>
        <family val="2"/>
      </rPr>
      <t>foni</t>
    </r>
  </si>
  <si>
    <t>ATTENZIONE: verificare la correttezza dei dati presenti nell'eventuale file precompilato fornito</t>
  </si>
  <si>
    <t>ATTENZIONE: verificare la correttezza dei dati presenti nell'eventuale file precompilato formito</t>
  </si>
  <si>
    <t>Imputare per ciascun soggetto proprietario il valore dei Mutui MT e altri corrispettivi AC</t>
  </si>
  <si>
    <r>
      <t>Saldo LIC</t>
    </r>
    <r>
      <rPr>
        <b/>
        <vertAlign val="subscript"/>
        <sz val="10"/>
        <rFont val="Arial Narrow"/>
        <family val="2"/>
      </rPr>
      <t>ord</t>
    </r>
    <r>
      <rPr>
        <b/>
        <sz val="10"/>
        <rFont val="Arial Narrow"/>
        <family val="2"/>
      </rPr>
      <t xml:space="preserve"> </t>
    </r>
    <r>
      <rPr>
        <sz val="10"/>
        <rFont val="Arial Narrow"/>
        <family val="2"/>
      </rPr>
      <t>(al netto dei saldi che risultino invariati da più di 4 anni)</t>
    </r>
  </si>
  <si>
    <r>
      <t>Saldo LIC</t>
    </r>
    <r>
      <rPr>
        <b/>
        <vertAlign val="subscript"/>
        <sz val="10"/>
        <rFont val="Arial Narrow"/>
        <family val="2"/>
      </rPr>
      <t>pos</t>
    </r>
    <r>
      <rPr>
        <b/>
        <sz val="10"/>
        <rFont val="Arial Narrow"/>
        <family val="2"/>
      </rPr>
      <t xml:space="preserve"> </t>
    </r>
    <r>
      <rPr>
        <sz val="10"/>
        <rFont val="Arial Narrow"/>
        <family val="2"/>
      </rPr>
      <t>(al netto dei saldi che risultino invariati da più di 5 anni)</t>
    </r>
  </si>
  <si>
    <t>Spazio per eventuale compilazione manuale del valore di incidenza</t>
  </si>
  <si>
    <r>
      <rPr>
        <sz val="10"/>
        <color rgb="FFFF0000"/>
        <rFont val="Arial Narrow"/>
        <family val="2"/>
      </rPr>
      <t>Detrazione</t>
    </r>
    <r>
      <rPr>
        <sz val="10"/>
        <color theme="1"/>
        <rFont val="Arial Narrow"/>
        <family val="2"/>
      </rPr>
      <t xml:space="preserve"> della componente AMM</t>
    </r>
  </si>
  <si>
    <r>
      <rPr>
        <sz val="10"/>
        <color rgb="FFFF0000"/>
        <rFont val="Arial Narrow"/>
        <family val="2"/>
      </rPr>
      <t>Detrazione</t>
    </r>
    <r>
      <rPr>
        <sz val="10"/>
        <color theme="1"/>
        <rFont val="Arial Narrow"/>
        <family val="2"/>
      </rPr>
      <t xml:space="preserve"> della componente OF</t>
    </r>
  </si>
  <si>
    <r>
      <rPr>
        <sz val="10"/>
        <color rgb="FFFF0000"/>
        <rFont val="Arial Narrow"/>
        <family val="2"/>
      </rPr>
      <t>Detrazione</t>
    </r>
    <r>
      <rPr>
        <sz val="10"/>
        <color theme="1"/>
        <rFont val="Arial Narrow"/>
        <family val="2"/>
      </rPr>
      <t xml:space="preserve"> della componente OFisc</t>
    </r>
  </si>
  <si>
    <t>A) Crediti verso soci per versamenti ancora dovuti</t>
  </si>
  <si>
    <t xml:space="preserve">III - Immobilizzazioni finanziarie </t>
  </si>
  <si>
    <t>II - Crediti</t>
  </si>
  <si>
    <t>VI - Altre riserve</t>
  </si>
  <si>
    <t>D) Debiti</t>
  </si>
  <si>
    <r>
      <rPr>
        <sz val="10"/>
        <color rgb="FFFF0000"/>
        <rFont val="Arial Narrow"/>
        <family val="2"/>
      </rPr>
      <t>Detrazione</t>
    </r>
    <r>
      <rPr>
        <sz val="10"/>
        <color theme="1"/>
        <rFont val="Arial Narrow"/>
        <family val="2"/>
      </rPr>
      <t xml:space="preserve"> della componente FNI</t>
    </r>
  </si>
  <si>
    <r>
      <rPr>
        <sz val="10"/>
        <color rgb="FFFF0000"/>
        <rFont val="Arial Narrow"/>
        <family val="2"/>
      </rPr>
      <t>Detrazione</t>
    </r>
    <r>
      <rPr>
        <sz val="10"/>
        <color theme="1"/>
        <rFont val="Arial Narrow"/>
        <family val="2"/>
      </rPr>
      <t xml:space="preserve"> della componente AMM</t>
    </r>
    <r>
      <rPr>
        <vertAlign val="subscript"/>
        <sz val="10"/>
        <color theme="1"/>
        <rFont val="Arial Narrow"/>
        <family val="2"/>
      </rPr>
      <t>cfp</t>
    </r>
  </si>
  <si>
    <r>
      <rPr>
        <sz val="10"/>
        <color rgb="FFFF0000"/>
        <rFont val="Arial Narrow"/>
        <family val="2"/>
      </rPr>
      <t>Detrazione</t>
    </r>
    <r>
      <rPr>
        <sz val="10"/>
        <color theme="1"/>
        <rFont val="Arial Narrow"/>
        <family val="2"/>
      </rPr>
      <t xml:space="preserve"> della componente </t>
    </r>
    <r>
      <rPr>
        <sz val="10"/>
        <color theme="1"/>
        <rFont val="Symbol"/>
        <family val="1"/>
        <charset val="2"/>
      </rPr>
      <t>D</t>
    </r>
    <r>
      <rPr>
        <sz val="10"/>
        <color theme="1"/>
        <rFont val="Arial Narrow"/>
        <family val="2"/>
      </rPr>
      <t>CUIT</t>
    </r>
  </si>
  <si>
    <r>
      <rPr>
        <sz val="10"/>
        <color rgb="FFFF0000"/>
        <rFont val="Arial Narrow"/>
        <family val="2"/>
      </rPr>
      <t>Detrazione</t>
    </r>
    <r>
      <rPr>
        <sz val="10"/>
        <color theme="1"/>
        <rFont val="Arial Narrow"/>
        <family val="2"/>
      </rPr>
      <t xml:space="preserve"> della componente Opex</t>
    </r>
    <r>
      <rPr>
        <vertAlign val="subscript"/>
        <sz val="10"/>
        <color theme="1"/>
        <rFont val="Arial Narrow"/>
        <family val="2"/>
      </rPr>
      <t>end</t>
    </r>
  </si>
  <si>
    <r>
      <rPr>
        <sz val="10"/>
        <color rgb="FFFF0000"/>
        <rFont val="Arial Narrow"/>
        <family val="2"/>
      </rPr>
      <t>Detrazione</t>
    </r>
    <r>
      <rPr>
        <sz val="10"/>
        <color theme="1"/>
        <rFont val="Arial Narrow"/>
        <family val="2"/>
      </rPr>
      <t xml:space="preserve"> della componente Opex</t>
    </r>
    <r>
      <rPr>
        <vertAlign val="subscript"/>
        <sz val="10"/>
        <color theme="1"/>
        <rFont val="Arial Narrow"/>
        <family val="2"/>
      </rPr>
      <t>al</t>
    </r>
  </si>
  <si>
    <r>
      <rPr>
        <sz val="10"/>
        <color rgb="FFFF0000"/>
        <rFont val="Arial Narrow"/>
        <family val="2"/>
      </rPr>
      <t>Detrazione</t>
    </r>
    <r>
      <rPr>
        <sz val="10"/>
        <color theme="1"/>
        <rFont val="Arial Narrow"/>
        <family val="2"/>
      </rPr>
      <t xml:space="preserve"> della componente ERC</t>
    </r>
    <r>
      <rPr>
        <vertAlign val="subscript"/>
        <sz val="10"/>
        <color theme="1"/>
        <rFont val="Arial Narrow"/>
        <family val="2"/>
      </rPr>
      <t>capex</t>
    </r>
  </si>
  <si>
    <r>
      <rPr>
        <sz val="10"/>
        <color rgb="FFFF0000"/>
        <rFont val="Arial Narrow"/>
        <family val="2"/>
      </rPr>
      <t>Detrazione</t>
    </r>
    <r>
      <rPr>
        <sz val="10"/>
        <color theme="1"/>
        <rFont val="Arial Narrow"/>
        <family val="2"/>
      </rPr>
      <t xml:space="preserve"> della componente ERC</t>
    </r>
    <r>
      <rPr>
        <vertAlign val="subscript"/>
        <sz val="10"/>
        <color theme="1"/>
        <rFont val="Arial Narrow"/>
        <family val="2"/>
      </rPr>
      <t>opex</t>
    </r>
  </si>
  <si>
    <t>ULTERIORI SPECIFICAZIONI DELLE ALTRE ATTIVITÀ IDRICHE (Euro)</t>
  </si>
  <si>
    <t>a) efficienza energetica nelle attività e nelle infrastrutture qualora non riconducibile al servizio idrico integrato</t>
  </si>
  <si>
    <t>b) riduzione dell’utilizzo della plastica mediante la promozione del consumo di acqua potabile anche tramite l’installazione di fontanelle</t>
  </si>
  <si>
    <t>c) recupero di energia - elettrica e termica - e di materie prime mediante impianti o specifici trattamenti integrati nelle infrastrutture idriche, nonché diffusione di energia da fonti rinnovabili per l’alimentazione degli impianti del servizio idrico integrato</t>
  </si>
  <si>
    <r>
      <t>per Rc</t>
    </r>
    <r>
      <rPr>
        <b/>
        <vertAlign val="subscript"/>
        <sz val="10"/>
        <color theme="3"/>
        <rFont val="Calibri"/>
        <family val="2"/>
        <scheme val="minor"/>
      </rPr>
      <t>vol,ind</t>
    </r>
  </si>
  <si>
    <t xml:space="preserve">di cui della voce B7): lavorazioni eseguite da terzi di tipo labour intensive (ad esempio gestione call center) e consulenze  </t>
  </si>
  <si>
    <t>Spese di funzionamento Ente di governo dell'ambito</t>
  </si>
  <si>
    <t>Ricavi complessivi da nuova struttura dei corrispettivi per collettamento e trattamento dei reflui industriali - post applicazione condizione di sostenibilità su singolo utente p-esimo ex comma 21.2 TICSI</t>
  </si>
  <si>
    <t>Variazione complessiva dei ricavi afferenti all'implementazione della nuova struttura dei corrispettivi per reflui industriali rispetto all'articolazione previgente (co. 21.3 TICSI)</t>
  </si>
  <si>
    <r>
      <t xml:space="preserve">Area elenco </t>
    </r>
    <r>
      <rPr>
        <b/>
        <i/>
        <u/>
        <sz val="10"/>
        <color indexed="8"/>
        <rFont val="Arial Narrow"/>
        <family val="2"/>
      </rPr>
      <t>gestori</t>
    </r>
    <r>
      <rPr>
        <i/>
        <sz val="10"/>
        <color indexed="8"/>
        <rFont val="Arial Narrow"/>
        <family val="2"/>
      </rPr>
      <t xml:space="preserve"> in Anagrafica Operatori</t>
    </r>
  </si>
  <si>
    <t>finanziamenti</t>
  </si>
  <si>
    <r>
      <t>Capex</t>
    </r>
    <r>
      <rPr>
        <b/>
        <vertAlign val="superscript"/>
        <sz val="10"/>
        <color rgb="FF000000"/>
        <rFont val="Arial Narrow"/>
        <family val="2"/>
      </rPr>
      <t>a</t>
    </r>
    <r>
      <rPr>
        <b/>
        <sz val="10"/>
        <color indexed="8"/>
        <rFont val="Arial Narrow"/>
        <family val="2"/>
      </rPr>
      <t xml:space="preserve"> </t>
    </r>
    <r>
      <rPr>
        <sz val="10"/>
        <color indexed="8"/>
        <rFont val="Arial Narrow"/>
        <family val="2"/>
      </rPr>
      <t>(al netto degli ERC)</t>
    </r>
  </si>
  <si>
    <t>check_compilazione</t>
  </si>
  <si>
    <t>Vedere RQTI al comma 3.3. Nel caso di interruzioni per le quali il servizio di emergenza, anche se dovuto, non è mai stato attivato, queste sono comunque da considerare tra le interruzioni con ritardo rispetto allo standard specifico S2</t>
  </si>
  <si>
    <t xml:space="preserve">                     </t>
  </si>
  <si>
    <t xml:space="preserve">                             </t>
  </si>
  <si>
    <t xml:space="preserve">         </t>
  </si>
  <si>
    <t xml:space="preserve">                                                     </t>
  </si>
  <si>
    <t xml:space="preserve">               </t>
  </si>
  <si>
    <t xml:space="preserve">                 </t>
  </si>
  <si>
    <t xml:space="preserve">                           </t>
  </si>
  <si>
    <t xml:space="preserve">                                                                                                       </t>
  </si>
  <si>
    <t>ANNO 2023</t>
  </si>
  <si>
    <t>Assemblea Territoriale Idrica di Siracusa</t>
  </si>
  <si>
    <t>San Giacomo Vercellese</t>
  </si>
  <si>
    <t xml:space="preserve">San Giacomo Vercellese (VC) </t>
  </si>
  <si>
    <t>002035</t>
  </si>
  <si>
    <t>Eventuale anticipazione da CSEA</t>
  </si>
  <si>
    <t>Eventuale restituzione a CSEA</t>
  </si>
  <si>
    <t>Valore di partenza</t>
  </si>
  <si>
    <t>Obiettivo RQSII</t>
  </si>
  <si>
    <t>Valore obiettivo MC1</t>
  </si>
  <si>
    <t>Anno di riferimento per valutazione obiettivo per MC1</t>
  </si>
  <si>
    <t>Valore obiettivo MC2</t>
  </si>
  <si>
    <t>Anno di riferimento per valutazione obiettivo per MC2</t>
  </si>
  <si>
    <t>Altri_dati_eco_fin</t>
  </si>
  <si>
    <t>num_scaglione</t>
  </si>
  <si>
    <t>n_riga_blocco</t>
  </si>
  <si>
    <t>blocco</t>
  </si>
  <si>
    <t>agevolata</t>
  </si>
  <si>
    <t>Env</t>
  </si>
  <si>
    <t>AF MTI-3</t>
  </si>
  <si>
    <r>
      <t xml:space="preserve">Tipologia di costo sotteso
</t>
    </r>
    <r>
      <rPr>
        <i/>
        <sz val="8.5"/>
        <color theme="1"/>
        <rFont val="Arial Narrow"/>
        <family val="2"/>
      </rPr>
      <t>("Env", "Res", "Non ERC")</t>
    </r>
  </si>
  <si>
    <r>
      <rPr>
        <b/>
        <i/>
        <sz val="8.5"/>
        <color theme="1"/>
        <rFont val="Arial Narrow"/>
        <family val="2"/>
      </rPr>
      <t xml:space="preserve">Tipologia di costo sotteso
</t>
    </r>
    <r>
      <rPr>
        <i/>
        <sz val="10"/>
        <color theme="1"/>
        <rFont val="Arial Narrow"/>
        <family val="2"/>
      </rPr>
      <t>("Env", "Res", "Non ERC")</t>
    </r>
  </si>
  <si>
    <t>Res</t>
  </si>
  <si>
    <t>attività</t>
  </si>
  <si>
    <r>
      <t>ΔCUIT</t>
    </r>
    <r>
      <rPr>
        <b/>
        <vertAlign val="subscript"/>
        <sz val="10"/>
        <rFont val="Arial Narrow"/>
        <family val="2"/>
      </rPr>
      <t>capex</t>
    </r>
  </si>
  <si>
    <r>
      <rPr>
        <b/>
        <i/>
        <sz val="10"/>
        <color theme="1"/>
        <rFont val="Arial Narrow"/>
        <family val="2"/>
      </rPr>
      <t>FoNI</t>
    </r>
    <r>
      <rPr>
        <b/>
        <i/>
        <vertAlign val="subscript"/>
        <sz val="10"/>
        <color theme="1"/>
        <rFont val="Arial Narrow"/>
        <family val="2"/>
      </rPr>
      <t>noninv</t>
    </r>
    <r>
      <rPr>
        <b/>
        <i/>
        <sz val="10"/>
        <color theme="1"/>
        <rFont val="Arial Narrow"/>
        <family val="2"/>
      </rPr>
      <t xml:space="preserve"> </t>
    </r>
  </si>
  <si>
    <t>Area info</t>
  </si>
  <si>
    <t>ANNO 2024</t>
  </si>
  <si>
    <t>ANNO 2025</t>
  </si>
  <si>
    <t>ANNO 2026</t>
  </si>
  <si>
    <t>ANNO 2027</t>
  </si>
  <si>
    <t>ANNO 2028</t>
  </si>
  <si>
    <t>ANNO 2029</t>
  </si>
  <si>
    <t>ANNO 2030</t>
  </si>
  <si>
    <t>ANNO 2031</t>
  </si>
  <si>
    <t>ANNO 2032</t>
  </si>
  <si>
    <t>ANNO 2033</t>
  </si>
  <si>
    <t>ANNO 2034</t>
  </si>
  <si>
    <t>ANNO 2035</t>
  </si>
  <si>
    <t>ANNO 2036</t>
  </si>
  <si>
    <t>ANNO 2037</t>
  </si>
  <si>
    <t>ANNO 2038</t>
  </si>
  <si>
    <t>ANNO 2039</t>
  </si>
  <si>
    <t>ANNO 2040</t>
  </si>
  <si>
    <t>ANNO 2041</t>
  </si>
  <si>
    <t>ANNO 2042</t>
  </si>
  <si>
    <t>ANNO 2043</t>
  </si>
  <si>
    <t>ANNO 2044</t>
  </si>
  <si>
    <t>ANNO 2045</t>
  </si>
  <si>
    <t>ANNO 2046</t>
  </si>
  <si>
    <t>ANNO 2047</t>
  </si>
  <si>
    <t>ANNO 2048</t>
  </si>
  <si>
    <t>ANNO 2049</t>
  </si>
  <si>
    <t>ANNO 2050</t>
  </si>
  <si>
    <t>ANNO 2051</t>
  </si>
  <si>
    <t>ANNO 2052</t>
  </si>
  <si>
    <t>ANNO 2053</t>
  </si>
  <si>
    <t>ANNO 2054</t>
  </si>
  <si>
    <t>ANNO 2055</t>
  </si>
  <si>
    <t>ANNO 2056</t>
  </si>
  <si>
    <t>ANNO 2057</t>
  </si>
  <si>
    <t>ANNO 2058</t>
  </si>
  <si>
    <t>ANNO 2059</t>
  </si>
  <si>
    <t>PdI-crono_inv</t>
  </si>
  <si>
    <t>PdI-crono_ges</t>
  </si>
  <si>
    <t>Nuovo comune</t>
  </si>
  <si>
    <r>
      <t>Componente [(1+γ</t>
    </r>
    <r>
      <rPr>
        <vertAlign val="superscript"/>
        <sz val="10"/>
        <rFont val="Arial Narrow"/>
        <family val="2"/>
      </rPr>
      <t>OP</t>
    </r>
    <r>
      <rPr>
        <vertAlign val="subscript"/>
        <sz val="10"/>
        <rFont val="Arial Narrow"/>
        <family val="2"/>
      </rPr>
      <t>i,j</t>
    </r>
    <r>
      <rPr>
        <sz val="10"/>
        <rFont val="Arial Narrow"/>
        <family val="2"/>
      </rPr>
      <t>)*max{0;ΔOpex}] (importo fatturato)</t>
    </r>
  </si>
  <si>
    <r>
      <t xml:space="preserve">Tipologia di schema adottato
</t>
    </r>
    <r>
      <rPr>
        <sz val="10"/>
        <color theme="1"/>
        <rFont val="Arial Narrow"/>
        <family val="2"/>
      </rPr>
      <t>da foglio "Input per calcoli finali"</t>
    </r>
  </si>
  <si>
    <r>
      <t>Percentuale al fatturato per CO</t>
    </r>
    <r>
      <rPr>
        <vertAlign val="subscript"/>
        <sz val="10"/>
        <rFont val="Arial Narrow"/>
        <family val="2"/>
      </rPr>
      <t>dil</t>
    </r>
    <r>
      <rPr>
        <sz val="10"/>
        <rFont val="Arial Narrow"/>
        <family val="2"/>
      </rPr>
      <t xml:space="preserve"> (comma 28.4 MTI-3)</t>
    </r>
  </si>
  <si>
    <t>COMUNE CAMPIONE D'ITALIA</t>
  </si>
  <si>
    <t>COMUNE DI BRIENNO</t>
  </si>
  <si>
    <t>BLUE SRLS</t>
  </si>
  <si>
    <t>COMUNE DI CAVALESE</t>
  </si>
  <si>
    <t>COMUNE DI TIRIOLO</t>
  </si>
  <si>
    <t>AIR AZIENDA INTERCOMUNALE ROTALIANA S.P.A. SOCIETÀ BENEFIT</t>
  </si>
  <si>
    <t>Comune di Valle Aurina</t>
  </si>
  <si>
    <t>COMUNE DI GARNIGA TERME</t>
  </si>
  <si>
    <t>Comune di Laion - Gemeinde Lajen</t>
  </si>
  <si>
    <t>COMUNE DI CALIZZANO</t>
  </si>
  <si>
    <t>Ente Acquedotti Siciliani in liquidazione coatta amministrativa</t>
  </si>
  <si>
    <t>COMUNE DI OSSANA</t>
  </si>
  <si>
    <t>Geomar di Musumeci Maria Pia</t>
  </si>
  <si>
    <t>COMUNE DI CARLAZZO</t>
  </si>
  <si>
    <t>COMUNE DI VAL REZZO</t>
  </si>
  <si>
    <t>COMUNE DI CADREZZATE CON OSMATE</t>
  </si>
  <si>
    <t>GEMEINDE JENESIEN / COMUNE DI SAN GENESIO ATESINO</t>
  </si>
  <si>
    <t>Gemeinde St. Leonhard in Passeier / Comune di San Leonardo in Passiria</t>
  </si>
  <si>
    <t>COMUNE DI GUARDIALFIERA</t>
  </si>
  <si>
    <t>COMUNE DI LATTARICO</t>
  </si>
  <si>
    <t>COMUNE DI AQUILA D'ARROSCIA</t>
  </si>
  <si>
    <t>COMUNE DI MONTELEONE DI PUGLIA</t>
  </si>
  <si>
    <t>COMUNE DI SAN BIAGIO SARACINISCO</t>
  </si>
  <si>
    <t>Comune di Sant'Eufemia d'Aspromonte</t>
  </si>
  <si>
    <t>comune di Marcianise</t>
  </si>
  <si>
    <t>COMUNE DI CASTEL SAN VINCENZO</t>
  </si>
  <si>
    <t>COMUNE DI ROMETTA</t>
  </si>
  <si>
    <t>Comune di Braies</t>
  </si>
  <si>
    <t>COMUNE DI PARETE</t>
  </si>
  <si>
    <t>Comune di Marebbe</t>
  </si>
  <si>
    <t>Associazione Temporanea di Scopo "Maguli"</t>
  </si>
  <si>
    <t>Comune di Limina</t>
  </si>
  <si>
    <t>Funivia Plan de Corones</t>
  </si>
  <si>
    <t>COMUNE DI VALDERICE</t>
  </si>
  <si>
    <t>Comune di Casagiove</t>
  </si>
  <si>
    <t>ATAC CIVITANOVA SPA</t>
  </si>
  <si>
    <t>Comune di Monguelfo-Tesido</t>
  </si>
  <si>
    <t>COMUNE DI MORRA DE SANCTIS</t>
  </si>
  <si>
    <t>COMUNE DI CORTACCIA SULLA STRADA DEL VINO</t>
  </si>
  <si>
    <t>Comune di Lagundo</t>
  </si>
  <si>
    <t>COMUNE DI SAN DEMETRIO CORONE</t>
  </si>
  <si>
    <t>GIBILROSSA ACQUE</t>
  </si>
  <si>
    <t>COMUNE DI CROPANI</t>
  </si>
  <si>
    <t>COMUNE DI POSTAL</t>
  </si>
  <si>
    <t>Gemeinde Villnöß / Comune di Funes</t>
  </si>
  <si>
    <t>COMUNE DI CASSANO IRPINO</t>
  </si>
  <si>
    <t>Marktgemeinde Kaltern an der Weinstraße / Comune di Caldaro sulla strada del vino</t>
  </si>
  <si>
    <t>comune di fragneto monforte</t>
  </si>
  <si>
    <t>Comune di Bisignano</t>
  </si>
  <si>
    <t>Consorzio Acquedotto del Medio Tirreno in liquidazione</t>
  </si>
  <si>
    <t>CONSORZIO ACQUEDOTTISTICO MARSICANO SPA</t>
  </si>
  <si>
    <t>Consorzio di Bonifica n. 8 Ragusa mandatario senza rappresentanza del Consorzio di Bonifica della Sicilia Orientale</t>
  </si>
  <si>
    <t>COMUNE DI TORRE DE' BUSI</t>
  </si>
  <si>
    <t>COMUNE DI SAN VINCENZO LA COSTA</t>
  </si>
  <si>
    <t>Comune di Sant'Andrea Apostolo dello Ionio</t>
  </si>
  <si>
    <t>AM+ SPA</t>
  </si>
  <si>
    <t>Comune di Fiumara</t>
  </si>
  <si>
    <t>ACQUE LO CASTRO SRL</t>
  </si>
  <si>
    <t>COMUNE DI NOVA PONENTE</t>
  </si>
  <si>
    <t>COMUNE DI NOCERA TERINESE</t>
  </si>
  <si>
    <t>AZIENDA SPECIALE COMUNI RIUNITI</t>
  </si>
  <si>
    <t>UNIVERSITA' DEGLI STUDI DI NAPOLI FEDERICO II</t>
  </si>
  <si>
    <t>COMUNE DI PENTONE</t>
  </si>
  <si>
    <t>COMUNE DI SAN MANGO D'AQUINO</t>
  </si>
  <si>
    <t>Comune di Sparanise</t>
  </si>
  <si>
    <t>COMUNE DI MINEO</t>
  </si>
  <si>
    <t>Comune di Mugnano del Cardinale</t>
  </si>
  <si>
    <t>COMUNE DI TIONE DI TRENTO</t>
  </si>
  <si>
    <t>Gemeinde Luesen / Comune di Luson</t>
  </si>
  <si>
    <t>COMUNE DI MONVALLE</t>
  </si>
  <si>
    <t>AMAMBIENTE</t>
  </si>
  <si>
    <t>RAM S.R.L.</t>
  </si>
  <si>
    <t>COMUNE DI BONDONE</t>
  </si>
  <si>
    <t>ECO CENTER SPA</t>
  </si>
  <si>
    <t>COMUNE DI CASTELFRANCI</t>
  </si>
  <si>
    <t>COMUNE DI CIMINA'</t>
  </si>
  <si>
    <t>COMUNE DI LIBERI</t>
  </si>
  <si>
    <t>COMUNE DI SALAPARUTA</t>
  </si>
  <si>
    <t>ALTO TREVIGIANO SERVIZI S.P.A.</t>
  </si>
  <si>
    <t>SOLOFRA SERVIZI SpA</t>
  </si>
  <si>
    <t>COMUNE DI FRANCOFONTE</t>
  </si>
  <si>
    <t>COMUNE DI CASALUCE</t>
  </si>
  <si>
    <t>ACEA MOLISE SRL</t>
  </si>
  <si>
    <t>COMUNE DI GUGLIONESI</t>
  </si>
  <si>
    <t>COMUNE DI BREMBATE</t>
  </si>
  <si>
    <t>CONSORZIO ZONA INDUSTRIALE DI INTERESSE REGIONALE DI CHILIVANI</t>
  </si>
  <si>
    <t>Comune di Pratola Serra</t>
  </si>
  <si>
    <t>ASIS SALERNITANA RETI E IMPIANTI S.P.A.</t>
  </si>
  <si>
    <t>Kratos s.c.a.r.l.</t>
  </si>
  <si>
    <t>COMUNE DI CHIUSANICO</t>
  </si>
  <si>
    <t>COMUNE DI ARNASCO</t>
  </si>
  <si>
    <t>Comune di Varna</t>
  </si>
  <si>
    <t>Comune di Montefredane</t>
  </si>
  <si>
    <t>COMUNE DI SIRIGNANO</t>
  </si>
  <si>
    <t>A.I.C.A. - AZIENDA IDRICA COMUNI AGRIGENTINI</t>
  </si>
  <si>
    <t>Sistemi Salerno - Servizi idrici Spa</t>
  </si>
  <si>
    <t>COMUNE DI INARZO</t>
  </si>
  <si>
    <t>COMUNE DI NICOTERA</t>
  </si>
  <si>
    <t>Comune di Rosolini</t>
  </si>
  <si>
    <t>COMUNE DI TERZOLAS</t>
  </si>
  <si>
    <t>COMUNE DI BAGNOREGIO</t>
  </si>
  <si>
    <t>Comune di Sant'Antimo</t>
  </si>
  <si>
    <t>VALDERA ACQUE SRL</t>
  </si>
  <si>
    <t>COMUNE DI SESTO</t>
  </si>
  <si>
    <t>COMUNE DI PRATELLA</t>
  </si>
  <si>
    <t>COMUNE DI FANO ADRIANO</t>
  </si>
  <si>
    <t>COMUNE DI CANTERANO</t>
  </si>
  <si>
    <t>Gemeinde Terlan / Comune di Terlano</t>
  </si>
  <si>
    <t>03938880139</t>
  </si>
  <si>
    <t>00599710134</t>
  </si>
  <si>
    <t>05762250875</t>
  </si>
  <si>
    <t>00342270212</t>
  </si>
  <si>
    <t>01222670224</t>
  </si>
  <si>
    <t>00661610212</t>
  </si>
  <si>
    <t>00159240225</t>
  </si>
  <si>
    <t>03937840878</t>
  </si>
  <si>
    <t>01358090130</t>
  </si>
  <si>
    <t>01239360801</t>
  </si>
  <si>
    <t>00237550611</t>
  </si>
  <si>
    <t>01240170215</t>
  </si>
  <si>
    <t>05540510871</t>
  </si>
  <si>
    <t>00522920834</t>
  </si>
  <si>
    <t>03094540212</t>
  </si>
  <si>
    <t>00637420811</t>
  </si>
  <si>
    <t>00151070612</t>
  </si>
  <si>
    <t>00466190212</t>
  </si>
  <si>
    <t>00445350218</t>
  </si>
  <si>
    <t>00500460829</t>
  </si>
  <si>
    <t>01279760217</t>
  </si>
  <si>
    <t>00407860212</t>
  </si>
  <si>
    <t>00774440622</t>
  </si>
  <si>
    <t>01259061008</t>
  </si>
  <si>
    <t>92014990888</t>
  </si>
  <si>
    <t>00686450164</t>
  </si>
  <si>
    <t>02668270065</t>
  </si>
  <si>
    <t>05800300872</t>
  </si>
  <si>
    <t>00297930794</t>
  </si>
  <si>
    <t>00876220633</t>
  </si>
  <si>
    <t>00220810790</t>
  </si>
  <si>
    <t>00298010794</t>
  </si>
  <si>
    <t>02071720615</t>
  </si>
  <si>
    <t>00708900873</t>
  </si>
  <si>
    <t>00256450644</t>
  </si>
  <si>
    <t>01635650227</t>
  </si>
  <si>
    <t>01581830567</t>
  </si>
  <si>
    <t>02334630619</t>
  </si>
  <si>
    <t>00816130819</t>
  </si>
  <si>
    <t>00372770891</t>
  </si>
  <si>
    <t>01031640616</t>
  </si>
  <si>
    <t>00298890161</t>
  </si>
  <si>
    <t>00855530903</t>
  </si>
  <si>
    <t>01636160648</t>
  </si>
  <si>
    <t>14034831009</t>
  </si>
  <si>
    <t>00684020217</t>
  </si>
  <si>
    <t>00280800640</t>
  </si>
  <si>
    <t>00256240649</t>
  </si>
  <si>
    <t>03021250844</t>
  </si>
  <si>
    <t>00392000790</t>
  </si>
  <si>
    <t>00159200229</t>
  </si>
  <si>
    <t>01263291211</t>
  </si>
  <si>
    <t>01500350507</t>
  </si>
  <si>
    <t>01272940618</t>
  </si>
  <si>
    <t>00205660673</t>
  </si>
  <si>
    <t>02145771008</t>
  </si>
  <si>
    <t>RACCOLTA DATI "Qualità tecnica e contrattuale, PdI e POS"</t>
  </si>
  <si>
    <t xml:space="preserve">Nuovi investimenti </t>
  </si>
  <si>
    <t>Calcolo IMN gestore</t>
  </si>
  <si>
    <r>
      <t>Rc</t>
    </r>
    <r>
      <rPr>
        <vertAlign val="subscript"/>
        <sz val="10"/>
        <color theme="1"/>
        <rFont val="Arial Narrow"/>
        <family val="2"/>
      </rPr>
      <t>ARC</t>
    </r>
  </si>
  <si>
    <t>Interventi funzionali alla risoluzione delle sentenze di condanna della Corte di Giustizia Europea e Contabilità speciale del Commissario Unico (Del. 440/2017/R/idr)</t>
  </si>
  <si>
    <t>Fabbisogno degli investimenti per adeguamento agglomerati oggetto di condanne UE</t>
  </si>
  <si>
    <t>check PdI</t>
  </si>
  <si>
    <r>
      <t>Verifica FoNI</t>
    </r>
    <r>
      <rPr>
        <vertAlign val="subscript"/>
        <sz val="10"/>
        <rFont val="Arial Narrow"/>
        <family val="2"/>
      </rPr>
      <t>spesa</t>
    </r>
  </si>
  <si>
    <t>Riepilogo RQTI</t>
  </si>
  <si>
    <t>Riepilogo RQSII</t>
  </si>
  <si>
    <t>Riepilogo_RQSII</t>
  </si>
  <si>
    <t>Riepilogo_RQTI</t>
  </si>
  <si>
    <t>Intervento funzionale alla risoluzione delle sentenze di condanna C-565/10, C-85/13 e C-668-19</t>
  </si>
  <si>
    <t>Errore Codice ISTAT</t>
  </si>
  <si>
    <t>costi endogeni</t>
  </si>
  <si>
    <t>costi aggiornabili</t>
  </si>
  <si>
    <t>costi associati a specifiche finalità</t>
  </si>
  <si>
    <r>
      <t xml:space="preserve">Dati per l'applicazione dei meccanismi di 
incentivazione RQTI (premi e penalità)
</t>
    </r>
    <r>
      <rPr>
        <sz val="12"/>
        <color theme="3"/>
        <rFont val="Calibri"/>
        <family val="2"/>
        <scheme val="minor"/>
      </rPr>
      <t xml:space="preserve">Tutti i valori imputati sono intesi essere valori 
consuntivi </t>
    </r>
  </si>
  <si>
    <r>
      <t>WP</t>
    </r>
    <r>
      <rPr>
        <vertAlign val="subscript"/>
        <sz val="11"/>
        <rFont val="Calibri"/>
        <family val="2"/>
        <scheme val="minor"/>
      </rPr>
      <t>tot</t>
    </r>
  </si>
  <si>
    <r>
      <t>WP</t>
    </r>
    <r>
      <rPr>
        <vertAlign val="subscript"/>
        <sz val="11"/>
        <rFont val="Calibri"/>
        <family val="2"/>
        <scheme val="minor"/>
      </rPr>
      <t>m</t>
    </r>
  </si>
  <si>
    <r>
      <t>WU</t>
    </r>
    <r>
      <rPr>
        <vertAlign val="subscript"/>
        <sz val="11"/>
        <rFont val="Calibri"/>
        <family val="2"/>
        <scheme val="minor"/>
      </rPr>
      <t>tot</t>
    </r>
  </si>
  <si>
    <r>
      <t>WU</t>
    </r>
    <r>
      <rPr>
        <vertAlign val="subscript"/>
        <sz val="11"/>
        <rFont val="Calibri"/>
        <family val="2"/>
        <scheme val="minor"/>
      </rPr>
      <t>m</t>
    </r>
  </si>
  <si>
    <r>
      <t>WPem</t>
    </r>
    <r>
      <rPr>
        <vertAlign val="subscript"/>
        <sz val="11"/>
        <rFont val="Calibri"/>
        <family val="2"/>
        <scheme val="minor"/>
      </rPr>
      <t>tel</t>
    </r>
  </si>
  <si>
    <r>
      <t>WUem</t>
    </r>
    <r>
      <rPr>
        <vertAlign val="subscript"/>
        <sz val="11"/>
        <rFont val="Calibri"/>
        <family val="2"/>
        <scheme val="minor"/>
      </rPr>
      <t>tel</t>
    </r>
  </si>
  <si>
    <t>Soppresso ai sensi della del. 609/2021/R/idr a decorrere dal 1 gennaio 2022</t>
  </si>
  <si>
    <r>
      <t>W</t>
    </r>
    <r>
      <rPr>
        <vertAlign val="subscript"/>
        <sz val="11"/>
        <rFont val="Calibri"/>
        <family val="2"/>
        <scheme val="minor"/>
      </rPr>
      <t>prod</t>
    </r>
  </si>
  <si>
    <r>
      <t>P</t>
    </r>
    <r>
      <rPr>
        <vertAlign val="subscript"/>
        <sz val="11"/>
        <rFont val="Calibri"/>
        <family val="2"/>
        <scheme val="minor"/>
      </rPr>
      <t>ACQ-pnc-A</t>
    </r>
  </si>
  <si>
    <r>
      <t>P</t>
    </r>
    <r>
      <rPr>
        <vertAlign val="subscript"/>
        <sz val="11"/>
        <rFont val="Calibri"/>
        <family val="2"/>
        <scheme val="minor"/>
      </rPr>
      <t>ACQ-pnc-B</t>
    </r>
  </si>
  <si>
    <t>Somma dei volumi consumati dagli utenti finali con almeno un numero di letture validate pari agli obblighi TIMSII per i tentativi di lettura annuali</t>
  </si>
  <si>
    <t>Si intendono i volumi registrati presso gli utenti finali (esclusi utenti indiretti)</t>
  </si>
  <si>
    <t>di cui volumi relativi agli utenti finali con consumo medio annuo fino a 3000 mc, per i quali sono disponibili almeno 2 misure validate all'anno</t>
  </si>
  <si>
    <t>di cui volumi relativi agli utenti finali con consumo medio annuo superiore a 3000 mc, per i quali sono disponibili almeno 3 misure validate all'anno</t>
  </si>
  <si>
    <t>Quota di volumi di utenza misurati sui totali</t>
  </si>
  <si>
    <t>Vedere RQTI al comma 6.5, punto 1.a)</t>
  </si>
  <si>
    <t>Somma dei volumi di processo transitati nei punti dell’infrastruttura di acquedotto rilevanti per M1 per i quali sono disponibili almeno 12 misure validate nell’anno, ognuno preso in valore assoluto</t>
  </si>
  <si>
    <t>Nei volumi di processo sono compresi i volumi scambiati con sistemi di acquedotto gestiti da altri gestori. I punti teleletti da sala di controllo centralizzata sono considerati validati, a meno di rilevazione di misure palesemente errate o in caso di misuratore non funzionante</t>
  </si>
  <si>
    <t>Quota di volumi di processo misurati sui totali</t>
  </si>
  <si>
    <t xml:space="preserve">Vedere RQTI al comma 6.5, punto 1.b) </t>
  </si>
  <si>
    <t xml:space="preserve">Somma dei volumi consumati dagli utenti finali con misure rilevate tramite telelettura </t>
  </si>
  <si>
    <t>Telelettura di prossimità (modalità semi-smart) e telelettura da remoto (modalità smart)</t>
  </si>
  <si>
    <t>di cui volumi di utenza rilevati con modalità di telelettura da remoto</t>
  </si>
  <si>
    <t>Solo telelettura in modalità smart (no walk by/drive by)</t>
  </si>
  <si>
    <t>Diffusione delle tecnologie di rilevazione delle misure d'utenza di tipo smart</t>
  </si>
  <si>
    <r>
      <t>Vedere RQTI al comma 6.5, punto 2.a)</t>
    </r>
    <r>
      <rPr>
        <strike/>
        <sz val="10"/>
        <rFont val="Calibri"/>
        <family val="2"/>
        <scheme val="minor"/>
      </rPr>
      <t xml:space="preserve"> </t>
    </r>
  </si>
  <si>
    <t xml:space="preserve">Somma dei volumi di processo con misure rilevate tramite telelettura </t>
  </si>
  <si>
    <t>di cui volumi di processo rilevati con modalità di telelettura da remoto</t>
  </si>
  <si>
    <t>Diffusione delle tecnologie di rilevazione delle misure di processo di tipo smart</t>
  </si>
  <si>
    <t xml:space="preserve">Vedere RQTI al comma 6.5, punto 2.b) </t>
  </si>
  <si>
    <t>Wm,F</t>
  </si>
  <si>
    <t xml:space="preserve">Volume autorizzato, misurato e fatturato </t>
  </si>
  <si>
    <t>Si intendono misurati i volumi delle utenze dotate di misuratore</t>
  </si>
  <si>
    <t>Wnm,F</t>
  </si>
  <si>
    <t xml:space="preserve">Volume autorizzato, non misurato e fatturato </t>
  </si>
  <si>
    <t>Wm,NF</t>
  </si>
  <si>
    <t xml:space="preserve">Volume autorizzato, misurato e non fatturato </t>
  </si>
  <si>
    <t>Fornire dettagli in relazione in merito agli utilizzi dei volumi inclusi in questa voce</t>
  </si>
  <si>
    <t>Wnm,NF</t>
  </si>
  <si>
    <t xml:space="preserve">Volume autorizzato, non misurato e non fatturato </t>
  </si>
  <si>
    <t>Numero agglomerati oggetto di condanna per il servizio di fognatura (causa C-565/10, C-85/13, C-668/19 e successive)</t>
  </si>
  <si>
    <t>Abitanti Equivalenti complessivi degli agglomerati oggetto di condanna per il servizio di fognatura (causa C-565/10, C-85/13, C-668/19 e successive)</t>
  </si>
  <si>
    <r>
      <t xml:space="preserve">Espressa in tonnelate di sostanza secca. Si specifica che, ai fini del calcolo di M5, sono da considerare </t>
    </r>
    <r>
      <rPr>
        <u/>
        <sz val="10"/>
        <rFont val="Calibri"/>
        <family val="2"/>
        <scheme val="minor"/>
      </rPr>
      <t>tutti</t>
    </r>
    <r>
      <rPr>
        <sz val="10"/>
        <rFont val="Calibri"/>
        <family val="2"/>
        <scheme val="minor"/>
      </rPr>
      <t xml:space="preserve"> gli impianti di depurazione presenti nel territorio di competenza del gestore. Non sono da considerare gli scambi interni al perimetro del gestore</t>
    </r>
  </si>
  <si>
    <r>
      <t>∑SS</t>
    </r>
    <r>
      <rPr>
        <vertAlign val="subscript"/>
        <sz val="11"/>
        <rFont val="Calibri"/>
        <family val="2"/>
        <scheme val="minor"/>
      </rPr>
      <t>rec,imp-td</t>
    </r>
  </si>
  <si>
    <r>
      <t>Agg</t>
    </r>
    <r>
      <rPr>
        <vertAlign val="subscript"/>
        <sz val="11"/>
        <rFont val="Calibri"/>
        <family val="2"/>
        <scheme val="minor"/>
      </rPr>
      <t>2000</t>
    </r>
  </si>
  <si>
    <r>
      <t>∑U</t>
    </r>
    <r>
      <rPr>
        <vertAlign val="subscript"/>
        <sz val="11"/>
        <rFont val="Calibri"/>
        <family val="2"/>
        <scheme val="minor"/>
      </rPr>
      <t>S1ind</t>
    </r>
    <r>
      <rPr>
        <sz val="11"/>
        <rFont val="Calibri"/>
        <family val="2"/>
        <scheme val="minor"/>
      </rPr>
      <t xml:space="preserve"> </t>
    </r>
  </si>
  <si>
    <r>
      <t>∑U</t>
    </r>
    <r>
      <rPr>
        <vertAlign val="subscript"/>
        <sz val="11"/>
        <rFont val="Calibri"/>
        <family val="2"/>
        <scheme val="minor"/>
      </rPr>
      <t>S2ind</t>
    </r>
    <r>
      <rPr>
        <sz val="11"/>
        <rFont val="Calibri"/>
        <family val="2"/>
        <scheme val="minor"/>
      </rPr>
      <t xml:space="preserve"> </t>
    </r>
  </si>
  <si>
    <r>
      <t>∑U</t>
    </r>
    <r>
      <rPr>
        <vertAlign val="subscript"/>
        <sz val="11"/>
        <rFont val="Calibri"/>
        <family val="2"/>
        <scheme val="minor"/>
      </rPr>
      <t>S3ind</t>
    </r>
    <r>
      <rPr>
        <sz val="11"/>
        <rFont val="Calibri"/>
        <family val="2"/>
        <scheme val="minor"/>
      </rPr>
      <t xml:space="preserve"> </t>
    </r>
  </si>
  <si>
    <r>
      <t>Ind</t>
    </r>
    <r>
      <rPr>
        <vertAlign val="subscript"/>
        <sz val="11"/>
        <rFont val="Calibri"/>
        <family val="2"/>
        <scheme val="minor"/>
      </rPr>
      <t>C</t>
    </r>
  </si>
  <si>
    <r>
      <t>Ind</t>
    </r>
    <r>
      <rPr>
        <vertAlign val="subscript"/>
        <sz val="11"/>
        <rFont val="Calibri"/>
        <family val="2"/>
        <scheme val="minor"/>
      </rPr>
      <t>NC</t>
    </r>
  </si>
  <si>
    <t>Numero di utenze finali dotate di misuratori rilevabili tramite telelettura (esclusi utenti indiretti)</t>
  </si>
  <si>
    <t>Indicare le utenze finali per le quali è già attivo il servizio di lettura da remoto (inclusi sistemi walk by/drive by), anche in via sperimentale</t>
  </si>
  <si>
    <r>
      <t>UtTmis_sm</t>
    </r>
    <r>
      <rPr>
        <vertAlign val="subscript"/>
        <sz val="11"/>
        <rFont val="Calibri"/>
        <family val="2"/>
        <scheme val="minor"/>
      </rPr>
      <t>tel</t>
    </r>
  </si>
  <si>
    <r>
      <t>WAM</t>
    </r>
    <r>
      <rPr>
        <vertAlign val="subscript"/>
        <sz val="11"/>
        <rFont val="Calibri"/>
        <family val="2"/>
        <scheme val="minor"/>
      </rPr>
      <t>s</t>
    </r>
  </si>
  <si>
    <r>
      <t>WAM</t>
    </r>
    <r>
      <rPr>
        <vertAlign val="subscript"/>
        <sz val="11"/>
        <rFont val="Calibri"/>
        <family val="2"/>
        <scheme val="minor"/>
      </rPr>
      <t>p</t>
    </r>
  </si>
  <si>
    <r>
      <t>WAM</t>
    </r>
    <r>
      <rPr>
        <vertAlign val="subscript"/>
        <sz val="11"/>
        <rFont val="Calibri"/>
        <family val="2"/>
        <scheme val="minor"/>
      </rPr>
      <t>c</t>
    </r>
  </si>
  <si>
    <r>
      <t>WAM</t>
    </r>
    <r>
      <rPr>
        <vertAlign val="subscript"/>
        <sz val="11"/>
        <rFont val="Calibri"/>
        <family val="2"/>
        <scheme val="minor"/>
      </rPr>
      <t>m</t>
    </r>
  </si>
  <si>
    <r>
      <t>WA6</t>
    </r>
    <r>
      <rPr>
        <vertAlign val="subscript"/>
        <sz val="11"/>
        <rFont val="Calibri"/>
        <family val="2"/>
        <scheme val="minor"/>
      </rPr>
      <t>A</t>
    </r>
  </si>
  <si>
    <r>
      <t>WA6</t>
    </r>
    <r>
      <rPr>
        <vertAlign val="subscript"/>
        <sz val="11"/>
        <rFont val="Calibri"/>
        <family val="2"/>
        <scheme val="minor"/>
      </rPr>
      <t>B</t>
    </r>
  </si>
  <si>
    <r>
      <t>WA6</t>
    </r>
    <r>
      <rPr>
        <vertAlign val="subscript"/>
        <sz val="11"/>
        <rFont val="Calibri"/>
        <family val="2"/>
        <scheme val="minor"/>
      </rPr>
      <t>C</t>
    </r>
  </si>
  <si>
    <r>
      <t>UtT</t>
    </r>
    <r>
      <rPr>
        <vertAlign val="subscript"/>
        <sz val="11"/>
        <rFont val="Calibri"/>
        <family val="2"/>
        <scheme val="minor"/>
      </rPr>
      <t>nf</t>
    </r>
  </si>
  <si>
    <r>
      <t>N</t>
    </r>
    <r>
      <rPr>
        <vertAlign val="subscript"/>
        <sz val="11"/>
        <rFont val="Calibri"/>
        <family val="2"/>
        <scheme val="minor"/>
      </rPr>
      <t>all,ACQ</t>
    </r>
  </si>
  <si>
    <r>
      <t>Lall</t>
    </r>
    <r>
      <rPr>
        <vertAlign val="subscript"/>
        <sz val="11"/>
        <rFont val="Calibri"/>
        <family val="2"/>
        <scheme val="minor"/>
      </rPr>
      <t>stima</t>
    </r>
  </si>
  <si>
    <t>di cui lunghezza rilevata con georeferenziazione parziale</t>
  </si>
  <si>
    <r>
      <t>Lp</t>
    </r>
    <r>
      <rPr>
        <vertAlign val="subscript"/>
        <sz val="11"/>
        <rFont val="Calibri"/>
        <family val="2"/>
        <scheme val="minor"/>
      </rPr>
      <t>10</t>
    </r>
  </si>
  <si>
    <r>
      <t>Lp</t>
    </r>
    <r>
      <rPr>
        <vertAlign val="subscript"/>
        <sz val="11"/>
        <rFont val="Calibri"/>
        <family val="2"/>
        <scheme val="minor"/>
      </rPr>
      <t>11-30</t>
    </r>
  </si>
  <si>
    <r>
      <t>Lp</t>
    </r>
    <r>
      <rPr>
        <vertAlign val="subscript"/>
        <sz val="11"/>
        <rFont val="Calibri"/>
        <family val="2"/>
        <scheme val="minor"/>
      </rPr>
      <t>31-40</t>
    </r>
  </si>
  <si>
    <r>
      <t>Lp</t>
    </r>
    <r>
      <rPr>
        <vertAlign val="subscript"/>
        <sz val="11"/>
        <rFont val="Calibri"/>
        <family val="2"/>
        <scheme val="minor"/>
      </rPr>
      <t>41-50</t>
    </r>
  </si>
  <si>
    <r>
      <t>Lp</t>
    </r>
    <r>
      <rPr>
        <vertAlign val="subscript"/>
        <sz val="11"/>
        <rFont val="Calibri"/>
        <family val="2"/>
        <scheme val="minor"/>
      </rPr>
      <t>50</t>
    </r>
  </si>
  <si>
    <r>
      <t>Lp</t>
    </r>
    <r>
      <rPr>
        <vertAlign val="subscript"/>
        <sz val="11"/>
        <rFont val="Calibri"/>
        <family val="2"/>
        <scheme val="minor"/>
      </rPr>
      <t>NN</t>
    </r>
  </si>
  <si>
    <r>
      <t>Lp</t>
    </r>
    <r>
      <rPr>
        <vertAlign val="subscript"/>
        <sz val="11"/>
        <rFont val="Calibri"/>
        <family val="2"/>
        <scheme val="minor"/>
      </rPr>
      <t>geo</t>
    </r>
  </si>
  <si>
    <r>
      <t>Lp</t>
    </r>
    <r>
      <rPr>
        <vertAlign val="subscript"/>
        <sz val="11"/>
        <rFont val="Calibri"/>
        <family val="2"/>
        <scheme val="minor"/>
      </rPr>
      <t>rp</t>
    </r>
  </si>
  <si>
    <r>
      <t xml:space="preserve">Solo la rete principale di adduzione e distribuzione, </t>
    </r>
    <r>
      <rPr>
        <sz val="10"/>
        <rFont val="Calibri"/>
        <family val="2"/>
      </rPr>
      <t>escluse le derivazioni d’utenza</t>
    </r>
  </si>
  <si>
    <r>
      <t>Ld</t>
    </r>
    <r>
      <rPr>
        <vertAlign val="subscript"/>
        <sz val="11"/>
        <rFont val="Calibri"/>
        <family val="2"/>
        <scheme val="minor"/>
      </rPr>
      <t>dt</t>
    </r>
  </si>
  <si>
    <r>
      <t>Lp</t>
    </r>
    <r>
      <rPr>
        <vertAlign val="subscript"/>
        <sz val="11"/>
        <rFont val="Calibri"/>
        <family val="2"/>
        <scheme val="minor"/>
      </rPr>
      <t>sos</t>
    </r>
  </si>
  <si>
    <r>
      <t>Break</t>
    </r>
    <r>
      <rPr>
        <vertAlign val="subscript"/>
        <sz val="11"/>
        <rFont val="Calibri"/>
        <family val="2"/>
        <scheme val="minor"/>
      </rPr>
      <t>ACQ</t>
    </r>
  </si>
  <si>
    <r>
      <t>Lf</t>
    </r>
    <r>
      <rPr>
        <vertAlign val="subscript"/>
        <sz val="11"/>
        <rFont val="Calibri"/>
        <family val="2"/>
        <scheme val="minor"/>
      </rPr>
      <t>10</t>
    </r>
  </si>
  <si>
    <r>
      <t>Lf</t>
    </r>
    <r>
      <rPr>
        <vertAlign val="subscript"/>
        <sz val="11"/>
        <rFont val="Calibri"/>
        <family val="2"/>
        <scheme val="minor"/>
      </rPr>
      <t>11-30</t>
    </r>
  </si>
  <si>
    <r>
      <t>Lf</t>
    </r>
    <r>
      <rPr>
        <vertAlign val="subscript"/>
        <sz val="11"/>
        <rFont val="Calibri"/>
        <family val="2"/>
        <scheme val="minor"/>
      </rPr>
      <t>31-40</t>
    </r>
  </si>
  <si>
    <r>
      <t>Lf</t>
    </r>
    <r>
      <rPr>
        <vertAlign val="subscript"/>
        <sz val="11"/>
        <rFont val="Calibri"/>
        <family val="2"/>
        <scheme val="minor"/>
      </rPr>
      <t>41-50</t>
    </r>
  </si>
  <si>
    <r>
      <t>Lf</t>
    </r>
    <r>
      <rPr>
        <vertAlign val="subscript"/>
        <sz val="11"/>
        <rFont val="Calibri"/>
        <family val="2"/>
        <scheme val="minor"/>
      </rPr>
      <t>50</t>
    </r>
  </si>
  <si>
    <r>
      <t>Lf</t>
    </r>
    <r>
      <rPr>
        <vertAlign val="subscript"/>
        <sz val="11"/>
        <rFont val="Calibri"/>
        <family val="2"/>
        <scheme val="minor"/>
      </rPr>
      <t>NN</t>
    </r>
  </si>
  <si>
    <r>
      <t>W</t>
    </r>
    <r>
      <rPr>
        <vertAlign val="subscript"/>
        <sz val="11"/>
        <rFont val="Calibri"/>
        <family val="2"/>
        <scheme val="minor"/>
      </rPr>
      <t>DEPin</t>
    </r>
  </si>
  <si>
    <r>
      <t>W</t>
    </r>
    <r>
      <rPr>
        <vertAlign val="subscript"/>
        <sz val="11"/>
        <rFont val="Calibri"/>
        <family val="2"/>
        <scheme val="minor"/>
      </rPr>
      <t>RIF_Lin</t>
    </r>
  </si>
  <si>
    <r>
      <t>Ndep</t>
    </r>
    <r>
      <rPr>
        <vertAlign val="subscript"/>
        <sz val="11"/>
        <rFont val="Calibri"/>
        <family val="2"/>
        <scheme val="minor"/>
      </rPr>
      <t>ess</t>
    </r>
  </si>
  <si>
    <r>
      <t>Ndep</t>
    </r>
    <r>
      <rPr>
        <vertAlign val="subscript"/>
        <sz val="11"/>
        <rFont val="Calibri"/>
        <family val="2"/>
        <scheme val="minor"/>
      </rPr>
      <t>dig_an</t>
    </r>
  </si>
  <si>
    <r>
      <t>Ndep</t>
    </r>
    <r>
      <rPr>
        <vertAlign val="subscript"/>
        <sz val="11"/>
        <rFont val="Calibri"/>
        <family val="2"/>
        <scheme val="minor"/>
      </rPr>
      <t>dig_an,FOR</t>
    </r>
  </si>
  <si>
    <r>
      <t>Ndep</t>
    </r>
    <r>
      <rPr>
        <vertAlign val="subscript"/>
        <sz val="11"/>
        <rFont val="Calibri"/>
        <family val="2"/>
        <scheme val="minor"/>
      </rPr>
      <t>dig_an,BGAS</t>
    </r>
  </si>
  <si>
    <t>Sommatoria degli utenti finali (esclusi utenti indiretti) con diritto all'indennizzo automatico per SR1</t>
  </si>
  <si>
    <t>Sommatoria degli utenti finali (esclusi utenti indiretti) con diritto all'indennizzo automatico per SR2</t>
  </si>
  <si>
    <t>Ammontare complessivo degli indennizzi erogato agli utenti finali (esclusi utenti indiretti) interessati da mancato rispetto degli standard specifici del servizio di misura</t>
  </si>
  <si>
    <t>Ammontare complessivo degli indennizzi non ancora corrisposto agli utenti finali (esclusi utenti indiretti) interessati da mancato rispetto degli standard specifici di misura</t>
  </si>
  <si>
    <t>di cui lunghezza effettivamente rilevata con georeferenziazione completa (come da comma 7.3 RQTI)</t>
  </si>
  <si>
    <t>Numero agglomerati oggetto di condanna per il servizio di depurazione (causa C-565/10, C-85/13, C-668/19 e successive)</t>
  </si>
  <si>
    <t>Abitanti Equivalenti complessivi degli agglomerati oggetto di condanna per il servizio di depurazione (causa C-565/10, C-85/13, C-668/19 e successive)</t>
  </si>
  <si>
    <t>Piano Nazionale sez. "Acquedotti" (Primo Elenco)</t>
  </si>
  <si>
    <t>indicare se intervento presente nell'Allegato 1 al d.P.C.M. 1 agosto 2019</t>
  </si>
  <si>
    <t xml:space="preserve">indicare se intervento presente in uno degli Allegati 1,2, 3 al Decreto del Ministero delle Infrastrutture e della Mobilità Sostenibili del 16 dicembre 2021, n. 517 </t>
  </si>
  <si>
    <t>Indicare in presenza di provvedimento/atto di ammissione al finanziamento</t>
  </si>
  <si>
    <t>REACT EU (Riduzione perdite e digitalizzazione)</t>
  </si>
  <si>
    <t>PNRR- Misura M2C4 - I4.1 (Approvvigionamento idrico)</t>
  </si>
  <si>
    <t>PNRR- Misura M2C4 - I4.2 (Riduzione perdite e digitalizzazione)</t>
  </si>
  <si>
    <t>PNRR- Misura M2C4 - I4.4 (Fognatura e Depurazione)</t>
  </si>
  <si>
    <t>errori_tipologia</t>
  </si>
  <si>
    <t>Montebello Jonico</t>
  </si>
  <si>
    <t xml:space="preserve">Montebello Jonico (RC) </t>
  </si>
  <si>
    <t>UFFICIO D'AMBITO DI BERGAMO</t>
  </si>
  <si>
    <t xml:space="preserve">Montecopiolo (RN) </t>
  </si>
  <si>
    <t>099030</t>
  </si>
  <si>
    <t xml:space="preserve">Sassofeltrio (RN) </t>
  </si>
  <si>
    <t>099031</t>
  </si>
  <si>
    <t>A.T.I. ASSEMBLEA TERRITORIALE IDRICA ATO CALTANISSETTA</t>
  </si>
  <si>
    <t>ATI DI ENNA</t>
  </si>
  <si>
    <t>Misiliscemi</t>
  </si>
  <si>
    <t xml:space="preserve">Misiliscemi (TP) </t>
  </si>
  <si>
    <t>081025</t>
  </si>
  <si>
    <t>Firenzuola</t>
  </si>
  <si>
    <t xml:space="preserve">Firenzuola (FI) </t>
  </si>
  <si>
    <t>048018</t>
  </si>
  <si>
    <t>Marradi</t>
  </si>
  <si>
    <t xml:space="preserve">Marradi (FI) </t>
  </si>
  <si>
    <t>048026</t>
  </si>
  <si>
    <t>Palazzuolo sul Senio</t>
  </si>
  <si>
    <t xml:space="preserve">Palazzuolo sul Senio (FI) </t>
  </si>
  <si>
    <t>048031</t>
  </si>
  <si>
    <t>Borgo d'Anaunia</t>
  </si>
  <si>
    <t xml:space="preserve">Borgo d'Anaunia (TN) </t>
  </si>
  <si>
    <t>022252</t>
  </si>
  <si>
    <t>Novella</t>
  </si>
  <si>
    <t xml:space="preserve">Novella (TN) </t>
  </si>
  <si>
    <t>022253</t>
  </si>
  <si>
    <t>Ville di Fiemme</t>
  </si>
  <si>
    <t xml:space="preserve">Ville di Fiemme (TN) </t>
  </si>
  <si>
    <t>022254</t>
  </si>
  <si>
    <t>ATO Friuli-Venezia Giulia</t>
  </si>
  <si>
    <t>ATI 1 e 2 - Ambito 1 e Ambito 2</t>
  </si>
  <si>
    <t>ATI 3 - Ambito 3</t>
  </si>
  <si>
    <t>ATI 4 - Ambito 4</t>
  </si>
  <si>
    <t>elenco</t>
  </si>
  <si>
    <t>Ulteriori specificazioni per il calcolo del macro-indicatore M1 (anche ai sensi delle deliberazioni 609/2021/R/idr e 639/2021/R/idr), ai fini della valutazione di affidabilità e di diffusione delle nuove tecnologie</t>
  </si>
  <si>
    <t>MTI-4</t>
  </si>
  <si>
    <t>M0</t>
  </si>
  <si>
    <t>Grandi dighe (sbarramenti che superano i quindici metri di altezza o che determinano un invaso superiore a 1 milione di metri cubi)</t>
  </si>
  <si>
    <t>Piccole dighe (sbarramenti che non superano i quindici metri di altezza o che determinano un invaso non superiore a 1 milione di metri cubi)</t>
  </si>
  <si>
    <t>2022-2048</t>
  </si>
  <si>
    <t>2022-2024</t>
  </si>
  <si>
    <t>2022-2025</t>
  </si>
  <si>
    <t>2022-2026</t>
  </si>
  <si>
    <t>2022-2027</t>
  </si>
  <si>
    <t>2022-2028</t>
  </si>
  <si>
    <t>2022-2029</t>
  </si>
  <si>
    <t>2022-2030</t>
  </si>
  <si>
    <t>2022-2031</t>
  </si>
  <si>
    <t>2022-2032</t>
  </si>
  <si>
    <t>2022-2033</t>
  </si>
  <si>
    <t>2022-2034</t>
  </si>
  <si>
    <t>2022-2035</t>
  </si>
  <si>
    <t>2022-2036</t>
  </si>
  <si>
    <t>2022-2037</t>
  </si>
  <si>
    <t>2022-2038</t>
  </si>
  <si>
    <t>2022-2039</t>
  </si>
  <si>
    <t>2022-2040</t>
  </si>
  <si>
    <t>2022-2041</t>
  </si>
  <si>
    <t>2022-2042</t>
  </si>
  <si>
    <t>2022-2043</t>
  </si>
  <si>
    <t>2022-2044</t>
  </si>
  <si>
    <t>2022-2045</t>
  </si>
  <si>
    <t>2022-2046</t>
  </si>
  <si>
    <t>2022-2047</t>
  </si>
  <si>
    <t>2023-2025</t>
  </si>
  <si>
    <t>2023-2026</t>
  </si>
  <si>
    <t>2023-2027</t>
  </si>
  <si>
    <t>2023-2028</t>
  </si>
  <si>
    <t>2023-2029</t>
  </si>
  <si>
    <t>2023-2030</t>
  </si>
  <si>
    <t>2023-2031</t>
  </si>
  <si>
    <t>2023-2032</t>
  </si>
  <si>
    <t>2023-2033</t>
  </si>
  <si>
    <t>2023-2034</t>
  </si>
  <si>
    <t>2023-2035</t>
  </si>
  <si>
    <t>2023-2036</t>
  </si>
  <si>
    <t>2023-2037</t>
  </si>
  <si>
    <t>2023-2038</t>
  </si>
  <si>
    <t>2023-2039</t>
  </si>
  <si>
    <t>2023-2040</t>
  </si>
  <si>
    <t>2023-2041</t>
  </si>
  <si>
    <t>2023-2042</t>
  </si>
  <si>
    <t>2023-2043</t>
  </si>
  <si>
    <t>2023-2044</t>
  </si>
  <si>
    <t>2023-2045</t>
  </si>
  <si>
    <t>2023-2046</t>
  </si>
  <si>
    <t>2023-2047</t>
  </si>
  <si>
    <t>2023-2048</t>
  </si>
  <si>
    <t>2024-2026</t>
  </si>
  <si>
    <t>2024-2027</t>
  </si>
  <si>
    <t>2024-2028</t>
  </si>
  <si>
    <t>2024-2029</t>
  </si>
  <si>
    <t>2024-2030</t>
  </si>
  <si>
    <t>2024-2031</t>
  </si>
  <si>
    <t>2024-2032</t>
  </si>
  <si>
    <t>2024-2033</t>
  </si>
  <si>
    <t>2024-2034</t>
  </si>
  <si>
    <t>2024-2035</t>
  </si>
  <si>
    <t>2024-2036</t>
  </si>
  <si>
    <t>2024-2037</t>
  </si>
  <si>
    <t>2024-2038</t>
  </si>
  <si>
    <t>2024-2039</t>
  </si>
  <si>
    <t>2024-2040</t>
  </si>
  <si>
    <t>2024-2041</t>
  </si>
  <si>
    <t>2024-2042</t>
  </si>
  <si>
    <t>2024-2043</t>
  </si>
  <si>
    <t>2024-2044</t>
  </si>
  <si>
    <t>2024-2045</t>
  </si>
  <si>
    <t>2024-2046</t>
  </si>
  <si>
    <t>2024-2047</t>
  </si>
  <si>
    <t>2024-2048</t>
  </si>
  <si>
    <t>2025-2027</t>
  </si>
  <si>
    <t>2025-2028</t>
  </si>
  <si>
    <t>2025-2029</t>
  </si>
  <si>
    <t>2025-2030</t>
  </si>
  <si>
    <t>2025-2031</t>
  </si>
  <si>
    <t>2025-2032</t>
  </si>
  <si>
    <t>2025-2033</t>
  </si>
  <si>
    <t>2025-2034</t>
  </si>
  <si>
    <t>2025-2035</t>
  </si>
  <si>
    <t>2025-2036</t>
  </si>
  <si>
    <t>2025-2037</t>
  </si>
  <si>
    <t>2025-2038</t>
  </si>
  <si>
    <t>2025-2039</t>
  </si>
  <si>
    <t>2025-2040</t>
  </si>
  <si>
    <t>2025-2041</t>
  </si>
  <si>
    <t>2025-2042</t>
  </si>
  <si>
    <t>2025-2043</t>
  </si>
  <si>
    <t>2025-2044</t>
  </si>
  <si>
    <t>2025-2045</t>
  </si>
  <si>
    <t>2025-2046</t>
  </si>
  <si>
    <t>2025-2047</t>
  </si>
  <si>
    <t>2025-2048</t>
  </si>
  <si>
    <t>2026-2028</t>
  </si>
  <si>
    <t>2026-2029</t>
  </si>
  <si>
    <t>2026-2030</t>
  </si>
  <si>
    <t>2026-2031</t>
  </si>
  <si>
    <t>2026-2032</t>
  </si>
  <si>
    <t>2026-2033</t>
  </si>
  <si>
    <t>2026-2034</t>
  </si>
  <si>
    <t>2026-2035</t>
  </si>
  <si>
    <t>2026-2036</t>
  </si>
  <si>
    <t>2026-2037</t>
  </si>
  <si>
    <t>2026-2038</t>
  </si>
  <si>
    <t>2026-2039</t>
  </si>
  <si>
    <t>2026-2040</t>
  </si>
  <si>
    <t>2026-2041</t>
  </si>
  <si>
    <t>2026-2042</t>
  </si>
  <si>
    <t>2026-2043</t>
  </si>
  <si>
    <t>2026-2044</t>
  </si>
  <si>
    <t>2026-2045</t>
  </si>
  <si>
    <t>2026-2046</t>
  </si>
  <si>
    <t>2026-2047</t>
  </si>
  <si>
    <t>2026-2048</t>
  </si>
  <si>
    <t>2027-2029</t>
  </si>
  <si>
    <t>2027-2030</t>
  </si>
  <si>
    <t>2027-2031</t>
  </si>
  <si>
    <t>2027-2032</t>
  </si>
  <si>
    <t>2027-2033</t>
  </si>
  <si>
    <t>2027-2034</t>
  </si>
  <si>
    <t>2027-2035</t>
  </si>
  <si>
    <t>2027-2036</t>
  </si>
  <si>
    <t>2027-2037</t>
  </si>
  <si>
    <t>2027-2038</t>
  </si>
  <si>
    <t>2027-2039</t>
  </si>
  <si>
    <t>2027-2040</t>
  </si>
  <si>
    <t>2027-2041</t>
  </si>
  <si>
    <t>2027-2042</t>
  </si>
  <si>
    <t>2027-2043</t>
  </si>
  <si>
    <t>2027-2044</t>
  </si>
  <si>
    <t>2027-2045</t>
  </si>
  <si>
    <t>2027-2046</t>
  </si>
  <si>
    <t>2027-2047</t>
  </si>
  <si>
    <t>2027-2048</t>
  </si>
  <si>
    <t>VU 2024</t>
  </si>
  <si>
    <t>IP 2024</t>
  </si>
  <si>
    <t>FAIP 2024</t>
  </si>
  <si>
    <t>IP netto 2024</t>
  </si>
  <si>
    <t>AMM 2024</t>
  </si>
  <si>
    <t>CFP 2024</t>
  </si>
  <si>
    <t>FA CFP 2024</t>
  </si>
  <si>
    <t>CFP netto 2024</t>
  </si>
  <si>
    <t>AMM CFP 2024</t>
  </si>
  <si>
    <t>VU 2025</t>
  </si>
  <si>
    <t>IP 2025</t>
  </si>
  <si>
    <t>FAIP 2025</t>
  </si>
  <si>
    <t>IP netto 2025</t>
  </si>
  <si>
    <t>AMM 2025</t>
  </si>
  <si>
    <t>CFP 2025</t>
  </si>
  <si>
    <t>FA CFP 2025</t>
  </si>
  <si>
    <t>CFP netto 2025</t>
  </si>
  <si>
    <t>AMM CFP 2025</t>
  </si>
  <si>
    <t>VU 2026</t>
  </si>
  <si>
    <t>IP 2026</t>
  </si>
  <si>
    <t>FAIP 2026</t>
  </si>
  <si>
    <t>IP netto 2026</t>
  </si>
  <si>
    <t>AMM 2026</t>
  </si>
  <si>
    <t>CFP 2026</t>
  </si>
  <si>
    <t>FA CFP 2026</t>
  </si>
  <si>
    <t>CFP netto 2026</t>
  </si>
  <si>
    <t>AMM CFP 2026</t>
  </si>
  <si>
    <t>VU 2027</t>
  </si>
  <si>
    <t>IP 2027</t>
  </si>
  <si>
    <t>FAIP 2027</t>
  </si>
  <si>
    <t>IP netto 2027</t>
  </si>
  <si>
    <t>AMM 2027</t>
  </si>
  <si>
    <t>CFP 2027</t>
  </si>
  <si>
    <t>FA CFP 2027</t>
  </si>
  <si>
    <t>CFP netto 2027</t>
  </si>
  <si>
    <t>AMM CFP 2027</t>
  </si>
  <si>
    <t>VU 2028</t>
  </si>
  <si>
    <t>IP 2028</t>
  </si>
  <si>
    <t>FAIP 2028</t>
  </si>
  <si>
    <t>IP netto 2028</t>
  </si>
  <si>
    <t>AMM 2028</t>
  </si>
  <si>
    <t>CFP 2028</t>
  </si>
  <si>
    <t>FA CFP 2028</t>
  </si>
  <si>
    <t>CFP netto 2028</t>
  </si>
  <si>
    <t>AMM CFP 2028</t>
  </si>
  <si>
    <t>VU 2029</t>
  </si>
  <si>
    <t>IP 2029</t>
  </si>
  <si>
    <t>FAIP 2029</t>
  </si>
  <si>
    <t>IP netto 2029</t>
  </si>
  <si>
    <t>AMM 2029</t>
  </si>
  <si>
    <t>CFP 2029</t>
  </si>
  <si>
    <t>FA CFP 2029</t>
  </si>
  <si>
    <t>CFP netto 2029</t>
  </si>
  <si>
    <t>AMM CFP 2029</t>
  </si>
  <si>
    <t>CINp 2024</t>
  </si>
  <si>
    <t>CINp 2025</t>
  </si>
  <si>
    <t>CINp 2026</t>
  </si>
  <si>
    <t>CINp 2027</t>
  </si>
  <si>
    <t>CINp 2028</t>
  </si>
  <si>
    <t>CINp 2029</t>
  </si>
  <si>
    <t>AMMp 2024</t>
  </si>
  <si>
    <t>AMMp 2025</t>
  </si>
  <si>
    <t>AMMp 2026</t>
  </si>
  <si>
    <t>AMMp 2027</t>
  </si>
  <si>
    <t>AMMp 2028</t>
  </si>
  <si>
    <t>AMMp 2029</t>
  </si>
  <si>
    <t>CINfp,p 2024</t>
  </si>
  <si>
    <t>CINfp,p 2025</t>
  </si>
  <si>
    <t>CINfp,p 2026</t>
  </si>
  <si>
    <t>CINfp,p 2027</t>
  </si>
  <si>
    <t>CINfp,p 2028</t>
  </si>
  <si>
    <t>CINfp,p 2029</t>
  </si>
  <si>
    <t>AMMcfp,p 2024</t>
  </si>
  <si>
    <t>AMMcfp,p 2025</t>
  </si>
  <si>
    <t>AMMcfp,p 2026</t>
  </si>
  <si>
    <t>AMMcfp,p 2027</t>
  </si>
  <si>
    <t>AMMcfp,p 2028</t>
  </si>
  <si>
    <t>Anno 2024</t>
  </si>
  <si>
    <t>Anno 2025</t>
  </si>
  <si>
    <t>Anno 2026</t>
  </si>
  <si>
    <t>Anno 2027</t>
  </si>
  <si>
    <t>Anno 2028</t>
  </si>
  <si>
    <t>Anno 2029</t>
  </si>
  <si>
    <t>previsto 2024 (€)</t>
  </si>
  <si>
    <t>previsto 2025 (€)</t>
  </si>
  <si>
    <t>previsto 2026 (€)</t>
  </si>
  <si>
    <t>previsto 2027 (€)</t>
  </si>
  <si>
    <t>previsto 2028 (€)</t>
  </si>
  <si>
    <t>previsto 2029 (€)</t>
  </si>
  <si>
    <t>MT 2024</t>
  </si>
  <si>
    <t>MT 2025</t>
  </si>
  <si>
    <t>MT 2026</t>
  </si>
  <si>
    <t>MT 2027</t>
  </si>
  <si>
    <t>MT 2028</t>
  </si>
  <si>
    <t>MT 2029</t>
  </si>
  <si>
    <t>AC 2024</t>
  </si>
  <si>
    <t>AC 2025</t>
  </si>
  <si>
    <t>AC 2026</t>
  </si>
  <si>
    <t>AC 2027</t>
  </si>
  <si>
    <t>AC 2028</t>
  </si>
  <si>
    <t>AC 2029</t>
  </si>
  <si>
    <t>Conferma_investimenti</t>
  </si>
  <si>
    <t>IMN_cespiti_anni_prec</t>
  </si>
  <si>
    <t>IMN_cespiti_anni_precedenti</t>
  </si>
  <si>
    <t>Immobilizzazioni storiche</t>
  </si>
  <si>
    <t>Conferma investimenti preconsuntivi</t>
  </si>
  <si>
    <t>ConfermaInvestimenti</t>
  </si>
  <si>
    <t>ΔIMN2023</t>
  </si>
  <si>
    <t>ΔCINcfp2023</t>
  </si>
  <si>
    <r>
      <t>zona per il calcolo Rc</t>
    </r>
    <r>
      <rPr>
        <i/>
        <vertAlign val="subscript"/>
        <sz val="10"/>
        <color rgb="FFFF0000"/>
        <rFont val="Arial Narrow"/>
        <family val="2"/>
      </rPr>
      <t>IP2023</t>
    </r>
  </si>
  <si>
    <t>componente tariffaria
AMM 2024</t>
  </si>
  <si>
    <t>componente tariffaria
AMM 2025</t>
  </si>
  <si>
    <t>componente tariffaria
AMM 2026</t>
  </si>
  <si>
    <t>componente tariffaria
AMM 2027</t>
  </si>
  <si>
    <t>componente tariffaria
AMM 2028</t>
  </si>
  <si>
    <t>componente tariffaria
AMM 2029</t>
  </si>
  <si>
    <t>vite regolatorie proprietari (ammortamento finanziario non previsto, cespiti fino al 2019)</t>
  </si>
  <si>
    <t>vite regolatorie proprietari (ammortamento finanziario non previsto, cespiti dal 2020)</t>
  </si>
  <si>
    <t>ANNO 2060</t>
  </si>
  <si>
    <t>ANNO 2061</t>
  </si>
  <si>
    <t>ANNO 2062</t>
  </si>
  <si>
    <t>ANNO 2063</t>
  </si>
  <si>
    <t>Categoria</t>
  </si>
  <si>
    <t>Anno calcolo</t>
  </si>
  <si>
    <t>Vita utile finanziaria</t>
  </si>
  <si>
    <t>VU</t>
  </si>
  <si>
    <t>3. Vite utili finanziarie</t>
  </si>
  <si>
    <t>Vita utile regolatoria</t>
  </si>
  <si>
    <t>ID Categoria cespite</t>
  </si>
  <si>
    <t>Ammortamento finanziario 
(SI/NO)</t>
  </si>
  <si>
    <t>Controllo ERRORI</t>
  </si>
  <si>
    <t>AmmortamentoFinanziario</t>
  </si>
  <si>
    <t>Vita utile ai fini del calcolo</t>
  </si>
  <si>
    <t>AnnoCespiteRIF-AnnoCalcolo</t>
  </si>
  <si>
    <t>Verificare puntualmente le informazioni eventualmente precompilate e integrare fornendo le informazioni solo con riferimento alle annualità e ai cespiti per cui si ricorre all'ammortamento finanziario</t>
  </si>
  <si>
    <t>Anno cespite RIF</t>
  </si>
  <si>
    <t>RIF</t>
  </si>
  <si>
    <t>MTT</t>
  </si>
  <si>
    <t>MTI</t>
  </si>
  <si>
    <t>MTI-2</t>
  </si>
  <si>
    <t>MTI-2 agg</t>
  </si>
  <si>
    <t>MTI-3</t>
  </si>
  <si>
    <t>MTI-3 agg</t>
  </si>
  <si>
    <t>AF MTI-2 agg</t>
  </si>
  <si>
    <r>
      <t>Immobilizzazioni nette del gestore - di cui ERC</t>
    </r>
    <r>
      <rPr>
        <b/>
        <vertAlign val="subscript"/>
        <sz val="10"/>
        <color rgb="FFFF0000"/>
        <rFont val="Arial Narrow"/>
        <family val="2"/>
      </rPr>
      <t>env</t>
    </r>
  </si>
  <si>
    <r>
      <t>Immobilizzazioni nette del gestore - di cui ERC</t>
    </r>
    <r>
      <rPr>
        <b/>
        <vertAlign val="subscript"/>
        <sz val="10"/>
        <color rgb="FFFF0000"/>
        <rFont val="Arial Narrow"/>
        <family val="2"/>
      </rPr>
      <t>res</t>
    </r>
  </si>
  <si>
    <r>
      <t>Immobilizzazioni nette del gestore - solo nuovi investimenti (serie cumulata) - di cui ERC</t>
    </r>
    <r>
      <rPr>
        <b/>
        <vertAlign val="subscript"/>
        <sz val="10"/>
        <color rgb="FFFF0000"/>
        <rFont val="Arial Narrow"/>
        <family val="2"/>
      </rPr>
      <t>env</t>
    </r>
  </si>
  <si>
    <r>
      <t>Immobilizzazioni nette del gestore - solo nuovi investimenti (serie cumulata) - di cui ERC</t>
    </r>
    <r>
      <rPr>
        <b/>
        <vertAlign val="subscript"/>
        <sz val="10"/>
        <color rgb="FFFF0000"/>
        <rFont val="Arial Narrow"/>
        <family val="2"/>
      </rPr>
      <t>res</t>
    </r>
  </si>
  <si>
    <r>
      <t>valori già al netto di quanto riconosciuto nella componente ERC</t>
    </r>
    <r>
      <rPr>
        <i/>
        <vertAlign val="subscript"/>
        <sz val="10"/>
        <color rgb="FFFF0000"/>
        <rFont val="Arial Narrow"/>
        <family val="2"/>
      </rPr>
      <t>capex</t>
    </r>
  </si>
  <si>
    <r>
      <rPr>
        <b/>
        <i/>
        <sz val="10"/>
        <color indexed="8"/>
        <rFont val="Arial Narrow"/>
        <family val="2"/>
      </rPr>
      <t>CIN e CIN</t>
    </r>
    <r>
      <rPr>
        <b/>
        <i/>
        <vertAlign val="subscript"/>
        <sz val="10"/>
        <color indexed="8"/>
        <rFont val="Arial Narrow"/>
        <family val="2"/>
      </rPr>
      <t>fp</t>
    </r>
    <r>
      <rPr>
        <b/>
        <i/>
        <sz val="10"/>
        <color indexed="8"/>
        <rFont val="Arial Narrow"/>
        <family val="2"/>
      </rPr>
      <t xml:space="preserve"> </t>
    </r>
    <r>
      <rPr>
        <i/>
        <sz val="10"/>
        <color indexed="8"/>
        <rFont val="Arial Narrow"/>
        <family val="2"/>
      </rPr>
      <t>- Capitale Investito Netto (valori inclusivi di ERC)</t>
    </r>
  </si>
  <si>
    <r>
      <t>OF</t>
    </r>
    <r>
      <rPr>
        <vertAlign val="subscript"/>
        <sz val="10"/>
        <color theme="1"/>
        <rFont val="Arial Narrow"/>
        <family val="2"/>
      </rPr>
      <t>env</t>
    </r>
    <r>
      <rPr>
        <sz val="10"/>
        <color theme="1"/>
        <rFont val="Arial Narrow"/>
        <family val="2"/>
      </rPr>
      <t xml:space="preserve"> + OF</t>
    </r>
    <r>
      <rPr>
        <vertAlign val="subscript"/>
        <sz val="10"/>
        <color theme="1"/>
        <rFont val="Arial Narrow"/>
        <family val="2"/>
      </rPr>
      <t>res</t>
    </r>
  </si>
  <si>
    <t>OF (componente calcolata, al netto degli ERC)</t>
  </si>
  <si>
    <r>
      <t>OF</t>
    </r>
    <r>
      <rPr>
        <vertAlign val="subscript"/>
        <sz val="10"/>
        <color theme="1"/>
        <rFont val="Arial Narrow"/>
        <family val="2"/>
      </rPr>
      <t>env</t>
    </r>
    <r>
      <rPr>
        <sz val="10"/>
        <color theme="1"/>
        <rFont val="Arial Narrow"/>
        <family val="2"/>
      </rPr>
      <t xml:space="preserve"> (eventuale valore parametrico) </t>
    </r>
  </si>
  <si>
    <r>
      <t>OF</t>
    </r>
    <r>
      <rPr>
        <vertAlign val="subscript"/>
        <sz val="10"/>
        <color theme="1"/>
        <rFont val="Arial Narrow"/>
        <family val="2"/>
      </rPr>
      <t>env</t>
    </r>
    <r>
      <rPr>
        <sz val="10"/>
        <color theme="1"/>
        <rFont val="Arial Narrow"/>
        <family val="2"/>
      </rPr>
      <t xml:space="preserve"> (valore puntuale) </t>
    </r>
  </si>
  <si>
    <r>
      <t>OFISC</t>
    </r>
    <r>
      <rPr>
        <vertAlign val="subscript"/>
        <sz val="10"/>
        <color theme="1"/>
        <rFont val="Arial Narrow"/>
        <family val="2"/>
      </rPr>
      <t>env</t>
    </r>
    <r>
      <rPr>
        <sz val="10"/>
        <color theme="1"/>
        <rFont val="Arial Narrow"/>
        <family val="2"/>
      </rPr>
      <t xml:space="preserve"> + OFISC</t>
    </r>
    <r>
      <rPr>
        <vertAlign val="subscript"/>
        <sz val="10"/>
        <color theme="1"/>
        <rFont val="Arial Narrow"/>
        <family val="2"/>
      </rPr>
      <t>res</t>
    </r>
  </si>
  <si>
    <t>OFisc (componente calcolata, al netto degli ERC)</t>
  </si>
  <si>
    <r>
      <t>OFISC</t>
    </r>
    <r>
      <rPr>
        <vertAlign val="subscript"/>
        <sz val="10"/>
        <color theme="1"/>
        <rFont val="Arial Narrow"/>
        <family val="2"/>
      </rPr>
      <t>env</t>
    </r>
    <r>
      <rPr>
        <sz val="10"/>
        <color theme="1"/>
        <rFont val="Arial Narrow"/>
        <family val="2"/>
      </rPr>
      <t xml:space="preserve"> (eventuale valore parametrico) </t>
    </r>
  </si>
  <si>
    <r>
      <t>OFISC</t>
    </r>
    <r>
      <rPr>
        <vertAlign val="subscript"/>
        <sz val="10"/>
        <color theme="1"/>
        <rFont val="Arial Narrow"/>
        <family val="2"/>
      </rPr>
      <t>env</t>
    </r>
    <r>
      <rPr>
        <sz val="10"/>
        <color theme="1"/>
        <rFont val="Arial Narrow"/>
        <family val="2"/>
      </rPr>
      <t xml:space="preserve"> (valore puntuale) </t>
    </r>
  </si>
  <si>
    <r>
      <t>AMM</t>
    </r>
    <r>
      <rPr>
        <vertAlign val="subscript"/>
        <sz val="10"/>
        <color theme="1"/>
        <rFont val="Arial Narrow"/>
        <family val="2"/>
      </rPr>
      <t>env</t>
    </r>
    <r>
      <rPr>
        <sz val="10"/>
        <color theme="1"/>
        <rFont val="Arial Narrow"/>
        <family val="2"/>
      </rPr>
      <t xml:space="preserve"> (valore puntuale)</t>
    </r>
  </si>
  <si>
    <r>
      <t>AMM</t>
    </r>
    <r>
      <rPr>
        <vertAlign val="subscript"/>
        <sz val="10"/>
        <color theme="1"/>
        <rFont val="Arial Narrow"/>
        <family val="2"/>
      </rPr>
      <t>env</t>
    </r>
    <r>
      <rPr>
        <sz val="10"/>
        <color theme="1"/>
        <rFont val="Arial Narrow"/>
        <family val="2"/>
      </rPr>
      <t xml:space="preserve"> (eventuale valore parametrico)</t>
    </r>
  </si>
  <si>
    <r>
      <t>AMM</t>
    </r>
    <r>
      <rPr>
        <vertAlign val="subscript"/>
        <sz val="10"/>
        <color theme="1"/>
        <rFont val="Arial Narrow"/>
        <family val="2"/>
      </rPr>
      <t>res</t>
    </r>
    <r>
      <rPr>
        <sz val="10"/>
        <color theme="1"/>
        <rFont val="Arial Narrow"/>
        <family val="2"/>
      </rPr>
      <t xml:space="preserve"> (eventuale valore parametrico)</t>
    </r>
  </si>
  <si>
    <r>
      <t>AMM</t>
    </r>
    <r>
      <rPr>
        <vertAlign val="subscript"/>
        <sz val="10"/>
        <color theme="1"/>
        <rFont val="Arial Narrow"/>
        <family val="2"/>
      </rPr>
      <t>res</t>
    </r>
    <r>
      <rPr>
        <sz val="10"/>
        <color theme="1"/>
        <rFont val="Arial Narrow"/>
        <family val="2"/>
      </rPr>
      <t xml:space="preserve"> (valore puntuale)</t>
    </r>
  </si>
  <si>
    <r>
      <t>AMM</t>
    </r>
    <r>
      <rPr>
        <vertAlign val="subscript"/>
        <sz val="10"/>
        <color theme="1"/>
        <rFont val="Arial Narrow"/>
        <family val="2"/>
      </rPr>
      <t>env</t>
    </r>
    <r>
      <rPr>
        <sz val="10"/>
        <color theme="1"/>
        <rFont val="Arial Narrow"/>
        <family val="2"/>
      </rPr>
      <t xml:space="preserve"> + AMM</t>
    </r>
    <r>
      <rPr>
        <vertAlign val="subscript"/>
        <sz val="10"/>
        <color theme="1"/>
        <rFont val="Arial Narrow"/>
        <family val="2"/>
      </rPr>
      <t>res</t>
    </r>
  </si>
  <si>
    <t>AMM (componente calcolata, al netto degli ERC)</t>
  </si>
  <si>
    <t>Incidenza ERC parametrica</t>
  </si>
  <si>
    <t>Incidenza ENV parametrica</t>
  </si>
  <si>
    <t>Incidenza Res parametrica</t>
  </si>
  <si>
    <r>
      <t xml:space="preserve">incidenza ENV (%) su </t>
    </r>
    <r>
      <rPr>
        <b/>
        <sz val="10"/>
        <color rgb="FFC00000"/>
        <rFont val="Arial Narrow"/>
        <family val="2"/>
      </rPr>
      <t>RAB MTI-4</t>
    </r>
  </si>
  <si>
    <r>
      <t xml:space="preserve">incidenza RES (%) su </t>
    </r>
    <r>
      <rPr>
        <b/>
        <sz val="10"/>
        <color rgb="FFC00000"/>
        <rFont val="Arial Narrow"/>
        <family val="2"/>
      </rPr>
      <t>RAB MTI-4</t>
    </r>
  </si>
  <si>
    <t>Controllo sull'eventuale presenza di FoNI - non speso</t>
  </si>
  <si>
    <r>
      <t xml:space="preserve">Min di scaglione
</t>
    </r>
    <r>
      <rPr>
        <sz val="10"/>
        <rFont val="Arial Narrow"/>
        <family val="2"/>
      </rPr>
      <t>(m</t>
    </r>
    <r>
      <rPr>
        <vertAlign val="superscript"/>
        <sz val="10"/>
        <rFont val="Arial Narrow"/>
        <family val="2"/>
      </rPr>
      <t>3</t>
    </r>
    <r>
      <rPr>
        <sz val="10"/>
        <rFont val="Arial Narrow"/>
        <family val="2"/>
      </rPr>
      <t>/2023)</t>
    </r>
  </si>
  <si>
    <r>
      <t xml:space="preserve">Max di scaglione
</t>
    </r>
    <r>
      <rPr>
        <sz val="10"/>
        <rFont val="Arial Narrow"/>
        <family val="2"/>
      </rPr>
      <t>(m</t>
    </r>
    <r>
      <rPr>
        <vertAlign val="superscript"/>
        <sz val="10"/>
        <rFont val="Arial Narrow"/>
        <family val="2"/>
      </rPr>
      <t>3</t>
    </r>
    <r>
      <rPr>
        <sz val="10"/>
        <rFont val="Arial Narrow"/>
        <family val="2"/>
      </rPr>
      <t>/2023)</t>
    </r>
  </si>
  <si>
    <r>
      <t>QV</t>
    </r>
    <r>
      <rPr>
        <sz val="10"/>
        <rFont val="Arial Narrow"/>
        <family val="2"/>
      </rPr>
      <t xml:space="preserve"> (Euro/m</t>
    </r>
    <r>
      <rPr>
        <vertAlign val="superscript"/>
        <sz val="10"/>
        <rFont val="Arial Narrow"/>
        <family val="2"/>
      </rPr>
      <t>3</t>
    </r>
    <r>
      <rPr>
        <sz val="10"/>
        <rFont val="Arial Narrow"/>
        <family val="2"/>
      </rPr>
      <t xml:space="preserve">)
</t>
    </r>
    <r>
      <rPr>
        <i/>
        <sz val="10"/>
        <rFont val="Arial Narrow"/>
        <family val="2"/>
      </rPr>
      <t>2023</t>
    </r>
  </si>
  <si>
    <r>
      <t xml:space="preserve">Volumi </t>
    </r>
    <r>
      <rPr>
        <sz val="10"/>
        <rFont val="Arial Narrow"/>
        <family val="2"/>
      </rPr>
      <t>(m</t>
    </r>
    <r>
      <rPr>
        <vertAlign val="superscript"/>
        <sz val="10"/>
        <rFont val="Arial Narrow"/>
        <family val="2"/>
      </rPr>
      <t>3</t>
    </r>
    <r>
      <rPr>
        <sz val="10"/>
        <rFont val="Arial Narrow"/>
        <family val="2"/>
      </rPr>
      <t xml:space="preserve">/anno)
</t>
    </r>
    <r>
      <rPr>
        <i/>
        <sz val="10"/>
        <rFont val="Arial Narrow"/>
        <family val="2"/>
      </rPr>
      <t>2023</t>
    </r>
  </si>
  <si>
    <r>
      <t>QF</t>
    </r>
    <r>
      <rPr>
        <sz val="10"/>
        <rFont val="Arial Narrow"/>
        <family val="2"/>
      </rPr>
      <t xml:space="preserve"> (Euro/utenti/anno)
</t>
    </r>
    <r>
      <rPr>
        <i/>
        <sz val="10"/>
        <rFont val="Arial Narrow"/>
        <family val="2"/>
      </rPr>
      <t>2023</t>
    </r>
  </si>
  <si>
    <t>Dati MTI-4</t>
  </si>
  <si>
    <t>Recupero volumi 2021</t>
  </si>
  <si>
    <r>
      <t>Opex</t>
    </r>
    <r>
      <rPr>
        <vertAlign val="subscript"/>
        <sz val="10"/>
        <color indexed="8"/>
        <rFont val="Arial Narrow"/>
        <family val="2"/>
      </rPr>
      <t>end</t>
    </r>
  </si>
  <si>
    <t>2022</t>
  </si>
  <si>
    <t>2023</t>
  </si>
  <si>
    <r>
      <t>Opex</t>
    </r>
    <r>
      <rPr>
        <vertAlign val="subscript"/>
        <sz val="10"/>
        <rFont val="Arial Narrow"/>
        <family val="2"/>
      </rPr>
      <t>end</t>
    </r>
    <r>
      <rPr>
        <sz val="10"/>
        <color indexed="8"/>
        <rFont val="Arial Narrow"/>
        <family val="2"/>
      </rPr>
      <t xml:space="preserve"> 2020</t>
    </r>
  </si>
  <si>
    <t>Coeff 2020</t>
  </si>
  <si>
    <r>
      <t xml:space="preserve">Compilare - </t>
    </r>
    <r>
      <rPr>
        <u/>
        <sz val="12"/>
        <color rgb="FFC00000"/>
        <rFont val="Arial Narrow"/>
        <family val="2"/>
      </rPr>
      <t>secondo l'ordine proposto</t>
    </r>
    <r>
      <rPr>
        <sz val="12"/>
        <color rgb="FFC00000"/>
        <rFont val="Arial Narrow"/>
        <family val="2"/>
      </rPr>
      <t xml:space="preserve"> - </t>
    </r>
    <r>
      <rPr>
        <b/>
        <sz val="12"/>
        <color rgb="FFC00000"/>
        <rFont val="Arial Narrow"/>
        <family val="2"/>
      </rPr>
      <t>tutti</t>
    </r>
    <r>
      <rPr>
        <sz val="12"/>
        <color rgb="FFC00000"/>
        <rFont val="Arial Narrow"/>
        <family val="2"/>
      </rPr>
      <t xml:space="preserve"> i campi.
</t>
    </r>
    <r>
      <rPr>
        <b/>
        <sz val="12"/>
        <color rgb="FFC00000"/>
        <rFont val="Arial Narrow"/>
        <family val="2"/>
      </rPr>
      <t>Utilizzare lo zero, quando è richiesto di "compilare tutti i campi", in luogo della cella vuota</t>
    </r>
  </si>
  <si>
    <r>
      <t>Opex</t>
    </r>
    <r>
      <rPr>
        <i/>
        <vertAlign val="superscript"/>
        <sz val="10"/>
        <rFont val="Arial Narrow"/>
        <family val="2"/>
      </rPr>
      <t>a</t>
    </r>
    <r>
      <rPr>
        <i/>
        <vertAlign val="subscript"/>
        <sz val="10"/>
        <rFont val="Arial Narrow"/>
        <family val="2"/>
      </rPr>
      <t>QT</t>
    </r>
    <r>
      <rPr>
        <i/>
        <sz val="10"/>
        <rFont val="Arial Narrow"/>
        <family val="2"/>
      </rPr>
      <t xml:space="preserve"> lett. a)</t>
    </r>
  </si>
  <si>
    <r>
      <t>Opex</t>
    </r>
    <r>
      <rPr>
        <i/>
        <vertAlign val="superscript"/>
        <sz val="10"/>
        <rFont val="Arial Narrow"/>
        <family val="2"/>
      </rPr>
      <t>a</t>
    </r>
    <r>
      <rPr>
        <i/>
        <vertAlign val="subscript"/>
        <sz val="10"/>
        <rFont val="Arial Narrow"/>
        <family val="2"/>
      </rPr>
      <t>QT</t>
    </r>
    <r>
      <rPr>
        <i/>
        <sz val="10"/>
        <rFont val="Arial Narrow"/>
        <family val="2"/>
      </rPr>
      <t xml:space="preserve"> lett. b)</t>
    </r>
  </si>
  <si>
    <t xml:space="preserve">Energia elettrica, quantità acquistata e consumata </t>
  </si>
  <si>
    <t>Energia elettrica, quantità autoprodotta e consumata</t>
  </si>
  <si>
    <t>I costi di produzione dell’energia elettrica autoprodotta e consumata, ivi compresi quelli di capitale, non sono coperti da altre componenti tariffarie</t>
  </si>
  <si>
    <t>Totale consumo di energia elettrica</t>
  </si>
  <si>
    <t>KWh, quantità acquistata e consumata</t>
  </si>
  <si>
    <t>KWh, quantità autoprodotta e consumata</t>
  </si>
  <si>
    <t>Anno</t>
  </si>
  <si>
    <t>Le tariffe applicate per la fatturazione includono l'applicazione del Teta?</t>
  </si>
  <si>
    <t>Teta medio applicato dal grossista nella fatturazione dell'anno indicato</t>
  </si>
  <si>
    <t>Teta approvato dal soggetto competente</t>
  </si>
  <si>
    <t>Teta approvato dall'Autorità</t>
  </si>
  <si>
    <r>
      <t>check per RC</t>
    </r>
    <r>
      <rPr>
        <vertAlign val="subscript"/>
        <sz val="10"/>
        <color theme="1"/>
        <rFont val="Arial Narrow"/>
        <family val="2"/>
      </rPr>
      <t>ws</t>
    </r>
  </si>
  <si>
    <r>
      <rPr>
        <sz val="10"/>
        <color theme="1"/>
        <rFont val="Arial Narrow"/>
        <family val="2"/>
      </rPr>
      <t>Co</t>
    </r>
    <r>
      <rPr>
        <vertAlign val="subscript"/>
        <sz val="10"/>
        <color theme="1"/>
        <rFont val="Arial Narrow"/>
        <family val="2"/>
      </rPr>
      <t>ws</t>
    </r>
    <r>
      <rPr>
        <vertAlign val="superscript"/>
        <sz val="10"/>
        <color theme="1"/>
        <rFont val="Arial Narrow"/>
        <family val="2"/>
      </rPr>
      <t>effettivi, a-2</t>
    </r>
  </si>
  <si>
    <t>da t-11 a t</t>
  </si>
  <si>
    <t>da t-12 a t</t>
  </si>
  <si>
    <t>da t-13 a t</t>
  </si>
  <si>
    <t>da t-14 a t</t>
  </si>
  <si>
    <t>da t-15 a t</t>
  </si>
  <si>
    <t>da t-16 a t</t>
  </si>
  <si>
    <r>
      <t>Benchmark</t>
    </r>
    <r>
      <rPr>
        <vertAlign val="subscript"/>
        <sz val="10"/>
        <color rgb="FF000000"/>
        <rFont val="Arial Narrow"/>
        <family val="2"/>
      </rPr>
      <t>EE</t>
    </r>
    <r>
      <rPr>
        <sz val="10"/>
        <color indexed="8"/>
        <rFont val="Arial Narrow"/>
        <family val="2"/>
      </rPr>
      <t xml:space="preserve"> per calcolo CO</t>
    </r>
    <r>
      <rPr>
        <b/>
        <i/>
        <vertAlign val="subscript"/>
        <sz val="10"/>
        <rFont val="Arial Narrow"/>
        <family val="2"/>
      </rPr>
      <t>EE</t>
    </r>
  </si>
  <si>
    <r>
      <t xml:space="preserve">kWh </t>
    </r>
    <r>
      <rPr>
        <vertAlign val="superscript"/>
        <sz val="10"/>
        <color theme="1"/>
        <rFont val="Arial Narrow"/>
        <family val="2"/>
      </rPr>
      <t>a-2</t>
    </r>
    <r>
      <rPr>
        <sz val="10"/>
        <rFont val="Arial Narrow"/>
        <family val="2"/>
      </rPr>
      <t xml:space="preserve"> (acquistati e consumati)</t>
    </r>
  </si>
  <si>
    <r>
      <t>kWh</t>
    </r>
    <r>
      <rPr>
        <vertAlign val="subscript"/>
        <sz val="10"/>
        <rFont val="Arial Narrow"/>
        <family val="2"/>
      </rPr>
      <t>aut</t>
    </r>
    <r>
      <rPr>
        <sz val="10"/>
        <rFont val="Arial Narrow"/>
        <family val="2"/>
      </rPr>
      <t xml:space="preserve"> </t>
    </r>
    <r>
      <rPr>
        <vertAlign val="superscript"/>
        <sz val="10"/>
        <color theme="1"/>
        <rFont val="Arial Narrow"/>
        <family val="2"/>
      </rPr>
      <t>a-2</t>
    </r>
    <r>
      <rPr>
        <sz val="10"/>
        <rFont val="Arial Narrow"/>
        <family val="2"/>
      </rPr>
      <t xml:space="preserve"> (autoprodotti e consumati)</t>
    </r>
  </si>
  <si>
    <t>Recupero energia elettrica 2021</t>
  </si>
  <si>
    <t>Penalità RQSII - Delibera 476/2023/R/IDR</t>
  </si>
  <si>
    <t>Penalità RQTI - Delibera 477/2023/R/IDR</t>
  </si>
  <si>
    <t>Recupero straordinario inflazione</t>
  </si>
  <si>
    <t>Integrazioni componenti a conguaglio: recupero straordinario inflazione</t>
  </si>
  <si>
    <t>RAB MTI-3</t>
  </si>
  <si>
    <r>
      <t>CO</t>
    </r>
    <r>
      <rPr>
        <vertAlign val="subscript"/>
        <sz val="10"/>
        <rFont val="Arial Narrow"/>
        <family val="2"/>
      </rPr>
      <t>ws</t>
    </r>
    <r>
      <rPr>
        <sz val="10"/>
        <color indexed="8"/>
        <rFont val="Arial Narrow"/>
        <family val="2"/>
      </rPr>
      <t>, di cui OP</t>
    </r>
    <r>
      <rPr>
        <vertAlign val="superscript"/>
        <sz val="10"/>
        <color rgb="FF000000"/>
        <rFont val="Arial Narrow"/>
        <family val="2"/>
      </rPr>
      <t>exp</t>
    </r>
    <r>
      <rPr>
        <vertAlign val="subscript"/>
        <sz val="10"/>
        <color rgb="FF000000"/>
        <rFont val="Arial Narrow"/>
        <family val="2"/>
      </rPr>
      <t>ws</t>
    </r>
  </si>
  <si>
    <t xml:space="preserve">al netto della quota ERC eventualmente imputata </t>
  </si>
  <si>
    <t>AF MTI-4</t>
  </si>
  <si>
    <r>
      <t>VRG</t>
    </r>
    <r>
      <rPr>
        <vertAlign val="superscript"/>
        <sz val="10"/>
        <rFont val="Arial Narrow"/>
        <family val="2"/>
      </rPr>
      <t>2022</t>
    </r>
  </si>
  <si>
    <r>
      <t>RAB</t>
    </r>
    <r>
      <rPr>
        <vertAlign val="subscript"/>
        <sz val="10"/>
        <rFont val="Arial Narrow"/>
        <family val="2"/>
      </rPr>
      <t>MTI-3</t>
    </r>
  </si>
  <si>
    <r>
      <t>(∑2024-2029 Ip</t>
    </r>
    <r>
      <rPr>
        <vertAlign val="subscript"/>
        <sz val="10"/>
        <color theme="1"/>
        <rFont val="Arial Narrow"/>
        <family val="2"/>
      </rPr>
      <t>a</t>
    </r>
    <r>
      <rPr>
        <vertAlign val="superscript"/>
        <sz val="10"/>
        <color theme="1"/>
        <rFont val="Arial Narrow"/>
        <family val="2"/>
      </rPr>
      <t>exp</t>
    </r>
    <r>
      <rPr>
        <sz val="10"/>
        <color theme="1"/>
        <rFont val="Arial Narrow"/>
        <family val="2"/>
      </rPr>
      <t xml:space="preserve"> + CFP</t>
    </r>
    <r>
      <rPr>
        <vertAlign val="subscript"/>
        <sz val="10"/>
        <color theme="1"/>
        <rFont val="Arial Narrow"/>
        <family val="2"/>
      </rPr>
      <t>a</t>
    </r>
    <r>
      <rPr>
        <vertAlign val="superscript"/>
        <sz val="10"/>
        <color theme="1"/>
        <rFont val="Arial Narrow"/>
        <family val="2"/>
      </rPr>
      <t>exp</t>
    </r>
    <r>
      <rPr>
        <sz val="10"/>
        <color theme="1"/>
        <rFont val="Arial Narrow"/>
        <family val="2"/>
      </rPr>
      <t xml:space="preserve"> ) </t>
    </r>
  </si>
  <si>
    <r>
      <t>(∑2024-2029 Ip</t>
    </r>
    <r>
      <rPr>
        <b/>
        <vertAlign val="subscript"/>
        <sz val="10"/>
        <color theme="1"/>
        <rFont val="Arial Narrow"/>
        <family val="2"/>
      </rPr>
      <t>a</t>
    </r>
    <r>
      <rPr>
        <b/>
        <vertAlign val="superscript"/>
        <sz val="10"/>
        <color theme="1"/>
        <rFont val="Arial Narrow"/>
        <family val="2"/>
      </rPr>
      <t>exp</t>
    </r>
    <r>
      <rPr>
        <b/>
        <sz val="10"/>
        <color theme="1"/>
        <rFont val="Arial Narrow"/>
        <family val="2"/>
      </rPr>
      <t xml:space="preserve"> + CFP</t>
    </r>
    <r>
      <rPr>
        <b/>
        <vertAlign val="subscript"/>
        <sz val="10"/>
        <color theme="1"/>
        <rFont val="Arial Narrow"/>
        <family val="2"/>
      </rPr>
      <t>a</t>
    </r>
    <r>
      <rPr>
        <b/>
        <vertAlign val="superscript"/>
        <sz val="10"/>
        <color theme="1"/>
        <rFont val="Arial Narrow"/>
        <family val="2"/>
      </rPr>
      <t>exp</t>
    </r>
    <r>
      <rPr>
        <b/>
        <sz val="10"/>
        <color theme="1"/>
        <rFont val="Arial Narrow"/>
        <family val="2"/>
      </rPr>
      <t xml:space="preserve"> ) </t>
    </r>
    <r>
      <rPr>
        <b/>
        <sz val="11"/>
        <color theme="1"/>
        <rFont val="Arial Narrow"/>
        <family val="2"/>
      </rPr>
      <t>/ RAB</t>
    </r>
    <r>
      <rPr>
        <b/>
        <vertAlign val="subscript"/>
        <sz val="11"/>
        <color theme="1"/>
        <rFont val="Arial Narrow"/>
        <family val="2"/>
      </rPr>
      <t>MTI-3</t>
    </r>
  </si>
  <si>
    <r>
      <t>VRG</t>
    </r>
    <r>
      <rPr>
        <b/>
        <vertAlign val="superscript"/>
        <sz val="10"/>
        <color theme="1"/>
        <rFont val="Arial Narrow"/>
        <family val="2"/>
      </rPr>
      <t>2022</t>
    </r>
    <r>
      <rPr>
        <b/>
        <sz val="10"/>
        <color theme="1"/>
        <rFont val="Arial Narrow"/>
        <family val="2"/>
      </rPr>
      <t xml:space="preserve"> / pop + 0,25pop</t>
    </r>
    <r>
      <rPr>
        <b/>
        <vertAlign val="subscript"/>
        <sz val="10"/>
        <color theme="1"/>
        <rFont val="Arial Narrow"/>
        <family val="2"/>
      </rPr>
      <t>flut</t>
    </r>
  </si>
  <si>
    <t>Identificazione dello schema della matrice MTI-4</t>
  </si>
  <si>
    <r>
      <rPr>
        <sz val="10"/>
        <color theme="1"/>
        <rFont val="Symbol"/>
        <family val="1"/>
        <charset val="2"/>
      </rPr>
      <t>S</t>
    </r>
    <r>
      <rPr>
        <sz val="10"/>
        <color theme="1"/>
        <rFont val="Arial Narrow"/>
        <family val="2"/>
      </rPr>
      <t>Tar</t>
    </r>
    <r>
      <rPr>
        <vertAlign val="superscript"/>
        <sz val="10"/>
        <color theme="1"/>
        <rFont val="Arial Narrow"/>
        <family val="2"/>
      </rPr>
      <t>2023</t>
    </r>
    <r>
      <rPr>
        <sz val="10"/>
        <color theme="1"/>
        <rFont val="Arial Narrow"/>
        <family val="2"/>
      </rPr>
      <t>*Vscal</t>
    </r>
    <r>
      <rPr>
        <vertAlign val="superscript"/>
        <sz val="10"/>
        <color theme="1"/>
        <rFont val="Arial Narrow"/>
        <family val="2"/>
      </rPr>
      <t xml:space="preserve">a-2 </t>
    </r>
    <r>
      <rPr>
        <sz val="10"/>
        <color theme="1"/>
        <rFont val="Arial Narrow"/>
        <family val="2"/>
      </rPr>
      <t>(include vendita all'ingrosso)</t>
    </r>
  </si>
  <si>
    <r>
      <rPr>
        <b/>
        <sz val="8.5"/>
        <color theme="1"/>
        <rFont val="Symbol"/>
        <family val="1"/>
        <charset val="2"/>
      </rPr>
      <t>J</t>
    </r>
    <r>
      <rPr>
        <b/>
        <vertAlign val="superscript"/>
        <sz val="10"/>
        <color theme="1"/>
        <rFont val="Arial Narrow"/>
        <family val="2"/>
      </rPr>
      <t>a</t>
    </r>
  </si>
  <si>
    <t>verificare, va applicata alla stratificazione</t>
  </si>
  <si>
    <t>CFP TOTALE
(come da approvazione tariffaria)</t>
  </si>
  <si>
    <t>Quota capitale</t>
  </si>
  <si>
    <t>Tasso medio d'interesse (%)</t>
  </si>
  <si>
    <t>Quota interessi (€)</t>
  </si>
  <si>
    <t>Debito residuo (€)</t>
  </si>
  <si>
    <t xml:space="preserve">Titolo 1 MTI-4 - Art. 2 Titolo 2 MTI-4 - Art. 6 </t>
  </si>
  <si>
    <t>Titolo 3 MTI-4 - art. 14</t>
  </si>
  <si>
    <t>Titolo 3 MTI-4</t>
  </si>
  <si>
    <t>Titolo 2 MTI-4 - Art. 4
Titolo 2 MTI-4 - Art. 5</t>
  </si>
  <si>
    <t>Moltiplicatore tariffario
Vincolo riconosciuto ai ricavi del gestore</t>
  </si>
  <si>
    <r>
      <t xml:space="preserve">Fondo vincolato al finanziamento della spesa per investimenti </t>
    </r>
    <r>
      <rPr>
        <i/>
        <sz val="10"/>
        <rFont val="Arial Narrow"/>
        <family val="2"/>
      </rPr>
      <t>comma 10.1 lett. f) MTI-4</t>
    </r>
  </si>
  <si>
    <t>Fondo vincolato al finanziamento della spesa per investimenti comma 10.1 lett. f) MTI-4</t>
  </si>
  <si>
    <t>Ammortamento finanziario ammissibile
 ai sensi del comma 11.8 lettera a) MTI-4</t>
  </si>
  <si>
    <r>
      <t>FoNI</t>
    </r>
    <r>
      <rPr>
        <vertAlign val="subscript"/>
        <sz val="10"/>
        <rFont val="Arial Narrow"/>
        <family val="2"/>
      </rPr>
      <t>spesa</t>
    </r>
    <r>
      <rPr>
        <sz val="10"/>
        <rFont val="Arial Narrow"/>
        <family val="2"/>
      </rPr>
      <t xml:space="preserve"> ai sensi del comma 36.3 MTI-4</t>
    </r>
  </si>
  <si>
    <t>IDARERA della gestione aggregata</t>
  </si>
  <si>
    <r>
      <t xml:space="preserve">Eventuale Codice Istat
</t>
    </r>
    <r>
      <rPr>
        <b/>
        <u/>
        <sz val="10"/>
        <color indexed="8"/>
        <rFont val="Arial Narrow"/>
        <family val="2"/>
      </rPr>
      <t>(per gestioni comunali)</t>
    </r>
  </si>
  <si>
    <r>
      <rPr>
        <sz val="10"/>
        <color theme="1"/>
        <rFont val="Arial Narrow"/>
        <family val="2"/>
      </rPr>
      <t>di cui</t>
    </r>
    <r>
      <rPr>
        <strike/>
        <sz val="10"/>
        <color theme="1"/>
        <rFont val="Arial Narrow"/>
        <family val="2"/>
      </rPr>
      <t xml:space="preserve"> </t>
    </r>
    <r>
      <rPr>
        <sz val="10"/>
        <color theme="1"/>
        <rFont val="Arial Narrow"/>
        <family val="2"/>
      </rPr>
      <t xml:space="preserve">per </t>
    </r>
    <r>
      <rPr>
        <strike/>
        <sz val="10"/>
        <color theme="1"/>
        <rFont val="Arial Narrow"/>
        <family val="2"/>
      </rPr>
      <t>"</t>
    </r>
    <r>
      <rPr>
        <sz val="10"/>
        <color theme="1"/>
        <rFont val="Arial Narrow"/>
        <family val="2"/>
      </rPr>
      <t xml:space="preserve">Integrazione di gestioni significative"
</t>
    </r>
    <r>
      <rPr>
        <sz val="10"/>
        <rFont val="Arial Narrow"/>
        <family val="2"/>
      </rPr>
      <t xml:space="preserve">comma 19.3 sub a) </t>
    </r>
  </si>
  <si>
    <r>
      <t xml:space="preserve">di cui per "Integrazione di gestioni d'ambito con corredo informativo completo in ATO diversi" </t>
    </r>
    <r>
      <rPr>
        <sz val="10"/>
        <rFont val="Arial Narrow"/>
        <family val="2"/>
      </rPr>
      <t xml:space="preserve">comma 19.3 sub b) </t>
    </r>
  </si>
  <si>
    <r>
      <t xml:space="preserve">di cui per "Presenza di nuovi processi tecnici gestiti" </t>
    </r>
    <r>
      <rPr>
        <sz val="10"/>
        <rFont val="Arial Narrow"/>
        <family val="2"/>
      </rPr>
      <t>comma 19.3 sub c)</t>
    </r>
  </si>
  <si>
    <r>
      <t xml:space="preserve">Ammortamento finanziario ammissibile
 ai sensi del </t>
    </r>
    <r>
      <rPr>
        <sz val="10"/>
        <rFont val="Arial Narrow"/>
        <family val="2"/>
      </rPr>
      <t>comma 11.8 lettera a)</t>
    </r>
  </si>
  <si>
    <r>
      <t>Opex</t>
    </r>
    <r>
      <rPr>
        <vertAlign val="subscript"/>
        <sz val="10"/>
        <color indexed="8"/>
        <rFont val="Arial Narrow"/>
        <family val="2"/>
      </rPr>
      <t>QT</t>
    </r>
    <r>
      <rPr>
        <sz val="10"/>
        <color indexed="8"/>
        <rFont val="Arial Narrow"/>
        <family val="2"/>
      </rPr>
      <t xml:space="preserve"> lett. a)</t>
    </r>
  </si>
  <si>
    <r>
      <t>Opex</t>
    </r>
    <r>
      <rPr>
        <vertAlign val="subscript"/>
        <sz val="10"/>
        <color indexed="8"/>
        <rFont val="Arial Narrow"/>
        <family val="2"/>
      </rPr>
      <t>QT</t>
    </r>
    <r>
      <rPr>
        <sz val="10"/>
        <color indexed="8"/>
        <rFont val="Arial Narrow"/>
        <family val="2"/>
      </rPr>
      <t xml:space="preserve"> lett. b)</t>
    </r>
  </si>
  <si>
    <r>
      <t>Opex</t>
    </r>
    <r>
      <rPr>
        <vertAlign val="subscript"/>
        <sz val="10"/>
        <color indexed="8"/>
        <rFont val="Arial Narrow"/>
        <family val="2"/>
      </rPr>
      <t>QT</t>
    </r>
    <r>
      <rPr>
        <sz val="10"/>
        <color indexed="8"/>
        <rFont val="Arial Narrow"/>
        <family val="2"/>
      </rPr>
      <t xml:space="preserve"> lett. c)</t>
    </r>
  </si>
  <si>
    <r>
      <t>Op</t>
    </r>
    <r>
      <rPr>
        <vertAlign val="subscript"/>
        <sz val="10"/>
        <color indexed="8"/>
        <rFont val="Arial Narrow"/>
        <family val="2"/>
      </rPr>
      <t>social</t>
    </r>
    <r>
      <rPr>
        <sz val="10"/>
        <color indexed="8"/>
        <rFont val="Arial Narrow"/>
        <family val="2"/>
      </rPr>
      <t xml:space="preserve"> lett.a)</t>
    </r>
  </si>
  <si>
    <r>
      <t>Op</t>
    </r>
    <r>
      <rPr>
        <vertAlign val="subscript"/>
        <sz val="10"/>
        <color indexed="8"/>
        <rFont val="Arial Narrow"/>
        <family val="2"/>
      </rPr>
      <t>social</t>
    </r>
    <r>
      <rPr>
        <sz val="10"/>
        <color indexed="8"/>
        <rFont val="Arial Narrow"/>
        <family val="2"/>
      </rPr>
      <t xml:space="preserve"> lett.b)</t>
    </r>
  </si>
  <si>
    <r>
      <t>Op</t>
    </r>
    <r>
      <rPr>
        <vertAlign val="subscript"/>
        <sz val="10"/>
        <color theme="1"/>
        <rFont val="Arial Narrow"/>
        <family val="2"/>
      </rPr>
      <t>ws</t>
    </r>
    <r>
      <rPr>
        <vertAlign val="superscript"/>
        <sz val="10"/>
        <color theme="1"/>
        <rFont val="Arial Narrow"/>
        <family val="2"/>
      </rPr>
      <t>exp,a</t>
    </r>
    <r>
      <rPr>
        <sz val="10"/>
        <rFont val="Arial Narrow"/>
        <family val="2"/>
      </rPr>
      <t xml:space="preserve"> - comma 22.2 MTI-4</t>
    </r>
  </si>
  <si>
    <r>
      <t>CO</t>
    </r>
    <r>
      <rPr>
        <vertAlign val="subscript"/>
        <sz val="10"/>
        <rFont val="Arial Narrow"/>
        <family val="2"/>
      </rPr>
      <t>Δ</t>
    </r>
    <r>
      <rPr>
        <i/>
        <vertAlign val="subscript"/>
        <sz val="10"/>
        <rFont val="Arial Narrow"/>
        <family val="2"/>
      </rPr>
      <t xml:space="preserve">fanghi </t>
    </r>
    <r>
      <rPr>
        <sz val="10"/>
        <rFont val="Arial Narrow"/>
        <family val="2"/>
      </rPr>
      <t>(rispetto condizionalità comma 23.2 MTI-4)</t>
    </r>
  </si>
  <si>
    <r>
      <t>VRG</t>
    </r>
    <r>
      <rPr>
        <vertAlign val="superscript"/>
        <sz val="10"/>
        <color theme="1"/>
        <rFont val="Arial Narrow"/>
        <family val="2"/>
      </rPr>
      <t>2022</t>
    </r>
    <r>
      <rPr>
        <sz val="10"/>
        <color theme="1"/>
        <rFont val="Arial Narrow"/>
        <family val="2"/>
      </rPr>
      <t xml:space="preserve"> (per confronto con VRG</t>
    </r>
    <r>
      <rPr>
        <vertAlign val="subscript"/>
        <sz val="10"/>
        <color theme="1"/>
        <rFont val="Arial Narrow"/>
        <family val="2"/>
      </rPr>
      <t>PM</t>
    </r>
    <r>
      <rPr>
        <sz val="10"/>
        <color theme="1"/>
        <rFont val="Arial Narrow"/>
        <family val="2"/>
      </rPr>
      <t>)</t>
    </r>
  </si>
  <si>
    <t>ok</t>
  </si>
  <si>
    <r>
      <rPr>
        <b/>
        <i/>
        <sz val="10"/>
        <color theme="1"/>
        <rFont val="Arial Narrow"/>
        <family val="2"/>
      </rPr>
      <t>RC</t>
    </r>
    <r>
      <rPr>
        <b/>
        <i/>
        <vertAlign val="subscript"/>
        <sz val="10"/>
        <color theme="1"/>
        <rFont val="Arial Narrow"/>
        <family val="2"/>
      </rPr>
      <t>ARC</t>
    </r>
    <r>
      <rPr>
        <b/>
        <sz val="10"/>
        <color theme="1"/>
        <rFont val="Arial Narrow"/>
        <family val="2"/>
      </rPr>
      <t xml:space="preserve"> </t>
    </r>
    <r>
      <rPr>
        <sz val="10"/>
        <color theme="1"/>
        <rFont val="Arial Narrow"/>
        <family val="2"/>
      </rPr>
      <t>-</t>
    </r>
    <r>
      <rPr>
        <b/>
        <sz val="10"/>
        <color theme="1"/>
        <rFont val="Arial Narrow"/>
        <family val="2"/>
      </rPr>
      <t xml:space="preserve"> </t>
    </r>
    <r>
      <rPr>
        <sz val="10"/>
        <color theme="1"/>
        <rFont val="Arial Narrow"/>
        <family val="2"/>
      </rPr>
      <t>art. 29 lett a) MTI-4</t>
    </r>
  </si>
  <si>
    <r>
      <rPr>
        <b/>
        <i/>
        <sz val="10"/>
        <color theme="1"/>
        <rFont val="Arial Narrow"/>
        <family val="2"/>
      </rPr>
      <t>RC</t>
    </r>
    <r>
      <rPr>
        <b/>
        <i/>
        <vertAlign val="subscript"/>
        <sz val="10"/>
        <color theme="1"/>
        <rFont val="Arial Narrow"/>
        <family val="2"/>
      </rPr>
      <t>ARC</t>
    </r>
    <r>
      <rPr>
        <b/>
        <sz val="10"/>
        <color theme="1"/>
        <rFont val="Arial Narrow"/>
        <family val="2"/>
      </rPr>
      <t xml:space="preserve"> </t>
    </r>
    <r>
      <rPr>
        <sz val="10"/>
        <color theme="1"/>
        <rFont val="Arial Narrow"/>
        <family val="2"/>
      </rPr>
      <t>-</t>
    </r>
    <r>
      <rPr>
        <b/>
        <sz val="10"/>
        <color theme="1"/>
        <rFont val="Arial Narrow"/>
        <family val="2"/>
      </rPr>
      <t xml:space="preserve"> </t>
    </r>
    <r>
      <rPr>
        <sz val="10"/>
        <color theme="1"/>
        <rFont val="Arial Narrow"/>
        <family val="2"/>
      </rPr>
      <t>art. 29 lett b) MTI-4</t>
    </r>
  </si>
  <si>
    <r>
      <rPr>
        <b/>
        <i/>
        <sz val="10"/>
        <color theme="1"/>
        <rFont val="Arial Narrow"/>
        <family val="2"/>
      </rPr>
      <t>RC</t>
    </r>
    <r>
      <rPr>
        <b/>
        <i/>
        <vertAlign val="subscript"/>
        <sz val="10"/>
        <color theme="1"/>
        <rFont val="Arial Narrow"/>
        <family val="2"/>
      </rPr>
      <t>ARC</t>
    </r>
    <r>
      <rPr>
        <b/>
        <sz val="10"/>
        <color theme="1"/>
        <rFont val="Arial Narrow"/>
        <family val="2"/>
      </rPr>
      <t xml:space="preserve"> </t>
    </r>
    <r>
      <rPr>
        <sz val="10"/>
        <color theme="1"/>
        <rFont val="Arial Narrow"/>
        <family val="2"/>
      </rPr>
      <t>-</t>
    </r>
    <r>
      <rPr>
        <b/>
        <sz val="10"/>
        <color theme="1"/>
        <rFont val="Arial Narrow"/>
        <family val="2"/>
      </rPr>
      <t xml:space="preserve"> </t>
    </r>
    <r>
      <rPr>
        <sz val="10"/>
        <color theme="1"/>
        <rFont val="Arial Narrow"/>
        <family val="2"/>
      </rPr>
      <t>art. 29 lett c) MTI-4</t>
    </r>
  </si>
  <si>
    <r>
      <rPr>
        <b/>
        <i/>
        <sz val="10"/>
        <color theme="1"/>
        <rFont val="Arial Narrow"/>
        <family val="2"/>
      </rPr>
      <t>RC</t>
    </r>
    <r>
      <rPr>
        <b/>
        <i/>
        <vertAlign val="subscript"/>
        <sz val="10"/>
        <color theme="1"/>
        <rFont val="Arial Narrow"/>
        <family val="2"/>
      </rPr>
      <t>ARC</t>
    </r>
    <r>
      <rPr>
        <b/>
        <sz val="10"/>
        <color theme="1"/>
        <rFont val="Arial Narrow"/>
        <family val="2"/>
      </rPr>
      <t xml:space="preserve"> </t>
    </r>
    <r>
      <rPr>
        <sz val="10"/>
        <color theme="1"/>
        <rFont val="Arial Narrow"/>
        <family val="2"/>
      </rPr>
      <t>-</t>
    </r>
    <r>
      <rPr>
        <b/>
        <sz val="10"/>
        <color theme="1"/>
        <rFont val="Arial Narrow"/>
        <family val="2"/>
      </rPr>
      <t xml:space="preserve"> </t>
    </r>
    <r>
      <rPr>
        <sz val="10"/>
        <color theme="1"/>
        <rFont val="Arial Narrow"/>
        <family val="2"/>
      </rPr>
      <t>art. 29 MTI-4</t>
    </r>
  </si>
  <si>
    <t>Del. 639/2023/R/IDR</t>
  </si>
  <si>
    <r>
      <t>VRG</t>
    </r>
    <r>
      <rPr>
        <vertAlign val="superscript"/>
        <sz val="10"/>
        <color theme="1"/>
        <rFont val="Arial Narrow"/>
        <family val="2"/>
      </rPr>
      <t>2022</t>
    </r>
  </si>
  <si>
    <r>
      <t>Ricavi</t>
    </r>
    <r>
      <rPr>
        <vertAlign val="subscript"/>
        <sz val="10"/>
        <rFont val="Arial Narrow"/>
        <family val="2"/>
      </rPr>
      <t>,A1</t>
    </r>
  </si>
  <si>
    <r>
      <t>CO</t>
    </r>
    <r>
      <rPr>
        <vertAlign val="subscript"/>
        <sz val="10"/>
        <rFont val="Arial Narrow"/>
        <family val="2"/>
      </rPr>
      <t>,B6+B7</t>
    </r>
  </si>
  <si>
    <t>AF MTI-3 agg</t>
  </si>
  <si>
    <r>
      <t xml:space="preserve">informazione sui </t>
    </r>
    <r>
      <rPr>
        <b/>
        <sz val="10"/>
        <rFont val="Symbol"/>
        <family val="1"/>
        <charset val="2"/>
      </rPr>
      <t>J</t>
    </r>
    <r>
      <rPr>
        <b/>
        <sz val="10"/>
        <rFont val="Arial Narrow"/>
        <family val="2"/>
      </rPr>
      <t xml:space="preserve"> </t>
    </r>
  </si>
  <si>
    <r>
      <t>CO</t>
    </r>
    <r>
      <rPr>
        <b/>
        <vertAlign val="superscript"/>
        <sz val="10"/>
        <rFont val="Arial Narrow"/>
        <family val="2"/>
      </rPr>
      <t>effettivo</t>
    </r>
    <r>
      <rPr>
        <b/>
        <sz val="10"/>
        <rFont val="Arial Narrow"/>
        <family val="2"/>
      </rPr>
      <t xml:space="preserve"> ai fini del CO</t>
    </r>
    <r>
      <rPr>
        <b/>
        <vertAlign val="subscript"/>
        <sz val="10"/>
        <rFont val="Arial Narrow"/>
        <family val="2"/>
      </rPr>
      <t>ws</t>
    </r>
    <r>
      <rPr>
        <b/>
        <sz val="10"/>
        <rFont val="Arial Narrow"/>
        <family val="2"/>
      </rPr>
      <t xml:space="preserve"> comma 22.1 MTI-4</t>
    </r>
  </si>
  <si>
    <r>
      <t>Coeffettivo ai fini del RC</t>
    </r>
    <r>
      <rPr>
        <b/>
        <vertAlign val="subscript"/>
        <sz val="10"/>
        <rFont val="Arial Narrow"/>
        <family val="2"/>
      </rPr>
      <t>ws</t>
    </r>
    <r>
      <rPr>
        <b/>
        <sz val="10"/>
        <rFont val="Arial Narrow"/>
        <family val="2"/>
      </rPr>
      <t xml:space="preserve"> comma 28.1 MTI-4</t>
    </r>
  </si>
  <si>
    <r>
      <t xml:space="preserve">Verificare che i soggetti </t>
    </r>
    <r>
      <rPr>
        <b/>
        <i/>
        <sz val="10"/>
        <color rgb="FF000000"/>
        <rFont val="Arial Narrow"/>
        <family val="2"/>
      </rPr>
      <t>j</t>
    </r>
    <r>
      <rPr>
        <b/>
        <sz val="10"/>
        <color indexed="8"/>
        <rFont val="Arial Narrow"/>
        <family val="2"/>
      </rPr>
      <t xml:space="preserve"> ai fini del calcolo degli RC dell'anno </t>
    </r>
    <r>
      <rPr>
        <b/>
        <i/>
        <sz val="10"/>
        <color rgb="FF000000"/>
        <rFont val="Arial Narrow"/>
        <family val="2"/>
      </rPr>
      <t>a</t>
    </r>
    <r>
      <rPr>
        <b/>
        <sz val="10"/>
        <color indexed="8"/>
        <rFont val="Arial Narrow"/>
        <family val="2"/>
      </rPr>
      <t xml:space="preserve"> corrispondano a quelli dei Cows dell'anno </t>
    </r>
    <r>
      <rPr>
        <b/>
        <i/>
        <sz val="10"/>
        <color rgb="FF000000"/>
        <rFont val="Arial Narrow"/>
        <family val="2"/>
      </rPr>
      <t>a-2</t>
    </r>
  </si>
  <si>
    <r>
      <t xml:space="preserve">consolidamento immobilizzazioni 
</t>
    </r>
    <r>
      <rPr>
        <b/>
        <i/>
        <sz val="10"/>
        <color rgb="FFFF0000"/>
        <rFont val="Arial Narrow"/>
        <family val="2"/>
      </rPr>
      <t xml:space="preserve">Include le immobilizzazioni fino ai nuovi investimenti a moneta dell'anno del cespite
</t>
    </r>
    <r>
      <rPr>
        <b/>
        <i/>
        <sz val="10"/>
        <rFont val="Arial Narrow"/>
        <family val="2"/>
      </rPr>
      <t>Il foglio è solo di supporto al calcolo</t>
    </r>
    <r>
      <rPr>
        <b/>
        <i/>
        <sz val="10"/>
        <color theme="1"/>
        <rFont val="Arial Narrow"/>
        <family val="2"/>
      </rPr>
      <t xml:space="preserve"> e non va compilato manualmente</t>
    </r>
  </si>
  <si>
    <t>Art. 11 all. A
Art. 12 All. A
Art. 13 All. A</t>
  </si>
  <si>
    <t>Art. 4 All. A</t>
  </si>
  <si>
    <t>Definizioni - All. A</t>
  </si>
  <si>
    <r>
      <rPr>
        <b/>
        <i/>
        <sz val="10"/>
        <color rgb="FF000000"/>
        <rFont val="Arial Narrow"/>
        <family val="2"/>
      </rPr>
      <t>Ammortamento</t>
    </r>
    <r>
      <rPr>
        <i/>
        <sz val="10"/>
        <color indexed="8"/>
        <rFont val="Arial Narrow"/>
        <family val="2"/>
      </rPr>
      <t xml:space="preserve"> delle immobilizzazioni del gestore del SII
</t>
    </r>
    <r>
      <rPr>
        <b/>
        <i/>
        <sz val="10"/>
        <color rgb="FF000000"/>
        <rFont val="Arial Narrow"/>
        <family val="2"/>
      </rPr>
      <t>Oneri finanziari</t>
    </r>
    <r>
      <rPr>
        <i/>
        <sz val="10"/>
        <color indexed="8"/>
        <rFont val="Arial Narrow"/>
        <family val="2"/>
      </rPr>
      <t xml:space="preserve"> del gestore del SII
</t>
    </r>
    <r>
      <rPr>
        <b/>
        <i/>
        <sz val="10"/>
        <color rgb="FF000000"/>
        <rFont val="Arial Narrow"/>
        <family val="2"/>
      </rPr>
      <t>Oneri fiscali</t>
    </r>
    <r>
      <rPr>
        <i/>
        <sz val="10"/>
        <color indexed="8"/>
        <rFont val="Arial Narrow"/>
        <family val="2"/>
      </rPr>
      <t xml:space="preserve"> del gestore del SII</t>
    </r>
  </si>
  <si>
    <t>Art. 10 All. A</t>
  </si>
  <si>
    <t>Art. 8 All. A</t>
  </si>
  <si>
    <t>Titolo 6 MTI-4</t>
  </si>
  <si>
    <t>comma 16.2 All. A</t>
  </si>
  <si>
    <t>comma 16.3 All. A</t>
  </si>
  <si>
    <t>comma 16.4 All. A</t>
  </si>
  <si>
    <t>Art. 36 All. A</t>
  </si>
  <si>
    <t>Titolo 5 MTI-4</t>
  </si>
  <si>
    <t>Art. 18 MTI-4</t>
  </si>
  <si>
    <t>Art. 19 MTI-4</t>
  </si>
  <si>
    <t>commi 19.1 a 19.7 All. A</t>
  </si>
  <si>
    <t>comma 19.8 All. A</t>
  </si>
  <si>
    <t>comma 19.9 All. A</t>
  </si>
  <si>
    <t>comma 19.10 All. A</t>
  </si>
  <si>
    <t>comma 19.11 All. A</t>
  </si>
  <si>
    <t>Art. 20 All. A</t>
  </si>
  <si>
    <t>Art. 21 All. A</t>
  </si>
  <si>
    <t>Art. 22 All. A</t>
  </si>
  <si>
    <t>Art. 23 All. A</t>
  </si>
  <si>
    <t>comma 20.1 All. A</t>
  </si>
  <si>
    <t>Art. 24 All. A</t>
  </si>
  <si>
    <t>comma 24.2 All. A</t>
  </si>
  <si>
    <t>comma 24.5 All. A</t>
  </si>
  <si>
    <t>Art. 30 All. A</t>
  </si>
  <si>
    <t>comma 24.1 All. A</t>
  </si>
  <si>
    <t>Art. 26 All. A</t>
  </si>
  <si>
    <t>Art. 27 All. A</t>
  </si>
  <si>
    <t>Titolo 7 MTI-4</t>
  </si>
  <si>
    <t>comma 28.1 All. A</t>
  </si>
  <si>
    <t>Altre regole per i conguagli</t>
  </si>
  <si>
    <t>Art. 29 All. A</t>
  </si>
  <si>
    <t>comma 28.3 lett. a) All. A</t>
  </si>
  <si>
    <t>comma 28.3 lett. b) All. A</t>
  </si>
  <si>
    <t>Titolo 8 MTI-4</t>
  </si>
  <si>
    <t xml:space="preserve">In caso di "Schema di convergenza" indicare un unico bacino tariffario scrivendo "Bacino tariffario schema di convergenza"
 nel foglio "Elenco Bacini Tariffari" e compilare conseguentemente i successivi fogli dei ricavi. </t>
  </si>
  <si>
    <t>Eventuale rinuncia --&gt;</t>
  </si>
  <si>
    <t>AF (SI/NO)</t>
  </si>
  <si>
    <t>riga di controllo</t>
  </si>
  <si>
    <t>Verifica VRG</t>
  </si>
  <si>
    <t>VRG calc</t>
  </si>
  <si>
    <r>
      <t>∑tarif</t>
    </r>
    <r>
      <rPr>
        <vertAlign val="superscript"/>
        <sz val="10"/>
        <rFont val="Arial Narrow"/>
        <family val="2"/>
      </rPr>
      <t>2023</t>
    </r>
    <r>
      <rPr>
        <sz val="10"/>
        <rFont val="Arial Narrow"/>
        <family val="2"/>
      </rPr>
      <t xml:space="preserve"> * vscal</t>
    </r>
    <r>
      <rPr>
        <vertAlign val="superscript"/>
        <sz val="10"/>
        <rFont val="Arial Narrow"/>
        <family val="2"/>
      </rPr>
      <t>a-2</t>
    </r>
  </si>
  <si>
    <r>
      <t>di cui: tarif</t>
    </r>
    <r>
      <rPr>
        <vertAlign val="superscript"/>
        <sz val="10"/>
        <rFont val="Arial Narrow"/>
        <family val="2"/>
      </rPr>
      <t>2023</t>
    </r>
    <r>
      <rPr>
        <sz val="10"/>
        <rFont val="Arial Narrow"/>
        <family val="2"/>
      </rPr>
      <t xml:space="preserve"> * vscal</t>
    </r>
    <r>
      <rPr>
        <vertAlign val="superscript"/>
        <sz val="10"/>
        <rFont val="Arial Narrow"/>
        <family val="2"/>
      </rPr>
      <t>a-2</t>
    </r>
  </si>
  <si>
    <r>
      <t>di cui: tarif</t>
    </r>
    <r>
      <rPr>
        <vertAlign val="subscript"/>
        <sz val="10"/>
        <color rgb="FF000000"/>
        <rFont val="Arial Narrow"/>
        <family val="2"/>
      </rPr>
      <t>ind</t>
    </r>
    <r>
      <rPr>
        <vertAlign val="superscript"/>
        <sz val="10"/>
        <color rgb="FF000000"/>
        <rFont val="Arial Narrow"/>
        <family val="2"/>
      </rPr>
      <t>new,2023</t>
    </r>
    <r>
      <rPr>
        <sz val="10"/>
        <color indexed="8"/>
        <rFont val="Arial Narrow"/>
        <family val="2"/>
      </rPr>
      <t>vscal</t>
    </r>
    <r>
      <rPr>
        <vertAlign val="subscript"/>
        <sz val="10"/>
        <color rgb="FF000000"/>
        <rFont val="Arial Narrow"/>
        <family val="2"/>
      </rPr>
      <t>ind</t>
    </r>
    <r>
      <rPr>
        <vertAlign val="superscript"/>
        <sz val="10"/>
        <color rgb="FF000000"/>
        <rFont val="Arial Narrow"/>
        <family val="2"/>
      </rPr>
      <t>new,a-2</t>
    </r>
  </si>
  <si>
    <r>
      <t>FoNI</t>
    </r>
    <r>
      <rPr>
        <vertAlign val="subscript"/>
        <sz val="10"/>
        <color indexed="8"/>
        <rFont val="Arial Narrow"/>
        <family val="2"/>
      </rPr>
      <t>noninv</t>
    </r>
  </si>
  <si>
    <t>Costi Operativi, specifiche finalità</t>
  </si>
  <si>
    <t>Costi Operativi, aggiornabili</t>
  </si>
  <si>
    <t>Costi Operativi, endogeni</t>
  </si>
  <si>
    <t>Costi ambientali e della risorsa (immobilizzazioni)</t>
  </si>
  <si>
    <t>Costi ambientali e della risorsa (costi operativi)</t>
  </si>
  <si>
    <r>
      <t>ERC</t>
    </r>
    <r>
      <rPr>
        <vertAlign val="superscript"/>
        <sz val="10"/>
        <color theme="1"/>
        <rFont val="Arial Narrow"/>
        <family val="2"/>
      </rPr>
      <t xml:space="preserve">a </t>
    </r>
    <r>
      <rPr>
        <vertAlign val="subscript"/>
        <sz val="10"/>
        <color theme="1"/>
        <rFont val="Arial Narrow"/>
        <family val="2"/>
      </rPr>
      <t>tel</t>
    </r>
    <r>
      <rPr>
        <sz val="10"/>
        <rFont val="Arial Narrow"/>
        <family val="2"/>
      </rPr>
      <t xml:space="preserve"> - di cui Opnew lett. c)</t>
    </r>
  </si>
  <si>
    <r>
      <t xml:space="preserve">di cui: per eventi eccezionali, </t>
    </r>
    <r>
      <rPr>
        <b/>
        <i/>
        <sz val="10"/>
        <rFont val="Arial Narrow"/>
        <family val="2"/>
      </rPr>
      <t>energia elettrica</t>
    </r>
  </si>
  <si>
    <r>
      <t xml:space="preserve">di cui: per eventi eccezionali, </t>
    </r>
    <r>
      <rPr>
        <b/>
        <i/>
        <sz val="10"/>
        <rFont val="Arial Narrow"/>
        <family val="2"/>
      </rPr>
      <t>altro</t>
    </r>
  </si>
  <si>
    <t>Variazioni sistemiche, di cui: per eventi eccezionali, energia elettrica</t>
  </si>
  <si>
    <t>Variazioni sistemiche, di cui: per eventi eccezionali, altro</t>
  </si>
  <si>
    <r>
      <t>pop + 0,25 pop</t>
    </r>
    <r>
      <rPr>
        <vertAlign val="subscript"/>
        <sz val="10"/>
        <color indexed="8"/>
        <rFont val="Arial Narrow"/>
        <family val="2"/>
      </rPr>
      <t>flut</t>
    </r>
  </si>
  <si>
    <r>
      <rPr>
        <sz val="10"/>
        <rFont val="Symbol"/>
        <family val="1"/>
        <charset val="2"/>
      </rPr>
      <t>S</t>
    </r>
    <r>
      <rPr>
        <sz val="10"/>
        <rFont val="Arial Narrow"/>
        <family val="2"/>
      </rPr>
      <t xml:space="preserve"> tarif</t>
    </r>
    <r>
      <rPr>
        <vertAlign val="superscript"/>
        <sz val="10"/>
        <rFont val="Arial Narrow"/>
        <family val="2"/>
      </rPr>
      <t>2023</t>
    </r>
    <r>
      <rPr>
        <sz val="10"/>
        <rFont val="Arial Narrow"/>
        <family val="2"/>
      </rPr>
      <t>*vscal</t>
    </r>
    <r>
      <rPr>
        <vertAlign val="superscript"/>
        <sz val="10"/>
        <rFont val="Arial Narrow"/>
        <family val="2"/>
      </rPr>
      <t>a-2</t>
    </r>
  </si>
  <si>
    <t/>
  </si>
  <si>
    <r>
      <rPr>
        <b/>
        <sz val="10"/>
        <color theme="1"/>
        <rFont val="Arial Narrow"/>
        <family val="2"/>
      </rPr>
      <t>RC</t>
    </r>
    <r>
      <rPr>
        <b/>
        <vertAlign val="subscript"/>
        <sz val="10"/>
        <color theme="1"/>
        <rFont val="Arial Narrow"/>
        <family val="2"/>
      </rPr>
      <t>TOT</t>
    </r>
    <r>
      <rPr>
        <sz val="10"/>
        <color theme="1"/>
        <rFont val="Arial Narrow"/>
        <family val="2"/>
      </rPr>
      <t xml:space="preserve"> - verifica rispetto comma 28.2 MTI-4</t>
    </r>
  </si>
  <si>
    <r>
      <t>Sviluppo</t>
    </r>
    <r>
      <rPr>
        <sz val="10"/>
        <rFont val="Arial Narrow"/>
        <family val="2"/>
      </rPr>
      <t xml:space="preserve"> </t>
    </r>
    <r>
      <rPr>
        <b/>
        <sz val="10"/>
        <rFont val="Arial Narrow"/>
        <family val="2"/>
      </rPr>
      <t>richiesto</t>
    </r>
    <r>
      <rPr>
        <sz val="10"/>
        <color theme="1"/>
        <rFont val="Arial Narrow"/>
        <family val="2"/>
      </rPr>
      <t xml:space="preserve"> dei conguagli </t>
    </r>
    <r>
      <rPr>
        <b/>
        <sz val="10"/>
        <color theme="1"/>
        <rFont val="Arial Narrow"/>
        <family val="2"/>
      </rPr>
      <t>MTI-4</t>
    </r>
  </si>
  <si>
    <r>
      <t xml:space="preserve">eventuale </t>
    </r>
    <r>
      <rPr>
        <b/>
        <sz val="10"/>
        <rFont val="Arial Narrow"/>
        <family val="2"/>
      </rPr>
      <t>rinuncia</t>
    </r>
    <r>
      <rPr>
        <sz val="10"/>
        <rFont val="Arial Narrow"/>
        <family val="2"/>
      </rPr>
      <t xml:space="preserve"> </t>
    </r>
    <r>
      <rPr>
        <sz val="10"/>
        <color theme="1"/>
        <rFont val="Arial Narrow"/>
        <family val="2"/>
      </rPr>
      <t xml:space="preserve">a conguagli RC </t>
    </r>
    <r>
      <rPr>
        <b/>
        <sz val="10"/>
        <color theme="1"/>
        <rFont val="Arial Narrow"/>
        <family val="2"/>
      </rPr>
      <t>MTI-4</t>
    </r>
  </si>
  <si>
    <r>
      <t>FoNI</t>
    </r>
    <r>
      <rPr>
        <vertAlign val="subscript"/>
        <sz val="10"/>
        <rFont val="Arial Narrow"/>
        <family val="2"/>
      </rPr>
      <t>spesa</t>
    </r>
    <r>
      <rPr>
        <sz val="10"/>
        <rFont val="Arial Narrow"/>
        <family val="2"/>
      </rPr>
      <t xml:space="preserve">  ai sensi del comma 36.3 del MTI-4</t>
    </r>
  </si>
  <si>
    <t>Schema regolatorio di convergenza</t>
  </si>
  <si>
    <t>Sezione "Sviluppo temporale dei conguagli MTI-3 aggiornamento rinviati al futuro"</t>
  </si>
  <si>
    <t>RC MTI-4 post 2029</t>
  </si>
  <si>
    <t>FoNI da riportare a CFP</t>
  </si>
  <si>
    <t>anno 2026 (pianificato)</t>
  </si>
  <si>
    <t>anno 2027 (pianificato)</t>
  </si>
  <si>
    <t xml:space="preserve">anno 2028 </t>
  </si>
  <si>
    <t>anno 2035</t>
  </si>
  <si>
    <t>post 2035</t>
  </si>
  <si>
    <t>Resilienza idrica</t>
  </si>
  <si>
    <t>M0, M2</t>
  </si>
  <si>
    <t>M0, M3</t>
  </si>
  <si>
    <t>M0, M2, M3</t>
  </si>
  <si>
    <t>M1, M2</t>
  </si>
  <si>
    <t>Prerequisito 1, M0, M1</t>
  </si>
  <si>
    <t>Prerequisito 1, M1, M0</t>
  </si>
  <si>
    <t>M3, M0, M1 (eventuale residuale)</t>
  </si>
  <si>
    <t>Prerequisito 2, M3</t>
  </si>
  <si>
    <t>M1, M3</t>
  </si>
  <si>
    <t>M1, M2, M3</t>
  </si>
  <si>
    <t>Prerequisito 4, M1, M2, M3</t>
  </si>
  <si>
    <t>Prerequisito 4, M5, M6</t>
  </si>
  <si>
    <t>POT2.2 Inadeguatezza del sistema di campionamento e/o insufficienza del numero di parametri controllati rispetto a quanto previsto dalla normativa pro tempore vigente</t>
  </si>
  <si>
    <t>FOG2.5</t>
  </si>
  <si>
    <t>FOG2.5 Gestione inadeguata delle acque meteoriche</t>
  </si>
  <si>
    <t>M0, Altro</t>
  </si>
  <si>
    <t>M5 (indicatore correlato G5.3), Altro</t>
  </si>
  <si>
    <t>M5 (indicatore correlato G5.4)</t>
  </si>
  <si>
    <t>ID Categoria cespite
(co. 11.4 MTI-4)</t>
  </si>
  <si>
    <t>di cui: LIC 2023</t>
  </si>
  <si>
    <t>di cui: Contributi pubblici 2024</t>
  </si>
  <si>
    <t>di cui: Contributi pubblici 2025</t>
  </si>
  <si>
    <t>di cui: Contributi pubblici 2026</t>
  </si>
  <si>
    <t>di cui: Contributi pubblici 2027</t>
  </si>
  <si>
    <t>anno 2028 (pianificato)</t>
  </si>
  <si>
    <t>Valore investimento annuo (lordo contributi) 2028</t>
  </si>
  <si>
    <t>Entrate in esercizio (lordo contributi) 2028</t>
  </si>
  <si>
    <t>Contributi 2028</t>
  </si>
  <si>
    <t>di cui: Contributi pubblici 2028</t>
  </si>
  <si>
    <t>anno 2029 (pianificato)</t>
  </si>
  <si>
    <t>Valore investimento annuo (lordo contributi) 2029</t>
  </si>
  <si>
    <t>Entrate in esercizio (lordo contributi) 2029</t>
  </si>
  <si>
    <t>Contributi 2029</t>
  </si>
  <si>
    <t>di cui: Contributi pubblici 2029</t>
  </si>
  <si>
    <t>Valore investimento lordo programmato post 2029</t>
  </si>
  <si>
    <t>M0, M1, M2, M3, M4a, M4b, M4c, M5, M6, Altro</t>
  </si>
  <si>
    <t>ID Categoria di immobilizzazione sottesa (co. 11.4 MTI-4)</t>
  </si>
  <si>
    <t>anno 2024</t>
  </si>
  <si>
    <t xml:space="preserve">anno 2025 </t>
  </si>
  <si>
    <t>anno 2026</t>
  </si>
  <si>
    <t>anno 2029</t>
  </si>
  <si>
    <t xml:space="preserve">anno 2030 </t>
  </si>
  <si>
    <t>Valore investimento annuo (lordo contributi) 2030</t>
  </si>
  <si>
    <t>Contributi 2030</t>
  </si>
  <si>
    <t>Entrate in esercizio (lordo contributi) 2030</t>
  </si>
  <si>
    <t>anno 2031</t>
  </si>
  <si>
    <t>Valore investimento annuo (lordo contributi) 2031</t>
  </si>
  <si>
    <t>Contributi 2031</t>
  </si>
  <si>
    <t>Entrate in esercizio (lordo contributi) 2031</t>
  </si>
  <si>
    <t>anno 2032</t>
  </si>
  <si>
    <t>anno 2033</t>
  </si>
  <si>
    <t>Valore investimento annuo (lordo contributi) 2032</t>
  </si>
  <si>
    <t>Contributi 2032</t>
  </si>
  <si>
    <t>Valore investimento annuo (lordo contributi) 2033</t>
  </si>
  <si>
    <t>Contributi 2033</t>
  </si>
  <si>
    <t>Entrate in esercizio (lordo contributi) 2032</t>
  </si>
  <si>
    <t>Entrate in esercizio (lordo contributi) 2033</t>
  </si>
  <si>
    <t>anno 2034</t>
  </si>
  <si>
    <t>Valore investimento annuo (lordo contributi) 2034</t>
  </si>
  <si>
    <t>Contributi 2034</t>
  </si>
  <si>
    <t>Entrate in esercizio (lordo contributi) 2034</t>
  </si>
  <si>
    <t>Valore investimento annuo (lordo contributi) 2035</t>
  </si>
  <si>
    <t>Contributi 2035</t>
  </si>
  <si>
    <t>Entrate in esercizio (lordo contributi) 2035</t>
  </si>
  <si>
    <t>Valore investimento annuo (lordo contributi) post 2035</t>
  </si>
  <si>
    <t>Contributi post 2035</t>
  </si>
  <si>
    <t>Opex qt 2024</t>
  </si>
  <si>
    <t>Opex qt 2025</t>
  </si>
  <si>
    <t>2026 (previsti)</t>
  </si>
  <si>
    <t>2027 (previsti)</t>
  </si>
  <si>
    <t>Opex qt 2026</t>
  </si>
  <si>
    <t>Opex qt 2027</t>
  </si>
  <si>
    <t>2028 (previsti)</t>
  </si>
  <si>
    <t>2029 (previsti)</t>
  </si>
  <si>
    <t>Opex qt 2029</t>
  </si>
  <si>
    <t>Opex qt 2028</t>
  </si>
  <si>
    <t>Valore investimento annuo pro capite
(lordo contributi) 2024</t>
  </si>
  <si>
    <t>Valore investimento annuo pro capite
(lordo contributi) 2025</t>
  </si>
  <si>
    <t>Valore investimento annuo (lordo contributi) 2026 - pianificato</t>
  </si>
  <si>
    <t>Contributi 2026 - pianificato</t>
  </si>
  <si>
    <t>Valore investimento annuo pro capite
(lordo contributi) 2026</t>
  </si>
  <si>
    <t>Valore investimento annuo (lordo contributi) 2027 - pianificato</t>
  </si>
  <si>
    <t>Contributi 2027 - pianificato</t>
  </si>
  <si>
    <t>Valore investimento annuo pro capite
(lordo contributi) 2027</t>
  </si>
  <si>
    <t>Valore investimento annuo (lordo contributi) 2028 - pianificato</t>
  </si>
  <si>
    <t>Contributi 2028 - pianificato</t>
  </si>
  <si>
    <t>Valore investimento annuo pro capite
(lordo contributi) 2028</t>
  </si>
  <si>
    <t>Valore investimento annuo (lordo contributi) 2029 - pianificato</t>
  </si>
  <si>
    <t>Contributi 2029 - pianificato</t>
  </si>
  <si>
    <t>Valore investimento annuo pro capite
(lordo contributi) 2029</t>
  </si>
  <si>
    <t xml:space="preserve">Indicare la presenza o meno del prerequisito Preq4 (Art.23 RQTI) </t>
  </si>
  <si>
    <t>Vedere RQTI al comma 6.3, come modificato dall'art. 10 della delibera 639/2021/R/idr e dall'art. 1 della delibera 637/2023/R/idr</t>
  </si>
  <si>
    <r>
      <t>WU</t>
    </r>
    <r>
      <rPr>
        <vertAlign val="subscript"/>
        <sz val="11"/>
        <rFont val="Calibri"/>
        <family val="2"/>
        <scheme val="minor"/>
      </rPr>
      <t>val</t>
    </r>
  </si>
  <si>
    <r>
      <t>WU3000</t>
    </r>
    <r>
      <rPr>
        <vertAlign val="subscript"/>
        <sz val="11"/>
        <rFont val="Calibri"/>
        <family val="2"/>
        <scheme val="minor"/>
      </rPr>
      <t>val</t>
    </r>
  </si>
  <si>
    <r>
      <t>WU3000+</t>
    </r>
    <r>
      <rPr>
        <vertAlign val="subscript"/>
        <sz val="11"/>
        <rFont val="Calibri"/>
        <family val="2"/>
        <scheme val="minor"/>
      </rPr>
      <t>val</t>
    </r>
  </si>
  <si>
    <r>
      <t>G1.1</t>
    </r>
    <r>
      <rPr>
        <b/>
        <vertAlign val="subscript"/>
        <sz val="11"/>
        <rFont val="Calibri"/>
        <family val="2"/>
        <scheme val="minor"/>
      </rPr>
      <t>ut</t>
    </r>
  </si>
  <si>
    <r>
      <t>WP</t>
    </r>
    <r>
      <rPr>
        <vertAlign val="subscript"/>
        <sz val="11"/>
        <rFont val="Calibri"/>
        <family val="2"/>
        <scheme val="minor"/>
      </rPr>
      <t>val</t>
    </r>
  </si>
  <si>
    <r>
      <t>G1.1</t>
    </r>
    <r>
      <rPr>
        <b/>
        <vertAlign val="subscript"/>
        <sz val="11"/>
        <rFont val="Calibri"/>
        <family val="2"/>
        <scheme val="minor"/>
      </rPr>
      <t>proc</t>
    </r>
  </si>
  <si>
    <r>
      <t>WU</t>
    </r>
    <r>
      <rPr>
        <vertAlign val="subscript"/>
        <sz val="11"/>
        <rFont val="Calibri"/>
        <family val="2"/>
        <scheme val="minor"/>
      </rPr>
      <t>sm</t>
    </r>
  </si>
  <si>
    <r>
      <t>WU</t>
    </r>
    <r>
      <rPr>
        <vertAlign val="subscript"/>
        <sz val="11"/>
        <rFont val="Calibri"/>
        <family val="2"/>
        <scheme val="minor"/>
      </rPr>
      <t>sm_tel</t>
    </r>
  </si>
  <si>
    <r>
      <t>G1.2</t>
    </r>
    <r>
      <rPr>
        <b/>
        <vertAlign val="subscript"/>
        <sz val="11"/>
        <rFont val="Calibri"/>
        <family val="2"/>
        <scheme val="minor"/>
      </rPr>
      <t>ut</t>
    </r>
  </si>
  <si>
    <r>
      <t>WP</t>
    </r>
    <r>
      <rPr>
        <vertAlign val="subscript"/>
        <sz val="11"/>
        <rFont val="Calibri"/>
        <family val="2"/>
        <scheme val="minor"/>
      </rPr>
      <t>sm</t>
    </r>
  </si>
  <si>
    <r>
      <t>WP</t>
    </r>
    <r>
      <rPr>
        <vertAlign val="subscript"/>
        <sz val="11"/>
        <rFont val="Calibri"/>
        <family val="2"/>
        <scheme val="minor"/>
      </rPr>
      <t>sm_tel</t>
    </r>
  </si>
  <si>
    <r>
      <t>G1.2</t>
    </r>
    <r>
      <rPr>
        <b/>
        <vertAlign val="subscript"/>
        <sz val="11"/>
        <rFont val="Calibri"/>
        <family val="2"/>
        <scheme val="minor"/>
      </rPr>
      <t>proc</t>
    </r>
  </si>
  <si>
    <t>Wm,F_Nesp</t>
  </si>
  <si>
    <t>Volume autorizzato, misurato e fatturato (esclusa acqua esportata)</t>
  </si>
  <si>
    <t>ck_Wnm,NF</t>
  </si>
  <si>
    <t>Check su Wnm,NF</t>
  </si>
  <si>
    <t>Verifica ai sensi del comma 7.2 della RQTI come modificata con la delibera 637/2023/R/idr</t>
  </si>
  <si>
    <t>Vedere RQTI al comma 9.4, come modificato dall'art. 1 della delibera 637/2023/R/idr</t>
  </si>
  <si>
    <t>Soppresso ai sensi della del. 637/2023/R/idr a decorrere dal 1 gennaio 2024</t>
  </si>
  <si>
    <t>G2.1_new</t>
  </si>
  <si>
    <t>Peso delle interruzioni non programmate sul totale delle interruzioni</t>
  </si>
  <si>
    <t xml:space="preserve">Vedere RQTI al comma 9.8, lettera b) </t>
  </si>
  <si>
    <t xml:space="preserve">Indicare se il gestore si è dotato delle procedure per l'adempimento agli obblighi di verifica della qualità dell'acqua destinata al consumo umano ai sensi del d.lgs. 18/2023 </t>
  </si>
  <si>
    <t>Volume medio nell'anno di acqua distribuita o prodotta ogni giorno (di cui Tab. 1 All. II d.lgs. 18/2023) nell'anno</t>
  </si>
  <si>
    <t>Vedere Nota 2 Tab. 1 All.2 d.lgs. 18/2023</t>
  </si>
  <si>
    <t>Il prelievo di una o più porzioni di acqua, in un determinato punto di campionamento, in una certa data, è da considerarsi come unico campione indipendentemente dal numero di rapporti di prova registrati ovvero dal numero di contenitori (prelievi) utilizzati secondo le metodiche di campionamento</t>
  </si>
  <si>
    <t xml:space="preserve">Numero campioni (da controlli interni) effettuati in distribuzione a valle di eventuali impianti di potabilizzazione, con superamento dei limiti del d.lgs 18/2023 </t>
  </si>
  <si>
    <t>di cui campioni con superamento dei limiti della Parte A e/o B dell'All. 1 del d.lgs. 18/2023</t>
  </si>
  <si>
    <t>Inclusi campioni con superamento dei limiti anche delle Parti C e/o D</t>
  </si>
  <si>
    <t>di cui campioni con superamento dei limiti della Parte C e/o D dell'All. 1 del d.lgs. 18/2023</t>
  </si>
  <si>
    <t>Esclusi campioni con superamento dei limiti anche delle Parti A e/o B</t>
  </si>
  <si>
    <t xml:space="preserve">Numero parametri con superamento dei limiti del d.lgs 18/2023 nei campioni (da controlli interni) effettuati in distribuzione a valle di eventuali impianti di potabilizzazione </t>
  </si>
  <si>
    <t>di cui parametri non conformi alla Parte A dell'All. 1 del d.lgs. 18/2023</t>
  </si>
  <si>
    <t>di cui parametri non conformi alla Parte B dell'All. 1 del d.lgs. 18/2023</t>
  </si>
  <si>
    <t>di cui parametri non conformi alla Parte C dell'All. 1 del d.lgs. 18/2023</t>
  </si>
  <si>
    <t>di cui parametri non conformi alla Parte D dell'All. 1 del d.lgs. 18/2023</t>
  </si>
  <si>
    <t>Vedere RQTI al comma 10.3, come modificato dall'art. 1 della delibera 637/2023/R/idr</t>
  </si>
  <si>
    <t xml:space="preserve">Vedere RQTI al comma 10.4 </t>
  </si>
  <si>
    <t>Adozione del modello Water Safety Plan (WSP)</t>
  </si>
  <si>
    <t>Numero di utenti serviti da sistemi di fornitura per i quali è stato realizzato il modello Water Safety Plan (WSP - compresi utenti indiretti)</t>
  </si>
  <si>
    <t xml:space="preserve">Vedere RQTI al comma 10.5 </t>
  </si>
  <si>
    <t>Numero di scaricatori di piena conformi alla normativa vigente o, in assenza di normativa locale, conformi alla condizione di cui al comma 16.1 lett. b) della RQTI</t>
  </si>
  <si>
    <t>Vedere RQTI al comma 16.1, come modificato dall'art. 1 della delibera 637/2023/R/idr</t>
  </si>
  <si>
    <t>Vedere RQTI al comma 14.3, come modificato dall'art. 1 della delibera 637/2023/R/idr</t>
  </si>
  <si>
    <t>QF1</t>
  </si>
  <si>
    <t>Scaricatori di piena rispetto alla superficie servita da rete fognaria</t>
  </si>
  <si>
    <t>n./kmq</t>
  </si>
  <si>
    <t>Vedere RQTI al comma 14.6, come modificato dall'art. 1 della delibera 637/2023/R/idr</t>
  </si>
  <si>
    <t>Quesito riferito al 31 dicembre di ogni anno (a-1), ai sensi dell'Art. 22 della RQTI</t>
  </si>
  <si>
    <t>Quantità complessiva di fanghi di depurazione in uscita dagli impianti (in termini di sostanza secca)</t>
  </si>
  <si>
    <t>Vedere RQTI al comma 18.3, come modificato dall'art. 1 della delibera 637/2023/R/idr</t>
  </si>
  <si>
    <r>
      <t>Agg</t>
    </r>
    <r>
      <rPr>
        <vertAlign val="subscript"/>
        <sz val="11"/>
        <rFont val="Calibri"/>
        <family val="2"/>
        <scheme val="minor"/>
      </rPr>
      <t>infr</t>
    </r>
  </si>
  <si>
    <t xml:space="preserve">Numero agglomerati inclusi nelle procedure di infrazione non ancora giunte a sentenza della Corte di Giustizia Europea </t>
  </si>
  <si>
    <t>Vedere RQTI al comma 18.7. Considerare la procedura 2017/2181 ed eventuali successive. Quesito riferito al 31 dicembre di ciascun anno (a)</t>
  </si>
  <si>
    <r>
      <t>AE</t>
    </r>
    <r>
      <rPr>
        <vertAlign val="subscript"/>
        <sz val="11"/>
        <rFont val="Calibri"/>
        <family val="2"/>
        <scheme val="minor"/>
      </rPr>
      <t>infr</t>
    </r>
  </si>
  <si>
    <r>
      <t>Abitanti Equivalenti complessivi negli agglomerati inclusi nelle procedure di infrazione</t>
    </r>
    <r>
      <rPr>
        <strike/>
        <sz val="11"/>
        <rFont val="Calibri"/>
        <family val="2"/>
        <scheme val="minor"/>
      </rPr>
      <t xml:space="preserve"> </t>
    </r>
    <r>
      <rPr>
        <sz val="11"/>
        <rFont val="Calibri"/>
        <family val="2"/>
        <scheme val="minor"/>
      </rPr>
      <t>non ancora giunte a sentenza della Corte di Giustizia Europea</t>
    </r>
  </si>
  <si>
    <t>Assenza di agglomerati inclusi nelle procedure di infrazione non ancora giunte a sentenza della Corte di Giustizia Europea</t>
  </si>
  <si>
    <t xml:space="preserve">Vedere RQTI al comma 18.7, come modificato dall'art. 10 della delibera 639/2021/R/idr </t>
  </si>
  <si>
    <t>Prelievo di energia elettrica da reti pubbliche fatturato per il servizio di depurazione</t>
  </si>
  <si>
    <t>MWh elettrici</t>
  </si>
  <si>
    <t>Prelievo da reti pubbliche di gas naturale fatturato per i consumi dell’impianto di depurazione</t>
  </si>
  <si>
    <t>GJ</t>
  </si>
  <si>
    <t xml:space="preserve">Energia elettrica prodotta nell’area degli impianti di depurazione </t>
  </si>
  <si>
    <t>di cui da fonti rinnovabili escluso il biogas prodotto nei medesimi impianti</t>
  </si>
  <si>
    <t>di cui da biogas prodotto nei medesimi impianti</t>
  </si>
  <si>
    <t>di cui da processi di pirolisi con impiego di fanghi di depurazione</t>
  </si>
  <si>
    <t>di cui da incenerimento con impiego di fanghi di depurazione</t>
  </si>
  <si>
    <t>Energia termica prodotta nell’area degli impianti di depurazione</t>
  </si>
  <si>
    <t>MWh termici</t>
  </si>
  <si>
    <t>Biometano prodotto negli impianti di depurazione e avviato a operazioni di recupero energetico</t>
  </si>
  <si>
    <t>Al netto del biometano utilizzato per la produzione di energia elettrica e termica e già contabilizzato in EEprod o ETprod</t>
  </si>
  <si>
    <t>di cui mediante immissione in una rete di gas naturale</t>
  </si>
  <si>
    <t>G5.4</t>
  </si>
  <si>
    <t>Indicatore di neutralità energetica degli impianti di depurazione</t>
  </si>
  <si>
    <t>Vedere RQTI al comma 18.14, primo bullet, come rappresentato nell'art. 1 della delibera 637/2023/R/idr</t>
  </si>
  <si>
    <t xml:space="preserve">Quantitativo di materia recuperato dai processi di depurazione e valorizzato sul mercato </t>
  </si>
  <si>
    <t>g</t>
  </si>
  <si>
    <t>di cui azoto</t>
  </si>
  <si>
    <t>di cui fosforo</t>
  </si>
  <si>
    <t>di cui altri elementi/composti</t>
  </si>
  <si>
    <t>Escludere sabbie e grigliati. Specificare in relazione</t>
  </si>
  <si>
    <t>di cui volume totale in uscita dagli impianti di depurazione nei quali sono attivi processi di recupero dei materiali</t>
  </si>
  <si>
    <t>G5.5</t>
  </si>
  <si>
    <t>Recupero di materia dagli impianti di depurazione</t>
  </si>
  <si>
    <t>g/mc</t>
  </si>
  <si>
    <t>Vedere RQTI al comma 18.14, secondo bullet, come rappresentato nell'art. 1 della delibera 637/2023/R/idr</t>
  </si>
  <si>
    <t>Si intendono tutti gli impianti di depurazione gestiti (ivi inclusi quelli non considerati per il calcolo di M6)</t>
  </si>
  <si>
    <t xml:space="preserve">di cui tenuti al rispetto della Tabella 1 dell'Allegato 5 alla Parte Terza del D.Lgs 152/2006 </t>
  </si>
  <si>
    <t>di cui eseguiti con riferimento ai parametri Ptot e forme azotate di cui alla Tabella 3, per gli impianti recapitanti in aree diverse da quelle sensibili</t>
  </si>
  <si>
    <t>Inclusi gli eventuali campioni con determinazione anche dei parametri BOD5,COD,SST</t>
  </si>
  <si>
    <t>di cui con superamento di almeno un limite solo della Tabella 2</t>
  </si>
  <si>
    <t>di cui con superamento di almeno un limite in entrambe le Tabelle 1 e 2</t>
  </si>
  <si>
    <t>Numero di campioni con superamento di almeno un limite per i parametri Ptot e/o forme azotate che non sono stati conteggiati al numeratore di M6 in virtù di deroghe concesse per il periodo irriguo, in caso di riutilizzo dei reflui depurati a fini agricoli</t>
  </si>
  <si>
    <t>Vedere RQTI al comma 19.4, come modificato dall'art. 1 della delibera 637/2023/R/idr</t>
  </si>
  <si>
    <t>Si considerano solo gli impianti di potenzialità ≥ 2.000 A.E. (o 10.000 A.E. se recapitanti in acque costiere).
Considerare i campioni di cui alla voce ∑Cimp,DEP-tot, cui si sommano gli eventuali campioni con analisi degli ulteriori parametri di Tabella 3</t>
  </si>
  <si>
    <t>Si considerano solo gli impianti di potenzialità ≥ 2.000 A.E. (o 10.000 A.E. se recapitanti in acque costiere) 
Considerare i campioni di cui alla voce ∑Cimp,DEP-cnc, cui si sommano gli eventuali campioni con superamento dei limiti per gli ulteriori parametri di Tabella 3</t>
  </si>
  <si>
    <t>G6.4</t>
  </si>
  <si>
    <t>Acque reflue destinate al riutilizzo</t>
  </si>
  <si>
    <t>Vedere RQTI al comma 19.6, come modificato dall'art. 1 della delibera 637/2023/R/idr</t>
  </si>
  <si>
    <t>Numero minimo di campioni che il gestore è tenuto a eseguire nell'anno</t>
  </si>
  <si>
    <t>Sul totale degli impianti soggetti ad M6</t>
  </si>
  <si>
    <t>Quesito riferito al 31 dicembre di ogni anno (a)</t>
  </si>
  <si>
    <t>ACQUEDOTTO - Dati relativi agli indennizzi per mancato rispetto degli Standard Specifici di Qualità tecnica</t>
  </si>
  <si>
    <t>Vedere TIMSII, comma 15.1. Non è la somma dei "di cui" sottostanti. Includere anche i tentativi su utenti non più attivi al 31/12  dell’anno a</t>
  </si>
  <si>
    <t>Vedere TIMSII, comma 15.1. Includere anche i tentativi su utenti non più attivi al 31/12  dell’anno a</t>
  </si>
  <si>
    <t>Vedere TIMSII, comma 15.1.  Includere anche i tentativi su utenti non più attivi al 31/12  dell’anno a</t>
  </si>
  <si>
    <t>ACQUEDOTTO - Dati relativi agli indennizzi per mancato rispetto degli Standard Specifici sulla misura (anche ai sensi della delibera 609/2021/R/idr)</t>
  </si>
  <si>
    <r>
      <t>∑U</t>
    </r>
    <r>
      <rPr>
        <vertAlign val="subscript"/>
        <sz val="11"/>
        <rFont val="Calibri"/>
        <family val="2"/>
        <scheme val="minor"/>
      </rPr>
      <t>SR1ind</t>
    </r>
    <r>
      <rPr>
        <sz val="11"/>
        <rFont val="Calibri"/>
        <family val="2"/>
        <scheme val="minor"/>
      </rPr>
      <t xml:space="preserve"> </t>
    </r>
  </si>
  <si>
    <r>
      <t>∑U</t>
    </r>
    <r>
      <rPr>
        <vertAlign val="subscript"/>
        <sz val="11"/>
        <rFont val="Calibri"/>
        <family val="2"/>
        <scheme val="minor"/>
      </rPr>
      <t>SR2ind</t>
    </r>
    <r>
      <rPr>
        <sz val="11"/>
        <rFont val="Calibri"/>
        <family val="2"/>
        <scheme val="minor"/>
      </rPr>
      <t xml:space="preserve"> </t>
    </r>
  </si>
  <si>
    <r>
      <t>∑U</t>
    </r>
    <r>
      <rPr>
        <vertAlign val="subscript"/>
        <sz val="11"/>
        <rFont val="Calibri"/>
        <family val="2"/>
        <scheme val="minor"/>
      </rPr>
      <t>SPind</t>
    </r>
    <r>
      <rPr>
        <sz val="11"/>
        <rFont val="Calibri"/>
        <family val="2"/>
        <scheme val="minor"/>
      </rPr>
      <t xml:space="preserve"> </t>
    </r>
  </si>
  <si>
    <t>Sommatoria degli utenti finali (esclusi utenti indiretti) con diritto all'indennizzo automatico per SP</t>
  </si>
  <si>
    <r>
      <t>Ind</t>
    </r>
    <r>
      <rPr>
        <vertAlign val="subscript"/>
        <sz val="11"/>
        <rFont val="Calibri"/>
        <family val="2"/>
        <scheme val="minor"/>
      </rPr>
      <t>C,m</t>
    </r>
  </si>
  <si>
    <r>
      <t>Ind</t>
    </r>
    <r>
      <rPr>
        <vertAlign val="subscript"/>
        <sz val="11"/>
        <rFont val="Calibri"/>
        <family val="2"/>
        <scheme val="minor"/>
      </rPr>
      <t>NC,m</t>
    </r>
  </si>
  <si>
    <t>Indicare lo sviluppo lineare delle condotte di allaccio parzialmente georeferenziate</t>
  </si>
  <si>
    <r>
      <t>Lall</t>
    </r>
    <r>
      <rPr>
        <vertAlign val="subscript"/>
        <sz val="11"/>
        <rFont val="Calibri"/>
        <family val="2"/>
        <scheme val="minor"/>
      </rPr>
      <t>geo</t>
    </r>
  </si>
  <si>
    <t xml:space="preserve">Estensione rete distrettualizzata </t>
  </si>
  <si>
    <t>Escluse le derivazioni d’utenza. Da considerare solo i distretti permanenti</t>
  </si>
  <si>
    <t>Estensione rete di adduzione telecontrollata</t>
  </si>
  <si>
    <t>Estensione rete di distribuzione telecontrollata</t>
  </si>
  <si>
    <t>di cui &lt; 1.000 A.E.</t>
  </si>
  <si>
    <t>Laddove disponibile</t>
  </si>
  <si>
    <t xml:space="preserve">di cui 1.000 &lt;= A.E. &lt; 2.000 </t>
  </si>
  <si>
    <t>di cui 2.000 &lt;= A.E. &lt; 10.000</t>
  </si>
  <si>
    <r>
      <t>Agg</t>
    </r>
    <r>
      <rPr>
        <vertAlign val="subscript"/>
        <sz val="11"/>
        <color theme="3"/>
        <rFont val="Calibri"/>
        <family val="2"/>
        <scheme val="minor"/>
      </rPr>
      <t>D</t>
    </r>
  </si>
  <si>
    <t>Vedere la successiva sezione "Numero di depuratori per tipologia di trattamento e potenzialità di trattamento"</t>
  </si>
  <si>
    <t>di cui con trattamento sino al quaternario</t>
  </si>
  <si>
    <t>di cui con potenzialità A.E. &lt; 1.000</t>
  </si>
  <si>
    <t xml:space="preserve">di cui con potenzialità 1.000 &lt;= A.E. &lt; 2.000 </t>
  </si>
  <si>
    <r>
      <t>Ndep</t>
    </r>
    <r>
      <rPr>
        <vertAlign val="subscript"/>
        <sz val="11"/>
        <rFont val="Calibri"/>
        <family val="2"/>
        <scheme val="minor"/>
      </rPr>
      <t>B</t>
    </r>
  </si>
  <si>
    <t xml:space="preserve">di cui con potenzialità 2.000 &lt;= A.E. &lt; 10.000 </t>
  </si>
  <si>
    <t>Vedere la successiva sezione "Carico inquinante collettato (A.E.) per tipologia di trattamento e potenzialità di trattamento"</t>
  </si>
  <si>
    <t>di cui confluito in trattamenti sino al quaternario</t>
  </si>
  <si>
    <t>Voce spostata nel foglio QT-Depurazione</t>
  </si>
  <si>
    <t>Tipo trattamento/ Potenzialità</t>
  </si>
  <si>
    <t>&lt; 1.000 A.E.</t>
  </si>
  <si>
    <t xml:space="preserve">1000&lt;= A.E. &lt; 2.000 </t>
  </si>
  <si>
    <t>2.000 &lt;= A.E. &lt; 10.000</t>
  </si>
  <si>
    <t>100.000 &lt;= A.E. &lt; 500.000</t>
  </si>
  <si>
    <t>A.E. &gt;= 500.000</t>
  </si>
  <si>
    <t>Totale</t>
  </si>
  <si>
    <t>vasche Imhoff</t>
  </si>
  <si>
    <t>trattamento sino al primario</t>
  </si>
  <si>
    <t>trattamento sino al secondario</t>
  </si>
  <si>
    <t>trattamento sino al terziario</t>
  </si>
  <si>
    <t>trattamento sino al quaternario</t>
  </si>
  <si>
    <t>QR1</t>
  </si>
  <si>
    <t>Indicare se il macro-indicatore M0 è determinato congiuntamente con altri gestori (grossisti)</t>
  </si>
  <si>
    <t>Fornire dettagli in relazione in merito alle gestioni valutate congiuntamente</t>
  </si>
  <si>
    <t>QR2</t>
  </si>
  <si>
    <t xml:space="preserve">In caso affermativo, indicare i codici ID_ARERA dei grossisti considerati </t>
  </si>
  <si>
    <t xml:space="preserve">Indicare l'esito della validazione ai fini della valutazione della disponibilità e affidabilità dei dati per M0 (prerequisito Preq4) </t>
  </si>
  <si>
    <t>Indicare se è stata formulata istanza per eventi imprevisti e imprevedibili che hanno comportato il mancato rispetto degli obiettivi per M0</t>
  </si>
  <si>
    <t>∑disp_SII</t>
  </si>
  <si>
    <t>Somma dei volumi di disponibilità idrica a livello di gestione del SII</t>
  </si>
  <si>
    <t>∑falda_SII</t>
  </si>
  <si>
    <t>di cui proveniente da falda_SII</t>
  </si>
  <si>
    <t>Volumi indicati nelle concessioni di derivazione, ai sensi del comma 5-ter.2</t>
  </si>
  <si>
    <t>∑invasi_SII</t>
  </si>
  <si>
    <t>di cui proveniente da invasi_SII</t>
  </si>
  <si>
    <t>∑CIS_SII</t>
  </si>
  <si>
    <t>di cui proveniente da altri corpi idrici superficiali_SII</t>
  </si>
  <si>
    <t>∑dissalazione_SII</t>
  </si>
  <si>
    <t>di cui proveniente da dissalazione_SII</t>
  </si>
  <si>
    <t>Capacità autorizzata, ai sensi del comma 5-ter.2</t>
  </si>
  <si>
    <t>∑riuso_SII</t>
  </si>
  <si>
    <t>di cui proveniente da riuso_SII</t>
  </si>
  <si>
    <t>Volume effettivamente destinato al riutilizzo, ai sensi del comma 5-ter.2</t>
  </si>
  <si>
    <t>Wimp_SII</t>
  </si>
  <si>
    <t>Volume di acqua importata da altri soggetti</t>
  </si>
  <si>
    <t>Wesp_SII</t>
  </si>
  <si>
    <t>Volume di acqua esportata in adduzione e/o in distribuzione</t>
  </si>
  <si>
    <t>Interconnessioni_SII</t>
  </si>
  <si>
    <t>Valore assoluto dei volumi scambiati tra gestioni (ceduti o acquistati) per il tramite di interconnessioni_SII</t>
  </si>
  <si>
    <t>M0a</t>
  </si>
  <si>
    <t xml:space="preserve">Resilienza idrica a livello di gestione del servizio idrico integrato </t>
  </si>
  <si>
    <t>Vedere RQTI all'articolo 5-ter</t>
  </si>
  <si>
    <t>Cons_tot</t>
  </si>
  <si>
    <t>Consumi idrici totali</t>
  </si>
  <si>
    <t>Vedere RQTI al comma 5-quater.2</t>
  </si>
  <si>
    <t>Cons_ap</t>
  </si>
  <si>
    <t>di cui consumi acqua potabile</t>
  </si>
  <si>
    <t>Cons_irr</t>
  </si>
  <si>
    <t>di cui consumi irrigui</t>
  </si>
  <si>
    <t>Cons_ind</t>
  </si>
  <si>
    <t>di cui consumi industriali</t>
  </si>
  <si>
    <t>Cons_al</t>
  </si>
  <si>
    <t>di cui altri consumi</t>
  </si>
  <si>
    <t>∑disp_tot</t>
  </si>
  <si>
    <t>Somma dei volumi di disponibilità idrica a livello sovraordinato</t>
  </si>
  <si>
    <t>Vedere RQTI al comma 5-bis.4</t>
  </si>
  <si>
    <t>∑falda_tot</t>
  </si>
  <si>
    <t>∑invasi_tot</t>
  </si>
  <si>
    <t>∑CIS_tot</t>
  </si>
  <si>
    <t>∑dissalazione_tot</t>
  </si>
  <si>
    <t>∑riuso_tot</t>
  </si>
  <si>
    <t>Wimp_tot</t>
  </si>
  <si>
    <t>Volumi di acqua acquistata da gestori posti al di fuori del territorio considerato</t>
  </si>
  <si>
    <t>Wesp_tot</t>
  </si>
  <si>
    <t>Volumi di acqua ceduta all'ingrosso al di fuori del territorio considerato</t>
  </si>
  <si>
    <t>Quote di concessioni di terzi</t>
  </si>
  <si>
    <t>DISP</t>
  </si>
  <si>
    <t>Disponibilità idrica</t>
  </si>
  <si>
    <t>M0b</t>
  </si>
  <si>
    <t xml:space="preserve">Resilienza idrica a livello sovraordinato </t>
  </si>
  <si>
    <t>Vedere RQTI all'articolo 5-quater</t>
  </si>
  <si>
    <t>M0CL</t>
  </si>
  <si>
    <t>Resilienza idrica - Classe di appartenenza</t>
  </si>
  <si>
    <t>Vedere RQTI all'articolo 5-bis</t>
  </si>
  <si>
    <t>OB0</t>
  </si>
  <si>
    <t xml:space="preserve">Resilienza idrica - Obiettivo </t>
  </si>
  <si>
    <t>G0.1</t>
  </si>
  <si>
    <t>Disponibilità di picco</t>
  </si>
  <si>
    <t>Wmax_prod</t>
  </si>
  <si>
    <t>Volume prodotto dalla fonte di approvvigionamento più produttiva dell’anno</t>
  </si>
  <si>
    <t>G0.2</t>
  </si>
  <si>
    <t>Differenziazione delle fonti di approvvigionamento</t>
  </si>
  <si>
    <r>
      <t>Presenza prerequisito Preq4</t>
    </r>
    <r>
      <rPr>
        <b/>
        <vertAlign val="subscript"/>
        <sz val="11"/>
        <rFont val="Calibri"/>
        <family val="2"/>
        <scheme val="minor"/>
      </rPr>
      <t>M0</t>
    </r>
  </si>
  <si>
    <t>Valore obiettivo DISP</t>
  </si>
  <si>
    <t>Anno di riferimento per definizione obiettivo per M0</t>
  </si>
  <si>
    <t xml:space="preserve">Intervento presente nel POS </t>
  </si>
  <si>
    <t>Piano delle Opere Strategiche per lo sviluppo delle infrastrutture idriche (POS)</t>
  </si>
  <si>
    <t>PNRR- Misura M2C1 - I1.1 (Gestione rifiuti e ammodernamento impianti)</t>
  </si>
  <si>
    <t>Motivazione della realizzazione da parte di terzi</t>
  </si>
  <si>
    <t>RIU</t>
  </si>
  <si>
    <t>Quota dei volumi depurati destinabili al riutilizzo ma non destinati a tale finalità</t>
  </si>
  <si>
    <t>Anno di riferimento per valutazione obiettivo RIU</t>
  </si>
  <si>
    <t>Valore obiettivo RIU</t>
  </si>
  <si>
    <t>Obiettivo MTI-4</t>
  </si>
  <si>
    <t>Partita IVA del soggetto terzo</t>
  </si>
  <si>
    <t>Ragione sociale del soggetto terzo realizzatore dell'intervento</t>
  </si>
  <si>
    <t>Presenza prerequisito Preq4M0</t>
  </si>
  <si>
    <t>Titolarità degli interventi 
(gestore o terzi)</t>
  </si>
  <si>
    <t>di cui: LIC 2024</t>
  </si>
  <si>
    <t>di cui: LIC 2025</t>
  </si>
  <si>
    <t>di cui: LIC 2026</t>
  </si>
  <si>
    <t>di cui: LIC 2027</t>
  </si>
  <si>
    <t>di cui: LIC 2028</t>
  </si>
  <si>
    <t>di cui: LIC 2029</t>
  </si>
  <si>
    <t>Indicare la modalità utilizzata in via prevalente</t>
  </si>
  <si>
    <t>cartacea</t>
  </si>
  <si>
    <t>e-mail</t>
  </si>
  <si>
    <t>telefono</t>
  </si>
  <si>
    <t>messaggistica</t>
  </si>
  <si>
    <t>altro</t>
  </si>
  <si>
    <t>tramite amministratore o referente utenza raggruppata</t>
  </si>
  <si>
    <t>verifica di cui volumi delle utenze raggruppate/ condominiali</t>
  </si>
  <si>
    <t>errori bacino_tariffario</t>
  </si>
  <si>
    <t>errori_volumi</t>
  </si>
  <si>
    <t>TITOLO 6 TIMSII - Utenze raggruppate</t>
  </si>
  <si>
    <t>4 - Informazioni alle utenze indirette e strumenti per la corretta applicazione dell’articolazione tariffaria (articoli 20 e 21 - Titolo 6 TIMSII)</t>
  </si>
  <si>
    <t>di cui utenze raggruppate/condominiali che hanno dato riscontro al gestore di tale richiesta</t>
  </si>
  <si>
    <t>TIMSII_modalità_INVIO</t>
  </si>
  <si>
    <t>Titolo 6 TIMSII ut_raggruppate</t>
  </si>
  <si>
    <t>TIMSII - Consapevolezza nei consumi per utenze raggruppate</t>
  </si>
  <si>
    <t>Intervento funzionale alla risoluzione delle sentenze di condanna C-565/10, C-85/13 e C-668/19 o successive</t>
  </si>
  <si>
    <r>
      <t xml:space="preserve">Agglomerato/i oggetto di condanna </t>
    </r>
    <r>
      <rPr>
        <sz val="10"/>
        <color theme="0"/>
        <rFont val="Arial Narrow"/>
        <family val="2"/>
      </rPr>
      <t>(inserire denominazione)</t>
    </r>
  </si>
  <si>
    <t>eventuale importo da trasferire al Commissario (Euro)
- da tariffa -</t>
  </si>
  <si>
    <t>eventuale importo da trasferire al Commissario (Euro)
- da contributi -</t>
  </si>
  <si>
    <r>
      <t>W</t>
    </r>
    <r>
      <rPr>
        <vertAlign val="subscript"/>
        <sz val="11"/>
        <rFont val="Calibri"/>
        <family val="2"/>
        <scheme val="minor"/>
      </rPr>
      <t>DEP</t>
    </r>
  </si>
  <si>
    <t>QD1</t>
  </si>
  <si>
    <t>Indicare se è rispettato il numero minimo di controlli per i parametri fosforo e forme azotate per applicazione premialità RQTI</t>
  </si>
  <si>
    <t>QD2</t>
  </si>
  <si>
    <t>Indicare se è rispettato il numero minimo di campioni per i parametri di cui alle tabelle 1 e 2 in base alla potenzialità dell'impianto di trattamento per applicazione premialità RQTI</t>
  </si>
  <si>
    <t>Ai sensi del comma 19.10</t>
  </si>
  <si>
    <t>di cui recapitanti in area sensibile o in bacino scolante in area sensibile</t>
  </si>
  <si>
    <t xml:space="preserve">di cui recapitanti in area non sensibile </t>
  </si>
  <si>
    <t>di cui da valutare con riferimento alla Tabella 3 dell'Allegato 5 alla Parte Terza del D.Lgs 152/2006 (per forme azotate e Ptot) per meccanismo incentivante RQTI</t>
  </si>
  <si>
    <t>di cui fino a 10.000 A.E. da valutare con riferimento alla Tabella 2 dell'Allegato 5 alla Parte Terza del D.Lgs 152/2006 per meccanismo incentivante RQTI</t>
  </si>
  <si>
    <t>di cui eseguiti con riferimento ai parametri Ptot e Ntot per gli impianti tra 2.000 e 10.000 AE recapitanti in aree sensibili</t>
  </si>
  <si>
    <t>di cui con superamento di almeno un limite in entrambe le Tabelle 2 e 3</t>
  </si>
  <si>
    <t>Vedere comma 37.3 del MTI4</t>
  </si>
  <si>
    <t>Se è considerato più di un gestore grossista, indicare tutti gli ID_ARERA consecutivamente, separati da un trattino</t>
  </si>
  <si>
    <t>QT-Resilienza</t>
  </si>
  <si>
    <t>Altri oneri locali (Canone unico, IMU, TARI)</t>
  </si>
  <si>
    <t>FoNI speso</t>
  </si>
  <si>
    <t>verifica_compilazione</t>
  </si>
  <si>
    <t>Ricostruzione movimentazione LIC per l'anno 2027</t>
  </si>
  <si>
    <t>Ricostruzione movimentazione LIC per l'anno 2026</t>
  </si>
  <si>
    <t>Ricostruzione movimentazione LIC per l'anno 2025</t>
  </si>
  <si>
    <t>Ricostruzione movimentazione LIC per l'anno 2024</t>
  </si>
  <si>
    <t>Ricostruzione movimentazione LIC per l'anno 2023</t>
  </si>
  <si>
    <t>Ricostruzione movimentazione LIC per l'anno 2022</t>
  </si>
  <si>
    <t>Ricostruzione movimentazione LIC per l'anno 2020</t>
  </si>
  <si>
    <r>
      <t>OF</t>
    </r>
    <r>
      <rPr>
        <b/>
        <vertAlign val="subscript"/>
        <sz val="9"/>
        <color theme="0"/>
        <rFont val="Arial Narrow"/>
        <family val="2"/>
      </rPr>
      <t>lic,ord</t>
    </r>
  </si>
  <si>
    <t>Valori in euro (anno a-2)</t>
  </si>
  <si>
    <t>Tipologia di oneri ai sensi del comma 19.8 del MTI-4</t>
  </si>
  <si>
    <t>00378700223</t>
  </si>
  <si>
    <t>00302570213</t>
  </si>
  <si>
    <t>01024370213</t>
  </si>
  <si>
    <t>02609200619</t>
  </si>
  <si>
    <t>01502980616</t>
  </si>
  <si>
    <t>00591090923</t>
  </si>
  <si>
    <t>01339170217</t>
  </si>
  <si>
    <t>00249310616</t>
  </si>
  <si>
    <t>01790440885</t>
  </si>
  <si>
    <t>00245000641</t>
  </si>
  <si>
    <t>03035810351</t>
  </si>
  <si>
    <t>02649530611</t>
  </si>
  <si>
    <t>10991660969</t>
  </si>
  <si>
    <t>03929670127</t>
  </si>
  <si>
    <t>00576860811</t>
  </si>
  <si>
    <t>00531540649</t>
  </si>
  <si>
    <t>00255420648</t>
  </si>
  <si>
    <t>08184491218</t>
  </si>
  <si>
    <t>00149170227</t>
  </si>
  <si>
    <t>01606810214</t>
  </si>
  <si>
    <t>00341240216</t>
  </si>
  <si>
    <t>02430960753</t>
  </si>
  <si>
    <t>00233900646</t>
  </si>
  <si>
    <t>01277260079</t>
  </si>
  <si>
    <t>00537650640</t>
  </si>
  <si>
    <t>01231630839</t>
  </si>
  <si>
    <t>00247690647</t>
  </si>
  <si>
    <t>02307930871</t>
  </si>
  <si>
    <t>00440830214</t>
  </si>
  <si>
    <t>00374200780</t>
  </si>
  <si>
    <t>00341620508</t>
  </si>
  <si>
    <t>00113230627</t>
  </si>
  <si>
    <t>01884950708</t>
  </si>
  <si>
    <t>00352950794</t>
  </si>
  <si>
    <t>00297900797</t>
  </si>
  <si>
    <t>00486530041</t>
  </si>
  <si>
    <t>01462190438</t>
  </si>
  <si>
    <t>COMUNE DI MALE'</t>
  </si>
  <si>
    <t>Trinkwasser Genossenschaft Kastelruth m.b.H.</t>
  </si>
  <si>
    <t>AMMINISTRAZIONE SEP. B.U.C. RIO BIANCO</t>
  </si>
  <si>
    <t>COMUNE DI CESA</t>
  </si>
  <si>
    <t>COMUNE DI STEFANACONI</t>
  </si>
  <si>
    <t>COMUNE DI SANTO STEFANO DI ROGLIANO</t>
  </si>
  <si>
    <t>COMUNE DI PALERMITI</t>
  </si>
  <si>
    <t>comune di santa maria la fossa</t>
  </si>
  <si>
    <t>Comune di CAPOTERRA</t>
  </si>
  <si>
    <t>ACQUE PONTE DI FERRO S.R.L.</t>
  </si>
  <si>
    <t>Ammistrazione separata di beni di uso civico frazione San Benedetto</t>
  </si>
  <si>
    <t>COMUNE DI GIARDINI NAXOS</t>
  </si>
  <si>
    <t>COMUNE DI ORTA DI ATELLA</t>
  </si>
  <si>
    <t>IBLEA ACQUE SPA IN HOUSE</t>
  </si>
  <si>
    <t>Comune di Teora</t>
  </si>
  <si>
    <t>ARCA srl</t>
  </si>
  <si>
    <t>COMUNE DI CAMIGLIANO</t>
  </si>
  <si>
    <t>COMUNE DI TIRES</t>
  </si>
  <si>
    <t>Gemeinde Sterzing / Comune di Vipiteno</t>
  </si>
  <si>
    <t>I.T.L. Spa</t>
  </si>
  <si>
    <t>Sorical</t>
  </si>
  <si>
    <t>COMUNE DI CASTEL BARONIA</t>
  </si>
  <si>
    <t>COMUNE DI CONFLENTI</t>
  </si>
  <si>
    <t>COMUNE DI ARENA</t>
  </si>
  <si>
    <t>ABMGEO SRL</t>
  </si>
  <si>
    <t>COMUNE DI BARDELLO CON MALGESSO E BREGANO</t>
  </si>
  <si>
    <t>Comune di Buseto Palizzolo</t>
  </si>
  <si>
    <t>Comune di Taurano</t>
  </si>
  <si>
    <t>COMUNE DI SAN MANGO SUL CALORE</t>
  </si>
  <si>
    <t>EGEA ACQUE S.P.A.</t>
  </si>
  <si>
    <t>Società Cooperativa Energie Pfunders</t>
  </si>
  <si>
    <t>RIVIERACQUA S.P.A</t>
  </si>
  <si>
    <t>COMUNE DI VANZONE CON SAN CARLO</t>
  </si>
  <si>
    <t>Comune di Quindici</t>
  </si>
  <si>
    <t>EDIL GENERAL BUILDING SRL</t>
  </si>
  <si>
    <t>COMUNE DI TESERO</t>
  </si>
  <si>
    <t>Comune di Ponte Gardena</t>
  </si>
  <si>
    <t>AMMINISTRAZIONE SEP. B.U.C. LUTAGO</t>
  </si>
  <si>
    <t>Comune di Magrè sulla Strada del Vino</t>
  </si>
  <si>
    <t>Comune di Moso in Passiria</t>
  </si>
  <si>
    <t>SOGEA Srl</t>
  </si>
  <si>
    <t>COMUNE DI ORTOVERO</t>
  </si>
  <si>
    <t>Comune di Melpignano</t>
  </si>
  <si>
    <t>COMUNE DI PIETRASTORNINA</t>
  </si>
  <si>
    <t>SERVICES DES EAUXS VALDÔTAINES S.R.L.</t>
  </si>
  <si>
    <t>COMUNE DI LIPARI</t>
  </si>
  <si>
    <t>COMUNE DI SANT'ANDREA DI CONZA</t>
  </si>
  <si>
    <t>AQA SRL SOCIETA' BENEFIT</t>
  </si>
  <si>
    <t>COMUNE DI LENI</t>
  </si>
  <si>
    <t>Comune di Sperone</t>
  </si>
  <si>
    <t>COMUNE DI MASCALUCIA</t>
  </si>
  <si>
    <t>COMUNE DI CURON VENOSTA</t>
  </si>
  <si>
    <t>ENERGIA VERDE ED IDRICA S.P.A.</t>
  </si>
  <si>
    <t>COMUNE DI PIETRELCINA</t>
  </si>
  <si>
    <t>Comune di Caines</t>
  </si>
  <si>
    <t>COMUNE DI CALITRI</t>
  </si>
  <si>
    <t>COMUNE DI ARSOLI</t>
  </si>
  <si>
    <t>Comune di Maiolo</t>
  </si>
  <si>
    <t>Nepta S.p.A.</t>
  </si>
  <si>
    <t>COMUNE DI CASALVECCHIO SICULO</t>
  </si>
  <si>
    <t>comune di figline vegliaturo</t>
  </si>
  <si>
    <t>Comune di Pisa</t>
  </si>
  <si>
    <t>COMUNE DI SAN GIORGIO LA MOLARA</t>
  </si>
  <si>
    <t>GRIM SCARL</t>
  </si>
  <si>
    <t>Comune di La Valle</t>
  </si>
  <si>
    <t>COMUNE DI VASTOGIRARDI</t>
  </si>
  <si>
    <t>COMUNE DI LONGONE SABINO</t>
  </si>
  <si>
    <t>COMUNE DI MOJO ALCANTARA</t>
  </si>
  <si>
    <t>COMUNE DI SAN GREGORIO D'IPPONA</t>
  </si>
  <si>
    <t>Comune di Cardinale</t>
  </si>
  <si>
    <t>COMUNE DI BAGNOLO PIEMONTE</t>
  </si>
  <si>
    <t>Valli Varanensi s.r.l.</t>
  </si>
  <si>
    <t>Autorità Rifiuti e Risorse Idriche della Calabria</t>
  </si>
  <si>
    <t>Reggio Calabria</t>
  </si>
  <si>
    <t>Trentola Ducenta</t>
  </si>
  <si>
    <t xml:space="preserve">Trentola Ducenta (CE) </t>
  </si>
  <si>
    <t>Bardello con Malgesso e Bregano</t>
  </si>
  <si>
    <t xml:space="preserve">Bardello con Malgesso e Bregano (VA) </t>
  </si>
  <si>
    <t>012144</t>
  </si>
  <si>
    <t>Godiasco Salice Terme</t>
  </si>
  <si>
    <t xml:space="preserve">Godiasco Salice Terme (PV) </t>
  </si>
  <si>
    <t>Gornate Olona</t>
  </si>
  <si>
    <t xml:space="preserve">Gornate Olona (VA) </t>
  </si>
  <si>
    <t>Puegnago del Garda</t>
  </si>
  <si>
    <t xml:space="preserve">Puegnago del Garda (BS) </t>
  </si>
  <si>
    <t>Tremosine sul Garda</t>
  </si>
  <si>
    <t xml:space="preserve">Tremosine sul Garda (BS) </t>
  </si>
  <si>
    <t>EGAM-Ente di Governo dell'Ambito del Molise per il servizio idrico integrato</t>
  </si>
  <si>
    <t>Ente di Governo d'Ambito Ottimale n.6 "Alessandrino"</t>
  </si>
  <si>
    <t>Calliano Monferrato</t>
  </si>
  <si>
    <t xml:space="preserve">Calliano Monferrato (AT) </t>
  </si>
  <si>
    <t>Campiglione Fenile</t>
  </si>
  <si>
    <t xml:space="preserve">Campiglione Fenile (TO) </t>
  </si>
  <si>
    <t>Casorzo Monferrato</t>
  </si>
  <si>
    <t xml:space="preserve">Casorzo Monferrato (AT) </t>
  </si>
  <si>
    <t>Castellania Coppi</t>
  </si>
  <si>
    <t xml:space="preserve">Castellania Coppi (AL) </t>
  </si>
  <si>
    <t>Castellinaldo d'Alba</t>
  </si>
  <si>
    <t xml:space="preserve">Castellinaldo d'Alba (CN) </t>
  </si>
  <si>
    <t>Leini</t>
  </si>
  <si>
    <t xml:space="preserve">Leini (TO) </t>
  </si>
  <si>
    <t>Moransengo-Tonengo</t>
  </si>
  <si>
    <t xml:space="preserve">Moransengo-Tonengo (AT) </t>
  </si>
  <si>
    <t>005122</t>
  </si>
  <si>
    <t>Pont Canavese</t>
  </si>
  <si>
    <t xml:space="preserve">Pont Canavese (TO) </t>
  </si>
  <si>
    <t>Massa-Carrara</t>
  </si>
  <si>
    <t>Malé</t>
  </si>
  <si>
    <t xml:space="preserve">Malé (TN) </t>
  </si>
  <si>
    <t>Salorno sulla strada del vino</t>
  </si>
  <si>
    <t xml:space="preserve">Salorno sulla strada del vino (BZ) </t>
  </si>
  <si>
    <t>San Giovanni di Fassa</t>
  </si>
  <si>
    <t xml:space="preserve">San Giovanni di Fassa (TN) </t>
  </si>
  <si>
    <t>Soraga di Fassa</t>
  </si>
  <si>
    <t xml:space="preserve">Soraga di Fassa (TN) </t>
  </si>
  <si>
    <t>Antey-Saint-André</t>
  </si>
  <si>
    <t xml:space="preserve">Antey-Saint-André (AO) </t>
  </si>
  <si>
    <t>Châtillon</t>
  </si>
  <si>
    <t xml:space="preserve">Châtillon (AO) </t>
  </si>
  <si>
    <t>Gressoney-La-Trinité</t>
  </si>
  <si>
    <t xml:space="preserve">Gressoney-La-Trinité (AO) </t>
  </si>
  <si>
    <t>Hône</t>
  </si>
  <si>
    <t xml:space="preserve">Hône (AO) </t>
  </si>
  <si>
    <t>Jovençan</t>
  </si>
  <si>
    <t xml:space="preserve">Jovençan (AO) </t>
  </si>
  <si>
    <t>Pré-Saint-Didier</t>
  </si>
  <si>
    <t xml:space="preserve">Pré-Saint-Didier (AO) </t>
  </si>
  <si>
    <t>Rhêmes-Notre-Dame</t>
  </si>
  <si>
    <t xml:space="preserve">Rhêmes-Notre-Dame (AO) </t>
  </si>
  <si>
    <t>Rhêmes-Saint-Georges</t>
  </si>
  <si>
    <t xml:space="preserve">Rhêmes-Saint-Georges (AO) </t>
  </si>
  <si>
    <t>Brenzone sul Garda</t>
  </si>
  <si>
    <t xml:space="preserve">Brenzone sul Garda (VR) </t>
  </si>
  <si>
    <t>CONSIGLIO DI BACINO LAGUNA DI VENEZIA</t>
  </si>
  <si>
    <t>Costermano sul Garda</t>
  </si>
  <si>
    <t xml:space="preserve">Costermano sul Garda (VR) </t>
  </si>
  <si>
    <t>Negrar di Valpolicella</t>
  </si>
  <si>
    <t xml:space="preserve">Negrar di Valpolicella (VR) </t>
  </si>
  <si>
    <t>San Stino di Livenza</t>
  </si>
  <si>
    <t xml:space="preserve">San Stino di Livenza (VE) </t>
  </si>
  <si>
    <t>ATO - Distretto Irpino</t>
  </si>
  <si>
    <t>ATO - Distretto Sannita</t>
  </si>
  <si>
    <r>
      <t>ERC</t>
    </r>
    <r>
      <rPr>
        <i/>
        <vertAlign val="subscript"/>
        <sz val="10"/>
        <rFont val="Arial Narrow"/>
        <family val="2"/>
      </rPr>
      <t>QT</t>
    </r>
    <r>
      <rPr>
        <i/>
        <sz val="10"/>
        <rFont val="Arial Narrow"/>
        <family val="2"/>
      </rPr>
      <t xml:space="preserve"> lett. b)</t>
    </r>
  </si>
  <si>
    <r>
      <t>ERC</t>
    </r>
    <r>
      <rPr>
        <i/>
        <vertAlign val="subscript"/>
        <sz val="10"/>
        <rFont val="Arial Narrow"/>
        <family val="2"/>
      </rPr>
      <t>QT</t>
    </r>
    <r>
      <rPr>
        <i/>
        <sz val="10"/>
        <rFont val="Arial Narrow"/>
        <family val="2"/>
      </rPr>
      <t xml:space="preserve"> lett. c)</t>
    </r>
  </si>
  <si>
    <t>Indicare il numero di utenti indiretti sottesi per i quali sono state fornite tali informazioni</t>
  </si>
  <si>
    <t>Indicare il numero di utenti indiretti sottesi per i quali sono state fornite tali indicazioni</t>
  </si>
  <si>
    <t>Indicare il numero di utenti indiretti sottesi per i quali è stato fornito tale modulo</t>
  </si>
  <si>
    <t>di cui utenti indiretti sottesi che hanno espresso consenso ad essere contattati personalmente dal gestore</t>
  </si>
  <si>
    <t>Indicare il numero di utenze raggruppate/condominiali alle quali è stato fornito lo strumento di calcolo previsto dal comma 21.1 del TIMSII che consente la ripartizione degli importi fatturati tra ciascuna utenza indiretta secondo i criteri stabiliti nel TICSI</t>
  </si>
  <si>
    <t>Indicare il numero di utenti indiretti sottesi per i quali è stato fornito tale strumento di calcolo</t>
  </si>
  <si>
    <r>
      <t>Op</t>
    </r>
    <r>
      <rPr>
        <vertAlign val="superscript"/>
        <sz val="10"/>
        <color theme="1"/>
        <rFont val="Arial Narrow"/>
        <family val="2"/>
      </rPr>
      <t>new</t>
    </r>
    <r>
      <rPr>
        <sz val="10"/>
        <color theme="1"/>
        <rFont val="Arial Narrow"/>
        <family val="2"/>
      </rPr>
      <t xml:space="preserve">- </t>
    </r>
    <r>
      <rPr>
        <sz val="10"/>
        <rFont val="Arial Narrow"/>
        <family val="2"/>
      </rPr>
      <t>comma 19.2 MTI-4 (al lordo degli ERC)</t>
    </r>
  </si>
  <si>
    <t>ALTRI DATI PER IL CALCOLO DELLE COMPONENTI OPEX E RC</t>
  </si>
  <si>
    <t>Saldo LIC anno a-1</t>
  </si>
  <si>
    <t>Saldo LIC anno a-2</t>
  </si>
  <si>
    <t>Saldo LIC anno a-3</t>
  </si>
  <si>
    <t>Gestione fognature bianche (v. comma 1.1 All. A. del 639/2023/R/idr)</t>
  </si>
  <si>
    <t>Pulizia e manutenzione caditoie stradali (v. comma 1.1 All. A. del 639/2023/R/idr)</t>
  </si>
  <si>
    <t>Gestioni in comuni montani con popolazione inferiore a 1.000 abitanti e già istituite (comma 2-bis, lett. a), art. 147 d.lgs 152/06</t>
  </si>
  <si>
    <t>Gestioni in forma autonoma individuate ex comma 2-bis, lett. b), art. 147 d.lgs 152/06</t>
  </si>
  <si>
    <t>Aziende speciali, gestioni in economia non salvaguardate</t>
  </si>
  <si>
    <t>Gestione in possesso di un titolo giuridico ad esercire il servizio conforme alla normativa, ovvero gestione interessata da procedure di affidamento già avviate</t>
  </si>
  <si>
    <t>TIMSII_modalità_fruizione_strumento_calcolo</t>
  </si>
  <si>
    <r>
      <t xml:space="preserve">applicazione </t>
    </r>
    <r>
      <rPr>
        <i/>
        <sz val="10"/>
        <color rgb="FF000000"/>
        <rFont val="Arial Narrow"/>
        <family val="2"/>
      </rPr>
      <t>web online</t>
    </r>
  </si>
  <si>
    <r>
      <t xml:space="preserve">in </t>
    </r>
    <r>
      <rPr>
        <i/>
        <sz val="10"/>
        <color rgb="FF000000"/>
        <rFont val="Arial Narrow"/>
        <family val="2"/>
      </rPr>
      <t>download</t>
    </r>
    <r>
      <rPr>
        <sz val="10"/>
        <color indexed="8"/>
        <rFont val="Arial Narrow"/>
        <family val="2"/>
      </rPr>
      <t xml:space="preserve"> da sito </t>
    </r>
    <r>
      <rPr>
        <i/>
        <sz val="10"/>
        <color rgb="FF000000"/>
        <rFont val="Arial Narrow"/>
        <family val="2"/>
      </rPr>
      <t>web</t>
    </r>
  </si>
  <si>
    <r>
      <t xml:space="preserve">Indicare il numero di utenze raggruppate/condominiali ai cui utenti indiretti sono state fornite le informazioni di cui al comma 20.1 (lettere da </t>
    </r>
    <r>
      <rPr>
        <i/>
        <sz val="10"/>
        <rFont val="Arial Narrow"/>
        <family val="2"/>
      </rPr>
      <t>a</t>
    </r>
    <r>
      <rPr>
        <sz val="10"/>
        <rFont val="Arial Narrow"/>
        <family val="2"/>
      </rPr>
      <t xml:space="preserve">) a </t>
    </r>
    <r>
      <rPr>
        <i/>
        <sz val="10"/>
        <rFont val="Arial Narrow"/>
        <family val="2"/>
      </rPr>
      <t>g)</t>
    </r>
    <r>
      <rPr>
        <sz val="10"/>
        <rFont val="Arial Narrow"/>
        <family val="2"/>
      </rPr>
      <t xml:space="preserve">) e di cui al comma 20.2 lettera </t>
    </r>
    <r>
      <rPr>
        <i/>
        <sz val="10"/>
        <rFont val="Arial Narrow"/>
        <family val="2"/>
      </rPr>
      <t>a)</t>
    </r>
    <r>
      <rPr>
        <sz val="10"/>
        <rFont val="Arial Narrow"/>
        <family val="2"/>
      </rPr>
      <t xml:space="preserve"> del TIMSII in relazione all'articolazione approvata, aggiungendo informazioni specifiche relative alla costruzione della tariffa per le utenze domestiche residenti ai sensi del TICSI </t>
    </r>
  </si>
  <si>
    <t>Nel caso in cui non corrisponda alla totalità di utenze raggruppate/condominiali, motivare in Relazione di accompagnamento</t>
  </si>
  <si>
    <t>Nel caso di modalità "altro", dettagliare in Relazione di accompagnamento</t>
  </si>
  <si>
    <t>Indicare quante modalità sono state utilizzate</t>
  </si>
  <si>
    <r>
      <t xml:space="preserve">Indicare il numero di utenze raggruppate/condominiali ai cui utenti indiretti sono state fornite le indicazioni di cui al comma 20.2 lettera </t>
    </r>
    <r>
      <rPr>
        <i/>
        <sz val="10"/>
        <rFont val="Arial Narrow"/>
        <family val="2"/>
      </rPr>
      <t>b)</t>
    </r>
    <r>
      <rPr>
        <sz val="10"/>
        <rFont val="Arial Narrow"/>
        <family val="2"/>
      </rPr>
      <t xml:space="preserve"> del TIMSII in relazione alle modalità utilizzabili per comunicare la numerosità del proprio nucleo familiare e la presenza o meno di contatori divisionali, prevedendo almeno una modalità via e-mail ed una tramite numero di telefono per messaggistica</t>
    </r>
  </si>
  <si>
    <t>di cui utenti indiretti sottesi che hanno comunicato la numerosità del proprio nucleo familiare e la presenza o meno di contatori divisionali</t>
  </si>
  <si>
    <r>
      <t xml:space="preserve">Indicare il numero di utenze  raggruppate/condominiali per i cui utenti indiretti è stato fornito il modulo, di cui al comma 20.2 lettera </t>
    </r>
    <r>
      <rPr>
        <i/>
        <sz val="10"/>
        <rFont val="Arial Narrow"/>
        <family val="2"/>
      </rPr>
      <t xml:space="preserve">c) </t>
    </r>
    <r>
      <rPr>
        <sz val="10"/>
        <rFont val="Arial Narrow"/>
        <family val="2"/>
      </rPr>
      <t>del TIMSII, per l’espressione del consenso ad essere contattati personalmente dal gestore, indicando la modalità prescelta (cartacea, e-mail, telefono, messaggistica, altro)</t>
    </r>
  </si>
  <si>
    <t>Indicare la modalità prescelta in via prevalente per essere contattati personalmente dal gestore</t>
  </si>
  <si>
    <t>Indicare la seconda modalità prescelta in via prevalente per essere contattati personalmente dal gestore</t>
  </si>
  <si>
    <t>Indicare se è reso disponibile o concordato con l’Ente di governo dell’ambito competente il testo di cui al comma 20.3 del TIMSII al fine di rendere edotte le utenze indirette circa le motivazioni sottostanti le previsioni normative e regolamentari in tema di misurazione individuale dei consumi e di equa applicazione delle articolazioni tariffarie</t>
  </si>
  <si>
    <t>Indicare la modalità di fruizione dello strumento resa disponibile dal gestore</t>
  </si>
  <si>
    <r>
      <t xml:space="preserve">Indicare il numero di utenze raggruppate/condominiali alle quali, ai sensi del comma 21.4 del TIMSII, ai fini dell’applicazione del comma 3.4, lettera </t>
    </r>
    <r>
      <rPr>
        <i/>
        <sz val="10"/>
        <rFont val="Arial Narrow"/>
        <family val="2"/>
      </rPr>
      <t>b)</t>
    </r>
    <r>
      <rPr>
        <sz val="10"/>
        <rFont val="Arial Narrow"/>
        <family val="2"/>
      </rPr>
      <t xml:space="preserve"> del TICSI, laddove l’informazione non sia già disponibile, è stato richiesto formalmente all’amministratore del condominio o al referente dell’utenza raggruppata l’effettiva numerosità dei componenti di ciascuna utenza domestica residente, da utilizzare ai fini della puntuale applicazione del criterio pro capite</t>
    </r>
  </si>
  <si>
    <t>Attenzione: verificare la presenza di eventuali  "Alert" nelle  colonne Z:AC</t>
  </si>
  <si>
    <t>Quota da recupero efficienza per alimentazione Fondo per la promozione dell'innovazione nel servizio idrico integrato</t>
  </si>
  <si>
    <t>Comma 18.3 e art. 37 All. A</t>
  </si>
  <si>
    <t>Quota da recupero efficienza (€/mc)</t>
  </si>
  <si>
    <t>Volumi per esprimere la quota da recupero efficienza in unità di consumo</t>
  </si>
  <si>
    <r>
      <t>Ip</t>
    </r>
    <r>
      <rPr>
        <vertAlign val="subscript"/>
        <sz val="10"/>
        <color theme="1"/>
        <rFont val="Arial Narrow"/>
        <family val="2"/>
      </rPr>
      <t>a</t>
    </r>
    <r>
      <rPr>
        <vertAlign val="superscript"/>
        <sz val="10"/>
        <color theme="1"/>
        <rFont val="Arial Narrow"/>
        <family val="2"/>
      </rPr>
      <t>exp</t>
    </r>
    <r>
      <rPr>
        <sz val="10"/>
        <color theme="1"/>
        <rFont val="Arial Narrow"/>
        <family val="2"/>
      </rPr>
      <t xml:space="preserve"> </t>
    </r>
  </si>
  <si>
    <t>Assenza di un consumo minimo impegnato per la fatturazione alle utenze</t>
  </si>
  <si>
    <t>Assenza di un consumo minimo impegnato per la fatturazione delle utenze</t>
  </si>
  <si>
    <t>limite alla crescita del moltiplicatore tariffario</t>
  </si>
  <si>
    <r>
      <rPr>
        <b/>
        <i/>
        <sz val="10"/>
        <color indexed="8"/>
        <rFont val="Arial Narrow"/>
        <family val="2"/>
      </rPr>
      <t>Opex</t>
    </r>
    <r>
      <rPr>
        <b/>
        <i/>
        <vertAlign val="superscript"/>
        <sz val="10"/>
        <color indexed="8"/>
        <rFont val="Arial Narrow"/>
        <family val="2"/>
      </rPr>
      <t>a</t>
    </r>
    <r>
      <rPr>
        <b/>
        <i/>
        <vertAlign val="subscript"/>
        <sz val="10"/>
        <color indexed="8"/>
        <rFont val="Arial Narrow"/>
        <family val="2"/>
      </rPr>
      <t>QC</t>
    </r>
    <r>
      <rPr>
        <b/>
        <i/>
        <sz val="10"/>
        <color indexed="8"/>
        <rFont val="Arial Narrow"/>
        <family val="2"/>
      </rPr>
      <t xml:space="preserve"> </t>
    </r>
    <r>
      <rPr>
        <i/>
        <sz val="10"/>
        <color indexed="8"/>
        <rFont val="Arial Narrow"/>
        <family val="2"/>
      </rPr>
      <t xml:space="preserve">- Costi per gli adeguamenti standard qualità contrattuale e eventuali oneri aggiuntivi </t>
    </r>
  </si>
  <si>
    <r>
      <t>Op</t>
    </r>
    <r>
      <rPr>
        <i/>
        <vertAlign val="subscript"/>
        <sz val="10"/>
        <rFont val="Arial Narrow"/>
        <family val="2"/>
      </rPr>
      <t>mis</t>
    </r>
  </si>
  <si>
    <t>Assenza di double counting</t>
  </si>
  <si>
    <r>
      <t xml:space="preserve">Quota da recupero efficienza per alimentazione </t>
    </r>
    <r>
      <rPr>
        <b/>
        <i/>
        <sz val="10"/>
        <color rgb="FF000000"/>
        <rFont val="Arial Narrow"/>
        <family val="2"/>
      </rPr>
      <t>Fondo per la promozione dell'innovazione</t>
    </r>
    <r>
      <rPr>
        <i/>
        <sz val="10"/>
        <color indexed="8"/>
        <rFont val="Arial Narrow"/>
        <family val="2"/>
      </rPr>
      <t xml:space="preserve"> nel servizio idrico integrato</t>
    </r>
  </si>
  <si>
    <t>Quota destinata a meccanismi incentivanti per la promozione della sostenibilità energetica e ambientale</t>
  </si>
  <si>
    <t>Per dismissioni</t>
  </si>
  <si>
    <t>Immobilizzazioni riconducibili a una grande infrastruttura upstream</t>
  </si>
  <si>
    <t>Infrastrutture riconducibili ad opere di rilievo sovra-ambito per il superamento delle criticità legate al Climate Change o per la sostenibilità ambientale</t>
  </si>
  <si>
    <t>Infrastrutture improcrastinabili</t>
  </si>
  <si>
    <t>Infrastrutture improcrastinabili in contesti in cui il gestore non ha  ancora conseguito la necessaria capacità di ricorso al credito e di attrazione delle necessarie competenze specialistiche</t>
  </si>
  <si>
    <t>Opere di rilievo sovra-ambito</t>
  </si>
  <si>
    <t>Dettaglio</t>
  </si>
  <si>
    <r>
      <t>CO</t>
    </r>
    <r>
      <rPr>
        <vertAlign val="superscript"/>
        <sz val="10"/>
        <color theme="1"/>
        <rFont val="Arial Narrow"/>
        <family val="2"/>
      </rPr>
      <t>eff,a-2</t>
    </r>
    <r>
      <rPr>
        <vertAlign val="subscript"/>
        <sz val="10"/>
        <color theme="1"/>
        <rFont val="Arial Narrow"/>
        <family val="2"/>
      </rPr>
      <t>EE</t>
    </r>
    <r>
      <rPr>
        <sz val="10"/>
        <rFont val="Arial Narrow"/>
        <family val="2"/>
      </rPr>
      <t xml:space="preserve"> massimo ammissibile</t>
    </r>
  </si>
  <si>
    <t>Anticipazione trend di diminuzione costo energia</t>
  </si>
  <si>
    <r>
      <t>CO</t>
    </r>
    <r>
      <rPr>
        <vertAlign val="superscript"/>
        <sz val="10"/>
        <color theme="1"/>
        <rFont val="Arial Narrow"/>
        <family val="2"/>
      </rPr>
      <t>eff,a-2</t>
    </r>
    <r>
      <rPr>
        <vertAlign val="subscript"/>
        <sz val="10"/>
        <color theme="1"/>
        <rFont val="Arial Narrow"/>
        <family val="2"/>
      </rPr>
      <t>EE</t>
    </r>
    <r>
      <rPr>
        <sz val="10"/>
        <rFont val="Arial Narrow"/>
        <family val="2"/>
      </rPr>
      <t xml:space="preserve"> al netto dell'anticipazione</t>
    </r>
  </si>
  <si>
    <t>Saldo LIC anno a</t>
  </si>
  <si>
    <t>Saldo LIC totale a 4 anni</t>
  </si>
  <si>
    <t xml:space="preserve">Riepilogo investimenti previsti, realizzati da terzi </t>
  </si>
  <si>
    <t>Anticipazione trend di diminuzione costo energia
(in riduzione del costo massimo ammissibile di energia elettrica)</t>
  </si>
  <si>
    <t xml:space="preserve">Euro </t>
  </si>
  <si>
    <t>quota%</t>
  </si>
  <si>
    <r>
      <t xml:space="preserve">Contributi in c/e </t>
    </r>
    <r>
      <rPr>
        <vertAlign val="superscript"/>
        <sz val="10"/>
        <rFont val="Arial Narrow"/>
        <family val="2"/>
      </rPr>
      <t>a-2</t>
    </r>
  </si>
  <si>
    <t>Contributi in c/e
(eventuale correzione double counting)</t>
  </si>
  <si>
    <t>ULTERIORI SPECIFICAZIONI PER I CALCOLI TARIFFARI</t>
  </si>
  <si>
    <t>Riepilogo della componente tariffaria a copertura dei costi ambientali e della risorsa</t>
  </si>
  <si>
    <t>Comma 25.1 All. A</t>
  </si>
  <si>
    <t>Sviluppo dei costi ambientali (Env) e della risorsa (Res)</t>
  </si>
  <si>
    <r>
      <t>ERC</t>
    </r>
    <r>
      <rPr>
        <b/>
        <vertAlign val="subscript"/>
        <sz val="10"/>
        <color theme="1"/>
        <rFont val="Arial Narrow"/>
        <family val="2"/>
      </rPr>
      <t>capex</t>
    </r>
    <r>
      <rPr>
        <b/>
        <sz val="10"/>
        <color theme="1"/>
        <rFont val="Arial Narrow"/>
        <family val="2"/>
      </rPr>
      <t xml:space="preserve"> da piano tariffario</t>
    </r>
  </si>
  <si>
    <r>
      <t>ERC</t>
    </r>
    <r>
      <rPr>
        <b/>
        <vertAlign val="subscript"/>
        <sz val="10"/>
        <color theme="1"/>
        <rFont val="Arial Narrow"/>
        <family val="2"/>
      </rPr>
      <t>opex</t>
    </r>
    <r>
      <rPr>
        <b/>
        <sz val="10"/>
        <color theme="1"/>
        <rFont val="Arial Narrow"/>
        <family val="2"/>
      </rPr>
      <t xml:space="preserve"> da piano tariffario</t>
    </r>
  </si>
  <si>
    <r>
      <t xml:space="preserve"> di cui Env</t>
    </r>
    <r>
      <rPr>
        <vertAlign val="subscript"/>
        <sz val="10"/>
        <color theme="1"/>
        <rFont val="Arial Narrow"/>
        <family val="2"/>
      </rPr>
      <t>capex</t>
    </r>
  </si>
  <si>
    <r>
      <t xml:space="preserve"> di cui Res</t>
    </r>
    <r>
      <rPr>
        <vertAlign val="subscript"/>
        <sz val="10"/>
        <color theme="1"/>
        <rFont val="Arial Narrow"/>
        <family val="2"/>
      </rPr>
      <t>capex</t>
    </r>
  </si>
  <si>
    <r>
      <t xml:space="preserve"> di cui Env</t>
    </r>
    <r>
      <rPr>
        <vertAlign val="subscript"/>
        <sz val="10"/>
        <color theme="1"/>
        <rFont val="Arial Narrow"/>
        <family val="2"/>
      </rPr>
      <t>opex</t>
    </r>
  </si>
  <si>
    <r>
      <t xml:space="preserve"> di cui Res</t>
    </r>
    <r>
      <rPr>
        <vertAlign val="subscript"/>
        <sz val="10"/>
        <color theme="1"/>
        <rFont val="Arial Narrow"/>
        <family val="2"/>
      </rPr>
      <t>opex</t>
    </r>
  </si>
  <si>
    <r>
      <t>ERC</t>
    </r>
    <r>
      <rPr>
        <vertAlign val="superscript"/>
        <sz val="10"/>
        <color theme="1"/>
        <rFont val="Arial Narrow"/>
        <family val="2"/>
      </rPr>
      <t xml:space="preserve">a </t>
    </r>
    <r>
      <rPr>
        <vertAlign val="subscript"/>
        <sz val="10"/>
        <color theme="1"/>
        <rFont val="Arial Narrow"/>
        <family val="2"/>
      </rPr>
      <t>tel</t>
    </r>
    <r>
      <rPr>
        <b/>
        <sz val="10"/>
        <rFont val="Arial Narrow"/>
        <family val="2"/>
      </rPr>
      <t xml:space="preserve"> - di cui ERC</t>
    </r>
    <r>
      <rPr>
        <b/>
        <vertAlign val="subscript"/>
        <sz val="10"/>
        <rFont val="Arial Narrow"/>
        <family val="2"/>
      </rPr>
      <t>QT</t>
    </r>
  </si>
  <si>
    <r>
      <t>ERC</t>
    </r>
    <r>
      <rPr>
        <vertAlign val="superscript"/>
        <sz val="10"/>
        <color theme="1"/>
        <rFont val="Arial Narrow"/>
        <family val="2"/>
      </rPr>
      <t xml:space="preserve">a </t>
    </r>
    <r>
      <rPr>
        <vertAlign val="subscript"/>
        <sz val="10"/>
        <color theme="1"/>
        <rFont val="Arial Narrow"/>
        <family val="2"/>
      </rPr>
      <t>tel</t>
    </r>
    <r>
      <rPr>
        <b/>
        <sz val="10"/>
        <rFont val="Arial Narrow"/>
        <family val="2"/>
      </rPr>
      <t xml:space="preserve"> - di cui Opnew</t>
    </r>
  </si>
  <si>
    <r>
      <t>ERC</t>
    </r>
    <r>
      <rPr>
        <vertAlign val="subscript"/>
        <sz val="10"/>
        <rFont val="Arial Narrow"/>
        <family val="2"/>
      </rPr>
      <t>opex</t>
    </r>
    <r>
      <rPr>
        <sz val="10"/>
        <rFont val="Arial Narrow"/>
        <family val="2"/>
      </rPr>
      <t xml:space="preserve"> da piano tariffario</t>
    </r>
  </si>
  <si>
    <r>
      <t>Res</t>
    </r>
    <r>
      <rPr>
        <vertAlign val="subscript"/>
        <sz val="10"/>
        <rFont val="Arial Narrow"/>
        <family val="2"/>
      </rPr>
      <t>opex</t>
    </r>
    <r>
      <rPr>
        <sz val="10"/>
        <rFont val="Arial Narrow"/>
        <family val="2"/>
      </rPr>
      <t xml:space="preserve"> - comma 27.2 MTI-4</t>
    </r>
  </si>
  <si>
    <r>
      <t>CIN</t>
    </r>
    <r>
      <rPr>
        <vertAlign val="subscript"/>
        <sz val="10"/>
        <rFont val="Arial Narrow"/>
        <family val="2"/>
      </rPr>
      <t>fp</t>
    </r>
    <r>
      <rPr>
        <sz val="10"/>
        <rFont val="Arial Narrow"/>
        <family val="2"/>
      </rPr>
      <t xml:space="preserve"> / (CIN - LIC</t>
    </r>
    <r>
      <rPr>
        <vertAlign val="subscript"/>
        <sz val="10"/>
        <rFont val="Arial Narrow"/>
        <family val="2"/>
      </rPr>
      <t>ord</t>
    </r>
    <r>
      <rPr>
        <sz val="10"/>
        <rFont val="Arial Narrow"/>
        <family val="2"/>
      </rPr>
      <t>) env</t>
    </r>
  </si>
  <si>
    <r>
      <t>OF</t>
    </r>
    <r>
      <rPr>
        <vertAlign val="subscript"/>
        <sz val="10"/>
        <color theme="1"/>
        <rFont val="Arial Narrow"/>
        <family val="2"/>
      </rPr>
      <t>imm</t>
    </r>
    <r>
      <rPr>
        <sz val="10"/>
        <color theme="1"/>
        <rFont val="Arial Narrow"/>
        <family val="2"/>
      </rPr>
      <t xml:space="preserve"> env</t>
    </r>
  </si>
  <si>
    <r>
      <t>OF</t>
    </r>
    <r>
      <rPr>
        <vertAlign val="subscript"/>
        <sz val="10"/>
        <color theme="1"/>
        <rFont val="Arial Narrow"/>
        <family val="2"/>
      </rPr>
      <t>lic, ord</t>
    </r>
    <r>
      <rPr>
        <sz val="10"/>
        <color theme="1"/>
        <rFont val="Arial Narrow"/>
        <family val="2"/>
      </rPr>
      <t xml:space="preserve"> env</t>
    </r>
  </si>
  <si>
    <r>
      <t>CIN</t>
    </r>
    <r>
      <rPr>
        <vertAlign val="subscript"/>
        <sz val="10"/>
        <rFont val="Arial Narrow"/>
        <family val="2"/>
      </rPr>
      <t>fp</t>
    </r>
    <r>
      <rPr>
        <sz val="10"/>
        <rFont val="Arial Narrow"/>
        <family val="2"/>
      </rPr>
      <t xml:space="preserve"> / (CIN - LIC</t>
    </r>
    <r>
      <rPr>
        <vertAlign val="subscript"/>
        <sz val="10"/>
        <rFont val="Arial Narrow"/>
        <family val="2"/>
      </rPr>
      <t>ord</t>
    </r>
    <r>
      <rPr>
        <sz val="10"/>
        <rFont val="Arial Narrow"/>
        <family val="2"/>
      </rPr>
      <t>) res</t>
    </r>
  </si>
  <si>
    <r>
      <t>OF</t>
    </r>
    <r>
      <rPr>
        <vertAlign val="subscript"/>
        <sz val="10"/>
        <color theme="1"/>
        <rFont val="Arial Narrow"/>
        <family val="2"/>
      </rPr>
      <t>res</t>
    </r>
    <r>
      <rPr>
        <sz val="10"/>
        <color theme="1"/>
        <rFont val="Arial Narrow"/>
        <family val="2"/>
      </rPr>
      <t xml:space="preserve"> (eventuale valore parametrico) </t>
    </r>
  </si>
  <si>
    <r>
      <t>OF</t>
    </r>
    <r>
      <rPr>
        <vertAlign val="subscript"/>
        <sz val="10"/>
        <color theme="1"/>
        <rFont val="Arial Narrow"/>
        <family val="2"/>
      </rPr>
      <t>res</t>
    </r>
    <r>
      <rPr>
        <sz val="10"/>
        <color theme="1"/>
        <rFont val="Arial Narrow"/>
        <family val="2"/>
      </rPr>
      <t xml:space="preserve"> (valore puntuale) </t>
    </r>
  </si>
  <si>
    <r>
      <t>OFisc</t>
    </r>
    <r>
      <rPr>
        <vertAlign val="subscript"/>
        <sz val="10"/>
        <color theme="1"/>
        <rFont val="Arial Narrow"/>
        <family val="2"/>
      </rPr>
      <t>res</t>
    </r>
    <r>
      <rPr>
        <sz val="10"/>
        <color theme="1"/>
        <rFont val="Arial Narrow"/>
        <family val="2"/>
      </rPr>
      <t xml:space="preserve"> (eventuale valore parametrico) </t>
    </r>
  </si>
  <si>
    <r>
      <t>OFisc</t>
    </r>
    <r>
      <rPr>
        <vertAlign val="subscript"/>
        <sz val="10"/>
        <color theme="1"/>
        <rFont val="Arial Narrow"/>
        <family val="2"/>
      </rPr>
      <t>res</t>
    </r>
    <r>
      <rPr>
        <sz val="10"/>
        <color theme="1"/>
        <rFont val="Arial Narrow"/>
        <family val="2"/>
      </rPr>
      <t xml:space="preserve"> (valore puntuale) </t>
    </r>
  </si>
  <si>
    <r>
      <t>Incidenza Res</t>
    </r>
    <r>
      <rPr>
        <vertAlign val="subscript"/>
        <sz val="10"/>
        <color theme="1"/>
        <rFont val="Arial Narrow"/>
        <family val="2"/>
      </rPr>
      <t>Capex</t>
    </r>
  </si>
  <si>
    <r>
      <t>Incidenza Env</t>
    </r>
    <r>
      <rPr>
        <vertAlign val="subscript"/>
        <sz val="10"/>
        <color theme="1"/>
        <rFont val="Arial Narrow"/>
        <family val="2"/>
      </rPr>
      <t>Capex</t>
    </r>
  </si>
  <si>
    <r>
      <t>OF</t>
    </r>
    <r>
      <rPr>
        <vertAlign val="subscript"/>
        <sz val="10"/>
        <color theme="1"/>
        <rFont val="Arial Narrow"/>
        <family val="2"/>
      </rPr>
      <t>lic, ord</t>
    </r>
    <r>
      <rPr>
        <sz val="10"/>
        <color theme="1"/>
        <rFont val="Arial Narrow"/>
        <family val="2"/>
      </rPr>
      <t xml:space="preserve"> complessivo</t>
    </r>
  </si>
  <si>
    <r>
      <t>OF</t>
    </r>
    <r>
      <rPr>
        <vertAlign val="subscript"/>
        <sz val="10"/>
        <color theme="1"/>
        <rFont val="Arial Narrow"/>
        <family val="2"/>
      </rPr>
      <t>lic, ord</t>
    </r>
    <r>
      <rPr>
        <sz val="10"/>
        <color theme="1"/>
        <rFont val="Arial Narrow"/>
        <family val="2"/>
      </rPr>
      <t xml:space="preserve"> (Capex)</t>
    </r>
  </si>
  <si>
    <r>
      <t>OF</t>
    </r>
    <r>
      <rPr>
        <vertAlign val="subscript"/>
        <sz val="10"/>
        <color theme="1"/>
        <rFont val="Arial Narrow"/>
        <family val="2"/>
      </rPr>
      <t>lic, ord</t>
    </r>
    <r>
      <rPr>
        <sz val="10"/>
        <color theme="1"/>
        <rFont val="Arial Narrow"/>
        <family val="2"/>
      </rPr>
      <t xml:space="preserve"> (Res</t>
    </r>
    <r>
      <rPr>
        <vertAlign val="subscript"/>
        <sz val="10"/>
        <color theme="1"/>
        <rFont val="Arial Narrow"/>
        <family val="2"/>
      </rPr>
      <t>Capex</t>
    </r>
    <r>
      <rPr>
        <sz val="10"/>
        <color theme="1"/>
        <rFont val="Arial Narrow"/>
        <family val="2"/>
      </rPr>
      <t>)</t>
    </r>
  </si>
  <si>
    <r>
      <t>OF</t>
    </r>
    <r>
      <rPr>
        <vertAlign val="subscript"/>
        <sz val="10"/>
        <color theme="1"/>
        <rFont val="Arial Narrow"/>
        <family val="2"/>
      </rPr>
      <t>lic, ord</t>
    </r>
    <r>
      <rPr>
        <sz val="10"/>
        <color theme="1"/>
        <rFont val="Arial Narrow"/>
        <family val="2"/>
      </rPr>
      <t xml:space="preserve"> (Env</t>
    </r>
    <r>
      <rPr>
        <vertAlign val="subscript"/>
        <sz val="10"/>
        <color theme="1"/>
        <rFont val="Arial Narrow"/>
        <family val="2"/>
      </rPr>
      <t>Capex</t>
    </r>
    <r>
      <rPr>
        <sz val="10"/>
        <color theme="1"/>
        <rFont val="Arial Narrow"/>
        <family val="2"/>
      </rPr>
      <t>)</t>
    </r>
  </si>
  <si>
    <r>
      <t>Saldo LIC</t>
    </r>
    <r>
      <rPr>
        <vertAlign val="subscript"/>
        <sz val="10"/>
        <color theme="1"/>
        <rFont val="Arial Narrow"/>
        <family val="2"/>
      </rPr>
      <t>ord</t>
    </r>
    <r>
      <rPr>
        <sz val="10"/>
        <color theme="1"/>
        <rFont val="Arial Narrow"/>
        <family val="2"/>
      </rPr>
      <t xml:space="preserve"> complessivo</t>
    </r>
  </si>
  <si>
    <r>
      <t>Saldo LIC</t>
    </r>
    <r>
      <rPr>
        <vertAlign val="subscript"/>
        <sz val="10"/>
        <color theme="1"/>
        <rFont val="Arial Narrow"/>
        <family val="2"/>
      </rPr>
      <t>ord</t>
    </r>
    <r>
      <rPr>
        <sz val="10"/>
        <color theme="1"/>
        <rFont val="Arial Narrow"/>
        <family val="2"/>
      </rPr>
      <t xml:space="preserve"> (Capex)</t>
    </r>
  </si>
  <si>
    <r>
      <t>Saldo LIC</t>
    </r>
    <r>
      <rPr>
        <vertAlign val="subscript"/>
        <sz val="10"/>
        <color theme="1"/>
        <rFont val="Arial Narrow"/>
        <family val="2"/>
      </rPr>
      <t>ord</t>
    </r>
    <r>
      <rPr>
        <sz val="10"/>
        <color theme="1"/>
        <rFont val="Arial Narrow"/>
        <family val="2"/>
      </rPr>
      <t xml:space="preserve"> (Env</t>
    </r>
    <r>
      <rPr>
        <vertAlign val="subscript"/>
        <sz val="10"/>
        <color theme="1"/>
        <rFont val="Arial Narrow"/>
        <family val="2"/>
      </rPr>
      <t>Capex</t>
    </r>
    <r>
      <rPr>
        <sz val="10"/>
        <color theme="1"/>
        <rFont val="Arial Narrow"/>
        <family val="2"/>
      </rPr>
      <t>)</t>
    </r>
  </si>
  <si>
    <r>
      <t>Saldo LIC</t>
    </r>
    <r>
      <rPr>
        <vertAlign val="subscript"/>
        <sz val="10"/>
        <color theme="1"/>
        <rFont val="Arial Narrow"/>
        <family val="2"/>
      </rPr>
      <t>ord</t>
    </r>
    <r>
      <rPr>
        <sz val="10"/>
        <color theme="1"/>
        <rFont val="Arial Narrow"/>
        <family val="2"/>
      </rPr>
      <t xml:space="preserve"> (Res</t>
    </r>
    <r>
      <rPr>
        <vertAlign val="subscript"/>
        <sz val="10"/>
        <color theme="1"/>
        <rFont val="Arial Narrow"/>
        <family val="2"/>
      </rPr>
      <t>Capex</t>
    </r>
    <r>
      <rPr>
        <sz val="10"/>
        <color theme="1"/>
        <rFont val="Arial Narrow"/>
        <family val="2"/>
      </rPr>
      <t>)</t>
    </r>
  </si>
  <si>
    <r>
      <t>OF</t>
    </r>
    <r>
      <rPr>
        <vertAlign val="subscript"/>
        <sz val="10"/>
        <color theme="1"/>
        <rFont val="Arial Narrow"/>
        <family val="2"/>
      </rPr>
      <t>imm</t>
    </r>
    <r>
      <rPr>
        <sz val="10"/>
        <color theme="1"/>
        <rFont val="Arial Narrow"/>
        <family val="2"/>
      </rPr>
      <t xml:space="preserve"> res</t>
    </r>
  </si>
  <si>
    <r>
      <t>OF</t>
    </r>
    <r>
      <rPr>
        <vertAlign val="subscript"/>
        <sz val="10"/>
        <color theme="1"/>
        <rFont val="Arial Narrow"/>
        <family val="2"/>
      </rPr>
      <t>lic, ord</t>
    </r>
    <r>
      <rPr>
        <sz val="10"/>
        <color theme="1"/>
        <rFont val="Arial Narrow"/>
        <family val="2"/>
      </rPr>
      <t xml:space="preserve"> res</t>
    </r>
  </si>
  <si>
    <r>
      <t>Saldo LIC</t>
    </r>
    <r>
      <rPr>
        <vertAlign val="subscript"/>
        <sz val="10"/>
        <color theme="1"/>
        <rFont val="Arial Narrow"/>
        <family val="2"/>
      </rPr>
      <t>pos</t>
    </r>
    <r>
      <rPr>
        <sz val="10"/>
        <color theme="1"/>
        <rFont val="Arial Narrow"/>
        <family val="2"/>
      </rPr>
      <t xml:space="preserve"> complessivo</t>
    </r>
  </si>
  <si>
    <r>
      <t>Saldo LIC</t>
    </r>
    <r>
      <rPr>
        <vertAlign val="subscript"/>
        <sz val="10"/>
        <color theme="1"/>
        <rFont val="Arial Narrow"/>
        <family val="2"/>
      </rPr>
      <t>pos</t>
    </r>
    <r>
      <rPr>
        <sz val="10"/>
        <color theme="1"/>
        <rFont val="Arial Narrow"/>
        <family val="2"/>
      </rPr>
      <t xml:space="preserve"> (Res</t>
    </r>
    <r>
      <rPr>
        <vertAlign val="subscript"/>
        <sz val="10"/>
        <color theme="1"/>
        <rFont val="Arial Narrow"/>
        <family val="2"/>
      </rPr>
      <t>Capex</t>
    </r>
    <r>
      <rPr>
        <sz val="10"/>
        <color theme="1"/>
        <rFont val="Arial Narrow"/>
        <family val="2"/>
      </rPr>
      <t>)</t>
    </r>
  </si>
  <si>
    <r>
      <t>Saldo LIC</t>
    </r>
    <r>
      <rPr>
        <vertAlign val="subscript"/>
        <sz val="10"/>
        <color theme="1"/>
        <rFont val="Arial Narrow"/>
        <family val="2"/>
      </rPr>
      <t>pos</t>
    </r>
    <r>
      <rPr>
        <sz val="10"/>
        <color theme="1"/>
        <rFont val="Arial Narrow"/>
        <family val="2"/>
      </rPr>
      <t xml:space="preserve"> (Env</t>
    </r>
    <r>
      <rPr>
        <vertAlign val="subscript"/>
        <sz val="10"/>
        <color theme="1"/>
        <rFont val="Arial Narrow"/>
        <family val="2"/>
      </rPr>
      <t>Capex</t>
    </r>
    <r>
      <rPr>
        <sz val="10"/>
        <color theme="1"/>
        <rFont val="Arial Narrow"/>
        <family val="2"/>
      </rPr>
      <t>)</t>
    </r>
  </si>
  <si>
    <r>
      <t>Saldo LIC</t>
    </r>
    <r>
      <rPr>
        <vertAlign val="subscript"/>
        <sz val="10"/>
        <color theme="1"/>
        <rFont val="Arial Narrow"/>
        <family val="2"/>
      </rPr>
      <t>pos</t>
    </r>
    <r>
      <rPr>
        <sz val="10"/>
        <color theme="1"/>
        <rFont val="Arial Narrow"/>
        <family val="2"/>
      </rPr>
      <t xml:space="preserve"> (Capex)</t>
    </r>
  </si>
  <si>
    <t>da individuare</t>
  </si>
  <si>
    <r>
      <t>ERC</t>
    </r>
    <r>
      <rPr>
        <vertAlign val="subscript"/>
        <sz val="11"/>
        <color theme="1"/>
        <rFont val="Arial Narrow"/>
        <family val="2"/>
      </rPr>
      <t>QT</t>
    </r>
    <r>
      <rPr>
        <vertAlign val="superscript"/>
        <sz val="11"/>
        <color theme="1"/>
        <rFont val="Arial Narrow"/>
        <family val="2"/>
      </rPr>
      <t>a-2 effettivo</t>
    </r>
  </si>
  <si>
    <r>
      <t>ERC</t>
    </r>
    <r>
      <rPr>
        <vertAlign val="subscript"/>
        <sz val="11"/>
        <color theme="1"/>
        <rFont val="Arial Narrow"/>
        <family val="2"/>
      </rPr>
      <t>QT</t>
    </r>
    <r>
      <rPr>
        <vertAlign val="superscript"/>
        <sz val="11"/>
        <color theme="1"/>
        <rFont val="Arial Narrow"/>
        <family val="2"/>
      </rPr>
      <t>a-2</t>
    </r>
  </si>
  <si>
    <r>
      <rPr>
        <b/>
        <sz val="8.5"/>
        <color theme="1"/>
        <rFont val="Symbol"/>
        <family val="1"/>
        <charset val="2"/>
      </rPr>
      <t>D</t>
    </r>
    <r>
      <rPr>
        <b/>
        <sz val="10"/>
        <color theme="1"/>
        <rFont val="Arial Narrow"/>
        <family val="2"/>
      </rPr>
      <t>Op</t>
    </r>
    <r>
      <rPr>
        <b/>
        <vertAlign val="subscript"/>
        <sz val="10"/>
        <color theme="1"/>
        <rFont val="Arial Narrow"/>
        <family val="2"/>
      </rPr>
      <t>mis</t>
    </r>
    <r>
      <rPr>
        <b/>
        <i/>
        <sz val="10"/>
        <color indexed="8"/>
        <rFont val="Arial Narrow"/>
        <family val="2"/>
      </rPr>
      <t xml:space="preserve"> - </t>
    </r>
    <r>
      <rPr>
        <i/>
        <sz val="10"/>
        <color rgb="FF000000"/>
        <rFont val="Arial Narrow"/>
        <family val="2"/>
      </rPr>
      <t>Recupero Op</t>
    </r>
    <r>
      <rPr>
        <i/>
        <vertAlign val="subscript"/>
        <sz val="10"/>
        <color rgb="FF000000"/>
        <rFont val="Arial Narrow"/>
        <family val="2"/>
      </rPr>
      <t>mis</t>
    </r>
  </si>
  <si>
    <t>AnnoCespiteRIF</t>
  </si>
  <si>
    <t>Check Infrastrutture improcrastinabili</t>
  </si>
  <si>
    <t>Check Opere di rilievo sovra-ambito</t>
  </si>
  <si>
    <r>
      <t>∑Ip</t>
    </r>
    <r>
      <rPr>
        <vertAlign val="subscript"/>
        <sz val="10"/>
        <color theme="1"/>
        <rFont val="Arial Narrow"/>
        <family val="2"/>
      </rPr>
      <t>a</t>
    </r>
    <r>
      <rPr>
        <vertAlign val="superscript"/>
        <sz val="10"/>
        <color theme="1"/>
        <rFont val="Arial Narrow"/>
        <family val="2"/>
      </rPr>
      <t>exp</t>
    </r>
    <r>
      <rPr>
        <sz val="10"/>
        <color theme="1"/>
        <rFont val="Arial Narrow"/>
        <family val="2"/>
      </rPr>
      <t xml:space="preserve"> + CFP</t>
    </r>
    <r>
      <rPr>
        <vertAlign val="subscript"/>
        <sz val="10"/>
        <color theme="1"/>
        <rFont val="Arial Narrow"/>
        <family val="2"/>
      </rPr>
      <t>a</t>
    </r>
    <r>
      <rPr>
        <vertAlign val="superscript"/>
        <sz val="10"/>
        <color theme="1"/>
        <rFont val="Arial Narrow"/>
        <family val="2"/>
      </rPr>
      <t>exp</t>
    </r>
    <r>
      <rPr>
        <sz val="10"/>
        <color theme="1"/>
        <rFont val="Arial Narrow"/>
        <family val="2"/>
      </rPr>
      <t xml:space="preserve"> 2024-2029</t>
    </r>
  </si>
  <si>
    <r>
      <t>Sviluppo CFP</t>
    </r>
    <r>
      <rPr>
        <vertAlign val="subscript"/>
        <sz val="10"/>
        <color theme="1"/>
        <rFont val="Arial Narrow"/>
        <family val="2"/>
      </rPr>
      <t>a</t>
    </r>
    <r>
      <rPr>
        <vertAlign val="superscript"/>
        <sz val="10"/>
        <color theme="1"/>
        <rFont val="Arial Narrow"/>
        <family val="2"/>
      </rPr>
      <t>exp</t>
    </r>
    <r>
      <rPr>
        <sz val="10"/>
        <color theme="1"/>
        <rFont val="Arial Narrow"/>
        <family val="2"/>
      </rPr>
      <t xml:space="preserve"> MTI-4 </t>
    </r>
  </si>
  <si>
    <r>
      <t>Sviluppo Ip</t>
    </r>
    <r>
      <rPr>
        <vertAlign val="subscript"/>
        <sz val="10"/>
        <color theme="1"/>
        <rFont val="Arial Narrow"/>
        <family val="2"/>
      </rPr>
      <t>a</t>
    </r>
    <r>
      <rPr>
        <vertAlign val="superscript"/>
        <sz val="10"/>
        <color theme="1"/>
        <rFont val="Arial Narrow"/>
        <family val="2"/>
      </rPr>
      <t>exp</t>
    </r>
    <r>
      <rPr>
        <sz val="10"/>
        <color theme="1"/>
        <rFont val="Arial Narrow"/>
        <family val="2"/>
      </rPr>
      <t xml:space="preserve"> + CFP</t>
    </r>
    <r>
      <rPr>
        <vertAlign val="subscript"/>
        <sz val="10"/>
        <color theme="1"/>
        <rFont val="Arial Narrow"/>
        <family val="2"/>
      </rPr>
      <t>a</t>
    </r>
    <r>
      <rPr>
        <vertAlign val="superscript"/>
        <sz val="10"/>
        <color theme="1"/>
        <rFont val="Arial Narrow"/>
        <family val="2"/>
      </rPr>
      <t>exp</t>
    </r>
    <r>
      <rPr>
        <sz val="10"/>
        <color theme="1"/>
        <rFont val="Arial Narrow"/>
        <family val="2"/>
      </rPr>
      <t xml:space="preserve"> MTI-4 </t>
    </r>
  </si>
  <si>
    <t>importo conguagli MTI-3 agg. post 2023 (valori a moneta 2023)</t>
  </si>
  <si>
    <t>Eventuale istanza ai sensi del comma 32.10 MTI-4</t>
  </si>
  <si>
    <r>
      <t>CO</t>
    </r>
    <r>
      <rPr>
        <i/>
        <vertAlign val="superscript"/>
        <sz val="10"/>
        <color theme="1"/>
        <rFont val="Arial Narrow"/>
        <family val="2"/>
      </rPr>
      <t>S</t>
    </r>
    <r>
      <rPr>
        <i/>
        <vertAlign val="subscript"/>
        <sz val="10"/>
        <color theme="1"/>
        <rFont val="Arial Narrow"/>
        <family val="2"/>
      </rPr>
      <t>conv</t>
    </r>
  </si>
  <si>
    <t>Criticità ex foglio PdI-legenda</t>
  </si>
  <si>
    <t>ENE</t>
  </si>
  <si>
    <r>
      <rPr>
        <b/>
        <u/>
        <sz val="10"/>
        <color indexed="8"/>
        <rFont val="Arial Narrow"/>
        <family val="2"/>
      </rPr>
      <t>popolazione</t>
    </r>
    <r>
      <rPr>
        <sz val="10"/>
        <color indexed="8"/>
        <rFont val="Arial Narrow"/>
        <family val="2"/>
      </rPr>
      <t xml:space="preserve">
</t>
    </r>
    <r>
      <rPr>
        <i/>
        <sz val="10"/>
        <color indexed="8"/>
        <rFont val="Arial Narrow"/>
        <family val="2"/>
      </rPr>
      <t>(la maggiore tra i servizi forniti in origine)</t>
    </r>
  </si>
  <si>
    <r>
      <t>ENV</t>
    </r>
    <r>
      <rPr>
        <vertAlign val="subscript"/>
        <sz val="10"/>
        <color theme="1"/>
        <rFont val="Arial Narrow"/>
        <family val="2"/>
      </rPr>
      <t>opex</t>
    </r>
  </si>
  <si>
    <r>
      <t>RESo</t>
    </r>
    <r>
      <rPr>
        <vertAlign val="subscript"/>
        <sz val="10"/>
        <color theme="1"/>
        <rFont val="Arial Narrow"/>
        <family val="2"/>
      </rPr>
      <t>pex</t>
    </r>
  </si>
  <si>
    <r>
      <t>ERC</t>
    </r>
    <r>
      <rPr>
        <i/>
        <vertAlign val="subscript"/>
        <sz val="10"/>
        <rFont val="Arial Narrow"/>
        <family val="2"/>
      </rPr>
      <t>QT</t>
    </r>
    <r>
      <rPr>
        <i/>
        <sz val="10"/>
        <rFont val="Arial Narrow"/>
        <family val="2"/>
      </rPr>
      <t xml:space="preserve"> lett. a) </t>
    </r>
  </si>
  <si>
    <r>
      <t>Opex</t>
    </r>
    <r>
      <rPr>
        <i/>
        <vertAlign val="superscript"/>
        <sz val="10"/>
        <rFont val="Arial Narrow"/>
        <family val="2"/>
      </rPr>
      <t>a</t>
    </r>
    <r>
      <rPr>
        <i/>
        <vertAlign val="subscript"/>
        <sz val="10"/>
        <rFont val="Arial Narrow"/>
        <family val="2"/>
      </rPr>
      <t>QC</t>
    </r>
    <r>
      <rPr>
        <i/>
        <sz val="10"/>
        <rFont val="Arial Narrow"/>
        <family val="2"/>
      </rPr>
      <t xml:space="preserve"> 
(comma 19.9 lett. b)</t>
    </r>
  </si>
  <si>
    <r>
      <t>Opex</t>
    </r>
    <r>
      <rPr>
        <i/>
        <vertAlign val="superscript"/>
        <sz val="10"/>
        <rFont val="Arial Narrow"/>
        <family val="2"/>
      </rPr>
      <t>a</t>
    </r>
    <r>
      <rPr>
        <i/>
        <vertAlign val="subscript"/>
        <sz val="10"/>
        <rFont val="Arial Narrow"/>
        <family val="2"/>
      </rPr>
      <t>QC</t>
    </r>
    <r>
      <rPr>
        <i/>
        <sz val="10"/>
        <rFont val="Arial Narrow"/>
        <family val="2"/>
      </rPr>
      <t xml:space="preserve"> - adeguamento agli obiettivi 547/2019/R/IDR
(comma 19.9 lett. a)</t>
    </r>
  </si>
  <si>
    <r>
      <t>Opex</t>
    </r>
    <r>
      <rPr>
        <i/>
        <vertAlign val="superscript"/>
        <sz val="10"/>
        <rFont val="Arial Narrow"/>
        <family val="2"/>
      </rPr>
      <t>a</t>
    </r>
    <r>
      <rPr>
        <i/>
        <vertAlign val="subscript"/>
        <sz val="10"/>
        <rFont val="Arial Narrow"/>
        <family val="2"/>
      </rPr>
      <t>QC</t>
    </r>
    <r>
      <rPr>
        <i/>
        <sz val="10"/>
        <rFont val="Arial Narrow"/>
        <family val="2"/>
      </rPr>
      <t xml:space="preserve"> - adeguamenti standard 655/2015/R/IDR
(comma 19.9 lett. a)</t>
    </r>
  </si>
  <si>
    <r>
      <t>Op</t>
    </r>
    <r>
      <rPr>
        <vertAlign val="superscript"/>
        <sz val="10"/>
        <rFont val="Arial Narrow"/>
        <family val="2"/>
      </rPr>
      <t>new,a</t>
    </r>
    <r>
      <rPr>
        <sz val="10"/>
        <rFont val="Arial Narrow"/>
        <family val="2"/>
      </rPr>
      <t xml:space="preserve"> da foglio "Input per calcoli finali" (al netto della quota ERC)</t>
    </r>
  </si>
  <si>
    <t>Anno di riferimento per valutazione obiettivo ENE</t>
  </si>
  <si>
    <t>TT_riepilogo_IMN</t>
  </si>
  <si>
    <t>Riepilogo IMN</t>
  </si>
  <si>
    <t>Valore obiettivo ENE</t>
  </si>
  <si>
    <r>
      <rPr>
        <b/>
        <sz val="10"/>
        <rFont val="Arial Narrow"/>
        <family val="2"/>
      </rPr>
      <t>RC</t>
    </r>
    <r>
      <rPr>
        <b/>
        <vertAlign val="subscript"/>
        <sz val="10"/>
        <rFont val="Arial Narrow"/>
        <family val="2"/>
      </rPr>
      <t>TOT</t>
    </r>
    <r>
      <rPr>
        <sz val="10"/>
        <rFont val="Arial Narrow"/>
        <family val="2"/>
      </rPr>
      <t xml:space="preserve"> MTI-4 calcolati (include inflazione)</t>
    </r>
  </si>
  <si>
    <r>
      <t xml:space="preserve">Fattore di incremento </t>
    </r>
    <r>
      <rPr>
        <b/>
        <sz val="10"/>
        <color theme="1"/>
        <rFont val="Arial Narrow"/>
        <family val="2"/>
      </rPr>
      <t>Y</t>
    </r>
  </si>
  <si>
    <r>
      <t>1+</t>
    </r>
    <r>
      <rPr>
        <b/>
        <sz val="8.5"/>
        <color theme="1"/>
        <rFont val="Arial Narrow"/>
        <family val="2"/>
      </rPr>
      <t>α</t>
    </r>
    <r>
      <rPr>
        <b/>
        <sz val="10"/>
        <color theme="1"/>
        <rFont val="Arial Narrow"/>
        <family val="2"/>
      </rPr>
      <t>Y</t>
    </r>
  </si>
  <si>
    <t>Popolazione delle gestioni integrate</t>
  </si>
  <si>
    <r>
      <t>Op</t>
    </r>
    <r>
      <rPr>
        <vertAlign val="subscript"/>
        <sz val="10"/>
        <color theme="1"/>
        <rFont val="Arial Narrow"/>
        <family val="2"/>
      </rPr>
      <t>social</t>
    </r>
    <r>
      <rPr>
        <vertAlign val="superscript"/>
        <sz val="10"/>
        <color theme="1"/>
        <rFont val="Arial Narrow"/>
        <family val="2"/>
      </rPr>
      <t>a-2</t>
    </r>
  </si>
  <si>
    <r>
      <t>Op</t>
    </r>
    <r>
      <rPr>
        <vertAlign val="superscript"/>
        <sz val="10"/>
        <color theme="1"/>
        <rFont val="Arial Narrow"/>
        <family val="2"/>
      </rPr>
      <t>a-2</t>
    </r>
    <r>
      <rPr>
        <vertAlign val="subscript"/>
        <sz val="10"/>
        <color theme="1"/>
        <rFont val="Arial Narrow"/>
        <family val="2"/>
      </rPr>
      <t>mis</t>
    </r>
  </si>
  <si>
    <r>
      <t>Opex</t>
    </r>
    <r>
      <rPr>
        <i/>
        <vertAlign val="superscript"/>
        <sz val="10"/>
        <rFont val="Arial Narrow"/>
        <family val="2"/>
      </rPr>
      <t>a</t>
    </r>
    <r>
      <rPr>
        <i/>
        <vertAlign val="subscript"/>
        <sz val="10"/>
        <rFont val="Arial Narrow"/>
        <family val="2"/>
      </rPr>
      <t>QC</t>
    </r>
    <r>
      <rPr>
        <i/>
        <sz val="10"/>
        <rFont val="Arial Narrow"/>
        <family val="2"/>
      </rPr>
      <t xml:space="preserve"> - adeguamenti agli standard di qualità contrattuale di cui alla deliberazione 655/2015/R/IDR
(comma 19.9 lett. a)</t>
    </r>
  </si>
  <si>
    <r>
      <t>Opex</t>
    </r>
    <r>
      <rPr>
        <i/>
        <vertAlign val="superscript"/>
        <sz val="10"/>
        <rFont val="Arial Narrow"/>
        <family val="2"/>
      </rPr>
      <t>a</t>
    </r>
    <r>
      <rPr>
        <i/>
        <vertAlign val="subscript"/>
        <sz val="10"/>
        <rFont val="Arial Narrow"/>
        <family val="2"/>
      </rPr>
      <t>QC</t>
    </r>
    <r>
      <rPr>
        <i/>
        <sz val="10"/>
        <rFont val="Arial Narrow"/>
        <family val="2"/>
      </rPr>
      <t xml:space="preserve"> - oneri aggiuntivi relativi per l'adeguamento agli obiettivi di cui alla deliberazione 547/2019/R/IDR
(comma 19.9 lett. a)</t>
    </r>
  </si>
  <si>
    <r>
      <t>Δ</t>
    </r>
    <r>
      <rPr>
        <vertAlign val="subscript"/>
        <sz val="10"/>
        <rFont val="Arial Narrow"/>
        <family val="2"/>
      </rPr>
      <t>risparmio</t>
    </r>
    <r>
      <rPr>
        <sz val="10"/>
        <rFont val="Arial Narrow"/>
        <family val="2"/>
      </rPr>
      <t xml:space="preserve"> / dal 2026: Δ</t>
    </r>
    <r>
      <rPr>
        <vertAlign val="subscript"/>
        <sz val="10"/>
        <rFont val="Arial Narrow"/>
        <family val="2"/>
      </rPr>
      <t>risparmio</t>
    </r>
    <r>
      <rPr>
        <vertAlign val="superscript"/>
        <sz val="10"/>
        <rFont val="Arial Narrow"/>
        <family val="2"/>
      </rPr>
      <t>new</t>
    </r>
    <r>
      <rPr>
        <sz val="10"/>
        <rFont val="Arial Narrow"/>
        <family val="2"/>
      </rPr>
      <t xml:space="preserve"> </t>
    </r>
  </si>
  <si>
    <r>
      <t>CO</t>
    </r>
    <r>
      <rPr>
        <vertAlign val="superscript"/>
        <sz val="10"/>
        <color theme="1"/>
        <rFont val="Arial Narrow"/>
        <family val="2"/>
      </rPr>
      <t>medio,a-2</t>
    </r>
    <r>
      <rPr>
        <vertAlign val="subscript"/>
        <sz val="10"/>
        <color theme="1"/>
        <rFont val="Arial Narrow"/>
        <family val="2"/>
      </rPr>
      <t>EE</t>
    </r>
    <r>
      <rPr>
        <sz val="10"/>
        <color theme="1"/>
        <rFont val="Arial Narrow"/>
        <family val="2"/>
      </rPr>
      <t xml:space="preserve"> / dal 2026: Benchmark</t>
    </r>
    <r>
      <rPr>
        <vertAlign val="subscript"/>
        <sz val="10"/>
        <color theme="1"/>
        <rFont val="Arial Narrow"/>
        <family val="2"/>
      </rPr>
      <t>a-2</t>
    </r>
    <r>
      <rPr>
        <vertAlign val="superscript"/>
        <sz val="10"/>
        <color theme="1"/>
        <rFont val="Arial Narrow"/>
        <family val="2"/>
      </rPr>
      <t>EE</t>
    </r>
  </si>
  <si>
    <r>
      <rPr>
        <sz val="10"/>
        <rFont val="Symbol"/>
        <family val="1"/>
        <charset val="2"/>
      </rPr>
      <t>S</t>
    </r>
    <r>
      <rPr>
        <sz val="10"/>
        <rFont val="Arial Narrow"/>
        <family val="2"/>
      </rPr>
      <t xml:space="preserve">kWh </t>
    </r>
    <r>
      <rPr>
        <vertAlign val="superscript"/>
        <sz val="10"/>
        <rFont val="Arial Narrow"/>
        <family val="2"/>
      </rPr>
      <t>a-n</t>
    </r>
    <r>
      <rPr>
        <sz val="10"/>
        <rFont val="Arial Narrow"/>
        <family val="2"/>
      </rPr>
      <t>/4 / dal 2026</t>
    </r>
    <r>
      <rPr>
        <sz val="10"/>
        <rFont val="Symbol"/>
        <family val="1"/>
        <charset val="2"/>
      </rPr>
      <t>: S</t>
    </r>
    <r>
      <rPr>
        <sz val="10"/>
        <rFont val="Arial Narrow"/>
        <family val="2"/>
      </rPr>
      <t>(kWh+kWh</t>
    </r>
    <r>
      <rPr>
        <vertAlign val="subscript"/>
        <sz val="10"/>
        <rFont val="Arial Narrow"/>
        <family val="2"/>
      </rPr>
      <t>Aut</t>
    </r>
    <r>
      <rPr>
        <sz val="10"/>
        <rFont val="Arial Narrow"/>
        <family val="2"/>
      </rPr>
      <t>)</t>
    </r>
    <r>
      <rPr>
        <vertAlign val="superscript"/>
        <sz val="10"/>
        <color theme="1"/>
        <rFont val="Arial Narrow"/>
        <family val="2"/>
      </rPr>
      <t>a-n</t>
    </r>
    <r>
      <rPr>
        <sz val="10"/>
        <color theme="1"/>
        <rFont val="Arial Narrow"/>
        <family val="2"/>
      </rPr>
      <t>/4</t>
    </r>
  </si>
  <si>
    <r>
      <t>γ</t>
    </r>
    <r>
      <rPr>
        <vertAlign val="subscript"/>
        <sz val="10"/>
        <rFont val="Arial Narrow"/>
        <family val="2"/>
      </rPr>
      <t>EE</t>
    </r>
    <r>
      <rPr>
        <sz val="10"/>
        <rFont val="Arial Narrow"/>
        <family val="2"/>
      </rPr>
      <t xml:space="preserve"> / dal 2026: γ</t>
    </r>
    <r>
      <rPr>
        <vertAlign val="subscript"/>
        <sz val="10"/>
        <rFont val="Arial Narrow"/>
        <family val="2"/>
      </rPr>
      <t>EE</t>
    </r>
    <r>
      <rPr>
        <vertAlign val="superscript"/>
        <sz val="10"/>
        <rFont val="Arial Narrow"/>
        <family val="2"/>
      </rPr>
      <t>new</t>
    </r>
  </si>
  <si>
    <r>
      <t>ERC</t>
    </r>
    <r>
      <rPr>
        <i/>
        <vertAlign val="subscript"/>
        <sz val="10"/>
        <rFont val="Arial Narrow"/>
        <family val="2"/>
      </rPr>
      <t>QT</t>
    </r>
    <r>
      <rPr>
        <i/>
        <sz val="10"/>
        <rFont val="Arial Narrow"/>
        <family val="2"/>
      </rPr>
      <t xml:space="preserve"> comma 19.8 lett. a) - dati anni precedenti</t>
    </r>
  </si>
  <si>
    <r>
      <t>ERC</t>
    </r>
    <r>
      <rPr>
        <i/>
        <vertAlign val="subscript"/>
        <sz val="10"/>
        <rFont val="Arial Narrow"/>
        <family val="2"/>
      </rPr>
      <t>QT</t>
    </r>
    <r>
      <rPr>
        <i/>
        <sz val="10"/>
        <rFont val="Arial Narrow"/>
        <family val="2"/>
      </rPr>
      <t xml:space="preserve"> comma 19.8 lett. b)</t>
    </r>
  </si>
  <si>
    <r>
      <rPr>
        <sz val="10"/>
        <rFont val="Symbol"/>
        <family val="1"/>
        <charset val="2"/>
      </rPr>
      <t>S</t>
    </r>
    <r>
      <rPr>
        <sz val="10"/>
        <rFont val="Arial Narrow"/>
        <family val="2"/>
      </rPr>
      <t>(kWh+kWh</t>
    </r>
    <r>
      <rPr>
        <vertAlign val="subscript"/>
        <sz val="10"/>
        <rFont val="Arial Narrow"/>
        <family val="2"/>
      </rPr>
      <t>Aut</t>
    </r>
    <r>
      <rPr>
        <sz val="10"/>
        <rFont val="Arial Narrow"/>
        <family val="2"/>
      </rPr>
      <t>)</t>
    </r>
    <r>
      <rPr>
        <vertAlign val="superscript"/>
        <sz val="10"/>
        <color theme="1"/>
        <rFont val="Arial Narrow"/>
        <family val="2"/>
      </rPr>
      <t>a-n</t>
    </r>
    <r>
      <rPr>
        <sz val="10"/>
        <color theme="1"/>
        <rFont val="Arial Narrow"/>
        <family val="2"/>
      </rPr>
      <t>/4</t>
    </r>
  </si>
  <si>
    <r>
      <t>Δ</t>
    </r>
    <r>
      <rPr>
        <vertAlign val="subscript"/>
        <sz val="10"/>
        <rFont val="Arial Narrow"/>
        <family val="2"/>
      </rPr>
      <t>risparmio</t>
    </r>
    <r>
      <rPr>
        <vertAlign val="superscript"/>
        <sz val="10"/>
        <rFont val="Arial Narrow"/>
        <family val="2"/>
      </rPr>
      <t>new</t>
    </r>
    <r>
      <rPr>
        <sz val="10"/>
        <rFont val="Arial Narrow"/>
        <family val="2"/>
      </rPr>
      <t xml:space="preserve"> </t>
    </r>
  </si>
  <si>
    <r>
      <t>γ</t>
    </r>
    <r>
      <rPr>
        <vertAlign val="subscript"/>
        <sz val="10"/>
        <rFont val="Arial Narrow"/>
        <family val="2"/>
      </rPr>
      <t>EE</t>
    </r>
    <r>
      <rPr>
        <vertAlign val="superscript"/>
        <sz val="10"/>
        <rFont val="Arial Narrow"/>
        <family val="2"/>
      </rPr>
      <t>new</t>
    </r>
  </si>
  <si>
    <r>
      <t>Rc</t>
    </r>
    <r>
      <rPr>
        <vertAlign val="superscript"/>
        <sz val="10"/>
        <color theme="1"/>
        <rFont val="Arial Narrow"/>
        <family val="2"/>
      </rPr>
      <t>a</t>
    </r>
    <r>
      <rPr>
        <vertAlign val="subscript"/>
        <sz val="10"/>
        <color theme="1"/>
        <rFont val="Arial Narrow"/>
        <family val="2"/>
      </rPr>
      <t>b1</t>
    </r>
  </si>
  <si>
    <r>
      <t>Rc</t>
    </r>
    <r>
      <rPr>
        <vertAlign val="superscript"/>
        <sz val="10"/>
        <color theme="1"/>
        <rFont val="Arial Narrow"/>
        <family val="2"/>
      </rPr>
      <t>a</t>
    </r>
    <r>
      <rPr>
        <vertAlign val="subscript"/>
        <sz val="10"/>
        <color theme="1"/>
        <rFont val="Arial Narrow"/>
        <family val="2"/>
      </rPr>
      <t>b2</t>
    </r>
  </si>
  <si>
    <r>
      <t>Rc</t>
    </r>
    <r>
      <rPr>
        <vertAlign val="superscript"/>
        <sz val="10"/>
        <color theme="1"/>
        <rFont val="Arial Narrow"/>
        <family val="2"/>
      </rPr>
      <t>a</t>
    </r>
    <r>
      <rPr>
        <vertAlign val="subscript"/>
        <sz val="10"/>
        <color theme="1"/>
        <rFont val="Arial Narrow"/>
        <family val="2"/>
      </rPr>
      <t>Attività b</t>
    </r>
  </si>
  <si>
    <t>Sezione "Rimodulazioni degli RC"</t>
  </si>
  <si>
    <t>VRG_riepilogo</t>
  </si>
  <si>
    <t>Vincolo riconosciuto ai ricavi del gestore: riepilogo</t>
  </si>
  <si>
    <t>Spese processuali</t>
  </si>
  <si>
    <t>di cui spese processuali in cui la parte è risultata soccombente</t>
  </si>
  <si>
    <t>di terzi</t>
  </si>
  <si>
    <t>In caso di mancate aggregazioni compilare manualmente la popolazione di riferimento</t>
  </si>
  <si>
    <t>Anno tariffario a partire dal quale la gestione è integrata</t>
  </si>
  <si>
    <t>di supporto al calcolo per la selezione dello schema</t>
  </si>
  <si>
    <t>Volumi utenze industriali di cui al Titolo 4 (TICSI)</t>
  </si>
  <si>
    <t>compilazione manuale</t>
  </si>
  <si>
    <t>compilazione manuale in coerenza con i dati comunicati nelle precedenti edizioni</t>
  </si>
  <si>
    <t>Legenda per movimentazione LIC</t>
  </si>
  <si>
    <r>
      <t>Contributi
(valore puntuale riferito ai LIC</t>
    </r>
    <r>
      <rPr>
        <b/>
        <vertAlign val="subscript"/>
        <sz val="10"/>
        <color theme="0"/>
        <rFont val="Arial Narrow"/>
        <family val="2"/>
      </rPr>
      <t>ord</t>
    </r>
    <r>
      <rPr>
        <b/>
        <sz val="9"/>
        <color theme="0"/>
        <rFont val="Arial Narrow"/>
        <family val="2"/>
      </rPr>
      <t>)</t>
    </r>
  </si>
  <si>
    <t>Scostamento in ordine ai volumi fatturati
comma 28.3 lett. a) MTI-4</t>
  </si>
  <si>
    <t>Ricostruzione SALDO LIC per l'anno 2019</t>
  </si>
  <si>
    <r>
      <t>Produttoria(1+I</t>
    </r>
    <r>
      <rPr>
        <vertAlign val="superscript"/>
        <sz val="10"/>
        <color theme="1"/>
        <rFont val="Arial Narrow"/>
        <family val="2"/>
      </rPr>
      <t>t</t>
    </r>
    <r>
      <rPr>
        <sz val="10"/>
        <color theme="1"/>
        <rFont val="Arial Narrow"/>
        <family val="2"/>
      </rPr>
      <t>) 2014 - anno a</t>
    </r>
  </si>
  <si>
    <r>
      <rPr>
        <b/>
        <sz val="8.5"/>
        <rFont val="Symbol"/>
        <family val="1"/>
        <charset val="2"/>
      </rPr>
      <t>J</t>
    </r>
    <r>
      <rPr>
        <b/>
        <sz val="10"/>
        <rFont val="Arial Narrow"/>
        <family val="1"/>
        <charset val="2"/>
      </rPr>
      <t xml:space="preserve"> ANNO 2024</t>
    </r>
  </si>
  <si>
    <r>
      <rPr>
        <b/>
        <sz val="8.5"/>
        <rFont val="Symbol"/>
        <family val="1"/>
        <charset val="2"/>
      </rPr>
      <t>J</t>
    </r>
    <r>
      <rPr>
        <b/>
        <sz val="10"/>
        <rFont val="Arial Narrow"/>
        <family val="1"/>
        <charset val="2"/>
      </rPr>
      <t xml:space="preserve"> ANNO 2025</t>
    </r>
  </si>
  <si>
    <t>Teta medio applicato nella fatturazione dell'anno 2024</t>
  </si>
  <si>
    <t>Le tariffe riportate per il 2024 includono l'applicazione del Teta?</t>
  </si>
  <si>
    <t>Teta approvato dal soggetto competente per l'anno 2024</t>
  </si>
  <si>
    <t>Teta approvato dall'Autorità per l'anno 2024</t>
  </si>
  <si>
    <t>Le tariffe riportate per il 2025 includono l'applicazione del Teta?</t>
  </si>
  <si>
    <t>Teta medio applicato nella fatturazione dell'anno 2025</t>
  </si>
  <si>
    <t>Teta approvato dal soggetto competente per l'anno 2025</t>
  </si>
  <si>
    <t>Teta approvato dall'Autorità per l'anno 2025</t>
  </si>
  <si>
    <r>
      <t>tar</t>
    </r>
    <r>
      <rPr>
        <vertAlign val="superscript"/>
        <sz val="12"/>
        <color indexed="8"/>
        <rFont val="Arial Narrow"/>
        <family val="2"/>
      </rPr>
      <t>2024</t>
    </r>
    <r>
      <rPr>
        <sz val="12"/>
        <color indexed="8"/>
        <rFont val="Arial Narrow"/>
        <family val="2"/>
      </rPr>
      <t>*vol</t>
    </r>
    <r>
      <rPr>
        <vertAlign val="superscript"/>
        <sz val="12"/>
        <color indexed="8"/>
        <rFont val="Arial Narrow"/>
        <family val="2"/>
      </rPr>
      <t>2024</t>
    </r>
  </si>
  <si>
    <r>
      <t>tar</t>
    </r>
    <r>
      <rPr>
        <vertAlign val="superscript"/>
        <sz val="12"/>
        <color indexed="8"/>
        <rFont val="Arial Narrow"/>
        <family val="2"/>
      </rPr>
      <t>2025</t>
    </r>
    <r>
      <rPr>
        <sz val="12"/>
        <color indexed="8"/>
        <rFont val="Arial Narrow"/>
        <family val="2"/>
      </rPr>
      <t>*vol</t>
    </r>
    <r>
      <rPr>
        <vertAlign val="superscript"/>
        <sz val="12"/>
        <color indexed="8"/>
        <rFont val="Arial Narrow"/>
        <family val="2"/>
      </rPr>
      <t>2025</t>
    </r>
  </si>
  <si>
    <t>per tariffe 2026</t>
  </si>
  <si>
    <t>per tariffe 2027</t>
  </si>
  <si>
    <r>
      <t xml:space="preserve">Min di scaglione
</t>
    </r>
    <r>
      <rPr>
        <sz val="10"/>
        <rFont val="Arial Narrow"/>
        <family val="2"/>
      </rPr>
      <t>(m</t>
    </r>
    <r>
      <rPr>
        <vertAlign val="superscript"/>
        <sz val="10"/>
        <rFont val="Arial Narrow"/>
        <family val="2"/>
      </rPr>
      <t>3</t>
    </r>
    <r>
      <rPr>
        <sz val="10"/>
        <rFont val="Arial Narrow"/>
        <family val="2"/>
      </rPr>
      <t>/2024)</t>
    </r>
  </si>
  <si>
    <r>
      <t xml:space="preserve">Max di scaglione
</t>
    </r>
    <r>
      <rPr>
        <sz val="10"/>
        <rFont val="Arial Narrow"/>
        <family val="2"/>
      </rPr>
      <t>(m</t>
    </r>
    <r>
      <rPr>
        <vertAlign val="superscript"/>
        <sz val="10"/>
        <rFont val="Arial Narrow"/>
        <family val="2"/>
      </rPr>
      <t>3</t>
    </r>
    <r>
      <rPr>
        <sz val="10"/>
        <rFont val="Arial Narrow"/>
        <family val="2"/>
      </rPr>
      <t>/2024)</t>
    </r>
  </si>
  <si>
    <r>
      <t xml:space="preserve">Min di scaglione
</t>
    </r>
    <r>
      <rPr>
        <sz val="10"/>
        <rFont val="Arial Narrow"/>
        <family val="2"/>
      </rPr>
      <t>(m</t>
    </r>
    <r>
      <rPr>
        <vertAlign val="superscript"/>
        <sz val="10"/>
        <rFont val="Arial Narrow"/>
        <family val="2"/>
      </rPr>
      <t>3</t>
    </r>
    <r>
      <rPr>
        <sz val="10"/>
        <rFont val="Arial Narrow"/>
        <family val="2"/>
      </rPr>
      <t>/2025)</t>
    </r>
  </si>
  <si>
    <r>
      <t xml:space="preserve">Max di scaglione
</t>
    </r>
    <r>
      <rPr>
        <sz val="10"/>
        <rFont val="Arial Narrow"/>
        <family val="2"/>
      </rPr>
      <t>(m</t>
    </r>
    <r>
      <rPr>
        <vertAlign val="superscript"/>
        <sz val="10"/>
        <rFont val="Arial Narrow"/>
        <family val="2"/>
      </rPr>
      <t>3</t>
    </r>
    <r>
      <rPr>
        <sz val="10"/>
        <rFont val="Arial Narrow"/>
        <family val="2"/>
      </rPr>
      <t>/2025)</t>
    </r>
  </si>
  <si>
    <r>
      <t>QV</t>
    </r>
    <r>
      <rPr>
        <sz val="10"/>
        <rFont val="Arial Narrow"/>
        <family val="2"/>
      </rPr>
      <t xml:space="preserve"> (Euro/m</t>
    </r>
    <r>
      <rPr>
        <vertAlign val="superscript"/>
        <sz val="10"/>
        <rFont val="Arial Narrow"/>
        <family val="2"/>
      </rPr>
      <t>3</t>
    </r>
    <r>
      <rPr>
        <sz val="10"/>
        <rFont val="Arial Narrow"/>
        <family val="2"/>
      </rPr>
      <t xml:space="preserve">)
</t>
    </r>
    <r>
      <rPr>
        <i/>
        <sz val="10"/>
        <rFont val="Arial Narrow"/>
        <family val="2"/>
      </rPr>
      <t>2024</t>
    </r>
  </si>
  <si>
    <r>
      <t>QV</t>
    </r>
    <r>
      <rPr>
        <sz val="10"/>
        <rFont val="Arial Narrow"/>
        <family val="2"/>
      </rPr>
      <t xml:space="preserve"> (Euro/m</t>
    </r>
    <r>
      <rPr>
        <vertAlign val="superscript"/>
        <sz val="10"/>
        <rFont val="Arial Narrow"/>
        <family val="2"/>
      </rPr>
      <t>3</t>
    </r>
    <r>
      <rPr>
        <sz val="10"/>
        <rFont val="Arial Narrow"/>
        <family val="2"/>
      </rPr>
      <t xml:space="preserve">)
</t>
    </r>
    <r>
      <rPr>
        <i/>
        <sz val="10"/>
        <rFont val="Arial Narrow"/>
        <family val="2"/>
      </rPr>
      <t>2025</t>
    </r>
  </si>
  <si>
    <r>
      <t xml:space="preserve">Volumi </t>
    </r>
    <r>
      <rPr>
        <sz val="10"/>
        <rFont val="Arial Narrow"/>
        <family val="2"/>
      </rPr>
      <t>(m</t>
    </r>
    <r>
      <rPr>
        <vertAlign val="superscript"/>
        <sz val="10"/>
        <rFont val="Arial Narrow"/>
        <family val="2"/>
      </rPr>
      <t>3</t>
    </r>
    <r>
      <rPr>
        <sz val="10"/>
        <rFont val="Arial Narrow"/>
        <family val="2"/>
      </rPr>
      <t xml:space="preserve">/anno)
</t>
    </r>
    <r>
      <rPr>
        <i/>
        <sz val="10"/>
        <rFont val="Arial Narrow"/>
        <family val="2"/>
      </rPr>
      <t>2024</t>
    </r>
  </si>
  <si>
    <r>
      <t xml:space="preserve">Volumi </t>
    </r>
    <r>
      <rPr>
        <sz val="10"/>
        <rFont val="Arial Narrow"/>
        <family val="2"/>
      </rPr>
      <t>(m</t>
    </r>
    <r>
      <rPr>
        <vertAlign val="superscript"/>
        <sz val="10"/>
        <rFont val="Arial Narrow"/>
        <family val="2"/>
      </rPr>
      <t>3</t>
    </r>
    <r>
      <rPr>
        <sz val="10"/>
        <rFont val="Arial Narrow"/>
        <family val="2"/>
      </rPr>
      <t xml:space="preserve">/anno)
</t>
    </r>
    <r>
      <rPr>
        <i/>
        <sz val="10"/>
        <rFont val="Arial Narrow"/>
        <family val="2"/>
      </rPr>
      <t>2025</t>
    </r>
  </si>
  <si>
    <r>
      <t>QF</t>
    </r>
    <r>
      <rPr>
        <sz val="10"/>
        <rFont val="Arial Narrow"/>
        <family val="2"/>
      </rPr>
      <t xml:space="preserve"> (Euro/utenti/anno)
</t>
    </r>
    <r>
      <rPr>
        <i/>
        <sz val="10"/>
        <rFont val="Arial Narrow"/>
        <family val="2"/>
      </rPr>
      <t>2024</t>
    </r>
  </si>
  <si>
    <r>
      <t>QF</t>
    </r>
    <r>
      <rPr>
        <sz val="10"/>
        <rFont val="Arial Narrow"/>
        <family val="2"/>
      </rPr>
      <t xml:space="preserve"> (Euro/utenti/anno)
</t>
    </r>
    <r>
      <rPr>
        <i/>
        <sz val="10"/>
        <rFont val="Arial Narrow"/>
        <family val="2"/>
      </rPr>
      <t>2025</t>
    </r>
  </si>
  <si>
    <r>
      <t xml:space="preserve">Utenze </t>
    </r>
    <r>
      <rPr>
        <sz val="10"/>
        <rFont val="Arial Narrow"/>
        <family val="2"/>
      </rPr>
      <t xml:space="preserve">(numero/anno)
</t>
    </r>
    <r>
      <rPr>
        <i/>
        <sz val="10"/>
        <rFont val="Arial Narrow"/>
        <family val="2"/>
      </rPr>
      <t>2023</t>
    </r>
  </si>
  <si>
    <r>
      <t xml:space="preserve">Utenze </t>
    </r>
    <r>
      <rPr>
        <sz val="10"/>
        <rFont val="Arial Narrow"/>
        <family val="2"/>
      </rPr>
      <t xml:space="preserve">(numero/anno)
</t>
    </r>
    <r>
      <rPr>
        <i/>
        <sz val="10"/>
        <rFont val="Arial Narrow"/>
        <family val="2"/>
      </rPr>
      <t>2024</t>
    </r>
  </si>
  <si>
    <r>
      <t xml:space="preserve">Utenze </t>
    </r>
    <r>
      <rPr>
        <sz val="10"/>
        <rFont val="Arial Narrow"/>
        <family val="2"/>
      </rPr>
      <t xml:space="preserve">(numero/anno)
</t>
    </r>
    <r>
      <rPr>
        <i/>
        <sz val="10"/>
        <rFont val="Arial Narrow"/>
        <family val="2"/>
      </rPr>
      <t>2025</t>
    </r>
  </si>
  <si>
    <r>
      <t xml:space="preserve">Utenze raggruppate/ condominiali </t>
    </r>
    <r>
      <rPr>
        <sz val="10"/>
        <rFont val="Arial Narrow"/>
        <family val="2"/>
      </rPr>
      <t>(numero/anno)</t>
    </r>
    <r>
      <rPr>
        <b/>
        <sz val="10"/>
        <rFont val="Arial Narrow"/>
        <family val="2"/>
      </rPr>
      <t xml:space="preserve"> </t>
    </r>
    <r>
      <rPr>
        <i/>
        <sz val="10"/>
        <rFont val="Arial Narrow"/>
        <family val="2"/>
      </rPr>
      <t>2025</t>
    </r>
  </si>
  <si>
    <r>
      <t>Utenti indiretti sottesi alle utenze raggruppate/ condominiali</t>
    </r>
    <r>
      <rPr>
        <sz val="10"/>
        <rFont val="Arial Narrow"/>
        <family val="2"/>
      </rPr>
      <t xml:space="preserve"> (numero/anno)</t>
    </r>
    <r>
      <rPr>
        <b/>
        <sz val="10"/>
        <rFont val="Arial Narrow"/>
        <family val="2"/>
      </rPr>
      <t xml:space="preserve"> </t>
    </r>
    <r>
      <rPr>
        <i/>
        <sz val="10"/>
        <rFont val="Arial Narrow"/>
        <family val="2"/>
      </rPr>
      <t>2025</t>
    </r>
  </si>
  <si>
    <r>
      <t xml:space="preserve">Volumi delle utenze raggruppate/ condominiali </t>
    </r>
    <r>
      <rPr>
        <sz val="10"/>
        <rFont val="Arial Narrow"/>
        <family val="2"/>
      </rPr>
      <t xml:space="preserve">(m3/anno) </t>
    </r>
    <r>
      <rPr>
        <i/>
        <sz val="10"/>
        <rFont val="Arial Narrow"/>
        <family val="2"/>
      </rPr>
      <t>2025</t>
    </r>
  </si>
  <si>
    <r>
      <t xml:space="preserve">UTENTI FINALI
</t>
    </r>
    <r>
      <rPr>
        <sz val="10"/>
        <rFont val="Arial Narrow"/>
        <family val="2"/>
      </rPr>
      <t>(numero/anno) 2025</t>
    </r>
  </si>
  <si>
    <r>
      <t>tar</t>
    </r>
    <r>
      <rPr>
        <vertAlign val="superscript"/>
        <sz val="10"/>
        <color theme="1"/>
        <rFont val="Arial Narrow"/>
        <family val="2"/>
      </rPr>
      <t>2024</t>
    </r>
    <r>
      <rPr>
        <sz val="10"/>
        <color theme="1"/>
        <rFont val="Arial Narrow"/>
        <family val="2"/>
      </rPr>
      <t>*vscal</t>
    </r>
    <r>
      <rPr>
        <vertAlign val="superscript"/>
        <sz val="10"/>
        <color theme="1"/>
        <rFont val="Arial Narrow"/>
        <family val="2"/>
      </rPr>
      <t>2024</t>
    </r>
  </si>
  <si>
    <r>
      <t>tar</t>
    </r>
    <r>
      <rPr>
        <vertAlign val="superscript"/>
        <sz val="10"/>
        <color theme="1"/>
        <rFont val="Arial Narrow"/>
        <family val="2"/>
      </rPr>
      <t>2025</t>
    </r>
    <r>
      <rPr>
        <sz val="10"/>
        <color theme="1"/>
        <rFont val="Arial Narrow"/>
        <family val="2"/>
      </rPr>
      <t>*vscal</t>
    </r>
    <r>
      <rPr>
        <vertAlign val="superscript"/>
        <sz val="10"/>
        <color theme="1"/>
        <rFont val="Arial Narrow"/>
        <family val="2"/>
      </rPr>
      <t>2025</t>
    </r>
  </si>
  <si>
    <t>IMN gestore ante 2023</t>
  </si>
  <si>
    <t>Immobilizzazioni del gestore (solo immobilizzazioni al 2022 incluso)</t>
  </si>
  <si>
    <r>
      <t xml:space="preserve">Investimenti 2023
</t>
    </r>
    <r>
      <rPr>
        <i/>
        <sz val="10"/>
        <color theme="1"/>
        <rFont val="Arial Narrow"/>
        <family val="2"/>
      </rPr>
      <t xml:space="preserve">Le colonne da D a M devono mostrare gli investimenti relativi al 2023 come da predisposizione tariffaria MTI-4
</t>
    </r>
    <r>
      <rPr>
        <i/>
        <sz val="10"/>
        <color rgb="FFFF0000"/>
        <rFont val="Arial Narrow"/>
        <family val="2"/>
      </rPr>
      <t>Indicare nelle colonne N e O eventuali variazioni</t>
    </r>
    <r>
      <rPr>
        <i/>
        <sz val="10"/>
        <color theme="1"/>
        <rFont val="Arial Narrow"/>
        <family val="2"/>
      </rPr>
      <t xml:space="preserve"> motivandole in relazione di accompagnamento, altrimenti ricopiare i valori dalle adiacenti colonne. 
</t>
    </r>
    <r>
      <rPr>
        <i/>
        <u/>
        <sz val="10"/>
        <color rgb="FFFF0000"/>
        <rFont val="Arial Narrow"/>
        <family val="2"/>
      </rPr>
      <t>La mancata compilazione delle colonne N e O escluderà tali cespiti dal calcolo.</t>
    </r>
  </si>
  <si>
    <t>Investimenti EFFETTIVI del 2023 (non lasciare campi vuoti)</t>
  </si>
  <si>
    <r>
      <t>γ</t>
    </r>
    <r>
      <rPr>
        <vertAlign val="subscript"/>
        <sz val="10"/>
        <color theme="1"/>
        <rFont val="Arial Narrow"/>
        <family val="2"/>
      </rPr>
      <t>b1com</t>
    </r>
  </si>
  <si>
    <r>
      <t>%b</t>
    </r>
    <r>
      <rPr>
        <vertAlign val="subscript"/>
        <sz val="10"/>
        <color theme="1"/>
        <rFont val="Arial Narrow"/>
        <family val="2"/>
      </rPr>
      <t>reg</t>
    </r>
  </si>
  <si>
    <r>
      <t>Co</t>
    </r>
    <r>
      <rPr>
        <vertAlign val="subscript"/>
        <sz val="10"/>
        <color theme="1"/>
        <rFont val="Arial Narrow"/>
        <family val="2"/>
      </rPr>
      <t>ee,consuntivo 2023</t>
    </r>
  </si>
  <si>
    <r>
      <t>Kwh</t>
    </r>
    <r>
      <rPr>
        <vertAlign val="subscript"/>
        <sz val="10"/>
        <color theme="1"/>
        <rFont val="Arial Narrow"/>
        <family val="2"/>
      </rPr>
      <t>consuntivo 2023</t>
    </r>
  </si>
  <si>
    <r>
      <t>Co</t>
    </r>
    <r>
      <rPr>
        <vertAlign val="subscript"/>
        <sz val="10"/>
        <color theme="1"/>
        <rFont val="Arial Narrow"/>
        <family val="2"/>
      </rPr>
      <t>ee,preconsuntivo 2023</t>
    </r>
  </si>
  <si>
    <r>
      <t>Kwh</t>
    </r>
    <r>
      <rPr>
        <vertAlign val="subscript"/>
        <sz val="10"/>
        <color theme="1"/>
        <rFont val="Arial Narrow"/>
        <family val="2"/>
      </rPr>
      <t>preconsuntivo 2023</t>
    </r>
  </si>
  <si>
    <t>639/2023</t>
  </si>
  <si>
    <t>Eventuale procedura a evidenza pubblica con indispobibilità dei requisiti infomativi minimi art. 11 Allegato A Del. 347/2025/R/Idr</t>
  </si>
  <si>
    <t>LICa lordo contributi (ingresso)</t>
  </si>
  <si>
    <t>LICa netto contributi
(ingresso)</t>
  </si>
  <si>
    <t>LIC 2022
(uscita)</t>
  </si>
  <si>
    <t>LIC 2023
(uscita)</t>
  </si>
  <si>
    <t>LIC 2024
(uscita)</t>
  </si>
  <si>
    <t>LIC 2025
(uscita)</t>
  </si>
  <si>
    <t>LIC 2026
(uscita)</t>
  </si>
  <si>
    <t>LIC 2027
(uscita)</t>
  </si>
  <si>
    <t>Kreg</t>
  </si>
  <si>
    <t>Xreg</t>
  </si>
  <si>
    <t>Compilare i campi in colonna K--&gt;</t>
  </si>
  <si>
    <t>Compilare il campo in colonna K--&gt;</t>
  </si>
  <si>
    <r>
      <t>tar</t>
    </r>
    <r>
      <rPr>
        <vertAlign val="superscript"/>
        <sz val="12"/>
        <color indexed="8"/>
        <rFont val="Arial Narrow"/>
        <family val="2"/>
      </rPr>
      <t>2023</t>
    </r>
    <r>
      <rPr>
        <sz val="12"/>
        <color indexed="8"/>
        <rFont val="Arial Narrow"/>
        <family val="2"/>
      </rPr>
      <t>*vol</t>
    </r>
    <r>
      <rPr>
        <vertAlign val="superscript"/>
        <sz val="12"/>
        <color indexed="8"/>
        <rFont val="Arial Narrow"/>
        <family val="2"/>
      </rPr>
      <t>2024</t>
    </r>
  </si>
  <si>
    <r>
      <t>tar</t>
    </r>
    <r>
      <rPr>
        <vertAlign val="superscript"/>
        <sz val="12"/>
        <color indexed="8"/>
        <rFont val="Arial Narrow"/>
        <family val="2"/>
      </rPr>
      <t>2023</t>
    </r>
    <r>
      <rPr>
        <sz val="12"/>
        <color indexed="8"/>
        <rFont val="Arial Narrow"/>
        <family val="2"/>
      </rPr>
      <t>*vol</t>
    </r>
    <r>
      <rPr>
        <vertAlign val="superscript"/>
        <sz val="12"/>
        <color indexed="8"/>
        <rFont val="Arial Narrow"/>
        <family val="2"/>
      </rPr>
      <t>2025</t>
    </r>
  </si>
  <si>
    <r>
      <rPr>
        <sz val="10"/>
        <color theme="1"/>
        <rFont val="Arial Narrow"/>
        <family val="2"/>
      </rPr>
      <t xml:space="preserve">selezione dello schema dati storici </t>
    </r>
    <r>
      <rPr>
        <b/>
        <sz val="10"/>
        <color theme="1"/>
        <rFont val="Arial Narrow"/>
        <family val="2"/>
      </rPr>
      <t>(dati storici)</t>
    </r>
  </si>
  <si>
    <r>
      <rPr>
        <sz val="10"/>
        <color theme="1"/>
        <rFont val="Arial Narrow"/>
        <family val="2"/>
      </rPr>
      <t xml:space="preserve">limite alla crescita annuale del moltiplicatore tariffario </t>
    </r>
    <r>
      <rPr>
        <b/>
        <sz val="10"/>
        <color theme="1"/>
        <rFont val="Arial Narrow"/>
        <family val="2"/>
      </rPr>
      <t>(dati storici)</t>
    </r>
  </si>
  <si>
    <t>Compilare il campo in colonna K--&gt;
(valori in %)</t>
  </si>
  <si>
    <t>morosità - art.30.2-bis</t>
  </si>
  <si>
    <t>Conguagli rinviati MTI-2 aggiornamento (2016-2019)</t>
  </si>
  <si>
    <r>
      <rPr>
        <b/>
        <sz val="10"/>
        <color indexed="8"/>
        <rFont val="Arial Narrow"/>
        <family val="2"/>
      </rPr>
      <t>∏(1+I</t>
    </r>
    <r>
      <rPr>
        <b/>
        <vertAlign val="superscript"/>
        <sz val="10"/>
        <color indexed="8"/>
        <rFont val="Arial Narrow"/>
        <family val="2"/>
      </rPr>
      <t>t</t>
    </r>
    <r>
      <rPr>
        <b/>
        <sz val="10"/>
        <color indexed="8"/>
        <rFont val="Arial Narrow"/>
        <family val="2"/>
      </rPr>
      <t>)</t>
    </r>
    <r>
      <rPr>
        <sz val="10"/>
        <rFont val="Arial Narrow"/>
        <family val="2"/>
      </rPr>
      <t xml:space="preserve"> (da 2022 ad a)</t>
    </r>
  </si>
  <si>
    <r>
      <rPr>
        <b/>
        <sz val="10"/>
        <color indexed="8"/>
        <rFont val="Arial Narrow"/>
        <family val="2"/>
      </rPr>
      <t>∏(1+I</t>
    </r>
    <r>
      <rPr>
        <b/>
        <vertAlign val="superscript"/>
        <sz val="10"/>
        <color indexed="8"/>
        <rFont val="Arial Narrow"/>
        <family val="2"/>
      </rPr>
      <t>t</t>
    </r>
    <r>
      <rPr>
        <b/>
        <sz val="10"/>
        <color indexed="8"/>
        <rFont val="Arial Narrow"/>
        <family val="2"/>
      </rPr>
      <t>)</t>
    </r>
    <r>
      <rPr>
        <sz val="10"/>
        <rFont val="Arial Narrow"/>
        <family val="2"/>
      </rPr>
      <t xml:space="preserve"> (da 2025 ad a)</t>
    </r>
  </si>
  <si>
    <r>
      <t>Op</t>
    </r>
    <r>
      <rPr>
        <i/>
        <vertAlign val="superscript"/>
        <sz val="10"/>
        <rFont val="Arial Narrow"/>
        <family val="2"/>
      </rPr>
      <t>a</t>
    </r>
    <r>
      <rPr>
        <i/>
        <vertAlign val="subscript"/>
        <sz val="10"/>
        <rFont val="Arial Narrow"/>
        <family val="2"/>
      </rPr>
      <t>social</t>
    </r>
    <r>
      <rPr>
        <i/>
        <sz val="10"/>
        <rFont val="Arial Narrow"/>
        <family val="2"/>
      </rPr>
      <t xml:space="preserve"> - lett. a)</t>
    </r>
  </si>
  <si>
    <r>
      <t>Op</t>
    </r>
    <r>
      <rPr>
        <i/>
        <vertAlign val="superscript"/>
        <sz val="10"/>
        <rFont val="Arial Narrow"/>
        <family val="2"/>
      </rPr>
      <t>a</t>
    </r>
    <r>
      <rPr>
        <i/>
        <vertAlign val="subscript"/>
        <sz val="10"/>
        <rFont val="Arial Narrow"/>
        <family val="2"/>
      </rPr>
      <t>social</t>
    </r>
    <r>
      <rPr>
        <i/>
        <sz val="10"/>
        <rFont val="Arial Narrow"/>
        <family val="2"/>
      </rPr>
      <t xml:space="preserve"> - lett. a-bis)</t>
    </r>
  </si>
  <si>
    <r>
      <t>Op</t>
    </r>
    <r>
      <rPr>
        <i/>
        <vertAlign val="superscript"/>
        <sz val="10"/>
        <rFont val="Arial Narrow"/>
        <family val="2"/>
      </rPr>
      <t>a</t>
    </r>
    <r>
      <rPr>
        <i/>
        <vertAlign val="subscript"/>
        <sz val="10"/>
        <rFont val="Arial Narrow"/>
        <family val="2"/>
      </rPr>
      <t>social</t>
    </r>
    <r>
      <rPr>
        <i/>
        <sz val="10"/>
        <rFont val="Arial Narrow"/>
        <family val="2"/>
      </rPr>
      <t xml:space="preserve"> - lett. b)</t>
    </r>
  </si>
  <si>
    <r>
      <t>ΣV</t>
    </r>
    <r>
      <rPr>
        <b/>
        <vertAlign val="subscript"/>
        <sz val="10"/>
        <rFont val="Calibri"/>
        <family val="2"/>
      </rPr>
      <t xml:space="preserve">p </t>
    </r>
    <r>
      <rPr>
        <b/>
        <sz val="10"/>
        <rFont val="Calibri"/>
        <family val="2"/>
      </rPr>
      <t>(m3)</t>
    </r>
    <r>
      <rPr>
        <b/>
        <sz val="10"/>
        <rFont val="Calibri"/>
        <family val="2"/>
        <scheme val="minor"/>
      </rPr>
      <t xml:space="preserve">
Anno 2024</t>
    </r>
  </si>
  <si>
    <r>
      <t>ΣV</t>
    </r>
    <r>
      <rPr>
        <b/>
        <vertAlign val="subscript"/>
        <sz val="10"/>
        <rFont val="Calibri"/>
        <family val="2"/>
      </rPr>
      <t xml:space="preserve">p </t>
    </r>
    <r>
      <rPr>
        <b/>
        <sz val="10"/>
        <rFont val="Calibri"/>
        <family val="2"/>
      </rPr>
      <t>(m3)</t>
    </r>
    <r>
      <rPr>
        <b/>
        <sz val="10"/>
        <rFont val="Calibri"/>
        <family val="2"/>
        <scheme val="minor"/>
      </rPr>
      <t xml:space="preserve">
Anno 2025</t>
    </r>
  </si>
  <si>
    <t>Del. 582/2025/R/IDR</t>
  </si>
  <si>
    <r>
      <t>Opex</t>
    </r>
    <r>
      <rPr>
        <vertAlign val="subscript"/>
        <sz val="10"/>
        <color indexed="8"/>
        <rFont val="Arial Narrow"/>
        <family val="2"/>
      </rPr>
      <t>QT</t>
    </r>
    <r>
      <rPr>
        <sz val="10"/>
        <color indexed="8"/>
        <rFont val="Arial Narrow"/>
        <family val="2"/>
      </rPr>
      <t>, lett. a) co. 19.8 MTI-4</t>
    </r>
  </si>
  <si>
    <r>
      <t>Opex</t>
    </r>
    <r>
      <rPr>
        <vertAlign val="subscript"/>
        <sz val="10"/>
        <color indexed="8"/>
        <rFont val="Arial Narrow"/>
        <family val="2"/>
      </rPr>
      <t>QC</t>
    </r>
    <r>
      <rPr>
        <sz val="10"/>
        <color indexed="8"/>
        <rFont val="Arial Narrow"/>
        <family val="2"/>
      </rPr>
      <t xml:space="preserve"> lett. a) co. 19.9 MTI-4 (655/2015/R/IDR)</t>
    </r>
  </si>
  <si>
    <r>
      <t>Opex</t>
    </r>
    <r>
      <rPr>
        <vertAlign val="subscript"/>
        <sz val="10"/>
        <color indexed="8"/>
        <rFont val="Arial Narrow"/>
        <family val="2"/>
      </rPr>
      <t>QC</t>
    </r>
    <r>
      <rPr>
        <sz val="10"/>
        <color indexed="8"/>
        <rFont val="Arial Narrow"/>
        <family val="2"/>
      </rPr>
      <t xml:space="preserve"> lett. a) co. 19.9 MTI-4 (547/2019/R/IDR)</t>
    </r>
  </si>
  <si>
    <r>
      <t>CO</t>
    </r>
    <r>
      <rPr>
        <vertAlign val="superscript"/>
        <sz val="10"/>
        <rFont val="Arial Narrow"/>
        <family val="2"/>
      </rPr>
      <t>reali</t>
    </r>
    <r>
      <rPr>
        <vertAlign val="subscript"/>
        <sz val="10"/>
        <rFont val="Arial Narrow"/>
        <family val="2"/>
      </rPr>
      <t>EE</t>
    </r>
    <r>
      <rPr>
        <sz val="10"/>
        <rFont val="Arial Narrow"/>
        <family val="2"/>
      </rPr>
      <t xml:space="preserve"> 
(altre gruppo - SII)</t>
    </r>
  </si>
  <si>
    <r>
      <t>CO</t>
    </r>
    <r>
      <rPr>
        <vertAlign val="superscript"/>
        <sz val="10"/>
        <rFont val="Arial Narrow"/>
        <family val="2"/>
      </rPr>
      <t>reali</t>
    </r>
    <r>
      <rPr>
        <vertAlign val="subscript"/>
        <sz val="10"/>
        <rFont val="Arial Narrow"/>
        <family val="2"/>
      </rPr>
      <t>EE</t>
    </r>
    <r>
      <rPr>
        <sz val="10"/>
        <rFont val="Arial Narrow"/>
        <family val="2"/>
      </rPr>
      <t xml:space="preserve"> 
(altre imprese - SII)</t>
    </r>
  </si>
  <si>
    <r>
      <t>RC</t>
    </r>
    <r>
      <rPr>
        <vertAlign val="subscript"/>
        <sz val="10"/>
        <color indexed="8"/>
        <rFont val="Arial Narrow"/>
        <family val="2"/>
      </rPr>
      <t>appr</t>
    </r>
    <r>
      <rPr>
        <sz val="10"/>
        <color indexed="8"/>
        <rFont val="Arial Narrow"/>
        <family val="2"/>
      </rPr>
      <t xml:space="preserve"> MTI-3 agg</t>
    </r>
  </si>
  <si>
    <t>2022-2023</t>
  </si>
  <si>
    <t>Costi operativi e conguagli 2025</t>
  </si>
  <si>
    <r>
      <t>K</t>
    </r>
    <r>
      <rPr>
        <vertAlign val="subscript"/>
        <sz val="10"/>
        <rFont val="Arial Narrow"/>
        <family val="2"/>
      </rPr>
      <t>m</t>
    </r>
    <r>
      <rPr>
        <sz val="10"/>
        <rFont val="Arial Narrow"/>
        <family val="2"/>
      </rPr>
      <t xml:space="preserve"> + α
(ex del. 639/2023)</t>
    </r>
  </si>
  <si>
    <r>
      <rPr>
        <i/>
        <sz val="10"/>
        <color indexed="8"/>
        <rFont val="Arial Narrow"/>
        <family val="2"/>
      </rPr>
      <t>Rai rate</t>
    </r>
    <r>
      <rPr>
        <sz val="10"/>
        <rFont val="Arial Narrow"/>
        <family val="2"/>
      </rPr>
      <t xml:space="preserve">
(ex del. 639/2023)</t>
    </r>
  </si>
  <si>
    <t>Costi operativi e conguagli
comma 28.3 lett. b-bis) MTI-4</t>
  </si>
  <si>
    <t>RCARC - art. 29 lett a) MTI-4</t>
  </si>
  <si>
    <t>RCARC - art. 29 lett b) MTI-4</t>
  </si>
  <si>
    <t>RCARC - art. 29 lett c) MTI-4</t>
  </si>
  <si>
    <t>Penalità RQSII - Delibera 277/2025/R/IDR (decurtazione VRG)</t>
  </si>
  <si>
    <t>Penalità RQTI - Delibera 225/2025/R/IDR (decurtazione VRG)</t>
  </si>
  <si>
    <t>Schema VI</t>
  </si>
  <si>
    <t>Schema V</t>
  </si>
  <si>
    <t>Schema I</t>
  </si>
  <si>
    <t>Schema II</t>
  </si>
  <si>
    <t>Schema III</t>
  </si>
  <si>
    <t>Schema IV</t>
  </si>
  <si>
    <r>
      <t>per calcolo RC</t>
    </r>
    <r>
      <rPr>
        <b/>
        <vertAlign val="subscript"/>
        <sz val="10"/>
        <rFont val="Arial Narrow"/>
        <family val="2"/>
      </rPr>
      <t>vol</t>
    </r>
    <r>
      <rPr>
        <b/>
        <sz val="10"/>
        <rFont val="Arial Narrow"/>
        <family val="2"/>
      </rPr>
      <t xml:space="preserve"> </t>
    </r>
    <r>
      <rPr>
        <b/>
        <vertAlign val="superscript"/>
        <sz val="10"/>
        <rFont val="Arial Narrow"/>
        <family val="2"/>
      </rPr>
      <t>2026</t>
    </r>
  </si>
  <si>
    <r>
      <t>per calcolo RC</t>
    </r>
    <r>
      <rPr>
        <b/>
        <vertAlign val="subscript"/>
        <sz val="10"/>
        <rFont val="Arial Narrow"/>
        <family val="2"/>
      </rPr>
      <t>vol</t>
    </r>
    <r>
      <rPr>
        <b/>
        <sz val="10"/>
        <rFont val="Arial Narrow"/>
        <family val="2"/>
      </rPr>
      <t xml:space="preserve"> </t>
    </r>
    <r>
      <rPr>
        <b/>
        <vertAlign val="superscript"/>
        <sz val="10"/>
        <rFont val="Arial Narrow"/>
        <family val="2"/>
      </rPr>
      <t>2027</t>
    </r>
  </si>
  <si>
    <r>
      <t xml:space="preserve">per calcolo </t>
    </r>
    <r>
      <rPr>
        <b/>
        <sz val="10"/>
        <rFont val="Symbol"/>
        <family val="1"/>
        <charset val="2"/>
      </rPr>
      <t>J</t>
    </r>
    <r>
      <rPr>
        <b/>
        <sz val="10"/>
        <rFont val="Arial Narrow"/>
        <family val="2"/>
      </rPr>
      <t xml:space="preserve"> </t>
    </r>
    <r>
      <rPr>
        <b/>
        <vertAlign val="superscript"/>
        <sz val="10"/>
        <rFont val="Arial Narrow"/>
        <family val="2"/>
      </rPr>
      <t>2026</t>
    </r>
  </si>
  <si>
    <r>
      <t xml:space="preserve">per calcolo </t>
    </r>
    <r>
      <rPr>
        <b/>
        <sz val="10"/>
        <rFont val="Symbol"/>
        <family val="1"/>
        <charset val="2"/>
      </rPr>
      <t>J</t>
    </r>
    <r>
      <rPr>
        <b/>
        <sz val="10"/>
        <rFont val="Arial Narrow"/>
        <family val="2"/>
      </rPr>
      <t xml:space="preserve"> </t>
    </r>
    <r>
      <rPr>
        <b/>
        <vertAlign val="superscript"/>
        <sz val="10"/>
        <rFont val="Arial Narrow"/>
        <family val="2"/>
      </rPr>
      <t>2027</t>
    </r>
  </si>
  <si>
    <r>
      <t>tar</t>
    </r>
    <r>
      <rPr>
        <vertAlign val="superscript"/>
        <sz val="10"/>
        <color theme="1"/>
        <rFont val="Arial Narrow"/>
        <family val="2"/>
      </rPr>
      <t>2023</t>
    </r>
    <r>
      <rPr>
        <sz val="10"/>
        <color theme="1"/>
        <rFont val="Arial Narrow"/>
        <family val="2"/>
      </rPr>
      <t>*vscal</t>
    </r>
    <r>
      <rPr>
        <vertAlign val="superscript"/>
        <sz val="10"/>
        <color theme="1"/>
        <rFont val="Arial Narrow"/>
        <family val="2"/>
      </rPr>
      <t>2024</t>
    </r>
  </si>
  <si>
    <r>
      <t>tar</t>
    </r>
    <r>
      <rPr>
        <vertAlign val="superscript"/>
        <sz val="10"/>
        <color theme="1"/>
        <rFont val="Arial Narrow"/>
        <family val="2"/>
      </rPr>
      <t>2023</t>
    </r>
    <r>
      <rPr>
        <sz val="10"/>
        <color theme="1"/>
        <rFont val="Arial Narrow"/>
        <family val="2"/>
      </rPr>
      <t>*vscal</t>
    </r>
    <r>
      <rPr>
        <vertAlign val="superscript"/>
        <sz val="10"/>
        <color theme="1"/>
        <rFont val="Arial Narrow"/>
        <family val="2"/>
      </rPr>
      <t>2025</t>
    </r>
  </si>
  <si>
    <r>
      <t>tarif</t>
    </r>
    <r>
      <rPr>
        <b/>
        <vertAlign val="subscript"/>
        <sz val="11"/>
        <color rgb="FF000000"/>
        <rFont val="Calibri"/>
        <family val="2"/>
        <scheme val="minor"/>
      </rPr>
      <t>ind</t>
    </r>
    <r>
      <rPr>
        <b/>
        <vertAlign val="superscript"/>
        <sz val="11"/>
        <color rgb="FF000000"/>
        <rFont val="Calibri"/>
        <family val="2"/>
        <scheme val="minor"/>
      </rPr>
      <t xml:space="preserve">new,2023 </t>
    </r>
    <r>
      <rPr>
        <b/>
        <sz val="11"/>
        <color indexed="8"/>
        <rFont val="Calibri"/>
        <family val="2"/>
        <scheme val="minor"/>
      </rPr>
      <t>* (vscal</t>
    </r>
    <r>
      <rPr>
        <b/>
        <vertAlign val="subscript"/>
        <sz val="11"/>
        <color rgb="FF000000"/>
        <rFont val="Calibri"/>
        <family val="2"/>
        <scheme val="minor"/>
      </rPr>
      <t>ind</t>
    </r>
    <r>
      <rPr>
        <b/>
        <vertAlign val="superscript"/>
        <sz val="11"/>
        <color rgb="FF000000"/>
        <rFont val="Calibri"/>
        <family val="2"/>
        <scheme val="minor"/>
      </rPr>
      <t>new,2024</t>
    </r>
    <r>
      <rPr>
        <b/>
        <sz val="11"/>
        <color rgb="FF000000"/>
        <rFont val="Calibri"/>
        <family val="2"/>
        <scheme val="minor"/>
      </rPr>
      <t>)</t>
    </r>
    <r>
      <rPr>
        <b/>
        <vertAlign val="superscript"/>
        <sz val="11"/>
        <color rgb="FF000000"/>
        <rFont val="Calibri"/>
        <family val="2"/>
        <scheme val="minor"/>
      </rPr>
      <t>T</t>
    </r>
  </si>
  <si>
    <r>
      <t>tarif</t>
    </r>
    <r>
      <rPr>
        <b/>
        <vertAlign val="subscript"/>
        <sz val="11"/>
        <color rgb="FF000000"/>
        <rFont val="Calibri"/>
        <family val="2"/>
        <scheme val="minor"/>
      </rPr>
      <t>ind</t>
    </r>
    <r>
      <rPr>
        <b/>
        <vertAlign val="superscript"/>
        <sz val="11"/>
        <color rgb="FF000000"/>
        <rFont val="Calibri"/>
        <family val="2"/>
        <scheme val="minor"/>
      </rPr>
      <t xml:space="preserve">new,2023 </t>
    </r>
    <r>
      <rPr>
        <b/>
        <sz val="11"/>
        <color indexed="8"/>
        <rFont val="Calibri"/>
        <family val="2"/>
        <scheme val="minor"/>
      </rPr>
      <t>* (vscal</t>
    </r>
    <r>
      <rPr>
        <b/>
        <vertAlign val="subscript"/>
        <sz val="11"/>
        <color rgb="FF000000"/>
        <rFont val="Calibri"/>
        <family val="2"/>
        <scheme val="minor"/>
      </rPr>
      <t>ind</t>
    </r>
    <r>
      <rPr>
        <b/>
        <vertAlign val="superscript"/>
        <sz val="11"/>
        <color rgb="FF000000"/>
        <rFont val="Calibri"/>
        <family val="2"/>
        <scheme val="minor"/>
      </rPr>
      <t>new,2025</t>
    </r>
    <r>
      <rPr>
        <b/>
        <sz val="11"/>
        <color rgb="FF000000"/>
        <rFont val="Calibri"/>
        <family val="2"/>
        <scheme val="minor"/>
      </rPr>
      <t>)</t>
    </r>
    <r>
      <rPr>
        <b/>
        <vertAlign val="superscript"/>
        <sz val="11"/>
        <color rgb="FF000000"/>
        <rFont val="Calibri"/>
        <family val="2"/>
        <scheme val="minor"/>
      </rPr>
      <t>T</t>
    </r>
  </si>
  <si>
    <r>
      <t>tarif</t>
    </r>
    <r>
      <rPr>
        <b/>
        <vertAlign val="subscript"/>
        <sz val="11"/>
        <color rgb="FF000000"/>
        <rFont val="Calibri"/>
        <family val="2"/>
        <scheme val="minor"/>
      </rPr>
      <t>ind</t>
    </r>
    <r>
      <rPr>
        <b/>
        <vertAlign val="superscript"/>
        <sz val="11"/>
        <color rgb="FF000000"/>
        <rFont val="Calibri"/>
        <family val="2"/>
        <scheme val="minor"/>
      </rPr>
      <t xml:space="preserve">new,2024 </t>
    </r>
    <r>
      <rPr>
        <b/>
        <sz val="11"/>
        <color indexed="8"/>
        <rFont val="Calibri"/>
        <family val="2"/>
        <scheme val="minor"/>
      </rPr>
      <t>* (vscal</t>
    </r>
    <r>
      <rPr>
        <b/>
        <vertAlign val="subscript"/>
        <sz val="11"/>
        <color rgb="FF000000"/>
        <rFont val="Calibri"/>
        <family val="2"/>
        <scheme val="minor"/>
      </rPr>
      <t>ind</t>
    </r>
    <r>
      <rPr>
        <b/>
        <vertAlign val="superscript"/>
        <sz val="11"/>
        <color rgb="FF000000"/>
        <rFont val="Calibri"/>
        <family val="2"/>
        <scheme val="minor"/>
      </rPr>
      <t>new,2024</t>
    </r>
    <r>
      <rPr>
        <b/>
        <sz val="11"/>
        <color rgb="FF000000"/>
        <rFont val="Calibri"/>
        <family val="2"/>
        <scheme val="minor"/>
      </rPr>
      <t>)</t>
    </r>
    <r>
      <rPr>
        <b/>
        <vertAlign val="superscript"/>
        <sz val="11"/>
        <color rgb="FF000000"/>
        <rFont val="Calibri"/>
        <family val="2"/>
        <scheme val="minor"/>
      </rPr>
      <t>T</t>
    </r>
  </si>
  <si>
    <r>
      <t>tarif</t>
    </r>
    <r>
      <rPr>
        <b/>
        <vertAlign val="subscript"/>
        <sz val="11"/>
        <color rgb="FF000000"/>
        <rFont val="Calibri"/>
        <family val="2"/>
        <scheme val="minor"/>
      </rPr>
      <t>ind</t>
    </r>
    <r>
      <rPr>
        <b/>
        <vertAlign val="superscript"/>
        <sz val="11"/>
        <color rgb="FF000000"/>
        <rFont val="Calibri"/>
        <family val="2"/>
        <scheme val="minor"/>
      </rPr>
      <t xml:space="preserve">new,2025 </t>
    </r>
    <r>
      <rPr>
        <b/>
        <sz val="11"/>
        <color indexed="8"/>
        <rFont val="Calibri"/>
        <family val="2"/>
        <scheme val="minor"/>
      </rPr>
      <t>* (vscal</t>
    </r>
    <r>
      <rPr>
        <b/>
        <vertAlign val="subscript"/>
        <sz val="11"/>
        <color rgb="FF000000"/>
        <rFont val="Calibri"/>
        <family val="2"/>
        <scheme val="minor"/>
      </rPr>
      <t>ind</t>
    </r>
    <r>
      <rPr>
        <b/>
        <vertAlign val="superscript"/>
        <sz val="11"/>
        <color rgb="FF000000"/>
        <rFont val="Calibri"/>
        <family val="2"/>
        <scheme val="minor"/>
      </rPr>
      <t>new,2025</t>
    </r>
    <r>
      <rPr>
        <b/>
        <sz val="11"/>
        <color rgb="FF000000"/>
        <rFont val="Calibri"/>
        <family val="2"/>
        <scheme val="minor"/>
      </rPr>
      <t>)</t>
    </r>
    <r>
      <rPr>
        <b/>
        <vertAlign val="superscript"/>
        <sz val="11"/>
        <color rgb="FF000000"/>
        <rFont val="Calibri"/>
        <family val="2"/>
        <scheme val="minor"/>
      </rPr>
      <t>T</t>
    </r>
  </si>
  <si>
    <r>
      <t>tarif</t>
    </r>
    <r>
      <rPr>
        <vertAlign val="superscript"/>
        <sz val="10"/>
        <color theme="1"/>
        <rFont val="Arial Narrow"/>
        <family val="2"/>
      </rPr>
      <t>2023</t>
    </r>
    <r>
      <rPr>
        <sz val="10"/>
        <color theme="1"/>
        <rFont val="Arial Narrow"/>
        <family val="2"/>
      </rPr>
      <t>*vscal</t>
    </r>
    <r>
      <rPr>
        <vertAlign val="superscript"/>
        <sz val="10"/>
        <color theme="1"/>
        <rFont val="Arial Narrow"/>
        <family val="2"/>
      </rPr>
      <t xml:space="preserve">a-4 </t>
    </r>
  </si>
  <si>
    <r>
      <rPr>
        <sz val="10"/>
        <color theme="1"/>
        <rFont val="Symbol"/>
        <family val="1"/>
        <charset val="2"/>
      </rPr>
      <t>J</t>
    </r>
    <r>
      <rPr>
        <vertAlign val="superscript"/>
        <sz val="10"/>
        <color theme="1"/>
        <rFont val="Arial Narrow"/>
        <family val="2"/>
      </rPr>
      <t>a-2</t>
    </r>
    <r>
      <rPr>
        <sz val="10"/>
        <color theme="1"/>
        <rFont val="Arial Narrow"/>
        <family val="2"/>
      </rPr>
      <t>*tari</t>
    </r>
    <r>
      <rPr>
        <sz val="10"/>
        <color theme="1"/>
        <rFont val="Arial Narrow"/>
        <family val="1"/>
        <charset val="2"/>
      </rPr>
      <t>f</t>
    </r>
    <r>
      <rPr>
        <vertAlign val="superscript"/>
        <sz val="10"/>
        <color theme="1"/>
        <rFont val="Arial Narrow"/>
        <family val="2"/>
      </rPr>
      <t>2023/</t>
    </r>
    <r>
      <rPr>
        <sz val="10"/>
        <color theme="1"/>
        <rFont val="Arial Narrow"/>
        <family val="1"/>
        <charset val="2"/>
      </rPr>
      <t>vscal</t>
    </r>
    <r>
      <rPr>
        <vertAlign val="superscript"/>
        <sz val="10"/>
        <color theme="1"/>
        <rFont val="Arial Narrow"/>
        <family val="2"/>
      </rPr>
      <t>a-4</t>
    </r>
    <r>
      <rPr>
        <sz val="10"/>
        <color theme="1"/>
        <rFont val="Arial Narrow"/>
        <family val="1"/>
        <charset val="2"/>
      </rPr>
      <t xml:space="preserve"> (minuendo, include dettaglio, ingrosso, ind)</t>
    </r>
  </si>
  <si>
    <r>
      <t xml:space="preserve">Aggregazioni o variazioni dei processi tecnici significative
</t>
    </r>
    <r>
      <rPr>
        <sz val="10"/>
        <rFont val="Arial Narrow"/>
        <family val="2"/>
      </rPr>
      <t>(comma 5.1, comma 19.4)</t>
    </r>
  </si>
  <si>
    <t>BANDO TIPO</t>
  </si>
  <si>
    <r>
      <t>Co</t>
    </r>
    <r>
      <rPr>
        <vertAlign val="subscript"/>
        <sz val="10"/>
        <rFont val="Arial Narrow"/>
        <family val="2"/>
      </rPr>
      <t>mor</t>
    </r>
    <r>
      <rPr>
        <sz val="10"/>
        <rFont val="Arial Narrow"/>
        <family val="2"/>
      </rPr>
      <t xml:space="preserve"> -</t>
    </r>
    <r>
      <rPr>
        <i/>
        <sz val="10"/>
        <rFont val="Arial Narrow"/>
        <family val="2"/>
      </rPr>
      <t xml:space="preserve"> art. 30 MTI-4 - valore di zona applicabile</t>
    </r>
  </si>
  <si>
    <r>
      <t>Co</t>
    </r>
    <r>
      <rPr>
        <i/>
        <vertAlign val="subscript"/>
        <sz val="10"/>
        <rFont val="Arial Narrow"/>
        <family val="2"/>
      </rPr>
      <t>mor</t>
    </r>
    <r>
      <rPr>
        <i/>
        <sz val="10"/>
        <rFont val="Arial Narrow"/>
        <family val="2"/>
      </rPr>
      <t xml:space="preserve"> - art. 30 MTI-4 - valore effettivo del gestore</t>
    </r>
  </si>
  <si>
    <r>
      <t>Co</t>
    </r>
    <r>
      <rPr>
        <vertAlign val="subscript"/>
        <sz val="10"/>
        <rFont val="Arial Narrow"/>
        <family val="2"/>
      </rPr>
      <t>mor</t>
    </r>
    <r>
      <rPr>
        <sz val="10"/>
        <rFont val="Arial Narrow"/>
        <family val="2"/>
      </rPr>
      <t xml:space="preserve"> - </t>
    </r>
    <r>
      <rPr>
        <i/>
        <sz val="10"/>
        <rFont val="Arial Narrow"/>
        <family val="2"/>
      </rPr>
      <t>Unpaid ratio indicato</t>
    </r>
    <r>
      <rPr>
        <sz val="10"/>
        <rFont val="Arial Narrow"/>
        <family val="2"/>
      </rPr>
      <t xml:space="preserve"> dal soggetto competente
(% compatibile con "</t>
    </r>
    <r>
      <rPr>
        <i/>
        <sz val="10"/>
        <rFont val="Arial Narrow"/>
        <family val="2"/>
      </rPr>
      <t>costo massimo riconosciuto</t>
    </r>
    <r>
      <rPr>
        <sz val="10"/>
        <rFont val="Arial Narrow"/>
        <family val="2"/>
      </rPr>
      <t>"
 come da comma 30.2 e 30.2-bis  MTI-4)</t>
    </r>
  </si>
  <si>
    <r>
      <t>Opex</t>
    </r>
    <r>
      <rPr>
        <i/>
        <vertAlign val="superscript"/>
        <sz val="10"/>
        <rFont val="Arial Narrow"/>
        <family val="2"/>
      </rPr>
      <t>a</t>
    </r>
    <r>
      <rPr>
        <i/>
        <vertAlign val="subscript"/>
        <sz val="10"/>
        <rFont val="Arial Narrow"/>
        <family val="2"/>
      </rPr>
      <t>QC</t>
    </r>
    <r>
      <rPr>
        <i/>
        <sz val="10"/>
        <rFont val="Arial Narrow"/>
        <family val="2"/>
      </rPr>
      <t xml:space="preserve"> - nuovi obiettivi di qualità contrattuale di cui alla deliberazione 579/2025/R/IDR
(comma 19.9 lett. a-bis)</t>
    </r>
  </si>
  <si>
    <r>
      <t>Opex</t>
    </r>
    <r>
      <rPr>
        <vertAlign val="superscript"/>
        <sz val="10"/>
        <rFont val="Arial Narrow"/>
        <family val="2"/>
      </rPr>
      <t>a</t>
    </r>
    <r>
      <rPr>
        <vertAlign val="subscript"/>
        <sz val="10"/>
        <rFont val="Arial Narrow"/>
        <family val="2"/>
      </rPr>
      <t>QC</t>
    </r>
    <r>
      <rPr>
        <sz val="10"/>
        <rFont val="Arial Narrow"/>
        <family val="2"/>
      </rPr>
      <t xml:space="preserve"> - nuovi obiettivi di qualità contrattuale di cui alla deliberazione 579/2025/R/IDR
(comma 19.9 lett. a-bis)</t>
    </r>
  </si>
  <si>
    <r>
      <t>Op</t>
    </r>
    <r>
      <rPr>
        <vertAlign val="superscript"/>
        <sz val="10"/>
        <color theme="1"/>
        <rFont val="Arial Narrow"/>
        <family val="2"/>
      </rPr>
      <t>new</t>
    </r>
    <r>
      <rPr>
        <sz val="10"/>
        <color theme="1"/>
        <rFont val="Arial Narrow"/>
        <family val="2"/>
      </rPr>
      <t xml:space="preserve"> - da comma 19.2 a comma 19.7</t>
    </r>
  </si>
  <si>
    <r>
      <t>Opex</t>
    </r>
    <r>
      <rPr>
        <vertAlign val="subscript"/>
        <sz val="10"/>
        <rFont val="Arial Narrow"/>
        <family val="2"/>
      </rPr>
      <t>QT</t>
    </r>
    <r>
      <rPr>
        <sz val="10"/>
        <rFont val="Arial Narrow"/>
        <family val="2"/>
      </rPr>
      <t xml:space="preserve"> (al lordo degli ERC) - adeguamenti agli standard di qualità tecnica di cui alla deliberazione 637/2023/R/IDR
(commi 19.8 lett. b) e 28.1 MTI-4)</t>
    </r>
  </si>
  <si>
    <r>
      <t>Opex</t>
    </r>
    <r>
      <rPr>
        <vertAlign val="subscript"/>
        <sz val="10"/>
        <rFont val="Arial Narrow"/>
        <family val="2"/>
      </rPr>
      <t>QT</t>
    </r>
    <r>
      <rPr>
        <sz val="10"/>
        <rFont val="Arial Narrow"/>
        <family val="2"/>
      </rPr>
      <t xml:space="preserve"> (al lordo degli ERC) - adeguamenti agli standard di qualità tecnica di cui alla deliberazione 917/2017/R/IDR
(commi 19.8 lett. a) e 28.1 MTI-4)</t>
    </r>
  </si>
  <si>
    <r>
      <t>Opex</t>
    </r>
    <r>
      <rPr>
        <vertAlign val="subscript"/>
        <sz val="10"/>
        <rFont val="Arial Narrow"/>
        <family val="2"/>
      </rPr>
      <t>QT</t>
    </r>
    <r>
      <rPr>
        <sz val="10"/>
        <rFont val="Arial Narrow"/>
        <family val="2"/>
      </rPr>
      <t xml:space="preserve">  (al lordo degli ERC)
(commi 19.8 lett. c) - 477/2023 e 28.1 MTI-4)</t>
    </r>
  </si>
  <si>
    <r>
      <t>Opex</t>
    </r>
    <r>
      <rPr>
        <vertAlign val="subscript"/>
        <sz val="10"/>
        <rFont val="Arial Narrow"/>
        <family val="2"/>
      </rPr>
      <t>QT</t>
    </r>
    <r>
      <rPr>
        <sz val="10"/>
        <rFont val="Arial Narrow"/>
        <family val="2"/>
      </rPr>
      <t xml:space="preserve">  (al lordo degli ERC)
(commi 19.8 lett. c) - 225/2025 e 28.1 MTI-4)</t>
    </r>
  </si>
  <si>
    <r>
      <t>Opex</t>
    </r>
    <r>
      <rPr>
        <vertAlign val="superscript"/>
        <sz val="10"/>
        <rFont val="Arial Narrow"/>
        <family val="2"/>
      </rPr>
      <t>a</t>
    </r>
    <r>
      <rPr>
        <vertAlign val="subscript"/>
        <sz val="10"/>
        <rFont val="Arial Narrow"/>
        <family val="2"/>
      </rPr>
      <t>QC</t>
    </r>
    <r>
      <rPr>
        <sz val="10"/>
        <rFont val="Arial Narrow"/>
        <family val="2"/>
      </rPr>
      <t xml:space="preserve"> - per adeguamenti agli standard di qualità contrattuale di cui alla deliberazione 655/2015/R/IDR
(commi 19.9 lett. a) e 28.1 MTI-4)</t>
    </r>
  </si>
  <si>
    <r>
      <t>Opex</t>
    </r>
    <r>
      <rPr>
        <vertAlign val="superscript"/>
        <sz val="10"/>
        <rFont val="Arial Narrow"/>
        <family val="2"/>
      </rPr>
      <t>a</t>
    </r>
    <r>
      <rPr>
        <vertAlign val="subscript"/>
        <sz val="10"/>
        <rFont val="Arial Narrow"/>
        <family val="2"/>
      </rPr>
      <t>QC</t>
    </r>
    <r>
      <rPr>
        <sz val="10"/>
        <rFont val="Arial Narrow"/>
        <family val="2"/>
      </rPr>
      <t xml:space="preserve"> - per l'adeguamento agli obiettivi di cui alla deliberazione 547/2019/R/IDR
(commi 19.9 lett. a) e 28.1 MTI-4)</t>
    </r>
  </si>
  <si>
    <r>
      <t>Op</t>
    </r>
    <r>
      <rPr>
        <vertAlign val="subscript"/>
        <sz val="10"/>
        <rFont val="Arial Narrow"/>
        <family val="2"/>
      </rPr>
      <t>social</t>
    </r>
    <r>
      <rPr>
        <sz val="10"/>
        <rFont val="Arial Narrow"/>
        <family val="2"/>
      </rPr>
      <t xml:space="preserve"> per bonus integrativo
(commi 19.10 lett a) e 28.1 MTI-4)</t>
    </r>
  </si>
  <si>
    <r>
      <t>Op</t>
    </r>
    <r>
      <rPr>
        <vertAlign val="subscript"/>
        <sz val="10"/>
        <rFont val="Arial Narrow"/>
        <family val="2"/>
      </rPr>
      <t>social</t>
    </r>
    <r>
      <rPr>
        <sz val="10"/>
        <rFont val="Arial Narrow"/>
        <family val="2"/>
      </rPr>
      <t xml:space="preserve"> ex comma 7.3 lett. a), REMSII (commi 19.10 lettera b) e  28.1 MTI-4)</t>
    </r>
  </si>
  <si>
    <r>
      <t>Op</t>
    </r>
    <r>
      <rPr>
        <vertAlign val="subscript"/>
        <sz val="10"/>
        <rFont val="Arial Narrow"/>
        <family val="2"/>
      </rPr>
      <t>social</t>
    </r>
    <r>
      <rPr>
        <sz val="10"/>
        <rFont val="Arial Narrow"/>
        <family val="2"/>
      </rPr>
      <t xml:space="preserve"> per oneri bonus utenze indirette
(commi 19.10 lett a-bis))</t>
    </r>
  </si>
  <si>
    <r>
      <t>Op</t>
    </r>
    <r>
      <rPr>
        <vertAlign val="subscript"/>
        <sz val="10"/>
        <rFont val="Arial Narrow"/>
        <family val="2"/>
      </rPr>
      <t>mis</t>
    </r>
    <r>
      <rPr>
        <sz val="10"/>
        <rFont val="Arial Narrow"/>
        <family val="2"/>
      </rPr>
      <t xml:space="preserve"> 
(commi 19.11 e 28.1 MTI-4)</t>
    </r>
  </si>
  <si>
    <r>
      <t>Opex</t>
    </r>
    <r>
      <rPr>
        <i/>
        <vertAlign val="superscript"/>
        <sz val="10"/>
        <rFont val="Arial Narrow"/>
        <family val="2"/>
      </rPr>
      <t>a</t>
    </r>
    <r>
      <rPr>
        <i/>
        <vertAlign val="subscript"/>
        <sz val="10"/>
        <rFont val="Arial Narrow"/>
        <family val="2"/>
      </rPr>
      <t>QT</t>
    </r>
    <r>
      <rPr>
        <i/>
        <sz val="10"/>
        <rFont val="Arial Narrow"/>
        <family val="2"/>
      </rPr>
      <t xml:space="preserve"> lett. c) 477/2023/R/IDR</t>
    </r>
  </si>
  <si>
    <r>
      <t>Opex</t>
    </r>
    <r>
      <rPr>
        <i/>
        <vertAlign val="superscript"/>
        <sz val="10"/>
        <rFont val="Arial Narrow"/>
        <family val="2"/>
      </rPr>
      <t>a</t>
    </r>
    <r>
      <rPr>
        <i/>
        <vertAlign val="subscript"/>
        <sz val="10"/>
        <rFont val="Arial Narrow"/>
        <family val="2"/>
      </rPr>
      <t>QT</t>
    </r>
    <r>
      <rPr>
        <i/>
        <sz val="10"/>
        <rFont val="Arial Narrow"/>
        <family val="2"/>
      </rPr>
      <t xml:space="preserve"> lett. c) 225/2025/R/IDR</t>
    </r>
  </si>
  <si>
    <r>
      <t>ERC</t>
    </r>
    <r>
      <rPr>
        <i/>
        <vertAlign val="subscript"/>
        <sz val="10"/>
        <rFont val="Arial Narrow"/>
        <family val="2"/>
      </rPr>
      <t>QT</t>
    </r>
    <r>
      <rPr>
        <i/>
        <sz val="10"/>
        <rFont val="Arial Narrow"/>
        <family val="2"/>
      </rPr>
      <t xml:space="preserve"> comma 19.8 lett. c) 477/2023/R/IDR</t>
    </r>
  </si>
  <si>
    <r>
      <t>ERC</t>
    </r>
    <r>
      <rPr>
        <i/>
        <vertAlign val="subscript"/>
        <sz val="10"/>
        <rFont val="Arial Narrow"/>
        <family val="2"/>
      </rPr>
      <t>QT</t>
    </r>
    <r>
      <rPr>
        <i/>
        <sz val="10"/>
        <rFont val="Arial Narrow"/>
        <family val="2"/>
      </rPr>
      <t xml:space="preserve"> comma 19.8 lett. c) 225/2025/R/IDR</t>
    </r>
  </si>
  <si>
    <r>
      <t>Op</t>
    </r>
    <r>
      <rPr>
        <vertAlign val="superscript"/>
        <sz val="10"/>
        <color theme="1"/>
        <rFont val="Arial Narrow"/>
        <family val="2"/>
      </rPr>
      <t>new</t>
    </r>
    <r>
      <rPr>
        <sz val="10"/>
        <color theme="1"/>
        <rFont val="Arial Narrow"/>
        <family val="2"/>
      </rPr>
      <t xml:space="preserve"> esplicitati come ERC, </t>
    </r>
    <r>
      <rPr>
        <sz val="10"/>
        <rFont val="Arial Narrow"/>
        <family val="2"/>
      </rPr>
      <t>comma 27.1 MTI-4</t>
    </r>
  </si>
  <si>
    <r>
      <t>Detrazione Opex</t>
    </r>
    <r>
      <rPr>
        <vertAlign val="subscript"/>
        <sz val="10"/>
        <color indexed="8"/>
        <rFont val="Calibri"/>
        <family val="2"/>
      </rPr>
      <t>end</t>
    </r>
  </si>
  <si>
    <t>Storico Piano Tariffario</t>
  </si>
  <si>
    <t>Storico_Piano_Tariffario</t>
  </si>
  <si>
    <t>RCTOT in piano tariffario MTI-4</t>
  </si>
  <si>
    <t>Recupero volumi 2021 / 2023</t>
  </si>
  <si>
    <t>Recupero energia elettrica 2021 / 2023</t>
  </si>
  <si>
    <r>
      <t>Rc</t>
    </r>
    <r>
      <rPr>
        <vertAlign val="superscript"/>
        <sz val="10"/>
        <color theme="1"/>
        <rFont val="Arial Narrow"/>
        <family val="2"/>
      </rPr>
      <t>a</t>
    </r>
    <r>
      <rPr>
        <vertAlign val="subscript"/>
        <sz val="10"/>
        <color theme="1"/>
        <rFont val="Arial Narrow"/>
        <family val="2"/>
      </rPr>
      <t>b</t>
    </r>
  </si>
  <si>
    <r>
      <t>Eventuali detrazione al Capex</t>
    </r>
    <r>
      <rPr>
        <i/>
        <vertAlign val="subscript"/>
        <sz val="10"/>
        <color theme="1"/>
        <rFont val="Arial Narrow"/>
        <family val="2"/>
      </rPr>
      <t>conv</t>
    </r>
    <r>
      <rPr>
        <i/>
        <sz val="10"/>
        <color theme="1"/>
        <rFont val="Arial Narrow"/>
        <family val="2"/>
      </rPr>
      <t xml:space="preserve"> di cui al comma 33.11-bis del MTI-4</t>
    </r>
  </si>
  <si>
    <r>
      <t>Eventuali detrazione al CO</t>
    </r>
    <r>
      <rPr>
        <i/>
        <vertAlign val="superscript"/>
        <sz val="10"/>
        <color theme="1"/>
        <rFont val="Arial Narrow"/>
        <family val="2"/>
      </rPr>
      <t>S</t>
    </r>
    <r>
      <rPr>
        <i/>
        <vertAlign val="subscript"/>
        <sz val="10"/>
        <color theme="1"/>
        <rFont val="Arial Narrow"/>
        <family val="2"/>
      </rPr>
      <t>conv</t>
    </r>
    <r>
      <rPr>
        <i/>
        <sz val="10"/>
        <color theme="1"/>
        <rFont val="Arial Narrow"/>
        <family val="2"/>
      </rPr>
      <t xml:space="preserve"> di cui al comma 33.11-bis del MTI-4</t>
    </r>
  </si>
  <si>
    <t>Recupero volumi 2021/2023</t>
  </si>
  <si>
    <t>Recupero energia elettrica 2021/2023</t>
  </si>
  <si>
    <r>
      <t>Opex</t>
    </r>
    <r>
      <rPr>
        <vertAlign val="subscript"/>
        <sz val="10"/>
        <color indexed="8"/>
        <rFont val="Arial Narrow"/>
        <family val="2"/>
      </rPr>
      <t>QT</t>
    </r>
    <r>
      <rPr>
        <sz val="10"/>
        <color indexed="8"/>
        <rFont val="Arial Narrow"/>
        <family val="2"/>
      </rPr>
      <t xml:space="preserve"> lett. c) 477/2023/R/IDR</t>
    </r>
  </si>
  <si>
    <r>
      <t>Opex</t>
    </r>
    <r>
      <rPr>
        <vertAlign val="subscript"/>
        <sz val="10"/>
        <color indexed="8"/>
        <rFont val="Arial Narrow"/>
        <family val="2"/>
      </rPr>
      <t>QT</t>
    </r>
    <r>
      <rPr>
        <sz val="10"/>
        <color indexed="8"/>
        <rFont val="Arial Narrow"/>
        <family val="2"/>
      </rPr>
      <t xml:space="preserve"> lett. c) 225/2025/R/IDR</t>
    </r>
  </si>
  <si>
    <t>Penalità RQTI - Delibere 477/2023/R/IDR - 225/2025/R/IDR</t>
  </si>
  <si>
    <t>Indicare la natura dei dati forniti per l'anno 2025</t>
  </si>
  <si>
    <t>Preview_RDT2026</t>
  </si>
  <si>
    <t>PNRR- Misura M2C4 – I4.5 (Regime di sovvenzioni per gli investimenti in infrastrutture idriche)</t>
  </si>
  <si>
    <t>Piano nazionale di interventi infrastrutturali e per la sicurezza del settore idrico</t>
  </si>
  <si>
    <t>Indicare gli interventi inclusi nel decreto del Ministero delle Infrastrutture e dei Trasporti del 16 settembre 2025</t>
  </si>
  <si>
    <t>Attenzione: verificare la presenza di eventuali  "Alert" nelle  colonne BV:CD</t>
  </si>
  <si>
    <t>Intervento presente nel PdI trasmesso ai sensi della deliberazione 639/2023/R/idr?</t>
  </si>
  <si>
    <t>Investimenti realizzati 2024-2025</t>
  </si>
  <si>
    <t>anno 2023 (consuntivo)</t>
  </si>
  <si>
    <t>anno 2025 (preconsuntivo o consuntivo laddove disponibile)</t>
  </si>
  <si>
    <t>anno 2024 (consuntivo)</t>
  </si>
  <si>
    <t>Investimenti pianificati 2026-2029</t>
  </si>
  <si>
    <t>Valore investimento lordo totale (incluse eventuali quote pre 2023)</t>
  </si>
  <si>
    <t>anni 2026-2029</t>
  </si>
  <si>
    <t>Errata compilazione colonne D, BR, BS</t>
  </si>
  <si>
    <t>VU non coerente con comma 3.3 del. 639/2023</t>
  </si>
  <si>
    <t>Opex qt approvati MTI-4</t>
  </si>
  <si>
    <t>2024 (consuntivo)</t>
  </si>
  <si>
    <t>Costi operativi rendicontati 2024-2025</t>
  </si>
  <si>
    <t>costi endogeni 2024</t>
  </si>
  <si>
    <t>costi aggiornabili 2024</t>
  </si>
  <si>
    <t>costi associati a specifiche finalità 2024</t>
  </si>
  <si>
    <t>di cui: Opex qt 2024</t>
  </si>
  <si>
    <t>costi endogeni 2025</t>
  </si>
  <si>
    <t>costi aggiornabili 2025</t>
  </si>
  <si>
    <t>costi associati a specifiche finalità 2025</t>
  </si>
  <si>
    <t>di cui: Opex qt 2025</t>
  </si>
  <si>
    <t>2025 (preconsuntivo o consuntivo laddove disponibile)</t>
  </si>
  <si>
    <t>Opex qt previsti 2026-2029</t>
  </si>
  <si>
    <t>Costi operativi di qualità tecnica (lett. a)</t>
  </si>
  <si>
    <t>Costi operativi di qualità tecnica (lett. b)</t>
  </si>
  <si>
    <t>Opex QT consuntivi (lettera a)</t>
  </si>
  <si>
    <t>Opex QT approvati (lettera a)</t>
  </si>
  <si>
    <t>Check rendicontazione Opex QT (lettera a)</t>
  </si>
  <si>
    <t>Opex QT consuntivi (lettera b)</t>
  </si>
  <si>
    <t>Opex QT approvati (lettera b)</t>
  </si>
  <si>
    <t>Check rendicontazione Opex QT (lettera b)</t>
  </si>
  <si>
    <t>Costi operativi di qualità tecnica (lett. c) 477/2023/R/IDR)</t>
  </si>
  <si>
    <t>Opex QT previsti 2026-2029</t>
  </si>
  <si>
    <t>Valore investimento annuo (lordo contributi) 2024 - consuntivo</t>
  </si>
  <si>
    <t>Contributi 2024 - consuntivo</t>
  </si>
  <si>
    <t>Valore investimento annuo (lordo contributi) 2025 - preconsuntivo</t>
  </si>
  <si>
    <t>Contributi 2025 - preconsuntivo</t>
  </si>
  <si>
    <t>Errori compilazione colonna "Valore Anno 2025"</t>
  </si>
  <si>
    <t>Valore Anno 2025</t>
  </si>
  <si>
    <t>Errore rilevato in colonna "Valore Anno 2025"</t>
  </si>
  <si>
    <t>A parità di perimetro la somma dei dati relativi ad Acquedotto, Fognatura, Depurazione ed Altre Attività Idriche (come definite dal TIUC) deve essere coerente con la corrispondente grandezza richiesta a fini tariffari</t>
  </si>
  <si>
    <t>Valutazione prerequisiti e indicazione istanze presentate per M1</t>
  </si>
  <si>
    <r>
      <t>Indicare la presenza o meno del prerequisito Preq4 (Art.23 RQTI)</t>
    </r>
    <r>
      <rPr>
        <strike/>
        <sz val="10"/>
        <rFont val="Calibri"/>
        <family val="2"/>
        <scheme val="minor"/>
      </rPr>
      <t xml:space="preserve"> </t>
    </r>
  </si>
  <si>
    <t>Ist_M1geo</t>
  </si>
  <si>
    <t>Indicare se è stata formulata istanza ai sensi del comma 7.3 della RQTI</t>
  </si>
  <si>
    <t xml:space="preserve">Istanza ai sensi del comma 7.3 della RQTI, ammissibile solo se verificate tutte le condizioni richieste.  </t>
  </si>
  <si>
    <t xml:space="preserve">Istanza ex-post ai sensi del comma 5.4, del. 917/2017. Specificare motivazioni in relazione </t>
  </si>
  <si>
    <t>Vedere RQTI al comma 7.2, come modificato dall'art. 10 della delibera 639/2021/R/idr e comma 7.3</t>
  </si>
  <si>
    <t xml:space="preserve">Considerare la quota parte di volume dell’anno a di riferimento, compresa tra il 1° gennaio dell’anno a e la data dell’ultima lettura valida del misuratore. La misurazione si intende valida anche se effettuata in data successiva al 31/12, ma entro il 31/1 dell'anno successivo a quello di riferimento (e.g. 31/1/2025 per il 2024). </t>
  </si>
  <si>
    <t xml:space="preserve">Considerare la quota parte di consumo riferita all’anno a di riferimento, compresa tra il 1° gennaio dell’anno a e la data dell’ultima lettura valida del misuratore. La misurazione si intende valida anche se effettuata in data successiva al 31/12, ma entro il 31/1 dell'anno successivo a quello di riferimento (e.g. 31/1/2025 per il 2024). </t>
  </si>
  <si>
    <t>Si intendono le sole utenze contrattualizzate</t>
  </si>
  <si>
    <r>
      <t>∑U</t>
    </r>
    <r>
      <rPr>
        <vertAlign val="subscript"/>
        <sz val="11"/>
        <color theme="1"/>
        <rFont val="Calibri"/>
        <family val="2"/>
        <scheme val="minor"/>
      </rPr>
      <t>I</t>
    </r>
    <r>
      <rPr>
        <sz val="11"/>
        <color theme="1"/>
        <rFont val="Calibri"/>
        <family val="2"/>
        <scheme val="minor"/>
      </rPr>
      <t xml:space="preserve"> </t>
    </r>
  </si>
  <si>
    <t>Istanza ex-post ai sensi del comma 5.4, del. 917/2017. Specificare motivazioni in relazione</t>
  </si>
  <si>
    <t>Valutazione prerequisiti e indicazione istanze presentate per M3</t>
  </si>
  <si>
    <r>
      <t>Quesito riferito al 31 dicembre di ogni anno.</t>
    </r>
    <r>
      <rPr>
        <sz val="10"/>
        <color theme="3"/>
        <rFont val="Calibri"/>
        <family val="2"/>
        <scheme val="minor"/>
      </rPr>
      <t xml:space="preserve"> Il riferimento al decreto d.lgs. 18/2023 si intende sempre "come successivamente modificato e integrato"</t>
    </r>
  </si>
  <si>
    <t>Da compilare con il valore desumibile dai programmi comunicati in AnTeA. 
Laddove non ancora approvati i nuovi programmi, indicare il valore superiore tra: i) il dato comunicato per nella più recente Raccolta RQTI e ii) il dato desumibile dalla Tab. 1 All. 2 del d.lgs. 18/2023</t>
  </si>
  <si>
    <t xml:space="preserve">Istanza ex-post ai sensi del comma 5.4, del. 917/2017. Specificare motivazioni in relazione. </t>
  </si>
  <si>
    <r>
      <t>C</t>
    </r>
    <r>
      <rPr>
        <vertAlign val="subscript"/>
        <sz val="11"/>
        <rFont val="Calibri"/>
        <family val="2"/>
        <scheme val="minor"/>
      </rPr>
      <t>ACQ-cnc</t>
    </r>
  </si>
  <si>
    <r>
      <t>P</t>
    </r>
    <r>
      <rPr>
        <vertAlign val="subscript"/>
        <sz val="11"/>
        <rFont val="Calibri"/>
        <family val="2"/>
        <scheme val="minor"/>
      </rPr>
      <t>ACQ-pnc-D</t>
    </r>
  </si>
  <si>
    <r>
      <t xml:space="preserve">Ai sensi del comma 10.5 della RQTI, selezionare "x" se il gestore ha adottato, anche in modo parziale e/o solo su una porzione limitata del territorio servito, il modello Water Safety Plan, inoltrando la richiesta di approvazione al CeNSiA entro la data del 31 dicembre dell’anno </t>
    </r>
    <r>
      <rPr>
        <i/>
        <sz val="10"/>
        <rFont val="Calibri"/>
        <family val="2"/>
        <scheme val="minor"/>
      </rPr>
      <t>a</t>
    </r>
    <r>
      <rPr>
        <sz val="10"/>
        <rFont val="Calibri"/>
        <family val="2"/>
        <scheme val="minor"/>
      </rPr>
      <t>.</t>
    </r>
  </si>
  <si>
    <r>
      <t>U</t>
    </r>
    <r>
      <rPr>
        <vertAlign val="subscript"/>
        <sz val="11"/>
        <rFont val="Calibri"/>
        <family val="2"/>
        <scheme val="minor"/>
      </rPr>
      <t>WSP_real</t>
    </r>
  </si>
  <si>
    <t>Valutazione prerequisiti e indicazione istanze presentate per M4</t>
  </si>
  <si>
    <t>Vedere RQTI, Art.22</t>
  </si>
  <si>
    <t>Indicare la presenza o meno del prerequisito Preq4 (Art.23 RQTI)</t>
  </si>
  <si>
    <t>Valutazione prerequisiti e indicazione istanze presentate per M5</t>
  </si>
  <si>
    <t xml:space="preserve">Vedere RQTI, Art.22 </t>
  </si>
  <si>
    <t>di cui mono-incenerito in impianti dedicati del medesimo soggetto</t>
  </si>
  <si>
    <r>
      <t>EE</t>
    </r>
    <r>
      <rPr>
        <vertAlign val="subscript"/>
        <sz val="11"/>
        <rFont val="Calibri"/>
        <family val="2"/>
        <scheme val="minor"/>
      </rPr>
      <t>prel</t>
    </r>
  </si>
  <si>
    <r>
      <t>Gas</t>
    </r>
    <r>
      <rPr>
        <vertAlign val="subscript"/>
        <sz val="11"/>
        <rFont val="Calibri"/>
        <family val="2"/>
        <scheme val="minor"/>
      </rPr>
      <t>prel</t>
    </r>
  </si>
  <si>
    <r>
      <t>EE</t>
    </r>
    <r>
      <rPr>
        <vertAlign val="subscript"/>
        <sz val="11"/>
        <rFont val="Calibri"/>
        <family val="2"/>
        <scheme val="minor"/>
      </rPr>
      <t>prod</t>
    </r>
  </si>
  <si>
    <r>
      <t>EE</t>
    </r>
    <r>
      <rPr>
        <vertAlign val="subscript"/>
        <sz val="11"/>
        <rFont val="Calibri"/>
        <family val="2"/>
        <scheme val="minor"/>
      </rPr>
      <t>prod_FER</t>
    </r>
  </si>
  <si>
    <r>
      <t>EE</t>
    </r>
    <r>
      <rPr>
        <vertAlign val="subscript"/>
        <sz val="11"/>
        <rFont val="Calibri"/>
        <family val="2"/>
        <scheme val="minor"/>
      </rPr>
      <t>prod_BIO</t>
    </r>
  </si>
  <si>
    <r>
      <t>EE</t>
    </r>
    <r>
      <rPr>
        <vertAlign val="subscript"/>
        <sz val="11"/>
        <rFont val="Calibri"/>
        <family val="2"/>
        <scheme val="minor"/>
      </rPr>
      <t>prod_pir</t>
    </r>
  </si>
  <si>
    <r>
      <t>EE</t>
    </r>
    <r>
      <rPr>
        <vertAlign val="subscript"/>
        <sz val="11"/>
        <rFont val="Calibri"/>
        <family val="2"/>
        <scheme val="minor"/>
      </rPr>
      <t>prod_inc</t>
    </r>
  </si>
  <si>
    <r>
      <t>EE</t>
    </r>
    <r>
      <rPr>
        <vertAlign val="subscript"/>
        <sz val="11"/>
        <rFont val="Calibri"/>
        <family val="2"/>
        <scheme val="minor"/>
      </rPr>
      <t>prod_al</t>
    </r>
  </si>
  <si>
    <r>
      <t>ET</t>
    </r>
    <r>
      <rPr>
        <vertAlign val="subscript"/>
        <sz val="11"/>
        <rFont val="Calibri"/>
        <family val="2"/>
        <scheme val="minor"/>
      </rPr>
      <t>prod</t>
    </r>
  </si>
  <si>
    <t>Si tratta dell'energia prodotta e avviata a operazioni di recupero energetico</t>
  </si>
  <si>
    <r>
      <t>ET</t>
    </r>
    <r>
      <rPr>
        <vertAlign val="subscript"/>
        <sz val="11"/>
        <rFont val="Calibri"/>
        <family val="2"/>
        <scheme val="minor"/>
      </rPr>
      <t>prod_BIO</t>
    </r>
  </si>
  <si>
    <r>
      <t>ET</t>
    </r>
    <r>
      <rPr>
        <vertAlign val="subscript"/>
        <sz val="11"/>
        <rFont val="Calibri"/>
        <family val="2"/>
        <scheme val="minor"/>
      </rPr>
      <t>prod_pir</t>
    </r>
  </si>
  <si>
    <r>
      <t>ET</t>
    </r>
    <r>
      <rPr>
        <vertAlign val="subscript"/>
        <sz val="11"/>
        <rFont val="Calibri"/>
        <family val="2"/>
        <scheme val="minor"/>
      </rPr>
      <t>prod_inc</t>
    </r>
  </si>
  <si>
    <r>
      <t>ET</t>
    </r>
    <r>
      <rPr>
        <vertAlign val="subscript"/>
        <sz val="11"/>
        <rFont val="Calibri"/>
        <family val="2"/>
        <scheme val="minor"/>
      </rPr>
      <t>prod_al</t>
    </r>
  </si>
  <si>
    <r>
      <t>Gas</t>
    </r>
    <r>
      <rPr>
        <vertAlign val="subscript"/>
        <sz val="11"/>
        <rFont val="Calibri"/>
        <family val="2"/>
        <scheme val="minor"/>
      </rPr>
      <t>prod</t>
    </r>
  </si>
  <si>
    <r>
      <t>Gas</t>
    </r>
    <r>
      <rPr>
        <vertAlign val="subscript"/>
        <sz val="11"/>
        <rFont val="Calibri"/>
        <family val="2"/>
        <scheme val="minor"/>
      </rPr>
      <t>prod_imm</t>
    </r>
  </si>
  <si>
    <r>
      <t>M</t>
    </r>
    <r>
      <rPr>
        <vertAlign val="subscript"/>
        <sz val="11"/>
        <rFont val="Calibri"/>
        <family val="2"/>
        <scheme val="minor"/>
      </rPr>
      <t>rec</t>
    </r>
  </si>
  <si>
    <r>
      <t>M</t>
    </r>
    <r>
      <rPr>
        <vertAlign val="subscript"/>
        <sz val="11"/>
        <rFont val="Calibri"/>
        <family val="2"/>
        <scheme val="minor"/>
      </rPr>
      <t>rec_N</t>
    </r>
  </si>
  <si>
    <r>
      <t>M</t>
    </r>
    <r>
      <rPr>
        <vertAlign val="subscript"/>
        <sz val="11"/>
        <rFont val="Calibri"/>
        <family val="2"/>
        <scheme val="minor"/>
      </rPr>
      <t>rec_P</t>
    </r>
  </si>
  <si>
    <r>
      <t>M</t>
    </r>
    <r>
      <rPr>
        <vertAlign val="subscript"/>
        <sz val="11"/>
        <rFont val="Calibri"/>
        <family val="2"/>
        <scheme val="minor"/>
      </rPr>
      <t>rec_al</t>
    </r>
  </si>
  <si>
    <r>
      <t>W</t>
    </r>
    <r>
      <rPr>
        <vertAlign val="subscript"/>
        <sz val="11"/>
        <rFont val="Calibri"/>
        <family val="2"/>
        <scheme val="minor"/>
      </rPr>
      <t>DEP_mat</t>
    </r>
  </si>
  <si>
    <t>Valutazione prerequisiti e indicazione istanze presentate per M6</t>
  </si>
  <si>
    <r>
      <t xml:space="preserve">Ai sensi del comma 19.3 </t>
    </r>
    <r>
      <rPr>
        <sz val="10"/>
        <color theme="3"/>
        <rFont val="Calibri"/>
        <family val="2"/>
        <scheme val="minor"/>
      </rPr>
      <t>e del comma 19.10</t>
    </r>
  </si>
  <si>
    <r>
      <t>Der</t>
    </r>
    <r>
      <rPr>
        <vertAlign val="subscript"/>
        <sz val="11"/>
        <color theme="3"/>
        <rFont val="Calibri"/>
        <family val="2"/>
        <scheme val="minor"/>
      </rPr>
      <t>M6</t>
    </r>
  </si>
  <si>
    <t>Indicare se uno o più impianti di depurazione soggetti a M6 è stato autorizzato a derogare ai limiti allo scarico nel corso dell'anno (a)</t>
  </si>
  <si>
    <t xml:space="preserve">Vedere RQTI, comma 19.10 </t>
  </si>
  <si>
    <r>
      <t>N*</t>
    </r>
    <r>
      <rPr>
        <vertAlign val="subscript"/>
        <sz val="11"/>
        <rFont val="Calibri"/>
        <family val="2"/>
        <scheme val="minor"/>
      </rPr>
      <t>AS</t>
    </r>
  </si>
  <si>
    <r>
      <t>N*</t>
    </r>
    <r>
      <rPr>
        <vertAlign val="subscript"/>
        <sz val="11"/>
        <rFont val="Calibri"/>
        <family val="2"/>
        <scheme val="minor"/>
      </rPr>
      <t>ANS</t>
    </r>
  </si>
  <si>
    <r>
      <t>N*</t>
    </r>
    <r>
      <rPr>
        <vertAlign val="subscript"/>
        <sz val="11"/>
        <rFont val="Calibri"/>
        <family val="2"/>
        <scheme val="minor"/>
      </rPr>
      <t>Tab1</t>
    </r>
  </si>
  <si>
    <t>(o eventuali limiti più restrittivi)</t>
  </si>
  <si>
    <r>
      <rPr>
        <sz val="10"/>
        <color theme="3"/>
        <rFont val="Calibri"/>
        <family val="2"/>
        <scheme val="minor"/>
      </rPr>
      <t>(o eventuali limiti più restrittivi).</t>
    </r>
    <r>
      <rPr>
        <sz val="10"/>
        <rFont val="Calibri"/>
        <family val="2"/>
        <scheme val="minor"/>
      </rPr>
      <t xml:space="preserve"> Si intendono gli impianti di acque reflue urbane recapitanti in aree sensibili o in bacini drenanti nelle aree sensibili, provenienti da agglomerati con carico generato di almeno 10.000 A.E.</t>
    </r>
  </si>
  <si>
    <t xml:space="preserve">di cui tenuti al rispetto della Tabella 4 dell'Allegato 5 alla Parte Terza del D.Lgs 152/2006 (scarico su suolo) </t>
  </si>
  <si>
    <r>
      <rPr>
        <sz val="10"/>
        <color theme="3"/>
        <rFont val="Calibri"/>
        <family val="2"/>
        <scheme val="minor"/>
      </rPr>
      <t>(o eventuali limiti più restrittivi).</t>
    </r>
    <r>
      <rPr>
        <sz val="10"/>
        <rFont val="Calibri"/>
        <family val="2"/>
        <scheme val="minor"/>
      </rPr>
      <t xml:space="preserve"> Specificare in relazione per quali dei 5 parametri: SST, BOD5, COD, Ntot e Ptot</t>
    </r>
  </si>
  <si>
    <r>
      <t>di cui tenuti al rispetto della Tabella 3 dell'Allegato 5 alla Parte Terza del D.Lgs 152/2006 (reflui industriali)</t>
    </r>
    <r>
      <rPr>
        <i/>
        <sz val="11"/>
        <color theme="3"/>
        <rFont val="Calibri"/>
        <family val="2"/>
        <scheme val="minor"/>
      </rPr>
      <t xml:space="preserve"> </t>
    </r>
  </si>
  <si>
    <r>
      <t>N*</t>
    </r>
    <r>
      <rPr>
        <vertAlign val="subscript"/>
        <sz val="11"/>
        <rFont val="Calibri"/>
        <family val="2"/>
        <scheme val="minor"/>
      </rPr>
      <t>Tab3_N-P_RQTI</t>
    </r>
  </si>
  <si>
    <r>
      <rPr>
        <sz val="10"/>
        <color theme="3"/>
        <rFont val="Calibri"/>
        <family val="2"/>
        <scheme val="minor"/>
      </rPr>
      <t>(o eventuali limiti più restrittivi).</t>
    </r>
    <r>
      <rPr>
        <sz val="10"/>
        <rFont val="Calibri"/>
        <family val="2"/>
        <scheme val="minor"/>
      </rPr>
      <t xml:space="preserve"> Ai sensi della delibera 637/2023/R/idr al comma 19.3 lettera a). Si intendono gli impianti di acque reflue urbane recapitanti in aree non sensibili (include sia gli impianti già tenuti per legge sia quelli aggiunti ai fini dell'applicazione delle premialità RQTI)</t>
    </r>
  </si>
  <si>
    <r>
      <t>N*</t>
    </r>
    <r>
      <rPr>
        <vertAlign val="subscript"/>
        <sz val="11"/>
        <rFont val="Calibri"/>
        <family val="2"/>
        <scheme val="minor"/>
      </rPr>
      <t>Tab3_N-P_152</t>
    </r>
  </si>
  <si>
    <t xml:space="preserve">di cui già tenuti per legge al rispetto della Tabella 3 (reflui industriali) per le forme azotate e/o Ptot </t>
  </si>
  <si>
    <r>
      <t>N*</t>
    </r>
    <r>
      <rPr>
        <vertAlign val="subscript"/>
        <sz val="11"/>
        <rFont val="Calibri"/>
        <family val="2"/>
        <scheme val="minor"/>
      </rPr>
      <t>Tab2_N-P_RQTI</t>
    </r>
  </si>
  <si>
    <t>Si intendono gli impianti di acque reflue urbane recapitanti in aree sensibili o in bacini drenanti nelle aree sensibili, provenienti da agglomerati con carico generato inferiore a 10.000 A.E.</t>
  </si>
  <si>
    <t>Numero di campioni eseguiti sulle acque reflue scaricate dagli impianti di depurazione con riferimento ai parametri di cui al co. 19.3, lett. a)</t>
  </si>
  <si>
    <r>
      <t xml:space="preserve">Si considerano solo gli impianti di potenzialità ≥ 2.000 A.E. (o 10.000 A.E. se recapitanti in acque costiere).
Conteggiare i campioni con determinazione di almeno uno dei parametri seguenti: BOD5,COD,SST (tab. 1, 3 o 4), Ptot (tab. 2, 3 o 4), Ntot (tab. 2 o 4), NH4,N-NO2,N-NO3 (tab.3). 
</t>
    </r>
    <r>
      <rPr>
        <sz val="10"/>
        <color theme="3"/>
        <rFont val="Calibri"/>
        <family val="2"/>
        <scheme val="minor"/>
      </rPr>
      <t>Ai sensi del co. 19.10, includere anche i campioni virtua</t>
    </r>
    <r>
      <rPr>
        <sz val="10"/>
        <color theme="4" tint="-0.249977111117893"/>
        <rFont val="Calibri"/>
        <family val="2"/>
        <scheme val="minor"/>
      </rPr>
      <t>li (che, per definizione, sono considerati superare i limiti di legge</t>
    </r>
    <r>
      <rPr>
        <sz val="10"/>
        <color theme="3"/>
        <rFont val="Calibri"/>
        <family val="2"/>
        <scheme val="minor"/>
      </rPr>
      <t>) necessari a garantire la frequenza di campionamento, nonché i campioni eseguiti dalle Autorità di controllo ambientale caratterizzati da superamento dei limiti, ai sensi del co. 19.5</t>
    </r>
  </si>
  <si>
    <r>
      <t>∑C</t>
    </r>
    <r>
      <rPr>
        <vertAlign val="subscript"/>
        <sz val="11"/>
        <rFont val="Calibri"/>
        <family val="2"/>
        <scheme val="minor"/>
      </rPr>
      <t>imp,DEP-N-P2</t>
    </r>
  </si>
  <si>
    <r>
      <t>∑C</t>
    </r>
    <r>
      <rPr>
        <vertAlign val="subscript"/>
        <sz val="11"/>
        <rFont val="Calibri"/>
        <family val="2"/>
        <scheme val="minor"/>
      </rPr>
      <t>imp,DEP-N-P3</t>
    </r>
  </si>
  <si>
    <r>
      <t>∑C</t>
    </r>
    <r>
      <rPr>
        <vertAlign val="subscript"/>
        <sz val="11"/>
        <color theme="3"/>
        <rFont val="Calibri"/>
        <family val="2"/>
        <scheme val="minor"/>
      </rPr>
      <t>imp,DEP-AC</t>
    </r>
  </si>
  <si>
    <t>di cui eseguiti dalle Autorità di controllo ambientale caratterizzati da superamento dei limiti</t>
  </si>
  <si>
    <t>Se non già inclusi tra i campioni con superamento svolti dal gestore, conteggiare i campioni con superamento dei limiti per almeno uno dei parametri seguenti: BOD5,COD,SST (tab. 1, 3 o 4), Ptot (tab. 2, 3 o 4), Ntot (tab. 2 o 4), NH4,N-NO2,N-NO3 (tab.3)</t>
  </si>
  <si>
    <r>
      <t>∑C</t>
    </r>
    <r>
      <rPr>
        <vertAlign val="subscript"/>
        <sz val="11"/>
        <color theme="3"/>
        <rFont val="Calibri"/>
        <family val="2"/>
        <scheme val="minor"/>
      </rPr>
      <t>imp,DEP-virt</t>
    </r>
  </si>
  <si>
    <t>di cui campioni virtuali (caratterizzati da superamento dei limiti) per il mantenimento della frequenza di campionamento in periodi di deroga</t>
  </si>
  <si>
    <t>Vedere comma 19.10 della RQTI</t>
  </si>
  <si>
    <t xml:space="preserve">Numero di campioni eseguiti sulle acque reflue scaricate dagli impianti di depurazione con superamento di almeno un limite per i parametri di cui alle Tabelle 1 o 2 o 3 (forme azotate) </t>
  </si>
  <si>
    <r>
      <t xml:space="preserve">Vedere RQTI al comma 19.3. 
Si considerano solo gli impianti di potenzialità ≥ 2.000 A.E. (o 10.000 A.E. se recapitanti in acque costiere).
Conteggiare i campioni con superamento dei limiti di almeno uno dei parametri seguenti: BOD5,COD,SST (tab. 1, 3 o 4), Ptot (tab. 2, 3 o 4), Ntot (tab. 2 o 4), NH4,N-NO2,N-NO3 (tab.3). 
</t>
    </r>
    <r>
      <rPr>
        <sz val="10"/>
        <color theme="3"/>
        <rFont val="Calibri"/>
        <family val="2"/>
        <scheme val="minor"/>
      </rPr>
      <t>Ai sensi del co. 19.10, includere anche i campioni virtual</t>
    </r>
    <r>
      <rPr>
        <sz val="10"/>
        <color theme="4" tint="-0.249977111117893"/>
        <rFont val="Calibri"/>
        <family val="2"/>
        <scheme val="minor"/>
      </rPr>
      <t>i (che, per definizione, sono considerati superare i limiti di legge)</t>
    </r>
    <r>
      <rPr>
        <sz val="10"/>
        <color theme="3"/>
        <rFont val="Calibri"/>
        <family val="2"/>
        <scheme val="minor"/>
      </rPr>
      <t xml:space="preserve"> necessari a garantire la frequenza di campionamento, nonché i campioni eseguiti dalle Autorità di controllo ambientale caratterizzati da superamento dei limiti, ai sensi del co. 19.5.</t>
    </r>
    <r>
      <rPr>
        <sz val="10"/>
        <rFont val="Calibri"/>
        <family val="2"/>
        <scheme val="minor"/>
      </rPr>
      <t xml:space="preserve">
</t>
    </r>
    <r>
      <rPr>
        <sz val="10"/>
        <color theme="4" tint="-0.249977111117893"/>
        <rFont val="Calibri"/>
        <family val="2"/>
        <scheme val="minor"/>
      </rPr>
      <t>I superamenti vanno valutati secondo le linee guida SNPA 34/2021, facendo riferimento alla regola 3.</t>
    </r>
  </si>
  <si>
    <t xml:space="preserve">di cui con superamento di almeno un limite solo della Tabella 1 </t>
  </si>
  <si>
    <r>
      <rPr>
        <sz val="10"/>
        <color theme="4" tint="-0.249977111117893"/>
        <rFont val="Calibri"/>
        <family val="2"/>
        <scheme val="minor"/>
      </rPr>
      <t xml:space="preserve">Considerare la Tabella 1 o eventuali limiti più restrittivi. 
</t>
    </r>
    <r>
      <rPr>
        <sz val="10"/>
        <rFont val="Calibri"/>
        <family val="2"/>
        <scheme val="minor"/>
      </rPr>
      <t xml:space="preserve">Conteggiare tutti gli eventuali superamenti, inclusi quelli ammessi ai sensi dell'Allegato 5 alla Parte III del d.lgs. 152/2006. </t>
    </r>
  </si>
  <si>
    <r>
      <t xml:space="preserve">Conteggiare tutti gli eventuali superamenti puntuali dei limiti previsti dalla tabella 2 per i parametri Ntot e/o Ptot </t>
    </r>
    <r>
      <rPr>
        <sz val="10"/>
        <color theme="3"/>
        <rFont val="Calibri"/>
        <family val="2"/>
        <scheme val="minor"/>
      </rPr>
      <t>(o eventuali limiti più restrittivi)</t>
    </r>
    <r>
      <rPr>
        <sz val="10"/>
        <rFont val="Calibri"/>
        <family val="2"/>
        <scheme val="minor"/>
      </rPr>
      <t>. Per gli impianti tra 2.000 e 10.000 AE recapitanti in aree sensibili considerare i limiti 15 e 2 mg/L rispettivamente. NB: non è la media annua</t>
    </r>
  </si>
  <si>
    <r>
      <rPr>
        <sz val="10"/>
        <color theme="3"/>
        <rFont val="Calibri"/>
        <family val="2"/>
        <scheme val="minor"/>
      </rPr>
      <t>Considerare le Tabelle 1 e 2 o eventuali limiti più restrittivi.</t>
    </r>
    <r>
      <rPr>
        <sz val="10"/>
        <rFont val="Calibri"/>
        <family val="2"/>
        <scheme val="minor"/>
      </rPr>
      <t xml:space="preserve"> 
Conteggiare tutti gli eventuali superamenti, inclusi quelli ammessi dall'Allegato 5 alla Parte III del d.lgs. 152/2006 e tutti i superamenti puntuali dei limiti previsti dalla tabella 2 per i parametri Ntot e/o Ptot. Per gli impianti tra 2.000 e 10.000 AE recapitanti in aree sensibili considerare i limiti 15 e 2 mg/L rispettivamente </t>
    </r>
  </si>
  <si>
    <r>
      <t>di cui con superamento di almeno un limite della Tabella 4</t>
    </r>
    <r>
      <rPr>
        <i/>
        <sz val="11"/>
        <color theme="3"/>
        <rFont val="Calibri"/>
        <family val="2"/>
        <scheme val="minor"/>
      </rPr>
      <t xml:space="preserve"> </t>
    </r>
  </si>
  <si>
    <t>Considerare la Tabella 4 o eventuali limiti più restrittivi.</t>
  </si>
  <si>
    <r>
      <t>∑C</t>
    </r>
    <r>
      <rPr>
        <vertAlign val="subscript"/>
        <sz val="11"/>
        <rFont val="Calibri"/>
        <family val="2"/>
        <scheme val="minor"/>
      </rPr>
      <t>imp,DEP-cnc,T1-3</t>
    </r>
  </si>
  <si>
    <t xml:space="preserve">di cui con superamento di almeno un limite in entrambe le Tabelle 1 e 3 </t>
  </si>
  <si>
    <r>
      <rPr>
        <sz val="10"/>
        <color theme="3"/>
        <rFont val="Calibri"/>
        <family val="2"/>
        <scheme val="minor"/>
      </rPr>
      <t>Considerare le Tabelle 1 e 3 o eventuali limiti più restrittivi.</t>
    </r>
    <r>
      <rPr>
        <sz val="10"/>
        <rFont val="Calibri"/>
        <family val="2"/>
        <scheme val="minor"/>
      </rPr>
      <t xml:space="preserve"> 
Per i parametri forme azotate e/o Ptot, considerare i limiti di cui alla Tabella 3-quarta colonna dall'Allegato 5 alla Parte III del d.lgs. 152/2006</t>
    </r>
  </si>
  <si>
    <r>
      <t>∑C</t>
    </r>
    <r>
      <rPr>
        <vertAlign val="subscript"/>
        <sz val="11"/>
        <rFont val="Calibri"/>
        <family val="2"/>
        <scheme val="minor"/>
      </rPr>
      <t>imp,DEP-cnc,T2-3</t>
    </r>
  </si>
  <si>
    <r>
      <rPr>
        <sz val="10"/>
        <color theme="3"/>
        <rFont val="Calibri"/>
        <family val="2"/>
        <scheme val="minor"/>
      </rPr>
      <t>Considerare le Tabelle 2 e 3 o eventuali limiti più restrittivi.</t>
    </r>
    <r>
      <rPr>
        <sz val="10"/>
        <rFont val="Calibri"/>
        <family val="2"/>
        <scheme val="minor"/>
      </rPr>
      <t xml:space="preserve"> 
Per i parametri Ntot e/o Ptot considerare i limiti di tabella 2. Per gli impianti tra 2.000 e 10.000 AE recapitanti in aree sensibili considerare i limiti 15 e 2 mg/L rispettivamente</t>
    </r>
  </si>
  <si>
    <r>
      <t>∑C</t>
    </r>
    <r>
      <rPr>
        <vertAlign val="subscript"/>
        <sz val="11"/>
        <rFont val="Calibri"/>
        <family val="2"/>
        <scheme val="minor"/>
      </rPr>
      <t>imp,DEP-cnc,T3</t>
    </r>
  </si>
  <si>
    <r>
      <t>di cui con superamento di almeno un limite solo della Tabella 3</t>
    </r>
    <r>
      <rPr>
        <i/>
        <sz val="11"/>
        <color theme="3"/>
        <rFont val="Calibri"/>
        <family val="2"/>
        <scheme val="minor"/>
      </rPr>
      <t xml:space="preserve"> </t>
    </r>
  </si>
  <si>
    <r>
      <rPr>
        <sz val="10"/>
        <color theme="3"/>
        <rFont val="Calibri"/>
        <family val="2"/>
        <scheme val="minor"/>
      </rPr>
      <t>Considerare la Tabella 3 o eventuali limiti più restrittivi.</t>
    </r>
    <r>
      <rPr>
        <sz val="10"/>
        <rFont val="Calibri"/>
        <family val="2"/>
        <scheme val="minor"/>
      </rPr>
      <t xml:space="preserve"> 
Per i parametri forme azotate e/o Ptot, considerare i limiti di cui alla Tabella 3-quarta colonna dall'Allegato 5 alla Parte III del d.lgs. 152/2006</t>
    </r>
    <r>
      <rPr>
        <sz val="10"/>
        <color theme="3"/>
        <rFont val="Calibri"/>
        <family val="2"/>
        <scheme val="minor"/>
      </rPr>
      <t xml:space="preserve"> </t>
    </r>
  </si>
  <si>
    <r>
      <t>inclusi in ∑C</t>
    </r>
    <r>
      <rPr>
        <vertAlign val="subscript"/>
        <sz val="10"/>
        <color theme="3"/>
        <rFont val="Calibri"/>
        <family val="2"/>
        <scheme val="minor"/>
      </rPr>
      <t>imp,DEP-cnc</t>
    </r>
    <r>
      <rPr>
        <sz val="10"/>
        <color theme="3"/>
        <rFont val="Calibri"/>
        <family val="2"/>
        <scheme val="minor"/>
      </rPr>
      <t xml:space="preserve"> ai sensi del co. 19.5 della RQTI. Si intendono i campioni puntuali e non la media annua</t>
    </r>
  </si>
  <si>
    <t>di cui campioni virtuali (caratterizzari da superamento dei limiti) per il mantenimento della frequenza di campionamento in periodi di deroga</t>
  </si>
  <si>
    <r>
      <t>inclusi in ∑C</t>
    </r>
    <r>
      <rPr>
        <vertAlign val="subscript"/>
        <sz val="10"/>
        <color theme="3"/>
        <rFont val="Calibri"/>
        <family val="2"/>
        <scheme val="minor"/>
      </rPr>
      <t>imp,DEP-cnc</t>
    </r>
    <r>
      <rPr>
        <sz val="10"/>
        <color theme="3"/>
        <rFont val="Calibri"/>
        <family val="2"/>
        <scheme val="minor"/>
      </rPr>
      <t xml:space="preserve"> ai sensi del co. 19.10 della RQTI</t>
    </r>
  </si>
  <si>
    <r>
      <t>∑C</t>
    </r>
    <r>
      <rPr>
        <vertAlign val="subscript"/>
        <sz val="11"/>
        <rFont val="Calibri"/>
        <family val="2"/>
        <scheme val="minor"/>
      </rPr>
      <t>DEP</t>
    </r>
    <r>
      <rPr>
        <strike/>
        <vertAlign val="subscript"/>
        <sz val="11"/>
        <rFont val="Calibri"/>
        <family val="2"/>
        <scheme val="minor"/>
      </rPr>
      <t>-</t>
    </r>
    <r>
      <rPr>
        <vertAlign val="subscript"/>
        <sz val="11"/>
        <rFont val="Calibri"/>
        <family val="2"/>
        <scheme val="minor"/>
      </rPr>
      <t>cnc_N-P_riuso</t>
    </r>
  </si>
  <si>
    <t>si tratta dei campioni in cui, per i parametri citati, è stato superato il limite di legge, ma non quello posto dalla deroga, nei soli casi di effettivo riutilizzo a fini irrigui. Viceversa, laddove risultasse superato anche il limite innalzato dalla deroga, il campione andrebbe conteggiato in ∑Cimp,DEP-cnc</t>
  </si>
  <si>
    <r>
      <t>∑C</t>
    </r>
    <r>
      <rPr>
        <vertAlign val="subscript"/>
        <sz val="11"/>
        <rFont val="Calibri"/>
        <family val="2"/>
        <scheme val="minor"/>
      </rPr>
      <t>imp,DEP-tot3</t>
    </r>
  </si>
  <si>
    <t>Numero di campioni eseguiti sulle acque reflue scaricate dagli impianti di depurazione con analisi anche degli ulteriori parametri di Tabella 3, in aggiunta a quelli precedentemente considerati</t>
  </si>
  <si>
    <r>
      <t>∑C</t>
    </r>
    <r>
      <rPr>
        <vertAlign val="subscript"/>
        <sz val="11"/>
        <rFont val="Calibri"/>
        <family val="2"/>
        <scheme val="minor"/>
      </rPr>
      <t>imp,DEP-cnc3</t>
    </r>
  </si>
  <si>
    <t>Numero di campioni eseguiti sulle acque reflue scaricate dagli impianti di depurazione con superamento di almeno un limite dei parametri di cui alle Tabelle 1, 2 e 3 ai sensi del co. 19.3 e del co. 19.6 RQTI</t>
  </si>
  <si>
    <r>
      <t xml:space="preserve">Vedere RQTI al comma 19.6 
</t>
    </r>
    <r>
      <rPr>
        <sz val="10"/>
        <color theme="3"/>
        <rFont val="Calibri"/>
        <family val="2"/>
        <scheme val="minor"/>
      </rPr>
      <t>I campioni eseguiti non includono quelli virtuali e quelli effettuati dalle Autorità di controllo ambientale</t>
    </r>
  </si>
  <si>
    <r>
      <t xml:space="preserve">Numero parametri analizzati nei campioni eseguiti </t>
    </r>
    <r>
      <rPr>
        <strike/>
        <sz val="11"/>
        <color theme="3"/>
        <rFont val="Calibri"/>
        <family val="2"/>
        <scheme val="minor"/>
      </rPr>
      <t xml:space="preserve"> </t>
    </r>
    <r>
      <rPr>
        <sz val="11"/>
        <color theme="3"/>
        <rFont val="Calibri"/>
        <family val="2"/>
        <scheme val="minor"/>
      </rPr>
      <t xml:space="preserve">sulle acque reflue scaricate dagli impianti di depurazione con riferimento alle Tabelle 1, 2, 3, ovvero a tabella 4 </t>
    </r>
  </si>
  <si>
    <r>
      <t xml:space="preserve">Si considerano solo gli impianti di potenzialità ≥ 2.000 A.E. (o 10.000 A.E. se recapitanti in acque costiere)
</t>
    </r>
    <r>
      <rPr>
        <sz val="10"/>
        <color theme="3"/>
        <rFont val="Calibri"/>
        <family val="2"/>
        <scheme val="minor"/>
      </rPr>
      <t>In caso di campioni virtuali si considera 1 solo parametro per ogni campione, mentre per i campioni effettuati dalle Autorità di controllo ambientale si conteggiano i soli parametri con superamento dei limiti.</t>
    </r>
  </si>
  <si>
    <t>Numero parametri con superamento dei limiti di Tabelle 1, 2 e 3, ovvero di Tabella 4,  nei campioni eseguiti sulle acque reflue scaricate dagli impianti di depurazione</t>
  </si>
  <si>
    <r>
      <t xml:space="preserve">Si considerano solo gli impianti di potenzialità ≥ 2.000 A.E. (o 10.000 A.E. se recapitanti in acque costiere)
</t>
    </r>
    <r>
      <rPr>
        <sz val="10"/>
        <color theme="3"/>
        <rFont val="Calibri"/>
        <family val="2"/>
        <scheme val="minor"/>
      </rPr>
      <t>In caso di campioni virtuali si considera 1 solo parametro per ogni campione, mentre per i campioni effettuati dalle Autorità di controllo ambientale si conteggiano tutti e soli i parametri con superamento dei limiti.</t>
    </r>
  </si>
  <si>
    <r>
      <t>W</t>
    </r>
    <r>
      <rPr>
        <vertAlign val="subscript"/>
        <sz val="11"/>
        <rFont val="Calibri"/>
        <family val="2"/>
        <scheme val="minor"/>
      </rPr>
      <t>DEP,r1</t>
    </r>
  </si>
  <si>
    <t>Volumi di acque reflue urbane  trattate conformemente ai requisiti di cui alla direttiva 91/271/CEE e sottoposte a ulteriore trattamento secondo quanto previsto dalla normativa vigente (comma 37.3 del MTI-4)</t>
  </si>
  <si>
    <r>
      <t>W</t>
    </r>
    <r>
      <rPr>
        <vertAlign val="subscript"/>
        <sz val="11"/>
        <rFont val="Calibri"/>
        <family val="2"/>
        <scheme val="minor"/>
      </rPr>
      <t>DEP,r2</t>
    </r>
  </si>
  <si>
    <t>Volumi di acque reflue urbane consegnati per essere impiegati dall’utilizzatore finale (comma 37.3 del MTI-4)</t>
  </si>
  <si>
    <r>
      <t>C</t>
    </r>
    <r>
      <rPr>
        <vertAlign val="subscript"/>
        <sz val="11"/>
        <rFont val="Calibri"/>
        <family val="2"/>
        <scheme val="minor"/>
      </rPr>
      <t>DEP-min</t>
    </r>
  </si>
  <si>
    <r>
      <t>Agg</t>
    </r>
    <r>
      <rPr>
        <vertAlign val="subscript"/>
        <sz val="11"/>
        <rFont val="Calibri"/>
        <family val="2"/>
        <scheme val="minor"/>
      </rPr>
      <t>cond,DEP,1</t>
    </r>
  </si>
  <si>
    <t>Numero agglomerati oggetto di condanna per il servizio di depurazione (causa C-565/10, C-85/13, C-668/19 e successive) al termine dell'anno (a)</t>
  </si>
  <si>
    <r>
      <t>AE</t>
    </r>
    <r>
      <rPr>
        <vertAlign val="subscript"/>
        <sz val="11"/>
        <rFont val="Calibri"/>
        <family val="2"/>
        <scheme val="minor"/>
      </rPr>
      <t>cond,DEP,1</t>
    </r>
  </si>
  <si>
    <t>Abitanti Equivalenti complessivi degli agglomerati oggetto di condanna per il servizio di depurazione (causa C-565/10, C-85/13, C-668/19 e successive) al termine dell'anno (a)</t>
  </si>
  <si>
    <r>
      <t>N*</t>
    </r>
    <r>
      <rPr>
        <vertAlign val="subscript"/>
        <sz val="11"/>
        <color theme="3"/>
        <rFont val="Calibri"/>
        <family val="2"/>
        <scheme val="minor"/>
      </rPr>
      <t>der</t>
    </r>
  </si>
  <si>
    <t>Numero impianti autorizzati allo scarico in deroga, anche per periodi limitati, nell'anno (a)</t>
  </si>
  <si>
    <t>Nel caso di impianti che presentano più di un periodo di deroga nell'anno (a), conteggiare i medesimi impianti una sola volta.
Non conteggiare gli impianti eventualmente soggetti a deroghe, per il solo periodo irriguo, e al solo fine di praticare il riutilizzo dei reflui depurati a fini agricoli</t>
  </si>
  <si>
    <r>
      <t>Car</t>
    </r>
    <r>
      <rPr>
        <vertAlign val="subscript"/>
        <sz val="11"/>
        <color theme="3"/>
        <rFont val="Calibri"/>
        <family val="2"/>
        <scheme val="minor"/>
      </rPr>
      <t>dep,der</t>
    </r>
  </si>
  <si>
    <t>Totale carico inquinante collettato in rete fognaria e depurato negli impianti di depurazione inclusi in N*der</t>
  </si>
  <si>
    <t>Nel caso di impianti che presentano più di un periodo di deroga nell'anno (a), conteggiare il carico trattato nei medesimi impianti una sola volta</t>
  </si>
  <si>
    <r>
      <t>t</t>
    </r>
    <r>
      <rPr>
        <vertAlign val="subscript"/>
        <sz val="11"/>
        <color theme="3"/>
        <rFont val="Calibri"/>
        <family val="2"/>
        <scheme val="minor"/>
      </rPr>
      <t>der</t>
    </r>
  </si>
  <si>
    <t xml:space="preserve">Durata totale dei periodi di deroga per gli impianti di depurazione inclusi in N*der </t>
  </si>
  <si>
    <t>Nel caso di impianti che presentano più di un periodo di deroga nell'anno (a), sommare i giorni relativi</t>
  </si>
  <si>
    <r>
      <t>Car</t>
    </r>
    <r>
      <rPr>
        <vertAlign val="subscript"/>
        <sz val="11"/>
        <color theme="3"/>
        <rFont val="Calibri"/>
        <family val="2"/>
        <scheme val="minor"/>
      </rPr>
      <t>dep,der</t>
    </r>
    <r>
      <rPr>
        <sz val="11"/>
        <color theme="3"/>
        <rFont val="Calibri"/>
        <family val="2"/>
        <scheme val="minor"/>
      </rPr>
      <t>_</t>
    </r>
    <r>
      <rPr>
        <vertAlign val="subscript"/>
        <sz val="11"/>
        <color theme="3"/>
        <rFont val="Calibri"/>
        <family val="2"/>
        <scheme val="minor"/>
      </rPr>
      <t>norm</t>
    </r>
  </si>
  <si>
    <t>Sommatoria del prodotto dei carichi depurati in ciascun impianto oggetto di deroga per la durata delle medesime deroghe</t>
  </si>
  <si>
    <t xml:space="preserve"> Sommatoria del prodotto dei carichi depurati in ciascuno degli impianti inclusi in N*der per i rispettivi giorni di deroga, normalizzata dividendo per 365: ∑(Cardep,der,i*tder,i)/365, con i corrispondente all'i-esimo impianto in deroga</t>
  </si>
  <si>
    <t>Incidenza_der</t>
  </si>
  <si>
    <t>Incidenza carico depurato in deroga</t>
  </si>
  <si>
    <t>Incidenza rispetto al totale dei carichi collettati e depurati dal gestore nell'anno</t>
  </si>
  <si>
    <t>Regola3_2023</t>
  </si>
  <si>
    <t>Utilizzo della regola 3 delle linee guida SNPA per la valutazione del superamento dei limiti nell'anno base</t>
  </si>
  <si>
    <t>Indicare lo sviluppo lineare delle condotte di allaccio completamente georeferenziate (solo se corredato da istanza dell'EGA ai sensi del comma 7.3 RQTI)</t>
  </si>
  <si>
    <r>
      <t>Lp</t>
    </r>
    <r>
      <rPr>
        <vertAlign val="subscript"/>
        <sz val="11"/>
        <rFont val="Calibri"/>
        <family val="2"/>
        <scheme val="minor"/>
      </rPr>
      <t xml:space="preserve">d </t>
    </r>
  </si>
  <si>
    <r>
      <t>La</t>
    </r>
    <r>
      <rPr>
        <vertAlign val="subscript"/>
        <sz val="11"/>
        <rFont val="Calibri"/>
        <family val="2"/>
        <scheme val="minor"/>
      </rPr>
      <t>t</t>
    </r>
  </si>
  <si>
    <t>Solo rete principale di adduzione, escluse le derivazioni d’utenza</t>
  </si>
  <si>
    <r>
      <t>Ld</t>
    </r>
    <r>
      <rPr>
        <vertAlign val="subscript"/>
        <sz val="11"/>
        <rFont val="Calibri"/>
        <family val="2"/>
        <scheme val="minor"/>
      </rPr>
      <t>t</t>
    </r>
  </si>
  <si>
    <t>Solo rete principale di distribuzione, escluse le derivazioni d’utenza</t>
  </si>
  <si>
    <r>
      <t>Agg</t>
    </r>
    <r>
      <rPr>
        <vertAlign val="subscript"/>
        <sz val="11"/>
        <rFont val="Calibri"/>
        <family val="2"/>
        <scheme val="minor"/>
      </rPr>
      <t>A1</t>
    </r>
  </si>
  <si>
    <r>
      <t>Agg</t>
    </r>
    <r>
      <rPr>
        <vertAlign val="subscript"/>
        <sz val="11"/>
        <rFont val="Calibri"/>
        <family val="2"/>
        <scheme val="minor"/>
      </rPr>
      <t>A2</t>
    </r>
  </si>
  <si>
    <r>
      <t>Agg</t>
    </r>
    <r>
      <rPr>
        <vertAlign val="subscript"/>
        <sz val="11"/>
        <rFont val="Calibri"/>
        <family val="2"/>
        <scheme val="minor"/>
      </rPr>
      <t>B</t>
    </r>
  </si>
  <si>
    <r>
      <t>Agg</t>
    </r>
    <r>
      <rPr>
        <vertAlign val="subscript"/>
        <sz val="11"/>
        <color theme="3"/>
        <rFont val="Calibri"/>
        <family val="2"/>
        <scheme val="minor"/>
      </rPr>
      <t>C1</t>
    </r>
  </si>
  <si>
    <t>di cui 10.000 &lt;= A.E. &lt; 50.000</t>
  </si>
  <si>
    <r>
      <t>Agg</t>
    </r>
    <r>
      <rPr>
        <vertAlign val="subscript"/>
        <sz val="11"/>
        <color theme="3"/>
        <rFont val="Calibri"/>
        <family val="2"/>
        <scheme val="minor"/>
      </rPr>
      <t>C2</t>
    </r>
  </si>
  <si>
    <t>di cui 50.000 &lt;= A.E. &lt; 100.000</t>
  </si>
  <si>
    <t>di cui 100.000 &lt;= A.E. &lt; 500.000</t>
  </si>
  <si>
    <r>
      <t>Agg</t>
    </r>
    <r>
      <rPr>
        <vertAlign val="subscript"/>
        <sz val="11"/>
        <rFont val="Calibri"/>
        <family val="2"/>
        <scheme val="minor"/>
      </rPr>
      <t>E</t>
    </r>
  </si>
  <si>
    <t>di cui A.E. &gt;= 500.000</t>
  </si>
  <si>
    <r>
      <t>Ndep</t>
    </r>
    <r>
      <rPr>
        <vertAlign val="subscript"/>
        <sz val="11"/>
        <rFont val="Calibri"/>
        <family val="2"/>
        <scheme val="minor"/>
      </rPr>
      <t>A1</t>
    </r>
  </si>
  <si>
    <r>
      <t>Ndep</t>
    </r>
    <r>
      <rPr>
        <vertAlign val="subscript"/>
        <sz val="11"/>
        <rFont val="Calibri"/>
        <family val="2"/>
        <scheme val="minor"/>
      </rPr>
      <t>A2</t>
    </r>
  </si>
  <si>
    <r>
      <t>Ndep</t>
    </r>
    <r>
      <rPr>
        <vertAlign val="subscript"/>
        <sz val="11"/>
        <color theme="3"/>
        <rFont val="Calibri"/>
        <family val="2"/>
        <scheme val="minor"/>
      </rPr>
      <t>C1</t>
    </r>
  </si>
  <si>
    <t>di cui con potenzialità 10.000 &lt;= A.E. &lt; 50.000</t>
  </si>
  <si>
    <r>
      <t>Ndep</t>
    </r>
    <r>
      <rPr>
        <vertAlign val="subscript"/>
        <sz val="11"/>
        <color theme="3"/>
        <rFont val="Calibri"/>
        <family val="2"/>
        <scheme val="minor"/>
      </rPr>
      <t>C2</t>
    </r>
  </si>
  <si>
    <t>di cui con potenzialità 50.000 &lt;= A.E. &lt; 100.000</t>
  </si>
  <si>
    <r>
      <t>Ndep</t>
    </r>
    <r>
      <rPr>
        <vertAlign val="subscript"/>
        <sz val="11"/>
        <color theme="3"/>
        <rFont val="Calibri"/>
        <family val="2"/>
        <scheme val="minor"/>
      </rPr>
      <t>D</t>
    </r>
  </si>
  <si>
    <t>di cui con potenzialità 100.000 &lt;= A.E. &lt;500.000</t>
  </si>
  <si>
    <r>
      <t>Ndep</t>
    </r>
    <r>
      <rPr>
        <vertAlign val="subscript"/>
        <sz val="11"/>
        <rFont val="Calibri"/>
        <family val="2"/>
        <scheme val="minor"/>
      </rPr>
      <t>E</t>
    </r>
  </si>
  <si>
    <t>di cui con potenzialità A.E. &gt;= 500.000</t>
  </si>
  <si>
    <r>
      <t>In caso di gestione completamente integrata, questo valore coincide con il carico generato Car</t>
    </r>
    <r>
      <rPr>
        <vertAlign val="subscript"/>
        <sz val="10"/>
        <color theme="3"/>
        <rFont val="Calibri"/>
        <family val="2"/>
        <scheme val="minor"/>
      </rPr>
      <t>gen</t>
    </r>
    <r>
      <rPr>
        <sz val="10"/>
        <color theme="3"/>
        <rFont val="Calibri"/>
        <family val="2"/>
        <scheme val="minor"/>
      </rPr>
      <t xml:space="preserve"> di cui alla riga 112</t>
    </r>
  </si>
  <si>
    <r>
      <t>Car</t>
    </r>
    <r>
      <rPr>
        <vertAlign val="subscript"/>
        <sz val="11"/>
        <rFont val="Calibri"/>
        <family val="2"/>
        <scheme val="minor"/>
      </rPr>
      <t>dep4</t>
    </r>
  </si>
  <si>
    <r>
      <t>Car</t>
    </r>
    <r>
      <rPr>
        <vertAlign val="subscript"/>
        <sz val="11"/>
        <rFont val="Calibri"/>
        <family val="2"/>
        <scheme val="minor"/>
      </rPr>
      <t>dep</t>
    </r>
  </si>
  <si>
    <r>
      <t>Car</t>
    </r>
    <r>
      <rPr>
        <vertAlign val="subscript"/>
        <sz val="11"/>
        <rFont val="Calibri"/>
        <family val="2"/>
        <scheme val="minor"/>
      </rPr>
      <t>depA1</t>
    </r>
  </si>
  <si>
    <r>
      <t>Car</t>
    </r>
    <r>
      <rPr>
        <vertAlign val="subscript"/>
        <sz val="11"/>
        <rFont val="Calibri"/>
        <family val="2"/>
        <scheme val="minor"/>
      </rPr>
      <t>depA2</t>
    </r>
  </si>
  <si>
    <r>
      <t>Car</t>
    </r>
    <r>
      <rPr>
        <vertAlign val="subscript"/>
        <sz val="11"/>
        <rFont val="Calibri"/>
        <family val="2"/>
        <scheme val="minor"/>
      </rPr>
      <t>depB</t>
    </r>
  </si>
  <si>
    <r>
      <t>Car</t>
    </r>
    <r>
      <rPr>
        <vertAlign val="subscript"/>
        <sz val="11"/>
        <color theme="3"/>
        <rFont val="Calibri"/>
        <family val="2"/>
        <scheme val="minor"/>
      </rPr>
      <t>depC1</t>
    </r>
  </si>
  <si>
    <r>
      <t>Car</t>
    </r>
    <r>
      <rPr>
        <vertAlign val="subscript"/>
        <sz val="11"/>
        <color theme="3"/>
        <rFont val="Calibri"/>
        <family val="2"/>
        <scheme val="minor"/>
      </rPr>
      <t>depC2</t>
    </r>
  </si>
  <si>
    <r>
      <t>Car</t>
    </r>
    <r>
      <rPr>
        <vertAlign val="subscript"/>
        <sz val="11"/>
        <rFont val="Calibri"/>
        <family val="2"/>
        <scheme val="minor"/>
      </rPr>
      <t>depD</t>
    </r>
  </si>
  <si>
    <r>
      <t>Car</t>
    </r>
    <r>
      <rPr>
        <vertAlign val="subscript"/>
        <sz val="11"/>
        <rFont val="Calibri"/>
        <family val="2"/>
        <scheme val="minor"/>
      </rPr>
      <t>depE</t>
    </r>
  </si>
  <si>
    <t>Numero di depuratori per tipologia di trattamento e potenzialità di trattamento (anno 2025)</t>
  </si>
  <si>
    <t>10.000 &lt;= A.E. &lt; 50.000</t>
  </si>
  <si>
    <t>50.000 &lt;= A.E. &lt; 100.000</t>
  </si>
  <si>
    <t>Carico inquinante collettato (A.E.) per tipologia di trattamento e potenzialità di trattamento (anno 2025)</t>
  </si>
  <si>
    <t>Il gestore gestisce il servizio di acquedotto?</t>
  </si>
  <si>
    <t>Il gestore gestisce il servizio di fognatura?</t>
  </si>
  <si>
    <t>Valutazione prerequisiti e indicazione istanze presentate per M0</t>
  </si>
  <si>
    <r>
      <t>Preq4</t>
    </r>
    <r>
      <rPr>
        <b/>
        <vertAlign val="subscript"/>
        <sz val="11"/>
        <rFont val="Calibri"/>
        <family val="2"/>
      </rPr>
      <t>M0</t>
    </r>
  </si>
  <si>
    <r>
      <t>Ist</t>
    </r>
    <r>
      <rPr>
        <vertAlign val="subscript"/>
        <sz val="11"/>
        <rFont val="Calibri"/>
        <family val="2"/>
        <scheme val="minor"/>
      </rPr>
      <t>D,M0</t>
    </r>
  </si>
  <si>
    <t xml:space="preserve">Istanza ex-post ai sensi del comma 5.4, del. 917/2017 </t>
  </si>
  <si>
    <t>Calcolo dell'indicatore M0a</t>
  </si>
  <si>
    <t>Conc_ter_SII</t>
  </si>
  <si>
    <t>Volume di acqua (potabile o non potabile) prelevato da sistemi di acquedotto/captazione gestiti da altre gestioni e immesso nella rete di adduzione e/o di distribuzione</t>
  </si>
  <si>
    <t>Volume di acqua (potabile o non potabile) prelevato dalla rete di adduzione e/o di distribuzione e ceduto a sistemi di acquedotto gestiti da altre gestioni</t>
  </si>
  <si>
    <t>Cons_SII</t>
  </si>
  <si>
    <t>Consumi SII</t>
  </si>
  <si>
    <t>Qualora il dato riportato in automatico non corrisponda al dato reale, motivare in relazione</t>
  </si>
  <si>
    <t>Calcolo dell'indicatore M0b - fase sperimentale</t>
  </si>
  <si>
    <t>QR3</t>
  </si>
  <si>
    <t>L'Autorità di Bacino Distrettuale competente ha provveduto alla definizione della dimensione territoriale di riferimento per la determinazione di M0b per l'anno in considerazione?</t>
  </si>
  <si>
    <t xml:space="preserve">Vedere RQTI al comma 5-quater.5 lett. a) </t>
  </si>
  <si>
    <t>QR4</t>
  </si>
  <si>
    <t>Indicare se il territorio considerato è inferiore a quello regionale</t>
  </si>
  <si>
    <t xml:space="preserve">Vedere RQTI al comma 5-quater.5 lett. a) - Specificare dettagli in relazione </t>
  </si>
  <si>
    <t>QR5</t>
  </si>
  <si>
    <t>Per l'annualità in considerazione è stata dichiarata crisi idrica con riferimento al territorio considerato?</t>
  </si>
  <si>
    <t>QR6</t>
  </si>
  <si>
    <t>Sempre con riferimento al territorio considerato, in quali altre annualità è stata dichiarata crisi idrica? (a partire dal 2018 incluso) - specificare</t>
  </si>
  <si>
    <t>QR7</t>
  </si>
  <si>
    <t>Indicare la condizione di criticità del territorio (alta, media, bassa)</t>
  </si>
  <si>
    <t>Vedere RQTI alla Tav. 1.ter - Specificare in Relazione le annualità di crisi idrica</t>
  </si>
  <si>
    <t>Il valore deve essere almeno pari a quello riportato nella voce "Cons_SII" (riga 24)</t>
  </si>
  <si>
    <t>Cons_ap_mis</t>
  </si>
  <si>
    <t xml:space="preserve"> di cui consumi acqua potabile provenienti da fonti misurate</t>
  </si>
  <si>
    <t>Cons_irr_mis</t>
  </si>
  <si>
    <t xml:space="preserve"> di cui consumi irrigui provenienti da fonti misurate</t>
  </si>
  <si>
    <t>Cons_ind_mis</t>
  </si>
  <si>
    <t xml:space="preserve"> di cui consumi indistriali provenienti da fonti misurate</t>
  </si>
  <si>
    <t>Cons_al_ap</t>
  </si>
  <si>
    <t>di cui autoapprovvigionamento potabile</t>
  </si>
  <si>
    <t>Laddove il dettaglio sia disponibile</t>
  </si>
  <si>
    <t>Cons_al_ig</t>
  </si>
  <si>
    <t>di cui uso igienico ed usi assimilati</t>
  </si>
  <si>
    <t>Cons_al_p</t>
  </si>
  <si>
    <t>di cui uso piscicolo</t>
  </si>
  <si>
    <t>Cons_al_z</t>
  </si>
  <si>
    <t>di cui uso zootecnico</t>
  </si>
  <si>
    <t>Cons_al_t</t>
  </si>
  <si>
    <t>di cui uso nell’ambito di acquapark o stabilimenti termali e simili</t>
  </si>
  <si>
    <t>Cons_al_im</t>
  </si>
  <si>
    <t>di cui acque minerali destinate all’imbottigliamento</t>
  </si>
  <si>
    <t>Cons_al_ult</t>
  </si>
  <si>
    <t>di cui consumi ulteriori</t>
  </si>
  <si>
    <t>Laddove il dettaglio sia disponibile - Fornire dettagli in relazione in merito alla tipologia di ulteriore tipologia di consumo considerata</t>
  </si>
  <si>
    <t>Cons_al_mis</t>
  </si>
  <si>
    <t xml:space="preserve"> di cui altri consumi provenienti da fonti misurate</t>
  </si>
  <si>
    <t>Cons_irr_crisi</t>
  </si>
  <si>
    <t>Indicare se i consumi irrigui sono ottenuti come media dei prelievi delle 3 annualità più recenti in cui non si sono verificate crisi idriche</t>
  </si>
  <si>
    <t xml:space="preserve">Vedere RQTI al comma 5-quater.5 lett. b.1) </t>
  </si>
  <si>
    <t>Cons_ind_crisi</t>
  </si>
  <si>
    <t>Indicare se i consumi industriali sono ottenuti come media dei prelievi delle 3 annualità più recenti in cui non si sono verificate crisi idriche</t>
  </si>
  <si>
    <t xml:space="preserve">Vedere RQTI al comma 5-quater.5 lett. b.2) </t>
  </si>
  <si>
    <t>QR8</t>
  </si>
  <si>
    <t>Indicare "NO" se non si intende utilizzare - neanche parzialmente - la modalità di stima euristica di cui alla Tavola 1.ter (viceversa non compilare)</t>
  </si>
  <si>
    <t>Motivare in relazione secondo quanto previsto dal comma 5-quater.5 lett. d.5) della RQTI</t>
  </si>
  <si>
    <t>∑falda_calc</t>
  </si>
  <si>
    <t>Calcolo euristico di cui alla Tavola 1.ter</t>
  </si>
  <si>
    <t>Vedere RQTI alla Tav. 1.ter</t>
  </si>
  <si>
    <t>∑falda_mis</t>
  </si>
  <si>
    <t>Volumi di disponibilità idrica provenienti da falda ricavabili da misurazioni effettive</t>
  </si>
  <si>
    <t>Specificare in relazione le metodologie adottate, con particolare riferimento alla ricostruzione tridimensionale dei volumi di falda, sulla base delle caratteristiche geologiche, idrogeologiche e geomorfologiche del sottosuolo</t>
  </si>
  <si>
    <t>Volumi di disponibilità idrica provenienti da falda</t>
  </si>
  <si>
    <t xml:space="preserve">Vedere RQTI al comma 5-quater.5 lett. d.5) </t>
  </si>
  <si>
    <t>Volumi di disponibilità idrica provenienti da invasi</t>
  </si>
  <si>
    <t>∑invasi_tot_mis</t>
  </si>
  <si>
    <t xml:space="preserve"> di cui disponibilità da invasi proveniente da fonti misurate</t>
  </si>
  <si>
    <t>Volumi di disponibilità idrica provenienti da altri corpi idrici superficiali</t>
  </si>
  <si>
    <t>∑CIS_tot_mis</t>
  </si>
  <si>
    <t xml:space="preserve"> di cui disponibilità da CIS proveniente da fonti misurate</t>
  </si>
  <si>
    <t>Volumi di disponibilità idrica provenienti da dissalazione</t>
  </si>
  <si>
    <t>Specificare in relazione se è considerata la capacità autorizzata o la capacità di trattamento massima degli impianti</t>
  </si>
  <si>
    <t>Volumi di disponibilità idrica provenienti da riuso</t>
  </si>
  <si>
    <t>∑riuso_tot_mis</t>
  </si>
  <si>
    <t xml:space="preserve"> di cui disponibilità da riuso proveniente da fonti misurate</t>
  </si>
  <si>
    <t>Calcolo dell'obiettivo e degli indicatori secondari</t>
  </si>
  <si>
    <t>WEI+(a-3)</t>
  </si>
  <si>
    <t>WEI+ anno (a-3)</t>
  </si>
  <si>
    <t xml:space="preserve"> Valore riferito all'area territoriale individuata per l’indicatore M0b</t>
  </si>
  <si>
    <t>WEI+(a-2)</t>
  </si>
  <si>
    <t>WEI+ anno (a-2)</t>
  </si>
  <si>
    <t>WEI+(a-1)</t>
  </si>
  <si>
    <t>WEI+ anno (a-1)</t>
  </si>
  <si>
    <t>WEI+(a)</t>
  </si>
  <si>
    <t>WEI+ anno (a)</t>
  </si>
  <si>
    <t>G0.0a</t>
  </si>
  <si>
    <t>Impatto della ricarica rispetto ai consumi del territorio</t>
  </si>
  <si>
    <t>Vedere RQTI al comma 5-bis.6 punto 1.a)</t>
  </si>
  <si>
    <t>IF(a-7)</t>
  </si>
  <si>
    <t>Internal_flow anno (a-7)</t>
  </si>
  <si>
    <t xml:space="preserve">mm </t>
  </si>
  <si>
    <t>IF(a-6)</t>
  </si>
  <si>
    <t>Internal_flow anno (a-6)</t>
  </si>
  <si>
    <t>mm</t>
  </si>
  <si>
    <t>IF(a-5)</t>
  </si>
  <si>
    <t>Internal_flow anno (a-5)</t>
  </si>
  <si>
    <t>IF(a-4)</t>
  </si>
  <si>
    <t>Internal_flow anno (a-4)</t>
  </si>
  <si>
    <t>IF(a-3)</t>
  </si>
  <si>
    <t>Internal_flow anno (a-3)</t>
  </si>
  <si>
    <t>IF(a-1)</t>
  </si>
  <si>
    <t>Internal_flow anno (a-2)</t>
  </si>
  <si>
    <t>IF(a-2)</t>
  </si>
  <si>
    <t>Internal_flow anno (a-1)</t>
  </si>
  <si>
    <t>IF(a)</t>
  </si>
  <si>
    <t>Internal_flow anno (a)</t>
  </si>
  <si>
    <t>G0.0b</t>
  </si>
  <si>
    <t>Trend temporale della ricarica</t>
  </si>
  <si>
    <t>Vedere RQTI al comma 5-bis.6 punto 1.b)</t>
  </si>
  <si>
    <r>
      <t>W</t>
    </r>
    <r>
      <rPr>
        <vertAlign val="subscript"/>
        <sz val="11"/>
        <rFont val="Calibri"/>
        <family val="2"/>
        <scheme val="minor"/>
      </rPr>
      <t>max</t>
    </r>
  </si>
  <si>
    <t>all'interno del perimetro del gestore del SII</t>
  </si>
  <si>
    <r>
      <t>W</t>
    </r>
    <r>
      <rPr>
        <vertAlign val="subscript"/>
        <sz val="11"/>
        <rFont val="Calibri"/>
        <family val="2"/>
        <scheme val="minor"/>
      </rPr>
      <t>gg</t>
    </r>
  </si>
  <si>
    <t>Vedere RQTI al comma 5-bis.6 punto 2.a)
(è possibile che il dato sia superiore a 100%)</t>
  </si>
  <si>
    <t>Vedere RQTI al comma 5-bis.6 punto 2.b)</t>
  </si>
  <si>
    <t>Bassa</t>
  </si>
  <si>
    <t>Media</t>
  </si>
  <si>
    <t>Alta</t>
  </si>
  <si>
    <t>Riepilogo RQTI: identificazione obiettivi 2026-2027</t>
  </si>
  <si>
    <t>Valori 2025 per definizione obiettivi</t>
  </si>
  <si>
    <t>Definizione obiettivo 2026</t>
  </si>
  <si>
    <t>Definizione obiettivo 2027</t>
  </si>
  <si>
    <t>Valori 2026 consuntivi</t>
  </si>
  <si>
    <t>Valori 2027 consuntivi</t>
  </si>
  <si>
    <t>Ai fini della definizione degli obiettivi previsti dalla RQTI per gli anni 2026 e 2027, i dati di qualità tecnica relativi all’anno 2025 sono differenti da quelli inviati con la precedente raccolta dati di Qualità tecnica (nel file denominato RQTI_2026)?</t>
  </si>
  <si>
    <t>Riepilogo RQTI: istanze per gli anni  2026-2027 (ex art. 5 delibera 917/2017/R/idr)</t>
  </si>
  <si>
    <t>Comor - comma 30.2-bis MTI-4 (ai fini del calcolo delle componenti 2026-2029)</t>
  </si>
  <si>
    <r>
      <t>FONI</t>
    </r>
    <r>
      <rPr>
        <vertAlign val="subscript"/>
        <sz val="10"/>
        <rFont val="Arial Narrow"/>
        <family val="2"/>
      </rPr>
      <t>noninv</t>
    </r>
    <r>
      <rPr>
        <sz val="10"/>
        <rFont val="Arial Narrow"/>
        <family val="2"/>
      </rPr>
      <t xml:space="preserve"> - riportare il dato in eccedenza rispetto alle componenti </t>
    </r>
    <r>
      <rPr>
        <sz val="10"/>
        <rFont val="Symbol"/>
        <family val="1"/>
        <charset val="2"/>
      </rPr>
      <t>D</t>
    </r>
    <r>
      <rPr>
        <sz val="10"/>
        <rFont val="Arial Narrow"/>
        <family val="2"/>
      </rPr>
      <t>CUIT</t>
    </r>
    <r>
      <rPr>
        <vertAlign val="subscript"/>
        <sz val="10"/>
        <rFont val="Arial Narrow"/>
        <family val="2"/>
      </rPr>
      <t>FoNI</t>
    </r>
    <r>
      <rPr>
        <sz val="10"/>
        <rFont val="Arial Narrow"/>
        <family val="2"/>
      </rPr>
      <t xml:space="preserve"> e AMM</t>
    </r>
    <r>
      <rPr>
        <vertAlign val="subscript"/>
        <sz val="10"/>
        <rFont val="Arial Narrow"/>
        <family val="2"/>
      </rPr>
      <t>FoNI</t>
    </r>
    <r>
      <rPr>
        <sz val="10"/>
        <rFont val="Arial Narrow"/>
        <family val="2"/>
      </rPr>
      <t xml:space="preserve"> - comma 28.1 lett. e) MTI-4</t>
    </r>
  </si>
  <si>
    <r>
      <t>Opex</t>
    </r>
    <r>
      <rPr>
        <vertAlign val="subscript"/>
        <sz val="10"/>
        <rFont val="Arial Narrow"/>
        <family val="2"/>
      </rPr>
      <t>qc</t>
    </r>
    <r>
      <rPr>
        <sz val="10"/>
        <rFont val="Arial Narrow"/>
        <family val="2"/>
      </rPr>
      <t xml:space="preserve"> 
(commi 19.9 lettera b) - 476/2023/R/IDR e 28.1 MTI-4)</t>
    </r>
  </si>
  <si>
    <r>
      <t>Opex</t>
    </r>
    <r>
      <rPr>
        <vertAlign val="subscript"/>
        <sz val="10"/>
        <rFont val="Arial Narrow"/>
        <family val="2"/>
      </rPr>
      <t>qc</t>
    </r>
    <r>
      <rPr>
        <sz val="10"/>
        <rFont val="Arial Narrow"/>
        <family val="2"/>
      </rPr>
      <t xml:space="preserve"> 
(commi 19.9 lettera b) - 277/2025/R/IDR e 28.1 MTI-4)</t>
    </r>
  </si>
  <si>
    <t>Assenza di ritardi e carenze nell’implementazione dei piani (in precedenza comunicati all’Autorità) per il superamento della mancanza dei pertinenti prerequisiti</t>
  </si>
  <si>
    <r>
      <rPr>
        <b/>
        <sz val="10"/>
        <color indexed="8"/>
        <rFont val="Arial Narrow"/>
        <family val="2"/>
      </rPr>
      <t>∏(1+I</t>
    </r>
    <r>
      <rPr>
        <b/>
        <vertAlign val="superscript"/>
        <sz val="10"/>
        <color indexed="8"/>
        <rFont val="Arial Narrow"/>
        <family val="2"/>
      </rPr>
      <t>t</t>
    </r>
    <r>
      <rPr>
        <b/>
        <sz val="10"/>
        <color indexed="8"/>
        <rFont val="Arial Narrow"/>
        <family val="2"/>
      </rPr>
      <t>)</t>
    </r>
    <r>
      <rPr>
        <sz val="10"/>
        <rFont val="Arial Narrow"/>
        <family val="2"/>
      </rPr>
      <t xml:space="preserve"> (da 2017 a a-2)</t>
    </r>
  </si>
  <si>
    <r>
      <rPr>
        <b/>
        <sz val="10"/>
        <color indexed="8"/>
        <rFont val="Arial Narrow"/>
        <family val="2"/>
      </rPr>
      <t>∏(1+I</t>
    </r>
    <r>
      <rPr>
        <b/>
        <vertAlign val="superscript"/>
        <sz val="10"/>
        <color indexed="8"/>
        <rFont val="Arial Narrow"/>
        <family val="2"/>
      </rPr>
      <t>t</t>
    </r>
    <r>
      <rPr>
        <b/>
        <sz val="10"/>
        <color indexed="8"/>
        <rFont val="Arial Narrow"/>
        <family val="2"/>
      </rPr>
      <t>)</t>
    </r>
    <r>
      <rPr>
        <sz val="10"/>
        <rFont val="Arial Narrow"/>
        <family val="2"/>
      </rPr>
      <t xml:space="preserve"> (da 2017 ad a )</t>
    </r>
  </si>
  <si>
    <t>Unpaid Ratio [UR] comma 30.2 / 30.2 bis MTI-4</t>
  </si>
  <si>
    <r>
      <t>Opex</t>
    </r>
    <r>
      <rPr>
        <i/>
        <vertAlign val="superscript"/>
        <sz val="10"/>
        <rFont val="Arial Narrow"/>
        <family val="2"/>
      </rPr>
      <t>a</t>
    </r>
    <r>
      <rPr>
        <vertAlign val="subscript"/>
        <sz val="10"/>
        <rFont val="Arial Narrow"/>
        <family val="2"/>
      </rPr>
      <t>qc</t>
    </r>
    <r>
      <rPr>
        <sz val="10"/>
        <rFont val="Arial Narrow"/>
        <family val="2"/>
      </rPr>
      <t xml:space="preserve"> 
(commi 19.9 lettera b) - 476/2023/R/IDR e 28.1 MTI-4)</t>
    </r>
  </si>
  <si>
    <r>
      <t>Opex</t>
    </r>
    <r>
      <rPr>
        <i/>
        <vertAlign val="superscript"/>
        <sz val="10"/>
        <rFont val="Arial Narrow"/>
        <family val="2"/>
      </rPr>
      <t>a</t>
    </r>
    <r>
      <rPr>
        <vertAlign val="subscript"/>
        <sz val="10"/>
        <rFont val="Arial Narrow"/>
        <family val="2"/>
      </rPr>
      <t>qc</t>
    </r>
    <r>
      <rPr>
        <sz val="10"/>
        <rFont val="Arial Narrow"/>
        <family val="2"/>
      </rPr>
      <t xml:space="preserve"> 
(commi 19.9 lettera b) - 277/2025/R/IDR e 28.1 MTI-4)</t>
    </r>
  </si>
  <si>
    <r>
      <t>Opex</t>
    </r>
    <r>
      <rPr>
        <vertAlign val="subscript"/>
        <sz val="10"/>
        <color indexed="8"/>
        <rFont val="Arial Narrow"/>
        <family val="2"/>
      </rPr>
      <t>Qc</t>
    </r>
    <r>
      <rPr>
        <sz val="10"/>
        <color indexed="8"/>
        <rFont val="Arial Narrow"/>
        <family val="2"/>
      </rPr>
      <t xml:space="preserve"> lett. c) 476/2023/R/IDR</t>
    </r>
  </si>
  <si>
    <r>
      <t>Opex</t>
    </r>
    <r>
      <rPr>
        <vertAlign val="subscript"/>
        <sz val="10"/>
        <color indexed="8"/>
        <rFont val="Arial Narrow"/>
        <family val="2"/>
      </rPr>
      <t>Qc</t>
    </r>
    <r>
      <rPr>
        <sz val="10"/>
        <color indexed="8"/>
        <rFont val="Arial Narrow"/>
        <family val="2"/>
      </rPr>
      <t xml:space="preserve"> lett. c) 277/2025/R/IDR</t>
    </r>
  </si>
  <si>
    <t>verifica scadenza concessione</t>
  </si>
  <si>
    <r>
      <rPr>
        <b/>
        <sz val="10"/>
        <color theme="1"/>
        <rFont val="Arial Narrow"/>
        <family val="2"/>
      </rPr>
      <t>RC</t>
    </r>
    <r>
      <rPr>
        <b/>
        <vertAlign val="subscript"/>
        <sz val="10"/>
        <color theme="1"/>
        <rFont val="Arial Narrow"/>
        <family val="2"/>
      </rPr>
      <t>TOT</t>
    </r>
    <r>
      <rPr>
        <sz val="10"/>
        <color theme="1"/>
        <rFont val="Arial Narrow"/>
        <family val="2"/>
      </rPr>
      <t xml:space="preserve"> - verifica rispetto comma 28.2-bis MTI-4</t>
    </r>
  </si>
  <si>
    <t>AFFIDAMENTO E CAUSE DI ESCLUSIONE</t>
  </si>
  <si>
    <t xml:space="preserve">Assenza di ritardi e carenze nell’implementazione dei piani (in precedenza comunicati all’Autorità) per il superamento della mancanza dei pertinenti prerequisiti </t>
  </si>
  <si>
    <t>Limite di crescita del moltiplicatore tariffario (c. 9.2, lett. c, All. A Del. 347/2025/R/idr)</t>
  </si>
  <si>
    <r>
      <t>Kcom (</t>
    </r>
    <r>
      <rPr>
        <sz val="10"/>
        <rFont val="Aptos Narrow"/>
        <family val="2"/>
      </rPr>
      <t>≤</t>
    </r>
    <r>
      <rPr>
        <sz val="10"/>
        <rFont val="Arial Narrow"/>
        <family val="2"/>
      </rPr>
      <t>0%)</t>
    </r>
  </si>
  <si>
    <r>
      <t>Xcom (</t>
    </r>
    <r>
      <rPr>
        <sz val="10"/>
        <rFont val="Aptos Narrow"/>
        <family val="2"/>
      </rPr>
      <t>≥</t>
    </r>
    <r>
      <rPr>
        <sz val="10"/>
        <rFont val="Arial Narrow"/>
        <family val="2"/>
      </rPr>
      <t>0%)</t>
    </r>
  </si>
  <si>
    <t>Sharing dei margini altre attività idriche  (c. 9.2, lett. b, All. A Del. 347/2025/R/idr)</t>
  </si>
  <si>
    <r>
      <t>γ</t>
    </r>
    <r>
      <rPr>
        <vertAlign val="subscript"/>
        <sz val="10"/>
        <color theme="1"/>
        <rFont val="Arial Narrow"/>
        <family val="2"/>
      </rPr>
      <t>b1com</t>
    </r>
    <r>
      <rPr>
        <sz val="10"/>
        <rFont val="Arial Narrow"/>
        <family val="2"/>
      </rPr>
      <t xml:space="preserve">  (≤0)</t>
    </r>
  </si>
  <si>
    <t>Efficienze nei costi operativi  (c. 9.2, lett. a, All. A Del. 347/2025/R/idr)</t>
  </si>
  <si>
    <t>ANNI 2026-2029</t>
  </si>
  <si>
    <r>
      <t>Detrazione Opex</t>
    </r>
    <r>
      <rPr>
        <vertAlign val="subscript"/>
        <sz val="10"/>
        <color indexed="8"/>
        <rFont val="Calibri"/>
        <family val="2"/>
      </rPr>
      <t>QT</t>
    </r>
  </si>
  <si>
    <r>
      <t>Detrazione Opex</t>
    </r>
    <r>
      <rPr>
        <vertAlign val="subscript"/>
        <sz val="10"/>
        <color indexed="8"/>
        <rFont val="Calibri"/>
        <family val="2"/>
      </rPr>
      <t>QC</t>
    </r>
  </si>
  <si>
    <r>
      <t>Detrazione ERC</t>
    </r>
    <r>
      <rPr>
        <vertAlign val="subscript"/>
        <sz val="10"/>
        <color indexed="8"/>
        <rFont val="Calibri"/>
        <family val="2"/>
      </rPr>
      <t>tel</t>
    </r>
  </si>
  <si>
    <r>
      <t>Detrazione Op</t>
    </r>
    <r>
      <rPr>
        <vertAlign val="superscript"/>
        <sz val="10"/>
        <color theme="1"/>
        <rFont val="Arial Narrow"/>
        <family val="2"/>
      </rPr>
      <t>new</t>
    </r>
  </si>
  <si>
    <t>Affidamento</t>
  </si>
  <si>
    <r>
      <t xml:space="preserve">  </t>
    </r>
    <r>
      <rPr>
        <sz val="10"/>
        <color theme="1"/>
        <rFont val="Arial Narrow"/>
        <family val="2"/>
      </rPr>
      <t>Detrazione CO</t>
    </r>
    <r>
      <rPr>
        <vertAlign val="superscript"/>
        <sz val="10"/>
        <color theme="1"/>
        <rFont val="Arial Narrow"/>
        <family val="2"/>
      </rPr>
      <t>S</t>
    </r>
    <r>
      <rPr>
        <vertAlign val="subscript"/>
        <sz val="10"/>
        <color theme="1"/>
        <rFont val="Arial Narrow"/>
        <family val="2"/>
      </rPr>
      <t>conv</t>
    </r>
  </si>
  <si>
    <r>
      <t xml:space="preserve">  </t>
    </r>
    <r>
      <rPr>
        <sz val="10"/>
        <color theme="1"/>
        <rFont val="Arial Narrow"/>
        <family val="2"/>
      </rPr>
      <t>Detrazione Capex</t>
    </r>
    <r>
      <rPr>
        <i/>
        <vertAlign val="subscript"/>
        <sz val="10"/>
        <color theme="1"/>
        <rFont val="Arial Narrow"/>
        <family val="2"/>
      </rPr>
      <t>conv</t>
    </r>
  </si>
  <si>
    <r>
      <t>Opex</t>
    </r>
    <r>
      <rPr>
        <vertAlign val="superscript"/>
        <sz val="10"/>
        <rFont val="Arial Narrow"/>
        <family val="2"/>
      </rPr>
      <t>2025</t>
    </r>
    <r>
      <rPr>
        <vertAlign val="subscript"/>
        <sz val="10"/>
        <rFont val="Arial Narrow"/>
        <family val="2"/>
      </rPr>
      <t>end,</t>
    </r>
    <r>
      <rPr>
        <vertAlign val="subscript"/>
        <sz val="10"/>
        <color theme="1"/>
        <rFont val="Arial Narrow"/>
        <family val="2"/>
      </rPr>
      <t>new</t>
    </r>
    <r>
      <rPr>
        <vertAlign val="superscript"/>
        <sz val="10"/>
        <color theme="1"/>
        <rFont val="Arial Narrow"/>
        <family val="2"/>
      </rPr>
      <t xml:space="preserve"> </t>
    </r>
    <r>
      <rPr>
        <sz val="10"/>
        <color theme="1"/>
        <rFont val="Arial Narrow"/>
        <family val="2"/>
      </rPr>
      <t>- comma 18.1 lett.b)</t>
    </r>
    <r>
      <rPr>
        <sz val="10"/>
        <rFont val="Arial Narrow"/>
        <family val="2"/>
      </rPr>
      <t xml:space="preserve"> MTI-4 (al lordo degli ERC)</t>
    </r>
  </si>
  <si>
    <r>
      <t>Opex</t>
    </r>
    <r>
      <rPr>
        <b/>
        <vertAlign val="superscript"/>
        <sz val="10"/>
        <rFont val="Arial Narrow"/>
        <family val="2"/>
      </rPr>
      <t>2025</t>
    </r>
    <r>
      <rPr>
        <vertAlign val="subscript"/>
        <sz val="10"/>
        <rFont val="Arial Narrow"/>
        <family val="2"/>
      </rPr>
      <t>end, new</t>
    </r>
  </si>
  <si>
    <t>Consumo medio annuo (mc)</t>
  </si>
  <si>
    <t>Indicare il numero di utenze raggruppate/condominiali per le quali il riscontro è completo, cioè riferito alla totalità delle utenze indirette sottese</t>
  </si>
  <si>
    <t>CONDIZIONI DI AGGIUDICAZIONE EX OFFERTA ECONOMICA DI CUI ALLA DELIBERAZIONE 347/2025/R/IDR</t>
  </si>
  <si>
    <t>di cui associati a "impianti non ulteriormente procrastinabili" comma 19.6-bis</t>
  </si>
  <si>
    <r>
      <rPr>
        <b/>
        <sz val="11"/>
        <rFont val="Symbol"/>
        <family val="1"/>
        <charset val="2"/>
      </rPr>
      <t>D</t>
    </r>
    <r>
      <rPr>
        <b/>
        <sz val="11"/>
        <rFont val="Calibri"/>
        <family val="2"/>
        <scheme val="minor"/>
      </rPr>
      <t>T</t>
    </r>
    <r>
      <rPr>
        <b/>
        <vertAlign val="subscript"/>
        <sz val="11"/>
        <rFont val="Calibri"/>
        <family val="2"/>
        <scheme val="minor"/>
      </rPr>
      <t>G,ind</t>
    </r>
    <r>
      <rPr>
        <b/>
        <vertAlign val="superscript"/>
        <sz val="11"/>
        <rFont val="Calibri"/>
        <family val="2"/>
        <scheme val="minor"/>
      </rPr>
      <t xml:space="preserve">2024
</t>
    </r>
    <r>
      <rPr>
        <b/>
        <sz val="11"/>
        <rFont val="Calibri"/>
        <family val="2"/>
        <scheme val="minor"/>
      </rPr>
      <t>in tariffa 2026</t>
    </r>
  </si>
  <si>
    <r>
      <rPr>
        <b/>
        <sz val="11"/>
        <rFont val="Symbol"/>
        <family val="1"/>
        <charset val="2"/>
      </rPr>
      <t>D</t>
    </r>
    <r>
      <rPr>
        <b/>
        <sz val="11"/>
        <rFont val="Calibri"/>
        <family val="2"/>
        <scheme val="minor"/>
      </rPr>
      <t>T</t>
    </r>
    <r>
      <rPr>
        <b/>
        <vertAlign val="subscript"/>
        <sz val="11"/>
        <rFont val="Calibri"/>
        <family val="2"/>
        <scheme val="minor"/>
      </rPr>
      <t>G,ind</t>
    </r>
    <r>
      <rPr>
        <b/>
        <vertAlign val="superscript"/>
        <sz val="11"/>
        <rFont val="Calibri"/>
        <family val="2"/>
        <scheme val="minor"/>
      </rPr>
      <t xml:space="preserve">2024
</t>
    </r>
    <r>
      <rPr>
        <b/>
        <sz val="11"/>
        <rFont val="Calibri"/>
        <family val="2"/>
        <scheme val="minor"/>
      </rPr>
      <t>in tariffa 2027</t>
    </r>
  </si>
  <si>
    <r>
      <t>ΣkWh</t>
    </r>
    <r>
      <rPr>
        <b/>
        <vertAlign val="superscript"/>
        <sz val="9.35"/>
        <rFont val="Calibri"/>
        <family val="2"/>
      </rPr>
      <t>n</t>
    </r>
    <r>
      <rPr>
        <b/>
        <sz val="11"/>
        <rFont val="Calibri"/>
        <family val="2"/>
        <scheme val="minor"/>
      </rPr>
      <t xml:space="preserve"> </t>
    </r>
    <r>
      <rPr>
        <b/>
        <vertAlign val="subscript"/>
        <sz val="11"/>
        <rFont val="Calibri"/>
        <family val="2"/>
        <scheme val="minor"/>
      </rPr>
      <t>(2022-2025)</t>
    </r>
    <r>
      <rPr>
        <b/>
        <sz val="11"/>
        <rFont val="Calibri"/>
        <family val="2"/>
        <scheme val="minor"/>
      </rPr>
      <t xml:space="preserve"> / 4</t>
    </r>
  </si>
  <si>
    <t>Procedura a evidenza pubblica con indisponibilità 
dei requisiti infomativi minimi (art. 11 All. A Del. 347/2025/R/idr)</t>
  </si>
  <si>
    <r>
      <t>K</t>
    </r>
    <r>
      <rPr>
        <vertAlign val="subscript"/>
        <sz val="10"/>
        <color theme="1"/>
        <rFont val="Arial Narrow"/>
        <family val="2"/>
      </rPr>
      <t>reg</t>
    </r>
  </si>
  <si>
    <r>
      <t>X</t>
    </r>
    <r>
      <rPr>
        <vertAlign val="subscript"/>
        <sz val="10"/>
        <color theme="1"/>
        <rFont val="Arial Narrow"/>
        <family val="2"/>
      </rPr>
      <t>reg</t>
    </r>
  </si>
  <si>
    <t>Detrazione da gara</t>
  </si>
  <si>
    <t>Altra detrazione</t>
  </si>
  <si>
    <t>2026*</t>
  </si>
  <si>
    <t>Riepilogo RQSII: identificazione obiettivi 2026-2027</t>
  </si>
  <si>
    <t>A</t>
  </si>
  <si>
    <t>B</t>
  </si>
  <si>
    <t>D</t>
  </si>
  <si>
    <t>mantenimento</t>
  </si>
  <si>
    <t>*Ai sensi del comma 93.4 dell’Allegato A alla deliberazione 655/2015/R/idr, si assume per perseguito l’obiettivo per l’annualità 2026 ai fini dell’individuazione della classe di appartenenza e del corrispondente obiettivo per l’annualità 2027</t>
  </si>
  <si>
    <t>+2%</t>
  </si>
  <si>
    <t>+1%</t>
  </si>
  <si>
    <t>+3%</t>
  </si>
  <si>
    <t>Obiettivo base</t>
  </si>
  <si>
    <t>+1% o MC1&gt;98%</t>
  </si>
  <si>
    <t>+2% o MC1&gt;95%</t>
  </si>
  <si>
    <t>+3% o MC1&gt;92%</t>
  </si>
  <si>
    <t>Obiettivo gradualità</t>
  </si>
  <si>
    <t>+1% o MC2&gt;96%</t>
  </si>
  <si>
    <t>+2% o MC2&gt;94%</t>
  </si>
  <si>
    <t>+3% o MC2&gt;92%</t>
  </si>
  <si>
    <t>Obiettivo complessivo</t>
  </si>
  <si>
    <t>Verifica dei contributi stratificati nel foglio "IMN_consolidamento"</t>
  </si>
  <si>
    <t>CFP da foglio "IMN_consolidamento"</t>
  </si>
  <si>
    <t>FoNI da foglio "Piano_Tariffario"</t>
  </si>
  <si>
    <t>CFP da foglio "PdI-crono_inv" (FoNI escluso)</t>
  </si>
  <si>
    <t>Eventuale scostamento</t>
  </si>
  <si>
    <r>
      <t>Contributi - da foglio "</t>
    </r>
    <r>
      <rPr>
        <b/>
        <i/>
        <sz val="9"/>
        <color theme="0"/>
        <rFont val="Arial Narrow"/>
        <family val="2"/>
      </rPr>
      <t>PdI-cronoprogramma_investimenti</t>
    </r>
    <r>
      <rPr>
        <b/>
        <sz val="9"/>
        <color theme="0"/>
        <rFont val="Arial Narrow"/>
        <family val="2"/>
      </rPr>
      <t>", di cui FoNI</t>
    </r>
  </si>
  <si>
    <t>Contributi da FoNI</t>
  </si>
  <si>
    <t>Indicare con "X" se le informazioni riportate nella corrispondente riga siano da imputare al solo FoNI (co. 36.5 MTI-4)</t>
  </si>
  <si>
    <t>Sussistenza di eventuali misure di sostegno nazionali o Euro-unitarie</t>
  </si>
  <si>
    <r>
      <t>kWh</t>
    </r>
    <r>
      <rPr>
        <b/>
        <vertAlign val="superscript"/>
        <sz val="11"/>
        <rFont val="Calibri"/>
        <family val="2"/>
        <scheme val="minor"/>
      </rPr>
      <t>2025</t>
    </r>
  </si>
  <si>
    <t>00673290805</t>
  </si>
  <si>
    <t>COMUNE DI CARDETO</t>
  </si>
  <si>
    <t>04137960136</t>
  </si>
  <si>
    <t>COMUNE DI UGGIATE CON RONAGO</t>
  </si>
  <si>
    <t>11790730961</t>
  </si>
  <si>
    <t>FAMILYHU S.R.L.</t>
  </si>
  <si>
    <t>COMUNE DI CALASCIO</t>
  </si>
  <si>
    <t>COMUNE DI CORTENO GOLGI</t>
  </si>
  <si>
    <t>ACQUE DEL CHIAMPO S.P.A. SOCIETA' BENEFIT</t>
  </si>
  <si>
    <t>04279151205</t>
  </si>
  <si>
    <t>HERACQUAMODENA S.R.L.</t>
  </si>
  <si>
    <t>03105170652</t>
  </si>
  <si>
    <t>IDROCILENTO S.C.P.A.</t>
  </si>
  <si>
    <t>Comune di Cerreto Sannita</t>
  </si>
  <si>
    <t>Comune di Reggio di Calabria</t>
  </si>
  <si>
    <t>00080070881</t>
  </si>
  <si>
    <t>COMUNE DI SCICLI</t>
  </si>
  <si>
    <t>00383490216</t>
  </si>
  <si>
    <t>Comune Campo di Trens</t>
  </si>
  <si>
    <t>Comune di Sanza</t>
  </si>
  <si>
    <t>05487640871</t>
  </si>
  <si>
    <t>NAIADI Srl</t>
  </si>
  <si>
    <t>00256700642</t>
  </si>
  <si>
    <t>Comune di Montefusco</t>
  </si>
  <si>
    <t>03191430804</t>
  </si>
  <si>
    <t>comune di ferruzzano</t>
  </si>
  <si>
    <t>01672950787</t>
  </si>
  <si>
    <t>Comune di Malito</t>
  </si>
  <si>
    <t>COMUNE DI SERRA D'AIELLO</t>
  </si>
  <si>
    <t>COMUNE DI CASSANO ALL'IONIO</t>
  </si>
  <si>
    <t>COMUNE DI CHALLAND SAINT VICTOR</t>
  </si>
  <si>
    <t>SOCIETA' GESTIONE RIUNITA IDRICO S.P.A.</t>
  </si>
  <si>
    <t>01750260646</t>
  </si>
  <si>
    <t>93544360725</t>
  </si>
  <si>
    <t>CONSORZIO DI BONIFICA CENTRO SUD PUGLIA</t>
  </si>
  <si>
    <t>COMUNE DI SANTO STEFANO IN ASPROMONTE</t>
  </si>
  <si>
    <t>Comune di Cancello ed Arnone</t>
  </si>
  <si>
    <t>Comune di Cicerale</t>
  </si>
  <si>
    <t>02680040017</t>
  </si>
  <si>
    <t>CONSORZIO DI SVILUPPO AGRICOLO DI MILLAURES</t>
  </si>
  <si>
    <t>04526460615</t>
  </si>
  <si>
    <t>aerarium pa</t>
  </si>
  <si>
    <t>01197040627</t>
  </si>
  <si>
    <t>01158370625</t>
  </si>
  <si>
    <t>COMUNE DI PESCO SANNITA</t>
  </si>
  <si>
    <t>Comune di Mongiana</t>
  </si>
  <si>
    <t>Comune di San Pietro Apostolo</t>
  </si>
  <si>
    <t>Comune di Bova Marina</t>
  </si>
  <si>
    <t>00804320885</t>
  </si>
  <si>
    <t>COMUNE DI VITTORIA</t>
  </si>
  <si>
    <t>00168380624</t>
  </si>
  <si>
    <t>Comune di Pannarano</t>
  </si>
  <si>
    <t>03261040780</t>
  </si>
  <si>
    <t>SAIC S.R.L.</t>
  </si>
  <si>
    <t>02532230410</t>
  </si>
  <si>
    <t>COMUNE DI VALLEFOGLIA</t>
  </si>
  <si>
    <t>00686650060</t>
  </si>
  <si>
    <t>COMUNE DI CARREGA LIGURE</t>
  </si>
  <si>
    <t>00197500119</t>
  </si>
  <si>
    <t>Comune di Levanto</t>
  </si>
  <si>
    <t>Comune di Celenza Valfortore</t>
  </si>
  <si>
    <t>Comune di Gualtieri Sicaminò</t>
  </si>
  <si>
    <t>00440240216</t>
  </si>
  <si>
    <t>Comune di Rifiano</t>
  </si>
  <si>
    <t>00665580213</t>
  </si>
  <si>
    <t>Comune di Naz-Sciaves</t>
  </si>
  <si>
    <t>Comune di Predazzo</t>
  </si>
  <si>
    <t>08882040721</t>
  </si>
  <si>
    <t>Acque del Sud s.p.a.</t>
  </si>
  <si>
    <t>00688690627</t>
  </si>
  <si>
    <t>COMUNE DI GINESTRA DEGLI SCHIAVONI</t>
  </si>
  <si>
    <t>NESSUNAAA</t>
  </si>
  <si>
    <t>Bara kane</t>
  </si>
  <si>
    <t>Comune di Sant'Agata Di Militello</t>
  </si>
  <si>
    <t>COMUNE DI SALORNO SULLA STRADA DEL VINO</t>
  </si>
  <si>
    <t>COMUNE DI PAGANICO SABINO</t>
  </si>
  <si>
    <t>AZIENDA SPECIALE TOANO</t>
  </si>
  <si>
    <t>01891040337</t>
  </si>
  <si>
    <t>IREN ACQUA PIACENZA S.R.L.</t>
  </si>
  <si>
    <t>02173670890</t>
  </si>
  <si>
    <t>ARETUSACQUE SPA</t>
  </si>
  <si>
    <t>06058570877</t>
  </si>
  <si>
    <t>Fonti Etnee</t>
  </si>
  <si>
    <t>00610630659</t>
  </si>
  <si>
    <t>Comune di Jonadi</t>
  </si>
  <si>
    <t>Comune di Marano di Napoli</t>
  </si>
  <si>
    <t>Comune di Verrès</t>
  </si>
  <si>
    <t>Comune di Montagna sulla strada del vino/Gemeinde Montan an der Weinstraße</t>
  </si>
  <si>
    <t>Comune di Badia</t>
  </si>
  <si>
    <t>SERVIZI INTEGRATI BELLUNESI SPA</t>
  </si>
  <si>
    <t>aggiornata 09/03/2026</t>
  </si>
  <si>
    <t>Grana Monferrato</t>
  </si>
  <si>
    <t xml:space="preserve">Grana Monferrato (AT) </t>
  </si>
  <si>
    <t>Montemagno Monferrato</t>
  </si>
  <si>
    <t xml:space="preserve">Montemagno Monferrato (AT) </t>
  </si>
  <si>
    <t>Murisengo Monferrato</t>
  </si>
  <si>
    <t xml:space="preserve">Murisengo Monferrato (AL) </t>
  </si>
  <si>
    <t>Valle d'Aosta/Vallée d'Aoste</t>
  </si>
  <si>
    <t>PROVINCIA DI SAVONA</t>
  </si>
  <si>
    <t>Uggiate con Ronago</t>
  </si>
  <si>
    <t xml:space="preserve">Uggiate con Ronago (CO) </t>
  </si>
  <si>
    <t>013256</t>
  </si>
  <si>
    <t>Campospinoso Albaredo</t>
  </si>
  <si>
    <t xml:space="preserve">Campospinoso Albaredo (PV) </t>
  </si>
  <si>
    <t>Trentino-Alto Adige/Südtirol</t>
  </si>
  <si>
    <t>Aldino</t>
  </si>
  <si>
    <t xml:space="preserve">Aldino (BZ) </t>
  </si>
  <si>
    <t>ATO TRENTINO-ALTO ADIGE</t>
  </si>
  <si>
    <t>Andriano</t>
  </si>
  <si>
    <t xml:space="preserve">Andriano (BZ) </t>
  </si>
  <si>
    <t>Anterivo</t>
  </si>
  <si>
    <t xml:space="preserve">Anterivo (BZ) </t>
  </si>
  <si>
    <t>Appiano sulla strada del vino</t>
  </si>
  <si>
    <t xml:space="preserve">Appiano sulla strada del vino (BZ) </t>
  </si>
  <si>
    <t>Avelengo</t>
  </si>
  <si>
    <t xml:space="preserve">Avelengo (BZ) </t>
  </si>
  <si>
    <t>Badia</t>
  </si>
  <si>
    <t xml:space="preserve">Badia (BZ) </t>
  </si>
  <si>
    <t>Barbiano</t>
  </si>
  <si>
    <t xml:space="preserve">Barbiano (BZ) </t>
  </si>
  <si>
    <t>Bolzano</t>
  </si>
  <si>
    <t xml:space="preserve">Bolzano (BZ) </t>
  </si>
  <si>
    <t>Braies</t>
  </si>
  <si>
    <t xml:space="preserve">Braies (BZ) </t>
  </si>
  <si>
    <t>Brennero</t>
  </si>
  <si>
    <t xml:space="preserve">Brennero (BZ) </t>
  </si>
  <si>
    <t>Bressanone</t>
  </si>
  <si>
    <t xml:space="preserve">Bressanone (BZ) </t>
  </si>
  <si>
    <t>Bronzolo</t>
  </si>
  <si>
    <t xml:space="preserve">Bronzolo (BZ) </t>
  </si>
  <si>
    <t>Brunico</t>
  </si>
  <si>
    <t xml:space="preserve">Brunico (BZ) </t>
  </si>
  <si>
    <t>Caines</t>
  </si>
  <si>
    <t xml:space="preserve">Caines (BZ) </t>
  </si>
  <si>
    <t>Caldaro sulla strada del vino</t>
  </si>
  <si>
    <t xml:space="preserve">Caldaro sulla strada del vino (BZ) </t>
  </si>
  <si>
    <t>Campo di Trens</t>
  </si>
  <si>
    <t xml:space="preserve">Campo di Trens (BZ) </t>
  </si>
  <si>
    <t>Campo Tures</t>
  </si>
  <si>
    <t xml:space="preserve">Campo Tures (BZ) </t>
  </si>
  <si>
    <t>Castelbello-Ciardes</t>
  </si>
  <si>
    <t xml:space="preserve">Castelbello-Ciardes (BZ) </t>
  </si>
  <si>
    <t>Castelrotto</t>
  </si>
  <si>
    <t xml:space="preserve">Castelrotto (BZ) </t>
  </si>
  <si>
    <t>Cermes</t>
  </si>
  <si>
    <t xml:space="preserve">Cermes (BZ) </t>
  </si>
  <si>
    <t>Chienes</t>
  </si>
  <si>
    <t xml:space="preserve">Chienes (BZ) </t>
  </si>
  <si>
    <t>Chiusa</t>
  </si>
  <si>
    <t xml:space="preserve">Chiusa (BZ) </t>
  </si>
  <si>
    <t>Cornedo all'Isarco</t>
  </si>
  <si>
    <t xml:space="preserve">Cornedo all'Isarco (BZ) </t>
  </si>
  <si>
    <t>Cortaccia sulla strada del vino</t>
  </si>
  <si>
    <t xml:space="preserve">Cortaccia sulla strada del vino (BZ) </t>
  </si>
  <si>
    <t>Cortina sulla strada del vino</t>
  </si>
  <si>
    <t xml:space="preserve">Cortina sulla strada del vino (BZ) </t>
  </si>
  <si>
    <t>Corvara in Badia</t>
  </si>
  <si>
    <t xml:space="preserve">Corvara in Badia (BZ) </t>
  </si>
  <si>
    <t>Curon Venosta</t>
  </si>
  <si>
    <t xml:space="preserve">Curon Venosta (BZ) </t>
  </si>
  <si>
    <t>Dobbiaco</t>
  </si>
  <si>
    <t xml:space="preserve">Dobbiaco (BZ) </t>
  </si>
  <si>
    <t>Egna</t>
  </si>
  <si>
    <t xml:space="preserve">Egna (BZ) </t>
  </si>
  <si>
    <t>Falzes</t>
  </si>
  <si>
    <t xml:space="preserve">Falzes (BZ) </t>
  </si>
  <si>
    <t>Fiè allo Sciliar</t>
  </si>
  <si>
    <t xml:space="preserve">Fiè allo Sciliar (BZ) </t>
  </si>
  <si>
    <t>Fortezza</t>
  </si>
  <si>
    <t xml:space="preserve">Fortezza (BZ) </t>
  </si>
  <si>
    <t>Funes</t>
  </si>
  <si>
    <t xml:space="preserve">Funes (BZ) </t>
  </si>
  <si>
    <t>Gais</t>
  </si>
  <si>
    <t xml:space="preserve">Gais (BZ) </t>
  </si>
  <si>
    <t>Gargazzone</t>
  </si>
  <si>
    <t xml:space="preserve">Gargazzone (BZ) </t>
  </si>
  <si>
    <t>Glorenza</t>
  </si>
  <si>
    <t xml:space="preserve">Glorenza (BZ) </t>
  </si>
  <si>
    <t>Laces</t>
  </si>
  <si>
    <t xml:space="preserve">Laces (BZ) </t>
  </si>
  <si>
    <t>Lagundo</t>
  </si>
  <si>
    <t xml:space="preserve">Lagundo (BZ) </t>
  </si>
  <si>
    <t>Laion</t>
  </si>
  <si>
    <t xml:space="preserve">Laion (BZ) </t>
  </si>
  <si>
    <t>Laives</t>
  </si>
  <si>
    <t xml:space="preserve">Laives (BZ) </t>
  </si>
  <si>
    <t>Lana</t>
  </si>
  <si>
    <t xml:space="preserve">Lana (BZ) </t>
  </si>
  <si>
    <t>Lasa</t>
  </si>
  <si>
    <t xml:space="preserve">Lasa (BZ) </t>
  </si>
  <si>
    <t>Lauregno</t>
  </si>
  <si>
    <t xml:space="preserve">Lauregno (BZ) </t>
  </si>
  <si>
    <t>Luson</t>
  </si>
  <si>
    <t xml:space="preserve">Luson (BZ) </t>
  </si>
  <si>
    <t>Magrè sulla strada del vino</t>
  </si>
  <si>
    <t xml:space="preserve">Magrè sulla strada del vino (BZ) </t>
  </si>
  <si>
    <t>Malles Venosta</t>
  </si>
  <si>
    <t xml:space="preserve">Malles Venosta (BZ) </t>
  </si>
  <si>
    <t>Marebbe</t>
  </si>
  <si>
    <t xml:space="preserve">Marebbe (BZ) </t>
  </si>
  <si>
    <t>Marlengo</t>
  </si>
  <si>
    <t xml:space="preserve">Marlengo (BZ) </t>
  </si>
  <si>
    <t>Martello</t>
  </si>
  <si>
    <t xml:space="preserve">Martello (BZ) </t>
  </si>
  <si>
    <t>Meltina</t>
  </si>
  <si>
    <t xml:space="preserve">Meltina (BZ) </t>
  </si>
  <si>
    <t>Merano</t>
  </si>
  <si>
    <t xml:space="preserve">Merano (BZ) </t>
  </si>
  <si>
    <t>Monguelfo-Tesido</t>
  </si>
  <si>
    <t xml:space="preserve">Monguelfo-Tesido (BZ) </t>
  </si>
  <si>
    <t>Montagna sulla strada del vino</t>
  </si>
  <si>
    <t xml:space="preserve">Montagna sulla strada del vino (BZ) </t>
  </si>
  <si>
    <t>Moso in Passiria</t>
  </si>
  <si>
    <t xml:space="preserve">Moso in Passiria (BZ) </t>
  </si>
  <si>
    <t>Nalles</t>
  </si>
  <si>
    <t xml:space="preserve">Nalles (BZ) </t>
  </si>
  <si>
    <t>Naturno</t>
  </si>
  <si>
    <t xml:space="preserve">Naturno (BZ) </t>
  </si>
  <si>
    <t>Naz-Sciaves</t>
  </si>
  <si>
    <t xml:space="preserve">Naz-Sciaves (BZ) </t>
  </si>
  <si>
    <t>Nova Levante</t>
  </si>
  <si>
    <t xml:space="preserve">Nova Levante (BZ) </t>
  </si>
  <si>
    <t>Nova Ponente</t>
  </si>
  <si>
    <t xml:space="preserve">Nova Ponente (BZ) </t>
  </si>
  <si>
    <t>Ora</t>
  </si>
  <si>
    <t xml:space="preserve">Ora (BZ) </t>
  </si>
  <si>
    <t>Ortisei</t>
  </si>
  <si>
    <t xml:space="preserve">Ortisei (BZ) </t>
  </si>
  <si>
    <t>Parcines</t>
  </si>
  <si>
    <t xml:space="preserve">Parcines (BZ) </t>
  </si>
  <si>
    <t>Perca</t>
  </si>
  <si>
    <t xml:space="preserve">Perca (BZ) </t>
  </si>
  <si>
    <t>Plaus</t>
  </si>
  <si>
    <t xml:space="preserve">Plaus (BZ) </t>
  </si>
  <si>
    <t>Ponte Gardena</t>
  </si>
  <si>
    <t xml:space="preserve">Ponte Gardena (BZ) </t>
  </si>
  <si>
    <t>Postal</t>
  </si>
  <si>
    <t xml:space="preserve">Postal (BZ) </t>
  </si>
  <si>
    <t>Prato allo Stelvio</t>
  </si>
  <si>
    <t xml:space="preserve">Prato allo Stelvio (BZ) </t>
  </si>
  <si>
    <t>Predoi</t>
  </si>
  <si>
    <t xml:space="preserve">Predoi (BZ) </t>
  </si>
  <si>
    <t>Proves</t>
  </si>
  <si>
    <t xml:space="preserve">Proves (BZ) </t>
  </si>
  <si>
    <t>Racines</t>
  </si>
  <si>
    <t xml:space="preserve">Racines (BZ) </t>
  </si>
  <si>
    <t>Rasun-Anterselva</t>
  </si>
  <si>
    <t xml:space="preserve">Rasun-Anterselva (BZ) </t>
  </si>
  <si>
    <t>Renon</t>
  </si>
  <si>
    <t xml:space="preserve">Renon (BZ) </t>
  </si>
  <si>
    <t>Rifiano</t>
  </si>
  <si>
    <t xml:space="preserve">Rifiano (BZ) </t>
  </si>
  <si>
    <t>Rio di Pusteria</t>
  </si>
  <si>
    <t xml:space="preserve">Rio di Pusteria (BZ) </t>
  </si>
  <si>
    <t>Rodengo</t>
  </si>
  <si>
    <t xml:space="preserve">Rodengo (BZ) </t>
  </si>
  <si>
    <t>San Candido</t>
  </si>
  <si>
    <t xml:space="preserve">San Candido (BZ) </t>
  </si>
  <si>
    <t>San Genesio Atesino</t>
  </si>
  <si>
    <t xml:space="preserve">San Genesio Atesino (BZ) </t>
  </si>
  <si>
    <t>San Leonardo in Passiria</t>
  </si>
  <si>
    <t xml:space="preserve">San Leonardo in Passiria (BZ) </t>
  </si>
  <si>
    <t>San Lorenzo di Sebato</t>
  </si>
  <si>
    <t xml:space="preserve">San Lorenzo di Sebato (BZ) </t>
  </si>
  <si>
    <t>San Martino in Badia</t>
  </si>
  <si>
    <t xml:space="preserve">San Martino in Badia (BZ) </t>
  </si>
  <si>
    <t>San Martino in Passiria</t>
  </si>
  <si>
    <t xml:space="preserve">San Martino in Passiria (BZ) </t>
  </si>
  <si>
    <t>San Pancrazio</t>
  </si>
  <si>
    <t xml:space="preserve">San Pancrazio (BZ) </t>
  </si>
  <si>
    <t>Santa Cristina Valgardena</t>
  </si>
  <si>
    <t xml:space="preserve">Santa Cristina Valgardena (BZ) </t>
  </si>
  <si>
    <t>Sarentino</t>
  </si>
  <si>
    <t xml:space="preserve">Sarentino (BZ) </t>
  </si>
  <si>
    <t>Scena</t>
  </si>
  <si>
    <t xml:space="preserve">Scena (BZ) </t>
  </si>
  <si>
    <t>Selva dei Molini</t>
  </si>
  <si>
    <t xml:space="preserve">Selva dei Molini (BZ) </t>
  </si>
  <si>
    <t>Selva di Val Gardena</t>
  </si>
  <si>
    <t xml:space="preserve">Selva di Val Gardena (BZ) </t>
  </si>
  <si>
    <t>Senales</t>
  </si>
  <si>
    <t xml:space="preserve">Senales (BZ) </t>
  </si>
  <si>
    <t>Sesto</t>
  </si>
  <si>
    <t xml:space="preserve">Sesto (BZ) </t>
  </si>
  <si>
    <t>Silandro</t>
  </si>
  <si>
    <t xml:space="preserve">Silandro (BZ) </t>
  </si>
  <si>
    <t>Sluderno</t>
  </si>
  <si>
    <t xml:space="preserve">Sluderno (BZ) </t>
  </si>
  <si>
    <t>Stelvio</t>
  </si>
  <si>
    <t xml:space="preserve">Stelvio (BZ) </t>
  </si>
  <si>
    <t>Terento</t>
  </si>
  <si>
    <t xml:space="preserve">Terento (BZ) </t>
  </si>
  <si>
    <t>Terlano</t>
  </si>
  <si>
    <t xml:space="preserve">Terlano (BZ) </t>
  </si>
  <si>
    <t>Termeno sulla strada del vino</t>
  </si>
  <si>
    <t xml:space="preserve">Termeno sulla strada del vino (BZ) </t>
  </si>
  <si>
    <t>Tesimo</t>
  </si>
  <si>
    <t xml:space="preserve">Tesimo (BZ) </t>
  </si>
  <si>
    <t>Tires</t>
  </si>
  <si>
    <t xml:space="preserve">Tires (BZ) </t>
  </si>
  <si>
    <t>Tirolo</t>
  </si>
  <si>
    <t xml:space="preserve">Tirolo (BZ) </t>
  </si>
  <si>
    <t>Trodena nel parco naturale</t>
  </si>
  <si>
    <t xml:space="preserve">Trodena nel parco naturale (BZ) </t>
  </si>
  <si>
    <t>Tubre</t>
  </si>
  <si>
    <t xml:space="preserve">Tubre (BZ) </t>
  </si>
  <si>
    <t>Ultimo</t>
  </si>
  <si>
    <t xml:space="preserve">Ultimo (BZ) </t>
  </si>
  <si>
    <t>Vadena</t>
  </si>
  <si>
    <t xml:space="preserve">Vadena (BZ) </t>
  </si>
  <si>
    <t>Valdaora</t>
  </si>
  <si>
    <t xml:space="preserve">Valdaora (BZ) </t>
  </si>
  <si>
    <t>Val di Vizze</t>
  </si>
  <si>
    <t xml:space="preserve">Val di Vizze (BZ) </t>
  </si>
  <si>
    <t>Valle Aurina</t>
  </si>
  <si>
    <t xml:space="preserve">Valle Aurina (BZ) </t>
  </si>
  <si>
    <t>Valle di Casies</t>
  </si>
  <si>
    <t xml:space="preserve">Valle di Casies (BZ) </t>
  </si>
  <si>
    <t>Vandoies</t>
  </si>
  <si>
    <t xml:space="preserve">Vandoies (BZ) </t>
  </si>
  <si>
    <t>Varna</t>
  </si>
  <si>
    <t xml:space="preserve">Varna (BZ) </t>
  </si>
  <si>
    <t>Verano</t>
  </si>
  <si>
    <t xml:space="preserve">Verano (BZ) </t>
  </si>
  <si>
    <t>Villabassa</t>
  </si>
  <si>
    <t xml:space="preserve">Villabassa (BZ) </t>
  </si>
  <si>
    <t>Villandro</t>
  </si>
  <si>
    <t xml:space="preserve">Villandro (BZ) </t>
  </si>
  <si>
    <t>Vipiteno</t>
  </si>
  <si>
    <t xml:space="preserve">Vipiteno (BZ) </t>
  </si>
  <si>
    <t>Velturno</t>
  </si>
  <si>
    <t xml:space="preserve">Velturno (BZ) </t>
  </si>
  <si>
    <t>La Valle</t>
  </si>
  <si>
    <t xml:space="preserve">La Valle (BZ) </t>
  </si>
  <si>
    <t>Senale-San Felice</t>
  </si>
  <si>
    <t xml:space="preserve">Senale-San Felice (BZ) </t>
  </si>
  <si>
    <t>024128</t>
  </si>
  <si>
    <t>Castegnero Nanto</t>
  </si>
  <si>
    <t xml:space="preserve">Castegnero Nanto (VI) </t>
  </si>
  <si>
    <t>024129</t>
  </si>
  <si>
    <t>Setteville</t>
  </si>
  <si>
    <t xml:space="preserve">Setteville (BL) </t>
  </si>
  <si>
    <t>025075</t>
  </si>
  <si>
    <t>Santa Caterina d'Este</t>
  </si>
  <si>
    <t xml:space="preserve">Santa Caterina d'Este (PD) </t>
  </si>
  <si>
    <t>028108</t>
  </si>
  <si>
    <t>Duino Aurisina</t>
  </si>
  <si>
    <t xml:space="preserve">Duino Aurisina (TS) </t>
  </si>
  <si>
    <t>San Dorligo della Valle</t>
  </si>
  <si>
    <t xml:space="preserve">San Dorligo della Valle (TS) </t>
  </si>
  <si>
    <t>Popoli Terme</t>
  </si>
  <si>
    <t xml:space="preserve">Popoli Terme (PE) </t>
  </si>
  <si>
    <t>Tripi - Abakainon</t>
  </si>
  <si>
    <t xml:space="preserve">Tripi - Abakainon (ME) </t>
  </si>
  <si>
    <t>Montescudo-Monte Colombo</t>
  </si>
  <si>
    <t xml:space="preserve">Montescudo-Monte Colombo (RN) </t>
  </si>
  <si>
    <t>Jonadi</t>
  </si>
  <si>
    <t xml:space="preserve">Jonadi (VV) </t>
  </si>
  <si>
    <t>112001</t>
  </si>
  <si>
    <t>112002</t>
  </si>
  <si>
    <t>112003</t>
  </si>
  <si>
    <t>112004</t>
  </si>
  <si>
    <t>112005</t>
  </si>
  <si>
    <t>112006</t>
  </si>
  <si>
    <t>112007</t>
  </si>
  <si>
    <t>112008</t>
  </si>
  <si>
    <t>112009</t>
  </si>
  <si>
    <t>112010</t>
  </si>
  <si>
    <t>112011</t>
  </si>
  <si>
    <t>112012</t>
  </si>
  <si>
    <t>112013</t>
  </si>
  <si>
    <t>112014</t>
  </si>
  <si>
    <t>112015</t>
  </si>
  <si>
    <t>112016</t>
  </si>
  <si>
    <t>112017</t>
  </si>
  <si>
    <t>112018</t>
  </si>
  <si>
    <t>112019</t>
  </si>
  <si>
    <t>112020</t>
  </si>
  <si>
    <t>112021</t>
  </si>
  <si>
    <t>112022</t>
  </si>
  <si>
    <t>112023</t>
  </si>
  <si>
    <t>112024</t>
  </si>
  <si>
    <t>112025</t>
  </si>
  <si>
    <t>112026</t>
  </si>
  <si>
    <t>112027</t>
  </si>
  <si>
    <t>112028</t>
  </si>
  <si>
    <t>112029</t>
  </si>
  <si>
    <t>112030</t>
  </si>
  <si>
    <t>112031</t>
  </si>
  <si>
    <t>112032</t>
  </si>
  <si>
    <t>112033</t>
  </si>
  <si>
    <t>112034</t>
  </si>
  <si>
    <t>112035</t>
  </si>
  <si>
    <t>112036</t>
  </si>
  <si>
    <t>112037</t>
  </si>
  <si>
    <t>112038</t>
  </si>
  <si>
    <t>112039</t>
  </si>
  <si>
    <t>112040</t>
  </si>
  <si>
    <t>112041</t>
  </si>
  <si>
    <t>112042</t>
  </si>
  <si>
    <t>112043</t>
  </si>
  <si>
    <t>112044</t>
  </si>
  <si>
    <t>112045</t>
  </si>
  <si>
    <t>112046</t>
  </si>
  <si>
    <t>112047</t>
  </si>
  <si>
    <t>112048</t>
  </si>
  <si>
    <t>112049</t>
  </si>
  <si>
    <t>112050</t>
  </si>
  <si>
    <t>112051</t>
  </si>
  <si>
    <t>112052</t>
  </si>
  <si>
    <t>112053</t>
  </si>
  <si>
    <t>112054</t>
  </si>
  <si>
    <t>112055</t>
  </si>
  <si>
    <t>112056</t>
  </si>
  <si>
    <t>112057</t>
  </si>
  <si>
    <t>112058</t>
  </si>
  <si>
    <t>112059</t>
  </si>
  <si>
    <t>112060</t>
  </si>
  <si>
    <t>112061</t>
  </si>
  <si>
    <t>112062</t>
  </si>
  <si>
    <t>112063</t>
  </si>
  <si>
    <t>112064</t>
  </si>
  <si>
    <t>112065</t>
  </si>
  <si>
    <t>112066</t>
  </si>
  <si>
    <t xml:space="preserve">Aggius (OT) </t>
  </si>
  <si>
    <t>Gallura Nord-Est Sardegna</t>
  </si>
  <si>
    <t>OT</t>
  </si>
  <si>
    <t>113001</t>
  </si>
  <si>
    <t xml:space="preserve">Aglientu (OT) </t>
  </si>
  <si>
    <t>113002</t>
  </si>
  <si>
    <t xml:space="preserve">Alà dei Sardi (OT) </t>
  </si>
  <si>
    <t>113003</t>
  </si>
  <si>
    <t xml:space="preserve">Arzachena (OT) </t>
  </si>
  <si>
    <t>113004</t>
  </si>
  <si>
    <t xml:space="preserve">Badesi (OT) </t>
  </si>
  <si>
    <t>113005</t>
  </si>
  <si>
    <t xml:space="preserve">Berchidda (OT) </t>
  </si>
  <si>
    <t>113006</t>
  </si>
  <si>
    <t xml:space="preserve">Bortigiadas (OT) </t>
  </si>
  <si>
    <t>113007</t>
  </si>
  <si>
    <t xml:space="preserve">Buddusò (OT) </t>
  </si>
  <si>
    <t>113008</t>
  </si>
  <si>
    <t xml:space="preserve">Budoni (OT) </t>
  </si>
  <si>
    <t>113009</t>
  </si>
  <si>
    <t xml:space="preserve">Calangianus (OT) </t>
  </si>
  <si>
    <t>113010</t>
  </si>
  <si>
    <t xml:space="preserve">Golfo Aranci (OT) </t>
  </si>
  <si>
    <t>113011</t>
  </si>
  <si>
    <t xml:space="preserve">La Maddalena (OT) </t>
  </si>
  <si>
    <t>113012</t>
  </si>
  <si>
    <t xml:space="preserve">Loiri Porto San Paolo (OT) </t>
  </si>
  <si>
    <t>113013</t>
  </si>
  <si>
    <t xml:space="preserve">Luogosanto (OT) </t>
  </si>
  <si>
    <t>113014</t>
  </si>
  <si>
    <t xml:space="preserve">Luras (OT) </t>
  </si>
  <si>
    <t>113015</t>
  </si>
  <si>
    <t xml:space="preserve">Monti (OT) </t>
  </si>
  <si>
    <t>113016</t>
  </si>
  <si>
    <t xml:space="preserve">Olbia (OT) </t>
  </si>
  <si>
    <t>113017</t>
  </si>
  <si>
    <t xml:space="preserve">Oschiri (OT) </t>
  </si>
  <si>
    <t>113018</t>
  </si>
  <si>
    <t xml:space="preserve">Padru (OT) </t>
  </si>
  <si>
    <t>113019</t>
  </si>
  <si>
    <t xml:space="preserve">Palau (OT) </t>
  </si>
  <si>
    <t>113020</t>
  </si>
  <si>
    <t xml:space="preserve">San Teodoro (OT) </t>
  </si>
  <si>
    <t>113021</t>
  </si>
  <si>
    <t xml:space="preserve">Santa Teresa Gallura (OT) </t>
  </si>
  <si>
    <t>113022</t>
  </si>
  <si>
    <t xml:space="preserve">Sant'Antonio di Gallura (OT) </t>
  </si>
  <si>
    <t>113023</t>
  </si>
  <si>
    <t xml:space="preserve">Telti (OT) </t>
  </si>
  <si>
    <t>113024</t>
  </si>
  <si>
    <t xml:space="preserve">Tempio Pausania (OT) </t>
  </si>
  <si>
    <t>113025</t>
  </si>
  <si>
    <t xml:space="preserve">Trinità d'Agultu e Vignola (OT) </t>
  </si>
  <si>
    <t>113026</t>
  </si>
  <si>
    <t>114001</t>
  </si>
  <si>
    <t>114002</t>
  </si>
  <si>
    <t>114003</t>
  </si>
  <si>
    <t>114004</t>
  </si>
  <si>
    <t>114005</t>
  </si>
  <si>
    <t>114006</t>
  </si>
  <si>
    <t>114007</t>
  </si>
  <si>
    <t>114008</t>
  </si>
  <si>
    <t>114009</t>
  </si>
  <si>
    <t>114010</t>
  </si>
  <si>
    <t>114011</t>
  </si>
  <si>
    <t>114012</t>
  </si>
  <si>
    <t>114013</t>
  </si>
  <si>
    <t>114014</t>
  </si>
  <si>
    <t>114015</t>
  </si>
  <si>
    <t>114016</t>
  </si>
  <si>
    <t>114017</t>
  </si>
  <si>
    <t>114018</t>
  </si>
  <si>
    <t>114019</t>
  </si>
  <si>
    <t>114020</t>
  </si>
  <si>
    <t>114021</t>
  </si>
  <si>
    <t>114022</t>
  </si>
  <si>
    <t>114023</t>
  </si>
  <si>
    <t>114024</t>
  </si>
  <si>
    <t>114025</t>
  </si>
  <si>
    <t>114026</t>
  </si>
  <si>
    <t>114027</t>
  </si>
  <si>
    <t>114028</t>
  </si>
  <si>
    <t>114029</t>
  </si>
  <si>
    <t>114030</t>
  </si>
  <si>
    <t>114031</t>
  </si>
  <si>
    <t>114032</t>
  </si>
  <si>
    <t>114033</t>
  </si>
  <si>
    <t>114034</t>
  </si>
  <si>
    <t>114035</t>
  </si>
  <si>
    <t>114036</t>
  </si>
  <si>
    <t>114037</t>
  </si>
  <si>
    <t>114038</t>
  </si>
  <si>
    <t>114039</t>
  </si>
  <si>
    <t>114040</t>
  </si>
  <si>
    <t>114041</t>
  </si>
  <si>
    <t>114042</t>
  </si>
  <si>
    <t>114043</t>
  </si>
  <si>
    <t>114044</t>
  </si>
  <si>
    <t xml:space="preserve">Seulo (NU) </t>
  </si>
  <si>
    <t>114045</t>
  </si>
  <si>
    <t>114046</t>
  </si>
  <si>
    <t>114047</t>
  </si>
  <si>
    <t>114048</t>
  </si>
  <si>
    <t>114049</t>
  </si>
  <si>
    <t>114050</t>
  </si>
  <si>
    <t>114051</t>
  </si>
  <si>
    <t>114052</t>
  </si>
  <si>
    <t>114053</t>
  </si>
  <si>
    <t>115001</t>
  </si>
  <si>
    <t>115002</t>
  </si>
  <si>
    <t>115003</t>
  </si>
  <si>
    <t>115004</t>
  </si>
  <si>
    <t>115005</t>
  </si>
  <si>
    <t>115006</t>
  </si>
  <si>
    <t>115007</t>
  </si>
  <si>
    <t>115008</t>
  </si>
  <si>
    <t>115009</t>
  </si>
  <si>
    <t>115010</t>
  </si>
  <si>
    <t>115011</t>
  </si>
  <si>
    <t>115012</t>
  </si>
  <si>
    <t>115013</t>
  </si>
  <si>
    <t>115014</t>
  </si>
  <si>
    <t>115015</t>
  </si>
  <si>
    <t>115016</t>
  </si>
  <si>
    <t>115017</t>
  </si>
  <si>
    <t>115018</t>
  </si>
  <si>
    <t>115019</t>
  </si>
  <si>
    <t>115020</t>
  </si>
  <si>
    <t>115021</t>
  </si>
  <si>
    <t>115022</t>
  </si>
  <si>
    <t>115023</t>
  </si>
  <si>
    <t>115024</t>
  </si>
  <si>
    <t>115025</t>
  </si>
  <si>
    <t>115026</t>
  </si>
  <si>
    <t>115027</t>
  </si>
  <si>
    <t>115028</t>
  </si>
  <si>
    <t>115029</t>
  </si>
  <si>
    <t>115030</t>
  </si>
  <si>
    <t>115031</t>
  </si>
  <si>
    <t>115032</t>
  </si>
  <si>
    <t>115033</t>
  </si>
  <si>
    <t>115034</t>
  </si>
  <si>
    <t>115035</t>
  </si>
  <si>
    <t>115036</t>
  </si>
  <si>
    <t>115037</t>
  </si>
  <si>
    <t>115038</t>
  </si>
  <si>
    <t>115039</t>
  </si>
  <si>
    <t>115040</t>
  </si>
  <si>
    <t>115041</t>
  </si>
  <si>
    <t>115042</t>
  </si>
  <si>
    <t>115043</t>
  </si>
  <si>
    <t>115044</t>
  </si>
  <si>
    <t>115045</t>
  </si>
  <si>
    <t>115046</t>
  </si>
  <si>
    <t>115047</t>
  </si>
  <si>
    <t>115048</t>
  </si>
  <si>
    <t>115049</t>
  </si>
  <si>
    <t>115050</t>
  </si>
  <si>
    <t>115051</t>
  </si>
  <si>
    <t>115052</t>
  </si>
  <si>
    <t>115053</t>
  </si>
  <si>
    <t>115054</t>
  </si>
  <si>
    <t>115055</t>
  </si>
  <si>
    <t>115056</t>
  </si>
  <si>
    <t>115057</t>
  </si>
  <si>
    <t>115058</t>
  </si>
  <si>
    <t>115059</t>
  </si>
  <si>
    <t>115060</t>
  </si>
  <si>
    <t>115061</t>
  </si>
  <si>
    <t>115062</t>
  </si>
  <si>
    <t>115063</t>
  </si>
  <si>
    <t>115064</t>
  </si>
  <si>
    <t>115065</t>
  </si>
  <si>
    <t>115066</t>
  </si>
  <si>
    <t>115067</t>
  </si>
  <si>
    <t>115068</t>
  </si>
  <si>
    <t>115069</t>
  </si>
  <si>
    <t>115070</t>
  </si>
  <si>
    <t>115071</t>
  </si>
  <si>
    <t>115072</t>
  </si>
  <si>
    <t>115073</t>
  </si>
  <si>
    <t>115074</t>
  </si>
  <si>
    <t>115075</t>
  </si>
  <si>
    <t>115076</t>
  </si>
  <si>
    <t>115077</t>
  </si>
  <si>
    <t>115078</t>
  </si>
  <si>
    <t>115079</t>
  </si>
  <si>
    <t>115080</t>
  </si>
  <si>
    <t>115081</t>
  </si>
  <si>
    <t>115082</t>
  </si>
  <si>
    <t>115083</t>
  </si>
  <si>
    <t>115084</t>
  </si>
  <si>
    <t>115085</t>
  </si>
  <si>
    <t>115086</t>
  </si>
  <si>
    <t>115087</t>
  </si>
  <si>
    <t xml:space="preserve">Arzana (OG) </t>
  </si>
  <si>
    <t>Ogliastra</t>
  </si>
  <si>
    <t>OG</t>
  </si>
  <si>
    <t>116001</t>
  </si>
  <si>
    <t xml:space="preserve">Bari Sardo (OG) </t>
  </si>
  <si>
    <t>116002</t>
  </si>
  <si>
    <t xml:space="preserve">Baunei (OG) </t>
  </si>
  <si>
    <t>116003</t>
  </si>
  <si>
    <t xml:space="preserve">Cardedu (OG) </t>
  </si>
  <si>
    <t>116004</t>
  </si>
  <si>
    <t xml:space="preserve">Elini (OG) </t>
  </si>
  <si>
    <t>116005</t>
  </si>
  <si>
    <t xml:space="preserve">Gairo (OG) </t>
  </si>
  <si>
    <t>116006</t>
  </si>
  <si>
    <t xml:space="preserve">Girasole (OG) </t>
  </si>
  <si>
    <t>116007</t>
  </si>
  <si>
    <t xml:space="preserve">Ilbono (OG) </t>
  </si>
  <si>
    <t>116008</t>
  </si>
  <si>
    <t xml:space="preserve">Jerzu (OG) </t>
  </si>
  <si>
    <t>116009</t>
  </si>
  <si>
    <t xml:space="preserve">Lanusei (OG) </t>
  </si>
  <si>
    <t>116010</t>
  </si>
  <si>
    <t xml:space="preserve">Loceri (OG) </t>
  </si>
  <si>
    <t>116011</t>
  </si>
  <si>
    <t xml:space="preserve">Lotzorai (OG) </t>
  </si>
  <si>
    <t>116012</t>
  </si>
  <si>
    <t xml:space="preserve">Osini (OG) </t>
  </si>
  <si>
    <t>116013</t>
  </si>
  <si>
    <t xml:space="preserve">Perdasdefogu (OG) </t>
  </si>
  <si>
    <t>116014</t>
  </si>
  <si>
    <t xml:space="preserve">Talana (OG) </t>
  </si>
  <si>
    <t>116015</t>
  </si>
  <si>
    <t xml:space="preserve">Tertenia (OG) </t>
  </si>
  <si>
    <t>116016</t>
  </si>
  <si>
    <t xml:space="preserve">Tortolì (OG) </t>
  </si>
  <si>
    <t>116017</t>
  </si>
  <si>
    <t xml:space="preserve">Triei (OG) </t>
  </si>
  <si>
    <t>116018</t>
  </si>
  <si>
    <t xml:space="preserve">Ulassai (OG) </t>
  </si>
  <si>
    <t>116019</t>
  </si>
  <si>
    <t xml:space="preserve">Urzulei (OG) </t>
  </si>
  <si>
    <t>116020</t>
  </si>
  <si>
    <t xml:space="preserve">Ussassai (OG) </t>
  </si>
  <si>
    <t>116021</t>
  </si>
  <si>
    <t xml:space="preserve">Villagrande Strisaili (OG) </t>
  </si>
  <si>
    <t>116022</t>
  </si>
  <si>
    <t xml:space="preserve">Seui (OG) </t>
  </si>
  <si>
    <t>116023</t>
  </si>
  <si>
    <t xml:space="preserve">Arbus (VS) </t>
  </si>
  <si>
    <t>Medio Campidano</t>
  </si>
  <si>
    <t>VS</t>
  </si>
  <si>
    <t>117001</t>
  </si>
  <si>
    <t xml:space="preserve">Barumini (VS) </t>
  </si>
  <si>
    <t>117002</t>
  </si>
  <si>
    <t xml:space="preserve">Collinas (VS) </t>
  </si>
  <si>
    <t>117003</t>
  </si>
  <si>
    <t xml:space="preserve">Furtei (VS) </t>
  </si>
  <si>
    <t>117004</t>
  </si>
  <si>
    <t xml:space="preserve">Genuri (VS) </t>
  </si>
  <si>
    <t>117005</t>
  </si>
  <si>
    <t xml:space="preserve">Gesturi (VS) </t>
  </si>
  <si>
    <t>117006</t>
  </si>
  <si>
    <t xml:space="preserve">Gonnosfanadiga (VS) </t>
  </si>
  <si>
    <t>117007</t>
  </si>
  <si>
    <t xml:space="preserve">Guspini (VS) </t>
  </si>
  <si>
    <t>117008</t>
  </si>
  <si>
    <t xml:space="preserve">Las Plassas (VS) </t>
  </si>
  <si>
    <t>117009</t>
  </si>
  <si>
    <t xml:space="preserve">Lunamatrona (VS) </t>
  </si>
  <si>
    <t>117010</t>
  </si>
  <si>
    <t xml:space="preserve">Pabillonis (VS) </t>
  </si>
  <si>
    <t>117011</t>
  </si>
  <si>
    <t xml:space="preserve">Pauli Arbarei (VS) </t>
  </si>
  <si>
    <t>117012</t>
  </si>
  <si>
    <t xml:space="preserve">Samassi (VS) </t>
  </si>
  <si>
    <t>117013</t>
  </si>
  <si>
    <t xml:space="preserve">San Gavino Monreale (VS) </t>
  </si>
  <si>
    <t>117014</t>
  </si>
  <si>
    <t xml:space="preserve">Sanluri (VS) </t>
  </si>
  <si>
    <t>117015</t>
  </si>
  <si>
    <t xml:space="preserve">Sardara (VS) </t>
  </si>
  <si>
    <t>117016</t>
  </si>
  <si>
    <t xml:space="preserve">Segariu (VS) </t>
  </si>
  <si>
    <t>117017</t>
  </si>
  <si>
    <t xml:space="preserve">Serramanna (VS) </t>
  </si>
  <si>
    <t>117018</t>
  </si>
  <si>
    <t xml:space="preserve">Serrenti (VS) </t>
  </si>
  <si>
    <t>117019</t>
  </si>
  <si>
    <t xml:space="preserve">Setzu (VS) </t>
  </si>
  <si>
    <t>117020</t>
  </si>
  <si>
    <t xml:space="preserve">Siddi (VS) </t>
  </si>
  <si>
    <t>117021</t>
  </si>
  <si>
    <t xml:space="preserve">Tuili (VS) </t>
  </si>
  <si>
    <t>117022</t>
  </si>
  <si>
    <t xml:space="preserve">Turri (VS) </t>
  </si>
  <si>
    <t>117023</t>
  </si>
  <si>
    <t xml:space="preserve">Ussaramanna (VS) </t>
  </si>
  <si>
    <t>117024</t>
  </si>
  <si>
    <t xml:space="preserve">Villacidro (VS) </t>
  </si>
  <si>
    <t>117025</t>
  </si>
  <si>
    <t xml:space="preserve">Villamar (VS) </t>
  </si>
  <si>
    <t>117026</t>
  </si>
  <si>
    <t xml:space="preserve">Villanovaforru (VS) </t>
  </si>
  <si>
    <t>117027</t>
  </si>
  <si>
    <t xml:space="preserve">Villanovafranca (VS) </t>
  </si>
  <si>
    <t>117028</t>
  </si>
  <si>
    <t xml:space="preserve">Armungia (CA) </t>
  </si>
  <si>
    <t>118001</t>
  </si>
  <si>
    <t>118002</t>
  </si>
  <si>
    <t xml:space="preserve">Ballao (CA) </t>
  </si>
  <si>
    <t>118003</t>
  </si>
  <si>
    <t xml:space="preserve">Barrali (CA) </t>
  </si>
  <si>
    <t>118004</t>
  </si>
  <si>
    <t xml:space="preserve">Burcei (CA) </t>
  </si>
  <si>
    <t>118005</t>
  </si>
  <si>
    <t>118006</t>
  </si>
  <si>
    <t>118007</t>
  </si>
  <si>
    <t xml:space="preserve">Castiadas (CA) </t>
  </si>
  <si>
    <t>118008</t>
  </si>
  <si>
    <t>118009</t>
  </si>
  <si>
    <t xml:space="preserve">Decimoputzu (CA) </t>
  </si>
  <si>
    <t>118010</t>
  </si>
  <si>
    <t xml:space="preserve">Dolianova (CA) </t>
  </si>
  <si>
    <t>118011</t>
  </si>
  <si>
    <t xml:space="preserve">Domus de Maria (CA) </t>
  </si>
  <si>
    <t>118012</t>
  </si>
  <si>
    <t xml:space="preserve">Donori (CA) </t>
  </si>
  <si>
    <t>118013</t>
  </si>
  <si>
    <t>118014</t>
  </si>
  <si>
    <t xml:space="preserve">Escalaplano (CA) </t>
  </si>
  <si>
    <t>118015</t>
  </si>
  <si>
    <t xml:space="preserve">Escolca (CA) </t>
  </si>
  <si>
    <t>118016</t>
  </si>
  <si>
    <t xml:space="preserve">Esterzili (CA) </t>
  </si>
  <si>
    <t>118017</t>
  </si>
  <si>
    <t xml:space="preserve">Genoni (CA) </t>
  </si>
  <si>
    <t>118018</t>
  </si>
  <si>
    <t xml:space="preserve">Gergei (CA) </t>
  </si>
  <si>
    <t>118019</t>
  </si>
  <si>
    <t xml:space="preserve">Gesico (CA) </t>
  </si>
  <si>
    <t>118020</t>
  </si>
  <si>
    <t xml:space="preserve">Goni (CA) </t>
  </si>
  <si>
    <t>118021</t>
  </si>
  <si>
    <t xml:space="preserve">Guamaggiore (CA) </t>
  </si>
  <si>
    <t>118022</t>
  </si>
  <si>
    <t xml:space="preserve">Guasila (CA) </t>
  </si>
  <si>
    <t>118023</t>
  </si>
  <si>
    <t xml:space="preserve">Isili (CA) </t>
  </si>
  <si>
    <t>118024</t>
  </si>
  <si>
    <t xml:space="preserve">Mandas (CA) </t>
  </si>
  <si>
    <t>118025</t>
  </si>
  <si>
    <t>118026</t>
  </si>
  <si>
    <t xml:space="preserve">Monastir (CA) </t>
  </si>
  <si>
    <t>118027</t>
  </si>
  <si>
    <t>118028</t>
  </si>
  <si>
    <t xml:space="preserve">Muravera (CA) </t>
  </si>
  <si>
    <t>118029</t>
  </si>
  <si>
    <t xml:space="preserve">Nuragus (CA) </t>
  </si>
  <si>
    <t>118030</t>
  </si>
  <si>
    <t xml:space="preserve">Nurallao (CA) </t>
  </si>
  <si>
    <t>118031</t>
  </si>
  <si>
    <t xml:space="preserve">Nuraminis (CA) </t>
  </si>
  <si>
    <t>118032</t>
  </si>
  <si>
    <t xml:space="preserve">Nurri (CA) </t>
  </si>
  <si>
    <t>118033</t>
  </si>
  <si>
    <t xml:space="preserve">Orroli (CA) </t>
  </si>
  <si>
    <t>118034</t>
  </si>
  <si>
    <t xml:space="preserve">Ortacesus (CA) </t>
  </si>
  <si>
    <t>118035</t>
  </si>
  <si>
    <t xml:space="preserve">Pimentel (CA) </t>
  </si>
  <si>
    <t>118036</t>
  </si>
  <si>
    <t>118037</t>
  </si>
  <si>
    <t>118038</t>
  </si>
  <si>
    <t>118039</t>
  </si>
  <si>
    <t xml:space="preserve">Sadali (CA) </t>
  </si>
  <si>
    <t>118040</t>
  </si>
  <si>
    <t xml:space="preserve">Samatzai (CA) </t>
  </si>
  <si>
    <t>118041</t>
  </si>
  <si>
    <t xml:space="preserve">San Basilio (CA) </t>
  </si>
  <si>
    <t>118042</t>
  </si>
  <si>
    <t xml:space="preserve">San Nicolò Gerrei (CA) </t>
  </si>
  <si>
    <t>118043</t>
  </si>
  <si>
    <t xml:space="preserve">San Sperate (CA) </t>
  </si>
  <si>
    <t>118044</t>
  </si>
  <si>
    <t xml:space="preserve">San Vito (CA) </t>
  </si>
  <si>
    <t>118045</t>
  </si>
  <si>
    <t xml:space="preserve">Sant'Andrea Frius (CA) </t>
  </si>
  <si>
    <t>118046</t>
  </si>
  <si>
    <t>118047</t>
  </si>
  <si>
    <t>118048</t>
  </si>
  <si>
    <t xml:space="preserve">Selegas (CA) </t>
  </si>
  <si>
    <t>118049</t>
  </si>
  <si>
    <t xml:space="preserve">Senorbì (CA) </t>
  </si>
  <si>
    <t>118050</t>
  </si>
  <si>
    <t xml:space="preserve">Serdiana (CA) </t>
  </si>
  <si>
    <t>118051</t>
  </si>
  <si>
    <t xml:space="preserve">Serri (CA) </t>
  </si>
  <si>
    <t>118052</t>
  </si>
  <si>
    <t>118053</t>
  </si>
  <si>
    <t>118054</t>
  </si>
  <si>
    <t xml:space="preserve">Siliqua (CA) </t>
  </si>
  <si>
    <t>118056</t>
  </si>
  <si>
    <t xml:space="preserve">Silius (CA) </t>
  </si>
  <si>
    <t>118057</t>
  </si>
  <si>
    <t>118058</t>
  </si>
  <si>
    <t xml:space="preserve">Siurgus Donigala (CA) </t>
  </si>
  <si>
    <t>118059</t>
  </si>
  <si>
    <t xml:space="preserve">Soleminis (CA) </t>
  </si>
  <si>
    <t>118060</t>
  </si>
  <si>
    <t xml:space="preserve">Suelli (CA) </t>
  </si>
  <si>
    <t>118061</t>
  </si>
  <si>
    <t xml:space="preserve">Ussana (CA) </t>
  </si>
  <si>
    <t>118063</t>
  </si>
  <si>
    <t>118064</t>
  </si>
  <si>
    <t xml:space="preserve">Vallermosa (CA) </t>
  </si>
  <si>
    <t>118065</t>
  </si>
  <si>
    <t>118066</t>
  </si>
  <si>
    <t xml:space="preserve">Villanova Tulo (CA) </t>
  </si>
  <si>
    <t>118067</t>
  </si>
  <si>
    <t xml:space="preserve">Villaputzu (CA) </t>
  </si>
  <si>
    <t>118068</t>
  </si>
  <si>
    <t xml:space="preserve">Villasalto (CA) </t>
  </si>
  <si>
    <t>118069</t>
  </si>
  <si>
    <t xml:space="preserve">Villasimius (CA) </t>
  </si>
  <si>
    <t>118070</t>
  </si>
  <si>
    <t xml:space="preserve">Villasor (CA) </t>
  </si>
  <si>
    <t>118071</t>
  </si>
  <si>
    <t xml:space="preserve">Villaspeciosa (CA) </t>
  </si>
  <si>
    <t>118072</t>
  </si>
  <si>
    <t xml:space="preserve">Buggerru (CI) </t>
  </si>
  <si>
    <t>Sulcis Iglesiente</t>
  </si>
  <si>
    <t>CI</t>
  </si>
  <si>
    <t>119001</t>
  </si>
  <si>
    <t xml:space="preserve">Calasetta (CI) </t>
  </si>
  <si>
    <t>119002</t>
  </si>
  <si>
    <t xml:space="preserve">Carbonia (CI) </t>
  </si>
  <si>
    <t>119003</t>
  </si>
  <si>
    <t xml:space="preserve">Carloforte (CI) </t>
  </si>
  <si>
    <t>119004</t>
  </si>
  <si>
    <t xml:space="preserve">Domusnovas (CI) </t>
  </si>
  <si>
    <t>119005</t>
  </si>
  <si>
    <t xml:space="preserve">Fluminimaggiore (CI) </t>
  </si>
  <si>
    <t>119006</t>
  </si>
  <si>
    <t xml:space="preserve">Giba (CI) </t>
  </si>
  <si>
    <t>119007</t>
  </si>
  <si>
    <t xml:space="preserve">Gonnesa (CI) </t>
  </si>
  <si>
    <t>119008</t>
  </si>
  <si>
    <t xml:space="preserve">Iglesias (CI) </t>
  </si>
  <si>
    <t>119009</t>
  </si>
  <si>
    <t xml:space="preserve">Masainas (CI) </t>
  </si>
  <si>
    <t>119010</t>
  </si>
  <si>
    <t xml:space="preserve">Musei (CI) </t>
  </si>
  <si>
    <t>119011</t>
  </si>
  <si>
    <t xml:space="preserve">Narcao (CI) </t>
  </si>
  <si>
    <t>119012</t>
  </si>
  <si>
    <t xml:space="preserve">Nuxis (CI) </t>
  </si>
  <si>
    <t>119013</t>
  </si>
  <si>
    <t xml:space="preserve">Perdaxius (CI) </t>
  </si>
  <si>
    <t>119014</t>
  </si>
  <si>
    <t xml:space="preserve">Piscinas (CI) </t>
  </si>
  <si>
    <t>119015</t>
  </si>
  <si>
    <t xml:space="preserve">Portoscuso (CI) </t>
  </si>
  <si>
    <t>119016</t>
  </si>
  <si>
    <t xml:space="preserve">San Giovanni Suergiu (CI) </t>
  </si>
  <si>
    <t>119017</t>
  </si>
  <si>
    <t xml:space="preserve">Santadi (CI) </t>
  </si>
  <si>
    <t>119018</t>
  </si>
  <si>
    <t xml:space="preserve">Sant'Anna Arresi (CI) </t>
  </si>
  <si>
    <t>119019</t>
  </si>
  <si>
    <t xml:space="preserve">Sant'Antioco (CI) </t>
  </si>
  <si>
    <t>119020</t>
  </si>
  <si>
    <t xml:space="preserve">Tratalias (CI) </t>
  </si>
  <si>
    <t>119021</t>
  </si>
  <si>
    <t xml:space="preserve">Villamassargia (CI) </t>
  </si>
  <si>
    <t>119022</t>
  </si>
  <si>
    <t xml:space="preserve">Villaperuccio (CI) </t>
  </si>
  <si>
    <t>119023</t>
  </si>
  <si>
    <t xml:space="preserve">Teulada (CI) </t>
  </si>
  <si>
    <t>119024</t>
  </si>
  <si>
    <t>REGIONE SICILIANA</t>
  </si>
  <si>
    <t>Autorità Ambito Teriitoriale Ottimale 1 Palermo in liquidazione</t>
  </si>
  <si>
    <t>Consorzio Acque di scarico Pusteria  ABWASSERKONSORTIUM Pustertal</t>
  </si>
  <si>
    <t>Definizione obiettivo 2024</t>
  </si>
  <si>
    <t>Definizione obiettivo 2025</t>
  </si>
  <si>
    <t>Valori 2024 consuntivi</t>
  </si>
  <si>
    <t>Valori 2025 consuntivi</t>
  </si>
  <si>
    <r>
      <t>ΣkWh</t>
    </r>
    <r>
      <rPr>
        <b/>
        <vertAlign val="superscript"/>
        <sz val="9.35"/>
        <rFont val="Calibri"/>
        <family val="2"/>
      </rPr>
      <t>n</t>
    </r>
    <r>
      <rPr>
        <b/>
        <sz val="11"/>
        <rFont val="Calibri"/>
        <family val="2"/>
        <scheme val="minor"/>
      </rPr>
      <t xml:space="preserve"> </t>
    </r>
    <r>
      <rPr>
        <b/>
        <vertAlign val="subscript"/>
        <sz val="11"/>
        <rFont val="Calibri"/>
        <family val="2"/>
        <scheme val="minor"/>
      </rPr>
      <t>(2020-2023)</t>
    </r>
    <r>
      <rPr>
        <b/>
        <sz val="11"/>
        <rFont val="Calibri"/>
        <family val="2"/>
        <scheme val="minor"/>
      </rPr>
      <t xml:space="preserve"> / 4</t>
    </r>
  </si>
  <si>
    <t>Opex QT consuntivi (lettera c)</t>
  </si>
  <si>
    <t>Opex QT approvati (lettera c)</t>
  </si>
  <si>
    <t>Check rendicontazione Opex QT (lettera c)</t>
  </si>
  <si>
    <t>Valutazione performance 2025 per indicatore ENE</t>
  </si>
  <si>
    <t>Valore per definizione obiettivo</t>
  </si>
  <si>
    <t>Ricostruzione per componenti OF (anni tariffari)</t>
  </si>
  <si>
    <t>2. NUOVI INVESTIMENTI (2024-2025)</t>
  </si>
  <si>
    <t>Compilare i campi delle righe 49 e 51 in colonna K--&gt;</t>
  </si>
  <si>
    <t>Ricostruzione SALDO LIC per l'anno 2021</t>
  </si>
  <si>
    <t>Penalità RQSII - Delibere 476/2023/R/IDR - 277/2025/R/IDR</t>
  </si>
  <si>
    <t>d) riuso dell’acqua trattata (ad esempio ai fini agricoli e industriali) al fine di promuovere una maggiore razionalizzazione della risorsa in particolare in contesti caratterizzati da fenomeni di siccità</t>
  </si>
  <si>
    <r>
      <t xml:space="preserve">Compilare i campi delle righe 31-34 a partire dalla colonna K </t>
    </r>
    <r>
      <rPr>
        <sz val="10"/>
        <color rgb="FFC00000"/>
        <rFont val="Arial Narrow"/>
        <family val="2"/>
      </rPr>
      <t>considerando la sola quota di costi afferenti alle nuove attività o al nuovo perimetro gestito a partire dal 2024</t>
    </r>
    <r>
      <rPr>
        <sz val="10"/>
        <color theme="1"/>
        <rFont val="Arial Narrow"/>
        <family val="2"/>
      </rPr>
      <t>--&gt;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</si>
</sst>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1" formatCode="_-* #,##0_-;\-* #,##0_-;_-* &quot;-&quot;_-;_-@_-"/>
    <numFmt numFmtId="43" formatCode="_-* #,##0.00_-;\-* #,##0.00_-;_-* &quot;-&quot;??_-;_-@_-"/>
    <numFmt numFmtId="164" formatCode="_-* #,##0.00\ &quot;€&quot;_-;\-* #,##0.00\ &quot;€&quot;_-;_-* &quot;-&quot;??\ &quot;€&quot;_-;_-@_-"/>
    <numFmt numFmtId="165" formatCode="_(* #,##0_);_(* \(#,##0\);_(* &quot;-&quot;_);_(@_)"/>
    <numFmt numFmtId="166" formatCode="_(* #,##0.00_);_(* \(#,##0.00\);_(* &quot;-&quot;??_);_(@_)"/>
    <numFmt numFmtId="167" formatCode="_-* #,##0.00\ _€_-;\-* #,##0.00\ _€_-;_-* &quot;-&quot;??\ _€_-;_-@_-"/>
    <numFmt numFmtId="168" formatCode="_-&quot;€&quot;\ * #,##0.00_-;\-&quot;€&quot;\ * #,##0.00_-;_-&quot;€&quot;\ * &quot;-&quot;??_-;_-@_-"/>
    <numFmt numFmtId="169" formatCode="_-[$€-2]\ * #,##0.00_-;\-[$€-2]\ * #,##0.00_-;_-[$€-2]\ * &quot;-&quot;??_-"/>
    <numFmt numFmtId="170" formatCode="#,##0;\-\ #,##0;\-"/>
    <numFmt numFmtId="171" formatCode="#,##0_ ;\-#,##0\ "/>
    <numFmt numFmtId="172" formatCode="#,##0.0000_ ;\-#,##0.0000\ "/>
    <numFmt numFmtId="173" formatCode="#,##0.0000"/>
    <numFmt numFmtId="174" formatCode="0.000"/>
    <numFmt numFmtId="175" formatCode="0.000%"/>
    <numFmt numFmtId="176" formatCode="0.0000"/>
    <numFmt numFmtId="177" formatCode="_(&quot;$&quot;* #,##0_);_(&quot;$&quot;* \(#,##0\);_(&quot;$&quot;* &quot;-&quot;_);_(@_)"/>
    <numFmt numFmtId="178" formatCode="#,##0.00_ ;\-#,##0.00\ "/>
    <numFmt numFmtId="179" formatCode="#,##0.000"/>
    <numFmt numFmtId="180" formatCode="#,##0.00000"/>
    <numFmt numFmtId="181" formatCode="0.0%"/>
    <numFmt numFmtId="182" formatCode="#,##0.0"/>
    <numFmt numFmtId="183" formatCode="_-* #,##0_-;\-* #,##0_-;_-* &quot;-&quot;??_-;_-@_-"/>
    <numFmt numFmtId="184" formatCode="#,##0.000_ ;\-#,##0.000\ "/>
    <numFmt numFmtId="185" formatCode="0.00000%"/>
    <numFmt numFmtId="186" formatCode="0_ ;\-0\ "/>
    <numFmt numFmtId="187" formatCode="#,##0.00000_ ;\-#,##0.00000\ "/>
    <numFmt numFmtId="188" formatCode="0.00000"/>
    <numFmt numFmtId="189" formatCode="_-* #,##0.0000_-;\-* #,##0.0000_-;_-* &quot;-&quot;??_-;_-@_-"/>
    <numFmt numFmtId="190" formatCode="#,##0.000000"/>
    <numFmt numFmtId="191" formatCode="_(* #,##0_);_(* \(#,##0\);_(* &quot;-&quot;??_);_(@_)"/>
    <numFmt numFmtId="192" formatCode="0.0000%"/>
    <numFmt numFmtId="193" formatCode="_-* #,##0\ _€_-;\-* #,##0\ _€_-;_-* &quot;-&quot;\ _€_-;_-@_-"/>
    <numFmt numFmtId="194" formatCode="_(* #,##0.000_);_(* \(#,##0.000\);_(* &quot;-&quot;??_);_(@_)"/>
  </numFmts>
  <fonts count="400">
    <font>
      <sz val="11"/>
      <color theme="1"/>
      <name val="Calibri"/>
      <family val="2"/>
      <scheme val="minor"/>
    </font>
    <font>
      <sz val="10"/>
      <color theme="1"/>
      <name val="Arial Narrow"/>
      <family val="2"/>
    </font>
    <font>
      <sz val="10"/>
      <color theme="1"/>
      <name val="Arial Narrow"/>
      <family val="2"/>
    </font>
    <font>
      <sz val="10"/>
      <color theme="1"/>
      <name val="Arial Narrow"/>
      <family val="2"/>
    </font>
    <font>
      <sz val="10"/>
      <color theme="1"/>
      <name val="Arial Narrow"/>
      <family val="2"/>
    </font>
    <font>
      <sz val="10"/>
      <color theme="1"/>
      <name val="Arial Narrow"/>
      <family val="2"/>
    </font>
    <font>
      <sz val="10"/>
      <color theme="1"/>
      <name val="Arial Narrow"/>
      <family val="2"/>
    </font>
    <font>
      <sz val="10"/>
      <color theme="1"/>
      <name val="Arial Narrow"/>
      <family val="2"/>
    </font>
    <font>
      <sz val="10"/>
      <color theme="1"/>
      <name val="Arial Narrow"/>
      <family val="2"/>
    </font>
    <font>
      <sz val="10"/>
      <color theme="1"/>
      <name val="Arial Narrow"/>
      <family val="2"/>
    </font>
    <font>
      <sz val="10"/>
      <color theme="1"/>
      <name val="Arial Narrow"/>
      <family val="2"/>
    </font>
    <font>
      <sz val="10"/>
      <color theme="1"/>
      <name val="Arial Narrow"/>
      <family val="2"/>
    </font>
    <font>
      <sz val="10"/>
      <color theme="1"/>
      <name val="Arial Narrow"/>
      <family val="2"/>
    </font>
    <font>
      <sz val="10"/>
      <color theme="1"/>
      <name val="Arial Narrow"/>
      <family val="2"/>
    </font>
    <font>
      <sz val="10"/>
      <color theme="1"/>
      <name val="Arial Narrow"/>
      <family val="2"/>
    </font>
    <font>
      <sz val="10"/>
      <color theme="1"/>
      <name val="Times New Roman"/>
      <family val="1"/>
    </font>
    <font>
      <sz val="11"/>
      <color theme="1"/>
      <name val="Times New Roman"/>
      <family val="1"/>
    </font>
    <font>
      <i/>
      <sz val="11"/>
      <color theme="1"/>
      <name val="Calibri"/>
      <family val="2"/>
      <scheme val="minor"/>
    </font>
    <font>
      <b/>
      <sz val="11"/>
      <color theme="1"/>
      <name val="Calibri"/>
      <family val="2"/>
      <scheme val="minor"/>
    </font>
    <font>
      <sz val="10"/>
      <color theme="1"/>
      <name val="Calibri"/>
      <family val="2"/>
      <scheme val="minor"/>
    </font>
    <font>
      <b/>
      <i/>
      <sz val="11"/>
      <color rgb="FF00B0F0"/>
      <name val="Calibri"/>
      <family val="2"/>
      <scheme val="minor"/>
    </font>
    <font>
      <sz val="11"/>
      <color theme="1"/>
      <name val="Calibri"/>
      <family val="2"/>
      <scheme val="minor"/>
    </font>
    <font>
      <sz val="9"/>
      <name val="Calibri"/>
      <family val="2"/>
    </font>
    <font>
      <sz val="14"/>
      <name val="Calibri"/>
      <family val="2"/>
    </font>
    <font>
      <u val="singleAccounting"/>
      <sz val="14"/>
      <name val="Calibri"/>
      <family val="2"/>
    </font>
    <font>
      <sz val="11"/>
      <name val="Calibri"/>
      <family val="2"/>
    </font>
    <font>
      <b/>
      <sz val="9"/>
      <name val="Calibri"/>
      <family val="2"/>
    </font>
    <font>
      <i/>
      <sz val="9"/>
      <name val="Calibri"/>
      <family val="2"/>
    </font>
    <font>
      <sz val="8"/>
      <color indexed="8"/>
      <name val="Calibri"/>
      <family val="2"/>
    </font>
    <font>
      <sz val="10"/>
      <name val="Arial"/>
      <family val="2"/>
    </font>
    <font>
      <u/>
      <sz val="10"/>
      <color indexed="36"/>
      <name val="Arial"/>
      <family val="2"/>
    </font>
    <font>
      <u/>
      <sz val="10"/>
      <color indexed="12"/>
      <name val="Arial"/>
      <family val="2"/>
    </font>
    <font>
      <sz val="11"/>
      <color indexed="8"/>
      <name val="Calibri"/>
      <family val="2"/>
    </font>
    <font>
      <sz val="8"/>
      <name val="Arial"/>
      <family val="2"/>
    </font>
    <font>
      <b/>
      <sz val="10"/>
      <name val="Arial"/>
      <family val="2"/>
    </font>
    <font>
      <sz val="11"/>
      <name val="Calibri"/>
      <family val="2"/>
      <scheme val="minor"/>
    </font>
    <font>
      <u/>
      <sz val="18"/>
      <color indexed="56"/>
      <name val="Calibri"/>
      <family val="2"/>
    </font>
    <font>
      <sz val="9"/>
      <color indexed="9"/>
      <name val="Calibri"/>
      <family val="2"/>
    </font>
    <font>
      <i/>
      <sz val="8"/>
      <name val="Calibri"/>
      <family val="2"/>
    </font>
    <font>
      <sz val="8"/>
      <name val="Calibri"/>
      <family val="2"/>
    </font>
    <font>
      <b/>
      <sz val="8"/>
      <name val="Calibri"/>
      <family val="2"/>
    </font>
    <font>
      <sz val="8"/>
      <color indexed="18"/>
      <name val="Calibri"/>
      <family val="2"/>
    </font>
    <font>
      <sz val="9"/>
      <color indexed="8"/>
      <name val="Calibri"/>
      <family val="2"/>
    </font>
    <font>
      <sz val="11"/>
      <color indexed="18"/>
      <name val="Calibri"/>
      <family val="2"/>
    </font>
    <font>
      <sz val="9"/>
      <color indexed="81"/>
      <name val="Tahoma"/>
      <family val="2"/>
    </font>
    <font>
      <sz val="9"/>
      <color theme="1"/>
      <name val="Arial"/>
      <family val="2"/>
    </font>
    <font>
      <sz val="8"/>
      <color theme="1"/>
      <name val="Arial"/>
      <family val="2"/>
    </font>
    <font>
      <sz val="8"/>
      <color theme="1"/>
      <name val="Calibri"/>
      <family val="2"/>
      <scheme val="minor"/>
    </font>
    <font>
      <sz val="8"/>
      <color indexed="8"/>
      <name val="Arial"/>
      <family val="2"/>
    </font>
    <font>
      <sz val="11"/>
      <color rgb="FFFF0000"/>
      <name val="Calibri"/>
      <family val="2"/>
      <scheme val="minor"/>
    </font>
    <font>
      <b/>
      <sz val="8"/>
      <color rgb="FFFF0000"/>
      <name val="Arial"/>
      <family val="2"/>
    </font>
    <font>
      <sz val="8"/>
      <color rgb="FFFF0000"/>
      <name val="Calibri"/>
      <family val="2"/>
      <scheme val="minor"/>
    </font>
    <font>
      <sz val="10"/>
      <color indexed="8"/>
      <name val="Calibri"/>
      <family val="2"/>
    </font>
    <font>
      <i/>
      <sz val="10"/>
      <color indexed="8"/>
      <name val="Calibri"/>
      <family val="2"/>
    </font>
    <font>
      <b/>
      <sz val="10"/>
      <name val="MS Sans Serif"/>
      <family val="2"/>
    </font>
    <font>
      <sz val="10"/>
      <name val="MS Sans Serif"/>
      <family val="2"/>
    </font>
    <font>
      <b/>
      <sz val="10"/>
      <name val="Helv"/>
    </font>
    <font>
      <sz val="10"/>
      <name val="Times New Roman"/>
      <family val="1"/>
    </font>
    <font>
      <sz val="10"/>
      <color indexed="8"/>
      <name val="Arial"/>
      <family val="2"/>
    </font>
    <font>
      <b/>
      <sz val="8"/>
      <name val="Helv"/>
    </font>
    <font>
      <b/>
      <sz val="10"/>
      <color theme="9" tint="-0.499984740745262"/>
      <name val="Arial Narrow"/>
      <family val="2"/>
    </font>
    <font>
      <sz val="10"/>
      <color indexed="8"/>
      <name val="Arial Narrow"/>
      <family val="2"/>
    </font>
    <font>
      <sz val="10"/>
      <name val="Arial Narrow"/>
      <family val="2"/>
    </font>
    <font>
      <b/>
      <sz val="11"/>
      <name val="Arial Narrow"/>
      <family val="2"/>
    </font>
    <font>
      <sz val="10"/>
      <color indexed="8"/>
      <name val="Symbol"/>
      <family val="1"/>
      <charset val="2"/>
    </font>
    <font>
      <sz val="11"/>
      <name val="Arial Narrow"/>
      <family val="2"/>
    </font>
    <font>
      <sz val="10"/>
      <name val="Symbol"/>
      <family val="1"/>
      <charset val="2"/>
    </font>
    <font>
      <vertAlign val="superscript"/>
      <sz val="10"/>
      <color indexed="8"/>
      <name val="Arial Narrow"/>
      <family val="2"/>
    </font>
    <font>
      <vertAlign val="subscript"/>
      <sz val="10"/>
      <color indexed="8"/>
      <name val="Arial Narrow"/>
      <family val="2"/>
    </font>
    <font>
      <vertAlign val="superscript"/>
      <sz val="10"/>
      <name val="Arial Narrow"/>
      <family val="2"/>
    </font>
    <font>
      <vertAlign val="subscript"/>
      <sz val="10"/>
      <name val="Arial Narrow"/>
      <family val="2"/>
    </font>
    <font>
      <b/>
      <sz val="9"/>
      <color indexed="81"/>
      <name val="Tahoma"/>
      <family val="2"/>
    </font>
    <font>
      <sz val="14"/>
      <color indexed="56"/>
      <name val="Calibri"/>
      <family val="2"/>
    </font>
    <font>
      <i/>
      <sz val="11"/>
      <color indexed="8"/>
      <name val="Calibri"/>
      <family val="2"/>
    </font>
    <font>
      <b/>
      <i/>
      <sz val="9"/>
      <name val="Calibri"/>
      <family val="2"/>
    </font>
    <font>
      <i/>
      <sz val="9"/>
      <color indexed="9"/>
      <name val="Calibri"/>
      <family val="2"/>
    </font>
    <font>
      <b/>
      <sz val="10"/>
      <color indexed="8"/>
      <name val="Calibri"/>
      <family val="2"/>
    </font>
    <font>
      <b/>
      <sz val="11"/>
      <color indexed="60"/>
      <name val="Calibri"/>
      <family val="2"/>
    </font>
    <font>
      <b/>
      <sz val="11"/>
      <color indexed="8"/>
      <name val="Calibri"/>
      <family val="2"/>
    </font>
    <font>
      <b/>
      <sz val="11"/>
      <name val="Calibri"/>
      <family val="2"/>
    </font>
    <font>
      <i/>
      <sz val="10"/>
      <color theme="1"/>
      <name val="Arial Narrow"/>
      <family val="2"/>
    </font>
    <font>
      <b/>
      <sz val="16"/>
      <color indexed="8"/>
      <name val="Arial Narrow"/>
      <family val="2"/>
    </font>
    <font>
      <b/>
      <sz val="10"/>
      <color rgb="FFFF0000"/>
      <name val="Arial Narrow"/>
      <family val="2"/>
    </font>
    <font>
      <sz val="10"/>
      <color theme="1"/>
      <name val="Arial Narrow"/>
      <family val="2"/>
    </font>
    <font>
      <b/>
      <u/>
      <sz val="10"/>
      <name val="Arial Narrow"/>
      <family val="2"/>
    </font>
    <font>
      <b/>
      <sz val="10"/>
      <color indexed="8"/>
      <name val="Arial Narrow"/>
      <family val="2"/>
    </font>
    <font>
      <b/>
      <i/>
      <sz val="10"/>
      <color theme="1"/>
      <name val="Arial Narrow"/>
      <family val="2"/>
    </font>
    <font>
      <b/>
      <i/>
      <u/>
      <sz val="10"/>
      <color theme="1"/>
      <name val="Arial Narrow"/>
      <family val="2"/>
    </font>
    <font>
      <b/>
      <i/>
      <sz val="10"/>
      <name val="Arial Narrow"/>
      <family val="2"/>
    </font>
    <font>
      <b/>
      <sz val="10"/>
      <name val="Arial Narrow"/>
      <family val="2"/>
    </font>
    <font>
      <b/>
      <sz val="10"/>
      <color indexed="56"/>
      <name val="Arial Narrow"/>
      <family val="2"/>
    </font>
    <font>
      <b/>
      <sz val="10"/>
      <color theme="1"/>
      <name val="Arial Narrow"/>
      <family val="2"/>
    </font>
    <font>
      <i/>
      <sz val="10"/>
      <color indexed="8"/>
      <name val="Arial Narrow"/>
      <family val="2"/>
    </font>
    <font>
      <b/>
      <i/>
      <sz val="10"/>
      <color indexed="8"/>
      <name val="Arial Narrow"/>
      <family val="2"/>
    </font>
    <font>
      <b/>
      <sz val="10"/>
      <color indexed="30"/>
      <name val="Arial Narrow"/>
      <family val="2"/>
    </font>
    <font>
      <b/>
      <sz val="10"/>
      <color indexed="10"/>
      <name val="Arial Narrow"/>
      <family val="2"/>
    </font>
    <font>
      <i/>
      <sz val="16"/>
      <color indexed="8"/>
      <name val="Arial Narrow"/>
      <family val="2"/>
    </font>
    <font>
      <b/>
      <i/>
      <sz val="16"/>
      <color indexed="8"/>
      <name val="Arial Narrow"/>
      <family val="2"/>
    </font>
    <font>
      <b/>
      <sz val="10"/>
      <color indexed="9"/>
      <name val="Arial Narrow"/>
      <family val="2"/>
    </font>
    <font>
      <sz val="10"/>
      <color indexed="53"/>
      <name val="Arial Narrow"/>
      <family val="2"/>
    </font>
    <font>
      <sz val="10"/>
      <color indexed="56"/>
      <name val="Arial Narrow"/>
      <family val="2"/>
    </font>
    <font>
      <sz val="10"/>
      <color indexed="21"/>
      <name val="Arial Narrow"/>
      <family val="2"/>
    </font>
    <font>
      <sz val="10"/>
      <color rgb="FFFF0000"/>
      <name val="Arial Narrow"/>
      <family val="2"/>
    </font>
    <font>
      <b/>
      <i/>
      <vertAlign val="subscript"/>
      <sz val="10"/>
      <name val="Arial Narrow"/>
      <family val="2"/>
    </font>
    <font>
      <b/>
      <i/>
      <vertAlign val="subscript"/>
      <sz val="10"/>
      <color indexed="8"/>
      <name val="Arial Narrow"/>
      <family val="2"/>
    </font>
    <font>
      <b/>
      <i/>
      <sz val="10"/>
      <color rgb="FFFFFFFF"/>
      <name val="Arial Narrow"/>
      <family val="2"/>
    </font>
    <font>
      <b/>
      <vertAlign val="subscript"/>
      <sz val="10"/>
      <name val="Arial Narrow"/>
      <family val="2"/>
    </font>
    <font>
      <b/>
      <vertAlign val="subscript"/>
      <sz val="10"/>
      <color indexed="8"/>
      <name val="Arial Narrow"/>
      <family val="2"/>
    </font>
    <font>
      <i/>
      <sz val="10"/>
      <color rgb="FFFF0000"/>
      <name val="Arial Narrow"/>
      <family val="2"/>
    </font>
    <font>
      <b/>
      <i/>
      <sz val="10"/>
      <color rgb="FFFF0000"/>
      <name val="Arial Narrow"/>
      <family val="2"/>
    </font>
    <font>
      <b/>
      <vertAlign val="superscript"/>
      <sz val="10"/>
      <color indexed="8"/>
      <name val="Arial Narrow"/>
      <family val="2"/>
    </font>
    <font>
      <b/>
      <i/>
      <vertAlign val="subscript"/>
      <sz val="10"/>
      <color theme="1"/>
      <name val="Arial Narrow"/>
      <family val="2"/>
    </font>
    <font>
      <vertAlign val="superscript"/>
      <sz val="10"/>
      <color theme="1"/>
      <name val="Arial Narrow"/>
      <family val="2"/>
    </font>
    <font>
      <vertAlign val="subscript"/>
      <sz val="10"/>
      <color theme="1"/>
      <name val="Arial Narrow"/>
      <family val="2"/>
    </font>
    <font>
      <b/>
      <vertAlign val="superscript"/>
      <sz val="10"/>
      <color theme="1"/>
      <name val="Arial Narrow"/>
      <family val="2"/>
    </font>
    <font>
      <b/>
      <vertAlign val="subscript"/>
      <sz val="10"/>
      <color theme="1"/>
      <name val="Arial Narrow"/>
      <family val="2"/>
    </font>
    <font>
      <vertAlign val="subscript"/>
      <sz val="8.5"/>
      <color theme="1"/>
      <name val="Arial Narrow"/>
      <family val="2"/>
    </font>
    <font>
      <b/>
      <sz val="10"/>
      <color indexed="60"/>
      <name val="Arial Narrow"/>
      <family val="2"/>
    </font>
    <font>
      <i/>
      <sz val="10"/>
      <name val="Arial Narrow"/>
      <family val="2"/>
    </font>
    <font>
      <b/>
      <vertAlign val="superscript"/>
      <sz val="10"/>
      <name val="Arial Narrow"/>
      <family val="2"/>
    </font>
    <font>
      <b/>
      <sz val="10"/>
      <color rgb="FF993366"/>
      <name val="Arial Narrow"/>
      <family val="2"/>
    </font>
    <font>
      <b/>
      <u/>
      <sz val="10"/>
      <color rgb="FFFF0000"/>
      <name val="Arial Narrow"/>
      <family val="2"/>
    </font>
    <font>
      <b/>
      <i/>
      <u/>
      <sz val="10"/>
      <color indexed="8"/>
      <name val="Arial Narrow"/>
      <family val="2"/>
    </font>
    <font>
      <b/>
      <u/>
      <sz val="10"/>
      <color indexed="8"/>
      <name val="Arial Narrow"/>
      <family val="2"/>
    </font>
    <font>
      <b/>
      <i/>
      <sz val="10"/>
      <color indexed="8"/>
      <name val="Symbol"/>
      <family val="1"/>
      <charset val="2"/>
    </font>
    <font>
      <sz val="11"/>
      <color theme="1"/>
      <name val="Arial Narrow"/>
      <family val="2"/>
    </font>
    <font>
      <vertAlign val="superscript"/>
      <sz val="11"/>
      <color theme="1"/>
      <name val="Arial Narrow"/>
      <family val="2"/>
    </font>
    <font>
      <vertAlign val="subscript"/>
      <sz val="11"/>
      <color theme="1"/>
      <name val="Arial Narrow"/>
      <family val="2"/>
    </font>
    <font>
      <sz val="12"/>
      <color rgb="FFFF0000"/>
      <name val="Arial Narrow"/>
      <family val="2"/>
    </font>
    <font>
      <b/>
      <i/>
      <vertAlign val="superscript"/>
      <sz val="10"/>
      <color indexed="8"/>
      <name val="Arial Narrow"/>
      <family val="2"/>
    </font>
    <font>
      <sz val="10"/>
      <color theme="1"/>
      <name val="Symbol"/>
      <family val="1"/>
      <charset val="2"/>
    </font>
    <font>
      <sz val="11"/>
      <color rgb="FFFF0000"/>
      <name val="Arial Narrow"/>
      <family val="2"/>
    </font>
    <font>
      <vertAlign val="superscript"/>
      <sz val="12"/>
      <color indexed="8"/>
      <name val="Arial Narrow"/>
      <family val="2"/>
    </font>
    <font>
      <sz val="12"/>
      <color indexed="8"/>
      <name val="Arial Narrow"/>
      <family val="2"/>
    </font>
    <font>
      <b/>
      <sz val="16"/>
      <name val="Arial Narrow"/>
      <family val="2"/>
    </font>
    <font>
      <b/>
      <sz val="10"/>
      <color indexed="8"/>
      <name val="Symbol"/>
      <family val="1"/>
      <charset val="2"/>
    </font>
    <font>
      <b/>
      <i/>
      <sz val="10"/>
      <color theme="1" tint="0.499984740745262"/>
      <name val="Arial Narrow"/>
      <family val="2"/>
    </font>
    <font>
      <sz val="10"/>
      <color theme="1" tint="0.499984740745262"/>
      <name val="Arial Narrow"/>
      <family val="2"/>
    </font>
    <font>
      <i/>
      <vertAlign val="superscript"/>
      <sz val="10"/>
      <color theme="1"/>
      <name val="Arial Narrow"/>
      <family val="2"/>
    </font>
    <font>
      <i/>
      <vertAlign val="subscript"/>
      <sz val="10"/>
      <color theme="1"/>
      <name val="Arial Narrow"/>
      <family val="2"/>
    </font>
    <font>
      <vertAlign val="subscript"/>
      <sz val="10"/>
      <name val="Arial"/>
      <family val="2"/>
    </font>
    <font>
      <i/>
      <sz val="10"/>
      <color indexed="8"/>
      <name val="Arial"/>
      <family val="2"/>
    </font>
    <font>
      <b/>
      <i/>
      <vertAlign val="subscript"/>
      <sz val="10"/>
      <color indexed="8"/>
      <name val="Arial"/>
      <family val="2"/>
    </font>
    <font>
      <b/>
      <i/>
      <sz val="10"/>
      <color indexed="8"/>
      <name val="Arial"/>
      <family val="2"/>
    </font>
    <font>
      <b/>
      <sz val="9"/>
      <color theme="0"/>
      <name val="Calibri"/>
      <family val="2"/>
    </font>
    <font>
      <sz val="9"/>
      <color theme="1"/>
      <name val="Calibri"/>
      <family val="2"/>
      <scheme val="minor"/>
    </font>
    <font>
      <b/>
      <sz val="8.5"/>
      <color theme="1"/>
      <name val="Symbol"/>
      <family val="1"/>
      <charset val="2"/>
    </font>
    <font>
      <b/>
      <sz val="9"/>
      <name val="Arial Narrow"/>
      <family val="2"/>
    </font>
    <font>
      <sz val="9"/>
      <name val="Arial Narrow"/>
      <family val="2"/>
    </font>
    <font>
      <b/>
      <sz val="10"/>
      <name val="Symbol"/>
      <family val="1"/>
      <charset val="2"/>
    </font>
    <font>
      <i/>
      <sz val="11"/>
      <color rgb="FFFF0000"/>
      <name val="Calibri"/>
      <family val="2"/>
      <scheme val="minor"/>
    </font>
    <font>
      <sz val="10"/>
      <color indexed="18"/>
      <name val="Arial Narrow"/>
      <family val="2"/>
    </font>
    <font>
      <b/>
      <sz val="10"/>
      <color indexed="18"/>
      <name val="Arial Narrow"/>
      <family val="2"/>
    </font>
    <font>
      <sz val="11"/>
      <color indexed="9"/>
      <name val="Calibri"/>
      <family val="2"/>
    </font>
    <font>
      <sz val="9"/>
      <color indexed="9"/>
      <name val="Arial Narrow"/>
      <family val="2"/>
    </font>
    <font>
      <sz val="9"/>
      <color indexed="8"/>
      <name val="Arial Narrow"/>
      <family val="2"/>
    </font>
    <font>
      <u/>
      <sz val="11"/>
      <color indexed="56"/>
      <name val="Arial Narrow"/>
      <family val="2"/>
    </font>
    <font>
      <i/>
      <sz val="8"/>
      <color indexed="8"/>
      <name val="Arial Narrow"/>
      <family val="2"/>
    </font>
    <font>
      <u val="singleAccounting"/>
      <sz val="14"/>
      <name val="Arial Narrow"/>
      <family val="2"/>
    </font>
    <font>
      <u/>
      <sz val="14"/>
      <name val="Calibri"/>
      <family val="2"/>
    </font>
    <font>
      <sz val="8.5"/>
      <name val="Symbol"/>
      <family val="1"/>
      <charset val="2"/>
    </font>
    <font>
      <b/>
      <i/>
      <sz val="12"/>
      <color indexed="8"/>
      <name val="Arial Narrow"/>
      <family val="2"/>
    </font>
    <font>
      <b/>
      <i/>
      <sz val="10"/>
      <color theme="1"/>
      <name val="Symbol"/>
      <family val="1"/>
      <charset val="2"/>
    </font>
    <font>
      <b/>
      <i/>
      <sz val="10"/>
      <color theme="1"/>
      <name val="Arial Narrow"/>
      <family val="1"/>
      <charset val="2"/>
    </font>
    <font>
      <b/>
      <i/>
      <vertAlign val="superscript"/>
      <sz val="10"/>
      <color theme="1"/>
      <name val="Arial Narrow"/>
      <family val="2"/>
    </font>
    <font>
      <sz val="11"/>
      <color theme="0"/>
      <name val="Calibri"/>
      <family val="2"/>
      <scheme val="minor"/>
    </font>
    <font>
      <sz val="9"/>
      <color theme="0"/>
      <name val="Calibri"/>
      <family val="2"/>
    </font>
    <font>
      <sz val="11"/>
      <color theme="0"/>
      <name val="Calibri"/>
      <family val="2"/>
    </font>
    <font>
      <b/>
      <sz val="10"/>
      <color theme="0"/>
      <name val="Arial Narrow"/>
      <family val="2"/>
    </font>
    <font>
      <b/>
      <sz val="10"/>
      <color theme="0" tint="-0.249977111117893"/>
      <name val="Arial Narrow"/>
      <family val="2"/>
    </font>
    <font>
      <b/>
      <sz val="9"/>
      <color theme="4" tint="0.59999389629810485"/>
      <name val="Arial Narrow"/>
      <family val="2"/>
    </font>
    <font>
      <sz val="10"/>
      <color theme="0"/>
      <name val="Arial Narrow"/>
      <family val="2"/>
    </font>
    <font>
      <sz val="9"/>
      <color theme="0"/>
      <name val="Arial Narrow"/>
      <family val="2"/>
    </font>
    <font>
      <sz val="11"/>
      <color theme="0"/>
      <name val="Arial Narrow"/>
      <family val="2"/>
    </font>
    <font>
      <sz val="11"/>
      <color indexed="8"/>
      <name val="Arial Narrow"/>
      <family val="2"/>
    </font>
    <font>
      <sz val="10"/>
      <name val="Calibri"/>
      <family val="2"/>
    </font>
    <font>
      <b/>
      <i/>
      <sz val="10"/>
      <color indexed="56"/>
      <name val="Arial Narrow"/>
      <family val="2"/>
    </font>
    <font>
      <i/>
      <sz val="11"/>
      <color rgb="FFFF0000"/>
      <name val="Arial Narrow"/>
      <family val="2"/>
    </font>
    <font>
      <sz val="14"/>
      <color indexed="60"/>
      <name val="Calibri"/>
      <family val="2"/>
    </font>
    <font>
      <i/>
      <sz val="9"/>
      <color indexed="60"/>
      <name val="Calibri"/>
      <family val="2"/>
    </font>
    <font>
      <b/>
      <i/>
      <sz val="10"/>
      <color indexed="18"/>
      <name val="Calibri"/>
      <family val="2"/>
    </font>
    <font>
      <sz val="10"/>
      <color indexed="81"/>
      <name val="Arial Narrow"/>
      <family val="2"/>
    </font>
    <font>
      <i/>
      <sz val="10"/>
      <color rgb="FFFF0000"/>
      <name val="Arial"/>
      <family val="2"/>
    </font>
    <font>
      <i/>
      <sz val="8.5"/>
      <color rgb="FFFF0000"/>
      <name val="Symbol"/>
      <family val="1"/>
      <charset val="2"/>
    </font>
    <font>
      <sz val="12"/>
      <name val="Arial Narrow"/>
      <family val="2"/>
    </font>
    <font>
      <b/>
      <sz val="8.5"/>
      <name val="Symbol"/>
      <family val="1"/>
      <charset val="2"/>
    </font>
    <font>
      <b/>
      <sz val="10"/>
      <color theme="4" tint="-0.249977111117893"/>
      <name val="Arial Narrow"/>
      <family val="2"/>
    </font>
    <font>
      <i/>
      <sz val="11"/>
      <color theme="1"/>
      <name val="Calibri"/>
      <family val="2"/>
    </font>
    <font>
      <i/>
      <vertAlign val="subscript"/>
      <sz val="10"/>
      <color rgb="FFFF0000"/>
      <name val="Arial Narrow"/>
      <family val="2"/>
    </font>
    <font>
      <b/>
      <sz val="10"/>
      <color indexed="8"/>
      <name val="Arial Narrow"/>
      <family val="1"/>
      <charset val="2"/>
    </font>
    <font>
      <sz val="10"/>
      <color theme="1"/>
      <name val="Arial"/>
      <family val="2"/>
    </font>
    <font>
      <sz val="10"/>
      <color rgb="FF000000"/>
      <name val="Arial Narrow"/>
      <family val="2"/>
    </font>
    <font>
      <b/>
      <i/>
      <sz val="10"/>
      <color indexed="10"/>
      <name val="Arial Narrow"/>
      <family val="2"/>
    </font>
    <font>
      <b/>
      <i/>
      <u val="singleAccounting"/>
      <sz val="10"/>
      <color rgb="FFFF0000"/>
      <name val="Arial Narrow"/>
      <family val="2"/>
    </font>
    <font>
      <sz val="8.5"/>
      <color theme="1"/>
      <name val="Symbol"/>
      <family val="1"/>
      <charset val="2"/>
    </font>
    <font>
      <sz val="10"/>
      <color theme="0"/>
      <name val="Calibri"/>
      <family val="2"/>
      <scheme val="minor"/>
    </font>
    <font>
      <sz val="14"/>
      <color theme="1"/>
      <name val="Arial Narrow"/>
      <family val="2"/>
    </font>
    <font>
      <i/>
      <u/>
      <sz val="10"/>
      <color rgb="FFFF0000"/>
      <name val="Arial Narrow"/>
      <family val="2"/>
    </font>
    <font>
      <i/>
      <sz val="10"/>
      <color indexed="81"/>
      <name val="Arial Narrow"/>
      <family val="2"/>
    </font>
    <font>
      <sz val="10"/>
      <color rgb="FF3F3F76"/>
      <name val="Arial Narrow"/>
      <family val="2"/>
    </font>
    <font>
      <vertAlign val="subscript"/>
      <sz val="8.5"/>
      <color indexed="8"/>
      <name val="Arial Narrow"/>
      <family val="2"/>
    </font>
    <font>
      <b/>
      <sz val="12"/>
      <color indexed="8"/>
      <name val="Arial Narrow"/>
      <family val="2"/>
    </font>
    <font>
      <b/>
      <sz val="10"/>
      <color rgb="FFFFFF00"/>
      <name val="Arial Narrow"/>
      <family val="2"/>
    </font>
    <font>
      <b/>
      <sz val="11"/>
      <color rgb="FFFF0000"/>
      <name val="Calibri"/>
      <family val="2"/>
    </font>
    <font>
      <i/>
      <sz val="10"/>
      <color indexed="10"/>
      <name val="Arial Narrow"/>
      <family val="2"/>
    </font>
    <font>
      <sz val="11"/>
      <color rgb="FF000000"/>
      <name val="Calibri"/>
      <family val="2"/>
      <charset val="1"/>
    </font>
    <font>
      <b/>
      <sz val="11"/>
      <color indexed="8"/>
      <name val="Calibri"/>
      <family val="2"/>
      <scheme val="minor"/>
    </font>
    <font>
      <sz val="11"/>
      <color indexed="8"/>
      <name val="Calibri"/>
      <family val="2"/>
      <scheme val="minor"/>
    </font>
    <font>
      <b/>
      <sz val="11"/>
      <name val="Calibri"/>
      <family val="2"/>
      <scheme val="minor"/>
    </font>
    <font>
      <sz val="10"/>
      <name val="Calibri"/>
      <family val="2"/>
      <scheme val="minor"/>
    </font>
    <font>
      <b/>
      <sz val="11"/>
      <color rgb="FF000000"/>
      <name val="Calibri"/>
      <family val="2"/>
      <scheme val="minor"/>
    </font>
    <font>
      <b/>
      <sz val="10"/>
      <name val="Calibri"/>
      <family val="2"/>
      <scheme val="minor"/>
    </font>
    <font>
      <sz val="10"/>
      <color rgb="FFFF0000"/>
      <name val="Arial"/>
      <family val="2"/>
    </font>
    <font>
      <b/>
      <vertAlign val="subscript"/>
      <sz val="11"/>
      <color rgb="FF000000"/>
      <name val="Calibri"/>
      <family val="2"/>
      <scheme val="minor"/>
    </font>
    <font>
      <b/>
      <sz val="12"/>
      <color theme="1"/>
      <name val="Arial Narrow"/>
      <family val="2"/>
    </font>
    <font>
      <sz val="12"/>
      <color theme="1"/>
      <name val="Arial Narrow"/>
      <family val="2"/>
    </font>
    <font>
      <b/>
      <sz val="12"/>
      <name val="Arial Narrow"/>
      <family val="2"/>
    </font>
    <font>
      <sz val="12"/>
      <color theme="1"/>
      <name val="Calibri"/>
      <family val="2"/>
      <scheme val="minor"/>
    </font>
    <font>
      <b/>
      <sz val="12"/>
      <color theme="0"/>
      <name val="Arial Narrow"/>
      <family val="2"/>
    </font>
    <font>
      <b/>
      <sz val="11"/>
      <color theme="0"/>
      <name val="Calibri"/>
      <family val="2"/>
      <scheme val="minor"/>
    </font>
    <font>
      <b/>
      <sz val="12"/>
      <color theme="0"/>
      <name val="Calibri"/>
      <family val="2"/>
      <scheme val="minor"/>
    </font>
    <font>
      <u/>
      <sz val="16"/>
      <color theme="1"/>
      <name val="Calibri"/>
      <family val="2"/>
      <scheme val="minor"/>
    </font>
    <font>
      <u/>
      <sz val="11"/>
      <color theme="10"/>
      <name val="Calibri"/>
      <family val="2"/>
      <scheme val="minor"/>
    </font>
    <font>
      <i/>
      <sz val="11"/>
      <color rgb="FF990033"/>
      <name val="Calibri"/>
      <family val="2"/>
      <scheme val="minor"/>
    </font>
    <font>
      <b/>
      <sz val="12"/>
      <color theme="1"/>
      <name val="Calibri"/>
      <family val="2"/>
      <scheme val="minor"/>
    </font>
    <font>
      <sz val="11"/>
      <color rgb="FF993366"/>
      <name val="Calibri"/>
      <family val="2"/>
      <scheme val="minor"/>
    </font>
    <font>
      <b/>
      <sz val="9"/>
      <color theme="1"/>
      <name val="Arial Narrow"/>
      <family val="2"/>
    </font>
    <font>
      <sz val="9"/>
      <color theme="1"/>
      <name val="Arial Narrow"/>
      <family val="2"/>
    </font>
    <font>
      <b/>
      <sz val="9"/>
      <color theme="0"/>
      <name val="Arial Narrow"/>
      <family val="2"/>
    </font>
    <font>
      <b/>
      <i/>
      <sz val="9"/>
      <color theme="0"/>
      <name val="Arial Narrow"/>
      <family val="2"/>
    </font>
    <font>
      <i/>
      <sz val="11"/>
      <color rgb="FFC0504D"/>
      <name val="Calibri"/>
      <family val="2"/>
      <scheme val="minor"/>
    </font>
    <font>
      <b/>
      <vertAlign val="subscript"/>
      <sz val="9"/>
      <color theme="0"/>
      <name val="Arial Narrow"/>
      <family val="2"/>
    </font>
    <font>
      <sz val="10"/>
      <color rgb="FF006100"/>
      <name val="Arial Narrow"/>
      <family val="2"/>
    </font>
    <font>
      <b/>
      <i/>
      <vertAlign val="superscript"/>
      <sz val="10"/>
      <color indexed="10"/>
      <name val="Arial Narrow"/>
      <family val="2"/>
    </font>
    <font>
      <i/>
      <vertAlign val="superscript"/>
      <sz val="10"/>
      <color indexed="10"/>
      <name val="Arial Narrow"/>
      <family val="2"/>
    </font>
    <font>
      <b/>
      <sz val="10"/>
      <name val="Arial Narrow"/>
      <family val="1"/>
      <charset val="2"/>
    </font>
    <font>
      <b/>
      <i/>
      <sz val="9"/>
      <color theme="9" tint="-0.499984740745262"/>
      <name val="Arial Narrow"/>
      <family val="2"/>
    </font>
    <font>
      <i/>
      <sz val="9"/>
      <color indexed="8"/>
      <name val="Arial Narrow"/>
      <family val="2"/>
    </font>
    <font>
      <vertAlign val="subscript"/>
      <sz val="10"/>
      <color rgb="FF000000"/>
      <name val="Arial Narrow"/>
      <family val="2"/>
    </font>
    <font>
      <b/>
      <sz val="10"/>
      <color rgb="FF000000"/>
      <name val="Arial Narrow"/>
      <family val="2"/>
    </font>
    <font>
      <i/>
      <sz val="10"/>
      <color rgb="FF000000"/>
      <name val="Arial Narrow"/>
      <family val="2"/>
    </font>
    <font>
      <b/>
      <i/>
      <sz val="10"/>
      <color rgb="FF000000"/>
      <name val="Arial Narrow"/>
      <family val="2"/>
    </font>
    <font>
      <b/>
      <i/>
      <vertAlign val="subscript"/>
      <sz val="10"/>
      <color rgb="FF000000"/>
      <name val="Arial Narrow"/>
      <family val="2"/>
    </font>
    <font>
      <b/>
      <vertAlign val="superscript"/>
      <sz val="10"/>
      <color rgb="FF000000"/>
      <name val="Arial Narrow"/>
      <family val="2"/>
    </font>
    <font>
      <strike/>
      <sz val="10"/>
      <name val="Arial Narrow"/>
      <family val="2"/>
    </font>
    <font>
      <b/>
      <sz val="10"/>
      <color theme="1"/>
      <name val="Times New Roman"/>
      <family val="1"/>
    </font>
    <font>
      <b/>
      <i/>
      <sz val="10"/>
      <color theme="1"/>
      <name val="Times New Roman"/>
      <family val="1"/>
    </font>
    <font>
      <b/>
      <i/>
      <vertAlign val="subscript"/>
      <sz val="10"/>
      <color theme="1"/>
      <name val="Times New Roman"/>
      <family val="1"/>
    </font>
    <font>
      <b/>
      <sz val="10"/>
      <color theme="1"/>
      <name val="Arial Narrow"/>
      <family val="1"/>
      <charset val="2"/>
    </font>
    <font>
      <i/>
      <vertAlign val="subscript"/>
      <sz val="10"/>
      <color indexed="8"/>
      <name val="Arial Narrow"/>
      <family val="2"/>
    </font>
    <font>
      <b/>
      <vertAlign val="subscript"/>
      <sz val="10"/>
      <color rgb="FFFF0000"/>
      <name val="Arial Narrow"/>
      <family val="2"/>
    </font>
    <font>
      <b/>
      <i/>
      <sz val="10"/>
      <color indexed="8"/>
      <name val="Arial Narrow"/>
      <family val="1"/>
      <charset val="2"/>
    </font>
    <font>
      <b/>
      <vertAlign val="subscript"/>
      <sz val="10"/>
      <color rgb="FF000000"/>
      <name val="Cambria"/>
      <family val="1"/>
    </font>
    <font>
      <b/>
      <i/>
      <vertAlign val="subscript"/>
      <sz val="10"/>
      <color rgb="FF000000"/>
      <name val="Cambria"/>
      <family val="1"/>
    </font>
    <font>
      <vertAlign val="subscript"/>
      <sz val="10"/>
      <color rgb="FF000000"/>
      <name val="Cambria"/>
      <family val="1"/>
    </font>
    <font>
      <i/>
      <vertAlign val="subscript"/>
      <sz val="10"/>
      <color rgb="FF000000"/>
      <name val="Cambria"/>
      <family val="1"/>
    </font>
    <font>
      <i/>
      <vertAlign val="superscript"/>
      <sz val="10"/>
      <name val="Arial Narrow"/>
      <family val="2"/>
    </font>
    <font>
      <i/>
      <vertAlign val="subscript"/>
      <sz val="10"/>
      <name val="Arial Narrow"/>
      <family val="2"/>
    </font>
    <font>
      <strike/>
      <sz val="10"/>
      <color theme="1"/>
      <name val="Arial Narrow"/>
      <family val="2"/>
    </font>
    <font>
      <i/>
      <vertAlign val="subscript"/>
      <sz val="10"/>
      <color rgb="FF000000"/>
      <name val="Arial Narrow"/>
      <family val="2"/>
    </font>
    <font>
      <sz val="10"/>
      <color theme="1"/>
      <name val="Arial Narrow"/>
      <family val="1"/>
      <charset val="2"/>
    </font>
    <font>
      <vertAlign val="superscript"/>
      <sz val="10"/>
      <color rgb="FF000000"/>
      <name val="Arial Narrow"/>
      <family val="2"/>
    </font>
    <font>
      <i/>
      <sz val="12"/>
      <name val="Arial Narrow"/>
      <family val="2"/>
    </font>
    <font>
      <u/>
      <sz val="16"/>
      <name val="Calibri"/>
      <family val="2"/>
      <scheme val="minor"/>
    </font>
    <font>
      <b/>
      <sz val="12"/>
      <name val="Calibri"/>
      <family val="2"/>
      <scheme val="minor"/>
    </font>
    <font>
      <sz val="11"/>
      <color rgb="FF006100"/>
      <name val="Calibri"/>
      <family val="2"/>
      <scheme val="minor"/>
    </font>
    <font>
      <vertAlign val="subscript"/>
      <sz val="10"/>
      <color indexed="8"/>
      <name val="Calibri"/>
      <family val="2"/>
    </font>
    <font>
      <sz val="10"/>
      <color theme="0" tint="-4.9989318521683403E-2"/>
      <name val="Arial Narrow"/>
      <family val="2"/>
    </font>
    <font>
      <b/>
      <sz val="11"/>
      <color theme="1"/>
      <name val="Arial Narrow"/>
      <family val="2"/>
    </font>
    <font>
      <b/>
      <vertAlign val="subscript"/>
      <sz val="11"/>
      <color theme="1"/>
      <name val="Arial Narrow"/>
      <family val="2"/>
    </font>
    <font>
      <b/>
      <sz val="11"/>
      <color rgb="FFC00000"/>
      <name val="Calibri"/>
      <family val="2"/>
      <scheme val="minor"/>
    </font>
    <font>
      <b/>
      <sz val="10"/>
      <color theme="3"/>
      <name val="Calibri"/>
      <family val="2"/>
      <scheme val="minor"/>
    </font>
    <font>
      <b/>
      <vertAlign val="subscript"/>
      <sz val="10"/>
      <color theme="3"/>
      <name val="Calibri"/>
      <family val="2"/>
      <scheme val="minor"/>
    </font>
    <font>
      <b/>
      <vertAlign val="superscript"/>
      <sz val="10"/>
      <color theme="3"/>
      <name val="Calibri"/>
      <family val="2"/>
      <scheme val="minor"/>
    </font>
    <font>
      <b/>
      <sz val="10"/>
      <color theme="3"/>
      <name val="Calibri"/>
      <family val="2"/>
    </font>
    <font>
      <b/>
      <sz val="10"/>
      <color theme="3"/>
      <name val="Symbol"/>
      <family val="1"/>
      <charset val="2"/>
    </font>
    <font>
      <sz val="11"/>
      <color theme="4" tint="-0.249977111117893"/>
      <name val="Calibri"/>
      <family val="2"/>
      <scheme val="minor"/>
    </font>
    <font>
      <b/>
      <vertAlign val="superscript"/>
      <sz val="11"/>
      <color rgb="FF000000"/>
      <name val="Calibri"/>
      <family val="2"/>
      <scheme val="minor"/>
    </font>
    <font>
      <b/>
      <vertAlign val="subscript"/>
      <sz val="10"/>
      <color theme="3"/>
      <name val="Calibri"/>
      <family val="2"/>
    </font>
    <font>
      <b/>
      <sz val="10"/>
      <color theme="3"/>
      <name val="Calibri"/>
      <family val="1"/>
      <charset val="2"/>
      <scheme val="minor"/>
    </font>
    <font>
      <u val="singleAccounting"/>
      <sz val="9"/>
      <name val="Calibri"/>
      <family val="2"/>
    </font>
    <font>
      <i/>
      <strike/>
      <sz val="11"/>
      <color rgb="FF990033"/>
      <name val="Calibri"/>
      <family val="2"/>
      <scheme val="minor"/>
    </font>
    <font>
      <strike/>
      <sz val="11"/>
      <color theme="1"/>
      <name val="Calibri"/>
      <family val="2"/>
      <scheme val="minor"/>
    </font>
    <font>
      <sz val="10"/>
      <name val="Arial Narrow"/>
      <family val="1"/>
      <charset val="2"/>
    </font>
    <font>
      <i/>
      <sz val="11"/>
      <name val="Calibri"/>
      <family val="2"/>
      <scheme val="minor"/>
    </font>
    <font>
      <b/>
      <vertAlign val="subscript"/>
      <sz val="11"/>
      <name val="Calibri"/>
      <family val="2"/>
      <scheme val="minor"/>
    </font>
    <font>
      <b/>
      <vertAlign val="superscript"/>
      <sz val="11"/>
      <name val="Calibri"/>
      <family val="2"/>
      <scheme val="minor"/>
    </font>
    <font>
      <sz val="10"/>
      <color theme="0" tint="-0.14999847407452621"/>
      <name val="Arial Narrow"/>
      <family val="2"/>
    </font>
    <font>
      <b/>
      <vertAlign val="subscript"/>
      <sz val="12"/>
      <color theme="0"/>
      <name val="Calibri"/>
      <family val="2"/>
    </font>
    <font>
      <sz val="11"/>
      <color rgb="FFC00000"/>
      <name val="Calibri"/>
      <family val="2"/>
      <scheme val="minor"/>
    </font>
    <font>
      <b/>
      <sz val="9"/>
      <color theme="1" tint="0.499984740745262"/>
      <name val="Arial Narrow"/>
      <family val="2"/>
    </font>
    <font>
      <b/>
      <sz val="13"/>
      <color theme="3"/>
      <name val="Calibri"/>
      <family val="2"/>
      <scheme val="minor"/>
    </font>
    <font>
      <b/>
      <sz val="11"/>
      <color theme="3"/>
      <name val="Calibri"/>
      <family val="2"/>
      <scheme val="minor"/>
    </font>
    <font>
      <b/>
      <sz val="12"/>
      <color theme="3"/>
      <name val="Calibri"/>
      <family val="2"/>
      <scheme val="minor"/>
    </font>
    <font>
      <sz val="12"/>
      <color theme="3"/>
      <name val="Calibri"/>
      <family val="2"/>
      <scheme val="minor"/>
    </font>
    <font>
      <b/>
      <sz val="14"/>
      <name val="Calibri"/>
      <family val="2"/>
      <scheme val="minor"/>
    </font>
    <font>
      <sz val="9"/>
      <color rgb="FFE26B0A"/>
      <name val="Calibri"/>
      <family val="2"/>
      <scheme val="minor"/>
    </font>
    <font>
      <sz val="11"/>
      <color theme="0" tint="-4.9989318521683403E-2"/>
      <name val="Calibri"/>
      <family val="2"/>
      <scheme val="minor"/>
    </font>
    <font>
      <i/>
      <sz val="11"/>
      <color indexed="8"/>
      <name val="Calibri"/>
      <family val="2"/>
      <scheme val="minor"/>
    </font>
    <font>
      <vertAlign val="subscript"/>
      <sz val="11"/>
      <color indexed="8"/>
      <name val="Calibri"/>
      <family val="2"/>
      <scheme val="minor"/>
    </font>
    <font>
      <sz val="11"/>
      <color rgb="FFE26B0A"/>
      <name val="Calibri"/>
      <family val="2"/>
      <scheme val="minor"/>
    </font>
    <font>
      <sz val="11"/>
      <color rgb="FF000000"/>
      <name val="Calibri"/>
      <family val="2"/>
      <scheme val="minor"/>
    </font>
    <font>
      <b/>
      <vertAlign val="subscript"/>
      <sz val="11"/>
      <color rgb="FF000000"/>
      <name val="Calibri"/>
      <family val="2"/>
    </font>
    <font>
      <vertAlign val="subscript"/>
      <sz val="11"/>
      <color rgb="FF000000"/>
      <name val="Calibri"/>
      <family val="2"/>
      <scheme val="minor"/>
    </font>
    <font>
      <vertAlign val="subscript"/>
      <sz val="11"/>
      <color theme="1"/>
      <name val="Calibri"/>
      <family val="2"/>
      <scheme val="minor"/>
    </font>
    <font>
      <sz val="11"/>
      <color theme="3"/>
      <name val="Calibri"/>
      <family val="2"/>
      <scheme val="minor"/>
    </font>
    <font>
      <i/>
      <sz val="11"/>
      <color theme="3"/>
      <name val="Calibri"/>
      <family val="2"/>
      <scheme val="minor"/>
    </font>
    <font>
      <i/>
      <vertAlign val="subscript"/>
      <sz val="11"/>
      <color indexed="8"/>
      <name val="Calibri"/>
      <family val="2"/>
      <scheme val="minor"/>
    </font>
    <font>
      <vertAlign val="subscript"/>
      <sz val="10"/>
      <name val="Calibri"/>
      <family val="2"/>
      <scheme val="minor"/>
    </font>
    <font>
      <i/>
      <vertAlign val="subscript"/>
      <sz val="11"/>
      <name val="Calibri"/>
      <family val="2"/>
      <scheme val="minor"/>
    </font>
    <font>
      <vertAlign val="subscript"/>
      <sz val="11"/>
      <color theme="3"/>
      <name val="Calibri"/>
      <family val="2"/>
      <scheme val="minor"/>
    </font>
    <font>
      <b/>
      <i/>
      <sz val="11"/>
      <color rgb="FFE26B0A"/>
      <name val="Calibri"/>
      <family val="2"/>
      <scheme val="minor"/>
    </font>
    <font>
      <b/>
      <sz val="11"/>
      <color rgb="FFE26B0A"/>
      <name val="Calibri"/>
      <family val="2"/>
      <scheme val="minor"/>
    </font>
    <font>
      <sz val="11"/>
      <color theme="1"/>
      <name val="Calibri"/>
      <family val="2"/>
    </font>
    <font>
      <u/>
      <sz val="10"/>
      <name val="Calibri"/>
      <family val="2"/>
      <scheme val="minor"/>
    </font>
    <font>
      <strike/>
      <sz val="10"/>
      <name val="Calibri"/>
      <family val="2"/>
      <scheme val="minor"/>
    </font>
    <font>
      <sz val="11"/>
      <color theme="9" tint="-0.249977111117893"/>
      <name val="Calibri"/>
      <family val="2"/>
      <scheme val="minor"/>
    </font>
    <font>
      <vertAlign val="subscript"/>
      <sz val="11"/>
      <name val="Calibri"/>
      <family val="2"/>
      <scheme val="minor"/>
    </font>
    <font>
      <sz val="11"/>
      <name val="Calibri"/>
      <family val="2"/>
      <charset val="1"/>
    </font>
    <font>
      <sz val="11"/>
      <color theme="0" tint="-0.249977111117893"/>
      <name val="Calibri"/>
      <family val="2"/>
      <charset val="1"/>
    </font>
    <font>
      <b/>
      <vertAlign val="subscript"/>
      <sz val="11"/>
      <color theme="1"/>
      <name val="Calibri"/>
      <family val="2"/>
      <scheme val="minor"/>
    </font>
    <font>
      <sz val="10"/>
      <color rgb="FFE26B0A"/>
      <name val="Calibri"/>
      <family val="2"/>
      <scheme val="minor"/>
    </font>
    <font>
      <sz val="11"/>
      <color rgb="FF000000"/>
      <name val="Calibri"/>
      <family val="2"/>
    </font>
    <font>
      <i/>
      <sz val="11"/>
      <color rgb="FF000000"/>
      <name val="Calibri"/>
      <family val="2"/>
    </font>
    <font>
      <b/>
      <sz val="10"/>
      <name val="Calibri"/>
      <family val="2"/>
    </font>
    <font>
      <b/>
      <sz val="12"/>
      <color theme="4" tint="-0.499984740745262"/>
      <name val="Calibri"/>
      <family val="2"/>
      <scheme val="minor"/>
    </font>
    <font>
      <b/>
      <u/>
      <sz val="12"/>
      <color theme="3"/>
      <name val="Calibri"/>
      <family val="2"/>
      <scheme val="minor"/>
    </font>
    <font>
      <b/>
      <i/>
      <u/>
      <sz val="12"/>
      <color theme="4" tint="-0.499984740745262"/>
      <name val="Calibri"/>
      <family val="2"/>
      <scheme val="minor"/>
    </font>
    <font>
      <b/>
      <sz val="11"/>
      <color theme="0"/>
      <name val="Calibri"/>
      <family val="2"/>
    </font>
    <font>
      <b/>
      <sz val="11"/>
      <color rgb="FF000000"/>
      <name val="Calibri"/>
      <family val="2"/>
    </font>
    <font>
      <b/>
      <sz val="14"/>
      <color indexed="8"/>
      <name val="Calibri"/>
      <family val="2"/>
      <scheme val="minor"/>
    </font>
    <font>
      <b/>
      <i/>
      <u/>
      <sz val="12"/>
      <color rgb="FFFF0000"/>
      <name val="Calibri"/>
      <family val="2"/>
    </font>
    <font>
      <i/>
      <sz val="9"/>
      <color indexed="81"/>
      <name val="Arial Narrow"/>
      <family val="2"/>
    </font>
    <font>
      <sz val="9"/>
      <color rgb="FFFF0000"/>
      <name val="Calibri"/>
      <family val="2"/>
    </font>
    <font>
      <b/>
      <vertAlign val="subscript"/>
      <sz val="10"/>
      <name val="Calibri"/>
      <family val="2"/>
    </font>
    <font>
      <b/>
      <sz val="11"/>
      <name val="Calibri"/>
      <family val="1"/>
      <charset val="2"/>
      <scheme val="minor"/>
    </font>
    <font>
      <b/>
      <sz val="11"/>
      <name val="Symbol"/>
      <family val="1"/>
      <charset val="2"/>
    </font>
    <font>
      <i/>
      <sz val="9"/>
      <color indexed="81"/>
      <name val="Tahoma"/>
      <family val="2"/>
    </font>
    <font>
      <i/>
      <sz val="8.5"/>
      <color theme="1"/>
      <name val="Arial Narrow"/>
      <family val="2"/>
    </font>
    <font>
      <b/>
      <i/>
      <sz val="8.5"/>
      <color theme="1"/>
      <name val="Arial Narrow"/>
      <family val="2"/>
    </font>
    <font>
      <i/>
      <sz val="11"/>
      <color rgb="FFC00000"/>
      <name val="Arial Narrow"/>
      <family val="2"/>
    </font>
    <font>
      <sz val="8"/>
      <name val="Calibri"/>
      <family val="2"/>
      <scheme val="minor"/>
    </font>
    <font>
      <sz val="10"/>
      <color indexed="81"/>
      <name val="Calibri"/>
      <family val="2"/>
      <scheme val="minor"/>
    </font>
    <font>
      <b/>
      <sz val="10"/>
      <color theme="4"/>
      <name val="Arial Narrow"/>
      <family val="2"/>
    </font>
    <font>
      <sz val="10"/>
      <color rgb="FFC00000"/>
      <name val="Arial Narrow"/>
      <family val="2"/>
    </font>
    <font>
      <b/>
      <i/>
      <sz val="10"/>
      <color rgb="FF0070C0"/>
      <name val="Arial Narrow"/>
      <family val="2"/>
    </font>
    <font>
      <i/>
      <sz val="10"/>
      <color indexed="16"/>
      <name val="Arial Narrow"/>
      <family val="2"/>
    </font>
    <font>
      <i/>
      <sz val="11"/>
      <color rgb="FFC00000"/>
      <name val="Calibri"/>
      <family val="2"/>
      <scheme val="minor"/>
    </font>
    <font>
      <i/>
      <sz val="10"/>
      <color rgb="FFC00000"/>
      <name val="Arial Narrow"/>
      <family val="2"/>
    </font>
    <font>
      <b/>
      <sz val="10"/>
      <color rgb="FFC00000"/>
      <name val="Arial Narrow"/>
      <family val="2"/>
    </font>
    <font>
      <i/>
      <sz val="10"/>
      <color rgb="FF44546A"/>
      <name val="Arial Narrow"/>
      <family val="2"/>
    </font>
    <font>
      <sz val="10"/>
      <color rgb="FF44546A"/>
      <name val="Arial Narrow"/>
      <family val="2"/>
    </font>
    <font>
      <sz val="11"/>
      <color rgb="FF44546A"/>
      <name val="Calibri"/>
      <family val="2"/>
      <scheme val="minor"/>
    </font>
    <font>
      <b/>
      <sz val="10"/>
      <color rgb="FF974706"/>
      <name val="Arial Narrow"/>
      <family val="2"/>
    </font>
    <font>
      <sz val="12"/>
      <color rgb="FFC00000"/>
      <name val="Arial Narrow"/>
      <family val="2"/>
    </font>
    <font>
      <u/>
      <sz val="12"/>
      <color rgb="FFC00000"/>
      <name val="Arial Narrow"/>
      <family val="2"/>
    </font>
    <font>
      <b/>
      <sz val="12"/>
      <color rgb="FFC00000"/>
      <name val="Arial Narrow"/>
      <family val="2"/>
    </font>
    <font>
      <b/>
      <sz val="10"/>
      <color theme="4" tint="0.59999389629810485"/>
      <name val="Arial Narrow"/>
      <family val="2"/>
    </font>
    <font>
      <b/>
      <i/>
      <sz val="10"/>
      <color rgb="FFC00000"/>
      <name val="Arial Narrow"/>
      <family val="2"/>
    </font>
    <font>
      <b/>
      <sz val="16"/>
      <color rgb="FFFF0000"/>
      <name val="Calibri"/>
      <family val="2"/>
      <scheme val="minor"/>
    </font>
    <font>
      <sz val="10"/>
      <color theme="4" tint="-0.249977111117893"/>
      <name val="Calibri"/>
      <family val="2"/>
      <scheme val="minor"/>
    </font>
    <font>
      <strike/>
      <sz val="11"/>
      <name val="Calibri"/>
      <family val="2"/>
      <scheme val="minor"/>
    </font>
    <font>
      <sz val="10"/>
      <color theme="3"/>
      <name val="Calibri"/>
      <family val="2"/>
      <scheme val="minor"/>
    </font>
    <font>
      <sz val="10"/>
      <color rgb="FF9C6500"/>
      <name val="Arial Narrow"/>
      <family val="2"/>
    </font>
    <font>
      <b/>
      <sz val="10"/>
      <color rgb="FF3F3F3F"/>
      <name val="Arial Narrow"/>
      <family val="2"/>
    </font>
    <font>
      <sz val="10"/>
      <color indexed="64"/>
      <name val="Arial"/>
      <family val="2"/>
    </font>
    <font>
      <i/>
      <sz val="11"/>
      <color theme="4" tint="-0.249977111117893"/>
      <name val="Calibri"/>
      <family val="2"/>
      <scheme val="minor"/>
    </font>
    <font>
      <i/>
      <sz val="10"/>
      <color theme="9" tint="-0.249977111117893"/>
      <name val="Calibri"/>
      <family val="2"/>
      <scheme val="minor"/>
    </font>
    <font>
      <sz val="9"/>
      <color rgb="FFFF0000"/>
      <name val="Arial Narrow"/>
      <family val="2"/>
    </font>
    <font>
      <i/>
      <sz val="8"/>
      <color rgb="FFFF0000"/>
      <name val="Calibri"/>
      <family val="2"/>
      <scheme val="minor"/>
    </font>
    <font>
      <b/>
      <i/>
      <sz val="10"/>
      <color indexed="16"/>
      <name val="Arial Narrow"/>
      <family val="2"/>
    </font>
    <font>
      <sz val="9"/>
      <color indexed="16"/>
      <name val="Cambria"/>
      <family val="1"/>
    </font>
    <font>
      <i/>
      <sz val="11"/>
      <color theme="8" tint="-0.249977111117893"/>
      <name val="Calibri"/>
      <family val="2"/>
      <scheme val="minor"/>
    </font>
    <font>
      <b/>
      <i/>
      <sz val="11"/>
      <color rgb="FFFF0000"/>
      <name val="Calibri"/>
      <family val="2"/>
      <scheme val="minor"/>
    </font>
    <font>
      <b/>
      <i/>
      <sz val="11"/>
      <color rgb="FFC00000"/>
      <name val="Calibri"/>
      <family val="2"/>
      <scheme val="minor"/>
    </font>
    <font>
      <b/>
      <sz val="10"/>
      <color theme="1" tint="0.499984740745262"/>
      <name val="Arial Narrow"/>
      <family val="2"/>
    </font>
    <font>
      <b/>
      <sz val="16"/>
      <color rgb="FF000000"/>
      <name val="Calibri"/>
      <family val="2"/>
    </font>
    <font>
      <b/>
      <i/>
      <sz val="11"/>
      <color rgb="FFFF0000"/>
      <name val="Arial Narrow"/>
      <family val="2"/>
    </font>
    <font>
      <b/>
      <vertAlign val="superscript"/>
      <sz val="9.35"/>
      <name val="Calibri"/>
      <family val="2"/>
    </font>
    <font>
      <b/>
      <sz val="8.5"/>
      <color theme="1"/>
      <name val="Arial Narrow"/>
      <family val="2"/>
    </font>
    <font>
      <b/>
      <sz val="10"/>
      <color indexed="81"/>
      <name val="Arial Narrow"/>
      <family val="2"/>
    </font>
    <font>
      <b/>
      <i/>
      <u/>
      <sz val="10"/>
      <color indexed="16"/>
      <name val="Arial Narrow"/>
      <family val="2"/>
    </font>
    <font>
      <b/>
      <vertAlign val="subscript"/>
      <sz val="10"/>
      <color theme="0"/>
      <name val="Arial Narrow"/>
      <family val="2"/>
    </font>
    <font>
      <sz val="10"/>
      <color indexed="16"/>
      <name val="Arial Narrow"/>
      <family val="2"/>
    </font>
    <font>
      <sz val="9"/>
      <color rgb="FFC00000"/>
      <name val="Calibri"/>
      <family val="2"/>
    </font>
    <font>
      <b/>
      <sz val="12"/>
      <color indexed="8"/>
      <name val="Calibri"/>
      <family val="2"/>
      <scheme val="minor"/>
    </font>
    <font>
      <b/>
      <sz val="13"/>
      <color theme="4" tint="-0.249977111117893"/>
      <name val="Calibri"/>
      <family val="2"/>
      <scheme val="minor"/>
    </font>
    <font>
      <i/>
      <sz val="10"/>
      <name val="Calibri"/>
      <family val="2"/>
      <scheme val="minor"/>
    </font>
    <font>
      <vertAlign val="subscript"/>
      <sz val="10"/>
      <color theme="3"/>
      <name val="Calibri"/>
      <family val="2"/>
      <scheme val="minor"/>
    </font>
    <font>
      <strike/>
      <vertAlign val="subscript"/>
      <sz val="11"/>
      <name val="Calibri"/>
      <family val="2"/>
      <scheme val="minor"/>
    </font>
    <font>
      <strike/>
      <sz val="11"/>
      <color theme="3"/>
      <name val="Calibri"/>
      <family val="2"/>
      <scheme val="minor"/>
    </font>
    <font>
      <b/>
      <vertAlign val="subscript"/>
      <sz val="11"/>
      <name val="Calibri"/>
      <family val="2"/>
    </font>
    <font>
      <strike/>
      <sz val="9"/>
      <color rgb="FFE26B0A"/>
      <name val="Calibri"/>
      <family val="2"/>
      <scheme val="minor"/>
    </font>
    <font>
      <sz val="11"/>
      <color theme="0" tint="-0.499984740745262"/>
      <name val="Calibri"/>
      <family val="2"/>
      <scheme val="minor"/>
    </font>
    <font>
      <sz val="11"/>
      <color theme="1" tint="0.499984740745262"/>
      <name val="Calibri"/>
      <family val="2"/>
      <scheme val="minor"/>
    </font>
    <font>
      <b/>
      <sz val="11"/>
      <color theme="1" tint="0.499984740745262"/>
      <name val="Calibri"/>
      <family val="2"/>
      <scheme val="minor"/>
    </font>
    <font>
      <b/>
      <sz val="12"/>
      <color rgb="FF002060"/>
      <name val="Calibri"/>
      <family val="2"/>
    </font>
    <font>
      <sz val="10"/>
      <color theme="0"/>
      <name val="Arial"/>
      <family val="2"/>
    </font>
    <font>
      <sz val="10"/>
      <name val="Aptos Narrow"/>
      <family val="2"/>
    </font>
    <font>
      <b/>
      <sz val="10"/>
      <color theme="0" tint="-0.14996795556505021"/>
      <name val="Arial Narrow"/>
      <family val="2"/>
    </font>
  </fonts>
  <fills count="150">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indexed="22"/>
        <bgColor indexed="64"/>
      </patternFill>
    </fill>
    <fill>
      <patternFill patternType="solid">
        <fgColor indexed="26"/>
        <bgColor indexed="64"/>
      </patternFill>
    </fill>
    <fill>
      <patternFill patternType="solid">
        <fgColor indexed="31"/>
        <bgColor indexed="64"/>
      </patternFill>
    </fill>
    <fill>
      <patternFill patternType="solid">
        <fgColor indexed="42"/>
        <bgColor indexed="64"/>
      </patternFill>
    </fill>
    <fill>
      <patternFill patternType="solid">
        <fgColor indexed="55"/>
        <bgColor indexed="64"/>
      </patternFill>
    </fill>
    <fill>
      <patternFill patternType="solid">
        <fgColor indexed="51"/>
        <bgColor indexed="64"/>
      </patternFill>
    </fill>
    <fill>
      <patternFill patternType="mediumGray">
        <bgColor indexed="26"/>
      </patternFill>
    </fill>
    <fill>
      <patternFill patternType="solid">
        <fgColor theme="8" tint="0.79998168889431442"/>
        <bgColor indexed="64"/>
      </patternFill>
    </fill>
    <fill>
      <patternFill patternType="solid">
        <fgColor theme="2"/>
        <bgColor indexed="64"/>
      </patternFill>
    </fill>
    <fill>
      <patternFill patternType="solid">
        <fgColor theme="0"/>
        <bgColor indexed="64"/>
      </patternFill>
    </fill>
    <fill>
      <patternFill patternType="solid">
        <fgColor indexed="9"/>
        <bgColor indexed="64"/>
      </patternFill>
    </fill>
    <fill>
      <patternFill patternType="solid">
        <fgColor indexed="41"/>
        <bgColor indexed="64"/>
      </patternFill>
    </fill>
    <fill>
      <patternFill patternType="solid">
        <fgColor indexed="44"/>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rgb="FFD8E4BC"/>
        <bgColor indexed="64"/>
      </patternFill>
    </fill>
    <fill>
      <patternFill patternType="solid">
        <fgColor theme="8"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5" tint="0.59999389629810485"/>
        <bgColor indexed="64"/>
      </patternFill>
    </fill>
    <fill>
      <patternFill patternType="solid">
        <fgColor indexed="26"/>
      </patternFill>
    </fill>
    <fill>
      <patternFill patternType="solid">
        <fgColor indexed="22"/>
        <bgColor indexed="0"/>
      </patternFill>
    </fill>
    <fill>
      <patternFill patternType="mediumGray"/>
    </fill>
    <fill>
      <patternFill patternType="solid">
        <fgColor theme="0" tint="-4.9989318521683403E-2"/>
        <bgColor indexed="64"/>
      </patternFill>
    </fill>
    <fill>
      <patternFill patternType="solid">
        <fgColor theme="6" tint="0.59999389629810485"/>
        <bgColor indexed="64"/>
      </patternFill>
    </fill>
    <fill>
      <patternFill patternType="solid">
        <fgColor rgb="FFFFFFCC"/>
        <bgColor indexed="64"/>
      </patternFill>
    </fill>
    <fill>
      <patternFill patternType="solid">
        <fgColor theme="9" tint="0.79998168889431442"/>
        <bgColor indexed="64"/>
      </patternFill>
    </fill>
    <fill>
      <patternFill patternType="solid">
        <fgColor rgb="FFFDE9D9"/>
        <bgColor indexed="64"/>
      </patternFill>
    </fill>
    <fill>
      <patternFill patternType="mediumGray">
        <fgColor theme="0" tint="-0.24994659260841701"/>
        <bgColor indexed="65"/>
      </patternFill>
    </fill>
    <fill>
      <patternFill patternType="solid">
        <fgColor theme="8" tint="0.59999389629810485"/>
        <bgColor indexed="64"/>
      </patternFill>
    </fill>
    <fill>
      <patternFill patternType="solid">
        <fgColor indexed="44"/>
        <bgColor theme="0" tint="-0.24994659260841701"/>
      </patternFill>
    </fill>
    <fill>
      <patternFill patternType="solid">
        <fgColor indexed="65"/>
        <bgColor theme="0" tint="-0.24994659260841701"/>
      </patternFill>
    </fill>
    <fill>
      <patternFill patternType="solid">
        <fgColor theme="7" tint="0.79998168889431442"/>
        <bgColor indexed="64"/>
      </patternFill>
    </fill>
    <fill>
      <patternFill patternType="solid">
        <fgColor theme="3" tint="0.79998168889431442"/>
        <bgColor indexed="64"/>
      </patternFill>
    </fill>
    <fill>
      <patternFill patternType="mediumGray">
        <bgColor rgb="FFD8E4BC"/>
      </patternFill>
    </fill>
    <fill>
      <patternFill patternType="solid">
        <fgColor theme="0" tint="-0.249977111117893"/>
        <bgColor indexed="64"/>
      </patternFill>
    </fill>
    <fill>
      <patternFill patternType="solid">
        <fgColor rgb="FF99CCFF"/>
        <bgColor indexed="64"/>
      </patternFill>
    </fill>
    <fill>
      <patternFill patternType="solid">
        <fgColor theme="4" tint="0.59999389629810485"/>
        <bgColor indexed="64"/>
      </patternFill>
    </fill>
    <fill>
      <patternFill patternType="solid">
        <fgColor indexed="11"/>
        <bgColor indexed="64"/>
      </patternFill>
    </fill>
    <fill>
      <patternFill patternType="solid">
        <fgColor indexed="13"/>
        <bgColor indexed="64"/>
      </patternFill>
    </fill>
    <fill>
      <patternFill patternType="darkGray">
        <fgColor theme="1" tint="0.34998626667073579"/>
        <bgColor theme="6" tint="0.59999389629810485"/>
      </patternFill>
    </fill>
    <fill>
      <patternFill patternType="darkGray">
        <fgColor theme="1" tint="0.34998626667073579"/>
        <bgColor rgb="FFFFFFCC"/>
      </patternFill>
    </fill>
    <fill>
      <patternFill patternType="solid">
        <fgColor theme="3" tint="-0.24994659260841701"/>
        <bgColor indexed="64"/>
      </patternFill>
    </fill>
    <fill>
      <patternFill patternType="mediumGray">
        <fgColor theme="0" tint="-0.24994659260841701"/>
        <bgColor auto="1"/>
      </patternFill>
    </fill>
    <fill>
      <patternFill patternType="solid">
        <fgColor rgb="FFFFCC99"/>
      </patternFill>
    </fill>
    <fill>
      <patternFill patternType="solid">
        <fgColor rgb="FFFDE9D9"/>
        <bgColor theme="0"/>
      </patternFill>
    </fill>
    <fill>
      <patternFill patternType="solid">
        <fgColor rgb="FF0070C0"/>
        <bgColor indexed="64"/>
      </patternFill>
    </fill>
    <fill>
      <patternFill patternType="solid">
        <fgColor theme="3" tint="0.59999389629810485"/>
        <bgColor indexed="64"/>
      </patternFill>
    </fill>
    <fill>
      <patternFill patternType="solid">
        <fgColor theme="9" tint="-0.499984740745262"/>
        <bgColor indexed="64"/>
      </patternFill>
    </fill>
    <fill>
      <patternFill patternType="solid">
        <fgColor theme="6" tint="-0.499984740745262"/>
        <bgColor indexed="64"/>
      </patternFill>
    </fill>
    <fill>
      <patternFill patternType="solid">
        <fgColor theme="5" tint="0.79998168889431442"/>
        <bgColor indexed="64"/>
      </patternFill>
    </fill>
    <fill>
      <patternFill patternType="solid">
        <fgColor theme="3"/>
        <bgColor indexed="64"/>
      </patternFill>
    </fill>
    <fill>
      <patternFill patternType="solid">
        <fgColor theme="3" tint="0.39997558519241921"/>
        <bgColor indexed="64"/>
      </patternFill>
    </fill>
    <fill>
      <patternFill patternType="solid">
        <fgColor theme="6" tint="-0.249977111117893"/>
        <bgColor indexed="64"/>
      </patternFill>
    </fill>
    <fill>
      <patternFill patternType="solid">
        <fgColor theme="8"/>
        <bgColor indexed="64"/>
      </patternFill>
    </fill>
    <fill>
      <patternFill patternType="solid">
        <fgColor rgb="FFDDF2FF"/>
        <bgColor indexed="64"/>
      </patternFill>
    </fill>
    <fill>
      <patternFill patternType="solid">
        <fgColor theme="4"/>
        <bgColor indexed="64"/>
      </patternFill>
    </fill>
    <fill>
      <patternFill patternType="solid">
        <fgColor theme="4" tint="0.39997558519241921"/>
        <bgColor indexed="64"/>
      </patternFill>
    </fill>
    <fill>
      <patternFill patternType="solid">
        <fgColor rgb="FFFFFFCC"/>
      </patternFill>
    </fill>
    <fill>
      <patternFill patternType="solid">
        <fgColor rgb="FFD9D9D9"/>
        <bgColor indexed="64"/>
      </patternFill>
    </fill>
    <fill>
      <patternFill patternType="solid">
        <fgColor rgb="FFC6EFCE"/>
      </patternFill>
    </fill>
    <fill>
      <patternFill patternType="solid">
        <fgColor rgb="FFF2F2F2"/>
        <bgColor indexed="64"/>
      </patternFill>
    </fill>
    <fill>
      <patternFill patternType="solid">
        <fgColor theme="1" tint="0.249977111117893"/>
        <bgColor indexed="64"/>
      </patternFill>
    </fill>
    <fill>
      <patternFill patternType="lightUp">
        <fgColor theme="0" tint="-0.34998626667073579"/>
        <bgColor indexed="26"/>
      </patternFill>
    </fill>
    <fill>
      <patternFill patternType="solid">
        <fgColor rgb="FFC0C0C0"/>
        <bgColor indexed="64"/>
      </patternFill>
    </fill>
    <fill>
      <patternFill patternType="solid">
        <fgColor theme="2" tint="-9.9948118533890809E-2"/>
        <bgColor indexed="64"/>
      </patternFill>
    </fill>
    <fill>
      <patternFill patternType="solid">
        <fgColor rgb="FFFFFF99"/>
        <bgColor indexed="64"/>
      </patternFill>
    </fill>
    <fill>
      <patternFill patternType="solid">
        <fgColor theme="6" tint="0.39994506668294322"/>
        <bgColor indexed="64"/>
      </patternFill>
    </fill>
    <fill>
      <patternFill patternType="solid">
        <fgColor theme="8" tint="0.79998168889431442"/>
        <bgColor theme="0"/>
      </patternFill>
    </fill>
    <fill>
      <patternFill patternType="solid">
        <fgColor rgb="FFFFFF8F"/>
        <bgColor indexed="64"/>
      </patternFill>
    </fill>
    <fill>
      <patternFill patternType="mediumGray">
        <fgColor theme="0" tint="-0.24994659260841701"/>
        <bgColor theme="8" tint="0.39997558519241921"/>
      </patternFill>
    </fill>
    <fill>
      <patternFill patternType="solid">
        <fgColor theme="5" tint="-0.249977111117893"/>
        <bgColor indexed="64"/>
      </patternFill>
    </fill>
    <fill>
      <patternFill patternType="solid">
        <fgColor rgb="FF0099CC"/>
        <bgColor indexed="64"/>
      </patternFill>
    </fill>
    <fill>
      <patternFill patternType="solid">
        <fgColor theme="4" tint="-0.499984740745262"/>
        <bgColor indexed="64"/>
      </patternFill>
    </fill>
    <fill>
      <patternFill patternType="lightUp">
        <bgColor rgb="FFFFFFCC"/>
      </patternFill>
    </fill>
    <fill>
      <patternFill patternType="mediumGray">
        <fgColor theme="1" tint="0.499984740745262"/>
        <bgColor rgb="FFD8E4BC"/>
      </patternFill>
    </fill>
    <fill>
      <patternFill patternType="solid">
        <fgColor rgb="FF44546A"/>
        <bgColor indexed="64"/>
      </patternFill>
    </fill>
    <fill>
      <patternFill patternType="solid">
        <fgColor rgb="FFE2EFDA"/>
        <bgColor indexed="64"/>
      </patternFill>
    </fill>
    <fill>
      <patternFill patternType="solid">
        <fgColor rgb="FF4BB2FF"/>
        <bgColor indexed="64"/>
      </patternFill>
    </fill>
    <fill>
      <patternFill patternType="solid">
        <fgColor theme="2" tint="-9.9978637043366805E-2"/>
        <bgColor indexed="64"/>
      </patternFill>
    </fill>
    <fill>
      <patternFill patternType="solid">
        <fgColor rgb="FFFFFFE7"/>
        <bgColor indexed="64"/>
      </patternFill>
    </fill>
    <fill>
      <patternFill patternType="solid">
        <fgColor theme="8" tint="0.39994506668294322"/>
        <bgColor indexed="64"/>
      </patternFill>
    </fill>
    <fill>
      <patternFill patternType="mediumGray">
        <fgColor theme="1" tint="0.499984740745262"/>
        <bgColor indexed="65"/>
      </patternFill>
    </fill>
    <fill>
      <patternFill patternType="solid">
        <fgColor rgb="FFCCCCFF"/>
        <bgColor indexed="64"/>
      </patternFill>
    </fill>
    <fill>
      <patternFill patternType="mediumGray">
        <fgColor theme="1" tint="0.499984740745262"/>
        <bgColor theme="6" tint="0.59999389629810485"/>
      </patternFill>
    </fill>
    <fill>
      <patternFill patternType="mediumGray">
        <fgColor theme="1" tint="0.499984740745262"/>
        <bgColor rgb="FFFFFFCC"/>
      </patternFill>
    </fill>
    <fill>
      <patternFill patternType="solid">
        <fgColor rgb="FF4FB4FF"/>
        <bgColor indexed="64"/>
      </patternFill>
    </fill>
    <fill>
      <patternFill patternType="solid">
        <fgColor rgb="FFC5E6FF"/>
        <bgColor indexed="64"/>
      </patternFill>
    </fill>
    <fill>
      <patternFill patternType="solid">
        <fgColor theme="6" tint="0.39997558519241921"/>
        <bgColor indexed="64"/>
      </patternFill>
    </fill>
    <fill>
      <patternFill patternType="lightUp">
        <fgColor theme="0" tint="-0.24994659260841701"/>
        <bgColor indexed="65"/>
      </patternFill>
    </fill>
    <fill>
      <patternFill patternType="lightUp">
        <bgColor theme="0" tint="-4.9989318521683403E-2"/>
      </patternFill>
    </fill>
    <fill>
      <patternFill patternType="solid">
        <fgColor rgb="FFFFFFCC"/>
        <bgColor rgb="FFFFFFCC"/>
      </patternFill>
    </fill>
    <fill>
      <patternFill patternType="lightUp">
        <fgColor theme="0" tint="-0.24994659260841701"/>
        <bgColor theme="0"/>
      </patternFill>
    </fill>
    <fill>
      <patternFill patternType="lightUp">
        <fgColor theme="0" tint="-0.24994659260841701"/>
        <bgColor auto="1"/>
      </patternFill>
    </fill>
    <fill>
      <patternFill patternType="solid">
        <fgColor rgb="FFFFFFD0"/>
        <bgColor indexed="64"/>
      </patternFill>
    </fill>
    <fill>
      <patternFill patternType="solid">
        <fgColor theme="4"/>
        <bgColor rgb="FFABD0DA"/>
      </patternFill>
    </fill>
    <fill>
      <patternFill patternType="solid">
        <fgColor theme="0" tint="-0.14999847407452621"/>
        <bgColor rgb="FFABD0DA"/>
      </patternFill>
    </fill>
    <fill>
      <patternFill patternType="solid">
        <fgColor theme="8" tint="0.59996337778862885"/>
        <bgColor indexed="64"/>
      </patternFill>
    </fill>
    <fill>
      <patternFill patternType="darkGray">
        <fgColor theme="0" tint="-0.24994659260841701"/>
        <bgColor theme="6" tint="0.59999389629810485"/>
      </patternFill>
    </fill>
    <fill>
      <patternFill patternType="darkGray">
        <fgColor theme="0" tint="-0.24994659260841701"/>
        <bgColor rgb="FFFFFFCC"/>
      </patternFill>
    </fill>
    <fill>
      <patternFill patternType="mediumGray">
        <fgColor theme="1" tint="0.499984740745262"/>
        <bgColor rgb="FFFDE9D9"/>
      </patternFill>
    </fill>
    <fill>
      <patternFill patternType="solid">
        <fgColor rgb="FFD8E4BC"/>
        <bgColor auto="1"/>
      </patternFill>
    </fill>
    <fill>
      <patternFill patternType="lightUp">
        <fgColor theme="1" tint="0.499984740745262"/>
        <bgColor indexed="65"/>
      </patternFill>
    </fill>
    <fill>
      <patternFill patternType="lightUp">
        <fgColor theme="1" tint="0.499984740745262"/>
        <bgColor theme="0"/>
      </patternFill>
    </fill>
    <fill>
      <patternFill patternType="solid">
        <fgColor theme="0" tint="-0.14996795556505021"/>
        <bgColor indexed="64"/>
      </patternFill>
    </fill>
    <fill>
      <patternFill patternType="solid">
        <fgColor theme="3" tint="0.79998168889431442"/>
        <bgColor auto="1"/>
      </patternFill>
    </fill>
    <fill>
      <patternFill patternType="solid">
        <fgColor rgb="FFDAEEF3"/>
        <bgColor indexed="64"/>
      </patternFill>
    </fill>
    <fill>
      <patternFill patternType="darkGray">
        <fgColor theme="1" tint="0.499984740745262"/>
        <bgColor indexed="65"/>
      </patternFill>
    </fill>
    <fill>
      <patternFill patternType="lightUp">
        <bgColor theme="0" tint="-0.14999847407452621"/>
      </patternFill>
    </fill>
    <fill>
      <patternFill patternType="solid">
        <fgColor rgb="FF00B0F0"/>
        <bgColor indexed="64"/>
      </patternFill>
    </fill>
    <fill>
      <patternFill patternType="solid">
        <fgColor rgb="FFDCE6F1"/>
        <bgColor indexed="64"/>
      </patternFill>
    </fill>
    <fill>
      <patternFill patternType="mediumGray">
        <fgColor rgb="FF000000"/>
        <bgColor rgb="FFFFFFFF"/>
      </patternFill>
    </fill>
    <fill>
      <patternFill patternType="solid">
        <fgColor rgb="FFC0C0C0"/>
        <bgColor rgb="FF000000"/>
      </patternFill>
    </fill>
    <fill>
      <patternFill patternType="solid">
        <fgColor theme="0" tint="-0.24994659260841701"/>
        <bgColor indexed="64"/>
      </patternFill>
    </fill>
    <fill>
      <patternFill patternType="solid">
        <fgColor rgb="FFFFEB9C"/>
      </patternFill>
    </fill>
    <fill>
      <patternFill patternType="solid">
        <fgColor rgb="FFF2F2F2"/>
      </patternFill>
    </fill>
    <fill>
      <patternFill patternType="solid">
        <fgColor theme="6"/>
      </patternFill>
    </fill>
    <fill>
      <patternFill patternType="lightUp">
        <fgColor auto="1"/>
        <bgColor theme="0" tint="-4.9989318521683403E-2"/>
      </patternFill>
    </fill>
    <fill>
      <patternFill patternType="solid">
        <fgColor indexed="65"/>
        <bgColor theme="0"/>
      </patternFill>
    </fill>
    <fill>
      <patternFill patternType="solid">
        <fgColor theme="5"/>
        <bgColor indexed="64"/>
      </patternFill>
    </fill>
    <fill>
      <patternFill patternType="mediumGray">
        <fgColor theme="1" tint="0.499984740745262"/>
        <bgColor rgb="FFDCE6F1"/>
      </patternFill>
    </fill>
    <fill>
      <patternFill patternType="solid">
        <fgColor rgb="FFC00000"/>
        <bgColor indexed="64"/>
      </patternFill>
    </fill>
    <fill>
      <patternFill patternType="solid">
        <fgColor rgb="FFB7DEE8"/>
        <bgColor indexed="64"/>
      </patternFill>
    </fill>
    <fill>
      <patternFill patternType="darkGray">
        <fgColor theme="0" tint="-0.24994659260841701"/>
        <bgColor rgb="FFFDE9D9"/>
      </patternFill>
    </fill>
    <fill>
      <patternFill patternType="lightUp">
        <bgColor theme="0" tint="-0.14996795556505021"/>
      </patternFill>
    </fill>
    <fill>
      <patternFill patternType="darkGray">
        <bgColor theme="8" tint="0.59999389629810485"/>
      </patternFill>
    </fill>
    <fill>
      <patternFill patternType="mediumGray">
        <fgColor theme="1" tint="0.499984740745262"/>
        <bgColor theme="5" tint="0.79998168889431442"/>
      </patternFill>
    </fill>
    <fill>
      <patternFill patternType="darkUp">
        <bgColor theme="8" tint="0.79998168889431442"/>
      </patternFill>
    </fill>
    <fill>
      <patternFill patternType="darkUp"/>
    </fill>
    <fill>
      <patternFill patternType="darkUp">
        <bgColor theme="0" tint="-4.9989318521683403E-2"/>
      </patternFill>
    </fill>
    <fill>
      <patternFill patternType="darkUp">
        <bgColor theme="0"/>
      </patternFill>
    </fill>
    <fill>
      <patternFill patternType="lightUp">
        <fgColor theme="1" tint="0.499984740745262"/>
        <bgColor theme="0" tint="-0.14999847407452621"/>
      </patternFill>
    </fill>
    <fill>
      <patternFill patternType="solid">
        <fgColor theme="6" tint="0.39994506668294322"/>
        <bgColor auto="1"/>
      </patternFill>
    </fill>
    <fill>
      <patternFill patternType="mediumGray">
        <bgColor theme="9" tint="0.79995117038483843"/>
      </patternFill>
    </fill>
    <fill>
      <patternFill patternType="solid">
        <fgColor rgb="FFC6E0B4"/>
        <bgColor indexed="64"/>
      </patternFill>
    </fill>
    <fill>
      <patternFill patternType="mediumGray">
        <fgColor theme="0" tint="-0.24994659260841701"/>
        <bgColor theme="6" tint="0.39994506668294322"/>
      </patternFill>
    </fill>
    <fill>
      <patternFill patternType="lightUp">
        <fgColor auto="1"/>
        <bgColor theme="0" tint="-0.14996795556505021"/>
      </patternFill>
    </fill>
    <fill>
      <patternFill patternType="lightUp">
        <fgColor theme="1"/>
        <bgColor theme="0" tint="-0.14996795556505021"/>
      </patternFill>
    </fill>
    <fill>
      <patternFill patternType="lightUp">
        <fgColor auto="1"/>
        <bgColor theme="0" tint="-0.14993743705557422"/>
      </patternFill>
    </fill>
    <fill>
      <patternFill patternType="mediumGray">
        <bgColor theme="3" tint="0.79998168889431442"/>
      </patternFill>
    </fill>
    <fill>
      <patternFill patternType="mediumGray">
        <bgColor theme="6" tint="0.59999389629810485"/>
      </patternFill>
    </fill>
    <fill>
      <patternFill patternType="mediumGray">
        <bgColor theme="8" tint="0.79998168889431442"/>
      </patternFill>
    </fill>
    <fill>
      <patternFill patternType="solid">
        <fgColor theme="1" tint="0.499984740745262"/>
        <bgColor indexed="64"/>
      </patternFill>
    </fill>
    <fill>
      <patternFill patternType="solid">
        <fgColor theme="6" tint="0.59999389629810485"/>
        <bgColor theme="0" tint="-0.24994659260841701"/>
      </patternFill>
    </fill>
    <fill>
      <patternFill patternType="solid">
        <fgColor rgb="FFD8E4BC"/>
        <bgColor rgb="FF000000"/>
      </patternFill>
    </fill>
    <fill>
      <patternFill patternType="lightDown">
        <fgColor theme="1" tint="0.499984740745262"/>
        <bgColor rgb="FFDCE6F1"/>
      </patternFill>
    </fill>
  </fills>
  <borders count="457">
    <border>
      <left/>
      <right/>
      <top/>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double">
        <color indexed="56"/>
      </left>
      <right style="thin">
        <color indexed="64"/>
      </right>
      <top style="thin">
        <color indexed="64"/>
      </top>
      <bottom style="dotted">
        <color indexed="56"/>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double">
        <color indexed="56"/>
      </left>
      <right style="thin">
        <color indexed="64"/>
      </right>
      <top style="double">
        <color indexed="56"/>
      </top>
      <bottom style="thin">
        <color indexed="64"/>
      </bottom>
      <diagonal/>
    </border>
    <border>
      <left style="thin">
        <color indexed="64"/>
      </left>
      <right style="double">
        <color indexed="56"/>
      </right>
      <top style="double">
        <color indexed="56"/>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double">
        <color indexed="56"/>
      </left>
      <right style="thin">
        <color indexed="64"/>
      </right>
      <top style="dotted">
        <color indexed="56"/>
      </top>
      <bottom style="thin">
        <color indexed="64"/>
      </bottom>
      <diagonal/>
    </border>
    <border>
      <left style="thin">
        <color indexed="64"/>
      </left>
      <right style="double">
        <color indexed="56"/>
      </right>
      <top style="dotted">
        <color indexed="56"/>
      </top>
      <bottom style="thin">
        <color indexed="64"/>
      </bottom>
      <diagonal/>
    </border>
    <border>
      <left style="double">
        <color indexed="56"/>
      </left>
      <right style="thin">
        <color indexed="64"/>
      </right>
      <top style="dotted">
        <color indexed="56"/>
      </top>
      <bottom/>
      <diagonal/>
    </border>
    <border>
      <left style="thin">
        <color indexed="64"/>
      </left>
      <right style="double">
        <color indexed="56"/>
      </right>
      <top style="dotted">
        <color indexed="56"/>
      </top>
      <bottom/>
      <diagonal/>
    </border>
    <border>
      <left style="double">
        <color indexed="56"/>
      </left>
      <right style="thin">
        <color indexed="64"/>
      </right>
      <top/>
      <bottom style="thin">
        <color indexed="64"/>
      </bottom>
      <diagonal/>
    </border>
    <border>
      <left style="thin">
        <color indexed="64"/>
      </left>
      <right style="double">
        <color indexed="56"/>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56"/>
      </right>
      <top style="dotted">
        <color indexed="64"/>
      </top>
      <bottom style="dotted">
        <color indexed="64"/>
      </bottom>
      <diagonal/>
    </border>
    <border>
      <left style="double">
        <color indexed="56"/>
      </left>
      <right style="thin">
        <color indexed="64"/>
      </right>
      <top style="dotted">
        <color indexed="64"/>
      </top>
      <bottom style="dotted">
        <color indexed="64"/>
      </bottom>
      <diagonal/>
    </border>
    <border>
      <left style="thin">
        <color indexed="64"/>
      </left>
      <right style="thin">
        <color indexed="64"/>
      </right>
      <top style="hair">
        <color indexed="64"/>
      </top>
      <bottom style="thin">
        <color indexed="64"/>
      </bottom>
      <diagonal/>
    </border>
    <border>
      <left style="thin">
        <color indexed="64"/>
      </left>
      <right/>
      <top/>
      <bottom style="hair">
        <color indexed="64"/>
      </bottom>
      <diagonal/>
    </border>
    <border>
      <left style="thin">
        <color indexed="64"/>
      </left>
      <right style="double">
        <color indexed="56"/>
      </right>
      <top style="dotted">
        <color indexed="64"/>
      </top>
      <bottom style="double">
        <color indexed="56"/>
      </bottom>
      <diagonal/>
    </border>
    <border>
      <left style="double">
        <color indexed="56"/>
      </left>
      <right style="thin">
        <color indexed="64"/>
      </right>
      <top style="dotted">
        <color indexed="64"/>
      </top>
      <bottom style="double">
        <color indexed="56"/>
      </bottom>
      <diagonal/>
    </border>
    <border>
      <left/>
      <right/>
      <top/>
      <bottom style="double">
        <color indexed="64"/>
      </bottom>
      <diagonal/>
    </border>
    <border>
      <left/>
      <right/>
      <top style="double">
        <color indexed="64"/>
      </top>
      <bottom style="double">
        <color indexed="64"/>
      </bottom>
      <diagonal/>
    </border>
    <border>
      <left/>
      <right/>
      <top style="double">
        <color indexed="64"/>
      </top>
      <bottom style="hair">
        <color indexed="64"/>
      </bottom>
      <diagonal/>
    </border>
    <border>
      <left/>
      <right/>
      <top/>
      <bottom style="thin">
        <color indexed="64"/>
      </bottom>
      <diagonal/>
    </border>
    <border>
      <left style="double">
        <color indexed="56"/>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style="thin">
        <color indexed="64"/>
      </left>
      <right/>
      <top style="dotted">
        <color indexed="64"/>
      </top>
      <bottom style="dotted">
        <color indexed="64"/>
      </bottom>
      <diagonal/>
    </border>
    <border>
      <left style="thin">
        <color indexed="64"/>
      </left>
      <right/>
      <top style="dotted">
        <color indexed="64"/>
      </top>
      <bottom style="double">
        <color indexed="56"/>
      </bottom>
      <diagonal/>
    </border>
    <border>
      <left/>
      <right style="thin">
        <color indexed="64"/>
      </right>
      <top style="thin">
        <color indexed="64"/>
      </top>
      <bottom/>
      <diagonal/>
    </border>
    <border>
      <left style="double">
        <color indexed="56"/>
      </left>
      <right style="double">
        <color indexed="56"/>
      </right>
      <top style="double">
        <color indexed="56"/>
      </top>
      <bottom style="double">
        <color indexed="56"/>
      </bottom>
      <diagonal/>
    </border>
    <border>
      <left style="double">
        <color indexed="56"/>
      </left>
      <right style="thin">
        <color indexed="64"/>
      </right>
      <top style="double">
        <color indexed="56"/>
      </top>
      <bottom style="dotted">
        <color indexed="64"/>
      </bottom>
      <diagonal/>
    </border>
    <border>
      <left style="thin">
        <color indexed="64"/>
      </left>
      <right/>
      <top style="double">
        <color indexed="56"/>
      </top>
      <bottom style="dotted">
        <color indexed="64"/>
      </bottom>
      <diagonal/>
    </border>
    <border>
      <left style="thin">
        <color indexed="64"/>
      </left>
      <right style="double">
        <color indexed="56"/>
      </right>
      <top style="double">
        <color indexed="56"/>
      </top>
      <bottom style="dotted">
        <color indexed="64"/>
      </bottom>
      <diagonal/>
    </border>
    <border>
      <left style="double">
        <color indexed="56"/>
      </left>
      <right style="thin">
        <color indexed="64"/>
      </right>
      <top/>
      <bottom/>
      <diagonal/>
    </border>
    <border>
      <left style="thin">
        <color indexed="64"/>
      </left>
      <right style="double">
        <color indexed="56"/>
      </right>
      <top/>
      <bottom/>
      <diagonal/>
    </border>
    <border>
      <left style="double">
        <color indexed="56"/>
      </left>
      <right style="thin">
        <color indexed="64"/>
      </right>
      <top style="double">
        <color indexed="56"/>
      </top>
      <bottom style="dotted">
        <color indexed="56"/>
      </bottom>
      <diagonal/>
    </border>
    <border>
      <left style="thin">
        <color indexed="64"/>
      </left>
      <right style="double">
        <color indexed="56"/>
      </right>
      <top style="double">
        <color indexed="56"/>
      </top>
      <bottom style="dotted">
        <color indexed="56"/>
      </bottom>
      <diagonal/>
    </border>
    <border>
      <left style="double">
        <color indexed="56"/>
      </left>
      <right style="thin">
        <color indexed="64"/>
      </right>
      <top style="dotted">
        <color indexed="56"/>
      </top>
      <bottom style="double">
        <color indexed="56"/>
      </bottom>
      <diagonal/>
    </border>
    <border>
      <left style="thin">
        <color indexed="64"/>
      </left>
      <right style="double">
        <color indexed="56"/>
      </right>
      <top style="dotted">
        <color indexed="56"/>
      </top>
      <bottom style="double">
        <color indexed="56"/>
      </bottom>
      <diagonal/>
    </border>
    <border>
      <left style="double">
        <color indexed="56"/>
      </left>
      <right style="thin">
        <color indexed="64"/>
      </right>
      <top style="double">
        <color indexed="56"/>
      </top>
      <bottom style="double">
        <color indexed="56"/>
      </bottom>
      <diagonal/>
    </border>
    <border>
      <left style="double">
        <color indexed="56"/>
      </left>
      <right style="double">
        <color indexed="56"/>
      </right>
      <top style="double">
        <color indexed="56"/>
      </top>
      <bottom style="thin">
        <color indexed="64"/>
      </bottom>
      <diagonal/>
    </border>
    <border>
      <left style="thin">
        <color indexed="64"/>
      </left>
      <right style="thin">
        <color indexed="64"/>
      </right>
      <top style="double">
        <color indexed="56"/>
      </top>
      <bottom/>
      <diagonal/>
    </border>
    <border>
      <left style="thin">
        <color indexed="64"/>
      </left>
      <right style="thin">
        <color indexed="64"/>
      </right>
      <top style="double">
        <color indexed="56"/>
      </top>
      <bottom style="dotted">
        <color indexed="56"/>
      </bottom>
      <diagonal/>
    </border>
    <border>
      <left style="thin">
        <color indexed="64"/>
      </left>
      <right style="thin">
        <color indexed="64"/>
      </right>
      <top style="dotted">
        <color indexed="56"/>
      </top>
      <bottom style="double">
        <color indexed="56"/>
      </bottom>
      <diagonal/>
    </border>
    <border>
      <left style="thin">
        <color indexed="64"/>
      </left>
      <right style="thin">
        <color indexed="64"/>
      </right>
      <top style="dotted">
        <color indexed="56"/>
      </top>
      <bottom/>
      <diagonal/>
    </border>
    <border>
      <left style="thin">
        <color indexed="64"/>
      </left>
      <right style="thin">
        <color indexed="64"/>
      </right>
      <top style="double">
        <color indexed="56"/>
      </top>
      <bottom style="double">
        <color indexed="56"/>
      </bottom>
      <diagonal/>
    </border>
    <border>
      <left style="thin">
        <color indexed="64"/>
      </left>
      <right style="double">
        <color indexed="56"/>
      </right>
      <top style="double">
        <color indexed="56"/>
      </top>
      <bottom style="double">
        <color indexed="56"/>
      </bottom>
      <diagonal/>
    </border>
    <border>
      <left style="double">
        <color indexed="56"/>
      </left>
      <right style="thin">
        <color indexed="64"/>
      </right>
      <top style="double">
        <color indexed="56"/>
      </top>
      <bottom/>
      <diagonal/>
    </border>
    <border>
      <left style="thin">
        <color indexed="64"/>
      </left>
      <right style="double">
        <color indexed="64"/>
      </right>
      <top style="double">
        <color indexed="56"/>
      </top>
      <bottom style="double">
        <color indexed="56"/>
      </bottom>
      <diagonal/>
    </border>
    <border>
      <left style="thin">
        <color indexed="64"/>
      </left>
      <right style="double">
        <color indexed="64"/>
      </right>
      <top style="double">
        <color indexed="56"/>
      </top>
      <bottom style="dotted">
        <color indexed="56"/>
      </bottom>
      <diagonal/>
    </border>
    <border>
      <left style="thin">
        <color indexed="64"/>
      </left>
      <right style="double">
        <color indexed="64"/>
      </right>
      <top style="dotted">
        <color indexed="56"/>
      </top>
      <bottom style="thin">
        <color indexed="64"/>
      </bottom>
      <diagonal/>
    </border>
    <border>
      <left style="thin">
        <color indexed="64"/>
      </left>
      <right style="double">
        <color indexed="64"/>
      </right>
      <top style="dotted">
        <color indexed="56"/>
      </top>
      <bottom/>
      <diagonal/>
    </border>
    <border>
      <left style="thin">
        <color indexed="64"/>
      </left>
      <right style="double">
        <color indexed="64"/>
      </right>
      <top/>
      <bottom style="thin">
        <color indexed="64"/>
      </bottom>
      <diagonal/>
    </border>
    <border>
      <left style="thin">
        <color indexed="64"/>
      </left>
      <right style="double">
        <color indexed="64"/>
      </right>
      <top style="dotted">
        <color indexed="64"/>
      </top>
      <bottom style="dotted">
        <color indexed="64"/>
      </bottom>
      <diagonal/>
    </border>
    <border>
      <left style="thin">
        <color indexed="64"/>
      </left>
      <right style="double">
        <color indexed="64"/>
      </right>
      <top style="dotted">
        <color indexed="64"/>
      </top>
      <bottom style="double">
        <color indexed="56"/>
      </bottom>
      <diagonal/>
    </border>
    <border>
      <left style="thin">
        <color indexed="64"/>
      </left>
      <right style="double">
        <color indexed="64"/>
      </right>
      <top style="double">
        <color indexed="56"/>
      </top>
      <bottom/>
      <diagonal/>
    </border>
    <border>
      <left style="thin">
        <color indexed="64"/>
      </left>
      <right style="double">
        <color indexed="64"/>
      </right>
      <top style="dotted">
        <color indexed="56"/>
      </top>
      <bottom style="double">
        <color indexed="56"/>
      </bottom>
      <diagonal/>
    </border>
    <border>
      <left style="thin">
        <color indexed="64"/>
      </left>
      <right style="thin">
        <color indexed="64"/>
      </right>
      <top style="double">
        <color indexed="56"/>
      </top>
      <bottom style="dotted">
        <color indexed="64"/>
      </bottom>
      <diagonal/>
    </border>
    <border>
      <left style="medium">
        <color indexed="64"/>
      </left>
      <right style="medium">
        <color indexed="64"/>
      </right>
      <top style="medium">
        <color indexed="64"/>
      </top>
      <bottom style="medium">
        <color indexed="64"/>
      </bottom>
      <diagonal/>
    </border>
    <border>
      <left/>
      <right/>
      <top/>
      <bottom style="hair">
        <color indexed="64"/>
      </bottom>
      <diagonal/>
    </border>
    <border>
      <left style="double">
        <color indexed="21"/>
      </left>
      <right/>
      <top style="hair">
        <color indexed="64"/>
      </top>
      <bottom style="hair">
        <color indexed="64"/>
      </bottom>
      <diagonal/>
    </border>
    <border>
      <left/>
      <right/>
      <top style="hair">
        <color indexed="64"/>
      </top>
      <bottom style="hair">
        <color indexed="64"/>
      </bottom>
      <diagonal/>
    </border>
    <border>
      <left/>
      <right style="double">
        <color indexed="21"/>
      </right>
      <top style="hair">
        <color indexed="64"/>
      </top>
      <bottom style="hair">
        <color indexed="64"/>
      </bottom>
      <diagonal/>
    </border>
    <border>
      <left style="double">
        <color indexed="21"/>
      </left>
      <right/>
      <top style="hair">
        <color indexed="64"/>
      </top>
      <bottom style="double">
        <color indexed="21"/>
      </bottom>
      <diagonal/>
    </border>
    <border>
      <left/>
      <right/>
      <top style="hair">
        <color indexed="64"/>
      </top>
      <bottom style="double">
        <color indexed="21"/>
      </bottom>
      <diagonal/>
    </border>
    <border>
      <left/>
      <right style="double">
        <color indexed="21"/>
      </right>
      <top style="hair">
        <color indexed="64"/>
      </top>
      <bottom style="double">
        <color indexed="21"/>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style="hair">
        <color indexed="64"/>
      </bottom>
      <diagonal/>
    </border>
    <border>
      <left style="double">
        <color indexed="56"/>
      </left>
      <right style="thin">
        <color indexed="56"/>
      </right>
      <top style="double">
        <color indexed="56"/>
      </top>
      <bottom style="double">
        <color indexed="56"/>
      </bottom>
      <diagonal/>
    </border>
    <border>
      <left style="thin">
        <color indexed="56"/>
      </left>
      <right style="thin">
        <color indexed="56"/>
      </right>
      <top style="double">
        <color indexed="56"/>
      </top>
      <bottom style="double">
        <color indexed="56"/>
      </bottom>
      <diagonal/>
    </border>
    <border>
      <left style="thin">
        <color indexed="56"/>
      </left>
      <right style="double">
        <color indexed="56"/>
      </right>
      <top style="double">
        <color indexed="56"/>
      </top>
      <bottom style="double">
        <color indexed="56"/>
      </bottom>
      <diagonal/>
    </border>
    <border>
      <left style="double">
        <color indexed="56"/>
      </left>
      <right/>
      <top style="double">
        <color indexed="56"/>
      </top>
      <bottom style="double">
        <color indexed="64"/>
      </bottom>
      <diagonal/>
    </border>
    <border>
      <left style="thin">
        <color indexed="56"/>
      </left>
      <right style="thin">
        <color indexed="64"/>
      </right>
      <top style="double">
        <color indexed="56"/>
      </top>
      <bottom style="double">
        <color indexed="56"/>
      </bottom>
      <diagonal/>
    </border>
    <border>
      <left style="double">
        <color indexed="56"/>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double">
        <color indexed="64"/>
      </right>
      <top style="double">
        <color indexed="64"/>
      </top>
      <bottom style="double">
        <color indexed="64"/>
      </bottom>
      <diagonal/>
    </border>
    <border>
      <left/>
      <right/>
      <top style="double">
        <color auto="1"/>
      </top>
      <bottom/>
      <diagonal/>
    </border>
    <border>
      <left/>
      <right style="thin">
        <color indexed="64"/>
      </right>
      <top style="double">
        <color indexed="64"/>
      </top>
      <bottom style="hair">
        <color indexed="64"/>
      </bottom>
      <diagonal/>
    </border>
    <border>
      <left style="hair">
        <color indexed="64"/>
      </left>
      <right style="thin">
        <color indexed="64"/>
      </right>
      <top style="hair">
        <color indexed="64"/>
      </top>
      <bottom style="thin">
        <color indexed="64"/>
      </bottom>
      <diagonal/>
    </border>
    <border>
      <left/>
      <right/>
      <top/>
      <bottom style="double">
        <color auto="1"/>
      </bottom>
      <diagonal/>
    </border>
    <border>
      <left style="double">
        <color indexed="64"/>
      </left>
      <right/>
      <top style="double">
        <color indexed="64"/>
      </top>
      <bottom style="double">
        <color indexed="64"/>
      </bottom>
      <diagonal/>
    </border>
    <border>
      <left style="thin">
        <color auto="1"/>
      </left>
      <right/>
      <top style="thin">
        <color auto="1"/>
      </top>
      <bottom style="thin">
        <color auto="1"/>
      </bottom>
      <diagonal/>
    </border>
    <border>
      <left style="thin">
        <color indexed="64"/>
      </left>
      <right style="thin">
        <color indexed="64"/>
      </right>
      <top style="double">
        <color indexed="64"/>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uble">
        <color indexed="64"/>
      </bottom>
      <diagonal/>
    </border>
    <border>
      <left style="double">
        <color indexed="21"/>
      </left>
      <right/>
      <top/>
      <bottom style="hair">
        <color indexed="64"/>
      </bottom>
      <diagonal/>
    </border>
    <border>
      <left/>
      <right style="double">
        <color indexed="21"/>
      </right>
      <top/>
      <bottom style="hair">
        <color indexed="64"/>
      </bottom>
      <diagonal/>
    </border>
    <border>
      <left style="double">
        <color indexed="21"/>
      </left>
      <right/>
      <top style="double">
        <color indexed="21"/>
      </top>
      <bottom style="hair">
        <color indexed="64"/>
      </bottom>
      <diagonal/>
    </border>
    <border>
      <left/>
      <right/>
      <top style="double">
        <color indexed="21"/>
      </top>
      <bottom style="hair">
        <color indexed="64"/>
      </bottom>
      <diagonal/>
    </border>
    <border>
      <left/>
      <right style="double">
        <color indexed="21"/>
      </right>
      <top style="double">
        <color indexed="21"/>
      </top>
      <bottom style="hair">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double">
        <color indexed="21"/>
      </left>
      <right/>
      <top/>
      <bottom style="hair">
        <color indexed="21"/>
      </bottom>
      <diagonal/>
    </border>
    <border>
      <left/>
      <right/>
      <top/>
      <bottom style="hair">
        <color indexed="21"/>
      </bottom>
      <diagonal/>
    </border>
    <border>
      <left/>
      <right style="double">
        <color indexed="21"/>
      </right>
      <top/>
      <bottom style="hair">
        <color indexed="21"/>
      </bottom>
      <diagonal/>
    </border>
    <border>
      <left style="thin">
        <color theme="5"/>
      </left>
      <right style="hair">
        <color theme="5"/>
      </right>
      <top style="thin">
        <color theme="5"/>
      </top>
      <bottom style="hair">
        <color theme="5"/>
      </bottom>
      <diagonal/>
    </border>
    <border>
      <left style="hair">
        <color theme="5"/>
      </left>
      <right style="thin">
        <color theme="5"/>
      </right>
      <top style="thin">
        <color theme="5"/>
      </top>
      <bottom style="hair">
        <color theme="5"/>
      </bottom>
      <diagonal/>
    </border>
    <border>
      <left style="hair">
        <color theme="5"/>
      </left>
      <right style="thin">
        <color theme="5"/>
      </right>
      <top style="hair">
        <color theme="5"/>
      </top>
      <bottom style="hair">
        <color theme="5"/>
      </bottom>
      <diagonal/>
    </border>
    <border>
      <left style="hair">
        <color theme="5"/>
      </left>
      <right style="thin">
        <color theme="5"/>
      </right>
      <top style="hair">
        <color theme="5"/>
      </top>
      <bottom style="thin">
        <color theme="5"/>
      </bottom>
      <diagonal/>
    </border>
    <border>
      <left/>
      <right/>
      <top style="double">
        <color indexed="56"/>
      </top>
      <bottom/>
      <diagonal/>
    </border>
    <border>
      <left style="thin">
        <color indexed="64"/>
      </left>
      <right style="hair">
        <color indexed="64"/>
      </right>
      <top style="hair">
        <color indexed="64"/>
      </top>
      <bottom/>
      <diagonal/>
    </border>
    <border>
      <left style="thin">
        <color indexed="64"/>
      </left>
      <right style="double">
        <color indexed="56"/>
      </right>
      <top style="double">
        <color indexed="56"/>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style="medium">
        <color theme="1" tint="0.499984740745262"/>
      </right>
      <top style="medium">
        <color theme="1" tint="0.499984740745262"/>
      </top>
      <bottom style="medium">
        <color theme="1" tint="0.499984740745262"/>
      </bottom>
      <diagonal/>
    </border>
    <border>
      <left style="medium">
        <color theme="1" tint="0.499984740745262"/>
      </left>
      <right style="hair">
        <color indexed="64"/>
      </right>
      <top style="medium">
        <color theme="1" tint="0.499984740745262"/>
      </top>
      <bottom style="medium">
        <color theme="1" tint="0.499984740745262"/>
      </bottom>
      <diagonal/>
    </border>
    <border>
      <left style="hair">
        <color indexed="64"/>
      </left>
      <right style="medium">
        <color theme="1" tint="0.499984740745262"/>
      </right>
      <top style="medium">
        <color theme="1" tint="0.499984740745262"/>
      </top>
      <bottom style="medium">
        <color theme="1" tint="0.499984740745262"/>
      </bottom>
      <diagonal/>
    </border>
    <border>
      <left style="medium">
        <color theme="1" tint="0.499984740745262"/>
      </left>
      <right/>
      <top style="medium">
        <color theme="1" tint="0.499984740745262"/>
      </top>
      <bottom style="medium">
        <color theme="1" tint="0.499984740745262"/>
      </bottom>
      <diagonal/>
    </border>
    <border>
      <left/>
      <right/>
      <top style="medium">
        <color indexed="64"/>
      </top>
      <bottom/>
      <diagonal/>
    </border>
    <border>
      <left style="hair">
        <color indexed="64"/>
      </left>
      <right style="thin">
        <color indexed="64"/>
      </right>
      <top/>
      <bottom style="hair">
        <color indexed="64"/>
      </bottom>
      <diagonal/>
    </border>
    <border>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hair">
        <color indexed="21"/>
      </left>
      <right style="double">
        <color indexed="21"/>
      </right>
      <top style="hair">
        <color indexed="21"/>
      </top>
      <bottom style="hair">
        <color indexed="21"/>
      </bottom>
      <diagonal/>
    </border>
    <border>
      <left/>
      <right/>
      <top style="double">
        <color theme="3" tint="-0.24994659260841701"/>
      </top>
      <bottom style="thin">
        <color indexed="64"/>
      </bottom>
      <diagonal/>
    </border>
    <border>
      <left style="thin">
        <color indexed="64"/>
      </left>
      <right style="thin">
        <color indexed="64"/>
      </right>
      <top style="thin">
        <color indexed="64"/>
      </top>
      <bottom/>
      <diagonal/>
    </border>
    <border>
      <left style="double">
        <color indexed="56"/>
      </left>
      <right style="thin">
        <color indexed="64"/>
      </right>
      <top style="thin">
        <color indexed="64"/>
      </top>
      <bottom style="dotted">
        <color indexed="56"/>
      </bottom>
      <diagonal/>
    </border>
    <border>
      <left style="double">
        <color indexed="56"/>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56"/>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double">
        <color indexed="64"/>
      </right>
      <top style="thin">
        <color indexed="64"/>
      </top>
      <bottom style="dotted">
        <color indexed="56"/>
      </bottom>
      <diagonal/>
    </border>
    <border>
      <left style="thin">
        <color indexed="64"/>
      </left>
      <right style="double">
        <color indexed="56"/>
      </right>
      <top style="thin">
        <color indexed="64"/>
      </top>
      <bottom style="dotted">
        <color indexed="56"/>
      </bottom>
      <diagonal/>
    </border>
    <border>
      <left style="double">
        <color indexed="56"/>
      </left>
      <right style="thin">
        <color indexed="64"/>
      </right>
      <top style="thin">
        <color indexed="64"/>
      </top>
      <bottom style="double">
        <color indexed="56"/>
      </bottom>
      <diagonal/>
    </border>
    <border>
      <left style="thin">
        <color indexed="64"/>
      </left>
      <right style="thin">
        <color indexed="64"/>
      </right>
      <top style="thin">
        <color indexed="64"/>
      </top>
      <bottom style="double">
        <color indexed="56"/>
      </bottom>
      <diagonal/>
    </border>
    <border>
      <left style="thin">
        <color indexed="64"/>
      </left>
      <right style="double">
        <color indexed="64"/>
      </right>
      <top style="thin">
        <color indexed="64"/>
      </top>
      <bottom style="double">
        <color indexed="56"/>
      </bottom>
      <diagonal/>
    </border>
    <border>
      <left style="thin">
        <color indexed="64"/>
      </left>
      <right style="double">
        <color indexed="56"/>
      </right>
      <top style="thin">
        <color indexed="64"/>
      </top>
      <bottom style="double">
        <color indexed="56"/>
      </bottom>
      <diagonal/>
    </border>
    <border>
      <left/>
      <right/>
      <top style="thin">
        <color indexed="64"/>
      </top>
      <bottom style="double">
        <color indexed="56"/>
      </bottom>
      <diagonal/>
    </border>
    <border>
      <left style="double">
        <color indexed="56"/>
      </left>
      <right style="double">
        <color indexed="56"/>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56"/>
      </left>
      <right style="double">
        <color indexed="56"/>
      </right>
      <top style="thin">
        <color indexed="64"/>
      </top>
      <bottom style="double">
        <color indexed="56"/>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indexed="64"/>
      </bottom>
      <diagonal/>
    </border>
    <border>
      <left style="medium">
        <color theme="1" tint="0.499984740745262"/>
      </left>
      <right/>
      <top style="hair">
        <color theme="1" tint="0.499984740745262"/>
      </top>
      <bottom style="hair">
        <color theme="1" tint="0.499984740745262"/>
      </bottom>
      <diagonal/>
    </border>
    <border>
      <left/>
      <right/>
      <top style="thin">
        <color auto="1"/>
      </top>
      <bottom style="thin">
        <color auto="1"/>
      </bottom>
      <diagonal/>
    </border>
    <border>
      <left style="thin">
        <color auto="1"/>
      </left>
      <right/>
      <top style="thin">
        <color auto="1"/>
      </top>
      <bottom style="thin">
        <color indexed="64"/>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double">
        <color auto="1"/>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indexed="64"/>
      </left>
      <right style="hair">
        <color indexed="64"/>
      </right>
      <top style="double">
        <color indexed="64"/>
      </top>
      <bottom style="thin">
        <color indexed="22"/>
      </bottom>
      <diagonal/>
    </border>
    <border>
      <left style="hair">
        <color indexed="64"/>
      </left>
      <right style="hair">
        <color indexed="64"/>
      </right>
      <top style="double">
        <color indexed="64"/>
      </top>
      <bottom style="thin">
        <color indexed="22"/>
      </bottom>
      <diagonal/>
    </border>
    <border>
      <left style="hair">
        <color indexed="64"/>
      </left>
      <right/>
      <top/>
      <bottom/>
      <diagonal/>
    </border>
    <border>
      <left style="double">
        <color indexed="64"/>
      </left>
      <right style="hair">
        <color indexed="64"/>
      </right>
      <top style="double">
        <color auto="1"/>
      </top>
      <bottom/>
      <diagonal/>
    </border>
    <border>
      <left style="hair">
        <color indexed="64"/>
      </left>
      <right style="double">
        <color indexed="64"/>
      </right>
      <top style="double">
        <color auto="1"/>
      </top>
      <bottom/>
      <diagonal/>
    </border>
    <border>
      <left style="double">
        <color auto="1"/>
      </left>
      <right/>
      <top style="double">
        <color auto="1"/>
      </top>
      <bottom/>
      <diagonal/>
    </border>
    <border>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medium">
        <color indexed="64"/>
      </bottom>
      <diagonal/>
    </border>
    <border>
      <left/>
      <right style="hair">
        <color theme="5"/>
      </right>
      <top style="hair">
        <color theme="5"/>
      </top>
      <bottom style="hair">
        <color theme="5"/>
      </bottom>
      <diagonal/>
    </border>
    <border>
      <left style="thin">
        <color indexed="64"/>
      </left>
      <right style="medium">
        <color indexed="64"/>
      </right>
      <top style="medium">
        <color indexed="64"/>
      </top>
      <bottom/>
      <diagonal/>
    </border>
    <border>
      <left/>
      <right style="hair">
        <color theme="5"/>
      </right>
      <top style="hair">
        <color theme="5"/>
      </top>
      <bottom style="thin">
        <color theme="5"/>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hair">
        <color theme="5"/>
      </right>
      <top style="thin">
        <color theme="5"/>
      </top>
      <bottom style="hair">
        <color theme="5"/>
      </bottom>
      <diagonal/>
    </border>
    <border>
      <left style="thin">
        <color indexed="64"/>
      </left>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22"/>
      </left>
      <right style="thin">
        <color indexed="22"/>
      </right>
      <top/>
      <bottom style="thin">
        <color indexed="22"/>
      </bottom>
      <diagonal/>
    </border>
    <border>
      <left style="thin">
        <color rgb="FFB2B2B2"/>
      </left>
      <right style="thin">
        <color rgb="FFB2B2B2"/>
      </right>
      <top style="thin">
        <color rgb="FFB2B2B2"/>
      </top>
      <bottom style="thin">
        <color rgb="FFB2B2B2"/>
      </bottom>
      <diagonal/>
    </border>
    <border>
      <left style="hair">
        <color auto="1"/>
      </left>
      <right style="hair">
        <color auto="1"/>
      </right>
      <top style="hair">
        <color auto="1"/>
      </top>
      <bottom style="hair">
        <color auto="1"/>
      </bottom>
      <diagonal/>
    </border>
    <border>
      <left style="thin">
        <color indexed="8"/>
      </left>
      <right/>
      <top style="thick">
        <color rgb="FFC0C0C0"/>
      </top>
      <bottom style="thick">
        <color rgb="FFC0C0C0"/>
      </bottom>
      <diagonal/>
    </border>
    <border>
      <left style="thin">
        <color indexed="64"/>
      </left>
      <right style="thin">
        <color indexed="64"/>
      </right>
      <top/>
      <bottom/>
      <diagonal/>
    </border>
    <border>
      <left style="thin">
        <color auto="1"/>
      </left>
      <right style="thin">
        <color auto="1"/>
      </right>
      <top/>
      <bottom style="thin">
        <color auto="1"/>
      </bottom>
      <diagonal/>
    </border>
    <border>
      <left style="medium">
        <color indexed="64"/>
      </left>
      <right style="thin">
        <color auto="1"/>
      </right>
      <top/>
      <bottom style="thin">
        <color auto="1"/>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medium">
        <color indexed="64"/>
      </bottom>
      <diagonal/>
    </border>
    <border>
      <left/>
      <right style="thin">
        <color indexed="64"/>
      </right>
      <top/>
      <bottom style="thin">
        <color indexed="64"/>
      </bottom>
      <diagonal/>
    </border>
    <border>
      <left style="double">
        <color indexed="64"/>
      </left>
      <right style="hair">
        <color indexed="64"/>
      </right>
      <top/>
      <bottom/>
      <diagonal/>
    </border>
    <border>
      <left style="hair">
        <color indexed="64"/>
      </left>
      <right style="double">
        <color indexed="64"/>
      </right>
      <top/>
      <bottom/>
      <diagonal/>
    </border>
    <border>
      <left/>
      <right style="hair">
        <color indexed="64"/>
      </right>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double">
        <color indexed="64"/>
      </left>
      <right style="thin">
        <color indexed="64"/>
      </right>
      <top style="medium">
        <color indexed="64"/>
      </top>
      <bottom style="double">
        <color indexed="64"/>
      </bottom>
      <diagonal/>
    </border>
    <border>
      <left style="thin">
        <color indexed="64"/>
      </left>
      <right style="double">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double">
        <color indexed="64"/>
      </right>
      <top/>
      <bottom/>
      <diagonal/>
    </border>
    <border>
      <left style="thin">
        <color indexed="64"/>
      </left>
      <right style="thin">
        <color indexed="64"/>
      </right>
      <top style="hair">
        <color indexed="64"/>
      </top>
      <bottom style="hair">
        <color indexed="64"/>
      </bottom>
      <diagonal/>
    </border>
    <border>
      <left style="double">
        <color indexed="56"/>
      </left>
      <right style="thin">
        <color indexed="64"/>
      </right>
      <top style="dotted">
        <color indexed="64"/>
      </top>
      <bottom/>
      <diagonal/>
    </border>
    <border>
      <left style="thin">
        <color indexed="64"/>
      </left>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56"/>
      </right>
      <top style="dotted">
        <color indexed="64"/>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hair">
        <color indexed="64"/>
      </left>
      <right style="double">
        <color indexed="64"/>
      </right>
      <top/>
      <bottom style="thin">
        <color indexed="22"/>
      </bottom>
      <diagonal/>
    </border>
    <border>
      <left/>
      <right/>
      <top style="thin">
        <color indexed="64"/>
      </top>
      <bottom style="thin">
        <color indexed="64"/>
      </bottom>
      <diagonal/>
    </border>
    <border>
      <left style="hair">
        <color indexed="64"/>
      </left>
      <right/>
      <top style="hair">
        <color indexed="64"/>
      </top>
      <bottom style="thin">
        <color indexed="64"/>
      </bottom>
      <diagonal/>
    </border>
    <border>
      <left/>
      <right/>
      <top style="thin">
        <color indexed="64"/>
      </top>
      <bottom style="thin">
        <color indexed="64"/>
      </bottom>
      <diagonal/>
    </border>
    <border>
      <left style="double">
        <color indexed="56"/>
      </left>
      <right/>
      <top style="double">
        <color indexed="56"/>
      </top>
      <bottom style="double">
        <color indexed="56"/>
      </bottom>
      <diagonal/>
    </border>
    <border>
      <left/>
      <right/>
      <top style="double">
        <color indexed="56"/>
      </top>
      <bottom style="double">
        <color indexed="56"/>
      </bottom>
      <diagonal/>
    </border>
    <border>
      <left/>
      <right/>
      <top/>
      <bottom style="double">
        <color indexed="64"/>
      </bottom>
      <diagonal/>
    </border>
    <border>
      <left style="hair">
        <color indexed="64"/>
      </left>
      <right/>
      <top style="hair">
        <color indexed="64"/>
      </top>
      <bottom/>
      <diagonal/>
    </border>
    <border>
      <left style="thin">
        <color indexed="64"/>
      </left>
      <right/>
      <top/>
      <bottom/>
      <diagonal/>
    </border>
    <border>
      <left/>
      <right/>
      <top style="thin">
        <color indexed="64"/>
      </top>
      <bottom/>
      <diagonal/>
    </border>
    <border>
      <left/>
      <right/>
      <top style="hair">
        <color auto="1"/>
      </top>
      <bottom style="hair">
        <color auto="1"/>
      </bottom>
      <diagonal/>
    </border>
    <border>
      <left style="thin">
        <color indexed="64"/>
      </left>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hair">
        <color indexed="21"/>
      </left>
      <right style="double">
        <color indexed="21"/>
      </right>
      <top style="hair">
        <color indexed="21"/>
      </top>
      <bottom style="hair">
        <color indexed="21"/>
      </bottom>
      <diagonal/>
    </border>
    <border>
      <left style="hair">
        <color theme="1" tint="0.499984740745262"/>
      </left>
      <right style="hair">
        <color theme="1" tint="0.499984740745262"/>
      </right>
      <top style="hair">
        <color theme="1" tint="0.499984740745262"/>
      </top>
      <bottom style="hair">
        <color theme="1" tint="0.499984740745262"/>
      </bottom>
      <diagonal/>
    </border>
    <border>
      <left style="thin">
        <color indexed="64"/>
      </left>
      <right style="thin">
        <color indexed="64"/>
      </right>
      <top style="thin">
        <color indexed="64"/>
      </top>
      <bottom style="thin">
        <color indexed="64"/>
      </bottom>
      <diagonal/>
    </border>
    <border>
      <left style="hair">
        <color indexed="64"/>
      </left>
      <right style="medium">
        <color theme="0" tint="-0.499984740745262"/>
      </right>
      <top style="medium">
        <color theme="1" tint="0.499984740745262"/>
      </top>
      <bottom style="hair">
        <color indexed="64"/>
      </bottom>
      <diagonal/>
    </border>
    <border>
      <left style="medium">
        <color theme="0" tint="-0.499984740745262"/>
      </left>
      <right style="hair">
        <color indexed="64"/>
      </right>
      <top style="medium">
        <color theme="0" tint="-0.499984740745262"/>
      </top>
      <bottom style="medium">
        <color theme="0" tint="-0.499984740745262"/>
      </bottom>
      <diagonal/>
    </border>
    <border>
      <left style="hair">
        <color indexed="64"/>
      </left>
      <right style="medium">
        <color theme="0" tint="-0.499984740745262"/>
      </right>
      <top style="medium">
        <color theme="0" tint="-0.499984740745262"/>
      </top>
      <bottom style="medium">
        <color theme="0" tint="-0.499984740745262"/>
      </bottom>
      <diagonal/>
    </border>
    <border>
      <left/>
      <right/>
      <top style="double">
        <color indexed="56"/>
      </top>
      <bottom style="dotted">
        <color indexed="56"/>
      </bottom>
      <diagonal/>
    </border>
    <border>
      <left/>
      <right/>
      <top style="dotted">
        <color indexed="56"/>
      </top>
      <bottom style="thin">
        <color indexed="64"/>
      </bottom>
      <diagonal/>
    </border>
    <border>
      <left/>
      <right/>
      <top style="thin">
        <color indexed="64"/>
      </top>
      <bottom style="dotted">
        <color indexed="56"/>
      </bottom>
      <diagonal/>
    </border>
    <border>
      <left/>
      <right/>
      <top style="dotted">
        <color indexed="56"/>
      </top>
      <bottom/>
      <diagonal/>
    </border>
    <border>
      <left/>
      <right/>
      <top/>
      <bottom style="thin">
        <color indexed="64"/>
      </bottom>
      <diagonal/>
    </border>
    <border>
      <left/>
      <right/>
      <top style="dotted">
        <color indexed="64"/>
      </top>
      <bottom style="dotted">
        <color indexed="64"/>
      </bottom>
      <diagonal/>
    </border>
    <border>
      <left/>
      <right/>
      <top style="dotted">
        <color indexed="64"/>
      </top>
      <bottom/>
      <diagonal/>
    </border>
    <border>
      <left/>
      <right/>
      <top style="dotted">
        <color indexed="64"/>
      </top>
      <bottom style="double">
        <color indexed="56"/>
      </bottom>
      <diagonal/>
    </border>
    <border>
      <left/>
      <right/>
      <top style="dotted">
        <color indexed="56"/>
      </top>
      <bottom style="double">
        <color indexed="56"/>
      </bottom>
      <diagonal/>
    </border>
    <border>
      <left style="double">
        <color indexed="56"/>
      </left>
      <right/>
      <top style="double">
        <color indexed="56"/>
      </top>
      <bottom style="thin">
        <color indexed="64"/>
      </bottom>
      <diagonal/>
    </border>
    <border>
      <left style="double">
        <color indexed="56"/>
      </left>
      <right/>
      <top style="double">
        <color indexed="56"/>
      </top>
      <bottom style="dotted">
        <color indexed="64"/>
      </bottom>
      <diagonal/>
    </border>
    <border>
      <left style="double">
        <color indexed="56"/>
      </left>
      <right/>
      <top style="dotted">
        <color indexed="64"/>
      </top>
      <bottom style="dotted">
        <color indexed="64"/>
      </bottom>
      <diagonal/>
    </border>
    <border>
      <left style="double">
        <color indexed="56"/>
      </left>
      <right/>
      <top style="dotted">
        <color indexed="64"/>
      </top>
      <bottom style="double">
        <color indexed="56"/>
      </bottom>
      <diagonal/>
    </border>
    <border>
      <left style="double">
        <color indexed="64"/>
      </left>
      <right/>
      <top style="thin">
        <color indexed="64"/>
      </top>
      <bottom style="thin">
        <color indexed="64"/>
      </bottom>
      <diagonal/>
    </border>
    <border>
      <left style="double">
        <color indexed="21"/>
      </left>
      <right/>
      <top style="hair">
        <color indexed="64"/>
      </top>
      <bottom style="double">
        <color indexed="21"/>
      </bottom>
      <diagonal/>
    </border>
    <border>
      <left/>
      <right/>
      <top style="hair">
        <color indexed="64"/>
      </top>
      <bottom style="double">
        <color indexed="21"/>
      </bottom>
      <diagonal/>
    </border>
    <border>
      <left/>
      <right style="double">
        <color indexed="21"/>
      </right>
      <top style="hair">
        <color indexed="64"/>
      </top>
      <bottom style="double">
        <color indexed="21"/>
      </bottom>
      <diagonal/>
    </border>
    <border>
      <left/>
      <right style="thin">
        <color indexed="64"/>
      </right>
      <top style="thin">
        <color indexed="64"/>
      </top>
      <bottom style="thin">
        <color indexed="64"/>
      </bottom>
      <diagonal/>
    </border>
    <border>
      <left style="double">
        <color indexed="56"/>
      </left>
      <right style="double">
        <color indexed="56"/>
      </right>
      <top style="dotted">
        <color indexed="64"/>
      </top>
      <bottom style="double">
        <color indexed="56"/>
      </bottom>
      <diagonal/>
    </border>
    <border>
      <left style="double">
        <color indexed="56"/>
      </left>
      <right style="double">
        <color indexed="56"/>
      </right>
      <top style="dotted">
        <color indexed="64"/>
      </top>
      <bottom style="dotted">
        <color indexed="64"/>
      </bottom>
      <diagonal/>
    </border>
    <border>
      <left style="double">
        <color indexed="56"/>
      </left>
      <right style="double">
        <color indexed="56"/>
      </right>
      <top style="double">
        <color indexed="56"/>
      </top>
      <bottom style="dotted">
        <color indexed="64"/>
      </bottom>
      <diagonal/>
    </border>
    <border>
      <left style="double">
        <color indexed="64"/>
      </left>
      <right/>
      <top style="double">
        <color indexed="56"/>
      </top>
      <bottom style="double">
        <color indexed="56"/>
      </bottom>
      <diagonal/>
    </border>
    <border>
      <left/>
      <right style="double">
        <color indexed="64"/>
      </right>
      <top style="double">
        <color indexed="56"/>
      </top>
      <bottom style="double">
        <color indexed="56"/>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double">
        <color indexed="56"/>
      </right>
      <top style="double">
        <color theme="3"/>
      </top>
      <bottom style="double">
        <color indexed="56"/>
      </bottom>
      <diagonal/>
    </border>
    <border>
      <left style="double">
        <color indexed="56"/>
      </left>
      <right style="thin">
        <color indexed="56"/>
      </right>
      <top style="double">
        <color indexed="56"/>
      </top>
      <bottom style="double">
        <color indexed="56"/>
      </bottom>
      <diagonal/>
    </border>
    <border>
      <left style="double">
        <color indexed="56"/>
      </left>
      <right style="thin">
        <color indexed="64"/>
      </right>
      <top style="double">
        <color indexed="56"/>
      </top>
      <bottom style="double">
        <color indexed="56"/>
      </bottom>
      <diagonal/>
    </border>
    <border>
      <left style="double">
        <color indexed="56"/>
      </left>
      <right style="double">
        <color indexed="56"/>
      </right>
      <top style="double">
        <color indexed="56"/>
      </top>
      <bottom style="double">
        <color indexed="56"/>
      </bottom>
      <diagonal/>
    </border>
    <border>
      <left style="thin">
        <color indexed="64"/>
      </left>
      <right style="double">
        <color indexed="64"/>
      </right>
      <top style="double">
        <color indexed="56"/>
      </top>
      <bottom style="double">
        <color indexed="56"/>
      </bottom>
      <diagonal/>
    </border>
    <border>
      <left/>
      <right style="double">
        <color indexed="56"/>
      </right>
      <top style="double">
        <color indexed="56"/>
      </top>
      <bottom style="double">
        <color indexed="56"/>
      </bottom>
      <diagonal/>
    </border>
    <border>
      <left style="thin">
        <color indexed="64"/>
      </left>
      <right style="double">
        <color indexed="56"/>
      </right>
      <top style="double">
        <color indexed="56"/>
      </top>
      <bottom style="double">
        <color indexed="56"/>
      </bottom>
      <diagonal/>
    </border>
    <border>
      <left style="double">
        <color indexed="56"/>
      </left>
      <right/>
      <top style="double">
        <color indexed="56"/>
      </top>
      <bottom style="double">
        <color indexed="64"/>
      </bottom>
      <diagonal/>
    </border>
    <border>
      <left style="thin">
        <color indexed="56"/>
      </left>
      <right style="thin">
        <color indexed="64"/>
      </right>
      <top style="double">
        <color indexed="56"/>
      </top>
      <bottom style="double">
        <color indexed="64"/>
      </bottom>
      <diagonal/>
    </border>
    <border>
      <left/>
      <right style="thin">
        <color indexed="64"/>
      </right>
      <top style="double">
        <color indexed="56"/>
      </top>
      <bottom/>
      <diagonal/>
    </border>
    <border>
      <left style="double">
        <color indexed="56"/>
      </left>
      <right style="thin">
        <color indexed="64"/>
      </right>
      <top style="double">
        <color indexed="56"/>
      </top>
      <bottom style="double">
        <color indexed="64"/>
      </bottom>
      <diagonal/>
    </border>
    <border>
      <left style="double">
        <color indexed="56"/>
      </left>
      <right style="double">
        <color indexed="56"/>
      </right>
      <top style="double">
        <color indexed="56"/>
      </top>
      <bottom style="double">
        <color indexed="64"/>
      </bottom>
      <diagonal/>
    </border>
    <border>
      <left style="thin">
        <color indexed="64"/>
      </left>
      <right/>
      <top/>
      <bottom style="hair">
        <color indexed="64"/>
      </bottom>
      <diagonal/>
    </border>
    <border>
      <left style="thin">
        <color indexed="64"/>
      </left>
      <right style="double">
        <color indexed="56"/>
      </right>
      <top style="hair">
        <color indexed="64"/>
      </top>
      <bottom style="hair">
        <color indexed="64"/>
      </bottom>
      <diagonal/>
    </border>
    <border>
      <left style="double">
        <color indexed="56"/>
      </left>
      <right style="double">
        <color indexed="56"/>
      </right>
      <top style="thin">
        <color auto="1"/>
      </top>
      <bottom/>
      <diagonal/>
    </border>
    <border>
      <left style="double">
        <color indexed="56"/>
      </left>
      <right style="thin">
        <color indexed="64"/>
      </right>
      <top style="thin">
        <color indexed="64"/>
      </top>
      <bottom/>
      <diagonal/>
    </border>
    <border>
      <left style="thin">
        <color indexed="64"/>
      </left>
      <right style="double">
        <color indexed="56"/>
      </right>
      <top style="thin">
        <color indexed="64"/>
      </top>
      <bottom/>
      <diagonal/>
    </border>
    <border>
      <left style="double">
        <color indexed="56"/>
      </left>
      <right/>
      <top style="thin">
        <color indexed="64"/>
      </top>
      <bottom/>
      <diagonal/>
    </border>
    <border>
      <left style="double">
        <color indexed="56"/>
      </left>
      <right/>
      <top style="thin">
        <color auto="1"/>
      </top>
      <bottom style="double">
        <color indexed="56"/>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auto="1"/>
      </top>
      <bottom style="medium">
        <color indexed="64"/>
      </bottom>
      <diagonal/>
    </border>
    <border>
      <left style="medium">
        <color indexed="64"/>
      </left>
      <right style="thin">
        <color indexed="64"/>
      </right>
      <top style="thin">
        <color auto="1"/>
      </top>
      <bottom style="thin">
        <color auto="1"/>
      </bottom>
      <diagonal/>
    </border>
    <border>
      <left style="thin">
        <color indexed="64"/>
      </left>
      <right style="medium">
        <color indexed="64"/>
      </right>
      <top style="thin">
        <color auto="1"/>
      </top>
      <bottom style="thin">
        <color auto="1"/>
      </bottom>
      <diagonal/>
    </border>
    <border>
      <left/>
      <right style="medium">
        <color indexed="64"/>
      </right>
      <top style="medium">
        <color indexed="64"/>
      </top>
      <bottom style="thin">
        <color indexed="64"/>
      </bottom>
      <diagonal/>
    </border>
    <border>
      <left/>
      <right style="thin">
        <color auto="1"/>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thin">
        <color auto="1"/>
      </top>
      <bottom style="medium">
        <color indexed="64"/>
      </bottom>
      <diagonal/>
    </border>
    <border>
      <left style="medium">
        <color indexed="64"/>
      </left>
      <right/>
      <top/>
      <bottom/>
      <diagonal/>
    </border>
    <border>
      <left/>
      <right style="medium">
        <color indexed="64"/>
      </right>
      <top/>
      <bottom/>
      <diagonal/>
    </border>
    <border>
      <left style="hair">
        <color indexed="21"/>
      </left>
      <right style="double">
        <color indexed="21"/>
      </right>
      <top style="hair">
        <color indexed="21"/>
      </top>
      <bottom style="hair">
        <color indexed="21"/>
      </bottom>
      <diagonal/>
    </border>
    <border>
      <left style="double">
        <color indexed="21"/>
      </left>
      <right/>
      <top style="hair">
        <color indexed="64"/>
      </top>
      <bottom style="hair">
        <color indexed="64"/>
      </bottom>
      <diagonal/>
    </border>
    <border>
      <left/>
      <right style="double">
        <color indexed="21"/>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hair">
        <color indexed="64"/>
      </right>
      <top style="hair">
        <color indexed="64"/>
      </top>
      <bottom style="hair">
        <color indexed="64"/>
      </bottom>
      <diagonal/>
    </border>
    <border>
      <left style="hair">
        <color theme="5"/>
      </left>
      <right style="thin">
        <color theme="5"/>
      </right>
      <top/>
      <bottom style="hair">
        <color theme="5"/>
      </bottom>
      <diagonal/>
    </border>
    <border>
      <left style="thin">
        <color indexed="22"/>
      </left>
      <right style="thin">
        <color indexed="22"/>
      </right>
      <top style="thin">
        <color indexed="22"/>
      </top>
      <bottom style="thin">
        <color indexed="22"/>
      </bottom>
      <diagonal/>
    </border>
    <border>
      <left style="thin">
        <color theme="0" tint="-0.34998626667073579"/>
      </left>
      <right style="thick">
        <color theme="0" tint="-0.34998626667073579"/>
      </right>
      <top style="thick">
        <color rgb="FFC0C0C0"/>
      </top>
      <bottom style="thick">
        <color rgb="FFC0C0C0"/>
      </bottom>
      <diagonal/>
    </border>
    <border>
      <left style="hair">
        <color indexed="64"/>
      </left>
      <right style="hair">
        <color indexed="64"/>
      </right>
      <top/>
      <bottom style="thin">
        <color indexed="22"/>
      </bottom>
      <diagonal/>
    </border>
    <border>
      <left style="thin">
        <color indexed="64"/>
      </left>
      <right/>
      <top style="thin">
        <color indexed="64"/>
      </top>
      <bottom style="thin">
        <color indexed="64"/>
      </bottom>
      <diagonal/>
    </border>
    <border>
      <left style="double">
        <color indexed="56"/>
      </left>
      <right style="thin">
        <color indexed="64"/>
      </right>
      <top style="thin">
        <color indexed="64"/>
      </top>
      <bottom style="dotted">
        <color indexed="56"/>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8"/>
      </top>
      <bottom style="thin">
        <color indexed="8"/>
      </bottom>
      <diagonal/>
    </border>
    <border>
      <left style="medium">
        <color indexed="64"/>
      </left>
      <right/>
      <top/>
      <bottom style="thin">
        <color auto="1"/>
      </bottom>
      <diagonal/>
    </border>
    <border>
      <left style="medium">
        <color indexed="64"/>
      </left>
      <right/>
      <top style="medium">
        <color indexed="64"/>
      </top>
      <bottom style="medium">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auto="1"/>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hair">
        <color theme="1" tint="0.499984740745262"/>
      </left>
      <right style="medium">
        <color theme="1" tint="0.499984740745262"/>
      </right>
      <top style="medium">
        <color theme="1" tint="0.499984740745262"/>
      </top>
      <bottom style="medium">
        <color theme="1" tint="0.499984740745262"/>
      </bottom>
      <diagonal/>
    </border>
    <border>
      <left style="thin">
        <color indexed="64"/>
      </left>
      <right/>
      <top style="thin">
        <color indexed="64"/>
      </top>
      <bottom style="medium">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style="double">
        <color indexed="64"/>
      </left>
      <right style="thin">
        <color auto="1"/>
      </right>
      <top style="thin">
        <color indexed="64"/>
      </top>
      <bottom/>
      <diagonal/>
    </border>
    <border>
      <left style="double">
        <color indexed="64"/>
      </left>
      <right style="thin">
        <color auto="1"/>
      </right>
      <top/>
      <bottom style="thin">
        <color auto="1"/>
      </bottom>
      <diagonal/>
    </border>
    <border>
      <left/>
      <right/>
      <top style="medium">
        <color indexed="64"/>
      </top>
      <bottom style="double">
        <color indexed="64"/>
      </bottom>
      <diagonal/>
    </border>
    <border>
      <left/>
      <right style="hair">
        <color indexed="64"/>
      </right>
      <top style="hair">
        <color indexed="64"/>
      </top>
      <bottom/>
      <diagonal/>
    </border>
    <border>
      <left style="double">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auto="1"/>
      </left>
      <right style="thin">
        <color auto="1"/>
      </right>
      <top style="thin">
        <color auto="1"/>
      </top>
      <bottom style="thin">
        <color auto="1"/>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right/>
      <top/>
      <bottom style="thin">
        <color indexed="64"/>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auto="1"/>
      </top>
      <bottom style="thin">
        <color auto="1"/>
      </bottom>
      <diagonal/>
    </border>
    <border>
      <left style="thin">
        <color indexed="64"/>
      </left>
      <right style="medium">
        <color indexed="64"/>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auto="1"/>
      </top>
      <bottom style="medium">
        <color indexed="64"/>
      </bottom>
      <diagonal/>
    </border>
    <border>
      <left style="thin">
        <color indexed="64"/>
      </left>
      <right style="thin">
        <color indexed="64"/>
      </right>
      <top style="thin">
        <color auto="1"/>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auto="1"/>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auto="1"/>
      </top>
      <bottom style="thin">
        <color indexed="64"/>
      </bottom>
      <diagonal/>
    </border>
    <border>
      <left/>
      <right style="thin">
        <color indexed="64"/>
      </right>
      <top style="thin">
        <color auto="1"/>
      </top>
      <bottom style="medium">
        <color indexed="64"/>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double">
        <color indexed="56"/>
      </left>
      <right style="thin">
        <color indexed="64"/>
      </right>
      <top style="thin">
        <color indexed="64"/>
      </top>
      <bottom style="dotted">
        <color indexed="56"/>
      </bottom>
      <diagonal/>
    </border>
    <border>
      <left style="thin">
        <color indexed="64"/>
      </left>
      <right style="thin">
        <color indexed="64"/>
      </right>
      <top style="thin">
        <color indexed="64"/>
      </top>
      <bottom style="thin">
        <color indexed="64"/>
      </bottom>
      <diagonal/>
    </border>
    <border>
      <left style="double">
        <color indexed="56"/>
      </left>
      <right style="thin">
        <color indexed="64"/>
      </right>
      <top style="thin">
        <color indexed="64"/>
      </top>
      <bottom style="dotted">
        <color indexed="56"/>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auto="1"/>
      </left>
      <right/>
      <top style="thin">
        <color auto="1"/>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auto="1"/>
      </top>
      <bottom/>
      <diagonal/>
    </border>
    <border>
      <left/>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auto="1"/>
      </top>
      <bottom/>
      <diagonal/>
    </border>
    <border>
      <left style="medium">
        <color indexed="64"/>
      </left>
      <right style="medium">
        <color indexed="64"/>
      </right>
      <top style="thin">
        <color auto="1"/>
      </top>
      <bottom/>
      <diagonal/>
    </border>
    <border>
      <left style="medium">
        <color theme="1" tint="0.499984740745262"/>
      </left>
      <right/>
      <top style="thin">
        <color indexed="64"/>
      </top>
      <bottom style="medium">
        <color theme="1" tint="0.499984740745262"/>
      </bottom>
      <diagonal/>
    </border>
    <border>
      <left style="medium">
        <color theme="1" tint="0.499984740745262"/>
      </left>
      <right/>
      <top/>
      <bottom style="medium">
        <color theme="1" tint="0.499984740745262"/>
      </bottom>
      <diagonal/>
    </border>
    <border>
      <left/>
      <right style="thin">
        <color indexed="64"/>
      </right>
      <top style="medium">
        <color indexed="64"/>
      </top>
      <bottom/>
      <diagonal/>
    </border>
    <border>
      <left/>
      <right style="thin">
        <color auto="1"/>
      </right>
      <top/>
      <bottom style="medium">
        <color indexed="64"/>
      </bottom>
      <diagonal/>
    </border>
    <border>
      <left style="medium">
        <color indexed="64"/>
      </left>
      <right/>
      <top style="thin">
        <color auto="1"/>
      </top>
      <bottom/>
      <diagonal/>
    </border>
    <border>
      <left style="thin">
        <color indexed="22"/>
      </left>
      <right/>
      <top style="thin">
        <color indexed="22"/>
      </top>
      <bottom style="thin">
        <color indexed="22"/>
      </bottom>
      <diagonal/>
    </border>
    <border>
      <left style="thin">
        <color indexed="22"/>
      </left>
      <right style="thin">
        <color indexed="22"/>
      </right>
      <top style="thin">
        <color indexed="22"/>
      </top>
      <bottom/>
      <diagonal/>
    </border>
    <border>
      <left style="medium">
        <color indexed="64"/>
      </left>
      <right/>
      <top style="medium">
        <color indexed="64"/>
      </top>
      <bottom style="thin">
        <color auto="1"/>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auto="1"/>
      </top>
      <bottom style="thin">
        <color indexed="64"/>
      </bottom>
      <diagonal/>
    </border>
    <border>
      <left style="medium">
        <color indexed="64"/>
      </left>
      <right/>
      <top style="thin">
        <color indexed="64"/>
      </top>
      <bottom style="thin">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diagonal/>
    </border>
    <border>
      <left/>
      <right/>
      <top/>
      <bottom style="medium">
        <color theme="1" tint="0.499984740745262"/>
      </bottom>
      <diagonal/>
    </border>
    <border>
      <left/>
      <right/>
      <top style="medium">
        <color theme="1" tint="0.499984740745262"/>
      </top>
      <bottom style="medium">
        <color theme="1" tint="0.499984740745262"/>
      </bottom>
      <diagonal/>
    </border>
    <border>
      <left/>
      <right style="thin">
        <color indexed="64"/>
      </right>
      <top style="thin">
        <color indexed="64"/>
      </top>
      <bottom style="thin">
        <color indexed="64"/>
      </bottom>
      <diagonal/>
    </border>
    <border>
      <left style="medium">
        <color indexed="64"/>
      </left>
      <right style="thin">
        <color indexed="64"/>
      </right>
      <top style="thin">
        <color auto="1"/>
      </top>
      <bottom style="thin">
        <color auto="1"/>
      </bottom>
      <diagonal/>
    </border>
    <border>
      <left style="thin">
        <color indexed="64"/>
      </left>
      <right style="medium">
        <color indexed="64"/>
      </right>
      <top style="thin">
        <color auto="1"/>
      </top>
      <bottom style="thin">
        <color auto="1"/>
      </bottom>
      <diagonal/>
    </border>
    <border>
      <left style="medium">
        <color indexed="64"/>
      </left>
      <right style="thin">
        <color indexed="64"/>
      </right>
      <top style="thin">
        <color auto="1"/>
      </top>
      <bottom style="thin">
        <color auto="1"/>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medium">
        <color indexed="64"/>
      </bottom>
      <diagonal/>
    </border>
  </borders>
  <cellStyleXfs count="156">
    <xf numFmtId="0" fontId="0" fillId="0" borderId="0"/>
    <xf numFmtId="169" fontId="29" fillId="0" borderId="0" applyFont="0" applyFill="0" applyBorder="0" applyAlignment="0" applyProtection="0"/>
    <xf numFmtId="169" fontId="30" fillId="0" borderId="0" applyNumberFormat="0" applyFill="0" applyBorder="0" applyAlignment="0" applyProtection="0">
      <alignment vertical="top"/>
      <protection locked="0"/>
    </xf>
    <xf numFmtId="169" fontId="31" fillId="0" borderId="0" applyNumberFormat="0" applyFill="0" applyBorder="0" applyAlignment="0" applyProtection="0">
      <alignment vertical="top"/>
      <protection locked="0"/>
    </xf>
    <xf numFmtId="166" fontId="29" fillId="0" borderId="0" applyFont="0" applyFill="0" applyBorder="0" applyAlignment="0" applyProtection="0"/>
    <xf numFmtId="166" fontId="29" fillId="0" borderId="0" applyFont="0" applyFill="0" applyBorder="0" applyAlignment="0" applyProtection="0"/>
    <xf numFmtId="166" fontId="32" fillId="0" borderId="0" applyFont="0" applyFill="0" applyBorder="0" applyAlignment="0" applyProtection="0"/>
    <xf numFmtId="169" fontId="21" fillId="0" borderId="0"/>
    <xf numFmtId="169" fontId="32" fillId="0" borderId="0"/>
    <xf numFmtId="169" fontId="32" fillId="0" borderId="0"/>
    <xf numFmtId="169" fontId="21" fillId="0" borderId="0"/>
    <xf numFmtId="9" fontId="29" fillId="0" borderId="0" applyFont="0" applyFill="0" applyBorder="0" applyAlignment="0" applyProtection="0"/>
    <xf numFmtId="170" fontId="22" fillId="5" borderId="14" applyFont="0" applyFill="0" applyBorder="0" applyAlignment="0" applyProtection="0">
      <alignment horizontal="right" vertical="center"/>
      <protection locked="0"/>
    </xf>
    <xf numFmtId="10" fontId="40" fillId="5" borderId="8" applyFont="0" applyFill="0" applyBorder="0" applyAlignment="0" applyProtection="0">
      <alignment horizontal="center" vertical="center"/>
      <protection locked="0"/>
    </xf>
    <xf numFmtId="9" fontId="25" fillId="0" borderId="0" applyFont="0" applyFill="0" applyBorder="0" applyAlignment="0" applyProtection="0"/>
    <xf numFmtId="169" fontId="54" fillId="0" borderId="0" applyNumberFormat="0" applyFill="0" applyBorder="0" applyAlignment="0" applyProtection="0"/>
    <xf numFmtId="15" fontId="55" fillId="0" borderId="0"/>
    <xf numFmtId="169" fontId="29" fillId="0" borderId="0" applyFont="0" applyFill="0" applyBorder="0" applyAlignment="0" applyProtection="0"/>
    <xf numFmtId="165" fontId="48"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4" fontId="56" fillId="0" borderId="57"/>
    <xf numFmtId="169" fontId="57" fillId="0" borderId="0"/>
    <xf numFmtId="169" fontId="21" fillId="0" borderId="0"/>
    <xf numFmtId="169" fontId="32" fillId="0" borderId="0"/>
    <xf numFmtId="169" fontId="58" fillId="0" borderId="0"/>
    <xf numFmtId="169" fontId="32" fillId="24" borderId="59" applyNumberFormat="0" applyFont="0" applyAlignment="0" applyProtection="0"/>
    <xf numFmtId="3" fontId="59" fillId="0" borderId="0" applyFont="0" applyFill="0" applyBorder="0" applyAlignment="0" applyProtection="0"/>
    <xf numFmtId="169" fontId="54" fillId="0" borderId="0" applyNumberFormat="0" applyFill="0" applyBorder="0" applyAlignment="0" applyProtection="0"/>
    <xf numFmtId="177" fontId="48" fillId="0" borderId="0" applyFont="0" applyFill="0" applyBorder="0" applyAlignment="0" applyProtection="0"/>
    <xf numFmtId="169" fontId="25" fillId="0" borderId="0"/>
    <xf numFmtId="166" fontId="21" fillId="0" borderId="0" applyFont="0" applyFill="0" applyBorder="0" applyAlignment="0" applyProtection="0"/>
    <xf numFmtId="9" fontId="21" fillId="0" borderId="0" applyFont="0" applyFill="0" applyBorder="0" applyAlignment="0" applyProtection="0"/>
    <xf numFmtId="169" fontId="29" fillId="0" borderId="0"/>
    <xf numFmtId="169" fontId="58" fillId="0" borderId="0"/>
    <xf numFmtId="0" fontId="199" fillId="48" borderId="201" applyNumberFormat="0" applyAlignment="0" applyProtection="0"/>
    <xf numFmtId="170" fontId="22" fillId="5" borderId="162" applyFont="0" applyFill="0" applyBorder="0" applyAlignment="0" applyProtection="0">
      <alignment horizontal="right" vertical="center"/>
      <protection locked="0"/>
    </xf>
    <xf numFmtId="10" fontId="40" fillId="5" borderId="177" applyFont="0" applyFill="0" applyBorder="0" applyAlignment="0" applyProtection="0">
      <alignment horizontal="center" vertical="center"/>
      <protection locked="0"/>
    </xf>
    <xf numFmtId="169" fontId="32" fillId="24" borderId="183" applyNumberFormat="0" applyFont="0" applyAlignment="0" applyProtection="0"/>
    <xf numFmtId="0" fontId="205" fillId="0" borderId="0"/>
    <xf numFmtId="0" fontId="32" fillId="0" borderId="0"/>
    <xf numFmtId="0" fontId="205" fillId="0" borderId="0"/>
    <xf numFmtId="166" fontId="32" fillId="0" borderId="0" applyFont="0" applyFill="0" applyBorder="0" applyAlignment="0" applyProtection="0"/>
    <xf numFmtId="0" fontId="32" fillId="0" borderId="0"/>
    <xf numFmtId="168" fontId="29" fillId="0" borderId="0" applyFont="0" applyFill="0" applyBorder="0" applyAlignment="0" applyProtection="0"/>
    <xf numFmtId="0" fontId="21" fillId="62" borderId="212" applyNumberFormat="0" applyFont="0" applyAlignment="0" applyProtection="0"/>
    <xf numFmtId="0" fontId="232" fillId="64" borderId="0" applyNumberFormat="0" applyBorder="0" applyAlignment="0" applyProtection="0"/>
    <xf numFmtId="0" fontId="29" fillId="0" borderId="0"/>
    <xf numFmtId="0" fontId="29" fillId="0" borderId="0"/>
    <xf numFmtId="166" fontId="21" fillId="0" borderId="0" applyFont="0" applyFill="0" applyBorder="0" applyAlignment="0" applyProtection="0"/>
    <xf numFmtId="169" fontId="31" fillId="0" borderId="0" applyNumberFormat="0" applyFill="0" applyBorder="0" applyAlignment="0" applyProtection="0">
      <alignment vertical="top"/>
      <protection locked="0"/>
    </xf>
    <xf numFmtId="0" fontId="265" fillId="64" borderId="0" applyNumberFormat="0" applyBorder="0" applyAlignment="0" applyProtection="0"/>
    <xf numFmtId="0" fontId="21" fillId="0" borderId="0"/>
    <xf numFmtId="9" fontId="21" fillId="0" borderId="0" applyFont="0" applyFill="0" applyBorder="0" applyAlignment="0" applyProtection="0"/>
    <xf numFmtId="167" fontId="21" fillId="0" borderId="0" applyFont="0" applyFill="0" applyBorder="0" applyAlignment="0" applyProtection="0"/>
    <xf numFmtId="0" fontId="222" fillId="0" borderId="0" applyNumberFormat="0" applyFill="0" applyBorder="0" applyAlignment="0" applyProtection="0"/>
    <xf numFmtId="170" fontId="22" fillId="5" borderId="331" applyFont="0" applyFill="0" applyBorder="0" applyAlignment="0" applyProtection="0">
      <alignment horizontal="right" vertical="center"/>
      <protection locked="0"/>
    </xf>
    <xf numFmtId="10" fontId="40" fillId="5" borderId="323" applyFont="0" applyFill="0" applyBorder="0" applyAlignment="0" applyProtection="0">
      <alignment horizontal="center" vertical="center"/>
      <protection locked="0"/>
    </xf>
    <xf numFmtId="43" fontId="29"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10" fontId="40" fillId="5" borderId="379" applyFont="0" applyFill="0" applyBorder="0" applyAlignment="0" applyProtection="0">
      <alignment horizontal="center" vertical="center"/>
      <protection locked="0"/>
    </xf>
    <xf numFmtId="41" fontId="29" fillId="0" borderId="0" applyFont="0" applyFill="0" applyBorder="0" applyAlignment="0" applyProtection="0"/>
    <xf numFmtId="41" fontId="29" fillId="0" borderId="0" applyFont="0" applyFill="0" applyBorder="0" applyAlignment="0" applyProtection="0"/>
    <xf numFmtId="4" fontId="56" fillId="0" borderId="383"/>
    <xf numFmtId="169" fontId="32" fillId="24" borderId="369" applyNumberFormat="0" applyFont="0" applyAlignment="0" applyProtection="0"/>
    <xf numFmtId="43" fontId="21" fillId="0" borderId="0" applyFont="0" applyFill="0" applyBorder="0" applyAlignment="0" applyProtection="0"/>
    <xf numFmtId="10" fontId="40" fillId="5" borderId="371" applyFont="0" applyFill="0" applyBorder="0" applyAlignment="0" applyProtection="0">
      <alignment horizontal="center" vertical="center"/>
      <protection locked="0"/>
    </xf>
    <xf numFmtId="169" fontId="32" fillId="24" borderId="369" applyNumberFormat="0" applyFont="0" applyAlignment="0" applyProtection="0"/>
    <xf numFmtId="43" fontId="32" fillId="0" borderId="0" applyFont="0" applyFill="0" applyBorder="0" applyAlignment="0" applyProtection="0"/>
    <xf numFmtId="168" fontId="21" fillId="0" borderId="0" applyFont="0" applyFill="0" applyBorder="0" applyAlignment="0" applyProtection="0"/>
    <xf numFmtId="10" fontId="40" fillId="5" borderId="379" applyFont="0" applyFill="0" applyBorder="0" applyAlignment="0" applyProtection="0">
      <alignment horizontal="center" vertical="center"/>
      <protection locked="0"/>
    </xf>
    <xf numFmtId="4" fontId="56" fillId="0" borderId="383"/>
    <xf numFmtId="169" fontId="32" fillId="24" borderId="369" applyNumberFormat="0" applyFont="0" applyAlignment="0" applyProtection="0"/>
    <xf numFmtId="10" fontId="40" fillId="5" borderId="379" applyFont="0" applyFill="0" applyBorder="0" applyAlignment="0" applyProtection="0">
      <alignment horizontal="center" vertical="center"/>
      <protection locked="0"/>
    </xf>
    <xf numFmtId="169" fontId="32" fillId="24" borderId="369" applyNumberFormat="0" applyFont="0" applyAlignment="0" applyProtection="0"/>
    <xf numFmtId="168" fontId="21" fillId="0" borderId="0" applyFont="0" applyFill="0" applyBorder="0" applyAlignment="0" applyProtection="0"/>
    <xf numFmtId="0" fontId="363" fillId="118" borderId="0" applyNumberFormat="0" applyBorder="0" applyAlignment="0" applyProtection="0"/>
    <xf numFmtId="0" fontId="364" fillId="119" borderId="375" applyNumberFormat="0" applyAlignment="0" applyProtection="0"/>
    <xf numFmtId="0" fontId="171" fillId="120" borderId="0" applyNumberFormat="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32" fillId="0" borderId="0" applyFont="0" applyFill="0" applyBorder="0" applyAlignment="0" applyProtection="0"/>
    <xf numFmtId="193" fontId="29" fillId="0" borderId="0" applyFont="0" applyFill="0" applyBorder="0" applyAlignment="0" applyProtection="0"/>
    <xf numFmtId="193" fontId="29" fillId="0" borderId="0" applyFont="0" applyFill="0" applyBorder="0" applyAlignment="0" applyProtection="0"/>
    <xf numFmtId="169" fontId="32" fillId="24" borderId="369" applyNumberFormat="0" applyFont="0" applyAlignment="0" applyProtection="0"/>
    <xf numFmtId="169" fontId="32" fillId="24" borderId="369" applyNumberFormat="0" applyFont="0" applyAlignment="0" applyProtection="0"/>
    <xf numFmtId="167" fontId="32" fillId="0" borderId="0" applyFont="0" applyFill="0" applyBorder="0" applyAlignment="0" applyProtection="0"/>
    <xf numFmtId="164" fontId="29" fillId="0" borderId="0" applyFont="0" applyFill="0" applyBorder="0" applyAlignment="0" applyProtection="0"/>
    <xf numFmtId="164" fontId="21" fillId="0" borderId="0" applyFont="0" applyFill="0" applyBorder="0" applyAlignment="0" applyProtection="0"/>
    <xf numFmtId="10" fontId="40" fillId="5" borderId="379" applyFont="0" applyFill="0" applyBorder="0" applyAlignment="0" applyProtection="0">
      <alignment horizontal="center" vertical="center"/>
      <protection locked="0"/>
    </xf>
    <xf numFmtId="169" fontId="32" fillId="24" borderId="369" applyNumberFormat="0" applyFont="0" applyAlignment="0" applyProtection="0"/>
    <xf numFmtId="10" fontId="40" fillId="5" borderId="379" applyFont="0" applyFill="0" applyBorder="0" applyAlignment="0" applyProtection="0">
      <alignment horizontal="center" vertical="center"/>
      <protection locked="0"/>
    </xf>
    <xf numFmtId="168" fontId="21" fillId="0" borderId="0" applyFont="0" applyFill="0" applyBorder="0" applyAlignment="0" applyProtection="0"/>
    <xf numFmtId="0" fontId="365" fillId="0" borderId="0"/>
    <xf numFmtId="10" fontId="40" fillId="5" borderId="379" applyFont="0" applyFill="0" applyBorder="0" applyAlignment="0" applyProtection="0">
      <alignment horizontal="center" vertical="center"/>
      <protection locked="0"/>
    </xf>
    <xf numFmtId="169" fontId="32" fillId="24" borderId="384" applyNumberFormat="0" applyFont="0" applyAlignment="0" applyProtection="0"/>
    <xf numFmtId="0" fontId="199" fillId="48" borderId="201" applyNumberFormat="0" applyAlignment="0" applyProtection="0"/>
    <xf numFmtId="10" fontId="40" fillId="5" borderId="379" applyFont="0" applyFill="0" applyBorder="0" applyAlignment="0" applyProtection="0">
      <alignment horizontal="center" vertical="center"/>
      <protection locked="0"/>
    </xf>
    <xf numFmtId="169" fontId="32" fillId="24" borderId="384" applyNumberFormat="0" applyFont="0" applyAlignment="0" applyProtection="0"/>
    <xf numFmtId="0" fontId="232" fillId="64" borderId="0" applyNumberFormat="0" applyBorder="0" applyAlignment="0" applyProtection="0"/>
    <xf numFmtId="0" fontId="29" fillId="0" borderId="0"/>
    <xf numFmtId="43" fontId="21" fillId="0" borderId="0" applyFont="0" applyFill="0" applyBorder="0" applyAlignment="0" applyProtection="0"/>
    <xf numFmtId="170" fontId="22" fillId="5" borderId="331" applyFont="0" applyFill="0" applyBorder="0" applyAlignment="0" applyProtection="0">
      <alignment horizontal="right" vertical="center"/>
      <protection locked="0"/>
    </xf>
    <xf numFmtId="10" fontId="40" fillId="5" borderId="379" applyFont="0" applyFill="0" applyBorder="0" applyAlignment="0" applyProtection="0">
      <alignment horizontal="center" vertical="center"/>
      <protection locked="0"/>
    </xf>
    <xf numFmtId="43" fontId="21" fillId="0" borderId="0" applyFont="0" applyFill="0" applyBorder="0" applyAlignment="0" applyProtection="0"/>
    <xf numFmtId="43" fontId="21" fillId="0" borderId="0" applyFont="0" applyFill="0" applyBorder="0" applyAlignment="0" applyProtection="0"/>
    <xf numFmtId="43" fontId="32" fillId="0" borderId="0" applyFont="0" applyFill="0" applyBorder="0" applyAlignment="0" applyProtection="0"/>
    <xf numFmtId="0" fontId="21" fillId="0" borderId="0"/>
    <xf numFmtId="0" fontId="1" fillId="0" borderId="0"/>
    <xf numFmtId="9" fontId="1"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169" fontId="32" fillId="24" borderId="385" applyNumberFormat="0" applyFont="0" applyAlignment="0" applyProtection="0"/>
    <xf numFmtId="41" fontId="29" fillId="0" borderId="0" applyFont="0" applyFill="0" applyBorder="0" applyAlignment="0" applyProtection="0"/>
    <xf numFmtId="41" fontId="29" fillId="0" borderId="0" applyFont="0" applyFill="0" applyBorder="0" applyAlignment="0" applyProtection="0"/>
    <xf numFmtId="10" fontId="40" fillId="5" borderId="386" applyFont="0" applyFill="0" applyBorder="0" applyAlignment="0" applyProtection="0">
      <alignment horizontal="center" vertical="center"/>
      <protection locked="0"/>
    </xf>
    <xf numFmtId="43" fontId="21" fillId="0" borderId="0" applyFont="0" applyFill="0" applyBorder="0" applyAlignment="0" applyProtection="0"/>
    <xf numFmtId="169" fontId="32" fillId="24" borderId="385" applyNumberFormat="0" applyFont="0" applyAlignment="0" applyProtection="0"/>
    <xf numFmtId="43" fontId="21" fillId="0" borderId="0" applyFont="0" applyFill="0" applyBorder="0" applyAlignment="0" applyProtection="0"/>
    <xf numFmtId="10" fontId="40" fillId="5" borderId="386" applyFont="0" applyFill="0" applyBorder="0" applyAlignment="0" applyProtection="0">
      <alignment horizontal="center" vertical="center"/>
      <protection locked="0"/>
    </xf>
    <xf numFmtId="169" fontId="32" fillId="24" borderId="385" applyNumberFormat="0" applyFont="0" applyAlignment="0" applyProtection="0"/>
    <xf numFmtId="43" fontId="32" fillId="0" borderId="0" applyFont="0" applyFill="0" applyBorder="0" applyAlignment="0" applyProtection="0"/>
    <xf numFmtId="10" fontId="40" fillId="5" borderId="379" applyFont="0" applyFill="0" applyBorder="0" applyAlignment="0" applyProtection="0">
      <alignment horizontal="center" vertical="center"/>
      <protection locked="0"/>
    </xf>
    <xf numFmtId="169" fontId="32" fillId="24" borderId="384" applyNumberFormat="0" applyFont="0" applyAlignment="0" applyProtection="0"/>
    <xf numFmtId="10" fontId="40" fillId="5" borderId="379" applyFont="0" applyFill="0" applyBorder="0" applyAlignment="0" applyProtection="0">
      <alignment horizontal="center" vertical="center"/>
      <protection locked="0"/>
    </xf>
    <xf numFmtId="169" fontId="32" fillId="24" borderId="384" applyNumberFormat="0" applyFont="0" applyAlignment="0" applyProtection="0"/>
    <xf numFmtId="10" fontId="40" fillId="5" borderId="386" applyFont="0" applyFill="0" applyBorder="0" applyAlignment="0" applyProtection="0">
      <alignment horizontal="center" vertical="center"/>
      <protection locked="0"/>
    </xf>
    <xf numFmtId="169" fontId="32" fillId="24" borderId="384" applyNumberFormat="0" applyFont="0" applyAlignment="0" applyProtection="0"/>
    <xf numFmtId="169" fontId="32" fillId="24" borderId="384" applyNumberFormat="0" applyFont="0" applyAlignment="0" applyProtection="0"/>
    <xf numFmtId="169" fontId="32" fillId="24" borderId="385" applyNumberFormat="0" applyFont="0" applyAlignment="0" applyProtection="0"/>
    <xf numFmtId="164" fontId="29" fillId="0" borderId="0" applyFont="0" applyFill="0" applyBorder="0" applyAlignment="0" applyProtection="0"/>
    <xf numFmtId="164" fontId="21" fillId="0" borderId="0" applyFont="0" applyFill="0" applyBorder="0" applyAlignment="0" applyProtection="0"/>
    <xf numFmtId="10" fontId="40" fillId="5" borderId="379" applyFont="0" applyFill="0" applyBorder="0" applyAlignment="0" applyProtection="0">
      <alignment horizontal="center" vertical="center"/>
      <protection locked="0"/>
    </xf>
    <xf numFmtId="169" fontId="32" fillId="24" borderId="384" applyNumberFormat="0" applyFont="0" applyAlignment="0" applyProtection="0"/>
    <xf numFmtId="10" fontId="40" fillId="5" borderId="379" applyFont="0" applyFill="0" applyBorder="0" applyAlignment="0" applyProtection="0">
      <alignment horizontal="center" vertical="center"/>
      <protection locked="0"/>
    </xf>
    <xf numFmtId="169" fontId="32" fillId="24" borderId="385" applyNumberFormat="0" applyFont="0" applyAlignment="0" applyProtection="0"/>
    <xf numFmtId="169" fontId="32" fillId="24" borderId="385" applyNumberFormat="0" applyFont="0" applyAlignment="0" applyProtection="0"/>
    <xf numFmtId="43" fontId="21" fillId="0" borderId="0" applyFont="0" applyFill="0" applyBorder="0" applyAlignment="0" applyProtection="0"/>
    <xf numFmtId="10" fontId="40" fillId="5" borderId="386" applyFont="0" applyFill="0" applyBorder="0" applyAlignment="0" applyProtection="0">
      <alignment horizontal="center" vertical="center"/>
      <protection locked="0"/>
    </xf>
    <xf numFmtId="43" fontId="21" fillId="0" borderId="0" applyFont="0" applyFill="0" applyBorder="0" applyAlignment="0" applyProtection="0"/>
    <xf numFmtId="43" fontId="21" fillId="0" borderId="0" applyFont="0" applyFill="0" applyBorder="0" applyAlignment="0" applyProtection="0"/>
    <xf numFmtId="43" fontId="32" fillId="0" borderId="0" applyFont="0" applyFill="0" applyBorder="0" applyAlignment="0" applyProtection="0"/>
    <xf numFmtId="10" fontId="40" fillId="5" borderId="386" applyFont="0" applyFill="0" applyBorder="0" applyAlignment="0" applyProtection="0">
      <alignment horizontal="center" vertical="center"/>
      <protection locked="0"/>
    </xf>
    <xf numFmtId="10" fontId="40" fillId="5" borderId="386" applyFont="0" applyFill="0" applyBorder="0" applyAlignment="0" applyProtection="0">
      <alignment horizontal="center" vertical="center"/>
      <protection locked="0"/>
    </xf>
    <xf numFmtId="10" fontId="40" fillId="5" borderId="386" applyFont="0" applyFill="0" applyBorder="0" applyAlignment="0" applyProtection="0">
      <alignment horizontal="center" vertical="center"/>
      <protection locked="0"/>
    </xf>
    <xf numFmtId="10" fontId="40" fillId="5" borderId="389" applyFont="0" applyFill="0" applyBorder="0" applyAlignment="0" applyProtection="0">
      <alignment horizontal="center" vertical="center"/>
      <protection locked="0"/>
    </xf>
    <xf numFmtId="169" fontId="32" fillId="24" borderId="397" applyNumberFormat="0" applyFont="0" applyAlignment="0" applyProtection="0"/>
    <xf numFmtId="43" fontId="21" fillId="0" borderId="0" applyFont="0" applyFill="0" applyBorder="0" applyAlignment="0" applyProtection="0"/>
    <xf numFmtId="170" fontId="22" fillId="5" borderId="399" applyFont="0" applyFill="0" applyBorder="0" applyAlignment="0" applyProtection="0">
      <alignment horizontal="right" vertical="center"/>
      <protection locked="0"/>
    </xf>
    <xf numFmtId="10" fontId="40" fillId="5" borderId="398" applyFont="0" applyFill="0" applyBorder="0" applyAlignment="0" applyProtection="0">
      <alignment horizontal="center" vertical="center"/>
      <protection locked="0"/>
    </xf>
    <xf numFmtId="169" fontId="32" fillId="24" borderId="397" applyNumberFormat="0" applyFont="0" applyAlignment="0" applyProtection="0"/>
    <xf numFmtId="170" fontId="22" fillId="5" borderId="401" applyFont="0" applyFill="0" applyBorder="0" applyAlignment="0" applyProtection="0">
      <alignment horizontal="right" vertical="center"/>
      <protection locked="0"/>
    </xf>
    <xf numFmtId="10" fontId="40" fillId="5" borderId="400" applyFont="0" applyFill="0" applyBorder="0" applyAlignment="0" applyProtection="0">
      <alignment horizontal="center" vertical="center"/>
      <protection locked="0"/>
    </xf>
    <xf numFmtId="0" fontId="222" fillId="0" borderId="0" applyNumberFormat="0" applyFill="0" applyBorder="0" applyAlignment="0" applyProtection="0"/>
  </cellStyleXfs>
  <cellXfs count="3780">
    <xf numFmtId="0" fontId="0" fillId="0" borderId="0" xfId="0"/>
    <xf numFmtId="0" fontId="17" fillId="0" borderId="0" xfId="0" applyFont="1"/>
    <xf numFmtId="0" fontId="16" fillId="0" borderId="0" xfId="0" applyFont="1" applyAlignment="1">
      <alignment horizontal="center" vertical="center" textRotation="90" wrapText="1"/>
    </xf>
    <xf numFmtId="0" fontId="15" fillId="0" borderId="0" xfId="0" applyFont="1" applyAlignment="1">
      <alignment vertical="center" wrapText="1"/>
    </xf>
    <xf numFmtId="0" fontId="15" fillId="0" borderId="4" xfId="0" applyFont="1" applyBorder="1" applyAlignment="1">
      <alignment horizontal="center" vertical="center" wrapText="1"/>
    </xf>
    <xf numFmtId="0" fontId="19" fillId="0" borderId="0" xfId="0" applyFont="1"/>
    <xf numFmtId="0" fontId="20" fillId="0" borderId="0" xfId="0" applyFont="1"/>
    <xf numFmtId="3" fontId="0" fillId="0" borderId="0" xfId="0" applyNumberFormat="1"/>
    <xf numFmtId="169" fontId="83" fillId="0" borderId="0" xfId="7" applyFont="1" applyProtection="1">
      <protection locked="0"/>
    </xf>
    <xf numFmtId="169" fontId="62" fillId="0" borderId="0" xfId="7" applyFont="1" applyAlignment="1" applyProtection="1">
      <alignment vertical="center"/>
      <protection locked="0"/>
    </xf>
    <xf numFmtId="0" fontId="83" fillId="0" borderId="0" xfId="0" applyFont="1"/>
    <xf numFmtId="169" fontId="90" fillId="0" borderId="0" xfId="7" applyFont="1" applyAlignment="1" applyProtection="1">
      <alignment horizontal="left"/>
      <protection locked="0"/>
    </xf>
    <xf numFmtId="3" fontId="62" fillId="0" borderId="0" xfId="7" applyNumberFormat="1" applyFont="1" applyAlignment="1" applyProtection="1">
      <alignment horizontal="right" vertical="center"/>
      <protection locked="0"/>
    </xf>
    <xf numFmtId="169" fontId="89" fillId="13" borderId="0" xfId="0" applyNumberFormat="1" applyFont="1" applyFill="1"/>
    <xf numFmtId="169" fontId="98" fillId="13" borderId="0" xfId="0" applyNumberFormat="1" applyFont="1" applyFill="1"/>
    <xf numFmtId="0" fontId="98" fillId="0" borderId="0" xfId="0" applyFont="1"/>
    <xf numFmtId="10" fontId="82" fillId="0" borderId="0" xfId="0" applyNumberFormat="1" applyFont="1"/>
    <xf numFmtId="169" fontId="99" fillId="0" borderId="0" xfId="0" applyNumberFormat="1" applyFont="1"/>
    <xf numFmtId="0" fontId="83" fillId="0" borderId="54" xfId="0" applyFont="1" applyBorder="1"/>
    <xf numFmtId="169" fontId="83" fillId="0" borderId="0" xfId="0" applyNumberFormat="1" applyFont="1"/>
    <xf numFmtId="169" fontId="62" fillId="4" borderId="8" xfId="0" applyNumberFormat="1" applyFont="1" applyFill="1" applyBorder="1" applyAlignment="1">
      <alignment horizontal="center"/>
    </xf>
    <xf numFmtId="169" fontId="61" fillId="4" borderId="8" xfId="0" applyNumberFormat="1" applyFont="1" applyFill="1" applyBorder="1" applyAlignment="1">
      <alignment horizontal="center"/>
    </xf>
    <xf numFmtId="174" fontId="62" fillId="14" borderId="27" xfId="0" applyNumberFormat="1" applyFont="1" applyFill="1" applyBorder="1" applyAlignment="1">
      <alignment vertical="center" wrapText="1"/>
    </xf>
    <xf numFmtId="174" fontId="62" fillId="14" borderId="27" xfId="7" applyNumberFormat="1" applyFont="1" applyFill="1" applyBorder="1" applyAlignment="1">
      <alignment vertical="center" wrapText="1"/>
    </xf>
    <xf numFmtId="169" fontId="101" fillId="0" borderId="0" xfId="0" applyNumberFormat="1" applyFont="1" applyAlignment="1">
      <alignment vertical="center"/>
    </xf>
    <xf numFmtId="169" fontId="61" fillId="14" borderId="22" xfId="0" applyNumberFormat="1" applyFont="1" applyFill="1" applyBorder="1" applyAlignment="1">
      <alignment horizontal="center" vertical="center" wrapText="1"/>
    </xf>
    <xf numFmtId="169" fontId="61" fillId="14" borderId="27" xfId="0" applyNumberFormat="1" applyFont="1" applyFill="1" applyBorder="1" applyAlignment="1">
      <alignment horizontal="justify" vertical="center"/>
    </xf>
    <xf numFmtId="174" fontId="62" fillId="14" borderId="8" xfId="7" applyNumberFormat="1" applyFont="1" applyFill="1" applyBorder="1" applyAlignment="1">
      <alignment vertical="center" wrapText="1"/>
    </xf>
    <xf numFmtId="0" fontId="102" fillId="0" borderId="0" xfId="0" applyFont="1"/>
    <xf numFmtId="169" fontId="61" fillId="14" borderId="27" xfId="0" applyNumberFormat="1" applyFont="1" applyFill="1" applyBorder="1" applyAlignment="1">
      <alignment horizontal="left" vertical="center"/>
    </xf>
    <xf numFmtId="169" fontId="61" fillId="14" borderId="8" xfId="0" applyNumberFormat="1" applyFont="1" applyFill="1" applyBorder="1" applyAlignment="1">
      <alignment horizontal="center" vertical="center" wrapText="1"/>
    </xf>
    <xf numFmtId="169" fontId="83" fillId="0" borderId="0" xfId="0" applyNumberFormat="1" applyFont="1" applyAlignment="1">
      <alignment vertical="center"/>
    </xf>
    <xf numFmtId="169" fontId="88" fillId="0" borderId="0" xfId="0" applyNumberFormat="1" applyFont="1" applyAlignment="1">
      <alignment vertical="center"/>
    </xf>
    <xf numFmtId="169" fontId="61" fillId="14" borderId="22" xfId="0" applyNumberFormat="1" applyFont="1" applyFill="1" applyBorder="1" applyAlignment="1">
      <alignment horizontal="justify" vertical="center"/>
    </xf>
    <xf numFmtId="174" fontId="62" fillId="15" borderId="8" xfId="0" applyNumberFormat="1" applyFont="1" applyFill="1" applyBorder="1" applyAlignment="1">
      <alignment vertical="center" wrapText="1"/>
    </xf>
    <xf numFmtId="174" fontId="62" fillId="15" borderId="8" xfId="7" applyNumberFormat="1" applyFont="1" applyFill="1" applyBorder="1" applyAlignment="1">
      <alignment vertical="center" wrapText="1"/>
    </xf>
    <xf numFmtId="0" fontId="83" fillId="0" borderId="0" xfId="0" applyFont="1" applyAlignment="1">
      <alignment horizontal="right" vertical="center"/>
    </xf>
    <xf numFmtId="10" fontId="91" fillId="0" borderId="0" xfId="0" applyNumberFormat="1" applyFont="1" applyAlignment="1">
      <alignment horizontal="right" vertical="center"/>
    </xf>
    <xf numFmtId="10" fontId="91" fillId="0" borderId="0" xfId="32" applyNumberFormat="1" applyFont="1" applyAlignment="1">
      <alignment horizontal="right" vertical="center"/>
    </xf>
    <xf numFmtId="0" fontId="62" fillId="0" borderId="8" xfId="0" applyFont="1" applyBorder="1" applyAlignment="1">
      <alignment horizontal="left"/>
    </xf>
    <xf numFmtId="3" fontId="62" fillId="0" borderId="33" xfId="12" applyNumberFormat="1" applyFont="1" applyFill="1" applyBorder="1" applyAlignment="1" applyProtection="1">
      <alignment horizontal="right"/>
    </xf>
    <xf numFmtId="3" fontId="62" fillId="0" borderId="8" xfId="0" applyNumberFormat="1" applyFont="1" applyBorder="1" applyAlignment="1">
      <alignment horizontal="right"/>
    </xf>
    <xf numFmtId="3" fontId="62" fillId="0" borderId="8" xfId="12" applyNumberFormat="1" applyFont="1" applyFill="1" applyBorder="1" applyAlignment="1" applyProtection="1">
      <alignment horizontal="right"/>
    </xf>
    <xf numFmtId="3" fontId="91" fillId="20" borderId="8" xfId="0" applyNumberFormat="1" applyFont="1" applyFill="1" applyBorder="1" applyAlignment="1">
      <alignment horizontal="right"/>
    </xf>
    <xf numFmtId="0" fontId="83" fillId="0" borderId="0" xfId="0" quotePrefix="1" applyFont="1"/>
    <xf numFmtId="181" fontId="62" fillId="0" borderId="8" xfId="13" applyNumberFormat="1" applyFont="1" applyFill="1" applyBorder="1" applyAlignment="1" applyProtection="1">
      <alignment horizontal="right"/>
    </xf>
    <xf numFmtId="10" fontId="62" fillId="12" borderId="8" xfId="13" applyFont="1" applyFill="1" applyBorder="1" applyAlignment="1" applyProtection="1">
      <alignment horizontal="right"/>
    </xf>
    <xf numFmtId="0" fontId="91" fillId="0" borderId="0" xfId="0" applyFont="1"/>
    <xf numFmtId="3" fontId="89" fillId="20" borderId="8" xfId="0" applyNumberFormat="1" applyFont="1" applyFill="1" applyBorder="1" applyAlignment="1">
      <alignment horizontal="right"/>
    </xf>
    <xf numFmtId="0" fontId="62" fillId="0" borderId="0" xfId="0" applyFont="1" applyAlignment="1">
      <alignment horizontal="left"/>
    </xf>
    <xf numFmtId="0" fontId="62" fillId="0" borderId="0" xfId="0" applyFont="1" applyAlignment="1">
      <alignment horizontal="right"/>
    </xf>
    <xf numFmtId="0" fontId="83" fillId="11" borderId="8" xfId="0" applyFont="1" applyFill="1" applyBorder="1" applyAlignment="1">
      <alignment horizontal="center"/>
    </xf>
    <xf numFmtId="174" fontId="83" fillId="12" borderId="8" xfId="0" applyNumberFormat="1" applyFont="1" applyFill="1" applyBorder="1"/>
    <xf numFmtId="0" fontId="62" fillId="0" borderId="8" xfId="0" applyFont="1" applyBorder="1" applyAlignment="1">
      <alignment horizontal="left" wrapText="1"/>
    </xf>
    <xf numFmtId="3" fontId="62" fillId="0" borderId="0" xfId="0" applyNumberFormat="1" applyFont="1" applyAlignment="1">
      <alignment horizontal="right"/>
    </xf>
    <xf numFmtId="0" fontId="62" fillId="0" borderId="0" xfId="0" applyFont="1"/>
    <xf numFmtId="169" fontId="85" fillId="4" borderId="8" xfId="7" applyFont="1" applyFill="1" applyBorder="1" applyAlignment="1" applyProtection="1">
      <alignment horizontal="center" vertical="center" wrapText="1"/>
      <protection locked="0"/>
    </xf>
    <xf numFmtId="166" fontId="61" fillId="4" borderId="8" xfId="31" applyFont="1" applyFill="1" applyBorder="1" applyAlignment="1">
      <alignment horizontal="center" vertical="center"/>
    </xf>
    <xf numFmtId="169" fontId="62" fillId="4" borderId="8" xfId="0" applyNumberFormat="1" applyFont="1" applyFill="1" applyBorder="1" applyAlignment="1">
      <alignment horizontal="center" vertical="center"/>
    </xf>
    <xf numFmtId="0" fontId="62" fillId="4" borderId="15" xfId="0" applyFont="1" applyFill="1" applyBorder="1" applyAlignment="1">
      <alignment horizontal="center" vertical="center" wrapText="1"/>
    </xf>
    <xf numFmtId="169" fontId="61" fillId="4" borderId="15" xfId="0" applyNumberFormat="1" applyFont="1" applyFill="1" applyBorder="1" applyAlignment="1">
      <alignment horizontal="center" vertical="center"/>
    </xf>
    <xf numFmtId="0" fontId="83" fillId="0" borderId="0" xfId="0" applyFont="1" applyAlignment="1">
      <alignment vertical="center"/>
    </xf>
    <xf numFmtId="169" fontId="89" fillId="4" borderId="8" xfId="0" applyNumberFormat="1" applyFont="1" applyFill="1" applyBorder="1" applyAlignment="1">
      <alignment horizontal="center" vertical="center"/>
    </xf>
    <xf numFmtId="0" fontId="92" fillId="0" borderId="0" xfId="0" applyFont="1"/>
    <xf numFmtId="0" fontId="83" fillId="0" borderId="120" xfId="0" applyFont="1" applyBorder="1"/>
    <xf numFmtId="0" fontId="83" fillId="0" borderId="123" xfId="0" applyFont="1" applyBorder="1"/>
    <xf numFmtId="0" fontId="0" fillId="0" borderId="123" xfId="0" applyBorder="1"/>
    <xf numFmtId="169" fontId="82" fillId="0" borderId="0" xfId="7" applyFont="1" applyAlignment="1" applyProtection="1">
      <alignment horizontal="left" vertical="center"/>
      <protection locked="0"/>
    </xf>
    <xf numFmtId="0" fontId="108" fillId="0" borderId="0" xfId="0" applyFont="1" applyAlignment="1">
      <alignment vertical="center"/>
    </xf>
    <xf numFmtId="0" fontId="83" fillId="0" borderId="8" xfId="0" applyFont="1" applyBorder="1"/>
    <xf numFmtId="3" fontId="83" fillId="0" borderId="8" xfId="0" applyNumberFormat="1" applyFont="1" applyBorder="1"/>
    <xf numFmtId="0" fontId="91" fillId="0" borderId="8" xfId="0" applyFont="1" applyBorder="1" applyAlignment="1">
      <alignment horizontal="right"/>
    </xf>
    <xf numFmtId="0" fontId="86" fillId="0" borderId="0" xfId="0" applyFont="1" applyAlignment="1">
      <alignment horizontal="left"/>
    </xf>
    <xf numFmtId="0" fontId="83" fillId="0" borderId="8" xfId="0" applyFont="1" applyBorder="1" applyAlignment="1">
      <alignment wrapText="1"/>
    </xf>
    <xf numFmtId="3" fontId="91" fillId="0" borderId="0" xfId="0" applyNumberFormat="1" applyFont="1"/>
    <xf numFmtId="0" fontId="108" fillId="0" borderId="0" xfId="0" applyFont="1"/>
    <xf numFmtId="0" fontId="62" fillId="0" borderId="8" xfId="0" applyFont="1" applyBorder="1" applyAlignment="1">
      <alignment horizontal="left" vertical="center" wrapText="1"/>
    </xf>
    <xf numFmtId="0" fontId="0" fillId="0" borderId="0" xfId="0" applyAlignment="1">
      <alignment vertical="center"/>
    </xf>
    <xf numFmtId="0" fontId="91" fillId="0" borderId="0" xfId="0" applyFont="1" applyAlignment="1">
      <alignment vertical="center"/>
    </xf>
    <xf numFmtId="170" fontId="61" fillId="0" borderId="8" xfId="12" applyFont="1" applyFill="1" applyBorder="1" applyAlignment="1" applyProtection="1">
      <alignment horizontal="right"/>
      <protection locked="0"/>
    </xf>
    <xf numFmtId="170" fontId="62" fillId="0" borderId="8" xfId="12" applyFont="1" applyFill="1" applyBorder="1" applyAlignment="1" applyProtection="1">
      <alignment horizontal="right" vertical="center"/>
      <protection locked="0"/>
    </xf>
    <xf numFmtId="170" fontId="61" fillId="0" borderId="8" xfId="12" applyFont="1" applyFill="1" applyBorder="1" applyAlignment="1" applyProtection="1">
      <protection locked="0"/>
    </xf>
    <xf numFmtId="171" fontId="62" fillId="0" borderId="8" xfId="12" applyNumberFormat="1" applyFont="1" applyFill="1" applyBorder="1" applyAlignment="1" applyProtection="1">
      <alignment horizontal="center" vertical="center"/>
      <protection locked="0"/>
    </xf>
    <xf numFmtId="170" fontId="89" fillId="16" borderId="8" xfId="12" applyFont="1" applyFill="1" applyBorder="1" applyAlignment="1" applyProtection="1">
      <alignment horizontal="center" vertical="center"/>
      <protection locked="0"/>
    </xf>
    <xf numFmtId="171" fontId="62" fillId="0" borderId="8" xfId="12" applyNumberFormat="1" applyFont="1" applyFill="1" applyBorder="1" applyAlignment="1" applyProtection="1">
      <alignment horizontal="right" vertical="center"/>
      <protection locked="0"/>
    </xf>
    <xf numFmtId="171" fontId="85" fillId="16" borderId="8" xfId="12" applyNumberFormat="1" applyFont="1" applyFill="1" applyBorder="1" applyAlignment="1" applyProtection="1">
      <alignment horizontal="right" vertical="center"/>
      <protection locked="0"/>
    </xf>
    <xf numFmtId="171" fontId="85" fillId="34" borderId="8" xfId="12" applyNumberFormat="1" applyFont="1" applyFill="1" applyBorder="1" applyAlignment="1" applyProtection="1">
      <alignment horizontal="right" vertical="center"/>
      <protection locked="0"/>
    </xf>
    <xf numFmtId="171" fontId="62" fillId="35" borderId="8" xfId="12" applyNumberFormat="1" applyFont="1" applyFill="1" applyBorder="1" applyAlignment="1" applyProtection="1">
      <alignment horizontal="right" vertical="center"/>
      <protection locked="0"/>
    </xf>
    <xf numFmtId="170" fontId="62" fillId="35" borderId="8" xfId="12" applyFont="1" applyFill="1" applyBorder="1" applyAlignment="1" applyProtection="1">
      <alignment horizontal="right" vertical="center"/>
      <protection locked="0"/>
    </xf>
    <xf numFmtId="170" fontId="85" fillId="34" borderId="8" xfId="12" applyFont="1" applyFill="1" applyBorder="1" applyAlignment="1" applyProtection="1">
      <alignment horizontal="right" vertical="center"/>
      <protection locked="0"/>
    </xf>
    <xf numFmtId="170" fontId="85" fillId="16" borderId="8" xfId="12" applyFont="1" applyFill="1" applyBorder="1" applyAlignment="1" applyProtection="1">
      <alignment horizontal="right" vertical="center"/>
      <protection locked="0"/>
    </xf>
    <xf numFmtId="179" fontId="85" fillId="0" borderId="8" xfId="12" applyNumberFormat="1" applyFont="1" applyFill="1" applyBorder="1" applyAlignment="1" applyProtection="1">
      <alignment horizontal="right" vertical="center"/>
      <protection locked="0"/>
    </xf>
    <xf numFmtId="170" fontId="118" fillId="0" borderId="8" xfId="12" applyFont="1" applyFill="1" applyBorder="1" applyAlignment="1" applyProtection="1">
      <alignment horizontal="right" vertical="center"/>
      <protection locked="0"/>
    </xf>
    <xf numFmtId="10" fontId="62" fillId="0" borderId="8" xfId="13" applyFont="1" applyFill="1" applyBorder="1" applyAlignment="1" applyProtection="1">
      <alignment horizontal="right" vertical="center"/>
      <protection locked="0"/>
    </xf>
    <xf numFmtId="10" fontId="118" fillId="0" borderId="8" xfId="13" applyFont="1" applyFill="1" applyBorder="1" applyAlignment="1" applyProtection="1">
      <alignment horizontal="right" vertical="center"/>
      <protection locked="0"/>
    </xf>
    <xf numFmtId="184" fontId="62" fillId="0" borderId="8" xfId="12" applyNumberFormat="1" applyFont="1" applyFill="1" applyBorder="1" applyAlignment="1" applyProtection="1">
      <alignment horizontal="right" vertical="center"/>
      <protection locked="0"/>
    </xf>
    <xf numFmtId="180" fontId="62" fillId="0" borderId="8" xfId="12" applyNumberFormat="1" applyFont="1" applyFill="1" applyBorder="1" applyAlignment="1" applyProtection="1">
      <alignment horizontal="right"/>
    </xf>
    <xf numFmtId="3" fontId="62" fillId="0" borderId="33" xfId="12" applyNumberFormat="1" applyFont="1" applyFill="1" applyBorder="1" applyAlignment="1" applyProtection="1"/>
    <xf numFmtId="0" fontId="89" fillId="11" borderId="8" xfId="0" applyFont="1" applyFill="1" applyBorder="1"/>
    <xf numFmtId="3" fontId="62" fillId="0" borderId="33" xfId="12" applyNumberFormat="1" applyFont="1" applyFill="1" applyBorder="1" applyAlignment="1" applyProtection="1">
      <alignment horizontal="left"/>
    </xf>
    <xf numFmtId="4" fontId="62" fillId="0" borderId="8" xfId="12" applyNumberFormat="1" applyFont="1" applyFill="1" applyBorder="1" applyAlignment="1" applyProtection="1">
      <alignment horizontal="right"/>
    </xf>
    <xf numFmtId="169" fontId="61" fillId="39" borderId="8" xfId="0" applyNumberFormat="1" applyFont="1" applyFill="1" applyBorder="1" applyAlignment="1">
      <alignment horizontal="left"/>
    </xf>
    <xf numFmtId="3" fontId="62" fillId="0" borderId="8" xfId="12" applyNumberFormat="1" applyFont="1" applyFill="1" applyBorder="1" applyAlignment="1" applyProtection="1"/>
    <xf numFmtId="0" fontId="125" fillId="0" borderId="0" xfId="0" applyFont="1"/>
    <xf numFmtId="0" fontId="65" fillId="0" borderId="0" xfId="0" applyFont="1"/>
    <xf numFmtId="185" fontId="0" fillId="0" borderId="0" xfId="0" applyNumberFormat="1"/>
    <xf numFmtId="0" fontId="61" fillId="11" borderId="8" xfId="0" applyFont="1" applyFill="1" applyBorder="1" applyAlignment="1">
      <alignment horizontal="center"/>
    </xf>
    <xf numFmtId="3" fontId="83" fillId="0" borderId="8" xfId="0" quotePrefix="1" applyNumberFormat="1" applyFont="1" applyBorder="1"/>
    <xf numFmtId="0" fontId="93" fillId="0" borderId="0" xfId="0" applyFont="1"/>
    <xf numFmtId="3" fontId="62" fillId="2" borderId="8" xfId="0" applyNumberFormat="1" applyFont="1" applyFill="1" applyBorder="1" applyAlignment="1">
      <alignment horizontal="right"/>
    </xf>
    <xf numFmtId="3" fontId="62" fillId="2" borderId="28" xfId="0" applyNumberFormat="1" applyFont="1" applyFill="1" applyBorder="1" applyAlignment="1">
      <alignment horizontal="right"/>
    </xf>
    <xf numFmtId="0" fontId="121" fillId="0" borderId="0" xfId="0" applyFont="1" applyAlignment="1">
      <alignment vertical="center"/>
    </xf>
    <xf numFmtId="0" fontId="118" fillId="0" borderId="8" xfId="0" applyFont="1" applyBorder="1" applyAlignment="1">
      <alignment horizontal="left"/>
    </xf>
    <xf numFmtId="0" fontId="108" fillId="0" borderId="123" xfId="0" applyFont="1" applyBorder="1" applyAlignment="1">
      <alignment vertical="center"/>
    </xf>
    <xf numFmtId="169" fontId="61" fillId="4" borderId="8" xfId="0" applyNumberFormat="1" applyFont="1" applyFill="1" applyBorder="1" applyAlignment="1">
      <alignment horizontal="center" vertical="center" wrapText="1"/>
    </xf>
    <xf numFmtId="169" fontId="62" fillId="29" borderId="12" xfId="7" applyFont="1" applyFill="1" applyBorder="1" applyAlignment="1" applyProtection="1">
      <alignment horizontal="left" vertical="center" wrapText="1" indent="2"/>
      <protection locked="0"/>
    </xf>
    <xf numFmtId="3" fontId="62" fillId="29" borderId="12" xfId="12" quotePrefix="1" applyNumberFormat="1" applyFont="1" applyFill="1" applyBorder="1" applyAlignment="1" applyProtection="1">
      <alignment horizontal="right" vertical="center"/>
      <protection locked="0"/>
    </xf>
    <xf numFmtId="169" fontId="83" fillId="39" borderId="32" xfId="7" applyFont="1" applyFill="1" applyBorder="1" applyAlignment="1">
      <alignment horizontal="centerContinuous"/>
    </xf>
    <xf numFmtId="169" fontId="86" fillId="3" borderId="12" xfId="7" applyFont="1" applyFill="1" applyBorder="1" applyAlignment="1">
      <alignment vertical="center" wrapText="1"/>
    </xf>
    <xf numFmtId="169" fontId="105" fillId="0" borderId="101" xfId="7" applyFont="1" applyBorder="1" applyAlignment="1">
      <alignment vertical="center" wrapText="1"/>
    </xf>
    <xf numFmtId="169" fontId="89" fillId="19" borderId="12" xfId="7" applyFont="1" applyFill="1" applyBorder="1" applyAlignment="1">
      <alignment horizontal="center" vertical="center"/>
    </xf>
    <xf numFmtId="169" fontId="89" fillId="29" borderId="12" xfId="7" applyFont="1" applyFill="1" applyBorder="1" applyAlignment="1">
      <alignment horizontal="center" vertical="center"/>
    </xf>
    <xf numFmtId="0" fontId="62" fillId="0" borderId="8" xfId="0" applyFont="1" applyBorder="1" applyAlignment="1">
      <alignment horizontal="center"/>
    </xf>
    <xf numFmtId="0" fontId="83" fillId="0" borderId="8" xfId="0" applyFont="1" applyBorder="1" applyAlignment="1">
      <alignment horizontal="center" vertical="center"/>
    </xf>
    <xf numFmtId="169" fontId="83" fillId="0" borderId="0" xfId="7" applyFont="1"/>
    <xf numFmtId="169" fontId="62" fillId="0" borderId="0" xfId="7" applyFont="1" applyAlignment="1">
      <alignment vertical="center"/>
    </xf>
    <xf numFmtId="169" fontId="82" fillId="0" borderId="0" xfId="7" applyFont="1" applyAlignment="1">
      <alignment horizontal="left" vertical="center"/>
    </xf>
    <xf numFmtId="169" fontId="90" fillId="0" borderId="0" xfId="7" applyFont="1" applyAlignment="1">
      <alignment horizontal="left"/>
    </xf>
    <xf numFmtId="169" fontId="82" fillId="0" borderId="0" xfId="7" applyFont="1" applyAlignment="1">
      <alignment horizontal="left"/>
    </xf>
    <xf numFmtId="169" fontId="86" fillId="0" borderId="0" xfId="7" applyFont="1" applyAlignment="1">
      <alignment vertical="center" wrapText="1"/>
    </xf>
    <xf numFmtId="0" fontId="83" fillId="0" borderId="0" xfId="0" applyFont="1" applyAlignment="1">
      <alignment vertical="top" wrapText="1"/>
    </xf>
    <xf numFmtId="169" fontId="83" fillId="0" borderId="0" xfId="7" applyFont="1" applyAlignment="1">
      <alignment vertical="top" wrapText="1"/>
    </xf>
    <xf numFmtId="169" fontId="62" fillId="0" borderId="0" xfId="7" applyFont="1" applyAlignment="1">
      <alignment vertical="top" wrapText="1"/>
    </xf>
    <xf numFmtId="169" fontId="86" fillId="0" borderId="0" xfId="7" applyFont="1" applyAlignment="1">
      <alignment vertical="top" wrapText="1"/>
    </xf>
    <xf numFmtId="3" fontId="83" fillId="0" borderId="0" xfId="0" applyNumberFormat="1" applyFont="1"/>
    <xf numFmtId="169" fontId="85" fillId="4" borderId="8" xfId="7" applyFont="1" applyFill="1" applyBorder="1" applyAlignment="1">
      <alignment horizontal="center" vertical="center" wrapText="1"/>
    </xf>
    <xf numFmtId="3" fontId="62" fillId="0" borderId="0" xfId="7" applyNumberFormat="1" applyFont="1" applyAlignment="1">
      <alignment horizontal="right" vertical="center"/>
    </xf>
    <xf numFmtId="169" fontId="62" fillId="0" borderId="0" xfId="7" applyFont="1" applyAlignment="1">
      <alignment horizontal="right" vertical="center"/>
    </xf>
    <xf numFmtId="3" fontId="91" fillId="20" borderId="8" xfId="0" applyNumberFormat="1" applyFont="1" applyFill="1" applyBorder="1"/>
    <xf numFmtId="3" fontId="62" fillId="5" borderId="8" xfId="0" applyNumberFormat="1" applyFont="1" applyFill="1" applyBorder="1" applyAlignment="1" applyProtection="1">
      <alignment horizontal="center" vertical="center" wrapText="1"/>
      <protection locked="0"/>
    </xf>
    <xf numFmtId="3" fontId="62" fillId="0" borderId="8" xfId="12" applyNumberFormat="1" applyFont="1" applyFill="1" applyBorder="1" applyAlignment="1" applyProtection="1">
      <alignment horizontal="left" vertical="center" wrapText="1"/>
    </xf>
    <xf numFmtId="0" fontId="83" fillId="0" borderId="8" xfId="0" applyFont="1" applyBorder="1" applyAlignment="1">
      <alignment horizontal="right"/>
    </xf>
    <xf numFmtId="169" fontId="89" fillId="0" borderId="24" xfId="0" applyNumberFormat="1" applyFont="1" applyBorder="1" applyAlignment="1">
      <alignment horizontal="center" vertical="center" wrapText="1"/>
    </xf>
    <xf numFmtId="169" fontId="61" fillId="0" borderId="0" xfId="0" applyNumberFormat="1" applyFont="1" applyAlignment="1" applyProtection="1">
      <alignment horizontal="center"/>
      <protection locked="0"/>
    </xf>
    <xf numFmtId="169" fontId="61" fillId="0" borderId="0" xfId="0" applyNumberFormat="1" applyFont="1" applyProtection="1">
      <protection locked="0"/>
    </xf>
    <xf numFmtId="169" fontId="61" fillId="0" borderId="0" xfId="0" applyNumberFormat="1" applyFont="1" applyAlignment="1" applyProtection="1">
      <alignment horizontal="center" vertical="center"/>
      <protection locked="0"/>
    </xf>
    <xf numFmtId="3" fontId="62" fillId="19" borderId="70" xfId="12" applyNumberFormat="1" applyFont="1" applyFill="1" applyBorder="1" applyAlignment="1" applyProtection="1">
      <alignment vertical="center"/>
      <protection locked="0"/>
    </xf>
    <xf numFmtId="3" fontId="62" fillId="10" borderId="92" xfId="12" applyNumberFormat="1" applyFont="1" applyFill="1" applyBorder="1" applyAlignment="1" applyProtection="1">
      <alignment vertical="center" wrapText="1"/>
      <protection locked="0"/>
    </xf>
    <xf numFmtId="3" fontId="62" fillId="28" borderId="71" xfId="12" applyNumberFormat="1" applyFont="1" applyFill="1" applyBorder="1" applyAlignment="1" applyProtection="1">
      <alignment vertical="center"/>
      <protection locked="0"/>
    </xf>
    <xf numFmtId="3" fontId="62" fillId="29" borderId="70" xfId="12" applyNumberFormat="1" applyFont="1" applyFill="1" applyBorder="1" applyAlignment="1" applyProtection="1">
      <alignment vertical="center"/>
      <protection locked="0"/>
    </xf>
    <xf numFmtId="3" fontId="62" fillId="29" borderId="71" xfId="12" applyNumberFormat="1" applyFont="1" applyFill="1" applyBorder="1" applyAlignment="1" applyProtection="1">
      <alignment vertical="center"/>
      <protection locked="0"/>
    </xf>
    <xf numFmtId="3" fontId="118" fillId="19" borderId="40" xfId="12" applyNumberFormat="1" applyFont="1" applyFill="1" applyBorder="1" applyAlignment="1" applyProtection="1">
      <alignment vertical="center"/>
      <protection locked="0"/>
    </xf>
    <xf numFmtId="3" fontId="62" fillId="10" borderId="22" xfId="12" applyNumberFormat="1" applyFont="1" applyFill="1" applyBorder="1" applyAlignment="1" applyProtection="1">
      <alignment vertical="center" wrapText="1"/>
      <protection locked="0"/>
    </xf>
    <xf numFmtId="3" fontId="118" fillId="28" borderId="41" xfId="12" applyNumberFormat="1" applyFont="1" applyFill="1" applyBorder="1" applyAlignment="1" applyProtection="1">
      <alignment vertical="center"/>
      <protection locked="0"/>
    </xf>
    <xf numFmtId="3" fontId="118" fillId="29" borderId="40" xfId="12" applyNumberFormat="1" applyFont="1" applyFill="1" applyBorder="1" applyAlignment="1" applyProtection="1">
      <alignment vertical="center"/>
      <protection locked="0"/>
    </xf>
    <xf numFmtId="3" fontId="118" fillId="29" borderId="41" xfId="12" applyNumberFormat="1" applyFont="1" applyFill="1" applyBorder="1" applyAlignment="1" applyProtection="1">
      <alignment vertical="center"/>
      <protection locked="0"/>
    </xf>
    <xf numFmtId="3" fontId="118" fillId="10" borderId="41" xfId="12" applyNumberFormat="1" applyFont="1" applyFill="1" applyBorder="1" applyAlignment="1" applyProtection="1">
      <alignment vertical="center" wrapText="1"/>
      <protection locked="0"/>
    </xf>
    <xf numFmtId="3" fontId="118" fillId="19" borderId="42" xfId="12" applyNumberFormat="1" applyFont="1" applyFill="1" applyBorder="1" applyAlignment="1" applyProtection="1">
      <alignment vertical="center"/>
      <protection locked="0"/>
    </xf>
    <xf numFmtId="3" fontId="62" fillId="10" borderId="9" xfId="12" applyNumberFormat="1" applyFont="1" applyFill="1" applyBorder="1" applyAlignment="1" applyProtection="1">
      <alignment vertical="center" wrapText="1"/>
      <protection locked="0"/>
    </xf>
    <xf numFmtId="3" fontId="118" fillId="28" borderId="43" xfId="12" applyNumberFormat="1" applyFont="1" applyFill="1" applyBorder="1" applyAlignment="1" applyProtection="1">
      <alignment vertical="center"/>
      <protection locked="0"/>
    </xf>
    <xf numFmtId="3" fontId="118" fillId="29" borderId="42" xfId="12" applyNumberFormat="1" applyFont="1" applyFill="1" applyBorder="1" applyAlignment="1" applyProtection="1">
      <alignment vertical="center"/>
      <protection locked="0"/>
    </xf>
    <xf numFmtId="3" fontId="118" fillId="29" borderId="43" xfId="12" applyNumberFormat="1" applyFont="1" applyFill="1" applyBorder="1" applyAlignment="1" applyProtection="1">
      <alignment vertical="center"/>
      <protection locked="0"/>
    </xf>
    <xf numFmtId="3" fontId="62" fillId="19" borderId="44" xfId="12" applyNumberFormat="1" applyFont="1" applyFill="1" applyBorder="1" applyAlignment="1" applyProtection="1">
      <alignment vertical="center"/>
      <protection locked="0"/>
    </xf>
    <xf numFmtId="3" fontId="62" fillId="10" borderId="45" xfId="12" applyNumberFormat="1" applyFont="1" applyFill="1" applyBorder="1" applyAlignment="1" applyProtection="1">
      <alignment vertical="center" wrapText="1"/>
      <protection locked="0"/>
    </xf>
    <xf numFmtId="3" fontId="62" fillId="29" borderId="44" xfId="12" applyNumberFormat="1" applyFont="1" applyFill="1" applyBorder="1" applyAlignment="1" applyProtection="1">
      <alignment vertical="center"/>
      <protection locked="0"/>
    </xf>
    <xf numFmtId="3" fontId="62" fillId="19" borderId="65" xfId="12" applyNumberFormat="1" applyFont="1" applyFill="1" applyBorder="1" applyAlignment="1" applyProtection="1">
      <alignment vertical="center"/>
      <protection locked="0"/>
    </xf>
    <xf numFmtId="3" fontId="62" fillId="10" borderId="114" xfId="12" applyNumberFormat="1" applyFont="1" applyFill="1" applyBorder="1" applyAlignment="1" applyProtection="1">
      <alignment vertical="center" wrapText="1"/>
      <protection locked="0"/>
    </xf>
    <xf numFmtId="3" fontId="62" fillId="28" borderId="67" xfId="12" applyNumberFormat="1" applyFont="1" applyFill="1" applyBorder="1" applyAlignment="1" applyProtection="1">
      <alignment vertical="center"/>
      <protection locked="0"/>
    </xf>
    <xf numFmtId="3" fontId="62" fillId="29" borderId="65" xfId="12" applyNumberFormat="1" applyFont="1" applyFill="1" applyBorder="1" applyAlignment="1" applyProtection="1">
      <alignment vertical="center"/>
      <protection locked="0"/>
    </xf>
    <xf numFmtId="3" fontId="62" fillId="29" borderId="67" xfId="12" applyNumberFormat="1" applyFont="1" applyFill="1" applyBorder="1" applyAlignment="1" applyProtection="1">
      <alignment vertical="center"/>
      <protection locked="0"/>
    </xf>
    <xf numFmtId="3" fontId="62" fillId="19" borderId="49" xfId="12" applyNumberFormat="1" applyFont="1" applyFill="1" applyBorder="1" applyAlignment="1" applyProtection="1">
      <alignment vertical="center"/>
      <protection locked="0"/>
    </xf>
    <xf numFmtId="3" fontId="62" fillId="28" borderId="48" xfId="12" applyNumberFormat="1" applyFont="1" applyFill="1" applyBorder="1" applyAlignment="1" applyProtection="1">
      <alignment vertical="center"/>
      <protection locked="0"/>
    </xf>
    <xf numFmtId="3" fontId="62" fillId="29" borderId="49" xfId="12" applyNumberFormat="1" applyFont="1" applyFill="1" applyBorder="1" applyAlignment="1" applyProtection="1">
      <alignment vertical="center"/>
      <protection locked="0"/>
    </xf>
    <xf numFmtId="3" fontId="62" fillId="29" borderId="48" xfId="12" applyNumberFormat="1" applyFont="1" applyFill="1" applyBorder="1" applyAlignment="1" applyProtection="1">
      <alignment vertical="center"/>
      <protection locked="0"/>
    </xf>
    <xf numFmtId="3" fontId="62" fillId="28" borderId="61" xfId="12" applyNumberFormat="1" applyFont="1" applyFill="1" applyBorder="1" applyAlignment="1" applyProtection="1">
      <alignment vertical="center"/>
      <protection locked="0"/>
    </xf>
    <xf numFmtId="3" fontId="62" fillId="29" borderId="61" xfId="12" applyNumberFormat="1" applyFont="1" applyFill="1" applyBorder="1" applyAlignment="1" applyProtection="1">
      <alignment vertical="center"/>
      <protection locked="0"/>
    </xf>
    <xf numFmtId="3" fontId="62" fillId="19" borderId="53" xfId="12" applyNumberFormat="1" applyFont="1" applyFill="1" applyBorder="1" applyAlignment="1" applyProtection="1">
      <alignment vertical="center"/>
      <protection locked="0"/>
    </xf>
    <xf numFmtId="3" fontId="62" fillId="28" borderId="62" xfId="12" applyNumberFormat="1" applyFont="1" applyFill="1" applyBorder="1" applyAlignment="1" applyProtection="1">
      <alignment vertical="center"/>
      <protection locked="0"/>
    </xf>
    <xf numFmtId="3" fontId="62" fillId="28" borderId="52" xfId="12" applyNumberFormat="1" applyFont="1" applyFill="1" applyBorder="1" applyAlignment="1" applyProtection="1">
      <alignment vertical="center"/>
      <protection locked="0"/>
    </xf>
    <xf numFmtId="3" fontId="62" fillId="29" borderId="53" xfId="12" applyNumberFormat="1" applyFont="1" applyFill="1" applyBorder="1" applyAlignment="1" applyProtection="1">
      <alignment vertical="center"/>
      <protection locked="0"/>
    </xf>
    <xf numFmtId="3" fontId="62" fillId="29" borderId="62" xfId="12" applyNumberFormat="1" applyFont="1" applyFill="1" applyBorder="1" applyAlignment="1" applyProtection="1">
      <alignment vertical="center"/>
      <protection locked="0"/>
    </xf>
    <xf numFmtId="3" fontId="62" fillId="29" borderId="52" xfId="12" applyNumberFormat="1" applyFont="1" applyFill="1" applyBorder="1" applyAlignment="1" applyProtection="1">
      <alignment vertical="center"/>
      <protection locked="0"/>
    </xf>
    <xf numFmtId="3" fontId="118" fillId="19" borderId="72" xfId="12" applyNumberFormat="1" applyFont="1" applyFill="1" applyBorder="1" applyAlignment="1" applyProtection="1">
      <alignment vertical="center"/>
      <protection locked="0"/>
    </xf>
    <xf numFmtId="3" fontId="118" fillId="28" borderId="78" xfId="12" applyNumberFormat="1" applyFont="1" applyFill="1" applyBorder="1" applyAlignment="1" applyProtection="1">
      <alignment vertical="center"/>
      <protection locked="0"/>
    </xf>
    <xf numFmtId="3" fontId="118" fillId="28" borderId="73" xfId="12" applyNumberFormat="1" applyFont="1" applyFill="1" applyBorder="1" applyAlignment="1" applyProtection="1">
      <alignment vertical="center"/>
      <protection locked="0"/>
    </xf>
    <xf numFmtId="3" fontId="118" fillId="29" borderId="72" xfId="12" applyNumberFormat="1" applyFont="1" applyFill="1" applyBorder="1" applyAlignment="1" applyProtection="1">
      <alignment vertical="center"/>
      <protection locked="0"/>
    </xf>
    <xf numFmtId="3" fontId="118" fillId="29" borderId="78" xfId="12" applyNumberFormat="1" applyFont="1" applyFill="1" applyBorder="1" applyAlignment="1" applyProtection="1">
      <alignment vertical="center"/>
      <protection locked="0"/>
    </xf>
    <xf numFmtId="3" fontId="118" fillId="29" borderId="73" xfId="12" applyNumberFormat="1" applyFont="1" applyFill="1" applyBorder="1" applyAlignment="1" applyProtection="1">
      <alignment vertical="center"/>
      <protection locked="0"/>
    </xf>
    <xf numFmtId="3" fontId="62" fillId="28" borderId="77" xfId="12" applyNumberFormat="1" applyFont="1" applyFill="1" applyBorder="1" applyAlignment="1" applyProtection="1">
      <alignment vertical="center"/>
      <protection locked="0"/>
    </xf>
    <xf numFmtId="3" fontId="62" fillId="29" borderId="77" xfId="12" applyNumberFormat="1" applyFont="1" applyFill="1" applyBorder="1" applyAlignment="1" applyProtection="1">
      <alignment vertical="center"/>
      <protection locked="0"/>
    </xf>
    <xf numFmtId="3" fontId="118" fillId="28" borderId="79" xfId="12" applyNumberFormat="1" applyFont="1" applyFill="1" applyBorder="1" applyAlignment="1" applyProtection="1">
      <alignment vertical="center"/>
      <protection locked="0"/>
    </xf>
    <xf numFmtId="3" fontId="118" fillId="29" borderId="79" xfId="12" applyNumberFormat="1" applyFont="1" applyFill="1" applyBorder="1" applyAlignment="1" applyProtection="1">
      <alignment vertical="center"/>
      <protection locked="0"/>
    </xf>
    <xf numFmtId="3" fontId="62" fillId="19" borderId="36" xfId="12" applyNumberFormat="1" applyFont="1" applyFill="1" applyBorder="1" applyAlignment="1" applyProtection="1">
      <alignment vertical="center"/>
      <protection locked="0"/>
    </xf>
    <xf numFmtId="3" fontId="62" fillId="28" borderId="75" xfId="12" applyNumberFormat="1" applyFont="1" applyFill="1" applyBorder="1" applyAlignment="1" applyProtection="1">
      <alignment vertical="center"/>
      <protection locked="0"/>
    </xf>
    <xf numFmtId="3" fontId="62" fillId="29" borderId="36" xfId="12" applyNumberFormat="1" applyFont="1" applyFill="1" applyBorder="1" applyAlignment="1" applyProtection="1">
      <alignment vertical="center"/>
      <protection locked="0"/>
    </xf>
    <xf numFmtId="3" fontId="62" fillId="29" borderId="75" xfId="12" applyNumberFormat="1" applyFont="1" applyFill="1" applyBorder="1" applyAlignment="1" applyProtection="1">
      <alignment vertical="center"/>
      <protection locked="0"/>
    </xf>
    <xf numFmtId="3" fontId="62" fillId="10" borderId="126" xfId="12" applyNumberFormat="1" applyFont="1" applyFill="1" applyBorder="1" applyAlignment="1" applyProtection="1">
      <alignment vertical="center" wrapText="1"/>
      <protection locked="0"/>
    </xf>
    <xf numFmtId="3" fontId="62" fillId="10" borderId="127" xfId="12" applyNumberFormat="1" applyFont="1" applyFill="1" applyBorder="1" applyAlignment="1" applyProtection="1">
      <alignment vertical="center" wrapText="1"/>
      <protection locked="0"/>
    </xf>
    <xf numFmtId="3" fontId="62" fillId="10" borderId="128" xfId="12" applyNumberFormat="1" applyFont="1" applyFill="1" applyBorder="1" applyAlignment="1" applyProtection="1">
      <alignment vertical="center" wrapText="1"/>
      <protection locked="0"/>
    </xf>
    <xf numFmtId="3" fontId="62" fillId="28" borderId="66" xfId="12" applyNumberFormat="1" applyFont="1" applyFill="1" applyBorder="1" applyAlignment="1" applyProtection="1">
      <alignment vertical="center"/>
      <protection locked="0"/>
    </xf>
    <xf numFmtId="3" fontId="62" fillId="29" borderId="66" xfId="12" applyNumberFormat="1" applyFont="1" applyFill="1" applyBorder="1" applyAlignment="1" applyProtection="1">
      <alignment vertical="center"/>
      <protection locked="0"/>
    </xf>
    <xf numFmtId="3" fontId="62" fillId="0" borderId="33" xfId="0" applyNumberFormat="1" applyFont="1" applyBorder="1" applyAlignment="1">
      <alignment horizontal="right" vertical="center" wrapText="1"/>
    </xf>
    <xf numFmtId="3" fontId="62" fillId="28" borderId="12" xfId="0" applyNumberFormat="1" applyFont="1" applyFill="1" applyBorder="1" applyAlignment="1" applyProtection="1">
      <alignment horizontal="right" vertical="center"/>
      <protection locked="0"/>
    </xf>
    <xf numFmtId="3" fontId="151" fillId="29" borderId="12" xfId="0" applyNumberFormat="1" applyFont="1" applyFill="1" applyBorder="1" applyAlignment="1" applyProtection="1">
      <alignment horizontal="right" vertical="center"/>
      <protection locked="0"/>
    </xf>
    <xf numFmtId="169" fontId="36" fillId="0" borderId="0" xfId="0" applyNumberFormat="1" applyFont="1" applyAlignment="1">
      <alignment horizontal="left" vertical="center"/>
    </xf>
    <xf numFmtId="10" fontId="62" fillId="28" borderId="12" xfId="0" applyNumberFormat="1" applyFont="1" applyFill="1" applyBorder="1" applyAlignment="1" applyProtection="1">
      <alignment horizontal="right" vertical="center"/>
      <protection locked="0"/>
    </xf>
    <xf numFmtId="10" fontId="151" fillId="29" borderId="12" xfId="0" applyNumberFormat="1" applyFont="1" applyFill="1" applyBorder="1" applyAlignment="1" applyProtection="1">
      <alignment horizontal="right" vertical="center"/>
      <protection locked="0"/>
    </xf>
    <xf numFmtId="10" fontId="62" fillId="28" borderId="148" xfId="0" applyNumberFormat="1" applyFont="1" applyFill="1" applyBorder="1" applyAlignment="1" applyProtection="1">
      <alignment horizontal="right" vertical="center"/>
      <protection locked="0"/>
    </xf>
    <xf numFmtId="10" fontId="151" fillId="29" borderId="147" xfId="0" applyNumberFormat="1" applyFont="1" applyFill="1" applyBorder="1" applyAlignment="1" applyProtection="1">
      <alignment horizontal="right" vertical="center"/>
      <protection locked="0"/>
    </xf>
    <xf numFmtId="169" fontId="61" fillId="0" borderId="0" xfId="0" applyNumberFormat="1" applyFont="1"/>
    <xf numFmtId="3" fontId="62" fillId="5" borderId="102" xfId="0" applyNumberFormat="1" applyFont="1" applyFill="1" applyBorder="1" applyAlignment="1" applyProtection="1">
      <alignment horizontal="left" vertical="center" wrapText="1"/>
      <protection locked="0"/>
    </xf>
    <xf numFmtId="3" fontId="62" fillId="28" borderId="102" xfId="12" applyNumberFormat="1" applyFont="1" applyFill="1" applyBorder="1" applyAlignment="1" applyProtection="1">
      <alignment horizontal="right" vertical="center" wrapText="1"/>
      <protection locked="0"/>
    </xf>
    <xf numFmtId="172" fontId="62" fillId="28" borderId="102" xfId="12" applyNumberFormat="1" applyFont="1" applyFill="1" applyBorder="1" applyAlignment="1" applyProtection="1">
      <alignment horizontal="right" vertical="center" wrapText="1"/>
      <protection locked="0"/>
    </xf>
    <xf numFmtId="3" fontId="62" fillId="29" borderId="102" xfId="12" applyNumberFormat="1" applyFont="1" applyFill="1" applyBorder="1" applyAlignment="1" applyProtection="1">
      <alignment horizontal="right" vertical="center" wrapText="1"/>
      <protection locked="0"/>
    </xf>
    <xf numFmtId="172" fontId="62" fillId="29" borderId="102" xfId="12" applyNumberFormat="1" applyFont="1" applyFill="1" applyBorder="1" applyAlignment="1" applyProtection="1">
      <alignment horizontal="right" vertical="center" wrapText="1"/>
      <protection locked="0"/>
    </xf>
    <xf numFmtId="169" fontId="62" fillId="19" borderId="102" xfId="0" applyNumberFormat="1" applyFont="1" applyFill="1" applyBorder="1" applyAlignment="1" applyProtection="1">
      <alignment horizontal="center" vertical="center"/>
      <protection locked="0"/>
    </xf>
    <xf numFmtId="174" fontId="62" fillId="19" borderId="102" xfId="0" applyNumberFormat="1" applyFont="1" applyFill="1" applyBorder="1" applyAlignment="1" applyProtection="1">
      <alignment horizontal="center" vertical="center"/>
      <protection locked="0"/>
    </xf>
    <xf numFmtId="3" fontId="62" fillId="19" borderId="102" xfId="12" applyNumberFormat="1" applyFont="1" applyFill="1" applyBorder="1" applyAlignment="1" applyProtection="1">
      <alignment horizontal="right" vertical="center" wrapText="1"/>
      <protection locked="0"/>
    </xf>
    <xf numFmtId="172" fontId="62" fillId="19" borderId="102" xfId="12" applyNumberFormat="1" applyFont="1" applyFill="1" applyBorder="1" applyAlignment="1" applyProtection="1">
      <alignment horizontal="right" vertical="center" wrapText="1"/>
      <protection locked="0"/>
    </xf>
    <xf numFmtId="169" fontId="61" fillId="4" borderId="15" xfId="0" applyNumberFormat="1" applyFont="1" applyFill="1" applyBorder="1" applyAlignment="1">
      <alignment horizontal="center"/>
    </xf>
    <xf numFmtId="169" fontId="61" fillId="4" borderId="33" xfId="0" applyNumberFormat="1" applyFont="1" applyFill="1" applyBorder="1" applyAlignment="1">
      <alignment horizontal="center"/>
    </xf>
    <xf numFmtId="169" fontId="61" fillId="4" borderId="24" xfId="0" applyNumberFormat="1" applyFont="1" applyFill="1" applyBorder="1" applyAlignment="1">
      <alignment horizontal="center"/>
    </xf>
    <xf numFmtId="169" fontId="61" fillId="14" borderId="33" xfId="0" applyNumberFormat="1" applyFont="1" applyFill="1" applyBorder="1" applyAlignment="1">
      <alignment horizontal="center" vertical="center" wrapText="1"/>
    </xf>
    <xf numFmtId="169" fontId="61" fillId="14" borderId="18" xfId="0" applyNumberFormat="1" applyFont="1" applyFill="1" applyBorder="1" applyAlignment="1">
      <alignment horizontal="justify" vertical="center"/>
    </xf>
    <xf numFmtId="169" fontId="61" fillId="14" borderId="39" xfId="0" applyNumberFormat="1" applyFont="1" applyFill="1" applyBorder="1" applyAlignment="1">
      <alignment horizontal="justify" vertical="center"/>
    </xf>
    <xf numFmtId="169" fontId="61" fillId="14" borderId="8" xfId="0" applyNumberFormat="1" applyFont="1" applyFill="1" applyBorder="1" applyAlignment="1">
      <alignment horizontal="justify" vertical="center"/>
    </xf>
    <xf numFmtId="169" fontId="62" fillId="0" borderId="0" xfId="7" applyFont="1"/>
    <xf numFmtId="169" fontId="85" fillId="14" borderId="39" xfId="0" applyNumberFormat="1" applyFont="1" applyFill="1" applyBorder="1" applyAlignment="1">
      <alignment horizontal="center" vertical="center"/>
    </xf>
    <xf numFmtId="169" fontId="85" fillId="14" borderId="22" xfId="0" applyNumberFormat="1" applyFont="1" applyFill="1" applyBorder="1" applyAlignment="1">
      <alignment horizontal="center" vertical="center"/>
    </xf>
    <xf numFmtId="169" fontId="83" fillId="17" borderId="0" xfId="7" applyFont="1" applyFill="1" applyAlignment="1">
      <alignment horizontal="center"/>
    </xf>
    <xf numFmtId="171" fontId="118" fillId="0" borderId="141" xfId="31" applyNumberFormat="1" applyFont="1" applyBorder="1" applyProtection="1"/>
    <xf numFmtId="171" fontId="118" fillId="0" borderId="142" xfId="31" applyNumberFormat="1" applyFont="1" applyBorder="1" applyProtection="1"/>
    <xf numFmtId="171" fontId="118" fillId="0" borderId="143" xfId="31" applyNumberFormat="1" applyFont="1" applyBorder="1" applyProtection="1"/>
    <xf numFmtId="49" fontId="148" fillId="19" borderId="101" xfId="0" applyNumberFormat="1" applyFont="1" applyFill="1" applyBorder="1" applyAlignment="1" applyProtection="1">
      <alignment horizontal="center" vertical="center"/>
      <protection locked="0"/>
    </xf>
    <xf numFmtId="169" fontId="61" fillId="0" borderId="8" xfId="0" applyNumberFormat="1" applyFont="1" applyBorder="1" applyAlignment="1">
      <alignment horizontal="center" vertical="center"/>
    </xf>
    <xf numFmtId="169" fontId="46" fillId="0" borderId="0" xfId="7" applyFont="1"/>
    <xf numFmtId="0" fontId="83" fillId="0" borderId="0" xfId="0" applyFont="1" applyAlignment="1">
      <alignment horizontal="left"/>
    </xf>
    <xf numFmtId="3" fontId="62" fillId="0" borderId="8" xfId="0" applyNumberFormat="1" applyFont="1" applyBorder="1" applyAlignment="1">
      <alignment horizontal="left"/>
    </xf>
    <xf numFmtId="0" fontId="0" fillId="0" borderId="0" xfId="0" applyAlignment="1">
      <alignment horizontal="left"/>
    </xf>
    <xf numFmtId="169" fontId="89" fillId="0" borderId="0" xfId="0" applyNumberFormat="1" applyFont="1" applyProtection="1">
      <protection locked="0"/>
    </xf>
    <xf numFmtId="169" fontId="89" fillId="0" borderId="8" xfId="0" applyNumberFormat="1" applyFont="1" applyBorder="1" applyAlignment="1" applyProtection="1">
      <alignment horizontal="center" vertical="center"/>
      <protection locked="0"/>
    </xf>
    <xf numFmtId="3" fontId="62" fillId="0" borderId="8" xfId="0" applyNumberFormat="1" applyFont="1" applyBorder="1" applyAlignment="1" applyProtection="1">
      <alignment horizontal="center" vertical="center"/>
      <protection locked="0"/>
    </xf>
    <xf numFmtId="169" fontId="61" fillId="0" borderId="8" xfId="0" applyNumberFormat="1" applyFont="1" applyBorder="1" applyProtection="1">
      <protection locked="0"/>
    </xf>
    <xf numFmtId="169" fontId="62" fillId="0" borderId="8" xfId="0" applyNumberFormat="1" applyFont="1" applyBorder="1" applyProtection="1">
      <protection locked="0"/>
    </xf>
    <xf numFmtId="184" fontId="89" fillId="40" borderId="155" xfId="12" applyNumberFormat="1" applyFont="1" applyFill="1" applyBorder="1" applyAlignment="1" applyProtection="1">
      <alignment horizontal="right" vertical="center"/>
      <protection locked="0"/>
    </xf>
    <xf numFmtId="179" fontId="85" fillId="40" borderId="155" xfId="12" applyNumberFormat="1" applyFont="1" applyFill="1" applyBorder="1" applyAlignment="1" applyProtection="1">
      <alignment horizontal="right" vertical="center"/>
      <protection locked="0"/>
    </xf>
    <xf numFmtId="171" fontId="85" fillId="23" borderId="155" xfId="12" applyNumberFormat="1" applyFont="1" applyFill="1" applyBorder="1" applyAlignment="1" applyProtection="1">
      <alignment horizontal="right" vertical="center"/>
      <protection locked="0"/>
    </xf>
    <xf numFmtId="179" fontId="85" fillId="23" borderId="155" xfId="12" applyNumberFormat="1" applyFont="1" applyFill="1" applyBorder="1" applyAlignment="1" applyProtection="1">
      <alignment horizontal="right" vertical="center"/>
      <protection locked="0"/>
    </xf>
    <xf numFmtId="179" fontId="82" fillId="23" borderId="155" xfId="12" applyNumberFormat="1" applyFont="1" applyFill="1" applyBorder="1" applyAlignment="1" applyProtection="1">
      <alignment horizontal="right" vertical="center"/>
      <protection locked="0"/>
    </xf>
    <xf numFmtId="184" fontId="85" fillId="23" borderId="155" xfId="12" applyNumberFormat="1" applyFont="1" applyFill="1" applyBorder="1" applyAlignment="1" applyProtection="1">
      <alignment horizontal="right" vertical="center"/>
      <protection locked="0"/>
    </xf>
    <xf numFmtId="171" fontId="62" fillId="13" borderId="155" xfId="12" applyNumberFormat="1" applyFont="1" applyFill="1" applyBorder="1" applyAlignment="1" applyProtection="1">
      <alignment horizontal="right" vertical="center"/>
      <protection locked="0"/>
    </xf>
    <xf numFmtId="170" fontId="62" fillId="13" borderId="155" xfId="12" applyFont="1" applyFill="1" applyBorder="1" applyAlignment="1" applyProtection="1">
      <alignment horizontal="right" vertical="center"/>
      <protection locked="0"/>
    </xf>
    <xf numFmtId="3" fontId="83" fillId="20" borderId="8" xfId="0" applyNumberFormat="1" applyFont="1" applyFill="1" applyBorder="1"/>
    <xf numFmtId="169" fontId="18" fillId="0" borderId="12" xfId="0" applyNumberFormat="1" applyFont="1" applyBorder="1" applyAlignment="1">
      <alignment horizontal="center"/>
    </xf>
    <xf numFmtId="169" fontId="62" fillId="0" borderId="0" xfId="0" applyNumberFormat="1" applyFont="1"/>
    <xf numFmtId="169" fontId="62" fillId="0" borderId="0" xfId="0" applyNumberFormat="1" applyFont="1" applyAlignment="1">
      <alignment vertical="center"/>
    </xf>
    <xf numFmtId="169" fontId="89" fillId="0" borderId="0" xfId="0" applyNumberFormat="1" applyFont="1" applyAlignment="1">
      <alignment vertical="center"/>
    </xf>
    <xf numFmtId="169" fontId="118" fillId="0" borderId="0" xfId="0" applyNumberFormat="1" applyFont="1" applyAlignment="1">
      <alignment vertical="center"/>
    </xf>
    <xf numFmtId="169" fontId="134" fillId="0" borderId="0" xfId="0" applyNumberFormat="1" applyFont="1" applyAlignment="1">
      <alignment vertical="center"/>
    </xf>
    <xf numFmtId="169" fontId="61" fillId="0" borderId="0" xfId="0" applyNumberFormat="1" applyFont="1" applyAlignment="1">
      <alignment vertical="center"/>
    </xf>
    <xf numFmtId="169" fontId="89" fillId="4" borderId="0" xfId="0" applyNumberFormat="1" applyFont="1" applyFill="1" applyAlignment="1">
      <alignment vertical="center"/>
    </xf>
    <xf numFmtId="169" fontId="118" fillId="0" borderId="0" xfId="0" applyNumberFormat="1" applyFont="1"/>
    <xf numFmtId="169" fontId="89" fillId="0" borderId="0" xfId="0" applyNumberFormat="1" applyFont="1"/>
    <xf numFmtId="169" fontId="89" fillId="0" borderId="8" xfId="0" applyNumberFormat="1" applyFont="1" applyBorder="1" applyAlignment="1">
      <alignment horizontal="center" vertical="center"/>
    </xf>
    <xf numFmtId="169" fontId="62" fillId="0" borderId="8" xfId="0" applyNumberFormat="1" applyFont="1" applyBorder="1" applyAlignment="1">
      <alignment vertical="center"/>
    </xf>
    <xf numFmtId="169" fontId="62" fillId="0" borderId="8" xfId="0" applyNumberFormat="1" applyFont="1" applyBorder="1" applyAlignment="1">
      <alignment horizontal="center" vertical="center"/>
    </xf>
    <xf numFmtId="169" fontId="62" fillId="16" borderId="8" xfId="0" applyNumberFormat="1" applyFont="1" applyFill="1" applyBorder="1" applyAlignment="1">
      <alignment vertical="center"/>
    </xf>
    <xf numFmtId="169" fontId="62" fillId="16" borderId="8" xfId="0" applyNumberFormat="1" applyFont="1" applyFill="1" applyBorder="1" applyAlignment="1">
      <alignment horizontal="center" vertical="center"/>
    </xf>
    <xf numFmtId="169" fontId="62" fillId="16" borderId="8" xfId="0" applyNumberFormat="1" applyFont="1" applyFill="1" applyBorder="1" applyAlignment="1">
      <alignment vertical="center" wrapText="1"/>
    </xf>
    <xf numFmtId="169" fontId="62" fillId="0" borderId="8" xfId="0" applyNumberFormat="1" applyFont="1" applyBorder="1" applyAlignment="1">
      <alignment horizontal="left" vertical="center"/>
    </xf>
    <xf numFmtId="169" fontId="89" fillId="16" borderId="8" xfId="0" applyNumberFormat="1" applyFont="1" applyFill="1" applyBorder="1" applyAlignment="1">
      <alignment horizontal="left" vertical="center"/>
    </xf>
    <xf numFmtId="169" fontId="85" fillId="13" borderId="8" xfId="0" applyNumberFormat="1" applyFont="1" applyFill="1" applyBorder="1" applyAlignment="1">
      <alignment horizontal="left" vertical="center" wrapText="1"/>
    </xf>
    <xf numFmtId="169" fontId="89" fillId="13" borderId="8" xfId="0" quotePrefix="1" applyNumberFormat="1" applyFont="1" applyFill="1" applyBorder="1" applyAlignment="1">
      <alignment horizontal="center" vertical="center"/>
    </xf>
    <xf numFmtId="169" fontId="66" fillId="0" borderId="8" xfId="0" applyNumberFormat="1" applyFont="1" applyBorder="1" applyAlignment="1">
      <alignment vertical="center"/>
    </xf>
    <xf numFmtId="169" fontId="85" fillId="16" borderId="8" xfId="0" applyNumberFormat="1" applyFont="1" applyFill="1" applyBorder="1" applyAlignment="1">
      <alignment vertical="center"/>
    </xf>
    <xf numFmtId="169" fontId="89" fillId="16" borderId="8" xfId="0" quotePrefix="1" applyNumberFormat="1" applyFont="1" applyFill="1" applyBorder="1" applyAlignment="1">
      <alignment horizontal="center" vertical="center"/>
    </xf>
    <xf numFmtId="169" fontId="85" fillId="16" borderId="8" xfId="0" applyNumberFormat="1" applyFont="1" applyFill="1" applyBorder="1"/>
    <xf numFmtId="169" fontId="61" fillId="16" borderId="8" xfId="0" applyNumberFormat="1" applyFont="1" applyFill="1" applyBorder="1" applyAlignment="1">
      <alignment horizontal="center" vertical="center"/>
    </xf>
    <xf numFmtId="169" fontId="62" fillId="0" borderId="0" xfId="0" applyNumberFormat="1" applyFont="1" applyAlignment="1">
      <alignment horizontal="center" vertical="center"/>
    </xf>
    <xf numFmtId="169" fontId="61" fillId="2" borderId="8" xfId="0" applyNumberFormat="1" applyFont="1" applyFill="1" applyBorder="1" applyAlignment="1">
      <alignment vertical="center"/>
    </xf>
    <xf numFmtId="169" fontId="85" fillId="16" borderId="155" xfId="0" applyNumberFormat="1" applyFont="1" applyFill="1" applyBorder="1" applyAlignment="1">
      <alignment vertical="center"/>
    </xf>
    <xf numFmtId="169" fontId="85" fillId="16" borderId="8" xfId="0" applyNumberFormat="1" applyFont="1" applyFill="1" applyBorder="1" applyAlignment="1">
      <alignment horizontal="center" vertical="center"/>
    </xf>
    <xf numFmtId="169" fontId="61" fillId="13" borderId="155" xfId="0" applyNumberFormat="1" applyFont="1" applyFill="1" applyBorder="1" applyAlignment="1">
      <alignment vertical="center"/>
    </xf>
    <xf numFmtId="169" fontId="62" fillId="13" borderId="155" xfId="0" applyNumberFormat="1" applyFont="1" applyFill="1" applyBorder="1" applyAlignment="1">
      <alignment horizontal="center" vertical="center"/>
    </xf>
    <xf numFmtId="169" fontId="62" fillId="0" borderId="8" xfId="0" applyNumberFormat="1" applyFont="1" applyBorder="1" applyAlignment="1">
      <alignment vertical="center" wrapText="1"/>
    </xf>
    <xf numFmtId="169" fontId="85" fillId="40" borderId="155" xfId="0" applyNumberFormat="1" applyFont="1" applyFill="1" applyBorder="1" applyAlignment="1">
      <alignment vertical="center"/>
    </xf>
    <xf numFmtId="169" fontId="61" fillId="40" borderId="155" xfId="0" applyNumberFormat="1" applyFont="1" applyFill="1" applyBorder="1" applyAlignment="1">
      <alignment horizontal="center" vertical="center"/>
    </xf>
    <xf numFmtId="169" fontId="85" fillId="23" borderId="155" xfId="0" applyNumberFormat="1" applyFont="1" applyFill="1" applyBorder="1" applyAlignment="1">
      <alignment vertical="center"/>
    </xf>
    <xf numFmtId="169" fontId="62" fillId="23" borderId="155" xfId="0" applyNumberFormat="1" applyFont="1" applyFill="1" applyBorder="1" applyAlignment="1">
      <alignment horizontal="center" vertical="center"/>
    </xf>
    <xf numFmtId="169" fontId="189" fillId="23" borderId="155" xfId="0" applyNumberFormat="1" applyFont="1" applyFill="1" applyBorder="1" applyAlignment="1">
      <alignment vertical="center"/>
    </xf>
    <xf numFmtId="171" fontId="62" fillId="0" borderId="0" xfId="12" applyNumberFormat="1" applyFont="1" applyFill="1" applyBorder="1" applyAlignment="1" applyProtection="1">
      <alignment horizontal="right" vertical="center"/>
    </xf>
    <xf numFmtId="170" fontId="62" fillId="0" borderId="0" xfId="12" applyFont="1" applyFill="1" applyBorder="1" applyAlignment="1" applyProtection="1">
      <alignment horizontal="right" vertical="center"/>
    </xf>
    <xf numFmtId="169" fontId="62" fillId="0" borderId="8" xfId="0" applyNumberFormat="1" applyFont="1" applyBorder="1"/>
    <xf numFmtId="169" fontId="62" fillId="0" borderId="8" xfId="0" applyNumberFormat="1" applyFont="1" applyBorder="1" applyAlignment="1" applyProtection="1">
      <alignment horizontal="center"/>
      <protection locked="0"/>
    </xf>
    <xf numFmtId="169" fontId="61" fillId="0" borderId="8" xfId="0" applyNumberFormat="1" applyFont="1" applyBorder="1" applyAlignment="1" applyProtection="1">
      <alignment horizontal="left"/>
      <protection locked="0"/>
    </xf>
    <xf numFmtId="169" fontId="85" fillId="0" borderId="0" xfId="0" applyNumberFormat="1" applyFont="1" applyProtection="1">
      <protection locked="0"/>
    </xf>
    <xf numFmtId="170" fontId="61" fillId="0" borderId="0" xfId="12" applyFont="1" applyFill="1" applyBorder="1" applyAlignment="1" applyProtection="1">
      <protection locked="0"/>
    </xf>
    <xf numFmtId="170" fontId="61" fillId="0" borderId="0" xfId="0" applyNumberFormat="1" applyFont="1" applyProtection="1">
      <protection locked="0"/>
    </xf>
    <xf numFmtId="169" fontId="85" fillId="0" borderId="0" xfId="0" applyNumberFormat="1" applyFont="1" applyAlignment="1" applyProtection="1">
      <alignment horizontal="center"/>
      <protection locked="0"/>
    </xf>
    <xf numFmtId="174" fontId="0" fillId="0" borderId="0" xfId="0" applyNumberFormat="1"/>
    <xf numFmtId="0" fontId="36" fillId="0" borderId="0" xfId="0" applyFont="1" applyAlignment="1">
      <alignment horizontal="left" vertical="center"/>
    </xf>
    <xf numFmtId="0" fontId="52" fillId="0" borderId="0" xfId="0" applyFont="1" applyAlignment="1">
      <alignment horizontal="left" vertical="center"/>
    </xf>
    <xf numFmtId="0" fontId="37" fillId="0" borderId="0" xfId="0" applyFont="1" applyAlignment="1">
      <alignment horizontal="left" vertical="center"/>
    </xf>
    <xf numFmtId="0" fontId="65" fillId="0" borderId="0" xfId="0" applyFont="1" applyAlignment="1">
      <alignment horizontal="left" vertical="center"/>
    </xf>
    <xf numFmtId="0" fontId="22" fillId="0" borderId="0" xfId="0" applyFont="1"/>
    <xf numFmtId="0" fontId="0" fillId="0" borderId="12" xfId="0" applyBorder="1"/>
    <xf numFmtId="0" fontId="18" fillId="0" borderId="12" xfId="0" applyFont="1" applyBorder="1"/>
    <xf numFmtId="0" fontId="38" fillId="0" borderId="0" xfId="0" applyFont="1" applyAlignment="1">
      <alignment horizontal="right" vertical="center" wrapText="1"/>
    </xf>
    <xf numFmtId="0" fontId="62" fillId="4" borderId="150" xfId="0" quotePrefix="1" applyFont="1" applyFill="1" applyBorder="1" applyAlignment="1">
      <alignment horizontal="center" vertical="center"/>
    </xf>
    <xf numFmtId="0" fontId="62" fillId="4" borderId="151" xfId="0" applyFont="1" applyFill="1" applyBorder="1" applyAlignment="1">
      <alignment horizontal="left" vertical="center" indent="2"/>
    </xf>
    <xf numFmtId="0" fontId="42" fillId="0" borderId="0" xfId="0" applyFont="1"/>
    <xf numFmtId="0" fontId="62" fillId="4" borderId="13" xfId="0" applyFont="1" applyFill="1" applyBorder="1" applyAlignment="1">
      <alignment horizontal="left" vertical="center" indent="2"/>
    </xf>
    <xf numFmtId="0" fontId="62" fillId="4" borderId="13" xfId="0" quotePrefix="1" applyFont="1" applyFill="1" applyBorder="1" applyAlignment="1">
      <alignment horizontal="center" vertical="center"/>
    </xf>
    <xf numFmtId="0" fontId="62" fillId="4" borderId="149" xfId="0" applyFont="1" applyFill="1" applyBorder="1" applyAlignment="1">
      <alignment horizontal="left" vertical="center" indent="2"/>
    </xf>
    <xf numFmtId="0" fontId="62" fillId="4" borderId="150" xfId="0" applyFont="1" applyFill="1" applyBorder="1" applyAlignment="1">
      <alignment horizontal="center" vertical="center"/>
    </xf>
    <xf numFmtId="0" fontId="62" fillId="4" borderId="101" xfId="0" applyFont="1" applyFill="1" applyBorder="1" applyAlignment="1">
      <alignment horizontal="left" vertical="center" indent="2"/>
    </xf>
    <xf numFmtId="0" fontId="62" fillId="4" borderId="101" xfId="0" applyFont="1" applyFill="1" applyBorder="1" applyAlignment="1">
      <alignment horizontal="center" vertical="center"/>
    </xf>
    <xf numFmtId="0" fontId="62" fillId="4" borderId="12" xfId="0" applyFont="1" applyFill="1" applyBorder="1" applyAlignment="1">
      <alignment horizontal="left" vertical="center" indent="2"/>
    </xf>
    <xf numFmtId="0" fontId="62" fillId="4" borderId="12" xfId="0" quotePrefix="1" applyFont="1" applyFill="1" applyBorder="1" applyAlignment="1">
      <alignment horizontal="center" vertical="center"/>
    </xf>
    <xf numFmtId="0" fontId="62" fillId="4" borderId="12" xfId="0" applyFont="1" applyFill="1" applyBorder="1" applyAlignment="1">
      <alignment horizontal="center" vertical="center"/>
    </xf>
    <xf numFmtId="0" fontId="153" fillId="0" borderId="0" xfId="0" applyFont="1" applyAlignment="1">
      <alignment horizontal="left" vertical="center"/>
    </xf>
    <xf numFmtId="0" fontId="62" fillId="4" borderId="13" xfId="0" applyFont="1" applyFill="1" applyBorder="1" applyAlignment="1">
      <alignment horizontal="center" vertical="center"/>
    </xf>
    <xf numFmtId="0" fontId="61" fillId="0" borderId="0" xfId="0" applyFont="1" applyProtection="1">
      <protection hidden="1"/>
    </xf>
    <xf numFmtId="0" fontId="62" fillId="0" borderId="12" xfId="0" applyFont="1" applyBorder="1" applyAlignment="1">
      <alignment horizontal="left" vertical="center" wrapText="1"/>
    </xf>
    <xf numFmtId="0" fontId="91" fillId="41" borderId="8" xfId="0" applyFont="1" applyFill="1" applyBorder="1" applyAlignment="1">
      <alignment horizontal="center" vertical="center" wrapText="1"/>
    </xf>
    <xf numFmtId="0" fontId="62" fillId="18" borderId="12" xfId="0" applyFont="1" applyFill="1" applyBorder="1" applyAlignment="1" applyProtection="1">
      <alignment horizontal="left" vertical="center" wrapText="1"/>
      <protection locked="0"/>
    </xf>
    <xf numFmtId="0" fontId="62" fillId="0" borderId="12" xfId="31" applyNumberFormat="1" applyFont="1" applyFill="1" applyBorder="1" applyAlignment="1" applyProtection="1">
      <alignment horizontal="left" vertical="center" wrapText="1"/>
    </xf>
    <xf numFmtId="0" fontId="62" fillId="18" borderId="112" xfId="0" applyFont="1" applyFill="1" applyBorder="1" applyAlignment="1" applyProtection="1">
      <alignment horizontal="center" vertical="center" wrapText="1"/>
      <protection locked="0"/>
    </xf>
    <xf numFmtId="0" fontId="89" fillId="2" borderId="101" xfId="0" applyFont="1" applyFill="1" applyBorder="1" applyAlignment="1">
      <alignment horizontal="center" vertical="center" wrapText="1"/>
    </xf>
    <xf numFmtId="0" fontId="62" fillId="5" borderId="101" xfId="0" applyFont="1" applyFill="1" applyBorder="1" applyAlignment="1" applyProtection="1">
      <alignment horizontal="left" vertical="center" wrapText="1"/>
      <protection locked="0"/>
    </xf>
    <xf numFmtId="0" fontId="62" fillId="28" borderId="101" xfId="0" applyFont="1" applyFill="1" applyBorder="1" applyAlignment="1" applyProtection="1">
      <alignment horizontal="left" vertical="center" wrapText="1"/>
      <protection locked="0"/>
    </xf>
    <xf numFmtId="0" fontId="62" fillId="28" borderId="101" xfId="0" applyFont="1" applyFill="1" applyBorder="1" applyAlignment="1" applyProtection="1">
      <alignment horizontal="left" vertical="center" wrapText="1" indent="2"/>
      <protection locked="0"/>
    </xf>
    <xf numFmtId="0" fontId="147" fillId="19" borderId="101" xfId="0" applyFont="1" applyFill="1" applyBorder="1" applyAlignment="1" applyProtection="1">
      <alignment horizontal="center" vertical="center"/>
      <protection locked="0"/>
    </xf>
    <xf numFmtId="0" fontId="62" fillId="28" borderId="102" xfId="0" applyFont="1" applyFill="1" applyBorder="1" applyAlignment="1" applyProtection="1">
      <alignment horizontal="left" vertical="center" wrapText="1" indent="2"/>
      <protection locked="0"/>
    </xf>
    <xf numFmtId="0" fontId="62" fillId="29" borderId="12" xfId="7" applyNumberFormat="1" applyFont="1" applyFill="1" applyBorder="1" applyAlignment="1" applyProtection="1">
      <alignment horizontal="left" vertical="center" wrapText="1" indent="2"/>
      <protection locked="0"/>
    </xf>
    <xf numFmtId="0" fontId="62" fillId="29" borderId="12" xfId="7" applyNumberFormat="1" applyFont="1" applyFill="1" applyBorder="1" applyAlignment="1" applyProtection="1">
      <alignment horizontal="center" vertical="center"/>
      <protection locked="0"/>
    </xf>
    <xf numFmtId="0" fontId="62" fillId="5" borderId="8" xfId="0" applyFont="1" applyFill="1" applyBorder="1" applyAlignment="1" applyProtection="1">
      <alignment horizontal="center" vertical="center" wrapText="1"/>
      <protection locked="0"/>
    </xf>
    <xf numFmtId="0" fontId="62" fillId="5" borderId="8" xfId="0" quotePrefix="1" applyFont="1" applyFill="1" applyBorder="1" applyAlignment="1" applyProtection="1">
      <alignment horizontal="center" vertical="center" wrapText="1"/>
      <protection locked="0"/>
    </xf>
    <xf numFmtId="0" fontId="0" fillId="0" borderId="0" xfId="0" applyProtection="1">
      <protection locked="0"/>
    </xf>
    <xf numFmtId="0" fontId="83" fillId="0" borderId="0" xfId="7" applyNumberFormat="1" applyFont="1"/>
    <xf numFmtId="0" fontId="62" fillId="0" borderId="0" xfId="7" applyNumberFormat="1" applyFont="1" applyAlignment="1">
      <alignment vertical="center"/>
    </xf>
    <xf numFmtId="0" fontId="84" fillId="0" borderId="0" xfId="7" applyNumberFormat="1" applyFont="1" applyAlignment="1">
      <alignment vertical="center"/>
    </xf>
    <xf numFmtId="0" fontId="108" fillId="0" borderId="0" xfId="7" applyNumberFormat="1" applyFont="1"/>
    <xf numFmtId="0" fontId="165" fillId="0" borderId="0" xfId="0" applyFont="1"/>
    <xf numFmtId="0" fontId="82" fillId="0" borderId="0" xfId="7" applyNumberFormat="1" applyFont="1"/>
    <xf numFmtId="0" fontId="62" fillId="0" borderId="0" xfId="7" applyNumberFormat="1" applyFont="1" applyAlignment="1">
      <alignment horizontal="center" vertical="center"/>
    </xf>
    <xf numFmtId="0" fontId="62" fillId="0" borderId="0" xfId="7" applyNumberFormat="1" applyFont="1" applyAlignment="1">
      <alignment horizontal="left" vertical="center"/>
    </xf>
    <xf numFmtId="0" fontId="84" fillId="0" borderId="0" xfId="7" applyNumberFormat="1" applyFont="1" applyAlignment="1">
      <alignment horizontal="left" vertical="center"/>
    </xf>
    <xf numFmtId="0" fontId="80" fillId="0" borderId="54" xfId="7" applyNumberFormat="1" applyFont="1" applyBorder="1"/>
    <xf numFmtId="0" fontId="83" fillId="0" borderId="54" xfId="7" applyNumberFormat="1" applyFont="1" applyBorder="1" applyAlignment="1">
      <alignment horizontal="center"/>
    </xf>
    <xf numFmtId="0" fontId="83" fillId="0" borderId="54" xfId="7" applyNumberFormat="1" applyFont="1" applyBorder="1" applyAlignment="1">
      <alignment horizontal="left"/>
    </xf>
    <xf numFmtId="0" fontId="86" fillId="3" borderId="55" xfId="7" applyNumberFormat="1" applyFont="1" applyFill="1" applyBorder="1" applyAlignment="1">
      <alignment horizontal="centerContinuous" vertical="center" wrapText="1"/>
    </xf>
    <xf numFmtId="0" fontId="89" fillId="3" borderId="56" xfId="7" applyNumberFormat="1" applyFont="1" applyFill="1" applyBorder="1" applyAlignment="1">
      <alignment horizontal="centerContinuous" vertical="center" wrapText="1"/>
    </xf>
    <xf numFmtId="0" fontId="89" fillId="3" borderId="56" xfId="7" applyNumberFormat="1" applyFont="1" applyFill="1" applyBorder="1" applyAlignment="1">
      <alignment horizontal="center" vertical="center" wrapText="1"/>
    </xf>
    <xf numFmtId="0" fontId="89" fillId="3" borderId="56" xfId="7" applyNumberFormat="1" applyFont="1" applyFill="1" applyBorder="1" applyAlignment="1">
      <alignment horizontal="left" vertical="center" wrapText="1"/>
    </xf>
    <xf numFmtId="0" fontId="50" fillId="0" borderId="0" xfId="7" applyNumberFormat="1" applyFont="1"/>
    <xf numFmtId="0" fontId="46" fillId="0" borderId="0" xfId="7" applyNumberFormat="1" applyFont="1" applyAlignment="1">
      <alignment horizontal="center"/>
    </xf>
    <xf numFmtId="0" fontId="33" fillId="0" borderId="0" xfId="7" applyNumberFormat="1" applyFont="1" applyAlignment="1">
      <alignment horizontal="center" vertical="center"/>
    </xf>
    <xf numFmtId="0" fontId="86" fillId="3" borderId="55" xfId="7" applyNumberFormat="1" applyFont="1" applyFill="1" applyBorder="1" applyAlignment="1">
      <alignment horizontal="left" vertical="justify" wrapText="1"/>
    </xf>
    <xf numFmtId="0" fontId="86" fillId="3" borderId="55" xfId="7" applyNumberFormat="1" applyFont="1" applyFill="1" applyBorder="1" applyAlignment="1">
      <alignment horizontal="centerContinuous" vertical="justify" wrapText="1"/>
    </xf>
    <xf numFmtId="0" fontId="89" fillId="3" borderId="56" xfId="7" applyNumberFormat="1" applyFont="1" applyFill="1" applyBorder="1" applyAlignment="1">
      <alignment horizontal="left" vertical="justify"/>
    </xf>
    <xf numFmtId="0" fontId="89" fillId="3" borderId="56" xfId="7" applyNumberFormat="1" applyFont="1" applyFill="1" applyBorder="1" applyAlignment="1">
      <alignment horizontal="centerContinuous" vertical="justify"/>
    </xf>
    <xf numFmtId="0" fontId="0" fillId="0" borderId="0" xfId="0" applyAlignment="1">
      <alignment horizontal="center"/>
    </xf>
    <xf numFmtId="0" fontId="86" fillId="3" borderId="12" xfId="7" applyNumberFormat="1" applyFont="1" applyFill="1" applyBorder="1" applyAlignment="1">
      <alignment vertical="center" wrapText="1"/>
    </xf>
    <xf numFmtId="0" fontId="86" fillId="3" borderId="12" xfId="7" applyNumberFormat="1" applyFont="1" applyFill="1" applyBorder="1" applyAlignment="1">
      <alignment horizontal="center" vertical="center" wrapText="1"/>
    </xf>
    <xf numFmtId="4" fontId="33" fillId="0" borderId="0" xfId="31" applyNumberFormat="1" applyFont="1" applyAlignment="1" applyProtection="1">
      <alignment vertical="center"/>
    </xf>
    <xf numFmtId="4" fontId="86" fillId="3" borderId="55" xfId="31" applyNumberFormat="1" applyFont="1" applyFill="1" applyBorder="1" applyAlignment="1" applyProtection="1">
      <alignment horizontal="centerContinuous" vertical="justify" wrapText="1"/>
    </xf>
    <xf numFmtId="4" fontId="86" fillId="3" borderId="119" xfId="31" applyNumberFormat="1" applyFont="1" applyFill="1" applyBorder="1" applyAlignment="1" applyProtection="1">
      <alignment horizontal="centerContinuous" vertical="justify" wrapText="1"/>
    </xf>
    <xf numFmtId="4" fontId="89" fillId="3" borderId="56" xfId="31" applyNumberFormat="1" applyFont="1" applyFill="1" applyBorder="1" applyAlignment="1" applyProtection="1">
      <alignment horizontal="centerContinuous" vertical="justify"/>
    </xf>
    <xf numFmtId="4" fontId="89" fillId="3" borderId="121" xfId="31" applyNumberFormat="1" applyFont="1" applyFill="1" applyBorder="1" applyAlignment="1" applyProtection="1">
      <alignment horizontal="centerContinuous" vertical="justify"/>
    </xf>
    <xf numFmtId="4" fontId="0" fillId="0" borderId="0" xfId="31" applyNumberFormat="1" applyFont="1" applyProtection="1"/>
    <xf numFmtId="4" fontId="86" fillId="3" borderId="12" xfId="31" applyNumberFormat="1" applyFont="1" applyFill="1" applyBorder="1" applyAlignment="1" applyProtection="1">
      <alignment horizontal="center" vertical="center" wrapText="1"/>
    </xf>
    <xf numFmtId="0" fontId="86" fillId="3" borderId="118" xfId="7" applyNumberFormat="1" applyFont="1" applyFill="1" applyBorder="1" applyAlignment="1">
      <alignment vertical="center" wrapText="1"/>
    </xf>
    <xf numFmtId="0" fontId="86" fillId="3" borderId="118" xfId="7" applyNumberFormat="1" applyFont="1" applyFill="1" applyBorder="1" applyAlignment="1">
      <alignment horizontal="center" vertical="center" wrapText="1"/>
    </xf>
    <xf numFmtId="0" fontId="86" fillId="3" borderId="118" xfId="7" applyNumberFormat="1" applyFont="1" applyFill="1" applyBorder="1" applyAlignment="1">
      <alignment horizontal="left" vertical="center" wrapText="1"/>
    </xf>
    <xf numFmtId="0" fontId="61" fillId="14" borderId="27" xfId="0" applyFont="1" applyFill="1" applyBorder="1" applyAlignment="1">
      <alignment horizontal="center" vertical="center"/>
    </xf>
    <xf numFmtId="0" fontId="62" fillId="16" borderId="8" xfId="0" applyFont="1" applyFill="1" applyBorder="1" applyAlignment="1" applyProtection="1">
      <alignment horizontal="center" vertical="center"/>
      <protection locked="0"/>
    </xf>
    <xf numFmtId="0" fontId="89" fillId="0" borderId="0" xfId="0" applyFont="1"/>
    <xf numFmtId="0" fontId="89" fillId="0" borderId="0" xfId="0" applyFont="1" applyAlignment="1">
      <alignment vertical="center"/>
    </xf>
    <xf numFmtId="0" fontId="89" fillId="0" borderId="8" xfId="0" applyFont="1" applyBorder="1" applyAlignment="1">
      <alignment horizontal="center" vertical="center"/>
    </xf>
    <xf numFmtId="0" fontId="85" fillId="0" borderId="8" xfId="0" applyFont="1" applyBorder="1" applyAlignment="1">
      <alignment horizontal="center" vertical="center"/>
    </xf>
    <xf numFmtId="0" fontId="89" fillId="0" borderId="155" xfId="0" applyFont="1" applyBorder="1" applyAlignment="1">
      <alignment horizontal="center" vertical="center"/>
    </xf>
    <xf numFmtId="0" fontId="85" fillId="0" borderId="0" xfId="0" applyFont="1" applyAlignment="1" applyProtection="1">
      <alignment horizontal="center"/>
      <protection locked="0"/>
    </xf>
    <xf numFmtId="0" fontId="85" fillId="0" borderId="8" xfId="0" applyFont="1" applyBorder="1" applyAlignment="1" applyProtection="1">
      <alignment horizontal="center"/>
      <protection locked="0"/>
    </xf>
    <xf numFmtId="0" fontId="61" fillId="0" borderId="0" xfId="0" applyFont="1" applyProtection="1">
      <protection locked="0"/>
    </xf>
    <xf numFmtId="0" fontId="85" fillId="0" borderId="28" xfId="0" applyFont="1" applyBorder="1" applyAlignment="1" applyProtection="1">
      <alignment horizontal="center"/>
      <protection locked="0"/>
    </xf>
    <xf numFmtId="0" fontId="83" fillId="39" borderId="33" xfId="7" applyNumberFormat="1" applyFont="1" applyFill="1" applyBorder="1" applyAlignment="1">
      <alignment horizontal="centerContinuous"/>
    </xf>
    <xf numFmtId="0" fontId="61" fillId="4" borderId="8" xfId="0" applyFont="1" applyFill="1" applyBorder="1" applyAlignment="1">
      <alignment horizontal="center"/>
    </xf>
    <xf numFmtId="0" fontId="61" fillId="14" borderId="22" xfId="0" applyFont="1" applyFill="1" applyBorder="1" applyAlignment="1">
      <alignment horizontal="center" vertical="center" wrapText="1"/>
    </xf>
    <xf numFmtId="0" fontId="83" fillId="39" borderId="15" xfId="7" applyNumberFormat="1" applyFont="1" applyFill="1" applyBorder="1" applyAlignment="1">
      <alignment horizontal="centerContinuous"/>
    </xf>
    <xf numFmtId="0" fontId="61" fillId="4" borderId="15" xfId="0" applyFont="1" applyFill="1" applyBorder="1" applyAlignment="1">
      <alignment horizontal="center" wrapText="1"/>
    </xf>
    <xf numFmtId="0" fontId="61" fillId="14" borderId="27" xfId="0" applyFont="1" applyFill="1" applyBorder="1" applyAlignment="1">
      <alignment horizontal="center" vertical="center" wrapText="1"/>
    </xf>
    <xf numFmtId="0" fontId="61" fillId="4" borderId="15" xfId="0" applyFont="1" applyFill="1" applyBorder="1" applyAlignment="1">
      <alignment horizontal="center"/>
    </xf>
    <xf numFmtId="0" fontId="61" fillId="14" borderId="8" xfId="0" applyFont="1" applyFill="1" applyBorder="1" applyAlignment="1">
      <alignment horizontal="justify" vertical="center"/>
    </xf>
    <xf numFmtId="0" fontId="61" fillId="4" borderId="31" xfId="0" applyFont="1" applyFill="1" applyBorder="1" applyAlignment="1">
      <alignment horizontal="right"/>
    </xf>
    <xf numFmtId="0" fontId="61" fillId="14" borderId="134" xfId="0" applyFont="1" applyFill="1" applyBorder="1" applyAlignment="1">
      <alignment horizontal="right" vertical="center"/>
    </xf>
    <xf numFmtId="0" fontId="61" fillId="14" borderId="19" xfId="0" applyFont="1" applyFill="1" applyBorder="1" applyAlignment="1">
      <alignment horizontal="right" vertical="center"/>
    </xf>
    <xf numFmtId="0" fontId="61" fillId="14" borderId="22" xfId="0" applyFont="1" applyFill="1" applyBorder="1" applyAlignment="1">
      <alignment horizontal="justify" vertical="center"/>
    </xf>
    <xf numFmtId="0" fontId="61" fillId="4" borderId="23" xfId="0" applyFont="1" applyFill="1" applyBorder="1" applyAlignment="1">
      <alignment horizontal="left"/>
    </xf>
    <xf numFmtId="0" fontId="61" fillId="14" borderId="135" xfId="0" applyFont="1" applyFill="1" applyBorder="1" applyAlignment="1">
      <alignment horizontal="left" vertical="center"/>
    </xf>
    <xf numFmtId="0" fontId="61" fillId="14" borderId="136" xfId="0" applyFont="1" applyFill="1" applyBorder="1" applyAlignment="1">
      <alignment horizontal="left" vertical="center"/>
    </xf>
    <xf numFmtId="0" fontId="80" fillId="0" borderId="54" xfId="0" applyFont="1" applyBorder="1"/>
    <xf numFmtId="0" fontId="96" fillId="0" borderId="54" xfId="0" applyFont="1" applyBorder="1"/>
    <xf numFmtId="0" fontId="89" fillId="13" borderId="0" xfId="0" applyFont="1" applyFill="1"/>
    <xf numFmtId="0" fontId="98" fillId="13" borderId="0" xfId="0" applyFont="1" applyFill="1"/>
    <xf numFmtId="0" fontId="99" fillId="0" borderId="0" xfId="0" applyFont="1"/>
    <xf numFmtId="0" fontId="62" fillId="4" borderId="8" xfId="0" applyFont="1" applyFill="1" applyBorder="1" applyAlignment="1">
      <alignment horizontal="center" vertical="center"/>
    </xf>
    <xf numFmtId="0" fontId="62" fillId="14" borderId="22" xfId="0" applyFont="1" applyFill="1" applyBorder="1" applyAlignment="1">
      <alignment horizontal="center" vertical="center" wrapText="1"/>
    </xf>
    <xf numFmtId="0" fontId="62" fillId="14" borderId="27" xfId="0" applyFont="1" applyFill="1" applyBorder="1" applyAlignment="1">
      <alignment vertical="center" wrapText="1"/>
    </xf>
    <xf numFmtId="0" fontId="62" fillId="14" borderId="22" xfId="0" applyFont="1" applyFill="1" applyBorder="1" applyAlignment="1">
      <alignment horizontal="center" vertical="center"/>
    </xf>
    <xf numFmtId="0" fontId="62" fillId="15" borderId="8" xfId="0" applyFont="1" applyFill="1" applyBorder="1" applyAlignment="1">
      <alignment vertical="center" wrapText="1"/>
    </xf>
    <xf numFmtId="0" fontId="61" fillId="14" borderId="8" xfId="0" applyFont="1" applyFill="1" applyBorder="1" applyAlignment="1">
      <alignment horizontal="center" vertical="center"/>
    </xf>
    <xf numFmtId="0" fontId="83" fillId="39" borderId="15" xfId="0" applyFont="1" applyFill="1" applyBorder="1"/>
    <xf numFmtId="0" fontId="61" fillId="4" borderId="15" xfId="0" applyFont="1" applyFill="1" applyBorder="1" applyAlignment="1">
      <alignment horizontal="center" vertical="center" wrapText="1"/>
    </xf>
    <xf numFmtId="0" fontId="61" fillId="0" borderId="27" xfId="0" applyFont="1" applyBorder="1" applyAlignment="1">
      <alignment horizontal="center" vertical="center" wrapText="1"/>
    </xf>
    <xf numFmtId="0" fontId="61" fillId="14" borderId="27" xfId="0" applyFont="1" applyFill="1" applyBorder="1" applyAlignment="1">
      <alignment horizontal="justify" vertical="center"/>
    </xf>
    <xf numFmtId="0" fontId="100" fillId="0" borderId="0" xfId="0" applyFont="1"/>
    <xf numFmtId="0" fontId="61" fillId="4" borderId="8" xfId="0" applyFont="1" applyFill="1" applyBorder="1" applyAlignment="1">
      <alignment horizontal="center" vertical="center"/>
    </xf>
    <xf numFmtId="0" fontId="61" fillId="14" borderId="28" xfId="0" applyFont="1" applyFill="1" applyBorder="1" applyAlignment="1">
      <alignment horizontal="center" vertical="center" wrapText="1"/>
    </xf>
    <xf numFmtId="0" fontId="61" fillId="14" borderId="8" xfId="0" applyFont="1" applyFill="1" applyBorder="1" applyAlignment="1">
      <alignment horizontal="center" vertical="center" wrapText="1"/>
    </xf>
    <xf numFmtId="0" fontId="61" fillId="14" borderId="22" xfId="7" applyNumberFormat="1" applyFont="1" applyFill="1" applyBorder="1" applyAlignment="1">
      <alignment horizontal="center" vertical="center" wrapText="1"/>
    </xf>
    <xf numFmtId="0" fontId="62" fillId="22" borderId="8" xfId="7" applyNumberFormat="1" applyFont="1" applyFill="1" applyBorder="1" applyAlignment="1">
      <alignment horizontal="center" vertical="center"/>
    </xf>
    <xf numFmtId="0" fontId="62" fillId="30" borderId="8" xfId="7" applyNumberFormat="1" applyFont="1" applyFill="1" applyBorder="1" applyAlignment="1">
      <alignment horizontal="center" vertical="center"/>
    </xf>
    <xf numFmtId="0" fontId="61" fillId="14" borderId="8" xfId="7" applyNumberFormat="1" applyFont="1" applyFill="1" applyBorder="1" applyAlignment="1">
      <alignment horizontal="center" vertical="center" wrapText="1"/>
    </xf>
    <xf numFmtId="0" fontId="62" fillId="0" borderId="0" xfId="7" applyNumberFormat="1" applyFont="1" applyAlignment="1">
      <alignment horizontal="right" vertical="center"/>
    </xf>
    <xf numFmtId="0" fontId="90" fillId="0" borderId="0" xfId="7" applyNumberFormat="1" applyFont="1" applyAlignment="1">
      <alignment horizontal="left"/>
    </xf>
    <xf numFmtId="0" fontId="86" fillId="0" borderId="0" xfId="7" applyNumberFormat="1" applyFont="1" applyAlignment="1">
      <alignment vertical="center" wrapText="1"/>
    </xf>
    <xf numFmtId="3" fontId="83" fillId="13" borderId="8" xfId="0" applyNumberFormat="1" applyFont="1" applyFill="1" applyBorder="1"/>
    <xf numFmtId="0" fontId="0" fillId="5" borderId="155" xfId="0" applyFill="1" applyBorder="1" applyAlignment="1" applyProtection="1">
      <alignment horizontal="center" vertical="center"/>
      <protection locked="0"/>
    </xf>
    <xf numFmtId="0" fontId="0" fillId="0" borderId="0" xfId="0" applyAlignment="1" applyProtection="1">
      <alignment horizontal="center"/>
      <protection locked="0"/>
    </xf>
    <xf numFmtId="0" fontId="179" fillId="0" borderId="0" xfId="0" applyFont="1" applyAlignment="1" applyProtection="1">
      <alignment horizontal="left"/>
      <protection locked="0"/>
    </xf>
    <xf numFmtId="0" fontId="178" fillId="0" borderId="0" xfId="0" applyFont="1" applyAlignment="1" applyProtection="1">
      <alignment horizontal="left"/>
      <protection locked="0"/>
    </xf>
    <xf numFmtId="0" fontId="78" fillId="42" borderId="155" xfId="0" applyFont="1" applyFill="1" applyBorder="1" applyAlignment="1" applyProtection="1">
      <alignment horizontal="center"/>
      <protection locked="0"/>
    </xf>
    <xf numFmtId="0" fontId="78" fillId="43" borderId="155" xfId="0" applyFont="1" applyFill="1" applyBorder="1" applyAlignment="1" applyProtection="1">
      <alignment horizontal="center"/>
      <protection locked="0"/>
    </xf>
    <xf numFmtId="0" fontId="179" fillId="0" borderId="0" xfId="0" applyFont="1" applyAlignment="1" applyProtection="1">
      <alignment horizontal="right"/>
      <protection locked="0"/>
    </xf>
    <xf numFmtId="0" fontId="0" fillId="6" borderId="155" xfId="0" applyFill="1" applyBorder="1" applyAlignment="1" applyProtection="1">
      <alignment horizontal="left" vertical="center"/>
      <protection locked="0"/>
    </xf>
    <xf numFmtId="0" fontId="180" fillId="0" borderId="0" xfId="0" applyFont="1" applyAlignment="1" applyProtection="1">
      <alignment horizontal="left" vertical="top"/>
      <protection locked="0"/>
    </xf>
    <xf numFmtId="0" fontId="89" fillId="0" borderId="0" xfId="0" applyFont="1" applyAlignment="1">
      <alignment horizontal="center"/>
    </xf>
    <xf numFmtId="3" fontId="41" fillId="0" borderId="0" xfId="0" applyNumberFormat="1" applyFont="1" applyAlignment="1">
      <alignment horizontal="right"/>
    </xf>
    <xf numFmtId="3" fontId="62" fillId="28" borderId="13" xfId="0" applyNumberFormat="1" applyFont="1" applyFill="1" applyBorder="1" applyAlignment="1" applyProtection="1">
      <alignment horizontal="right" vertical="center"/>
      <protection locked="0"/>
    </xf>
    <xf numFmtId="3" fontId="151" fillId="29" borderId="13" xfId="0" applyNumberFormat="1" applyFont="1" applyFill="1" applyBorder="1" applyAlignment="1" applyProtection="1">
      <alignment horizontal="right" vertical="center"/>
      <protection locked="0"/>
    </xf>
    <xf numFmtId="3" fontId="62" fillId="28" borderId="101" xfId="0" applyNumberFormat="1" applyFont="1" applyFill="1" applyBorder="1" applyAlignment="1" applyProtection="1">
      <alignment horizontal="right" vertical="center"/>
      <protection locked="0"/>
    </xf>
    <xf numFmtId="3" fontId="151" fillId="29" borderId="101" xfId="0" applyNumberFormat="1" applyFont="1" applyFill="1" applyBorder="1" applyAlignment="1" applyProtection="1">
      <alignment horizontal="right" vertical="center"/>
      <protection locked="0"/>
    </xf>
    <xf numFmtId="3" fontId="28" fillId="0" borderId="0" xfId="0" applyNumberFormat="1" applyFont="1"/>
    <xf numFmtId="3" fontId="41" fillId="0" borderId="0" xfId="0" applyNumberFormat="1" applyFont="1"/>
    <xf numFmtId="0" fontId="43" fillId="0" borderId="0" xfId="0" applyFont="1"/>
    <xf numFmtId="0" fontId="89" fillId="4" borderId="105" xfId="0" applyFont="1" applyFill="1" applyBorder="1" applyAlignment="1">
      <alignment horizontal="center" vertical="center" wrapText="1"/>
    </xf>
    <xf numFmtId="3" fontId="62" fillId="19" borderId="163" xfId="12" applyNumberFormat="1" applyFont="1" applyFill="1" applyBorder="1" applyAlignment="1" applyProtection="1">
      <alignment vertical="center"/>
      <protection locked="0"/>
    </xf>
    <xf numFmtId="3" fontId="62" fillId="10" borderId="155" xfId="12" applyNumberFormat="1" applyFont="1" applyFill="1" applyBorder="1" applyAlignment="1" applyProtection="1">
      <alignment vertical="center" wrapText="1"/>
      <protection locked="0"/>
    </xf>
    <xf numFmtId="3" fontId="62" fillId="28" borderId="165" xfId="12" applyNumberFormat="1" applyFont="1" applyFill="1" applyBorder="1" applyAlignment="1" applyProtection="1">
      <alignment vertical="center"/>
      <protection locked="0"/>
    </xf>
    <xf numFmtId="3" fontId="62" fillId="29" borderId="163" xfId="12" applyNumberFormat="1" applyFont="1" applyFill="1" applyBorder="1" applyAlignment="1" applyProtection="1">
      <alignment vertical="center"/>
      <protection locked="0"/>
    </xf>
    <xf numFmtId="3" fontId="62" fillId="29" borderId="165" xfId="12" applyNumberFormat="1" applyFont="1" applyFill="1" applyBorder="1" applyAlignment="1" applyProtection="1">
      <alignment vertical="center"/>
      <protection locked="0"/>
    </xf>
    <xf numFmtId="3" fontId="62" fillId="19" borderId="162" xfId="12" applyNumberFormat="1" applyFont="1" applyFill="1" applyBorder="1" applyAlignment="1" applyProtection="1">
      <alignment vertical="center"/>
      <protection locked="0"/>
    </xf>
    <xf numFmtId="3" fontId="62" fillId="10" borderId="166" xfId="12" applyNumberFormat="1" applyFont="1" applyFill="1" applyBorder="1" applyAlignment="1" applyProtection="1">
      <alignment vertical="center" wrapText="1"/>
      <protection locked="0"/>
    </xf>
    <xf numFmtId="3" fontId="62" fillId="28" borderId="168" xfId="12" applyNumberFormat="1" applyFont="1" applyFill="1" applyBorder="1" applyAlignment="1" applyProtection="1">
      <alignment vertical="center"/>
      <protection locked="0"/>
    </xf>
    <xf numFmtId="3" fontId="62" fillId="29" borderId="162" xfId="12" applyNumberFormat="1" applyFont="1" applyFill="1" applyBorder="1" applyAlignment="1" applyProtection="1">
      <alignment vertical="center"/>
      <protection locked="0"/>
    </xf>
    <xf numFmtId="3" fontId="62" fillId="29" borderId="168" xfId="12" applyNumberFormat="1" applyFont="1" applyFill="1" applyBorder="1" applyAlignment="1" applyProtection="1">
      <alignment vertical="center"/>
      <protection locked="0"/>
    </xf>
    <xf numFmtId="3" fontId="62" fillId="10" borderId="165" xfId="12" applyNumberFormat="1" applyFont="1" applyFill="1" applyBorder="1" applyAlignment="1" applyProtection="1">
      <alignment vertical="center" wrapText="1"/>
      <protection locked="0"/>
    </xf>
    <xf numFmtId="3" fontId="62" fillId="38" borderId="163" xfId="12" applyNumberFormat="1" applyFont="1" applyFill="1" applyBorder="1" applyAlignment="1" applyProtection="1">
      <alignment vertical="center" wrapText="1"/>
      <protection locked="0"/>
    </xf>
    <xf numFmtId="3" fontId="62" fillId="10" borderId="163" xfId="12" applyNumberFormat="1" applyFont="1" applyFill="1" applyBorder="1" applyAlignment="1" applyProtection="1">
      <alignment vertical="center" wrapText="1"/>
      <protection locked="0"/>
    </xf>
    <xf numFmtId="3" fontId="62" fillId="38" borderId="169" xfId="12" applyNumberFormat="1" applyFont="1" applyFill="1" applyBorder="1" applyAlignment="1" applyProtection="1">
      <alignment vertical="center" wrapText="1"/>
      <protection locked="0"/>
    </xf>
    <xf numFmtId="3" fontId="62" fillId="10" borderId="170" xfId="12" applyNumberFormat="1" applyFont="1" applyFill="1" applyBorder="1" applyAlignment="1" applyProtection="1">
      <alignment vertical="center" wrapText="1"/>
      <protection locked="0"/>
    </xf>
    <xf numFmtId="3" fontId="62" fillId="28" borderId="172" xfId="12" applyNumberFormat="1" applyFont="1" applyFill="1" applyBorder="1" applyAlignment="1" applyProtection="1">
      <alignment vertical="center"/>
      <protection locked="0"/>
    </xf>
    <xf numFmtId="3" fontId="62" fillId="10" borderId="169" xfId="12" applyNumberFormat="1" applyFont="1" applyFill="1" applyBorder="1" applyAlignment="1" applyProtection="1">
      <alignment vertical="center" wrapText="1"/>
      <protection locked="0"/>
    </xf>
    <xf numFmtId="3" fontId="62" fillId="29" borderId="172" xfId="12" applyNumberFormat="1" applyFont="1" applyFill="1" applyBorder="1" applyAlignment="1" applyProtection="1">
      <alignment vertical="center"/>
      <protection locked="0"/>
    </xf>
    <xf numFmtId="3" fontId="62" fillId="19" borderId="169" xfId="12" applyNumberFormat="1" applyFont="1" applyFill="1" applyBorder="1" applyAlignment="1" applyProtection="1">
      <alignment vertical="center"/>
      <protection locked="0"/>
    </xf>
    <xf numFmtId="3" fontId="62" fillId="28" borderId="173" xfId="12" applyNumberFormat="1" applyFont="1" applyFill="1" applyBorder="1" applyAlignment="1" applyProtection="1">
      <alignment vertical="center"/>
      <protection locked="0"/>
    </xf>
    <xf numFmtId="3" fontId="62" fillId="29" borderId="169" xfId="12" applyNumberFormat="1" applyFont="1" applyFill="1" applyBorder="1" applyAlignment="1" applyProtection="1">
      <alignment vertical="center"/>
      <protection locked="0"/>
    </xf>
    <xf numFmtId="3" fontId="62" fillId="29" borderId="173" xfId="12" applyNumberFormat="1" applyFont="1" applyFill="1" applyBorder="1" applyAlignment="1" applyProtection="1">
      <alignment vertical="center"/>
      <protection locked="0"/>
    </xf>
    <xf numFmtId="3" fontId="62" fillId="28" borderId="170" xfId="12" applyNumberFormat="1" applyFont="1" applyFill="1" applyBorder="1" applyAlignment="1" applyProtection="1">
      <alignment vertical="center"/>
      <protection locked="0"/>
    </xf>
    <xf numFmtId="3" fontId="62" fillId="29" borderId="170" xfId="12" applyNumberFormat="1" applyFont="1" applyFill="1" applyBorder="1" applyAlignment="1" applyProtection="1">
      <alignment vertical="center"/>
      <protection locked="0"/>
    </xf>
    <xf numFmtId="3" fontId="62" fillId="28" borderId="174" xfId="12" applyNumberFormat="1" applyFont="1" applyFill="1" applyBorder="1" applyAlignment="1" applyProtection="1">
      <alignment vertical="center"/>
      <protection locked="0"/>
    </xf>
    <xf numFmtId="3" fontId="62" fillId="29" borderId="174" xfId="12" applyNumberFormat="1" applyFont="1" applyFill="1" applyBorder="1" applyAlignment="1" applyProtection="1">
      <alignment vertical="center"/>
      <protection locked="0"/>
    </xf>
    <xf numFmtId="3" fontId="62" fillId="10" borderId="174" xfId="12" applyNumberFormat="1" applyFont="1" applyFill="1" applyBorder="1" applyAlignment="1" applyProtection="1">
      <alignment vertical="center" wrapText="1"/>
      <protection locked="0"/>
    </xf>
    <xf numFmtId="3" fontId="62" fillId="10" borderId="175" xfId="12" applyNumberFormat="1" applyFont="1" applyFill="1" applyBorder="1" applyAlignment="1" applyProtection="1">
      <alignment vertical="center" wrapText="1"/>
      <protection locked="0"/>
    </xf>
    <xf numFmtId="3" fontId="62" fillId="28" borderId="176" xfId="12" applyNumberFormat="1" applyFont="1" applyFill="1" applyBorder="1" applyAlignment="1" applyProtection="1">
      <alignment vertical="center"/>
      <protection locked="0"/>
    </xf>
    <xf numFmtId="3" fontId="62" fillId="29" borderId="176" xfId="12" applyNumberFormat="1" applyFont="1" applyFill="1" applyBorder="1" applyAlignment="1" applyProtection="1">
      <alignment vertical="center"/>
      <protection locked="0"/>
    </xf>
    <xf numFmtId="0" fontId="125" fillId="37" borderId="0" xfId="0" applyFont="1" applyFill="1"/>
    <xf numFmtId="0" fontId="61" fillId="0" borderId="0" xfId="0" applyFont="1"/>
    <xf numFmtId="0" fontId="118" fillId="4" borderId="151" xfId="0" applyFont="1" applyFill="1" applyBorder="1" applyAlignment="1">
      <alignment horizontal="left" vertical="center" wrapText="1" indent="4"/>
    </xf>
    <xf numFmtId="0" fontId="62" fillId="29" borderId="12" xfId="0" applyFont="1" applyFill="1" applyBorder="1" applyAlignment="1" applyProtection="1">
      <alignment horizontal="center" vertical="center" wrapText="1"/>
      <protection locked="0"/>
    </xf>
    <xf numFmtId="3" fontId="62" fillId="30" borderId="12" xfId="12" applyNumberFormat="1" applyFont="1" applyFill="1" applyBorder="1" applyAlignment="1" applyProtection="1">
      <alignment horizontal="right" vertical="center" wrapText="1"/>
      <protection locked="0"/>
    </xf>
    <xf numFmtId="0" fontId="117" fillId="37" borderId="0" xfId="0" applyFont="1" applyFill="1"/>
    <xf numFmtId="169" fontId="22" fillId="0" borderId="0" xfId="0" applyNumberFormat="1" applyFont="1"/>
    <xf numFmtId="49" fontId="22" fillId="0" borderId="0" xfId="0" applyNumberFormat="1" applyFont="1"/>
    <xf numFmtId="49" fontId="0" fillId="0" borderId="0" xfId="0" applyNumberFormat="1"/>
    <xf numFmtId="169" fontId="182" fillId="0" borderId="0" xfId="0" applyNumberFormat="1" applyFont="1"/>
    <xf numFmtId="169" fontId="34" fillId="0" borderId="0" xfId="0" applyNumberFormat="1" applyFont="1"/>
    <xf numFmtId="49" fontId="34" fillId="0" borderId="0" xfId="0" applyNumberFormat="1" applyFont="1"/>
    <xf numFmtId="169" fontId="33" fillId="0" borderId="0" xfId="0" applyNumberFormat="1" applyFont="1"/>
    <xf numFmtId="0" fontId="22" fillId="0" borderId="0" xfId="0" applyFont="1" applyAlignment="1">
      <alignment vertical="center"/>
    </xf>
    <xf numFmtId="169" fontId="24" fillId="0" borderId="0" xfId="0" applyNumberFormat="1" applyFont="1" applyAlignment="1">
      <alignment vertical="center"/>
    </xf>
    <xf numFmtId="169" fontId="22" fillId="0" borderId="0" xfId="0" applyNumberFormat="1" applyFont="1" applyAlignment="1">
      <alignment vertical="center"/>
    </xf>
    <xf numFmtId="49" fontId="22" fillId="0" borderId="0" xfId="0" applyNumberFormat="1" applyFont="1" applyAlignment="1">
      <alignment vertical="center"/>
    </xf>
    <xf numFmtId="169" fontId="89" fillId="4" borderId="8" xfId="0" applyNumberFormat="1" applyFont="1" applyFill="1" applyBorder="1" applyAlignment="1">
      <alignment horizontal="center" vertical="center" wrapText="1"/>
    </xf>
    <xf numFmtId="178" fontId="62" fillId="28" borderId="102" xfId="12" applyNumberFormat="1" applyFont="1" applyFill="1" applyBorder="1" applyAlignment="1" applyProtection="1">
      <alignment horizontal="right" vertical="center" wrapText="1"/>
      <protection locked="0"/>
    </xf>
    <xf numFmtId="178" fontId="62" fillId="29" borderId="102" xfId="12" applyNumberFormat="1" applyFont="1" applyFill="1" applyBorder="1" applyAlignment="1" applyProtection="1">
      <alignment horizontal="right" vertical="center" wrapText="1"/>
      <protection locked="0"/>
    </xf>
    <xf numFmtId="169" fontId="32" fillId="0" borderId="0" xfId="0" applyNumberFormat="1" applyFont="1"/>
    <xf numFmtId="0" fontId="117" fillId="0" borderId="0" xfId="0" applyFont="1"/>
    <xf numFmtId="0" fontId="85" fillId="0" borderId="0" xfId="0" applyFont="1" applyAlignment="1">
      <alignment horizontal="center" vertical="center"/>
    </xf>
    <xf numFmtId="0" fontId="169" fillId="4" borderId="8" xfId="0" applyFont="1" applyFill="1" applyBorder="1" applyAlignment="1">
      <alignment horizontal="center" vertical="center" wrapText="1"/>
    </xf>
    <xf numFmtId="0" fontId="89" fillId="4" borderId="8" xfId="0" applyFont="1" applyFill="1" applyBorder="1" applyAlignment="1">
      <alignment horizontal="center" vertical="center" wrapText="1"/>
    </xf>
    <xf numFmtId="169" fontId="62" fillId="4" borderId="8" xfId="0" applyNumberFormat="1" applyFont="1" applyFill="1" applyBorder="1" applyAlignment="1">
      <alignment horizontal="center" vertical="center" wrapText="1"/>
    </xf>
    <xf numFmtId="0" fontId="170" fillId="41" borderId="102" xfId="0" applyFont="1" applyFill="1" applyBorder="1" applyAlignment="1">
      <alignment horizontal="center" vertical="center" wrapText="1"/>
    </xf>
    <xf numFmtId="0" fontId="89" fillId="13" borderId="102" xfId="0" applyFont="1" applyFill="1" applyBorder="1" applyAlignment="1">
      <alignment horizontal="center" vertical="center"/>
    </xf>
    <xf numFmtId="3" fontId="89" fillId="13" borderId="102" xfId="12" applyNumberFormat="1" applyFont="1" applyFill="1" applyBorder="1" applyAlignment="1" applyProtection="1">
      <alignment horizontal="right" vertical="center" wrapText="1"/>
    </xf>
    <xf numFmtId="0" fontId="77" fillId="0" borderId="0" xfId="0" applyFont="1"/>
    <xf numFmtId="0" fontId="32" fillId="0" borderId="0" xfId="0" applyFont="1"/>
    <xf numFmtId="0" fontId="174" fillId="0" borderId="0" xfId="0" applyFont="1" applyAlignment="1">
      <alignment horizontal="left"/>
    </xf>
    <xf numFmtId="169" fontId="177" fillId="0" borderId="0" xfId="0" applyNumberFormat="1" applyFont="1" applyAlignment="1">
      <alignment horizontal="left"/>
    </xf>
    <xf numFmtId="169" fontId="61" fillId="0" borderId="0" xfId="0" applyNumberFormat="1" applyFont="1" applyAlignment="1">
      <alignment horizontal="left"/>
    </xf>
    <xf numFmtId="169" fontId="108" fillId="0" borderId="0" xfId="0" applyNumberFormat="1" applyFont="1" applyAlignment="1">
      <alignment horizontal="left"/>
    </xf>
    <xf numFmtId="169" fontId="174" fillId="0" borderId="0" xfId="0" applyNumberFormat="1" applyFont="1" applyAlignment="1">
      <alignment horizontal="left"/>
    </xf>
    <xf numFmtId="0" fontId="169" fillId="4" borderId="155" xfId="0" applyFont="1" applyFill="1" applyBorder="1" applyAlignment="1">
      <alignment horizontal="center" vertical="center" wrapText="1"/>
    </xf>
    <xf numFmtId="0" fontId="89" fillId="4" borderId="155" xfId="0" applyFont="1" applyFill="1" applyBorder="1" applyAlignment="1">
      <alignment horizontal="center" vertical="center" wrapText="1"/>
    </xf>
    <xf numFmtId="169" fontId="62" fillId="4" borderId="155" xfId="0" applyNumberFormat="1" applyFont="1" applyFill="1" applyBorder="1" applyAlignment="1">
      <alignment horizontal="center" vertical="center" wrapText="1"/>
    </xf>
    <xf numFmtId="170" fontId="62" fillId="0" borderId="0" xfId="12" applyFont="1" applyFill="1" applyBorder="1" applyAlignment="1" applyProtection="1">
      <alignment vertical="center"/>
    </xf>
    <xf numFmtId="169" fontId="108" fillId="0" borderId="0" xfId="7" applyFont="1" applyAlignment="1">
      <alignment vertical="center"/>
    </xf>
    <xf numFmtId="0" fontId="89" fillId="9" borderId="33" xfId="0" applyFont="1" applyFill="1" applyBorder="1" applyAlignment="1">
      <alignment vertical="center"/>
    </xf>
    <xf numFmtId="0" fontId="89" fillId="9" borderId="32" xfId="0" applyFont="1" applyFill="1" applyBorder="1" applyAlignment="1">
      <alignment vertical="center"/>
    </xf>
    <xf numFmtId="169" fontId="89" fillId="9" borderId="32" xfId="0" applyNumberFormat="1" applyFont="1" applyFill="1" applyBorder="1" applyAlignment="1">
      <alignment vertical="center"/>
    </xf>
    <xf numFmtId="0" fontId="61" fillId="0" borderId="0" xfId="7" applyNumberFormat="1" applyFont="1"/>
    <xf numFmtId="169" fontId="61" fillId="0" borderId="0" xfId="7" applyFont="1"/>
    <xf numFmtId="0" fontId="62" fillId="0" borderId="0" xfId="7" applyNumberFormat="1" applyFont="1"/>
    <xf numFmtId="169" fontId="89" fillId="3" borderId="0" xfId="7" applyFont="1" applyFill="1" applyAlignment="1">
      <alignment horizontal="right" vertical="center"/>
    </xf>
    <xf numFmtId="0" fontId="62" fillId="0" borderId="0" xfId="12" applyNumberFormat="1" applyFont="1" applyFill="1" applyBorder="1" applyAlignment="1" applyProtection="1">
      <alignment vertical="center"/>
    </xf>
    <xf numFmtId="10" fontId="83" fillId="28" borderId="8" xfId="32" applyNumberFormat="1" applyFont="1" applyFill="1" applyBorder="1" applyAlignment="1" applyProtection="1">
      <alignment horizontal="center" vertical="center"/>
    </xf>
    <xf numFmtId="0" fontId="169" fillId="4" borderId="115" xfId="0" applyFont="1" applyFill="1" applyBorder="1" applyAlignment="1">
      <alignment horizontal="center" vertical="center" wrapText="1"/>
    </xf>
    <xf numFmtId="0" fontId="89" fillId="4" borderId="115" xfId="7" applyNumberFormat="1" applyFont="1" applyFill="1" applyBorder="1" applyAlignment="1">
      <alignment horizontal="center" vertical="center" wrapText="1"/>
    </xf>
    <xf numFmtId="169" fontId="89" fillId="4" borderId="115" xfId="7" applyFont="1" applyFill="1" applyBorder="1" applyAlignment="1">
      <alignment horizontal="center" vertical="center" wrapText="1"/>
    </xf>
    <xf numFmtId="170" fontId="62" fillId="4" borderId="115" xfId="12" applyFont="1" applyFill="1" applyBorder="1" applyAlignment="1" applyProtection="1">
      <alignment horizontal="center" vertical="center" wrapText="1"/>
    </xf>
    <xf numFmtId="170" fontId="89" fillId="4" borderId="115" xfId="12" applyFont="1" applyFill="1" applyBorder="1" applyAlignment="1" applyProtection="1">
      <alignment horizontal="center" vertical="center" wrapText="1"/>
    </xf>
    <xf numFmtId="0" fontId="170" fillId="41" borderId="113" xfId="0" applyFont="1" applyFill="1" applyBorder="1" applyAlignment="1">
      <alignment horizontal="center" vertical="center" wrapText="1"/>
    </xf>
    <xf numFmtId="0" fontId="80" fillId="0" borderId="8" xfId="0" applyFont="1" applyBorder="1" applyAlignment="1">
      <alignment horizontal="center" vertical="center"/>
    </xf>
    <xf numFmtId="0" fontId="118" fillId="0" borderId="8" xfId="7" applyNumberFormat="1" applyFont="1" applyBorder="1" applyAlignment="1">
      <alignment horizontal="left" vertical="center"/>
    </xf>
    <xf numFmtId="0" fontId="118" fillId="0" borderId="8" xfId="7" applyNumberFormat="1" applyFont="1" applyBorder="1" applyAlignment="1">
      <alignment horizontal="center" vertical="center"/>
    </xf>
    <xf numFmtId="0" fontId="118" fillId="0" borderId="8" xfId="7" applyNumberFormat="1" applyFont="1" applyBorder="1" applyAlignment="1">
      <alignment horizontal="right" vertical="center"/>
    </xf>
    <xf numFmtId="169" fontId="118" fillId="0" borderId="8" xfId="7" applyFont="1" applyBorder="1" applyAlignment="1">
      <alignment horizontal="right" vertical="center"/>
    </xf>
    <xf numFmtId="169" fontId="86" fillId="3" borderId="145" xfId="7" applyFont="1" applyFill="1" applyBorder="1" applyAlignment="1">
      <alignment horizontal="center" vertical="center" wrapText="1"/>
    </xf>
    <xf numFmtId="169" fontId="86" fillId="3" borderId="13" xfId="7" applyFont="1" applyFill="1" applyBorder="1" applyAlignment="1">
      <alignment horizontal="center" vertical="center" wrapText="1"/>
    </xf>
    <xf numFmtId="0" fontId="86" fillId="3" borderId="13" xfId="7" applyNumberFormat="1" applyFont="1" applyFill="1" applyBorder="1" applyAlignment="1">
      <alignment horizontal="center" vertical="center" wrapText="1"/>
    </xf>
    <xf numFmtId="0" fontId="86" fillId="3" borderId="13" xfId="7" applyNumberFormat="1" applyFont="1" applyFill="1" applyBorder="1" applyAlignment="1">
      <alignment vertical="center" wrapText="1"/>
    </xf>
    <xf numFmtId="3" fontId="62" fillId="0" borderId="12" xfId="12" quotePrefix="1" applyNumberFormat="1" applyFont="1" applyFill="1" applyBorder="1" applyAlignment="1" applyProtection="1">
      <alignment horizontal="right" vertical="center"/>
    </xf>
    <xf numFmtId="3" fontId="89" fillId="0" borderId="34" xfId="12" quotePrefix="1" applyNumberFormat="1" applyFont="1" applyFill="1" applyBorder="1" applyAlignment="1" applyProtection="1">
      <alignment horizontal="right" vertical="center"/>
    </xf>
    <xf numFmtId="3" fontId="62" fillId="28" borderId="8" xfId="12" applyNumberFormat="1" applyFont="1" applyFill="1" applyBorder="1" applyAlignment="1" applyProtection="1">
      <alignment horizontal="center" vertical="center"/>
      <protection locked="0"/>
    </xf>
    <xf numFmtId="3" fontId="62" fillId="29" borderId="8" xfId="12" applyNumberFormat="1" applyFont="1" applyFill="1" applyBorder="1" applyAlignment="1" applyProtection="1">
      <alignment horizontal="center" vertical="center"/>
      <protection locked="0"/>
    </xf>
    <xf numFmtId="3" fontId="118" fillId="37" borderId="8" xfId="31" applyNumberFormat="1" applyFont="1" applyFill="1" applyBorder="1" applyAlignment="1" applyProtection="1">
      <alignment horizontal="center" vertical="center"/>
    </xf>
    <xf numFmtId="0" fontId="169" fillId="4" borderId="28" xfId="0" applyFont="1" applyFill="1" applyBorder="1" applyAlignment="1">
      <alignment horizontal="center" vertical="center" wrapText="1"/>
    </xf>
    <xf numFmtId="169" fontId="86" fillId="3" borderId="13" xfId="7" applyFont="1" applyFill="1" applyBorder="1" applyAlignment="1">
      <alignment vertical="center" wrapText="1"/>
    </xf>
    <xf numFmtId="169" fontId="148" fillId="0" borderId="0" xfId="0" applyNumberFormat="1" applyFont="1"/>
    <xf numFmtId="169" fontId="172" fillId="0" borderId="0" xfId="0" applyNumberFormat="1" applyFont="1"/>
    <xf numFmtId="169" fontId="172" fillId="0" borderId="0" xfId="0" applyNumberFormat="1" applyFont="1" applyAlignment="1">
      <alignment vertical="center"/>
    </xf>
    <xf numFmtId="169" fontId="158" fillId="0" borderId="0" xfId="0" applyNumberFormat="1" applyFont="1"/>
    <xf numFmtId="169" fontId="148" fillId="0" borderId="0" xfId="0" applyNumberFormat="1" applyFont="1" applyAlignment="1">
      <alignment vertical="center"/>
    </xf>
    <xf numFmtId="0" fontId="172" fillId="0" borderId="0" xfId="0" applyFont="1"/>
    <xf numFmtId="183" fontId="61" fillId="0" borderId="8" xfId="31" applyNumberFormat="1" applyFont="1" applyFill="1" applyBorder="1" applyAlignment="1" applyProtection="1">
      <alignment horizontal="center" vertical="center"/>
    </xf>
    <xf numFmtId="0" fontId="173" fillId="0" borderId="0" xfId="0" applyFont="1"/>
    <xf numFmtId="0" fontId="166" fillId="0" borderId="0" xfId="0" applyFont="1"/>
    <xf numFmtId="169" fontId="26" fillId="0" borderId="0" xfId="30" applyFont="1"/>
    <xf numFmtId="169" fontId="22" fillId="0" borderId="0" xfId="30" applyFont="1"/>
    <xf numFmtId="169" fontId="60" fillId="0" borderId="59" xfId="25" applyFont="1" applyBorder="1" applyAlignment="1">
      <alignment horizontal="center" vertical="center" wrapText="1"/>
    </xf>
    <xf numFmtId="169" fontId="25" fillId="0" borderId="0" xfId="30"/>
    <xf numFmtId="4" fontId="61" fillId="0" borderId="59" xfId="25" applyNumberFormat="1" applyFont="1" applyBorder="1" applyAlignment="1">
      <alignment horizontal="left" vertical="center" wrapText="1"/>
    </xf>
    <xf numFmtId="169" fontId="175" fillId="0" borderId="0" xfId="30" applyFont="1"/>
    <xf numFmtId="169" fontId="61" fillId="25" borderId="60" xfId="25" applyFont="1" applyFill="1" applyBorder="1" applyAlignment="1">
      <alignment horizontal="left" vertical="center" wrapText="1"/>
    </xf>
    <xf numFmtId="0" fontId="0" fillId="0" borderId="0" xfId="0" applyAlignment="1">
      <alignment wrapText="1"/>
    </xf>
    <xf numFmtId="184" fontId="61" fillId="14" borderId="27" xfId="0" applyNumberFormat="1" applyFont="1" applyFill="1" applyBorder="1" applyAlignment="1">
      <alignment horizontal="center" vertical="center"/>
    </xf>
    <xf numFmtId="187" fontId="61" fillId="14" borderId="27" xfId="0" applyNumberFormat="1" applyFont="1" applyFill="1" applyBorder="1" applyAlignment="1">
      <alignment horizontal="center" vertical="center"/>
    </xf>
    <xf numFmtId="176" fontId="83" fillId="0" borderId="8" xfId="0" applyNumberFormat="1" applyFont="1" applyBorder="1" applyAlignment="1">
      <alignment horizontal="center"/>
    </xf>
    <xf numFmtId="186" fontId="61" fillId="14" borderId="22" xfId="7" applyNumberFormat="1" applyFont="1" applyFill="1" applyBorder="1" applyAlignment="1" applyProtection="1">
      <alignment horizontal="center" vertical="center" wrapText="1"/>
      <protection locked="0"/>
    </xf>
    <xf numFmtId="186" fontId="61" fillId="14" borderId="8" xfId="7" applyNumberFormat="1" applyFont="1" applyFill="1" applyBorder="1" applyAlignment="1" applyProtection="1">
      <alignment horizontal="center" vertical="center" wrapText="1"/>
      <protection locked="0"/>
    </xf>
    <xf numFmtId="0" fontId="32" fillId="0" borderId="0" xfId="0" applyFont="1" applyAlignment="1">
      <alignment vertical="top"/>
    </xf>
    <xf numFmtId="0" fontId="32" fillId="0" borderId="0" xfId="0" applyFont="1" applyAlignment="1">
      <alignment horizontal="center"/>
    </xf>
    <xf numFmtId="0" fontId="150" fillId="0" borderId="0" xfId="0" applyFont="1"/>
    <xf numFmtId="0" fontId="74" fillId="0" borderId="12" xfId="0" applyFont="1" applyBorder="1" applyAlignment="1">
      <alignment horizontal="center" vertical="center" wrapText="1"/>
    </xf>
    <xf numFmtId="0" fontId="27" fillId="0" borderId="12" xfId="0" applyFont="1" applyBorder="1" applyAlignment="1">
      <alignment vertical="center" wrapText="1"/>
    </xf>
    <xf numFmtId="0" fontId="75" fillId="0" borderId="0" xfId="0" applyFont="1" applyAlignment="1">
      <alignment vertical="center"/>
    </xf>
    <xf numFmtId="0" fontId="0" fillId="0" borderId="8" xfId="0" applyBorder="1" applyAlignment="1">
      <alignment horizontal="center" vertical="center"/>
    </xf>
    <xf numFmtId="0" fontId="76" fillId="0" borderId="0" xfId="0" applyFont="1" applyAlignment="1">
      <alignment horizontal="center" wrapText="1"/>
    </xf>
    <xf numFmtId="0" fontId="72" fillId="0" borderId="0" xfId="0" applyFont="1" applyAlignment="1">
      <alignment horizontal="left"/>
    </xf>
    <xf numFmtId="0" fontId="18" fillId="0" borderId="0" xfId="0" applyFont="1"/>
    <xf numFmtId="0" fontId="78" fillId="0" borderId="159" xfId="0" applyFont="1" applyBorder="1" applyAlignment="1">
      <alignment horizontal="center" vertical="center"/>
    </xf>
    <xf numFmtId="0" fontId="53" fillId="13" borderId="15" xfId="0" applyFont="1" applyFill="1" applyBorder="1" applyAlignment="1">
      <alignment horizontal="center" vertical="center"/>
    </xf>
    <xf numFmtId="0" fontId="47" fillId="0" borderId="22" xfId="0" applyFont="1" applyBorder="1" applyAlignment="1">
      <alignment horizontal="left" vertical="center"/>
    </xf>
    <xf numFmtId="0" fontId="0" fillId="0" borderId="8" xfId="0" applyBorder="1" applyAlignment="1">
      <alignment vertical="center"/>
    </xf>
    <xf numFmtId="0" fontId="86" fillId="0" borderId="12" xfId="0" applyFont="1" applyBorder="1" applyAlignment="1" applyProtection="1">
      <alignment horizontal="center" vertical="center"/>
      <protection locked="0"/>
    </xf>
    <xf numFmtId="3" fontId="62" fillId="0" borderId="0" xfId="7" applyNumberFormat="1" applyFont="1" applyAlignment="1">
      <alignment vertical="center"/>
    </xf>
    <xf numFmtId="3" fontId="89" fillId="19" borderId="13" xfId="7" applyNumberFormat="1" applyFont="1" applyFill="1" applyBorder="1" applyAlignment="1">
      <alignment horizontal="center" vertical="center" wrapText="1"/>
    </xf>
    <xf numFmtId="3" fontId="105" fillId="0" borderId="0" xfId="7" applyNumberFormat="1" applyFont="1" applyAlignment="1">
      <alignment vertical="center" wrapText="1"/>
    </xf>
    <xf numFmtId="3" fontId="89" fillId="29" borderId="13" xfId="7" applyNumberFormat="1" applyFont="1" applyFill="1" applyBorder="1" applyAlignment="1">
      <alignment horizontal="center" vertical="center" wrapText="1"/>
    </xf>
    <xf numFmtId="3" fontId="62" fillId="0" borderId="0" xfId="31" applyNumberFormat="1" applyFont="1" applyAlignment="1" applyProtection="1">
      <alignment vertical="center"/>
    </xf>
    <xf numFmtId="0" fontId="0" fillId="6" borderId="177" xfId="0" applyFill="1" applyBorder="1" applyAlignment="1" applyProtection="1">
      <alignment horizontal="left" vertical="center"/>
      <protection locked="0"/>
    </xf>
    <xf numFmtId="0" fontId="86" fillId="3" borderId="177" xfId="7" applyNumberFormat="1" applyFont="1" applyFill="1" applyBorder="1" applyAlignment="1">
      <alignment horizontal="center" vertical="center" wrapText="1"/>
    </xf>
    <xf numFmtId="0" fontId="86" fillId="3" borderId="8" xfId="7" applyNumberFormat="1" applyFont="1" applyFill="1" applyBorder="1" applyAlignment="1">
      <alignment horizontal="center" vertical="center" wrapText="1"/>
    </xf>
    <xf numFmtId="0" fontId="62" fillId="4" borderId="149" xfId="0" applyFont="1" applyFill="1" applyBorder="1" applyAlignment="1">
      <alignment horizontal="left" vertical="center" indent="4"/>
    </xf>
    <xf numFmtId="0" fontId="62" fillId="4" borderId="149" xfId="0" applyFont="1" applyFill="1" applyBorder="1" applyAlignment="1">
      <alignment horizontal="left" vertical="center" wrapText="1" indent="2"/>
    </xf>
    <xf numFmtId="0" fontId="61" fillId="4" borderId="154" xfId="0" applyFont="1" applyFill="1" applyBorder="1" applyAlignment="1">
      <alignment horizontal="center"/>
    </xf>
    <xf numFmtId="0" fontId="61" fillId="14" borderId="154" xfId="0" applyFont="1" applyFill="1" applyBorder="1" applyAlignment="1">
      <alignment horizontal="justify" vertical="center"/>
    </xf>
    <xf numFmtId="0" fontId="61" fillId="4" borderId="177" xfId="0" applyFont="1" applyFill="1" applyBorder="1" applyAlignment="1">
      <alignment horizontal="center"/>
    </xf>
    <xf numFmtId="0" fontId="61" fillId="14" borderId="177" xfId="0" applyFont="1" applyFill="1" applyBorder="1" applyAlignment="1">
      <alignment horizontal="justify" vertical="center"/>
    </xf>
    <xf numFmtId="0" fontId="62" fillId="29" borderId="12" xfId="0" applyFont="1" applyFill="1" applyBorder="1" applyAlignment="1" applyProtection="1">
      <alignment vertical="center" wrapText="1"/>
      <protection locked="0"/>
    </xf>
    <xf numFmtId="49" fontId="62" fillId="29" borderId="12" xfId="0" applyNumberFormat="1" applyFont="1" applyFill="1" applyBorder="1" applyAlignment="1" applyProtection="1">
      <alignment horizontal="center" vertical="center" wrapText="1"/>
      <protection locked="0"/>
    </xf>
    <xf numFmtId="0" fontId="89" fillId="7" borderId="24" xfId="0" applyFont="1" applyFill="1" applyBorder="1" applyAlignment="1" applyProtection="1">
      <alignment horizontal="center" vertical="center" wrapText="1"/>
      <protection locked="0"/>
    </xf>
    <xf numFmtId="0" fontId="61" fillId="0" borderId="0" xfId="0" applyFont="1" applyAlignment="1" applyProtection="1">
      <alignment horizontal="center" vertical="center"/>
      <protection locked="0"/>
    </xf>
    <xf numFmtId="0" fontId="176" fillId="6" borderId="8" xfId="0" applyFont="1" applyFill="1" applyBorder="1" applyAlignment="1" applyProtection="1">
      <alignment horizontal="center" vertical="center"/>
      <protection locked="0"/>
    </xf>
    <xf numFmtId="0" fontId="89" fillId="0" borderId="8" xfId="0" applyFont="1" applyBorder="1" applyAlignment="1" applyProtection="1">
      <alignment horizontal="center" vertical="center" wrapText="1"/>
      <protection locked="0"/>
    </xf>
    <xf numFmtId="0" fontId="89" fillId="7" borderId="8" xfId="0" applyFont="1" applyFill="1" applyBorder="1" applyAlignment="1" applyProtection="1">
      <alignment horizontal="center" vertical="center" wrapText="1"/>
      <protection locked="0"/>
    </xf>
    <xf numFmtId="0" fontId="89" fillId="30" borderId="8" xfId="0" applyFont="1" applyFill="1" applyBorder="1" applyAlignment="1" applyProtection="1">
      <alignment horizontal="center" vertical="center" wrapText="1"/>
      <protection locked="0"/>
    </xf>
    <xf numFmtId="0" fontId="61" fillId="21" borderId="8" xfId="0" applyFont="1" applyFill="1" applyBorder="1" applyProtection="1">
      <protection locked="0"/>
    </xf>
    <xf numFmtId="0" fontId="62" fillId="19" borderId="102" xfId="0" applyFont="1" applyFill="1" applyBorder="1" applyAlignment="1" applyProtection="1">
      <alignment horizontal="center" vertical="center"/>
      <protection locked="0"/>
    </xf>
    <xf numFmtId="3" fontId="62" fillId="0" borderId="177" xfId="12" applyNumberFormat="1" applyFont="1" applyFill="1" applyBorder="1" applyAlignment="1" applyProtection="1">
      <alignment horizontal="right"/>
    </xf>
    <xf numFmtId="3" fontId="62" fillId="28" borderId="147" xfId="0" applyNumberFormat="1" applyFont="1" applyFill="1" applyBorder="1" applyAlignment="1" applyProtection="1">
      <alignment horizontal="center" vertical="center" wrapText="1"/>
      <protection locked="0"/>
    </xf>
    <xf numFmtId="14" fontId="62" fillId="28" borderId="147" xfId="0" applyNumberFormat="1" applyFont="1" applyFill="1" applyBorder="1" applyAlignment="1" applyProtection="1">
      <alignment horizontal="center" vertical="center"/>
      <protection locked="0"/>
    </xf>
    <xf numFmtId="3" fontId="62" fillId="28" borderId="147" xfId="0" applyNumberFormat="1" applyFont="1" applyFill="1" applyBorder="1" applyAlignment="1" applyProtection="1">
      <alignment horizontal="center" vertical="center"/>
      <protection locked="0"/>
    </xf>
    <xf numFmtId="3" fontId="151" fillId="31" borderId="179" xfId="0" applyNumberFormat="1" applyFont="1" applyFill="1" applyBorder="1" applyAlignment="1" applyProtection="1">
      <alignment horizontal="right" vertical="center"/>
      <protection locked="0"/>
    </xf>
    <xf numFmtId="3" fontId="62" fillId="28" borderId="147" xfId="0" applyNumberFormat="1" applyFont="1" applyFill="1" applyBorder="1" applyAlignment="1" applyProtection="1">
      <alignment horizontal="right" vertical="center"/>
      <protection locked="0"/>
    </xf>
    <xf numFmtId="3" fontId="62" fillId="31" borderId="102" xfId="12" applyNumberFormat="1" applyFont="1" applyFill="1" applyBorder="1" applyAlignment="1" applyProtection="1">
      <alignment horizontal="right" vertical="center" wrapText="1"/>
      <protection locked="0"/>
    </xf>
    <xf numFmtId="172" fontId="62" fillId="31" borderId="102" xfId="12" applyNumberFormat="1" applyFont="1" applyFill="1" applyBorder="1" applyAlignment="1" applyProtection="1">
      <alignment horizontal="right" vertical="center" wrapText="1"/>
      <protection locked="0"/>
    </xf>
    <xf numFmtId="169" fontId="89" fillId="0" borderId="181" xfId="0" applyNumberFormat="1" applyFont="1" applyBorder="1" applyAlignment="1">
      <alignment vertical="center" wrapText="1"/>
    </xf>
    <xf numFmtId="169" fontId="89" fillId="0" borderId="180" xfId="0" applyNumberFormat="1" applyFont="1" applyBorder="1" applyAlignment="1">
      <alignment vertical="center" wrapText="1"/>
    </xf>
    <xf numFmtId="169" fontId="89" fillId="0" borderId="178" xfId="0" applyNumberFormat="1" applyFont="1" applyBorder="1" applyAlignment="1">
      <alignment vertical="center" wrapText="1"/>
    </xf>
    <xf numFmtId="0" fontId="14" fillId="0" borderId="0" xfId="0" applyFont="1"/>
    <xf numFmtId="169" fontId="14" fillId="0" borderId="0" xfId="7" applyFont="1"/>
    <xf numFmtId="0" fontId="85" fillId="4" borderId="161" xfId="7" applyNumberFormat="1" applyFont="1" applyFill="1" applyBorder="1" applyAlignment="1">
      <alignment horizontal="center" vertical="center" wrapText="1"/>
    </xf>
    <xf numFmtId="0" fontId="62" fillId="22" borderId="177" xfId="7" applyNumberFormat="1" applyFont="1" applyFill="1" applyBorder="1" applyAlignment="1">
      <alignment horizontal="center" vertical="center"/>
    </xf>
    <xf numFmtId="0" fontId="62" fillId="0" borderId="177" xfId="7" applyNumberFormat="1" applyFont="1" applyBorder="1" applyAlignment="1">
      <alignment horizontal="center" vertical="center"/>
    </xf>
    <xf numFmtId="186" fontId="62" fillId="22" borderId="177" xfId="7" applyNumberFormat="1" applyFont="1" applyFill="1" applyBorder="1" applyAlignment="1" applyProtection="1">
      <alignment horizontal="center" vertical="center"/>
      <protection locked="0"/>
    </xf>
    <xf numFmtId="186" fontId="62" fillId="0" borderId="177" xfId="7" applyNumberFormat="1" applyFont="1" applyBorder="1" applyAlignment="1" applyProtection="1">
      <alignment horizontal="center" vertical="center"/>
      <protection locked="0"/>
    </xf>
    <xf numFmtId="0" fontId="62" fillId="28" borderId="177" xfId="7" applyNumberFormat="1" applyFont="1" applyFill="1" applyBorder="1" applyAlignment="1">
      <alignment horizontal="center" vertical="center"/>
    </xf>
    <xf numFmtId="0" fontId="62" fillId="29" borderId="177" xfId="7" applyNumberFormat="1" applyFont="1" applyFill="1" applyBorder="1" applyAlignment="1">
      <alignment horizontal="center" vertical="center"/>
    </xf>
    <xf numFmtId="0" fontId="14" fillId="0" borderId="0" xfId="7" applyNumberFormat="1" applyFont="1"/>
    <xf numFmtId="3" fontId="14" fillId="0" borderId="0" xfId="31" applyNumberFormat="1" applyFont="1" applyBorder="1" applyProtection="1"/>
    <xf numFmtId="0" fontId="85" fillId="4" borderId="177" xfId="7" applyNumberFormat="1" applyFont="1" applyFill="1" applyBorder="1" applyAlignment="1">
      <alignment horizontal="center" vertical="center" wrapText="1"/>
    </xf>
    <xf numFmtId="0" fontId="118" fillId="0" borderId="177" xfId="7" applyNumberFormat="1" applyFont="1" applyBorder="1" applyAlignment="1">
      <alignment horizontal="center" vertical="center"/>
    </xf>
    <xf numFmtId="0" fontId="118" fillId="0" borderId="177" xfId="7" applyNumberFormat="1" applyFont="1" applyBorder="1" applyAlignment="1">
      <alignment horizontal="left" vertical="center"/>
    </xf>
    <xf numFmtId="1" fontId="62" fillId="28" borderId="177" xfId="7" applyNumberFormat="1" applyFont="1" applyFill="1" applyBorder="1" applyAlignment="1">
      <alignment horizontal="center" vertical="center"/>
    </xf>
    <xf numFmtId="1" fontId="62" fillId="30" borderId="8" xfId="7" applyNumberFormat="1" applyFont="1" applyFill="1" applyBorder="1" applyAlignment="1">
      <alignment horizontal="center" vertical="center"/>
    </xf>
    <xf numFmtId="174" fontId="83" fillId="12" borderId="177" xfId="0" applyNumberFormat="1" applyFont="1" applyFill="1" applyBorder="1"/>
    <xf numFmtId="3" fontId="61" fillId="0" borderId="183" xfId="25" applyNumberFormat="1" applyFont="1" applyBorder="1" applyAlignment="1" applyProtection="1">
      <alignment horizontal="center" vertical="center" wrapText="1"/>
      <protection locked="0"/>
    </xf>
    <xf numFmtId="0" fontId="60" fillId="0" borderId="183" xfId="25" applyNumberFormat="1" applyFont="1" applyBorder="1" applyAlignment="1">
      <alignment horizontal="center" vertical="center" wrapText="1"/>
    </xf>
    <xf numFmtId="179" fontId="61" fillId="0" borderId="183" xfId="25" applyNumberFormat="1" applyFont="1" applyBorder="1" applyAlignment="1" applyProtection="1">
      <alignment horizontal="right" vertical="center" wrapText="1"/>
      <protection locked="0"/>
    </xf>
    <xf numFmtId="3" fontId="61" fillId="13" borderId="183" xfId="25" applyNumberFormat="1" applyFont="1" applyFill="1" applyBorder="1" applyAlignment="1" applyProtection="1">
      <alignment horizontal="center" vertical="center" wrapText="1"/>
      <protection locked="0"/>
    </xf>
    <xf numFmtId="0" fontId="53" fillId="13" borderId="185" xfId="0" applyFont="1" applyFill="1" applyBorder="1" applyAlignment="1">
      <alignment horizontal="center" vertical="center"/>
    </xf>
    <xf numFmtId="0" fontId="12" fillId="0" borderId="0" xfId="7" applyNumberFormat="1" applyFont="1"/>
    <xf numFmtId="169" fontId="12" fillId="0" borderId="0" xfId="7" applyFont="1"/>
    <xf numFmtId="0" fontId="195" fillId="0" borderId="0" xfId="0" applyFont="1"/>
    <xf numFmtId="0" fontId="86" fillId="3" borderId="120" xfId="7" applyNumberFormat="1" applyFont="1" applyFill="1" applyBorder="1" applyAlignment="1">
      <alignment horizontal="centerContinuous" vertical="center" wrapText="1"/>
    </xf>
    <xf numFmtId="169" fontId="86" fillId="3" borderId="120" xfId="7" applyFont="1" applyFill="1" applyBorder="1" applyAlignment="1">
      <alignment horizontal="centerContinuous" vertical="center" wrapText="1"/>
    </xf>
    <xf numFmtId="169" fontId="86" fillId="3" borderId="189" xfId="7" applyFont="1" applyFill="1" applyBorder="1" applyAlignment="1">
      <alignment horizontal="centerContinuous" vertical="center" wrapText="1"/>
    </xf>
    <xf numFmtId="169" fontId="88" fillId="3" borderId="124" xfId="7" applyFont="1" applyFill="1" applyBorder="1" applyAlignment="1">
      <alignment horizontal="centerContinuous" vertical="center" wrapText="1"/>
    </xf>
    <xf numFmtId="169" fontId="88" fillId="3" borderId="119" xfId="7" applyFont="1" applyFill="1" applyBorder="1" applyAlignment="1">
      <alignment horizontal="centerContinuous" vertical="center"/>
    </xf>
    <xf numFmtId="0" fontId="171" fillId="0" borderId="0" xfId="7" applyNumberFormat="1" applyFont="1"/>
    <xf numFmtId="0" fontId="88" fillId="3" borderId="190" xfId="7" applyNumberFormat="1" applyFont="1" applyFill="1" applyBorder="1" applyAlignment="1">
      <alignment vertical="center"/>
    </xf>
    <xf numFmtId="0" fontId="88" fillId="3" borderId="0" xfId="7" applyNumberFormat="1" applyFont="1" applyFill="1" applyAlignment="1">
      <alignment vertical="center"/>
    </xf>
    <xf numFmtId="169" fontId="88" fillId="3" borderId="0" xfId="7" applyFont="1" applyFill="1" applyAlignment="1">
      <alignment vertical="center"/>
    </xf>
    <xf numFmtId="169" fontId="88" fillId="3" borderId="191" xfId="7" applyFont="1" applyFill="1" applyBorder="1" applyAlignment="1">
      <alignment vertical="center"/>
    </xf>
    <xf numFmtId="169" fontId="89" fillId="29" borderId="188" xfId="7" applyFont="1" applyFill="1" applyBorder="1" applyAlignment="1">
      <alignment horizontal="centerContinuous" vertical="center"/>
    </xf>
    <xf numFmtId="169" fontId="89" fillId="29" borderId="189" xfId="7" applyFont="1" applyFill="1" applyBorder="1" applyAlignment="1">
      <alignment horizontal="centerContinuous" vertical="center"/>
    </xf>
    <xf numFmtId="169" fontId="108" fillId="0" borderId="57" xfId="7" applyFont="1" applyBorder="1"/>
    <xf numFmtId="169" fontId="12" fillId="0" borderId="57" xfId="7" applyFont="1" applyBorder="1"/>
    <xf numFmtId="0" fontId="88" fillId="3" borderId="192" xfId="7" applyNumberFormat="1" applyFont="1" applyFill="1" applyBorder="1" applyAlignment="1">
      <alignment horizontal="center" vertical="center"/>
    </xf>
    <xf numFmtId="0" fontId="88" fillId="3" borderId="123" xfId="7" applyNumberFormat="1" applyFont="1" applyFill="1" applyBorder="1" applyAlignment="1">
      <alignment horizontal="center" vertical="center"/>
    </xf>
    <xf numFmtId="169" fontId="88" fillId="3" borderId="123" xfId="7" applyFont="1" applyFill="1" applyBorder="1" applyAlignment="1">
      <alignment horizontal="center" vertical="center"/>
    </xf>
    <xf numFmtId="169" fontId="89" fillId="29" borderId="192" xfId="7" applyFont="1" applyFill="1" applyBorder="1" applyAlignment="1">
      <alignment horizontal="center" vertical="center"/>
    </xf>
    <xf numFmtId="169" fontId="89" fillId="29" borderId="193" xfId="7" applyFont="1" applyFill="1" applyBorder="1" applyAlignment="1">
      <alignment horizontal="center" vertical="center"/>
    </xf>
    <xf numFmtId="169" fontId="196" fillId="0" borderId="57" xfId="7" applyFont="1" applyBorder="1"/>
    <xf numFmtId="0" fontId="80" fillId="3" borderId="194" xfId="7" applyNumberFormat="1" applyFont="1" applyFill="1" applyBorder="1" applyAlignment="1">
      <alignment horizontal="center" vertical="center" wrapText="1"/>
    </xf>
    <xf numFmtId="0" fontId="80" fillId="3" borderId="195" xfId="7" applyNumberFormat="1" applyFont="1" applyFill="1" applyBorder="1" applyAlignment="1">
      <alignment horizontal="center" vertical="center" wrapText="1"/>
    </xf>
    <xf numFmtId="0" fontId="80" fillId="3" borderId="35" xfId="7" applyNumberFormat="1" applyFont="1" applyFill="1" applyBorder="1" applyAlignment="1">
      <alignment horizontal="center" vertical="center" wrapText="1"/>
    </xf>
    <xf numFmtId="169" fontId="80" fillId="3" borderId="35" xfId="7" applyFont="1" applyFill="1" applyBorder="1" applyAlignment="1">
      <alignment horizontal="center" vertical="center" wrapText="1"/>
    </xf>
    <xf numFmtId="169" fontId="80" fillId="3" borderId="196" xfId="7" applyFont="1" applyFill="1" applyBorder="1" applyAlignment="1">
      <alignment horizontal="center" vertical="center" wrapText="1"/>
    </xf>
    <xf numFmtId="169" fontId="89" fillId="29" borderId="197" xfId="7" applyFont="1" applyFill="1" applyBorder="1" applyAlignment="1">
      <alignment horizontal="center" vertical="center"/>
    </xf>
    <xf numFmtId="169" fontId="89" fillId="29" borderId="198" xfId="7" applyFont="1" applyFill="1" applyBorder="1" applyAlignment="1">
      <alignment horizontal="center" vertical="center"/>
    </xf>
    <xf numFmtId="169" fontId="61" fillId="0" borderId="177" xfId="0" applyNumberFormat="1" applyFont="1" applyBorder="1" applyAlignment="1">
      <alignment horizontal="center" vertical="center"/>
    </xf>
    <xf numFmtId="169" fontId="86" fillId="0" borderId="177" xfId="7" applyFont="1" applyBorder="1" applyAlignment="1">
      <alignment horizontal="center" vertical="center" wrapText="1"/>
    </xf>
    <xf numFmtId="0" fontId="86" fillId="3" borderId="199" xfId="7" applyNumberFormat="1" applyFont="1" applyFill="1" applyBorder="1" applyAlignment="1">
      <alignment horizontal="centerContinuous" vertical="center" wrapText="1"/>
    </xf>
    <xf numFmtId="3" fontId="62" fillId="0" borderId="33" xfId="0" applyNumberFormat="1" applyFont="1" applyBorder="1" applyAlignment="1">
      <alignment horizontal="right" wrapText="1"/>
    </xf>
    <xf numFmtId="0" fontId="109" fillId="0" borderId="0" xfId="0" applyFont="1"/>
    <xf numFmtId="0" fontId="89" fillId="3" borderId="186" xfId="7" applyNumberFormat="1" applyFont="1" applyFill="1" applyBorder="1" applyAlignment="1">
      <alignment horizontal="centerContinuous" vertical="center"/>
    </xf>
    <xf numFmtId="0" fontId="89" fillId="3" borderId="200" xfId="7" applyNumberFormat="1" applyFont="1" applyFill="1" applyBorder="1" applyAlignment="1">
      <alignment horizontal="centerContinuous" vertical="center"/>
    </xf>
    <xf numFmtId="3" fontId="91" fillId="31" borderId="8" xfId="0" applyNumberFormat="1" applyFont="1" applyFill="1" applyBorder="1"/>
    <xf numFmtId="3" fontId="83" fillId="31" borderId="8" xfId="0" applyNumberFormat="1" applyFont="1" applyFill="1" applyBorder="1"/>
    <xf numFmtId="3" fontId="61" fillId="19" borderId="183" xfId="34" applyNumberFormat="1" applyFont="1" applyFill="1" applyBorder="1" applyAlignment="1" applyProtection="1">
      <alignment horizontal="center" vertical="center" wrapText="1"/>
      <protection locked="0"/>
    </xf>
    <xf numFmtId="183" fontId="61" fillId="37" borderId="177" xfId="31" applyNumberFormat="1" applyFont="1" applyFill="1" applyBorder="1" applyAlignment="1" applyProtection="1">
      <alignment horizontal="center" vertical="center"/>
    </xf>
    <xf numFmtId="169" fontId="61" fillId="25" borderId="182" xfId="25" applyFont="1" applyFill="1" applyBorder="1" applyAlignment="1">
      <alignment horizontal="left" vertical="center" wrapText="1"/>
    </xf>
    <xf numFmtId="0" fontId="80" fillId="0" borderId="177" xfId="0" applyFont="1" applyBorder="1" applyAlignment="1">
      <alignment horizontal="center" vertical="center"/>
    </xf>
    <xf numFmtId="171" fontId="118" fillId="0" borderId="177" xfId="7" applyNumberFormat="1" applyFont="1" applyBorder="1" applyAlignment="1">
      <alignment horizontal="right" vertical="center"/>
    </xf>
    <xf numFmtId="169" fontId="118" fillId="0" borderId="177" xfId="7" applyFont="1" applyBorder="1" applyAlignment="1">
      <alignment horizontal="right" vertical="center"/>
    </xf>
    <xf numFmtId="3" fontId="10" fillId="0" borderId="177" xfId="7" applyNumberFormat="1" applyFont="1" applyBorder="1" applyAlignment="1">
      <alignment horizontal="center" vertical="center"/>
    </xf>
    <xf numFmtId="9" fontId="10" fillId="0" borderId="177" xfId="32" applyFont="1" applyBorder="1" applyAlignment="1" applyProtection="1">
      <alignment horizontal="center" vertical="center"/>
    </xf>
    <xf numFmtId="3" fontId="10" fillId="0" borderId="177" xfId="32" applyNumberFormat="1" applyFont="1" applyBorder="1" applyAlignment="1" applyProtection="1">
      <alignment horizontal="center" vertical="center"/>
    </xf>
    <xf numFmtId="171" fontId="118" fillId="0" borderId="203" xfId="31" applyNumberFormat="1" applyFont="1" applyBorder="1" applyProtection="1"/>
    <xf numFmtId="171" fontId="118" fillId="0" borderId="205" xfId="31" applyNumberFormat="1" applyFont="1" applyBorder="1" applyProtection="1"/>
    <xf numFmtId="171" fontId="118" fillId="0" borderId="208" xfId="31" applyNumberFormat="1" applyFont="1" applyBorder="1" applyProtection="1"/>
    <xf numFmtId="0" fontId="89" fillId="13" borderId="8" xfId="0" quotePrefix="1" applyFont="1" applyFill="1" applyBorder="1" applyAlignment="1" applyProtection="1">
      <alignment horizontal="center" vertical="center" wrapText="1"/>
      <protection locked="0"/>
    </xf>
    <xf numFmtId="3" fontId="118" fillId="0" borderId="8" xfId="31" applyNumberFormat="1" applyFont="1" applyBorder="1" applyAlignment="1" applyProtection="1">
      <alignment horizontal="right" vertical="center"/>
    </xf>
    <xf numFmtId="171" fontId="62" fillId="31" borderId="102" xfId="12" applyNumberFormat="1" applyFont="1" applyFill="1" applyBorder="1" applyAlignment="1" applyProtection="1">
      <alignment horizontal="right" vertical="center" wrapText="1"/>
      <protection locked="0"/>
    </xf>
    <xf numFmtId="4" fontId="62" fillId="31" borderId="102" xfId="12" applyNumberFormat="1" applyFont="1" applyFill="1" applyBorder="1" applyAlignment="1" applyProtection="1">
      <alignment horizontal="right" vertical="center" wrapText="1"/>
      <protection locked="0"/>
    </xf>
    <xf numFmtId="49" fontId="62" fillId="5" borderId="8" xfId="0" quotePrefix="1" applyNumberFormat="1" applyFont="1" applyFill="1" applyBorder="1" applyAlignment="1" applyProtection="1">
      <alignment horizontal="center" vertical="center" wrapText="1"/>
      <protection locked="0"/>
    </xf>
    <xf numFmtId="0" fontId="86" fillId="3" borderId="177" xfId="7" applyNumberFormat="1" applyFont="1" applyFill="1" applyBorder="1" applyAlignment="1">
      <alignment vertical="center" wrapText="1"/>
    </xf>
    <xf numFmtId="3" fontId="86" fillId="3" borderId="177" xfId="31" applyNumberFormat="1" applyFont="1" applyFill="1" applyBorder="1" applyAlignment="1" applyProtection="1">
      <alignment vertical="center" wrapText="1"/>
    </xf>
    <xf numFmtId="0" fontId="9" fillId="19" borderId="12" xfId="0" applyFont="1" applyFill="1" applyBorder="1" applyAlignment="1" applyProtection="1">
      <alignment horizontal="center" vertical="center"/>
      <protection locked="0"/>
    </xf>
    <xf numFmtId="0" fontId="14" fillId="0" borderId="0" xfId="0" applyFont="1" applyAlignment="1">
      <alignment vertical="center"/>
    </xf>
    <xf numFmtId="3" fontId="151" fillId="29" borderId="147" xfId="0" applyNumberFormat="1" applyFont="1" applyFill="1" applyBorder="1" applyAlignment="1" applyProtection="1">
      <alignment horizontal="right" vertical="center"/>
      <protection locked="0"/>
    </xf>
    <xf numFmtId="3" fontId="62" fillId="28" borderId="148" xfId="0" applyNumberFormat="1" applyFont="1" applyFill="1" applyBorder="1" applyAlignment="1" applyProtection="1">
      <alignment horizontal="right" vertical="center"/>
      <protection locked="0"/>
    </xf>
    <xf numFmtId="0" fontId="62" fillId="4" borderId="151" xfId="0" applyFont="1" applyFill="1" applyBorder="1" applyAlignment="1">
      <alignment horizontal="left" vertical="center" wrapText="1" indent="2"/>
    </xf>
    <xf numFmtId="0" fontId="152" fillId="0" borderId="0" xfId="0" applyFont="1" applyAlignment="1">
      <alignment horizontal="center"/>
    </xf>
    <xf numFmtId="0" fontId="89" fillId="0" borderId="8" xfId="0" applyFont="1" applyBorder="1" applyAlignment="1">
      <alignment horizontal="center"/>
    </xf>
    <xf numFmtId="3" fontId="62" fillId="0" borderId="8" xfId="0" applyNumberFormat="1" applyFont="1" applyBorder="1" applyAlignment="1">
      <alignment horizontal="center"/>
    </xf>
    <xf numFmtId="3" fontId="91" fillId="0" borderId="8" xfId="0" applyNumberFormat="1" applyFont="1" applyBorder="1" applyAlignment="1">
      <alignment horizontal="center"/>
    </xf>
    <xf numFmtId="0" fontId="91" fillId="0" borderId="8" xfId="0" applyFont="1" applyBorder="1" applyAlignment="1">
      <alignment horizontal="center"/>
    </xf>
    <xf numFmtId="3" fontId="89" fillId="0" borderId="8" xfId="0" applyNumberFormat="1" applyFont="1" applyBorder="1" applyAlignment="1">
      <alignment horizontal="center"/>
    </xf>
    <xf numFmtId="181" fontId="62" fillId="0" borderId="8" xfId="13" applyNumberFormat="1" applyFont="1" applyFill="1" applyBorder="1" applyAlignment="1" applyProtection="1">
      <alignment horizontal="center"/>
    </xf>
    <xf numFmtId="10" fontId="62" fillId="12" borderId="8" xfId="13" applyFont="1" applyFill="1" applyBorder="1" applyAlignment="1" applyProtection="1">
      <alignment horizontal="center"/>
    </xf>
    <xf numFmtId="0" fontId="199" fillId="48" borderId="201" xfId="35" applyNumberFormat="1" applyAlignment="1" applyProtection="1">
      <alignment wrapText="1"/>
      <protection hidden="1"/>
    </xf>
    <xf numFmtId="3" fontId="108" fillId="0" borderId="0" xfId="0" applyNumberFormat="1" applyFont="1" applyAlignment="1">
      <alignment vertical="center"/>
    </xf>
    <xf numFmtId="2" fontId="62" fillId="0" borderId="8" xfId="0" applyNumberFormat="1" applyFont="1" applyBorder="1" applyAlignment="1" applyProtection="1">
      <alignment horizontal="center" vertical="center"/>
      <protection locked="0"/>
    </xf>
    <xf numFmtId="3" fontId="9" fillId="19" borderId="12" xfId="31" applyNumberFormat="1" applyFont="1" applyFill="1" applyBorder="1" applyAlignment="1" applyProtection="1">
      <alignment vertical="center"/>
      <protection locked="0"/>
    </xf>
    <xf numFmtId="0" fontId="0" fillId="0" borderId="0" xfId="0" quotePrefix="1"/>
    <xf numFmtId="3" fontId="62" fillId="0" borderId="8" xfId="12" applyNumberFormat="1" applyFont="1" applyFill="1" applyBorder="1" applyAlignment="1" applyProtection="1">
      <alignment horizontal="center"/>
    </xf>
    <xf numFmtId="169" fontId="108" fillId="0" borderId="0" xfId="30" applyFont="1" applyAlignment="1">
      <alignment horizontal="centerContinuous"/>
    </xf>
    <xf numFmtId="169" fontId="6" fillId="0" borderId="12" xfId="0" applyNumberFormat="1" applyFont="1" applyBorder="1" applyAlignment="1">
      <alignment horizontal="center" vertical="center"/>
    </xf>
    <xf numFmtId="169" fontId="91" fillId="0" borderId="12" xfId="0" applyNumberFormat="1" applyFont="1" applyBorder="1" applyAlignment="1">
      <alignment horizontal="center" vertical="center"/>
    </xf>
    <xf numFmtId="0" fontId="83" fillId="0" borderId="0" xfId="0" applyFont="1" applyAlignment="1">
      <alignment wrapText="1"/>
    </xf>
    <xf numFmtId="0" fontId="102" fillId="0" borderId="0" xfId="0" applyFont="1" applyAlignment="1">
      <alignment horizontal="right" wrapText="1"/>
    </xf>
    <xf numFmtId="0" fontId="108" fillId="0" borderId="54" xfId="0" applyFont="1" applyBorder="1" applyAlignment="1">
      <alignment vertical="center" wrapText="1"/>
    </xf>
    <xf numFmtId="0" fontId="92" fillId="0" borderId="54" xfId="0" applyFont="1" applyBorder="1" applyAlignment="1">
      <alignment vertical="center"/>
    </xf>
    <xf numFmtId="0" fontId="83" fillId="0" borderId="54" xfId="0" applyFont="1" applyBorder="1" applyAlignment="1">
      <alignment vertical="center"/>
    </xf>
    <xf numFmtId="0" fontId="83" fillId="0" borderId="123" xfId="0" applyFont="1" applyBorder="1" applyAlignment="1">
      <alignment vertical="center"/>
    </xf>
    <xf numFmtId="0" fontId="93" fillId="0" borderId="54" xfId="0" applyFont="1" applyBorder="1" applyAlignment="1">
      <alignment vertical="center"/>
    </xf>
    <xf numFmtId="0" fontId="109" fillId="0" borderId="54" xfId="0" applyFont="1" applyBorder="1" applyAlignment="1">
      <alignment vertical="center"/>
    </xf>
    <xf numFmtId="0" fontId="83" fillId="0" borderId="0" xfId="0" applyFont="1" applyAlignment="1">
      <alignment vertical="center" wrapText="1"/>
    </xf>
    <xf numFmtId="0" fontId="0" fillId="0" borderId="0" xfId="0" applyAlignment="1">
      <alignment vertical="center" wrapText="1"/>
    </xf>
    <xf numFmtId="0" fontId="80" fillId="0" borderId="0" xfId="0" applyFont="1" applyAlignment="1">
      <alignment vertical="center" wrapText="1"/>
    </xf>
    <xf numFmtId="0" fontId="108" fillId="0" borderId="54" xfId="0" applyFont="1" applyBorder="1" applyAlignment="1">
      <alignment vertical="center"/>
    </xf>
    <xf numFmtId="3" fontId="0" fillId="0" borderId="0" xfId="0" applyNumberFormat="1" applyAlignment="1">
      <alignment wrapText="1"/>
    </xf>
    <xf numFmtId="0" fontId="118" fillId="0" borderId="8" xfId="7" applyNumberFormat="1" applyFont="1" applyBorder="1" applyAlignment="1">
      <alignment horizontal="left" vertical="center" wrapText="1"/>
    </xf>
    <xf numFmtId="0" fontId="0" fillId="0" borderId="12" xfId="0" applyBorder="1" applyAlignment="1">
      <alignment horizontal="center"/>
    </xf>
    <xf numFmtId="169" fontId="4" fillId="0" borderId="12" xfId="0" applyNumberFormat="1" applyFont="1" applyBorder="1" applyAlignment="1">
      <alignment horizontal="center" vertical="center"/>
    </xf>
    <xf numFmtId="0" fontId="4" fillId="0" borderId="0" xfId="0" applyFont="1" applyAlignment="1">
      <alignment horizontal="center" vertical="center"/>
    </xf>
    <xf numFmtId="0" fontId="203" fillId="0" borderId="159" xfId="0" applyFont="1" applyBorder="1" applyAlignment="1">
      <alignment horizontal="center" vertical="center"/>
    </xf>
    <xf numFmtId="0" fontId="89" fillId="0" borderId="0" xfId="0" applyFont="1" applyAlignment="1">
      <alignment horizontal="left" vertical="center" wrapText="1"/>
    </xf>
    <xf numFmtId="0" fontId="89" fillId="4" borderId="103" xfId="0" applyFont="1" applyFill="1" applyBorder="1" applyAlignment="1">
      <alignment horizontal="center" vertical="center" wrapText="1"/>
    </xf>
    <xf numFmtId="0" fontId="89" fillId="4" borderId="104" xfId="0" applyFont="1" applyFill="1" applyBorder="1" applyAlignment="1">
      <alignment horizontal="center" vertical="center" wrapText="1"/>
    </xf>
    <xf numFmtId="0" fontId="89" fillId="4" borderId="64" xfId="0" applyFont="1" applyFill="1" applyBorder="1" applyAlignment="1">
      <alignment horizontal="center" vertical="center" wrapText="1"/>
    </xf>
    <xf numFmtId="0" fontId="89" fillId="4" borderId="81" xfId="0" applyFont="1" applyFill="1" applyBorder="1" applyAlignment="1">
      <alignment horizontal="center" vertical="center" wrapText="1"/>
    </xf>
    <xf numFmtId="0" fontId="89" fillId="0" borderId="0" xfId="0" applyFont="1" applyAlignment="1">
      <alignment vertical="center" textRotation="90" wrapText="1"/>
    </xf>
    <xf numFmtId="0" fontId="89" fillId="4" borderId="156" xfId="0" applyFont="1" applyFill="1" applyBorder="1" applyAlignment="1">
      <alignment vertical="center" wrapText="1"/>
    </xf>
    <xf numFmtId="0" fontId="118" fillId="4" borderId="39" xfId="0" applyFont="1" applyFill="1" applyBorder="1" applyAlignment="1">
      <alignment horizontal="left" vertical="center" wrapText="1" indent="3"/>
    </xf>
    <xf numFmtId="0" fontId="89" fillId="4" borderId="125" xfId="0" applyFont="1" applyFill="1" applyBorder="1" applyAlignment="1">
      <alignment vertical="center" wrapText="1"/>
    </xf>
    <xf numFmtId="0" fontId="62" fillId="4" borderId="125" xfId="0" applyFont="1" applyFill="1" applyBorder="1" applyAlignment="1">
      <alignment vertical="center" wrapText="1"/>
    </xf>
    <xf numFmtId="0" fontId="61" fillId="0" borderId="0" xfId="0" applyFont="1" applyAlignment="1">
      <alignment wrapText="1"/>
    </xf>
    <xf numFmtId="0" fontId="89" fillId="4" borderId="161" xfId="0" applyFont="1" applyFill="1" applyBorder="1" applyAlignment="1">
      <alignment vertical="center" wrapText="1"/>
    </xf>
    <xf numFmtId="0" fontId="62" fillId="4" borderId="47" xfId="0" applyFont="1" applyFill="1" applyBorder="1" applyAlignment="1">
      <alignment horizontal="left" vertical="center" wrapText="1" indent="3"/>
    </xf>
    <xf numFmtId="0" fontId="62" fillId="4" borderId="50" xfId="0" applyFont="1" applyFill="1" applyBorder="1" applyAlignment="1">
      <alignment horizontal="left" vertical="center" wrapText="1" indent="3"/>
    </xf>
    <xf numFmtId="0" fontId="89" fillId="4" borderId="10" xfId="0" applyFont="1" applyFill="1" applyBorder="1" applyAlignment="1">
      <alignment vertical="center" wrapText="1"/>
    </xf>
    <xf numFmtId="0" fontId="89" fillId="0" borderId="0" xfId="0" applyFont="1" applyAlignment="1">
      <alignment vertical="center" textRotation="90"/>
    </xf>
    <xf numFmtId="0" fontId="62" fillId="4" borderId="155" xfId="0" applyFont="1" applyFill="1" applyBorder="1" applyAlignment="1">
      <alignment vertical="center" wrapText="1"/>
    </xf>
    <xf numFmtId="0" fontId="62" fillId="4" borderId="161" xfId="0" applyFont="1" applyFill="1" applyBorder="1" applyAlignment="1">
      <alignment vertical="center" wrapText="1"/>
    </xf>
    <xf numFmtId="0" fontId="62" fillId="4" borderId="46" xfId="0" applyFont="1" applyFill="1" applyBorder="1" applyAlignment="1">
      <alignment horizontal="left" vertical="center" wrapText="1" indent="3"/>
    </xf>
    <xf numFmtId="3" fontId="89" fillId="12" borderId="74" xfId="12" applyNumberFormat="1" applyFont="1" applyFill="1" applyBorder="1" applyAlignment="1" applyProtection="1">
      <alignment vertical="center"/>
      <protection locked="0"/>
    </xf>
    <xf numFmtId="3" fontId="62" fillId="10" borderId="80" xfId="12" applyNumberFormat="1" applyFont="1" applyFill="1" applyBorder="1" applyAlignment="1" applyProtection="1">
      <alignment vertical="center" wrapText="1"/>
      <protection locked="0"/>
    </xf>
    <xf numFmtId="3" fontId="83" fillId="0" borderId="0" xfId="0" applyNumberFormat="1" applyFont="1" applyProtection="1">
      <protection locked="0"/>
    </xf>
    <xf numFmtId="3" fontId="89" fillId="12" borderId="83" xfId="12" applyNumberFormat="1" applyFont="1" applyFill="1" applyBorder="1" applyAlignment="1" applyProtection="1">
      <alignment vertical="center"/>
      <protection locked="0"/>
    </xf>
    <xf numFmtId="3" fontId="62" fillId="12" borderId="84" xfId="12" applyNumberFormat="1" applyFont="1" applyFill="1" applyBorder="1" applyAlignment="1" applyProtection="1">
      <alignment vertical="center"/>
      <protection locked="0"/>
    </xf>
    <xf numFmtId="3" fontId="62" fillId="12" borderId="85" xfId="12" applyNumberFormat="1" applyFont="1" applyFill="1" applyBorder="1" applyAlignment="1" applyProtection="1">
      <alignment vertical="center"/>
      <protection locked="0"/>
    </xf>
    <xf numFmtId="3" fontId="62" fillId="12" borderId="164" xfId="12" applyNumberFormat="1" applyFont="1" applyFill="1" applyBorder="1" applyAlignment="1" applyProtection="1">
      <alignment vertical="center"/>
      <protection locked="0"/>
    </xf>
    <xf numFmtId="3" fontId="62" fillId="12" borderId="167" xfId="12" applyNumberFormat="1" applyFont="1" applyFill="1" applyBorder="1" applyAlignment="1" applyProtection="1">
      <alignment vertical="center"/>
      <protection locked="0"/>
    </xf>
    <xf numFmtId="3" fontId="62" fillId="12" borderId="86" xfId="12" applyNumberFormat="1" applyFont="1" applyFill="1" applyBorder="1" applyAlignment="1" applyProtection="1">
      <alignment vertical="center"/>
      <protection locked="0"/>
    </xf>
    <xf numFmtId="3" fontId="89" fillId="12" borderId="64" xfId="12" applyNumberFormat="1" applyFont="1" applyFill="1" applyBorder="1" applyAlignment="1" applyProtection="1">
      <protection locked="0"/>
    </xf>
    <xf numFmtId="3" fontId="62" fillId="12" borderId="87" xfId="12" applyNumberFormat="1" applyFont="1" applyFill="1" applyBorder="1" applyAlignment="1" applyProtection="1">
      <alignment vertical="center"/>
      <protection locked="0"/>
    </xf>
    <xf numFmtId="3" fontId="62" fillId="10" borderId="164" xfId="12" applyNumberFormat="1" applyFont="1" applyFill="1" applyBorder="1" applyAlignment="1" applyProtection="1">
      <alignment vertical="center" wrapText="1"/>
      <protection locked="0"/>
    </xf>
    <xf numFmtId="3" fontId="62" fillId="10" borderId="171" xfId="12" applyNumberFormat="1" applyFont="1" applyFill="1" applyBorder="1" applyAlignment="1" applyProtection="1">
      <alignment vertical="center" wrapText="1"/>
      <protection locked="0"/>
    </xf>
    <xf numFmtId="3" fontId="61" fillId="0" borderId="0" xfId="12" applyNumberFormat="1" applyFont="1" applyFill="1" applyBorder="1" applyAlignment="1" applyProtection="1">
      <protection locked="0"/>
    </xf>
    <xf numFmtId="3" fontId="89" fillId="12" borderId="106" xfId="12" applyNumberFormat="1" applyFont="1" applyFill="1" applyBorder="1" applyAlignment="1" applyProtection="1">
      <alignment vertical="center"/>
      <protection locked="0"/>
    </xf>
    <xf numFmtId="3" fontId="62" fillId="12" borderId="83" xfId="12" applyNumberFormat="1" applyFont="1" applyFill="1" applyBorder="1" applyAlignment="1" applyProtection="1">
      <alignment vertical="center"/>
      <protection locked="0"/>
    </xf>
    <xf numFmtId="3" fontId="89" fillId="12" borderId="76" xfId="12" applyNumberFormat="1" applyFont="1" applyFill="1" applyBorder="1" applyAlignment="1" applyProtection="1">
      <alignment vertical="center"/>
      <protection locked="0"/>
    </xf>
    <xf numFmtId="3" fontId="62" fillId="12" borderId="88" xfId="12" applyNumberFormat="1" applyFont="1" applyFill="1" applyBorder="1" applyAlignment="1" applyProtection="1">
      <alignment vertical="center"/>
      <protection locked="0"/>
    </xf>
    <xf numFmtId="3" fontId="62" fillId="12" borderId="89" xfId="12" applyNumberFormat="1" applyFont="1" applyFill="1" applyBorder="1" applyAlignment="1" applyProtection="1">
      <alignment vertical="center"/>
      <protection locked="0"/>
    </xf>
    <xf numFmtId="3" fontId="89" fillId="12" borderId="90" xfId="12" applyNumberFormat="1" applyFont="1" applyFill="1" applyBorder="1" applyAlignment="1" applyProtection="1">
      <alignment vertical="center"/>
      <protection locked="0"/>
    </xf>
    <xf numFmtId="3" fontId="62" fillId="12" borderId="91" xfId="12" applyNumberFormat="1" applyFont="1" applyFill="1" applyBorder="1" applyAlignment="1" applyProtection="1">
      <alignment vertical="center"/>
      <protection locked="0"/>
    </xf>
    <xf numFmtId="3" fontId="62" fillId="12" borderId="171" xfId="12" applyNumberFormat="1" applyFont="1" applyFill="1" applyBorder="1" applyAlignment="1" applyProtection="1">
      <alignment vertical="center"/>
      <protection locked="0"/>
    </xf>
    <xf numFmtId="3" fontId="89" fillId="12" borderId="108" xfId="12" applyNumberFormat="1" applyFont="1" applyFill="1" applyBorder="1" applyAlignment="1" applyProtection="1">
      <alignment vertical="center"/>
      <protection locked="0"/>
    </xf>
    <xf numFmtId="3" fontId="89" fillId="12" borderId="107" xfId="12" applyNumberFormat="1" applyFont="1" applyFill="1" applyBorder="1" applyAlignment="1" applyProtection="1">
      <alignment vertical="center"/>
      <protection locked="0"/>
    </xf>
    <xf numFmtId="3" fontId="89" fillId="12" borderId="10" xfId="12" applyNumberFormat="1" applyFont="1" applyFill="1" applyBorder="1" applyAlignment="1" applyProtection="1">
      <alignment vertical="center"/>
      <protection locked="0"/>
    </xf>
    <xf numFmtId="3" fontId="62" fillId="12" borderId="37" xfId="12" applyNumberFormat="1" applyFont="1" applyFill="1" applyBorder="1" applyAlignment="1" applyProtection="1">
      <alignment vertical="center"/>
      <protection locked="0"/>
    </xf>
    <xf numFmtId="3" fontId="62" fillId="12" borderId="165" xfId="12" applyNumberFormat="1" applyFont="1" applyFill="1" applyBorder="1" applyAlignment="1" applyProtection="1">
      <alignment vertical="center"/>
      <protection locked="0"/>
    </xf>
    <xf numFmtId="3" fontId="62" fillId="12" borderId="67" xfId="12" applyNumberFormat="1" applyFont="1" applyFill="1" applyBorder="1" applyAlignment="1" applyProtection="1">
      <alignment vertical="center"/>
      <protection locked="0"/>
    </xf>
    <xf numFmtId="3" fontId="62" fillId="12" borderId="48" xfId="12" applyNumberFormat="1" applyFont="1" applyFill="1" applyBorder="1" applyAlignment="1" applyProtection="1">
      <alignment vertical="center"/>
      <protection locked="0"/>
    </xf>
    <xf numFmtId="3" fontId="62" fillId="12" borderId="52" xfId="12" applyNumberFormat="1" applyFont="1" applyFill="1" applyBorder="1" applyAlignment="1" applyProtection="1">
      <alignment vertical="center"/>
      <protection locked="0"/>
    </xf>
    <xf numFmtId="49" fontId="62" fillId="0" borderId="0" xfId="0" applyNumberFormat="1" applyFont="1" applyAlignment="1">
      <alignment horizontal="center"/>
    </xf>
    <xf numFmtId="0" fontId="62" fillId="0" borderId="0" xfId="0" applyFont="1" applyAlignment="1">
      <alignment horizontal="center"/>
    </xf>
    <xf numFmtId="49" fontId="184" fillId="0" borderId="0" xfId="0" applyNumberFormat="1" applyFont="1" applyAlignment="1">
      <alignment horizontal="right"/>
    </xf>
    <xf numFmtId="0" fontId="171" fillId="13" borderId="0" xfId="0" applyFont="1" applyFill="1"/>
    <xf numFmtId="0" fontId="184" fillId="0" borderId="0" xfId="0" applyFont="1" applyAlignment="1">
      <alignment vertical="center"/>
    </xf>
    <xf numFmtId="0" fontId="89" fillId="0" borderId="0" xfId="0" applyFont="1" applyAlignment="1">
      <alignment horizontal="right"/>
    </xf>
    <xf numFmtId="0" fontId="102" fillId="0" borderId="0" xfId="0" applyFont="1" applyAlignment="1">
      <alignment horizontal="center"/>
    </xf>
    <xf numFmtId="0" fontId="83" fillId="0" borderId="0" xfId="0" applyFont="1" applyAlignment="1">
      <alignment horizontal="center"/>
    </xf>
    <xf numFmtId="0" fontId="89" fillId="4" borderId="28" xfId="0" applyFont="1" applyFill="1" applyBorder="1" applyAlignment="1">
      <alignment horizontal="center" vertical="center" wrapText="1"/>
    </xf>
    <xf numFmtId="49" fontId="61" fillId="4" borderId="28" xfId="0" applyNumberFormat="1" applyFont="1" applyFill="1" applyBorder="1" applyAlignment="1">
      <alignment horizontal="center" vertical="center" wrapText="1"/>
    </xf>
    <xf numFmtId="49" fontId="89" fillId="4" borderId="28" xfId="0" applyNumberFormat="1" applyFont="1" applyFill="1" applyBorder="1" applyAlignment="1">
      <alignment horizontal="center" vertical="center" wrapText="1"/>
    </xf>
    <xf numFmtId="169" fontId="80" fillId="0" borderId="8" xfId="7" applyFont="1" applyBorder="1" applyAlignment="1">
      <alignment horizontal="center" vertical="center" wrapText="1"/>
    </xf>
    <xf numFmtId="169" fontId="89" fillId="0" borderId="0" xfId="0" applyNumberFormat="1" applyFont="1" applyAlignment="1">
      <alignment vertical="center" wrapText="1"/>
    </xf>
    <xf numFmtId="0" fontId="62" fillId="41" borderId="113" xfId="31" applyNumberFormat="1" applyFont="1" applyFill="1" applyBorder="1" applyAlignment="1" applyProtection="1">
      <alignment horizontal="center" vertical="center" wrapText="1"/>
    </xf>
    <xf numFmtId="0" fontId="62" fillId="41" borderId="113" xfId="0" applyFont="1" applyFill="1" applyBorder="1" applyAlignment="1">
      <alignment horizontal="center" vertical="center" wrapText="1"/>
    </xf>
    <xf numFmtId="176" fontId="80" fillId="0" borderId="8" xfId="7" applyNumberFormat="1" applyFont="1" applyBorder="1" applyAlignment="1">
      <alignment horizontal="center" vertical="center" wrapText="1"/>
    </xf>
    <xf numFmtId="49" fontId="83" fillId="0" borderId="0" xfId="0" applyNumberFormat="1" applyFont="1" applyAlignment="1">
      <alignment horizontal="center"/>
    </xf>
    <xf numFmtId="49" fontId="83" fillId="0" borderId="0" xfId="0" applyNumberFormat="1" applyFont="1"/>
    <xf numFmtId="0" fontId="89" fillId="18" borderId="8" xfId="0" applyFont="1" applyFill="1" applyBorder="1" applyAlignment="1" applyProtection="1">
      <alignment horizontal="center" vertical="center" wrapText="1"/>
      <protection locked="0"/>
    </xf>
    <xf numFmtId="169" fontId="102" fillId="0" borderId="0" xfId="0" quotePrefix="1" applyNumberFormat="1" applyFont="1"/>
    <xf numFmtId="0" fontId="0" fillId="0" borderId="0" xfId="0" applyAlignment="1">
      <alignment horizontal="center" vertical="center"/>
    </xf>
    <xf numFmtId="0" fontId="26" fillId="0" borderId="0" xfId="0" applyFont="1" applyAlignment="1">
      <alignment horizontal="center"/>
    </xf>
    <xf numFmtId="0" fontId="118" fillId="0" borderId="0" xfId="0" applyFont="1" applyAlignment="1">
      <alignment horizontal="left"/>
    </xf>
    <xf numFmtId="0" fontId="167" fillId="0" borderId="0" xfId="0" applyFont="1"/>
    <xf numFmtId="0" fontId="79" fillId="0" borderId="0" xfId="0" applyFont="1" applyAlignment="1">
      <alignment horizontal="center"/>
    </xf>
    <xf numFmtId="0" fontId="25" fillId="0" borderId="0" xfId="0" applyFont="1"/>
    <xf numFmtId="169" fontId="25" fillId="0" borderId="0" xfId="0" applyNumberFormat="1" applyFont="1"/>
    <xf numFmtId="0" fontId="82" fillId="4" borderId="8" xfId="0" applyFont="1" applyFill="1" applyBorder="1" applyAlignment="1">
      <alignment horizontal="center" vertical="center" wrapText="1"/>
    </xf>
    <xf numFmtId="0" fontId="63" fillId="4" borderId="8" xfId="0" applyFont="1" applyFill="1" applyBorder="1" applyAlignment="1">
      <alignment horizontal="center" vertical="center" wrapText="1"/>
    </xf>
    <xf numFmtId="169" fontId="26" fillId="0" borderId="0" xfId="0" applyNumberFormat="1" applyFont="1" applyAlignment="1">
      <alignment vertical="center" wrapText="1"/>
    </xf>
    <xf numFmtId="169" fontId="89" fillId="0" borderId="0" xfId="0" applyNumberFormat="1" applyFont="1" applyAlignment="1">
      <alignment horizontal="center" vertical="center" wrapText="1"/>
    </xf>
    <xf numFmtId="0" fontId="170" fillId="41" borderId="153" xfId="0" applyFont="1" applyFill="1" applyBorder="1" applyAlignment="1">
      <alignment horizontal="center" vertical="center" wrapText="1"/>
    </xf>
    <xf numFmtId="0" fontId="80" fillId="0" borderId="8" xfId="0" applyFont="1" applyBorder="1" applyAlignment="1">
      <alignment horizontal="center" vertical="center" wrapText="1"/>
    </xf>
    <xf numFmtId="0" fontId="80" fillId="0" borderId="210" xfId="0" applyFont="1" applyBorder="1" applyAlignment="1">
      <alignment horizontal="center" vertical="center"/>
    </xf>
    <xf numFmtId="169" fontId="62" fillId="26" borderId="0" xfId="30" applyFont="1" applyFill="1" applyAlignment="1">
      <alignment horizontal="right" vertical="center"/>
    </xf>
    <xf numFmtId="3" fontId="62" fillId="26" borderId="0" xfId="30" applyNumberFormat="1" applyFont="1" applyFill="1" applyAlignment="1">
      <alignment horizontal="center" vertical="center"/>
    </xf>
    <xf numFmtId="0" fontId="13" fillId="39" borderId="177" xfId="0" applyFont="1" applyFill="1" applyBorder="1" applyAlignment="1">
      <alignment horizontal="left" wrapText="1"/>
    </xf>
    <xf numFmtId="3" fontId="62" fillId="26" borderId="0" xfId="0" applyNumberFormat="1" applyFont="1" applyFill="1" applyAlignment="1">
      <alignment horizontal="center" vertical="center"/>
    </xf>
    <xf numFmtId="0" fontId="9" fillId="0" borderId="12" xfId="7" applyNumberFormat="1" applyFont="1" applyBorder="1" applyAlignment="1">
      <alignment vertical="center"/>
    </xf>
    <xf numFmtId="0" fontId="9" fillId="0" borderId="12" xfId="0" applyFont="1" applyBorder="1" applyAlignment="1">
      <alignment horizontal="center" vertical="center"/>
    </xf>
    <xf numFmtId="0" fontId="9" fillId="0" borderId="0" xfId="0" applyFont="1" applyAlignment="1">
      <alignment horizontal="center" vertical="center"/>
    </xf>
    <xf numFmtId="0" fontId="191" fillId="0" borderId="0" xfId="0" applyFont="1" applyAlignment="1">
      <alignment horizontal="right" vertical="center"/>
    </xf>
    <xf numFmtId="0" fontId="191" fillId="0" borderId="0" xfId="0" applyFont="1" applyAlignment="1">
      <alignment horizontal="center" vertical="center"/>
    </xf>
    <xf numFmtId="3" fontId="191" fillId="0" borderId="0" xfId="0" applyNumberFormat="1" applyFont="1" applyAlignment="1">
      <alignment horizontal="right" vertical="center"/>
    </xf>
    <xf numFmtId="3" fontId="14" fillId="0" borderId="0" xfId="31" applyNumberFormat="1" applyFont="1" applyProtection="1"/>
    <xf numFmtId="169" fontId="61" fillId="14" borderId="177" xfId="0" applyNumberFormat="1" applyFont="1" applyFill="1" applyBorder="1" applyAlignment="1">
      <alignment horizontal="center" vertical="center" wrapText="1"/>
    </xf>
    <xf numFmtId="0" fontId="61" fillId="0" borderId="183" xfId="34" applyNumberFormat="1" applyFont="1" applyBorder="1" applyAlignment="1">
      <alignment horizontal="center" vertical="center" wrapText="1"/>
    </xf>
    <xf numFmtId="0" fontId="12" fillId="0" borderId="0" xfId="0" applyFont="1"/>
    <xf numFmtId="4" fontId="0" fillId="0" borderId="0" xfId="0" applyNumberFormat="1"/>
    <xf numFmtId="0" fontId="23" fillId="0" borderId="0" xfId="0" applyFont="1" applyAlignment="1">
      <alignment vertical="center"/>
    </xf>
    <xf numFmtId="0" fontId="26" fillId="0" borderId="0" xfId="0" applyFont="1" applyAlignment="1">
      <alignment vertical="center" wrapText="1"/>
    </xf>
    <xf numFmtId="171" fontId="85" fillId="23" borderId="155" xfId="12" applyNumberFormat="1" applyFont="1" applyFill="1" applyBorder="1" applyAlignment="1" applyProtection="1">
      <alignment horizontal="right" vertical="center"/>
    </xf>
    <xf numFmtId="0" fontId="108" fillId="0" borderId="54" xfId="0" applyFont="1" applyBorder="1"/>
    <xf numFmtId="0" fontId="93" fillId="0" borderId="54" xfId="0" applyFont="1" applyBorder="1"/>
    <xf numFmtId="0" fontId="18" fillId="0" borderId="123" xfId="0" applyFont="1" applyBorder="1"/>
    <xf numFmtId="0" fontId="49" fillId="0" borderId="0" xfId="0" applyFont="1"/>
    <xf numFmtId="3" fontId="83" fillId="0" borderId="8" xfId="31" applyNumberFormat="1" applyFont="1" applyBorder="1" applyProtection="1"/>
    <xf numFmtId="0" fontId="0" fillId="0" borderId="10" xfId="0" applyBorder="1"/>
    <xf numFmtId="3" fontId="83" fillId="0" borderId="8" xfId="31" applyNumberFormat="1" applyFont="1" applyFill="1" applyBorder="1" applyProtection="1"/>
    <xf numFmtId="3" fontId="91" fillId="13" borderId="8" xfId="0" applyNumberFormat="1" applyFont="1" applyFill="1" applyBorder="1"/>
    <xf numFmtId="0" fontId="83" fillId="0" borderId="8" xfId="0" applyFont="1" applyBorder="1" applyAlignment="1">
      <alignment horizontal="left"/>
    </xf>
    <xf numFmtId="174" fontId="91" fillId="13" borderId="8" xfId="0" applyNumberFormat="1" applyFont="1" applyFill="1" applyBorder="1"/>
    <xf numFmtId="0" fontId="91" fillId="0" borderId="8" xfId="0" applyFont="1" applyBorder="1"/>
    <xf numFmtId="174" fontId="91" fillId="20" borderId="8" xfId="0" applyNumberFormat="1" applyFont="1" applyFill="1" applyBorder="1"/>
    <xf numFmtId="0" fontId="91" fillId="0" borderId="155" xfId="0" applyFont="1" applyBorder="1"/>
    <xf numFmtId="3" fontId="91" fillId="20" borderId="155" xfId="0" applyNumberFormat="1" applyFont="1" applyFill="1" applyBorder="1"/>
    <xf numFmtId="174" fontId="91" fillId="20" borderId="8" xfId="0" applyNumberFormat="1" applyFont="1" applyFill="1" applyBorder="1" applyAlignment="1">
      <alignment horizontal="right"/>
    </xf>
    <xf numFmtId="3" fontId="91" fillId="23" borderId="155" xfId="0" applyNumberFormat="1" applyFont="1" applyFill="1" applyBorder="1"/>
    <xf numFmtId="174" fontId="91" fillId="23" borderId="8" xfId="0" applyNumberFormat="1" applyFont="1" applyFill="1" applyBorder="1"/>
    <xf numFmtId="174" fontId="91" fillId="23" borderId="8" xfId="0" applyNumberFormat="1" applyFont="1" applyFill="1" applyBorder="1" applyAlignment="1">
      <alignment horizontal="right"/>
    </xf>
    <xf numFmtId="0" fontId="141" fillId="0" borderId="54" xfId="0" applyFont="1" applyBorder="1"/>
    <xf numFmtId="0" fontId="45" fillId="0" borderId="0" xfId="0" applyFont="1"/>
    <xf numFmtId="0" fontId="83" fillId="0" borderId="8" xfId="0" applyFont="1" applyBorder="1" applyAlignment="1">
      <alignment horizontal="left" wrapText="1"/>
    </xf>
    <xf numFmtId="3" fontId="83" fillId="0" borderId="116" xfId="0" applyNumberFormat="1" applyFont="1" applyBorder="1"/>
    <xf numFmtId="0" fontId="51" fillId="0" borderId="0" xfId="0" applyFont="1"/>
    <xf numFmtId="3" fontId="83" fillId="0" borderId="111" xfId="0" applyNumberFormat="1" applyFont="1" applyBorder="1"/>
    <xf numFmtId="3" fontId="83" fillId="0" borderId="115" xfId="0" applyNumberFormat="1" applyFont="1" applyBorder="1"/>
    <xf numFmtId="3" fontId="83" fillId="0" borderId="47" xfId="0" applyNumberFormat="1" applyFont="1" applyBorder="1"/>
    <xf numFmtId="3" fontId="83" fillId="0" borderId="117" xfId="0" applyNumberFormat="1" applyFont="1" applyBorder="1"/>
    <xf numFmtId="3" fontId="83" fillId="0" borderId="50" xfId="0" applyNumberFormat="1" applyFont="1" applyBorder="1"/>
    <xf numFmtId="0" fontId="102" fillId="0" borderId="0" xfId="0" applyFont="1" applyAlignment="1">
      <alignment wrapText="1"/>
    </xf>
    <xf numFmtId="0" fontId="91" fillId="11" borderId="8" xfId="0" applyFont="1" applyFill="1" applyBorder="1"/>
    <xf numFmtId="0" fontId="108" fillId="0" borderId="0" xfId="0" applyFont="1" applyAlignment="1">
      <alignment wrapText="1"/>
    </xf>
    <xf numFmtId="0" fontId="102" fillId="0" borderId="8" xfId="0" applyFont="1" applyBorder="1" applyAlignment="1">
      <alignment horizontal="left"/>
    </xf>
    <xf numFmtId="0" fontId="5" fillId="0" borderId="0" xfId="0" applyFont="1" applyAlignment="1">
      <alignment wrapText="1"/>
    </xf>
    <xf numFmtId="0" fontId="83" fillId="0" borderId="54" xfId="0" applyFont="1" applyBorder="1" applyAlignment="1">
      <alignment vertical="center" wrapText="1"/>
    </xf>
    <xf numFmtId="0" fontId="108" fillId="0" borderId="0" xfId="0" applyFont="1" applyAlignment="1">
      <alignment vertical="center" wrapText="1"/>
    </xf>
    <xf numFmtId="0" fontId="5" fillId="0" borderId="0" xfId="0" applyFont="1" applyAlignment="1">
      <alignment vertical="center" wrapText="1"/>
    </xf>
    <xf numFmtId="0" fontId="91" fillId="2" borderId="8" xfId="0" applyFont="1" applyFill="1" applyBorder="1" applyAlignment="1">
      <alignment vertical="center"/>
    </xf>
    <xf numFmtId="171" fontId="83" fillId="3" borderId="8" xfId="31" applyNumberFormat="1" applyFont="1" applyFill="1" applyBorder="1" applyProtection="1"/>
    <xf numFmtId="0" fontId="91" fillId="11" borderId="8" xfId="0" applyFont="1" applyFill="1" applyBorder="1" applyAlignment="1">
      <alignment vertical="center"/>
    </xf>
    <xf numFmtId="0" fontId="137" fillId="0" borderId="0" xfId="0" applyFont="1"/>
    <xf numFmtId="0" fontId="136" fillId="0" borderId="0" xfId="0" applyFont="1" applyAlignment="1">
      <alignment horizontal="center" vertical="center"/>
    </xf>
    <xf numFmtId="174" fontId="83" fillId="0" borderId="8" xfId="0" applyNumberFormat="1" applyFont="1" applyBorder="1"/>
    <xf numFmtId="0" fontId="137" fillId="0" borderId="0" xfId="0" applyFont="1" applyAlignment="1">
      <alignment horizontal="center" vertical="center"/>
    </xf>
    <xf numFmtId="0" fontId="125" fillId="0" borderId="8" xfId="0" applyFont="1" applyBorder="1"/>
    <xf numFmtId="169" fontId="83" fillId="3" borderId="8" xfId="31" applyNumberFormat="1" applyFont="1" applyFill="1" applyBorder="1" applyProtection="1"/>
    <xf numFmtId="0" fontId="91" fillId="11" borderId="8" xfId="0" applyFont="1" applyFill="1" applyBorder="1" applyAlignment="1">
      <alignment horizontal="left"/>
    </xf>
    <xf numFmtId="3" fontId="83" fillId="0" borderId="8" xfId="0" applyNumberFormat="1" applyFont="1" applyBorder="1" applyAlignment="1">
      <alignment horizontal="center"/>
    </xf>
    <xf numFmtId="3" fontId="83" fillId="3" borderId="8" xfId="31" applyNumberFormat="1" applyFont="1" applyFill="1" applyBorder="1" applyProtection="1"/>
    <xf numFmtId="0" fontId="5" fillId="0" borderId="0" xfId="0" applyFont="1" applyAlignment="1">
      <alignment horizontal="center" vertical="center" wrapText="1"/>
    </xf>
    <xf numFmtId="0" fontId="5" fillId="0" borderId="0" xfId="0" applyFont="1" applyAlignment="1">
      <alignment horizontal="left" vertical="center" wrapText="1"/>
    </xf>
    <xf numFmtId="0" fontId="125" fillId="0" borderId="8" xfId="0" applyFont="1" applyBorder="1" applyAlignment="1">
      <alignment horizontal="left"/>
    </xf>
    <xf numFmtId="0" fontId="83" fillId="0" borderId="8" xfId="0" applyFont="1" applyBorder="1" applyAlignment="1">
      <alignment vertical="center"/>
    </xf>
    <xf numFmtId="0" fontId="83" fillId="0" borderId="210" xfId="0" applyFont="1" applyBorder="1"/>
    <xf numFmtId="0" fontId="83" fillId="0" borderId="8" xfId="0" applyFont="1" applyBorder="1" applyAlignment="1">
      <alignment horizontal="left" vertical="center"/>
    </xf>
    <xf numFmtId="0" fontId="91" fillId="11" borderId="8" xfId="0" applyFont="1" applyFill="1" applyBorder="1" applyAlignment="1">
      <alignment horizontal="left" vertical="center"/>
    </xf>
    <xf numFmtId="0" fontId="80" fillId="0" borderId="8" xfId="0" applyFont="1" applyBorder="1" applyAlignment="1">
      <alignment horizontal="left" vertical="center"/>
    </xf>
    <xf numFmtId="3" fontId="83" fillId="0" borderId="8" xfId="0" applyNumberFormat="1" applyFont="1" applyBorder="1" applyAlignment="1">
      <alignment horizontal="right" vertical="center"/>
    </xf>
    <xf numFmtId="0" fontId="11" fillId="0" borderId="8" xfId="0" applyFont="1" applyBorder="1" applyAlignment="1">
      <alignment horizontal="left" vertical="center"/>
    </xf>
    <xf numFmtId="3" fontId="83" fillId="3" borderId="8" xfId="0" applyNumberFormat="1" applyFont="1" applyFill="1" applyBorder="1"/>
    <xf numFmtId="169" fontId="61" fillId="14" borderId="27" xfId="0" applyNumberFormat="1" applyFont="1" applyFill="1" applyBorder="1" applyAlignment="1">
      <alignment horizontal="center" vertical="center"/>
    </xf>
    <xf numFmtId="3" fontId="83" fillId="0" borderId="8" xfId="0" applyNumberFormat="1" applyFont="1" applyBorder="1" applyAlignment="1">
      <alignment vertical="center"/>
    </xf>
    <xf numFmtId="169" fontId="62" fillId="0" borderId="210" xfId="0" applyNumberFormat="1" applyFont="1" applyBorder="1" applyAlignment="1">
      <alignment vertical="center"/>
    </xf>
    <xf numFmtId="1" fontId="62" fillId="3" borderId="8" xfId="7" applyNumberFormat="1" applyFont="1" applyFill="1" applyBorder="1" applyAlignment="1">
      <alignment horizontal="center" vertical="center"/>
    </xf>
    <xf numFmtId="1" fontId="62" fillId="27" borderId="8" xfId="7" applyNumberFormat="1" applyFont="1" applyFill="1" applyBorder="1" applyAlignment="1">
      <alignment horizontal="center" vertical="center"/>
    </xf>
    <xf numFmtId="0" fontId="193" fillId="0" borderId="0" xfId="7" applyNumberFormat="1" applyFont="1" applyAlignment="1">
      <alignment horizontal="centerContinuous" vertical="center"/>
    </xf>
    <xf numFmtId="0" fontId="62" fillId="0" borderId="0" xfId="7" applyNumberFormat="1" applyFont="1" applyAlignment="1">
      <alignment horizontal="centerContinuous" vertical="center"/>
    </xf>
    <xf numFmtId="3" fontId="61" fillId="0" borderId="211" xfId="25" applyNumberFormat="1" applyFont="1" applyBorder="1" applyAlignment="1" applyProtection="1">
      <alignment horizontal="center" vertical="center" wrapText="1"/>
      <protection locked="0"/>
    </xf>
    <xf numFmtId="4" fontId="61" fillId="0" borderId="211" xfId="25" applyNumberFormat="1" applyFont="1" applyBorder="1" applyAlignment="1" applyProtection="1">
      <alignment horizontal="center" vertical="center" wrapText="1"/>
      <protection locked="0"/>
    </xf>
    <xf numFmtId="0" fontId="61" fillId="29" borderId="27" xfId="0" applyFont="1" applyFill="1" applyBorder="1" applyAlignment="1">
      <alignment horizontal="center" vertical="center"/>
    </xf>
    <xf numFmtId="0" fontId="215" fillId="0" borderId="0" xfId="0" applyFont="1"/>
    <xf numFmtId="0" fontId="217" fillId="0" borderId="0" xfId="0" applyFont="1"/>
    <xf numFmtId="169" fontId="168" fillId="50" borderId="109" xfId="7" applyFont="1" applyFill="1" applyBorder="1" applyAlignment="1">
      <alignment horizontal="center" vertical="center" wrapText="1"/>
    </xf>
    <xf numFmtId="169" fontId="168" fillId="0" borderId="0" xfId="7" applyFont="1" applyAlignment="1">
      <alignment horizontal="center" vertical="center" wrapText="1"/>
    </xf>
    <xf numFmtId="0" fontId="215" fillId="0" borderId="0" xfId="0" applyFont="1" applyAlignment="1">
      <alignment vertical="top"/>
    </xf>
    <xf numFmtId="0" fontId="215" fillId="0" borderId="0" xfId="0" applyFont="1" applyAlignment="1">
      <alignment horizontal="left" vertical="top" wrapText="1"/>
    </xf>
    <xf numFmtId="0" fontId="215" fillId="0" borderId="0" xfId="0" applyFont="1" applyAlignment="1">
      <alignment horizontal="center" vertical="center"/>
    </xf>
    <xf numFmtId="0" fontId="215" fillId="0" borderId="0" xfId="0" applyFont="1" applyAlignment="1">
      <alignment vertical="top" wrapText="1"/>
    </xf>
    <xf numFmtId="0" fontId="215" fillId="0" borderId="0" xfId="0" applyFont="1" applyAlignment="1">
      <alignment vertical="center"/>
    </xf>
    <xf numFmtId="0" fontId="219" fillId="0" borderId="0" xfId="0" applyFont="1" applyAlignment="1">
      <alignment vertical="top"/>
    </xf>
    <xf numFmtId="0" fontId="220" fillId="0" borderId="0" xfId="0" applyFont="1" applyAlignment="1">
      <alignment vertical="center"/>
    </xf>
    <xf numFmtId="0" fontId="220" fillId="0" borderId="0" xfId="0" applyFont="1"/>
    <xf numFmtId="0" fontId="223" fillId="0" borderId="0" xfId="0" applyFont="1"/>
    <xf numFmtId="169" fontId="168" fillId="55" borderId="109" xfId="7" applyFont="1" applyFill="1" applyBorder="1" applyAlignment="1">
      <alignment horizontal="center" vertical="center" wrapText="1"/>
    </xf>
    <xf numFmtId="0" fontId="125" fillId="0" borderId="0" xfId="0" applyFont="1" applyAlignment="1">
      <alignment vertical="center"/>
    </xf>
    <xf numFmtId="0" fontId="221" fillId="0" borderId="0" xfId="0" applyFont="1"/>
    <xf numFmtId="0" fontId="0" fillId="62" borderId="212" xfId="45" applyFont="1" applyProtection="1">
      <protection locked="0"/>
    </xf>
    <xf numFmtId="169" fontId="62" fillId="0" borderId="210" xfId="0" applyNumberFormat="1" applyFont="1" applyBorder="1" applyAlignment="1">
      <alignment vertical="center" wrapText="1"/>
    </xf>
    <xf numFmtId="169" fontId="102" fillId="0" borderId="0" xfId="0" applyNumberFormat="1" applyFont="1"/>
    <xf numFmtId="174" fontId="82" fillId="29" borderId="0" xfId="0" applyNumberFormat="1" applyFont="1" applyFill="1"/>
    <xf numFmtId="0" fontId="3" fillId="0" borderId="8" xfId="0" applyFont="1" applyBorder="1"/>
    <xf numFmtId="169" fontId="61" fillId="4" borderId="210" xfId="0" applyNumberFormat="1" applyFont="1" applyFill="1" applyBorder="1" applyAlignment="1">
      <alignment horizontal="center"/>
    </xf>
    <xf numFmtId="169" fontId="61" fillId="14" borderId="210" xfId="0" applyNumberFormat="1" applyFont="1" applyFill="1" applyBorder="1" applyAlignment="1">
      <alignment horizontal="justify" vertical="center"/>
    </xf>
    <xf numFmtId="0" fontId="0" fillId="0" borderId="0" xfId="0" applyAlignment="1">
      <alignment horizontal="centerContinuous"/>
    </xf>
    <xf numFmtId="0" fontId="82" fillId="0" borderId="0" xfId="0" applyFont="1" applyAlignment="1">
      <alignment vertical="center" textRotation="90" wrapText="1"/>
    </xf>
    <xf numFmtId="169" fontId="89" fillId="0" borderId="31" xfId="0" applyNumberFormat="1" applyFont="1" applyBorder="1" applyAlignment="1" applyProtection="1">
      <alignment horizontal="center" vertical="center" wrapText="1"/>
      <protection locked="0"/>
    </xf>
    <xf numFmtId="169" fontId="89" fillId="0" borderId="23" xfId="0" applyNumberFormat="1" applyFont="1" applyBorder="1" applyAlignment="1" applyProtection="1">
      <alignment horizontal="center" vertical="center" wrapText="1"/>
      <protection locked="0"/>
    </xf>
    <xf numFmtId="169" fontId="176" fillId="6" borderId="24" xfId="0" applyNumberFormat="1" applyFont="1" applyFill="1" applyBorder="1" applyAlignment="1" applyProtection="1">
      <alignment horizontal="center" vertical="center"/>
      <protection locked="0"/>
    </xf>
    <xf numFmtId="169" fontId="89" fillId="0" borderId="24" xfId="0" applyNumberFormat="1" applyFont="1" applyBorder="1" applyAlignment="1" applyProtection="1">
      <alignment horizontal="center" vertical="center" wrapText="1"/>
      <protection locked="0"/>
    </xf>
    <xf numFmtId="0" fontId="89" fillId="30" borderId="24" xfId="0" applyFont="1" applyFill="1" applyBorder="1" applyAlignment="1" applyProtection="1">
      <alignment horizontal="center" vertical="center" wrapText="1"/>
      <protection locked="0"/>
    </xf>
    <xf numFmtId="49" fontId="89" fillId="0" borderId="24" xfId="0" applyNumberFormat="1" applyFont="1" applyBorder="1" applyAlignment="1" applyProtection="1">
      <alignment horizontal="center" vertical="center" wrapText="1"/>
      <protection locked="0"/>
    </xf>
    <xf numFmtId="169" fontId="89" fillId="29" borderId="31" xfId="0" applyNumberFormat="1" applyFont="1" applyFill="1" applyBorder="1" applyAlignment="1" applyProtection="1">
      <alignment horizontal="center" vertical="center" wrapText="1"/>
      <protection locked="0"/>
    </xf>
    <xf numFmtId="169" fontId="89" fillId="29" borderId="24" xfId="0" applyNumberFormat="1" applyFont="1" applyFill="1" applyBorder="1" applyAlignment="1" applyProtection="1">
      <alignment horizontal="center" vertical="center" wrapText="1"/>
      <protection locked="0"/>
    </xf>
    <xf numFmtId="0" fontId="89" fillId="16" borderId="31" xfId="0" applyFont="1" applyFill="1" applyBorder="1" applyAlignment="1" applyProtection="1">
      <alignment horizontal="center" vertical="center" wrapText="1"/>
      <protection locked="0"/>
    </xf>
    <xf numFmtId="169" fontId="89" fillId="16" borderId="23" xfId="0" applyNumberFormat="1" applyFont="1" applyFill="1" applyBorder="1" applyAlignment="1" applyProtection="1">
      <alignment horizontal="center" vertical="center" wrapText="1"/>
      <protection locked="0"/>
    </xf>
    <xf numFmtId="169" fontId="62" fillId="0" borderId="30" xfId="0" applyNumberFormat="1" applyFont="1" applyBorder="1" applyProtection="1">
      <protection locked="0"/>
    </xf>
    <xf numFmtId="169" fontId="61" fillId="0" borderId="20" xfId="0" applyNumberFormat="1" applyFont="1" applyBorder="1" applyAlignment="1" applyProtection="1">
      <alignment horizontal="left"/>
      <protection locked="0"/>
    </xf>
    <xf numFmtId="169" fontId="90" fillId="6" borderId="8" xfId="0" applyNumberFormat="1" applyFont="1" applyFill="1" applyBorder="1" applyProtection="1">
      <protection locked="0"/>
    </xf>
    <xf numFmtId="0" fontId="61" fillId="0" borderId="8" xfId="0" quotePrefix="1" applyFont="1" applyBorder="1" applyAlignment="1" applyProtection="1">
      <alignment horizontal="center" vertical="center"/>
      <protection locked="0"/>
    </xf>
    <xf numFmtId="169" fontId="62" fillId="0" borderId="8" xfId="0" applyNumberFormat="1" applyFont="1" applyBorder="1" applyAlignment="1" applyProtection="1">
      <alignment horizontal="left"/>
      <protection locked="0"/>
    </xf>
    <xf numFmtId="49" fontId="61" fillId="0" borderId="8" xfId="0" applyNumberFormat="1" applyFont="1" applyBorder="1" applyAlignment="1" applyProtection="1">
      <alignment horizontal="center" vertical="center"/>
      <protection locked="0"/>
    </xf>
    <xf numFmtId="169" fontId="61" fillId="0" borderId="30" xfId="0" applyNumberFormat="1" applyFont="1" applyBorder="1" applyAlignment="1" applyProtection="1">
      <alignment horizontal="left" vertical="center"/>
      <protection locked="0"/>
    </xf>
    <xf numFmtId="0" fontId="85" fillId="0" borderId="8" xfId="0" applyFont="1" applyBorder="1" applyAlignment="1" applyProtection="1">
      <alignment horizontal="center" vertical="center"/>
      <protection locked="0"/>
    </xf>
    <xf numFmtId="0" fontId="85" fillId="0" borderId="33" xfId="0" applyFont="1" applyBorder="1" applyAlignment="1" applyProtection="1">
      <alignment horizontal="center" vertical="center"/>
      <protection locked="0"/>
    </xf>
    <xf numFmtId="169" fontId="61" fillId="0" borderId="20" xfId="0" applyNumberFormat="1" applyFont="1" applyBorder="1" applyAlignment="1" applyProtection="1">
      <alignment horizontal="center" vertical="center"/>
      <protection locked="0"/>
    </xf>
    <xf numFmtId="0" fontId="89" fillId="0" borderId="30" xfId="0" applyFont="1" applyBorder="1" applyAlignment="1" applyProtection="1">
      <alignment horizontal="center"/>
      <protection locked="0"/>
    </xf>
    <xf numFmtId="169" fontId="61" fillId="0" borderId="20" xfId="0" applyNumberFormat="1" applyFont="1" applyBorder="1" applyAlignment="1" applyProtection="1">
      <alignment horizontal="left" vertical="center"/>
      <protection locked="0"/>
    </xf>
    <xf numFmtId="0" fontId="85" fillId="0" borderId="30" xfId="0" applyFont="1" applyBorder="1" applyAlignment="1" applyProtection="1">
      <alignment horizontal="center"/>
      <protection locked="0"/>
    </xf>
    <xf numFmtId="0" fontId="89" fillId="0" borderId="8" xfId="0" applyFont="1" applyBorder="1" applyAlignment="1" applyProtection="1">
      <alignment horizontal="center" vertical="center"/>
      <protection locked="0"/>
    </xf>
    <xf numFmtId="169" fontId="62" fillId="0" borderId="20" xfId="0" applyNumberFormat="1" applyFont="1" applyBorder="1" applyAlignment="1" applyProtection="1">
      <alignment horizontal="center" vertical="center"/>
      <protection locked="0"/>
    </xf>
    <xf numFmtId="169" fontId="62" fillId="14" borderId="20" xfId="0" applyNumberFormat="1" applyFont="1" applyFill="1" applyBorder="1" applyAlignment="1" applyProtection="1">
      <alignment horizontal="left" vertical="center"/>
      <protection locked="0"/>
    </xf>
    <xf numFmtId="169" fontId="62" fillId="0" borderId="20" xfId="0" applyNumberFormat="1" applyFont="1" applyBorder="1" applyAlignment="1" applyProtection="1">
      <alignment horizontal="left" vertical="center"/>
      <protection locked="0"/>
    </xf>
    <xf numFmtId="169" fontId="62" fillId="14" borderId="30" xfId="0" applyNumberFormat="1" applyFont="1" applyFill="1" applyBorder="1" applyAlignment="1" applyProtection="1">
      <alignment horizontal="left" vertical="center"/>
      <protection locked="0"/>
    </xf>
    <xf numFmtId="0" fontId="89" fillId="14" borderId="8" xfId="0" quotePrefix="1" applyFont="1" applyFill="1" applyBorder="1" applyAlignment="1" applyProtection="1">
      <alignment horizontal="center" vertical="center"/>
      <protection locked="0"/>
    </xf>
    <xf numFmtId="169" fontId="62" fillId="14" borderId="20" xfId="0" quotePrefix="1" applyNumberFormat="1" applyFont="1" applyFill="1" applyBorder="1" applyAlignment="1" applyProtection="1">
      <alignment horizontal="center" vertical="center"/>
      <protection locked="0"/>
    </xf>
    <xf numFmtId="0" fontId="85" fillId="0" borderId="8" xfId="0" quotePrefix="1" applyFont="1" applyBorder="1" applyAlignment="1" applyProtection="1">
      <alignment horizontal="center" vertical="center"/>
      <protection locked="0"/>
    </xf>
    <xf numFmtId="169" fontId="61" fillId="0" borderId="20" xfId="0" quotePrefix="1" applyNumberFormat="1" applyFont="1" applyBorder="1" applyAlignment="1" applyProtection="1">
      <alignment horizontal="center" vertical="center"/>
      <protection locked="0"/>
    </xf>
    <xf numFmtId="169" fontId="62" fillId="0" borderId="30" xfId="0" applyNumberFormat="1" applyFont="1" applyBorder="1" applyAlignment="1" applyProtection="1">
      <alignment horizontal="left" vertical="center"/>
      <protection locked="0"/>
    </xf>
    <xf numFmtId="0" fontId="89" fillId="0" borderId="8" xfId="0" quotePrefix="1" applyFont="1" applyBorder="1" applyAlignment="1" applyProtection="1">
      <alignment horizontal="center" vertical="center"/>
      <protection locked="0"/>
    </xf>
    <xf numFmtId="169" fontId="62" fillId="0" borderId="20" xfId="0" quotePrefix="1" applyNumberFormat="1" applyFont="1" applyBorder="1" applyAlignment="1" applyProtection="1">
      <alignment horizontal="center" vertical="center"/>
      <protection locked="0"/>
    </xf>
    <xf numFmtId="169" fontId="62" fillId="0" borderId="20" xfId="0" applyNumberFormat="1" applyFont="1" applyBorder="1" applyAlignment="1" applyProtection="1">
      <alignment horizontal="left"/>
      <protection locked="0"/>
    </xf>
    <xf numFmtId="0" fontId="85" fillId="0" borderId="29" xfId="0" applyFont="1" applyBorder="1" applyAlignment="1" applyProtection="1">
      <alignment horizontal="center"/>
      <protection locked="0"/>
    </xf>
    <xf numFmtId="169" fontId="61" fillId="0" borderId="16" xfId="0" applyNumberFormat="1" applyFont="1" applyBorder="1" applyAlignment="1" applyProtection="1">
      <alignment horizontal="left"/>
      <protection locked="0"/>
    </xf>
    <xf numFmtId="169" fontId="61" fillId="0" borderId="0" xfId="0" applyNumberFormat="1" applyFont="1" applyAlignment="1" applyProtection="1">
      <alignment horizontal="left"/>
      <protection locked="0"/>
    </xf>
    <xf numFmtId="0" fontId="85" fillId="0" borderId="17" xfId="0" quotePrefix="1" applyFont="1" applyBorder="1" applyAlignment="1" applyProtection="1">
      <alignment horizontal="center" vertical="center"/>
      <protection locked="0"/>
    </xf>
    <xf numFmtId="169" fontId="61" fillId="0" borderId="16" xfId="0" quotePrefix="1" applyNumberFormat="1" applyFont="1" applyBorder="1" applyAlignment="1" applyProtection="1">
      <alignment horizontal="center" vertical="center"/>
      <protection locked="0"/>
    </xf>
    <xf numFmtId="0" fontId="85" fillId="0" borderId="0" xfId="0" applyFont="1" applyProtection="1">
      <protection locked="0"/>
    </xf>
    <xf numFmtId="0" fontId="83" fillId="0" borderId="0" xfId="0" applyFont="1" applyProtection="1">
      <protection locked="0"/>
    </xf>
    <xf numFmtId="49" fontId="61" fillId="0" borderId="0" xfId="0" applyNumberFormat="1" applyFont="1" applyProtection="1">
      <protection locked="0"/>
    </xf>
    <xf numFmtId="0" fontId="108" fillId="0" borderId="0" xfId="0" applyFont="1" applyProtection="1">
      <protection locked="0"/>
    </xf>
    <xf numFmtId="0" fontId="80" fillId="0" borderId="0" xfId="0" applyFont="1" applyProtection="1">
      <protection locked="0"/>
    </xf>
    <xf numFmtId="0" fontId="61" fillId="4" borderId="28" xfId="0" applyFont="1" applyFill="1" applyBorder="1" applyAlignment="1" applyProtection="1">
      <alignment horizontal="center" vertical="center"/>
      <protection locked="0"/>
    </xf>
    <xf numFmtId="169" fontId="61" fillId="4" borderId="63" xfId="0" applyNumberFormat="1" applyFont="1" applyFill="1" applyBorder="1" applyAlignment="1" applyProtection="1">
      <alignment horizontal="center" vertical="center"/>
      <protection locked="0"/>
    </xf>
    <xf numFmtId="169" fontId="61" fillId="14" borderId="0" xfId="0" applyNumberFormat="1" applyFont="1" applyFill="1" applyAlignment="1" applyProtection="1">
      <alignment horizontal="right" vertical="center"/>
      <protection locked="0"/>
    </xf>
    <xf numFmtId="0" fontId="2" fillId="0" borderId="0" xfId="0" applyFont="1"/>
    <xf numFmtId="0" fontId="232" fillId="64" borderId="177" xfId="46" applyNumberFormat="1" applyBorder="1" applyAlignment="1" applyProtection="1">
      <alignment horizontal="left" vertical="center"/>
      <protection locked="0"/>
    </xf>
    <xf numFmtId="0" fontId="83" fillId="0" borderId="210" xfId="7" applyNumberFormat="1" applyFont="1" applyBorder="1"/>
    <xf numFmtId="0" fontId="2" fillId="0" borderId="8" xfId="0" applyFont="1" applyBorder="1" applyAlignment="1">
      <alignment horizontal="left" vertical="center"/>
    </xf>
    <xf numFmtId="169" fontId="12" fillId="0" borderId="0" xfId="7" applyFont="1" applyAlignment="1">
      <alignment wrapText="1"/>
    </xf>
    <xf numFmtId="0" fontId="12" fillId="0" borderId="0" xfId="0" applyFont="1" applyAlignment="1">
      <alignment wrapText="1"/>
    </xf>
    <xf numFmtId="3" fontId="61" fillId="31" borderId="183" xfId="34" applyNumberFormat="1" applyFont="1" applyFill="1" applyBorder="1" applyAlignment="1" applyProtection="1">
      <alignment horizontal="center" vertical="center" wrapText="1"/>
      <protection locked="0"/>
    </xf>
    <xf numFmtId="3" fontId="118" fillId="0" borderId="8" xfId="7" applyNumberFormat="1" applyFont="1" applyBorder="1" applyAlignment="1">
      <alignment horizontal="right" vertical="center"/>
    </xf>
    <xf numFmtId="0" fontId="61" fillId="29" borderId="8" xfId="0" applyFont="1" applyFill="1" applyBorder="1" applyAlignment="1">
      <alignment horizontal="center" vertical="center"/>
    </xf>
    <xf numFmtId="0" fontId="62" fillId="0" borderId="0" xfId="7" applyNumberFormat="1" applyFont="1" applyAlignment="1">
      <alignment vertical="center" wrapText="1"/>
    </xf>
    <xf numFmtId="0" fontId="14" fillId="0" borderId="0" xfId="7" applyNumberFormat="1" applyFont="1" applyAlignment="1">
      <alignment wrapText="1"/>
    </xf>
    <xf numFmtId="0" fontId="14" fillId="0" borderId="0" xfId="0" applyFont="1" applyAlignment="1">
      <alignment wrapText="1"/>
    </xf>
    <xf numFmtId="0" fontId="89" fillId="3" borderId="200" xfId="7" applyNumberFormat="1" applyFont="1" applyFill="1" applyBorder="1" applyAlignment="1">
      <alignment horizontal="centerContinuous" vertical="center" wrapText="1"/>
    </xf>
    <xf numFmtId="0" fontId="9" fillId="19" borderId="12" xfId="0" applyFont="1" applyFill="1" applyBorder="1" applyAlignment="1" applyProtection="1">
      <alignment vertical="center" wrapText="1"/>
      <protection locked="0"/>
    </xf>
    <xf numFmtId="0" fontId="84" fillId="0" borderId="0" xfId="7" applyNumberFormat="1" applyFont="1" applyAlignment="1">
      <alignment vertical="center" wrapText="1"/>
    </xf>
    <xf numFmtId="0" fontId="9" fillId="0" borderId="12" xfId="0" applyFont="1" applyBorder="1" applyAlignment="1">
      <alignment horizontal="center" vertical="center" wrapText="1"/>
    </xf>
    <xf numFmtId="0" fontId="12" fillId="0" borderId="0" xfId="7" applyNumberFormat="1" applyFont="1" applyAlignment="1">
      <alignment wrapText="1"/>
    </xf>
    <xf numFmtId="0" fontId="88" fillId="3" borderId="0" xfId="7" applyNumberFormat="1" applyFont="1" applyFill="1" applyAlignment="1">
      <alignment vertical="center" wrapText="1"/>
    </xf>
    <xf numFmtId="0" fontId="88" fillId="3" borderId="123" xfId="7" applyNumberFormat="1" applyFont="1" applyFill="1" applyBorder="1" applyAlignment="1">
      <alignment horizontal="center" vertical="center" wrapText="1"/>
    </xf>
    <xf numFmtId="0" fontId="62" fillId="13" borderId="0" xfId="7" applyNumberFormat="1" applyFont="1" applyFill="1" applyAlignment="1">
      <alignment vertical="center" wrapText="1"/>
    </xf>
    <xf numFmtId="169" fontId="62" fillId="0" borderId="0" xfId="7" applyFont="1" applyAlignment="1">
      <alignment vertical="center" wrapText="1"/>
    </xf>
    <xf numFmtId="169" fontId="14" fillId="0" borderId="0" xfId="7" applyFont="1" applyAlignment="1">
      <alignment vertical="center" wrapText="1"/>
    </xf>
    <xf numFmtId="169" fontId="14" fillId="0" borderId="0" xfId="7" applyFont="1" applyAlignment="1">
      <alignment horizontal="center" vertical="center" wrapText="1"/>
    </xf>
    <xf numFmtId="169" fontId="80" fillId="0" borderId="54" xfId="7" applyFont="1" applyBorder="1" applyAlignment="1">
      <alignment vertical="center" wrapText="1"/>
    </xf>
    <xf numFmtId="169" fontId="14" fillId="0" borderId="54" xfId="7" applyFont="1" applyBorder="1" applyAlignment="1">
      <alignment vertical="center" wrapText="1"/>
    </xf>
    <xf numFmtId="0" fontId="201" fillId="0" borderId="54" xfId="7" applyNumberFormat="1" applyFont="1" applyBorder="1" applyAlignment="1">
      <alignment vertical="center" wrapText="1"/>
    </xf>
    <xf numFmtId="0" fontId="14" fillId="0" borderId="54" xfId="7" applyNumberFormat="1" applyFont="1" applyBorder="1" applyAlignment="1">
      <alignment vertical="center" wrapText="1"/>
    </xf>
    <xf numFmtId="0" fontId="14" fillId="0" borderId="0" xfId="0" applyFont="1" applyAlignment="1">
      <alignment vertical="center" wrapText="1"/>
    </xf>
    <xf numFmtId="0" fontId="1" fillId="0" borderId="0" xfId="0" applyFont="1"/>
    <xf numFmtId="169" fontId="235" fillId="0" borderId="180" xfId="0" applyNumberFormat="1" applyFont="1" applyBorder="1" applyAlignment="1">
      <alignment vertical="center" wrapText="1"/>
    </xf>
    <xf numFmtId="3" fontId="0" fillId="0" borderId="0" xfId="0" applyNumberFormat="1" applyAlignment="1">
      <alignment horizontal="right"/>
    </xf>
    <xf numFmtId="3" fontId="25" fillId="0" borderId="0" xfId="30" applyNumberFormat="1" applyAlignment="1">
      <alignment horizontal="right"/>
    </xf>
    <xf numFmtId="3" fontId="61" fillId="0" borderId="214" xfId="25" applyNumberFormat="1" applyFont="1" applyBorder="1" applyAlignment="1" applyProtection="1">
      <alignment horizontal="right" vertical="center" wrapText="1"/>
      <protection locked="0"/>
    </xf>
    <xf numFmtId="170" fontId="62" fillId="2" borderId="219" xfId="12" applyFont="1" applyFill="1" applyBorder="1" applyAlignment="1" applyProtection="1">
      <alignment vertical="center"/>
    </xf>
    <xf numFmtId="170" fontId="62" fillId="66" borderId="219" xfId="12" applyFont="1" applyFill="1" applyBorder="1" applyAlignment="1" applyProtection="1">
      <alignment vertical="center"/>
    </xf>
    <xf numFmtId="170" fontId="62" fillId="66" borderId="220" xfId="12" applyFont="1" applyFill="1" applyBorder="1" applyAlignment="1" applyProtection="1">
      <alignment vertical="center"/>
    </xf>
    <xf numFmtId="171" fontId="62" fillId="19" borderId="181" xfId="12" applyNumberFormat="1" applyFont="1" applyFill="1" applyBorder="1" applyAlignment="1" applyProtection="1">
      <alignment vertical="center"/>
      <protection locked="0"/>
    </xf>
    <xf numFmtId="171" fontId="62" fillId="28" borderId="181" xfId="12" applyNumberFormat="1" applyFont="1" applyFill="1" applyBorder="1" applyAlignment="1" applyProtection="1">
      <alignment vertical="center"/>
      <protection locked="0"/>
    </xf>
    <xf numFmtId="3" fontId="62" fillId="29" borderId="178" xfId="12" applyNumberFormat="1" applyFont="1" applyFill="1" applyBorder="1" applyAlignment="1" applyProtection="1">
      <alignment vertical="center"/>
      <protection locked="0"/>
    </xf>
    <xf numFmtId="3" fontId="62" fillId="29" borderId="207" xfId="12" applyNumberFormat="1" applyFont="1" applyFill="1" applyBorder="1" applyAlignment="1" applyProtection="1">
      <alignment vertical="center"/>
      <protection locked="0"/>
    </xf>
    <xf numFmtId="0" fontId="29" fillId="0" borderId="0" xfId="48"/>
    <xf numFmtId="3" fontId="62" fillId="19" borderId="68" xfId="12" applyNumberFormat="1" applyFont="1" applyFill="1" applyBorder="1" applyAlignment="1" applyProtection="1">
      <alignment vertical="center"/>
      <protection locked="0"/>
    </xf>
    <xf numFmtId="3" fontId="62" fillId="28" borderId="69" xfId="12" applyNumberFormat="1" applyFont="1" applyFill="1" applyBorder="1" applyAlignment="1" applyProtection="1">
      <alignment vertical="center"/>
      <protection locked="0"/>
    </xf>
    <xf numFmtId="3" fontId="62" fillId="29" borderId="68" xfId="12" applyNumberFormat="1" applyFont="1" applyFill="1" applyBorder="1" applyAlignment="1" applyProtection="1">
      <alignment vertical="center"/>
      <protection locked="0"/>
    </xf>
    <xf numFmtId="3" fontId="62" fillId="29" borderId="69" xfId="12" applyNumberFormat="1" applyFont="1" applyFill="1" applyBorder="1" applyAlignment="1" applyProtection="1">
      <alignment vertical="center"/>
      <protection locked="0"/>
    </xf>
    <xf numFmtId="3" fontId="62" fillId="10" borderId="10" xfId="12" applyNumberFormat="1" applyFont="1" applyFill="1" applyBorder="1" applyAlignment="1" applyProtection="1">
      <alignment vertical="center" wrapText="1"/>
      <protection locked="0"/>
    </xf>
    <xf numFmtId="3" fontId="62" fillId="19" borderId="233" xfId="12" applyNumberFormat="1" applyFont="1" applyFill="1" applyBorder="1" applyAlignment="1" applyProtection="1">
      <alignment vertical="center"/>
      <protection locked="0"/>
    </xf>
    <xf numFmtId="3" fontId="62" fillId="28" borderId="234" xfId="12" applyNumberFormat="1" applyFont="1" applyFill="1" applyBorder="1" applyAlignment="1" applyProtection="1">
      <alignment vertical="center"/>
      <protection locked="0"/>
    </xf>
    <xf numFmtId="3" fontId="62" fillId="12" borderId="235" xfId="12" applyNumberFormat="1" applyFont="1" applyFill="1" applyBorder="1" applyAlignment="1" applyProtection="1">
      <alignment vertical="center"/>
      <protection locked="0"/>
    </xf>
    <xf numFmtId="3" fontId="62" fillId="28" borderId="236" xfId="12" applyNumberFormat="1" applyFont="1" applyFill="1" applyBorder="1" applyAlignment="1" applyProtection="1">
      <alignment vertical="center"/>
      <protection locked="0"/>
    </xf>
    <xf numFmtId="3" fontId="89" fillId="12" borderId="82" xfId="12" applyNumberFormat="1" applyFont="1" applyFill="1" applyBorder="1" applyAlignment="1" applyProtection="1">
      <alignment vertical="center"/>
      <protection locked="0"/>
    </xf>
    <xf numFmtId="3" fontId="89" fillId="12" borderId="146" xfId="12" applyNumberFormat="1" applyFont="1" applyFill="1" applyBorder="1" applyAlignment="1" applyProtection="1">
      <alignment vertical="center"/>
      <protection locked="0"/>
    </xf>
    <xf numFmtId="3" fontId="62" fillId="29" borderId="233" xfId="12" applyNumberFormat="1" applyFont="1" applyFill="1" applyBorder="1" applyAlignment="1" applyProtection="1">
      <alignment vertical="center"/>
      <protection locked="0"/>
    </xf>
    <xf numFmtId="3" fontId="62" fillId="29" borderId="234" xfId="12" applyNumberFormat="1" applyFont="1" applyFill="1" applyBorder="1" applyAlignment="1" applyProtection="1">
      <alignment vertical="center"/>
      <protection locked="0"/>
    </xf>
    <xf numFmtId="3" fontId="62" fillId="29" borderId="236" xfId="12" applyNumberFormat="1" applyFont="1" applyFill="1" applyBorder="1" applyAlignment="1" applyProtection="1">
      <alignment vertical="center"/>
      <protection locked="0"/>
    </xf>
    <xf numFmtId="3" fontId="62" fillId="12" borderId="90" xfId="12" applyNumberFormat="1" applyFont="1" applyFill="1" applyBorder="1" applyAlignment="1" applyProtection="1">
      <alignment vertical="center"/>
      <protection locked="0"/>
    </xf>
    <xf numFmtId="3" fontId="62" fillId="12" borderId="231" xfId="12" applyNumberFormat="1" applyFont="1" applyFill="1" applyBorder="1" applyAlignment="1" applyProtection="1">
      <alignment vertical="center"/>
      <protection locked="0"/>
    </xf>
    <xf numFmtId="3" fontId="62" fillId="19" borderId="215" xfId="12" applyNumberFormat="1" applyFont="1" applyFill="1" applyBorder="1" applyAlignment="1" applyProtection="1">
      <alignment vertical="center" wrapText="1"/>
      <protection locked="0"/>
    </xf>
    <xf numFmtId="3" fontId="62" fillId="5" borderId="215" xfId="12" applyNumberFormat="1" applyFont="1" applyFill="1" applyBorder="1" applyAlignment="1" applyProtection="1">
      <alignment vertical="center" wrapText="1"/>
      <protection locked="0"/>
    </xf>
    <xf numFmtId="0" fontId="89" fillId="0" borderId="0" xfId="0" applyFont="1" applyAlignment="1">
      <alignment horizontal="left"/>
    </xf>
    <xf numFmtId="0" fontId="89" fillId="0" borderId="0" xfId="0" applyFont="1" applyAlignment="1">
      <alignment horizontal="left" vertical="center"/>
    </xf>
    <xf numFmtId="0" fontId="18" fillId="0" borderId="12" xfId="0" applyFont="1" applyBorder="1" applyAlignment="1">
      <alignment vertical="center"/>
    </xf>
    <xf numFmtId="169" fontId="1" fillId="0" borderId="0" xfId="7" applyFont="1"/>
    <xf numFmtId="1" fontId="62" fillId="29" borderId="177" xfId="7" applyNumberFormat="1" applyFont="1" applyFill="1" applyBorder="1" applyAlignment="1">
      <alignment horizontal="center" vertical="center"/>
    </xf>
    <xf numFmtId="0" fontId="35" fillId="0" borderId="0" xfId="0" applyFont="1"/>
    <xf numFmtId="180" fontId="62" fillId="28" borderId="147" xfId="0" applyNumberFormat="1" applyFont="1" applyFill="1" applyBorder="1" applyAlignment="1" applyProtection="1">
      <alignment horizontal="right" vertical="center"/>
      <protection locked="0"/>
    </xf>
    <xf numFmtId="180" fontId="151" fillId="29" borderId="147" xfId="0" applyNumberFormat="1" applyFont="1" applyFill="1" applyBorder="1" applyAlignment="1" applyProtection="1">
      <alignment horizontal="right" vertical="center"/>
      <protection locked="0"/>
    </xf>
    <xf numFmtId="0" fontId="245" fillId="63" borderId="93" xfId="0" applyFont="1" applyFill="1" applyBorder="1" applyAlignment="1">
      <alignment horizontal="center" vertical="center" wrapText="1"/>
    </xf>
    <xf numFmtId="0" fontId="245" fillId="63" borderId="1" xfId="0" applyFont="1" applyFill="1" applyBorder="1" applyAlignment="1">
      <alignment horizontal="center" vertical="center" wrapText="1"/>
    </xf>
    <xf numFmtId="0" fontId="246" fillId="63" borderId="1" xfId="0" applyFont="1" applyFill="1" applyBorder="1" applyAlignment="1">
      <alignment horizontal="center" vertical="center" wrapText="1"/>
    </xf>
    <xf numFmtId="0" fontId="15" fillId="63" borderId="4" xfId="0" applyFont="1" applyFill="1" applyBorder="1" applyAlignment="1">
      <alignment vertical="center" wrapText="1"/>
    </xf>
    <xf numFmtId="0" fontId="15" fillId="0" borderId="4" xfId="0" applyFont="1" applyBorder="1" applyAlignment="1">
      <alignment vertical="center" wrapText="1"/>
    </xf>
    <xf numFmtId="0" fontId="15" fillId="63" borderId="5" xfId="0" applyFont="1" applyFill="1" applyBorder="1" applyAlignment="1">
      <alignment vertical="center" wrapText="1"/>
    </xf>
    <xf numFmtId="0" fontId="118" fillId="0" borderId="238" xfId="7" applyNumberFormat="1" applyFont="1" applyBorder="1" applyAlignment="1">
      <alignment horizontal="center" vertical="center"/>
    </xf>
    <xf numFmtId="169" fontId="88" fillId="3" borderId="0" xfId="7" applyFont="1" applyFill="1" applyAlignment="1">
      <alignment horizontal="center" vertical="center"/>
    </xf>
    <xf numFmtId="169" fontId="80" fillId="3" borderId="239" xfId="7" applyFont="1" applyFill="1" applyBorder="1" applyAlignment="1">
      <alignment horizontal="center" vertical="center" wrapText="1"/>
    </xf>
    <xf numFmtId="0" fontId="89" fillId="3" borderId="240" xfId="7" applyNumberFormat="1" applyFont="1" applyFill="1" applyBorder="1" applyAlignment="1">
      <alignment horizontal="centerContinuous" vertical="center"/>
    </xf>
    <xf numFmtId="3" fontId="86" fillId="3" borderId="238" xfId="31" applyNumberFormat="1" applyFont="1" applyFill="1" applyBorder="1" applyAlignment="1" applyProtection="1">
      <alignment vertical="center" wrapText="1"/>
    </xf>
    <xf numFmtId="0" fontId="86" fillId="3" borderId="0" xfId="7" applyNumberFormat="1" applyFont="1" applyFill="1" applyAlignment="1">
      <alignment vertical="center" wrapText="1"/>
    </xf>
    <xf numFmtId="0" fontId="118" fillId="0" borderId="238" xfId="7" applyNumberFormat="1" applyFont="1" applyBorder="1" applyAlignment="1">
      <alignment horizontal="right" vertical="center"/>
    </xf>
    <xf numFmtId="169" fontId="89" fillId="9" borderId="242" xfId="0" applyNumberFormat="1" applyFont="1" applyFill="1" applyBorder="1" applyAlignment="1">
      <alignment vertical="center"/>
    </xf>
    <xf numFmtId="3" fontId="1" fillId="0" borderId="0" xfId="0" applyNumberFormat="1" applyFont="1"/>
    <xf numFmtId="3" fontId="83" fillId="0" borderId="54" xfId="31" applyNumberFormat="1" applyFont="1" applyBorder="1" applyProtection="1"/>
    <xf numFmtId="3" fontId="83" fillId="0" borderId="123" xfId="31" applyNumberFormat="1" applyFont="1" applyBorder="1" applyProtection="1"/>
    <xf numFmtId="3" fontId="86" fillId="3" borderId="55" xfId="31" applyNumberFormat="1" applyFont="1" applyFill="1" applyBorder="1" applyAlignment="1" applyProtection="1">
      <alignment horizontal="centerContinuous" vertical="center" wrapText="1"/>
    </xf>
    <xf numFmtId="3" fontId="86" fillId="3" borderId="119" xfId="31" applyNumberFormat="1" applyFont="1" applyFill="1" applyBorder="1" applyAlignment="1" applyProtection="1">
      <alignment horizontal="centerContinuous" vertical="center" wrapText="1"/>
    </xf>
    <xf numFmtId="3" fontId="89" fillId="3" borderId="56" xfId="31" applyNumberFormat="1" applyFont="1" applyFill="1" applyBorder="1" applyAlignment="1" applyProtection="1">
      <alignment horizontal="centerContinuous" vertical="center" wrapText="1"/>
    </xf>
    <xf numFmtId="3" fontId="89" fillId="3" borderId="121" xfId="31" applyNumberFormat="1" applyFont="1" applyFill="1" applyBorder="1" applyAlignment="1" applyProtection="1">
      <alignment horizontal="centerContinuous" vertical="center" wrapText="1"/>
    </xf>
    <xf numFmtId="3" fontId="86" fillId="3" borderId="118" xfId="31" applyNumberFormat="1" applyFont="1" applyFill="1" applyBorder="1" applyAlignment="1" applyProtection="1">
      <alignment vertical="center" wrapText="1"/>
    </xf>
    <xf numFmtId="3" fontId="86" fillId="3" borderId="241" xfId="31" applyNumberFormat="1" applyFont="1" applyFill="1" applyBorder="1" applyAlignment="1" applyProtection="1">
      <alignment vertical="center" wrapText="1"/>
    </xf>
    <xf numFmtId="3" fontId="86" fillId="3" borderId="122" xfId="31" applyNumberFormat="1" applyFont="1" applyFill="1" applyBorder="1" applyAlignment="1" applyProtection="1">
      <alignment vertical="center" wrapText="1"/>
    </xf>
    <xf numFmtId="3" fontId="108" fillId="21" borderId="0" xfId="0" applyNumberFormat="1" applyFont="1" applyFill="1" applyAlignment="1">
      <alignment horizontal="center" vertical="center"/>
    </xf>
    <xf numFmtId="0" fontId="62" fillId="69" borderId="8" xfId="7" applyNumberFormat="1" applyFont="1" applyFill="1" applyBorder="1" applyAlignment="1">
      <alignment horizontal="center" vertical="center"/>
    </xf>
    <xf numFmtId="0" fontId="62" fillId="11" borderId="8" xfId="7" applyNumberFormat="1" applyFont="1" applyFill="1" applyBorder="1" applyAlignment="1">
      <alignment horizontal="center" vertical="center"/>
    </xf>
    <xf numFmtId="3" fontId="14" fillId="0" borderId="0" xfId="7" applyNumberFormat="1" applyFont="1" applyAlignment="1">
      <alignment vertical="center"/>
    </xf>
    <xf numFmtId="3" fontId="14" fillId="0" borderId="0" xfId="0" applyNumberFormat="1" applyFont="1" applyAlignment="1">
      <alignment vertical="center"/>
    </xf>
    <xf numFmtId="3" fontId="0" fillId="0" borderId="0" xfId="0" applyNumberFormat="1" applyAlignment="1">
      <alignment vertical="center"/>
    </xf>
    <xf numFmtId="3" fontId="7" fillId="0" borderId="12" xfId="7" applyNumberFormat="1" applyFont="1" applyBorder="1" applyAlignment="1">
      <alignment vertical="center"/>
    </xf>
    <xf numFmtId="3" fontId="7" fillId="0" borderId="12" xfId="0" applyNumberFormat="1" applyFont="1" applyBorder="1" applyAlignment="1">
      <alignment vertical="center"/>
    </xf>
    <xf numFmtId="3" fontId="7" fillId="0" borderId="35" xfId="0" applyNumberFormat="1" applyFont="1" applyBorder="1" applyAlignment="1">
      <alignment vertical="center"/>
    </xf>
    <xf numFmtId="0" fontId="83" fillId="0" borderId="245" xfId="0" applyFont="1" applyBorder="1" applyAlignment="1">
      <alignment vertical="center"/>
    </xf>
    <xf numFmtId="169" fontId="61" fillId="14" borderId="238" xfId="0" applyNumberFormat="1" applyFont="1" applyFill="1" applyBorder="1" applyAlignment="1">
      <alignment horizontal="center" vertical="center" wrapText="1"/>
    </xf>
    <xf numFmtId="169" fontId="61" fillId="4" borderId="8" xfId="0" applyNumberFormat="1" applyFont="1" applyFill="1" applyBorder="1" applyAlignment="1">
      <alignment horizontal="center" vertical="center"/>
    </xf>
    <xf numFmtId="3" fontId="62" fillId="0" borderId="238" xfId="12" applyNumberFormat="1" applyFont="1" applyFill="1" applyBorder="1" applyAlignment="1" applyProtection="1">
      <alignment horizontal="right"/>
    </xf>
    <xf numFmtId="0" fontId="1" fillId="0" borderId="8" xfId="0" applyFont="1" applyBorder="1" applyAlignment="1">
      <alignment horizontal="left"/>
    </xf>
    <xf numFmtId="9" fontId="62" fillId="29" borderId="8" xfId="32" applyFont="1" applyFill="1" applyBorder="1" applyAlignment="1" applyProtection="1">
      <alignment horizontal="center"/>
    </xf>
    <xf numFmtId="9" fontId="61" fillId="29" borderId="27" xfId="32" applyFont="1" applyFill="1" applyBorder="1" applyAlignment="1">
      <alignment horizontal="center" vertical="center"/>
    </xf>
    <xf numFmtId="181" fontId="61" fillId="29" borderId="27" xfId="32" applyNumberFormat="1" applyFont="1" applyFill="1" applyBorder="1" applyAlignment="1">
      <alignment horizontal="center" vertical="center"/>
    </xf>
    <xf numFmtId="166" fontId="85" fillId="4" borderId="8" xfId="31" applyFont="1" applyFill="1" applyBorder="1" applyAlignment="1">
      <alignment horizontal="center" vertical="center" wrapText="1"/>
    </xf>
    <xf numFmtId="169" fontId="92" fillId="14" borderId="22" xfId="0" applyNumberFormat="1" applyFont="1" applyFill="1" applyBorder="1" applyAlignment="1">
      <alignment horizontal="center" vertical="center" wrapText="1"/>
    </xf>
    <xf numFmtId="0" fontId="61" fillId="18" borderId="27" xfId="0" applyFont="1" applyFill="1" applyBorder="1" applyAlignment="1">
      <alignment horizontal="center" vertical="center"/>
    </xf>
    <xf numFmtId="10" fontId="62" fillId="18" borderId="8" xfId="13" applyFont="1" applyFill="1" applyBorder="1" applyAlignment="1" applyProtection="1">
      <alignment horizontal="center"/>
    </xf>
    <xf numFmtId="189" fontId="0" fillId="0" borderId="0" xfId="31" applyNumberFormat="1" applyFont="1"/>
    <xf numFmtId="10" fontId="83" fillId="0" borderId="0" xfId="0" applyNumberFormat="1" applyFont="1"/>
    <xf numFmtId="0" fontId="89" fillId="3" borderId="242" xfId="7" applyNumberFormat="1" applyFont="1" applyFill="1" applyBorder="1" applyAlignment="1">
      <alignment horizontal="centerContinuous" vertical="center"/>
    </xf>
    <xf numFmtId="169" fontId="118" fillId="0" borderId="238" xfId="7" applyFont="1" applyBorder="1" applyAlignment="1">
      <alignment horizontal="right" vertical="center"/>
    </xf>
    <xf numFmtId="3" fontId="83" fillId="0" borderId="245" xfId="31" applyNumberFormat="1" applyFont="1" applyBorder="1" applyProtection="1"/>
    <xf numFmtId="9" fontId="83" fillId="0" borderId="238" xfId="32" applyFont="1" applyBorder="1"/>
    <xf numFmtId="0" fontId="1" fillId="0" borderId="238" xfId="0" applyFont="1" applyBorder="1"/>
    <xf numFmtId="3" fontId="83" fillId="0" borderId="238" xfId="0" applyNumberFormat="1" applyFont="1" applyBorder="1"/>
    <xf numFmtId="3" fontId="1" fillId="0" borderId="8" xfId="0" applyNumberFormat="1" applyFont="1" applyBorder="1"/>
    <xf numFmtId="0" fontId="1" fillId="0" borderId="8" xfId="0" applyFont="1" applyBorder="1"/>
    <xf numFmtId="0" fontId="83" fillId="0" borderId="120" xfId="0" applyFont="1" applyBorder="1" applyAlignment="1">
      <alignment vertical="center" wrapText="1"/>
    </xf>
    <xf numFmtId="0" fontId="83" fillId="0" borderId="120" xfId="0" applyFont="1" applyBorder="1" applyAlignment="1">
      <alignment vertical="center"/>
    </xf>
    <xf numFmtId="0" fontId="83" fillId="0" borderId="245" xfId="0" applyFont="1" applyBorder="1"/>
    <xf numFmtId="0" fontId="62" fillId="14" borderId="238" xfId="0" applyFont="1" applyFill="1" applyBorder="1" applyAlignment="1">
      <alignment horizontal="center" vertical="center" wrapText="1"/>
    </xf>
    <xf numFmtId="175" fontId="62" fillId="14" borderId="238" xfId="0" applyNumberFormat="1" applyFont="1" applyFill="1" applyBorder="1" applyAlignment="1">
      <alignment horizontal="center" vertical="center" wrapText="1"/>
    </xf>
    <xf numFmtId="0" fontId="118" fillId="0" borderId="8" xfId="0" applyFont="1" applyBorder="1"/>
    <xf numFmtId="0" fontId="93" fillId="0" borderId="0" xfId="0" applyFont="1" applyAlignment="1">
      <alignment vertical="center"/>
    </xf>
    <xf numFmtId="3" fontId="91" fillId="11" borderId="238" xfId="0" applyNumberFormat="1" applyFont="1" applyFill="1" applyBorder="1"/>
    <xf numFmtId="0" fontId="91" fillId="70" borderId="33" xfId="0" applyFont="1" applyFill="1" applyBorder="1" applyAlignment="1">
      <alignment vertical="center"/>
    </xf>
    <xf numFmtId="0" fontId="91" fillId="70" borderId="32" xfId="0" applyFont="1" applyFill="1" applyBorder="1" applyAlignment="1">
      <alignment vertical="center"/>
    </xf>
    <xf numFmtId="0" fontId="251" fillId="0" borderId="54" xfId="0" applyFont="1" applyBorder="1" applyAlignment="1">
      <alignment vertical="center"/>
    </xf>
    <xf numFmtId="0" fontId="83" fillId="70" borderId="0" xfId="0" applyFont="1" applyFill="1" applyAlignment="1">
      <alignment vertical="center" wrapText="1"/>
    </xf>
    <xf numFmtId="3" fontId="62" fillId="0" borderId="238" xfId="0" applyNumberFormat="1" applyFont="1" applyBorder="1" applyAlignment="1">
      <alignment horizontal="right"/>
    </xf>
    <xf numFmtId="0" fontId="1" fillId="0" borderId="238" xfId="0" applyFont="1" applyBorder="1" applyAlignment="1">
      <alignment horizontal="left"/>
    </xf>
    <xf numFmtId="0" fontId="86" fillId="3" borderId="0" xfId="7" quotePrefix="1" applyNumberFormat="1" applyFont="1" applyFill="1" applyAlignment="1">
      <alignment vertical="center" wrapText="1"/>
    </xf>
    <xf numFmtId="0" fontId="86" fillId="3" borderId="246" xfId="7" applyNumberFormat="1" applyFont="1" applyFill="1" applyBorder="1" applyAlignment="1">
      <alignment vertical="center" wrapText="1"/>
    </xf>
    <xf numFmtId="0" fontId="83" fillId="70" borderId="0" xfId="7" applyNumberFormat="1" applyFont="1" applyFill="1"/>
    <xf numFmtId="169" fontId="202" fillId="70" borderId="0" xfId="7" applyFont="1" applyFill="1" applyAlignment="1">
      <alignment vertical="center" wrapText="1"/>
    </xf>
    <xf numFmtId="187" fontId="61" fillId="0" borderId="27" xfId="0" applyNumberFormat="1" applyFont="1" applyBorder="1" applyAlignment="1">
      <alignment horizontal="center" vertical="center"/>
    </xf>
    <xf numFmtId="0" fontId="102" fillId="0" borderId="0" xfId="0" applyFont="1" applyAlignment="1">
      <alignment vertical="center" wrapText="1"/>
    </xf>
    <xf numFmtId="3" fontId="91" fillId="20" borderId="8" xfId="0" applyNumberFormat="1" applyFont="1" applyFill="1" applyBorder="1" applyAlignment="1">
      <alignment vertical="center"/>
    </xf>
    <xf numFmtId="169" fontId="61" fillId="0" borderId="182" xfId="25" applyFont="1" applyBorder="1" applyAlignment="1">
      <alignment horizontal="left" vertical="center"/>
    </xf>
    <xf numFmtId="0" fontId="62" fillId="0" borderId="8" xfId="0" applyFont="1" applyBorder="1" applyAlignment="1">
      <alignment horizontal="left" vertical="center"/>
    </xf>
    <xf numFmtId="0" fontId="89" fillId="0" borderId="8" xfId="0" applyFont="1" applyBorder="1" applyAlignment="1">
      <alignment horizontal="left" vertical="center"/>
    </xf>
    <xf numFmtId="3" fontId="62" fillId="27" borderId="33" xfId="12" applyNumberFormat="1" applyFont="1" applyFill="1" applyBorder="1" applyAlignment="1" applyProtection="1">
      <alignment horizontal="right" vertical="center"/>
    </xf>
    <xf numFmtId="179" fontId="62" fillId="27" borderId="33" xfId="12" applyNumberFormat="1" applyFont="1" applyFill="1" applyBorder="1" applyAlignment="1" applyProtection="1">
      <alignment horizontal="right" vertical="center"/>
    </xf>
    <xf numFmtId="3" fontId="91" fillId="0" borderId="238" xfId="0" applyNumberFormat="1" applyFont="1" applyBorder="1" applyAlignment="1">
      <alignment vertical="center"/>
    </xf>
    <xf numFmtId="3" fontId="62" fillId="0" borderId="186" xfId="12" applyNumberFormat="1" applyFont="1" applyFill="1" applyBorder="1" applyAlignment="1" applyProtection="1"/>
    <xf numFmtId="3" fontId="62" fillId="0" borderId="177" xfId="0" applyNumberFormat="1" applyFont="1" applyBorder="1"/>
    <xf numFmtId="0" fontId="92" fillId="0" borderId="238" xfId="0" applyFont="1" applyBorder="1" applyAlignment="1">
      <alignment vertical="center"/>
    </xf>
    <xf numFmtId="176" fontId="83" fillId="0" borderId="0" xfId="0" applyNumberFormat="1" applyFont="1" applyAlignment="1">
      <alignment horizontal="center"/>
    </xf>
    <xf numFmtId="3" fontId="62" fillId="0" borderId="238" xfId="12" applyNumberFormat="1" applyFont="1" applyFill="1" applyBorder="1" applyAlignment="1" applyProtection="1"/>
    <xf numFmtId="3" fontId="62" fillId="0" borderId="0" xfId="12" applyNumberFormat="1" applyFont="1" applyFill="1" applyBorder="1" applyAlignment="1" applyProtection="1">
      <alignment horizontal="left"/>
    </xf>
    <xf numFmtId="3" fontId="62" fillId="0" borderId="0" xfId="12" applyNumberFormat="1" applyFont="1" applyFill="1" applyBorder="1" applyAlignment="1" applyProtection="1">
      <alignment horizontal="right"/>
    </xf>
    <xf numFmtId="3" fontId="118" fillId="0" borderId="33" xfId="12" applyNumberFormat="1" applyFont="1" applyFill="1" applyBorder="1" applyAlignment="1" applyProtection="1"/>
    <xf numFmtId="0" fontId="248" fillId="70" borderId="8" xfId="0" quotePrefix="1" applyFont="1" applyFill="1" applyBorder="1" applyAlignment="1">
      <alignment horizontal="center" vertical="center"/>
    </xf>
    <xf numFmtId="3" fontId="91" fillId="11" borderId="238" xfId="0" applyNumberFormat="1" applyFont="1" applyFill="1" applyBorder="1" applyAlignment="1">
      <alignment horizontal="right"/>
    </xf>
    <xf numFmtId="3" fontId="83" fillId="0" borderId="238" xfId="31" applyNumberFormat="1" applyFont="1" applyBorder="1" applyProtection="1"/>
    <xf numFmtId="3" fontId="83" fillId="0" borderId="238" xfId="31" applyNumberFormat="1" applyFont="1" applyFill="1" applyBorder="1" applyProtection="1"/>
    <xf numFmtId="3" fontId="91" fillId="11" borderId="210" xfId="31" applyNumberFormat="1" applyFont="1" applyFill="1" applyBorder="1" applyProtection="1"/>
    <xf numFmtId="3" fontId="91" fillId="11" borderId="8" xfId="0" applyNumberFormat="1" applyFont="1" applyFill="1" applyBorder="1"/>
    <xf numFmtId="0" fontId="1" fillId="0" borderId="8" xfId="0" applyFont="1" applyBorder="1" applyAlignment="1">
      <alignment vertical="center"/>
    </xf>
    <xf numFmtId="3" fontId="89" fillId="12" borderId="243" xfId="12" applyNumberFormat="1" applyFont="1" applyFill="1" applyBorder="1" applyAlignment="1" applyProtection="1">
      <protection locked="0"/>
    </xf>
    <xf numFmtId="3" fontId="89" fillId="12" borderId="74" xfId="12" applyNumberFormat="1" applyFont="1" applyFill="1" applyBorder="1" applyAlignment="1" applyProtection="1">
      <alignment horizontal="right" vertical="center"/>
      <protection locked="0"/>
    </xf>
    <xf numFmtId="3" fontId="62" fillId="10" borderId="80" xfId="12" applyNumberFormat="1" applyFont="1" applyFill="1" applyBorder="1" applyAlignment="1" applyProtection="1">
      <alignment horizontal="right" vertical="center" wrapText="1"/>
      <protection locked="0"/>
    </xf>
    <xf numFmtId="3" fontId="89" fillId="12" borderId="243" xfId="12" applyNumberFormat="1" applyFont="1" applyFill="1" applyBorder="1" applyAlignment="1" applyProtection="1">
      <alignment horizontal="right" vertical="center"/>
      <protection locked="0"/>
    </xf>
    <xf numFmtId="3" fontId="89" fillId="12" borderId="64" xfId="12" applyNumberFormat="1" applyFont="1" applyFill="1" applyBorder="1" applyAlignment="1" applyProtection="1">
      <alignment horizontal="right" vertical="center"/>
      <protection locked="0"/>
    </xf>
    <xf numFmtId="3" fontId="83" fillId="0" borderId="0" xfId="0" applyNumberFormat="1" applyFont="1" applyAlignment="1" applyProtection="1">
      <alignment horizontal="right" vertical="center"/>
      <protection locked="0"/>
    </xf>
    <xf numFmtId="3" fontId="89" fillId="12" borderId="80" xfId="12" applyNumberFormat="1" applyFont="1" applyFill="1" applyBorder="1" applyAlignment="1" applyProtection="1">
      <alignment horizontal="right" vertical="center"/>
      <protection locked="0"/>
    </xf>
    <xf numFmtId="3" fontId="89" fillId="12" borderId="81" xfId="12" applyNumberFormat="1" applyFont="1" applyFill="1" applyBorder="1" applyAlignment="1" applyProtection="1">
      <alignment horizontal="right" vertical="center"/>
      <protection locked="0"/>
    </xf>
    <xf numFmtId="3" fontId="49" fillId="0" borderId="0" xfId="0" applyNumberFormat="1" applyFont="1"/>
    <xf numFmtId="0" fontId="1" fillId="0" borderId="8" xfId="0" applyFont="1" applyBorder="1" applyAlignment="1">
      <alignment horizontal="left" vertical="center"/>
    </xf>
    <xf numFmtId="3" fontId="1" fillId="0" borderId="8" xfId="0" applyNumberFormat="1" applyFont="1" applyBorder="1" applyAlignment="1">
      <alignment horizontal="right" vertical="center"/>
    </xf>
    <xf numFmtId="3" fontId="83" fillId="0" borderId="238" xfId="0" applyNumberFormat="1" applyFont="1" applyBorder="1" applyAlignment="1">
      <alignment horizontal="right" vertical="center"/>
    </xf>
    <xf numFmtId="0" fontId="1" fillId="0" borderId="8" xfId="0" applyFont="1" applyBorder="1" applyAlignment="1">
      <alignment horizontal="left" vertical="center" wrapText="1"/>
    </xf>
    <xf numFmtId="0" fontId="248" fillId="11" borderId="8" xfId="0" applyFont="1" applyFill="1" applyBorder="1" applyAlignment="1">
      <alignment horizontal="left"/>
    </xf>
    <xf numFmtId="0" fontId="260" fillId="0" borderId="8" xfId="0" applyFont="1" applyBorder="1" applyAlignment="1">
      <alignment horizontal="left"/>
    </xf>
    <xf numFmtId="0" fontId="5" fillId="70" borderId="0" xfId="0" applyFont="1" applyFill="1" applyAlignment="1">
      <alignment vertical="center" wrapText="1"/>
    </xf>
    <xf numFmtId="0" fontId="1" fillId="0" borderId="8" xfId="0" applyFont="1" applyBorder="1" applyAlignment="1">
      <alignment horizontal="center" vertical="center" wrapText="1"/>
    </xf>
    <xf numFmtId="3" fontId="83" fillId="0" borderId="8" xfId="0" applyNumberFormat="1" applyFont="1" applyBorder="1" applyAlignment="1">
      <alignment horizontal="right"/>
    </xf>
    <xf numFmtId="3" fontId="62" fillId="0" borderId="238" xfId="12" applyNumberFormat="1" applyFont="1" applyFill="1" applyBorder="1" applyAlignment="1" applyProtection="1">
      <alignment horizontal="right" vertical="center"/>
    </xf>
    <xf numFmtId="3" fontId="91" fillId="11" borderId="177" xfId="0" applyNumberFormat="1" applyFont="1" applyFill="1" applyBorder="1"/>
    <xf numFmtId="0" fontId="89" fillId="20" borderId="8" xfId="0" applyFont="1" applyFill="1" applyBorder="1" applyAlignment="1">
      <alignment horizontal="left" vertical="center"/>
    </xf>
    <xf numFmtId="0" fontId="89" fillId="20" borderId="8" xfId="0" applyFont="1" applyFill="1" applyBorder="1"/>
    <xf numFmtId="0" fontId="91" fillId="20" borderId="8" xfId="0" applyFont="1" applyFill="1" applyBorder="1"/>
    <xf numFmtId="0" fontId="62" fillId="0" borderId="8" xfId="0" applyFont="1" applyBorder="1"/>
    <xf numFmtId="0" fontId="1" fillId="11" borderId="238" xfId="0" applyFont="1" applyFill="1" applyBorder="1"/>
    <xf numFmtId="3" fontId="89" fillId="11" borderId="8" xfId="0" applyNumberFormat="1" applyFont="1" applyFill="1" applyBorder="1" applyAlignment="1">
      <alignment horizontal="right"/>
    </xf>
    <xf numFmtId="3" fontId="91" fillId="11" borderId="8" xfId="0" quotePrefix="1" applyNumberFormat="1" applyFont="1" applyFill="1" applyBorder="1"/>
    <xf numFmtId="0" fontId="91" fillId="20" borderId="8" xfId="0" applyFont="1" applyFill="1" applyBorder="1" applyAlignment="1">
      <alignment horizontal="left"/>
    </xf>
    <xf numFmtId="3" fontId="89" fillId="20" borderId="8" xfId="12" applyNumberFormat="1" applyFont="1" applyFill="1" applyBorder="1" applyAlignment="1" applyProtection="1"/>
    <xf numFmtId="3" fontId="89" fillId="20" borderId="177" xfId="12" applyNumberFormat="1" applyFont="1" applyFill="1" applyBorder="1" applyAlignment="1" applyProtection="1">
      <alignment horizontal="right"/>
    </xf>
    <xf numFmtId="3" fontId="89" fillId="11" borderId="8" xfId="12" applyNumberFormat="1" applyFont="1" applyFill="1" applyBorder="1" applyAlignment="1" applyProtection="1"/>
    <xf numFmtId="3" fontId="89" fillId="11" borderId="177" xfId="12" applyNumberFormat="1" applyFont="1" applyFill="1" applyBorder="1" applyAlignment="1" applyProtection="1">
      <alignment horizontal="right"/>
    </xf>
    <xf numFmtId="0" fontId="91" fillId="20" borderId="8" xfId="0" applyFont="1" applyFill="1" applyBorder="1" applyAlignment="1">
      <alignment vertical="center"/>
    </xf>
    <xf numFmtId="0" fontId="91" fillId="73" borderId="33" xfId="0" applyFont="1" applyFill="1" applyBorder="1" applyAlignment="1">
      <alignment vertical="center"/>
    </xf>
    <xf numFmtId="0" fontId="91" fillId="73" borderId="32" xfId="0" applyFont="1" applyFill="1" applyBorder="1" applyAlignment="1">
      <alignment vertical="center"/>
    </xf>
    <xf numFmtId="0" fontId="91" fillId="73" borderId="15" xfId="0" applyFont="1" applyFill="1" applyBorder="1" applyAlignment="1">
      <alignment vertical="center"/>
    </xf>
    <xf numFmtId="174" fontId="91" fillId="11" borderId="8" xfId="0" applyNumberFormat="1" applyFont="1" applyFill="1" applyBorder="1"/>
    <xf numFmtId="3" fontId="91" fillId="11" borderId="155" xfId="0" applyNumberFormat="1" applyFont="1" applyFill="1" applyBorder="1"/>
    <xf numFmtId="174" fontId="91" fillId="11" borderId="8" xfId="0" applyNumberFormat="1" applyFont="1" applyFill="1" applyBorder="1" applyAlignment="1">
      <alignment horizontal="right"/>
    </xf>
    <xf numFmtId="0" fontId="91" fillId="11" borderId="155" xfId="0" applyFont="1" applyFill="1" applyBorder="1"/>
    <xf numFmtId="169" fontId="62" fillId="11" borderId="8" xfId="0" applyNumberFormat="1" applyFont="1" applyFill="1" applyBorder="1" applyAlignment="1">
      <alignment vertical="center" wrapText="1"/>
    </xf>
    <xf numFmtId="0" fontId="83" fillId="11" borderId="155" xfId="0" applyFont="1" applyFill="1" applyBorder="1" applyAlignment="1">
      <alignment horizontal="left"/>
    </xf>
    <xf numFmtId="0" fontId="260" fillId="20" borderId="8" xfId="0" applyFont="1" applyFill="1" applyBorder="1" applyAlignment="1">
      <alignment horizontal="left"/>
    </xf>
    <xf numFmtId="0" fontId="91" fillId="20" borderId="155" xfId="0" applyFont="1" applyFill="1" applyBorder="1"/>
    <xf numFmtId="169" fontId="62" fillId="20" borderId="8" xfId="0" applyNumberFormat="1" applyFont="1" applyFill="1" applyBorder="1" applyAlignment="1">
      <alignment vertical="center" wrapText="1"/>
    </xf>
    <xf numFmtId="0" fontId="83" fillId="20" borderId="155" xfId="0" applyFont="1" applyFill="1" applyBorder="1" applyAlignment="1">
      <alignment horizontal="left"/>
    </xf>
    <xf numFmtId="0" fontId="141" fillId="0" borderId="0" xfId="0" applyFont="1"/>
    <xf numFmtId="0" fontId="91" fillId="23" borderId="8" xfId="0" applyFont="1" applyFill="1" applyBorder="1"/>
    <xf numFmtId="0" fontId="83" fillId="23" borderId="8" xfId="0" applyFont="1" applyFill="1" applyBorder="1" applyAlignment="1">
      <alignment horizontal="left"/>
    </xf>
    <xf numFmtId="0" fontId="91" fillId="23" borderId="155" xfId="0" applyFont="1" applyFill="1" applyBorder="1"/>
    <xf numFmtId="169" fontId="62" fillId="23" borderId="8" xfId="0" applyNumberFormat="1" applyFont="1" applyFill="1" applyBorder="1" applyAlignment="1">
      <alignment vertical="center" wrapText="1"/>
    </xf>
    <xf numFmtId="0" fontId="83" fillId="23" borderId="155" xfId="0" applyFont="1" applyFill="1" applyBorder="1" applyAlignment="1">
      <alignment horizontal="left"/>
    </xf>
    <xf numFmtId="0" fontId="91" fillId="20" borderId="8" xfId="0" applyFont="1" applyFill="1" applyBorder="1" applyAlignment="1">
      <alignment horizontal="right"/>
    </xf>
    <xf numFmtId="174" fontId="91" fillId="13" borderId="0" xfId="0" applyNumberFormat="1" applyFont="1" applyFill="1"/>
    <xf numFmtId="3" fontId="91" fillId="0" borderId="155" xfId="0" applyNumberFormat="1" applyFont="1" applyBorder="1"/>
    <xf numFmtId="174" fontId="91" fillId="0" borderId="8" xfId="0" applyNumberFormat="1" applyFont="1" applyBorder="1"/>
    <xf numFmtId="0" fontId="83" fillId="0" borderId="155" xfId="0" applyFont="1" applyBorder="1" applyAlignment="1">
      <alignment horizontal="left"/>
    </xf>
    <xf numFmtId="174" fontId="91" fillId="0" borderId="8" xfId="0" applyNumberFormat="1" applyFont="1" applyBorder="1" applyAlignment="1">
      <alignment horizontal="right"/>
    </xf>
    <xf numFmtId="0" fontId="1" fillId="73" borderId="33" xfId="0" applyFont="1" applyFill="1" applyBorder="1" applyAlignment="1">
      <alignment vertical="center"/>
    </xf>
    <xf numFmtId="0" fontId="91" fillId="27" borderId="8" xfId="0" applyFont="1" applyFill="1" applyBorder="1" applyAlignment="1">
      <alignment vertical="center"/>
    </xf>
    <xf numFmtId="0" fontId="91" fillId="0" borderId="8" xfId="0" applyFont="1" applyBorder="1" applyAlignment="1">
      <alignment vertical="center"/>
    </xf>
    <xf numFmtId="0" fontId="49" fillId="0" borderId="0" xfId="0" applyFont="1" applyAlignment="1">
      <alignment vertical="center"/>
    </xf>
    <xf numFmtId="3" fontId="83" fillId="0" borderId="8" xfId="31" applyNumberFormat="1" applyFont="1" applyFill="1" applyBorder="1" applyAlignment="1" applyProtection="1">
      <alignment vertical="center"/>
    </xf>
    <xf numFmtId="0" fontId="83" fillId="27" borderId="8" xfId="0" applyFont="1" applyFill="1" applyBorder="1" applyAlignment="1">
      <alignment vertical="center"/>
    </xf>
    <xf numFmtId="3" fontId="83" fillId="27" borderId="8" xfId="31" applyNumberFormat="1" applyFont="1" applyFill="1" applyBorder="1" applyAlignment="1" applyProtection="1">
      <alignment vertical="center"/>
    </xf>
    <xf numFmtId="0" fontId="62" fillId="13" borderId="8" xfId="0" applyFont="1" applyFill="1" applyBorder="1" applyAlignment="1">
      <alignment vertical="center"/>
    </xf>
    <xf numFmtId="0" fontId="62" fillId="27" borderId="8" xfId="0" applyFont="1" applyFill="1" applyBorder="1" applyAlignment="1">
      <alignment vertical="center"/>
    </xf>
    <xf numFmtId="3" fontId="91" fillId="11" borderId="8" xfId="0" applyNumberFormat="1" applyFont="1" applyFill="1" applyBorder="1" applyAlignment="1">
      <alignment vertical="center"/>
    </xf>
    <xf numFmtId="3" fontId="83" fillId="0" borderId="15" xfId="31" applyNumberFormat="1" applyFont="1" applyBorder="1" applyAlignment="1" applyProtection="1">
      <alignment vertical="center"/>
    </xf>
    <xf numFmtId="3" fontId="83" fillId="27" borderId="15" xfId="31" applyNumberFormat="1" applyFont="1" applyFill="1" applyBorder="1" applyAlignment="1" applyProtection="1">
      <alignment vertical="center"/>
    </xf>
    <xf numFmtId="183" fontId="125" fillId="0" borderId="0" xfId="31" applyNumberFormat="1" applyFont="1" applyBorder="1" applyAlignment="1" applyProtection="1">
      <alignment vertical="center"/>
    </xf>
    <xf numFmtId="3" fontId="83" fillId="20" borderId="8" xfId="0" applyNumberFormat="1" applyFont="1" applyFill="1" applyBorder="1" applyAlignment="1">
      <alignment vertical="center"/>
    </xf>
    <xf numFmtId="3" fontId="83" fillId="27" borderId="8" xfId="0" applyNumberFormat="1" applyFont="1" applyFill="1" applyBorder="1" applyAlignment="1">
      <alignment vertical="center"/>
    </xf>
    <xf numFmtId="3" fontId="91" fillId="11" borderId="238" xfId="0" applyNumberFormat="1" applyFont="1" applyFill="1" applyBorder="1" applyAlignment="1">
      <alignment vertical="center"/>
    </xf>
    <xf numFmtId="3" fontId="1" fillId="0" borderId="238" xfId="0" applyNumberFormat="1" applyFont="1" applyBorder="1" applyAlignment="1">
      <alignment horizontal="right" vertical="center"/>
    </xf>
    <xf numFmtId="3" fontId="1" fillId="27" borderId="238" xfId="0" applyNumberFormat="1" applyFont="1" applyFill="1" applyBorder="1" applyAlignment="1">
      <alignment horizontal="right" vertical="center"/>
    </xf>
    <xf numFmtId="0" fontId="86" fillId="20" borderId="8" xfId="0" applyFont="1" applyFill="1" applyBorder="1" applyAlignment="1">
      <alignment horizontal="left" vertical="center"/>
    </xf>
    <xf numFmtId="3" fontId="91" fillId="20" borderId="8" xfId="0" applyNumberFormat="1" applyFont="1" applyFill="1" applyBorder="1" applyAlignment="1">
      <alignment horizontal="right" vertical="center"/>
    </xf>
    <xf numFmtId="0" fontId="1" fillId="27" borderId="8" xfId="0" applyFont="1" applyFill="1" applyBorder="1" applyAlignment="1">
      <alignment horizontal="left" vertical="center"/>
    </xf>
    <xf numFmtId="3" fontId="1" fillId="27" borderId="238" xfId="0" applyNumberFormat="1" applyFont="1" applyFill="1" applyBorder="1" applyAlignment="1">
      <alignment vertical="center"/>
    </xf>
    <xf numFmtId="0" fontId="86" fillId="11" borderId="8" xfId="0" applyFont="1" applyFill="1" applyBorder="1" applyAlignment="1">
      <alignment horizontal="left" vertical="center"/>
    </xf>
    <xf numFmtId="3" fontId="91" fillId="11" borderId="8" xfId="0" applyNumberFormat="1" applyFont="1" applyFill="1" applyBorder="1" applyAlignment="1">
      <alignment horizontal="right" vertical="center"/>
    </xf>
    <xf numFmtId="0" fontId="102" fillId="70" borderId="0" xfId="0" applyFont="1" applyFill="1" applyAlignment="1">
      <alignment vertical="center" wrapText="1"/>
    </xf>
    <xf numFmtId="3" fontId="91" fillId="20" borderId="238" xfId="0" applyNumberFormat="1" applyFont="1" applyFill="1" applyBorder="1" applyAlignment="1">
      <alignment vertical="center"/>
    </xf>
    <xf numFmtId="0" fontId="1" fillId="11" borderId="8" xfId="0" applyFont="1" applyFill="1" applyBorder="1" applyAlignment="1">
      <alignment vertical="center"/>
    </xf>
    <xf numFmtId="3" fontId="1" fillId="13" borderId="238" xfId="0" applyNumberFormat="1" applyFont="1" applyFill="1" applyBorder="1" applyAlignment="1">
      <alignment horizontal="right" vertical="center"/>
    </xf>
    <xf numFmtId="3" fontId="83" fillId="0" borderId="0" xfId="0" applyNumberFormat="1" applyFont="1" applyAlignment="1">
      <alignment vertical="center"/>
    </xf>
    <xf numFmtId="0" fontId="92" fillId="0" borderId="0" xfId="0" applyFont="1" applyAlignment="1">
      <alignment vertical="center"/>
    </xf>
    <xf numFmtId="0" fontId="98" fillId="0" borderId="0" xfId="0" applyFont="1" applyAlignment="1">
      <alignment vertical="center"/>
    </xf>
    <xf numFmtId="169" fontId="168" fillId="50" borderId="238" xfId="7" applyFont="1" applyFill="1" applyBorder="1" applyAlignment="1">
      <alignment horizontal="center" vertical="center" wrapText="1"/>
    </xf>
    <xf numFmtId="0" fontId="215" fillId="0" borderId="238" xfId="0" applyFont="1" applyBorder="1" applyAlignment="1">
      <alignment vertical="top"/>
    </xf>
    <xf numFmtId="0" fontId="215" fillId="0" borderId="238" xfId="0" applyFont="1" applyBorder="1" applyAlignment="1">
      <alignment vertical="top" wrapText="1"/>
    </xf>
    <xf numFmtId="0" fontId="125" fillId="0" borderId="238" xfId="0" applyFont="1" applyBorder="1" applyAlignment="1">
      <alignment vertical="top" wrapText="1"/>
    </xf>
    <xf numFmtId="169" fontId="168" fillId="50" borderId="238" xfId="7" applyFont="1" applyFill="1" applyBorder="1" applyAlignment="1">
      <alignment horizontal="center" vertical="top" wrapText="1"/>
    </xf>
    <xf numFmtId="0" fontId="215" fillId="0" borderId="238" xfId="0" applyFont="1" applyBorder="1" applyAlignment="1">
      <alignment horizontal="center" vertical="center"/>
    </xf>
    <xf numFmtId="0" fontId="184" fillId="0" borderId="238" xfId="0" applyFont="1" applyBorder="1" applyAlignment="1">
      <alignment horizontal="center" vertical="center" wrapText="1"/>
    </xf>
    <xf numFmtId="0" fontId="184" fillId="0" borderId="238" xfId="0" applyFont="1" applyBorder="1" applyAlignment="1">
      <alignment horizontal="center" vertical="center"/>
    </xf>
    <xf numFmtId="0" fontId="218" fillId="50" borderId="184" xfId="0" applyFont="1" applyFill="1" applyBorder="1" applyAlignment="1">
      <alignment vertical="center" wrapText="1"/>
    </xf>
    <xf numFmtId="0" fontId="218" fillId="50" borderId="215" xfId="0" applyFont="1" applyFill="1" applyBorder="1" applyAlignment="1">
      <alignment horizontal="center" vertical="center" wrapText="1"/>
    </xf>
    <xf numFmtId="0" fontId="218" fillId="50" borderId="216" xfId="0" applyFont="1" applyFill="1" applyBorder="1" applyAlignment="1">
      <alignment vertical="center" wrapText="1"/>
    </xf>
    <xf numFmtId="169" fontId="168" fillId="50" borderId="187" xfId="7" applyFont="1" applyFill="1" applyBorder="1" applyAlignment="1">
      <alignment horizontal="center" vertical="center" wrapText="1"/>
    </xf>
    <xf numFmtId="169" fontId="168" fillId="52" borderId="187" xfId="7" applyFont="1" applyFill="1" applyBorder="1" applyAlignment="1">
      <alignment horizontal="center" vertical="center" wrapText="1"/>
    </xf>
    <xf numFmtId="0" fontId="217" fillId="0" borderId="238" xfId="0" applyFont="1" applyBorder="1" applyAlignment="1">
      <alignment horizontal="center" vertical="center"/>
    </xf>
    <xf numFmtId="0" fontId="219" fillId="53" borderId="186" xfId="0" applyFont="1" applyFill="1" applyBorder="1" applyAlignment="1">
      <alignment horizontal="center" vertical="top" wrapText="1"/>
    </xf>
    <xf numFmtId="169" fontId="168" fillId="75" borderId="109" xfId="7" applyFont="1" applyFill="1" applyBorder="1" applyAlignment="1">
      <alignment horizontal="center" vertical="center" wrapText="1"/>
    </xf>
    <xf numFmtId="0" fontId="165" fillId="0" borderId="186" xfId="0" applyFont="1" applyBorder="1"/>
    <xf numFmtId="0" fontId="173" fillId="0" borderId="242" xfId="0" applyFont="1" applyBorder="1"/>
    <xf numFmtId="169" fontId="168" fillId="55" borderId="238" xfId="7" applyFont="1" applyFill="1" applyBorder="1" applyAlignment="1">
      <alignment horizontal="center" vertical="center" wrapText="1"/>
    </xf>
    <xf numFmtId="3" fontId="62" fillId="13" borderId="238" xfId="36" applyNumberFormat="1" applyFont="1" applyFill="1" applyBorder="1" applyAlignment="1" applyProtection="1">
      <alignment vertical="center"/>
      <protection locked="0"/>
    </xf>
    <xf numFmtId="3" fontId="65" fillId="13" borderId="238" xfId="36" applyNumberFormat="1" applyFont="1" applyFill="1" applyBorder="1" applyAlignment="1" applyProtection="1">
      <alignment vertical="center"/>
      <protection locked="0"/>
    </xf>
    <xf numFmtId="3" fontId="62" fillId="0" borderId="238" xfId="36" applyNumberFormat="1" applyFont="1" applyFill="1" applyBorder="1" applyAlignment="1" applyProtection="1">
      <alignment horizontal="center" vertical="center"/>
      <protection locked="0"/>
    </xf>
    <xf numFmtId="3" fontId="62" fillId="0" borderId="238" xfId="36" applyNumberFormat="1" applyFont="1" applyFill="1" applyBorder="1" applyAlignment="1" applyProtection="1">
      <alignment vertical="center"/>
      <protection locked="0"/>
    </xf>
    <xf numFmtId="0" fontId="125" fillId="0" borderId="217" xfId="0" applyFont="1" applyBorder="1" applyAlignment="1" applyProtection="1">
      <alignment horizontal="center" vertical="center"/>
      <protection locked="0"/>
    </xf>
    <xf numFmtId="0" fontId="125" fillId="0" borderId="216" xfId="0" applyFont="1" applyBorder="1" applyAlignment="1" applyProtection="1">
      <alignment horizontal="center" vertical="center" wrapText="1"/>
      <protection locked="0"/>
    </xf>
    <xf numFmtId="183" fontId="125" fillId="0" borderId="216" xfId="49" applyNumberFormat="1" applyFont="1" applyFill="1" applyBorder="1" applyAlignment="1" applyProtection="1">
      <alignment horizontal="left" vertical="center"/>
      <protection locked="0"/>
    </xf>
    <xf numFmtId="3" fontId="62" fillId="27" borderId="8" xfId="12" applyNumberFormat="1" applyFont="1" applyFill="1" applyBorder="1" applyAlignment="1" applyProtection="1">
      <alignment horizontal="center"/>
    </xf>
    <xf numFmtId="171" fontId="62" fillId="35" borderId="238" xfId="12" applyNumberFormat="1" applyFont="1" applyFill="1" applyBorder="1" applyAlignment="1" applyProtection="1">
      <alignment horizontal="right" vertical="center"/>
      <protection locked="0"/>
    </xf>
    <xf numFmtId="170" fontId="62" fillId="35" borderId="238" xfId="12" applyFont="1" applyFill="1" applyBorder="1" applyAlignment="1" applyProtection="1">
      <alignment horizontal="right" vertical="center"/>
      <protection locked="0"/>
    </xf>
    <xf numFmtId="169" fontId="244" fillId="0" borderId="8" xfId="0" applyNumberFormat="1" applyFont="1" applyBorder="1" applyAlignment="1">
      <alignment vertical="center"/>
    </xf>
    <xf numFmtId="0" fontId="244" fillId="13" borderId="8" xfId="0" applyFont="1" applyFill="1" applyBorder="1"/>
    <xf numFmtId="169" fontId="36" fillId="0" borderId="0" xfId="0" applyNumberFormat="1" applyFont="1" applyAlignment="1">
      <alignment horizontal="left" vertical="center" wrapText="1"/>
    </xf>
    <xf numFmtId="169" fontId="108" fillId="0" borderId="0" xfId="30" applyFont="1" applyAlignment="1">
      <alignment wrapText="1"/>
    </xf>
    <xf numFmtId="169" fontId="64" fillId="25" borderId="60" xfId="25" applyFont="1" applyFill="1" applyBorder="1" applyAlignment="1">
      <alignment horizontal="left" vertical="center" wrapText="1"/>
    </xf>
    <xf numFmtId="169" fontId="52" fillId="25" borderId="60" xfId="25" applyFont="1" applyFill="1" applyBorder="1" applyAlignment="1">
      <alignment horizontal="left" vertical="center" wrapText="1"/>
    </xf>
    <xf numFmtId="3" fontId="62" fillId="68" borderId="8" xfId="12" applyNumberFormat="1" applyFont="1" applyFill="1" applyBorder="1" applyAlignment="1" applyProtection="1">
      <alignment wrapText="1"/>
    </xf>
    <xf numFmtId="169" fontId="175" fillId="0" borderId="0" xfId="30" applyFont="1" applyAlignment="1">
      <alignment wrapText="1"/>
    </xf>
    <xf numFmtId="0" fontId="1" fillId="68" borderId="8" xfId="0" applyFont="1" applyFill="1" applyBorder="1" applyAlignment="1">
      <alignment vertical="center" wrapText="1"/>
    </xf>
    <xf numFmtId="0" fontId="1" fillId="68" borderId="8" xfId="0" applyFont="1" applyFill="1" applyBorder="1" applyAlignment="1">
      <alignment horizontal="left" vertical="center" wrapText="1"/>
    </xf>
    <xf numFmtId="0" fontId="83" fillId="68" borderId="8" xfId="0" applyFont="1" applyFill="1" applyBorder="1" applyAlignment="1">
      <alignment horizontal="left" vertical="center" wrapText="1"/>
    </xf>
    <xf numFmtId="0" fontId="1" fillId="68" borderId="8" xfId="0" applyFont="1" applyFill="1" applyBorder="1" applyAlignment="1">
      <alignment horizontal="left" wrapText="1"/>
    </xf>
    <xf numFmtId="0" fontId="260" fillId="68" borderId="8" xfId="0" applyFont="1" applyFill="1" applyBorder="1" applyAlignment="1">
      <alignment horizontal="left" wrapText="1"/>
    </xf>
    <xf numFmtId="0" fontId="161" fillId="0" borderId="54" xfId="0" applyFont="1" applyBorder="1" applyAlignment="1">
      <alignment vertical="center"/>
    </xf>
    <xf numFmtId="0" fontId="83" fillId="36" borderId="8" xfId="0" applyFont="1" applyFill="1" applyBorder="1" applyAlignment="1">
      <alignment horizontal="left" vertical="center" wrapText="1"/>
    </xf>
    <xf numFmtId="0" fontId="177" fillId="0" borderId="54" xfId="0" applyFont="1" applyBorder="1" applyAlignment="1">
      <alignment vertical="center" wrapText="1"/>
    </xf>
    <xf numFmtId="0" fontId="80" fillId="0" borderId="0" xfId="0" applyFont="1" applyAlignment="1">
      <alignment vertical="center"/>
    </xf>
    <xf numFmtId="0" fontId="15" fillId="2" borderId="0" xfId="0" applyFont="1" applyFill="1" applyAlignment="1">
      <alignment vertical="center" wrapText="1"/>
    </xf>
    <xf numFmtId="0" fontId="91" fillId="73" borderId="238" xfId="0" applyFont="1" applyFill="1" applyBorder="1" applyAlignment="1">
      <alignment vertical="center"/>
    </xf>
    <xf numFmtId="0" fontId="91" fillId="73" borderId="186" xfId="0" applyFont="1" applyFill="1" applyBorder="1" applyAlignment="1">
      <alignment vertical="center"/>
    </xf>
    <xf numFmtId="0" fontId="91" fillId="73" borderId="242" xfId="0" applyFont="1" applyFill="1" applyBorder="1" applyAlignment="1">
      <alignment vertical="center"/>
    </xf>
    <xf numFmtId="0" fontId="83" fillId="73" borderId="242" xfId="0" applyFont="1" applyFill="1" applyBorder="1"/>
    <xf numFmtId="0" fontId="83" fillId="73" borderId="185" xfId="0" applyFont="1" applyFill="1" applyBorder="1"/>
    <xf numFmtId="0" fontId="91" fillId="73" borderId="186" xfId="0" applyFont="1" applyFill="1" applyBorder="1" applyAlignment="1">
      <alignment horizontal="left" vertical="center"/>
    </xf>
    <xf numFmtId="0" fontId="91" fillId="73" borderId="242" xfId="0" applyFont="1" applyFill="1" applyBorder="1" applyAlignment="1">
      <alignment horizontal="left" vertical="center"/>
    </xf>
    <xf numFmtId="0" fontId="83" fillId="73" borderId="242" xfId="0" applyFont="1" applyFill="1" applyBorder="1" applyAlignment="1">
      <alignment vertical="center"/>
    </xf>
    <xf numFmtId="0" fontId="83" fillId="73" borderId="185" xfId="0" applyFont="1" applyFill="1" applyBorder="1" applyAlignment="1">
      <alignment vertical="center"/>
    </xf>
    <xf numFmtId="0" fontId="108" fillId="0" borderId="123" xfId="0" applyFont="1" applyBorder="1" applyAlignment="1">
      <alignment vertical="center" wrapText="1"/>
    </xf>
    <xf numFmtId="0" fontId="108" fillId="73" borderId="242" xfId="0" applyFont="1" applyFill="1" applyBorder="1" applyAlignment="1">
      <alignment vertical="center"/>
    </xf>
    <xf numFmtId="0" fontId="108" fillId="73" borderId="185" xfId="0" applyFont="1" applyFill="1" applyBorder="1" applyAlignment="1">
      <alignment vertical="center"/>
    </xf>
    <xf numFmtId="0" fontId="1" fillId="13" borderId="186" xfId="0" applyFont="1" applyFill="1" applyBorder="1" applyAlignment="1">
      <alignment horizontal="left" vertical="center"/>
    </xf>
    <xf numFmtId="0" fontId="1" fillId="73" borderId="186" xfId="0" applyFont="1" applyFill="1" applyBorder="1" applyAlignment="1">
      <alignment vertical="center"/>
    </xf>
    <xf numFmtId="169" fontId="159" fillId="0" borderId="0" xfId="0" applyNumberFormat="1" applyFont="1" applyAlignment="1">
      <alignment vertical="center"/>
    </xf>
    <xf numFmtId="3" fontId="148" fillId="0" borderId="0" xfId="0" applyNumberFormat="1" applyFont="1"/>
    <xf numFmtId="3" fontId="89" fillId="0" borderId="0" xfId="0" applyNumberFormat="1" applyFont="1"/>
    <xf numFmtId="3" fontId="158" fillId="0" borderId="0" xfId="0" applyNumberFormat="1" applyFont="1"/>
    <xf numFmtId="3" fontId="148" fillId="0" borderId="0" xfId="0" applyNumberFormat="1" applyFont="1" applyAlignment="1">
      <alignment vertical="center"/>
    </xf>
    <xf numFmtId="3" fontId="61" fillId="4" borderId="8" xfId="0" applyNumberFormat="1" applyFont="1" applyFill="1" applyBorder="1" applyAlignment="1">
      <alignment horizontal="center" vertical="center" wrapText="1"/>
    </xf>
    <xf numFmtId="3" fontId="125" fillId="0" borderId="0" xfId="0" applyNumberFormat="1" applyFont="1"/>
    <xf numFmtId="171" fontId="61" fillId="0" borderId="8" xfId="31" applyNumberFormat="1" applyFont="1" applyFill="1" applyBorder="1" applyAlignment="1" applyProtection="1">
      <alignment horizontal="center" vertical="center" wrapText="1"/>
    </xf>
    <xf numFmtId="0" fontId="61" fillId="5" borderId="8" xfId="0" applyFont="1" applyFill="1" applyBorder="1" applyAlignment="1" applyProtection="1">
      <alignment horizontal="center" vertical="center" wrapText="1"/>
      <protection locked="0"/>
    </xf>
    <xf numFmtId="3" fontId="1" fillId="11" borderId="242" xfId="0" applyNumberFormat="1" applyFont="1" applyFill="1" applyBorder="1" applyAlignment="1">
      <alignment horizontal="centerContinuous" vertical="center"/>
    </xf>
    <xf numFmtId="3" fontId="91" fillId="0" borderId="186" xfId="0" applyNumberFormat="1" applyFont="1" applyBorder="1" applyAlignment="1">
      <alignment horizontal="centerContinuous" vertical="center"/>
    </xf>
    <xf numFmtId="0" fontId="80" fillId="11" borderId="8" xfId="0" applyFont="1" applyFill="1" applyBorder="1" applyAlignment="1">
      <alignment horizontal="left" vertical="center"/>
    </xf>
    <xf numFmtId="3" fontId="62" fillId="11" borderId="8" xfId="0" applyNumberFormat="1" applyFont="1" applyFill="1" applyBorder="1" applyAlignment="1">
      <alignment vertical="center"/>
    </xf>
    <xf numFmtId="179" fontId="91" fillId="11" borderId="8" xfId="0" applyNumberFormat="1" applyFont="1" applyFill="1" applyBorder="1" applyAlignment="1">
      <alignment horizontal="center" vertical="center"/>
    </xf>
    <xf numFmtId="182" fontId="1" fillId="27" borderId="238" xfId="0" applyNumberFormat="1" applyFont="1" applyFill="1" applyBorder="1" applyAlignment="1">
      <alignment horizontal="center" vertical="center"/>
    </xf>
    <xf numFmtId="0" fontId="80" fillId="27" borderId="8" xfId="0" applyFont="1" applyFill="1" applyBorder="1" applyAlignment="1">
      <alignment horizontal="left" vertical="center"/>
    </xf>
    <xf numFmtId="0" fontId="270" fillId="0" borderId="0" xfId="52" applyFont="1"/>
    <xf numFmtId="0" fontId="21" fillId="0" borderId="0" xfId="52"/>
    <xf numFmtId="0" fontId="220" fillId="55" borderId="0" xfId="52" applyFont="1" applyFill="1"/>
    <xf numFmtId="0" fontId="276" fillId="0" borderId="0" xfId="0" applyFont="1" applyAlignment="1">
      <alignment horizontal="center"/>
    </xf>
    <xf numFmtId="169" fontId="280" fillId="0" borderId="0" xfId="0" applyNumberFormat="1" applyFont="1" applyAlignment="1">
      <alignment vertical="center"/>
    </xf>
    <xf numFmtId="0" fontId="260" fillId="0" borderId="8" xfId="0" applyFont="1" applyBorder="1"/>
    <xf numFmtId="0" fontId="78" fillId="0" borderId="253" xfId="0" applyFont="1" applyBorder="1" applyAlignment="1">
      <alignment horizontal="center" vertical="center"/>
    </xf>
    <xf numFmtId="0" fontId="53" fillId="13" borderId="178" xfId="0" applyFont="1" applyFill="1" applyBorder="1" applyAlignment="1">
      <alignment horizontal="center" vertical="center"/>
    </xf>
    <xf numFmtId="0" fontId="89" fillId="20" borderId="8" xfId="0" applyFont="1" applyFill="1" applyBorder="1" applyAlignment="1">
      <alignment horizontal="left"/>
    </xf>
    <xf numFmtId="3" fontId="62" fillId="0" borderId="251" xfId="12" applyNumberFormat="1" applyFont="1" applyFill="1" applyBorder="1" applyAlignment="1" applyProtection="1">
      <alignment horizontal="right"/>
    </xf>
    <xf numFmtId="0" fontId="118" fillId="27" borderId="8" xfId="0" applyFont="1" applyFill="1" applyBorder="1" applyAlignment="1">
      <alignment horizontal="left"/>
    </xf>
    <xf numFmtId="0" fontId="89" fillId="11" borderId="8" xfId="0" applyFont="1" applyFill="1" applyBorder="1" applyAlignment="1">
      <alignment horizontal="left"/>
    </xf>
    <xf numFmtId="166" fontId="61" fillId="4" borderId="181" xfId="31" applyFont="1" applyFill="1" applyBorder="1" applyAlignment="1">
      <alignment horizontal="centerContinuous" vertical="center" wrapText="1"/>
    </xf>
    <xf numFmtId="166" fontId="61" fillId="4" borderId="178" xfId="31" applyFont="1" applyFill="1" applyBorder="1" applyAlignment="1">
      <alignment horizontal="centerContinuous" vertical="center" wrapText="1"/>
    </xf>
    <xf numFmtId="0" fontId="62" fillId="27" borderId="8" xfId="0" applyFont="1" applyFill="1" applyBorder="1" applyAlignment="1">
      <alignment horizontal="left"/>
    </xf>
    <xf numFmtId="169" fontId="62" fillId="13" borderId="251" xfId="7" applyFont="1" applyFill="1" applyBorder="1" applyAlignment="1">
      <alignment horizontal="left" vertical="center"/>
    </xf>
    <xf numFmtId="0" fontId="1" fillId="0" borderId="8" xfId="0" applyFont="1" applyBorder="1" applyAlignment="1">
      <alignment horizontal="left" wrapText="1"/>
    </xf>
    <xf numFmtId="182" fontId="83" fillId="0" borderId="8" xfId="0" applyNumberFormat="1" applyFont="1" applyBorder="1"/>
    <xf numFmtId="3" fontId="118" fillId="0" borderId="238" xfId="7" applyNumberFormat="1" applyFont="1" applyBorder="1" applyAlignment="1">
      <alignment horizontal="center" vertical="center"/>
    </xf>
    <xf numFmtId="0" fontId="89" fillId="3" borderId="180" xfId="7" applyNumberFormat="1" applyFont="1" applyFill="1" applyBorder="1" applyAlignment="1">
      <alignment horizontal="centerContinuous" vertical="center"/>
    </xf>
    <xf numFmtId="3" fontId="86" fillId="3" borderId="251" xfId="31" applyNumberFormat="1" applyFont="1" applyFill="1" applyBorder="1" applyAlignment="1" applyProtection="1">
      <alignment vertical="center" wrapText="1"/>
    </xf>
    <xf numFmtId="0" fontId="89" fillId="3" borderId="178" xfId="7" applyNumberFormat="1" applyFont="1" applyFill="1" applyBorder="1" applyAlignment="1">
      <alignment horizontal="centerContinuous" vertical="center"/>
    </xf>
    <xf numFmtId="0" fontId="0" fillId="0" borderId="251" xfId="0" applyBorder="1" applyAlignment="1">
      <alignment vertical="center"/>
    </xf>
    <xf numFmtId="1" fontId="62" fillId="22" borderId="8" xfId="7" applyNumberFormat="1" applyFont="1" applyFill="1" applyBorder="1" applyAlignment="1">
      <alignment horizontal="center" vertical="center"/>
    </xf>
    <xf numFmtId="173" fontId="0" fillId="0" borderId="0" xfId="0" applyNumberFormat="1"/>
    <xf numFmtId="190" fontId="0" fillId="0" borderId="0" xfId="0" applyNumberFormat="1"/>
    <xf numFmtId="3" fontId="61" fillId="0" borderId="0" xfId="7" applyNumberFormat="1" applyFont="1"/>
    <xf numFmtId="3" fontId="86" fillId="3" borderId="13" xfId="7" applyNumberFormat="1" applyFont="1" applyFill="1" applyBorder="1" applyAlignment="1">
      <alignment vertical="center" wrapText="1"/>
    </xf>
    <xf numFmtId="0" fontId="61" fillId="14" borderId="22" xfId="0" quotePrefix="1" applyFont="1" applyFill="1" applyBorder="1" applyAlignment="1">
      <alignment horizontal="center" vertical="center"/>
    </xf>
    <xf numFmtId="3" fontId="62" fillId="11" borderId="255" xfId="12" applyNumberFormat="1" applyFont="1" applyFill="1" applyBorder="1" applyAlignment="1" applyProtection="1">
      <alignment horizontal="right" vertical="center"/>
    </xf>
    <xf numFmtId="0" fontId="89" fillId="11" borderId="255" xfId="0" applyFont="1" applyFill="1" applyBorder="1" applyAlignment="1">
      <alignment horizontal="left" vertical="center"/>
    </xf>
    <xf numFmtId="3" fontId="1" fillId="0" borderId="255" xfId="0" applyNumberFormat="1" applyFont="1" applyBorder="1" applyAlignment="1">
      <alignment horizontal="right" vertical="center"/>
    </xf>
    <xf numFmtId="0" fontId="83" fillId="0" borderId="255" xfId="7" applyNumberFormat="1" applyFont="1" applyBorder="1"/>
    <xf numFmtId="3" fontId="102" fillId="0" borderId="0" xfId="0" applyNumberFormat="1" applyFont="1" applyAlignment="1">
      <alignment wrapText="1"/>
    </xf>
    <xf numFmtId="3" fontId="62" fillId="0" borderId="255" xfId="12" quotePrefix="1" applyNumberFormat="1" applyFont="1" applyFill="1" applyBorder="1" applyAlignment="1" applyProtection="1">
      <alignment horizontal="right" vertical="center"/>
    </xf>
    <xf numFmtId="169" fontId="89" fillId="3" borderId="0" xfId="7" applyFont="1" applyFill="1" applyAlignment="1">
      <alignment horizontal="right"/>
    </xf>
    <xf numFmtId="169" fontId="168" fillId="80" borderId="238" xfId="7" applyFont="1" applyFill="1" applyBorder="1" applyAlignment="1">
      <alignment horizontal="center" vertical="center" wrapText="1"/>
    </xf>
    <xf numFmtId="0" fontId="62" fillId="11" borderId="255" xfId="0" applyFont="1" applyFill="1" applyBorder="1" applyAlignment="1">
      <alignment horizontal="left" vertical="center"/>
    </xf>
    <xf numFmtId="0" fontId="89" fillId="20" borderId="255" xfId="0" applyFont="1" applyFill="1" applyBorder="1" applyAlignment="1">
      <alignment horizontal="left" vertical="center"/>
    </xf>
    <xf numFmtId="0" fontId="163" fillId="20" borderId="8" xfId="0" applyFont="1" applyFill="1" applyBorder="1" applyAlignment="1">
      <alignment horizontal="left"/>
    </xf>
    <xf numFmtId="0" fontId="61" fillId="27" borderId="8" xfId="0" applyFont="1" applyFill="1" applyBorder="1" applyAlignment="1">
      <alignment horizontal="center"/>
    </xf>
    <xf numFmtId="3" fontId="108" fillId="0" borderId="0" xfId="0" applyNumberFormat="1" applyFont="1"/>
    <xf numFmtId="3" fontId="62" fillId="29" borderId="259" xfId="12" applyNumberFormat="1" applyFont="1" applyFill="1" applyBorder="1" applyAlignment="1" applyProtection="1">
      <alignment vertical="center"/>
      <protection locked="0"/>
    </xf>
    <xf numFmtId="3" fontId="118" fillId="29" borderId="260" xfId="12" applyNumberFormat="1" applyFont="1" applyFill="1" applyBorder="1" applyAlignment="1" applyProtection="1">
      <alignment vertical="center"/>
      <protection locked="0"/>
    </xf>
    <xf numFmtId="3" fontId="62" fillId="29" borderId="242" xfId="12" applyNumberFormat="1" applyFont="1" applyFill="1" applyBorder="1" applyAlignment="1" applyProtection="1">
      <alignment vertical="center"/>
      <protection locked="0"/>
    </xf>
    <xf numFmtId="3" fontId="62" fillId="29" borderId="261" xfId="12" applyNumberFormat="1" applyFont="1" applyFill="1" applyBorder="1" applyAlignment="1" applyProtection="1">
      <alignment vertical="center"/>
      <protection locked="0"/>
    </xf>
    <xf numFmtId="3" fontId="118" fillId="10" borderId="260" xfId="12" applyNumberFormat="1" applyFont="1" applyFill="1" applyBorder="1" applyAlignment="1" applyProtection="1">
      <alignment vertical="center" wrapText="1"/>
      <protection locked="0"/>
    </xf>
    <xf numFmtId="3" fontId="118" fillId="29" borderId="262" xfId="12" applyNumberFormat="1" applyFont="1" applyFill="1" applyBorder="1" applyAlignment="1" applyProtection="1">
      <alignment vertical="center"/>
      <protection locked="0"/>
    </xf>
    <xf numFmtId="3" fontId="89" fillId="12" borderId="244" xfId="12" applyNumberFormat="1" applyFont="1" applyFill="1" applyBorder="1" applyAlignment="1" applyProtection="1">
      <alignment horizontal="right" vertical="center"/>
      <protection locked="0"/>
    </xf>
    <xf numFmtId="3" fontId="62" fillId="10" borderId="263" xfId="12" applyNumberFormat="1" applyFont="1" applyFill="1" applyBorder="1" applyAlignment="1" applyProtection="1">
      <alignment vertical="center" wrapText="1"/>
      <protection locked="0"/>
    </xf>
    <xf numFmtId="3" fontId="62" fillId="10" borderId="242" xfId="12" applyNumberFormat="1" applyFont="1" applyFill="1" applyBorder="1" applyAlignment="1" applyProtection="1">
      <alignment vertical="center" wrapText="1"/>
      <protection locked="0"/>
    </xf>
    <xf numFmtId="3" fontId="62" fillId="29" borderId="264" xfId="12" applyNumberFormat="1" applyFont="1" applyFill="1" applyBorder="1" applyAlignment="1" applyProtection="1">
      <alignment vertical="center"/>
      <protection locked="0"/>
    </xf>
    <xf numFmtId="3" fontId="62" fillId="29" borderId="265" xfId="12" applyNumberFormat="1" applyFont="1" applyFill="1" applyBorder="1" applyAlignment="1" applyProtection="1">
      <alignment vertical="center"/>
      <protection locked="0"/>
    </xf>
    <xf numFmtId="3" fontId="89" fillId="12" borderId="144" xfId="12" applyNumberFormat="1" applyFont="1" applyFill="1" applyBorder="1" applyAlignment="1" applyProtection="1">
      <alignment vertical="center"/>
      <protection locked="0"/>
    </xf>
    <xf numFmtId="3" fontId="62" fillId="29" borderId="266" xfId="12" applyNumberFormat="1" applyFont="1" applyFill="1" applyBorder="1" applyAlignment="1" applyProtection="1">
      <alignment vertical="center"/>
      <protection locked="0"/>
    </xf>
    <xf numFmtId="3" fontId="118" fillId="29" borderId="267" xfId="12" applyNumberFormat="1" applyFont="1" applyFill="1" applyBorder="1" applyAlignment="1" applyProtection="1">
      <alignment vertical="center"/>
      <protection locked="0"/>
    </xf>
    <xf numFmtId="3" fontId="62" fillId="29" borderId="0" xfId="12" applyNumberFormat="1" applyFont="1" applyFill="1" applyBorder="1" applyAlignment="1" applyProtection="1">
      <alignment vertical="center"/>
      <protection locked="0"/>
    </xf>
    <xf numFmtId="3" fontId="62" fillId="29" borderId="268" xfId="12" applyNumberFormat="1" applyFont="1" applyFill="1" applyBorder="1" applyAlignment="1" applyProtection="1">
      <alignment vertical="center"/>
      <protection locked="0"/>
    </xf>
    <xf numFmtId="3" fontId="62" fillId="29" borderId="58" xfId="12" applyNumberFormat="1" applyFont="1" applyFill="1" applyBorder="1" applyAlignment="1" applyProtection="1">
      <alignment vertical="center"/>
      <protection locked="0"/>
    </xf>
    <xf numFmtId="3" fontId="62" fillId="10" borderId="58" xfId="12" applyNumberFormat="1" applyFont="1" applyFill="1" applyBorder="1" applyAlignment="1" applyProtection="1">
      <alignment vertical="center" wrapText="1"/>
      <protection locked="0"/>
    </xf>
    <xf numFmtId="3" fontId="62" fillId="29" borderId="269" xfId="12" applyNumberFormat="1" applyFont="1" applyFill="1" applyBorder="1" applyAlignment="1" applyProtection="1">
      <alignment vertical="center"/>
      <protection locked="0"/>
    </xf>
    <xf numFmtId="3" fontId="62" fillId="29" borderId="270" xfId="12" applyNumberFormat="1" applyFont="1" applyFill="1" applyBorder="1" applyAlignment="1" applyProtection="1">
      <alignment vertical="center"/>
      <protection locked="0"/>
    </xf>
    <xf numFmtId="3" fontId="62" fillId="29" borderId="271" xfId="12" applyNumberFormat="1" applyFont="1" applyFill="1" applyBorder="1" applyAlignment="1" applyProtection="1">
      <alignment vertical="center"/>
      <protection locked="0"/>
    </xf>
    <xf numFmtId="3" fontId="62" fillId="28" borderId="259" xfId="12" applyNumberFormat="1" applyFont="1" applyFill="1" applyBorder="1" applyAlignment="1" applyProtection="1">
      <alignment vertical="center"/>
      <protection locked="0"/>
    </xf>
    <xf numFmtId="3" fontId="118" fillId="28" borderId="260" xfId="12" applyNumberFormat="1" applyFont="1" applyFill="1" applyBorder="1" applyAlignment="1" applyProtection="1">
      <alignment vertical="center"/>
      <protection locked="0"/>
    </xf>
    <xf numFmtId="3" fontId="62" fillId="28" borderId="242" xfId="12" applyNumberFormat="1" applyFont="1" applyFill="1" applyBorder="1" applyAlignment="1" applyProtection="1">
      <alignment vertical="center"/>
      <protection locked="0"/>
    </xf>
    <xf numFmtId="3" fontId="62" fillId="28" borderId="261" xfId="12" applyNumberFormat="1" applyFont="1" applyFill="1" applyBorder="1" applyAlignment="1" applyProtection="1">
      <alignment vertical="center"/>
      <protection locked="0"/>
    </xf>
    <xf numFmtId="3" fontId="118" fillId="28" borderId="262" xfId="12" applyNumberFormat="1" applyFont="1" applyFill="1" applyBorder="1" applyAlignment="1" applyProtection="1">
      <alignment vertical="center"/>
      <protection locked="0"/>
    </xf>
    <xf numFmtId="3" fontId="62" fillId="19" borderId="272" xfId="12" applyNumberFormat="1" applyFont="1" applyFill="1" applyBorder="1" applyAlignment="1" applyProtection="1">
      <alignment vertical="center"/>
      <protection locked="0"/>
    </xf>
    <xf numFmtId="3" fontId="62" fillId="28" borderId="264" xfId="12" applyNumberFormat="1" applyFont="1" applyFill="1" applyBorder="1" applyAlignment="1" applyProtection="1">
      <alignment vertical="center"/>
      <protection locked="0"/>
    </xf>
    <xf numFmtId="3" fontId="62" fillId="28" borderId="265" xfId="12" applyNumberFormat="1" applyFont="1" applyFill="1" applyBorder="1" applyAlignment="1" applyProtection="1">
      <alignment vertical="center"/>
      <protection locked="0"/>
    </xf>
    <xf numFmtId="3" fontId="62" fillId="28" borderId="266" xfId="12" applyNumberFormat="1" applyFont="1" applyFill="1" applyBorder="1" applyAlignment="1" applyProtection="1">
      <alignment vertical="center"/>
      <protection locked="0"/>
    </xf>
    <xf numFmtId="3" fontId="118" fillId="28" borderId="267" xfId="12" applyNumberFormat="1" applyFont="1" applyFill="1" applyBorder="1" applyAlignment="1" applyProtection="1">
      <alignment vertical="center"/>
      <protection locked="0"/>
    </xf>
    <xf numFmtId="3" fontId="62" fillId="28" borderId="0" xfId="12" applyNumberFormat="1" applyFont="1" applyFill="1" applyBorder="1" applyAlignment="1" applyProtection="1">
      <alignment vertical="center"/>
      <protection locked="0"/>
    </xf>
    <xf numFmtId="3" fontId="62" fillId="28" borderId="268" xfId="12" applyNumberFormat="1" applyFont="1" applyFill="1" applyBorder="1" applyAlignment="1" applyProtection="1">
      <alignment vertical="center"/>
      <protection locked="0"/>
    </xf>
    <xf numFmtId="3" fontId="62" fillId="28" borderId="58" xfId="12" applyNumberFormat="1" applyFont="1" applyFill="1" applyBorder="1" applyAlignment="1" applyProtection="1">
      <alignment vertical="center"/>
      <protection locked="0"/>
    </xf>
    <xf numFmtId="3" fontId="62" fillId="28" borderId="269" xfId="12" applyNumberFormat="1" applyFont="1" applyFill="1" applyBorder="1" applyAlignment="1" applyProtection="1">
      <alignment vertical="center"/>
      <protection locked="0"/>
    </xf>
    <xf numFmtId="3" fontId="62" fillId="28" borderId="270" xfId="12" applyNumberFormat="1" applyFont="1" applyFill="1" applyBorder="1" applyAlignment="1" applyProtection="1">
      <alignment vertical="center"/>
      <protection locked="0"/>
    </xf>
    <xf numFmtId="3" fontId="62" fillId="28" borderId="271" xfId="12" applyNumberFormat="1" applyFont="1" applyFill="1" applyBorder="1" applyAlignment="1" applyProtection="1">
      <alignment vertical="center"/>
      <protection locked="0"/>
    </xf>
    <xf numFmtId="169" fontId="35" fillId="0" borderId="0" xfId="0" applyNumberFormat="1" applyFont="1"/>
    <xf numFmtId="0" fontId="35" fillId="0" borderId="155" xfId="0" applyFont="1" applyBorder="1" applyAlignment="1">
      <alignment vertical="center"/>
    </xf>
    <xf numFmtId="0" fontId="208" fillId="0" borderId="155" xfId="0" applyFont="1" applyBorder="1" applyAlignment="1">
      <alignment horizontal="center" vertical="center" wrapText="1"/>
    </xf>
    <xf numFmtId="0" fontId="53" fillId="13" borderId="276" xfId="0" applyFont="1" applyFill="1" applyBorder="1" applyAlignment="1">
      <alignment horizontal="center" vertical="center"/>
    </xf>
    <xf numFmtId="0" fontId="47" fillId="0" borderId="252" xfId="0" applyFont="1" applyBorder="1" applyAlignment="1">
      <alignment horizontal="left" vertical="center"/>
    </xf>
    <xf numFmtId="0" fontId="62" fillId="4" borderId="255" xfId="0" applyFont="1" applyFill="1" applyBorder="1" applyAlignment="1">
      <alignment horizontal="left" vertical="center" wrapText="1" indent="3"/>
    </xf>
    <xf numFmtId="3" fontId="62" fillId="28" borderId="278" xfId="12" applyNumberFormat="1" applyFont="1" applyFill="1" applyBorder="1" applyAlignment="1" applyProtection="1">
      <alignment vertical="center"/>
      <protection locked="0"/>
    </xf>
    <xf numFmtId="3" fontId="62" fillId="28" borderId="277" xfId="12" applyNumberFormat="1" applyFont="1" applyFill="1" applyBorder="1" applyAlignment="1" applyProtection="1">
      <alignment vertical="center"/>
      <protection locked="0"/>
    </xf>
    <xf numFmtId="3" fontId="62" fillId="28" borderId="279" xfId="12" applyNumberFormat="1" applyFont="1" applyFill="1" applyBorder="1" applyAlignment="1" applyProtection="1">
      <alignment vertical="center"/>
      <protection locked="0"/>
    </xf>
    <xf numFmtId="3" fontId="62" fillId="29" borderId="279" xfId="12" applyNumberFormat="1" applyFont="1" applyFill="1" applyBorder="1" applyAlignment="1" applyProtection="1">
      <alignment vertical="center"/>
      <protection locked="0"/>
    </xf>
    <xf numFmtId="3" fontId="62" fillId="29" borderId="278" xfId="12" applyNumberFormat="1" applyFont="1" applyFill="1" applyBorder="1" applyAlignment="1" applyProtection="1">
      <alignment vertical="center"/>
      <protection locked="0"/>
    </xf>
    <xf numFmtId="3" fontId="62" fillId="29" borderId="277" xfId="12" applyNumberFormat="1" applyFont="1" applyFill="1" applyBorder="1" applyAlignment="1" applyProtection="1">
      <alignment vertical="center"/>
      <protection locked="0"/>
    </xf>
    <xf numFmtId="0" fontId="91" fillId="0" borderId="0" xfId="0" applyFont="1" applyAlignment="1">
      <alignment horizontal="center"/>
    </xf>
    <xf numFmtId="3" fontId="62" fillId="29" borderId="148" xfId="0" applyNumberFormat="1" applyFont="1" applyFill="1" applyBorder="1" applyAlignment="1" applyProtection="1">
      <alignment horizontal="right" vertical="center"/>
      <protection locked="0"/>
    </xf>
    <xf numFmtId="169" fontId="89" fillId="3" borderId="0" xfId="7" applyFont="1" applyFill="1" applyAlignment="1">
      <alignment horizontal="center" vertical="center"/>
    </xf>
    <xf numFmtId="3" fontId="220" fillId="0" borderId="0" xfId="0" applyNumberFormat="1" applyFont="1"/>
    <xf numFmtId="3" fontId="0" fillId="0" borderId="0" xfId="0" applyNumberFormat="1" applyAlignment="1">
      <alignment vertical="top" wrapText="1"/>
    </xf>
    <xf numFmtId="3" fontId="49" fillId="0" borderId="0" xfId="0" applyNumberFormat="1" applyFont="1" applyAlignment="1">
      <alignment vertical="top"/>
    </xf>
    <xf numFmtId="3" fontId="263" fillId="0" borderId="0" xfId="0" applyNumberFormat="1" applyFont="1" applyAlignment="1">
      <alignment vertical="center"/>
    </xf>
    <xf numFmtId="3" fontId="35" fillId="0" borderId="0" xfId="0" applyNumberFormat="1" applyFont="1"/>
    <xf numFmtId="3" fontId="168" fillId="55" borderId="109" xfId="7" applyNumberFormat="1" applyFont="1" applyFill="1" applyBorder="1" applyAlignment="1">
      <alignment horizontal="center" vertical="center" wrapText="1"/>
    </xf>
    <xf numFmtId="3" fontId="168" fillId="51" borderId="109" xfId="7" applyNumberFormat="1" applyFont="1" applyFill="1" applyBorder="1" applyAlignment="1">
      <alignment horizontal="center" vertical="center" wrapText="1"/>
    </xf>
    <xf numFmtId="3" fontId="168" fillId="56" borderId="187" xfId="7" applyNumberFormat="1" applyFont="1" applyFill="1" applyBorder="1" applyAlignment="1">
      <alignment horizontal="center" vertical="center" wrapText="1"/>
    </xf>
    <xf numFmtId="3" fontId="62" fillId="59" borderId="238" xfId="36" applyNumberFormat="1" applyFont="1" applyFill="1" applyBorder="1" applyAlignment="1" applyProtection="1">
      <alignment vertical="center"/>
      <protection locked="0"/>
    </xf>
    <xf numFmtId="3" fontId="165" fillId="0" borderId="0" xfId="0" applyNumberFormat="1" applyFont="1"/>
    <xf numFmtId="3" fontId="223" fillId="0" borderId="0" xfId="0" applyNumberFormat="1" applyFont="1"/>
    <xf numFmtId="3" fontId="168" fillId="80" borderId="109" xfId="7" applyNumberFormat="1" applyFont="1" applyFill="1" applyBorder="1" applyAlignment="1">
      <alignment horizontal="center" vertical="center" wrapText="1"/>
    </xf>
    <xf numFmtId="3" fontId="221" fillId="0" borderId="0" xfId="0" applyNumberFormat="1" applyFont="1"/>
    <xf numFmtId="3" fontId="264" fillId="28" borderId="186" xfId="0" applyNumberFormat="1" applyFont="1" applyFill="1" applyBorder="1" applyAlignment="1">
      <alignment horizontal="center" vertical="center"/>
    </xf>
    <xf numFmtId="3" fontId="264" fillId="54" borderId="238" xfId="0" applyNumberFormat="1" applyFont="1" applyFill="1" applyBorder="1" applyAlignment="1">
      <alignment horizontal="center" vertical="center"/>
    </xf>
    <xf numFmtId="3" fontId="125" fillId="36" borderId="216" xfId="49" applyNumberFormat="1" applyFont="1" applyFill="1" applyBorder="1" applyAlignment="1" applyProtection="1">
      <alignment horizontal="center" vertical="center" wrapText="1"/>
      <protection locked="0"/>
    </xf>
    <xf numFmtId="3" fontId="125" fillId="59" borderId="216" xfId="49" applyNumberFormat="1" applyFont="1" applyFill="1" applyBorder="1" applyAlignment="1" applyProtection="1">
      <alignment horizontal="center" vertical="center" wrapText="1"/>
      <protection locked="0"/>
    </xf>
    <xf numFmtId="3" fontId="125" fillId="0" borderId="216" xfId="49" applyNumberFormat="1" applyFont="1" applyFill="1" applyBorder="1" applyAlignment="1" applyProtection="1">
      <alignment horizontal="center" vertical="center" wrapText="1"/>
      <protection locked="0"/>
    </xf>
    <xf numFmtId="0" fontId="239" fillId="0" borderId="0" xfId="0" applyFont="1" applyAlignment="1">
      <alignment horizontal="justify" vertical="center" wrapText="1"/>
    </xf>
    <xf numFmtId="0" fontId="191" fillId="0" borderId="282" xfId="0" applyFont="1" applyBorder="1" applyAlignment="1">
      <alignment horizontal="left" vertical="center" wrapText="1" indent="1"/>
    </xf>
    <xf numFmtId="0" fontId="191" fillId="0" borderId="282" xfId="0" applyFont="1" applyBorder="1" applyAlignment="1">
      <alignment horizontal="left" vertical="center" wrapText="1" indent="3"/>
    </xf>
    <xf numFmtId="0" fontId="239" fillId="0" borderId="282" xfId="0" applyFont="1" applyBorder="1" applyAlignment="1">
      <alignment horizontal="justify" vertical="center" wrapText="1"/>
    </xf>
    <xf numFmtId="0" fontId="191" fillId="27" borderId="282" xfId="0" applyFont="1" applyFill="1" applyBorder="1" applyAlignment="1">
      <alignment horizontal="left" vertical="center" wrapText="1" indent="3"/>
    </xf>
    <xf numFmtId="0" fontId="34" fillId="0" borderId="0" xfId="48" applyFont="1"/>
    <xf numFmtId="0" fontId="29" fillId="0" borderId="0" xfId="48" applyAlignment="1">
      <alignment vertical="center"/>
    </xf>
    <xf numFmtId="169" fontId="283" fillId="0" borderId="8" xfId="0" applyNumberFormat="1" applyFont="1" applyBorder="1" applyAlignment="1">
      <alignment vertical="center" wrapText="1"/>
    </xf>
    <xf numFmtId="0" fontId="215" fillId="0" borderId="283" xfId="0" applyFont="1" applyBorder="1" applyAlignment="1">
      <alignment vertical="top" wrapText="1"/>
    </xf>
    <xf numFmtId="169" fontId="168" fillId="50" borderId="283" xfId="7" applyFont="1" applyFill="1" applyBorder="1" applyAlignment="1">
      <alignment horizontal="center" vertical="center" wrapText="1"/>
    </xf>
    <xf numFmtId="169" fontId="168" fillId="51" borderId="283" xfId="7" applyFont="1" applyFill="1" applyBorder="1" applyAlignment="1">
      <alignment horizontal="center" vertical="center" wrapText="1"/>
    </xf>
    <xf numFmtId="0" fontId="215" fillId="0" borderId="252" xfId="0" applyFont="1" applyBorder="1" applyAlignment="1">
      <alignment vertical="top" wrapText="1"/>
    </xf>
    <xf numFmtId="0" fontId="215" fillId="13" borderId="283" xfId="0" applyFont="1" applyFill="1" applyBorder="1" applyAlignment="1">
      <alignment vertical="top" wrapText="1"/>
    </xf>
    <xf numFmtId="0" fontId="184" fillId="0" borderId="238" xfId="0" applyFont="1" applyBorder="1" applyAlignment="1">
      <alignment vertical="top"/>
    </xf>
    <xf numFmtId="0" fontId="184" fillId="0" borderId="238" xfId="0" applyFont="1" applyBorder="1" applyAlignment="1">
      <alignment vertical="top" wrapText="1"/>
    </xf>
    <xf numFmtId="0" fontId="62" fillId="4" borderId="28" xfId="0" applyFont="1" applyFill="1" applyBorder="1" applyAlignment="1">
      <alignment horizontal="center" vertical="center" wrapText="1"/>
    </xf>
    <xf numFmtId="14" fontId="62" fillId="29" borderId="12" xfId="0" applyNumberFormat="1" applyFont="1" applyFill="1" applyBorder="1" applyAlignment="1" applyProtection="1">
      <alignment vertical="center" wrapText="1"/>
      <protection locked="0"/>
    </xf>
    <xf numFmtId="3" fontId="62" fillId="29" borderId="12" xfId="0" applyNumberFormat="1" applyFont="1" applyFill="1" applyBorder="1" applyAlignment="1" applyProtection="1">
      <alignment vertical="center" wrapText="1"/>
      <protection locked="0"/>
    </xf>
    <xf numFmtId="0" fontId="62" fillId="0" borderId="255" xfId="0" applyFont="1" applyBorder="1" applyAlignment="1">
      <alignment horizontal="left" vertical="center"/>
    </xf>
    <xf numFmtId="0" fontId="223" fillId="0" borderId="0" xfId="0" applyFont="1" applyAlignment="1">
      <alignment horizontal="centerContinuous"/>
    </xf>
    <xf numFmtId="0" fontId="284" fillId="0" borderId="0" xfId="0" applyFont="1"/>
    <xf numFmtId="3" fontId="0" fillId="0" borderId="0" xfId="0" applyNumberFormat="1" applyProtection="1">
      <protection locked="0"/>
    </xf>
    <xf numFmtId="10" fontId="62" fillId="29" borderId="12" xfId="0" applyNumberFormat="1" applyFont="1" applyFill="1" applyBorder="1" applyAlignment="1" applyProtection="1">
      <alignment vertical="center" wrapText="1"/>
      <protection locked="0"/>
    </xf>
    <xf numFmtId="0" fontId="144" fillId="0" borderId="0" xfId="0" applyFont="1" applyAlignment="1">
      <alignment vertical="center" wrapText="1"/>
    </xf>
    <xf numFmtId="0" fontId="89" fillId="0" borderId="177" xfId="0" applyFont="1" applyBorder="1" applyAlignment="1">
      <alignment horizontal="center" vertical="center" wrapText="1"/>
    </xf>
    <xf numFmtId="0" fontId="62" fillId="0" borderId="177" xfId="0" applyFont="1" applyBorder="1" applyAlignment="1">
      <alignment vertical="center"/>
    </xf>
    <xf numFmtId="10" fontId="83" fillId="28" borderId="8" xfId="32" applyNumberFormat="1" applyFont="1" applyFill="1" applyBorder="1" applyAlignment="1" applyProtection="1">
      <alignment horizontal="center" vertical="center"/>
      <protection locked="0"/>
    </xf>
    <xf numFmtId="0" fontId="65" fillId="5" borderId="102" xfId="0" applyFont="1" applyFill="1" applyBorder="1" applyAlignment="1" applyProtection="1">
      <alignment vertical="center" wrapText="1"/>
      <protection locked="0"/>
    </xf>
    <xf numFmtId="0" fontId="33" fillId="0" borderId="0" xfId="7" applyNumberFormat="1" applyFont="1" applyAlignment="1">
      <alignment vertical="center" wrapText="1"/>
    </xf>
    <xf numFmtId="0" fontId="89" fillId="3" borderId="56" xfId="7" applyNumberFormat="1" applyFont="1" applyFill="1" applyBorder="1" applyAlignment="1">
      <alignment horizontal="centerContinuous" vertical="justify" wrapText="1"/>
    </xf>
    <xf numFmtId="0" fontId="9" fillId="19" borderId="12" xfId="0" applyFont="1" applyFill="1" applyBorder="1" applyAlignment="1" applyProtection="1">
      <alignment vertical="center"/>
      <protection locked="0"/>
    </xf>
    <xf numFmtId="0" fontId="9" fillId="0" borderId="12" xfId="0" applyFont="1" applyBorder="1" applyAlignment="1">
      <alignment vertical="center"/>
    </xf>
    <xf numFmtId="0" fontId="62" fillId="0" borderId="12" xfId="0" applyFont="1" applyBorder="1" applyAlignment="1">
      <alignment vertical="center"/>
    </xf>
    <xf numFmtId="3" fontId="8" fillId="0" borderId="12" xfId="7" applyNumberFormat="1" applyFont="1" applyBorder="1" applyAlignment="1">
      <alignment vertical="center"/>
    </xf>
    <xf numFmtId="3" fontId="8" fillId="0" borderId="12" xfId="0" applyNumberFormat="1" applyFont="1" applyBorder="1" applyAlignment="1">
      <alignment vertical="center"/>
    </xf>
    <xf numFmtId="3" fontId="171" fillId="0" borderId="12" xfId="0" applyNumberFormat="1" applyFont="1" applyBorder="1" applyAlignment="1">
      <alignment vertical="center"/>
    </xf>
    <xf numFmtId="3" fontId="89" fillId="12" borderId="286" xfId="12" applyNumberFormat="1" applyFont="1" applyFill="1" applyBorder="1" applyAlignment="1" applyProtection="1">
      <alignment vertical="center"/>
      <protection locked="0"/>
    </xf>
    <xf numFmtId="3" fontId="89" fillId="12" borderId="287" xfId="12" applyNumberFormat="1" applyFont="1" applyFill="1" applyBorder="1" applyAlignment="1" applyProtection="1">
      <alignment vertical="center"/>
      <protection locked="0"/>
    </xf>
    <xf numFmtId="3" fontId="62" fillId="10" borderId="161" xfId="12" applyNumberFormat="1" applyFont="1" applyFill="1" applyBorder="1" applyAlignment="1" applyProtection="1">
      <alignment vertical="center" wrapText="1"/>
      <protection locked="0"/>
    </xf>
    <xf numFmtId="3" fontId="89" fillId="12" borderId="288" xfId="12" applyNumberFormat="1" applyFont="1" applyFill="1" applyBorder="1" applyAlignment="1" applyProtection="1">
      <alignment vertical="center"/>
      <protection locked="0"/>
    </xf>
    <xf numFmtId="3" fontId="89" fillId="12" borderId="289" xfId="12" applyNumberFormat="1" applyFont="1" applyFill="1" applyBorder="1" applyAlignment="1" applyProtection="1">
      <alignment vertical="center"/>
      <protection locked="0"/>
    </xf>
    <xf numFmtId="3" fontId="89" fillId="12" borderId="290" xfId="12" applyNumberFormat="1" applyFont="1" applyFill="1" applyBorder="1" applyAlignment="1" applyProtection="1">
      <alignment vertical="center"/>
      <protection locked="0"/>
    </xf>
    <xf numFmtId="3" fontId="89" fillId="12" borderId="291" xfId="12" applyNumberFormat="1" applyFont="1" applyFill="1" applyBorder="1" applyAlignment="1" applyProtection="1">
      <alignment vertical="center"/>
      <protection locked="0"/>
    </xf>
    <xf numFmtId="3" fontId="89" fillId="12" borderId="292" xfId="12" applyNumberFormat="1" applyFont="1" applyFill="1" applyBorder="1" applyAlignment="1" applyProtection="1">
      <alignment vertical="center"/>
      <protection locked="0"/>
    </xf>
    <xf numFmtId="3" fontId="89" fillId="12" borderId="293" xfId="12" applyNumberFormat="1" applyFont="1" applyFill="1" applyBorder="1" applyAlignment="1" applyProtection="1">
      <alignment vertical="center"/>
      <protection locked="0"/>
    </xf>
    <xf numFmtId="3" fontId="89" fillId="12" borderId="294" xfId="12" applyNumberFormat="1" applyFont="1" applyFill="1" applyBorder="1" applyAlignment="1" applyProtection="1">
      <alignment vertical="center"/>
      <protection locked="0"/>
    </xf>
    <xf numFmtId="3" fontId="89" fillId="12" borderId="295" xfId="12" applyNumberFormat="1" applyFont="1" applyFill="1" applyBorder="1" applyAlignment="1" applyProtection="1">
      <alignment vertical="center"/>
      <protection locked="0"/>
    </xf>
    <xf numFmtId="3" fontId="89" fillId="12" borderId="296" xfId="12" applyNumberFormat="1" applyFont="1" applyFill="1" applyBorder="1" applyAlignment="1" applyProtection="1">
      <alignment vertical="center"/>
      <protection locked="0"/>
    </xf>
    <xf numFmtId="3" fontId="89" fillId="12" borderId="297" xfId="12" applyNumberFormat="1" applyFont="1" applyFill="1" applyBorder="1" applyAlignment="1" applyProtection="1">
      <alignment vertical="center"/>
      <protection locked="0"/>
    </xf>
    <xf numFmtId="0" fontId="118" fillId="4" borderId="298" xfId="0" applyFont="1" applyFill="1" applyBorder="1" applyAlignment="1">
      <alignment horizontal="left" vertical="center" wrapText="1" indent="3"/>
    </xf>
    <xf numFmtId="0" fontId="118" fillId="4" borderId="299" xfId="0" applyFont="1" applyFill="1" applyBorder="1" applyAlignment="1">
      <alignment horizontal="left" vertical="center" wrapText="1" indent="3"/>
    </xf>
    <xf numFmtId="0" fontId="260" fillId="11" borderId="8" xfId="0" applyFont="1" applyFill="1" applyBorder="1" applyAlignment="1">
      <alignment horizontal="left"/>
    </xf>
    <xf numFmtId="0" fontId="207" fillId="0" borderId="155" xfId="0" applyFont="1" applyBorder="1" applyProtection="1">
      <protection hidden="1"/>
    </xf>
    <xf numFmtId="0" fontId="0" fillId="0" borderId="12" xfId="0" applyBorder="1" applyAlignment="1">
      <alignment vertical="center"/>
    </xf>
    <xf numFmtId="169" fontId="18" fillId="0" borderId="12" xfId="0" applyNumberFormat="1" applyFont="1" applyBorder="1" applyAlignment="1">
      <alignment horizontal="center" vertical="center" wrapText="1"/>
    </xf>
    <xf numFmtId="169" fontId="18" fillId="0" borderId="12" xfId="0" applyNumberFormat="1" applyFont="1" applyBorder="1" applyAlignment="1">
      <alignment horizontal="center" vertical="center"/>
    </xf>
    <xf numFmtId="169" fontId="0" fillId="0" borderId="12" xfId="0" applyNumberFormat="1" applyBorder="1" applyAlignment="1">
      <alignment horizontal="center" vertical="center"/>
    </xf>
    <xf numFmtId="0" fontId="18" fillId="0" borderId="12" xfId="0" applyFont="1" applyBorder="1" applyAlignment="1">
      <alignment horizontal="center"/>
    </xf>
    <xf numFmtId="0" fontId="62" fillId="13" borderId="8" xfId="0" applyFont="1" applyFill="1" applyBorder="1"/>
    <xf numFmtId="3" fontId="62" fillId="19" borderId="301" xfId="12" applyNumberFormat="1" applyFont="1" applyFill="1" applyBorder="1" applyAlignment="1" applyProtection="1">
      <alignment vertical="center"/>
      <protection locked="0"/>
    </xf>
    <xf numFmtId="3" fontId="62" fillId="12" borderId="302" xfId="12" applyNumberFormat="1" applyFont="1" applyFill="1" applyBorder="1" applyAlignment="1" applyProtection="1">
      <alignment vertical="center"/>
      <protection locked="0"/>
    </xf>
    <xf numFmtId="3" fontId="62" fillId="28" borderId="303" xfId="12" applyNumberFormat="1" applyFont="1" applyFill="1" applyBorder="1" applyAlignment="1" applyProtection="1">
      <alignment vertical="center"/>
      <protection locked="0"/>
    </xf>
    <xf numFmtId="3" fontId="62" fillId="28" borderId="300" xfId="12" applyNumberFormat="1" applyFont="1" applyFill="1" applyBorder="1" applyAlignment="1" applyProtection="1">
      <alignment vertical="center"/>
      <protection locked="0"/>
    </xf>
    <xf numFmtId="3" fontId="62" fillId="29" borderId="301" xfId="12" applyNumberFormat="1" applyFont="1" applyFill="1" applyBorder="1" applyAlignment="1" applyProtection="1">
      <alignment vertical="center"/>
      <protection locked="0"/>
    </xf>
    <xf numFmtId="3" fontId="62" fillId="29" borderId="303" xfId="12" applyNumberFormat="1" applyFont="1" applyFill="1" applyBorder="1" applyAlignment="1" applyProtection="1">
      <alignment vertical="center"/>
      <protection locked="0"/>
    </xf>
    <xf numFmtId="3" fontId="62" fillId="29" borderId="300" xfId="12" applyNumberFormat="1" applyFont="1" applyFill="1" applyBorder="1" applyAlignment="1" applyProtection="1">
      <alignment vertical="center"/>
      <protection locked="0"/>
    </xf>
    <xf numFmtId="3" fontId="62" fillId="19" borderId="304" xfId="12" applyNumberFormat="1" applyFont="1" applyFill="1" applyBorder="1" applyAlignment="1" applyProtection="1">
      <alignment vertical="center"/>
      <protection locked="0"/>
    </xf>
    <xf numFmtId="3" fontId="62" fillId="19" borderId="170" xfId="12" applyNumberFormat="1" applyFont="1" applyFill="1" applyBorder="1" applyAlignment="1" applyProtection="1">
      <alignment vertical="center" wrapText="1"/>
      <protection locked="0"/>
    </xf>
    <xf numFmtId="3" fontId="62" fillId="28" borderId="304" xfId="12" applyNumberFormat="1" applyFont="1" applyFill="1" applyBorder="1" applyAlignment="1" applyProtection="1">
      <alignment vertical="center"/>
      <protection locked="0"/>
    </xf>
    <xf numFmtId="3" fontId="62" fillId="5" borderId="170" xfId="12" applyNumberFormat="1" applyFont="1" applyFill="1" applyBorder="1" applyAlignment="1" applyProtection="1">
      <alignment vertical="center" wrapText="1"/>
      <protection locked="0"/>
    </xf>
    <xf numFmtId="3" fontId="62" fillId="29" borderId="304" xfId="12" applyNumberFormat="1" applyFont="1" applyFill="1" applyBorder="1" applyAlignment="1" applyProtection="1">
      <alignment vertical="center"/>
      <protection locked="0"/>
    </xf>
    <xf numFmtId="3" fontId="62" fillId="19" borderId="303" xfId="12" applyNumberFormat="1" applyFont="1" applyFill="1" applyBorder="1" applyAlignment="1" applyProtection="1">
      <alignment vertical="center"/>
      <protection locked="0"/>
    </xf>
    <xf numFmtId="3" fontId="89" fillId="0" borderId="8" xfId="32" applyNumberFormat="1" applyFont="1" applyFill="1" applyBorder="1" applyAlignment="1">
      <alignment horizontal="center"/>
    </xf>
    <xf numFmtId="166" fontId="0" fillId="0" borderId="0" xfId="31" applyFont="1" applyProtection="1"/>
    <xf numFmtId="171" fontId="62" fillId="86" borderId="8" xfId="0" applyNumberFormat="1" applyFont="1" applyFill="1" applyBorder="1" applyAlignment="1" applyProtection="1">
      <alignment horizontal="center" vertical="center"/>
      <protection locked="0"/>
    </xf>
    <xf numFmtId="3" fontId="62" fillId="88" borderId="102" xfId="12" applyNumberFormat="1" applyFont="1" applyFill="1" applyBorder="1" applyAlignment="1" applyProtection="1">
      <alignment horizontal="right" vertical="center" wrapText="1"/>
      <protection locked="0"/>
    </xf>
    <xf numFmtId="3" fontId="62" fillId="89" borderId="102" xfId="12" applyNumberFormat="1" applyFont="1" applyFill="1" applyBorder="1" applyAlignment="1" applyProtection="1">
      <alignment horizontal="right" vertical="center" wrapText="1"/>
      <protection locked="0"/>
    </xf>
    <xf numFmtId="169" fontId="287" fillId="4" borderId="8" xfId="0" applyNumberFormat="1" applyFont="1" applyFill="1" applyBorder="1" applyAlignment="1">
      <alignment horizontal="center" vertical="center" wrapText="1"/>
    </xf>
    <xf numFmtId="3" fontId="62" fillId="0" borderId="33" xfId="12" applyNumberFormat="1" applyFont="1" applyFill="1" applyBorder="1" applyAlignment="1" applyProtection="1">
      <alignment horizontal="left" vertical="center"/>
    </xf>
    <xf numFmtId="0" fontId="289" fillId="0" borderId="0" xfId="0" applyFont="1"/>
    <xf numFmtId="183" fontId="227" fillId="13" borderId="305" xfId="31" quotePrefix="1" applyNumberFormat="1" applyFont="1" applyFill="1" applyBorder="1" applyProtection="1"/>
    <xf numFmtId="169" fontId="1" fillId="0" borderId="12" xfId="0" applyNumberFormat="1" applyFont="1" applyBorder="1" applyAlignment="1">
      <alignment horizontal="center" vertical="center"/>
    </xf>
    <xf numFmtId="3" fontId="35" fillId="29" borderId="23" xfId="40" applyNumberFormat="1" applyFont="1" applyFill="1" applyBorder="1" applyAlignment="1" applyProtection="1">
      <alignment vertical="center" wrapText="1"/>
      <protection locked="0"/>
    </xf>
    <xf numFmtId="49" fontId="35" fillId="29" borderId="23" xfId="39" applyNumberFormat="1" applyFont="1" applyFill="1" applyBorder="1" applyAlignment="1" applyProtection="1">
      <alignment horizontal="right" vertical="center" wrapText="1"/>
      <protection locked="0"/>
    </xf>
    <xf numFmtId="3" fontId="35" fillId="29" borderId="23" xfId="40" applyNumberFormat="1" applyFont="1" applyFill="1" applyBorder="1" applyAlignment="1" applyProtection="1">
      <alignment horizontal="right" vertical="center" wrapText="1"/>
      <protection locked="0"/>
    </xf>
    <xf numFmtId="0" fontId="325" fillId="0" borderId="0" xfId="0" applyFont="1" applyAlignment="1">
      <alignment vertical="center" wrapText="1"/>
    </xf>
    <xf numFmtId="169" fontId="208" fillId="3" borderId="317" xfId="7" applyFont="1" applyFill="1" applyBorder="1" applyAlignment="1">
      <alignment horizontal="center" vertical="center" wrapText="1"/>
    </xf>
    <xf numFmtId="49" fontId="0" fillId="94" borderId="314" xfId="32" applyNumberFormat="1" applyFont="1" applyFill="1" applyBorder="1" applyAlignment="1" applyProtection="1">
      <alignment horizontal="right" vertical="center"/>
    </xf>
    <xf numFmtId="49" fontId="0" fillId="94" borderId="23" xfId="32" applyNumberFormat="1" applyFont="1" applyFill="1" applyBorder="1" applyAlignment="1" applyProtection="1">
      <alignment horizontal="right" vertical="center"/>
    </xf>
    <xf numFmtId="0" fontId="0" fillId="0" borderId="305" xfId="0" applyBorder="1" applyAlignment="1">
      <alignment vertical="center"/>
    </xf>
    <xf numFmtId="0" fontId="78" fillId="0" borderId="320" xfId="0" applyFont="1" applyBorder="1" applyAlignment="1">
      <alignment horizontal="center" vertical="center"/>
    </xf>
    <xf numFmtId="0" fontId="282" fillId="0" borderId="0" xfId="0" applyFont="1"/>
    <xf numFmtId="0" fontId="282" fillId="0" borderId="0" xfId="52" applyFont="1"/>
    <xf numFmtId="3" fontId="36" fillId="0" borderId="0" xfId="0" applyNumberFormat="1" applyFont="1" applyAlignment="1">
      <alignment horizontal="left" vertical="center"/>
    </xf>
    <xf numFmtId="3" fontId="89" fillId="4" borderId="28" xfId="0" applyNumberFormat="1" applyFont="1" applyFill="1" applyBorder="1" applyAlignment="1">
      <alignment horizontal="center" vertical="center" wrapText="1"/>
    </xf>
    <xf numFmtId="3" fontId="61" fillId="4" borderId="161" xfId="0" applyNumberFormat="1" applyFont="1" applyFill="1" applyBorder="1" applyAlignment="1">
      <alignment horizontal="center" vertical="center" wrapText="1"/>
    </xf>
    <xf numFmtId="3" fontId="62" fillId="4" borderId="28" xfId="0" applyNumberFormat="1" applyFont="1" applyFill="1" applyBorder="1" applyAlignment="1">
      <alignment horizontal="center" vertical="center" wrapText="1"/>
    </xf>
    <xf numFmtId="10" fontId="0" fillId="0" borderId="0" xfId="0" applyNumberFormat="1"/>
    <xf numFmtId="10" fontId="61" fillId="4" borderId="161" xfId="0" applyNumberFormat="1" applyFont="1" applyFill="1" applyBorder="1" applyAlignment="1">
      <alignment horizontal="center" vertical="center" wrapText="1"/>
    </xf>
    <xf numFmtId="14" fontId="0" fillId="0" borderId="0" xfId="0" applyNumberFormat="1"/>
    <xf numFmtId="14" fontId="61" fillId="4" borderId="28" xfId="0" applyNumberFormat="1" applyFont="1" applyFill="1" applyBorder="1" applyAlignment="1">
      <alignment horizontal="center" vertical="center" wrapText="1"/>
    </xf>
    <xf numFmtId="14" fontId="61" fillId="4" borderId="161" xfId="0" applyNumberFormat="1" applyFont="1" applyFill="1" applyBorder="1" applyAlignment="1">
      <alignment horizontal="center" vertical="center" wrapText="1"/>
    </xf>
    <xf numFmtId="0" fontId="89" fillId="0" borderId="181" xfId="0" applyFont="1" applyBorder="1" applyAlignment="1">
      <alignment horizontal="centerContinuous" vertical="center" wrapText="1"/>
    </xf>
    <xf numFmtId="169" fontId="89" fillId="0" borderId="180" xfId="0" applyNumberFormat="1" applyFont="1" applyBorder="1" applyAlignment="1">
      <alignment horizontal="centerContinuous" vertical="center" wrapText="1"/>
    </xf>
    <xf numFmtId="169" fontId="89" fillId="0" borderId="178" xfId="0" applyNumberFormat="1" applyFont="1" applyBorder="1" applyAlignment="1">
      <alignment horizontal="centerContinuous" vertical="center" wrapText="1"/>
    </xf>
    <xf numFmtId="169" fontId="89" fillId="0" borderId="181" xfId="0" applyNumberFormat="1" applyFont="1" applyBorder="1" applyAlignment="1">
      <alignment horizontal="centerContinuous" vertical="center" wrapText="1"/>
    </xf>
    <xf numFmtId="9" fontId="227" fillId="0" borderId="251" xfId="32" quotePrefix="1" applyFont="1" applyFill="1" applyBorder="1" applyProtection="1"/>
    <xf numFmtId="0" fontId="62" fillId="0" borderId="305" xfId="0" applyFont="1" applyBorder="1" applyAlignment="1">
      <alignment horizontal="left" vertical="center" wrapText="1"/>
    </xf>
    <xf numFmtId="3" fontId="62" fillId="26" borderId="0" xfId="0" applyNumberFormat="1" applyFont="1" applyFill="1" applyAlignment="1" applyProtection="1">
      <alignment horizontal="right" vertical="center"/>
      <protection locked="0"/>
    </xf>
    <xf numFmtId="3" fontId="25" fillId="0" borderId="0" xfId="30" applyNumberFormat="1" applyAlignment="1" applyProtection="1">
      <alignment horizontal="right"/>
      <protection locked="0"/>
    </xf>
    <xf numFmtId="0" fontId="1" fillId="0" borderId="8" xfId="0" applyFont="1" applyBorder="1" applyAlignment="1">
      <alignment wrapText="1"/>
    </xf>
    <xf numFmtId="0" fontId="61" fillId="68" borderId="285" xfId="40" applyFont="1" applyFill="1" applyBorder="1" applyAlignment="1">
      <alignment horizontal="left" vertical="center" wrapText="1"/>
    </xf>
    <xf numFmtId="3" fontId="91" fillId="0" borderId="8" xfId="0" applyNumberFormat="1" applyFont="1" applyBorder="1"/>
    <xf numFmtId="0" fontId="86" fillId="11" borderId="8" xfId="0" applyFont="1" applyFill="1" applyBorder="1" applyAlignment="1">
      <alignment horizontal="left" vertical="center" wrapText="1"/>
    </xf>
    <xf numFmtId="3" fontId="62" fillId="27" borderId="8" xfId="0" applyNumberFormat="1" applyFont="1" applyFill="1" applyBorder="1" applyAlignment="1" applyProtection="1">
      <alignment horizontal="center" vertical="center"/>
      <protection locked="0"/>
    </xf>
    <xf numFmtId="3" fontId="62" fillId="86" borderId="8" xfId="0" applyNumberFormat="1" applyFont="1" applyFill="1" applyBorder="1" applyAlignment="1" applyProtection="1">
      <alignment horizontal="center" vertical="center"/>
      <protection locked="0"/>
    </xf>
    <xf numFmtId="3" fontId="29" fillId="0" borderId="0" xfId="48" applyNumberFormat="1" applyAlignment="1">
      <alignment vertical="center"/>
    </xf>
    <xf numFmtId="0" fontId="118" fillId="4" borderId="232" xfId="0" applyFont="1" applyFill="1" applyBorder="1" applyAlignment="1">
      <alignment horizontal="left" vertical="center" wrapText="1" indent="3"/>
    </xf>
    <xf numFmtId="0" fontId="118" fillId="4" borderId="47" xfId="0" applyFont="1" applyFill="1" applyBorder="1" applyAlignment="1">
      <alignment horizontal="left" vertical="center" wrapText="1" indent="3"/>
    </xf>
    <xf numFmtId="0" fontId="118" fillId="4" borderId="50" xfId="0" applyFont="1" applyFill="1" applyBorder="1" applyAlignment="1">
      <alignment horizontal="left" vertical="center" wrapText="1" indent="3"/>
    </xf>
    <xf numFmtId="0" fontId="118" fillId="4" borderId="51" xfId="0" applyFont="1" applyFill="1" applyBorder="1" applyAlignment="1">
      <alignment horizontal="left" vertical="center" wrapText="1" indent="3"/>
    </xf>
    <xf numFmtId="0" fontId="62" fillId="0" borderId="0" xfId="0" applyFont="1" applyAlignment="1">
      <alignment wrapText="1"/>
    </xf>
    <xf numFmtId="3" fontId="118" fillId="0" borderId="33" xfId="12" applyNumberFormat="1" applyFont="1" applyFill="1" applyBorder="1" applyAlignment="1" applyProtection="1">
      <alignment wrapText="1"/>
    </xf>
    <xf numFmtId="3" fontId="62" fillId="83" borderId="255" xfId="36" applyNumberFormat="1" applyFont="1" applyFill="1" applyBorder="1" applyAlignment="1" applyProtection="1">
      <alignment horizontal="center" vertical="center" wrapText="1"/>
    </xf>
    <xf numFmtId="0" fontId="1" fillId="0" borderId="0" xfId="0" applyFont="1" applyAlignment="1">
      <alignment vertical="center"/>
    </xf>
    <xf numFmtId="3" fontId="102" fillId="0" borderId="0" xfId="31" applyNumberFormat="1" applyFont="1" applyBorder="1" applyProtection="1"/>
    <xf numFmtId="0" fontId="333" fillId="0" borderId="0" xfId="7" applyNumberFormat="1" applyFont="1" applyAlignment="1">
      <alignment vertical="center"/>
    </xf>
    <xf numFmtId="169" fontId="89" fillId="39" borderId="0" xfId="7" applyFont="1" applyFill="1" applyAlignment="1">
      <alignment horizontal="left" vertical="center" wrapText="1" indent="2"/>
    </xf>
    <xf numFmtId="3" fontId="91" fillId="0" borderId="8" xfId="0" applyNumberFormat="1" applyFont="1" applyBorder="1" applyAlignment="1">
      <alignment vertical="center"/>
    </xf>
    <xf numFmtId="3" fontId="62" fillId="0" borderId="13" xfId="31" applyNumberFormat="1" applyFont="1" applyFill="1" applyBorder="1" applyAlignment="1" applyProtection="1">
      <alignment horizontal="center" vertical="center"/>
    </xf>
    <xf numFmtId="0" fontId="62" fillId="0" borderId="238" xfId="0" applyFont="1" applyBorder="1" applyAlignment="1">
      <alignment horizontal="left"/>
    </xf>
    <xf numFmtId="0" fontId="92" fillId="13" borderId="0" xfId="0" applyFont="1" applyFill="1" applyAlignment="1" applyProtection="1">
      <alignment horizontal="left" vertical="center" wrapText="1"/>
      <protection locked="0"/>
    </xf>
    <xf numFmtId="0" fontId="22" fillId="0" borderId="0" xfId="0" applyFont="1" applyAlignment="1">
      <alignment horizontal="center" vertical="center"/>
    </xf>
    <xf numFmtId="0" fontId="22" fillId="0" borderId="125" xfId="0" applyFont="1" applyBorder="1" applyAlignment="1">
      <alignment horizontal="center" vertical="center"/>
    </xf>
    <xf numFmtId="0" fontId="39" fillId="0" borderId="155" xfId="0" applyFont="1" applyBorder="1" applyAlignment="1" applyProtection="1">
      <alignment horizontal="center" vertical="center"/>
      <protection hidden="1"/>
    </xf>
    <xf numFmtId="0" fontId="22" fillId="0" borderId="39" xfId="0" applyFont="1" applyBorder="1" applyAlignment="1">
      <alignment horizontal="center" vertical="center"/>
    </xf>
    <xf numFmtId="0" fontId="22" fillId="8" borderId="155" xfId="0" applyFont="1" applyFill="1" applyBorder="1" applyAlignment="1" applyProtection="1">
      <alignment horizontal="center" vertical="center"/>
      <protection hidden="1"/>
    </xf>
    <xf numFmtId="0" fontId="26" fillId="0" borderId="125" xfId="0" applyFont="1" applyBorder="1" applyAlignment="1">
      <alignment horizontal="center" vertical="center"/>
    </xf>
    <xf numFmtId="0" fontId="22" fillId="0" borderId="181" xfId="0" applyFont="1" applyBorder="1" applyAlignment="1">
      <alignment horizontal="center" vertical="center"/>
    </xf>
    <xf numFmtId="0" fontId="22" fillId="8" borderId="210" xfId="0" applyFont="1" applyFill="1" applyBorder="1" applyAlignment="1" applyProtection="1">
      <alignment horizontal="center" vertical="center"/>
      <protection hidden="1"/>
    </xf>
    <xf numFmtId="0" fontId="22" fillId="8" borderId="285" xfId="0" applyFont="1" applyFill="1" applyBorder="1" applyAlignment="1" applyProtection="1">
      <alignment horizontal="center" vertical="center"/>
      <protection hidden="1"/>
    </xf>
    <xf numFmtId="3" fontId="39" fillId="0" borderId="155" xfId="0" applyNumberFormat="1" applyFont="1" applyBorder="1" applyAlignment="1" applyProtection="1">
      <alignment horizontal="center" vertical="center"/>
      <protection hidden="1"/>
    </xf>
    <xf numFmtId="3" fontId="118" fillId="0" borderId="140" xfId="31" applyNumberFormat="1" applyFont="1" applyFill="1" applyBorder="1" applyAlignment="1" applyProtection="1">
      <alignment horizontal="center" vertical="center"/>
    </xf>
    <xf numFmtId="0" fontId="1" fillId="0" borderId="8" xfId="0" applyFont="1" applyBorder="1" applyAlignment="1">
      <alignment horizontal="center" vertical="center"/>
    </xf>
    <xf numFmtId="49" fontId="89" fillId="18" borderId="8" xfId="0" applyNumberFormat="1" applyFont="1" applyFill="1" applyBorder="1" applyAlignment="1" applyProtection="1">
      <alignment horizontal="center" vertical="center" wrapText="1"/>
      <protection locked="0"/>
    </xf>
    <xf numFmtId="169" fontId="61" fillId="0" borderId="311" xfId="0" applyNumberFormat="1" applyFont="1" applyBorder="1" applyAlignment="1" applyProtection="1">
      <alignment horizontal="left" vertical="center"/>
      <protection locked="0"/>
    </xf>
    <xf numFmtId="0" fontId="85" fillId="0" borderId="285" xfId="0" quotePrefix="1" applyFont="1" applyBorder="1" applyAlignment="1" applyProtection="1">
      <alignment horizontal="center" vertical="center"/>
      <protection locked="0"/>
    </xf>
    <xf numFmtId="0" fontId="85" fillId="0" borderId="284" xfId="0" applyFont="1" applyBorder="1" applyAlignment="1" applyProtection="1">
      <alignment horizontal="center" vertical="center"/>
      <protection locked="0"/>
    </xf>
    <xf numFmtId="169" fontId="61" fillId="0" borderId="312" xfId="0" quotePrefix="1" applyNumberFormat="1" applyFont="1" applyBorder="1" applyAlignment="1" applyProtection="1">
      <alignment horizontal="center" vertical="center"/>
      <protection locked="0"/>
    </xf>
    <xf numFmtId="175" fontId="62" fillId="0" borderId="8" xfId="12" applyNumberFormat="1" applyFont="1" applyFill="1" applyBorder="1" applyAlignment="1" applyProtection="1">
      <alignment horizontal="right" vertical="center"/>
      <protection locked="0"/>
    </xf>
    <xf numFmtId="179" fontId="62" fillId="0" borderId="8" xfId="12" applyNumberFormat="1" applyFont="1" applyFill="1" applyBorder="1" applyAlignment="1" applyProtection="1">
      <alignment horizontal="right" vertical="center"/>
      <protection locked="0"/>
    </xf>
    <xf numFmtId="3" fontId="18" fillId="0" borderId="0" xfId="0" applyNumberFormat="1" applyFont="1"/>
    <xf numFmtId="169" fontId="61" fillId="0" borderId="324" xfId="0" applyNumberFormat="1" applyFont="1" applyBorder="1" applyAlignment="1" applyProtection="1">
      <alignment horizontal="left"/>
      <protection locked="0"/>
    </xf>
    <xf numFmtId="169" fontId="90" fillId="6" borderId="323" xfId="0" applyNumberFormat="1" applyFont="1" applyFill="1" applyBorder="1" applyProtection="1">
      <protection locked="0"/>
    </xf>
    <xf numFmtId="49" fontId="61" fillId="0" borderId="323" xfId="0" applyNumberFormat="1" applyFont="1" applyBorder="1" applyAlignment="1" applyProtection="1">
      <alignment horizontal="center" vertical="center"/>
      <protection locked="0"/>
    </xf>
    <xf numFmtId="169" fontId="61" fillId="0" borderId="285" xfId="0" applyNumberFormat="1" applyFont="1" applyBorder="1" applyAlignment="1" applyProtection="1">
      <alignment horizontal="left"/>
      <protection locked="0"/>
    </xf>
    <xf numFmtId="170" fontId="61" fillId="0" borderId="285" xfId="12" applyFont="1" applyFill="1" applyBorder="1" applyAlignment="1" applyProtection="1">
      <alignment horizontal="right"/>
      <protection locked="0"/>
    </xf>
    <xf numFmtId="169" fontId="208" fillId="3" borderId="284" xfId="7" applyFont="1" applyFill="1" applyBorder="1" applyAlignment="1">
      <alignment horizontal="center" vertical="center" wrapText="1"/>
    </xf>
    <xf numFmtId="169" fontId="208" fillId="3" borderId="250" xfId="7" applyFont="1" applyFill="1" applyBorder="1" applyAlignment="1">
      <alignment horizontal="center" vertical="center" wrapText="1"/>
    </xf>
    <xf numFmtId="3" fontId="62" fillId="102" borderId="148" xfId="0" applyNumberFormat="1" applyFont="1" applyFill="1" applyBorder="1" applyAlignment="1" applyProtection="1">
      <alignment horizontal="right" vertical="center" wrapText="1"/>
      <protection locked="0"/>
    </xf>
    <xf numFmtId="3" fontId="151" fillId="103" borderId="147" xfId="0" applyNumberFormat="1" applyFont="1" applyFill="1" applyBorder="1" applyAlignment="1" applyProtection="1">
      <alignment horizontal="right" vertical="center" wrapText="1"/>
      <protection locked="0"/>
    </xf>
    <xf numFmtId="0" fontId="0" fillId="37" borderId="0" xfId="0" applyFill="1" applyAlignment="1">
      <alignment horizontal="center" vertical="center"/>
    </xf>
    <xf numFmtId="0" fontId="117" fillId="37" borderId="0" xfId="0" applyFont="1" applyFill="1" applyAlignment="1">
      <alignment horizontal="center" vertical="center"/>
    </xf>
    <xf numFmtId="0" fontId="62" fillId="29" borderId="325" xfId="7" applyNumberFormat="1" applyFont="1" applyFill="1" applyBorder="1" applyAlignment="1" applyProtection="1">
      <alignment horizontal="center" vertical="center"/>
      <protection locked="0"/>
    </xf>
    <xf numFmtId="169" fontId="89" fillId="4" borderId="184" xfId="7" applyFont="1" applyFill="1" applyBorder="1" applyAlignment="1">
      <alignment horizontal="center" vertical="center" wrapText="1"/>
    </xf>
    <xf numFmtId="3" fontId="62" fillId="102" borderId="12" xfId="0" applyNumberFormat="1" applyFont="1" applyFill="1" applyBorder="1" applyAlignment="1" applyProtection="1">
      <alignment horizontal="center" vertical="center" wrapText="1"/>
      <protection locked="0"/>
    </xf>
    <xf numFmtId="188" fontId="62" fillId="29" borderId="178" xfId="12" applyNumberFormat="1" applyFont="1" applyFill="1" applyBorder="1" applyAlignment="1" applyProtection="1">
      <alignment vertical="center"/>
      <protection locked="0"/>
    </xf>
    <xf numFmtId="188" fontId="62" fillId="29" borderId="207" xfId="12" applyNumberFormat="1" applyFont="1" applyFill="1" applyBorder="1" applyAlignment="1" applyProtection="1">
      <alignment vertical="center"/>
      <protection locked="0"/>
    </xf>
    <xf numFmtId="171" fontId="62" fillId="31" borderId="181" xfId="12" applyNumberFormat="1" applyFont="1" applyFill="1" applyBorder="1" applyAlignment="1" applyProtection="1">
      <alignment vertical="center"/>
      <protection locked="0"/>
    </xf>
    <xf numFmtId="171" fontId="62" fillId="29" borderId="164" xfId="12" applyNumberFormat="1" applyFont="1" applyFill="1" applyBorder="1" applyAlignment="1" applyProtection="1">
      <alignment vertical="center"/>
      <protection locked="0"/>
    </xf>
    <xf numFmtId="3" fontId="62" fillId="104" borderId="102" xfId="12" applyNumberFormat="1" applyFont="1" applyFill="1" applyBorder="1" applyAlignment="1" applyProtection="1">
      <alignment horizontal="right" vertical="center" wrapText="1"/>
      <protection locked="0"/>
    </xf>
    <xf numFmtId="171" fontId="118" fillId="0" borderId="326" xfId="31" applyNumberFormat="1" applyFont="1" applyBorder="1" applyProtection="1"/>
    <xf numFmtId="3" fontId="61" fillId="0" borderId="327" xfId="25" applyNumberFormat="1" applyFont="1" applyBorder="1" applyAlignment="1" applyProtection="1">
      <alignment horizontal="center" vertical="center" wrapText="1"/>
      <protection locked="0"/>
    </xf>
    <xf numFmtId="0" fontId="1" fillId="0" borderId="0" xfId="7" applyNumberFormat="1" applyFont="1"/>
    <xf numFmtId="3" fontId="61" fillId="0" borderId="328" xfId="25" applyNumberFormat="1" applyFont="1" applyBorder="1" applyAlignment="1" applyProtection="1">
      <alignment horizontal="right" vertical="center" wrapText="1"/>
      <protection locked="0"/>
    </xf>
    <xf numFmtId="0" fontId="88" fillId="3" borderId="0" xfId="7" applyNumberFormat="1" applyFont="1" applyFill="1" applyAlignment="1">
      <alignment horizontal="center" vertical="center" wrapText="1"/>
    </xf>
    <xf numFmtId="0" fontId="80" fillId="3" borderId="329" xfId="7" applyNumberFormat="1" applyFont="1" applyFill="1" applyBorder="1" applyAlignment="1">
      <alignment horizontal="center" vertical="center" wrapText="1"/>
    </xf>
    <xf numFmtId="0" fontId="61" fillId="4" borderId="323" xfId="0" applyFont="1" applyFill="1" applyBorder="1" applyAlignment="1">
      <alignment horizontal="center"/>
    </xf>
    <xf numFmtId="3" fontId="9" fillId="79" borderId="12" xfId="31" applyNumberFormat="1" applyFont="1" applyFill="1" applyBorder="1" applyAlignment="1" applyProtection="1">
      <alignment vertical="center"/>
      <protection locked="0"/>
    </xf>
    <xf numFmtId="3" fontId="9" fillId="105" borderId="12" xfId="31" applyNumberFormat="1" applyFont="1" applyFill="1" applyBorder="1" applyAlignment="1" applyProtection="1">
      <alignment vertical="center"/>
      <protection locked="0"/>
    </xf>
    <xf numFmtId="169" fontId="61" fillId="0" borderId="177" xfId="0" applyNumberFormat="1" applyFont="1" applyBorder="1" applyAlignment="1">
      <alignment horizontal="center" vertical="center" wrapText="1"/>
    </xf>
    <xf numFmtId="3" fontId="62" fillId="0" borderId="323" xfId="12" applyNumberFormat="1" applyFont="1" applyFill="1" applyBorder="1" applyAlignment="1" applyProtection="1">
      <alignment horizontal="right"/>
    </xf>
    <xf numFmtId="3" fontId="62" fillId="0" borderId="323" xfId="0" applyNumberFormat="1" applyFont="1" applyBorder="1" applyAlignment="1">
      <alignment horizontal="right" vertical="center" wrapText="1"/>
    </xf>
    <xf numFmtId="3" fontId="62" fillId="0" borderId="323" xfId="0" applyNumberFormat="1" applyFont="1" applyBorder="1" applyAlignment="1">
      <alignment horizontal="right" wrapText="1"/>
    </xf>
    <xf numFmtId="3" fontId="62" fillId="106" borderId="33" xfId="12" applyNumberFormat="1" applyFont="1" applyFill="1" applyBorder="1" applyAlignment="1" applyProtection="1">
      <alignment horizontal="right"/>
    </xf>
    <xf numFmtId="3" fontId="62" fillId="106" borderId="251" xfId="12" applyNumberFormat="1" applyFont="1" applyFill="1" applyBorder="1" applyAlignment="1" applyProtection="1">
      <alignment horizontal="right"/>
    </xf>
    <xf numFmtId="0" fontId="91" fillId="73" borderId="332" xfId="0" applyFont="1" applyFill="1" applyBorder="1" applyAlignment="1">
      <alignment vertical="center"/>
    </xf>
    <xf numFmtId="0" fontId="86" fillId="0" borderId="305" xfId="0" applyFont="1" applyBorder="1" applyAlignment="1">
      <alignment horizontal="left"/>
    </xf>
    <xf numFmtId="3" fontId="91" fillId="0" borderId="323" xfId="0" applyNumberFormat="1" applyFont="1" applyBorder="1" applyAlignment="1">
      <alignment vertical="center"/>
    </xf>
    <xf numFmtId="3" fontId="62" fillId="0" borderId="323" xfId="12" applyNumberFormat="1" applyFont="1" applyFill="1" applyBorder="1" applyAlignment="1" applyProtection="1">
      <alignment horizontal="left"/>
    </xf>
    <xf numFmtId="173" fontId="62" fillId="0" borderId="323" xfId="12" applyNumberFormat="1" applyFont="1" applyFill="1" applyBorder="1" applyAlignment="1" applyProtection="1">
      <alignment horizontal="right"/>
    </xf>
    <xf numFmtId="10" fontId="62" fillId="0" borderId="323" xfId="32" applyNumberFormat="1" applyFont="1" applyFill="1" applyBorder="1" applyAlignment="1" applyProtection="1">
      <alignment horizontal="right"/>
    </xf>
    <xf numFmtId="0" fontId="0" fillId="0" borderId="0" xfId="0" applyAlignment="1">
      <alignment horizontal="center" vertical="center" wrapText="1"/>
    </xf>
    <xf numFmtId="0" fontId="340" fillId="0" borderId="0" xfId="0" applyFont="1" applyAlignment="1">
      <alignment horizontal="center"/>
    </xf>
    <xf numFmtId="0" fontId="340" fillId="0" borderId="0" xfId="0" applyFont="1" applyAlignment="1">
      <alignment horizontal="center" vertical="center"/>
    </xf>
    <xf numFmtId="0" fontId="89" fillId="71" borderId="12" xfId="0" applyFont="1" applyFill="1" applyBorder="1" applyAlignment="1" applyProtection="1">
      <alignment horizontal="center" vertical="center"/>
      <protection locked="0"/>
    </xf>
    <xf numFmtId="0" fontId="89" fillId="71" borderId="12" xfId="0" applyFont="1" applyFill="1" applyBorder="1" applyAlignment="1" applyProtection="1">
      <alignment horizontal="left" vertical="center" wrapText="1"/>
      <protection locked="0"/>
    </xf>
    <xf numFmtId="3" fontId="118" fillId="0" borderId="33" xfId="12" applyNumberFormat="1" applyFont="1" applyFill="1" applyBorder="1" applyAlignment="1" applyProtection="1">
      <alignment vertical="center" wrapText="1"/>
    </xf>
    <xf numFmtId="3" fontId="62" fillId="18" borderId="238" xfId="12" applyNumberFormat="1" applyFont="1" applyFill="1" applyBorder="1" applyAlignment="1" applyProtection="1">
      <alignment horizontal="right" vertical="center"/>
      <protection locked="0"/>
    </xf>
    <xf numFmtId="0" fontId="85" fillId="0" borderId="8" xfId="0" applyFont="1" applyBorder="1" applyAlignment="1">
      <alignment horizontal="center"/>
    </xf>
    <xf numFmtId="0" fontId="1" fillId="0" borderId="0" xfId="0" pivotButton="1" applyFont="1" applyAlignment="1">
      <alignment vertical="center" wrapText="1"/>
    </xf>
    <xf numFmtId="0" fontId="1" fillId="0" borderId="0" xfId="0" applyFont="1" applyAlignment="1">
      <alignment vertical="center" wrapText="1"/>
    </xf>
    <xf numFmtId="3" fontId="1" fillId="0" borderId="0" xfId="0" applyNumberFormat="1" applyFont="1" applyAlignment="1">
      <alignment vertical="center" wrapText="1"/>
    </xf>
    <xf numFmtId="0" fontId="1" fillId="70" borderId="0" xfId="7" applyNumberFormat="1" applyFont="1" applyFill="1"/>
    <xf numFmtId="3" fontId="1" fillId="0" borderId="0" xfId="7" applyNumberFormat="1" applyFont="1"/>
    <xf numFmtId="0" fontId="1" fillId="0" borderId="54" xfId="7" applyNumberFormat="1" applyFont="1" applyBorder="1" applyAlignment="1">
      <alignment horizontal="center"/>
    </xf>
    <xf numFmtId="0" fontId="1" fillId="0" borderId="54" xfId="7" applyNumberFormat="1" applyFont="1" applyBorder="1" applyAlignment="1">
      <alignment horizontal="left"/>
    </xf>
    <xf numFmtId="3" fontId="1" fillId="0" borderId="54" xfId="31" applyNumberFormat="1" applyFont="1" applyBorder="1" applyProtection="1"/>
    <xf numFmtId="3" fontId="1" fillId="0" borderId="123" xfId="31" applyNumberFormat="1" applyFont="1" applyBorder="1" applyProtection="1"/>
    <xf numFmtId="3" fontId="1" fillId="0" borderId="245" xfId="31" applyNumberFormat="1" applyFont="1" applyBorder="1" applyProtection="1"/>
    <xf numFmtId="0" fontId="1" fillId="0" borderId="0" xfId="7" applyNumberFormat="1" applyFont="1" applyAlignment="1">
      <alignment horizontal="center"/>
    </xf>
    <xf numFmtId="0" fontId="1" fillId="0" borderId="0" xfId="7" applyNumberFormat="1" applyFont="1" applyAlignment="1">
      <alignment horizontal="left"/>
    </xf>
    <xf numFmtId="3" fontId="1" fillId="0" borderId="0" xfId="31" applyNumberFormat="1" applyFont="1" applyFill="1" applyBorder="1" applyAlignment="1" applyProtection="1"/>
    <xf numFmtId="3" fontId="62" fillId="28" borderId="213" xfId="0" applyNumberFormat="1" applyFont="1" applyFill="1" applyBorder="1" applyAlignment="1" applyProtection="1">
      <alignment horizontal="right" vertical="center"/>
      <protection locked="0"/>
    </xf>
    <xf numFmtId="3" fontId="151" fillId="29" borderId="213" xfId="0" applyNumberFormat="1" applyFont="1" applyFill="1" applyBorder="1" applyAlignment="1" applyProtection="1">
      <alignment horizontal="right" vertical="center"/>
      <protection locked="0"/>
    </xf>
    <xf numFmtId="0" fontId="91" fillId="110" borderId="8" xfId="0" applyFont="1" applyFill="1" applyBorder="1" applyAlignment="1">
      <alignment horizontal="left" vertical="center" wrapText="1"/>
    </xf>
    <xf numFmtId="0" fontId="1" fillId="0" borderId="0" xfId="0" pivotButton="1" applyFont="1"/>
    <xf numFmtId="169" fontId="1" fillId="0" borderId="0" xfId="0" applyNumberFormat="1" applyFont="1"/>
    <xf numFmtId="3" fontId="62" fillId="28" borderId="325" xfId="0" applyNumberFormat="1" applyFont="1" applyFill="1" applyBorder="1" applyAlignment="1" applyProtection="1">
      <alignment horizontal="right" vertical="center"/>
      <protection locked="0"/>
    </xf>
    <xf numFmtId="0" fontId="1" fillId="39" borderId="334" xfId="0" applyFont="1" applyFill="1" applyBorder="1" applyAlignment="1">
      <alignment horizontal="left" vertical="center"/>
    </xf>
    <xf numFmtId="172" fontId="61" fillId="0" borderId="27" xfId="0" applyNumberFormat="1" applyFont="1" applyBorder="1" applyAlignment="1">
      <alignment horizontal="center" vertical="center"/>
    </xf>
    <xf numFmtId="0" fontId="82" fillId="4" borderId="115" xfId="7" applyNumberFormat="1" applyFont="1" applyFill="1" applyBorder="1" applyAlignment="1">
      <alignment horizontal="center" vertical="center" wrapText="1"/>
    </xf>
    <xf numFmtId="0" fontId="61" fillId="19" borderId="183" xfId="34" applyNumberFormat="1" applyFont="1" applyFill="1" applyBorder="1" applyAlignment="1" applyProtection="1">
      <alignment horizontal="center" vertical="center" wrapText="1"/>
      <protection locked="0"/>
    </xf>
    <xf numFmtId="0" fontId="61" fillId="19" borderId="327" xfId="34" applyNumberFormat="1" applyFont="1" applyFill="1" applyBorder="1" applyAlignment="1" applyProtection="1">
      <alignment horizontal="center" vertical="center" wrapText="1"/>
      <protection locked="0"/>
    </xf>
    <xf numFmtId="3" fontId="61" fillId="19" borderId="237" xfId="34" applyNumberFormat="1" applyFont="1" applyFill="1" applyBorder="1" applyAlignment="1" applyProtection="1">
      <alignment horizontal="center" vertical="center" wrapText="1"/>
      <protection locked="0"/>
    </xf>
    <xf numFmtId="175" fontId="18" fillId="98" borderId="335" xfId="32" applyNumberFormat="1" applyFont="1" applyFill="1" applyBorder="1" applyAlignment="1" applyProtection="1">
      <alignment horizontal="right" vertical="center"/>
      <protection locked="0"/>
    </xf>
    <xf numFmtId="0" fontId="219" fillId="60" borderId="336" xfId="7" applyNumberFormat="1" applyFont="1" applyFill="1" applyBorder="1" applyAlignment="1">
      <alignment horizontal="center" vertical="center" wrapText="1"/>
    </xf>
    <xf numFmtId="0" fontId="219" fillId="60" borderId="93" xfId="7" applyNumberFormat="1" applyFont="1" applyFill="1" applyBorder="1" applyAlignment="1">
      <alignment horizontal="center" vertical="center" wrapText="1"/>
    </xf>
    <xf numFmtId="0" fontId="0" fillId="13" borderId="0" xfId="0" applyFill="1"/>
    <xf numFmtId="0" fontId="293" fillId="13" borderId="0" xfId="0" applyFont="1" applyFill="1" applyAlignment="1">
      <alignment horizontal="left" vertical="center" wrapText="1"/>
    </xf>
    <xf numFmtId="0" fontId="212" fillId="0" borderId="0" xfId="40" applyFont="1" applyAlignment="1">
      <alignment vertical="center"/>
    </xf>
    <xf numFmtId="0" fontId="208" fillId="0" borderId="23" xfId="0" applyFont="1" applyBorder="1" applyAlignment="1">
      <alignment horizontal="center" vertical="center" wrapText="1"/>
    </xf>
    <xf numFmtId="0" fontId="296" fillId="93" borderId="23" xfId="39" applyFont="1" applyFill="1" applyBorder="1" applyAlignment="1">
      <alignment horizontal="center" vertical="center" wrapText="1"/>
    </xf>
    <xf numFmtId="0" fontId="297" fillId="0" borderId="0" xfId="0" applyFont="1" applyAlignment="1">
      <alignment horizontal="center" vertical="center"/>
    </xf>
    <xf numFmtId="0" fontId="18" fillId="13" borderId="0" xfId="0" applyFont="1" applyFill="1"/>
    <xf numFmtId="0" fontId="18" fillId="13" borderId="0" xfId="0" applyFont="1" applyFill="1" applyAlignment="1">
      <alignment vertical="center"/>
    </xf>
    <xf numFmtId="0" fontId="211" fillId="13" borderId="0" xfId="0" applyFont="1" applyFill="1" applyAlignment="1">
      <alignment horizontal="center" vertical="center"/>
    </xf>
    <xf numFmtId="0" fontId="300" fillId="13" borderId="0" xfId="0" applyFont="1" applyFill="1" applyAlignment="1">
      <alignment horizontal="center" vertical="center"/>
    </xf>
    <xf numFmtId="0" fontId="291" fillId="13" borderId="0" xfId="0" applyFont="1" applyFill="1" applyAlignment="1">
      <alignment vertical="center"/>
    </xf>
    <xf numFmtId="0" fontId="35" fillId="3" borderId="31" xfId="40" applyFont="1" applyFill="1" applyBorder="1" applyAlignment="1">
      <alignment horizontal="center" vertical="center" wrapText="1"/>
    </xf>
    <xf numFmtId="0" fontId="35" fillId="3" borderId="24" xfId="40" applyFont="1" applyFill="1" applyBorder="1" applyAlignment="1">
      <alignment vertical="center" wrapText="1"/>
    </xf>
    <xf numFmtId="0" fontId="209" fillId="0" borderId="313" xfId="40" applyFont="1" applyBorder="1" applyAlignment="1">
      <alignment horizontal="center" vertical="center" wrapText="1"/>
    </xf>
    <xf numFmtId="0" fontId="296" fillId="0" borderId="23" xfId="39" applyFont="1" applyBorder="1" applyAlignment="1">
      <alignment horizontal="center" vertical="center" wrapText="1"/>
    </xf>
    <xf numFmtId="0" fontId="35" fillId="0" borderId="0" xfId="0" applyFont="1" applyAlignment="1">
      <alignment horizontal="center" vertical="center"/>
    </xf>
    <xf numFmtId="0" fontId="0" fillId="3" borderId="31" xfId="0" applyFill="1" applyBorder="1" applyAlignment="1">
      <alignment horizontal="center" vertical="center" wrapText="1"/>
    </xf>
    <xf numFmtId="0" fontId="207" fillId="3" borderId="24" xfId="40" applyFont="1" applyFill="1" applyBorder="1" applyAlignment="1">
      <alignment vertical="center" wrapText="1"/>
    </xf>
    <xf numFmtId="0" fontId="35" fillId="3" borderId="209" xfId="40" applyFont="1" applyFill="1" applyBorder="1" applyAlignment="1">
      <alignment horizontal="center" vertical="center" wrapText="1"/>
    </xf>
    <xf numFmtId="0" fontId="207" fillId="3" borderId="215" xfId="40" applyFont="1" applyFill="1" applyBorder="1" applyAlignment="1">
      <alignment vertical="center" wrapText="1"/>
    </xf>
    <xf numFmtId="0" fontId="210" fillId="63" borderId="31" xfId="39" applyFont="1" applyFill="1" applyBorder="1" applyAlignment="1">
      <alignment horizontal="center" vertical="center" wrapText="1"/>
    </xf>
    <xf numFmtId="0" fontId="210" fillId="63" borderId="24" xfId="39" applyFont="1" applyFill="1" applyBorder="1" applyAlignment="1">
      <alignment vertical="center" wrapText="1"/>
    </xf>
    <xf numFmtId="49" fontId="208" fillId="29" borderId="23" xfId="39" applyNumberFormat="1" applyFont="1" applyFill="1" applyBorder="1" applyAlignment="1" applyProtection="1">
      <alignment horizontal="right" vertical="center" wrapText="1"/>
      <protection locked="0"/>
    </xf>
    <xf numFmtId="0" fontId="312" fillId="13" borderId="0" xfId="0" applyFont="1" applyFill="1" applyAlignment="1">
      <alignment horizontal="center" vertical="center"/>
    </xf>
    <xf numFmtId="0" fontId="207" fillId="3" borderId="31" xfId="40" applyFont="1" applyFill="1" applyBorder="1" applyAlignment="1">
      <alignment horizontal="center" vertical="center" wrapText="1"/>
    </xf>
    <xf numFmtId="0" fontId="21" fillId="0" borderId="0" xfId="0" applyFont="1" applyAlignment="1">
      <alignment horizontal="center" vertical="center"/>
    </xf>
    <xf numFmtId="0" fontId="301" fillId="3" borderId="31" xfId="39" applyFont="1" applyFill="1" applyBorder="1" applyAlignment="1">
      <alignment horizontal="center" vertical="center" wrapText="1"/>
    </xf>
    <xf numFmtId="0" fontId="35" fillId="3" borderId="25" xfId="40" applyFont="1" applyFill="1" applyBorder="1" applyAlignment="1">
      <alignment vertical="center" wrapText="1"/>
    </xf>
    <xf numFmtId="0" fontId="35" fillId="3" borderId="341" xfId="39" applyFont="1" applyFill="1" applyBorder="1" applyAlignment="1">
      <alignment horizontal="center" vertical="center" wrapText="1"/>
    </xf>
    <xf numFmtId="0" fontId="300" fillId="93" borderId="23" xfId="40" applyFont="1" applyFill="1" applyBorder="1" applyAlignment="1">
      <alignment horizontal="center" vertical="center" wrapText="1"/>
    </xf>
    <xf numFmtId="0" fontId="209" fillId="0" borderId="4" xfId="40" applyFont="1" applyBorder="1" applyAlignment="1">
      <alignment horizontal="center" vertical="center" wrapText="1"/>
    </xf>
    <xf numFmtId="0" fontId="0" fillId="3" borderId="24" xfId="0" applyFill="1" applyBorder="1" applyAlignment="1">
      <alignment vertical="center" wrapText="1"/>
    </xf>
    <xf numFmtId="0" fontId="35" fillId="3" borderId="209" xfId="39" applyFont="1" applyFill="1" applyBorder="1" applyAlignment="1">
      <alignment horizontal="center" vertical="center" wrapText="1"/>
    </xf>
    <xf numFmtId="0" fontId="209" fillId="0" borderId="313" xfId="39" applyFont="1" applyBorder="1" applyAlignment="1">
      <alignment horizontal="center" vertical="center" wrapText="1"/>
    </xf>
    <xf numFmtId="0" fontId="207" fillId="3" borderId="31" xfId="40" applyFont="1" applyFill="1" applyBorder="1" applyAlignment="1">
      <alignment horizontal="center" vertical="center"/>
    </xf>
    <xf numFmtId="0" fontId="209" fillId="0" borderId="313" xfId="40" applyFont="1" applyBorder="1" applyAlignment="1">
      <alignment horizontal="center" vertical="center"/>
    </xf>
    <xf numFmtId="0" fontId="291" fillId="0" borderId="0" xfId="0" applyFont="1" applyAlignment="1">
      <alignment vertical="center"/>
    </xf>
    <xf numFmtId="0" fontId="319" fillId="0" borderId="0" xfId="39" applyFont="1"/>
    <xf numFmtId="0" fontId="205" fillId="0" borderId="0" xfId="39"/>
    <xf numFmtId="0" fontId="0" fillId="3" borderId="31" xfId="0" applyFill="1" applyBorder="1" applyAlignment="1">
      <alignment horizontal="center" vertical="center"/>
    </xf>
    <xf numFmtId="0" fontId="35" fillId="0" borderId="0" xfId="40" applyFont="1" applyAlignment="1">
      <alignment horizontal="left" vertical="center" wrapText="1"/>
    </xf>
    <xf numFmtId="0" fontId="21" fillId="13" borderId="0" xfId="0" applyFont="1" applyFill="1" applyAlignment="1">
      <alignment horizontal="center" vertical="center"/>
    </xf>
    <xf numFmtId="0" fontId="207" fillId="13" borderId="0" xfId="40" applyFont="1" applyFill="1" applyAlignment="1">
      <alignment vertical="center" wrapText="1"/>
    </xf>
    <xf numFmtId="0" fontId="35" fillId="13" borderId="0" xfId="40" applyFont="1" applyFill="1" applyAlignment="1">
      <alignment horizontal="center" vertical="center" wrapText="1"/>
    </xf>
    <xf numFmtId="0" fontId="209" fillId="13" borderId="0" xfId="40" applyFont="1" applyFill="1" applyAlignment="1">
      <alignment horizontal="center" vertical="center" wrapText="1"/>
    </xf>
    <xf numFmtId="0" fontId="296" fillId="13" borderId="0" xfId="39" applyFont="1" applyFill="1" applyAlignment="1">
      <alignment horizontal="center" vertical="center" wrapText="1"/>
    </xf>
    <xf numFmtId="0" fontId="35" fillId="3" borderId="31" xfId="39" applyFont="1" applyFill="1" applyBorder="1" applyAlignment="1">
      <alignment horizontal="center" vertical="center" wrapText="1"/>
    </xf>
    <xf numFmtId="0" fontId="35" fillId="13" borderId="0" xfId="0" applyFont="1" applyFill="1"/>
    <xf numFmtId="0" fontId="300" fillId="93" borderId="23" xfId="0" applyFont="1" applyFill="1" applyBorder="1"/>
    <xf numFmtId="0" fontId="321" fillId="13" borderId="0" xfId="40" applyFont="1" applyFill="1" applyAlignment="1">
      <alignment horizontal="center" vertical="center" wrapText="1"/>
    </xf>
    <xf numFmtId="0" fontId="301" fillId="0" borderId="0" xfId="39" applyFont="1" applyAlignment="1">
      <alignment horizontal="center" vertical="center" wrapText="1"/>
    </xf>
    <xf numFmtId="0" fontId="301" fillId="3" borderId="31" xfId="0" applyFont="1" applyFill="1" applyBorder="1" applyAlignment="1">
      <alignment horizontal="center" vertical="center"/>
    </xf>
    <xf numFmtId="0" fontId="296" fillId="13" borderId="0" xfId="40" applyFont="1" applyFill="1" applyAlignment="1">
      <alignment horizontal="center" vertical="center" wrapText="1"/>
    </xf>
    <xf numFmtId="3" fontId="35" fillId="27" borderId="23" xfId="40" applyNumberFormat="1" applyFont="1" applyFill="1" applyBorder="1" applyAlignment="1">
      <alignment horizontal="right" vertical="center" wrapText="1"/>
    </xf>
    <xf numFmtId="0" fontId="35" fillId="0" borderId="0" xfId="40" applyFont="1" applyAlignment="1">
      <alignment horizontal="center" vertical="center" wrapText="1"/>
    </xf>
    <xf numFmtId="0" fontId="301" fillId="3" borderId="31" xfId="0" applyFont="1" applyFill="1" applyBorder="1" applyAlignment="1">
      <alignment horizontal="center" vertical="center" wrapText="1"/>
    </xf>
    <xf numFmtId="0" fontId="0" fillId="0" borderId="215" xfId="0" applyBorder="1" applyAlignment="1">
      <alignment horizontal="right"/>
    </xf>
    <xf numFmtId="0" fontId="326" fillId="0" borderId="0" xfId="0" applyFont="1" applyAlignment="1">
      <alignment horizontal="center" vertical="center"/>
    </xf>
    <xf numFmtId="169" fontId="0" fillId="0" borderId="213" xfId="0" applyNumberFormat="1" applyBorder="1" applyAlignment="1">
      <alignment horizontal="center" vertical="center"/>
    </xf>
    <xf numFmtId="169" fontId="18" fillId="0" borderId="213" xfId="0" applyNumberFormat="1" applyFont="1" applyBorder="1" applyAlignment="1">
      <alignment horizontal="center" vertical="center"/>
    </xf>
    <xf numFmtId="0" fontId="219" fillId="60" borderId="26" xfId="7" applyNumberFormat="1" applyFont="1" applyFill="1" applyBorder="1" applyAlignment="1">
      <alignment horizontal="center" vertical="center" wrapText="1"/>
    </xf>
    <xf numFmtId="169" fontId="18" fillId="0" borderId="213" xfId="0" applyNumberFormat="1" applyFont="1" applyBorder="1" applyAlignment="1">
      <alignment horizontal="center"/>
    </xf>
    <xf numFmtId="169" fontId="208" fillId="3" borderId="209" xfId="7" applyFont="1" applyFill="1" applyBorder="1" applyAlignment="1">
      <alignment horizontal="center" vertical="center" wrapText="1"/>
    </xf>
    <xf numFmtId="49" fontId="0" fillId="94" borderId="314" xfId="0" applyNumberFormat="1" applyFill="1" applyBorder="1" applyAlignment="1">
      <alignment horizontal="right" vertical="center"/>
    </xf>
    <xf numFmtId="49" fontId="0" fillId="94" borderId="23" xfId="0" applyNumberFormat="1" applyFill="1" applyBorder="1" applyAlignment="1">
      <alignment horizontal="right" vertical="center"/>
    </xf>
    <xf numFmtId="49" fontId="0" fillId="98" borderId="31" xfId="0" applyNumberFormat="1" applyFill="1" applyBorder="1" applyAlignment="1">
      <alignment horizontal="right" vertical="center"/>
    </xf>
    <xf numFmtId="0" fontId="327" fillId="0" borderId="0" xfId="0" applyFont="1" applyAlignment="1">
      <alignment vertical="center" wrapText="1"/>
    </xf>
    <xf numFmtId="49" fontId="18" fillId="94" borderId="314" xfId="0" applyNumberFormat="1" applyFont="1" applyFill="1" applyBorder="1" applyAlignment="1">
      <alignment horizontal="right" vertical="center"/>
    </xf>
    <xf numFmtId="0" fontId="0" fillId="98" borderId="31" xfId="0" applyFill="1" applyBorder="1" applyAlignment="1">
      <alignment horizontal="right" vertical="center"/>
    </xf>
    <xf numFmtId="0" fontId="210" fillId="3" borderId="209" xfId="39" applyFont="1" applyFill="1" applyBorder="1" applyAlignment="1">
      <alignment horizontal="center" vertical="center" wrapText="1"/>
    </xf>
    <xf numFmtId="0" fontId="329" fillId="0" borderId="0" xfId="41" applyFont="1"/>
    <xf numFmtId="0" fontId="322" fillId="0" borderId="0" xfId="41" applyFont="1"/>
    <xf numFmtId="0" fontId="205" fillId="0" borderId="0" xfId="41"/>
    <xf numFmtId="49" fontId="0" fillId="94" borderId="343" xfId="32" applyNumberFormat="1" applyFont="1" applyFill="1" applyBorder="1" applyAlignment="1" applyProtection="1">
      <alignment horizontal="right" vertical="center"/>
    </xf>
    <xf numFmtId="0" fontId="31" fillId="0" borderId="216" xfId="3" applyNumberFormat="1" applyFill="1" applyBorder="1" applyAlignment="1" applyProtection="1">
      <alignment horizontal="center" vertical="center" wrapText="1"/>
    </xf>
    <xf numFmtId="49" fontId="148" fillId="19" borderId="101" xfId="0" applyNumberFormat="1" applyFont="1" applyFill="1" applyBorder="1" applyAlignment="1" applyProtection="1">
      <alignment horizontal="left" vertical="center" wrapText="1"/>
      <protection locked="0"/>
    </xf>
    <xf numFmtId="172" fontId="61" fillId="0" borderId="27" xfId="0" applyNumberFormat="1" applyFont="1" applyBorder="1" applyAlignment="1" applyProtection="1">
      <alignment horizontal="center" vertical="center"/>
      <protection locked="0"/>
    </xf>
    <xf numFmtId="4" fontId="62" fillId="0" borderId="238" xfId="12" applyNumberFormat="1" applyFont="1" applyFill="1" applyBorder="1" applyAlignment="1" applyProtection="1">
      <alignment horizontal="right"/>
    </xf>
    <xf numFmtId="169" fontId="61" fillId="0" borderId="310" xfId="0" applyNumberFormat="1" applyFont="1" applyBorder="1" applyAlignment="1" applyProtection="1">
      <alignment horizontal="left" vertical="center"/>
      <protection locked="0"/>
    </xf>
    <xf numFmtId="0" fontId="85" fillId="0" borderId="346" xfId="0" applyFont="1" applyBorder="1" applyAlignment="1" applyProtection="1">
      <alignment horizontal="center" vertical="center"/>
      <protection locked="0"/>
    </xf>
    <xf numFmtId="3" fontId="62" fillId="0" borderId="238" xfId="36" applyNumberFormat="1" applyFont="1" applyFill="1" applyBorder="1" applyAlignment="1" applyProtection="1">
      <alignment vertical="center" wrapText="1"/>
      <protection locked="0"/>
    </xf>
    <xf numFmtId="1" fontId="62" fillId="113" borderId="8" xfId="7" applyNumberFormat="1" applyFont="1" applyFill="1" applyBorder="1" applyAlignment="1">
      <alignment horizontal="center" vertical="center"/>
    </xf>
    <xf numFmtId="0" fontId="108" fillId="0" borderId="242" xfId="0" applyFont="1" applyBorder="1" applyAlignment="1">
      <alignment horizontal="centerContinuous" vertical="justify" wrapText="1"/>
    </xf>
    <xf numFmtId="0" fontId="343" fillId="0" borderId="0" xfId="7" applyNumberFormat="1" applyFont="1" applyAlignment="1">
      <alignment horizontal="center"/>
    </xf>
    <xf numFmtId="1" fontId="118" fillId="0" borderId="177" xfId="7" applyNumberFormat="1" applyFont="1" applyBorder="1" applyAlignment="1">
      <alignment horizontal="center" vertical="center"/>
    </xf>
    <xf numFmtId="1" fontId="118" fillId="27" borderId="8" xfId="7" applyNumberFormat="1" applyFont="1" applyFill="1" applyBorder="1" applyAlignment="1">
      <alignment horizontal="center" vertical="center"/>
    </xf>
    <xf numFmtId="0" fontId="118" fillId="22" borderId="177" xfId="7" applyNumberFormat="1" applyFont="1" applyFill="1" applyBorder="1" applyAlignment="1">
      <alignment horizontal="center" vertical="center"/>
    </xf>
    <xf numFmtId="1" fontId="118" fillId="30" borderId="8" xfId="7" applyNumberFormat="1" applyFont="1" applyFill="1" applyBorder="1" applyAlignment="1">
      <alignment horizontal="center" vertical="center"/>
    </xf>
    <xf numFmtId="1" fontId="118" fillId="29" borderId="177" xfId="7" applyNumberFormat="1" applyFont="1" applyFill="1" applyBorder="1" applyAlignment="1">
      <alignment horizontal="center" vertical="center"/>
    </xf>
    <xf numFmtId="1" fontId="118" fillId="28" borderId="177" xfId="7" applyNumberFormat="1" applyFont="1" applyFill="1" applyBorder="1" applyAlignment="1">
      <alignment horizontal="center" vertical="center"/>
    </xf>
    <xf numFmtId="0" fontId="118" fillId="22" borderId="8" xfId="7" applyNumberFormat="1" applyFont="1" applyFill="1" applyBorder="1" applyAlignment="1">
      <alignment horizontal="center" vertical="center"/>
    </xf>
    <xf numFmtId="0" fontId="118" fillId="30" borderId="8" xfId="7" applyNumberFormat="1" applyFont="1" applyFill="1" applyBorder="1" applyAlignment="1">
      <alignment horizontal="center" vertical="center"/>
    </xf>
    <xf numFmtId="0" fontId="118" fillId="69" borderId="8" xfId="7" applyNumberFormat="1" applyFont="1" applyFill="1" applyBorder="1" applyAlignment="1">
      <alignment horizontal="center" vertical="center"/>
    </xf>
    <xf numFmtId="0" fontId="118" fillId="11" borderId="8" xfId="7" applyNumberFormat="1" applyFont="1" applyFill="1" applyBorder="1" applyAlignment="1">
      <alignment horizontal="center" vertical="center"/>
    </xf>
    <xf numFmtId="0" fontId="344" fillId="0" borderId="177" xfId="7" applyNumberFormat="1" applyFont="1" applyBorder="1" applyAlignment="1">
      <alignment horizontal="center" vertical="center"/>
    </xf>
    <xf numFmtId="1" fontId="344" fillId="30" borderId="8" xfId="7" applyNumberFormat="1" applyFont="1" applyFill="1" applyBorder="1" applyAlignment="1">
      <alignment horizontal="center" vertical="center"/>
    </xf>
    <xf numFmtId="0" fontId="344" fillId="29" borderId="177" xfId="7" applyNumberFormat="1" applyFont="1" applyFill="1" applyBorder="1" applyAlignment="1">
      <alignment horizontal="center" vertical="center"/>
    </xf>
    <xf numFmtId="0" fontId="344" fillId="28" borderId="177" xfId="7" applyNumberFormat="1" applyFont="1" applyFill="1" applyBorder="1" applyAlignment="1">
      <alignment horizontal="center" vertical="center"/>
    </xf>
    <xf numFmtId="0" fontId="344" fillId="30" borderId="8" xfId="7" applyNumberFormat="1" applyFont="1" applyFill="1" applyBorder="1" applyAlignment="1">
      <alignment horizontal="center" vertical="center"/>
    </xf>
    <xf numFmtId="0" fontId="344" fillId="69" borderId="8" xfId="7" applyNumberFormat="1" applyFont="1" applyFill="1" applyBorder="1" applyAlignment="1">
      <alignment horizontal="center" vertical="center"/>
    </xf>
    <xf numFmtId="0" fontId="344" fillId="11" borderId="8" xfId="7" applyNumberFormat="1" applyFont="1" applyFill="1" applyBorder="1" applyAlignment="1">
      <alignment horizontal="center" vertical="center"/>
    </xf>
    <xf numFmtId="0" fontId="287" fillId="14" borderId="22" xfId="7" applyNumberFormat="1" applyFont="1" applyFill="1" applyBorder="1" applyAlignment="1">
      <alignment horizontal="center" vertical="center" wrapText="1"/>
    </xf>
    <xf numFmtId="0" fontId="287" fillId="22" borderId="8" xfId="7" applyNumberFormat="1" applyFont="1" applyFill="1" applyBorder="1" applyAlignment="1">
      <alignment horizontal="center" vertical="center"/>
    </xf>
    <xf numFmtId="0" fontId="287" fillId="22" borderId="177" xfId="7" applyNumberFormat="1" applyFont="1" applyFill="1" applyBorder="1" applyAlignment="1">
      <alignment horizontal="center" vertical="center"/>
    </xf>
    <xf numFmtId="1" fontId="287" fillId="3" borderId="8" xfId="7" applyNumberFormat="1" applyFont="1" applyFill="1" applyBorder="1" applyAlignment="1">
      <alignment horizontal="center" vertical="center"/>
    </xf>
    <xf numFmtId="0" fontId="287" fillId="113" borderId="22" xfId="7" applyNumberFormat="1" applyFont="1" applyFill="1" applyBorder="1" applyAlignment="1">
      <alignment horizontal="center" vertical="center" wrapText="1"/>
    </xf>
    <xf numFmtId="1" fontId="287" fillId="113" borderId="8" xfId="7" applyNumberFormat="1" applyFont="1" applyFill="1" applyBorder="1" applyAlignment="1">
      <alignment horizontal="center" vertical="center"/>
    </xf>
    <xf numFmtId="1" fontId="344" fillId="3" borderId="8" xfId="7" applyNumberFormat="1" applyFont="1" applyFill="1" applyBorder="1" applyAlignment="1">
      <alignment horizontal="center" vertical="center"/>
    </xf>
    <xf numFmtId="0" fontId="344" fillId="22" borderId="8" xfId="7" applyNumberFormat="1" applyFont="1" applyFill="1" applyBorder="1" applyAlignment="1">
      <alignment horizontal="center" vertical="center"/>
    </xf>
    <xf numFmtId="1" fontId="344" fillId="113" borderId="8" xfId="7" applyNumberFormat="1" applyFont="1" applyFill="1" applyBorder="1" applyAlignment="1">
      <alignment horizontal="center" vertical="center"/>
    </xf>
    <xf numFmtId="0" fontId="85" fillId="4" borderId="337" xfId="7" applyNumberFormat="1" applyFont="1" applyFill="1" applyBorder="1" applyAlignment="1">
      <alignment horizontal="center" vertical="center" wrapText="1"/>
    </xf>
    <xf numFmtId="169" fontId="89" fillId="114" borderId="12" xfId="7" applyFont="1" applyFill="1" applyBorder="1" applyAlignment="1">
      <alignment horizontal="center" vertical="center"/>
    </xf>
    <xf numFmtId="0" fontId="61" fillId="14" borderId="337" xfId="0" applyFont="1" applyFill="1" applyBorder="1" applyAlignment="1">
      <alignment horizontal="justify" vertical="center"/>
    </xf>
    <xf numFmtId="10" fontId="10" fillId="51" borderId="177" xfId="32" applyNumberFormat="1" applyFont="1" applyFill="1" applyBorder="1" applyAlignment="1" applyProtection="1">
      <alignment horizontal="center" vertical="center"/>
    </xf>
    <xf numFmtId="3" fontId="9" fillId="105" borderId="12" xfId="31" applyNumberFormat="1" applyFont="1" applyFill="1" applyBorder="1" applyAlignment="1" applyProtection="1">
      <alignment vertical="center" wrapText="1"/>
      <protection locked="0"/>
    </xf>
    <xf numFmtId="3" fontId="89" fillId="114" borderId="13" xfId="7" applyNumberFormat="1" applyFont="1" applyFill="1" applyBorder="1" applyAlignment="1">
      <alignment horizontal="center" vertical="center" wrapText="1"/>
    </xf>
    <xf numFmtId="0" fontId="91" fillId="19" borderId="28" xfId="0" applyFont="1" applyFill="1" applyBorder="1" applyAlignment="1">
      <alignment horizontal="center" vertical="center"/>
    </xf>
    <xf numFmtId="0" fontId="91" fillId="29" borderId="28" xfId="0" applyFont="1" applyFill="1" applyBorder="1" applyAlignment="1">
      <alignment horizontal="center" vertical="center"/>
    </xf>
    <xf numFmtId="0" fontId="91" fillId="114" borderId="28" xfId="0" applyFont="1" applyFill="1" applyBorder="1" applyAlignment="1">
      <alignment horizontal="center" vertical="center"/>
    </xf>
    <xf numFmtId="0" fontId="91" fillId="114" borderId="337" xfId="0" applyFont="1" applyFill="1" applyBorder="1" applyAlignment="1">
      <alignment horizontal="center" vertical="center"/>
    </xf>
    <xf numFmtId="0" fontId="91" fillId="73" borderId="347" xfId="0" applyFont="1" applyFill="1" applyBorder="1" applyAlignment="1">
      <alignment vertical="center"/>
    </xf>
    <xf numFmtId="3" fontId="62" fillId="114" borderId="8" xfId="12" applyNumberFormat="1" applyFont="1" applyFill="1" applyBorder="1" applyAlignment="1" applyProtection="1">
      <alignment horizontal="center" vertical="center"/>
      <protection locked="0"/>
    </xf>
    <xf numFmtId="186" fontId="62" fillId="29" borderId="12" xfId="7" applyNumberFormat="1" applyFont="1" applyFill="1" applyBorder="1" applyAlignment="1" applyProtection="1">
      <alignment horizontal="left" vertical="center" wrapText="1" indent="2"/>
      <protection locked="0"/>
    </xf>
    <xf numFmtId="186" fontId="62" fillId="29" borderId="12" xfId="7" applyNumberFormat="1" applyFont="1" applyFill="1" applyBorder="1" applyAlignment="1" applyProtection="1">
      <alignment horizontal="center" vertical="center" wrapText="1"/>
      <protection locked="0"/>
    </xf>
    <xf numFmtId="186" fontId="62" fillId="103" borderId="12" xfId="7" applyNumberFormat="1" applyFont="1" applyFill="1" applyBorder="1" applyAlignment="1">
      <alignment horizontal="center" vertical="center" wrapText="1"/>
    </xf>
    <xf numFmtId="169" fontId="62" fillId="103" borderId="12" xfId="7" applyFont="1" applyFill="1" applyBorder="1" applyAlignment="1">
      <alignment horizontal="left" vertical="center" wrapText="1" indent="2"/>
    </xf>
    <xf numFmtId="171" fontId="62" fillId="103" borderId="12" xfId="7" applyNumberFormat="1" applyFont="1" applyFill="1" applyBorder="1" applyAlignment="1">
      <alignment horizontal="center" vertical="center" wrapText="1"/>
    </xf>
    <xf numFmtId="169" fontId="345" fillId="0" borderId="0" xfId="7" applyFont="1" applyAlignment="1">
      <alignment vertical="center"/>
    </xf>
    <xf numFmtId="169" fontId="89" fillId="9" borderId="347" xfId="0" applyNumberFormat="1" applyFont="1" applyFill="1" applyBorder="1" applyAlignment="1">
      <alignment vertical="center"/>
    </xf>
    <xf numFmtId="0" fontId="89" fillId="4" borderId="342" xfId="0" applyFont="1" applyFill="1" applyBorder="1" applyAlignment="1">
      <alignment horizontal="center" vertical="center" wrapText="1"/>
    </xf>
    <xf numFmtId="169" fontId="89" fillId="39" borderId="337" xfId="7" applyFont="1" applyFill="1" applyBorder="1" applyAlignment="1">
      <alignment horizontal="left" vertical="center" wrapText="1" indent="2"/>
    </xf>
    <xf numFmtId="3" fontId="91" fillId="0" borderId="8" xfId="0" applyNumberFormat="1" applyFont="1" applyBorder="1" applyAlignment="1">
      <alignment horizontal="right"/>
    </xf>
    <xf numFmtId="0" fontId="347" fillId="0" borderId="0" xfId="0" applyFont="1"/>
    <xf numFmtId="0" fontId="348" fillId="0" borderId="0" xfId="0" applyFont="1"/>
    <xf numFmtId="10" fontId="62" fillId="21" borderId="238" xfId="13" applyFont="1" applyFill="1" applyBorder="1" applyAlignment="1" applyProtection="1">
      <alignment horizontal="right"/>
    </xf>
    <xf numFmtId="3" fontId="83" fillId="0" borderId="0" xfId="0" applyNumberFormat="1" applyFont="1" applyAlignment="1">
      <alignment vertical="center" wrapText="1"/>
    </xf>
    <xf numFmtId="3" fontId="62" fillId="0" borderId="337" xfId="0" applyNumberFormat="1" applyFont="1" applyBorder="1" applyAlignment="1">
      <alignment horizontal="right"/>
    </xf>
    <xf numFmtId="0" fontId="1" fillId="13" borderId="238" xfId="0" applyFont="1" applyFill="1" applyBorder="1"/>
    <xf numFmtId="3" fontId="89" fillId="0" borderId="8" xfId="0" applyNumberFormat="1" applyFont="1" applyBorder="1" applyAlignment="1">
      <alignment horizontal="right" vertical="center" wrapText="1"/>
    </xf>
    <xf numFmtId="0" fontId="18" fillId="0" borderId="245" xfId="0" applyFont="1" applyBorder="1"/>
    <xf numFmtId="4" fontId="1" fillId="28" borderId="337" xfId="0" applyNumberFormat="1" applyFont="1" applyFill="1" applyBorder="1" applyAlignment="1" applyProtection="1">
      <alignment horizontal="center" vertical="center"/>
      <protection locked="0"/>
    </xf>
    <xf numFmtId="4" fontId="1" fillId="29" borderId="337" xfId="0" applyNumberFormat="1" applyFont="1" applyFill="1" applyBorder="1" applyAlignment="1" applyProtection="1">
      <alignment horizontal="center" vertical="center"/>
      <protection locked="0"/>
    </xf>
    <xf numFmtId="4" fontId="1" fillId="28" borderId="339" xfId="0" applyNumberFormat="1" applyFont="1" applyFill="1" applyBorder="1" applyAlignment="1" applyProtection="1">
      <alignment horizontal="center" vertical="center"/>
      <protection locked="0"/>
    </xf>
    <xf numFmtId="4" fontId="1" fillId="29" borderId="339" xfId="0" applyNumberFormat="1" applyFont="1" applyFill="1" applyBorder="1" applyAlignment="1" applyProtection="1">
      <alignment horizontal="center" vertical="center"/>
      <protection locked="0"/>
    </xf>
    <xf numFmtId="3" fontId="62" fillId="19" borderId="338" xfId="12" applyNumberFormat="1" applyFont="1" applyFill="1" applyBorder="1" applyAlignment="1" applyProtection="1">
      <alignment vertical="center"/>
      <protection locked="0"/>
    </xf>
    <xf numFmtId="3" fontId="62" fillId="28" borderId="338" xfId="12" applyNumberFormat="1" applyFont="1" applyFill="1" applyBorder="1" applyAlignment="1" applyProtection="1">
      <alignment vertical="center"/>
      <protection locked="0"/>
    </xf>
    <xf numFmtId="3" fontId="62" fillId="19" borderId="340" xfId="12" applyNumberFormat="1" applyFont="1" applyFill="1" applyBorder="1" applyAlignment="1" applyProtection="1">
      <alignment vertical="center"/>
      <protection locked="0"/>
    </xf>
    <xf numFmtId="3" fontId="1" fillId="31" borderId="220" xfId="0" applyNumberFormat="1" applyFont="1" applyFill="1" applyBorder="1" applyAlignment="1" applyProtection="1">
      <alignment horizontal="center" vertical="center"/>
      <protection locked="0"/>
    </xf>
    <xf numFmtId="188" fontId="62" fillId="19" borderId="338" xfId="12" applyNumberFormat="1" applyFont="1" applyFill="1" applyBorder="1" applyAlignment="1" applyProtection="1">
      <alignment vertical="center"/>
      <protection locked="0"/>
    </xf>
    <xf numFmtId="188" fontId="62" fillId="28" borderId="338" xfId="12" applyNumberFormat="1" applyFont="1" applyFill="1" applyBorder="1" applyAlignment="1" applyProtection="1">
      <alignment vertical="center"/>
      <protection locked="0"/>
    </xf>
    <xf numFmtId="188" fontId="62" fillId="19" borderId="355" xfId="12" applyNumberFormat="1" applyFont="1" applyFill="1" applyBorder="1" applyAlignment="1" applyProtection="1">
      <alignment vertical="center"/>
      <protection locked="0"/>
    </xf>
    <xf numFmtId="188" fontId="62" fillId="31" borderId="337" xfId="12" applyNumberFormat="1" applyFont="1" applyFill="1" applyBorder="1" applyAlignment="1" applyProtection="1">
      <alignment vertical="center"/>
      <protection locked="0"/>
    </xf>
    <xf numFmtId="4" fontId="1" fillId="31" borderId="338" xfId="0" applyNumberFormat="1" applyFont="1" applyFill="1" applyBorder="1" applyAlignment="1" applyProtection="1">
      <alignment horizontal="center" vertical="center"/>
      <protection locked="0"/>
    </xf>
    <xf numFmtId="4" fontId="1" fillId="31" borderId="355" xfId="0" applyNumberFormat="1" applyFont="1" applyFill="1" applyBorder="1" applyAlignment="1" applyProtection="1">
      <alignment horizontal="center" vertical="center"/>
      <protection locked="0"/>
    </xf>
    <xf numFmtId="3" fontId="1" fillId="31" borderId="354" xfId="0" applyNumberFormat="1" applyFont="1" applyFill="1" applyBorder="1" applyAlignment="1" applyProtection="1">
      <alignment horizontal="center" vertical="center"/>
      <protection locked="0"/>
    </xf>
    <xf numFmtId="3" fontId="1" fillId="19" borderId="337" xfId="0" applyNumberFormat="1" applyFont="1" applyFill="1" applyBorder="1" applyAlignment="1" applyProtection="1">
      <alignment horizontal="center" vertical="center"/>
      <protection locked="0"/>
    </xf>
    <xf numFmtId="3" fontId="1" fillId="29" borderId="337" xfId="0" applyNumberFormat="1" applyFont="1" applyFill="1" applyBorder="1" applyAlignment="1" applyProtection="1">
      <alignment horizontal="center" vertical="center"/>
      <protection locked="0"/>
    </xf>
    <xf numFmtId="3" fontId="1" fillId="19" borderId="356" xfId="0" applyNumberFormat="1" applyFont="1" applyFill="1" applyBorder="1" applyAlignment="1" applyProtection="1">
      <alignment horizontal="center" vertical="center"/>
      <protection locked="0"/>
    </xf>
    <xf numFmtId="3" fontId="1" fillId="29" borderId="356" xfId="0" applyNumberFormat="1" applyFont="1" applyFill="1" applyBorder="1" applyAlignment="1" applyProtection="1">
      <alignment horizontal="center" vertical="center"/>
      <protection locked="0"/>
    </xf>
    <xf numFmtId="3" fontId="62" fillId="31" borderId="354" xfId="12" applyNumberFormat="1" applyFont="1" applyFill="1" applyBorder="1" applyAlignment="1" applyProtection="1">
      <alignment vertical="center"/>
      <protection locked="0"/>
    </xf>
    <xf numFmtId="3" fontId="62" fillId="31" borderId="220" xfId="12" applyNumberFormat="1" applyFont="1" applyFill="1" applyBorder="1" applyAlignment="1" applyProtection="1">
      <alignment vertical="center"/>
      <protection locked="0"/>
    </xf>
    <xf numFmtId="3" fontId="62" fillId="2" borderId="102" xfId="31" applyNumberFormat="1" applyFont="1" applyFill="1" applyBorder="1" applyAlignment="1" applyProtection="1">
      <alignment horizontal="right" vertical="center" wrapText="1"/>
    </xf>
    <xf numFmtId="0" fontId="83" fillId="0" borderId="245" xfId="0" applyFont="1" applyBorder="1" applyAlignment="1">
      <alignment vertical="center" wrapText="1"/>
    </xf>
    <xf numFmtId="0" fontId="159" fillId="0" borderId="0" xfId="0" applyFont="1" applyAlignment="1">
      <alignment horizontal="left" vertical="center"/>
    </xf>
    <xf numFmtId="3" fontId="61" fillId="0" borderId="357" xfId="25" applyNumberFormat="1" applyFont="1" applyBorder="1" applyAlignment="1" applyProtection="1">
      <alignment horizontal="center" vertical="center" wrapText="1"/>
      <protection locked="0"/>
    </xf>
    <xf numFmtId="0" fontId="353" fillId="0" borderId="360" xfId="25" quotePrefix="1" applyNumberFormat="1" applyFont="1" applyBorder="1" applyAlignment="1" applyProtection="1">
      <alignment horizontal="right" vertical="center" wrapText="1"/>
      <protection locked="0"/>
    </xf>
    <xf numFmtId="3" fontId="62" fillId="115" borderId="0" xfId="0" applyNumberFormat="1" applyFont="1" applyFill="1" applyAlignment="1" applyProtection="1">
      <alignment horizontal="right" vertical="center"/>
      <protection locked="0"/>
    </xf>
    <xf numFmtId="4" fontId="191" fillId="0" borderId="360" xfId="25" applyNumberFormat="1" applyFont="1" applyBorder="1" applyAlignment="1">
      <alignment horizontal="left" vertical="center" wrapText="1"/>
    </xf>
    <xf numFmtId="169" fontId="191" fillId="116" borderId="361" xfId="25" applyFont="1" applyFill="1" applyBorder="1" applyAlignment="1">
      <alignment vertical="center" wrapText="1"/>
    </xf>
    <xf numFmtId="3" fontId="191" fillId="0" borderId="360" xfId="25" applyNumberFormat="1" applyFont="1" applyBorder="1" applyAlignment="1" applyProtection="1">
      <alignment horizontal="center" vertical="center" wrapText="1"/>
      <protection locked="0"/>
    </xf>
    <xf numFmtId="3" fontId="191" fillId="0" borderId="360" xfId="25" applyNumberFormat="1" applyFont="1" applyBorder="1" applyAlignment="1" applyProtection="1">
      <alignment horizontal="right" vertical="center" wrapText="1"/>
      <protection locked="0"/>
    </xf>
    <xf numFmtId="3" fontId="313" fillId="0" borderId="0" xfId="0" applyNumberFormat="1" applyFont="1" applyAlignment="1" applyProtection="1">
      <alignment horizontal="right"/>
      <protection locked="0"/>
    </xf>
    <xf numFmtId="169" fontId="191" fillId="116" borderId="361" xfId="25" applyFont="1" applyFill="1" applyBorder="1" applyAlignment="1">
      <alignment vertical="center"/>
    </xf>
    <xf numFmtId="172" fontId="62" fillId="0" borderId="0" xfId="12" applyNumberFormat="1" applyFont="1" applyFill="1" applyBorder="1" applyAlignment="1" applyProtection="1">
      <alignment horizontal="right" vertical="center"/>
    </xf>
    <xf numFmtId="3" fontId="62" fillId="0" borderId="358" xfId="12" applyNumberFormat="1" applyFont="1" applyFill="1" applyBorder="1" applyAlignment="1" applyProtection="1">
      <alignment horizontal="right"/>
    </xf>
    <xf numFmtId="3" fontId="151" fillId="114" borderId="254" xfId="0" applyNumberFormat="1" applyFont="1" applyFill="1" applyBorder="1" applyAlignment="1" applyProtection="1">
      <alignment horizontal="right" vertical="center"/>
      <protection locked="0"/>
    </xf>
    <xf numFmtId="3" fontId="283" fillId="0" borderId="33" xfId="12" applyNumberFormat="1" applyFont="1" applyFill="1" applyBorder="1" applyAlignment="1" applyProtection="1"/>
    <xf numFmtId="3" fontId="62" fillId="0" borderId="358" xfId="12" applyNumberFormat="1" applyFont="1" applyFill="1" applyBorder="1" applyAlignment="1" applyProtection="1"/>
    <xf numFmtId="188" fontId="62" fillId="31" borderId="362" xfId="12" applyNumberFormat="1" applyFont="1" applyFill="1" applyBorder="1" applyAlignment="1" applyProtection="1">
      <alignment vertical="center"/>
      <protection locked="0"/>
    </xf>
    <xf numFmtId="188" fontId="62" fillId="31" borderId="355" xfId="12" applyNumberFormat="1" applyFont="1" applyFill="1" applyBorder="1" applyAlignment="1" applyProtection="1">
      <alignment vertical="center"/>
      <protection locked="0"/>
    </xf>
    <xf numFmtId="0" fontId="89" fillId="4" borderId="358" xfId="0" applyFont="1" applyFill="1" applyBorder="1" applyAlignment="1">
      <alignment horizontal="center" vertical="center" wrapText="1"/>
    </xf>
    <xf numFmtId="3" fontId="62" fillId="0" borderId="358" xfId="0" applyNumberFormat="1" applyFont="1" applyBorder="1"/>
    <xf numFmtId="3" fontId="113" fillId="0" borderId="33" xfId="12" applyNumberFormat="1" applyFont="1" applyFill="1" applyBorder="1" applyAlignment="1" applyProtection="1"/>
    <xf numFmtId="3" fontId="62" fillId="106" borderId="358" xfId="12" applyNumberFormat="1" applyFont="1" applyFill="1" applyBorder="1" applyAlignment="1" applyProtection="1">
      <alignment horizontal="right"/>
    </xf>
    <xf numFmtId="4" fontId="62" fillId="3" borderId="358" xfId="12" applyNumberFormat="1" applyFont="1" applyFill="1" applyBorder="1" applyAlignment="1" applyProtection="1">
      <alignment horizontal="right"/>
    </xf>
    <xf numFmtId="3" fontId="1" fillId="0" borderId="358" xfId="0" applyNumberFormat="1" applyFont="1" applyBorder="1"/>
    <xf numFmtId="0" fontId="91" fillId="13" borderId="8" xfId="0" applyFont="1" applyFill="1" applyBorder="1" applyAlignment="1">
      <alignment horizontal="left" vertical="center" wrapText="1"/>
    </xf>
    <xf numFmtId="0" fontId="260" fillId="68" borderId="358" xfId="0" applyFont="1" applyFill="1" applyBorder="1" applyAlignment="1">
      <alignment horizontal="left" vertical="center" wrapText="1"/>
    </xf>
    <xf numFmtId="0" fontId="91" fillId="73" borderId="363" xfId="0" applyFont="1" applyFill="1" applyBorder="1" applyAlignment="1">
      <alignment vertical="center"/>
    </xf>
    <xf numFmtId="0" fontId="91" fillId="73" borderId="364" xfId="0" applyFont="1" applyFill="1" applyBorder="1" applyAlignment="1">
      <alignment vertical="center"/>
    </xf>
    <xf numFmtId="0" fontId="91" fillId="73" borderId="362" xfId="0" applyFont="1" applyFill="1" applyBorder="1" applyAlignment="1">
      <alignment vertical="center"/>
    </xf>
    <xf numFmtId="172" fontId="62" fillId="66" borderId="181" xfId="12" applyNumberFormat="1" applyFont="1" applyFill="1" applyBorder="1" applyAlignment="1" applyProtection="1">
      <alignment vertical="center"/>
      <protection locked="0"/>
    </xf>
    <xf numFmtId="172" fontId="62" fillId="66" borderId="206" xfId="12" applyNumberFormat="1" applyFont="1" applyFill="1" applyBorder="1" applyAlignment="1" applyProtection="1">
      <alignment vertical="center"/>
      <protection locked="0"/>
    </xf>
    <xf numFmtId="0" fontId="182" fillId="0" borderId="0" xfId="0" applyFont="1"/>
    <xf numFmtId="169" fontId="24" fillId="0" borderId="0" xfId="0" applyNumberFormat="1" applyFont="1" applyAlignment="1">
      <alignment horizontal="center"/>
    </xf>
    <xf numFmtId="169" fontId="24" fillId="0" borderId="0" xfId="0" applyNumberFormat="1" applyFont="1" applyAlignment="1">
      <alignment horizontal="left" vertical="center"/>
    </xf>
    <xf numFmtId="169" fontId="25" fillId="0" borderId="0" xfId="0" applyNumberFormat="1" applyFont="1" applyAlignment="1">
      <alignment vertical="center"/>
    </xf>
    <xf numFmtId="169" fontId="25" fillId="0" borderId="3" xfId="0" applyNumberFormat="1" applyFont="1" applyBorder="1" applyAlignment="1">
      <alignment vertical="center"/>
    </xf>
    <xf numFmtId="169" fontId="62" fillId="0" borderId="152" xfId="0" applyNumberFormat="1" applyFont="1" applyBorder="1" applyAlignment="1">
      <alignment vertical="center"/>
    </xf>
    <xf numFmtId="0" fontId="1" fillId="68" borderId="8" xfId="0" applyFont="1" applyFill="1" applyBorder="1" applyAlignment="1">
      <alignment horizontal="center" vertical="center"/>
    </xf>
    <xf numFmtId="169" fontId="62" fillId="4" borderId="184" xfId="0" applyNumberFormat="1" applyFont="1" applyFill="1" applyBorder="1" applyAlignment="1">
      <alignment horizontal="center" vertical="center" wrapText="1"/>
    </xf>
    <xf numFmtId="169" fontId="89" fillId="4" borderId="22" xfId="0" applyNumberFormat="1" applyFont="1" applyFill="1" applyBorder="1" applyAlignment="1">
      <alignment horizontal="center" vertical="center" wrapText="1"/>
    </xf>
    <xf numFmtId="0" fontId="147" fillId="41" borderId="102" xfId="0" applyFont="1" applyFill="1" applyBorder="1" applyAlignment="1">
      <alignment horizontal="center" vertical="center" wrapText="1"/>
    </xf>
    <xf numFmtId="0" fontId="357" fillId="41" borderId="102" xfId="0" applyFont="1" applyFill="1" applyBorder="1" applyAlignment="1">
      <alignment horizontal="center" vertical="center" wrapText="1"/>
    </xf>
    <xf numFmtId="174" fontId="62" fillId="13" borderId="102" xfId="0" applyNumberFormat="1" applyFont="1" applyFill="1" applyBorder="1" applyAlignment="1">
      <alignment horizontal="center" vertical="center"/>
    </xf>
    <xf numFmtId="169" fontId="62" fillId="29" borderId="102" xfId="0" applyNumberFormat="1" applyFont="1" applyFill="1" applyBorder="1" applyAlignment="1" applyProtection="1">
      <alignment horizontal="center" vertical="center"/>
      <protection locked="0"/>
    </xf>
    <xf numFmtId="174" fontId="62" fillId="29" borderId="102" xfId="0" applyNumberFormat="1" applyFont="1" applyFill="1" applyBorder="1" applyAlignment="1" applyProtection="1">
      <alignment horizontal="center" vertical="center"/>
      <protection locked="0"/>
    </xf>
    <xf numFmtId="3" fontId="137" fillId="0" borderId="8" xfId="0" applyNumberFormat="1" applyFont="1" applyBorder="1"/>
    <xf numFmtId="10" fontId="137" fillId="0" borderId="323" xfId="32" applyNumberFormat="1" applyFont="1" applyFill="1" applyBorder="1" applyAlignment="1" applyProtection="1">
      <alignment horizontal="right"/>
    </xf>
    <xf numFmtId="3" fontId="137" fillId="0" borderId="8" xfId="12" applyNumberFormat="1" applyFont="1" applyFill="1" applyBorder="1" applyAlignment="1" applyProtection="1">
      <alignment horizontal="right"/>
    </xf>
    <xf numFmtId="180" fontId="137" fillId="0" borderId="8" xfId="12" applyNumberFormat="1" applyFont="1" applyFill="1" applyBorder="1" applyAlignment="1" applyProtection="1">
      <alignment horizontal="right"/>
    </xf>
    <xf numFmtId="3" fontId="137" fillId="0" borderId="323" xfId="12" applyNumberFormat="1" applyFont="1" applyFill="1" applyBorder="1" applyAlignment="1" applyProtection="1">
      <alignment horizontal="right"/>
    </xf>
    <xf numFmtId="173" fontId="137" fillId="0" borderId="323" xfId="12" applyNumberFormat="1" applyFont="1" applyFill="1" applyBorder="1" applyAlignment="1" applyProtection="1">
      <alignment horizontal="right"/>
    </xf>
    <xf numFmtId="3" fontId="137" fillId="0" borderId="358" xfId="0" applyNumberFormat="1" applyFont="1" applyBorder="1"/>
    <xf numFmtId="3" fontId="137" fillId="0" borderId="358" xfId="12" applyNumberFormat="1" applyFont="1" applyFill="1" applyBorder="1" applyAlignment="1" applyProtection="1">
      <alignment horizontal="right"/>
    </xf>
    <xf numFmtId="3" fontId="137" fillId="0" borderId="177" xfId="12" applyNumberFormat="1" applyFont="1" applyFill="1" applyBorder="1" applyAlignment="1" applyProtection="1">
      <alignment horizontal="right"/>
    </xf>
    <xf numFmtId="3" fontId="137" fillId="13" borderId="8" xfId="0" applyNumberFormat="1" applyFont="1" applyFill="1" applyBorder="1"/>
    <xf numFmtId="3" fontId="137" fillId="0" borderId="8" xfId="31" applyNumberFormat="1" applyFont="1" applyFill="1" applyBorder="1" applyProtection="1"/>
    <xf numFmtId="3" fontId="137" fillId="13" borderId="177" xfId="12" applyNumberFormat="1" applyFont="1" applyFill="1" applyBorder="1" applyAlignment="1" applyProtection="1">
      <alignment horizontal="right"/>
    </xf>
    <xf numFmtId="0" fontId="61" fillId="14" borderId="216" xfId="0" applyFont="1" applyFill="1" applyBorder="1" applyAlignment="1">
      <alignment horizontal="justify" vertical="center"/>
    </xf>
    <xf numFmtId="169" fontId="61" fillId="14" borderId="216" xfId="0" applyNumberFormat="1" applyFont="1" applyFill="1" applyBorder="1" applyAlignment="1">
      <alignment horizontal="justify" vertical="center"/>
    </xf>
    <xf numFmtId="0" fontId="61" fillId="14" borderId="216" xfId="7" applyNumberFormat="1" applyFont="1" applyFill="1" applyBorder="1" applyAlignment="1">
      <alignment horizontal="center" vertical="center" wrapText="1"/>
    </xf>
    <xf numFmtId="179" fontId="91" fillId="11" borderId="8" xfId="0" applyNumberFormat="1" applyFont="1" applyFill="1" applyBorder="1" applyAlignment="1">
      <alignment horizontal="left" vertical="center"/>
    </xf>
    <xf numFmtId="49" fontId="61" fillId="4" borderId="365" xfId="0" applyNumberFormat="1" applyFont="1" applyFill="1" applyBorder="1" applyAlignment="1">
      <alignment horizontal="center" vertical="center" wrapText="1"/>
    </xf>
    <xf numFmtId="1" fontId="62" fillId="29" borderId="213" xfId="0" applyNumberFormat="1" applyFont="1" applyFill="1" applyBorder="1" applyAlignment="1" applyProtection="1">
      <alignment vertical="center" wrapText="1"/>
      <protection locked="0"/>
    </xf>
    <xf numFmtId="3" fontId="137" fillId="0" borderId="255" xfId="12" quotePrefix="1" applyNumberFormat="1" applyFont="1" applyFill="1" applyBorder="1" applyAlignment="1" applyProtection="1">
      <alignment horizontal="right" vertical="center"/>
    </xf>
    <xf numFmtId="3" fontId="137" fillId="0" borderId="116" xfId="0" applyNumberFormat="1" applyFont="1" applyBorder="1"/>
    <xf numFmtId="3" fontId="137" fillId="0" borderId="115" xfId="0" applyNumberFormat="1" applyFont="1" applyBorder="1"/>
    <xf numFmtId="3" fontId="137" fillId="0" borderId="47" xfId="0" applyNumberFormat="1" applyFont="1" applyBorder="1"/>
    <xf numFmtId="3" fontId="137" fillId="0" borderId="50" xfId="0" applyNumberFormat="1" applyFont="1" applyBorder="1"/>
    <xf numFmtId="3" fontId="83" fillId="0" borderId="366" xfId="0" applyNumberFormat="1" applyFont="1" applyBorder="1"/>
    <xf numFmtId="3" fontId="83" fillId="0" borderId="367" xfId="0" applyNumberFormat="1" applyFont="1" applyBorder="1"/>
    <xf numFmtId="3" fontId="137" fillId="0" borderId="367" xfId="0" applyNumberFormat="1" applyFont="1" applyBorder="1"/>
    <xf numFmtId="3" fontId="137" fillId="0" borderId="323" xfId="0" applyNumberFormat="1" applyFont="1" applyBorder="1" applyAlignment="1">
      <alignment horizontal="right" vertical="center" wrapText="1"/>
    </xf>
    <xf numFmtId="0" fontId="83" fillId="13" borderId="0" xfId="0" applyFont="1" applyFill="1" applyAlignment="1">
      <alignment vertical="center" wrapText="1"/>
    </xf>
    <xf numFmtId="0" fontId="83" fillId="13" borderId="0" xfId="0" applyFont="1" applyFill="1"/>
    <xf numFmtId="0" fontId="351" fillId="13" borderId="0" xfId="0" applyFont="1" applyFill="1"/>
    <xf numFmtId="0" fontId="86" fillId="13" borderId="0" xfId="0" applyFont="1" applyFill="1" applyAlignment="1">
      <alignment horizontal="left"/>
    </xf>
    <xf numFmtId="3" fontId="91" fillId="13" borderId="0" xfId="0" applyNumberFormat="1" applyFont="1" applyFill="1"/>
    <xf numFmtId="0" fontId="350" fillId="13" borderId="0" xfId="0" applyFont="1" applyFill="1"/>
    <xf numFmtId="0" fontId="352" fillId="13" borderId="0" xfId="0" applyFont="1" applyFill="1"/>
    <xf numFmtId="0" fontId="0" fillId="13" borderId="0" xfId="0" applyFill="1" applyAlignment="1">
      <alignment vertical="center" wrapText="1"/>
    </xf>
    <xf numFmtId="3" fontId="83" fillId="13" borderId="0" xfId="0" applyNumberFormat="1" applyFont="1" applyFill="1"/>
    <xf numFmtId="0" fontId="92" fillId="13" borderId="54" xfId="0" applyFont="1" applyFill="1" applyBorder="1" applyAlignment="1">
      <alignment vertical="center"/>
    </xf>
    <xf numFmtId="0" fontId="83" fillId="13" borderId="54" xfId="0" applyFont="1" applyFill="1" applyBorder="1" applyAlignment="1">
      <alignment vertical="center"/>
    </xf>
    <xf numFmtId="0" fontId="351" fillId="13" borderId="54" xfId="0" applyFont="1" applyFill="1" applyBorder="1" applyAlignment="1">
      <alignment vertical="center"/>
    </xf>
    <xf numFmtId="0" fontId="93" fillId="13" borderId="54" xfId="0" applyFont="1" applyFill="1" applyBorder="1" applyAlignment="1">
      <alignment vertical="center"/>
    </xf>
    <xf numFmtId="0" fontId="83" fillId="13" borderId="0" xfId="0" applyFont="1" applyFill="1" applyAlignment="1">
      <alignment vertical="center"/>
    </xf>
    <xf numFmtId="0" fontId="351" fillId="13" borderId="0" xfId="0" applyFont="1" applyFill="1" applyAlignment="1">
      <alignment vertical="center"/>
    </xf>
    <xf numFmtId="0" fontId="80" fillId="13" borderId="0" xfId="0" applyFont="1" applyFill="1" applyAlignment="1">
      <alignment horizontal="center" vertical="center"/>
    </xf>
    <xf numFmtId="0" fontId="161" fillId="13" borderId="54" xfId="0" applyFont="1" applyFill="1" applyBorder="1" applyAlignment="1">
      <alignment vertical="center"/>
    </xf>
    <xf numFmtId="0" fontId="351" fillId="13" borderId="123" xfId="0" applyFont="1" applyFill="1" applyBorder="1" applyAlignment="1">
      <alignment vertical="center"/>
    </xf>
    <xf numFmtId="174" fontId="0" fillId="13" borderId="0" xfId="0" applyNumberFormat="1" applyFill="1"/>
    <xf numFmtId="3" fontId="137" fillId="0" borderId="8" xfId="31" applyNumberFormat="1" applyFont="1" applyBorder="1" applyProtection="1"/>
    <xf numFmtId="0" fontId="161" fillId="0" borderId="54" xfId="0" applyFont="1" applyBorder="1" applyAlignment="1">
      <alignment vertical="center" wrapText="1"/>
    </xf>
    <xf numFmtId="0" fontId="348" fillId="21" borderId="0" xfId="0" applyFont="1" applyFill="1" applyAlignment="1">
      <alignment wrapText="1"/>
    </xf>
    <xf numFmtId="0" fontId="118" fillId="0" borderId="8" xfId="0" applyFont="1" applyBorder="1" applyAlignment="1">
      <alignment horizontal="left" vertical="center" wrapText="1"/>
    </xf>
    <xf numFmtId="0" fontId="118" fillId="0" borderId="285" xfId="0" applyFont="1" applyBorder="1" applyAlignment="1">
      <alignment horizontal="left" vertical="center" wrapText="1"/>
    </xf>
    <xf numFmtId="10" fontId="61" fillId="29" borderId="27" xfId="32" applyNumberFormat="1" applyFont="1" applyFill="1" applyBorder="1" applyAlignment="1">
      <alignment horizontal="center" vertical="center"/>
    </xf>
    <xf numFmtId="181" fontId="61" fillId="14" borderId="27" xfId="32" applyNumberFormat="1" applyFont="1" applyFill="1" applyBorder="1" applyAlignment="1">
      <alignment horizontal="center"/>
    </xf>
    <xf numFmtId="10" fontId="61" fillId="14" borderId="27" xfId="32" applyNumberFormat="1" applyFont="1" applyFill="1" applyBorder="1" applyAlignment="1">
      <alignment horizontal="center"/>
    </xf>
    <xf numFmtId="2" fontId="61" fillId="14" borderId="27" xfId="0" applyNumberFormat="1" applyFont="1" applyFill="1" applyBorder="1" applyAlignment="1">
      <alignment horizontal="center"/>
    </xf>
    <xf numFmtId="1" fontId="61" fillId="14" borderId="27" xfId="0" applyNumberFormat="1" applyFont="1" applyFill="1" applyBorder="1" applyAlignment="1">
      <alignment horizontal="center"/>
    </xf>
    <xf numFmtId="1" fontId="61" fillId="29" borderId="27" xfId="32" applyNumberFormat="1" applyFont="1" applyFill="1" applyBorder="1" applyAlignment="1">
      <alignment horizontal="center" vertical="center"/>
    </xf>
    <xf numFmtId="0" fontId="358" fillId="0" borderId="0" xfId="0" applyFont="1"/>
    <xf numFmtId="169" fontId="61" fillId="25" borderId="359" xfId="25" applyFont="1" applyFill="1" applyBorder="1" applyAlignment="1">
      <alignment vertical="center" wrapText="1"/>
    </xf>
    <xf numFmtId="171" fontId="85" fillId="0" borderId="8" xfId="31" applyNumberFormat="1" applyFont="1" applyFill="1" applyBorder="1" applyAlignment="1" applyProtection="1">
      <alignment horizontal="center" vertical="center" wrapText="1"/>
    </xf>
    <xf numFmtId="0" fontId="92" fillId="0" borderId="54" xfId="0" applyFont="1" applyBorder="1" applyAlignment="1">
      <alignment vertical="center" wrapText="1"/>
    </xf>
    <xf numFmtId="4" fontId="120" fillId="0" borderId="93" xfId="0" applyNumberFormat="1" applyFont="1" applyBorder="1" applyAlignment="1">
      <alignment horizontal="center"/>
    </xf>
    <xf numFmtId="0" fontId="120" fillId="0" borderId="93" xfId="0" quotePrefix="1" applyFont="1" applyBorder="1" applyAlignment="1">
      <alignment horizontal="center"/>
    </xf>
    <xf numFmtId="0" fontId="83" fillId="0" borderId="93" xfId="0" applyFont="1" applyBorder="1" applyAlignment="1">
      <alignment horizontal="center"/>
    </xf>
    <xf numFmtId="0" fontId="0" fillId="0" borderId="0" xfId="0" applyAlignment="1">
      <alignment horizontal="centerContinuous" wrapText="1"/>
    </xf>
    <xf numFmtId="3" fontId="61" fillId="14" borderId="177" xfId="0" applyNumberFormat="1" applyFont="1" applyFill="1" applyBorder="1" applyAlignment="1">
      <alignment horizontal="justify" vertical="center"/>
    </xf>
    <xf numFmtId="3" fontId="150" fillId="0" borderId="0" xfId="0" applyNumberFormat="1" applyFont="1"/>
    <xf numFmtId="169" fontId="61" fillId="25" borderId="370" xfId="25" applyFont="1" applyFill="1" applyBorder="1" applyAlignment="1">
      <alignment horizontal="left" vertical="center" wrapText="1"/>
    </xf>
    <xf numFmtId="0" fontId="83" fillId="68" borderId="371" xfId="0" applyFont="1" applyFill="1" applyBorder="1" applyAlignment="1">
      <alignment horizontal="left" vertical="center" wrapText="1"/>
    </xf>
    <xf numFmtId="3" fontId="61" fillId="0" borderId="369" xfId="25" applyNumberFormat="1" applyFont="1" applyBorder="1" applyAlignment="1" applyProtection="1">
      <alignment horizontal="center" vertical="center" wrapText="1"/>
      <protection locked="0"/>
    </xf>
    <xf numFmtId="0" fontId="1" fillId="17" borderId="0" xfId="0" applyFont="1" applyFill="1"/>
    <xf numFmtId="0" fontId="108" fillId="73" borderId="242" xfId="0" applyFont="1" applyFill="1" applyBorder="1" applyAlignment="1">
      <alignment horizontal="centerContinuous" vertical="center"/>
    </xf>
    <xf numFmtId="0" fontId="108" fillId="73" borderId="185" xfId="0" applyFont="1" applyFill="1" applyBorder="1" applyAlignment="1">
      <alignment horizontal="centerContinuous" vertical="center"/>
    </xf>
    <xf numFmtId="0" fontId="1" fillId="73" borderId="242" xfId="0" applyFont="1" applyFill="1" applyBorder="1" applyAlignment="1">
      <alignment horizontal="centerContinuous" vertical="center"/>
    </xf>
    <xf numFmtId="0" fontId="91" fillId="73" borderId="186" xfId="0" applyFont="1" applyFill="1" applyBorder="1" applyAlignment="1">
      <alignment horizontal="centerContinuous" vertical="center"/>
    </xf>
    <xf numFmtId="3" fontId="1" fillId="11" borderId="373" xfId="0" applyNumberFormat="1" applyFont="1" applyFill="1" applyBorder="1" applyAlignment="1">
      <alignment horizontal="centerContinuous" vertical="center"/>
    </xf>
    <xf numFmtId="3" fontId="1" fillId="11" borderId="374" xfId="0" applyNumberFormat="1" applyFont="1" applyFill="1" applyBorder="1" applyAlignment="1">
      <alignment horizontal="centerContinuous" vertical="center"/>
    </xf>
    <xf numFmtId="3" fontId="1" fillId="0" borderId="373" xfId="0" applyNumberFormat="1" applyFont="1" applyBorder="1" applyAlignment="1">
      <alignment horizontal="centerContinuous" vertical="center"/>
    </xf>
    <xf numFmtId="3" fontId="1" fillId="0" borderId="374" xfId="0" applyNumberFormat="1" applyFont="1" applyBorder="1" applyAlignment="1">
      <alignment horizontal="centerContinuous" vertical="center"/>
    </xf>
    <xf numFmtId="3" fontId="62" fillId="117" borderId="13" xfId="31" applyNumberFormat="1" applyFont="1" applyFill="1" applyBorder="1" applyAlignment="1" applyProtection="1">
      <alignment horizontal="center" vertical="center"/>
    </xf>
    <xf numFmtId="10" fontId="83" fillId="117" borderId="8" xfId="32" applyNumberFormat="1" applyFont="1" applyFill="1" applyBorder="1" applyAlignment="1" applyProtection="1">
      <alignment horizontal="center" vertical="center"/>
    </xf>
    <xf numFmtId="169" fontId="89" fillId="9" borderId="374" xfId="0" applyNumberFormat="1" applyFont="1" applyFill="1" applyBorder="1" applyAlignment="1">
      <alignment vertical="center"/>
    </xf>
    <xf numFmtId="0" fontId="359" fillId="0" borderId="0" xfId="0" applyFont="1"/>
    <xf numFmtId="0" fontId="125" fillId="0" borderId="0" xfId="0" applyFont="1" applyAlignment="1">
      <alignment horizontal="center"/>
    </xf>
    <xf numFmtId="0" fontId="215" fillId="0" borderId="368" xfId="0" applyFont="1" applyBorder="1" applyAlignment="1">
      <alignment vertical="top" wrapText="1"/>
    </xf>
    <xf numFmtId="0" fontId="215" fillId="0" borderId="371" xfId="0" applyFont="1" applyBorder="1" applyAlignment="1">
      <alignment vertical="top" wrapText="1"/>
    </xf>
    <xf numFmtId="0" fontId="215" fillId="13" borderId="371" xfId="0" applyFont="1" applyFill="1" applyBorder="1" applyAlignment="1">
      <alignment vertical="top" wrapText="1"/>
    </xf>
    <xf numFmtId="0" fontId="165" fillId="0" borderId="371" xfId="0" applyFont="1" applyBorder="1"/>
    <xf numFmtId="0" fontId="1" fillId="0" borderId="0" xfId="0" applyFont="1" applyAlignment="1">
      <alignment horizontal="left"/>
    </xf>
    <xf numFmtId="0" fontId="0" fillId="3" borderId="376" xfId="0" applyFill="1" applyBorder="1" applyAlignment="1">
      <alignment horizontal="center" vertical="center"/>
    </xf>
    <xf numFmtId="0" fontId="207" fillId="3" borderId="368" xfId="40" applyFont="1" applyFill="1" applyBorder="1" applyAlignment="1">
      <alignment vertical="center" wrapText="1"/>
    </xf>
    <xf numFmtId="0" fontId="35" fillId="3" borderId="377" xfId="40" applyFont="1" applyFill="1" applyBorder="1" applyAlignment="1">
      <alignment horizontal="center" vertical="center" wrapText="1"/>
    </xf>
    <xf numFmtId="0" fontId="211" fillId="0" borderId="378" xfId="40" applyFont="1" applyBorder="1" applyAlignment="1">
      <alignment horizontal="center" vertical="center" wrapText="1"/>
    </xf>
    <xf numFmtId="0" fontId="209" fillId="0" borderId="380" xfId="40" applyFont="1" applyBorder="1" applyAlignment="1">
      <alignment horizontal="center" vertical="center" wrapText="1"/>
    </xf>
    <xf numFmtId="0" fontId="35" fillId="3" borderId="381" xfId="39" applyFont="1" applyFill="1" applyBorder="1" applyAlignment="1">
      <alignment horizontal="center" vertical="center" wrapText="1"/>
    </xf>
    <xf numFmtId="0" fontId="209" fillId="0" borderId="382" xfId="40" applyFont="1" applyBorder="1" applyAlignment="1">
      <alignment horizontal="center" vertical="center" wrapText="1"/>
    </xf>
    <xf numFmtId="0" fontId="208" fillId="3" borderId="381" xfId="39" applyFont="1" applyFill="1" applyBorder="1" applyAlignment="1">
      <alignment horizontal="center" vertical="center" wrapText="1"/>
    </xf>
    <xf numFmtId="0" fontId="210" fillId="3" borderId="368" xfId="39" applyFont="1" applyFill="1" applyBorder="1" applyAlignment="1">
      <alignment vertical="center" wrapText="1"/>
    </xf>
    <xf numFmtId="0" fontId="208" fillId="3" borderId="209" xfId="39" applyFont="1" applyFill="1" applyBorder="1" applyAlignment="1">
      <alignment horizontal="center" vertical="center" wrapText="1"/>
    </xf>
    <xf numFmtId="0" fontId="29" fillId="3" borderId="209" xfId="40" applyFont="1" applyFill="1" applyBorder="1" applyAlignment="1">
      <alignment horizontal="center" vertical="center" wrapText="1"/>
    </xf>
    <xf numFmtId="0" fontId="35" fillId="3" borderId="381" xfId="40" applyFont="1" applyFill="1" applyBorder="1" applyAlignment="1">
      <alignment horizontal="center" vertical="center" wrapText="1"/>
    </xf>
    <xf numFmtId="0" fontId="208" fillId="3" borderId="381" xfId="40" applyFont="1" applyFill="1" applyBorder="1" applyAlignment="1">
      <alignment horizontal="center" vertical="center" wrapText="1"/>
    </xf>
    <xf numFmtId="0" fontId="35" fillId="3" borderId="247" xfId="40" applyFont="1" applyFill="1" applyBorder="1" applyAlignment="1">
      <alignment horizontal="center" vertical="center" wrapText="1"/>
    </xf>
    <xf numFmtId="0" fontId="209" fillId="0" borderId="319" xfId="40" applyFont="1" applyBorder="1" applyAlignment="1">
      <alignment horizontal="center" vertical="center" wrapText="1"/>
    </xf>
    <xf numFmtId="0" fontId="21" fillId="3" borderId="31" xfId="39" applyFont="1" applyFill="1" applyBorder="1" applyAlignment="1">
      <alignment horizontal="center" vertical="center" wrapText="1"/>
    </xf>
    <xf numFmtId="0" fontId="210" fillId="63" borderId="368" xfId="39" applyFont="1" applyFill="1" applyBorder="1" applyAlignment="1">
      <alignment vertical="center" wrapText="1"/>
    </xf>
    <xf numFmtId="0" fontId="211" fillId="0" borderId="382" xfId="40" applyFont="1" applyBorder="1" applyAlignment="1">
      <alignment horizontal="center" vertical="center" wrapText="1"/>
    </xf>
    <xf numFmtId="0" fontId="35" fillId="3" borderId="24" xfId="39" applyFont="1" applyFill="1" applyBorder="1" applyAlignment="1">
      <alignment vertical="center" wrapText="1"/>
    </xf>
    <xf numFmtId="0" fontId="208" fillId="3" borderId="209" xfId="40" applyFont="1" applyFill="1" applyBorder="1" applyAlignment="1">
      <alignment horizontal="center" vertical="center" wrapText="1"/>
    </xf>
    <xf numFmtId="0" fontId="35" fillId="3" borderId="24" xfId="0" applyFont="1" applyFill="1" applyBorder="1" applyAlignment="1">
      <alignment vertical="center" wrapText="1"/>
    </xf>
    <xf numFmtId="0" fontId="35" fillId="3" borderId="209" xfId="0" applyFont="1" applyFill="1" applyBorder="1" applyAlignment="1">
      <alignment horizontal="center" vertical="center" wrapText="1"/>
    </xf>
    <xf numFmtId="0" fontId="0" fillId="0" borderId="368" xfId="0" applyBorder="1" applyAlignment="1">
      <alignment horizontal="right"/>
    </xf>
    <xf numFmtId="0" fontId="318" fillId="0" borderId="368" xfId="39" applyFont="1" applyBorder="1" applyAlignment="1">
      <alignment horizontal="right" vertical="center"/>
    </xf>
    <xf numFmtId="0" fontId="207" fillId="63" borderId="387" xfId="40" applyFont="1" applyFill="1" applyBorder="1" applyAlignment="1">
      <alignment horizontal="center" vertical="center" wrapText="1"/>
    </xf>
    <xf numFmtId="0" fontId="300" fillId="93" borderId="393" xfId="40" applyFont="1" applyFill="1" applyBorder="1" applyAlignment="1">
      <alignment horizontal="center" vertical="center" wrapText="1"/>
    </xf>
    <xf numFmtId="0" fontId="209" fillId="0" borderId="394" xfId="40" applyFont="1" applyBorder="1" applyAlignment="1">
      <alignment horizontal="center" vertical="center" wrapText="1"/>
    </xf>
    <xf numFmtId="0" fontId="35" fillId="3" borderId="387" xfId="0" applyFont="1" applyFill="1" applyBorder="1" applyAlignment="1">
      <alignment horizontal="center" vertical="center"/>
    </xf>
    <xf numFmtId="0" fontId="207" fillId="3" borderId="387" xfId="40" applyFont="1" applyFill="1" applyBorder="1" applyAlignment="1">
      <alignment horizontal="center" vertical="center" wrapText="1"/>
    </xf>
    <xf numFmtId="0" fontId="296" fillId="0" borderId="388" xfId="39" applyFont="1" applyBorder="1" applyAlignment="1">
      <alignment horizontal="center" vertical="center" wrapText="1"/>
    </xf>
    <xf numFmtId="0" fontId="35" fillId="3" borderId="387" xfId="40" applyFont="1" applyFill="1" applyBorder="1" applyAlignment="1">
      <alignment horizontal="center" vertical="center" wrapText="1"/>
    </xf>
    <xf numFmtId="49" fontId="35" fillId="29" borderId="393" xfId="39" applyNumberFormat="1" applyFont="1" applyFill="1" applyBorder="1" applyAlignment="1" applyProtection="1">
      <alignment horizontal="right" vertical="center" wrapText="1"/>
      <protection locked="0"/>
    </xf>
    <xf numFmtId="0" fontId="35" fillId="3" borderId="392" xfId="39" applyFont="1" applyFill="1" applyBorder="1" applyAlignment="1">
      <alignment horizontal="center" vertical="center" wrapText="1"/>
    </xf>
    <xf numFmtId="3" fontId="35" fillId="29" borderId="388" xfId="40" applyNumberFormat="1" applyFont="1" applyFill="1" applyBorder="1" applyAlignment="1" applyProtection="1">
      <alignment vertical="center" wrapText="1"/>
      <protection locked="0"/>
    </xf>
    <xf numFmtId="0" fontId="211" fillId="0" borderId="0" xfId="0" applyFont="1" applyAlignment="1">
      <alignment horizontal="center" vertical="center"/>
    </xf>
    <xf numFmtId="0" fontId="35" fillId="3" borderId="391" xfId="40" applyFont="1" applyFill="1" applyBorder="1" applyAlignment="1">
      <alignment vertical="center" wrapText="1"/>
    </xf>
    <xf numFmtId="0" fontId="35" fillId="3" borderId="390" xfId="39" applyFont="1" applyFill="1" applyBorder="1" applyAlignment="1">
      <alignment horizontal="center" vertical="center" wrapText="1"/>
    </xf>
    <xf numFmtId="0" fontId="209" fillId="0" borderId="378" xfId="40" applyFont="1" applyBorder="1" applyAlignment="1">
      <alignment horizontal="center" vertical="center" wrapText="1"/>
    </xf>
    <xf numFmtId="0" fontId="209" fillId="0" borderId="315" xfId="40" applyFont="1" applyBorder="1" applyAlignment="1">
      <alignment horizontal="center" vertical="center" wrapText="1"/>
    </xf>
    <xf numFmtId="0" fontId="206" fillId="33" borderId="306" xfId="40" applyFont="1" applyFill="1" applyBorder="1" applyAlignment="1">
      <alignment horizontal="center" vertical="center" wrapText="1"/>
    </xf>
    <xf numFmtId="0" fontId="206" fillId="33" borderId="307" xfId="40" applyFont="1" applyFill="1" applyBorder="1" applyAlignment="1">
      <alignment horizontal="center" vertical="center" wrapText="1"/>
    </xf>
    <xf numFmtId="0" fontId="206" fillId="33" borderId="308" xfId="40" applyFont="1" applyFill="1" applyBorder="1" applyAlignment="1">
      <alignment horizontal="center" vertical="center" wrapText="1"/>
    </xf>
    <xf numFmtId="0" fontId="206" fillId="33" borderId="93" xfId="40" applyFont="1" applyFill="1" applyBorder="1" applyAlignment="1">
      <alignment horizontal="center" vertical="center" wrapText="1"/>
    </xf>
    <xf numFmtId="0" fontId="0" fillId="13" borderId="0" xfId="0" applyFill="1" applyAlignment="1">
      <alignment horizontal="center" vertical="center"/>
    </xf>
    <xf numFmtId="0" fontId="316" fillId="0" borderId="0" xfId="0" applyFont="1"/>
    <xf numFmtId="0" fontId="318" fillId="0" borderId="368" xfId="39" applyFont="1" applyBorder="1" applyAlignment="1">
      <alignment horizontal="right"/>
    </xf>
    <xf numFmtId="0" fontId="206" fillId="13" borderId="0" xfId="40" applyFont="1" applyFill="1" applyAlignment="1">
      <alignment horizontal="center" vertical="center" wrapText="1"/>
    </xf>
    <xf numFmtId="0" fontId="206" fillId="13" borderId="0" xfId="40" applyFont="1" applyFill="1" applyAlignment="1">
      <alignment vertical="center" wrapText="1"/>
    </xf>
    <xf numFmtId="0" fontId="208" fillId="13" borderId="0" xfId="40" applyFont="1" applyFill="1" applyAlignment="1">
      <alignment horizontal="center" vertical="center" wrapText="1"/>
    </xf>
    <xf numFmtId="2" fontId="208" fillId="13" borderId="0" xfId="40" applyNumberFormat="1" applyFont="1" applyFill="1" applyAlignment="1">
      <alignment horizontal="right" vertical="center" wrapText="1"/>
    </xf>
    <xf numFmtId="0" fontId="211" fillId="13" borderId="0" xfId="40" applyFont="1" applyFill="1" applyAlignment="1">
      <alignment horizontal="center" vertical="center" wrapText="1"/>
    </xf>
    <xf numFmtId="0" fontId="300" fillId="13" borderId="0" xfId="40" applyFont="1" applyFill="1" applyAlignment="1">
      <alignment horizontal="center" vertical="center" wrapText="1"/>
    </xf>
    <xf numFmtId="0" fontId="211" fillId="13" borderId="0" xfId="40" applyFont="1" applyFill="1" applyAlignment="1">
      <alignment vertical="center" wrapText="1"/>
    </xf>
    <xf numFmtId="0" fontId="300" fillId="13" borderId="0" xfId="40" applyFont="1" applyFill="1" applyAlignment="1">
      <alignment vertical="center" wrapText="1"/>
    </xf>
    <xf numFmtId="0" fontId="296" fillId="13" borderId="0" xfId="40" applyFont="1" applyFill="1" applyAlignment="1">
      <alignment vertical="center" wrapText="1"/>
    </xf>
    <xf numFmtId="0" fontId="219" fillId="56" borderId="309" xfId="7" applyNumberFormat="1" applyFont="1" applyFill="1" applyBorder="1" applyAlignment="1">
      <alignment horizontal="center" vertical="center" wrapText="1"/>
    </xf>
    <xf numFmtId="0" fontId="206" fillId="33" borderId="316" xfId="40" applyFont="1" applyFill="1" applyBorder="1" applyAlignment="1">
      <alignment horizontal="center" vertical="center" wrapText="1"/>
    </xf>
    <xf numFmtId="0" fontId="206" fillId="33" borderId="1" xfId="40" applyFont="1" applyFill="1" applyBorder="1" applyAlignment="1">
      <alignment horizontal="center" vertical="center" wrapText="1"/>
    </xf>
    <xf numFmtId="0" fontId="206" fillId="92" borderId="308" xfId="40" applyFont="1" applyFill="1" applyBorder="1" applyAlignment="1">
      <alignment horizontal="center" vertical="center" wrapText="1"/>
    </xf>
    <xf numFmtId="0" fontId="211" fillId="0" borderId="4" xfId="40" applyFont="1" applyBorder="1" applyAlignment="1">
      <alignment horizontal="center" vertical="center" wrapText="1"/>
    </xf>
    <xf numFmtId="3" fontId="35" fillId="27" borderId="23" xfId="40" applyNumberFormat="1" applyFont="1" applyFill="1" applyBorder="1" applyAlignment="1">
      <alignment vertical="center" wrapText="1"/>
    </xf>
    <xf numFmtId="0" fontId="209" fillId="0" borderId="313" xfId="0" applyFont="1" applyBorder="1" applyAlignment="1">
      <alignment horizontal="center" vertical="center" wrapText="1"/>
    </xf>
    <xf numFmtId="0" fontId="206" fillId="3" borderId="308" xfId="40" applyFont="1" applyFill="1" applyBorder="1" applyAlignment="1">
      <alignment horizontal="center" vertical="center" wrapText="1"/>
    </xf>
    <xf numFmtId="0" fontId="211" fillId="0" borderId="313" xfId="40" applyFont="1" applyBorder="1" applyAlignment="1">
      <alignment horizontal="center" vertical="center" wrapText="1"/>
    </xf>
    <xf numFmtId="171" fontId="35" fillId="27" borderId="23" xfId="40" applyNumberFormat="1" applyFont="1" applyFill="1" applyBorder="1" applyAlignment="1">
      <alignment horizontal="right" vertical="center" wrapText="1"/>
    </xf>
    <xf numFmtId="0" fontId="219" fillId="56" borderId="308" xfId="7" applyNumberFormat="1" applyFont="1" applyFill="1" applyBorder="1" applyAlignment="1">
      <alignment horizontal="center" vertical="center" wrapText="1"/>
    </xf>
    <xf numFmtId="0" fontId="35" fillId="3" borderId="31" xfId="0" applyFont="1" applyFill="1" applyBorder="1" applyAlignment="1">
      <alignment horizontal="center" vertical="center"/>
    </xf>
    <xf numFmtId="0" fontId="35" fillId="3" borderId="24" xfId="0" applyFont="1" applyFill="1" applyBorder="1" applyAlignment="1">
      <alignment horizontal="left" vertical="center" wrapText="1"/>
    </xf>
    <xf numFmtId="0" fontId="35" fillId="3" borderId="376" xfId="0" applyFont="1" applyFill="1" applyBorder="1" applyAlignment="1">
      <alignment horizontal="center" vertical="center"/>
    </xf>
    <xf numFmtId="0" fontId="35" fillId="3" borderId="368" xfId="40" applyFont="1" applyFill="1" applyBorder="1" applyAlignment="1">
      <alignment vertical="center" wrapText="1"/>
    </xf>
    <xf numFmtId="0" fontId="284" fillId="3" borderId="368" xfId="40" applyFont="1" applyFill="1" applyBorder="1" applyAlignment="1">
      <alignment horizontal="left" vertical="center" wrapText="1" indent="2"/>
    </xf>
    <xf numFmtId="0" fontId="219" fillId="56" borderId="204" xfId="7" applyNumberFormat="1" applyFont="1" applyFill="1" applyBorder="1" applyAlignment="1">
      <alignment horizontal="center" vertical="center" wrapText="1"/>
    </xf>
    <xf numFmtId="0" fontId="206" fillId="33" borderId="26" xfId="40" applyFont="1" applyFill="1" applyBorder="1" applyAlignment="1">
      <alignment horizontal="center" vertical="center" wrapText="1"/>
    </xf>
    <xf numFmtId="0" fontId="206" fillId="33" borderId="25" xfId="40" applyFont="1" applyFill="1" applyBorder="1" applyAlignment="1">
      <alignment horizontal="center" vertical="center" wrapText="1"/>
    </xf>
    <xf numFmtId="0" fontId="206" fillId="33" borderId="204" xfId="40" applyFont="1" applyFill="1" applyBorder="1" applyAlignment="1">
      <alignment horizontal="center" vertical="center" wrapText="1"/>
    </xf>
    <xf numFmtId="0" fontId="206" fillId="3" borderId="204" xfId="40" applyFont="1" applyFill="1" applyBorder="1" applyAlignment="1">
      <alignment horizontal="center" vertical="center" wrapText="1"/>
    </xf>
    <xf numFmtId="0" fontId="305" fillId="0" borderId="0" xfId="0" applyFont="1"/>
    <xf numFmtId="0" fontId="292" fillId="0" borderId="0" xfId="0" applyFont="1"/>
    <xf numFmtId="0" fontId="165" fillId="0" borderId="0" xfId="0" applyFont="1" applyAlignment="1">
      <alignment horizontal="center" vertical="center"/>
    </xf>
    <xf numFmtId="0" fontId="35" fillId="3" borderId="21" xfId="0" applyFont="1" applyFill="1" applyBorder="1" applyAlignment="1">
      <alignment horizontal="center" vertical="center"/>
    </xf>
    <xf numFmtId="0" fontId="206" fillId="33" borderId="31" xfId="40" applyFont="1" applyFill="1" applyBorder="1" applyAlignment="1">
      <alignment horizontal="center" vertical="center" wrapText="1"/>
    </xf>
    <xf numFmtId="0" fontId="367" fillId="0" borderId="0" xfId="0" applyFont="1" applyAlignment="1">
      <alignment horizontal="center" vertical="center" wrapText="1"/>
    </xf>
    <xf numFmtId="0" fontId="367" fillId="0" borderId="368" xfId="0" applyFont="1" applyBorder="1" applyAlignment="1">
      <alignment horizontal="center" vertical="center" wrapText="1"/>
    </xf>
    <xf numFmtId="0" fontId="367" fillId="0" borderId="24" xfId="0" applyFont="1" applyBorder="1" applyAlignment="1">
      <alignment horizontal="center" vertical="center" wrapText="1"/>
    </xf>
    <xf numFmtId="3" fontId="207" fillId="27" borderId="388" xfId="32" applyNumberFormat="1" applyFont="1" applyFill="1" applyBorder="1" applyAlignment="1" applyProtection="1">
      <alignment vertical="center"/>
    </xf>
    <xf numFmtId="0" fontId="296" fillId="93" borderId="388" xfId="39" applyFont="1" applyFill="1" applyBorder="1" applyAlignment="1">
      <alignment horizontal="center" vertical="center" wrapText="1"/>
    </xf>
    <xf numFmtId="3" fontId="35" fillId="27" borderId="388" xfId="40" applyNumberFormat="1" applyFont="1" applyFill="1" applyBorder="1" applyAlignment="1">
      <alignment vertical="center" wrapText="1"/>
    </xf>
    <xf numFmtId="0" fontId="296" fillId="93" borderId="388" xfId="40" applyFont="1" applyFill="1" applyBorder="1" applyAlignment="1">
      <alignment horizontal="center" vertical="center" wrapText="1"/>
    </xf>
    <xf numFmtId="0" fontId="207" fillId="3" borderId="390" xfId="40" applyFont="1" applyFill="1" applyBorder="1" applyAlignment="1">
      <alignment horizontal="center" vertical="center" wrapText="1"/>
    </xf>
    <xf numFmtId="0" fontId="298" fillId="3" borderId="391" xfId="40" applyFont="1" applyFill="1" applyBorder="1" applyAlignment="1">
      <alignment horizontal="left" vertical="center" wrapText="1" indent="3"/>
    </xf>
    <xf numFmtId="0" fontId="35" fillId="3" borderId="392" xfId="40" applyFont="1" applyFill="1" applyBorder="1" applyAlignment="1">
      <alignment horizontal="center" vertical="center" wrapText="1"/>
    </xf>
    <xf numFmtId="3" fontId="35" fillId="29" borderId="393" xfId="40" applyNumberFormat="1" applyFont="1" applyFill="1" applyBorder="1" applyAlignment="1" applyProtection="1">
      <alignment vertical="center" wrapText="1"/>
      <protection locked="0"/>
    </xf>
    <xf numFmtId="0" fontId="35" fillId="3" borderId="390" xfId="0" applyFont="1" applyFill="1" applyBorder="1" applyAlignment="1">
      <alignment horizontal="center" vertical="center"/>
    </xf>
    <xf numFmtId="0" fontId="35" fillId="3" borderId="391" xfId="0" applyFont="1" applyFill="1" applyBorder="1" applyAlignment="1">
      <alignment horizontal="left" vertical="center" wrapText="1"/>
    </xf>
    <xf numFmtId="0" fontId="29" fillId="3" borderId="392" xfId="40" applyFont="1" applyFill="1" applyBorder="1" applyAlignment="1">
      <alignment horizontal="center" vertical="center" wrapText="1"/>
    </xf>
    <xf numFmtId="0" fontId="296" fillId="0" borderId="393" xfId="39" applyFont="1" applyBorder="1" applyAlignment="1">
      <alignment horizontal="center" vertical="center" wrapText="1"/>
    </xf>
    <xf numFmtId="4" fontId="35" fillId="29" borderId="388" xfId="40" applyNumberFormat="1" applyFont="1" applyFill="1" applyBorder="1" applyAlignment="1" applyProtection="1">
      <alignment vertical="center" wrapText="1"/>
      <protection locked="0"/>
    </xf>
    <xf numFmtId="3" fontId="35" fillId="29" borderId="388" xfId="40" applyNumberFormat="1" applyFont="1" applyFill="1" applyBorder="1" applyAlignment="1" applyProtection="1">
      <alignment horizontal="right" vertical="center" wrapText="1"/>
      <protection locked="0"/>
    </xf>
    <xf numFmtId="3" fontId="35" fillId="27" borderId="388" xfId="40" applyNumberFormat="1" applyFont="1" applyFill="1" applyBorder="1" applyAlignment="1">
      <alignment horizontal="right" vertical="center" wrapText="1"/>
    </xf>
    <xf numFmtId="0" fontId="305" fillId="3" borderId="387" xfId="40" applyFont="1" applyFill="1" applyBorder="1" applyAlignment="1">
      <alignment horizontal="center" vertical="center" wrapText="1"/>
    </xf>
    <xf numFmtId="0" fontId="301" fillId="3" borderId="387" xfId="0" applyFont="1" applyFill="1" applyBorder="1" applyAlignment="1">
      <alignment horizontal="center" vertical="center"/>
    </xf>
    <xf numFmtId="0" fontId="300" fillId="93" borderId="388" xfId="40" applyFont="1" applyFill="1" applyBorder="1" applyAlignment="1">
      <alignment horizontal="center" vertical="center" wrapText="1"/>
    </xf>
    <xf numFmtId="0" fontId="0" fillId="3" borderId="387" xfId="0" applyFill="1" applyBorder="1" applyAlignment="1">
      <alignment horizontal="center" vertical="center"/>
    </xf>
    <xf numFmtId="0" fontId="35" fillId="3" borderId="387" xfId="39" applyFont="1" applyFill="1" applyBorder="1" applyAlignment="1">
      <alignment horizontal="center" vertical="center" wrapText="1"/>
    </xf>
    <xf numFmtId="0" fontId="305" fillId="3" borderId="387" xfId="39" applyFont="1" applyFill="1" applyBorder="1" applyAlignment="1">
      <alignment horizontal="center" vertical="center" wrapText="1"/>
    </xf>
    <xf numFmtId="0" fontId="0" fillId="3" borderId="390" xfId="0" applyFill="1" applyBorder="1" applyAlignment="1">
      <alignment horizontal="center" vertical="center"/>
    </xf>
    <xf numFmtId="0" fontId="284" fillId="3" borderId="391" xfId="43" applyFont="1" applyFill="1" applyBorder="1" applyAlignment="1">
      <alignment horizontal="left" vertical="center" wrapText="1" indent="2"/>
    </xf>
    <xf numFmtId="0" fontId="35" fillId="3" borderId="392" xfId="43" applyFont="1" applyFill="1" applyBorder="1" applyAlignment="1">
      <alignment horizontal="center" vertical="center" wrapText="1"/>
    </xf>
    <xf numFmtId="0" fontId="209" fillId="0" borderId="394" xfId="0" applyFont="1" applyBorder="1"/>
    <xf numFmtId="0" fontId="301" fillId="3" borderId="387" xfId="0" applyFont="1" applyFill="1" applyBorder="1" applyAlignment="1">
      <alignment horizontal="center" vertical="center" wrapText="1"/>
    </xf>
    <xf numFmtId="0" fontId="305" fillId="3" borderId="387" xfId="0" applyFont="1" applyFill="1" applyBorder="1" applyAlignment="1">
      <alignment horizontal="center" vertical="center" wrapText="1"/>
    </xf>
    <xf numFmtId="0" fontId="35" fillId="3" borderId="387" xfId="0" applyFont="1" applyFill="1" applyBorder="1" applyAlignment="1">
      <alignment horizontal="center" vertical="center" wrapText="1"/>
    </xf>
    <xf numFmtId="3" fontId="35" fillId="78" borderId="388" xfId="40" applyNumberFormat="1" applyFont="1" applyFill="1" applyBorder="1" applyAlignment="1" applyProtection="1">
      <alignment horizontal="right" vertical="center" wrapText="1"/>
      <protection locked="0"/>
    </xf>
    <xf numFmtId="0" fontId="35" fillId="3" borderId="390" xfId="0" applyFont="1" applyFill="1" applyBorder="1" applyAlignment="1">
      <alignment horizontal="center" vertical="center" wrapText="1"/>
    </xf>
    <xf numFmtId="0" fontId="284" fillId="3" borderId="391" xfId="40" applyFont="1" applyFill="1" applyBorder="1" applyAlignment="1">
      <alignment horizontal="left" vertical="center" wrapText="1" indent="3"/>
    </xf>
    <xf numFmtId="0" fontId="35" fillId="3" borderId="392" xfId="0" applyFont="1" applyFill="1" applyBorder="1" applyAlignment="1">
      <alignment horizontal="center" vertical="center" wrapText="1"/>
    </xf>
    <xf numFmtId="3" fontId="35" fillId="29" borderId="393" xfId="40" applyNumberFormat="1" applyFont="1" applyFill="1" applyBorder="1" applyAlignment="1" applyProtection="1">
      <alignment horizontal="right" vertical="center" wrapText="1"/>
      <protection locked="0"/>
    </xf>
    <xf numFmtId="0" fontId="211" fillId="0" borderId="394" xfId="40" applyFont="1" applyBorder="1" applyAlignment="1">
      <alignment horizontal="center" vertical="center" wrapText="1"/>
    </xf>
    <xf numFmtId="3" fontId="18" fillId="27" borderId="388" xfId="0" applyNumberFormat="1" applyFont="1" applyFill="1" applyBorder="1" applyAlignment="1">
      <alignment horizontal="center" vertical="center"/>
    </xf>
    <xf numFmtId="3" fontId="208" fillId="27" borderId="391" xfId="0" applyNumberFormat="1" applyFont="1" applyFill="1" applyBorder="1" applyAlignment="1">
      <alignment horizontal="center" vertical="center"/>
    </xf>
    <xf numFmtId="3" fontId="18" fillId="27" borderId="393" xfId="0" applyNumberFormat="1" applyFont="1" applyFill="1" applyBorder="1" applyAlignment="1">
      <alignment horizontal="center" vertical="center"/>
    </xf>
    <xf numFmtId="0" fontId="295" fillId="0" borderId="393" xfId="0" applyFont="1" applyBorder="1" applyAlignment="1">
      <alignment horizontal="center" vertical="center"/>
    </xf>
    <xf numFmtId="0" fontId="305" fillId="3" borderId="387" xfId="0" applyFont="1" applyFill="1" applyBorder="1" applyAlignment="1">
      <alignment horizontal="center" vertical="center"/>
    </xf>
    <xf numFmtId="49" fontId="35" fillId="29" borderId="388" xfId="39" applyNumberFormat="1" applyFont="1" applyFill="1" applyBorder="1" applyAlignment="1" applyProtection="1">
      <alignment horizontal="right" vertical="center" wrapText="1"/>
      <protection locked="0"/>
    </xf>
    <xf numFmtId="0" fontId="300" fillId="93" borderId="388" xfId="0" applyFont="1" applyFill="1" applyBorder="1"/>
    <xf numFmtId="0" fontId="209" fillId="0" borderId="395" xfId="40" applyFont="1" applyBorder="1" applyAlignment="1">
      <alignment horizontal="center" vertical="center" wrapText="1"/>
    </xf>
    <xf numFmtId="0" fontId="292" fillId="3" borderId="387" xfId="40" applyFont="1" applyFill="1" applyBorder="1" applyAlignment="1">
      <alignment horizontal="center" vertical="center" wrapText="1"/>
    </xf>
    <xf numFmtId="4" fontId="208" fillId="27" borderId="388" xfId="40" applyNumberFormat="1" applyFont="1" applyFill="1" applyBorder="1" applyAlignment="1">
      <alignment horizontal="right" vertical="center" wrapText="1"/>
    </xf>
    <xf numFmtId="3" fontId="208" fillId="27" borderId="388" xfId="40" applyNumberFormat="1" applyFont="1" applyFill="1" applyBorder="1" applyAlignment="1" applyProtection="1">
      <alignment vertical="center" wrapText="1"/>
      <protection locked="0"/>
    </xf>
    <xf numFmtId="3" fontId="208" fillId="27" borderId="388" xfId="40" applyNumberFormat="1" applyFont="1" applyFill="1" applyBorder="1" applyAlignment="1">
      <alignment vertical="center" wrapText="1"/>
    </xf>
    <xf numFmtId="0" fontId="208" fillId="27" borderId="388" xfId="40" applyFont="1" applyFill="1" applyBorder="1" applyAlignment="1">
      <alignment horizontal="right" vertical="center" wrapText="1"/>
    </xf>
    <xf numFmtId="181" fontId="208" fillId="27" borderId="388" xfId="40" applyNumberFormat="1" applyFont="1" applyFill="1" applyBorder="1" applyAlignment="1">
      <alignment horizontal="right" vertical="center" wrapText="1"/>
    </xf>
    <xf numFmtId="169" fontId="18" fillId="0" borderId="0" xfId="0" applyNumberFormat="1" applyFont="1" applyAlignment="1">
      <alignment horizontal="center"/>
    </xf>
    <xf numFmtId="0" fontId="0" fillId="94" borderId="388" xfId="0" applyFill="1" applyBorder="1" applyAlignment="1">
      <alignment horizontal="right" vertical="center"/>
    </xf>
    <xf numFmtId="4" fontId="0" fillId="94" borderId="388" xfId="32" applyNumberFormat="1" applyFont="1" applyFill="1" applyBorder="1" applyAlignment="1" applyProtection="1">
      <alignment horizontal="right" vertical="center"/>
    </xf>
    <xf numFmtId="181" fontId="0" fillId="94" borderId="388" xfId="32" applyNumberFormat="1" applyFont="1" applyFill="1" applyBorder="1" applyAlignment="1" applyProtection="1">
      <alignment horizontal="right" vertical="center"/>
    </xf>
    <xf numFmtId="0" fontId="208" fillId="94" borderId="388" xfId="40" applyFont="1" applyFill="1" applyBorder="1" applyAlignment="1">
      <alignment horizontal="right" vertical="center" wrapText="1"/>
    </xf>
    <xf numFmtId="0" fontId="18" fillId="94" borderId="388" xfId="0" applyFont="1" applyFill="1" applyBorder="1" applyAlignment="1">
      <alignment horizontal="right" vertical="center"/>
    </xf>
    <xf numFmtId="49" fontId="18" fillId="94" borderId="388" xfId="32" applyNumberFormat="1" applyFont="1" applyFill="1" applyBorder="1" applyAlignment="1" applyProtection="1">
      <alignment horizontal="right" vertical="center"/>
    </xf>
    <xf numFmtId="169" fontId="208" fillId="3" borderId="392" xfId="7" applyFont="1" applyFill="1" applyBorder="1" applyAlignment="1">
      <alignment horizontal="center" vertical="center" wrapText="1"/>
    </xf>
    <xf numFmtId="0" fontId="0" fillId="94" borderId="396" xfId="0" applyFill="1" applyBorder="1"/>
    <xf numFmtId="49" fontId="208" fillId="27" borderId="388" xfId="40" applyNumberFormat="1" applyFont="1" applyFill="1" applyBorder="1" applyAlignment="1">
      <alignment horizontal="right" vertical="center" wrapText="1"/>
    </xf>
    <xf numFmtId="0" fontId="206" fillId="27" borderId="388" xfId="40" applyFont="1" applyFill="1" applyBorder="1" applyAlignment="1">
      <alignment horizontal="right" vertical="center" wrapText="1"/>
    </xf>
    <xf numFmtId="10" fontId="18" fillId="27" borderId="388" xfId="32" applyNumberFormat="1" applyFont="1" applyFill="1" applyBorder="1" applyAlignment="1" applyProtection="1">
      <alignment horizontal="right" vertical="center"/>
    </xf>
    <xf numFmtId="49" fontId="0" fillId="0" borderId="213" xfId="0" applyNumberFormat="1" applyBorder="1" applyAlignment="1">
      <alignment horizontal="center"/>
    </xf>
    <xf numFmtId="3" fontId="18" fillId="94" borderId="388" xfId="31" applyNumberFormat="1" applyFont="1" applyFill="1" applyBorder="1" applyAlignment="1" applyProtection="1">
      <alignment horizontal="right" vertical="center"/>
    </xf>
    <xf numFmtId="49" fontId="208" fillId="94" borderId="393" xfId="39" applyNumberFormat="1" applyFont="1" applyFill="1" applyBorder="1" applyAlignment="1">
      <alignment horizontal="right" vertical="center" wrapText="1"/>
    </xf>
    <xf numFmtId="3" fontId="62" fillId="0" borderId="238" xfId="36" applyNumberFormat="1" applyFont="1" applyFill="1" applyBorder="1" applyAlignment="1" applyProtection="1">
      <alignment horizontal="center" vertical="center" wrapText="1"/>
      <protection locked="0"/>
    </xf>
    <xf numFmtId="3" fontId="62" fillId="13" borderId="238" xfId="36" applyNumberFormat="1" applyFont="1" applyFill="1" applyBorder="1" applyAlignment="1" applyProtection="1">
      <alignment vertical="center" wrapText="1"/>
      <protection locked="0"/>
    </xf>
    <xf numFmtId="0" fontId="296" fillId="97" borderId="388" xfId="40" applyFont="1" applyFill="1" applyBorder="1" applyAlignment="1">
      <alignment horizontal="center" vertical="center" wrapText="1"/>
    </xf>
    <xf numFmtId="0" fontId="221" fillId="0" borderId="0" xfId="0" applyFont="1" applyAlignment="1">
      <alignment wrapText="1"/>
    </xf>
    <xf numFmtId="3" fontId="89" fillId="51" borderId="109" xfId="7" applyNumberFormat="1" applyFont="1" applyFill="1" applyBorder="1" applyAlignment="1">
      <alignment horizontal="center" vertical="center" wrapText="1"/>
    </xf>
    <xf numFmtId="0" fontId="330" fillId="78" borderId="215" xfId="40" applyFont="1" applyFill="1" applyBorder="1" applyAlignment="1">
      <alignment horizontal="center" vertical="center" wrapText="1"/>
    </xf>
    <xf numFmtId="4" fontId="18" fillId="94" borderId="387" xfId="139" applyNumberFormat="1" applyFont="1" applyFill="1" applyBorder="1" applyAlignment="1" applyProtection="1">
      <alignment horizontal="right" vertical="center"/>
    </xf>
    <xf numFmtId="49" fontId="0" fillId="98" borderId="315" xfId="0" applyNumberFormat="1" applyFill="1" applyBorder="1" applyAlignment="1">
      <alignment horizontal="right" vertical="center"/>
    </xf>
    <xf numFmtId="0" fontId="0" fillId="98" borderId="395" xfId="0" applyFill="1" applyBorder="1" applyAlignment="1">
      <alignment horizontal="right" vertical="center"/>
    </xf>
    <xf numFmtId="10" fontId="0" fillId="98" borderId="395" xfId="32" applyNumberFormat="1" applyFont="1" applyFill="1" applyBorder="1" applyAlignment="1" applyProtection="1">
      <alignment horizontal="right" vertical="center"/>
    </xf>
    <xf numFmtId="0" fontId="208" fillId="65" borderId="395" xfId="40" applyFont="1" applyFill="1" applyBorder="1" applyAlignment="1">
      <alignment horizontal="right" vertical="center" wrapText="1"/>
    </xf>
    <xf numFmtId="10" fontId="18" fillId="65" borderId="395" xfId="32" applyNumberFormat="1" applyFont="1" applyFill="1" applyBorder="1" applyAlignment="1" applyProtection="1">
      <alignment horizontal="right" vertical="center"/>
    </xf>
    <xf numFmtId="49" fontId="0" fillId="94" borderId="395" xfId="0" applyNumberFormat="1" applyFill="1" applyBorder="1" applyAlignment="1">
      <alignment horizontal="right" vertical="center"/>
    </xf>
    <xf numFmtId="1" fontId="208" fillId="27" borderId="380" xfId="39" applyNumberFormat="1" applyFont="1" applyFill="1" applyBorder="1" applyAlignment="1">
      <alignment horizontal="right" vertical="center" wrapText="1"/>
    </xf>
    <xf numFmtId="0" fontId="330" fillId="78" borderId="368" xfId="40" applyFont="1" applyFill="1" applyBorder="1" applyAlignment="1">
      <alignment horizontal="center" vertical="center" wrapText="1"/>
    </xf>
    <xf numFmtId="3" fontId="65" fillId="13" borderId="398" xfId="36" applyNumberFormat="1" applyFont="1" applyFill="1" applyBorder="1" applyAlignment="1" applyProtection="1">
      <alignment vertical="center"/>
      <protection locked="0"/>
    </xf>
    <xf numFmtId="49" fontId="62" fillId="0" borderId="238" xfId="36" applyNumberFormat="1" applyFont="1" applyFill="1" applyBorder="1" applyAlignment="1" applyProtection="1">
      <alignment horizontal="center" vertical="center"/>
      <protection locked="0"/>
    </xf>
    <xf numFmtId="3" fontId="62" fillId="0" borderId="398" xfId="36" applyNumberFormat="1" applyFont="1" applyFill="1" applyBorder="1" applyAlignment="1" applyProtection="1">
      <alignment vertical="center"/>
      <protection locked="0"/>
    </xf>
    <xf numFmtId="169" fontId="61" fillId="4" borderId="400" xfId="0" applyNumberFormat="1" applyFont="1" applyFill="1" applyBorder="1" applyAlignment="1">
      <alignment horizontal="center"/>
    </xf>
    <xf numFmtId="169" fontId="61" fillId="14" borderId="400" xfId="0" applyNumberFormat="1" applyFont="1" applyFill="1" applyBorder="1" applyAlignment="1">
      <alignment horizontal="justify" vertical="center"/>
    </xf>
    <xf numFmtId="169" fontId="61" fillId="14" borderId="0" xfId="0" applyNumberFormat="1" applyFont="1" applyFill="1" applyAlignment="1">
      <alignment horizontal="justify" vertical="center"/>
    </xf>
    <xf numFmtId="0" fontId="83" fillId="0" borderId="248" xfId="0" applyFont="1" applyBorder="1" applyAlignment="1">
      <alignment horizontal="centerContinuous" vertical="center"/>
    </xf>
    <xf numFmtId="0" fontId="83" fillId="0" borderId="156" xfId="0" applyFont="1" applyBorder="1" applyAlignment="1">
      <alignment horizontal="centerContinuous" vertical="center"/>
    </xf>
    <xf numFmtId="0" fontId="83" fillId="0" borderId="158" xfId="0" applyFont="1" applyBorder="1" applyAlignment="1">
      <alignment horizontal="centerContinuous" vertical="center"/>
    </xf>
    <xf numFmtId="169" fontId="89" fillId="4" borderId="225" xfId="0" applyNumberFormat="1" applyFont="1" applyFill="1" applyBorder="1" applyAlignment="1">
      <alignment horizontal="center" vertical="center" wrapText="1"/>
    </xf>
    <xf numFmtId="169" fontId="89" fillId="4" borderId="226" xfId="0" applyNumberFormat="1" applyFont="1" applyFill="1" applyBorder="1" applyAlignment="1">
      <alignment horizontal="center" vertical="center" wrapText="1"/>
    </xf>
    <xf numFmtId="169" fontId="89" fillId="4" borderId="229" xfId="0" applyNumberFormat="1" applyFont="1" applyFill="1" applyBorder="1" applyAlignment="1">
      <alignment horizontal="center" vertical="center" wrapText="1"/>
    </xf>
    <xf numFmtId="169" fontId="89" fillId="4" borderId="352" xfId="0" applyNumberFormat="1" applyFont="1" applyFill="1" applyBorder="1" applyAlignment="1">
      <alignment horizontal="center" vertical="center" wrapText="1"/>
    </xf>
    <xf numFmtId="169" fontId="89" fillId="4" borderId="230" xfId="0" applyNumberFormat="1" applyFont="1" applyFill="1" applyBorder="1" applyAlignment="1">
      <alignment horizontal="center" vertical="center" wrapText="1"/>
    </xf>
    <xf numFmtId="169" fontId="89" fillId="4" borderId="228" xfId="0" applyNumberFormat="1" applyFont="1" applyFill="1" applyBorder="1" applyAlignment="1">
      <alignment horizontal="center" vertical="center" wrapText="1"/>
    </xf>
    <xf numFmtId="169" fontId="89" fillId="4" borderId="227" xfId="0" applyNumberFormat="1" applyFont="1" applyFill="1" applyBorder="1" applyAlignment="1">
      <alignment horizontal="center" vertical="center" wrapText="1"/>
    </xf>
    <xf numFmtId="0" fontId="83" fillId="0" borderId="338" xfId="0" applyFont="1" applyBorder="1" applyAlignment="1">
      <alignment horizontal="center" vertical="center"/>
    </xf>
    <xf numFmtId="0" fontId="83" fillId="0" borderId="178" xfId="0" applyFont="1" applyBorder="1" applyAlignment="1">
      <alignment horizontal="center" vertical="center"/>
    </xf>
    <xf numFmtId="0" fontId="1" fillId="0" borderId="185" xfId="0" applyFont="1" applyBorder="1" applyAlignment="1">
      <alignment horizontal="center" vertical="center"/>
    </xf>
    <xf numFmtId="169" fontId="89" fillId="8" borderId="221" xfId="0" applyNumberFormat="1" applyFont="1" applyFill="1" applyBorder="1" applyAlignment="1">
      <alignment horizontal="center" vertical="center" wrapText="1"/>
    </xf>
    <xf numFmtId="169" fontId="89" fillId="8" borderId="216" xfId="0" applyNumberFormat="1" applyFont="1" applyFill="1" applyBorder="1" applyAlignment="1">
      <alignment horizontal="center" vertical="center" wrapText="1"/>
    </xf>
    <xf numFmtId="49" fontId="89" fillId="8" borderId="216" xfId="0" applyNumberFormat="1" applyFont="1" applyFill="1" applyBorder="1" applyAlignment="1">
      <alignment horizontal="center" vertical="center" wrapText="1"/>
    </xf>
    <xf numFmtId="169" fontId="89" fillId="8" borderId="215" xfId="0" applyNumberFormat="1" applyFont="1" applyFill="1" applyBorder="1" applyAlignment="1">
      <alignment horizontal="center" vertical="center" wrapText="1"/>
    </xf>
    <xf numFmtId="169" fontId="89" fillId="4" borderId="196" xfId="0" applyNumberFormat="1" applyFont="1" applyFill="1" applyBorder="1" applyAlignment="1">
      <alignment horizontal="center" vertical="center" wrapText="1"/>
    </xf>
    <xf numFmtId="169" fontId="89" fillId="4" borderId="0" xfId="0" applyNumberFormat="1" applyFont="1" applyFill="1" applyAlignment="1">
      <alignment horizontal="center" vertical="center" wrapText="1"/>
    </xf>
    <xf numFmtId="169" fontId="89" fillId="4" borderId="35" xfId="0" applyNumberFormat="1" applyFont="1" applyFill="1" applyBorder="1" applyAlignment="1">
      <alignment horizontal="center" vertical="center" wrapText="1"/>
    </xf>
    <xf numFmtId="169" fontId="89" fillId="4" borderId="222" xfId="0" applyNumberFormat="1" applyFont="1" applyFill="1" applyBorder="1" applyAlignment="1">
      <alignment horizontal="center" vertical="center" wrapText="1"/>
    </xf>
    <xf numFmtId="169" fontId="89" fillId="4" borderId="223" xfId="0" applyNumberFormat="1" applyFont="1" applyFill="1" applyBorder="1" applyAlignment="1">
      <alignment horizontal="center" vertical="center" wrapText="1"/>
    </xf>
    <xf numFmtId="169" fontId="89" fillId="4" borderId="218" xfId="0" applyNumberFormat="1" applyFont="1" applyFill="1" applyBorder="1" applyAlignment="1">
      <alignment horizontal="center" vertical="center" wrapText="1"/>
    </xf>
    <xf numFmtId="169" fontId="89" fillId="4" borderId="224" xfId="0" applyNumberFormat="1" applyFont="1" applyFill="1" applyBorder="1" applyAlignment="1">
      <alignment horizontal="center" vertical="center" wrapText="1"/>
    </xf>
    <xf numFmtId="169" fontId="89" fillId="4" borderId="11" xfId="0" applyNumberFormat="1" applyFont="1" applyFill="1" applyBorder="1" applyAlignment="1">
      <alignment horizontal="center" vertical="center" wrapText="1"/>
    </xf>
    <xf numFmtId="169" fontId="89" fillId="4" borderId="215" xfId="0" applyNumberFormat="1" applyFont="1" applyFill="1" applyBorder="1" applyAlignment="1">
      <alignment horizontal="center" vertical="center" wrapText="1"/>
    </xf>
    <xf numFmtId="169" fontId="89" fillId="4" borderId="353" xfId="0" applyNumberFormat="1" applyFont="1" applyFill="1" applyBorder="1" applyAlignment="1">
      <alignment horizontal="center" vertical="center" wrapText="1"/>
    </xf>
    <xf numFmtId="169" fontId="89" fillId="4" borderId="13" xfId="0" applyNumberFormat="1" applyFont="1" applyFill="1" applyBorder="1" applyAlignment="1">
      <alignment horizontal="center" vertical="center" wrapText="1"/>
    </xf>
    <xf numFmtId="0" fontId="186" fillId="67" borderId="210" xfId="0" applyFont="1" applyFill="1" applyBorder="1" applyAlignment="1">
      <alignment horizontal="center" vertical="center" wrapText="1"/>
    </xf>
    <xf numFmtId="0" fontId="186" fillId="67" borderId="202" xfId="0" applyFont="1" applyFill="1" applyBorder="1" applyAlignment="1">
      <alignment horizontal="center" vertical="center" wrapText="1"/>
    </xf>
    <xf numFmtId="3" fontId="1" fillId="87" borderId="337" xfId="0" applyNumberFormat="1" applyFont="1" applyFill="1" applyBorder="1" applyAlignment="1" applyProtection="1">
      <alignment horizontal="center" vertical="center"/>
      <protection locked="0"/>
    </xf>
    <xf numFmtId="3" fontId="1" fillId="87" borderId="356" xfId="0" applyNumberFormat="1" applyFont="1" applyFill="1" applyBorder="1" applyAlignment="1" applyProtection="1">
      <alignment horizontal="center" vertical="center"/>
      <protection locked="0"/>
    </xf>
    <xf numFmtId="0" fontId="53" fillId="13" borderId="402" xfId="0" applyFont="1" applyFill="1" applyBorder="1" applyAlignment="1">
      <alignment horizontal="center" vertical="center"/>
    </xf>
    <xf numFmtId="0" fontId="296" fillId="0" borderId="393" xfId="40" applyFont="1" applyBorder="1" applyAlignment="1">
      <alignment horizontal="center" vertical="center" wrapText="1"/>
    </xf>
    <xf numFmtId="3" fontId="65" fillId="13" borderId="400" xfId="153" applyNumberFormat="1" applyFont="1" applyFill="1" applyBorder="1" applyAlignment="1" applyProtection="1">
      <alignment vertical="center"/>
      <protection locked="0"/>
    </xf>
    <xf numFmtId="3" fontId="62" fillId="59" borderId="400" xfId="153" applyNumberFormat="1" applyFont="1" applyFill="1" applyBorder="1" applyAlignment="1" applyProtection="1">
      <alignment vertical="center"/>
      <protection locked="0"/>
    </xf>
    <xf numFmtId="3" fontId="62" fillId="13" borderId="368" xfId="153" applyNumberFormat="1" applyFont="1" applyFill="1" applyBorder="1" applyAlignment="1" applyProtection="1">
      <alignment vertical="center"/>
      <protection locked="0"/>
    </xf>
    <xf numFmtId="3" fontId="62" fillId="59" borderId="368" xfId="153" applyNumberFormat="1" applyFont="1" applyFill="1" applyBorder="1" applyAlignment="1" applyProtection="1">
      <alignment vertical="center"/>
      <protection locked="0"/>
    </xf>
    <xf numFmtId="3" fontId="62" fillId="0" borderId="368" xfId="153" applyNumberFormat="1" applyFont="1" applyFill="1" applyBorder="1" applyAlignment="1" applyProtection="1">
      <alignment vertical="center"/>
      <protection locked="0"/>
    </xf>
    <xf numFmtId="169" fontId="168" fillId="52" borderId="403" xfId="7" applyFont="1" applyFill="1" applyBorder="1" applyAlignment="1">
      <alignment horizontal="center" vertical="center" wrapText="1"/>
    </xf>
    <xf numFmtId="0" fontId="168" fillId="53" borderId="400" xfId="0" applyFont="1" applyFill="1" applyBorder="1" applyAlignment="1">
      <alignment horizontal="center" vertical="center" wrapText="1"/>
    </xf>
    <xf numFmtId="0" fontId="168" fillId="57" borderId="400" xfId="0" applyFont="1" applyFill="1" applyBorder="1" applyAlignment="1">
      <alignment horizontal="center" vertical="center" wrapText="1"/>
    </xf>
    <xf numFmtId="0" fontId="298" fillId="3" borderId="400" xfId="40" quotePrefix="1" applyFont="1" applyFill="1" applyBorder="1" applyAlignment="1">
      <alignment horizontal="left" vertical="center" wrapText="1" indent="4"/>
    </xf>
    <xf numFmtId="0" fontId="208" fillId="3" borderId="388" xfId="40" applyFont="1" applyFill="1" applyBorder="1" applyAlignment="1">
      <alignment horizontal="center" vertical="center" wrapText="1"/>
    </xf>
    <xf numFmtId="0" fontId="211" fillId="0" borderId="395" xfId="40" applyFont="1" applyBorder="1" applyAlignment="1">
      <alignment horizontal="center" vertical="center" wrapText="1"/>
    </xf>
    <xf numFmtId="0" fontId="207" fillId="3" borderId="400" xfId="40" applyFont="1" applyFill="1" applyBorder="1" applyAlignment="1">
      <alignment vertical="center" wrapText="1"/>
    </xf>
    <xf numFmtId="0" fontId="35" fillId="3" borderId="388" xfId="40" applyFont="1" applyFill="1" applyBorder="1" applyAlignment="1">
      <alignment horizontal="center" vertical="center" wrapText="1"/>
    </xf>
    <xf numFmtId="0" fontId="35" fillId="3" borderId="400" xfId="0" applyFont="1" applyFill="1" applyBorder="1" applyAlignment="1">
      <alignment horizontal="left" vertical="center" wrapText="1"/>
    </xf>
    <xf numFmtId="0" fontId="35" fillId="3" borderId="388" xfId="0" applyFont="1" applyFill="1" applyBorder="1" applyAlignment="1">
      <alignment horizontal="center" vertical="center" wrapText="1"/>
    </xf>
    <xf numFmtId="0" fontId="0" fillId="3" borderId="400" xfId="0" applyFill="1" applyBorder="1" applyAlignment="1">
      <alignment vertical="center" wrapText="1"/>
    </xf>
    <xf numFmtId="0" fontId="29" fillId="3" borderId="388" xfId="0" applyFont="1" applyFill="1" applyBorder="1" applyAlignment="1">
      <alignment horizontal="center" vertical="center"/>
    </xf>
    <xf numFmtId="0" fontId="0" fillId="3" borderId="391" xfId="0" applyFill="1" applyBorder="1" applyAlignment="1">
      <alignment vertical="center" wrapText="1"/>
    </xf>
    <xf numFmtId="0" fontId="29" fillId="3" borderId="393" xfId="0" applyFont="1" applyFill="1" applyBorder="1" applyAlignment="1">
      <alignment horizontal="center" vertical="center"/>
    </xf>
    <xf numFmtId="3" fontId="35" fillId="29" borderId="396" xfId="40" applyNumberFormat="1" applyFont="1" applyFill="1" applyBorder="1" applyAlignment="1" applyProtection="1">
      <alignment vertical="center" wrapText="1"/>
      <protection locked="0"/>
    </xf>
    <xf numFmtId="171" fontId="301" fillId="29" borderId="23" xfId="139" applyNumberFormat="1" applyFont="1" applyFill="1" applyBorder="1" applyAlignment="1" applyProtection="1">
      <alignment horizontal="right" vertical="center" wrapText="1"/>
      <protection locked="0"/>
    </xf>
    <xf numFmtId="0" fontId="35" fillId="3" borderId="400" xfId="40" applyFont="1" applyFill="1" applyBorder="1" applyAlignment="1">
      <alignment vertical="center" wrapText="1"/>
    </xf>
    <xf numFmtId="171" fontId="301" fillId="29" borderId="388" xfId="139" applyNumberFormat="1" applyFont="1" applyFill="1" applyBorder="1" applyAlignment="1" applyProtection="1">
      <alignment horizontal="right" vertical="center" wrapText="1"/>
      <protection locked="0"/>
    </xf>
    <xf numFmtId="0" fontId="208" fillId="3" borderId="387" xfId="40" applyFont="1" applyFill="1" applyBorder="1" applyAlignment="1">
      <alignment horizontal="center" vertical="center" wrapText="1"/>
    </xf>
    <xf numFmtId="0" fontId="208" fillId="3" borderId="400" xfId="40" applyFont="1" applyFill="1" applyBorder="1" applyAlignment="1">
      <alignment vertical="center" wrapText="1"/>
    </xf>
    <xf numFmtId="181" fontId="210" fillId="27" borderId="388" xfId="39" applyNumberFormat="1" applyFont="1" applyFill="1" applyBorder="1" applyAlignment="1">
      <alignment horizontal="right" vertical="center" wrapText="1"/>
    </xf>
    <xf numFmtId="3" fontId="301" fillId="29" borderId="388" xfId="139" applyNumberFormat="1" applyFont="1" applyFill="1" applyBorder="1" applyAlignment="1" applyProtection="1">
      <alignment horizontal="right" vertical="center" wrapText="1"/>
      <protection locked="0"/>
    </xf>
    <xf numFmtId="0" fontId="210" fillId="3" borderId="387" xfId="39" applyFont="1" applyFill="1" applyBorder="1" applyAlignment="1">
      <alignment horizontal="center" vertical="center" wrapText="1"/>
    </xf>
    <xf numFmtId="0" fontId="210" fillId="3" borderId="400" xfId="39" applyFont="1" applyFill="1" applyBorder="1" applyAlignment="1">
      <alignment vertical="center" wrapText="1"/>
    </xf>
    <xf numFmtId="49" fontId="208" fillId="29" borderId="388" xfId="39" applyNumberFormat="1" applyFont="1" applyFill="1" applyBorder="1" applyAlignment="1" applyProtection="1">
      <alignment horizontal="right" vertical="center" wrapText="1"/>
      <protection locked="0"/>
    </xf>
    <xf numFmtId="0" fontId="301" fillId="3" borderId="390" xfId="39" applyFont="1" applyFill="1" applyBorder="1" applyAlignment="1">
      <alignment horizontal="center" vertical="center" wrapText="1"/>
    </xf>
    <xf numFmtId="0" fontId="284" fillId="3" borderId="400" xfId="40" applyFont="1" applyFill="1" applyBorder="1" applyAlignment="1">
      <alignment horizontal="left" vertical="center" wrapText="1" indent="2"/>
    </xf>
    <xf numFmtId="0" fontId="0" fillId="3" borderId="387" xfId="0" applyFill="1" applyBorder="1" applyAlignment="1">
      <alignment horizontal="center" vertical="center" wrapText="1"/>
    </xf>
    <xf numFmtId="0" fontId="298" fillId="3" borderId="400" xfId="40" applyFont="1" applyFill="1" applyBorder="1" applyAlignment="1">
      <alignment horizontal="left" vertical="center" wrapText="1" indent="2"/>
    </xf>
    <xf numFmtId="0" fontId="284" fillId="3" borderId="400" xfId="40" applyFont="1" applyFill="1" applyBorder="1" applyAlignment="1">
      <alignment horizontal="left" vertical="center" wrapText="1"/>
    </xf>
    <xf numFmtId="0" fontId="298" fillId="3" borderId="400" xfId="40" applyFont="1" applyFill="1" applyBorder="1" applyAlignment="1">
      <alignment horizontal="left" vertical="center" wrapText="1"/>
    </xf>
    <xf numFmtId="0" fontId="207" fillId="3" borderId="400" xfId="40" applyFont="1" applyFill="1" applyBorder="1" applyAlignment="1">
      <alignment horizontal="left" vertical="center" wrapText="1"/>
    </xf>
    <xf numFmtId="181" fontId="208" fillId="27" borderId="388" xfId="32" applyNumberFormat="1" applyFont="1" applyFill="1" applyBorder="1" applyAlignment="1" applyProtection="1">
      <alignment horizontal="right" vertical="center" wrapText="1"/>
    </xf>
    <xf numFmtId="0" fontId="292" fillId="3" borderId="400" xfId="40" applyFont="1" applyFill="1" applyBorder="1" applyAlignment="1">
      <alignment vertical="center" wrapText="1"/>
    </xf>
    <xf numFmtId="0" fontId="35" fillId="3" borderId="400" xfId="40" applyFont="1" applyFill="1" applyBorder="1" applyAlignment="1">
      <alignment horizontal="left" vertical="center" wrapText="1"/>
    </xf>
    <xf numFmtId="0" fontId="208" fillId="112" borderId="390" xfId="40" applyFont="1" applyFill="1" applyBorder="1" applyAlignment="1">
      <alignment horizontal="center" vertical="center" wrapText="1"/>
    </xf>
    <xf numFmtId="0" fontId="208" fillId="112" borderId="391" xfId="40" applyFont="1" applyFill="1" applyBorder="1" applyAlignment="1">
      <alignment horizontal="left" vertical="center" wrapText="1"/>
    </xf>
    <xf numFmtId="0" fontId="35" fillId="112" borderId="392" xfId="40" applyFont="1" applyFill="1" applyBorder="1" applyAlignment="1">
      <alignment horizontal="center" vertical="center" wrapText="1"/>
    </xf>
    <xf numFmtId="181" fontId="35" fillId="94" borderId="393" xfId="32" applyNumberFormat="1" applyFont="1" applyFill="1" applyBorder="1" applyAlignment="1" applyProtection="1">
      <alignment horizontal="right" vertical="center" wrapText="1"/>
    </xf>
    <xf numFmtId="0" fontId="311" fillId="93" borderId="393" xfId="40" applyFont="1" applyFill="1" applyBorder="1" applyAlignment="1">
      <alignment horizontal="center" vertical="center" wrapText="1"/>
    </xf>
    <xf numFmtId="0" fontId="284" fillId="3" borderId="400" xfId="0" applyFont="1" applyFill="1" applyBorder="1" applyAlignment="1">
      <alignment horizontal="left" vertical="center" wrapText="1" indent="2"/>
    </xf>
    <xf numFmtId="10" fontId="208" fillId="27" borderId="393" xfId="32" applyNumberFormat="1" applyFont="1" applyFill="1" applyBorder="1" applyAlignment="1" applyProtection="1">
      <alignment horizontal="right" vertical="center" wrapText="1"/>
    </xf>
    <xf numFmtId="3" fontId="208" fillId="27" borderId="388" xfId="40" applyNumberFormat="1" applyFont="1" applyFill="1" applyBorder="1" applyAlignment="1">
      <alignment horizontal="right" vertical="center" wrapText="1"/>
    </xf>
    <xf numFmtId="0" fontId="0" fillId="3" borderId="400" xfId="0" applyFill="1" applyBorder="1" applyAlignment="1">
      <alignment horizontal="left" vertical="center" wrapText="1"/>
    </xf>
    <xf numFmtId="0" fontId="206" fillId="3" borderId="387" xfId="40" applyFont="1" applyFill="1" applyBorder="1" applyAlignment="1">
      <alignment horizontal="center" vertical="center" wrapText="1"/>
    </xf>
    <xf numFmtId="0" fontId="206" fillId="3" borderId="400" xfId="40" applyFont="1" applyFill="1" applyBorder="1" applyAlignment="1">
      <alignment vertical="center" wrapText="1"/>
    </xf>
    <xf numFmtId="3" fontId="35" fillId="78" borderId="388" xfId="40" applyNumberFormat="1" applyFont="1" applyFill="1" applyBorder="1" applyAlignment="1" applyProtection="1">
      <alignment vertical="center" wrapText="1"/>
      <protection locked="0"/>
    </xf>
    <xf numFmtId="0" fontId="207" fillId="3" borderId="405" xfId="40" applyFont="1" applyFill="1" applyBorder="1" applyAlignment="1">
      <alignment horizontal="center" vertical="center" wrapText="1"/>
    </xf>
    <xf numFmtId="0" fontId="0" fillId="3" borderId="406" xfId="0" applyFill="1" applyBorder="1" applyAlignment="1">
      <alignment horizontal="left" vertical="center" wrapText="1"/>
    </xf>
    <xf numFmtId="181" fontId="208" fillId="94" borderId="388" xfId="40" applyNumberFormat="1" applyFont="1" applyFill="1" applyBorder="1" applyAlignment="1">
      <alignment horizontal="right" vertical="center" wrapText="1"/>
    </xf>
    <xf numFmtId="0" fontId="296" fillId="93" borderId="393" xfId="39" applyFont="1" applyFill="1" applyBorder="1" applyAlignment="1">
      <alignment horizontal="center" vertical="center" wrapText="1"/>
    </xf>
    <xf numFmtId="0" fontId="17" fillId="3" borderId="400" xfId="0" applyFont="1" applyFill="1" applyBorder="1" applyAlignment="1">
      <alignment horizontal="left" vertical="center" wrapText="1" indent="2"/>
    </xf>
    <xf numFmtId="0" fontId="284" fillId="3" borderId="400" xfId="43" quotePrefix="1" applyFont="1" applyFill="1" applyBorder="1" applyAlignment="1">
      <alignment horizontal="left" vertical="center" wrapText="1" indent="4"/>
    </xf>
    <xf numFmtId="0" fontId="296" fillId="13" borderId="388" xfId="39" applyFont="1" applyFill="1" applyBorder="1" applyAlignment="1">
      <alignment horizontal="center" vertical="center" wrapText="1"/>
    </xf>
    <xf numFmtId="0" fontId="0" fillId="3" borderId="391" xfId="0" applyFill="1" applyBorder="1" applyAlignment="1">
      <alignment horizontal="left" vertical="center" wrapText="1"/>
    </xf>
    <xf numFmtId="0" fontId="296" fillId="13" borderId="393" xfId="39" applyFont="1" applyFill="1" applyBorder="1" applyAlignment="1">
      <alignment horizontal="center" vertical="center" wrapText="1"/>
    </xf>
    <xf numFmtId="0" fontId="301" fillId="3" borderId="387" xfId="39" applyFont="1" applyFill="1" applyBorder="1" applyAlignment="1">
      <alignment horizontal="center" vertical="center"/>
    </xf>
    <xf numFmtId="3" fontId="35" fillId="3" borderId="400" xfId="39" applyNumberFormat="1" applyFont="1" applyFill="1" applyBorder="1" applyAlignment="1">
      <alignment vertical="center" wrapText="1"/>
    </xf>
    <xf numFmtId="0" fontId="301" fillId="3" borderId="387" xfId="39" applyFont="1" applyFill="1" applyBorder="1" applyAlignment="1">
      <alignment horizontal="center" vertical="center" wrapText="1"/>
    </xf>
    <xf numFmtId="0" fontId="301" fillId="3" borderId="400" xfId="39" applyFont="1" applyFill="1" applyBorder="1" applyAlignment="1">
      <alignment vertical="center" wrapText="1"/>
    </xf>
    <xf numFmtId="3" fontId="301" fillId="95" borderId="388" xfId="139" applyNumberFormat="1" applyFont="1" applyFill="1" applyBorder="1" applyAlignment="1" applyProtection="1">
      <alignment horizontal="right" vertical="center" wrapText="1"/>
      <protection locked="0"/>
    </xf>
    <xf numFmtId="49" fontId="35" fillId="27" borderId="388" xfId="39" quotePrefix="1" applyNumberFormat="1" applyFont="1" applyFill="1" applyBorder="1" applyAlignment="1">
      <alignment horizontal="right" vertical="center" wrapText="1"/>
    </xf>
    <xf numFmtId="0" fontId="210" fillId="63" borderId="387" xfId="39" applyFont="1" applyFill="1" applyBorder="1" applyAlignment="1">
      <alignment horizontal="center" vertical="center" wrapText="1"/>
    </xf>
    <xf numFmtId="0" fontId="210" fillId="63" borderId="400" xfId="39" applyFont="1" applyFill="1" applyBorder="1" applyAlignment="1">
      <alignment vertical="center" wrapText="1"/>
    </xf>
    <xf numFmtId="49" fontId="210" fillId="27" borderId="388" xfId="39" applyNumberFormat="1" applyFont="1" applyFill="1" applyBorder="1" applyAlignment="1">
      <alignment horizontal="right" vertical="center" wrapText="1"/>
    </xf>
    <xf numFmtId="0" fontId="207" fillId="3" borderId="387" xfId="40" applyFont="1" applyFill="1" applyBorder="1" applyAlignment="1">
      <alignment horizontal="center" vertical="center"/>
    </xf>
    <xf numFmtId="0" fontId="206" fillId="3" borderId="387" xfId="40" applyFont="1" applyFill="1" applyBorder="1" applyAlignment="1">
      <alignment horizontal="center" vertical="center"/>
    </xf>
    <xf numFmtId="192" fontId="208" fillId="27" borderId="388" xfId="40" quotePrefix="1" applyNumberFormat="1" applyFont="1" applyFill="1" applyBorder="1" applyAlignment="1">
      <alignment vertical="center"/>
    </xf>
    <xf numFmtId="0" fontId="305" fillId="3" borderId="400" xfId="40" applyFont="1" applyFill="1" applyBorder="1" applyAlignment="1">
      <alignment vertical="center" wrapText="1"/>
    </xf>
    <xf numFmtId="0" fontId="35" fillId="3" borderId="387" xfId="40" applyFont="1" applyFill="1" applyBorder="1" applyAlignment="1">
      <alignment horizontal="center" vertical="center"/>
    </xf>
    <xf numFmtId="10" fontId="208" fillId="27" borderId="388" xfId="40" quotePrefix="1" applyNumberFormat="1" applyFont="1" applyFill="1" applyBorder="1" applyAlignment="1">
      <alignment vertical="center"/>
    </xf>
    <xf numFmtId="175" fontId="208" fillId="27" borderId="388" xfId="40" quotePrefix="1" applyNumberFormat="1" applyFont="1" applyFill="1" applyBorder="1" applyAlignment="1">
      <alignment vertical="center"/>
    </xf>
    <xf numFmtId="0" fontId="208" fillId="3" borderId="387" xfId="40" applyFont="1" applyFill="1" applyBorder="1" applyAlignment="1">
      <alignment horizontal="center" vertical="center"/>
    </xf>
    <xf numFmtId="4" fontId="206" fillId="27" borderId="388" xfId="32" applyNumberFormat="1" applyFont="1" applyFill="1" applyBorder="1" applyAlignment="1" applyProtection="1">
      <alignment vertical="center"/>
    </xf>
    <xf numFmtId="0" fontId="206" fillId="3" borderId="390" xfId="40" applyFont="1" applyFill="1" applyBorder="1" applyAlignment="1">
      <alignment horizontal="center" vertical="center"/>
    </xf>
    <xf numFmtId="0" fontId="208" fillId="3" borderId="391" xfId="40" applyFont="1" applyFill="1" applyBorder="1" applyAlignment="1">
      <alignment vertical="center" wrapText="1"/>
    </xf>
    <xf numFmtId="0" fontId="208" fillId="3" borderId="392" xfId="40" applyFont="1" applyFill="1" applyBorder="1" applyAlignment="1">
      <alignment horizontal="center" vertical="center" wrapText="1"/>
    </xf>
    <xf numFmtId="10" fontId="206" fillId="27" borderId="393" xfId="32" applyNumberFormat="1" applyFont="1" applyFill="1" applyBorder="1" applyAlignment="1" applyProtection="1">
      <alignment vertical="center"/>
    </xf>
    <xf numFmtId="0" fontId="0" fillId="0" borderId="406" xfId="0" applyBorder="1" applyAlignment="1">
      <alignment horizontal="right"/>
    </xf>
    <xf numFmtId="0" fontId="318" fillId="0" borderId="406" xfId="39" applyFont="1" applyBorder="1" applyAlignment="1">
      <alignment horizontal="right" vertical="center"/>
    </xf>
    <xf numFmtId="0" fontId="318" fillId="0" borderId="406" xfId="39" applyFont="1" applyBorder="1"/>
    <xf numFmtId="49" fontId="35" fillId="29" borderId="388" xfId="40" applyNumberFormat="1" applyFont="1" applyFill="1" applyBorder="1" applyAlignment="1" applyProtection="1">
      <alignment horizontal="right" vertical="center" wrapText="1"/>
      <protection locked="0"/>
    </xf>
    <xf numFmtId="0" fontId="21" fillId="3" borderId="387" xfId="0" applyFont="1" applyFill="1" applyBorder="1" applyAlignment="1">
      <alignment horizontal="center" vertical="center"/>
    </xf>
    <xf numFmtId="0" fontId="35" fillId="3" borderId="392" xfId="0" applyFont="1" applyFill="1" applyBorder="1" applyAlignment="1">
      <alignment horizontal="center" vertical="center"/>
    </xf>
    <xf numFmtId="171" fontId="301" fillId="29" borderId="393" xfId="139" applyNumberFormat="1" applyFont="1" applyFill="1" applyBorder="1" applyAlignment="1" applyProtection="1">
      <alignment horizontal="right" vertical="center" wrapText="1"/>
      <protection locked="0"/>
    </xf>
    <xf numFmtId="171" fontId="301" fillId="13" borderId="0" xfId="139" applyNumberFormat="1" applyFont="1" applyFill="1" applyBorder="1" applyAlignment="1" applyProtection="1">
      <alignment horizontal="right" vertical="center" wrapText="1"/>
    </xf>
    <xf numFmtId="3" fontId="301" fillId="95" borderId="23" xfId="139" applyNumberFormat="1" applyFont="1" applyFill="1" applyBorder="1" applyAlignment="1" applyProtection="1">
      <alignment horizontal="right" vertical="center" wrapText="1"/>
      <protection locked="0"/>
    </xf>
    <xf numFmtId="0" fontId="35" fillId="3" borderId="400" xfId="39" applyFont="1" applyFill="1" applyBorder="1" applyAlignment="1">
      <alignment vertical="center" wrapText="1"/>
    </xf>
    <xf numFmtId="49" fontId="208" fillId="27" borderId="388" xfId="39" quotePrefix="1" applyNumberFormat="1" applyFont="1" applyFill="1" applyBorder="1" applyAlignment="1">
      <alignment horizontal="right" vertical="center" wrapText="1"/>
    </xf>
    <xf numFmtId="171" fontId="301" fillId="27" borderId="388" xfId="139" applyNumberFormat="1" applyFont="1" applyFill="1" applyBorder="1" applyAlignment="1" applyProtection="1">
      <alignment horizontal="right" vertical="center" wrapText="1"/>
    </xf>
    <xf numFmtId="174" fontId="208" fillId="27" borderId="388" xfId="40" applyNumberFormat="1" applyFont="1" applyFill="1" applyBorder="1" applyAlignment="1">
      <alignment horizontal="right" vertical="center" wrapText="1"/>
    </xf>
    <xf numFmtId="0" fontId="206" fillId="63" borderId="400" xfId="40" applyFont="1" applyFill="1" applyBorder="1" applyAlignment="1">
      <alignment vertical="center" wrapText="1"/>
    </xf>
    <xf numFmtId="0" fontId="35" fillId="3" borderId="400" xfId="43" applyFont="1" applyFill="1" applyBorder="1" applyAlignment="1">
      <alignment horizontal="left" vertical="center" wrapText="1"/>
    </xf>
    <xf numFmtId="178" fontId="301" fillId="29" borderId="388" xfId="139" applyNumberFormat="1" applyFont="1" applyFill="1" applyBorder="1" applyAlignment="1" applyProtection="1">
      <alignment horizontal="right" vertical="center" wrapText="1"/>
      <protection locked="0"/>
    </xf>
    <xf numFmtId="0" fontId="284" fillId="3" borderId="400" xfId="43" applyFont="1" applyFill="1" applyBorder="1" applyAlignment="1">
      <alignment horizontal="left" vertical="center" wrapText="1" indent="2"/>
    </xf>
    <xf numFmtId="0" fontId="18" fillId="3" borderId="387" xfId="0" applyFont="1" applyFill="1" applyBorder="1" applyAlignment="1">
      <alignment horizontal="center" vertical="center"/>
    </xf>
    <xf numFmtId="0" fontId="208" fillId="3" borderId="400" xfId="43" applyFont="1" applyFill="1" applyBorder="1" applyAlignment="1">
      <alignment vertical="center" wrapText="1"/>
    </xf>
    <xf numFmtId="4" fontId="210" fillId="27" borderId="388" xfId="139" applyNumberFormat="1" applyFont="1" applyFill="1" applyBorder="1" applyAlignment="1" applyProtection="1">
      <alignment horizontal="right" vertical="center" wrapText="1"/>
    </xf>
    <xf numFmtId="0" fontId="206" fillId="3" borderId="390" xfId="40" applyFont="1" applyFill="1" applyBorder="1" applyAlignment="1">
      <alignment horizontal="center" vertical="center" wrapText="1"/>
    </xf>
    <xf numFmtId="0" fontId="206" fillId="3" borderId="391" xfId="40" applyFont="1" applyFill="1" applyBorder="1" applyAlignment="1">
      <alignment vertical="center" wrapText="1"/>
    </xf>
    <xf numFmtId="174" fontId="208" fillId="27" borderId="393" xfId="40" applyNumberFormat="1" applyFont="1" applyFill="1" applyBorder="1" applyAlignment="1">
      <alignment horizontal="right" vertical="center" wrapText="1"/>
    </xf>
    <xf numFmtId="0" fontId="21" fillId="3" borderId="400" xfId="0" applyFont="1" applyFill="1" applyBorder="1" applyAlignment="1">
      <alignment vertical="center" wrapText="1"/>
    </xf>
    <xf numFmtId="0" fontId="301" fillId="3" borderId="390" xfId="0" applyFont="1" applyFill="1" applyBorder="1" applyAlignment="1">
      <alignment horizontal="center" vertical="center"/>
    </xf>
    <xf numFmtId="0" fontId="17" fillId="3" borderId="391" xfId="0" applyFont="1" applyFill="1" applyBorder="1" applyAlignment="1">
      <alignment horizontal="left" vertical="center" wrapText="1" indent="2"/>
    </xf>
    <xf numFmtId="49" fontId="210" fillId="95" borderId="388" xfId="139" applyNumberFormat="1" applyFont="1" applyFill="1" applyBorder="1" applyAlignment="1" applyProtection="1">
      <alignment horizontal="right" vertical="center" wrapText="1"/>
      <protection locked="0"/>
    </xf>
    <xf numFmtId="0" fontId="296" fillId="93" borderId="393" xfId="40" applyFont="1" applyFill="1" applyBorder="1" applyAlignment="1">
      <alignment horizontal="center" vertical="center" wrapText="1"/>
    </xf>
    <xf numFmtId="0" fontId="284" fillId="3" borderId="400" xfId="43" applyFont="1" applyFill="1" applyBorder="1" applyAlignment="1">
      <alignment horizontal="left" vertical="center" wrapText="1" indent="4"/>
    </xf>
    <xf numFmtId="0" fontId="210" fillId="3" borderId="387" xfId="0" applyFont="1" applyFill="1" applyBorder="1" applyAlignment="1">
      <alignment horizontal="center" vertical="center"/>
    </xf>
    <xf numFmtId="0" fontId="18" fillId="3" borderId="400" xfId="0" applyFont="1" applyFill="1" applyBorder="1" applyAlignment="1">
      <alignment vertical="center" wrapText="1"/>
    </xf>
    <xf numFmtId="0" fontId="206" fillId="3" borderId="400" xfId="40" applyFont="1" applyFill="1" applyBorder="1" applyAlignment="1">
      <alignment horizontal="left" vertical="center" wrapText="1"/>
    </xf>
    <xf numFmtId="10" fontId="206" fillId="27" borderId="388" xfId="32" applyNumberFormat="1" applyFont="1" applyFill="1" applyBorder="1" applyAlignment="1" applyProtection="1">
      <alignment horizontal="right" vertical="center" wrapText="1"/>
    </xf>
    <xf numFmtId="0" fontId="292" fillId="3" borderId="400" xfId="0" applyFont="1" applyFill="1" applyBorder="1" applyAlignment="1">
      <alignment vertical="center" wrapText="1"/>
    </xf>
    <xf numFmtId="0" fontId="284" fillId="3" borderId="400" xfId="39" applyFont="1" applyFill="1" applyBorder="1" applyAlignment="1">
      <alignment horizontal="left" vertical="center" wrapText="1" indent="2"/>
    </xf>
    <xf numFmtId="0" fontId="35" fillId="3" borderId="400" xfId="0" applyFont="1" applyFill="1" applyBorder="1" applyAlignment="1">
      <alignment vertical="center" wrapText="1"/>
    </xf>
    <xf numFmtId="0" fontId="208" fillId="3" borderId="400" xfId="0" applyFont="1" applyFill="1" applyBorder="1" applyAlignment="1">
      <alignment vertical="center" wrapText="1"/>
    </xf>
    <xf numFmtId="0" fontId="322" fillId="3" borderId="400" xfId="41" applyFont="1" applyFill="1" applyBorder="1" applyAlignment="1">
      <alignment horizontal="left" vertical="center" wrapText="1"/>
    </xf>
    <xf numFmtId="3" fontId="62" fillId="94" borderId="387" xfId="107" applyNumberFormat="1" applyFont="1" applyFill="1" applyBorder="1" applyAlignment="1" applyProtection="1">
      <alignment vertical="center" wrapText="1"/>
    </xf>
    <xf numFmtId="3" fontId="62" fillId="94" borderId="388" xfId="107" applyNumberFormat="1" applyFont="1" applyFill="1" applyBorder="1" applyAlignment="1" applyProtection="1">
      <alignment vertical="center" wrapText="1"/>
    </xf>
    <xf numFmtId="0" fontId="323" fillId="3" borderId="400" xfId="41" applyFont="1" applyFill="1" applyBorder="1" applyAlignment="1">
      <alignment horizontal="left" vertical="center" wrapText="1"/>
    </xf>
    <xf numFmtId="0" fontId="323" fillId="3" borderId="400" xfId="41" applyFont="1" applyFill="1" applyBorder="1" applyAlignment="1">
      <alignment horizontal="left" vertical="center" wrapText="1" indent="2"/>
    </xf>
    <xf numFmtId="0" fontId="301" fillId="3" borderId="405" xfId="0" applyFont="1" applyFill="1" applyBorder="1" applyAlignment="1">
      <alignment horizontal="center" vertical="center"/>
    </xf>
    <xf numFmtId="0" fontId="322" fillId="3" borderId="406" xfId="41" applyFont="1" applyFill="1" applyBorder="1" applyAlignment="1">
      <alignment horizontal="left" vertical="center" wrapText="1"/>
    </xf>
    <xf numFmtId="0" fontId="209" fillId="0" borderId="407" xfId="40" applyFont="1" applyBorder="1" applyAlignment="1">
      <alignment horizontal="center" vertical="center" wrapText="1"/>
    </xf>
    <xf numFmtId="3" fontId="18" fillId="29" borderId="388" xfId="0" applyNumberFormat="1" applyFont="1" applyFill="1" applyBorder="1" applyAlignment="1" applyProtection="1">
      <alignment horizontal="right" vertical="center"/>
      <protection locked="0"/>
    </xf>
    <xf numFmtId="0" fontId="305" fillId="3" borderId="400" xfId="0" applyFont="1" applyFill="1" applyBorder="1" applyAlignment="1">
      <alignment vertical="center" wrapText="1"/>
    </xf>
    <xf numFmtId="0" fontId="35" fillId="3" borderId="23" xfId="39" applyFont="1" applyFill="1" applyBorder="1" applyAlignment="1">
      <alignment horizontal="center" vertical="center" wrapText="1"/>
    </xf>
    <xf numFmtId="0" fontId="209" fillId="0" borderId="315" xfId="39" applyFont="1" applyBorder="1" applyAlignment="1">
      <alignment horizontal="center" vertical="center" wrapText="1"/>
    </xf>
    <xf numFmtId="0" fontId="35" fillId="3" borderId="388" xfId="39" applyFont="1" applyFill="1" applyBorder="1" applyAlignment="1">
      <alignment horizontal="center" vertical="center" wrapText="1"/>
    </xf>
    <xf numFmtId="0" fontId="209" fillId="0" borderId="395" xfId="39" applyFont="1" applyBorder="1" applyAlignment="1">
      <alignment horizontal="center" vertical="center" wrapText="1"/>
    </xf>
    <xf numFmtId="0" fontId="208" fillId="3" borderId="388" xfId="39" applyFont="1" applyFill="1" applyBorder="1" applyAlignment="1">
      <alignment horizontal="center" vertical="center" wrapText="1"/>
    </xf>
    <xf numFmtId="0" fontId="210" fillId="63" borderId="405" xfId="39" applyFont="1" applyFill="1" applyBorder="1" applyAlignment="1">
      <alignment horizontal="center" vertical="center" wrapText="1"/>
    </xf>
    <xf numFmtId="0" fontId="210" fillId="63" borderId="215" xfId="39" applyFont="1" applyFill="1" applyBorder="1" applyAlignment="1">
      <alignment vertical="center" wrapText="1"/>
    </xf>
    <xf numFmtId="0" fontId="208" fillId="3" borderId="409" xfId="39" applyFont="1" applyFill="1" applyBorder="1" applyAlignment="1">
      <alignment horizontal="center" vertical="center" wrapText="1"/>
    </xf>
    <xf numFmtId="0" fontId="209" fillId="0" borderId="411" xfId="40" applyFont="1" applyBorder="1" applyAlignment="1">
      <alignment horizontal="center" vertical="center" wrapText="1"/>
    </xf>
    <xf numFmtId="0" fontId="296" fillId="0" borderId="410" xfId="39" applyFont="1" applyBorder="1" applyAlignment="1">
      <alignment horizontal="center" vertical="center" wrapText="1"/>
    </xf>
    <xf numFmtId="0" fontId="362" fillId="0" borderId="395" xfId="40" applyFont="1" applyBorder="1" applyAlignment="1">
      <alignment horizontal="center" vertical="center" wrapText="1"/>
    </xf>
    <xf numFmtId="0" fontId="305" fillId="3" borderId="19" xfId="39" applyFont="1" applyFill="1" applyBorder="1" applyAlignment="1">
      <alignment horizontal="center" vertical="center" wrapText="1"/>
    </xf>
    <xf numFmtId="0" fontId="305" fillId="3" borderId="18" xfId="40" applyFont="1" applyFill="1" applyBorder="1" applyAlignment="1">
      <alignment vertical="center" wrapText="1"/>
    </xf>
    <xf numFmtId="0" fontId="35" fillId="3" borderId="136" xfId="39" applyFont="1" applyFill="1" applyBorder="1" applyAlignment="1">
      <alignment horizontal="center" vertical="center" wrapText="1"/>
    </xf>
    <xf numFmtId="0" fontId="362" fillId="0" borderId="5" xfId="40" applyFont="1" applyBorder="1" applyAlignment="1">
      <alignment horizontal="center" vertical="center" wrapText="1"/>
    </xf>
    <xf numFmtId="0" fontId="296" fillId="96" borderId="388" xfId="40" applyFont="1" applyFill="1" applyBorder="1" applyAlignment="1">
      <alignment horizontal="center" vertical="center" wrapText="1"/>
    </xf>
    <xf numFmtId="0" fontId="306" fillId="3" borderId="400" xfId="43" quotePrefix="1" applyFont="1" applyFill="1" applyBorder="1" applyAlignment="1">
      <alignment horizontal="left" vertical="center" wrapText="1" indent="2"/>
    </xf>
    <xf numFmtId="0" fontId="284" fillId="3" borderId="400" xfId="43" quotePrefix="1" applyFont="1" applyFill="1" applyBorder="1" applyAlignment="1">
      <alignment horizontal="left" vertical="center" wrapText="1" indent="2"/>
    </xf>
    <xf numFmtId="10" fontId="208" fillId="27" borderId="388" xfId="32" applyNumberFormat="1" applyFont="1" applyFill="1" applyBorder="1" applyAlignment="1" applyProtection="1">
      <alignment horizontal="right" vertical="center" wrapText="1"/>
    </xf>
    <xf numFmtId="0" fontId="209" fillId="0" borderId="407" xfId="0" applyFont="1" applyBorder="1" applyAlignment="1">
      <alignment horizontal="center" vertical="center" wrapText="1"/>
    </xf>
    <xf numFmtId="0" fontId="207" fillId="63" borderId="400" xfId="40" applyFont="1" applyFill="1" applyBorder="1" applyAlignment="1">
      <alignment vertical="center" wrapText="1"/>
    </xf>
    <xf numFmtId="0" fontId="298" fillId="63" borderId="400" xfId="40" applyFont="1" applyFill="1" applyBorder="1" applyAlignment="1">
      <alignment horizontal="left" vertical="center" wrapText="1" indent="2"/>
    </xf>
    <xf numFmtId="0" fontId="298" fillId="63" borderId="400" xfId="40" applyFont="1" applyFill="1" applyBorder="1" applyAlignment="1">
      <alignment horizontal="left" vertical="center" wrapText="1" indent="3"/>
    </xf>
    <xf numFmtId="0" fontId="298" fillId="3" borderId="400" xfId="40" applyFont="1" applyFill="1" applyBorder="1" applyAlignment="1">
      <alignment horizontal="left" vertical="center" wrapText="1" indent="3"/>
    </xf>
    <xf numFmtId="0" fontId="284" fillId="3" borderId="400" xfId="40" applyFont="1" applyFill="1" applyBorder="1" applyAlignment="1">
      <alignment horizontal="left" vertical="center" wrapText="1" indent="4"/>
    </xf>
    <xf numFmtId="0" fontId="35" fillId="3" borderId="405" xfId="0" applyFont="1" applyFill="1" applyBorder="1" applyAlignment="1">
      <alignment horizontal="center" vertical="center"/>
    </xf>
    <xf numFmtId="0" fontId="284" fillId="3" borderId="406" xfId="40" applyFont="1" applyFill="1" applyBorder="1" applyAlignment="1">
      <alignment horizontal="left" vertical="center" wrapText="1" indent="2"/>
    </xf>
    <xf numFmtId="4" fontId="35" fillId="29" borderId="388" xfId="40" applyNumberFormat="1" applyFont="1" applyFill="1" applyBorder="1" applyAlignment="1" applyProtection="1">
      <alignment horizontal="right" vertical="center" wrapText="1"/>
      <protection locked="0"/>
    </xf>
    <xf numFmtId="0" fontId="35" fillId="3" borderId="400" xfId="43" applyFont="1" applyFill="1" applyBorder="1" applyAlignment="1">
      <alignment vertical="center" wrapText="1"/>
    </xf>
    <xf numFmtId="0" fontId="284" fillId="3" borderId="400" xfId="43" applyFont="1" applyFill="1" applyBorder="1" applyAlignment="1">
      <alignment horizontal="left" vertical="center" wrapText="1"/>
    </xf>
    <xf numFmtId="0" fontId="306" fillId="3" borderId="400" xfId="39" applyFont="1" applyFill="1" applyBorder="1" applyAlignment="1">
      <alignment horizontal="left" vertical="center" wrapText="1" indent="2"/>
    </xf>
    <xf numFmtId="0" fontId="306" fillId="3" borderId="400" xfId="0" applyFont="1" applyFill="1" applyBorder="1" applyAlignment="1">
      <alignment horizontal="left" vertical="center" wrapText="1" indent="2"/>
    </xf>
    <xf numFmtId="0" fontId="284" fillId="3" borderId="400" xfId="40" applyFont="1" applyFill="1" applyBorder="1" applyAlignment="1">
      <alignment horizontal="left" vertical="center" wrapText="1" indent="3"/>
    </xf>
    <xf numFmtId="0" fontId="296" fillId="122" borderId="393" xfId="39" applyFont="1" applyFill="1" applyBorder="1" applyAlignment="1">
      <alignment horizontal="center" vertical="center" wrapText="1"/>
    </xf>
    <xf numFmtId="0" fontId="292" fillId="3" borderId="393" xfId="40" applyFont="1" applyFill="1" applyBorder="1" applyAlignment="1">
      <alignment horizontal="center" vertical="center" wrapText="1"/>
    </xf>
    <xf numFmtId="181" fontId="208" fillId="27" borderId="393" xfId="40" applyNumberFormat="1" applyFont="1" applyFill="1" applyBorder="1" applyAlignment="1">
      <alignment horizontal="right" vertical="center" wrapText="1"/>
    </xf>
    <xf numFmtId="0" fontId="300" fillId="93" borderId="393" xfId="0" applyFont="1" applyFill="1" applyBorder="1"/>
    <xf numFmtId="0" fontId="0" fillId="0" borderId="400" xfId="0" applyBorder="1" applyAlignment="1">
      <alignment vertical="center"/>
    </xf>
    <xf numFmtId="0" fontId="206" fillId="33" borderId="398" xfId="40" applyFont="1" applyFill="1" applyBorder="1" applyAlignment="1">
      <alignment horizontal="center" vertical="center" wrapText="1"/>
    </xf>
    <xf numFmtId="0" fontId="208" fillId="33" borderId="398" xfId="40" applyFont="1" applyFill="1" applyBorder="1" applyAlignment="1">
      <alignment horizontal="center" vertical="center" wrapText="1"/>
    </xf>
    <xf numFmtId="0" fontId="271" fillId="3" borderId="398" xfId="40" applyFont="1" applyFill="1" applyBorder="1" applyAlignment="1">
      <alignment vertical="center" wrapText="1"/>
    </xf>
    <xf numFmtId="0" fontId="271" fillId="3" borderId="398" xfId="52" applyFont="1" applyFill="1" applyBorder="1" applyAlignment="1">
      <alignment horizontal="center" vertical="center"/>
    </xf>
    <xf numFmtId="3" fontId="35" fillId="29" borderId="398" xfId="40" applyNumberFormat="1" applyFont="1" applyFill="1" applyBorder="1" applyAlignment="1" applyProtection="1">
      <alignment horizontal="right" vertical="center" wrapText="1"/>
      <protection locked="0"/>
    </xf>
    <xf numFmtId="0" fontId="206" fillId="33" borderId="404" xfId="40" applyFont="1" applyFill="1" applyBorder="1" applyAlignment="1">
      <alignment horizontal="center" vertical="center" wrapText="1"/>
    </xf>
    <xf numFmtId="0" fontId="271" fillId="3" borderId="404" xfId="52" applyFont="1" applyFill="1" applyBorder="1" applyAlignment="1">
      <alignment horizontal="center" vertical="center" wrapText="1"/>
    </xf>
    <xf numFmtId="0" fontId="271" fillId="3" borderId="398" xfId="52" applyFont="1" applyFill="1" applyBorder="1" applyAlignment="1">
      <alignment vertical="center" wrapText="1"/>
    </xf>
    <xf numFmtId="3" fontId="35" fillId="45" borderId="398" xfId="40" applyNumberFormat="1" applyFont="1" applyFill="1" applyBorder="1" applyAlignment="1" applyProtection="1">
      <alignment horizontal="right" vertical="center" wrapText="1"/>
      <protection locked="0"/>
    </xf>
    <xf numFmtId="0" fontId="279" fillId="3" borderId="398" xfId="39" applyFont="1" applyFill="1" applyBorder="1" applyAlignment="1">
      <alignment horizontal="center" vertical="center" wrapText="1"/>
    </xf>
    <xf numFmtId="0" fontId="335" fillId="101" borderId="398" xfId="0" applyFont="1" applyFill="1" applyBorder="1" applyAlignment="1">
      <alignment horizontal="center" wrapText="1"/>
    </xf>
    <xf numFmtId="0" fontId="279" fillId="3" borderId="404" xfId="39" applyFont="1" applyFill="1" applyBorder="1" applyAlignment="1">
      <alignment horizontal="center" vertical="center" wrapText="1"/>
    </xf>
    <xf numFmtId="3" fontId="208" fillId="29" borderId="398" xfId="40" applyNumberFormat="1" applyFont="1" applyFill="1" applyBorder="1" applyAlignment="1" applyProtection="1">
      <alignment horizontal="right" vertical="center" wrapText="1"/>
      <protection locked="0"/>
    </xf>
    <xf numFmtId="3" fontId="91" fillId="11" borderId="8" xfId="0" applyNumberFormat="1" applyFont="1" applyFill="1" applyBorder="1" applyAlignment="1">
      <alignment horizontal="center"/>
    </xf>
    <xf numFmtId="3" fontId="1" fillId="17" borderId="0" xfId="0" applyNumberFormat="1" applyFont="1" applyFill="1"/>
    <xf numFmtId="169" fontId="18" fillId="0" borderId="0" xfId="0" applyNumberFormat="1" applyFont="1" applyAlignment="1">
      <alignment horizontal="center" vertical="center"/>
    </xf>
    <xf numFmtId="3" fontId="62" fillId="0" borderId="368" xfId="36" applyNumberFormat="1" applyFont="1" applyFill="1" applyBorder="1" applyAlignment="1" applyProtection="1">
      <alignment vertical="center"/>
      <protection locked="0"/>
    </xf>
    <xf numFmtId="3" fontId="62" fillId="0" borderId="398" xfId="12" applyNumberFormat="1" applyFont="1" applyFill="1" applyBorder="1" applyAlignment="1" applyProtection="1">
      <alignment horizontal="right"/>
    </xf>
    <xf numFmtId="191" fontId="0" fillId="0" borderId="0" xfId="0" applyNumberFormat="1"/>
    <xf numFmtId="3" fontId="62" fillId="88" borderId="8" xfId="12" applyNumberFormat="1" applyFont="1" applyFill="1" applyBorder="1" applyAlignment="1" applyProtection="1">
      <alignment horizontal="center" vertical="center"/>
      <protection locked="0"/>
    </xf>
    <xf numFmtId="3" fontId="62" fillId="89" borderId="8" xfId="12" applyNumberFormat="1" applyFont="1" applyFill="1" applyBorder="1" applyAlignment="1" applyProtection="1">
      <alignment horizontal="center" vertical="center"/>
      <protection locked="0"/>
    </xf>
    <xf numFmtId="3" fontId="62" fillId="124" borderId="8" xfId="12" applyNumberFormat="1" applyFont="1" applyFill="1" applyBorder="1" applyAlignment="1" applyProtection="1">
      <alignment horizontal="center" vertical="center"/>
      <protection locked="0"/>
    </xf>
    <xf numFmtId="0" fontId="18" fillId="31" borderId="400" xfId="0" applyFont="1" applyFill="1" applyBorder="1" applyAlignment="1">
      <alignment horizontal="center" vertical="center"/>
    </xf>
    <xf numFmtId="0" fontId="62" fillId="4" borderId="151" xfId="0" applyFont="1" applyFill="1" applyBorder="1" applyAlignment="1">
      <alignment horizontal="right" vertical="center" wrapText="1"/>
    </xf>
    <xf numFmtId="0" fontId="145" fillId="31" borderId="402" xfId="0" applyFont="1" applyFill="1" applyBorder="1" applyAlignment="1">
      <alignment horizontal="center" vertical="center" wrapText="1"/>
    </xf>
    <xf numFmtId="0" fontId="62" fillId="4" borderId="412" xfId="0" applyFont="1" applyFill="1" applyBorder="1" applyAlignment="1">
      <alignment horizontal="right" vertical="center" wrapText="1"/>
    </xf>
    <xf numFmtId="0" fontId="62" fillId="4" borderId="413" xfId="0" applyFont="1" applyFill="1" applyBorder="1" applyAlignment="1">
      <alignment horizontal="right" vertical="center" wrapText="1"/>
    </xf>
    <xf numFmtId="169" fontId="168" fillId="55" borderId="186" xfId="7" applyFont="1" applyFill="1" applyBorder="1" applyAlignment="1">
      <alignment horizontal="center" vertical="center" wrapText="1"/>
    </xf>
    <xf numFmtId="169" fontId="168" fillId="50" borderId="186" xfId="7" applyFont="1" applyFill="1" applyBorder="1" applyAlignment="1">
      <alignment horizontal="center" vertical="center" wrapText="1"/>
    </xf>
    <xf numFmtId="3" fontId="168" fillId="60" borderId="186" xfId="7" applyNumberFormat="1" applyFont="1" applyFill="1" applyBorder="1" applyAlignment="1">
      <alignment horizontal="center" vertical="center" wrapText="1"/>
    </xf>
    <xf numFmtId="169" fontId="168" fillId="123" borderId="404" xfId="7" applyFont="1" applyFill="1" applyBorder="1" applyAlignment="1">
      <alignment horizontal="center" vertical="center" wrapText="1"/>
    </xf>
    <xf numFmtId="3" fontId="168" fillId="58" borderId="186" xfId="7" applyNumberFormat="1" applyFont="1" applyFill="1" applyBorder="1" applyAlignment="1">
      <alignment horizontal="center" vertical="center" wrapText="1"/>
    </xf>
    <xf numFmtId="0" fontId="223" fillId="0" borderId="0" xfId="0" applyFont="1" applyAlignment="1">
      <alignment horizontal="center" vertical="center"/>
    </xf>
    <xf numFmtId="0" fontId="281" fillId="0" borderId="0" xfId="0" applyFont="1" applyAlignment="1">
      <alignment horizontal="center" vertical="center"/>
    </xf>
    <xf numFmtId="0" fontId="89" fillId="11" borderId="255" xfId="0" applyFont="1" applyFill="1" applyBorder="1" applyAlignment="1">
      <alignment horizontal="left" vertical="center" wrapText="1"/>
    </xf>
    <xf numFmtId="0" fontId="61" fillId="14" borderId="0" xfId="0" applyFont="1" applyFill="1" applyAlignment="1" applyProtection="1">
      <alignment horizontal="right" vertical="center"/>
      <protection locked="0"/>
    </xf>
    <xf numFmtId="3" fontId="118" fillId="0" borderId="363" xfId="12" applyNumberFormat="1" applyFont="1" applyFill="1" applyBorder="1" applyAlignment="1" applyProtection="1"/>
    <xf numFmtId="0" fontId="86" fillId="3" borderId="213" xfId="7" applyNumberFormat="1" applyFont="1" applyFill="1" applyBorder="1" applyAlignment="1">
      <alignment vertical="center" wrapText="1"/>
    </xf>
    <xf numFmtId="0" fontId="9" fillId="19" borderId="213" xfId="0" applyFont="1" applyFill="1" applyBorder="1" applyAlignment="1" applyProtection="1">
      <alignment vertical="center" wrapText="1"/>
      <protection locked="0"/>
    </xf>
    <xf numFmtId="0" fontId="91" fillId="19" borderId="406" xfId="0" applyFont="1" applyFill="1" applyBorder="1" applyAlignment="1">
      <alignment horizontal="center" vertical="center"/>
    </xf>
    <xf numFmtId="0" fontId="91" fillId="29" borderId="406" xfId="0" applyFont="1" applyFill="1" applyBorder="1" applyAlignment="1">
      <alignment horizontal="center" vertical="center"/>
    </xf>
    <xf numFmtId="0" fontId="91" fillId="114" borderId="406" xfId="0" applyFont="1" applyFill="1" applyBorder="1" applyAlignment="1">
      <alignment horizontal="center" vertical="center"/>
    </xf>
    <xf numFmtId="0" fontId="91" fillId="114" borderId="400" xfId="0" applyFont="1" applyFill="1" applyBorder="1" applyAlignment="1">
      <alignment horizontal="center" vertical="center"/>
    </xf>
    <xf numFmtId="0" fontId="1" fillId="0" borderId="400" xfId="0" applyFont="1" applyBorder="1" applyAlignment="1">
      <alignment horizontal="left"/>
    </xf>
    <xf numFmtId="169" fontId="89" fillId="4" borderId="0" xfId="0" applyNumberFormat="1" applyFont="1" applyFill="1" applyAlignment="1">
      <alignment horizontal="left" vertical="center" wrapText="1"/>
    </xf>
    <xf numFmtId="169" fontId="89" fillId="4" borderId="0" xfId="0" applyNumberFormat="1" applyFont="1" applyFill="1" applyAlignment="1">
      <alignment horizontal="left" vertical="center"/>
    </xf>
    <xf numFmtId="3" fontId="62" fillId="0" borderId="400" xfId="12" applyNumberFormat="1" applyFont="1" applyFill="1" applyBorder="1" applyAlignment="1" applyProtection="1">
      <alignment horizontal="right"/>
    </xf>
    <xf numFmtId="3" fontId="62" fillId="0" borderId="33" xfId="31" applyNumberFormat="1" applyFont="1" applyFill="1" applyBorder="1" applyAlignment="1">
      <alignment horizontal="right"/>
    </xf>
    <xf numFmtId="3" fontId="62" fillId="0" borderId="323" xfId="31" applyNumberFormat="1" applyFont="1" applyFill="1" applyBorder="1" applyAlignment="1">
      <alignment horizontal="right"/>
    </xf>
    <xf numFmtId="3" fontId="83" fillId="13" borderId="8" xfId="31" applyNumberFormat="1" applyFont="1" applyFill="1" applyBorder="1" applyProtection="1"/>
    <xf numFmtId="3" fontId="375" fillId="11" borderId="8" xfId="0" applyNumberFormat="1" applyFont="1" applyFill="1" applyBorder="1"/>
    <xf numFmtId="3" fontId="137" fillId="0" borderId="8" xfId="0" applyNumberFormat="1" applyFont="1" applyBorder="1" applyAlignment="1">
      <alignment horizontal="right" vertical="center"/>
    </xf>
    <xf numFmtId="0" fontId="89" fillId="9" borderId="408" xfId="0" applyFont="1" applyFill="1" applyBorder="1" applyAlignment="1">
      <alignment vertical="center"/>
    </xf>
    <xf numFmtId="0" fontId="89" fillId="4" borderId="406" xfId="0" applyFont="1" applyFill="1" applyBorder="1" applyAlignment="1">
      <alignment horizontal="center" vertical="center" wrapText="1"/>
    </xf>
    <xf numFmtId="186" fontId="62" fillId="103" borderId="12" xfId="7" applyNumberFormat="1" applyFont="1" applyFill="1" applyBorder="1" applyAlignment="1">
      <alignment horizontal="left" vertical="center" wrapText="1" indent="2"/>
    </xf>
    <xf numFmtId="3" fontId="14" fillId="0" borderId="0" xfId="0" applyNumberFormat="1" applyFont="1"/>
    <xf numFmtId="0" fontId="1" fillId="27" borderId="400" xfId="0" applyFont="1" applyFill="1" applyBorder="1" applyAlignment="1">
      <alignment horizontal="left" vertical="center"/>
    </xf>
    <xf numFmtId="181" fontId="1" fillId="27" borderId="400" xfId="32" applyNumberFormat="1" applyFont="1" applyFill="1" applyBorder="1" applyAlignment="1">
      <alignment horizontal="center" vertical="center"/>
    </xf>
    <xf numFmtId="169" fontId="208" fillId="3" borderId="247" xfId="7" applyFont="1" applyFill="1" applyBorder="1" applyAlignment="1">
      <alignment horizontal="center" vertical="center" wrapText="1"/>
    </xf>
    <xf numFmtId="49" fontId="0" fillId="94" borderId="416" xfId="0" applyNumberFormat="1" applyFill="1" applyBorder="1" applyAlignment="1">
      <alignment horizontal="right" vertical="center"/>
    </xf>
    <xf numFmtId="0" fontId="0" fillId="94" borderId="11" xfId="0" applyFill="1" applyBorder="1"/>
    <xf numFmtId="0" fontId="0" fillId="94" borderId="409" xfId="0" applyFill="1" applyBorder="1"/>
    <xf numFmtId="0" fontId="0" fillId="94" borderId="393" xfId="0" applyFill="1" applyBorder="1"/>
    <xf numFmtId="3" fontId="61" fillId="0" borderId="385" xfId="25" applyNumberFormat="1" applyFont="1" applyBorder="1" applyAlignment="1" applyProtection="1">
      <alignment horizontal="center" vertical="center" wrapText="1"/>
      <protection locked="0"/>
    </xf>
    <xf numFmtId="3" fontId="61" fillId="0" borderId="417" xfId="25" applyNumberFormat="1" applyFont="1" applyBorder="1" applyAlignment="1" applyProtection="1">
      <alignment horizontal="center" vertical="center" wrapText="1"/>
      <protection locked="0"/>
    </xf>
    <xf numFmtId="3" fontId="61" fillId="0" borderId="418" xfId="25" applyNumberFormat="1" applyFont="1" applyBorder="1" applyAlignment="1" applyProtection="1">
      <alignment horizontal="center" vertical="center" wrapText="1"/>
      <protection locked="0"/>
    </xf>
    <xf numFmtId="171" fontId="83" fillId="3" borderId="360" xfId="31" applyNumberFormat="1" applyFont="1" applyFill="1" applyBorder="1" applyProtection="1"/>
    <xf numFmtId="3" fontId="62" fillId="26" borderId="360" xfId="30" applyNumberFormat="1" applyFont="1" applyFill="1" applyBorder="1" applyAlignment="1">
      <alignment horizontal="center" vertical="center"/>
    </xf>
    <xf numFmtId="3" fontId="1" fillId="0" borderId="360" xfId="0" applyNumberFormat="1" applyFont="1" applyBorder="1" applyAlignment="1">
      <alignment horizontal="center"/>
    </xf>
    <xf numFmtId="171" fontId="83" fillId="3" borderId="360" xfId="31" applyNumberFormat="1" applyFont="1" applyFill="1" applyBorder="1" applyAlignment="1" applyProtection="1">
      <alignment horizontal="center"/>
    </xf>
    <xf numFmtId="3" fontId="83" fillId="0" borderId="360" xfId="0" applyNumberFormat="1" applyFont="1" applyBorder="1" applyAlignment="1">
      <alignment horizontal="center" vertical="center"/>
    </xf>
    <xf numFmtId="3" fontId="62" fillId="0" borderId="33" xfId="12" applyNumberFormat="1" applyFont="1" applyFill="1" applyBorder="1" applyAlignment="1" applyProtection="1">
      <alignment wrapText="1"/>
    </xf>
    <xf numFmtId="3" fontId="62" fillId="87" borderId="342" xfId="12" applyNumberFormat="1" applyFont="1" applyFill="1" applyBorder="1" applyAlignment="1" applyProtection="1">
      <alignment horizontal="center" vertical="center"/>
      <protection locked="0"/>
    </xf>
    <xf numFmtId="3" fontId="62" fillId="87" borderId="215" xfId="12" applyNumberFormat="1" applyFont="1" applyFill="1" applyBorder="1" applyAlignment="1" applyProtection="1">
      <alignment horizontal="center" vertical="center"/>
      <protection locked="0"/>
    </xf>
    <xf numFmtId="3" fontId="62" fillId="87" borderId="216" xfId="12" applyNumberFormat="1" applyFont="1" applyFill="1" applyBorder="1" applyAlignment="1" applyProtection="1">
      <alignment horizontal="center" vertical="center"/>
      <protection locked="0"/>
    </xf>
    <xf numFmtId="4" fontId="62" fillId="31" borderId="344" xfId="12" applyNumberFormat="1" applyFont="1" applyFill="1" applyBorder="1" applyAlignment="1" applyProtection="1">
      <alignment horizontal="center" vertical="center"/>
      <protection locked="0"/>
    </xf>
    <xf numFmtId="4" fontId="62" fillId="31" borderId="11" xfId="12" applyNumberFormat="1" applyFont="1" applyFill="1" applyBorder="1" applyAlignment="1" applyProtection="1">
      <alignment horizontal="center" vertical="center"/>
      <protection locked="0"/>
    </xf>
    <xf numFmtId="4" fontId="62" fillId="31" borderId="343" xfId="12" applyNumberFormat="1" applyFont="1" applyFill="1" applyBorder="1" applyAlignment="1" applyProtection="1">
      <alignment horizontal="center" vertical="center"/>
      <protection locked="0"/>
    </xf>
    <xf numFmtId="3" fontId="62" fillId="31" borderId="350" xfId="12" applyNumberFormat="1" applyFont="1" applyFill="1" applyBorder="1" applyAlignment="1" applyProtection="1">
      <alignment horizontal="center" vertical="center"/>
      <protection locked="0"/>
    </xf>
    <xf numFmtId="3" fontId="62" fillId="31" borderId="218" xfId="12" applyNumberFormat="1" applyFont="1" applyFill="1" applyBorder="1" applyAlignment="1" applyProtection="1">
      <alignment horizontal="center" vertical="center"/>
      <protection locked="0"/>
    </xf>
    <xf numFmtId="3" fontId="62" fillId="31" borderId="351" xfId="12" applyNumberFormat="1" applyFont="1" applyFill="1" applyBorder="1" applyAlignment="1" applyProtection="1">
      <alignment horizontal="center" vertical="center"/>
      <protection locked="0"/>
    </xf>
    <xf numFmtId="3" fontId="62" fillId="29" borderId="342" xfId="12" applyNumberFormat="1" applyFont="1" applyFill="1" applyBorder="1" applyAlignment="1" applyProtection="1">
      <alignment horizontal="center" vertical="center"/>
      <protection locked="0"/>
    </xf>
    <xf numFmtId="3" fontId="62" fillId="29" borderId="215" xfId="12" applyNumberFormat="1" applyFont="1" applyFill="1" applyBorder="1" applyAlignment="1" applyProtection="1">
      <alignment horizontal="center" vertical="center"/>
      <protection locked="0"/>
    </xf>
    <xf numFmtId="3" fontId="62" fillId="29" borderId="216" xfId="12" applyNumberFormat="1" applyFont="1" applyFill="1" applyBorder="1" applyAlignment="1" applyProtection="1">
      <alignment horizontal="center" vertical="center"/>
      <protection locked="0"/>
    </xf>
    <xf numFmtId="4" fontId="62" fillId="28" borderId="342" xfId="12" applyNumberFormat="1" applyFont="1" applyFill="1" applyBorder="1" applyAlignment="1" applyProtection="1">
      <alignment horizontal="center" vertical="center"/>
      <protection locked="0"/>
    </xf>
    <xf numFmtId="4" fontId="62" fillId="28" borderId="215" xfId="12" applyNumberFormat="1" applyFont="1" applyFill="1" applyBorder="1" applyAlignment="1" applyProtection="1">
      <alignment horizontal="center" vertical="center"/>
      <protection locked="0"/>
    </xf>
    <xf numFmtId="4" fontId="62" fillId="28" borderId="216" xfId="12" applyNumberFormat="1" applyFont="1" applyFill="1" applyBorder="1" applyAlignment="1" applyProtection="1">
      <alignment horizontal="center" vertical="center"/>
      <protection locked="0"/>
    </xf>
    <xf numFmtId="4" fontId="62" fillId="29" borderId="342" xfId="12" applyNumberFormat="1" applyFont="1" applyFill="1" applyBorder="1" applyAlignment="1" applyProtection="1">
      <alignment horizontal="center" vertical="center"/>
      <protection locked="0"/>
    </xf>
    <xf numFmtId="4" fontId="62" fillId="29" borderId="215" xfId="12" applyNumberFormat="1" applyFont="1" applyFill="1" applyBorder="1" applyAlignment="1" applyProtection="1">
      <alignment horizontal="center" vertical="center"/>
      <protection locked="0"/>
    </xf>
    <xf numFmtId="4" fontId="62" fillId="29" borderId="216" xfId="12" applyNumberFormat="1" applyFont="1" applyFill="1" applyBorder="1" applyAlignment="1" applyProtection="1">
      <alignment horizontal="center" vertical="center"/>
      <protection locked="0"/>
    </xf>
    <xf numFmtId="3" fontId="62" fillId="19" borderId="342" xfId="12" applyNumberFormat="1" applyFont="1" applyFill="1" applyBorder="1" applyAlignment="1" applyProtection="1">
      <alignment horizontal="center" vertical="center"/>
      <protection locked="0"/>
    </xf>
    <xf numFmtId="3" fontId="62" fillId="19" borderId="215" xfId="12" applyNumberFormat="1" applyFont="1" applyFill="1" applyBorder="1" applyAlignment="1" applyProtection="1">
      <alignment horizontal="center" vertical="center"/>
      <protection locked="0"/>
    </xf>
    <xf numFmtId="3" fontId="62" fillId="19" borderId="216" xfId="12" applyNumberFormat="1" applyFont="1" applyFill="1" applyBorder="1" applyAlignment="1" applyProtection="1">
      <alignment horizontal="center" vertical="center"/>
      <protection locked="0"/>
    </xf>
    <xf numFmtId="0" fontId="0" fillId="94" borderId="388" xfId="0" applyFill="1" applyBorder="1"/>
    <xf numFmtId="49" fontId="0" fillId="94" borderId="387" xfId="0" applyNumberFormat="1" applyFill="1" applyBorder="1" applyAlignment="1">
      <alignment horizontal="right" vertical="center"/>
    </xf>
    <xf numFmtId="1" fontId="208" fillId="27" borderId="390" xfId="39" applyNumberFormat="1" applyFont="1" applyFill="1" applyBorder="1" applyAlignment="1">
      <alignment horizontal="right" vertical="center" wrapText="1"/>
    </xf>
    <xf numFmtId="49" fontId="18" fillId="94" borderId="394" xfId="0" applyNumberFormat="1" applyFont="1" applyFill="1" applyBorder="1" applyAlignment="1">
      <alignment horizontal="right" vertical="center"/>
    </xf>
    <xf numFmtId="3" fontId="62" fillId="0" borderId="28" xfId="0" applyNumberFormat="1" applyFont="1" applyBorder="1" applyAlignment="1">
      <alignment horizontal="right"/>
    </xf>
    <xf numFmtId="0" fontId="349" fillId="0" borderId="0" xfId="0" applyFont="1" applyAlignment="1">
      <alignment horizontal="left" vertical="center"/>
    </xf>
    <xf numFmtId="0" fontId="374" fillId="0" borderId="0" xfId="0" applyFont="1"/>
    <xf numFmtId="169" fontId="109" fillId="0" borderId="8" xfId="0" applyNumberFormat="1" applyFont="1" applyBorder="1" applyAlignment="1">
      <alignment horizontal="center" vertical="center"/>
    </xf>
    <xf numFmtId="169" fontId="61" fillId="0" borderId="22" xfId="0" applyNumberFormat="1" applyFont="1" applyBorder="1" applyAlignment="1">
      <alignment horizontal="justify" vertical="center"/>
    </xf>
    <xf numFmtId="0" fontId="61" fillId="0" borderId="22" xfId="0" applyFont="1" applyBorder="1" applyAlignment="1">
      <alignment horizontal="justify" vertical="center"/>
    </xf>
    <xf numFmtId="0" fontId="61" fillId="0" borderId="27" xfId="0" applyFont="1" applyBorder="1" applyAlignment="1">
      <alignment horizontal="justify" vertical="center"/>
    </xf>
    <xf numFmtId="0" fontId="61" fillId="0" borderId="8" xfId="0" applyFont="1" applyBorder="1" applyAlignment="1">
      <alignment horizontal="center" vertical="center"/>
    </xf>
    <xf numFmtId="169" fontId="89" fillId="40" borderId="8" xfId="0" applyNumberFormat="1" applyFont="1" applyFill="1" applyBorder="1" applyAlignment="1">
      <alignment vertical="center"/>
    </xf>
    <xf numFmtId="169" fontId="89" fillId="40" borderId="8" xfId="0" applyNumberFormat="1" applyFont="1" applyFill="1" applyBorder="1" applyAlignment="1">
      <alignment horizontal="center" vertical="center"/>
    </xf>
    <xf numFmtId="171" fontId="89" fillId="40" borderId="8" xfId="12" applyNumberFormat="1" applyFont="1" applyFill="1" applyBorder="1" applyAlignment="1" applyProtection="1">
      <alignment horizontal="right" vertical="center"/>
      <protection locked="0"/>
    </xf>
    <xf numFmtId="170" fontId="89" fillId="40" borderId="8" xfId="12" applyFont="1" applyFill="1" applyBorder="1" applyAlignment="1" applyProtection="1">
      <alignment horizontal="right" vertical="center"/>
      <protection locked="0"/>
    </xf>
    <xf numFmtId="0" fontId="89" fillId="40" borderId="255" xfId="0" applyFont="1" applyFill="1" applyBorder="1" applyAlignment="1">
      <alignment horizontal="left" vertical="center"/>
    </xf>
    <xf numFmtId="169" fontId="62" fillId="40" borderId="8" xfId="0" applyNumberFormat="1" applyFont="1" applyFill="1" applyBorder="1" applyAlignment="1">
      <alignment horizontal="center" vertical="center"/>
    </xf>
    <xf numFmtId="172" fontId="62" fillId="40" borderId="8" xfId="12" applyNumberFormat="1" applyFont="1" applyFill="1" applyBorder="1" applyAlignment="1" applyProtection="1">
      <alignment horizontal="right" vertical="center"/>
      <protection locked="0"/>
    </xf>
    <xf numFmtId="171" fontId="62" fillId="40" borderId="8" xfId="12" applyNumberFormat="1" applyFont="1" applyFill="1" applyBorder="1" applyAlignment="1" applyProtection="1">
      <alignment horizontal="right" vertical="center"/>
      <protection locked="0"/>
    </xf>
    <xf numFmtId="3" fontId="85" fillId="126" borderId="8" xfId="31" applyNumberFormat="1" applyFont="1" applyFill="1" applyBorder="1" applyAlignment="1" applyProtection="1">
      <alignment horizontal="center" vertical="center"/>
    </xf>
    <xf numFmtId="169" fontId="85" fillId="40" borderId="8" xfId="0" applyNumberFormat="1" applyFont="1" applyFill="1" applyBorder="1" applyProtection="1">
      <protection locked="0"/>
    </xf>
    <xf numFmtId="169" fontId="89" fillId="40" borderId="8" xfId="0" applyNumberFormat="1" applyFont="1" applyFill="1" applyBorder="1" applyAlignment="1" applyProtection="1">
      <alignment horizontal="center"/>
      <protection locked="0"/>
    </xf>
    <xf numFmtId="170" fontId="85" fillId="40" borderId="8" xfId="12" applyFont="1" applyFill="1" applyBorder="1" applyAlignment="1" applyProtection="1">
      <protection locked="0"/>
    </xf>
    <xf numFmtId="169" fontId="85" fillId="40" borderId="8" xfId="0" applyNumberFormat="1" applyFont="1" applyFill="1" applyBorder="1" applyAlignment="1" applyProtection="1">
      <alignment horizontal="left"/>
      <protection locked="0"/>
    </xf>
    <xf numFmtId="170" fontId="85" fillId="40" borderId="8" xfId="12" applyFont="1" applyFill="1" applyBorder="1" applyAlignment="1" applyProtection="1">
      <alignment horizontal="right"/>
      <protection locked="0"/>
    </xf>
    <xf numFmtId="0" fontId="239" fillId="40" borderId="282" xfId="0" applyFont="1" applyFill="1" applyBorder="1" applyAlignment="1">
      <alignment horizontal="justify" vertical="center" wrapText="1"/>
    </xf>
    <xf numFmtId="10" fontId="89" fillId="40" borderId="8" xfId="0" applyNumberFormat="1" applyFont="1" applyFill="1" applyBorder="1" applyAlignment="1" applyProtection="1">
      <alignment horizontal="center" vertical="center"/>
      <protection locked="0"/>
    </xf>
    <xf numFmtId="3" fontId="89" fillId="40" borderId="8" xfId="0" applyNumberFormat="1" applyFont="1" applyFill="1" applyBorder="1" applyAlignment="1" applyProtection="1">
      <alignment horizontal="center" vertical="center"/>
      <protection locked="0"/>
    </xf>
    <xf numFmtId="0" fontId="91" fillId="40" borderId="282" xfId="0" applyFont="1" applyFill="1" applyBorder="1"/>
    <xf numFmtId="3" fontId="62" fillId="13" borderId="400" xfId="36" applyNumberFormat="1" applyFont="1" applyFill="1" applyBorder="1" applyAlignment="1" applyProtection="1">
      <alignment vertical="center" wrapText="1"/>
      <protection locked="0"/>
    </xf>
    <xf numFmtId="49" fontId="0" fillId="94" borderId="388" xfId="0" applyNumberFormat="1" applyFill="1" applyBorder="1" applyAlignment="1">
      <alignment horizontal="right" vertical="center"/>
    </xf>
    <xf numFmtId="3" fontId="62" fillId="29" borderId="8" xfId="0" applyNumberFormat="1" applyFont="1" applyFill="1" applyBorder="1" applyAlignment="1" applyProtection="1">
      <alignment vertical="center"/>
      <protection locked="0"/>
    </xf>
    <xf numFmtId="0" fontId="61" fillId="0" borderId="8" xfId="31" applyNumberFormat="1" applyFont="1" applyFill="1" applyBorder="1" applyAlignment="1" applyProtection="1">
      <alignment horizontal="center" vertical="center"/>
    </xf>
    <xf numFmtId="3" fontId="62" fillId="29" borderId="323" xfId="12" applyNumberFormat="1" applyFont="1" applyFill="1" applyBorder="1" applyAlignment="1" applyProtection="1">
      <alignment horizontal="right"/>
      <protection locked="0"/>
    </xf>
    <xf numFmtId="0" fontId="50" fillId="31" borderId="0" xfId="7" applyNumberFormat="1" applyFont="1" applyFill="1"/>
    <xf numFmtId="0" fontId="171" fillId="31" borderId="0" xfId="7" applyNumberFormat="1" applyFont="1" applyFill="1"/>
    <xf numFmtId="0" fontId="14" fillId="31" borderId="0" xfId="7" applyNumberFormat="1" applyFont="1" applyFill="1"/>
    <xf numFmtId="179" fontId="62" fillId="27" borderId="400" xfId="12" applyNumberFormat="1" applyFont="1" applyFill="1" applyBorder="1" applyAlignment="1" applyProtection="1">
      <alignment horizontal="right" vertical="center"/>
    </xf>
    <xf numFmtId="49" fontId="0" fillId="94" borderId="377" xfId="32" applyNumberFormat="1" applyFont="1" applyFill="1" applyBorder="1" applyAlignment="1" applyProtection="1">
      <alignment horizontal="right" vertical="center"/>
    </xf>
    <xf numFmtId="49" fontId="0" fillId="94" borderId="388" xfId="32" applyNumberFormat="1" applyFont="1" applyFill="1" applyBorder="1" applyAlignment="1" applyProtection="1">
      <alignment horizontal="right" vertical="center"/>
    </xf>
    <xf numFmtId="10" fontId="0" fillId="94" borderId="388" xfId="32" applyNumberFormat="1" applyFont="1" applyFill="1" applyBorder="1" applyAlignment="1" applyProtection="1">
      <alignment horizontal="right" vertical="center"/>
    </xf>
    <xf numFmtId="4" fontId="18" fillId="94" borderId="388" xfId="54" applyNumberFormat="1" applyFont="1" applyFill="1" applyBorder="1" applyAlignment="1" applyProtection="1">
      <alignment horizontal="right" vertical="center"/>
    </xf>
    <xf numFmtId="3" fontId="151" fillId="127" borderId="179" xfId="0" applyNumberFormat="1" applyFont="1" applyFill="1" applyBorder="1" applyAlignment="1" applyProtection="1">
      <alignment horizontal="right" vertical="center"/>
      <protection locked="0"/>
    </xf>
    <xf numFmtId="0" fontId="348" fillId="0" borderId="54" xfId="7" applyNumberFormat="1" applyFont="1" applyBorder="1"/>
    <xf numFmtId="0" fontId="384" fillId="0" borderId="0" xfId="7" applyNumberFormat="1" applyFont="1" applyAlignment="1">
      <alignment vertical="center"/>
    </xf>
    <xf numFmtId="169" fontId="25" fillId="13" borderId="0" xfId="30" applyFill="1"/>
    <xf numFmtId="169" fontId="175" fillId="13" borderId="0" xfId="30" applyFont="1" applyFill="1" applyAlignment="1">
      <alignment wrapText="1"/>
    </xf>
    <xf numFmtId="3" fontId="62" fillId="0" borderId="358" xfId="12" applyNumberFormat="1" applyFont="1" applyFill="1" applyBorder="1" applyAlignment="1" applyProtection="1">
      <alignment horizontal="right"/>
      <protection locked="0"/>
    </xf>
    <xf numFmtId="3" fontId="62" fillId="0" borderId="177" xfId="12" applyNumberFormat="1" applyFont="1" applyFill="1" applyBorder="1" applyAlignment="1" applyProtection="1">
      <alignment horizontal="right"/>
      <protection locked="0"/>
    </xf>
    <xf numFmtId="0" fontId="206" fillId="129" borderId="398" xfId="40" applyFont="1" applyFill="1" applyBorder="1" applyAlignment="1">
      <alignment horizontal="center" vertical="center" wrapText="1"/>
    </xf>
    <xf numFmtId="0" fontId="22" fillId="0" borderId="0" xfId="0" applyFont="1" applyAlignment="1">
      <alignment wrapText="1"/>
    </xf>
    <xf numFmtId="0" fontId="22" fillId="0" borderId="0" xfId="0" applyFont="1" applyAlignment="1">
      <alignment vertical="center" wrapText="1"/>
    </xf>
    <xf numFmtId="1" fontId="62" fillId="28" borderId="400" xfId="0" applyNumberFormat="1" applyFont="1" applyFill="1" applyBorder="1" applyAlignment="1" applyProtection="1">
      <alignment horizontal="center" vertical="center" wrapText="1"/>
      <protection locked="0"/>
    </xf>
    <xf numFmtId="3" fontId="62" fillId="28" borderId="400" xfId="0" applyNumberFormat="1" applyFont="1" applyFill="1" applyBorder="1" applyAlignment="1" applyProtection="1">
      <alignment horizontal="center" vertical="center" wrapText="1"/>
      <protection locked="0"/>
    </xf>
    <xf numFmtId="3" fontId="62" fillId="28" borderId="400" xfId="32" applyNumberFormat="1" applyFont="1" applyFill="1" applyBorder="1" applyAlignment="1" applyProtection="1">
      <alignment horizontal="center" vertical="center" wrapText="1"/>
      <protection locked="0"/>
    </xf>
    <xf numFmtId="1" fontId="62" fillId="28" borderId="400" xfId="32" applyNumberFormat="1" applyFont="1" applyFill="1" applyBorder="1" applyAlignment="1" applyProtection="1">
      <alignment horizontal="center" vertical="center" wrapText="1"/>
      <protection locked="0"/>
    </xf>
    <xf numFmtId="0" fontId="62" fillId="28" borderId="400" xfId="0" applyFont="1" applyFill="1" applyBorder="1" applyAlignment="1" applyProtection="1">
      <alignment horizontal="center" vertical="center" wrapText="1"/>
      <protection locked="0"/>
    </xf>
    <xf numFmtId="0" fontId="203" fillId="0" borderId="253" xfId="0" applyFont="1" applyBorder="1" applyAlignment="1">
      <alignment horizontal="center" vertical="center"/>
    </xf>
    <xf numFmtId="3" fontId="62" fillId="130" borderId="8" xfId="12" applyNumberFormat="1" applyFont="1" applyFill="1" applyBorder="1" applyAlignment="1" applyProtection="1">
      <alignment horizontal="center" vertical="center"/>
      <protection locked="0"/>
    </xf>
    <xf numFmtId="0" fontId="236" fillId="0" borderId="420" xfId="25" applyNumberFormat="1" applyFont="1" applyBorder="1" applyAlignment="1">
      <alignment horizontal="center" vertical="center" wrapText="1"/>
    </xf>
    <xf numFmtId="169" fontId="60" fillId="0" borderId="420" xfId="25" applyFont="1" applyBorder="1" applyAlignment="1">
      <alignment horizontal="center" vertical="center" wrapText="1"/>
    </xf>
    <xf numFmtId="169" fontId="60" fillId="0" borderId="420" xfId="25" applyFont="1" applyBorder="1" applyAlignment="1">
      <alignment vertical="center" wrapText="1"/>
    </xf>
    <xf numFmtId="0" fontId="60" fillId="0" borderId="420" xfId="25" quotePrefix="1" applyNumberFormat="1" applyFont="1" applyBorder="1" applyAlignment="1">
      <alignment horizontal="center" vertical="center" wrapText="1"/>
    </xf>
    <xf numFmtId="3" fontId="60" fillId="0" borderId="420" xfId="25" quotePrefix="1" applyNumberFormat="1" applyFont="1" applyBorder="1" applyAlignment="1">
      <alignment horizontal="center" vertical="center" wrapText="1"/>
    </xf>
    <xf numFmtId="0" fontId="237" fillId="0" borderId="420" xfId="25" applyNumberFormat="1" applyFont="1" applyBorder="1" applyAlignment="1">
      <alignment horizontal="center" vertical="center" wrapText="1"/>
    </xf>
    <xf numFmtId="4" fontId="61" fillId="0" borderId="420" xfId="25" applyNumberFormat="1" applyFont="1" applyBorder="1" applyAlignment="1">
      <alignment horizontal="left" vertical="center" wrapText="1"/>
    </xf>
    <xf numFmtId="169" fontId="61" fillId="25" borderId="421" xfId="25" applyFont="1" applyFill="1" applyBorder="1" applyAlignment="1">
      <alignment horizontal="left" vertical="center" wrapText="1"/>
    </xf>
    <xf numFmtId="49" fontId="61" fillId="0" borderId="420" xfId="25" applyNumberFormat="1" applyFont="1" applyBorder="1" applyAlignment="1" applyProtection="1">
      <alignment horizontal="center" vertical="center" wrapText="1"/>
      <protection locked="0"/>
    </xf>
    <xf numFmtId="169" fontId="64" fillId="25" borderId="421" xfId="25" applyFont="1" applyFill="1" applyBorder="1" applyAlignment="1">
      <alignment horizontal="left" vertical="center" wrapText="1"/>
    </xf>
    <xf numFmtId="179" fontId="61" fillId="0" borderId="420" xfId="25" applyNumberFormat="1" applyFont="1" applyBorder="1" applyAlignment="1" applyProtection="1">
      <alignment horizontal="right" vertical="center" wrapText="1"/>
      <protection locked="0"/>
    </xf>
    <xf numFmtId="169" fontId="52" fillId="25" borderId="421" xfId="25" applyFont="1" applyFill="1" applyBorder="1" applyAlignment="1">
      <alignment horizontal="left" vertical="center" wrapText="1"/>
    </xf>
    <xf numFmtId="3" fontId="61" fillId="0" borderId="420" xfId="25" applyNumberFormat="1" applyFont="1" applyBorder="1" applyAlignment="1" applyProtection="1">
      <alignment horizontal="center" vertical="center" wrapText="1"/>
      <protection locked="0"/>
    </xf>
    <xf numFmtId="0" fontId="1" fillId="39" borderId="422" xfId="0" applyFont="1" applyFill="1" applyBorder="1" applyAlignment="1">
      <alignment horizontal="left" vertical="center"/>
    </xf>
    <xf numFmtId="0" fontId="1" fillId="68" borderId="400" xfId="0" applyFont="1" applyFill="1" applyBorder="1" applyAlignment="1">
      <alignment horizontal="left" vertical="center" wrapText="1"/>
    </xf>
    <xf numFmtId="169" fontId="61" fillId="25" borderId="421" xfId="25" applyFont="1" applyFill="1" applyBorder="1" applyAlignment="1">
      <alignment vertical="center" wrapText="1"/>
    </xf>
    <xf numFmtId="0" fontId="61" fillId="68" borderId="400" xfId="40" applyFont="1" applyFill="1" applyBorder="1" applyAlignment="1">
      <alignment horizontal="left" vertical="center" wrapText="1"/>
    </xf>
    <xf numFmtId="3" fontId="61" fillId="13" borderId="420" xfId="25" applyNumberFormat="1" applyFont="1" applyFill="1" applyBorder="1" applyAlignment="1" applyProtection="1">
      <alignment horizontal="center" vertical="center" wrapText="1"/>
      <protection locked="0"/>
    </xf>
    <xf numFmtId="3" fontId="62" fillId="68" borderId="400" xfId="153" applyNumberFormat="1" applyFont="1" applyFill="1" applyBorder="1" applyAlignment="1" applyProtection="1">
      <alignment wrapText="1"/>
    </xf>
    <xf numFmtId="0" fontId="1" fillId="39" borderId="400" xfId="0" applyFont="1" applyFill="1" applyBorder="1" applyAlignment="1">
      <alignment horizontal="left" wrapText="1"/>
    </xf>
    <xf numFmtId="0" fontId="1" fillId="68" borderId="400" xfId="0" applyFont="1" applyFill="1" applyBorder="1" applyAlignment="1">
      <alignment vertical="center" wrapText="1"/>
    </xf>
    <xf numFmtId="0" fontId="1" fillId="68" borderId="400" xfId="0" applyFont="1" applyFill="1" applyBorder="1" applyAlignment="1">
      <alignment horizontal="left" wrapText="1"/>
    </xf>
    <xf numFmtId="0" fontId="260" fillId="68" borderId="400" xfId="0" applyFont="1" applyFill="1" applyBorder="1" applyAlignment="1">
      <alignment horizontal="left" wrapText="1"/>
    </xf>
    <xf numFmtId="0" fontId="260" fillId="68" borderId="400" xfId="0" applyFont="1" applyFill="1" applyBorder="1" applyAlignment="1">
      <alignment horizontal="left" vertical="center" wrapText="1"/>
    </xf>
    <xf numFmtId="3" fontId="25" fillId="0" borderId="0" xfId="30" applyNumberFormat="1" applyProtection="1">
      <protection locked="0"/>
    </xf>
    <xf numFmtId="3" fontId="60" fillId="0" borderId="420" xfId="25" quotePrefix="1" applyNumberFormat="1" applyFont="1" applyBorder="1" applyAlignment="1">
      <alignment horizontal="right" vertical="center" wrapText="1"/>
    </xf>
    <xf numFmtId="3" fontId="61" fillId="0" borderId="420" xfId="25" applyNumberFormat="1" applyFont="1" applyBorder="1" applyAlignment="1" applyProtection="1">
      <alignment horizontal="right" vertical="center" wrapText="1"/>
      <protection locked="0"/>
    </xf>
    <xf numFmtId="169" fontId="61" fillId="25" borderId="421" xfId="25" applyFont="1" applyFill="1" applyBorder="1" applyAlignment="1">
      <alignment vertical="center"/>
    </xf>
    <xf numFmtId="169" fontId="89" fillId="0" borderId="400" xfId="0" applyNumberFormat="1" applyFont="1" applyBorder="1" applyAlignment="1">
      <alignment horizontal="center" vertical="center"/>
    </xf>
    <xf numFmtId="169" fontId="109" fillId="0" borderId="400" xfId="0" applyNumberFormat="1" applyFont="1" applyBorder="1" applyAlignment="1">
      <alignment horizontal="center" vertical="center"/>
    </xf>
    <xf numFmtId="169" fontId="62" fillId="0" borderId="400" xfId="0" applyNumberFormat="1" applyFont="1" applyBorder="1" applyAlignment="1">
      <alignment vertical="center"/>
    </xf>
    <xf numFmtId="169" fontId="62" fillId="0" borderId="400" xfId="0" applyNumberFormat="1" applyFont="1" applyBorder="1" applyAlignment="1">
      <alignment horizontal="center" vertical="center"/>
    </xf>
    <xf numFmtId="171" fontId="62" fillId="0" borderId="400" xfId="153" applyNumberFormat="1" applyFont="1" applyFill="1" applyBorder="1" applyAlignment="1" applyProtection="1">
      <alignment horizontal="center" vertical="center"/>
      <protection locked="0"/>
    </xf>
    <xf numFmtId="169" fontId="62" fillId="16" borderId="400" xfId="0" applyNumberFormat="1" applyFont="1" applyFill="1" applyBorder="1" applyAlignment="1">
      <alignment vertical="center"/>
    </xf>
    <xf numFmtId="169" fontId="62" fillId="16" borderId="400" xfId="0" applyNumberFormat="1" applyFont="1" applyFill="1" applyBorder="1" applyAlignment="1">
      <alignment horizontal="center" vertical="center"/>
    </xf>
    <xf numFmtId="0" fontId="62" fillId="16" borderId="400" xfId="0" applyFont="1" applyFill="1" applyBorder="1" applyAlignment="1" applyProtection="1">
      <alignment horizontal="center" vertical="center"/>
      <protection locked="0"/>
    </xf>
    <xf numFmtId="169" fontId="62" fillId="16" borderId="400" xfId="0" applyNumberFormat="1" applyFont="1" applyFill="1" applyBorder="1" applyAlignment="1">
      <alignment vertical="center" wrapText="1"/>
    </xf>
    <xf numFmtId="0" fontId="1" fillId="13" borderId="404" xfId="0" applyFont="1" applyFill="1" applyBorder="1" applyAlignment="1">
      <alignment horizontal="left" vertical="center"/>
    </xf>
    <xf numFmtId="3" fontId="62" fillId="0" borderId="400" xfId="0" applyNumberFormat="1" applyFont="1" applyBorder="1" applyAlignment="1" applyProtection="1">
      <alignment horizontal="center" vertical="center"/>
      <protection locked="0"/>
    </xf>
    <xf numFmtId="169" fontId="62" fillId="0" borderId="400" xfId="0" applyNumberFormat="1" applyFont="1" applyBorder="1" applyAlignment="1">
      <alignment horizontal="left" vertical="center"/>
    </xf>
    <xf numFmtId="169" fontId="89" fillId="16" borderId="400" xfId="0" applyNumberFormat="1" applyFont="1" applyFill="1" applyBorder="1" applyAlignment="1">
      <alignment horizontal="left" vertical="center"/>
    </xf>
    <xf numFmtId="169" fontId="85" fillId="13" borderId="400" xfId="0" applyNumberFormat="1" applyFont="1" applyFill="1" applyBorder="1" applyAlignment="1">
      <alignment horizontal="left" vertical="center" wrapText="1"/>
    </xf>
    <xf numFmtId="169" fontId="89" fillId="13" borderId="400" xfId="0" quotePrefix="1" applyNumberFormat="1" applyFont="1" applyFill="1" applyBorder="1" applyAlignment="1">
      <alignment horizontal="center" vertical="center"/>
    </xf>
    <xf numFmtId="0" fontId="89" fillId="13" borderId="400" xfId="0" quotePrefix="1" applyFont="1" applyFill="1" applyBorder="1" applyAlignment="1" applyProtection="1">
      <alignment horizontal="center" vertical="center" wrapText="1"/>
      <protection locked="0"/>
    </xf>
    <xf numFmtId="169" fontId="66" fillId="0" borderId="400" xfId="0" applyNumberFormat="1" applyFont="1" applyBorder="1" applyAlignment="1">
      <alignment vertical="center"/>
    </xf>
    <xf numFmtId="2" fontId="62" fillId="0" borderId="400" xfId="0" applyNumberFormat="1" applyFont="1" applyBorder="1" applyAlignment="1" applyProtection="1">
      <alignment horizontal="center" vertical="center"/>
      <protection locked="0"/>
    </xf>
    <xf numFmtId="169" fontId="85" fillId="16" borderId="400" xfId="0" applyNumberFormat="1" applyFont="1" applyFill="1" applyBorder="1" applyAlignment="1">
      <alignment vertical="center"/>
    </xf>
    <xf numFmtId="169" fontId="89" fillId="16" borderId="400" xfId="0" quotePrefix="1" applyNumberFormat="1" applyFont="1" applyFill="1" applyBorder="1" applyAlignment="1">
      <alignment horizontal="center" vertical="center"/>
    </xf>
    <xf numFmtId="170" fontId="89" fillId="16" borderId="400" xfId="153" applyFont="1" applyFill="1" applyBorder="1" applyAlignment="1" applyProtection="1">
      <alignment horizontal="center" vertical="center"/>
      <protection locked="0"/>
    </xf>
    <xf numFmtId="0" fontId="89" fillId="0" borderId="400" xfId="0" applyFont="1" applyBorder="1" applyAlignment="1">
      <alignment horizontal="center" vertical="center"/>
    </xf>
    <xf numFmtId="0" fontId="85" fillId="0" borderId="400" xfId="0" applyFont="1" applyBorder="1" applyAlignment="1">
      <alignment horizontal="center" vertical="center"/>
    </xf>
    <xf numFmtId="171" fontId="62" fillId="0" borderId="400" xfId="153" applyNumberFormat="1" applyFont="1" applyFill="1" applyBorder="1" applyAlignment="1" applyProtection="1">
      <alignment horizontal="right" vertical="center"/>
      <protection locked="0"/>
    </xf>
    <xf numFmtId="0" fontId="62" fillId="13" borderId="400" xfId="0" applyFont="1" applyFill="1" applyBorder="1"/>
    <xf numFmtId="169" fontId="85" fillId="16" borderId="400" xfId="0" applyNumberFormat="1" applyFont="1" applyFill="1" applyBorder="1"/>
    <xf numFmtId="169" fontId="61" fillId="16" borderId="400" xfId="0" applyNumberFormat="1" applyFont="1" applyFill="1" applyBorder="1" applyAlignment="1">
      <alignment horizontal="center" vertical="center"/>
    </xf>
    <xf numFmtId="171" fontId="85" fillId="16" borderId="400" xfId="153" applyNumberFormat="1" applyFont="1" applyFill="1" applyBorder="1" applyAlignment="1" applyProtection="1">
      <alignment horizontal="right" vertical="center"/>
      <protection locked="0"/>
    </xf>
    <xf numFmtId="170" fontId="62" fillId="0" borderId="400" xfId="153" applyFont="1" applyFill="1" applyBorder="1" applyAlignment="1" applyProtection="1">
      <alignment horizontal="right" vertical="center"/>
      <protection locked="0"/>
    </xf>
    <xf numFmtId="171" fontId="85" fillId="34" borderId="400" xfId="153" applyNumberFormat="1" applyFont="1" applyFill="1" applyBorder="1" applyAlignment="1" applyProtection="1">
      <alignment horizontal="right" vertical="center"/>
      <protection locked="0"/>
    </xf>
    <xf numFmtId="171" fontId="62" fillId="35" borderId="400" xfId="153" applyNumberFormat="1" applyFont="1" applyFill="1" applyBorder="1" applyAlignment="1" applyProtection="1">
      <alignment horizontal="right" vertical="center"/>
      <protection locked="0"/>
    </xf>
    <xf numFmtId="170" fontId="62" fillId="35" borderId="400" xfId="153" applyFont="1" applyFill="1" applyBorder="1" applyAlignment="1" applyProtection="1">
      <alignment horizontal="right" vertical="center"/>
      <protection locked="0"/>
    </xf>
    <xf numFmtId="170" fontId="85" fillId="34" borderId="400" xfId="153" applyFont="1" applyFill="1" applyBorder="1" applyAlignment="1" applyProtection="1">
      <alignment horizontal="right" vertical="center"/>
      <protection locked="0"/>
    </xf>
    <xf numFmtId="169" fontId="244" fillId="0" borderId="400" xfId="0" applyNumberFormat="1" applyFont="1" applyBorder="1" applyAlignment="1">
      <alignment vertical="center"/>
    </xf>
    <xf numFmtId="0" fontId="244" fillId="13" borderId="400" xfId="0" applyFont="1" applyFill="1" applyBorder="1"/>
    <xf numFmtId="169" fontId="61" fillId="2" borderId="400" xfId="0" applyNumberFormat="1" applyFont="1" applyFill="1" applyBorder="1" applyAlignment="1">
      <alignment vertical="center"/>
    </xf>
    <xf numFmtId="169" fontId="85" fillId="16" borderId="400" xfId="0" applyNumberFormat="1" applyFont="1" applyFill="1" applyBorder="1" applyAlignment="1">
      <alignment horizontal="center" vertical="center"/>
    </xf>
    <xf numFmtId="170" fontId="85" fillId="16" borderId="400" xfId="153" applyFont="1" applyFill="1" applyBorder="1" applyAlignment="1" applyProtection="1">
      <alignment horizontal="right" vertical="center"/>
      <protection locked="0"/>
    </xf>
    <xf numFmtId="169" fontId="61" fillId="13" borderId="400" xfId="0" applyNumberFormat="1" applyFont="1" applyFill="1" applyBorder="1" applyAlignment="1">
      <alignment vertical="center"/>
    </xf>
    <xf numFmtId="169" fontId="62" fillId="13" borderId="400" xfId="0" applyNumberFormat="1" applyFont="1" applyFill="1" applyBorder="1" applyAlignment="1">
      <alignment horizontal="center" vertical="center"/>
    </xf>
    <xf numFmtId="171" fontId="62" fillId="13" borderId="400" xfId="153" applyNumberFormat="1" applyFont="1" applyFill="1" applyBorder="1" applyAlignment="1" applyProtection="1">
      <alignment horizontal="right" vertical="center"/>
      <protection locked="0"/>
    </xf>
    <xf numFmtId="170" fontId="62" fillId="13" borderId="400" xfId="153" applyFont="1" applyFill="1" applyBorder="1" applyAlignment="1" applyProtection="1">
      <alignment horizontal="right" vertical="center"/>
      <protection locked="0"/>
    </xf>
    <xf numFmtId="169" fontId="62" fillId="0" borderId="400" xfId="0" applyNumberFormat="1" applyFont="1" applyBorder="1" applyAlignment="1">
      <alignment vertical="center" wrapText="1"/>
    </xf>
    <xf numFmtId="169" fontId="283" fillId="0" borderId="400" xfId="0" applyNumberFormat="1" applyFont="1" applyBorder="1" applyAlignment="1">
      <alignment vertical="center" wrapText="1"/>
    </xf>
    <xf numFmtId="169" fontId="85" fillId="40" borderId="400" xfId="0" applyNumberFormat="1" applyFont="1" applyFill="1" applyBorder="1" applyAlignment="1">
      <alignment vertical="center"/>
    </xf>
    <xf numFmtId="169" fontId="61" fillId="40" borderId="400" xfId="0" applyNumberFormat="1" applyFont="1" applyFill="1" applyBorder="1" applyAlignment="1">
      <alignment horizontal="center" vertical="center"/>
    </xf>
    <xf numFmtId="184" fontId="89" fillId="40" borderId="400" xfId="153" applyNumberFormat="1" applyFont="1" applyFill="1" applyBorder="1" applyAlignment="1" applyProtection="1">
      <alignment horizontal="right" vertical="center"/>
      <protection locked="0"/>
    </xf>
    <xf numFmtId="179" fontId="85" fillId="40" borderId="400" xfId="153" applyNumberFormat="1" applyFont="1" applyFill="1" applyBorder="1" applyAlignment="1" applyProtection="1">
      <alignment horizontal="right" vertical="center"/>
      <protection locked="0"/>
    </xf>
    <xf numFmtId="169" fontId="61" fillId="0" borderId="400" xfId="0" applyNumberFormat="1" applyFont="1" applyBorder="1" applyAlignment="1">
      <alignment horizontal="center" vertical="center"/>
    </xf>
    <xf numFmtId="184" fontId="62" fillId="0" borderId="400" xfId="153" applyNumberFormat="1" applyFont="1" applyFill="1" applyBorder="1" applyAlignment="1" applyProtection="1">
      <alignment horizontal="right" vertical="center"/>
      <protection locked="0"/>
    </xf>
    <xf numFmtId="179" fontId="85" fillId="0" borderId="400" xfId="153" applyNumberFormat="1" applyFont="1" applyFill="1" applyBorder="1" applyAlignment="1" applyProtection="1">
      <alignment horizontal="right" vertical="center"/>
      <protection locked="0"/>
    </xf>
    <xf numFmtId="169" fontId="85" fillId="23" borderId="400" xfId="0" applyNumberFormat="1" applyFont="1" applyFill="1" applyBorder="1" applyAlignment="1">
      <alignment vertical="center"/>
    </xf>
    <xf numFmtId="169" fontId="62" fillId="23" borderId="400" xfId="0" applyNumberFormat="1" applyFont="1" applyFill="1" applyBorder="1" applyAlignment="1">
      <alignment horizontal="center" vertical="center"/>
    </xf>
    <xf numFmtId="171" fontId="85" fillId="23" borderId="400" xfId="153" applyNumberFormat="1" applyFont="1" applyFill="1" applyBorder="1" applyAlignment="1" applyProtection="1">
      <alignment horizontal="right" vertical="center"/>
      <protection locked="0"/>
    </xf>
    <xf numFmtId="179" fontId="85" fillId="23" borderId="400" xfId="153" applyNumberFormat="1" applyFont="1" applyFill="1" applyBorder="1" applyAlignment="1" applyProtection="1">
      <alignment horizontal="right" vertical="center"/>
      <protection locked="0"/>
    </xf>
    <xf numFmtId="179" fontId="82" fillId="23" borderId="400" xfId="153" applyNumberFormat="1" applyFont="1" applyFill="1" applyBorder="1" applyAlignment="1" applyProtection="1">
      <alignment horizontal="right" vertical="center"/>
      <protection locked="0"/>
    </xf>
    <xf numFmtId="169" fontId="189" fillId="23" borderId="400" xfId="0" applyNumberFormat="1" applyFont="1" applyFill="1" applyBorder="1" applyAlignment="1">
      <alignment vertical="center"/>
    </xf>
    <xf numFmtId="184" fontId="85" fillId="23" borderId="400" xfId="153" applyNumberFormat="1" applyFont="1" applyFill="1" applyBorder="1" applyAlignment="1" applyProtection="1">
      <alignment horizontal="right" vertical="center"/>
      <protection locked="0"/>
    </xf>
    <xf numFmtId="171" fontId="62" fillId="0" borderId="0" xfId="153" applyNumberFormat="1" applyFont="1" applyFill="1" applyBorder="1" applyAlignment="1" applyProtection="1">
      <alignment horizontal="right" vertical="center"/>
    </xf>
    <xf numFmtId="172" fontId="62" fillId="0" borderId="0" xfId="153" applyNumberFormat="1" applyFont="1" applyFill="1" applyBorder="1" applyAlignment="1" applyProtection="1">
      <alignment horizontal="right" vertical="center"/>
    </xf>
    <xf numFmtId="170" fontId="62" fillId="0" borderId="0" xfId="153" applyFont="1" applyFill="1" applyBorder="1" applyAlignment="1" applyProtection="1">
      <alignment horizontal="right" vertical="center"/>
    </xf>
    <xf numFmtId="0" fontId="89" fillId="40" borderId="400" xfId="0" applyFont="1" applyFill="1" applyBorder="1" applyAlignment="1">
      <alignment horizontal="left" vertical="center"/>
    </xf>
    <xf numFmtId="169" fontId="62" fillId="40" borderId="400" xfId="0" applyNumberFormat="1" applyFont="1" applyFill="1" applyBorder="1" applyAlignment="1">
      <alignment horizontal="center" vertical="center"/>
    </xf>
    <xf numFmtId="172" fontId="62" fillId="40" borderId="400" xfId="153" applyNumberFormat="1" applyFont="1" applyFill="1" applyBorder="1" applyAlignment="1" applyProtection="1">
      <alignment horizontal="right" vertical="center"/>
      <protection locked="0"/>
    </xf>
    <xf numFmtId="171" fontId="62" fillId="40" borderId="400" xfId="153" applyNumberFormat="1" applyFont="1" applyFill="1" applyBorder="1" applyAlignment="1" applyProtection="1">
      <alignment horizontal="right" vertical="center"/>
      <protection locked="0"/>
    </xf>
    <xf numFmtId="0" fontId="62" fillId="0" borderId="400" xfId="0" applyFont="1" applyBorder="1" applyAlignment="1">
      <alignment horizontal="left" vertical="center"/>
    </xf>
    <xf numFmtId="169" fontId="89" fillId="40" borderId="400" xfId="0" applyNumberFormat="1" applyFont="1" applyFill="1" applyBorder="1" applyAlignment="1">
      <alignment vertical="center"/>
    </xf>
    <xf numFmtId="169" fontId="89" fillId="40" borderId="400" xfId="0" applyNumberFormat="1" applyFont="1" applyFill="1" applyBorder="1" applyAlignment="1">
      <alignment horizontal="center" vertical="center"/>
    </xf>
    <xf numFmtId="171" fontId="89" fillId="40" borderId="400" xfId="153" applyNumberFormat="1" applyFont="1" applyFill="1" applyBorder="1" applyAlignment="1" applyProtection="1">
      <alignment horizontal="right" vertical="center"/>
      <protection locked="0"/>
    </xf>
    <xf numFmtId="170" fontId="89" fillId="40" borderId="400" xfId="153" applyFont="1" applyFill="1" applyBorder="1" applyAlignment="1" applyProtection="1">
      <alignment horizontal="right" vertical="center"/>
      <protection locked="0"/>
    </xf>
    <xf numFmtId="170" fontId="118" fillId="0" borderId="400" xfId="153" applyFont="1" applyFill="1" applyBorder="1" applyAlignment="1" applyProtection="1">
      <alignment horizontal="right" vertical="center"/>
      <protection locked="0"/>
    </xf>
    <xf numFmtId="10" fontId="62" fillId="0" borderId="400" xfId="154" applyFont="1" applyFill="1" applyBorder="1" applyAlignment="1" applyProtection="1">
      <alignment horizontal="right" vertical="center"/>
      <protection locked="0"/>
    </xf>
    <xf numFmtId="10" fontId="118" fillId="0" borderId="400" xfId="154" applyFont="1" applyFill="1" applyBorder="1" applyAlignment="1" applyProtection="1">
      <alignment horizontal="right" vertical="center"/>
      <protection locked="0"/>
    </xf>
    <xf numFmtId="169" fontId="62" fillId="0" borderId="400" xfId="0" applyNumberFormat="1" applyFont="1" applyBorder="1"/>
    <xf numFmtId="3" fontId="91" fillId="131" borderId="8" xfId="0" applyNumberFormat="1" applyFont="1" applyFill="1" applyBorder="1" applyAlignment="1">
      <alignment vertical="center"/>
    </xf>
    <xf numFmtId="3" fontId="83" fillId="132" borderId="8" xfId="31" applyNumberFormat="1" applyFont="1" applyFill="1" applyBorder="1" applyAlignment="1" applyProtection="1">
      <alignment vertical="center"/>
    </xf>
    <xf numFmtId="3" fontId="83" fillId="133" borderId="8" xfId="31" applyNumberFormat="1" applyFont="1" applyFill="1" applyBorder="1" applyAlignment="1" applyProtection="1">
      <alignment vertical="center"/>
    </xf>
    <xf numFmtId="3" fontId="62" fillId="132" borderId="238" xfId="12" applyNumberFormat="1" applyFont="1" applyFill="1" applyBorder="1" applyAlignment="1" applyProtection="1">
      <alignment horizontal="right"/>
    </xf>
    <xf numFmtId="10" fontId="62" fillId="132" borderId="8" xfId="13" applyFont="1" applyFill="1" applyBorder="1" applyAlignment="1" applyProtection="1">
      <alignment horizontal="right"/>
    </xf>
    <xf numFmtId="3" fontId="62" fillId="132" borderId="251" xfId="12" applyNumberFormat="1" applyFont="1" applyFill="1" applyBorder="1" applyAlignment="1" applyProtection="1">
      <alignment horizontal="right"/>
    </xf>
    <xf numFmtId="3" fontId="62" fillId="132" borderId="8" xfId="0" applyNumberFormat="1" applyFont="1" applyFill="1" applyBorder="1" applyAlignment="1">
      <alignment horizontal="right"/>
    </xf>
    <xf numFmtId="181" fontId="62" fillId="132" borderId="8" xfId="13" applyNumberFormat="1" applyFont="1" applyFill="1" applyBorder="1" applyAlignment="1" applyProtection="1">
      <alignment horizontal="right"/>
    </xf>
    <xf numFmtId="3" fontId="62" fillId="132" borderId="238" xfId="0" applyNumberFormat="1" applyFont="1" applyFill="1" applyBorder="1" applyAlignment="1">
      <alignment horizontal="right"/>
    </xf>
    <xf numFmtId="3" fontId="62" fillId="132" borderId="8" xfId="12" applyNumberFormat="1" applyFont="1" applyFill="1" applyBorder="1" applyAlignment="1" applyProtection="1">
      <alignment horizontal="right"/>
    </xf>
    <xf numFmtId="3" fontId="62" fillId="132" borderId="177" xfId="12" applyNumberFormat="1" applyFont="1" applyFill="1" applyBorder="1" applyAlignment="1" applyProtection="1">
      <alignment horizontal="right"/>
    </xf>
    <xf numFmtId="3" fontId="89" fillId="132" borderId="177" xfId="12" applyNumberFormat="1" applyFont="1" applyFill="1" applyBorder="1" applyAlignment="1" applyProtection="1">
      <alignment horizontal="right"/>
    </xf>
    <xf numFmtId="3" fontId="137" fillId="132" borderId="323" xfId="0" applyNumberFormat="1" applyFont="1" applyFill="1" applyBorder="1" applyAlignment="1">
      <alignment horizontal="right" vertical="center" wrapText="1"/>
    </xf>
    <xf numFmtId="3" fontId="62" fillId="132" borderId="28" xfId="0" applyNumberFormat="1" applyFont="1" applyFill="1" applyBorder="1" applyAlignment="1">
      <alignment horizontal="right"/>
    </xf>
    <xf numFmtId="3" fontId="89" fillId="132" borderId="8" xfId="0" applyNumberFormat="1" applyFont="1" applyFill="1" applyBorder="1" applyAlignment="1">
      <alignment horizontal="right"/>
    </xf>
    <xf numFmtId="3" fontId="91" fillId="132" borderId="8" xfId="0" applyNumberFormat="1" applyFont="1" applyFill="1" applyBorder="1" applyAlignment="1">
      <alignment horizontal="right"/>
    </xf>
    <xf numFmtId="3" fontId="83" fillId="132" borderId="8" xfId="0" applyNumberFormat="1" applyFont="1" applyFill="1" applyBorder="1" applyAlignment="1">
      <alignment vertical="center"/>
    </xf>
    <xf numFmtId="3" fontId="83" fillId="133" borderId="8" xfId="0" applyNumberFormat="1" applyFont="1" applyFill="1" applyBorder="1" applyAlignment="1">
      <alignment vertical="center"/>
    </xf>
    <xf numFmtId="3" fontId="83" fillId="131" borderId="8" xfId="0" applyNumberFormat="1" applyFont="1" applyFill="1" applyBorder="1"/>
    <xf numFmtId="182" fontId="83" fillId="131" borderId="8" xfId="0" applyNumberFormat="1" applyFont="1" applyFill="1" applyBorder="1"/>
    <xf numFmtId="3" fontId="1" fillId="131" borderId="8" xfId="0" applyNumberFormat="1" applyFont="1" applyFill="1" applyBorder="1"/>
    <xf numFmtId="3" fontId="83" fillId="131" borderId="8" xfId="0" applyNumberFormat="1" applyFont="1" applyFill="1" applyBorder="1" applyAlignment="1">
      <alignment horizontal="right"/>
    </xf>
    <xf numFmtId="0" fontId="91" fillId="85" borderId="8" xfId="0" applyFont="1" applyFill="1" applyBorder="1"/>
    <xf numFmtId="0" fontId="86" fillId="85" borderId="8" xfId="0" applyFont="1" applyFill="1" applyBorder="1" applyAlignment="1">
      <alignment horizontal="left"/>
    </xf>
    <xf numFmtId="3" fontId="83" fillId="132" borderId="8" xfId="0" applyNumberFormat="1" applyFont="1" applyFill="1" applyBorder="1"/>
    <xf numFmtId="3" fontId="83" fillId="132" borderId="8" xfId="0" quotePrefix="1" applyNumberFormat="1" applyFont="1" applyFill="1" applyBorder="1"/>
    <xf numFmtId="3" fontId="83" fillId="132" borderId="8" xfId="0" applyNumberFormat="1" applyFont="1" applyFill="1" applyBorder="1" applyAlignment="1">
      <alignment horizontal="right"/>
    </xf>
    <xf numFmtId="3" fontId="91" fillId="131" borderId="8" xfId="0" applyNumberFormat="1" applyFont="1" applyFill="1" applyBorder="1"/>
    <xf numFmtId="3" fontId="91" fillId="134" borderId="8" xfId="0" applyNumberFormat="1" applyFont="1" applyFill="1" applyBorder="1"/>
    <xf numFmtId="0" fontId="91" fillId="132" borderId="8" xfId="0" applyFont="1" applyFill="1" applyBorder="1" applyAlignment="1">
      <alignment horizontal="right"/>
    </xf>
    <xf numFmtId="3" fontId="85" fillId="0" borderId="423" xfId="31" applyNumberFormat="1" applyFont="1" applyFill="1" applyBorder="1" applyAlignment="1" applyProtection="1">
      <alignment horizontal="center" vertical="center"/>
    </xf>
    <xf numFmtId="9" fontId="83" fillId="0" borderId="210" xfId="32" applyFont="1" applyBorder="1"/>
    <xf numFmtId="3" fontId="62" fillId="0" borderId="423" xfId="0" applyNumberFormat="1" applyFont="1" applyBorder="1" applyAlignment="1">
      <alignment horizontal="left" vertical="center" wrapText="1"/>
    </xf>
    <xf numFmtId="181" fontId="1" fillId="27" borderId="423" xfId="32" applyNumberFormat="1" applyFont="1" applyFill="1" applyBorder="1" applyAlignment="1">
      <alignment horizontal="center" vertical="center"/>
    </xf>
    <xf numFmtId="174" fontId="1" fillId="27" borderId="423" xfId="32" applyNumberFormat="1" applyFont="1" applyFill="1" applyBorder="1" applyAlignment="1">
      <alignment horizontal="center" vertical="center"/>
    </xf>
    <xf numFmtId="3" fontId="89" fillId="11" borderId="423" xfId="0" applyNumberFormat="1" applyFont="1" applyFill="1" applyBorder="1" applyAlignment="1">
      <alignment horizontal="center" vertical="center"/>
    </xf>
    <xf numFmtId="3" fontId="1" fillId="27" borderId="423" xfId="0" applyNumberFormat="1" applyFont="1" applyFill="1" applyBorder="1" applyAlignment="1">
      <alignment horizontal="center" vertical="center"/>
    </xf>
    <xf numFmtId="3" fontId="1" fillId="0" borderId="423" xfId="0" applyNumberFormat="1" applyFont="1" applyBorder="1" applyAlignment="1">
      <alignment horizontal="center" vertical="center"/>
    </xf>
    <xf numFmtId="3" fontId="62" fillId="106" borderId="424" xfId="153" applyNumberFormat="1" applyFont="1" applyFill="1" applyBorder="1" applyAlignment="1" applyProtection="1">
      <alignment horizontal="center" vertical="center"/>
    </xf>
    <xf numFmtId="3" fontId="1" fillId="0" borderId="423" xfId="0" applyNumberFormat="1" applyFont="1" applyBorder="1"/>
    <xf numFmtId="3" fontId="137" fillId="0" borderId="423" xfId="0" applyNumberFormat="1" applyFont="1" applyBorder="1"/>
    <xf numFmtId="3" fontId="62" fillId="106" borderId="424" xfId="153" applyNumberFormat="1" applyFont="1" applyFill="1" applyBorder="1" applyAlignment="1" applyProtection="1">
      <alignment horizontal="right"/>
    </xf>
    <xf numFmtId="173" fontId="1" fillId="0" borderId="423" xfId="0" applyNumberFormat="1" applyFont="1" applyBorder="1"/>
    <xf numFmtId="3" fontId="1" fillId="0" borderId="423" xfId="31" applyNumberFormat="1" applyFont="1" applyFill="1" applyBorder="1" applyProtection="1"/>
    <xf numFmtId="4" fontId="1" fillId="0" borderId="423" xfId="0" applyNumberFormat="1" applyFont="1" applyBorder="1"/>
    <xf numFmtId="3" fontId="1" fillId="0" borderId="423" xfId="31" applyNumberFormat="1" applyFont="1" applyBorder="1" applyProtection="1"/>
    <xf numFmtId="191" fontId="368" fillId="17" borderId="423" xfId="31" quotePrefix="1" applyNumberFormat="1" applyFont="1" applyFill="1" applyBorder="1" applyProtection="1">
      <protection locked="0"/>
    </xf>
    <xf numFmtId="191" fontId="368" fillId="30" borderId="423" xfId="31" quotePrefix="1" applyNumberFormat="1" applyFont="1" applyFill="1" applyBorder="1" applyProtection="1">
      <protection locked="0"/>
    </xf>
    <xf numFmtId="191" fontId="227" fillId="0" borderId="423" xfId="0" quotePrefix="1" applyNumberFormat="1" applyFont="1" applyBorder="1" applyProtection="1">
      <protection locked="0"/>
    </xf>
    <xf numFmtId="3" fontId="62" fillId="106" borderId="428" xfId="153" applyNumberFormat="1" applyFont="1" applyFill="1" applyBorder="1" applyAlignment="1" applyProtection="1">
      <alignment horizontal="right"/>
    </xf>
    <xf numFmtId="3" fontId="62" fillId="106" borderId="427" xfId="153" applyNumberFormat="1" applyFont="1" applyFill="1" applyBorder="1" applyAlignment="1" applyProtection="1">
      <alignment horizontal="right"/>
    </xf>
    <xf numFmtId="3" fontId="1" fillId="106" borderId="431" xfId="0" applyNumberFormat="1" applyFont="1" applyFill="1" applyBorder="1"/>
    <xf numFmtId="3" fontId="1" fillId="106" borderId="427" xfId="0" applyNumberFormat="1" applyFont="1" applyFill="1" applyBorder="1"/>
    <xf numFmtId="3" fontId="1" fillId="106" borderId="366" xfId="0" applyNumberFormat="1" applyFont="1" applyFill="1" applyBorder="1"/>
    <xf numFmtId="3" fontId="1" fillId="106" borderId="367" xfId="0" applyNumberFormat="1" applyFont="1" applyFill="1" applyBorder="1"/>
    <xf numFmtId="3" fontId="62" fillId="106" borderId="404" xfId="153" applyNumberFormat="1" applyFont="1" applyFill="1" applyBorder="1" applyAlignment="1" applyProtection="1">
      <alignment horizontal="right"/>
    </xf>
    <xf numFmtId="3" fontId="62" fillId="106" borderId="400" xfId="153" applyNumberFormat="1" applyFont="1" applyFill="1" applyBorder="1" applyAlignment="1" applyProtection="1">
      <alignment horizontal="right"/>
    </xf>
    <xf numFmtId="0" fontId="1" fillId="70" borderId="0" xfId="0" applyFont="1" applyFill="1" applyAlignment="1">
      <alignment vertical="center" wrapText="1"/>
    </xf>
    <xf numFmtId="0" fontId="177" fillId="0" borderId="245" xfId="0" applyFont="1" applyBorder="1" applyAlignment="1">
      <alignment vertical="center" wrapText="1"/>
    </xf>
    <xf numFmtId="0" fontId="161" fillId="0" borderId="245" xfId="0" applyFont="1" applyBorder="1" applyAlignment="1">
      <alignment horizontal="left" vertical="center" wrapText="1"/>
    </xf>
    <xf numFmtId="0" fontId="1" fillId="0" borderId="245" xfId="0" applyFont="1" applyBorder="1" applyAlignment="1">
      <alignment horizontal="left" vertical="center" wrapText="1"/>
    </xf>
    <xf numFmtId="0" fontId="1" fillId="0" borderId="245" xfId="0" applyFont="1" applyBorder="1" applyAlignment="1">
      <alignment vertical="center"/>
    </xf>
    <xf numFmtId="0" fontId="1" fillId="73" borderId="428" xfId="0" applyFont="1" applyFill="1" applyBorder="1" applyAlignment="1">
      <alignment vertical="center"/>
    </xf>
    <xf numFmtId="0" fontId="91" fillId="73" borderId="429" xfId="0" applyFont="1" applyFill="1" applyBorder="1" applyAlignment="1">
      <alignment vertical="center"/>
    </xf>
    <xf numFmtId="0" fontId="91" fillId="70" borderId="406" xfId="0" applyFont="1" applyFill="1" applyBorder="1" applyAlignment="1">
      <alignment horizontal="center" vertical="center"/>
    </xf>
    <xf numFmtId="3" fontId="91" fillId="20" borderId="428" xfId="0" applyNumberFormat="1" applyFont="1" applyFill="1" applyBorder="1" applyAlignment="1">
      <alignment horizontal="left"/>
    </xf>
    <xf numFmtId="3" fontId="91" fillId="20" borderId="430" xfId="0" applyNumberFormat="1" applyFont="1" applyFill="1" applyBorder="1" applyAlignment="1">
      <alignment horizontal="left"/>
    </xf>
    <xf numFmtId="3" fontId="1" fillId="20" borderId="400" xfId="0" applyNumberFormat="1" applyFont="1" applyFill="1" applyBorder="1" applyAlignment="1">
      <alignment horizontal="left"/>
    </xf>
    <xf numFmtId="0" fontId="1" fillId="0" borderId="428" xfId="0" applyFont="1" applyBorder="1" applyAlignment="1">
      <alignment horizontal="left" vertical="center" wrapText="1"/>
    </xf>
    <xf numFmtId="0" fontId="171" fillId="0" borderId="430" xfId="0" applyFont="1" applyBorder="1" applyAlignment="1">
      <alignment horizontal="left" vertical="center"/>
    </xf>
    <xf numFmtId="0" fontId="1" fillId="27" borderId="428" xfId="0" applyFont="1" applyFill="1" applyBorder="1" applyAlignment="1">
      <alignment horizontal="left" vertical="center" wrapText="1"/>
    </xf>
    <xf numFmtId="0" fontId="267" fillId="27" borderId="430" xfId="0" applyFont="1" applyFill="1" applyBorder="1" applyAlignment="1">
      <alignment horizontal="left" vertical="center"/>
    </xf>
    <xf numFmtId="0" fontId="1" fillId="0" borderId="428" xfId="0" applyFont="1" applyBorder="1" applyAlignment="1">
      <alignment horizontal="left" vertical="center"/>
    </xf>
    <xf numFmtId="0" fontId="1" fillId="27" borderId="428" xfId="0" applyFont="1" applyFill="1" applyBorder="1" applyAlignment="1">
      <alignment horizontal="left" vertical="center"/>
    </xf>
    <xf numFmtId="0" fontId="108" fillId="0" borderId="245" xfId="0" applyFont="1" applyBorder="1"/>
    <xf numFmtId="0" fontId="93" fillId="0" borderId="245" xfId="0" applyFont="1" applyBorder="1"/>
    <xf numFmtId="0" fontId="0" fillId="0" borderId="245" xfId="0" applyBorder="1"/>
    <xf numFmtId="0" fontId="91" fillId="73" borderId="428" xfId="0" applyFont="1" applyFill="1" applyBorder="1" applyAlignment="1">
      <alignment vertical="center"/>
    </xf>
    <xf numFmtId="0" fontId="91" fillId="73" borderId="349" xfId="0" applyFont="1" applyFill="1" applyBorder="1" applyAlignment="1">
      <alignment vertical="center"/>
    </xf>
    <xf numFmtId="0" fontId="91" fillId="73" borderId="349" xfId="0" applyFont="1" applyFill="1" applyBorder="1" applyAlignment="1">
      <alignment horizontal="center" vertical="center"/>
    </xf>
    <xf numFmtId="0" fontId="1" fillId="0" borderId="349" xfId="0" applyFont="1" applyBorder="1"/>
    <xf numFmtId="49" fontId="1" fillId="0" borderId="349" xfId="0" applyNumberFormat="1" applyFont="1" applyBorder="1" applyAlignment="1">
      <alignment horizontal="center" vertical="center"/>
    </xf>
    <xf numFmtId="0" fontId="1" fillId="0" borderId="349" xfId="0" applyFont="1" applyBorder="1" applyAlignment="1">
      <alignment horizontal="center" wrapText="1"/>
    </xf>
    <xf numFmtId="0" fontId="1" fillId="0" borderId="349" xfId="0" applyFont="1" applyBorder="1" applyAlignment="1">
      <alignment horizontal="center" vertical="center"/>
    </xf>
    <xf numFmtId="176" fontId="1" fillId="0" borderId="349" xfId="0" applyNumberFormat="1" applyFont="1" applyBorder="1" applyAlignment="1">
      <alignment horizontal="center" vertical="center"/>
    </xf>
    <xf numFmtId="0" fontId="1" fillId="27" borderId="349" xfId="0" applyFont="1" applyFill="1" applyBorder="1"/>
    <xf numFmtId="49" fontId="1" fillId="27" borderId="349" xfId="0" applyNumberFormat="1" applyFont="1" applyFill="1" applyBorder="1" applyAlignment="1">
      <alignment horizontal="center" vertical="center"/>
    </xf>
    <xf numFmtId="0" fontId="1" fillId="27" borderId="349" xfId="0" applyFont="1" applyFill="1" applyBorder="1" applyAlignment="1">
      <alignment horizontal="center" wrapText="1"/>
    </xf>
    <xf numFmtId="0" fontId="1" fillId="65" borderId="349" xfId="0" applyFont="1" applyFill="1" applyBorder="1" applyAlignment="1">
      <alignment horizontal="center" vertical="center"/>
    </xf>
    <xf numFmtId="176" fontId="1" fillId="27" borderId="349" xfId="0" applyNumberFormat="1" applyFont="1" applyFill="1" applyBorder="1" applyAlignment="1">
      <alignment horizontal="center" vertical="center"/>
    </xf>
    <xf numFmtId="2" fontId="1" fillId="0" borderId="400" xfId="0" applyNumberFormat="1" applyFont="1" applyBorder="1" applyAlignment="1">
      <alignment horizontal="center" vertical="center"/>
    </xf>
    <xf numFmtId="9" fontId="1" fillId="0" borderId="400" xfId="32" applyFont="1" applyBorder="1" applyAlignment="1">
      <alignment horizontal="center" vertical="center"/>
    </xf>
    <xf numFmtId="0" fontId="1" fillId="0" borderId="0" xfId="0" applyFont="1" applyAlignment="1">
      <alignment horizontal="center"/>
    </xf>
    <xf numFmtId="176" fontId="1" fillId="0" borderId="0" xfId="0" applyNumberFormat="1" applyFont="1" applyAlignment="1">
      <alignment horizontal="center"/>
    </xf>
    <xf numFmtId="3" fontId="1" fillId="27" borderId="400" xfId="0" applyNumberFormat="1" applyFont="1" applyFill="1" applyBorder="1" applyAlignment="1">
      <alignment horizontal="center" vertical="center"/>
    </xf>
    <xf numFmtId="3" fontId="1" fillId="0" borderId="400" xfId="0" applyNumberFormat="1" applyFont="1" applyBorder="1" applyAlignment="1">
      <alignment horizontal="center" vertical="center"/>
    </xf>
    <xf numFmtId="0" fontId="91" fillId="27" borderId="428" xfId="0" applyFont="1" applyFill="1" applyBorder="1" applyAlignment="1">
      <alignment horizontal="left" vertical="center"/>
    </xf>
    <xf numFmtId="182" fontId="91" fillId="27" borderId="400" xfId="0" applyNumberFormat="1" applyFont="1" applyFill="1" applyBorder="1" applyAlignment="1">
      <alignment horizontal="center" vertical="center"/>
    </xf>
    <xf numFmtId="0" fontId="80" fillId="33" borderId="428" xfId="0" applyFont="1" applyFill="1" applyBorder="1" applyAlignment="1">
      <alignment horizontal="left" vertical="center"/>
    </xf>
    <xf numFmtId="0" fontId="91" fillId="27" borderId="428" xfId="0" applyFont="1" applyFill="1" applyBorder="1" applyAlignment="1">
      <alignment horizontal="left" vertical="center" wrapText="1"/>
    </xf>
    <xf numFmtId="0" fontId="91" fillId="27" borderId="400" xfId="0" applyFont="1" applyFill="1" applyBorder="1" applyAlignment="1">
      <alignment horizontal="center" vertical="center"/>
    </xf>
    <xf numFmtId="0" fontId="91" fillId="0" borderId="428" xfId="0" applyFont="1" applyBorder="1" applyAlignment="1">
      <alignment horizontal="left" vertical="center"/>
    </xf>
    <xf numFmtId="3" fontId="89" fillId="0" borderId="400" xfId="0" applyNumberFormat="1" applyFont="1" applyBorder="1" applyAlignment="1">
      <alignment horizontal="center" vertical="center"/>
    </xf>
    <xf numFmtId="0" fontId="91" fillId="20" borderId="428" xfId="0" applyFont="1" applyFill="1" applyBorder="1" applyAlignment="1">
      <alignment horizontal="left" vertical="center"/>
    </xf>
    <xf numFmtId="0" fontId="1" fillId="20" borderId="400" xfId="0" applyFont="1" applyFill="1" applyBorder="1" applyAlignment="1">
      <alignment horizontal="center" vertical="center"/>
    </xf>
    <xf numFmtId="173" fontId="1" fillId="20" borderId="400" xfId="0" applyNumberFormat="1" applyFont="1" applyFill="1" applyBorder="1" applyAlignment="1">
      <alignment horizontal="center" vertical="center"/>
    </xf>
    <xf numFmtId="191" fontId="0" fillId="0" borderId="0" xfId="31" applyNumberFormat="1" applyFont="1"/>
    <xf numFmtId="3" fontId="91" fillId="71" borderId="400" xfId="0" applyNumberFormat="1" applyFont="1" applyFill="1" applyBorder="1" applyAlignment="1">
      <alignment vertical="center"/>
    </xf>
    <xf numFmtId="191" fontId="83" fillId="0" borderId="0" xfId="0" applyNumberFormat="1" applyFont="1"/>
    <xf numFmtId="194" fontId="0" fillId="0" borderId="0" xfId="31" applyNumberFormat="1" applyFont="1"/>
    <xf numFmtId="0" fontId="1" fillId="0" borderId="245" xfId="0" applyFont="1" applyBorder="1" applyAlignment="1">
      <alignment horizontal="center" vertical="center"/>
    </xf>
    <xf numFmtId="0" fontId="91" fillId="73" borderId="429" xfId="0" applyFont="1" applyFill="1" applyBorder="1" applyAlignment="1">
      <alignment horizontal="center" vertical="center"/>
    </xf>
    <xf numFmtId="0" fontId="91" fillId="73" borderId="430" xfId="0" applyFont="1" applyFill="1" applyBorder="1" applyAlignment="1">
      <alignment horizontal="center" vertical="center"/>
    </xf>
    <xf numFmtId="0" fontId="18" fillId="0" borderId="245" xfId="0" applyFont="1" applyBorder="1" applyAlignment="1">
      <alignment horizontal="center"/>
    </xf>
    <xf numFmtId="0" fontId="0" fillId="0" borderId="245" xfId="0" applyBorder="1" applyAlignment="1">
      <alignment horizontal="center"/>
    </xf>
    <xf numFmtId="174" fontId="0" fillId="0" borderId="0" xfId="0" applyNumberFormat="1" applyAlignment="1">
      <alignment horizontal="center"/>
    </xf>
    <xf numFmtId="0" fontId="49" fillId="0" borderId="0" xfId="0" applyFont="1" applyAlignment="1">
      <alignment horizontal="center"/>
    </xf>
    <xf numFmtId="10" fontId="62" fillId="28" borderId="148" xfId="0" applyNumberFormat="1" applyFont="1" applyFill="1" applyBorder="1" applyAlignment="1" applyProtection="1">
      <alignment horizontal="center" vertical="center"/>
      <protection locked="0"/>
    </xf>
    <xf numFmtId="176" fontId="0" fillId="0" borderId="0" xfId="0" applyNumberFormat="1" applyAlignment="1">
      <alignment horizontal="center"/>
    </xf>
    <xf numFmtId="1" fontId="1" fillId="0" borderId="400" xfId="0" applyNumberFormat="1" applyFont="1" applyBorder="1" applyAlignment="1">
      <alignment horizontal="center" vertical="center"/>
    </xf>
    <xf numFmtId="0" fontId="91" fillId="33" borderId="400" xfId="0" applyFont="1" applyFill="1" applyBorder="1" applyAlignment="1">
      <alignment horizontal="center" vertical="center"/>
    </xf>
    <xf numFmtId="0" fontId="1" fillId="0" borderId="400" xfId="0" applyFont="1" applyBorder="1" applyAlignment="1">
      <alignment horizontal="center" vertical="center"/>
    </xf>
    <xf numFmtId="0" fontId="1" fillId="27" borderId="400" xfId="0" applyFont="1" applyFill="1" applyBorder="1" applyAlignment="1">
      <alignment horizontal="center" vertical="center"/>
    </xf>
    <xf numFmtId="0" fontId="91" fillId="73" borderId="94" xfId="0" applyFont="1" applyFill="1" applyBorder="1" applyAlignment="1">
      <alignment horizontal="center" vertical="center"/>
    </xf>
    <xf numFmtId="10" fontId="62" fillId="0" borderId="8" xfId="13" applyFont="1" applyFill="1" applyBorder="1" applyAlignment="1" applyProtection="1">
      <alignment horizontal="center"/>
    </xf>
    <xf numFmtId="4" fontId="61" fillId="0" borderId="433" xfId="25" applyNumberFormat="1" applyFont="1" applyBorder="1" applyAlignment="1">
      <alignment horizontal="left" vertical="center" wrapText="1"/>
    </xf>
    <xf numFmtId="169" fontId="61" fillId="25" borderId="434" xfId="25" applyFont="1" applyFill="1" applyBorder="1" applyAlignment="1">
      <alignment horizontal="left" vertical="center" wrapText="1"/>
    </xf>
    <xf numFmtId="3" fontId="61" fillId="0" borderId="433" xfId="25" applyNumberFormat="1" applyFont="1" applyBorder="1" applyAlignment="1" applyProtection="1">
      <alignment horizontal="center" vertical="center" wrapText="1"/>
      <protection locked="0"/>
    </xf>
    <xf numFmtId="3" fontId="1" fillId="0" borderId="238" xfId="0" applyNumberFormat="1" applyFont="1" applyBorder="1" applyAlignment="1">
      <alignment vertical="center"/>
    </xf>
    <xf numFmtId="3" fontId="62" fillId="106" borderId="436" xfId="153" applyNumberFormat="1" applyFont="1" applyFill="1" applyBorder="1" applyAlignment="1" applyProtection="1">
      <alignment horizontal="right"/>
    </xf>
    <xf numFmtId="3" fontId="1" fillId="106" borderId="436" xfId="153" applyNumberFormat="1" applyFont="1" applyFill="1" applyBorder="1" applyAlignment="1" applyProtection="1">
      <alignment horizontal="right"/>
    </xf>
    <xf numFmtId="3" fontId="1" fillId="0" borderId="358" xfId="12" applyNumberFormat="1" applyFont="1" applyFill="1" applyBorder="1" applyAlignment="1" applyProtection="1">
      <alignment horizontal="right"/>
    </xf>
    <xf numFmtId="179" fontId="1" fillId="27" borderId="33" xfId="12" applyNumberFormat="1" applyFont="1" applyFill="1" applyBorder="1" applyAlignment="1" applyProtection="1">
      <alignment horizontal="right" vertical="center"/>
    </xf>
    <xf numFmtId="173" fontId="62" fillId="27" borderId="358" xfId="12" applyNumberFormat="1" applyFont="1" applyFill="1" applyBorder="1" applyAlignment="1" applyProtection="1">
      <alignment horizontal="right" vertical="center"/>
    </xf>
    <xf numFmtId="3" fontId="62" fillId="18" borderId="400" xfId="153" applyNumberFormat="1" applyFont="1" applyFill="1" applyBorder="1" applyAlignment="1" applyProtection="1">
      <alignment horizontal="right" vertical="center"/>
    </xf>
    <xf numFmtId="173" fontId="62" fillId="27" borderId="33" xfId="12" applyNumberFormat="1" applyFont="1" applyFill="1" applyBorder="1" applyAlignment="1" applyProtection="1">
      <alignment horizontal="right" vertical="center"/>
    </xf>
    <xf numFmtId="173" fontId="62" fillId="27" borderId="400" xfId="12" applyNumberFormat="1" applyFont="1" applyFill="1" applyBorder="1" applyAlignment="1" applyProtection="1">
      <alignment horizontal="right" vertical="center"/>
    </xf>
    <xf numFmtId="179" fontId="62" fillId="20" borderId="255" xfId="12" applyNumberFormat="1" applyFont="1" applyFill="1" applyBorder="1" applyAlignment="1" applyProtection="1">
      <alignment horizontal="right" vertical="center"/>
    </xf>
    <xf numFmtId="3" fontId="62" fillId="0" borderId="400" xfId="153" applyNumberFormat="1" applyFont="1" applyFill="1" applyBorder="1" applyAlignment="1" applyProtection="1"/>
    <xf numFmtId="3" fontId="62" fillId="0" borderId="436" xfId="153" applyNumberFormat="1" applyFont="1" applyFill="1" applyBorder="1" applyAlignment="1" applyProtection="1"/>
    <xf numFmtId="3" fontId="283" fillId="0" borderId="436" xfId="153" applyNumberFormat="1" applyFont="1" applyFill="1" applyBorder="1" applyAlignment="1" applyProtection="1"/>
    <xf numFmtId="4" fontId="61" fillId="0" borderId="433" xfId="25" applyNumberFormat="1" applyFont="1" applyBorder="1" applyAlignment="1">
      <alignment horizontal="left" vertical="center"/>
    </xf>
    <xf numFmtId="169" fontId="61" fillId="25" borderId="434" xfId="25" applyFont="1" applyFill="1" applyBorder="1" applyAlignment="1">
      <alignment vertical="center" wrapText="1"/>
    </xf>
    <xf numFmtId="172" fontId="62" fillId="0" borderId="400" xfId="153" applyNumberFormat="1" applyFont="1" applyFill="1" applyBorder="1" applyAlignment="1" applyProtection="1">
      <alignment horizontal="right" vertical="center"/>
      <protection locked="0"/>
    </xf>
    <xf numFmtId="169" fontId="89" fillId="4" borderId="368" xfId="0" applyNumberFormat="1" applyFont="1" applyFill="1" applyBorder="1" applyAlignment="1">
      <alignment horizontal="center" vertical="center" wrapText="1"/>
    </xf>
    <xf numFmtId="0" fontId="1" fillId="73" borderId="400" xfId="0" applyFont="1" applyFill="1" applyBorder="1" applyAlignment="1">
      <alignment horizontal="center" vertical="center"/>
    </xf>
    <xf numFmtId="169" fontId="25" fillId="13" borderId="0" xfId="0" applyNumberFormat="1" applyFont="1" applyFill="1"/>
    <xf numFmtId="169" fontId="25" fillId="13" borderId="0" xfId="0" applyNumberFormat="1" applyFont="1" applyFill="1" applyAlignment="1">
      <alignment vertical="center"/>
    </xf>
    <xf numFmtId="3" fontId="62" fillId="5" borderId="102" xfId="31" applyNumberFormat="1" applyFont="1" applyFill="1" applyBorder="1" applyAlignment="1" applyProtection="1">
      <alignment horizontal="center" vertical="center"/>
      <protection locked="0"/>
    </xf>
    <xf numFmtId="179" fontId="62" fillId="106" borderId="33" xfId="12" applyNumberFormat="1" applyFont="1" applyFill="1" applyBorder="1" applyAlignment="1" applyProtection="1">
      <alignment horizontal="right"/>
    </xf>
    <xf numFmtId="3" fontId="89" fillId="106" borderId="428" xfId="153" applyNumberFormat="1" applyFont="1" applyFill="1" applyBorder="1" applyAlignment="1" applyProtection="1">
      <alignment horizontal="right"/>
    </xf>
    <xf numFmtId="179" fontId="89" fillId="106" borderId="428" xfId="153" applyNumberFormat="1" applyFont="1" applyFill="1" applyBorder="1" applyAlignment="1" applyProtection="1">
      <alignment horizontal="right"/>
    </xf>
    <xf numFmtId="9" fontId="0" fillId="0" borderId="0" xfId="32" applyFont="1"/>
    <xf numFmtId="3" fontId="62" fillId="102" borderId="148" xfId="0" applyNumberFormat="1" applyFont="1" applyFill="1" applyBorder="1" applyAlignment="1">
      <alignment horizontal="right" vertical="center" wrapText="1"/>
    </xf>
    <xf numFmtId="3" fontId="89" fillId="26" borderId="8" xfId="0" applyNumberFormat="1" applyFont="1" applyFill="1" applyBorder="1" applyAlignment="1">
      <alignment horizontal="center"/>
    </xf>
    <xf numFmtId="181" fontId="62" fillId="26" borderId="8" xfId="13" applyNumberFormat="1" applyFont="1" applyFill="1" applyBorder="1" applyAlignment="1" applyProtection="1">
      <alignment horizontal="center"/>
    </xf>
    <xf numFmtId="3" fontId="89" fillId="26" borderId="8" xfId="32" applyNumberFormat="1" applyFont="1" applyFill="1" applyBorder="1" applyAlignment="1">
      <alignment horizontal="center"/>
    </xf>
    <xf numFmtId="3" fontId="62" fillId="26" borderId="8" xfId="0" applyNumberFormat="1" applyFont="1" applyFill="1" applyBorder="1" applyAlignment="1">
      <alignment horizontal="center"/>
    </xf>
    <xf numFmtId="3" fontId="118" fillId="26" borderId="140" xfId="31" applyNumberFormat="1" applyFont="1" applyFill="1" applyBorder="1" applyAlignment="1" applyProtection="1">
      <alignment horizontal="center" vertical="center"/>
    </xf>
    <xf numFmtId="0" fontId="91" fillId="138" borderId="428" xfId="0" applyFont="1" applyFill="1" applyBorder="1" applyAlignment="1">
      <alignment horizontal="left" vertical="center"/>
    </xf>
    <xf numFmtId="0" fontId="1" fillId="138" borderId="400" xfId="0" applyFont="1" applyFill="1" applyBorder="1" applyAlignment="1">
      <alignment horizontal="center" vertical="center"/>
    </xf>
    <xf numFmtId="0" fontId="91" fillId="138" borderId="428" xfId="0" applyFont="1" applyFill="1" applyBorder="1" applyAlignment="1">
      <alignment horizontal="left" vertical="center" wrapText="1"/>
    </xf>
    <xf numFmtId="173" fontId="1" fillId="138" borderId="400" xfId="0" applyNumberFormat="1" applyFont="1" applyFill="1" applyBorder="1" applyAlignment="1">
      <alignment horizontal="center" vertical="center"/>
    </xf>
    <xf numFmtId="3" fontId="91" fillId="138" borderId="400" xfId="0" applyNumberFormat="1" applyFont="1" applyFill="1" applyBorder="1" applyAlignment="1">
      <alignment vertical="center"/>
    </xf>
    <xf numFmtId="174" fontId="91" fillId="138" borderId="8" xfId="0" applyNumberFormat="1" applyFont="1" applyFill="1" applyBorder="1"/>
    <xf numFmtId="174" fontId="91" fillId="138" borderId="8" xfId="0" applyNumberFormat="1" applyFont="1" applyFill="1" applyBorder="1" applyAlignment="1">
      <alignment horizontal="right"/>
    </xf>
    <xf numFmtId="3" fontId="89" fillId="138" borderId="8" xfId="0" applyNumberFormat="1" applyFont="1" applyFill="1" applyBorder="1" applyAlignment="1">
      <alignment horizontal="right"/>
    </xf>
    <xf numFmtId="3" fontId="89" fillId="138" borderId="177" xfId="12" applyNumberFormat="1" applyFont="1" applyFill="1" applyBorder="1" applyAlignment="1" applyProtection="1">
      <alignment horizontal="right"/>
    </xf>
    <xf numFmtId="0" fontId="203" fillId="0" borderId="320" xfId="0" applyFont="1" applyBorder="1" applyAlignment="1">
      <alignment horizontal="center" vertical="center"/>
    </xf>
    <xf numFmtId="0" fontId="53" fillId="13" borderId="435" xfId="0" applyFont="1" applyFill="1" applyBorder="1" applyAlignment="1">
      <alignment horizontal="center" vertical="center"/>
    </xf>
    <xf numFmtId="0" fontId="47" fillId="0" borderId="368" xfId="0" applyFont="1" applyBorder="1" applyAlignment="1">
      <alignment horizontal="left" vertical="center"/>
    </xf>
    <xf numFmtId="3" fontId="91" fillId="138" borderId="238" xfId="0" applyNumberFormat="1" applyFont="1" applyFill="1" applyBorder="1" applyAlignment="1">
      <alignment vertical="center"/>
    </xf>
    <xf numFmtId="3" fontId="91" fillId="138" borderId="8" xfId="0" applyNumberFormat="1" applyFont="1" applyFill="1" applyBorder="1"/>
    <xf numFmtId="179" fontId="62" fillId="138" borderId="400" xfId="153" applyNumberFormat="1" applyFont="1" applyFill="1" applyBorder="1" applyAlignment="1" applyProtection="1">
      <alignment horizontal="right" vertical="center"/>
    </xf>
    <xf numFmtId="3" fontId="1" fillId="13" borderId="436" xfId="0" applyNumberFormat="1" applyFont="1" applyFill="1" applyBorder="1" applyAlignment="1" applyProtection="1">
      <alignment horizontal="centerContinuous" vertical="center"/>
      <protection locked="0"/>
    </xf>
    <xf numFmtId="3" fontId="1" fillId="0" borderId="437" xfId="0" applyNumberFormat="1" applyFont="1" applyBorder="1" applyAlignment="1" applyProtection="1">
      <alignment horizontal="centerContinuous" vertical="center"/>
      <protection locked="0"/>
    </xf>
    <xf numFmtId="3" fontId="1" fillId="0" borderId="436" xfId="0" applyNumberFormat="1" applyFont="1" applyBorder="1" applyAlignment="1" applyProtection="1">
      <alignment horizontal="centerContinuous" vertical="center"/>
      <protection locked="0"/>
    </xf>
    <xf numFmtId="3" fontId="1" fillId="0" borderId="436" xfId="0" applyNumberFormat="1" applyFont="1" applyBorder="1" applyAlignment="1" applyProtection="1">
      <alignment horizontal="centerContinuous" vertical="center" wrapText="1"/>
      <protection locked="0"/>
    </xf>
    <xf numFmtId="3" fontId="1" fillId="0" borderId="400" xfId="0" applyNumberFormat="1" applyFont="1" applyBorder="1" applyAlignment="1" applyProtection="1">
      <alignment horizontal="right" vertical="center" wrapText="1"/>
      <protection locked="0"/>
    </xf>
    <xf numFmtId="0" fontId="1" fillId="107" borderId="432" xfId="0" applyFont="1" applyFill="1" applyBorder="1" applyAlignment="1" applyProtection="1">
      <alignment vertical="center" wrapText="1"/>
      <protection locked="0"/>
    </xf>
    <xf numFmtId="4" fontId="1" fillId="0" borderId="436" xfId="0" applyNumberFormat="1" applyFont="1" applyBorder="1" applyAlignment="1" applyProtection="1">
      <alignment horizontal="centerContinuous" vertical="center"/>
      <protection locked="0"/>
    </xf>
    <xf numFmtId="3" fontId="1" fillId="107" borderId="400" xfId="32" applyNumberFormat="1" applyFont="1" applyFill="1" applyBorder="1" applyAlignment="1" applyProtection="1">
      <alignment vertical="center"/>
    </xf>
    <xf numFmtId="3" fontId="1" fillId="0" borderId="400" xfId="32" applyNumberFormat="1" applyFont="1" applyBorder="1" applyAlignment="1" applyProtection="1">
      <alignment vertical="center"/>
    </xf>
    <xf numFmtId="10" fontId="1" fillId="107" borderId="437" xfId="32" applyNumberFormat="1" applyFont="1" applyFill="1" applyBorder="1" applyAlignment="1" applyProtection="1">
      <alignment vertical="center"/>
    </xf>
    <xf numFmtId="10" fontId="1" fillId="107" borderId="435" xfId="32" applyNumberFormat="1" applyFont="1" applyFill="1" applyBorder="1" applyAlignment="1" applyProtection="1">
      <alignment vertical="center"/>
    </xf>
    <xf numFmtId="10" fontId="1" fillId="0" borderId="436" xfId="32" applyNumberFormat="1" applyFont="1" applyBorder="1" applyAlignment="1" applyProtection="1">
      <alignment vertical="center"/>
    </xf>
    <xf numFmtId="10" fontId="1" fillId="0" borderId="437" xfId="32" applyNumberFormat="1" applyFont="1" applyBorder="1" applyAlignment="1" applyProtection="1">
      <alignment vertical="center"/>
    </xf>
    <xf numFmtId="10" fontId="1" fillId="32" borderId="436" xfId="32" applyNumberFormat="1" applyFont="1" applyFill="1" applyBorder="1" applyAlignment="1" applyProtection="1">
      <alignment horizontal="right" vertical="center" wrapText="1"/>
    </xf>
    <xf numFmtId="10" fontId="1" fillId="0" borderId="436" xfId="32" applyNumberFormat="1" applyFont="1" applyBorder="1" applyAlignment="1" applyProtection="1">
      <alignment horizontal="centerContinuous" vertical="center"/>
      <protection locked="0"/>
    </xf>
    <xf numFmtId="3" fontId="1" fillId="0" borderId="400" xfId="0" applyNumberFormat="1" applyFont="1" applyBorder="1" applyAlignment="1" applyProtection="1">
      <alignment vertical="center"/>
      <protection locked="0"/>
    </xf>
    <xf numFmtId="3" fontId="1" fillId="0" borderId="400" xfId="32" applyNumberFormat="1" applyFont="1" applyBorder="1" applyAlignment="1" applyProtection="1">
      <alignment vertical="center"/>
      <protection locked="0"/>
    </xf>
    <xf numFmtId="3" fontId="1" fillId="0" borderId="436" xfId="0" applyNumberFormat="1" applyFont="1" applyBorder="1" applyAlignment="1" applyProtection="1">
      <alignment horizontal="right" vertical="center" wrapText="1"/>
      <protection locked="0"/>
    </xf>
    <xf numFmtId="3" fontId="91" fillId="0" borderId="436" xfId="0" applyNumberFormat="1" applyFont="1" applyBorder="1" applyAlignment="1" applyProtection="1">
      <alignment horizontal="centerContinuous" vertical="center"/>
      <protection locked="0"/>
    </xf>
    <xf numFmtId="3" fontId="1" fillId="0" borderId="400" xfId="0" applyNumberFormat="1" applyFont="1" applyBorder="1"/>
    <xf numFmtId="3" fontId="1" fillId="0" borderId="400" xfId="0" applyNumberFormat="1" applyFont="1" applyBorder="1" applyAlignment="1">
      <alignment horizontal="right" vertical="center"/>
    </xf>
    <xf numFmtId="3" fontId="1" fillId="13" borderId="400" xfId="31" applyNumberFormat="1" applyFont="1" applyFill="1" applyBorder="1" applyProtection="1"/>
    <xf numFmtId="171" fontId="1" fillId="3" borderId="400" xfId="31" applyNumberFormat="1" applyFont="1" applyFill="1" applyBorder="1" applyProtection="1"/>
    <xf numFmtId="3" fontId="1" fillId="11" borderId="400" xfId="0" applyNumberFormat="1" applyFont="1" applyFill="1" applyBorder="1"/>
    <xf numFmtId="3" fontId="62" fillId="106" borderId="436" xfId="153" applyNumberFormat="1" applyFont="1" applyFill="1" applyBorder="1" applyAlignment="1" applyProtection="1">
      <alignment horizontal="center" vertical="center"/>
    </xf>
    <xf numFmtId="0" fontId="80" fillId="27" borderId="8" xfId="0" applyFont="1" applyFill="1" applyBorder="1" applyAlignment="1">
      <alignment horizontal="left" vertical="center" wrapText="1"/>
    </xf>
    <xf numFmtId="0" fontId="108" fillId="0" borderId="0" xfId="0" applyFont="1" applyAlignment="1">
      <alignment horizontal="centerContinuous" vertical="center"/>
    </xf>
    <xf numFmtId="0" fontId="80" fillId="0" borderId="8" xfId="0" applyFont="1" applyBorder="1" applyAlignment="1">
      <alignment horizontal="left" vertical="center" wrapText="1"/>
    </xf>
    <xf numFmtId="3" fontId="62" fillId="106" borderId="400" xfId="153" applyNumberFormat="1" applyFont="1" applyFill="1" applyBorder="1" applyAlignment="1" applyProtection="1">
      <alignment horizontal="center" vertical="center"/>
    </xf>
    <xf numFmtId="3" fontId="1" fillId="27" borderId="400" xfId="0" applyNumberFormat="1" applyFont="1" applyFill="1" applyBorder="1" applyAlignment="1" applyProtection="1">
      <alignment horizontal="center" vertical="center"/>
      <protection locked="0"/>
    </xf>
    <xf numFmtId="3" fontId="1" fillId="0" borderId="423" xfId="0" applyNumberFormat="1" applyFont="1" applyBorder="1" applyAlignment="1" applyProtection="1">
      <alignment horizontal="center" vertical="center"/>
      <protection locked="0"/>
    </xf>
    <xf numFmtId="3" fontId="83" fillId="13" borderId="330" xfId="0" applyNumberFormat="1" applyFont="1" applyFill="1" applyBorder="1" applyAlignment="1" applyProtection="1">
      <alignment horizontal="centerContinuous" vertical="center"/>
      <protection locked="0"/>
    </xf>
    <xf numFmtId="3" fontId="83" fillId="13" borderId="333" xfId="0" applyNumberFormat="1" applyFont="1" applyFill="1" applyBorder="1" applyAlignment="1" applyProtection="1">
      <alignment horizontal="centerContinuous" vertical="center"/>
      <protection locked="0"/>
    </xf>
    <xf numFmtId="3" fontId="83" fillId="13" borderId="400" xfId="0" applyNumberFormat="1" applyFont="1" applyFill="1" applyBorder="1" applyAlignment="1" applyProtection="1">
      <alignment horizontal="centerContinuous" vertical="center"/>
      <protection locked="0"/>
    </xf>
    <xf numFmtId="176" fontId="83" fillId="13" borderId="8" xfId="0" applyNumberFormat="1" applyFont="1" applyFill="1" applyBorder="1" applyAlignment="1">
      <alignment horizontal="center"/>
    </xf>
    <xf numFmtId="187" fontId="61" fillId="13" borderId="27" xfId="0" applyNumberFormat="1" applyFont="1" applyFill="1" applyBorder="1" applyAlignment="1">
      <alignment horizontal="center" vertical="center"/>
    </xf>
    <xf numFmtId="0" fontId="62" fillId="13" borderId="238" xfId="0" applyFont="1" applyFill="1" applyBorder="1" applyAlignment="1">
      <alignment horizontal="center" vertical="center" wrapText="1"/>
    </xf>
    <xf numFmtId="10" fontId="83" fillId="13" borderId="8" xfId="32" applyNumberFormat="1" applyFont="1" applyFill="1" applyBorder="1" applyAlignment="1" applyProtection="1">
      <alignment horizontal="center" vertical="center"/>
    </xf>
    <xf numFmtId="0" fontId="61" fillId="13" borderId="327" xfId="34" applyNumberFormat="1" applyFont="1" applyFill="1" applyBorder="1" applyAlignment="1">
      <alignment horizontal="center" vertical="center" wrapText="1"/>
    </xf>
    <xf numFmtId="0" fontId="184" fillId="0" borderId="400" xfId="0" applyFont="1" applyBorder="1" applyAlignment="1">
      <alignment horizontal="center" vertical="center" wrapText="1"/>
    </xf>
    <xf numFmtId="166" fontId="62" fillId="0" borderId="0" xfId="49" applyFont="1" applyFill="1" applyBorder="1" applyAlignment="1" applyProtection="1">
      <alignment horizontal="center" vertical="center"/>
    </xf>
    <xf numFmtId="0" fontId="208" fillId="140" borderId="31" xfId="0" applyFont="1" applyFill="1" applyBorder="1" applyAlignment="1">
      <alignment horizontal="center" vertical="center" wrapText="1"/>
    </xf>
    <xf numFmtId="0" fontId="385" fillId="140" borderId="306" xfId="40" applyFont="1" applyFill="1" applyBorder="1" applyAlignment="1">
      <alignment horizontal="center" vertical="center" wrapText="1"/>
    </xf>
    <xf numFmtId="0" fontId="385" fillId="92" borderId="309" xfId="40" applyFont="1" applyFill="1" applyBorder="1" applyAlignment="1">
      <alignment horizontal="center" vertical="center" wrapText="1"/>
    </xf>
    <xf numFmtId="0" fontId="206" fillId="141" borderId="306" xfId="40" applyFont="1" applyFill="1" applyBorder="1" applyAlignment="1">
      <alignment horizontal="center" vertical="center" wrapText="1"/>
    </xf>
    <xf numFmtId="0" fontId="295" fillId="140" borderId="390" xfId="0" applyFont="1" applyFill="1" applyBorder="1" applyAlignment="1">
      <alignment horizontal="center" vertical="center"/>
    </xf>
    <xf numFmtId="49" fontId="35" fillId="140" borderId="376" xfId="39" applyNumberFormat="1" applyFont="1" applyFill="1" applyBorder="1" applyAlignment="1" applyProtection="1">
      <alignment horizontal="right" vertical="center" wrapText="1"/>
      <protection locked="0"/>
    </xf>
    <xf numFmtId="49" fontId="35" fillId="29" borderId="343" xfId="39" applyNumberFormat="1" applyFont="1" applyFill="1" applyBorder="1" applyAlignment="1" applyProtection="1">
      <alignment horizontal="right" vertical="center" wrapText="1"/>
      <protection locked="0"/>
    </xf>
    <xf numFmtId="0" fontId="296" fillId="141" borderId="31" xfId="39" applyFont="1" applyFill="1" applyBorder="1" applyAlignment="1">
      <alignment horizontal="center" vertical="center" wrapText="1"/>
    </xf>
    <xf numFmtId="49" fontId="35" fillId="140" borderId="387" xfId="40" applyNumberFormat="1" applyFont="1" applyFill="1" applyBorder="1" applyAlignment="1" applyProtection="1">
      <alignment horizontal="right" vertical="center" wrapText="1"/>
      <protection locked="0"/>
    </xf>
    <xf numFmtId="49" fontId="35" fillId="29" borderId="435" xfId="40" applyNumberFormat="1" applyFont="1" applyFill="1" applyBorder="1" applyAlignment="1" applyProtection="1">
      <alignment horizontal="right" vertical="center" wrapText="1"/>
      <protection locked="0"/>
    </xf>
    <xf numFmtId="0" fontId="296" fillId="141" borderId="387" xfId="39" applyFont="1" applyFill="1" applyBorder="1" applyAlignment="1">
      <alignment horizontal="center" vertical="center" wrapText="1"/>
    </xf>
    <xf numFmtId="3" fontId="35" fillId="140" borderId="387" xfId="40" applyNumberFormat="1" applyFont="1" applyFill="1" applyBorder="1" applyAlignment="1" applyProtection="1">
      <alignment horizontal="right" vertical="center" wrapText="1"/>
      <protection locked="0"/>
    </xf>
    <xf numFmtId="3" fontId="35" fillId="29" borderId="435" xfId="40" applyNumberFormat="1" applyFont="1" applyFill="1" applyBorder="1" applyAlignment="1" applyProtection="1">
      <alignment vertical="center" wrapText="1"/>
      <protection locked="0"/>
    </xf>
    <xf numFmtId="3" fontId="35" fillId="140" borderId="376" xfId="39" applyNumberFormat="1" applyFont="1" applyFill="1" applyBorder="1" applyAlignment="1" applyProtection="1">
      <alignment horizontal="right" vertical="center" wrapText="1"/>
      <protection locked="0"/>
    </xf>
    <xf numFmtId="3" fontId="35" fillId="140" borderId="390" xfId="40" applyNumberFormat="1" applyFont="1" applyFill="1" applyBorder="1" applyAlignment="1" applyProtection="1">
      <alignment vertical="center" wrapText="1"/>
      <protection locked="0"/>
    </xf>
    <xf numFmtId="0" fontId="296" fillId="141" borderId="390" xfId="39" applyFont="1" applyFill="1" applyBorder="1" applyAlignment="1">
      <alignment horizontal="center" vertical="center" wrapText="1"/>
    </xf>
    <xf numFmtId="0" fontId="386" fillId="13" borderId="0" xfId="0" applyFont="1" applyFill="1" applyAlignment="1">
      <alignment vertical="center"/>
    </xf>
    <xf numFmtId="171" fontId="301" fillId="140" borderId="31" xfId="139" applyNumberFormat="1" applyFont="1" applyFill="1" applyBorder="1" applyAlignment="1" applyProtection="1">
      <alignment horizontal="right" vertical="center" wrapText="1"/>
      <protection locked="0"/>
    </xf>
    <xf numFmtId="171" fontId="301" fillId="140" borderId="387" xfId="139" applyNumberFormat="1" applyFont="1" applyFill="1" applyBorder="1" applyAlignment="1" applyProtection="1">
      <alignment horizontal="right" vertical="center" wrapText="1"/>
      <protection locked="0"/>
    </xf>
    <xf numFmtId="181" fontId="210" fillId="140" borderId="387" xfId="39" applyNumberFormat="1" applyFont="1" applyFill="1" applyBorder="1" applyAlignment="1">
      <alignment horizontal="right" vertical="center" wrapText="1"/>
    </xf>
    <xf numFmtId="3" fontId="301" fillId="140" borderId="387" xfId="139" applyNumberFormat="1" applyFont="1" applyFill="1" applyBorder="1" applyAlignment="1" applyProtection="1">
      <alignment horizontal="right" vertical="center" wrapText="1"/>
      <protection locked="0"/>
    </xf>
    <xf numFmtId="0" fontId="208" fillId="3" borderId="436" xfId="39" applyFont="1" applyFill="1" applyBorder="1" applyAlignment="1">
      <alignment horizontal="center" vertical="center" wrapText="1"/>
    </xf>
    <xf numFmtId="0" fontId="209" fillId="0" borderId="440" xfId="40" applyFont="1" applyBorder="1" applyAlignment="1">
      <alignment horizontal="center" vertical="center" wrapText="1"/>
    </xf>
    <xf numFmtId="49" fontId="208" fillId="140" borderId="387" xfId="39" applyNumberFormat="1" applyFont="1" applyFill="1" applyBorder="1" applyAlignment="1" applyProtection="1">
      <alignment horizontal="right" vertical="center" wrapText="1"/>
      <protection locked="0"/>
    </xf>
    <xf numFmtId="0" fontId="305" fillId="3" borderId="405" xfId="39" applyFont="1" applyFill="1" applyBorder="1" applyAlignment="1">
      <alignment horizontal="center" vertical="center" wrapText="1"/>
    </xf>
    <xf numFmtId="0" fontId="305" fillId="3" borderId="215" xfId="39" applyFont="1" applyFill="1" applyBorder="1" applyAlignment="1">
      <alignment vertical="center" wrapText="1"/>
    </xf>
    <xf numFmtId="0" fontId="305" fillId="3" borderId="247" xfId="39" quotePrefix="1" applyFont="1" applyFill="1" applyBorder="1" applyAlignment="1">
      <alignment horizontal="center" vertical="center" wrapText="1"/>
    </xf>
    <xf numFmtId="49" fontId="208" fillId="140" borderId="405" xfId="39" applyNumberFormat="1" applyFont="1" applyFill="1" applyBorder="1" applyAlignment="1" applyProtection="1">
      <alignment horizontal="right" vertical="center" wrapText="1"/>
      <protection locked="0"/>
    </xf>
    <xf numFmtId="49" fontId="35" fillId="29" borderId="410" xfId="39" applyNumberFormat="1" applyFont="1" applyFill="1" applyBorder="1" applyAlignment="1" applyProtection="1">
      <alignment horizontal="right" vertical="center" wrapText="1"/>
      <protection locked="0"/>
    </xf>
    <xf numFmtId="0" fontId="296" fillId="141" borderId="405" xfId="39" applyFont="1" applyFill="1" applyBorder="1" applyAlignment="1">
      <alignment horizontal="center" vertical="center" wrapText="1"/>
    </xf>
    <xf numFmtId="49" fontId="35" fillId="140" borderId="390" xfId="39" applyNumberFormat="1" applyFont="1" applyFill="1" applyBorder="1" applyAlignment="1" applyProtection="1">
      <alignment horizontal="right" vertical="center" wrapText="1"/>
      <protection locked="0"/>
    </xf>
    <xf numFmtId="0" fontId="300" fillId="141" borderId="390" xfId="40" applyFont="1" applyFill="1" applyBorder="1" applyAlignment="1">
      <alignment horizontal="center" vertical="center" wrapText="1"/>
    </xf>
    <xf numFmtId="3" fontId="35" fillId="140" borderId="31" xfId="40" applyNumberFormat="1" applyFont="1" applyFill="1" applyBorder="1" applyAlignment="1" applyProtection="1">
      <alignment vertical="center" wrapText="1"/>
      <protection locked="0"/>
    </xf>
    <xf numFmtId="0" fontId="35" fillId="3" borderId="436" xfId="40" applyFont="1" applyFill="1" applyBorder="1" applyAlignment="1">
      <alignment horizontal="center" vertical="center" wrapText="1"/>
    </xf>
    <xf numFmtId="3" fontId="35" fillId="140" borderId="387" xfId="40" applyNumberFormat="1" applyFont="1" applyFill="1" applyBorder="1" applyAlignment="1" applyProtection="1">
      <alignment vertical="center" wrapText="1"/>
      <protection locked="0"/>
    </xf>
    <xf numFmtId="0" fontId="211" fillId="0" borderId="440" xfId="40" applyFont="1" applyBorder="1" applyAlignment="1">
      <alignment horizontal="center" vertical="center" wrapText="1"/>
    </xf>
    <xf numFmtId="3" fontId="208" fillId="140" borderId="387" xfId="40" applyNumberFormat="1" applyFont="1" applyFill="1" applyBorder="1" applyAlignment="1">
      <alignment vertical="center" wrapText="1"/>
    </xf>
    <xf numFmtId="0" fontId="300" fillId="141" borderId="387" xfId="0" applyFont="1" applyFill="1" applyBorder="1"/>
    <xf numFmtId="0" fontId="296" fillId="141" borderId="387" xfId="40" applyFont="1" applyFill="1" applyBorder="1" applyAlignment="1">
      <alignment horizontal="center" vertical="center" wrapText="1"/>
    </xf>
    <xf numFmtId="3" fontId="35" fillId="140" borderId="387" xfId="40" applyNumberFormat="1" applyFont="1" applyFill="1" applyBorder="1" applyAlignment="1">
      <alignment vertical="center" wrapText="1"/>
    </xf>
    <xf numFmtId="0" fontId="18" fillId="3" borderId="387" xfId="40" applyFont="1" applyFill="1" applyBorder="1" applyAlignment="1">
      <alignment horizontal="center" vertical="center" wrapText="1"/>
    </xf>
    <xf numFmtId="0" fontId="18" fillId="3" borderId="400" xfId="40" applyFont="1" applyFill="1" applyBorder="1" applyAlignment="1">
      <alignment vertical="center" wrapText="1"/>
    </xf>
    <xf numFmtId="0" fontId="18" fillId="3" borderId="436" xfId="40" applyFont="1" applyFill="1" applyBorder="1" applyAlignment="1">
      <alignment horizontal="center" vertical="center" wrapText="1"/>
    </xf>
    <xf numFmtId="4" fontId="208" fillId="140" borderId="387" xfId="40" applyNumberFormat="1" applyFont="1" applyFill="1" applyBorder="1" applyAlignment="1">
      <alignment horizontal="right" vertical="center" wrapText="1"/>
    </xf>
    <xf numFmtId="4" fontId="18" fillId="27" borderId="388" xfId="40" applyNumberFormat="1" applyFont="1" applyFill="1" applyBorder="1" applyAlignment="1">
      <alignment horizontal="right" vertical="center" wrapText="1"/>
    </xf>
    <xf numFmtId="0" fontId="362" fillId="0" borderId="440" xfId="40" applyFont="1" applyBorder="1" applyAlignment="1">
      <alignment horizontal="center" vertical="center" wrapText="1"/>
    </xf>
    <xf numFmtId="0" fontId="208" fillId="3" borderId="436" xfId="40" applyFont="1" applyFill="1" applyBorder="1" applyAlignment="1">
      <alignment horizontal="center" vertical="center" wrapText="1"/>
    </xf>
    <xf numFmtId="181" fontId="208" fillId="140" borderId="387" xfId="32" applyNumberFormat="1" applyFont="1" applyFill="1" applyBorder="1" applyAlignment="1" applyProtection="1">
      <alignment horizontal="right" vertical="center" wrapText="1"/>
    </xf>
    <xf numFmtId="0" fontId="208" fillId="140" borderId="387" xfId="40" applyFont="1" applyFill="1" applyBorder="1" applyAlignment="1">
      <alignment horizontal="right" vertical="center" wrapText="1"/>
    </xf>
    <xf numFmtId="0" fontId="300" fillId="141" borderId="387" xfId="40" applyFont="1" applyFill="1" applyBorder="1" applyAlignment="1">
      <alignment horizontal="center" vertical="center" wrapText="1"/>
    </xf>
    <xf numFmtId="181" fontId="35" fillId="140" borderId="390" xfId="32" applyNumberFormat="1" applyFont="1" applyFill="1" applyBorder="1" applyAlignment="1" applyProtection="1">
      <alignment horizontal="right" vertical="center" wrapText="1"/>
    </xf>
    <xf numFmtId="0" fontId="311" fillId="141" borderId="390" xfId="40" applyFont="1" applyFill="1" applyBorder="1" applyAlignment="1">
      <alignment horizontal="center" vertical="center" wrapText="1"/>
    </xf>
    <xf numFmtId="0" fontId="35" fillId="3" borderId="436" xfId="39" applyFont="1" applyFill="1" applyBorder="1" applyAlignment="1">
      <alignment horizontal="center" vertical="center" wrapText="1"/>
    </xf>
    <xf numFmtId="3" fontId="208" fillId="140" borderId="387" xfId="40" applyNumberFormat="1" applyFont="1" applyFill="1" applyBorder="1" applyAlignment="1" applyProtection="1">
      <alignment vertical="center" wrapText="1"/>
      <protection locked="0"/>
    </xf>
    <xf numFmtId="0" fontId="35" fillId="3" borderId="390" xfId="40" applyFont="1" applyFill="1" applyBorder="1" applyAlignment="1">
      <alignment horizontal="center" vertical="center" wrapText="1"/>
    </xf>
    <xf numFmtId="0" fontId="35" fillId="3" borderId="391" xfId="40" applyFont="1" applyFill="1" applyBorder="1" applyAlignment="1">
      <alignment horizontal="left" vertical="center" wrapText="1"/>
    </xf>
    <xf numFmtId="0" fontId="208" fillId="3" borderId="392" xfId="39" applyFont="1" applyFill="1" applyBorder="1" applyAlignment="1">
      <alignment horizontal="center" vertical="center" wrapText="1"/>
    </xf>
    <xf numFmtId="10" fontId="208" fillId="140" borderId="390" xfId="32" applyNumberFormat="1" applyFont="1" applyFill="1" applyBorder="1" applyAlignment="1" applyProtection="1">
      <alignment horizontal="right" vertical="center" wrapText="1"/>
    </xf>
    <xf numFmtId="0" fontId="296" fillId="141" borderId="390" xfId="40" applyFont="1" applyFill="1" applyBorder="1" applyAlignment="1">
      <alignment horizontal="center" vertical="center" wrapText="1"/>
    </xf>
    <xf numFmtId="49" fontId="208" fillId="140" borderId="31" xfId="39" applyNumberFormat="1" applyFont="1" applyFill="1" applyBorder="1" applyAlignment="1" applyProtection="1">
      <alignment horizontal="right" vertical="center" wrapText="1"/>
      <protection locked="0"/>
    </xf>
    <xf numFmtId="0" fontId="209" fillId="0" borderId="440" xfId="0" applyFont="1" applyBorder="1" applyAlignment="1">
      <alignment horizontal="center" vertical="center" wrapText="1"/>
    </xf>
    <xf numFmtId="3" fontId="208" fillId="140" borderId="387" xfId="40" applyNumberFormat="1" applyFont="1" applyFill="1" applyBorder="1" applyAlignment="1">
      <alignment horizontal="right" vertical="center" wrapText="1"/>
    </xf>
    <xf numFmtId="0" fontId="208" fillId="3" borderId="376" xfId="40" applyFont="1" applyFill="1" applyBorder="1" applyAlignment="1">
      <alignment horizontal="center" vertical="center" wrapText="1"/>
    </xf>
    <xf numFmtId="49" fontId="208" fillId="140" borderId="387" xfId="40" applyNumberFormat="1" applyFont="1" applyFill="1" applyBorder="1" applyAlignment="1">
      <alignment horizontal="right" vertical="center" wrapText="1"/>
    </xf>
    <xf numFmtId="181" fontId="208" fillId="140" borderId="387" xfId="40" applyNumberFormat="1" applyFont="1" applyFill="1" applyBorder="1" applyAlignment="1">
      <alignment horizontal="right" vertical="center" wrapText="1"/>
    </xf>
    <xf numFmtId="0" fontId="208" fillId="3" borderId="390" xfId="40" applyFont="1" applyFill="1" applyBorder="1" applyAlignment="1">
      <alignment horizontal="center" vertical="center" wrapText="1"/>
    </xf>
    <xf numFmtId="181" fontId="208" fillId="140" borderId="390" xfId="32" applyNumberFormat="1" applyFont="1" applyFill="1" applyBorder="1" applyAlignment="1" applyProtection="1">
      <alignment vertical="center" wrapText="1"/>
      <protection locked="0"/>
    </xf>
    <xf numFmtId="181" fontId="208" fillId="27" borderId="393" xfId="32" applyNumberFormat="1" applyFont="1" applyFill="1" applyBorder="1" applyAlignment="1" applyProtection="1">
      <alignment vertical="center" wrapText="1"/>
    </xf>
    <xf numFmtId="49" fontId="35" fillId="140" borderId="31" xfId="39" applyNumberFormat="1" applyFont="1" applyFill="1" applyBorder="1" applyAlignment="1" applyProtection="1">
      <alignment horizontal="right" vertical="center" wrapText="1"/>
      <protection locked="0"/>
    </xf>
    <xf numFmtId="0" fontId="300" fillId="141" borderId="31" xfId="40" applyFont="1" applyFill="1" applyBorder="1" applyAlignment="1">
      <alignment horizontal="center" vertical="center" wrapText="1"/>
    </xf>
    <xf numFmtId="3" fontId="35" fillId="3" borderId="24" xfId="39" applyNumberFormat="1" applyFont="1" applyFill="1" applyBorder="1" applyAlignment="1">
      <alignment vertical="center" wrapText="1"/>
    </xf>
    <xf numFmtId="49" fontId="35" fillId="140" borderId="387" xfId="39" applyNumberFormat="1" applyFont="1" applyFill="1" applyBorder="1" applyAlignment="1" applyProtection="1">
      <alignment horizontal="right" vertical="center" wrapText="1"/>
      <protection locked="0"/>
    </xf>
    <xf numFmtId="0" fontId="209" fillId="0" borderId="440" xfId="39" applyFont="1" applyBorder="1" applyAlignment="1">
      <alignment horizontal="center" vertical="center" wrapText="1"/>
    </xf>
    <xf numFmtId="3" fontId="35" fillId="140" borderId="387" xfId="39" applyNumberFormat="1" applyFont="1" applyFill="1" applyBorder="1" applyAlignment="1" applyProtection="1">
      <alignment horizontal="right" vertical="center" wrapText="1"/>
      <protection locked="0"/>
    </xf>
    <xf numFmtId="3" fontId="35" fillId="95" borderId="388" xfId="139" applyNumberFormat="1" applyFont="1" applyFill="1" applyBorder="1" applyAlignment="1" applyProtection="1">
      <alignment horizontal="right" vertical="center" wrapText="1"/>
      <protection locked="0"/>
    </xf>
    <xf numFmtId="49" fontId="35" fillId="140" borderId="387" xfId="39" quotePrefix="1" applyNumberFormat="1" applyFont="1" applyFill="1" applyBorder="1" applyAlignment="1">
      <alignment horizontal="right" vertical="center" wrapText="1"/>
    </xf>
    <xf numFmtId="0" fontId="315" fillId="0" borderId="440" xfId="39" applyFont="1" applyBorder="1" applyAlignment="1">
      <alignment horizontal="center" vertical="center" wrapText="1"/>
    </xf>
    <xf numFmtId="49" fontId="210" fillId="140" borderId="387" xfId="39" applyNumberFormat="1" applyFont="1" applyFill="1" applyBorder="1" applyAlignment="1">
      <alignment horizontal="right" vertical="center" wrapText="1"/>
    </xf>
    <xf numFmtId="192" fontId="208" fillId="140" borderId="387" xfId="40" quotePrefix="1" applyNumberFormat="1" applyFont="1" applyFill="1" applyBorder="1" applyAlignment="1">
      <alignment vertical="center"/>
    </xf>
    <xf numFmtId="10" fontId="208" fillId="140" borderId="387" xfId="40" quotePrefix="1" applyNumberFormat="1" applyFont="1" applyFill="1" applyBorder="1" applyAlignment="1">
      <alignment vertical="center"/>
    </xf>
    <xf numFmtId="0" fontId="209" fillId="0" borderId="440" xfId="40" applyFont="1" applyBorder="1" applyAlignment="1">
      <alignment horizontal="center" vertical="center"/>
    </xf>
    <xf numFmtId="0" fontId="209" fillId="0" borderId="440" xfId="0" applyFont="1" applyBorder="1" applyAlignment="1">
      <alignment vertical="center" wrapText="1"/>
    </xf>
    <xf numFmtId="175" fontId="208" fillId="140" borderId="387" xfId="40" quotePrefix="1" applyNumberFormat="1" applyFont="1" applyFill="1" applyBorder="1" applyAlignment="1">
      <alignment vertical="center"/>
    </xf>
    <xf numFmtId="0" fontId="292" fillId="3" borderId="436" xfId="40" applyFont="1" applyFill="1" applyBorder="1" applyAlignment="1">
      <alignment horizontal="center" vertical="center" wrapText="1"/>
    </xf>
    <xf numFmtId="0" fontId="206" fillId="140" borderId="387" xfId="40" applyFont="1" applyFill="1" applyBorder="1" applyAlignment="1">
      <alignment horizontal="right" vertical="center" wrapText="1"/>
    </xf>
    <xf numFmtId="4" fontId="206" fillId="140" borderId="387" xfId="32" applyNumberFormat="1" applyFont="1" applyFill="1" applyBorder="1" applyAlignment="1" applyProtection="1">
      <alignment vertical="center"/>
    </xf>
    <xf numFmtId="10" fontId="206" fillId="140" borderId="390" xfId="32" applyNumberFormat="1" applyFont="1" applyFill="1" applyBorder="1" applyAlignment="1" applyProtection="1">
      <alignment vertical="center"/>
    </xf>
    <xf numFmtId="0" fontId="385" fillId="140" borderId="26" xfId="40" applyFont="1" applyFill="1" applyBorder="1" applyAlignment="1">
      <alignment horizontal="center" vertical="center" wrapText="1"/>
    </xf>
    <xf numFmtId="0" fontId="385" fillId="92" borderId="204" xfId="40" applyFont="1" applyFill="1" applyBorder="1" applyAlignment="1">
      <alignment horizontal="center" vertical="center" wrapText="1"/>
    </xf>
    <xf numFmtId="0" fontId="300" fillId="141" borderId="31" xfId="0" applyFont="1" applyFill="1" applyBorder="1"/>
    <xf numFmtId="0" fontId="211" fillId="0" borderId="440" xfId="0" applyFont="1" applyBorder="1"/>
    <xf numFmtId="0" fontId="209" fillId="0" borderId="440" xfId="0" applyFont="1" applyBorder="1" applyAlignment="1">
      <alignment horizontal="center" vertical="center"/>
    </xf>
    <xf numFmtId="0" fontId="301" fillId="3" borderId="436" xfId="39" applyFont="1" applyFill="1" applyBorder="1" applyAlignment="1">
      <alignment horizontal="center" vertical="center" wrapText="1"/>
    </xf>
    <xf numFmtId="0" fontId="35" fillId="3" borderId="436" xfId="0" applyFont="1" applyFill="1" applyBorder="1" applyAlignment="1">
      <alignment horizontal="center" vertical="center" wrapText="1"/>
    </xf>
    <xf numFmtId="171" fontId="301" fillId="140" borderId="390" xfId="139" applyNumberFormat="1" applyFont="1" applyFill="1" applyBorder="1" applyAlignment="1" applyProtection="1">
      <alignment horizontal="right" vertical="center" wrapText="1"/>
      <protection locked="0"/>
    </xf>
    <xf numFmtId="3" fontId="301" fillId="140" borderId="31" xfId="139" applyNumberFormat="1" applyFont="1" applyFill="1" applyBorder="1" applyAlignment="1" applyProtection="1">
      <alignment horizontal="right" vertical="center" wrapText="1"/>
      <protection locked="0"/>
    </xf>
    <xf numFmtId="49" fontId="208" fillId="140" borderId="387" xfId="39" quotePrefix="1" applyNumberFormat="1" applyFont="1" applyFill="1" applyBorder="1" applyAlignment="1">
      <alignment horizontal="right" vertical="center" wrapText="1"/>
    </xf>
    <xf numFmtId="171" fontId="301" fillId="140" borderId="387" xfId="139" applyNumberFormat="1" applyFont="1" applyFill="1" applyBorder="1" applyAlignment="1" applyProtection="1">
      <alignment horizontal="right" vertical="center" wrapText="1"/>
    </xf>
    <xf numFmtId="174" fontId="208" fillId="140" borderId="387" xfId="40" applyNumberFormat="1" applyFont="1" applyFill="1" applyBorder="1" applyAlignment="1">
      <alignment horizontal="right" vertical="center" wrapText="1"/>
    </xf>
    <xf numFmtId="0" fontId="209" fillId="13" borderId="440" xfId="40" applyFont="1" applyFill="1" applyBorder="1" applyAlignment="1">
      <alignment horizontal="center" vertical="center" wrapText="1"/>
    </xf>
    <xf numFmtId="178" fontId="301" fillId="140" borderId="387" xfId="139" applyNumberFormat="1" applyFont="1" applyFill="1" applyBorder="1" applyAlignment="1" applyProtection="1">
      <alignment horizontal="right" vertical="center" wrapText="1"/>
      <protection locked="0"/>
    </xf>
    <xf numFmtId="4" fontId="210" fillId="140" borderId="387" xfId="139" applyNumberFormat="1" applyFont="1" applyFill="1" applyBorder="1" applyAlignment="1" applyProtection="1">
      <alignment horizontal="right" vertical="center" wrapText="1"/>
    </xf>
    <xf numFmtId="174" fontId="208" fillId="140" borderId="390" xfId="40" applyNumberFormat="1" applyFont="1" applyFill="1" applyBorder="1" applyAlignment="1">
      <alignment horizontal="right" vertical="center" wrapText="1"/>
    </xf>
    <xf numFmtId="0" fontId="385" fillId="128" borderId="26" xfId="40" applyFont="1" applyFill="1" applyBorder="1" applyAlignment="1">
      <alignment horizontal="center" vertical="center" wrapText="1"/>
    </xf>
    <xf numFmtId="0" fontId="206" fillId="140" borderId="26" xfId="40" applyFont="1" applyFill="1" applyBorder="1" applyAlignment="1">
      <alignment horizontal="center" vertical="center" wrapText="1"/>
    </xf>
    <xf numFmtId="49" fontId="35" fillId="128" borderId="31" xfId="39" applyNumberFormat="1" applyFont="1" applyFill="1" applyBorder="1" applyAlignment="1" applyProtection="1">
      <alignment horizontal="right" vertical="center" wrapText="1"/>
      <protection locked="0"/>
    </xf>
    <xf numFmtId="0" fontId="300" fillId="140" borderId="31" xfId="0" applyFont="1" applyFill="1" applyBorder="1"/>
    <xf numFmtId="3" fontId="35" fillId="128" borderId="387" xfId="40" applyNumberFormat="1" applyFont="1" applyFill="1" applyBorder="1" applyAlignment="1" applyProtection="1">
      <alignment vertical="center" wrapText="1"/>
      <protection locked="0"/>
    </xf>
    <xf numFmtId="0" fontId="296" fillId="140" borderId="387" xfId="39" applyFont="1" applyFill="1" applyBorder="1" applyAlignment="1">
      <alignment horizontal="center" vertical="center" wrapText="1"/>
    </xf>
    <xf numFmtId="0" fontId="296" fillId="140" borderId="387" xfId="40" applyFont="1" applyFill="1" applyBorder="1" applyAlignment="1">
      <alignment horizontal="center" vertical="center" wrapText="1"/>
    </xf>
    <xf numFmtId="3" fontId="35" fillId="128" borderId="390" xfId="40" applyNumberFormat="1" applyFont="1" applyFill="1" applyBorder="1" applyAlignment="1" applyProtection="1">
      <alignment horizontal="right" vertical="center" wrapText="1"/>
      <protection locked="0"/>
    </xf>
    <xf numFmtId="0" fontId="296" fillId="140" borderId="390" xfId="39" applyFont="1" applyFill="1" applyBorder="1" applyAlignment="1">
      <alignment horizontal="center" vertical="center" wrapText="1"/>
    </xf>
    <xf numFmtId="3" fontId="301" fillId="142" borderId="31" xfId="139" applyNumberFormat="1" applyFont="1" applyFill="1" applyBorder="1" applyAlignment="1" applyProtection="1">
      <alignment horizontal="right" vertical="center" wrapText="1"/>
      <protection locked="0"/>
    </xf>
    <xf numFmtId="0" fontId="296" fillId="140" borderId="31" xfId="39" applyFont="1" applyFill="1" applyBorder="1" applyAlignment="1">
      <alignment horizontal="center" vertical="center" wrapText="1"/>
    </xf>
    <xf numFmtId="3" fontId="301" fillId="142" borderId="387" xfId="139" applyNumberFormat="1" applyFont="1" applyFill="1" applyBorder="1" applyAlignment="1" applyProtection="1">
      <alignment horizontal="right" vertical="center" wrapText="1"/>
      <protection locked="0"/>
    </xf>
    <xf numFmtId="49" fontId="208" fillId="142" borderId="387" xfId="39" quotePrefix="1" applyNumberFormat="1" applyFont="1" applyFill="1" applyBorder="1" applyAlignment="1">
      <alignment horizontal="right" vertical="center" wrapText="1"/>
    </xf>
    <xf numFmtId="49" fontId="210" fillId="142" borderId="387" xfId="139" applyNumberFormat="1" applyFont="1" applyFill="1" applyBorder="1" applyAlignment="1" applyProtection="1">
      <alignment horizontal="right" vertical="center" wrapText="1"/>
      <protection locked="0"/>
    </xf>
    <xf numFmtId="49" fontId="35" fillId="128" borderId="390" xfId="39" applyNumberFormat="1" applyFont="1" applyFill="1" applyBorder="1" applyAlignment="1" applyProtection="1">
      <alignment horizontal="right" vertical="center" wrapText="1"/>
      <protection locked="0"/>
    </xf>
    <xf numFmtId="0" fontId="296" fillId="140" borderId="390" xfId="40" applyFont="1" applyFill="1" applyBorder="1" applyAlignment="1">
      <alignment horizontal="center" vertical="center" wrapText="1"/>
    </xf>
    <xf numFmtId="3" fontId="35" fillId="128" borderId="31" xfId="40" applyNumberFormat="1" applyFont="1" applyFill="1" applyBorder="1" applyAlignment="1" applyProtection="1">
      <alignment horizontal="right" vertical="center" wrapText="1"/>
      <protection locked="0"/>
    </xf>
    <xf numFmtId="3" fontId="35" fillId="128" borderId="387" xfId="40" applyNumberFormat="1" applyFont="1" applyFill="1" applyBorder="1" applyAlignment="1" applyProtection="1">
      <alignment horizontal="right" vertical="center" wrapText="1"/>
      <protection locked="0"/>
    </xf>
    <xf numFmtId="3" fontId="35" fillId="95" borderId="388" xfId="40" applyNumberFormat="1" applyFont="1" applyFill="1" applyBorder="1" applyAlignment="1" applyProtection="1">
      <alignment horizontal="right" vertical="center" wrapText="1"/>
      <protection locked="0"/>
    </xf>
    <xf numFmtId="0" fontId="208" fillId="3" borderId="436" xfId="0" applyFont="1" applyFill="1" applyBorder="1" applyAlignment="1">
      <alignment horizontal="center" vertical="center" wrapText="1"/>
    </xf>
    <xf numFmtId="181" fontId="208" fillId="128" borderId="387" xfId="40" applyNumberFormat="1" applyFont="1" applyFill="1" applyBorder="1" applyAlignment="1">
      <alignment horizontal="right" vertical="center" wrapText="1"/>
    </xf>
    <xf numFmtId="0" fontId="206" fillId="3" borderId="436" xfId="40" applyFont="1" applyFill="1" applyBorder="1" applyAlignment="1">
      <alignment horizontal="center" vertical="center" wrapText="1"/>
    </xf>
    <xf numFmtId="10" fontId="206" fillId="128" borderId="387" xfId="32" applyNumberFormat="1" applyFont="1" applyFill="1" applyBorder="1" applyAlignment="1" applyProtection="1">
      <alignment horizontal="right" vertical="center" wrapText="1"/>
    </xf>
    <xf numFmtId="0" fontId="208" fillId="3" borderId="387" xfId="0" applyFont="1" applyFill="1" applyBorder="1" applyAlignment="1">
      <alignment horizontal="center" vertical="center"/>
    </xf>
    <xf numFmtId="49" fontId="208" fillId="128" borderId="387" xfId="40" applyNumberFormat="1" applyFont="1" applyFill="1" applyBorder="1" applyAlignment="1">
      <alignment horizontal="right" vertical="center" wrapText="1"/>
    </xf>
    <xf numFmtId="3" fontId="208" fillId="128" borderId="387" xfId="40" applyNumberFormat="1" applyFont="1" applyFill="1" applyBorder="1" applyAlignment="1">
      <alignment horizontal="right" vertical="center" wrapText="1"/>
    </xf>
    <xf numFmtId="0" fontId="0" fillId="3" borderId="436" xfId="0" applyFill="1" applyBorder="1" applyAlignment="1">
      <alignment horizontal="center" vertical="center"/>
    </xf>
    <xf numFmtId="49" fontId="35" fillId="128" borderId="387" xfId="40" applyNumberFormat="1" applyFont="1" applyFill="1" applyBorder="1" applyAlignment="1" applyProtection="1">
      <alignment horizontal="right" vertical="center" wrapText="1"/>
      <protection locked="0"/>
    </xf>
    <xf numFmtId="0" fontId="322" fillId="3" borderId="436" xfId="41" applyFont="1" applyFill="1" applyBorder="1" applyAlignment="1">
      <alignment horizontal="center" vertical="center" wrapText="1"/>
    </xf>
    <xf numFmtId="3" fontId="62" fillId="128" borderId="387" xfId="107" applyNumberFormat="1" applyFont="1" applyFill="1" applyBorder="1" applyAlignment="1" applyProtection="1">
      <alignment vertical="center" wrapText="1"/>
    </xf>
    <xf numFmtId="10" fontId="18" fillId="128" borderId="387" xfId="32" applyNumberFormat="1" applyFont="1" applyFill="1" applyBorder="1" applyAlignment="1" applyProtection="1">
      <alignment horizontal="right" vertical="center"/>
    </xf>
    <xf numFmtId="0" fontId="322" fillId="3" borderId="438" xfId="41" applyFont="1" applyFill="1" applyBorder="1" applyAlignment="1">
      <alignment horizontal="center" vertical="center" wrapText="1"/>
    </xf>
    <xf numFmtId="3" fontId="18" fillId="128" borderId="387" xfId="0" applyNumberFormat="1" applyFont="1" applyFill="1" applyBorder="1" applyAlignment="1" applyProtection="1">
      <alignment horizontal="right" vertical="center"/>
      <protection locked="0"/>
    </xf>
    <xf numFmtId="3" fontId="35" fillId="95" borderId="388" xfId="40" applyNumberFormat="1" applyFont="1" applyFill="1" applyBorder="1" applyAlignment="1" applyProtection="1">
      <alignment vertical="center" wrapText="1"/>
      <protection locked="0"/>
    </xf>
    <xf numFmtId="0" fontId="35" fillId="3" borderId="376" xfId="40" applyFont="1" applyFill="1" applyBorder="1" applyAlignment="1">
      <alignment horizontal="center" vertical="center" wrapText="1"/>
    </xf>
    <xf numFmtId="0" fontId="35" fillId="3" borderId="368" xfId="0" applyFont="1" applyFill="1" applyBorder="1" applyAlignment="1">
      <alignment vertical="center" wrapText="1"/>
    </xf>
    <xf numFmtId="0" fontId="35" fillId="3" borderId="381" xfId="0" applyFont="1" applyFill="1" applyBorder="1" applyAlignment="1">
      <alignment horizontal="center" vertical="center" wrapText="1"/>
    </xf>
    <xf numFmtId="0" fontId="208" fillId="3" borderId="436" xfId="0" quotePrefix="1" applyFont="1" applyFill="1" applyBorder="1" applyAlignment="1">
      <alignment horizontal="center" vertical="center" wrapText="1"/>
    </xf>
    <xf numFmtId="182" fontId="18" fillId="128" borderId="387" xfId="0" applyNumberFormat="1" applyFont="1" applyFill="1" applyBorder="1" applyAlignment="1" applyProtection="1">
      <alignment horizontal="right" vertical="center"/>
      <protection locked="0"/>
    </xf>
    <xf numFmtId="182" fontId="18" fillId="27" borderId="388" xfId="0" applyNumberFormat="1" applyFont="1" applyFill="1" applyBorder="1" applyAlignment="1">
      <alignment horizontal="right" vertical="center"/>
    </xf>
    <xf numFmtId="0" fontId="208" fillId="3" borderId="390" xfId="0" applyFont="1" applyFill="1" applyBorder="1" applyAlignment="1">
      <alignment horizontal="center" vertical="center"/>
    </xf>
    <xf numFmtId="0" fontId="208" fillId="3" borderId="391" xfId="0" applyFont="1" applyFill="1" applyBorder="1" applyAlignment="1">
      <alignment vertical="center" wrapText="1"/>
    </xf>
    <xf numFmtId="0" fontId="208" fillId="3" borderId="392" xfId="0" quotePrefix="1" applyFont="1" applyFill="1" applyBorder="1" applyAlignment="1">
      <alignment horizontal="center" vertical="center" wrapText="1"/>
    </xf>
    <xf numFmtId="176" fontId="208" fillId="128" borderId="390" xfId="0" applyNumberFormat="1" applyFont="1" applyFill="1" applyBorder="1" applyAlignment="1" applyProtection="1">
      <alignment horizontal="right" vertical="center"/>
      <protection locked="0"/>
    </xf>
    <xf numFmtId="176" fontId="18" fillId="27" borderId="393" xfId="0" applyNumberFormat="1" applyFont="1" applyFill="1" applyBorder="1" applyAlignment="1">
      <alignment horizontal="right" vertical="center"/>
    </xf>
    <xf numFmtId="3" fontId="35" fillId="128" borderId="314" xfId="40" applyNumberFormat="1" applyFont="1" applyFill="1" applyBorder="1" applyAlignment="1">
      <alignment horizontal="right" vertical="center" wrapText="1"/>
    </xf>
    <xf numFmtId="3" fontId="35" fillId="27" borderId="209" xfId="40" applyNumberFormat="1" applyFont="1" applyFill="1" applyBorder="1" applyAlignment="1">
      <alignment horizontal="right" vertical="center" wrapText="1"/>
    </xf>
    <xf numFmtId="0" fontId="296" fillId="140" borderId="419" xfId="39" applyFont="1" applyFill="1" applyBorder="1" applyAlignment="1">
      <alignment horizontal="center" vertical="center" wrapText="1"/>
    </xf>
    <xf numFmtId="3" fontId="35" fillId="128" borderId="435" xfId="40" applyNumberFormat="1" applyFont="1" applyFill="1" applyBorder="1" applyAlignment="1">
      <alignment horizontal="right" vertical="center" wrapText="1"/>
    </xf>
    <xf numFmtId="3" fontId="35" fillId="27" borderId="436" xfId="40" applyNumberFormat="1" applyFont="1" applyFill="1" applyBorder="1" applyAlignment="1">
      <alignment horizontal="right" vertical="center" wrapText="1"/>
    </xf>
    <xf numFmtId="0" fontId="296" fillId="140" borderId="441" xfId="39" applyFont="1" applyFill="1" applyBorder="1" applyAlignment="1">
      <alignment horizontal="center" vertical="center" wrapText="1"/>
    </xf>
    <xf numFmtId="49" fontId="208" fillId="128" borderId="435" xfId="39" quotePrefix="1" applyNumberFormat="1" applyFont="1" applyFill="1" applyBorder="1" applyAlignment="1">
      <alignment horizontal="right" vertical="center" wrapText="1"/>
    </xf>
    <xf numFmtId="49" fontId="208" fillId="27" borderId="436" xfId="39" quotePrefix="1" applyNumberFormat="1" applyFont="1" applyFill="1" applyBorder="1" applyAlignment="1">
      <alignment horizontal="right" vertical="center" wrapText="1"/>
    </xf>
    <xf numFmtId="49" fontId="210" fillId="142" borderId="432" xfId="139" applyNumberFormat="1" applyFont="1" applyFill="1" applyBorder="1" applyAlignment="1" applyProtection="1">
      <alignment horizontal="right" vertical="center" wrapText="1"/>
      <protection locked="0"/>
    </xf>
    <xf numFmtId="49" fontId="210" fillId="95" borderId="438" xfId="139" applyNumberFormat="1" applyFont="1" applyFill="1" applyBorder="1" applyAlignment="1" applyProtection="1">
      <alignment horizontal="right" vertical="center" wrapText="1"/>
      <protection locked="0"/>
    </xf>
    <xf numFmtId="0" fontId="296" fillId="140" borderId="416" xfId="39" applyFont="1" applyFill="1" applyBorder="1" applyAlignment="1">
      <alignment horizontal="center" vertical="center" wrapText="1"/>
    </xf>
    <xf numFmtId="0" fontId="301" fillId="3" borderId="405" xfId="39" applyFont="1" applyFill="1" applyBorder="1" applyAlignment="1">
      <alignment horizontal="center" vertical="center" wrapText="1"/>
    </xf>
    <xf numFmtId="0" fontId="35" fillId="3" borderId="406" xfId="40" applyFont="1" applyFill="1" applyBorder="1" applyAlignment="1">
      <alignment vertical="center" wrapText="1"/>
    </xf>
    <xf numFmtId="0" fontId="35" fillId="3" borderId="410" xfId="39" applyFont="1" applyFill="1" applyBorder="1" applyAlignment="1">
      <alignment horizontal="center" vertical="center" wrapText="1"/>
    </xf>
    <xf numFmtId="49" fontId="35" fillId="142" borderId="432" xfId="39" applyNumberFormat="1" applyFont="1" applyFill="1" applyBorder="1" applyAlignment="1" applyProtection="1">
      <alignment horizontal="right" vertical="center" wrapText="1"/>
      <protection locked="0"/>
    </xf>
    <xf numFmtId="49" fontId="35" fillId="29" borderId="438" xfId="39" applyNumberFormat="1" applyFont="1" applyFill="1" applyBorder="1" applyAlignment="1" applyProtection="1">
      <alignment horizontal="right" vertical="center" wrapText="1"/>
      <protection locked="0"/>
    </xf>
    <xf numFmtId="0" fontId="296" fillId="140" borderId="416" xfId="40" applyFont="1" applyFill="1" applyBorder="1" applyAlignment="1">
      <alignment horizontal="center" vertical="center" wrapText="1"/>
    </xf>
    <xf numFmtId="0" fontId="296" fillId="93" borderId="410" xfId="40" applyFont="1" applyFill="1" applyBorder="1" applyAlignment="1">
      <alignment horizontal="center" vertical="center" wrapText="1"/>
    </xf>
    <xf numFmtId="0" fontId="35" fillId="63" borderId="387" xfId="39" applyFont="1" applyFill="1" applyBorder="1" applyAlignment="1">
      <alignment horizontal="center" vertical="center" wrapText="1"/>
    </xf>
    <xf numFmtId="0" fontId="208" fillId="3" borderId="388" xfId="39" quotePrefix="1" applyFont="1" applyFill="1" applyBorder="1" applyAlignment="1">
      <alignment horizontal="center" vertical="center" wrapText="1"/>
    </xf>
    <xf numFmtId="49" fontId="208" fillId="142" borderId="435" xfId="139" applyNumberFormat="1" applyFont="1" applyFill="1" applyBorder="1" applyAlignment="1" applyProtection="1">
      <alignment horizontal="right" vertical="center" wrapText="1"/>
      <protection locked="0"/>
    </xf>
    <xf numFmtId="49" fontId="35" fillId="95" borderId="436" xfId="139" applyNumberFormat="1" applyFont="1" applyFill="1" applyBorder="1" applyAlignment="1" applyProtection="1">
      <alignment horizontal="right" vertical="center" wrapText="1"/>
      <protection locked="0"/>
    </xf>
    <xf numFmtId="0" fontId="296" fillId="140" borderId="436" xfId="40" applyFont="1" applyFill="1" applyBorder="1" applyAlignment="1">
      <alignment horizontal="center" vertical="center" wrapText="1"/>
    </xf>
    <xf numFmtId="49" fontId="208" fillId="142" borderId="435" xfId="39" applyNumberFormat="1" applyFont="1" applyFill="1" applyBorder="1" applyAlignment="1" applyProtection="1">
      <alignment horizontal="right" vertical="center" wrapText="1"/>
      <protection locked="0"/>
    </xf>
    <xf numFmtId="49" fontId="35" fillId="95" borderId="436" xfId="39" applyNumberFormat="1" applyFont="1" applyFill="1" applyBorder="1" applyAlignment="1" applyProtection="1">
      <alignment horizontal="right" vertical="center" wrapText="1"/>
      <protection locked="0"/>
    </xf>
    <xf numFmtId="49" fontId="208" fillId="142" borderId="415" xfId="39" applyNumberFormat="1" applyFont="1" applyFill="1" applyBorder="1" applyAlignment="1" applyProtection="1">
      <alignment horizontal="right" vertical="center" wrapText="1"/>
      <protection locked="0"/>
    </xf>
    <xf numFmtId="49" fontId="35" fillId="95" borderId="442" xfId="39" applyNumberFormat="1" applyFont="1" applyFill="1" applyBorder="1" applyAlignment="1" applyProtection="1">
      <alignment horizontal="right" vertical="center" wrapText="1"/>
      <protection locked="0"/>
    </xf>
    <xf numFmtId="0" fontId="296" fillId="140" borderId="7" xfId="40" applyFont="1" applyFill="1" applyBorder="1" applyAlignment="1">
      <alignment horizontal="center" vertical="center" wrapText="1"/>
    </xf>
    <xf numFmtId="0" fontId="315" fillId="0" borderId="395" xfId="40" applyFont="1" applyBorder="1" applyAlignment="1">
      <alignment horizontal="center" vertical="center" wrapText="1"/>
    </xf>
    <xf numFmtId="0" fontId="296" fillId="140" borderId="441" xfId="40" applyFont="1" applyFill="1" applyBorder="1" applyAlignment="1">
      <alignment horizontal="center" vertical="center" wrapText="1"/>
    </xf>
    <xf numFmtId="0" fontId="284" fillId="3" borderId="400" xfId="43" quotePrefix="1" applyFont="1" applyFill="1" applyBorder="1" applyAlignment="1">
      <alignment horizontal="left" vertical="center" wrapText="1" indent="5"/>
    </xf>
    <xf numFmtId="0" fontId="305" fillId="3" borderId="436" xfId="0" applyFont="1" applyFill="1" applyBorder="1" applyAlignment="1">
      <alignment horizontal="center" vertical="center" wrapText="1"/>
    </xf>
    <xf numFmtId="0" fontId="208" fillId="128" borderId="387" xfId="40" applyFont="1" applyFill="1" applyBorder="1" applyAlignment="1">
      <alignment horizontal="right" vertical="center" wrapText="1"/>
    </xf>
    <xf numFmtId="10" fontId="208" fillId="128" borderId="387" xfId="32" applyNumberFormat="1" applyFont="1" applyFill="1" applyBorder="1" applyAlignment="1" applyProtection="1">
      <alignment horizontal="right" vertical="center" wrapText="1"/>
    </xf>
    <xf numFmtId="0" fontId="292" fillId="3" borderId="436" xfId="0" applyFont="1" applyFill="1" applyBorder="1" applyAlignment="1">
      <alignment horizontal="center" vertical="center" wrapText="1"/>
    </xf>
    <xf numFmtId="0" fontId="209" fillId="0" borderId="395" xfId="0" applyFont="1" applyBorder="1" applyAlignment="1">
      <alignment horizontal="center" vertical="center" wrapText="1"/>
    </xf>
    <xf numFmtId="0" fontId="305" fillId="3" borderId="406" xfId="0" applyFont="1" applyFill="1" applyBorder="1" applyAlignment="1">
      <alignment vertical="center" wrapText="1"/>
    </xf>
    <xf numFmtId="0" fontId="35" fillId="3" borderId="438" xfId="0" applyFont="1" applyFill="1" applyBorder="1" applyAlignment="1">
      <alignment horizontal="center" vertical="center" wrapText="1"/>
    </xf>
    <xf numFmtId="0" fontId="209" fillId="0" borderId="411" xfId="0" applyFont="1" applyBorder="1" applyAlignment="1">
      <alignment horizontal="center" vertical="center" wrapText="1"/>
    </xf>
    <xf numFmtId="10" fontId="208" fillId="128" borderId="387" xfId="32" applyNumberFormat="1" applyFont="1" applyFill="1" applyBorder="1" applyAlignment="1" applyProtection="1">
      <alignment horizontal="right" vertical="center"/>
      <protection locked="0"/>
    </xf>
    <xf numFmtId="10" fontId="208" fillId="27" borderId="388" xfId="32" applyNumberFormat="1" applyFont="1" applyFill="1" applyBorder="1" applyAlignment="1" applyProtection="1">
      <alignment horizontal="right" vertical="center"/>
    </xf>
    <xf numFmtId="3" fontId="35" fillId="142" borderId="387" xfId="139" applyNumberFormat="1" applyFont="1" applyFill="1" applyBorder="1" applyAlignment="1" applyProtection="1">
      <alignment horizontal="right" vertical="center" wrapText="1"/>
      <protection locked="0"/>
    </xf>
    <xf numFmtId="0" fontId="35" fillId="3" borderId="400" xfId="39" applyFont="1" applyFill="1" applyBorder="1" applyAlignment="1">
      <alignment horizontal="center" vertical="center" wrapText="1"/>
    </xf>
    <xf numFmtId="3" fontId="35" fillId="142" borderId="400" xfId="139" applyNumberFormat="1" applyFont="1" applyFill="1" applyBorder="1" applyAlignment="1" applyProtection="1">
      <alignment horizontal="right" vertical="center" wrapText="1"/>
      <protection locked="0"/>
    </xf>
    <xf numFmtId="0" fontId="296" fillId="140" borderId="443" xfId="39" applyFont="1" applyFill="1" applyBorder="1" applyAlignment="1">
      <alignment horizontal="center" vertical="center" wrapText="1"/>
    </xf>
    <xf numFmtId="0" fontId="305" fillId="3" borderId="436" xfId="39" applyFont="1" applyFill="1" applyBorder="1" applyAlignment="1">
      <alignment horizontal="center" vertical="center" wrapText="1"/>
    </xf>
    <xf numFmtId="0" fontId="362" fillId="0" borderId="395" xfId="39" applyFont="1" applyBorder="1" applyAlignment="1">
      <alignment horizontal="center" vertical="center" wrapText="1"/>
    </xf>
    <xf numFmtId="0" fontId="305" fillId="3" borderId="400" xfId="39" applyFont="1" applyFill="1" applyBorder="1" applyAlignment="1">
      <alignment horizontal="center" vertical="center" wrapText="1"/>
    </xf>
    <xf numFmtId="0" fontId="305" fillId="3" borderId="406" xfId="39" applyFont="1" applyFill="1" applyBorder="1" applyAlignment="1">
      <alignment horizontal="center" vertical="center" wrapText="1"/>
    </xf>
    <xf numFmtId="3" fontId="35" fillId="142" borderId="406" xfId="139" applyNumberFormat="1" applyFont="1" applyFill="1" applyBorder="1" applyAlignment="1" applyProtection="1">
      <alignment horizontal="right" vertical="center" wrapText="1"/>
      <protection locked="0"/>
    </xf>
    <xf numFmtId="43" fontId="208" fillId="27" borderId="410" xfId="139" applyFont="1" applyFill="1" applyBorder="1" applyAlignment="1" applyProtection="1">
      <alignment horizontal="right" vertical="center"/>
    </xf>
    <xf numFmtId="0" fontId="362" fillId="0" borderId="411" xfId="39" applyFont="1" applyBorder="1" applyAlignment="1">
      <alignment horizontal="center" vertical="center" wrapText="1"/>
    </xf>
    <xf numFmtId="0" fontId="206" fillId="0" borderId="0" xfId="40" applyFont="1" applyAlignment="1">
      <alignment horizontal="center" vertical="center" wrapText="1"/>
    </xf>
    <xf numFmtId="0" fontId="206" fillId="3" borderId="93" xfId="40" applyFont="1" applyFill="1" applyBorder="1" applyAlignment="1">
      <alignment horizontal="center" vertical="center" wrapText="1"/>
    </xf>
    <xf numFmtId="0" fontId="300" fillId="0" borderId="0" xfId="0" applyFont="1" applyAlignment="1">
      <alignment horizontal="center" vertical="center"/>
    </xf>
    <xf numFmtId="0" fontId="296" fillId="0" borderId="0" xfId="39" applyFont="1" applyAlignment="1">
      <alignment horizontal="center" vertical="center" wrapText="1"/>
    </xf>
    <xf numFmtId="0" fontId="296" fillId="0" borderId="315" xfId="39" applyFont="1" applyBorder="1" applyAlignment="1">
      <alignment horizontal="center" vertical="center" wrapText="1"/>
    </xf>
    <xf numFmtId="0" fontId="29" fillId="3" borderId="436" xfId="40" applyFont="1" applyFill="1" applyBorder="1" applyAlignment="1">
      <alignment horizontal="center" vertical="center" wrapText="1"/>
    </xf>
    <xf numFmtId="0" fontId="296" fillId="0" borderId="395" xfId="39" applyFont="1" applyBorder="1" applyAlignment="1">
      <alignment horizontal="center" vertical="center" wrapText="1"/>
    </xf>
    <xf numFmtId="0" fontId="300" fillId="0" borderId="0" xfId="40" applyFont="1" applyAlignment="1">
      <alignment horizontal="center" vertical="center" wrapText="1"/>
    </xf>
    <xf numFmtId="0" fontId="300" fillId="93" borderId="380" xfId="40" applyFont="1" applyFill="1" applyBorder="1" applyAlignment="1">
      <alignment horizontal="center" vertical="center" wrapText="1"/>
    </xf>
    <xf numFmtId="3" fontId="35" fillId="140" borderId="31" xfId="40" applyNumberFormat="1" applyFont="1" applyFill="1" applyBorder="1" applyAlignment="1">
      <alignment vertical="center" wrapText="1"/>
    </xf>
    <xf numFmtId="0" fontId="296" fillId="93" borderId="315" xfId="39" applyFont="1" applyFill="1" applyBorder="1" applyAlignment="1">
      <alignment horizontal="center" vertical="center" wrapText="1"/>
    </xf>
    <xf numFmtId="3" fontId="207" fillId="140" borderId="387" xfId="32" applyNumberFormat="1" applyFont="1" applyFill="1" applyBorder="1" applyAlignment="1" applyProtection="1">
      <alignment vertical="center"/>
    </xf>
    <xf numFmtId="0" fontId="296" fillId="93" borderId="395" xfId="39" applyFont="1" applyFill="1" applyBorder="1" applyAlignment="1">
      <alignment horizontal="center" vertical="center" wrapText="1"/>
    </xf>
    <xf numFmtId="0" fontId="35" fillId="63" borderId="436" xfId="40" applyFont="1" applyFill="1" applyBorder="1" applyAlignment="1">
      <alignment horizontal="center" vertical="center" wrapText="1"/>
    </xf>
    <xf numFmtId="0" fontId="296" fillId="0" borderId="0" xfId="40" applyFont="1" applyAlignment="1">
      <alignment horizontal="center" vertical="center" wrapText="1"/>
    </xf>
    <xf numFmtId="0" fontId="296" fillId="0" borderId="395" xfId="40" applyFont="1" applyBorder="1" applyAlignment="1">
      <alignment horizontal="center" vertical="center" wrapText="1"/>
    </xf>
    <xf numFmtId="0" fontId="296" fillId="93" borderId="395" xfId="40" applyFont="1" applyFill="1" applyBorder="1" applyAlignment="1">
      <alignment horizontal="center" vertical="center" wrapText="1"/>
    </xf>
    <xf numFmtId="49" fontId="35" fillId="140" borderId="31" xfId="40" applyNumberFormat="1" applyFont="1" applyFill="1" applyBorder="1" applyAlignment="1">
      <alignment horizontal="right" vertical="center" wrapText="1"/>
    </xf>
    <xf numFmtId="49" fontId="35" fillId="140" borderId="387" xfId="40" applyNumberFormat="1" applyFont="1" applyFill="1" applyBorder="1" applyAlignment="1">
      <alignment horizontal="right" vertical="center" wrapText="1"/>
    </xf>
    <xf numFmtId="49" fontId="35" fillId="140" borderId="390" xfId="40" applyNumberFormat="1" applyFont="1" applyFill="1" applyBorder="1" applyAlignment="1">
      <alignment horizontal="right" vertical="center" wrapText="1"/>
    </xf>
    <xf numFmtId="0" fontId="296" fillId="0" borderId="380" xfId="39" applyFont="1" applyBorder="1" applyAlignment="1">
      <alignment horizontal="center" vertical="center" wrapText="1"/>
    </xf>
    <xf numFmtId="0" fontId="35" fillId="3" borderId="438" xfId="40" applyFont="1" applyFill="1" applyBorder="1" applyAlignment="1">
      <alignment horizontal="center" vertical="center" wrapText="1"/>
    </xf>
    <xf numFmtId="4" fontId="35" fillId="140" borderId="387" xfId="40" applyNumberFormat="1" applyFont="1" applyFill="1" applyBorder="1" applyAlignment="1" applyProtection="1">
      <alignment horizontal="right" vertical="center" wrapText="1"/>
      <protection locked="0"/>
    </xf>
    <xf numFmtId="0" fontId="209" fillId="13" borderId="440" xfId="0" applyFont="1" applyFill="1" applyBorder="1" applyAlignment="1">
      <alignment horizontal="center" vertical="center" wrapText="1"/>
    </xf>
    <xf numFmtId="4" fontId="35" fillId="140" borderId="387" xfId="40" applyNumberFormat="1" applyFont="1" applyFill="1" applyBorder="1" applyAlignment="1" applyProtection="1">
      <alignment vertical="center" wrapText="1"/>
      <protection locked="0"/>
    </xf>
    <xf numFmtId="3" fontId="35" fillId="140" borderId="387" xfId="40" applyNumberFormat="1" applyFont="1" applyFill="1" applyBorder="1" applyAlignment="1">
      <alignment horizontal="right" vertical="center" wrapText="1"/>
    </xf>
    <xf numFmtId="0" fontId="300" fillId="0" borderId="0" xfId="40" applyFont="1" applyAlignment="1">
      <alignment vertical="center" wrapText="1"/>
    </xf>
    <xf numFmtId="171" fontId="35" fillId="140" borderId="31" xfId="40" applyNumberFormat="1" applyFont="1" applyFill="1" applyBorder="1" applyAlignment="1">
      <alignment horizontal="right" vertical="center" wrapText="1"/>
    </xf>
    <xf numFmtId="0" fontId="300" fillId="93" borderId="395" xfId="40" applyFont="1" applyFill="1" applyBorder="1" applyAlignment="1">
      <alignment horizontal="center" vertical="center" wrapText="1"/>
    </xf>
    <xf numFmtId="0" fontId="296" fillId="0" borderId="0" xfId="40" quotePrefix="1" applyFont="1" applyAlignment="1">
      <alignment horizontal="center" vertical="center" wrapText="1"/>
    </xf>
    <xf numFmtId="0" fontId="21" fillId="0" borderId="0" xfId="0" applyFont="1" applyAlignment="1">
      <alignment horizontal="center" vertical="center" wrapText="1"/>
    </xf>
    <xf numFmtId="0" fontId="35" fillId="3" borderId="436" xfId="43" applyFont="1" applyFill="1" applyBorder="1" applyAlignment="1">
      <alignment horizontal="center" vertical="center" wrapText="1"/>
    </xf>
    <xf numFmtId="0" fontId="209" fillId="0" borderId="440" xfId="0" applyFont="1" applyBorder="1"/>
    <xf numFmtId="2" fontId="208" fillId="0" borderId="0" xfId="40" applyNumberFormat="1" applyFont="1" applyAlignment="1">
      <alignment horizontal="right" vertical="center" wrapText="1"/>
    </xf>
    <xf numFmtId="0" fontId="206" fillId="0" borderId="0" xfId="40" applyFont="1" applyAlignment="1">
      <alignment vertical="center" wrapText="1"/>
    </xf>
    <xf numFmtId="3" fontId="35" fillId="140" borderId="31" xfId="40" applyNumberFormat="1" applyFont="1" applyFill="1" applyBorder="1" applyAlignment="1">
      <alignment horizontal="right" vertical="center" wrapText="1"/>
    </xf>
    <xf numFmtId="0" fontId="296" fillId="93" borderId="315" xfId="40" quotePrefix="1" applyFont="1" applyFill="1" applyBorder="1" applyAlignment="1">
      <alignment horizontal="center" vertical="center" wrapText="1"/>
    </xf>
    <xf numFmtId="0" fontId="296" fillId="93" borderId="395" xfId="40" quotePrefix="1" applyFont="1" applyFill="1" applyBorder="1" applyAlignment="1">
      <alignment horizontal="center" vertical="center" wrapText="1"/>
    </xf>
    <xf numFmtId="0" fontId="366" fillId="3" borderId="400" xfId="0" applyFont="1" applyFill="1" applyBorder="1" applyAlignment="1">
      <alignment horizontal="left" vertical="center" wrapText="1" indent="2"/>
    </xf>
    <xf numFmtId="3" fontId="35" fillId="140" borderId="390" xfId="40" applyNumberFormat="1" applyFont="1" applyFill="1" applyBorder="1" applyAlignment="1" applyProtection="1">
      <alignment horizontal="right" vertical="center" wrapText="1"/>
      <protection locked="0"/>
    </xf>
    <xf numFmtId="0" fontId="292" fillId="33" borderId="25" xfId="40" applyFont="1" applyFill="1" applyBorder="1" applyAlignment="1">
      <alignment horizontal="center" vertical="center" wrapText="1"/>
    </xf>
    <xf numFmtId="0" fontId="35" fillId="3" borderId="387" xfId="40" applyFont="1" applyFill="1" applyBorder="1" applyAlignment="1">
      <alignment horizontal="left" vertical="center" wrapText="1"/>
    </xf>
    <xf numFmtId="3" fontId="35" fillId="29" borderId="400" xfId="0" applyNumberFormat="1" applyFont="1" applyFill="1" applyBorder="1" applyAlignment="1" applyProtection="1">
      <alignment horizontal="center" vertical="center"/>
      <protection locked="0"/>
    </xf>
    <xf numFmtId="3" fontId="0" fillId="29" borderId="400" xfId="0" applyNumberFormat="1" applyFill="1" applyBorder="1" applyAlignment="1" applyProtection="1">
      <alignment horizontal="center" vertical="center"/>
      <protection locked="0"/>
    </xf>
    <xf numFmtId="0" fontId="208" fillId="3" borderId="390" xfId="0" applyFont="1" applyFill="1" applyBorder="1"/>
    <xf numFmtId="0" fontId="385" fillId="141" borderId="26" xfId="40" applyFont="1" applyFill="1" applyBorder="1" applyAlignment="1">
      <alignment horizontal="center" vertical="center" wrapText="1"/>
    </xf>
    <xf numFmtId="0" fontId="385" fillId="92" borderId="2" xfId="40" applyFont="1" applyFill="1" applyBorder="1" applyAlignment="1">
      <alignment horizontal="center" vertical="center" wrapText="1"/>
    </xf>
    <xf numFmtId="0" fontId="206" fillId="141" borderId="26" xfId="40" applyFont="1" applyFill="1" applyBorder="1" applyAlignment="1">
      <alignment horizontal="center" vertical="center" wrapText="1"/>
    </xf>
    <xf numFmtId="49" fontId="35" fillId="141" borderId="387" xfId="39" applyNumberFormat="1" applyFont="1" applyFill="1" applyBorder="1" applyAlignment="1" applyProtection="1">
      <alignment horizontal="right" vertical="center" wrapText="1"/>
      <protection locked="0"/>
    </xf>
    <xf numFmtId="49" fontId="35" fillId="27" borderId="388" xfId="39" applyNumberFormat="1" applyFont="1" applyFill="1" applyBorder="1" applyAlignment="1">
      <alignment horizontal="right" vertical="center" wrapText="1"/>
    </xf>
    <xf numFmtId="0" fontId="35" fillId="3" borderId="388" xfId="40" quotePrefix="1" applyFont="1" applyFill="1" applyBorder="1" applyAlignment="1">
      <alignment horizontal="center" vertical="center" wrapText="1"/>
    </xf>
    <xf numFmtId="0" fontId="35" fillId="3" borderId="393" xfId="40" quotePrefix="1" applyFont="1" applyFill="1" applyBorder="1" applyAlignment="1">
      <alignment horizontal="center" vertical="center" wrapText="1"/>
    </xf>
    <xf numFmtId="49" fontId="35" fillId="141" borderId="390" xfId="39" applyNumberFormat="1" applyFont="1" applyFill="1" applyBorder="1" applyAlignment="1" applyProtection="1">
      <alignment horizontal="right" vertical="center" wrapText="1"/>
      <protection locked="0"/>
    </xf>
    <xf numFmtId="0" fontId="208" fillId="3" borderId="31" xfId="40" applyFont="1" applyFill="1" applyBorder="1" applyAlignment="1">
      <alignment horizontal="center" vertical="center" wrapText="1"/>
    </xf>
    <xf numFmtId="0" fontId="208" fillId="3" borderId="24" xfId="40" applyFont="1" applyFill="1" applyBorder="1" applyAlignment="1">
      <alignment vertical="center" wrapText="1"/>
    </xf>
    <xf numFmtId="0" fontId="208" fillId="3" borderId="23" xfId="39" applyFont="1" applyFill="1" applyBorder="1" applyAlignment="1">
      <alignment horizontal="center" vertical="center" wrapText="1"/>
    </xf>
    <xf numFmtId="49" fontId="208" fillId="141" borderId="314" xfId="39" applyNumberFormat="1" applyFont="1" applyFill="1" applyBorder="1" applyAlignment="1" applyProtection="1">
      <alignment horizontal="right" vertical="center" wrapText="1"/>
      <protection locked="0"/>
    </xf>
    <xf numFmtId="0" fontId="35" fillId="3" borderId="393" xfId="39" applyFont="1" applyFill="1" applyBorder="1" applyAlignment="1">
      <alignment horizontal="center" vertical="center" wrapText="1"/>
    </xf>
    <xf numFmtId="181" fontId="35" fillId="141" borderId="396" xfId="32" applyNumberFormat="1" applyFont="1" applyFill="1" applyBorder="1" applyAlignment="1" applyProtection="1">
      <alignment horizontal="right" vertical="center" wrapText="1"/>
    </xf>
    <xf numFmtId="0" fontId="18" fillId="0" borderId="0" xfId="0" applyFont="1" applyAlignment="1">
      <alignment vertical="center"/>
    </xf>
    <xf numFmtId="0" fontId="35" fillId="3" borderId="24" xfId="40" applyFont="1" applyFill="1" applyBorder="1" applyAlignment="1">
      <alignment horizontal="left" vertical="center" wrapText="1"/>
    </xf>
    <xf numFmtId="0" fontId="35" fillId="3" borderId="23" xfId="40" applyFont="1" applyFill="1" applyBorder="1" applyAlignment="1">
      <alignment horizontal="center" vertical="center" wrapText="1"/>
    </xf>
    <xf numFmtId="3" fontId="208" fillId="141" borderId="31" xfId="40" applyNumberFormat="1" applyFont="1" applyFill="1" applyBorder="1" applyAlignment="1" applyProtection="1">
      <alignment vertical="center" wrapText="1"/>
      <protection locked="0"/>
    </xf>
    <xf numFmtId="3" fontId="208" fillId="27" borderId="23" xfId="40" applyNumberFormat="1" applyFont="1" applyFill="1" applyBorder="1" applyAlignment="1">
      <alignment vertical="center" wrapText="1"/>
    </xf>
    <xf numFmtId="3" fontId="35" fillId="141" borderId="387" xfId="40" applyNumberFormat="1" applyFont="1" applyFill="1" applyBorder="1" applyAlignment="1" applyProtection="1">
      <alignment vertical="center" wrapText="1"/>
      <protection locked="0"/>
    </xf>
    <xf numFmtId="3" fontId="35" fillId="27" borderId="388" xfId="40" applyNumberFormat="1" applyFont="1" applyFill="1" applyBorder="1" applyAlignment="1" applyProtection="1">
      <alignment vertical="center" wrapText="1"/>
      <protection locked="0"/>
    </xf>
    <xf numFmtId="3" fontId="35" fillId="29" borderId="440" xfId="40" applyNumberFormat="1" applyFont="1" applyFill="1" applyBorder="1" applyAlignment="1" applyProtection="1">
      <alignment vertical="center" wrapText="1"/>
      <protection locked="0"/>
    </xf>
    <xf numFmtId="3" fontId="208" fillId="141" borderId="387" xfId="40" applyNumberFormat="1" applyFont="1" applyFill="1" applyBorder="1" applyAlignment="1">
      <alignment vertical="center" wrapText="1"/>
    </xf>
    <xf numFmtId="3" fontId="208" fillId="27" borderId="440" xfId="40" applyNumberFormat="1" applyFont="1" applyFill="1" applyBorder="1" applyAlignment="1">
      <alignment vertical="center" wrapText="1"/>
    </xf>
    <xf numFmtId="3" fontId="208" fillId="141" borderId="387" xfId="40" applyNumberFormat="1" applyFont="1" applyFill="1" applyBorder="1" applyAlignment="1" applyProtection="1">
      <alignment vertical="center" wrapText="1"/>
      <protection locked="0"/>
    </xf>
    <xf numFmtId="4" fontId="208" fillId="141" borderId="390" xfId="40" applyNumberFormat="1" applyFont="1" applyFill="1" applyBorder="1" applyAlignment="1">
      <alignment horizontal="right" vertical="center" wrapText="1"/>
    </xf>
    <xf numFmtId="4" fontId="208" fillId="27" borderId="393" xfId="40" applyNumberFormat="1" applyFont="1" applyFill="1" applyBorder="1" applyAlignment="1">
      <alignment horizontal="right" vertical="center" wrapText="1"/>
    </xf>
    <xf numFmtId="0" fontId="35" fillId="3" borderId="23" xfId="40" quotePrefix="1" applyFont="1" applyFill="1" applyBorder="1" applyAlignment="1">
      <alignment horizontal="center" vertical="center" wrapText="1"/>
    </xf>
    <xf numFmtId="49" fontId="35" fillId="141" borderId="31" xfId="39" applyNumberFormat="1" applyFont="1" applyFill="1" applyBorder="1" applyAlignment="1" applyProtection="1">
      <alignment horizontal="right" vertical="center" wrapText="1"/>
      <protection locked="0"/>
    </xf>
    <xf numFmtId="1" fontId="35" fillId="29" borderId="388" xfId="40" applyNumberFormat="1" applyFont="1" applyFill="1" applyBorder="1" applyAlignment="1" applyProtection="1">
      <alignment vertical="center" wrapText="1"/>
      <protection locked="0"/>
    </xf>
    <xf numFmtId="0" fontId="209" fillId="13" borderId="395" xfId="40" applyFont="1" applyFill="1" applyBorder="1" applyAlignment="1">
      <alignment horizontal="center" vertical="center" wrapText="1"/>
    </xf>
    <xf numFmtId="3" fontId="361" fillId="141" borderId="387" xfId="40" applyNumberFormat="1" applyFont="1" applyFill="1" applyBorder="1" applyAlignment="1" applyProtection="1">
      <alignment vertical="center" wrapText="1"/>
      <protection locked="0"/>
    </xf>
    <xf numFmtId="0" fontId="282" fillId="0" borderId="0" xfId="0" applyFont="1" applyAlignment="1">
      <alignment horizontal="center" vertical="center"/>
    </xf>
    <xf numFmtId="0" fontId="392" fillId="141" borderId="387" xfId="39" applyFont="1" applyFill="1" applyBorder="1" applyAlignment="1">
      <alignment horizontal="center" vertical="center" wrapText="1"/>
    </xf>
    <xf numFmtId="0" fontId="208" fillId="3" borderId="393" xfId="40" applyFont="1" applyFill="1" applyBorder="1" applyAlignment="1">
      <alignment horizontal="center" vertical="center" wrapText="1"/>
    </xf>
    <xf numFmtId="0" fontId="208" fillId="3" borderId="23" xfId="40" applyFont="1" applyFill="1" applyBorder="1" applyAlignment="1">
      <alignment horizontal="center" vertical="center" wrapText="1"/>
    </xf>
    <xf numFmtId="0" fontId="208" fillId="141" borderId="31" xfId="40" applyFont="1" applyFill="1" applyBorder="1" applyAlignment="1">
      <alignment horizontal="right" vertical="center" wrapText="1"/>
    </xf>
    <xf numFmtId="0" fontId="208" fillId="27" borderId="23" xfId="40" applyFont="1" applyFill="1" applyBorder="1" applyAlignment="1">
      <alignment horizontal="right" vertical="center" wrapText="1"/>
    </xf>
    <xf numFmtId="0" fontId="208" fillId="141" borderId="387" xfId="40" applyFont="1" applyFill="1" applyBorder="1" applyAlignment="1">
      <alignment horizontal="right" vertical="center" wrapText="1"/>
    </xf>
    <xf numFmtId="0" fontId="208" fillId="3" borderId="377" xfId="40" applyFont="1" applyFill="1" applyBorder="1" applyAlignment="1">
      <alignment horizontal="center" vertical="center" wrapText="1"/>
    </xf>
    <xf numFmtId="3" fontId="208" fillId="141" borderId="387" xfId="40" applyNumberFormat="1" applyFont="1" applyFill="1" applyBorder="1" applyAlignment="1">
      <alignment horizontal="right" vertical="center" wrapText="1"/>
    </xf>
    <xf numFmtId="3" fontId="208" fillId="27" borderId="440" xfId="40" applyNumberFormat="1" applyFont="1" applyFill="1" applyBorder="1" applyAlignment="1">
      <alignment horizontal="right" vertical="center" wrapText="1"/>
    </xf>
    <xf numFmtId="182" fontId="35" fillId="29" borderId="388" xfId="40" applyNumberFormat="1" applyFont="1" applyFill="1" applyBorder="1" applyAlignment="1" applyProtection="1">
      <alignment vertical="center" wrapText="1"/>
      <protection locked="0"/>
    </xf>
    <xf numFmtId="0" fontId="292" fillId="3" borderId="377" xfId="40" quotePrefix="1" applyFont="1" applyFill="1" applyBorder="1" applyAlignment="1">
      <alignment horizontal="center" vertical="center" wrapText="1"/>
    </xf>
    <xf numFmtId="182" fontId="208" fillId="27" borderId="440" xfId="40" applyNumberFormat="1" applyFont="1" applyFill="1" applyBorder="1" applyAlignment="1">
      <alignment horizontal="right" vertical="center" wrapText="1"/>
    </xf>
    <xf numFmtId="0" fontId="305" fillId="3" borderId="377" xfId="40" quotePrefix="1" applyFont="1" applyFill="1" applyBorder="1" applyAlignment="1">
      <alignment horizontal="center" vertical="center" wrapText="1"/>
    </xf>
    <xf numFmtId="4" fontId="208" fillId="27" borderId="440" xfId="40" applyNumberFormat="1" applyFont="1" applyFill="1" applyBorder="1" applyAlignment="1">
      <alignment horizontal="right" vertical="center" wrapText="1"/>
    </xf>
    <xf numFmtId="181" fontId="208" fillId="141" borderId="387" xfId="40" applyNumberFormat="1" applyFont="1" applyFill="1" applyBorder="1" applyAlignment="1">
      <alignment horizontal="right" vertical="center" wrapText="1"/>
    </xf>
    <xf numFmtId="181" fontId="208" fillId="141" borderId="390" xfId="40" applyNumberFormat="1" applyFont="1" applyFill="1" applyBorder="1" applyAlignment="1">
      <alignment horizontal="right" vertical="center" wrapText="1"/>
    </xf>
    <xf numFmtId="0" fontId="362" fillId="0" borderId="380" xfId="40" applyFont="1" applyBorder="1" applyAlignment="1">
      <alignment horizontal="center" vertical="center" wrapText="1"/>
    </xf>
    <xf numFmtId="0" fontId="300" fillId="141" borderId="390" xfId="0" applyFont="1" applyFill="1" applyBorder="1"/>
    <xf numFmtId="0" fontId="0" fillId="0" borderId="406" xfId="0" applyBorder="1" applyAlignment="1">
      <alignment horizontal="right" vertical="center"/>
    </xf>
    <xf numFmtId="0" fontId="0" fillId="0" borderId="215" xfId="0" applyBorder="1" applyAlignment="1">
      <alignment horizontal="right" vertical="center"/>
    </xf>
    <xf numFmtId="0" fontId="0" fillId="0" borderId="368" xfId="0" applyBorder="1" applyAlignment="1">
      <alignment horizontal="right" vertical="center"/>
    </xf>
    <xf numFmtId="169" fontId="208" fillId="3" borderId="436" xfId="7" applyFont="1" applyFill="1" applyBorder="1" applyAlignment="1">
      <alignment horizontal="center" vertical="center" wrapText="1"/>
    </xf>
    <xf numFmtId="4" fontId="0" fillId="121" borderId="31" xfId="32" applyNumberFormat="1" applyFont="1" applyFill="1" applyBorder="1" applyAlignment="1" applyProtection="1">
      <alignment horizontal="right" vertical="center"/>
    </xf>
    <xf numFmtId="181" fontId="0" fillId="121" borderId="23" xfId="32" applyNumberFormat="1" applyFont="1" applyFill="1" applyBorder="1" applyAlignment="1" applyProtection="1">
      <alignment horizontal="right" vertical="center"/>
    </xf>
    <xf numFmtId="0" fontId="0" fillId="94" borderId="435" xfId="0" applyFill="1" applyBorder="1" applyAlignment="1">
      <alignment horizontal="right" vertical="center"/>
    </xf>
    <xf numFmtId="4" fontId="0" fillId="121" borderId="387" xfId="32" applyNumberFormat="1" applyFont="1" applyFill="1" applyBorder="1" applyAlignment="1" applyProtection="1">
      <alignment horizontal="right" vertical="center"/>
    </xf>
    <xf numFmtId="181" fontId="0" fillId="121" borderId="388" xfId="32" applyNumberFormat="1" applyFont="1" applyFill="1" applyBorder="1" applyAlignment="1" applyProtection="1">
      <alignment horizontal="right" vertical="center"/>
    </xf>
    <xf numFmtId="4" fontId="0" fillId="94" borderId="435" xfId="32" applyNumberFormat="1" applyFont="1" applyFill="1" applyBorder="1" applyAlignment="1" applyProtection="1">
      <alignment horizontal="right" vertical="center"/>
    </xf>
    <xf numFmtId="4" fontId="0" fillId="98" borderId="387" xfId="0" applyNumberFormat="1" applyFill="1" applyBorder="1" applyAlignment="1">
      <alignment horizontal="right" vertical="center"/>
    </xf>
    <xf numFmtId="181" fontId="0" fillId="94" borderId="435" xfId="32" applyNumberFormat="1" applyFont="1" applyFill="1" applyBorder="1" applyAlignment="1" applyProtection="1">
      <alignment horizontal="right" vertical="center"/>
    </xf>
    <xf numFmtId="3" fontId="0" fillId="98" borderId="387" xfId="0" applyNumberFormat="1" applyFill="1" applyBorder="1" applyAlignment="1">
      <alignment horizontal="right" vertical="center"/>
    </xf>
    <xf numFmtId="0" fontId="208" fillId="27" borderId="441" xfId="40" applyFont="1" applyFill="1" applyBorder="1" applyAlignment="1">
      <alignment horizontal="right" vertical="center" wrapText="1"/>
    </xf>
    <xf numFmtId="0" fontId="208" fillId="94" borderId="435" xfId="40" applyFont="1" applyFill="1" applyBorder="1" applyAlignment="1">
      <alignment horizontal="right" vertical="center" wrapText="1"/>
    </xf>
    <xf numFmtId="0" fontId="208" fillId="65" borderId="387" xfId="40" quotePrefix="1" applyFont="1" applyFill="1" applyBorder="1" applyAlignment="1">
      <alignment horizontal="right" vertical="center" wrapText="1"/>
    </xf>
    <xf numFmtId="0" fontId="18" fillId="94" borderId="435" xfId="0" applyFont="1" applyFill="1" applyBorder="1" applyAlignment="1">
      <alignment horizontal="right" vertical="center"/>
    </xf>
    <xf numFmtId="3" fontId="393" fillId="27" borderId="441" xfId="0" applyNumberFormat="1" applyFont="1" applyFill="1" applyBorder="1" applyAlignment="1">
      <alignment horizontal="right" vertical="center"/>
    </xf>
    <xf numFmtId="4" fontId="18" fillId="65" borderId="387" xfId="54" applyNumberFormat="1" applyFont="1" applyFill="1" applyBorder="1" applyAlignment="1" applyProtection="1">
      <alignment horizontal="right" vertical="center"/>
    </xf>
    <xf numFmtId="3" fontId="18" fillId="94" borderId="441" xfId="0" applyNumberFormat="1" applyFont="1" applyFill="1" applyBorder="1" applyAlignment="1">
      <alignment horizontal="right" vertical="center"/>
    </xf>
    <xf numFmtId="49" fontId="18" fillId="94" borderId="387" xfId="0" applyNumberFormat="1" applyFont="1" applyFill="1" applyBorder="1" applyAlignment="1">
      <alignment horizontal="right" vertical="center"/>
    </xf>
    <xf numFmtId="0" fontId="208" fillId="27" borderId="443" xfId="39" applyFont="1" applyFill="1" applyBorder="1" applyAlignment="1">
      <alignment horizontal="right" vertical="center" wrapText="1"/>
    </xf>
    <xf numFmtId="4" fontId="0" fillId="121" borderId="314" xfId="32" applyNumberFormat="1" applyFont="1" applyFill="1" applyBorder="1" applyAlignment="1" applyProtection="1">
      <alignment horizontal="right" vertical="center"/>
    </xf>
    <xf numFmtId="181" fontId="394" fillId="121" borderId="23" xfId="32" applyNumberFormat="1" applyFont="1" applyFill="1" applyBorder="1" applyAlignment="1" applyProtection="1">
      <alignment horizontal="right" vertical="center"/>
    </xf>
    <xf numFmtId="49" fontId="0" fillId="94" borderId="435" xfId="0" applyNumberFormat="1" applyFill="1" applyBorder="1" applyAlignment="1">
      <alignment horizontal="right" vertical="center"/>
    </xf>
    <xf numFmtId="0" fontId="0" fillId="98" borderId="387" xfId="0" applyFill="1" applyBorder="1" applyAlignment="1">
      <alignment horizontal="right" vertical="center"/>
    </xf>
    <xf numFmtId="10" fontId="0" fillId="98" borderId="387" xfId="0" applyNumberFormat="1" applyFill="1" applyBorder="1" applyAlignment="1">
      <alignment horizontal="right" vertical="center"/>
    </xf>
    <xf numFmtId="49" fontId="18" fillId="94" borderId="395" xfId="0" applyNumberFormat="1" applyFont="1" applyFill="1" applyBorder="1" applyAlignment="1">
      <alignment horizontal="right" vertical="center"/>
    </xf>
    <xf numFmtId="49" fontId="18" fillId="94" borderId="437" xfId="0" applyNumberFormat="1" applyFont="1" applyFill="1" applyBorder="1" applyAlignment="1">
      <alignment horizontal="right" vertical="center"/>
    </xf>
    <xf numFmtId="49" fontId="18" fillId="94" borderId="388" xfId="0" applyNumberFormat="1" applyFont="1" applyFill="1" applyBorder="1" applyAlignment="1">
      <alignment horizontal="right" vertical="center"/>
    </xf>
    <xf numFmtId="49" fontId="18" fillId="94" borderId="435" xfId="32" applyNumberFormat="1" applyFont="1" applyFill="1" applyBorder="1" applyAlignment="1" applyProtection="1">
      <alignment horizontal="right" vertical="center"/>
    </xf>
    <xf numFmtId="0" fontId="329" fillId="3" borderId="400" xfId="39" applyFont="1" applyFill="1" applyBorder="1" applyAlignment="1">
      <alignment horizontal="center" vertical="center" wrapText="1"/>
    </xf>
    <xf numFmtId="186" fontId="208" fillId="27" borderId="380" xfId="7" applyNumberFormat="1" applyFont="1" applyFill="1" applyBorder="1" applyAlignment="1">
      <alignment horizontal="right" vertical="center" wrapText="1"/>
    </xf>
    <xf numFmtId="4" fontId="0" fillId="121" borderId="396" xfId="32" applyNumberFormat="1" applyFont="1" applyFill="1" applyBorder="1" applyAlignment="1" applyProtection="1">
      <alignment horizontal="right" vertical="center"/>
    </xf>
    <xf numFmtId="49" fontId="18" fillId="94" borderId="393" xfId="0" applyNumberFormat="1" applyFont="1" applyFill="1" applyBorder="1" applyAlignment="1">
      <alignment horizontal="right" vertical="center"/>
    </xf>
    <xf numFmtId="0" fontId="330" fillId="78" borderId="406" xfId="40" applyFont="1" applyFill="1" applyBorder="1" applyAlignment="1">
      <alignment horizontal="center" vertical="center" wrapText="1"/>
    </xf>
    <xf numFmtId="4" fontId="35" fillId="27" borderId="441" xfId="0" applyNumberFormat="1" applyFont="1" applyFill="1" applyBorder="1" applyAlignment="1">
      <alignment horizontal="right" vertical="center"/>
    </xf>
    <xf numFmtId="4" fontId="0" fillId="94" borderId="435" xfId="0" applyNumberFormat="1" applyFill="1" applyBorder="1" applyAlignment="1">
      <alignment horizontal="right" vertical="center"/>
    </xf>
    <xf numFmtId="4" fontId="0" fillId="94" borderId="388" xfId="0" applyNumberFormat="1" applyFill="1" applyBorder="1" applyAlignment="1">
      <alignment horizontal="right" vertical="center"/>
    </xf>
    <xf numFmtId="0" fontId="208" fillId="27" borderId="441" xfId="0" applyFont="1" applyFill="1" applyBorder="1" applyAlignment="1">
      <alignment horizontal="right" vertical="center"/>
    </xf>
    <xf numFmtId="0" fontId="18" fillId="65" borderId="387" xfId="0" applyFont="1" applyFill="1" applyBorder="1" applyAlignment="1">
      <alignment horizontal="right" vertical="center"/>
    </xf>
    <xf numFmtId="0" fontId="208" fillId="65" borderId="387" xfId="40" applyFont="1" applyFill="1" applyBorder="1" applyAlignment="1">
      <alignment horizontal="right" vertical="center" wrapText="1"/>
    </xf>
    <xf numFmtId="4" fontId="18" fillId="94" borderId="435" xfId="54" applyNumberFormat="1" applyFont="1" applyFill="1" applyBorder="1" applyAlignment="1" applyProtection="1">
      <alignment horizontal="right" vertical="center"/>
    </xf>
    <xf numFmtId="4" fontId="18" fillId="65" borderId="387" xfId="0" applyNumberFormat="1" applyFont="1" applyFill="1" applyBorder="1" applyAlignment="1">
      <alignment horizontal="right" vertical="center"/>
    </xf>
    <xf numFmtId="181" fontId="0" fillId="121" borderId="395" xfId="32" applyNumberFormat="1" applyFont="1" applyFill="1" applyBorder="1" applyAlignment="1" applyProtection="1">
      <alignment horizontal="right" vertical="center"/>
    </xf>
    <xf numFmtId="4" fontId="394" fillId="121" borderId="388" xfId="32" applyNumberFormat="1" applyFont="1" applyFill="1" applyBorder="1" applyAlignment="1" applyProtection="1">
      <alignment horizontal="right" vertical="center"/>
    </xf>
    <xf numFmtId="4" fontId="0" fillId="121" borderId="390" xfId="32" applyNumberFormat="1" applyFont="1" applyFill="1" applyBorder="1" applyAlignment="1" applyProtection="1">
      <alignment horizontal="right" vertical="center"/>
    </xf>
    <xf numFmtId="0" fontId="18" fillId="94" borderId="396" xfId="0" applyFont="1" applyFill="1" applyBorder="1" applyAlignment="1">
      <alignment horizontal="right" vertical="center"/>
    </xf>
    <xf numFmtId="0" fontId="18" fillId="94" borderId="393" xfId="0" applyFont="1" applyFill="1" applyBorder="1" applyAlignment="1">
      <alignment horizontal="right" vertical="center"/>
    </xf>
    <xf numFmtId="49" fontId="0" fillId="94" borderId="435" xfId="32" applyNumberFormat="1" applyFont="1" applyFill="1" applyBorder="1" applyAlignment="1" applyProtection="1">
      <alignment horizontal="right" vertical="center"/>
    </xf>
    <xf numFmtId="192" fontId="0" fillId="27" borderId="440" xfId="32" applyNumberFormat="1" applyFont="1" applyFill="1" applyBorder="1" applyAlignment="1" applyProtection="1">
      <alignment horizontal="right" vertical="center"/>
    </xf>
    <xf numFmtId="175" fontId="0" fillId="94" borderId="435" xfId="32" applyNumberFormat="1" applyFont="1" applyFill="1" applyBorder="1" applyAlignment="1" applyProtection="1">
      <alignment horizontal="right" vertical="center"/>
    </xf>
    <xf numFmtId="175" fontId="0" fillId="94" borderId="388" xfId="32" applyNumberFormat="1" applyFont="1" applyFill="1" applyBorder="1" applyAlignment="1" applyProtection="1">
      <alignment horizontal="right" vertical="center"/>
    </xf>
    <xf numFmtId="192" fontId="0" fillId="98" borderId="387" xfId="32" applyNumberFormat="1" applyFont="1" applyFill="1" applyBorder="1" applyAlignment="1" applyProtection="1">
      <alignment horizontal="right" vertical="center"/>
    </xf>
    <xf numFmtId="10" fontId="0" fillId="27" borderId="440" xfId="32" quotePrefix="1" applyNumberFormat="1" applyFont="1" applyFill="1" applyBorder="1" applyAlignment="1" applyProtection="1">
      <alignment horizontal="right" vertical="center"/>
    </xf>
    <xf numFmtId="10" fontId="0" fillId="94" borderId="435" xfId="32" quotePrefix="1" applyNumberFormat="1" applyFont="1" applyFill="1" applyBorder="1" applyAlignment="1" applyProtection="1">
      <alignment horizontal="right" vertical="center"/>
    </xf>
    <xf numFmtId="10" fontId="0" fillId="98" borderId="387" xfId="32" applyNumberFormat="1" applyFont="1" applyFill="1" applyBorder="1" applyAlignment="1" applyProtection="1">
      <alignment horizontal="right" vertical="center"/>
    </xf>
    <xf numFmtId="192" fontId="395" fillId="121" borderId="388" xfId="32" applyNumberFormat="1" applyFont="1" applyFill="1" applyBorder="1" applyAlignment="1" applyProtection="1">
      <alignment horizontal="right" vertical="center"/>
    </xf>
    <xf numFmtId="10" fontId="0" fillId="94" borderId="435" xfId="32" applyNumberFormat="1" applyFont="1" applyFill="1" applyBorder="1" applyAlignment="1" applyProtection="1">
      <alignment horizontal="right" vertical="center"/>
    </xf>
    <xf numFmtId="4" fontId="18" fillId="94" borderId="435" xfId="0" applyNumberFormat="1" applyFont="1" applyFill="1" applyBorder="1" applyAlignment="1">
      <alignment horizontal="right" vertical="center"/>
    </xf>
    <xf numFmtId="4" fontId="18" fillId="94" borderId="388" xfId="0" applyNumberFormat="1" applyFont="1" applyFill="1" applyBorder="1" applyAlignment="1">
      <alignment horizontal="right" vertical="center"/>
    </xf>
    <xf numFmtId="0" fontId="206" fillId="65" borderId="387" xfId="40" applyFont="1" applyFill="1" applyBorder="1" applyAlignment="1">
      <alignment horizontal="right" vertical="center" wrapText="1"/>
    </xf>
    <xf numFmtId="181" fontId="0" fillId="121" borderId="441" xfId="32" applyNumberFormat="1" applyFont="1" applyFill="1" applyBorder="1" applyAlignment="1" applyProtection="1">
      <alignment horizontal="right" vertical="center"/>
    </xf>
    <xf numFmtId="175" fontId="18" fillId="65" borderId="387" xfId="0" applyNumberFormat="1" applyFont="1" applyFill="1" applyBorder="1" applyAlignment="1">
      <alignment vertical="center"/>
    </xf>
    <xf numFmtId="10" fontId="394" fillId="27" borderId="441" xfId="0" applyNumberFormat="1" applyFont="1" applyFill="1" applyBorder="1" applyAlignment="1">
      <alignment vertical="center"/>
    </xf>
    <xf numFmtId="10" fontId="18" fillId="65" borderId="387" xfId="0" applyNumberFormat="1" applyFont="1" applyFill="1" applyBorder="1" applyAlignment="1">
      <alignment vertical="center"/>
    </xf>
    <xf numFmtId="0" fontId="210" fillId="3" borderId="436" xfId="39" applyFont="1" applyFill="1" applyBorder="1" applyAlignment="1">
      <alignment horizontal="center" vertical="center" wrapText="1"/>
    </xf>
    <xf numFmtId="2" fontId="0" fillId="94" borderId="435" xfId="0" applyNumberFormat="1" applyFill="1" applyBorder="1" applyAlignment="1">
      <alignment vertical="center"/>
    </xf>
    <xf numFmtId="2" fontId="0" fillId="94" borderId="388" xfId="0" applyNumberFormat="1" applyFill="1" applyBorder="1" applyAlignment="1">
      <alignment vertical="center"/>
    </xf>
    <xf numFmtId="2" fontId="0" fillId="98" borderId="387" xfId="0" applyNumberFormat="1" applyFill="1" applyBorder="1" applyAlignment="1">
      <alignment vertical="center"/>
    </xf>
    <xf numFmtId="181" fontId="0" fillId="94" borderId="435" xfId="32" applyNumberFormat="1" applyFont="1" applyFill="1" applyBorder="1" applyAlignment="1" applyProtection="1">
      <alignment vertical="center"/>
    </xf>
    <xf numFmtId="181" fontId="0" fillId="94" borderId="388" xfId="32" applyNumberFormat="1" applyFont="1" applyFill="1" applyBorder="1" applyAlignment="1" applyProtection="1">
      <alignment vertical="center"/>
    </xf>
    <xf numFmtId="10" fontId="0" fillId="98" borderId="387" xfId="32" applyNumberFormat="1" applyFont="1" applyFill="1" applyBorder="1" applyAlignment="1" applyProtection="1">
      <alignment vertical="center"/>
    </xf>
    <xf numFmtId="49" fontId="208" fillId="65" borderId="387" xfId="40" applyNumberFormat="1" applyFont="1" applyFill="1" applyBorder="1" applyAlignment="1">
      <alignment horizontal="right" vertical="center" wrapText="1"/>
    </xf>
    <xf numFmtId="2" fontId="0" fillId="65" borderId="387" xfId="0" applyNumberFormat="1" applyFill="1" applyBorder="1" applyAlignment="1">
      <alignment vertical="center"/>
    </xf>
    <xf numFmtId="181" fontId="0" fillId="65" borderId="387" xfId="32" applyNumberFormat="1" applyFont="1" applyFill="1" applyBorder="1" applyAlignment="1" applyProtection="1">
      <alignment vertical="center"/>
    </xf>
    <xf numFmtId="0" fontId="210" fillId="3" borderId="436" xfId="0" applyFont="1" applyFill="1" applyBorder="1" applyAlignment="1">
      <alignment horizontal="center" vertical="center"/>
    </xf>
    <xf numFmtId="181" fontId="0" fillId="98" borderId="387" xfId="32" applyNumberFormat="1" applyFont="1" applyFill="1" applyBorder="1" applyAlignment="1" applyProtection="1">
      <alignment horizontal="right" vertical="center"/>
    </xf>
    <xf numFmtId="49" fontId="208" fillId="94" borderId="435" xfId="40" applyNumberFormat="1" applyFont="1" applyFill="1" applyBorder="1" applyAlignment="1">
      <alignment horizontal="right" vertical="center" wrapText="1"/>
    </xf>
    <xf numFmtId="49" fontId="208" fillId="94" borderId="388" xfId="40" applyNumberFormat="1" applyFont="1" applyFill="1" applyBorder="1" applyAlignment="1">
      <alignment horizontal="right" vertical="center" wrapText="1"/>
    </xf>
    <xf numFmtId="4" fontId="0" fillId="121" borderId="388" xfId="32" applyNumberFormat="1" applyFont="1" applyFill="1" applyBorder="1" applyAlignment="1" applyProtection="1">
      <alignment horizontal="right" vertical="center"/>
    </xf>
    <xf numFmtId="4" fontId="0" fillId="121" borderId="393" xfId="32" applyNumberFormat="1" applyFont="1" applyFill="1" applyBorder="1" applyAlignment="1" applyProtection="1">
      <alignment horizontal="right" vertical="center"/>
    </xf>
    <xf numFmtId="10" fontId="18" fillId="65" borderId="387" xfId="32" applyNumberFormat="1" applyFont="1" applyFill="1" applyBorder="1" applyAlignment="1" applyProtection="1">
      <alignment horizontal="right" vertical="center"/>
    </xf>
    <xf numFmtId="169" fontId="208" fillId="128" borderId="436" xfId="7" applyFont="1" applyFill="1" applyBorder="1" applyAlignment="1">
      <alignment horizontal="center" vertical="center" wrapText="1"/>
    </xf>
    <xf numFmtId="0" fontId="0" fillId="94" borderId="435" xfId="0" applyFill="1" applyBorder="1"/>
    <xf numFmtId="49" fontId="0" fillId="94" borderId="441" xfId="0" applyNumberFormat="1" applyFill="1" applyBorder="1" applyAlignment="1">
      <alignment horizontal="right" vertical="center"/>
    </xf>
    <xf numFmtId="49" fontId="0" fillId="94" borderId="440" xfId="0" applyNumberFormat="1" applyFill="1" applyBorder="1" applyAlignment="1">
      <alignment horizontal="right" vertical="center"/>
    </xf>
    <xf numFmtId="186" fontId="208" fillId="27" borderId="443" xfId="7" applyNumberFormat="1" applyFont="1" applyFill="1" applyBorder="1" applyAlignment="1">
      <alignment horizontal="right" vertical="center" wrapText="1"/>
    </xf>
    <xf numFmtId="49" fontId="0" fillId="27" borderId="400" xfId="0" applyNumberFormat="1" applyFill="1" applyBorder="1" applyAlignment="1">
      <alignment horizontal="right" vertical="center"/>
    </xf>
    <xf numFmtId="3" fontId="62" fillId="26" borderId="13" xfId="31" applyNumberFormat="1" applyFont="1" applyFill="1" applyBorder="1" applyAlignment="1" applyProtection="1">
      <alignment horizontal="center" vertical="center"/>
    </xf>
    <xf numFmtId="3" fontId="118" fillId="143" borderId="8" xfId="31" applyNumberFormat="1" applyFont="1" applyFill="1" applyBorder="1" applyAlignment="1" applyProtection="1">
      <alignment horizontal="center" vertical="center"/>
    </xf>
    <xf numFmtId="10" fontId="83" fillId="144" borderId="8" xfId="32" applyNumberFormat="1" applyFont="1" applyFill="1" applyBorder="1" applyAlignment="1" applyProtection="1">
      <alignment horizontal="center" vertical="center"/>
    </xf>
    <xf numFmtId="3" fontId="91" fillId="145" borderId="8" xfId="0" applyNumberFormat="1" applyFont="1" applyFill="1" applyBorder="1" applyAlignment="1">
      <alignment horizontal="center"/>
    </xf>
    <xf numFmtId="3" fontId="1" fillId="13" borderId="424" xfId="0" applyNumberFormat="1" applyFont="1" applyFill="1" applyBorder="1" applyAlignment="1" applyProtection="1">
      <alignment horizontal="centerContinuous" vertical="center"/>
      <protection locked="0"/>
    </xf>
    <xf numFmtId="3" fontId="1" fillId="13" borderId="425" xfId="0" applyNumberFormat="1" applyFont="1" applyFill="1" applyBorder="1" applyAlignment="1" applyProtection="1">
      <alignment horizontal="centerContinuous" vertical="center"/>
      <protection locked="0"/>
    </xf>
    <xf numFmtId="3" fontId="1" fillId="13" borderId="426" xfId="0" applyNumberFormat="1" applyFont="1" applyFill="1" applyBorder="1" applyAlignment="1" applyProtection="1">
      <alignment horizontal="centerContinuous" vertical="center"/>
      <protection locked="0"/>
    </xf>
    <xf numFmtId="3" fontId="61" fillId="0" borderId="446" xfId="25" applyNumberFormat="1" applyFont="1" applyBorder="1" applyAlignment="1" applyProtection="1">
      <alignment horizontal="center" vertical="center" wrapText="1"/>
      <protection locked="0"/>
    </xf>
    <xf numFmtId="0" fontId="396" fillId="0" borderId="0" xfId="0" applyFont="1" applyAlignment="1">
      <alignment vertical="top"/>
    </xf>
    <xf numFmtId="3" fontId="35" fillId="27" borderId="451" xfId="32" applyNumberFormat="1" applyFont="1" applyFill="1" applyBorder="1" applyAlignment="1" applyProtection="1">
      <alignment horizontal="right" vertical="center"/>
    </xf>
    <xf numFmtId="3" fontId="35" fillId="27" borderId="452" xfId="32" applyNumberFormat="1" applyFont="1" applyFill="1" applyBorder="1" applyAlignment="1" applyProtection="1">
      <alignment horizontal="right" vertical="center"/>
    </xf>
    <xf numFmtId="49" fontId="208" fillId="27" borderId="453" xfId="40" applyNumberFormat="1" applyFont="1" applyFill="1" applyBorder="1" applyAlignment="1">
      <alignment horizontal="right" vertical="center" wrapText="1"/>
    </xf>
    <xf numFmtId="49" fontId="208" fillId="27" borderId="452" xfId="40" applyNumberFormat="1" applyFont="1" applyFill="1" applyBorder="1" applyAlignment="1">
      <alignment horizontal="right" vertical="center" wrapText="1"/>
    </xf>
    <xf numFmtId="0" fontId="208" fillId="27" borderId="453" xfId="40" applyFont="1" applyFill="1" applyBorder="1" applyAlignment="1">
      <alignment horizontal="right" vertical="center" wrapText="1"/>
    </xf>
    <xf numFmtId="181" fontId="0" fillId="121" borderId="452" xfId="32" applyNumberFormat="1" applyFont="1" applyFill="1" applyBorder="1" applyAlignment="1" applyProtection="1">
      <alignment horizontal="right" vertical="center"/>
    </xf>
    <xf numFmtId="3" fontId="393" fillId="27" borderId="453" xfId="0" applyNumberFormat="1" applyFont="1" applyFill="1" applyBorder="1" applyAlignment="1">
      <alignment horizontal="right" vertical="center"/>
    </xf>
    <xf numFmtId="4" fontId="0" fillId="121" borderId="450" xfId="32" applyNumberFormat="1" applyFont="1" applyFill="1" applyBorder="1" applyAlignment="1" applyProtection="1">
      <alignment horizontal="right" vertical="center"/>
    </xf>
    <xf numFmtId="181" fontId="394" fillId="121" borderId="452" xfId="32" applyNumberFormat="1" applyFont="1" applyFill="1" applyBorder="1" applyAlignment="1" applyProtection="1">
      <alignment horizontal="right" vertical="center"/>
    </xf>
    <xf numFmtId="4" fontId="21" fillId="27" borderId="450" xfId="32" applyNumberFormat="1" applyFont="1" applyFill="1" applyBorder="1" applyAlignment="1" applyProtection="1">
      <alignment horizontal="right" vertical="center"/>
    </xf>
    <xf numFmtId="4" fontId="35" fillId="27" borderId="452" xfId="32" applyNumberFormat="1" applyFont="1" applyFill="1" applyBorder="1" applyAlignment="1" applyProtection="1">
      <alignment horizontal="right" vertical="center"/>
    </xf>
    <xf numFmtId="10" fontId="21" fillId="27" borderId="450" xfId="32" applyNumberFormat="1" applyFont="1" applyFill="1" applyBorder="1" applyAlignment="1" applyProtection="1">
      <alignment horizontal="right" vertical="center"/>
    </xf>
    <xf numFmtId="10" fontId="35" fillId="27" borderId="452" xfId="32" applyNumberFormat="1" applyFont="1" applyFill="1" applyBorder="1" applyAlignment="1" applyProtection="1">
      <alignment horizontal="right" vertical="center"/>
    </xf>
    <xf numFmtId="0" fontId="208" fillId="27" borderId="454" xfId="40" applyFont="1" applyFill="1" applyBorder="1" applyAlignment="1">
      <alignment horizontal="right" vertical="center" wrapText="1"/>
    </xf>
    <xf numFmtId="0" fontId="208" fillId="27" borderId="450" xfId="40" applyFont="1" applyFill="1" applyBorder="1" applyAlignment="1">
      <alignment horizontal="right" vertical="center" wrapText="1"/>
    </xf>
    <xf numFmtId="0" fontId="208" fillId="27" borderId="452" xfId="40" applyFont="1" applyFill="1" applyBorder="1" applyAlignment="1">
      <alignment horizontal="right" vertical="center" wrapText="1"/>
    </xf>
    <xf numFmtId="4" fontId="394" fillId="27" borderId="454" xfId="139" applyNumberFormat="1" applyFont="1" applyFill="1" applyBorder="1" applyAlignment="1" applyProtection="1">
      <alignment horizontal="right" vertical="center"/>
    </xf>
    <xf numFmtId="4" fontId="393" fillId="27" borderId="450" xfId="139" applyNumberFormat="1" applyFont="1" applyFill="1" applyBorder="1" applyAlignment="1" applyProtection="1">
      <alignment horizontal="right" vertical="center"/>
    </xf>
    <xf numFmtId="4" fontId="35" fillId="27" borderId="452" xfId="0" applyNumberFormat="1" applyFont="1" applyFill="1" applyBorder="1" applyAlignment="1">
      <alignment horizontal="right" vertical="center"/>
    </xf>
    <xf numFmtId="0" fontId="208" fillId="27" borderId="452" xfId="0" applyFont="1" applyFill="1" applyBorder="1" applyAlignment="1">
      <alignment horizontal="right" vertical="center"/>
    </xf>
    <xf numFmtId="0" fontId="208" fillId="27" borderId="451" xfId="40" applyFont="1" applyFill="1" applyBorder="1" applyAlignment="1">
      <alignment horizontal="right" vertical="center" wrapText="1"/>
    </xf>
    <xf numFmtId="4" fontId="393" fillId="27" borderId="451" xfId="139" applyNumberFormat="1" applyFont="1" applyFill="1" applyBorder="1" applyAlignment="1" applyProtection="1">
      <alignment horizontal="right" vertical="center"/>
    </xf>
    <xf numFmtId="4" fontId="0" fillId="121" borderId="451" xfId="32" applyNumberFormat="1" applyFont="1" applyFill="1" applyBorder="1" applyAlignment="1" applyProtection="1">
      <alignment horizontal="right" vertical="center"/>
    </xf>
    <xf numFmtId="192" fontId="0" fillId="27" borderId="451" xfId="32" applyNumberFormat="1" applyFont="1" applyFill="1" applyBorder="1" applyAlignment="1" applyProtection="1">
      <alignment horizontal="right" vertical="center"/>
    </xf>
    <xf numFmtId="10" fontId="35" fillId="27" borderId="451" xfId="32" applyNumberFormat="1" applyFont="1" applyFill="1" applyBorder="1" applyAlignment="1" applyProtection="1">
      <alignment horizontal="right" vertical="center"/>
    </xf>
    <xf numFmtId="192" fontId="208" fillId="121" borderId="451" xfId="32" applyNumberFormat="1" applyFont="1" applyFill="1" applyBorder="1" applyAlignment="1" applyProtection="1">
      <alignment horizontal="right" vertical="center"/>
    </xf>
    <xf numFmtId="192" fontId="395" fillId="121" borderId="452" xfId="32" applyNumberFormat="1" applyFont="1" applyFill="1" applyBorder="1" applyAlignment="1" applyProtection="1">
      <alignment horizontal="right" vertical="center"/>
    </xf>
    <xf numFmtId="0" fontId="206" fillId="27" borderId="451" xfId="40" applyFont="1" applyFill="1" applyBorder="1" applyAlignment="1">
      <alignment horizontal="right" vertical="center" wrapText="1"/>
    </xf>
    <xf numFmtId="10" fontId="393" fillId="27" borderId="451" xfId="0" applyNumberFormat="1" applyFont="1" applyFill="1" applyBorder="1" applyAlignment="1">
      <alignment vertical="center"/>
    </xf>
    <xf numFmtId="2" fontId="0" fillId="27" borderId="451" xfId="0" applyNumberFormat="1" applyFill="1" applyBorder="1" applyAlignment="1">
      <alignment vertical="center"/>
    </xf>
    <xf numFmtId="2" fontId="0" fillId="27" borderId="452" xfId="0" applyNumberFormat="1" applyFill="1" applyBorder="1" applyAlignment="1">
      <alignment vertical="center"/>
    </xf>
    <xf numFmtId="10" fontId="0" fillId="27" borderId="451" xfId="32" applyNumberFormat="1" applyFont="1" applyFill="1" applyBorder="1" applyAlignment="1" applyProtection="1">
      <alignment vertical="center"/>
    </xf>
    <xf numFmtId="10" fontId="0" fillId="27" borderId="452" xfId="32" applyNumberFormat="1" applyFont="1" applyFill="1" applyBorder="1" applyAlignment="1" applyProtection="1">
      <alignment vertical="center"/>
    </xf>
    <xf numFmtId="49" fontId="208" fillId="27" borderId="454" xfId="40" applyNumberFormat="1" applyFont="1" applyFill="1" applyBorder="1" applyAlignment="1">
      <alignment horizontal="right" vertical="center" wrapText="1"/>
    </xf>
    <xf numFmtId="49" fontId="208" fillId="27" borderId="451" xfId="40" applyNumberFormat="1" applyFont="1" applyFill="1" applyBorder="1" applyAlignment="1">
      <alignment horizontal="right" vertical="center" wrapText="1"/>
    </xf>
    <xf numFmtId="2" fontId="393" fillId="27" borderId="454" xfId="0" applyNumberFormat="1" applyFont="1" applyFill="1" applyBorder="1" applyAlignment="1">
      <alignment vertical="center"/>
    </xf>
    <xf numFmtId="2" fontId="393" fillId="27" borderId="451" xfId="0" applyNumberFormat="1" applyFont="1" applyFill="1" applyBorder="1" applyAlignment="1">
      <alignment vertical="center"/>
    </xf>
    <xf numFmtId="10" fontId="393" fillId="27" borderId="454" xfId="32" applyNumberFormat="1" applyFont="1" applyFill="1" applyBorder="1" applyAlignment="1" applyProtection="1">
      <alignment vertical="center"/>
    </xf>
    <xf numFmtId="10" fontId="393" fillId="27" borderId="451" xfId="32" applyNumberFormat="1" applyFont="1" applyFill="1" applyBorder="1" applyAlignment="1" applyProtection="1">
      <alignment vertical="center"/>
    </xf>
    <xf numFmtId="4" fontId="0" fillId="27" borderId="451" xfId="32" applyNumberFormat="1" applyFont="1" applyFill="1" applyBorder="1" applyAlignment="1" applyProtection="1">
      <alignment horizontal="right" vertical="center"/>
    </xf>
    <xf numFmtId="4" fontId="0" fillId="27" borderId="452" xfId="32" applyNumberFormat="1" applyFont="1" applyFill="1" applyBorder="1" applyAlignment="1" applyProtection="1">
      <alignment horizontal="right" vertical="center"/>
    </xf>
    <xf numFmtId="181" fontId="0" fillId="121" borderId="451" xfId="32" applyNumberFormat="1" applyFont="1" applyFill="1" applyBorder="1" applyAlignment="1" applyProtection="1">
      <alignment horizontal="right" vertical="center"/>
    </xf>
    <xf numFmtId="4" fontId="393" fillId="27" borderId="454" xfId="139" applyNumberFormat="1" applyFont="1" applyFill="1" applyBorder="1" applyAlignment="1" applyProtection="1">
      <alignment horizontal="right" vertical="center"/>
    </xf>
    <xf numFmtId="10" fontId="0" fillId="27" borderId="451" xfId="32" applyNumberFormat="1" applyFont="1" applyFill="1" applyBorder="1" applyAlignment="1" applyProtection="1">
      <alignment horizontal="right" vertical="center"/>
    </xf>
    <xf numFmtId="10" fontId="0" fillId="27" borderId="452" xfId="32" applyNumberFormat="1" applyFont="1" applyFill="1" applyBorder="1" applyAlignment="1" applyProtection="1">
      <alignment horizontal="right" vertical="center"/>
    </xf>
    <xf numFmtId="10" fontId="393" fillId="27" borderId="454" xfId="32" applyNumberFormat="1" applyFont="1" applyFill="1" applyBorder="1" applyAlignment="1" applyProtection="1">
      <alignment horizontal="right" vertical="center"/>
    </xf>
    <xf numFmtId="10" fontId="393" fillId="27" borderId="451" xfId="32" applyNumberFormat="1" applyFont="1" applyFill="1" applyBorder="1" applyAlignment="1" applyProtection="1">
      <alignment horizontal="right" vertical="center"/>
    </xf>
    <xf numFmtId="10" fontId="21" fillId="27" borderId="452" xfId="32" applyNumberFormat="1" applyFont="1" applyFill="1" applyBorder="1" applyAlignment="1" applyProtection="1">
      <alignment horizontal="right" vertical="center"/>
    </xf>
    <xf numFmtId="0" fontId="208" fillId="94" borderId="451" xfId="40" applyFont="1" applyFill="1" applyBorder="1" applyAlignment="1">
      <alignment horizontal="right" vertical="center" wrapText="1"/>
    </xf>
    <xf numFmtId="4" fontId="18" fillId="94" borderId="452" xfId="139" applyNumberFormat="1" applyFont="1" applyFill="1" applyBorder="1" applyAlignment="1" applyProtection="1">
      <alignment horizontal="right" vertical="center"/>
    </xf>
    <xf numFmtId="10" fontId="18" fillId="94" borderId="451" xfId="32" applyNumberFormat="1" applyFont="1" applyFill="1" applyBorder="1" applyAlignment="1" applyProtection="1">
      <alignment horizontal="right" vertical="center"/>
    </xf>
    <xf numFmtId="3" fontId="25" fillId="148" borderId="455" xfId="40" applyNumberFormat="1" applyFont="1" applyFill="1" applyBorder="1" applyAlignment="1">
      <alignment horizontal="right" vertical="center" wrapText="1"/>
    </xf>
    <xf numFmtId="0" fontId="0" fillId="98" borderId="31" xfId="0" applyFill="1" applyBorder="1" applyAlignment="1" applyProtection="1">
      <alignment horizontal="right" vertical="center"/>
      <protection locked="0"/>
    </xf>
    <xf numFmtId="4" fontId="0" fillId="98" borderId="387" xfId="0" applyNumberFormat="1" applyFill="1" applyBorder="1" applyAlignment="1" applyProtection="1">
      <alignment horizontal="right" vertical="center"/>
      <protection locked="0"/>
    </xf>
    <xf numFmtId="3" fontId="0" fillId="98" borderId="387" xfId="0" applyNumberFormat="1" applyFill="1" applyBorder="1" applyAlignment="1" applyProtection="1">
      <alignment horizontal="right" vertical="center"/>
      <protection locked="0"/>
    </xf>
    <xf numFmtId="49" fontId="0" fillId="98" borderId="31" xfId="0" applyNumberFormat="1" applyFill="1" applyBorder="1" applyAlignment="1" applyProtection="1">
      <alignment horizontal="right" vertical="center"/>
      <protection locked="0"/>
    </xf>
    <xf numFmtId="0" fontId="0" fillId="98" borderId="387" xfId="0" applyFill="1" applyBorder="1" applyAlignment="1" applyProtection="1">
      <alignment horizontal="right" vertical="center"/>
      <protection locked="0"/>
    </xf>
    <xf numFmtId="10" fontId="0" fillId="98" borderId="387" xfId="0" applyNumberFormat="1" applyFill="1" applyBorder="1" applyAlignment="1" applyProtection="1">
      <alignment horizontal="right" vertical="center"/>
      <protection locked="0"/>
    </xf>
    <xf numFmtId="192" fontId="0" fillId="98" borderId="387" xfId="32" applyNumberFormat="1" applyFont="1" applyFill="1" applyBorder="1" applyAlignment="1" applyProtection="1">
      <alignment horizontal="right" vertical="center"/>
      <protection locked="0"/>
    </xf>
    <xf numFmtId="10" fontId="0" fillId="98" borderId="387" xfId="32" applyNumberFormat="1" applyFont="1" applyFill="1" applyBorder="1" applyAlignment="1" applyProtection="1">
      <alignment horizontal="right" vertical="center"/>
      <protection locked="0"/>
    </xf>
    <xf numFmtId="2" fontId="0" fillId="98" borderId="387" xfId="0" applyNumberFormat="1" applyFill="1" applyBorder="1" applyAlignment="1" applyProtection="1">
      <alignment vertical="center"/>
      <protection locked="0"/>
    </xf>
    <xf numFmtId="10" fontId="0" fillId="98" borderId="387" xfId="32" applyNumberFormat="1" applyFont="1" applyFill="1" applyBorder="1" applyAlignment="1" applyProtection="1">
      <alignment vertical="center"/>
      <protection locked="0"/>
    </xf>
    <xf numFmtId="181" fontId="0" fillId="98" borderId="387" xfId="32" applyNumberFormat="1" applyFont="1" applyFill="1" applyBorder="1" applyAlignment="1" applyProtection="1">
      <alignment horizontal="right" vertical="center"/>
      <protection locked="0"/>
    </xf>
    <xf numFmtId="49" fontId="0" fillId="98" borderId="315" xfId="0" applyNumberFormat="1" applyFill="1" applyBorder="1" applyAlignment="1" applyProtection="1">
      <alignment horizontal="right" vertical="center"/>
      <protection locked="0"/>
    </xf>
    <xf numFmtId="0" fontId="0" fillId="98" borderId="395" xfId="0" applyFill="1" applyBorder="1" applyAlignment="1" applyProtection="1">
      <alignment horizontal="right" vertical="center"/>
      <protection locked="0"/>
    </xf>
    <xf numFmtId="10" fontId="0" fillId="98" borderId="395" xfId="32" applyNumberFormat="1" applyFont="1" applyFill="1" applyBorder="1" applyAlignment="1" applyProtection="1">
      <alignment horizontal="right" vertical="center"/>
      <protection locked="0"/>
    </xf>
    <xf numFmtId="3" fontId="0" fillId="27" borderId="419" xfId="0" applyNumberFormat="1" applyFill="1" applyBorder="1" applyAlignment="1" applyProtection="1">
      <alignment horizontal="left" vertical="center" wrapText="1"/>
      <protection locked="0"/>
    </xf>
    <xf numFmtId="0" fontId="0" fillId="0" borderId="388" xfId="0" applyBorder="1" applyAlignment="1">
      <alignment horizontal="left" vertical="center" wrapText="1"/>
    </xf>
    <xf numFmtId="4" fontId="62" fillId="28" borderId="148" xfId="0" applyNumberFormat="1" applyFont="1" applyFill="1" applyBorder="1" applyAlignment="1" applyProtection="1">
      <alignment horizontal="center" vertical="center"/>
      <protection locked="0"/>
    </xf>
    <xf numFmtId="175" fontId="18" fillId="65" borderId="315" xfId="32" applyNumberFormat="1" applyFont="1" applyFill="1" applyBorder="1" applyAlignment="1" applyProtection="1">
      <alignment horizontal="right" vertical="center"/>
    </xf>
    <xf numFmtId="0" fontId="18" fillId="65" borderId="454" xfId="0" applyFont="1" applyFill="1" applyBorder="1" applyAlignment="1">
      <alignment horizontal="right" vertical="center"/>
    </xf>
    <xf numFmtId="175" fontId="18" fillId="65" borderId="454" xfId="32" applyNumberFormat="1" applyFont="1" applyFill="1" applyBorder="1" applyAlignment="1" applyProtection="1">
      <alignment horizontal="right" vertical="center"/>
    </xf>
    <xf numFmtId="0" fontId="18" fillId="65" borderId="380" xfId="0" applyFont="1" applyFill="1" applyBorder="1" applyAlignment="1">
      <alignment horizontal="right" vertical="center"/>
    </xf>
    <xf numFmtId="175" fontId="18" fillId="65" borderId="378" xfId="32" applyNumberFormat="1" applyFont="1" applyFill="1" applyBorder="1" applyAlignment="1" applyProtection="1">
      <alignment horizontal="right" vertical="center"/>
    </xf>
    <xf numFmtId="0" fontId="18" fillId="65" borderId="441" xfId="0" applyFont="1" applyFill="1" applyBorder="1" applyAlignment="1">
      <alignment horizontal="right" vertical="center"/>
    </xf>
    <xf numFmtId="175" fontId="18" fillId="98" borderId="419" xfId="32" applyNumberFormat="1" applyFont="1" applyFill="1" applyBorder="1" applyAlignment="1" applyProtection="1">
      <alignment horizontal="right" vertical="center"/>
      <protection locked="0"/>
    </xf>
    <xf numFmtId="175" fontId="18" fillId="65" borderId="441" xfId="32" applyNumberFormat="1" applyFont="1" applyFill="1" applyBorder="1" applyAlignment="1" applyProtection="1">
      <alignment horizontal="right" vertical="center"/>
    </xf>
    <xf numFmtId="1" fontId="208" fillId="27" borderId="443" xfId="39" applyNumberFormat="1" applyFont="1" applyFill="1" applyBorder="1" applyAlignment="1">
      <alignment horizontal="right" vertical="center" wrapText="1"/>
    </xf>
    <xf numFmtId="0" fontId="88" fillId="68" borderId="455" xfId="7" applyNumberFormat="1" applyFont="1" applyFill="1" applyBorder="1" applyAlignment="1">
      <alignment horizontal="center" vertical="center" wrapText="1"/>
    </xf>
    <xf numFmtId="0" fontId="1" fillId="65" borderId="455" xfId="0" applyFont="1" applyFill="1" applyBorder="1" applyAlignment="1">
      <alignment horizontal="right" vertical="center"/>
    </xf>
    <xf numFmtId="9" fontId="1" fillId="65" borderId="455" xfId="32" quotePrefix="1" applyFont="1" applyFill="1" applyBorder="1" applyAlignment="1">
      <alignment horizontal="right" vertical="center"/>
    </xf>
    <xf numFmtId="175" fontId="1" fillId="65" borderId="455" xfId="32" quotePrefix="1" applyNumberFormat="1" applyFont="1" applyFill="1" applyBorder="1" applyAlignment="1">
      <alignment horizontal="right" vertical="center"/>
    </xf>
    <xf numFmtId="0" fontId="1" fillId="65" borderId="455" xfId="0" quotePrefix="1" applyFont="1" applyFill="1" applyBorder="1" applyAlignment="1">
      <alignment horizontal="right" vertical="center"/>
    </xf>
    <xf numFmtId="0" fontId="173" fillId="0" borderId="437" xfId="0" applyFont="1" applyBorder="1"/>
    <xf numFmtId="0" fontId="173" fillId="0" borderId="180" xfId="0" applyFont="1" applyBorder="1"/>
    <xf numFmtId="0" fontId="31" fillId="0" borderId="0" xfId="3" applyNumberFormat="1" applyFill="1" applyAlignment="1" applyProtection="1"/>
    <xf numFmtId="0" fontId="148" fillId="0" borderId="0" xfId="0" applyFont="1"/>
    <xf numFmtId="3" fontId="95" fillId="0" borderId="0" xfId="0" applyNumberFormat="1" applyFont="1" applyAlignment="1">
      <alignment horizontal="right"/>
    </xf>
    <xf numFmtId="3" fontId="152" fillId="0" borderId="0" xfId="0" applyNumberFormat="1" applyFont="1" applyAlignment="1">
      <alignment horizontal="right"/>
    </xf>
    <xf numFmtId="0" fontId="156" fillId="0" borderId="0" xfId="0" applyFont="1" applyAlignment="1">
      <alignment horizontal="left" vertical="center"/>
    </xf>
    <xf numFmtId="0" fontId="154" fillId="0" borderId="0" xfId="0" applyFont="1" applyAlignment="1">
      <alignment horizontal="left" vertical="center"/>
    </xf>
    <xf numFmtId="0" fontId="152" fillId="0" borderId="0" xfId="0" applyFont="1" applyAlignment="1">
      <alignment horizontal="center" vertical="center"/>
    </xf>
    <xf numFmtId="0" fontId="157" fillId="0" borderId="0" xfId="0" applyFont="1" applyAlignment="1">
      <alignment horizontal="right" vertical="center" wrapText="1"/>
    </xf>
    <xf numFmtId="0" fontId="148" fillId="0" borderId="0" xfId="0" applyFont="1" applyAlignment="1">
      <alignment horizontal="left"/>
    </xf>
    <xf numFmtId="0" fontId="157" fillId="0" borderId="0" xfId="0" applyFont="1" applyAlignment="1">
      <alignment vertical="center" wrapText="1"/>
    </xf>
    <xf numFmtId="0" fontId="62" fillId="0" borderId="0" xfId="0" applyFont="1" applyAlignment="1">
      <alignment horizontal="left" vertical="center"/>
    </xf>
    <xf numFmtId="3" fontId="83" fillId="0" borderId="0" xfId="0" applyNumberFormat="1" applyFont="1" applyAlignment="1">
      <alignment horizontal="right"/>
    </xf>
    <xf numFmtId="3" fontId="151" fillId="0" borderId="0" xfId="0" applyNumberFormat="1" applyFont="1" applyAlignment="1">
      <alignment horizontal="right"/>
    </xf>
    <xf numFmtId="0" fontId="155" fillId="0" borderId="0" xfId="0" applyFont="1"/>
    <xf numFmtId="0" fontId="62" fillId="4" borderId="101" xfId="0" applyFont="1" applyFill="1" applyBorder="1" applyAlignment="1">
      <alignment horizontal="left" vertical="center" indent="4"/>
    </xf>
    <xf numFmtId="0" fontId="151" fillId="0" borderId="0" xfId="0" applyFont="1" applyAlignment="1">
      <alignment horizontal="right"/>
    </xf>
    <xf numFmtId="0" fontId="244" fillId="4" borderId="150" xfId="0" quotePrefix="1" applyFont="1" applyFill="1" applyBorder="1" applyAlignment="1">
      <alignment horizontal="center" vertical="center"/>
    </xf>
    <xf numFmtId="0" fontId="62" fillId="4" borderId="35" xfId="0" applyFont="1" applyFill="1" applyBorder="1" applyAlignment="1">
      <alignment horizontal="left" vertical="center" indent="2"/>
    </xf>
    <xf numFmtId="3" fontId="62" fillId="44" borderId="12" xfId="0" applyNumberFormat="1" applyFont="1" applyFill="1" applyBorder="1" applyAlignment="1">
      <alignment horizontal="right" vertical="center"/>
    </xf>
    <xf numFmtId="3" fontId="151" fillId="45" borderId="12" xfId="0" applyNumberFormat="1" applyFont="1" applyFill="1" applyBorder="1" applyAlignment="1">
      <alignment horizontal="right" vertical="center"/>
    </xf>
    <xf numFmtId="0" fontId="62" fillId="68" borderId="213" xfId="0" applyFont="1" applyFill="1" applyBorder="1" applyAlignment="1">
      <alignment horizontal="left" vertical="center" indent="2"/>
    </xf>
    <xf numFmtId="0" fontId="62" fillId="4" borderId="325" xfId="0" quotePrefix="1" applyFont="1" applyFill="1" applyBorder="1" applyAlignment="1">
      <alignment horizontal="center" vertical="center"/>
    </xf>
    <xf numFmtId="0" fontId="62" fillId="4" borderId="345" xfId="0" quotePrefix="1" applyFont="1" applyFill="1" applyBorder="1" applyAlignment="1">
      <alignment horizontal="center" vertical="center"/>
    </xf>
    <xf numFmtId="0" fontId="62" fillId="4" borderId="101" xfId="0" applyFont="1" applyFill="1" applyBorder="1" applyAlignment="1">
      <alignment horizontal="left" vertical="center" wrapText="1" indent="2"/>
    </xf>
    <xf numFmtId="0" fontId="1" fillId="4" borderId="151" xfId="0" applyFont="1" applyFill="1" applyBorder="1" applyAlignment="1">
      <alignment horizontal="left" vertical="center" wrapText="1" indent="2"/>
    </xf>
    <xf numFmtId="0" fontId="154" fillId="0" borderId="0" xfId="0" applyFont="1" applyAlignment="1">
      <alignment horizontal="centerContinuous" vertical="center"/>
    </xf>
    <xf numFmtId="0" fontId="62" fillId="4" borderId="256" xfId="0" quotePrefix="1" applyFont="1" applyFill="1" applyBorder="1" applyAlignment="1">
      <alignment horizontal="center" vertical="center"/>
    </xf>
    <xf numFmtId="3" fontId="151" fillId="103" borderId="147" xfId="0" applyNumberFormat="1" applyFont="1" applyFill="1" applyBorder="1" applyAlignment="1">
      <alignment horizontal="right" vertical="center" wrapText="1"/>
    </xf>
    <xf numFmtId="0" fontId="83" fillId="0" borderId="0" xfId="0" applyFont="1" applyAlignment="1">
      <alignment horizontal="right"/>
    </xf>
    <xf numFmtId="0" fontId="62" fillId="4" borderId="150" xfId="0" applyFont="1" applyFill="1" applyBorder="1" applyAlignment="1">
      <alignment horizontal="left" vertical="center" indent="2"/>
    </xf>
    <xf numFmtId="0" fontId="118" fillId="39" borderId="257" xfId="0" applyFont="1" applyFill="1" applyBorder="1" applyAlignment="1">
      <alignment horizontal="left" vertical="center" indent="2"/>
    </xf>
    <xf numFmtId="0" fontId="62" fillId="4" borderId="258" xfId="0" quotePrefix="1" applyFont="1" applyFill="1" applyBorder="1" applyAlignment="1">
      <alignment horizontal="center" vertical="center"/>
    </xf>
    <xf numFmtId="10" fontId="62" fillId="44" borderId="12" xfId="0" applyNumberFormat="1" applyFont="1" applyFill="1" applyBorder="1" applyAlignment="1" applyProtection="1">
      <alignment horizontal="right" vertical="center"/>
      <protection locked="0"/>
    </xf>
    <xf numFmtId="0" fontId="125" fillId="0" borderId="0" xfId="0" applyFont="1" applyProtection="1">
      <protection locked="0"/>
    </xf>
    <xf numFmtId="169" fontId="62" fillId="0" borderId="0" xfId="0" applyNumberFormat="1" applyFont="1" applyAlignment="1">
      <alignment horizontal="center"/>
    </xf>
    <xf numFmtId="0" fontId="62" fillId="4" borderId="109" xfId="0" applyFont="1" applyFill="1" applyBorder="1" applyAlignment="1">
      <alignment horizontal="centerContinuous" vertical="center" wrapText="1"/>
    </xf>
    <xf numFmtId="169" fontId="62" fillId="4" borderId="110" xfId="0" applyNumberFormat="1" applyFont="1" applyFill="1" applyBorder="1" applyAlignment="1">
      <alignment horizontal="centerContinuous" vertical="center"/>
    </xf>
    <xf numFmtId="169" fontId="62" fillId="4" borderId="110" xfId="0" applyNumberFormat="1" applyFont="1" applyFill="1" applyBorder="1" applyAlignment="1">
      <alignment horizontal="centerContinuous" vertical="center" wrapText="1"/>
    </xf>
    <xf numFmtId="169" fontId="62" fillId="4" borderId="348" xfId="0" applyNumberFormat="1" applyFont="1" applyFill="1" applyBorder="1" applyAlignment="1">
      <alignment horizontal="centerContinuous" vertical="center" wrapText="1"/>
    </xf>
    <xf numFmtId="0" fontId="83" fillId="0" borderId="284" xfId="0" applyFont="1" applyBorder="1" applyAlignment="1">
      <alignment horizontal="centerContinuous" vertical="center" wrapText="1"/>
    </xf>
    <xf numFmtId="0" fontId="83" fillId="0" borderId="15" xfId="0" applyFont="1" applyBorder="1" applyAlignment="1">
      <alignment horizontal="centerContinuous" vertical="center" wrapText="1"/>
    </xf>
    <xf numFmtId="0" fontId="83" fillId="0" borderId="15" xfId="0" applyFont="1" applyBorder="1" applyAlignment="1">
      <alignment horizontal="centerContinuous" vertical="center"/>
    </xf>
    <xf numFmtId="0" fontId="61" fillId="4" borderId="28" xfId="0" applyFont="1" applyFill="1" applyBorder="1" applyAlignment="1">
      <alignment horizontal="center" vertical="center" wrapText="1"/>
    </xf>
    <xf numFmtId="0" fontId="89" fillId="4" borderId="112" xfId="0" applyFont="1" applyFill="1" applyBorder="1" applyAlignment="1">
      <alignment horizontal="center" vertical="center" wrapText="1"/>
    </xf>
    <xf numFmtId="169" fontId="89" fillId="4" borderId="12" xfId="0" applyNumberFormat="1" applyFont="1" applyFill="1" applyBorder="1" applyAlignment="1">
      <alignment horizontal="center" vertical="center" wrapText="1"/>
    </xf>
    <xf numFmtId="169" fontId="89" fillId="4" borderId="349" xfId="0" applyNumberFormat="1" applyFont="1" applyFill="1" applyBorder="1" applyAlignment="1">
      <alignment horizontal="center" vertical="center" wrapText="1"/>
    </xf>
    <xf numFmtId="0" fontId="83" fillId="0" borderId="210" xfId="0" applyFont="1" applyBorder="1" applyAlignment="1">
      <alignment horizontal="center" vertical="center"/>
    </xf>
    <xf numFmtId="169" fontId="208" fillId="0" borderId="155" xfId="0" applyNumberFormat="1" applyFont="1" applyBorder="1" applyAlignment="1">
      <alignment horizontal="center" vertical="center" wrapText="1"/>
    </xf>
    <xf numFmtId="3" fontId="62" fillId="137" borderId="12" xfId="12" applyNumberFormat="1" applyFont="1" applyFill="1" applyBorder="1" applyAlignment="1" applyProtection="1">
      <alignment horizontal="right" vertical="center" wrapText="1"/>
    </xf>
    <xf numFmtId="169" fontId="35" fillId="0" borderId="155" xfId="0" applyNumberFormat="1" applyFont="1" applyBorder="1" applyAlignment="1">
      <alignment vertical="center"/>
    </xf>
    <xf numFmtId="0" fontId="62" fillId="13" borderId="102" xfId="0" applyFont="1" applyFill="1" applyBorder="1" applyAlignment="1">
      <alignment horizontal="center" vertical="center"/>
    </xf>
    <xf numFmtId="0" fontId="152" fillId="0" borderId="0" xfId="0" applyFont="1" applyAlignment="1">
      <alignment horizontal="center" wrapText="1"/>
    </xf>
    <xf numFmtId="0" fontId="61" fillId="0" borderId="177" xfId="0" applyFont="1" applyBorder="1" applyAlignment="1">
      <alignment horizontal="justify" vertical="center"/>
    </xf>
    <xf numFmtId="3" fontId="61" fillId="0" borderId="177" xfId="0" applyNumberFormat="1" applyFont="1" applyBorder="1" applyAlignment="1">
      <alignment horizontal="justify" vertical="center"/>
    </xf>
    <xf numFmtId="181" fontId="232" fillId="0" borderId="27" xfId="46" applyNumberFormat="1" applyFill="1" applyBorder="1" applyAlignment="1">
      <alignment horizontal="center" vertical="center"/>
    </xf>
    <xf numFmtId="0" fontId="31" fillId="0" borderId="0" xfId="3" applyNumberFormat="1" applyFill="1" applyAlignment="1" applyProtection="1">
      <alignment horizontal="left"/>
    </xf>
    <xf numFmtId="3" fontId="225" fillId="0" borderId="0" xfId="0" applyNumberFormat="1" applyFont="1"/>
    <xf numFmtId="166" fontId="1" fillId="0" borderId="0" xfId="49" applyFont="1" applyFill="1" applyBorder="1" applyAlignment="1" applyProtection="1">
      <alignment horizontal="center" vertical="center" wrapText="1"/>
    </xf>
    <xf numFmtId="0" fontId="1" fillId="0" borderId="0" xfId="0" applyFont="1" applyAlignment="1">
      <alignment horizontal="center" vertical="center"/>
    </xf>
    <xf numFmtId="0" fontId="1" fillId="27" borderId="0" xfId="0" applyFont="1" applyFill="1"/>
    <xf numFmtId="0" fontId="1" fillId="27" borderId="0" xfId="0" applyFont="1" applyFill="1" applyAlignment="1">
      <alignment horizontal="center" wrapText="1"/>
    </xf>
    <xf numFmtId="0" fontId="1" fillId="27" borderId="0" xfId="0" applyFont="1" applyFill="1" applyAlignment="1">
      <alignment horizontal="center" vertical="center" wrapText="1"/>
    </xf>
    <xf numFmtId="0" fontId="18" fillId="27" borderId="213" xfId="0" applyFont="1" applyFill="1" applyBorder="1" applyAlignment="1">
      <alignment horizontal="center" vertical="center"/>
    </xf>
    <xf numFmtId="0" fontId="1" fillId="27" borderId="0" xfId="0" applyFont="1" applyFill="1" applyAlignment="1">
      <alignment horizontal="center" vertical="center"/>
    </xf>
    <xf numFmtId="0" fontId="0" fillId="27" borderId="213" xfId="0" applyFill="1" applyBorder="1"/>
    <xf numFmtId="0" fontId="1" fillId="0" borderId="0" xfId="0" applyFont="1" applyAlignment="1">
      <alignment horizontal="center" wrapText="1"/>
    </xf>
    <xf numFmtId="0" fontId="354" fillId="0" borderId="0" xfId="0" applyFont="1" applyAlignment="1">
      <alignment horizontal="centerContinuous" vertical="center" wrapText="1"/>
    </xf>
    <xf numFmtId="0" fontId="128" fillId="0" borderId="0" xfId="0" applyFont="1" applyAlignment="1">
      <alignment horizontal="centerContinuous" vertical="center" wrapText="1"/>
    </xf>
    <xf numFmtId="0" fontId="1" fillId="0" borderId="0" xfId="0" applyFont="1" applyAlignment="1">
      <alignment horizontal="center" vertical="center" wrapText="1"/>
    </xf>
    <xf numFmtId="0" fontId="87" fillId="3" borderId="436" xfId="0" applyFont="1" applyFill="1" applyBorder="1" applyAlignment="1">
      <alignment horizontal="centerContinuous" vertical="center"/>
    </xf>
    <xf numFmtId="0" fontId="87" fillId="3" borderId="435" xfId="0" applyFont="1" applyFill="1" applyBorder="1" applyAlignment="1">
      <alignment horizontal="centerContinuous" vertical="center"/>
    </xf>
    <xf numFmtId="0" fontId="91" fillId="108" borderId="436" xfId="0" applyFont="1" applyFill="1" applyBorder="1" applyAlignment="1">
      <alignment horizontal="centerContinuous" vertical="center"/>
    </xf>
    <xf numFmtId="0" fontId="91" fillId="108" borderId="437" xfId="0" applyFont="1" applyFill="1" applyBorder="1" applyAlignment="1">
      <alignment horizontal="centerContinuous" vertical="center"/>
    </xf>
    <xf numFmtId="0" fontId="91" fillId="108" borderId="435" xfId="0" applyFont="1" applyFill="1" applyBorder="1" applyAlignment="1">
      <alignment horizontal="centerContinuous" vertical="center"/>
    </xf>
    <xf numFmtId="0" fontId="87" fillId="3" borderId="400" xfId="0" applyFont="1" applyFill="1" applyBorder="1" applyAlignment="1">
      <alignment horizontal="center" vertical="center" wrapText="1"/>
    </xf>
    <xf numFmtId="0" fontId="91" fillId="11" borderId="436" xfId="0" applyFont="1" applyFill="1" applyBorder="1" applyAlignment="1">
      <alignment horizontal="centerContinuous" vertical="center"/>
    </xf>
    <xf numFmtId="0" fontId="91" fillId="11" borderId="435" xfId="0" applyFont="1" applyFill="1" applyBorder="1" applyAlignment="1">
      <alignment horizontal="centerContinuous" vertical="center"/>
    </xf>
    <xf numFmtId="0" fontId="91" fillId="11" borderId="437" xfId="0" applyFont="1" applyFill="1" applyBorder="1" applyAlignment="1">
      <alignment horizontal="centerContinuous" vertical="center"/>
    </xf>
    <xf numFmtId="0" fontId="1" fillId="106" borderId="436" xfId="0" applyFont="1" applyFill="1" applyBorder="1"/>
    <xf numFmtId="0" fontId="1" fillId="106" borderId="435" xfId="0" applyFont="1" applyFill="1" applyBorder="1"/>
    <xf numFmtId="0" fontId="91" fillId="70" borderId="436" xfId="0" applyFont="1" applyFill="1" applyBorder="1" applyAlignment="1">
      <alignment horizontal="centerContinuous" vertical="center"/>
    </xf>
    <xf numFmtId="0" fontId="91" fillId="70" borderId="455" xfId="0" applyFont="1" applyFill="1" applyBorder="1" applyAlignment="1">
      <alignment horizontal="centerContinuous" vertical="center"/>
    </xf>
    <xf numFmtId="0" fontId="1" fillId="0" borderId="400" xfId="0" applyFont="1" applyBorder="1" applyAlignment="1">
      <alignment horizontal="center" vertical="center" wrapText="1"/>
    </xf>
    <xf numFmtId="3" fontId="1" fillId="107" borderId="436" xfId="0" applyNumberFormat="1" applyFont="1" applyFill="1" applyBorder="1" applyAlignment="1">
      <alignment vertical="center"/>
    </xf>
    <xf numFmtId="3" fontId="1" fillId="0" borderId="437" xfId="0" applyNumberFormat="1" applyFont="1" applyBorder="1" applyAlignment="1">
      <alignment horizontal="centerContinuous" vertical="center"/>
    </xf>
    <xf numFmtId="0" fontId="91" fillId="32" borderId="400" xfId="0" applyFont="1" applyFill="1" applyBorder="1" applyAlignment="1">
      <alignment horizontal="center" vertical="center" wrapText="1"/>
    </xf>
    <xf numFmtId="3" fontId="1" fillId="135" borderId="437" xfId="0" applyNumberFormat="1" applyFont="1" applyFill="1" applyBorder="1" applyAlignment="1">
      <alignment vertical="center"/>
    </xf>
    <xf numFmtId="14" fontId="1" fillId="135" borderId="437" xfId="0" applyNumberFormat="1" applyFont="1" applyFill="1" applyBorder="1" applyAlignment="1">
      <alignment vertical="center"/>
    </xf>
    <xf numFmtId="3" fontId="1" fillId="3" borderId="436" xfId="0" applyNumberFormat="1" applyFont="1" applyFill="1" applyBorder="1" applyAlignment="1">
      <alignment horizontal="centerContinuous" vertical="center"/>
    </xf>
    <xf numFmtId="3" fontId="1" fillId="3" borderId="437" xfId="0" applyNumberFormat="1" applyFont="1" applyFill="1" applyBorder="1" applyAlignment="1">
      <alignment horizontal="centerContinuous" vertical="center"/>
    </xf>
    <xf numFmtId="14" fontId="1" fillId="3" borderId="436" xfId="0" applyNumberFormat="1" applyFont="1" applyFill="1" applyBorder="1" applyAlignment="1">
      <alignment horizontal="centerContinuous" vertical="center"/>
    </xf>
    <xf numFmtId="14" fontId="1" fillId="3" borderId="437" xfId="0" applyNumberFormat="1" applyFont="1" applyFill="1" applyBorder="1" applyAlignment="1">
      <alignment horizontal="centerContinuous" vertical="center"/>
    </xf>
    <xf numFmtId="14" fontId="1" fillId="135" borderId="435" xfId="0" applyNumberFormat="1" applyFont="1" applyFill="1" applyBorder="1" applyAlignment="1">
      <alignment vertical="center"/>
    </xf>
    <xf numFmtId="3" fontId="1" fillId="135" borderId="436" xfId="0" applyNumberFormat="1" applyFont="1" applyFill="1" applyBorder="1" applyAlignment="1">
      <alignment vertical="center"/>
    </xf>
    <xf numFmtId="0" fontId="0" fillId="27" borderId="0" xfId="0" applyFill="1"/>
    <xf numFmtId="0" fontId="91" fillId="70" borderId="435" xfId="0" applyFont="1" applyFill="1" applyBorder="1" applyAlignment="1">
      <alignment horizontal="centerContinuous" vertical="center"/>
    </xf>
    <xf numFmtId="0" fontId="1" fillId="0" borderId="436" xfId="0" applyFont="1" applyBorder="1" applyAlignment="1">
      <alignment horizontal="center" vertical="center" wrapText="1"/>
    </xf>
    <xf numFmtId="0" fontId="91" fillId="32" borderId="406" xfId="0" applyFont="1" applyFill="1" applyBorder="1" applyAlignment="1">
      <alignment horizontal="center" vertical="center" wrapText="1"/>
    </xf>
    <xf numFmtId="0" fontId="62" fillId="0" borderId="400" xfId="0" applyFont="1" applyBorder="1" applyAlignment="1">
      <alignment horizontal="center" vertical="center" wrapText="1"/>
    </xf>
    <xf numFmtId="3" fontId="91" fillId="136" borderId="436" xfId="0" applyNumberFormat="1" applyFont="1" applyFill="1" applyBorder="1" applyAlignment="1">
      <alignment horizontal="right" vertical="center" wrapText="1"/>
    </xf>
    <xf numFmtId="3" fontId="91" fillId="32" borderId="436" xfId="0" applyNumberFormat="1" applyFont="1" applyFill="1" applyBorder="1" applyAlignment="1">
      <alignment horizontal="right" vertical="center" wrapText="1"/>
    </xf>
    <xf numFmtId="0" fontId="258" fillId="0" borderId="400" xfId="0" applyFont="1" applyBorder="1" applyAlignment="1">
      <alignment horizontal="center" vertical="center" wrapText="1"/>
    </xf>
    <xf numFmtId="3" fontId="1" fillId="0" borderId="400" xfId="0" applyNumberFormat="1" applyFont="1" applyBorder="1" applyAlignment="1">
      <alignment horizontal="right" vertical="center" wrapText="1"/>
    </xf>
    <xf numFmtId="0" fontId="125" fillId="0" borderId="0" xfId="0" applyFont="1" applyAlignment="1">
      <alignment horizontal="center" wrapText="1"/>
    </xf>
    <xf numFmtId="3" fontId="1" fillId="0" borderId="437" xfId="0" applyNumberFormat="1" applyFont="1" applyBorder="1" applyAlignment="1">
      <alignment horizontal="centerContinuous" vertical="center" wrapText="1"/>
    </xf>
    <xf numFmtId="3" fontId="1" fillId="0" borderId="435" xfId="0" applyNumberFormat="1" applyFont="1" applyBorder="1" applyAlignment="1">
      <alignment horizontal="centerContinuous" vertical="center" wrapText="1"/>
    </xf>
    <xf numFmtId="0" fontId="1" fillId="32" borderId="436" xfId="0" applyFont="1" applyFill="1" applyBorder="1" applyAlignment="1">
      <alignment horizontal="centerContinuous" vertical="center" wrapText="1"/>
    </xf>
    <xf numFmtId="0" fontId="1" fillId="0" borderId="400" xfId="0" applyFont="1" applyBorder="1" applyAlignment="1">
      <alignment horizontal="center" wrapText="1"/>
    </xf>
    <xf numFmtId="3" fontId="1" fillId="32" borderId="436" xfId="0" applyNumberFormat="1" applyFont="1" applyFill="1" applyBorder="1" applyAlignment="1">
      <alignment horizontal="centerContinuous" vertical="center" wrapText="1"/>
    </xf>
    <xf numFmtId="3" fontId="91" fillId="92" borderId="400" xfId="0" applyNumberFormat="1" applyFont="1" applyFill="1" applyBorder="1" applyAlignment="1">
      <alignment horizontal="right" vertical="center" wrapText="1"/>
    </xf>
    <xf numFmtId="3" fontId="1" fillId="27" borderId="0" xfId="0" applyNumberFormat="1" applyFont="1" applyFill="1"/>
    <xf numFmtId="183" fontId="1" fillId="27" borderId="0" xfId="0" applyNumberFormat="1" applyFont="1" applyFill="1"/>
    <xf numFmtId="3" fontId="0" fillId="27" borderId="0" xfId="0" applyNumberFormat="1" applyFill="1"/>
    <xf numFmtId="3" fontId="1" fillId="107" borderId="437" xfId="0" applyNumberFormat="1" applyFont="1" applyFill="1" applyBorder="1" applyAlignment="1">
      <alignment vertical="center"/>
    </xf>
    <xf numFmtId="3" fontId="1" fillId="107" borderId="435" xfId="0" applyNumberFormat="1" applyFont="1" applyFill="1" applyBorder="1" applyAlignment="1">
      <alignment vertical="center"/>
    </xf>
    <xf numFmtId="0" fontId="1" fillId="107" borderId="437" xfId="0" applyFont="1" applyFill="1" applyBorder="1" applyAlignment="1">
      <alignment vertical="center" wrapText="1"/>
    </xf>
    <xf numFmtId="0" fontId="1" fillId="107" borderId="435" xfId="0" applyFont="1" applyFill="1" applyBorder="1" applyAlignment="1">
      <alignment vertical="center" wrapText="1"/>
    </xf>
    <xf numFmtId="0" fontId="1" fillId="107" borderId="432" xfId="0" applyFont="1" applyFill="1" applyBorder="1" applyAlignment="1">
      <alignment vertical="center" wrapText="1"/>
    </xf>
    <xf numFmtId="4" fontId="1" fillId="107" borderId="437" xfId="0" applyNumberFormat="1" applyFont="1" applyFill="1" applyBorder="1" applyAlignment="1">
      <alignment vertical="center"/>
    </xf>
    <xf numFmtId="4" fontId="1" fillId="107" borderId="435" xfId="0" applyNumberFormat="1" applyFont="1" applyFill="1" applyBorder="1" applyAlignment="1">
      <alignment vertical="center"/>
    </xf>
    <xf numFmtId="4" fontId="1" fillId="0" borderId="437" xfId="0" applyNumberFormat="1" applyFont="1" applyBorder="1" applyAlignment="1">
      <alignment horizontal="centerContinuous" vertical="center"/>
    </xf>
    <xf numFmtId="4" fontId="1" fillId="0" borderId="435" xfId="0" applyNumberFormat="1" applyFont="1" applyBorder="1" applyAlignment="1">
      <alignment horizontal="centerContinuous" vertical="center"/>
    </xf>
    <xf numFmtId="0" fontId="91" fillId="32" borderId="435" xfId="0" applyFont="1" applyFill="1" applyBorder="1" applyAlignment="1">
      <alignment horizontal="center" vertical="center" wrapText="1"/>
    </xf>
    <xf numFmtId="174" fontId="0" fillId="27" borderId="0" xfId="0" applyNumberFormat="1" applyFill="1"/>
    <xf numFmtId="0" fontId="1" fillId="32" borderId="381" xfId="0" applyFont="1" applyFill="1" applyBorder="1" applyAlignment="1">
      <alignment horizontal="centerContinuous" vertical="center"/>
    </xf>
    <xf numFmtId="0" fontId="1" fillId="32" borderId="383" xfId="0" applyFont="1" applyFill="1" applyBorder="1" applyAlignment="1">
      <alignment horizontal="centerContinuous" vertical="center"/>
    </xf>
    <xf numFmtId="0" fontId="125" fillId="27" borderId="0" xfId="0" applyFont="1" applyFill="1" applyAlignment="1">
      <alignment horizontal="center" wrapText="1"/>
    </xf>
    <xf numFmtId="0" fontId="0" fillId="27" borderId="0" xfId="0" applyFill="1" applyAlignment="1">
      <alignment horizontal="center" vertical="center" wrapText="1"/>
    </xf>
    <xf numFmtId="0" fontId="125" fillId="46" borderId="160" xfId="0" applyFont="1" applyFill="1" applyBorder="1" applyAlignment="1">
      <alignment horizontal="center" wrapText="1"/>
    </xf>
    <xf numFmtId="0" fontId="0" fillId="46" borderId="160" xfId="0" applyFill="1" applyBorder="1"/>
    <xf numFmtId="0" fontId="0" fillId="46" borderId="160" xfId="0" applyFill="1" applyBorder="1" applyAlignment="1">
      <alignment horizontal="center" vertical="center" wrapText="1"/>
    </xf>
    <xf numFmtId="0" fontId="91" fillId="32" borderId="436" xfId="0" applyFont="1" applyFill="1" applyBorder="1" applyAlignment="1">
      <alignment vertical="center"/>
    </xf>
    <xf numFmtId="0" fontId="91" fillId="32" borderId="435" xfId="0" applyFont="1" applyFill="1" applyBorder="1" applyAlignment="1">
      <alignment vertical="center"/>
    </xf>
    <xf numFmtId="0" fontId="91" fillId="32" borderId="437" xfId="0" applyFont="1" applyFill="1" applyBorder="1" applyAlignment="1">
      <alignment horizontal="centerContinuous" vertical="center"/>
    </xf>
    <xf numFmtId="0" fontId="82" fillId="32" borderId="400" xfId="0" applyFont="1" applyFill="1" applyBorder="1" applyAlignment="1">
      <alignment horizontal="center" vertical="center" wrapText="1"/>
    </xf>
    <xf numFmtId="0" fontId="1" fillId="2" borderId="0" xfId="0" applyFont="1" applyFill="1" applyAlignment="1">
      <alignment horizontal="center" wrapText="1"/>
    </xf>
    <xf numFmtId="0" fontId="102" fillId="27" borderId="0" xfId="0" applyFont="1" applyFill="1" applyAlignment="1">
      <alignment horizontal="left"/>
    </xf>
    <xf numFmtId="0" fontId="62" fillId="0" borderId="400" xfId="0" applyFont="1" applyBorder="1" applyAlignment="1">
      <alignment horizontal="center" wrapText="1"/>
    </xf>
    <xf numFmtId="0" fontId="0" fillId="107" borderId="0" xfId="0" applyFill="1"/>
    <xf numFmtId="0" fontId="118" fillId="0" borderId="400" xfId="0" applyFont="1" applyBorder="1" applyAlignment="1">
      <alignment horizontal="center" wrapText="1"/>
    </xf>
    <xf numFmtId="10" fontId="1" fillId="0" borderId="437" xfId="32" applyNumberFormat="1" applyFont="1" applyBorder="1" applyAlignment="1" applyProtection="1">
      <alignment horizontal="centerContinuous" vertical="center"/>
    </xf>
    <xf numFmtId="10" fontId="1" fillId="107" borderId="436" xfId="32" applyNumberFormat="1" applyFont="1" applyFill="1" applyBorder="1" applyAlignment="1" applyProtection="1">
      <alignment vertical="center"/>
    </xf>
    <xf numFmtId="3" fontId="91" fillId="32" borderId="400" xfId="0" applyNumberFormat="1" applyFont="1" applyFill="1" applyBorder="1" applyAlignment="1">
      <alignment horizontal="right" vertical="center" wrapText="1"/>
    </xf>
    <xf numFmtId="3" fontId="1" fillId="107" borderId="400" xfId="0" applyNumberFormat="1" applyFont="1" applyFill="1" applyBorder="1" applyAlignment="1">
      <alignment horizontal="right" vertical="center" wrapText="1"/>
    </xf>
    <xf numFmtId="3" fontId="1" fillId="32" borderId="400" xfId="0" applyNumberFormat="1" applyFont="1" applyFill="1" applyBorder="1" applyAlignment="1">
      <alignment horizontal="right" vertical="center" wrapText="1"/>
    </xf>
    <xf numFmtId="179" fontId="1" fillId="32" borderId="400" xfId="0" applyNumberFormat="1" applyFont="1" applyFill="1" applyBorder="1" applyAlignment="1">
      <alignment horizontal="right" vertical="center" wrapText="1"/>
    </xf>
    <xf numFmtId="174" fontId="1" fillId="32" borderId="400" xfId="0" applyNumberFormat="1" applyFont="1" applyFill="1" applyBorder="1" applyAlignment="1">
      <alignment horizontal="right" vertical="center" wrapText="1"/>
    </xf>
    <xf numFmtId="3" fontId="91" fillId="72" borderId="436" xfId="0" applyNumberFormat="1" applyFont="1" applyFill="1" applyBorder="1" applyAlignment="1">
      <alignment horizontal="right" vertical="center" wrapText="1"/>
    </xf>
    <xf numFmtId="3" fontId="1" fillId="47" borderId="400" xfId="32" applyNumberFormat="1" applyFont="1" applyFill="1" applyBorder="1" applyAlignment="1" applyProtection="1">
      <alignment vertical="center"/>
    </xf>
    <xf numFmtId="3" fontId="91" fillId="107" borderId="436" xfId="0" applyNumberFormat="1" applyFont="1" applyFill="1" applyBorder="1" applyAlignment="1">
      <alignment horizontal="right" vertical="center" wrapText="1"/>
    </xf>
    <xf numFmtId="0" fontId="62" fillId="13" borderId="400" xfId="0" applyFont="1" applyFill="1" applyBorder="1" applyAlignment="1">
      <alignment horizontal="center"/>
    </xf>
    <xf numFmtId="0" fontId="1" fillId="32" borderId="436" xfId="0" applyFont="1" applyFill="1" applyBorder="1" applyAlignment="1">
      <alignment vertical="center"/>
    </xf>
    <xf numFmtId="0" fontId="1" fillId="32" borderId="435" xfId="0" applyFont="1" applyFill="1" applyBorder="1" applyAlignment="1">
      <alignment vertical="center"/>
    </xf>
    <xf numFmtId="0" fontId="1" fillId="32" borderId="381" xfId="0" applyFont="1" applyFill="1" applyBorder="1" applyAlignment="1">
      <alignment vertical="center"/>
    </xf>
    <xf numFmtId="0" fontId="1" fillId="32" borderId="27" xfId="0" applyFont="1" applyFill="1" applyBorder="1" applyAlignment="1">
      <alignment vertical="center"/>
    </xf>
    <xf numFmtId="0" fontId="62" fillId="11" borderId="400" xfId="0" applyFont="1" applyFill="1" applyBorder="1" applyAlignment="1">
      <alignment horizontal="center" wrapText="1"/>
    </xf>
    <xf numFmtId="3" fontId="1" fillId="107" borderId="436" xfId="0" applyNumberFormat="1" applyFont="1" applyFill="1" applyBorder="1" applyAlignment="1">
      <alignment horizontal="right" vertical="center" wrapText="1"/>
    </xf>
    <xf numFmtId="0" fontId="80" fillId="0" borderId="400" xfId="0" applyFont="1" applyBorder="1" applyAlignment="1">
      <alignment horizontal="center" vertical="center" wrapText="1"/>
    </xf>
    <xf numFmtId="3" fontId="1" fillId="0" borderId="436" xfId="0" applyNumberFormat="1" applyFont="1" applyBorder="1" applyAlignment="1">
      <alignment horizontal="right" vertical="center" wrapText="1"/>
    </xf>
    <xf numFmtId="0" fontId="89" fillId="0" borderId="400" xfId="0" applyFont="1" applyBorder="1" applyAlignment="1">
      <alignment horizontal="center" vertical="center" wrapText="1"/>
    </xf>
    <xf numFmtId="3" fontId="1" fillId="107" borderId="438" xfId="0" applyNumberFormat="1" applyFont="1" applyFill="1" applyBorder="1" applyAlignment="1">
      <alignment horizontal="right" vertical="center" wrapText="1"/>
    </xf>
    <xf numFmtId="3" fontId="91" fillId="32" borderId="438" xfId="0" applyNumberFormat="1" applyFont="1" applyFill="1" applyBorder="1" applyAlignment="1">
      <alignment horizontal="centerContinuous" vertical="center" wrapText="1"/>
    </xf>
    <xf numFmtId="3" fontId="91" fillId="32" borderId="439" xfId="0" applyNumberFormat="1" applyFont="1" applyFill="1" applyBorder="1" applyAlignment="1">
      <alignment horizontal="centerContinuous" vertical="center" wrapText="1"/>
    </xf>
    <xf numFmtId="3" fontId="1" fillId="107" borderId="447" xfId="0" applyNumberFormat="1" applyFont="1" applyFill="1" applyBorder="1" applyAlignment="1">
      <alignment horizontal="right" vertical="center" wrapText="1"/>
    </xf>
    <xf numFmtId="3" fontId="1" fillId="107" borderId="445" xfId="0" applyNumberFormat="1" applyFont="1" applyFill="1" applyBorder="1" applyAlignment="1">
      <alignment horizontal="right" vertical="center" wrapText="1"/>
    </xf>
    <xf numFmtId="0" fontId="91" fillId="70" borderId="437" xfId="0" applyFont="1" applyFill="1" applyBorder="1" applyAlignment="1">
      <alignment horizontal="center" vertical="center"/>
    </xf>
    <xf numFmtId="0" fontId="91" fillId="70" borderId="435" xfId="0" applyFont="1" applyFill="1" applyBorder="1" applyAlignment="1">
      <alignment horizontal="center" vertical="center"/>
    </xf>
    <xf numFmtId="3" fontId="1" fillId="0" borderId="437" xfId="0" applyNumberFormat="1" applyFont="1" applyBorder="1" applyAlignment="1">
      <alignment horizontal="right" vertical="center" wrapText="1"/>
    </xf>
    <xf numFmtId="0" fontId="62" fillId="20" borderId="400" xfId="0" applyFont="1" applyFill="1" applyBorder="1" applyAlignment="1">
      <alignment horizontal="center" wrapText="1"/>
    </xf>
    <xf numFmtId="3" fontId="1" fillId="139" borderId="400" xfId="0" applyNumberFormat="1" applyFont="1" applyFill="1" applyBorder="1" applyAlignment="1">
      <alignment horizontal="right" vertical="center" wrapText="1"/>
    </xf>
    <xf numFmtId="3" fontId="1" fillId="74" borderId="400" xfId="0" applyNumberFormat="1" applyFont="1" applyFill="1" applyBorder="1" applyAlignment="1">
      <alignment horizontal="right" vertical="center" wrapText="1"/>
    </xf>
    <xf numFmtId="179" fontId="1" fillId="139" borderId="400" xfId="0" applyNumberFormat="1" applyFont="1" applyFill="1" applyBorder="1" applyAlignment="1">
      <alignment horizontal="right" vertical="center" wrapText="1"/>
    </xf>
    <xf numFmtId="179" fontId="1" fillId="74" borderId="400" xfId="0" applyNumberFormat="1" applyFont="1" applyFill="1" applyBorder="1" applyAlignment="1">
      <alignment horizontal="right" vertical="center" wrapText="1"/>
    </xf>
    <xf numFmtId="0" fontId="89" fillId="23" borderId="400" xfId="0" applyFont="1" applyFill="1" applyBorder="1" applyAlignment="1">
      <alignment horizontal="center" wrapText="1"/>
    </xf>
    <xf numFmtId="179" fontId="91" fillId="71" borderId="400" xfId="0" applyNumberFormat="1" applyFont="1" applyFill="1" applyBorder="1" applyAlignment="1">
      <alignment horizontal="right" vertical="center" wrapText="1"/>
    </xf>
    <xf numFmtId="179" fontId="91" fillId="23" borderId="400" xfId="0" applyNumberFormat="1" applyFont="1" applyFill="1" applyBorder="1" applyAlignment="1">
      <alignment horizontal="right" vertical="center" wrapText="1"/>
    </xf>
    <xf numFmtId="174" fontId="91" fillId="71" borderId="400" xfId="0" applyNumberFormat="1" applyFont="1" applyFill="1" applyBorder="1" applyAlignment="1">
      <alignment horizontal="right" vertical="center" wrapText="1"/>
    </xf>
    <xf numFmtId="174" fontId="91" fillId="23" borderId="400" xfId="0" applyNumberFormat="1" applyFont="1" applyFill="1" applyBorder="1" applyAlignment="1">
      <alignment horizontal="right" vertical="center" wrapText="1"/>
    </xf>
    <xf numFmtId="0" fontId="226" fillId="0" borderId="0" xfId="0" applyFont="1"/>
    <xf numFmtId="0" fontId="227" fillId="0" borderId="0" xfId="0" applyFont="1"/>
    <xf numFmtId="0" fontId="223" fillId="0" borderId="186" xfId="0" applyFont="1" applyBorder="1" applyAlignment="1">
      <alignment horizontal="centerContinuous" vertical="center" wrapText="1"/>
    </xf>
    <xf numFmtId="0" fontId="230" fillId="0" borderId="185" xfId="0" applyFont="1" applyBorder="1" applyAlignment="1">
      <alignment horizontal="centerContinuous"/>
    </xf>
    <xf numFmtId="0" fontId="226" fillId="0" borderId="0" xfId="0" applyFont="1" applyAlignment="1">
      <alignment vertical="top"/>
    </xf>
    <xf numFmtId="169" fontId="228" fillId="50" borderId="238" xfId="7" applyFont="1" applyFill="1" applyBorder="1" applyAlignment="1">
      <alignment horizontal="center" vertical="center" wrapText="1"/>
    </xf>
    <xf numFmtId="0" fontId="228" fillId="50" borderId="238" xfId="7" applyNumberFormat="1" applyFont="1" applyFill="1" applyBorder="1" applyAlignment="1">
      <alignment horizontal="center" vertical="center" wrapText="1"/>
    </xf>
    <xf numFmtId="0" fontId="223" fillId="0" borderId="184" xfId="0" applyFont="1" applyBorder="1" applyAlignment="1">
      <alignment horizontal="center" vertical="center"/>
    </xf>
    <xf numFmtId="169" fontId="228" fillId="50" borderId="238" xfId="7" applyFont="1" applyFill="1" applyBorder="1" applyAlignment="1">
      <alignment horizontal="left" vertical="center" wrapText="1"/>
    </xf>
    <xf numFmtId="0" fontId="227" fillId="13" borderId="238" xfId="0" applyFont="1" applyFill="1" applyBorder="1" applyAlignment="1">
      <alignment horizontal="center" vertical="center"/>
    </xf>
    <xf numFmtId="191" fontId="227" fillId="111" borderId="400" xfId="0" quotePrefix="1" applyNumberFormat="1" applyFont="1" applyFill="1" applyBorder="1"/>
    <xf numFmtId="191" fontId="227" fillId="0" borderId="400" xfId="0" quotePrefix="1" applyNumberFormat="1" applyFont="1" applyBorder="1"/>
    <xf numFmtId="0" fontId="125" fillId="0" borderId="215" xfId="0" applyFont="1" applyBorder="1" applyAlignment="1">
      <alignment horizontal="center" vertical="center"/>
    </xf>
    <xf numFmtId="169" fontId="228" fillId="76" borderId="238" xfId="7" applyFont="1" applyFill="1" applyBorder="1" applyAlignment="1">
      <alignment horizontal="left" vertical="center" wrapText="1"/>
    </xf>
    <xf numFmtId="0" fontId="216" fillId="0" borderId="0" xfId="0" applyFont="1" applyAlignment="1">
      <alignment vertical="top"/>
    </xf>
    <xf numFmtId="169" fontId="229" fillId="77" borderId="238" xfId="7" applyFont="1" applyFill="1" applyBorder="1" applyAlignment="1">
      <alignment horizontal="left" vertical="center" wrapText="1"/>
    </xf>
    <xf numFmtId="191" fontId="227" fillId="13" borderId="400" xfId="0" quotePrefix="1" applyNumberFormat="1" applyFont="1" applyFill="1" applyBorder="1"/>
    <xf numFmtId="0" fontId="145" fillId="0" borderId="0" xfId="0" applyFont="1"/>
    <xf numFmtId="191" fontId="227" fillId="0" borderId="238" xfId="0" quotePrefix="1" applyNumberFormat="1" applyFont="1" applyBorder="1"/>
    <xf numFmtId="166" fontId="227" fillId="0" borderId="238" xfId="0" quotePrefix="1" applyNumberFormat="1" applyFont="1" applyBorder="1"/>
    <xf numFmtId="169" fontId="228" fillId="82" borderId="251" xfId="7" applyFont="1" applyFill="1" applyBorder="1" applyAlignment="1">
      <alignment horizontal="left" vertical="center" wrapText="1" indent="3"/>
    </xf>
    <xf numFmtId="0" fontId="227" fillId="0" borderId="251" xfId="0" applyFont="1" applyBorder="1" applyAlignment="1">
      <alignment horizontal="center" vertical="center"/>
    </xf>
    <xf numFmtId="166" fontId="227" fillId="0" borderId="0" xfId="0" quotePrefix="1" applyNumberFormat="1" applyFont="1"/>
    <xf numFmtId="0" fontId="227" fillId="13" borderId="0" xfId="0" applyFont="1" applyFill="1" applyAlignment="1">
      <alignment horizontal="center" vertical="center"/>
    </xf>
    <xf numFmtId="0" fontId="226" fillId="0" borderId="0" xfId="0" applyFont="1" applyAlignment="1">
      <alignment vertical="top" wrapText="1"/>
    </xf>
    <xf numFmtId="0" fontId="228" fillId="50" borderId="238" xfId="0" applyFont="1" applyFill="1" applyBorder="1" applyAlignment="1">
      <alignment horizontal="left" vertical="top" wrapText="1"/>
    </xf>
    <xf numFmtId="0" fontId="227" fillId="0" borderId="221" xfId="0" applyFont="1" applyBorder="1" applyAlignment="1">
      <alignment horizontal="center" vertical="center"/>
    </xf>
    <xf numFmtId="0" fontId="227" fillId="0" borderId="185" xfId="0" applyFont="1" applyBorder="1" applyAlignment="1">
      <alignment horizontal="center" vertical="center"/>
    </xf>
    <xf numFmtId="0" fontId="227" fillId="0" borderId="238" xfId="0" applyFont="1" applyBorder="1" applyAlignment="1">
      <alignment horizontal="center" vertical="center"/>
    </xf>
    <xf numFmtId="0" fontId="229" fillId="61" borderId="238" xfId="0" applyFont="1" applyFill="1" applyBorder="1" applyAlignment="1">
      <alignment horizontal="left" vertical="top" wrapText="1" indent="3"/>
    </xf>
    <xf numFmtId="0" fontId="131" fillId="0" borderId="0" xfId="0" applyFont="1"/>
    <xf numFmtId="0" fontId="377" fillId="0" borderId="0" xfId="0" applyFont="1"/>
    <xf numFmtId="169" fontId="228" fillId="57" borderId="238" xfId="7" applyFont="1" applyFill="1" applyBorder="1" applyAlignment="1">
      <alignment horizontal="left" vertical="center" wrapText="1"/>
    </xf>
    <xf numFmtId="169" fontId="228" fillId="90" borderId="238" xfId="7" applyFont="1" applyFill="1" applyBorder="1" applyAlignment="1">
      <alignment horizontal="left" vertical="center" wrapText="1"/>
    </xf>
    <xf numFmtId="169" fontId="290" fillId="91" borderId="305" xfId="7" applyFont="1" applyFill="1" applyBorder="1" applyAlignment="1">
      <alignment horizontal="left" vertical="center" wrapText="1"/>
    </xf>
    <xf numFmtId="191" fontId="148" fillId="17" borderId="400" xfId="0" quotePrefix="1" applyNumberFormat="1" applyFont="1" applyFill="1" applyBorder="1"/>
    <xf numFmtId="191" fontId="148" fillId="30" borderId="400" xfId="0" quotePrefix="1" applyNumberFormat="1" applyFont="1" applyFill="1" applyBorder="1"/>
    <xf numFmtId="191" fontId="372" fillId="0" borderId="0" xfId="0" quotePrefix="1" applyNumberFormat="1" applyFont="1"/>
    <xf numFmtId="0" fontId="373" fillId="0" borderId="0" xfId="0" applyFont="1"/>
    <xf numFmtId="0" fontId="372" fillId="0" borderId="0" xfId="0" applyFont="1"/>
    <xf numFmtId="169" fontId="228" fillId="50" borderId="406" xfId="7" applyFont="1" applyFill="1" applyBorder="1" applyAlignment="1">
      <alignment horizontal="center" vertical="center" wrapText="1"/>
    </xf>
    <xf numFmtId="169" fontId="228" fillId="125" borderId="11" xfId="7" applyFont="1" applyFill="1" applyBorder="1" applyAlignment="1">
      <alignment horizontal="center" vertical="center" wrapText="1"/>
    </xf>
    <xf numFmtId="169" fontId="228" fillId="50" borderId="400" xfId="7" applyFont="1" applyFill="1" applyBorder="1" applyAlignment="1">
      <alignment horizontal="center" vertical="center" wrapText="1"/>
    </xf>
    <xf numFmtId="169" fontId="228" fillId="90" borderId="400" xfId="7" applyFont="1" applyFill="1" applyBorder="1" applyAlignment="1">
      <alignment horizontal="left" vertical="center" wrapText="1"/>
    </xf>
    <xf numFmtId="191" fontId="227" fillId="111" borderId="423" xfId="0" quotePrefix="1" applyNumberFormat="1" applyFont="1" applyFill="1" applyBorder="1"/>
    <xf numFmtId="169" fontId="228" fillId="50" borderId="400" xfId="7" applyFont="1" applyFill="1" applyBorder="1" applyAlignment="1">
      <alignment horizontal="left" vertical="center" wrapText="1"/>
    </xf>
    <xf numFmtId="0" fontId="62" fillId="0" borderId="400" xfId="0" applyFont="1" applyBorder="1" applyAlignment="1">
      <alignment horizontal="left"/>
    </xf>
    <xf numFmtId="181" fontId="62" fillId="0" borderId="400" xfId="32" applyNumberFormat="1" applyFont="1" applyBorder="1" applyAlignment="1" applyProtection="1">
      <alignment horizontal="right"/>
    </xf>
    <xf numFmtId="3" fontId="62" fillId="0" borderId="400" xfId="0" applyNumberFormat="1" applyFont="1" applyBorder="1" applyAlignment="1">
      <alignment horizontal="right"/>
    </xf>
    <xf numFmtId="0" fontId="369" fillId="0" borderId="0" xfId="0" applyFont="1"/>
    <xf numFmtId="0" fontId="148" fillId="0" borderId="238" xfId="0" applyFont="1" applyBorder="1" applyAlignment="1">
      <alignment horizontal="center" vertical="center"/>
    </xf>
    <xf numFmtId="191" fontId="227" fillId="111" borderId="423" xfId="0" quotePrefix="1" applyNumberFormat="1" applyFont="1" applyFill="1" applyBorder="1" applyProtection="1">
      <protection locked="0"/>
    </xf>
    <xf numFmtId="3" fontId="227" fillId="0" borderId="423" xfId="0" quotePrefix="1" applyNumberFormat="1" applyFont="1" applyBorder="1" applyProtection="1">
      <protection locked="0"/>
    </xf>
    <xf numFmtId="191" fontId="227" fillId="30" borderId="423" xfId="0" quotePrefix="1" applyNumberFormat="1" applyFont="1" applyFill="1" applyBorder="1" applyProtection="1">
      <protection locked="0"/>
    </xf>
    <xf numFmtId="0" fontId="0" fillId="30" borderId="423" xfId="0" applyFill="1" applyBorder="1" applyProtection="1">
      <protection locked="0"/>
    </xf>
    <xf numFmtId="10" fontId="62" fillId="0" borderId="423" xfId="154" applyFont="1" applyFill="1" applyBorder="1" applyAlignment="1" applyProtection="1">
      <alignment horizontal="right"/>
      <protection locked="0"/>
    </xf>
    <xf numFmtId="0" fontId="293" fillId="0" borderId="0" xfId="0" applyFont="1" applyAlignment="1">
      <alignment vertical="center" wrapText="1"/>
    </xf>
    <xf numFmtId="3" fontId="0" fillId="98" borderId="453" xfId="0" applyNumberFormat="1" applyFill="1" applyBorder="1" applyAlignment="1" applyProtection="1">
      <alignment horizontal="right" vertical="center"/>
      <protection locked="0"/>
    </xf>
    <xf numFmtId="49" fontId="0" fillId="94" borderId="209" xfId="0" applyNumberFormat="1" applyFill="1" applyBorder="1" applyAlignment="1">
      <alignment horizontal="right" vertical="center"/>
    </xf>
    <xf numFmtId="49" fontId="18" fillId="94" borderId="31" xfId="32" applyNumberFormat="1" applyFont="1" applyFill="1" applyBorder="1" applyAlignment="1" applyProtection="1">
      <alignment horizontal="right" vertical="center"/>
    </xf>
    <xf numFmtId="49" fontId="18" fillId="94" borderId="23" xfId="32" applyNumberFormat="1" applyFont="1" applyFill="1" applyBorder="1" applyAlignment="1" applyProtection="1">
      <alignment horizontal="right" vertical="center"/>
    </xf>
    <xf numFmtId="49" fontId="0" fillId="94" borderId="436" xfId="0" applyNumberFormat="1" applyFill="1" applyBorder="1" applyAlignment="1">
      <alignment horizontal="right" vertical="center"/>
    </xf>
    <xf numFmtId="0" fontId="0" fillId="94" borderId="453" xfId="0" applyFill="1" applyBorder="1"/>
    <xf numFmtId="3" fontId="0" fillId="98" borderId="452" xfId="0" applyNumberFormat="1" applyFill="1" applyBorder="1" applyAlignment="1" applyProtection="1">
      <alignment horizontal="right" vertical="center"/>
      <protection locked="0"/>
    </xf>
    <xf numFmtId="0" fontId="0" fillId="0" borderId="436" xfId="0" applyBorder="1" applyAlignment="1">
      <alignment horizontal="left" vertical="center" wrapText="1"/>
    </xf>
    <xf numFmtId="0" fontId="0" fillId="94" borderId="452" xfId="0" applyFill="1" applyBorder="1"/>
    <xf numFmtId="3" fontId="208" fillId="27" borderId="436" xfId="40" applyNumberFormat="1" applyFont="1" applyFill="1" applyBorder="1" applyAlignment="1">
      <alignment horizontal="right" vertical="center" wrapText="1"/>
    </xf>
    <xf numFmtId="0" fontId="0" fillId="94" borderId="21" xfId="0" applyFill="1" applyBorder="1"/>
    <xf numFmtId="49" fontId="0" fillId="94" borderId="453" xfId="0" applyNumberFormat="1" applyFill="1" applyBorder="1" applyAlignment="1">
      <alignment horizontal="right" vertical="center"/>
    </xf>
    <xf numFmtId="49" fontId="0" fillId="94" borderId="437" xfId="0" applyNumberFormat="1" applyFill="1" applyBorder="1" applyAlignment="1">
      <alignment horizontal="right" vertical="center"/>
    </xf>
    <xf numFmtId="49" fontId="18" fillId="94" borderId="453" xfId="32" applyNumberFormat="1" applyFont="1" applyFill="1" applyBorder="1" applyAlignment="1" applyProtection="1">
      <alignment horizontal="right" vertical="center"/>
    </xf>
    <xf numFmtId="49" fontId="18" fillId="94" borderId="456" xfId="0" applyNumberFormat="1" applyFont="1" applyFill="1" applyBorder="1" applyAlignment="1">
      <alignment horizontal="right" vertical="center"/>
    </xf>
    <xf numFmtId="0" fontId="0" fillId="94" borderId="390" xfId="0" applyFill="1" applyBorder="1"/>
    <xf numFmtId="0" fontId="18" fillId="27" borderId="452" xfId="32" applyNumberFormat="1" applyFont="1" applyFill="1" applyBorder="1" applyAlignment="1" applyProtection="1">
      <alignment horizontal="left" vertical="center"/>
    </xf>
    <xf numFmtId="3" fontId="62" fillId="147" borderId="148" xfId="0" applyNumberFormat="1" applyFont="1" applyFill="1" applyBorder="1" applyAlignment="1" applyProtection="1">
      <alignment horizontal="right" vertical="center" wrapText="1"/>
      <protection locked="0"/>
    </xf>
    <xf numFmtId="3" fontId="62" fillId="106" borderId="455" xfId="12" applyNumberFormat="1" applyFont="1" applyFill="1" applyBorder="1" applyAlignment="1" applyProtection="1">
      <alignment horizontal="right"/>
    </xf>
    <xf numFmtId="3" fontId="62" fillId="106" borderId="455" xfId="153" applyNumberFormat="1" applyFont="1" applyFill="1" applyBorder="1" applyAlignment="1" applyProtection="1">
      <alignment horizontal="right"/>
    </xf>
    <xf numFmtId="0" fontId="89" fillId="84" borderId="95" xfId="0" applyFont="1" applyFill="1" applyBorder="1" applyAlignment="1">
      <alignment horizontal="left" vertical="center" wrapText="1" indent="1"/>
    </xf>
    <xf numFmtId="0" fontId="89" fillId="84" borderId="96" xfId="0" applyFont="1" applyFill="1" applyBorder="1" applyAlignment="1">
      <alignment horizontal="left" vertical="center" wrapText="1" indent="1"/>
    </xf>
    <xf numFmtId="0" fontId="89" fillId="84" borderId="97" xfId="0" applyFont="1" applyFill="1" applyBorder="1" applyAlignment="1">
      <alignment horizontal="left" vertical="center" wrapText="1" indent="1"/>
    </xf>
    <xf numFmtId="0" fontId="85" fillId="36" borderId="95" xfId="0" applyFont="1" applyFill="1" applyBorder="1" applyAlignment="1">
      <alignment horizontal="left" vertical="center" wrapText="1" indent="1"/>
    </xf>
    <xf numFmtId="0" fontId="85" fillId="36" borderId="96" xfId="0" applyFont="1" applyFill="1" applyBorder="1" applyAlignment="1">
      <alignment horizontal="left" vertical="center" wrapText="1" indent="1"/>
    </xf>
    <xf numFmtId="0" fontId="85" fillId="36" borderId="97" xfId="0" applyFont="1" applyFill="1" applyBorder="1" applyAlignment="1">
      <alignment horizontal="left" vertical="center" wrapText="1" indent="1"/>
    </xf>
    <xf numFmtId="0" fontId="399" fillId="149" borderId="131" xfId="0" applyFont="1" applyFill="1" applyBorder="1" applyAlignment="1">
      <alignment horizontal="left" vertical="center" wrapText="1" indent="1"/>
    </xf>
    <xf numFmtId="0" fontId="399" fillId="149" borderId="132" xfId="0" applyFont="1" applyFill="1" applyBorder="1" applyAlignment="1">
      <alignment horizontal="left" vertical="center" wrapText="1" indent="1"/>
    </xf>
    <xf numFmtId="0" fontId="399" fillId="149" borderId="133" xfId="0" applyFont="1" applyFill="1" applyBorder="1" applyAlignment="1">
      <alignment horizontal="left" vertical="center" wrapText="1" indent="1"/>
    </xf>
    <xf numFmtId="0" fontId="399" fillId="149" borderId="95" xfId="0" applyFont="1" applyFill="1" applyBorder="1" applyAlignment="1">
      <alignment horizontal="left" vertical="center" wrapText="1" indent="1"/>
    </xf>
    <xf numFmtId="0" fontId="399" fillId="149" borderId="96" xfId="0" applyFont="1" applyFill="1" applyBorder="1" applyAlignment="1">
      <alignment horizontal="left" vertical="center" wrapText="1" indent="1"/>
    </xf>
    <xf numFmtId="0" fontId="399" fillId="149" borderId="97" xfId="0" applyFont="1" applyFill="1" applyBorder="1" applyAlignment="1">
      <alignment horizontal="left" vertical="center" wrapText="1" indent="1"/>
    </xf>
    <xf numFmtId="0" fontId="89" fillId="37" borderId="95" xfId="0" applyFont="1" applyFill="1" applyBorder="1" applyAlignment="1">
      <alignment horizontal="left" vertical="center" wrapText="1" indent="1"/>
    </xf>
    <xf numFmtId="0" fontId="89" fillId="37" borderId="96" xfId="0" applyFont="1" applyFill="1" applyBorder="1" applyAlignment="1">
      <alignment horizontal="left" vertical="center" wrapText="1" indent="1"/>
    </xf>
    <xf numFmtId="0" fontId="89" fillId="37" borderId="97" xfId="0" applyFont="1" applyFill="1" applyBorder="1" applyAlignment="1">
      <alignment horizontal="left" vertical="center" wrapText="1" indent="1"/>
    </xf>
    <xf numFmtId="0" fontId="89" fillId="37" borderId="273" xfId="0" applyFont="1" applyFill="1" applyBorder="1" applyAlignment="1">
      <alignment horizontal="left" vertical="center" wrapText="1" indent="1"/>
    </xf>
    <xf numFmtId="0" fontId="89" fillId="37" borderId="274" xfId="0" applyFont="1" applyFill="1" applyBorder="1" applyAlignment="1">
      <alignment horizontal="left" vertical="center" wrapText="1" indent="1"/>
    </xf>
    <xf numFmtId="0" fontId="89" fillId="37" borderId="275" xfId="0" applyFont="1" applyFill="1" applyBorder="1" applyAlignment="1">
      <alignment horizontal="left" vertical="center" wrapText="1" indent="1"/>
    </xf>
    <xf numFmtId="0" fontId="89" fillId="109" borderId="95" xfId="0" applyFont="1" applyFill="1" applyBorder="1" applyAlignment="1">
      <alignment horizontal="left" vertical="center" wrapText="1" indent="1"/>
    </xf>
    <xf numFmtId="0" fontId="89" fillId="109" borderId="96" xfId="0" applyFont="1" applyFill="1" applyBorder="1" applyAlignment="1">
      <alignment horizontal="left" vertical="center" wrapText="1" indent="1"/>
    </xf>
    <xf numFmtId="0" fontId="89" fillId="109" borderId="97" xfId="0" applyFont="1" applyFill="1" applyBorder="1" applyAlignment="1">
      <alignment horizontal="left" vertical="center" wrapText="1" indent="1"/>
    </xf>
    <xf numFmtId="0" fontId="85" fillId="31" borderId="95" xfId="0" applyFont="1" applyFill="1" applyBorder="1" applyAlignment="1">
      <alignment horizontal="left" vertical="center" wrapText="1" indent="1"/>
    </xf>
    <xf numFmtId="0" fontId="85" fillId="31" borderId="96" xfId="0" applyFont="1" applyFill="1" applyBorder="1" applyAlignment="1">
      <alignment horizontal="left" vertical="center" wrapText="1" indent="1"/>
    </xf>
    <xf numFmtId="0" fontId="85" fillId="31" borderId="97" xfId="0" applyFont="1" applyFill="1" applyBorder="1" applyAlignment="1">
      <alignment horizontal="left" vertical="center" wrapText="1" indent="1"/>
    </xf>
    <xf numFmtId="0" fontId="85" fillId="37" borderId="95" xfId="0" applyFont="1" applyFill="1" applyBorder="1" applyAlignment="1">
      <alignment horizontal="left" vertical="center" wrapText="1" indent="1"/>
    </xf>
    <xf numFmtId="0" fontId="85" fillId="37" borderId="96" xfId="0" applyFont="1" applyFill="1" applyBorder="1" applyAlignment="1">
      <alignment horizontal="left" vertical="center" wrapText="1" indent="1"/>
    </xf>
    <xf numFmtId="0" fontId="85" fillId="37" borderId="97" xfId="0" applyFont="1" applyFill="1" applyBorder="1" applyAlignment="1">
      <alignment horizontal="left" vertical="center" wrapText="1" indent="1"/>
    </xf>
    <xf numFmtId="0" fontId="85" fillId="36" borderId="98" xfId="0" applyFont="1" applyFill="1" applyBorder="1" applyAlignment="1">
      <alignment horizontal="left" vertical="center" wrapText="1" indent="1"/>
    </xf>
    <xf numFmtId="0" fontId="85" fillId="36" borderId="99" xfId="0" applyFont="1" applyFill="1" applyBorder="1" applyAlignment="1">
      <alignment horizontal="left" vertical="center" wrapText="1" indent="1"/>
    </xf>
    <xf numFmtId="0" fontId="85" fillId="36" borderId="100" xfId="0" applyFont="1" applyFill="1" applyBorder="1" applyAlignment="1">
      <alignment horizontal="left" vertical="center" wrapText="1" indent="1"/>
    </xf>
    <xf numFmtId="0" fontId="85" fillId="36" borderId="137" xfId="0" applyFont="1" applyFill="1" applyBorder="1" applyAlignment="1">
      <alignment horizontal="left" vertical="center" wrapText="1" indent="1"/>
    </xf>
    <xf numFmtId="0" fontId="85" fillId="36" borderId="138" xfId="0" applyFont="1" applyFill="1" applyBorder="1" applyAlignment="1">
      <alignment horizontal="left" vertical="center" wrapText="1" indent="1"/>
    </xf>
    <xf numFmtId="0" fontId="85" fillId="36" borderId="139" xfId="0" applyFont="1" applyFill="1" applyBorder="1" applyAlignment="1">
      <alignment horizontal="left" vertical="center" wrapText="1" indent="1"/>
    </xf>
    <xf numFmtId="0" fontId="85" fillId="36" borderId="129" xfId="0" applyFont="1" applyFill="1" applyBorder="1" applyAlignment="1">
      <alignment horizontal="left" vertical="center" wrapText="1" indent="1"/>
    </xf>
    <xf numFmtId="0" fontId="85" fillId="36" borderId="94" xfId="0" applyFont="1" applyFill="1" applyBorder="1" applyAlignment="1">
      <alignment horizontal="left" vertical="center" wrapText="1" indent="1"/>
    </xf>
    <xf numFmtId="0" fontId="85" fillId="36" borderId="130" xfId="0" applyFont="1" applyFill="1" applyBorder="1" applyAlignment="1">
      <alignment horizontal="left" vertical="center" wrapText="1" indent="1"/>
    </xf>
    <xf numFmtId="0" fontId="89" fillId="108" borderId="95" xfId="0" applyFont="1" applyFill="1" applyBorder="1" applyAlignment="1">
      <alignment horizontal="left" vertical="center" wrapText="1" indent="1"/>
    </xf>
    <xf numFmtId="0" fontId="89" fillId="108" borderId="96" xfId="0" applyFont="1" applyFill="1" applyBorder="1" applyAlignment="1">
      <alignment horizontal="left" vertical="center" wrapText="1" indent="1"/>
    </xf>
    <xf numFmtId="0" fontId="89" fillId="108" borderId="97" xfId="0" applyFont="1" applyFill="1" applyBorder="1" applyAlignment="1">
      <alignment horizontal="left" vertical="center" wrapText="1" indent="1"/>
    </xf>
    <xf numFmtId="0" fontId="73" fillId="0" borderId="94" xfId="0" applyFont="1" applyBorder="1" applyAlignment="1">
      <alignment horizontal="left"/>
    </xf>
    <xf numFmtId="0" fontId="85" fillId="37" borderId="321" xfId="0" applyFont="1" applyFill="1" applyBorder="1" applyAlignment="1">
      <alignment horizontal="left" vertical="center" wrapText="1" indent="1"/>
    </xf>
    <xf numFmtId="0" fontId="85" fillId="37" borderId="249" xfId="0" applyFont="1" applyFill="1" applyBorder="1" applyAlignment="1">
      <alignment horizontal="left" vertical="center" wrapText="1" indent="1"/>
    </xf>
    <xf numFmtId="0" fontId="85" fillId="37" borderId="322" xfId="0" applyFont="1" applyFill="1" applyBorder="1" applyAlignment="1">
      <alignment horizontal="left" vertical="center" wrapText="1" indent="1"/>
    </xf>
    <xf numFmtId="0" fontId="85" fillId="37" borderId="131" xfId="0" applyFont="1" applyFill="1" applyBorder="1" applyAlignment="1">
      <alignment horizontal="left" vertical="center" wrapText="1" indent="1"/>
    </xf>
    <xf numFmtId="0" fontId="85" fillId="37" borderId="132" xfId="0" applyFont="1" applyFill="1" applyBorder="1" applyAlignment="1">
      <alignment horizontal="left" vertical="center" wrapText="1" indent="1"/>
    </xf>
    <xf numFmtId="0" fontId="85" fillId="37" borderId="133" xfId="0" applyFont="1" applyFill="1" applyBorder="1" applyAlignment="1">
      <alignment horizontal="left" vertical="center" wrapText="1" indent="1"/>
    </xf>
    <xf numFmtId="0" fontId="397" fillId="146" borderId="448" xfId="0" applyFont="1" applyFill="1" applyBorder="1" applyAlignment="1">
      <alignment horizontal="left"/>
    </xf>
    <xf numFmtId="0" fontId="397" fillId="146" borderId="449" xfId="0" applyFont="1" applyFill="1" applyBorder="1" applyAlignment="1">
      <alignment horizontal="left"/>
    </xf>
    <xf numFmtId="0" fontId="397" fillId="146" borderId="448" xfId="0" applyFont="1" applyFill="1" applyBorder="1" applyAlignment="1">
      <alignment horizontal="left" wrapText="1"/>
    </xf>
    <xf numFmtId="0" fontId="89" fillId="0" borderId="82" xfId="0" applyFont="1" applyBorder="1" applyAlignment="1">
      <alignment horizontal="center" vertical="center" wrapText="1"/>
    </xf>
    <xf numFmtId="0" fontId="89" fillId="0" borderId="144" xfId="0" applyFont="1" applyBorder="1" applyAlignment="1">
      <alignment horizontal="center" vertical="center" wrapText="1"/>
    </xf>
    <xf numFmtId="0" fontId="89" fillId="0" borderId="146" xfId="0" applyFont="1" applyBorder="1" applyAlignment="1">
      <alignment horizontal="center" vertical="center" wrapText="1"/>
    </xf>
    <xf numFmtId="0" fontId="94" fillId="0" borderId="82" xfId="0" applyFont="1" applyBorder="1" applyAlignment="1">
      <alignment horizontal="center" vertical="center" wrapText="1"/>
    </xf>
    <xf numFmtId="0" fontId="94" fillId="0" borderId="144" xfId="0" applyFont="1" applyBorder="1" applyAlignment="1">
      <alignment horizontal="center" vertical="center" wrapText="1"/>
    </xf>
    <xf numFmtId="0" fontId="94" fillId="0" borderId="146" xfId="0" applyFont="1" applyBorder="1" applyAlignment="1">
      <alignment horizontal="center" vertical="center" wrapText="1"/>
    </xf>
    <xf numFmtId="0" fontId="89" fillId="0" borderId="280" xfId="0" applyFont="1" applyBorder="1" applyAlignment="1">
      <alignment horizontal="center" vertical="center" wrapText="1"/>
    </xf>
    <xf numFmtId="0" fontId="89" fillId="0" borderId="244" xfId="0" applyFont="1" applyBorder="1" applyAlignment="1">
      <alignment horizontal="center" vertical="center" wrapText="1"/>
    </xf>
    <xf numFmtId="0" fontId="89" fillId="0" borderId="281" xfId="0" applyFont="1" applyBorder="1" applyAlignment="1">
      <alignment horizontal="center" vertical="center" wrapText="1"/>
    </xf>
    <xf numFmtId="0" fontId="94" fillId="0" borderId="280" xfId="0" applyFont="1" applyBorder="1" applyAlignment="1">
      <alignment horizontal="center" vertical="center" wrapText="1"/>
    </xf>
    <xf numFmtId="0" fontId="94" fillId="0" borderId="244" xfId="0" applyFont="1" applyBorder="1" applyAlignment="1">
      <alignment horizontal="center" vertical="center" wrapText="1"/>
    </xf>
    <xf numFmtId="0" fontId="94" fillId="0" borderId="281" xfId="0" applyFont="1" applyBorder="1" applyAlignment="1">
      <alignment horizontal="center" vertical="center" wrapText="1"/>
    </xf>
    <xf numFmtId="169" fontId="159" fillId="0" borderId="0" xfId="0" applyNumberFormat="1" applyFont="1" applyAlignment="1">
      <alignment horizontal="left" vertical="center"/>
    </xf>
    <xf numFmtId="0" fontId="159" fillId="0" borderId="0" xfId="0" applyFont="1" applyAlignment="1">
      <alignment horizontal="left" vertical="center"/>
    </xf>
    <xf numFmtId="169" fontId="89" fillId="0" borderId="156" xfId="0" applyNumberFormat="1" applyFont="1" applyBorder="1" applyAlignment="1">
      <alignment horizontal="center" vertical="center"/>
    </xf>
    <xf numFmtId="169" fontId="89" fillId="0" borderId="157" xfId="0" applyNumberFormat="1" applyFont="1" applyBorder="1" applyAlignment="1">
      <alignment horizontal="center" vertical="center"/>
    </xf>
    <xf numFmtId="169" fontId="89" fillId="0" borderId="158" xfId="0" applyNumberFormat="1" applyFont="1" applyBorder="1" applyAlignment="1">
      <alignment horizontal="center" vertical="center"/>
    </xf>
    <xf numFmtId="169" fontId="89" fillId="0" borderId="284" xfId="0" applyNumberFormat="1" applyFont="1" applyBorder="1" applyAlignment="1">
      <alignment horizontal="center" vertical="center"/>
    </xf>
    <xf numFmtId="169" fontId="89" fillId="0" borderId="242" xfId="0" applyNumberFormat="1" applyFont="1" applyBorder="1" applyAlignment="1">
      <alignment horizontal="center" vertical="center"/>
    </xf>
    <xf numFmtId="169" fontId="89" fillId="0" borderId="185" xfId="0" applyNumberFormat="1" applyFont="1" applyBorder="1" applyAlignment="1">
      <alignment horizontal="center" vertical="center"/>
    </xf>
    <xf numFmtId="0" fontId="24" fillId="0" borderId="0" xfId="0" applyFont="1" applyAlignment="1">
      <alignment horizontal="center" vertical="center"/>
    </xf>
    <xf numFmtId="169" fontId="24" fillId="0" borderId="0" xfId="0" applyNumberFormat="1" applyFont="1" applyAlignment="1">
      <alignment horizontal="center" vertical="center"/>
    </xf>
    <xf numFmtId="169" fontId="89" fillId="5" borderId="26" xfId="0" applyNumberFormat="1" applyFont="1" applyFill="1" applyBorder="1" applyAlignment="1" applyProtection="1">
      <alignment horizontal="center" vertical="center" wrapText="1"/>
      <protection locked="0"/>
    </xf>
    <xf numFmtId="169" fontId="89" fillId="5" borderId="21" xfId="0" applyNumberFormat="1" applyFont="1" applyFill="1" applyBorder="1" applyAlignment="1" applyProtection="1">
      <alignment horizontal="center" vertical="center" wrapText="1"/>
      <protection locked="0"/>
    </xf>
    <xf numFmtId="169" fontId="89" fillId="5" borderId="19" xfId="0" applyNumberFormat="1" applyFont="1" applyFill="1" applyBorder="1" applyAlignment="1" applyProtection="1">
      <alignment horizontal="center" vertical="center" wrapText="1"/>
      <protection locked="0"/>
    </xf>
    <xf numFmtId="169" fontId="62" fillId="5" borderId="25" xfId="0" applyNumberFormat="1" applyFont="1" applyFill="1" applyBorder="1" applyAlignment="1" applyProtection="1">
      <alignment horizontal="center" vertical="center" wrapText="1"/>
      <protection locked="0"/>
    </xf>
    <xf numFmtId="169" fontId="62" fillId="5" borderId="215" xfId="0" applyNumberFormat="1" applyFont="1" applyFill="1" applyBorder="1" applyAlignment="1" applyProtection="1">
      <alignment horizontal="center" vertical="center" wrapText="1"/>
      <protection locked="0"/>
    </xf>
    <xf numFmtId="169" fontId="62" fillId="5" borderId="18" xfId="0" applyNumberFormat="1" applyFont="1" applyFill="1" applyBorder="1" applyAlignment="1" applyProtection="1">
      <alignment horizontal="center" vertical="center" wrapText="1"/>
      <protection locked="0"/>
    </xf>
    <xf numFmtId="49" fontId="62" fillId="28" borderId="25" xfId="0" applyNumberFormat="1" applyFont="1" applyFill="1" applyBorder="1" applyAlignment="1" applyProtection="1">
      <alignment horizontal="center" vertical="center" wrapText="1"/>
      <protection locked="0"/>
    </xf>
    <xf numFmtId="49" fontId="62" fillId="28" borderId="215" xfId="0" applyNumberFormat="1" applyFont="1" applyFill="1" applyBorder="1" applyAlignment="1" applyProtection="1">
      <alignment horizontal="center" vertical="center" wrapText="1"/>
      <protection locked="0"/>
    </xf>
    <xf numFmtId="49" fontId="62" fillId="28" borderId="18" xfId="0" applyNumberFormat="1" applyFont="1" applyFill="1" applyBorder="1" applyAlignment="1" applyProtection="1">
      <alignment horizontal="center" vertical="center" wrapText="1"/>
      <protection locked="0"/>
    </xf>
    <xf numFmtId="169" fontId="62" fillId="28" borderId="25" xfId="0" applyNumberFormat="1" applyFont="1" applyFill="1" applyBorder="1" applyAlignment="1" applyProtection="1">
      <alignment horizontal="center" vertical="center"/>
      <protection locked="0"/>
    </xf>
    <xf numFmtId="169" fontId="62" fillId="28" borderId="215" xfId="0" applyNumberFormat="1" applyFont="1" applyFill="1" applyBorder="1" applyAlignment="1" applyProtection="1">
      <alignment horizontal="center" vertical="center"/>
      <protection locked="0"/>
    </xf>
    <xf numFmtId="169" fontId="62" fillId="28" borderId="18" xfId="0" applyNumberFormat="1" applyFont="1" applyFill="1" applyBorder="1" applyAlignment="1" applyProtection="1">
      <alignment horizontal="center" vertical="center"/>
      <protection locked="0"/>
    </xf>
    <xf numFmtId="0" fontId="186" fillId="67" borderId="28" xfId="0" applyFont="1" applyFill="1" applyBorder="1" applyAlignment="1">
      <alignment horizontal="center" vertical="center" wrapText="1"/>
    </xf>
    <xf numFmtId="0" fontId="186" fillId="67" borderId="215" xfId="0" applyFont="1" applyFill="1" applyBorder="1" applyAlignment="1">
      <alignment horizontal="center" vertical="center" wrapText="1"/>
    </xf>
    <xf numFmtId="0" fontId="186" fillId="67" borderId="216" xfId="0" applyFont="1" applyFill="1" applyBorder="1" applyAlignment="1">
      <alignment horizontal="center" vertical="center" wrapText="1"/>
    </xf>
    <xf numFmtId="169" fontId="24" fillId="0" borderId="0" xfId="0" applyNumberFormat="1" applyFont="1" applyAlignment="1">
      <alignment horizontal="left" vertical="center"/>
    </xf>
    <xf numFmtId="0" fontId="89" fillId="4" borderId="28" xfId="0" applyFont="1" applyFill="1" applyBorder="1" applyAlignment="1">
      <alignment horizontal="center" vertical="center" wrapText="1"/>
    </xf>
    <xf numFmtId="0" fontId="89" fillId="4" borderId="9" xfId="0" applyFont="1" applyFill="1" applyBorder="1" applyAlignment="1">
      <alignment horizontal="center" vertical="center" wrapText="1"/>
    </xf>
    <xf numFmtId="169" fontId="89" fillId="4" borderId="38" xfId="0" applyNumberFormat="1" applyFont="1" applyFill="1" applyBorder="1" applyAlignment="1">
      <alignment horizontal="center" vertical="center" wrapText="1"/>
    </xf>
    <xf numFmtId="169" fontId="89" fillId="4" borderId="10" xfId="0" applyNumberFormat="1" applyFont="1" applyFill="1" applyBorder="1" applyAlignment="1">
      <alignment horizontal="center" vertical="center" wrapText="1"/>
    </xf>
    <xf numFmtId="0" fontId="91" fillId="20" borderId="400" xfId="0" applyFont="1" applyFill="1" applyBorder="1" applyAlignment="1">
      <alignment horizontal="center" vertical="center" wrapText="1"/>
    </xf>
    <xf numFmtId="0" fontId="91" fillId="73" borderId="349" xfId="0" applyFont="1" applyFill="1" applyBorder="1" applyAlignment="1">
      <alignment horizontal="center" vertical="center"/>
    </xf>
    <xf numFmtId="0" fontId="15" fillId="27" borderId="400" xfId="0" applyFont="1" applyFill="1" applyBorder="1" applyAlignment="1">
      <alignment vertical="center" wrapText="1"/>
    </xf>
    <xf numFmtId="0" fontId="15" fillId="0" borderId="0" xfId="0" applyFont="1" applyAlignment="1">
      <alignment vertical="center" wrapText="1"/>
    </xf>
    <xf numFmtId="0" fontId="91" fillId="0" borderId="400" xfId="0" applyFont="1" applyBorder="1" applyAlignment="1">
      <alignment horizontal="center" vertical="top" wrapText="1"/>
    </xf>
    <xf numFmtId="0" fontId="62" fillId="27" borderId="400" xfId="0" applyFont="1" applyFill="1" applyBorder="1" applyAlignment="1">
      <alignment horizontal="center" vertical="center" wrapText="1"/>
    </xf>
    <xf numFmtId="0" fontId="1" fillId="32" borderId="436" xfId="0" applyFont="1" applyFill="1" applyBorder="1" applyAlignment="1">
      <alignment horizontal="center" vertical="center" wrapText="1"/>
    </xf>
    <xf numFmtId="0" fontId="1" fillId="32" borderId="435" xfId="0" applyFont="1" applyFill="1" applyBorder="1" applyAlignment="1">
      <alignment horizontal="center" vertical="center" wrapText="1"/>
    </xf>
    <xf numFmtId="0" fontId="91" fillId="85" borderId="436" xfId="0" applyFont="1" applyFill="1" applyBorder="1" applyAlignment="1">
      <alignment horizontal="center" vertical="center"/>
    </xf>
    <xf numFmtId="0" fontId="91" fillId="85" borderId="437" xfId="0" applyFont="1" applyFill="1" applyBorder="1" applyAlignment="1">
      <alignment horizontal="center" vertical="center"/>
    </xf>
    <xf numFmtId="0" fontId="91" fillId="85" borderId="435" xfId="0" applyFont="1" applyFill="1" applyBorder="1" applyAlignment="1">
      <alignment horizontal="center" vertical="center"/>
    </xf>
    <xf numFmtId="0" fontId="1" fillId="32" borderId="438" xfId="0" applyFont="1" applyFill="1" applyBorder="1" applyAlignment="1">
      <alignment horizontal="center" vertical="center"/>
    </xf>
    <xf numFmtId="0" fontId="1" fillId="32" borderId="432" xfId="0" applyFont="1" applyFill="1" applyBorder="1" applyAlignment="1">
      <alignment horizontal="center" vertical="center"/>
    </xf>
    <xf numFmtId="0" fontId="1" fillId="32" borderId="247" xfId="0" applyFont="1" applyFill="1" applyBorder="1" applyAlignment="1">
      <alignment horizontal="center" vertical="center"/>
    </xf>
    <xf numFmtId="0" fontId="1" fillId="32" borderId="11" xfId="0" applyFont="1" applyFill="1" applyBorder="1" applyAlignment="1">
      <alignment horizontal="center" vertical="center"/>
    </xf>
    <xf numFmtId="0" fontId="1" fillId="32" borderId="381" xfId="0" applyFont="1" applyFill="1" applyBorder="1" applyAlignment="1">
      <alignment horizontal="center" vertical="center"/>
    </xf>
    <xf numFmtId="0" fontId="1" fillId="32" borderId="27" xfId="0" applyFont="1" applyFill="1" applyBorder="1" applyAlignment="1">
      <alignment horizontal="center" vertical="center"/>
    </xf>
    <xf numFmtId="0" fontId="91" fillId="11" borderId="436" xfId="0" applyFont="1" applyFill="1" applyBorder="1" applyAlignment="1">
      <alignment horizontal="center" vertical="center"/>
    </xf>
    <xf numFmtId="0" fontId="91" fillId="11" borderId="437" xfId="0" applyFont="1" applyFill="1" applyBorder="1" applyAlignment="1">
      <alignment horizontal="center" vertical="center"/>
    </xf>
    <xf numFmtId="0" fontId="91" fillId="11" borderId="435" xfId="0" applyFont="1" applyFill="1" applyBorder="1" applyAlignment="1">
      <alignment horizontal="center" vertical="center"/>
    </xf>
    <xf numFmtId="0" fontId="1" fillId="0" borderId="400" xfId="0" applyFont="1" applyBorder="1" applyAlignment="1">
      <alignment horizontal="center" vertical="center" wrapText="1"/>
    </xf>
    <xf numFmtId="0" fontId="1" fillId="0" borderId="445" xfId="0" applyFont="1" applyBorder="1" applyAlignment="1">
      <alignment horizontal="center" vertical="center" wrapText="1"/>
    </xf>
    <xf numFmtId="0" fontId="1" fillId="0" borderId="252" xfId="0" applyFont="1" applyBorder="1" applyAlignment="1">
      <alignment horizontal="center" vertical="center" wrapText="1"/>
    </xf>
    <xf numFmtId="0" fontId="91" fillId="3" borderId="436" xfId="0" applyFont="1" applyFill="1" applyBorder="1" applyAlignment="1">
      <alignment horizontal="center" vertical="center"/>
    </xf>
    <xf numFmtId="0" fontId="91" fillId="3" borderId="437" xfId="0" applyFont="1" applyFill="1" applyBorder="1" applyAlignment="1">
      <alignment horizontal="center" vertical="center"/>
    </xf>
    <xf numFmtId="1" fontId="91" fillId="32" borderId="400" xfId="0" applyNumberFormat="1" applyFont="1" applyFill="1" applyBorder="1" applyAlignment="1">
      <alignment horizontal="center" vertical="center" wrapText="1"/>
    </xf>
    <xf numFmtId="0" fontId="1" fillId="32" borderId="438" xfId="0" applyFont="1" applyFill="1" applyBorder="1" applyAlignment="1">
      <alignment horizontal="center" vertical="center" wrapText="1"/>
    </xf>
    <xf numFmtId="0" fontId="1" fillId="32" borderId="432" xfId="0" applyFont="1" applyFill="1" applyBorder="1" applyAlignment="1">
      <alignment horizontal="center" vertical="center" wrapText="1"/>
    </xf>
    <xf numFmtId="0" fontId="1" fillId="32" borderId="381" xfId="0" applyFont="1" applyFill="1" applyBorder="1" applyAlignment="1">
      <alignment horizontal="center" vertical="center" wrapText="1"/>
    </xf>
    <xf numFmtId="0" fontId="1" fillId="32" borderId="27" xfId="0" applyFont="1" applyFill="1" applyBorder="1" applyAlignment="1">
      <alignment horizontal="center" vertical="center" wrapText="1"/>
    </xf>
    <xf numFmtId="0" fontId="1" fillId="32" borderId="436" xfId="0" applyFont="1" applyFill="1" applyBorder="1" applyAlignment="1">
      <alignment horizontal="center" vertical="center"/>
    </xf>
    <xf numFmtId="0" fontId="1" fillId="32" borderId="435" xfId="0" applyFont="1" applyFill="1" applyBorder="1" applyAlignment="1">
      <alignment horizontal="center" vertical="center"/>
    </xf>
    <xf numFmtId="0" fontId="1" fillId="32" borderId="400" xfId="0" applyFont="1" applyFill="1" applyBorder="1" applyAlignment="1">
      <alignment horizontal="center" vertical="center" wrapText="1"/>
    </xf>
    <xf numFmtId="0" fontId="91" fillId="3" borderId="435" xfId="0" applyFont="1" applyFill="1" applyBorder="1" applyAlignment="1">
      <alignment horizontal="center" vertical="center"/>
    </xf>
    <xf numFmtId="171" fontId="91" fillId="49" borderId="436" xfId="31" applyNumberFormat="1" applyFont="1" applyFill="1" applyBorder="1" applyAlignment="1" applyProtection="1">
      <alignment horizontal="center" vertical="center" wrapText="1"/>
    </xf>
    <xf numFmtId="171" fontId="91" fillId="49" borderId="435" xfId="31" applyNumberFormat="1" applyFont="1" applyFill="1" applyBorder="1" applyAlignment="1" applyProtection="1">
      <alignment horizontal="center" vertical="center" wrapText="1"/>
    </xf>
    <xf numFmtId="3" fontId="91" fillId="49" borderId="436" xfId="0" applyNumberFormat="1" applyFont="1" applyFill="1" applyBorder="1" applyAlignment="1">
      <alignment horizontal="center" vertical="center"/>
    </xf>
    <xf numFmtId="3" fontId="91" fillId="49" borderId="435" xfId="0" applyNumberFormat="1" applyFont="1" applyFill="1" applyBorder="1" applyAlignment="1">
      <alignment horizontal="center" vertical="center"/>
    </xf>
    <xf numFmtId="2" fontId="91" fillId="32" borderId="436" xfId="0" applyNumberFormat="1" applyFont="1" applyFill="1" applyBorder="1" applyAlignment="1">
      <alignment horizontal="center" vertical="center"/>
    </xf>
    <xf numFmtId="2" fontId="91" fillId="32" borderId="435" xfId="0" applyNumberFormat="1" applyFont="1" applyFill="1" applyBorder="1" applyAlignment="1">
      <alignment horizontal="center" vertical="center"/>
    </xf>
    <xf numFmtId="3" fontId="349" fillId="32" borderId="436" xfId="0" applyNumberFormat="1" applyFont="1" applyFill="1" applyBorder="1" applyAlignment="1">
      <alignment horizontal="center" vertical="center"/>
    </xf>
    <xf numFmtId="3" fontId="349" fillId="32" borderId="435" xfId="0" applyNumberFormat="1" applyFont="1" applyFill="1" applyBorder="1" applyAlignment="1">
      <alignment horizontal="center" vertical="center"/>
    </xf>
    <xf numFmtId="3" fontId="1" fillId="32" borderId="438" xfId="0" applyNumberFormat="1" applyFont="1" applyFill="1" applyBorder="1" applyAlignment="1">
      <alignment horizontal="center" vertical="center" wrapText="1"/>
    </xf>
    <xf numFmtId="3" fontId="1" fillId="32" borderId="432" xfId="0" applyNumberFormat="1" applyFont="1" applyFill="1" applyBorder="1" applyAlignment="1">
      <alignment horizontal="center" vertical="center" wrapText="1"/>
    </xf>
    <xf numFmtId="3" fontId="1" fillId="32" borderId="247" xfId="0" applyNumberFormat="1" applyFont="1" applyFill="1" applyBorder="1" applyAlignment="1">
      <alignment horizontal="center" vertical="center" wrapText="1"/>
    </xf>
    <xf numFmtId="3" fontId="1" fillId="32" borderId="11" xfId="0" applyNumberFormat="1" applyFont="1" applyFill="1" applyBorder="1" applyAlignment="1">
      <alignment horizontal="center" vertical="center" wrapText="1"/>
    </xf>
    <xf numFmtId="3" fontId="1" fillId="32" borderId="381" xfId="0" applyNumberFormat="1" applyFont="1" applyFill="1" applyBorder="1" applyAlignment="1">
      <alignment horizontal="center" vertical="center" wrapText="1"/>
    </xf>
    <xf numFmtId="3" fontId="1" fillId="32" borderId="27" xfId="0" applyNumberFormat="1" applyFont="1" applyFill="1" applyBorder="1" applyAlignment="1">
      <alignment horizontal="center" vertical="center" wrapText="1"/>
    </xf>
    <xf numFmtId="0" fontId="91" fillId="32" borderId="438" xfId="0" applyFont="1" applyFill="1" applyBorder="1" applyAlignment="1">
      <alignment horizontal="center" vertical="center" wrapText="1"/>
    </xf>
    <xf numFmtId="0" fontId="91" fillId="32" borderId="432" xfId="0" applyFont="1" applyFill="1" applyBorder="1" applyAlignment="1">
      <alignment horizontal="center" vertical="center" wrapText="1"/>
    </xf>
    <xf numFmtId="0" fontId="91" fillId="32" borderId="247" xfId="0" applyFont="1" applyFill="1" applyBorder="1" applyAlignment="1">
      <alignment horizontal="center" vertical="center" wrapText="1"/>
    </xf>
    <xf numFmtId="0" fontId="91" fillId="32" borderId="11" xfId="0" applyFont="1" applyFill="1" applyBorder="1" applyAlignment="1">
      <alignment horizontal="center" vertical="center" wrapText="1"/>
    </xf>
    <xf numFmtId="0" fontId="91" fillId="32" borderId="381" xfId="0" applyFont="1" applyFill="1" applyBorder="1" applyAlignment="1">
      <alignment horizontal="center" vertical="center" wrapText="1"/>
    </xf>
    <xf numFmtId="0" fontId="91" fillId="32" borderId="221" xfId="0" applyFont="1" applyFill="1" applyBorder="1" applyAlignment="1">
      <alignment horizontal="center" vertical="center" wrapText="1"/>
    </xf>
    <xf numFmtId="0" fontId="1" fillId="0" borderId="406" xfId="0" applyFont="1" applyBorder="1" applyAlignment="1">
      <alignment horizontal="center" vertical="center" wrapText="1"/>
    </xf>
    <xf numFmtId="0" fontId="1" fillId="0" borderId="215" xfId="0" applyFont="1" applyBorder="1" applyAlignment="1">
      <alignment horizontal="center" vertical="center" wrapText="1"/>
    </xf>
    <xf numFmtId="0" fontId="1" fillId="0" borderId="368" xfId="0" applyFont="1" applyBorder="1" applyAlignment="1">
      <alignment horizontal="center" vertical="center" wrapText="1"/>
    </xf>
    <xf numFmtId="3" fontId="1" fillId="32" borderId="436" xfId="0" applyNumberFormat="1" applyFont="1" applyFill="1" applyBorder="1" applyAlignment="1">
      <alignment horizontal="center" vertical="center" wrapText="1"/>
    </xf>
    <xf numFmtId="3" fontId="1" fillId="32" borderId="435" xfId="0" applyNumberFormat="1" applyFont="1" applyFill="1" applyBorder="1" applyAlignment="1">
      <alignment horizontal="center" vertical="center" wrapText="1"/>
    </xf>
    <xf numFmtId="0" fontId="348" fillId="32" borderId="247" xfId="0" applyFont="1" applyFill="1" applyBorder="1" applyAlignment="1">
      <alignment horizontal="right" vertical="center"/>
    </xf>
    <xf numFmtId="0" fontId="348" fillId="32" borderId="11" xfId="0" applyFont="1" applyFill="1" applyBorder="1" applyAlignment="1">
      <alignment horizontal="right" vertical="center"/>
    </xf>
    <xf numFmtId="169" fontId="61" fillId="4" borderId="210" xfId="0" applyNumberFormat="1" applyFont="1" applyFill="1" applyBorder="1" applyAlignment="1">
      <alignment horizontal="center"/>
    </xf>
    <xf numFmtId="0" fontId="88" fillId="68" borderId="455" xfId="7" applyNumberFormat="1" applyFont="1" applyFill="1" applyBorder="1" applyAlignment="1">
      <alignment horizontal="center" vertical="center" wrapText="1"/>
    </xf>
    <xf numFmtId="0" fontId="89" fillId="68" borderId="455" xfId="7" applyNumberFormat="1" applyFont="1" applyFill="1" applyBorder="1" applyAlignment="1">
      <alignment horizontal="center" vertical="center" wrapText="1"/>
    </xf>
    <xf numFmtId="0" fontId="214" fillId="12" borderId="0" xfId="0" applyFont="1" applyFill="1" applyAlignment="1">
      <alignment horizontal="center"/>
    </xf>
    <xf numFmtId="0" fontId="216" fillId="12" borderId="0" xfId="0" applyFont="1" applyFill="1" applyAlignment="1">
      <alignment horizontal="center"/>
    </xf>
    <xf numFmtId="0" fontId="218" fillId="50" borderId="238" xfId="0" applyFont="1" applyFill="1" applyBorder="1" applyAlignment="1">
      <alignment horizontal="center" vertical="center" wrapText="1"/>
    </xf>
    <xf numFmtId="0" fontId="218" fillId="50" borderId="432" xfId="0" applyFont="1" applyFill="1" applyBorder="1" applyAlignment="1">
      <alignment horizontal="center" vertical="center" wrapText="1"/>
    </xf>
    <xf numFmtId="0" fontId="0" fillId="0" borderId="11" xfId="0" applyBorder="1"/>
    <xf numFmtId="0" fontId="221" fillId="0" borderId="0" xfId="0" applyFont="1" applyAlignment="1">
      <alignment horizontal="left" wrapText="1"/>
    </xf>
    <xf numFmtId="0" fontId="224" fillId="29" borderId="186" xfId="0" applyFont="1" applyFill="1" applyBorder="1" applyAlignment="1">
      <alignment horizontal="center"/>
    </xf>
    <xf numFmtId="0" fontId="224" fillId="29" borderId="185" xfId="0" applyFont="1" applyFill="1" applyBorder="1" applyAlignment="1">
      <alignment horizontal="center"/>
    </xf>
    <xf numFmtId="3" fontId="264" fillId="29" borderId="186" xfId="0" applyNumberFormat="1" applyFont="1" applyFill="1" applyBorder="1" applyAlignment="1">
      <alignment horizontal="center"/>
    </xf>
    <xf numFmtId="3" fontId="264" fillId="29" borderId="242" xfId="0" applyNumberFormat="1" applyFont="1" applyFill="1" applyBorder="1" applyAlignment="1">
      <alignment horizontal="center"/>
    </xf>
    <xf numFmtId="3" fontId="264" fillId="28" borderId="186" xfId="0" applyNumberFormat="1" applyFont="1" applyFill="1" applyBorder="1" applyAlignment="1">
      <alignment horizontal="center"/>
    </xf>
    <xf numFmtId="3" fontId="264" fillId="28" borderId="242" xfId="0" applyNumberFormat="1" applyFont="1" applyFill="1" applyBorder="1" applyAlignment="1">
      <alignment horizontal="center"/>
    </xf>
    <xf numFmtId="3" fontId="264" fillId="54" borderId="238" xfId="0" applyNumberFormat="1" applyFont="1" applyFill="1" applyBorder="1" applyAlignment="1">
      <alignment horizontal="center"/>
    </xf>
    <xf numFmtId="3" fontId="264" fillId="30" borderId="186" xfId="0" applyNumberFormat="1" applyFont="1" applyFill="1" applyBorder="1" applyAlignment="1">
      <alignment horizontal="center"/>
    </xf>
    <xf numFmtId="3" fontId="264" fillId="30" borderId="242" xfId="0" applyNumberFormat="1" applyFont="1" applyFill="1" applyBorder="1" applyAlignment="1">
      <alignment horizontal="center"/>
    </xf>
    <xf numFmtId="3" fontId="264" fillId="29" borderId="372" xfId="0" applyNumberFormat="1" applyFont="1" applyFill="1" applyBorder="1" applyAlignment="1">
      <alignment horizontal="center"/>
    </xf>
    <xf numFmtId="3" fontId="264" fillId="29" borderId="373" xfId="0" applyNumberFormat="1" applyFont="1" applyFill="1" applyBorder="1" applyAlignment="1">
      <alignment horizontal="center"/>
    </xf>
    <xf numFmtId="3" fontId="264" fillId="29" borderId="374" xfId="0" applyNumberFormat="1" applyFont="1" applyFill="1" applyBorder="1" applyAlignment="1">
      <alignment horizontal="center"/>
    </xf>
    <xf numFmtId="3" fontId="264" fillId="29" borderId="185" xfId="0" applyNumberFormat="1" applyFont="1" applyFill="1" applyBorder="1" applyAlignment="1">
      <alignment horizontal="center"/>
    </xf>
    <xf numFmtId="3" fontId="264" fillId="81" borderId="186" xfId="0" applyNumberFormat="1" applyFont="1" applyFill="1" applyBorder="1" applyAlignment="1">
      <alignment horizontal="center"/>
    </xf>
    <xf numFmtId="3" fontId="264" fillId="81" borderId="242" xfId="0" applyNumberFormat="1" applyFont="1" applyFill="1" applyBorder="1" applyAlignment="1">
      <alignment horizontal="center"/>
    </xf>
    <xf numFmtId="3" fontId="264" fillId="28" borderId="186" xfId="0" applyNumberFormat="1" applyFont="1" applyFill="1" applyBorder="1" applyAlignment="1">
      <alignment horizontal="center" vertical="center"/>
    </xf>
    <xf numFmtId="3" fontId="264" fillId="28" borderId="242" xfId="0" applyNumberFormat="1" applyFont="1" applyFill="1" applyBorder="1" applyAlignment="1">
      <alignment horizontal="center" vertical="center"/>
    </xf>
    <xf numFmtId="3" fontId="264" fillId="54" borderId="186" xfId="0" applyNumberFormat="1" applyFont="1" applyFill="1" applyBorder="1" applyAlignment="1">
      <alignment horizontal="center" vertical="center"/>
    </xf>
    <xf numFmtId="3" fontId="264" fillId="54" borderId="242" xfId="0" applyNumberFormat="1" applyFont="1" applyFill="1" applyBorder="1" applyAlignment="1">
      <alignment horizontal="center" vertical="center"/>
    </xf>
    <xf numFmtId="0" fontId="228" fillId="50" borderId="238" xfId="7" applyNumberFormat="1" applyFont="1" applyFill="1" applyBorder="1" applyAlignment="1">
      <alignment horizontal="center" vertical="center" wrapText="1"/>
    </xf>
    <xf numFmtId="0" fontId="228" fillId="50" borderId="185" xfId="7" applyNumberFormat="1" applyFont="1" applyFill="1" applyBorder="1" applyAlignment="1">
      <alignment horizontal="center" vertical="center" wrapText="1"/>
    </xf>
    <xf numFmtId="191" fontId="227" fillId="0" borderId="330" xfId="0" quotePrefix="1" applyNumberFormat="1" applyFont="1" applyBorder="1" applyAlignment="1">
      <alignment horizontal="center" vertical="center"/>
    </xf>
    <xf numFmtId="191" fontId="227" fillId="0" borderId="332" xfId="0" quotePrefix="1" applyNumberFormat="1" applyFont="1" applyBorder="1" applyAlignment="1">
      <alignment horizontal="center" vertical="center"/>
    </xf>
    <xf numFmtId="191" fontId="227" fillId="0" borderId="333" xfId="0" quotePrefix="1" applyNumberFormat="1" applyFont="1" applyBorder="1" applyAlignment="1">
      <alignment horizontal="center" vertical="center"/>
    </xf>
    <xf numFmtId="0" fontId="296" fillId="141" borderId="387" xfId="40" applyFont="1" applyFill="1" applyBorder="1" applyAlignment="1">
      <alignment horizontal="center" vertical="center" wrapText="1"/>
    </xf>
    <xf numFmtId="0" fontId="296" fillId="0" borderId="388" xfId="40" applyFont="1" applyBorder="1" applyAlignment="1">
      <alignment horizontal="center" vertical="center" wrapText="1"/>
    </xf>
    <xf numFmtId="0" fontId="0" fillId="141" borderId="387" xfId="0" applyFill="1" applyBorder="1" applyAlignment="1">
      <alignment horizontal="center" vertical="center" wrapText="1"/>
    </xf>
    <xf numFmtId="0" fontId="0" fillId="0" borderId="388" xfId="0" applyBorder="1" applyAlignment="1">
      <alignment horizontal="center" vertical="center" wrapText="1"/>
    </xf>
    <xf numFmtId="0" fontId="296" fillId="141" borderId="387" xfId="39" applyFont="1" applyFill="1" applyBorder="1" applyAlignment="1">
      <alignment horizontal="center" vertical="center" wrapText="1"/>
    </xf>
    <xf numFmtId="0" fontId="296" fillId="0" borderId="388" xfId="39" applyFont="1" applyBorder="1" applyAlignment="1">
      <alignment horizontal="center" vertical="center" wrapText="1"/>
    </xf>
    <xf numFmtId="0" fontId="296" fillId="140" borderId="387" xfId="39" applyFont="1" applyFill="1" applyBorder="1" applyAlignment="1">
      <alignment horizontal="center" vertical="center" wrapText="1"/>
    </xf>
    <xf numFmtId="0" fontId="0" fillId="140" borderId="387" xfId="0" applyFill="1" applyBorder="1" applyAlignment="1">
      <alignment horizontal="center" vertical="center" wrapText="1"/>
    </xf>
    <xf numFmtId="0" fontId="296" fillId="140" borderId="441" xfId="40" applyFont="1" applyFill="1" applyBorder="1" applyAlignment="1">
      <alignment horizontal="center" vertical="center" wrapText="1"/>
    </xf>
    <xf numFmtId="0" fontId="0" fillId="140" borderId="441" xfId="0" applyFill="1" applyBorder="1" applyAlignment="1">
      <alignment horizontal="center" vertical="center" wrapText="1"/>
    </xf>
    <xf numFmtId="0" fontId="296" fillId="0" borderId="410" xfId="40" applyFont="1" applyBorder="1" applyAlignment="1">
      <alignment horizontal="center" vertical="center" wrapText="1"/>
    </xf>
    <xf numFmtId="0" fontId="296" fillId="0" borderId="409" xfId="40" applyFont="1" applyBorder="1" applyAlignment="1">
      <alignment horizontal="center" vertical="center" wrapText="1"/>
    </xf>
    <xf numFmtId="0" fontId="0" fillId="0" borderId="409" xfId="0" applyBorder="1" applyAlignment="1">
      <alignment horizontal="center" vertical="center" wrapText="1"/>
    </xf>
    <xf numFmtId="0" fontId="0" fillId="0" borderId="377" xfId="0" applyBorder="1" applyAlignment="1">
      <alignment horizontal="center" vertical="center" wrapText="1"/>
    </xf>
    <xf numFmtId="0" fontId="296" fillId="140" borderId="387" xfId="40" applyFont="1" applyFill="1" applyBorder="1" applyAlignment="1">
      <alignment horizontal="center" vertical="center" wrapText="1"/>
    </xf>
    <xf numFmtId="0" fontId="296" fillId="0" borderId="395" xfId="40" applyFont="1" applyBorder="1" applyAlignment="1">
      <alignment horizontal="center" vertical="center" wrapText="1"/>
    </xf>
    <xf numFmtId="0" fontId="296" fillId="0" borderId="411" xfId="40" applyFont="1" applyBorder="1" applyAlignment="1">
      <alignment horizontal="center" vertical="center" wrapText="1"/>
    </xf>
    <xf numFmtId="0" fontId="296" fillId="0" borderId="444" xfId="40" applyFont="1" applyBorder="1" applyAlignment="1">
      <alignment horizontal="center" vertical="center" wrapText="1"/>
    </xf>
    <xf numFmtId="0" fontId="296" fillId="0" borderId="378" xfId="40" applyFont="1" applyBorder="1" applyAlignment="1">
      <alignment horizontal="center" vertical="center" wrapText="1"/>
    </xf>
    <xf numFmtId="0" fontId="296" fillId="0" borderId="411" xfId="40" quotePrefix="1" applyFont="1" applyBorder="1" applyAlignment="1">
      <alignment horizontal="center" vertical="center" wrapText="1"/>
    </xf>
    <xf numFmtId="0" fontId="21" fillId="0" borderId="444" xfId="0" applyFont="1" applyBorder="1" applyAlignment="1">
      <alignment horizontal="center" vertical="center" wrapText="1"/>
    </xf>
    <xf numFmtId="0" fontId="0" fillId="0" borderId="378" xfId="0" applyBorder="1" applyAlignment="1">
      <alignment horizontal="center" vertical="center" wrapText="1"/>
    </xf>
    <xf numFmtId="0" fontId="296" fillId="0" borderId="0" xfId="40" applyFont="1" applyAlignment="1">
      <alignment horizontal="center" vertical="center" wrapText="1"/>
    </xf>
    <xf numFmtId="0" fontId="296" fillId="0" borderId="380" xfId="40" applyFont="1" applyBorder="1" applyAlignment="1">
      <alignment horizontal="center" vertical="center" wrapText="1"/>
    </xf>
    <xf numFmtId="0" fontId="296" fillId="0" borderId="444" xfId="40" quotePrefix="1" applyFont="1" applyBorder="1" applyAlignment="1">
      <alignment horizontal="center" vertical="center" wrapText="1"/>
    </xf>
    <xf numFmtId="0" fontId="296" fillId="0" borderId="378" xfId="40" quotePrefix="1" applyFont="1" applyBorder="1" applyAlignment="1">
      <alignment horizontal="center" vertical="center" wrapText="1"/>
    </xf>
    <xf numFmtId="0" fontId="296" fillId="0" borderId="395" xfId="39" applyFont="1" applyBorder="1" applyAlignment="1">
      <alignment horizontal="center" vertical="center" wrapText="1"/>
    </xf>
    <xf numFmtId="0" fontId="296" fillId="0" borderId="0" xfId="39" applyFont="1" applyAlignment="1">
      <alignment horizontal="center" vertical="center" wrapText="1"/>
    </xf>
    <xf numFmtId="169" fontId="219" fillId="60" borderId="31" xfId="7" applyFont="1" applyFill="1" applyBorder="1" applyAlignment="1">
      <alignment horizontal="center" vertical="center" wrapText="1"/>
    </xf>
    <xf numFmtId="169" fontId="219" fillId="60" borderId="387" xfId="7" applyFont="1" applyFill="1" applyBorder="1" applyAlignment="1">
      <alignment horizontal="center" vertical="center" wrapText="1"/>
    </xf>
    <xf numFmtId="169" fontId="219" fillId="60" borderId="390" xfId="7" applyFont="1" applyFill="1" applyBorder="1" applyAlignment="1">
      <alignment horizontal="center" vertical="center" wrapText="1"/>
    </xf>
    <xf numFmtId="169" fontId="219" fillId="60" borderId="414" xfId="7" applyFont="1" applyFill="1" applyBorder="1" applyAlignment="1">
      <alignment horizontal="center" vertical="center" wrapText="1"/>
    </xf>
    <xf numFmtId="169" fontId="219" fillId="60" borderId="11" xfId="7" applyFont="1" applyFill="1" applyBorder="1" applyAlignment="1">
      <alignment horizontal="center" vertical="center" wrapText="1"/>
    </xf>
    <xf numFmtId="169" fontId="219" fillId="60" borderId="415" xfId="7" applyFont="1" applyFill="1" applyBorder="1" applyAlignment="1">
      <alignment horizontal="center" vertical="center" wrapText="1"/>
    </xf>
    <xf numFmtId="0" fontId="330" fillId="78" borderId="406" xfId="40" applyFont="1" applyFill="1" applyBorder="1" applyAlignment="1">
      <alignment horizontal="center" vertical="center" wrapText="1"/>
    </xf>
    <xf numFmtId="0" fontId="330" fillId="78" borderId="215" xfId="40" applyFont="1" applyFill="1" applyBorder="1" applyAlignment="1">
      <alignment horizontal="center" vertical="center" wrapText="1"/>
    </xf>
    <xf numFmtId="0" fontId="330" fillId="78" borderId="368" xfId="40" applyFont="1" applyFill="1" applyBorder="1" applyAlignment="1">
      <alignment horizontal="center" vertical="center" wrapText="1"/>
    </xf>
    <xf numFmtId="0" fontId="79" fillId="100" borderId="406" xfId="39" applyFont="1" applyFill="1" applyBorder="1" applyAlignment="1">
      <alignment horizontal="center" vertical="center" wrapText="1"/>
    </xf>
    <xf numFmtId="0" fontId="79" fillId="100" borderId="215" xfId="39" applyFont="1" applyFill="1" applyBorder="1" applyAlignment="1">
      <alignment horizontal="center" vertical="center" wrapText="1"/>
    </xf>
    <xf numFmtId="0" fontId="79" fillId="100" borderId="368" xfId="39" applyFont="1" applyFill="1" applyBorder="1" applyAlignment="1">
      <alignment horizontal="center" vertical="center" wrapText="1"/>
    </xf>
    <xf numFmtId="0" fontId="330" fillId="29" borderId="406" xfId="40" applyFont="1" applyFill="1" applyBorder="1" applyAlignment="1" applyProtection="1">
      <alignment horizontal="center" vertical="center" wrapText="1"/>
      <protection locked="0"/>
    </xf>
    <xf numFmtId="0" fontId="0" fillId="0" borderId="215" xfId="0" applyBorder="1" applyAlignment="1">
      <alignment horizontal="center" vertical="center" wrapText="1"/>
    </xf>
    <xf numFmtId="0" fontId="0" fillId="0" borderId="368" xfId="0" applyBorder="1" applyAlignment="1">
      <alignment horizontal="center" vertical="center" wrapText="1"/>
    </xf>
    <xf numFmtId="0" fontId="330" fillId="29" borderId="400" xfId="40" applyFont="1" applyFill="1" applyBorder="1" applyAlignment="1" applyProtection="1">
      <alignment horizontal="center" vertical="center" wrapText="1"/>
      <protection locked="0"/>
    </xf>
    <xf numFmtId="49" fontId="330" fillId="29" borderId="406" xfId="40" applyNumberFormat="1" applyFont="1" applyFill="1" applyBorder="1" applyAlignment="1" applyProtection="1">
      <alignment horizontal="center" vertical="center" wrapText="1"/>
      <protection locked="0"/>
    </xf>
    <xf numFmtId="0" fontId="219" fillId="60" borderId="306" xfId="7" applyNumberFormat="1" applyFont="1" applyFill="1" applyBorder="1" applyAlignment="1">
      <alignment horizontal="center" vertical="center" wrapText="1"/>
    </xf>
    <xf numFmtId="0" fontId="219" fillId="60" borderId="316" xfId="7" applyNumberFormat="1" applyFont="1" applyFill="1" applyBorder="1" applyAlignment="1">
      <alignment horizontal="center" vertical="center" wrapText="1"/>
    </xf>
    <xf numFmtId="0" fontId="0" fillId="33" borderId="0" xfId="0" applyFill="1" applyAlignment="1">
      <alignment horizontal="center" wrapText="1"/>
    </xf>
    <xf numFmtId="169" fontId="219" fillId="56" borderId="387" xfId="7" applyFont="1" applyFill="1" applyBorder="1" applyAlignment="1">
      <alignment horizontal="center" vertical="center" wrapText="1"/>
    </xf>
    <xf numFmtId="169" fontId="219" fillId="56" borderId="390" xfId="7" applyFont="1" applyFill="1" applyBorder="1" applyAlignment="1">
      <alignment horizontal="center" vertical="center" wrapText="1"/>
    </xf>
    <xf numFmtId="0" fontId="18" fillId="0" borderId="6" xfId="0" applyFont="1" applyBorder="1" applyAlignment="1">
      <alignment horizontal="center" vertical="center" wrapText="1"/>
    </xf>
    <xf numFmtId="0" fontId="0" fillId="0" borderId="152" xfId="0" applyBorder="1" applyAlignment="1">
      <alignment horizontal="center" vertical="center" wrapText="1"/>
    </xf>
    <xf numFmtId="0" fontId="0" fillId="0" borderId="2" xfId="0" applyBorder="1" applyAlignment="1">
      <alignment horizontal="center" vertical="center" wrapText="1"/>
    </xf>
    <xf numFmtId="0" fontId="0" fillId="0" borderId="318" xfId="0" applyBorder="1" applyAlignment="1">
      <alignment horizontal="center" vertical="center" wrapText="1"/>
    </xf>
    <xf numFmtId="0" fontId="0" fillId="0" borderId="0" xfId="0" applyAlignment="1">
      <alignment horizontal="center" vertical="center" wrapText="1"/>
    </xf>
    <xf numFmtId="0" fontId="0" fillId="0" borderId="319" xfId="0" applyBorder="1" applyAlignment="1">
      <alignment horizontal="center" vertical="center" wrapText="1"/>
    </xf>
    <xf numFmtId="0" fontId="0" fillId="0" borderId="7"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325" fillId="0" borderId="0" xfId="0" applyFont="1" applyAlignment="1">
      <alignment horizontal="left" vertical="center" wrapText="1"/>
    </xf>
    <xf numFmtId="0" fontId="0" fillId="0" borderId="383" xfId="0" applyBorder="1" applyAlignment="1">
      <alignment horizontal="left" vertical="center" wrapText="1"/>
    </xf>
    <xf numFmtId="0" fontId="328" fillId="60" borderId="406" xfId="41" applyFont="1" applyFill="1" applyBorder="1" applyAlignment="1">
      <alignment horizontal="center" vertical="center"/>
    </xf>
    <xf numFmtId="0" fontId="0" fillId="0" borderId="368" xfId="0" applyBorder="1" applyAlignment="1">
      <alignment horizontal="center" vertical="center"/>
    </xf>
    <xf numFmtId="0" fontId="328" fillId="99" borderId="406" xfId="39" applyFont="1" applyFill="1" applyBorder="1" applyAlignment="1">
      <alignment horizontal="center" vertical="center" wrapText="1"/>
    </xf>
    <xf numFmtId="0" fontId="328" fillId="99" borderId="436" xfId="39" applyFont="1" applyFill="1" applyBorder="1" applyAlignment="1">
      <alignment horizontal="center" vertical="center" wrapText="1"/>
    </xf>
    <xf numFmtId="0" fontId="0" fillId="0" borderId="437" xfId="0" applyBorder="1" applyAlignment="1">
      <alignment horizontal="center" vertical="center" wrapText="1"/>
    </xf>
    <xf numFmtId="0" fontId="0" fillId="0" borderId="435" xfId="0" applyBorder="1" applyAlignment="1">
      <alignment horizontal="center" vertical="center" wrapText="1"/>
    </xf>
    <xf numFmtId="169" fontId="219" fillId="60" borderId="311" xfId="7" applyFont="1" applyFill="1" applyBorder="1" applyAlignment="1">
      <alignment horizontal="center" vertical="center" wrapText="1"/>
    </xf>
    <xf numFmtId="169" fontId="219" fillId="60" borderId="310" xfId="7" applyFont="1" applyFill="1" applyBorder="1" applyAlignment="1">
      <alignment horizontal="center" vertical="center" wrapText="1"/>
    </xf>
    <xf numFmtId="169" fontId="219" fillId="60" borderId="217" xfId="7" applyFont="1" applyFill="1" applyBorder="1" applyAlignment="1">
      <alignment horizontal="center" vertical="center" wrapText="1"/>
    </xf>
  </cellXfs>
  <cellStyles count="156">
    <cellStyle name="Collegamento ipertestuale 2" xfId="50" xr:uid="{D38FF0FA-29D7-4A44-808B-0C3022E5E01A}"/>
    <cellStyle name="Collegamento ipertestuale 3" xfId="55" xr:uid="{CD6A393F-A5A3-4681-9E61-64E6C049B1C3}"/>
    <cellStyle name="ColLevel_1_BE (2)" xfId="15" xr:uid="{00000000-0005-0000-0000-000001000000}"/>
    <cellStyle name="Colore 3 2" xfId="79" xr:uid="{D51CDA95-12F9-4589-A633-236493CCAD7E}"/>
    <cellStyle name="Comma" xfId="31" builtinId="3"/>
    <cellStyle name="Date" xfId="16" xr:uid="{00000000-0005-0000-0000-000006000000}"/>
    <cellStyle name="Euro" xfId="17" xr:uid="{00000000-0005-0000-0000-000007000000}"/>
    <cellStyle name="Euro 3 2" xfId="1" xr:uid="{00000000-0005-0000-0000-000008000000}"/>
    <cellStyle name="Excel Built-in Normal" xfId="40" xr:uid="{00000000-0005-0000-0000-000009000000}"/>
    <cellStyle name="Excel Built-in Normal 2" xfId="43" xr:uid="{00000000-0005-0000-0000-00000A000000}"/>
    <cellStyle name="Followed Hyperlink" xfId="2" xr:uid="{00000000-0005-0000-0000-00000B000000}"/>
    <cellStyle name="Good" xfId="46" builtinId="26"/>
    <cellStyle name="Hyperlink" xfId="3" builtinId="8"/>
    <cellStyle name="Hyperlink 2" xfId="155" xr:uid="{273F606F-CA26-44C0-A5E6-8590967620EE}"/>
    <cellStyle name="Input" xfId="35" builtinId="20"/>
    <cellStyle name="Input 2" xfId="97" xr:uid="{A52F5A39-D0B3-46E1-9142-28219C98EFD8}"/>
    <cellStyle name="Migliaia (0)_CDM_2nov99_TAsse" xfId="18" xr:uid="{00000000-0005-0000-0000-00000F000000}"/>
    <cellStyle name="Migliaia [0] 2" xfId="19" xr:uid="{00000000-0005-0000-0000-000010000000}"/>
    <cellStyle name="Migliaia [0] 2 2" xfId="83" xr:uid="{033EA7E6-1698-4895-95FF-95F762A26D80}"/>
    <cellStyle name="Migliaia [0] 2 3" xfId="115" xr:uid="{898B7774-B5FD-43F6-B1F2-8D641404B08E}"/>
    <cellStyle name="Migliaia [0] 2 4" xfId="62" xr:uid="{C583DFA0-3134-40B9-BB5B-EEBEF540CDDB}"/>
    <cellStyle name="Migliaia [0] 3" xfId="20" xr:uid="{00000000-0005-0000-0000-000011000000}"/>
    <cellStyle name="Migliaia [0] 3 2" xfId="84" xr:uid="{092B08DF-8C15-4A0C-A735-AEEA116CFC9E}"/>
    <cellStyle name="Migliaia [0] 3 3" xfId="116" xr:uid="{1430C12B-7878-44E3-9972-635164C721C4}"/>
    <cellStyle name="Migliaia [0] 3 4" xfId="63" xr:uid="{D0001875-02F0-4DD4-A9FF-BD6CC7579BF3}"/>
    <cellStyle name="Migliaia 10" xfId="4" xr:uid="{00000000-0005-0000-0000-000012000000}"/>
    <cellStyle name="Migliaia 10 2" xfId="5" xr:uid="{00000000-0005-0000-0000-000013000000}"/>
    <cellStyle name="Migliaia 10 2 2" xfId="81" xr:uid="{54AE56F8-C797-412A-86C3-0B79AEDCBF83}"/>
    <cellStyle name="Migliaia 10 2 3" xfId="112" xr:uid="{0F421585-CEE3-4382-A968-2CD0D6A89BF0}"/>
    <cellStyle name="Migliaia 10 2 4" xfId="59" xr:uid="{9702CC61-E757-4D80-B748-20EC48F11D3A}"/>
    <cellStyle name="Migliaia 10 3" xfId="80" xr:uid="{407775FA-BF2D-44D7-82E9-4475595F591E}"/>
    <cellStyle name="Migliaia 10 4" xfId="111" xr:uid="{D0C0DE56-61F0-4BA6-9FA4-78F0CBDD0B01}"/>
    <cellStyle name="Migliaia 10 5" xfId="58" xr:uid="{0D9F6F3E-E625-41A8-AF67-E68204332AA5}"/>
    <cellStyle name="Migliaia 11" xfId="6" xr:uid="{00000000-0005-0000-0000-000014000000}"/>
    <cellStyle name="Migliaia 11 2" xfId="82" xr:uid="{655F2455-5562-43B6-924F-81F338486BBD}"/>
    <cellStyle name="Migliaia 11 3" xfId="113" xr:uid="{1A0A630B-E8CD-4567-A56D-877977B8786E}"/>
    <cellStyle name="Migliaia 11 4" xfId="60" xr:uid="{8E8242AA-3328-48CE-B8F9-C30BF20F5F10}"/>
    <cellStyle name="Migliaia 2" xfId="12" xr:uid="{00000000-0005-0000-0000-000015000000}"/>
    <cellStyle name="Migliaia 2 2" xfId="36" xr:uid="{00000000-0005-0000-0000-000016000000}"/>
    <cellStyle name="Migliaia 2 2 2" xfId="56" xr:uid="{95581F51-B3C8-4B5B-937F-9A7D1BB43616}"/>
    <cellStyle name="Migliaia 2 2 2 2" xfId="103" xr:uid="{6A40FABD-5115-4D32-A739-DF769104B1F3}"/>
    <cellStyle name="Migliaia 2 2 2 3" xfId="153" xr:uid="{0B487806-E8C1-446F-B950-365DE76C38F0}"/>
    <cellStyle name="Migliaia 2 2 3" xfId="150" xr:uid="{74DF1C22-9AAE-4E85-97BB-212F0ED521BD}"/>
    <cellStyle name="Migliaia 2 3" xfId="42" xr:uid="{00000000-0005-0000-0000-000017000000}"/>
    <cellStyle name="Migliaia 2 3 2" xfId="87" xr:uid="{7D5B7523-9BA3-46C6-A309-D8660F597643}"/>
    <cellStyle name="Migliaia 2 3 2 2" xfId="107" xr:uid="{218472C6-93F4-433F-A039-B4A754F9AED4}"/>
    <cellStyle name="Migliaia 2 3 2 2 2" xfId="143" xr:uid="{97236E37-9B4E-4BC8-A076-5B833C9FDB7E}"/>
    <cellStyle name="Migliaia 2 3 3" xfId="123" xr:uid="{20CF6D48-2D11-4DB1-8ACE-BB2969F1AC63}"/>
    <cellStyle name="Migliaia 2 3 4" xfId="69" xr:uid="{60356093-0D84-4655-8A96-B06769644CCE}"/>
    <cellStyle name="Migliaia 2 4" xfId="49" xr:uid="{168EA55C-2297-406D-8BBB-4F75D635BB8B}"/>
    <cellStyle name="Migliaia 2 4 2" xfId="139" xr:uid="{E96E9031-30AB-461A-A8DC-E4CE5F81C1AE}"/>
    <cellStyle name="Migliaia 2 4 3" xfId="102" xr:uid="{775A144F-6E97-4144-A59A-BB2483DF6590}"/>
    <cellStyle name="Migliaia 2 dec." xfId="21" xr:uid="{00000000-0005-0000-0000-000018000000}"/>
    <cellStyle name="Migliaia 2 dec. 2" xfId="72" xr:uid="{9D984471-928B-42A6-BBE8-74EBCC1E8182}"/>
    <cellStyle name="Migliaia 2 dec. 3" xfId="64" xr:uid="{89FE1965-F3E1-479D-BAA3-0E4B5366C1B3}"/>
    <cellStyle name="Migliaia 3" xfId="54" xr:uid="{BDDB71C4-CFA3-45A4-BC1B-4D5E0F28086C}"/>
    <cellStyle name="Migliaia 3 2" xfId="106" xr:uid="{226B73B9-AFBE-429F-845E-979437B69928}"/>
    <cellStyle name="Migliaia 3 2 2" xfId="142" xr:uid="{8E839F1F-FEBF-48A4-9193-DA2B46AAC7EC}"/>
    <cellStyle name="Migliaia 4" xfId="105" xr:uid="{20152BCE-5F43-41E3-9F39-24D7D5F691B8}"/>
    <cellStyle name="Migliaia 4 2" xfId="141" xr:uid="{1EDC3CBF-D2D0-4DBD-89AD-5AFD54F8191B}"/>
    <cellStyle name="Migliaia 5" xfId="120" xr:uid="{42E297FF-0825-4D98-96FF-8F0809588F99}"/>
    <cellStyle name="Migliaia 6" xfId="118" xr:uid="{ACB39969-B6D7-4BAE-8340-A8B6B1BFD5CB}"/>
    <cellStyle name="Migliaia 7" xfId="66" xr:uid="{8353A298-A48C-48F4-8F66-11B373A4BDA7}"/>
    <cellStyle name="Migliaia 8" xfId="149" xr:uid="{3FCF6507-54C4-4961-9FD0-A54B9B01CBD3}"/>
    <cellStyle name="Neutrale 2" xfId="77" xr:uid="{906C3666-F1DE-4BAB-96E9-1CC5D6EFD71D}"/>
    <cellStyle name="New Times Roman" xfId="22" xr:uid="{00000000-0005-0000-0000-000019000000}"/>
    <cellStyle name="Normal" xfId="0" builtinId="0" customBuiltin="1"/>
    <cellStyle name="Normal 2" xfId="109" xr:uid="{2C0F4229-BC0D-4298-9B06-49B4EBC15DDD}"/>
    <cellStyle name="Normale 17 2" xfId="7" xr:uid="{00000000-0005-0000-0000-00001C000000}"/>
    <cellStyle name="Normale 17 2 3" xfId="8" xr:uid="{00000000-0005-0000-0000-00001D000000}"/>
    <cellStyle name="Normale 17 2_foglio ulteriori specif x rocco_v2(1)" xfId="9" xr:uid="{00000000-0005-0000-0000-00001E000000}"/>
    <cellStyle name="Normale 2" xfId="23" xr:uid="{00000000-0005-0000-0000-00001F000000}"/>
    <cellStyle name="Normale 21 2" xfId="10" xr:uid="{00000000-0005-0000-0000-000020000000}"/>
    <cellStyle name="Normale 3" xfId="24" xr:uid="{00000000-0005-0000-0000-000021000000}"/>
    <cellStyle name="Normale 3 2" xfId="47" xr:uid="{94BF9965-7108-40EC-AA18-C67158CB9E10}"/>
    <cellStyle name="Normale 3 2 2 2" xfId="52" xr:uid="{9FFB2BFA-CED9-466C-99A7-8826FAF91688}"/>
    <cellStyle name="Normale 3 3 2 2" xfId="108" xr:uid="{7F4AEA80-8D56-433C-AC45-79F155B55787}"/>
    <cellStyle name="Normale 4" xfId="30" xr:uid="{00000000-0005-0000-0000-000022000000}"/>
    <cellStyle name="Normale 5" xfId="33" xr:uid="{00000000-0005-0000-0000-000023000000}"/>
    <cellStyle name="Normale 5 2" xfId="41" xr:uid="{00000000-0005-0000-0000-000024000000}"/>
    <cellStyle name="Normale 6" xfId="48" xr:uid="{D0BE9EC1-FC23-4FBB-93DB-CF41AADAF1A5}"/>
    <cellStyle name="Normale 6 2" xfId="101" xr:uid="{A63DEE9B-877D-4F8C-A994-F684752B4793}"/>
    <cellStyle name="Normale 6 3" xfId="94" xr:uid="{2F155E9C-DBBE-4E32-A380-84ABF0CD5BB2}"/>
    <cellStyle name="Normale_2013" xfId="34" xr:uid="{00000000-0005-0000-0000-000025000000}"/>
    <cellStyle name="Normale_Foglio2" xfId="25" xr:uid="{00000000-0005-0000-0000-000026000000}"/>
    <cellStyle name="Nota 2" xfId="26" xr:uid="{00000000-0005-0000-0000-000028000000}"/>
    <cellStyle name="Nota 2 10" xfId="148" xr:uid="{B53FC287-5839-434B-8991-79F5FD8FEB03}"/>
    <cellStyle name="Nota 2 2" xfId="38" xr:uid="{00000000-0005-0000-0000-000029000000}"/>
    <cellStyle name="Nota 2 2 2" xfId="75" xr:uid="{9497098E-AAD6-478C-A3BD-E401BEA4C992}"/>
    <cellStyle name="Nota 2 2 2 2" xfId="127" xr:uid="{01D27290-A4D0-4109-AECB-77E7D17A59A3}"/>
    <cellStyle name="Nota 2 2 3" xfId="86" xr:uid="{0AF1EEE2-3CC1-4E96-AEA2-CF0C5B5662FC}"/>
    <cellStyle name="Nota 2 2 3 2" xfId="130" xr:uid="{8950192A-FDA2-4323-A823-1CC57BCCFE67}"/>
    <cellStyle name="Nota 2 2 4" xfId="99" xr:uid="{CD0A6E73-FE26-43B7-9F2D-95882522A8A2}"/>
    <cellStyle name="Nota 2 2 4 2" xfId="138" xr:uid="{6DB650D7-41F4-452D-98AC-46777C0F6DAE}"/>
    <cellStyle name="Nota 2 2 5" xfId="122" xr:uid="{2E1EE55F-3F2C-406A-9530-59DB053FA3FE}"/>
    <cellStyle name="Nota 2 2 6" xfId="131" xr:uid="{BD3F658C-4666-4E5D-A6CD-1489B7B7B9B8}"/>
    <cellStyle name="Nota 2 2 7" xfId="68" xr:uid="{C24C1DE0-7BD2-4902-BCD8-65611F70A90A}"/>
    <cellStyle name="Nota 2 2 8" xfId="152" xr:uid="{D2780036-4902-4943-B8E0-FFC0F6B36934}"/>
    <cellStyle name="Nota 2 3" xfId="73" xr:uid="{6690E79E-403C-49B4-86A4-277E9CB28B43}"/>
    <cellStyle name="Nota 2 3 2" xfId="125" xr:uid="{BA17F489-49DE-4881-8484-5F4CA2F3E264}"/>
    <cellStyle name="Nota 2 4" xfId="85" xr:uid="{5094869C-DA11-4D0C-A218-28FCED667419}"/>
    <cellStyle name="Nota 2 4 2" xfId="129" xr:uid="{A5273DBD-DDD5-4063-8D1C-76497C01567D}"/>
    <cellStyle name="Nota 2 5" xfId="91" xr:uid="{B91E4CED-13D4-43FB-9DE1-8E6E3B0FC13F}"/>
    <cellStyle name="Nota 2 5 2" xfId="135" xr:uid="{E2BA4870-070A-4938-96A6-75C43B7D66A1}"/>
    <cellStyle name="Nota 2 6" xfId="96" xr:uid="{8393CFA0-98BA-4E52-AE7D-BD11DE437915}"/>
    <cellStyle name="Nota 2 6 2" xfId="137" xr:uid="{6778827A-54F7-4F14-B10E-5F6B65C174FC}"/>
    <cellStyle name="Nota 2 7" xfId="119" xr:uid="{2B4DF12E-4511-4D58-BC3D-4BB2281F33B3}"/>
    <cellStyle name="Nota 2 8" xfId="114" xr:uid="{B35C0A8C-105D-464E-A173-230592A674C7}"/>
    <cellStyle name="Nota 2 9" xfId="65" xr:uid="{61BB8BD7-6DC8-4F9B-9FED-1F10291EC0DF}"/>
    <cellStyle name="Note" xfId="45" builtinId="10"/>
    <cellStyle name="Output 2" xfId="78" xr:uid="{BF761AB4-7A41-42C7-9AD0-355A69DC6E0D}"/>
    <cellStyle name="Percent" xfId="32" builtinId="5"/>
    <cellStyle name="Percent 2" xfId="110" xr:uid="{2C729269-CAC5-4C6B-9BC2-805F8673E052}"/>
    <cellStyle name="Percentuale 10 3" xfId="11" xr:uid="{00000000-0005-0000-0000-00002B000000}"/>
    <cellStyle name="Percentuale 2" xfId="13" xr:uid="{00000000-0005-0000-0000-00002C000000}"/>
    <cellStyle name="Percentuale 2 2" xfId="37" xr:uid="{00000000-0005-0000-0000-00002D000000}"/>
    <cellStyle name="Percentuale 2 2 2" xfId="57" xr:uid="{7E0DC166-8941-47F0-AADD-78EE032804C4}"/>
    <cellStyle name="Percentuale 2 2 2 2" xfId="104" xr:uid="{F73B3B62-170B-4733-AB3A-37D55DA58A7F}"/>
    <cellStyle name="Percentuale 2 2 2 2 2" xfId="140" xr:uid="{8B1EED37-CD13-4437-96F3-151A353C10DA}"/>
    <cellStyle name="Percentuale 2 2 2 2 3" xfId="146" xr:uid="{29647F98-8D67-4E32-9340-9E8A60979120}"/>
    <cellStyle name="Percentuale 2 2 2 3" xfId="126" xr:uid="{2D0B696B-9D2F-4B2D-B2B2-83279B85890E}"/>
    <cellStyle name="Percentuale 2 2 2 4" xfId="74" xr:uid="{E29E9A3F-5BE6-451E-B140-7F4E90A44241}"/>
    <cellStyle name="Percentuale 2 2 2 5" xfId="154" xr:uid="{7C451653-F1FF-41EE-A78B-B966991A07EE}"/>
    <cellStyle name="Percentuale 2 2 3" xfId="92" xr:uid="{9CB9BC29-44A5-4AA2-A0C4-560BA81C5C3C}"/>
    <cellStyle name="Percentuale 2 2 3 2" xfId="136" xr:uid="{16CB270E-91F6-452D-94C8-CC8BE48FAB98}"/>
    <cellStyle name="Percentuale 2 2 4" xfId="98" xr:uid="{87C903CB-203C-439A-9C37-095842C056A6}"/>
    <cellStyle name="Percentuale 2 2 4 2" xfId="145" xr:uid="{8439B9D8-1EC0-4075-9314-D6995F5CBBCE}"/>
    <cellStyle name="Percentuale 2 2 5" xfId="121" xr:uid="{5BD72667-24EC-40CC-8EB9-0E520A5BFD96}"/>
    <cellStyle name="Percentuale 2 2 6" xfId="117" xr:uid="{24D14269-65C7-489F-A131-3115CE1527DF}"/>
    <cellStyle name="Percentuale 2 2 7" xfId="67" xr:uid="{669AF85B-DE3A-4CF8-9D1C-475A1D76689D}"/>
    <cellStyle name="Percentuale 2 2 8" xfId="151" xr:uid="{8820994C-0D1E-46F9-A668-43998E50BA85}"/>
    <cellStyle name="Percentuale 2 3" xfId="71" xr:uid="{5125FCA3-9A96-4E94-9555-A23F80321345}"/>
    <cellStyle name="Percentuale 2 3 2" xfId="124" xr:uid="{D042FFC7-C345-4348-992E-5A12B75C0553}"/>
    <cellStyle name="Percentuale 2 3 3" xfId="128" xr:uid="{4EAE3032-130D-4202-A64E-D636D0A01071}"/>
    <cellStyle name="Percentuale 2 4" xfId="90" xr:uid="{027A235D-ED99-4741-889A-4EF17BF5CEBD}"/>
    <cellStyle name="Percentuale 2 4 2" xfId="134" xr:uid="{FCB05FDF-79A9-4DFF-A32B-70D1687D0C64}"/>
    <cellStyle name="Percentuale 2 5" xfId="95" xr:uid="{C6676A98-3CBF-4960-BEE4-DC43A29F8FD8}"/>
    <cellStyle name="Percentuale 2 5 2" xfId="144" xr:uid="{9F68C89E-4707-4307-A8E2-04DCC9EC72D0}"/>
    <cellStyle name="Percentuale 2 6" xfId="61" xr:uid="{AAA2AD04-13A9-4E22-9C29-4ABA279339FD}"/>
    <cellStyle name="Percentuale 2 7" xfId="147" xr:uid="{B212F75B-FAE1-4DA0-9BEB-1C95E2791315}"/>
    <cellStyle name="Percentuale 3" xfId="14" xr:uid="{00000000-0005-0000-0000-00002E000000}"/>
    <cellStyle name="Percentuale 3 2 2 2" xfId="53" xr:uid="{7E696460-4920-4BAB-9648-F3FB12F0D32A}"/>
    <cellStyle name="Puntato" xfId="27" xr:uid="{00000000-0005-0000-0000-00002F000000}"/>
    <cellStyle name="RowLevel_1_BE (2)" xfId="28" xr:uid="{00000000-0005-0000-0000-000030000000}"/>
    <cellStyle name="Testo descrittivo 2" xfId="39" xr:uid="{00000000-0005-0000-0000-000031000000}"/>
    <cellStyle name="Valore valido 2" xfId="51" xr:uid="{1616034C-E0AC-49D3-B4AC-01D77BA1057E}"/>
    <cellStyle name="Valore valido 3" xfId="100" xr:uid="{106E0DAE-8A17-4032-B054-47926AFE7092}"/>
    <cellStyle name="Valuta (0)_CDM_2nov99_TAsse" xfId="29" xr:uid="{00000000-0005-0000-0000-000034000000}"/>
    <cellStyle name="Valuta 2" xfId="44" xr:uid="{00000000-0005-0000-0000-000035000000}"/>
    <cellStyle name="Valuta 2 2" xfId="88" xr:uid="{EAFD7E9F-3033-4AF7-8C4F-538759A4EB47}"/>
    <cellStyle name="Valuta 2 2 2" xfId="132" xr:uid="{C1B46917-5718-4D18-A7E5-8527B735A098}"/>
    <cellStyle name="Valuta 3" xfId="70" xr:uid="{AA01A23E-23DA-48A7-AF22-FAFB57323A06}"/>
    <cellStyle name="Valuta 3 2" xfId="89" xr:uid="{23CEC0DD-FA09-4E19-9285-5B05B7164EA9}"/>
    <cellStyle name="Valuta 3 2 2" xfId="133" xr:uid="{7286A168-7846-494F-97A9-018E522905B9}"/>
    <cellStyle name="Valuta 4" xfId="76" xr:uid="{02E2751B-F1B6-4274-A5E5-ADC198A8CBC4}"/>
    <cellStyle name="Valuta 5" xfId="93" xr:uid="{74F8A2C3-AB48-42A0-AC4A-B39E6071F7A0}"/>
  </cellStyles>
  <dxfs count="156">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ill>
        <patternFill>
          <bgColor rgb="FF00B050"/>
        </patternFill>
      </fill>
    </dxf>
    <dxf>
      <fill>
        <patternFill>
          <bgColor theme="5" tint="0.39994506668294322"/>
        </patternFill>
      </fill>
    </dxf>
    <dxf>
      <font>
        <strike val="0"/>
        <color rgb="FFC00000"/>
      </font>
      <fill>
        <patternFill>
          <bgColor theme="5" tint="0.59996337778862885"/>
        </patternFill>
      </fill>
    </dxf>
    <dxf>
      <font>
        <color theme="1"/>
      </font>
      <fill>
        <patternFill>
          <bgColor rgb="FF5ECE6B"/>
        </patternFill>
      </fill>
    </dxf>
    <dxf>
      <font>
        <strike val="0"/>
        <color rgb="FFC00000"/>
      </font>
      <fill>
        <patternFill>
          <bgColor theme="5" tint="0.59996337778862885"/>
        </patternFill>
      </fill>
    </dxf>
    <dxf>
      <font>
        <color theme="1"/>
      </font>
      <fill>
        <patternFill>
          <bgColor rgb="FF5ECE6B"/>
        </patternFill>
      </fill>
    </dxf>
    <dxf>
      <font>
        <strike val="0"/>
        <color rgb="FFC00000"/>
      </font>
      <fill>
        <patternFill>
          <bgColor theme="5" tint="0.59996337778862885"/>
        </patternFill>
      </fill>
    </dxf>
    <dxf>
      <font>
        <color theme="1"/>
      </font>
      <fill>
        <patternFill>
          <bgColor rgb="FF5ECE6B"/>
        </patternFill>
      </fill>
    </dxf>
    <dxf>
      <font>
        <strike val="0"/>
        <color rgb="FFC00000"/>
      </font>
      <fill>
        <patternFill>
          <bgColor theme="5" tint="0.59996337778862885"/>
        </patternFill>
      </fill>
    </dxf>
    <dxf>
      <font>
        <color theme="1"/>
      </font>
      <fill>
        <patternFill>
          <bgColor rgb="FF5ECE6B"/>
        </patternFill>
      </fill>
    </dxf>
    <dxf>
      <font>
        <strike val="0"/>
        <color rgb="FFC00000"/>
      </font>
      <fill>
        <patternFill>
          <bgColor theme="5" tint="0.59996337778862885"/>
        </patternFill>
      </fill>
    </dxf>
    <dxf>
      <font>
        <color theme="1"/>
      </font>
      <fill>
        <patternFill>
          <bgColor rgb="FF5ECE6B"/>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val="0"/>
        <i/>
        <strike val="0"/>
        <color rgb="FFFF0000"/>
      </font>
      <fill>
        <patternFill>
          <bgColor theme="9" tint="0.79998168889431442"/>
        </patternFill>
      </fill>
    </dxf>
    <dxf>
      <font>
        <b val="0"/>
        <i/>
        <strike val="0"/>
        <color rgb="FFFF0000"/>
      </font>
      <fill>
        <patternFill>
          <bgColor theme="9" tint="0.79998168889431442"/>
        </patternFill>
      </fill>
    </dxf>
    <dxf>
      <font>
        <b val="0"/>
        <i/>
        <strike val="0"/>
        <color rgb="FFFF0000"/>
      </font>
      <fill>
        <patternFill>
          <fgColor theme="9" tint="0.79995117038483843"/>
          <bgColor theme="9" tint="0.79998168889431442"/>
        </patternFill>
      </fill>
    </dxf>
    <dxf>
      <font>
        <color rgb="FFC00000"/>
      </font>
      <fill>
        <patternFill>
          <bgColor theme="5" tint="0.79998168889431442"/>
        </patternFill>
      </fill>
    </dxf>
    <dxf>
      <font>
        <color rgb="FFC00000"/>
      </font>
      <fill>
        <patternFill>
          <bgColor theme="5" tint="0.79998168889431442"/>
        </patternFill>
      </fill>
    </dxf>
    <dxf>
      <font>
        <color rgb="FFC00000"/>
      </font>
      <fill>
        <patternFill>
          <bgColor theme="5" tint="0.79998168889431442"/>
        </patternFill>
      </fill>
    </dxf>
    <dxf>
      <font>
        <color rgb="FFC00000"/>
      </font>
      <fill>
        <patternFill>
          <bgColor theme="5" tint="0.79998168889431442"/>
        </patternFill>
      </fill>
    </dxf>
    <dxf>
      <font>
        <color rgb="FFC00000"/>
      </font>
      <fill>
        <patternFill>
          <bgColor theme="5" tint="0.79998168889431442"/>
        </patternFill>
      </fill>
    </dxf>
    <dxf>
      <font>
        <color rgb="FFC00000"/>
      </font>
      <fill>
        <patternFill>
          <bgColor theme="5" tint="0.79998168889431442"/>
        </patternFill>
      </fill>
    </dxf>
    <dxf>
      <font>
        <color rgb="FFC00000"/>
      </font>
      <fill>
        <patternFill>
          <bgColor theme="5" tint="0.79998168889431442"/>
        </patternFill>
      </fill>
    </dxf>
    <dxf>
      <font>
        <strike val="0"/>
        <color rgb="FFC00000"/>
      </font>
      <fill>
        <patternFill>
          <bgColor theme="5" tint="0.7999816888943144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alignment vertical="center" readingOrder="0"/>
    </dxf>
    <dxf>
      <alignment wrapText="1" readingOrder="0"/>
    </dxf>
    <dxf>
      <font>
        <sz val="10"/>
      </font>
    </dxf>
    <dxf>
      <font>
        <name val="Arial Narrow"/>
        <scheme val="none"/>
      </font>
    </dxf>
    <dxf>
      <numFmt numFmtId="3" formatCode="#,##0"/>
    </dxf>
    <dxf>
      <numFmt numFmtId="3" formatCode="#,##0"/>
    </dxf>
    <dxf>
      <numFmt numFmtId="3" formatCode="#,##0"/>
    </dxf>
    <dxf>
      <numFmt numFmtId="3" formatCode="#,##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name val="Arial Narrow"/>
        <scheme val="none"/>
      </font>
    </dxf>
    <dxf>
      <font>
        <name val="Arial Narrow"/>
        <scheme val="none"/>
      </font>
    </dxf>
    <dxf>
      <font>
        <name val="Arial Narrow"/>
        <scheme val="none"/>
      </font>
    </dxf>
    <dxf>
      <font>
        <name val="Arial Narrow"/>
        <scheme val="none"/>
      </font>
    </dxf>
    <dxf>
      <font>
        <name val="Arial Narrow"/>
        <scheme val="none"/>
      </font>
    </dxf>
    <dxf>
      <font>
        <name val="Arial Narrow"/>
        <scheme val="none"/>
      </font>
    </dxf>
    <dxf>
      <font>
        <name val="Arial Narrow"/>
        <scheme val="none"/>
      </font>
    </dxf>
    <dxf>
      <font>
        <name val="Arial Narrow"/>
        <scheme val="none"/>
      </font>
    </dxf>
    <dxf>
      <font>
        <name val="Arial Narrow"/>
        <scheme val="none"/>
      </font>
    </dxf>
    <dxf>
      <font>
        <name val="Arial Narrow"/>
        <scheme val="none"/>
      </font>
    </dxf>
    <dxf>
      <font>
        <sz val="10"/>
      </font>
    </dxf>
    <dxf>
      <font>
        <name val="Arial Narrow"/>
        <scheme val="none"/>
      </font>
    </dxf>
    <dxf>
      <numFmt numFmtId="3" formatCode="#,##0"/>
    </dxf>
    <dxf>
      <fill>
        <patternFill>
          <bgColor theme="1" tint="0.24994659260841701"/>
        </patternFill>
      </fill>
    </dxf>
    <dxf>
      <fill>
        <patternFill>
          <bgColor theme="1" tint="0.24994659260841701"/>
        </patternFill>
      </fill>
    </dxf>
    <dxf>
      <fill>
        <patternFill>
          <bgColor theme="1" tint="0.24994659260841701"/>
        </patternFill>
      </fill>
    </dxf>
    <dxf>
      <font>
        <color theme="1" tint="0.24994659260841701"/>
      </font>
      <fill>
        <patternFill>
          <bgColor theme="1" tint="0.24994659260841701"/>
        </patternFill>
      </fill>
    </dxf>
    <dxf>
      <font>
        <b/>
        <i val="0"/>
        <color auto="1"/>
      </font>
      <fill>
        <gradientFill degree="45">
          <stop position="0">
            <color theme="4" tint="0.80001220740379042"/>
          </stop>
          <stop position="1">
            <color rgb="FFFF0000"/>
          </stop>
        </gradientFill>
      </fill>
      <border>
        <left style="dashDotDot">
          <color auto="1"/>
        </left>
        <right style="dashDotDot">
          <color auto="1"/>
        </right>
        <top style="dashDotDot">
          <color auto="1"/>
        </top>
        <bottom style="dashDotDot">
          <color auto="1"/>
        </bottom>
        <vertical/>
        <horizontal/>
      </border>
    </dxf>
    <dxf>
      <font>
        <b/>
        <i val="0"/>
        <color auto="1"/>
      </font>
      <fill>
        <gradientFill degree="45">
          <stop position="0">
            <color theme="4" tint="0.80001220740379042"/>
          </stop>
          <stop position="1">
            <color rgb="FFFF0000"/>
          </stop>
        </gradientFill>
      </fill>
      <border>
        <left style="dashDotDot">
          <color auto="1"/>
        </left>
        <right style="dashDotDot">
          <color auto="1"/>
        </right>
        <top style="dashDotDot">
          <color auto="1"/>
        </top>
        <bottom style="dashDotDot">
          <color auto="1"/>
        </bottom>
        <vertical/>
        <horizontal/>
      </border>
    </dxf>
  </dxfs>
  <tableStyles count="0" defaultTableStyle="TableStyleMedium2" defaultPivotStyle="PivotStyleMedium9"/>
  <colors>
    <mruColors>
      <color rgb="FFC0C0C0"/>
      <color rgb="FFC5D9F1"/>
      <color rgb="FFDCE6F1"/>
      <color rgb="FFC6E0B4"/>
      <color rgb="FFDAF2D0"/>
      <color rgb="FFC4D79B"/>
      <color rgb="FFFDE9D9"/>
      <color rgb="FFFEF2E8"/>
      <color rgb="FF92CDDC"/>
      <color rgb="FFFFFF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pivotCacheDefinition" Target="pivotCache/pivotCacheDefinition1.xml"/><Relationship Id="rId68"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pivotCacheDefinition" Target="pivotCache/pivotCacheDefinition2.xml"/><Relationship Id="rId69"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customXml" Target="../customXml/item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theme" Target="theme/theme1.xml"/><Relationship Id="rId73"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71"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98764288"/>
        <c:axId val="117881024"/>
      </c:barChart>
      <c:catAx>
        <c:axId val="98764288"/>
        <c:scaling>
          <c:orientation val="minMax"/>
        </c:scaling>
        <c:delete val="0"/>
        <c:axPos val="b"/>
        <c:majorTickMark val="out"/>
        <c:minorTickMark val="none"/>
        <c:tickLblPos val="nextTo"/>
        <c:crossAx val="117881024"/>
        <c:crosses val="autoZero"/>
        <c:auto val="1"/>
        <c:lblAlgn val="ctr"/>
        <c:lblOffset val="100"/>
        <c:noMultiLvlLbl val="0"/>
      </c:catAx>
      <c:valAx>
        <c:axId val="117881024"/>
        <c:scaling>
          <c:orientation val="minMax"/>
        </c:scaling>
        <c:delete val="0"/>
        <c:axPos val="l"/>
        <c:majorGridlines/>
        <c:majorTickMark val="out"/>
        <c:minorTickMark val="none"/>
        <c:tickLblPos val="nextTo"/>
        <c:crossAx val="98764288"/>
        <c:crosses val="autoZero"/>
        <c:crossBetween val="between"/>
      </c:valAx>
    </c:plotArea>
    <c:legend>
      <c:legendPos val="r"/>
      <c:overlay val="0"/>
    </c:legend>
    <c:plotVisOnly val="1"/>
    <c:dispBlanksAs val="gap"/>
    <c:showDLblsOverMax val="0"/>
  </c:chart>
  <c:spPr>
    <a:ln>
      <a:noFill/>
    </a:ln>
  </c:spPr>
  <c:txPr>
    <a:bodyPr/>
    <a:lstStyle/>
    <a:p>
      <a:pPr>
        <a:defRPr b="1" cap="none" spc="0">
          <a:ln w="18000">
            <a:solidFill>
              <a:schemeClr val="accent2">
                <a:satMod val="140000"/>
              </a:schemeClr>
            </a:solidFill>
            <a:prstDash val="solid"/>
            <a:miter lim="800000"/>
          </a:ln>
          <a:noFill/>
          <a:effectLst>
            <a:outerShdw blurRad="25500" dist="23000" dir="7020000" algn="tl">
              <a:srgbClr val="000000">
                <a:alpha val="50000"/>
              </a:srgbClr>
            </a:outerShdw>
          </a:effectLst>
        </a:defRPr>
      </a:pPr>
      <a:endParaRPr lang="it-IT"/>
    </a:p>
  </c:txPr>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98764288"/>
        <c:axId val="117881024"/>
      </c:barChart>
      <c:catAx>
        <c:axId val="98764288"/>
        <c:scaling>
          <c:orientation val="minMax"/>
        </c:scaling>
        <c:delete val="0"/>
        <c:axPos val="b"/>
        <c:majorTickMark val="out"/>
        <c:minorTickMark val="none"/>
        <c:tickLblPos val="nextTo"/>
        <c:crossAx val="117881024"/>
        <c:crosses val="autoZero"/>
        <c:auto val="1"/>
        <c:lblAlgn val="ctr"/>
        <c:lblOffset val="100"/>
        <c:noMultiLvlLbl val="0"/>
      </c:catAx>
      <c:valAx>
        <c:axId val="117881024"/>
        <c:scaling>
          <c:orientation val="minMax"/>
        </c:scaling>
        <c:delete val="0"/>
        <c:axPos val="l"/>
        <c:majorGridlines/>
        <c:majorTickMark val="out"/>
        <c:minorTickMark val="none"/>
        <c:tickLblPos val="nextTo"/>
        <c:crossAx val="98764288"/>
        <c:crosses val="autoZero"/>
        <c:crossBetween val="between"/>
      </c:valAx>
    </c:plotArea>
    <c:legend>
      <c:legendPos val="r"/>
      <c:overlay val="0"/>
    </c:legend>
    <c:plotVisOnly val="1"/>
    <c:dispBlanksAs val="gap"/>
    <c:showDLblsOverMax val="0"/>
  </c:chart>
  <c:spPr>
    <a:ln>
      <a:noFill/>
    </a:ln>
  </c:spPr>
  <c:txPr>
    <a:bodyPr/>
    <a:lstStyle/>
    <a:p>
      <a:pPr>
        <a:defRPr b="1" cap="none" spc="0">
          <a:ln w="18000">
            <a:solidFill>
              <a:schemeClr val="accent2">
                <a:satMod val="140000"/>
              </a:schemeClr>
            </a:solidFill>
            <a:prstDash val="solid"/>
            <a:miter lim="800000"/>
          </a:ln>
          <a:noFill/>
          <a:effectLst>
            <a:outerShdw blurRad="25500" dist="23000" dir="7020000" algn="tl">
              <a:srgbClr val="000000">
                <a:alpha val="50000"/>
              </a:srgbClr>
            </a:outerShdw>
          </a:effectLst>
        </a:defRPr>
      </a:pPr>
      <a:endParaRPr lang="it-IT"/>
    </a:p>
  </c:txPr>
  <c:printSettings>
    <c:headerFooter/>
    <c:pageMargins b="0.75" l="0.7" r="0.7" t="0.75" header="0.3" footer="0.3"/>
    <c:pageSetup/>
  </c:printSettings>
  <c:userShapes r:id="rId1"/>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2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2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4.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3</xdr:col>
      <xdr:colOff>44823</xdr:colOff>
      <xdr:row>15</xdr:row>
      <xdr:rowOff>156882</xdr:rowOff>
    </xdr:from>
    <xdr:to>
      <xdr:col>8</xdr:col>
      <xdr:colOff>549088</xdr:colOff>
      <xdr:row>36</xdr:row>
      <xdr:rowOff>89648</xdr:rowOff>
    </xdr:to>
    <xdr:graphicFrame macro="">
      <xdr:nvGraphicFramePr>
        <xdr:cNvPr id="2" name="Grafico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44</xdr:row>
      <xdr:rowOff>0</xdr:rowOff>
    </xdr:from>
    <xdr:to>
      <xdr:col>8</xdr:col>
      <xdr:colOff>280147</xdr:colOff>
      <xdr:row>64</xdr:row>
      <xdr:rowOff>123266</xdr:rowOff>
    </xdr:to>
    <xdr:graphicFrame macro="">
      <xdr:nvGraphicFramePr>
        <xdr:cNvPr id="3" name="GraficoPreview">
          <a:extLst>
            <a:ext uri="{FF2B5EF4-FFF2-40B4-BE49-F238E27FC236}">
              <a16:creationId xmlns:a16="http://schemas.microsoft.com/office/drawing/2014/main" id="{47D9C816-FF04-43BB-819E-28A661D4C33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cdr:x>
      <cdr:y>0</cdr:y>
    </cdr:from>
    <cdr:to>
      <cdr:x>1</cdr:x>
      <cdr:y>1</cdr:y>
    </cdr:to>
    <cdr:sp macro="" textlink="">
      <cdr:nvSpPr>
        <cdr:cNvPr id="2" name="CasellaDiTesto 1"/>
        <cdr:cNvSpPr txBox="1"/>
      </cdr:nvSpPr>
      <cdr:spPr>
        <a:xfrm xmlns:a="http://schemas.openxmlformats.org/drawingml/2006/main" rot="20238168">
          <a:off x="0" y="0"/>
          <a:ext cx="4840940" cy="2521323"/>
        </a:xfrm>
        <a:prstGeom xmlns:a="http://schemas.openxmlformats.org/drawingml/2006/main" prst="rect">
          <a:avLst/>
        </a:prstGeom>
        <a:ln xmlns:a="http://schemas.openxmlformats.org/drawingml/2006/main">
          <a:noFill/>
        </a:ln>
      </cdr:spPr>
      <cdr:txBody>
        <a:bodyPr xmlns:a="http://schemas.openxmlformats.org/drawingml/2006/main" vertOverflow="clip" wrap="none" rtlCol="0" anchor="ctr"/>
        <a:lstStyle xmlns:a="http://schemas.openxmlformats.org/drawingml/2006/main"/>
        <a:p xmlns:a="http://schemas.openxmlformats.org/drawingml/2006/main">
          <a:pPr algn="ctr"/>
          <a:r>
            <a:rPr lang="it-IT" sz="3200" b="0" i="1" cap="none" spc="0">
              <a:ln w="18415" cmpd="sng">
                <a:solidFill>
                  <a:srgbClr val="FFFFFF"/>
                </a:solidFill>
                <a:prstDash val="solid"/>
              </a:ln>
              <a:solidFill>
                <a:srgbClr val="FFFFFF"/>
              </a:solidFill>
              <a:effectLst>
                <a:outerShdw blurRad="63500" dir="3600000" algn="tl" rotWithShape="0">
                  <a:srgbClr val="000000">
                    <a:alpha val="70000"/>
                  </a:srgbClr>
                </a:outerShdw>
              </a:effectLst>
            </a:rPr>
            <a:t>File upload 2026</a:t>
          </a:r>
        </a:p>
      </cdr:txBody>
    </cdr:sp>
  </cdr:relSizeAnchor>
</c:userShapes>
</file>

<file path=xl/drawings/drawing3.xml><?xml version="1.0" encoding="utf-8"?>
<c:userShapes xmlns:c="http://schemas.openxmlformats.org/drawingml/2006/chart">
  <cdr:relSizeAnchor xmlns:cdr="http://schemas.openxmlformats.org/drawingml/2006/chartDrawing">
    <cdr:from>
      <cdr:x>0</cdr:x>
      <cdr:y>0</cdr:y>
    </cdr:from>
    <cdr:to>
      <cdr:x>1</cdr:x>
      <cdr:y>1</cdr:y>
    </cdr:to>
    <cdr:sp macro="" textlink="">
      <cdr:nvSpPr>
        <cdr:cNvPr id="2" name="CasellaDiTestoPreview"/>
        <cdr:cNvSpPr txBox="1"/>
      </cdr:nvSpPr>
      <cdr:spPr>
        <a:xfrm xmlns:a="http://schemas.openxmlformats.org/drawingml/2006/main" rot="20238168">
          <a:off x="0" y="0"/>
          <a:ext cx="4840940" cy="2521323"/>
        </a:xfrm>
        <a:prstGeom xmlns:a="http://schemas.openxmlformats.org/drawingml/2006/main" prst="rect">
          <a:avLst/>
        </a:prstGeom>
        <a:ln xmlns:a="http://schemas.openxmlformats.org/drawingml/2006/main">
          <a:noFill/>
        </a:ln>
      </cdr:spPr>
      <cdr:txBody>
        <a:bodyPr xmlns:a="http://schemas.openxmlformats.org/drawingml/2006/main" vertOverflow="clip" wrap="none" rtlCol="0" anchor="ctr"/>
        <a:lstStyle xmlns:a="http://schemas.openxmlformats.org/drawingml/2006/main"/>
        <a:p xmlns:a="http://schemas.openxmlformats.org/drawingml/2006/main">
          <a:pPr algn="ctr"/>
          <a:r>
            <a:rPr lang="it-IT" sz="3200" b="0" i="1" cap="none" spc="0">
              <a:ln w="18415" cmpd="sng">
                <a:solidFill>
                  <a:srgbClr val="FFFFFF"/>
                </a:solidFill>
                <a:prstDash val="solid"/>
              </a:ln>
              <a:solidFill>
                <a:srgbClr val="FFFFFF"/>
              </a:solidFill>
              <a:effectLst>
                <a:outerShdw blurRad="63500" dir="3600000" algn="tl" rotWithShape="0">
                  <a:srgbClr val="000000">
                    <a:alpha val="70000"/>
                  </a:srgbClr>
                </a:outerShdw>
              </a:effectLst>
            </a:rPr>
            <a:t>File upload 2026 </a:t>
          </a:r>
        </a:p>
      </cdr:txBody>
    </cdr:sp>
  </cdr:relSizeAnchor>
</c:userShapes>
</file>

<file path=xl/drawings/drawing4.xml><?xml version="1.0" encoding="utf-8"?>
<xdr:wsDr xmlns:xdr="http://schemas.openxmlformats.org/drawingml/2006/spreadsheetDrawing" xmlns:a="http://schemas.openxmlformats.org/drawingml/2006/main">
  <xdr:twoCellAnchor editAs="absolute">
    <xdr:from>
      <xdr:col>1</xdr:col>
      <xdr:colOff>0</xdr:colOff>
      <xdr:row>5</xdr:row>
      <xdr:rowOff>112056</xdr:rowOff>
    </xdr:from>
    <xdr:to>
      <xdr:col>2</xdr:col>
      <xdr:colOff>801264</xdr:colOff>
      <xdr:row>7</xdr:row>
      <xdr:rowOff>17633</xdr:rowOff>
    </xdr:to>
    <xdr:sp macro="[0]!Apri_Scheda" textlink="">
      <xdr:nvSpPr>
        <xdr:cNvPr id="3" name="Telaio 2">
          <a:extLst>
            <a:ext uri="{FF2B5EF4-FFF2-40B4-BE49-F238E27FC236}">
              <a16:creationId xmlns:a16="http://schemas.microsoft.com/office/drawing/2014/main" id="{00000000-0008-0000-0100-000003000000}"/>
            </a:ext>
          </a:extLst>
        </xdr:cNvPr>
        <xdr:cNvSpPr/>
      </xdr:nvSpPr>
      <xdr:spPr>
        <a:xfrm>
          <a:off x="448235" y="1154203"/>
          <a:ext cx="1440000" cy="468000"/>
        </a:xfrm>
        <a:prstGeom prst="bevel">
          <a:avLst/>
        </a:prstGeom>
        <a:solidFill>
          <a:schemeClr val="tx2">
            <a:lumMod val="20000"/>
            <a:lumOff val="80000"/>
          </a:schemeClr>
        </a:solidFill>
        <a:ln>
          <a:solidFill>
            <a:srgbClr val="008080"/>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it-IT" sz="1000" b="1">
              <a:latin typeface="Arial Narrow" panose="020B0606020202030204" pitchFamily="34" charset="0"/>
            </a:rPr>
            <a:t>Apri la scheda</a:t>
          </a:r>
        </a:p>
      </xdr:txBody>
    </xdr:sp>
    <xdr:clientData/>
  </xdr:twoCellAnchor>
  <xdr:twoCellAnchor editAs="absolute">
    <xdr:from>
      <xdr:col>2</xdr:col>
      <xdr:colOff>1026459</xdr:colOff>
      <xdr:row>5</xdr:row>
      <xdr:rowOff>94238</xdr:rowOff>
    </xdr:from>
    <xdr:to>
      <xdr:col>4</xdr:col>
      <xdr:colOff>625109</xdr:colOff>
      <xdr:row>7</xdr:row>
      <xdr:rowOff>22675</xdr:rowOff>
    </xdr:to>
    <xdr:sp macro="[0]!CreaBarraComandi" textlink="">
      <xdr:nvSpPr>
        <xdr:cNvPr id="4" name="Telaio 2">
          <a:extLst>
            <a:ext uri="{FF2B5EF4-FFF2-40B4-BE49-F238E27FC236}">
              <a16:creationId xmlns:a16="http://schemas.microsoft.com/office/drawing/2014/main" id="{00000000-0008-0000-0100-000004000000}"/>
            </a:ext>
          </a:extLst>
        </xdr:cNvPr>
        <xdr:cNvSpPr/>
      </xdr:nvSpPr>
      <xdr:spPr>
        <a:xfrm>
          <a:off x="2113430" y="1149720"/>
          <a:ext cx="1440000" cy="468000"/>
        </a:xfrm>
        <a:prstGeom prst="bevel">
          <a:avLst/>
        </a:prstGeom>
        <a:solidFill>
          <a:schemeClr val="tx2">
            <a:lumMod val="20000"/>
            <a:lumOff val="80000"/>
          </a:schemeClr>
        </a:solidFill>
        <a:ln>
          <a:solidFill>
            <a:srgbClr val="008080"/>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it-IT" sz="1000" b="1">
              <a:latin typeface="Arial Narrow" panose="020B0606020202030204" pitchFamily="34" charset="0"/>
            </a:rPr>
            <a:t>Componenti aggiuntivi</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459441</xdr:colOff>
      <xdr:row>2</xdr:row>
      <xdr:rowOff>130887</xdr:rowOff>
    </xdr:from>
    <xdr:to>
      <xdr:col>11</xdr:col>
      <xdr:colOff>515471</xdr:colOff>
      <xdr:row>4</xdr:row>
      <xdr:rowOff>158788</xdr:rowOff>
    </xdr:to>
    <xdr:sp macro="" textlink="">
      <xdr:nvSpPr>
        <xdr:cNvPr id="2" name="Rettangolo 1">
          <a:extLst>
            <a:ext uri="{FF2B5EF4-FFF2-40B4-BE49-F238E27FC236}">
              <a16:creationId xmlns:a16="http://schemas.microsoft.com/office/drawing/2014/main" id="{00000000-0008-0000-0200-000002000000}"/>
            </a:ext>
          </a:extLst>
        </xdr:cNvPr>
        <xdr:cNvSpPr/>
      </xdr:nvSpPr>
      <xdr:spPr>
        <a:xfrm>
          <a:off x="9749117" y="635152"/>
          <a:ext cx="4840942" cy="408901"/>
        </a:xfrm>
        <a:prstGeom prst="rect">
          <a:avLst/>
        </a:prstGeom>
        <a:solidFill>
          <a:srgbClr val="FFFF00"/>
        </a:solidFill>
        <a:ln>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000" i="1" strike="noStrike">
              <a:solidFill>
                <a:sysClr val="windowText" lastClr="000000"/>
              </a:solidFill>
              <a:effectLst/>
              <a:latin typeface="Arial Narrow" panose="020B0606020202030204" pitchFamily="34" charset="0"/>
              <a:ea typeface="+mn-ea"/>
              <a:cs typeface="+mn-cs"/>
            </a:rPr>
            <a:t>Verificare la coerenza</a:t>
          </a:r>
          <a:r>
            <a:rPr lang="it-IT" sz="1000" i="1" strike="noStrike" baseline="0">
              <a:solidFill>
                <a:sysClr val="windowText" lastClr="000000"/>
              </a:solidFill>
              <a:effectLst/>
              <a:latin typeface="Arial Narrow" panose="020B0606020202030204" pitchFamily="34" charset="0"/>
              <a:ea typeface="+mn-ea"/>
              <a:cs typeface="+mn-cs"/>
            </a:rPr>
            <a:t> dei dati l</a:t>
          </a:r>
          <a:r>
            <a:rPr lang="it-IT" sz="1000" i="1" strike="noStrike">
              <a:solidFill>
                <a:sysClr val="windowText" lastClr="000000"/>
              </a:solidFill>
              <a:effectLst/>
              <a:latin typeface="Arial Narrow" panose="020B0606020202030204" pitchFamily="34" charset="0"/>
              <a:ea typeface="+mn-ea"/>
              <a:cs typeface="+mn-cs"/>
            </a:rPr>
            <a:t>addove già trasmessi ai sensi della raccolta dati </a:t>
          </a:r>
        </a:p>
        <a:p>
          <a:pPr algn="l"/>
          <a:r>
            <a:rPr lang="it-IT" sz="1000" i="1" strike="noStrike">
              <a:solidFill>
                <a:sysClr val="windowText" lastClr="000000"/>
              </a:solidFill>
              <a:effectLst/>
              <a:latin typeface="Arial Narrow" panose="020B0606020202030204" pitchFamily="34" charset="0"/>
              <a:ea typeface="+mn-ea"/>
              <a:cs typeface="+mn-cs"/>
            </a:rPr>
            <a:t>“</a:t>
          </a:r>
          <a:r>
            <a:rPr lang="it-IT" sz="1000" b="1" i="1" strike="noStrike">
              <a:solidFill>
                <a:srgbClr val="C00000"/>
              </a:solidFill>
              <a:effectLst/>
              <a:latin typeface="Arial Narrow" panose="020B0606020202030204" pitchFamily="34" charset="0"/>
              <a:ea typeface="+mn-ea"/>
              <a:cs typeface="+mn-cs"/>
            </a:rPr>
            <a:t>Periodo regolatorio 2024-2029: Anno raccolta 2026 – Qualità tecnica (RQTI) - monitoraggio</a:t>
          </a:r>
          <a:r>
            <a:rPr lang="it-IT" sz="1000" i="1" strike="noStrike">
              <a:solidFill>
                <a:sysClr val="windowText" lastClr="000000"/>
              </a:solidFill>
              <a:effectLst/>
              <a:latin typeface="Arial Narrow" panose="020B0606020202030204" pitchFamily="34" charset="0"/>
              <a:ea typeface="+mn-ea"/>
              <a:cs typeface="+mn-cs"/>
            </a:rPr>
            <a: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237228</xdr:colOff>
      <xdr:row>62</xdr:row>
      <xdr:rowOff>13111</xdr:rowOff>
    </xdr:from>
    <xdr:to>
      <xdr:col>6</xdr:col>
      <xdr:colOff>392205</xdr:colOff>
      <xdr:row>64</xdr:row>
      <xdr:rowOff>0</xdr:rowOff>
    </xdr:to>
    <xdr:sp macro="" textlink="">
      <xdr:nvSpPr>
        <xdr:cNvPr id="2" name="Right Brace 1">
          <a:extLst>
            <a:ext uri="{FF2B5EF4-FFF2-40B4-BE49-F238E27FC236}">
              <a16:creationId xmlns:a16="http://schemas.microsoft.com/office/drawing/2014/main" id="{00000000-0008-0000-0400-000002000000}"/>
            </a:ext>
          </a:extLst>
        </xdr:cNvPr>
        <xdr:cNvSpPr/>
      </xdr:nvSpPr>
      <xdr:spPr>
        <a:xfrm>
          <a:off x="7364169" y="12294758"/>
          <a:ext cx="154977" cy="547183"/>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it-IT" sz="1100"/>
        </a:p>
      </xdr:txBody>
    </xdr:sp>
    <xdr:clientData/>
  </xdr:twoCellAnchor>
  <xdr:twoCellAnchor>
    <xdr:from>
      <xdr:col>6</xdr:col>
      <xdr:colOff>515470</xdr:colOff>
      <xdr:row>61</xdr:row>
      <xdr:rowOff>181200</xdr:rowOff>
    </xdr:from>
    <xdr:to>
      <xdr:col>11</xdr:col>
      <xdr:colOff>322842</xdr:colOff>
      <xdr:row>64</xdr:row>
      <xdr:rowOff>31713</xdr:rowOff>
    </xdr:to>
    <xdr:sp macro="" textlink="">
      <xdr:nvSpPr>
        <xdr:cNvPr id="3" name="Rectangle 2">
          <a:extLst>
            <a:ext uri="{FF2B5EF4-FFF2-40B4-BE49-F238E27FC236}">
              <a16:creationId xmlns:a16="http://schemas.microsoft.com/office/drawing/2014/main" id="{00000000-0008-0000-0400-000003000000}"/>
            </a:ext>
          </a:extLst>
        </xdr:cNvPr>
        <xdr:cNvSpPr/>
      </xdr:nvSpPr>
      <xdr:spPr>
        <a:xfrm>
          <a:off x="7642411" y="12261141"/>
          <a:ext cx="4648313" cy="61251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000" i="1">
              <a:solidFill>
                <a:srgbClr val="C00000"/>
              </a:solidFill>
              <a:effectLst/>
              <a:latin typeface="Arial Narrow" panose="020B0606020202030204" pitchFamily="34" charset="0"/>
              <a:ea typeface="+mn-ea"/>
              <a:cs typeface="+mn-cs"/>
            </a:rPr>
            <a:t>le penali per il biennio 2022-2023, di cui alle delibere 277/2025/R/idr e 225/2025/R/idr, possono essere ripartite tra le due annualità 2024 e 2025 (o attribuite ad una sola di esse) secondo le valutazioni al riguardo svolte dall’EGA</a:t>
          </a:r>
          <a:endParaRPr lang="it-IT" sz="1000">
            <a:solidFill>
              <a:srgbClr val="C00000"/>
            </a:solidFill>
            <a:latin typeface="Arial Narrow" panose="020B060602020203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336177</xdr:colOff>
      <xdr:row>5</xdr:row>
      <xdr:rowOff>302559</xdr:rowOff>
    </xdr:from>
    <xdr:to>
      <xdr:col>1</xdr:col>
      <xdr:colOff>898170</xdr:colOff>
      <xdr:row>7</xdr:row>
      <xdr:rowOff>16916</xdr:rowOff>
    </xdr:to>
    <xdr:pic macro="[0]!Aggiunge_riga">
      <xdr:nvPicPr>
        <xdr:cNvPr id="3" name="Immagine 6">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42105"/>
        <a:stretch>
          <a:fillRect/>
        </a:stretch>
      </xdr:blipFill>
      <xdr:spPr bwMode="auto">
        <a:xfrm>
          <a:off x="784412" y="1546412"/>
          <a:ext cx="571518" cy="5378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2138646</xdr:colOff>
      <xdr:row>5</xdr:row>
      <xdr:rowOff>321797</xdr:rowOff>
    </xdr:from>
    <xdr:to>
      <xdr:col>1</xdr:col>
      <xdr:colOff>2725404</xdr:colOff>
      <xdr:row>7</xdr:row>
      <xdr:rowOff>19009</xdr:rowOff>
    </xdr:to>
    <xdr:pic macro="[0]!Elimina_riga">
      <xdr:nvPicPr>
        <xdr:cNvPr id="5" name="Immagine 7">
          <a:extLst>
            <a:ext uri="{FF2B5EF4-FFF2-40B4-BE49-F238E27FC236}">
              <a16:creationId xmlns:a16="http://schemas.microsoft.com/office/drawing/2014/main" id="{00000000-0008-0000-0500-000005000000}"/>
            </a:ext>
          </a:extLst>
        </xdr:cNvPr>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202"/>
        <a:stretch>
          <a:fillRect/>
        </a:stretch>
      </xdr:blipFill>
      <xdr:spPr bwMode="auto">
        <a:xfrm>
          <a:off x="2586881" y="1565650"/>
          <a:ext cx="571518" cy="5378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176489</xdr:colOff>
      <xdr:row>6</xdr:row>
      <xdr:rowOff>14385</xdr:rowOff>
    </xdr:from>
    <xdr:to>
      <xdr:col>2</xdr:col>
      <xdr:colOff>744869</xdr:colOff>
      <xdr:row>6</xdr:row>
      <xdr:rowOff>550575</xdr:rowOff>
    </xdr:to>
    <xdr:pic macro="[0]!Aggiunge_riga">
      <xdr:nvPicPr>
        <xdr:cNvPr id="5" name="Immagine 6">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42105"/>
        <a:stretch>
          <a:fillRect/>
        </a:stretch>
      </xdr:blipFill>
      <xdr:spPr bwMode="auto">
        <a:xfrm>
          <a:off x="1801342" y="1359091"/>
          <a:ext cx="576000" cy="54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2303003</xdr:colOff>
      <xdr:row>6</xdr:row>
      <xdr:rowOff>11211</xdr:rowOff>
    </xdr:from>
    <xdr:to>
      <xdr:col>2</xdr:col>
      <xdr:colOff>2875193</xdr:colOff>
      <xdr:row>6</xdr:row>
      <xdr:rowOff>555021</xdr:rowOff>
    </xdr:to>
    <xdr:pic macro="[0]!Elimina_riga">
      <xdr:nvPicPr>
        <xdr:cNvPr id="6" name="Immagine 7">
          <a:extLst>
            <a:ext uri="{FF2B5EF4-FFF2-40B4-BE49-F238E27FC236}">
              <a16:creationId xmlns:a16="http://schemas.microsoft.com/office/drawing/2014/main" id="{00000000-0008-0000-0600-000006000000}"/>
            </a:ext>
          </a:extLst>
        </xdr:cNvPr>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202"/>
        <a:stretch>
          <a:fillRect/>
        </a:stretch>
      </xdr:blipFill>
      <xdr:spPr bwMode="auto">
        <a:xfrm>
          <a:off x="3927856" y="1467976"/>
          <a:ext cx="576000" cy="54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179290</xdr:colOff>
      <xdr:row>6</xdr:row>
      <xdr:rowOff>11213</xdr:rowOff>
    </xdr:from>
    <xdr:to>
      <xdr:col>2</xdr:col>
      <xdr:colOff>741955</xdr:colOff>
      <xdr:row>6</xdr:row>
      <xdr:rowOff>555023</xdr:rowOff>
    </xdr:to>
    <xdr:pic macro="[0]!Aggiunge_riga">
      <xdr:nvPicPr>
        <xdr:cNvPr id="5" name="Immagine 6">
          <a:extLst>
            <a:ext uri="{FF2B5EF4-FFF2-40B4-BE49-F238E27FC236}">
              <a16:creationId xmlns:a16="http://schemas.microsoft.com/office/drawing/2014/main" id="{00000000-0008-0000-0700-000005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42105"/>
        <a:stretch>
          <a:fillRect/>
        </a:stretch>
      </xdr:blipFill>
      <xdr:spPr bwMode="auto">
        <a:xfrm>
          <a:off x="1804143" y="1355919"/>
          <a:ext cx="576000" cy="54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2299454</xdr:colOff>
      <xdr:row>6</xdr:row>
      <xdr:rowOff>11213</xdr:rowOff>
    </xdr:from>
    <xdr:to>
      <xdr:col>2</xdr:col>
      <xdr:colOff>2879264</xdr:colOff>
      <xdr:row>6</xdr:row>
      <xdr:rowOff>555023</xdr:rowOff>
    </xdr:to>
    <xdr:pic macro="[0]!Elimina_riga">
      <xdr:nvPicPr>
        <xdr:cNvPr id="6" name="Immagine 7">
          <a:extLst>
            <a:ext uri="{FF2B5EF4-FFF2-40B4-BE49-F238E27FC236}">
              <a16:creationId xmlns:a16="http://schemas.microsoft.com/office/drawing/2014/main" id="{00000000-0008-0000-0700-000006000000}"/>
            </a:ext>
          </a:extLst>
        </xdr:cNvPr>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202"/>
        <a:stretch>
          <a:fillRect/>
        </a:stretch>
      </xdr:blipFill>
      <xdr:spPr bwMode="auto">
        <a:xfrm>
          <a:off x="3924307" y="1355919"/>
          <a:ext cx="576000" cy="54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179295</xdr:colOff>
      <xdr:row>6</xdr:row>
      <xdr:rowOff>8404</xdr:rowOff>
    </xdr:from>
    <xdr:to>
      <xdr:col>2</xdr:col>
      <xdr:colOff>753390</xdr:colOff>
      <xdr:row>6</xdr:row>
      <xdr:rowOff>541133</xdr:rowOff>
    </xdr:to>
    <xdr:pic macro="[0]!Aggiunge_riga">
      <xdr:nvPicPr>
        <xdr:cNvPr id="7" name="Immagine 6">
          <a:extLst>
            <a:ext uri="{FF2B5EF4-FFF2-40B4-BE49-F238E27FC236}">
              <a16:creationId xmlns:a16="http://schemas.microsoft.com/office/drawing/2014/main" id="{00000000-0008-0000-0800-000007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42105"/>
        <a:stretch>
          <a:fillRect/>
        </a:stretch>
      </xdr:blipFill>
      <xdr:spPr bwMode="auto">
        <a:xfrm>
          <a:off x="1871383" y="1566022"/>
          <a:ext cx="576000" cy="530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2306727</xdr:colOff>
      <xdr:row>6</xdr:row>
      <xdr:rowOff>8404</xdr:rowOff>
    </xdr:from>
    <xdr:to>
      <xdr:col>2</xdr:col>
      <xdr:colOff>2878917</xdr:colOff>
      <xdr:row>6</xdr:row>
      <xdr:rowOff>565261</xdr:rowOff>
    </xdr:to>
    <xdr:pic macro="[0]!Elimina_riga">
      <xdr:nvPicPr>
        <xdr:cNvPr id="8" name="Immagine 7">
          <a:extLst>
            <a:ext uri="{FF2B5EF4-FFF2-40B4-BE49-F238E27FC236}">
              <a16:creationId xmlns:a16="http://schemas.microsoft.com/office/drawing/2014/main" id="{00000000-0008-0000-0800-000008000000}"/>
            </a:ext>
          </a:extLst>
        </xdr:cNvPr>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202"/>
        <a:stretch>
          <a:fillRect/>
        </a:stretch>
      </xdr:blipFill>
      <xdr:spPr bwMode="auto">
        <a:xfrm>
          <a:off x="3998815" y="1566022"/>
          <a:ext cx="576000" cy="5587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44823</xdr:colOff>
      <xdr:row>4</xdr:row>
      <xdr:rowOff>112058</xdr:rowOff>
    </xdr:from>
    <xdr:to>
      <xdr:col>10</xdr:col>
      <xdr:colOff>481853</xdr:colOff>
      <xdr:row>4</xdr:row>
      <xdr:rowOff>336176</xdr:rowOff>
    </xdr:to>
    <xdr:sp macro="" textlink="">
      <xdr:nvSpPr>
        <xdr:cNvPr id="4" name="CasellaDiTesto 3">
          <a:extLst>
            <a:ext uri="{FF2B5EF4-FFF2-40B4-BE49-F238E27FC236}">
              <a16:creationId xmlns:a16="http://schemas.microsoft.com/office/drawing/2014/main" id="{00000000-0008-0000-0800-000004000000}"/>
            </a:ext>
          </a:extLst>
        </xdr:cNvPr>
        <xdr:cNvSpPr txBox="1"/>
      </xdr:nvSpPr>
      <xdr:spPr>
        <a:xfrm>
          <a:off x="8796617" y="997323"/>
          <a:ext cx="3697942" cy="224118"/>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i="1">
              <a:solidFill>
                <a:srgbClr val="FF0000"/>
              </a:solidFill>
              <a:latin typeface="Arial Narrow" panose="020B0606020202030204" pitchFamily="34" charset="0"/>
            </a:rPr>
            <a:t>zona di ausilio per la ricerca del gestore (tramite Partita IVA o ID </a:t>
          </a:r>
          <a:r>
            <a:rPr lang="en-US" sz="1000" i="1" baseline="0">
              <a:solidFill>
                <a:srgbClr val="FF0000"/>
              </a:solidFill>
              <a:latin typeface="Arial Narrow" panose="020B0606020202030204" pitchFamily="34" charset="0"/>
            </a:rPr>
            <a:t>ge</a:t>
          </a:r>
          <a:r>
            <a:rPr lang="en-US" sz="1000" i="1">
              <a:solidFill>
                <a:srgbClr val="FF0000"/>
              </a:solidFill>
              <a:latin typeface="Arial Narrow" panose="020B0606020202030204" pitchFamily="34" charset="0"/>
            </a:rPr>
            <a:t>store)</a:t>
          </a:r>
          <a:endParaRPr lang="en-US" sz="1000" b="1" i="1">
            <a:solidFill>
              <a:srgbClr val="FF0000"/>
            </a:solidFill>
            <a:latin typeface="Arial Narrow" panose="020B060602020203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179298</xdr:colOff>
      <xdr:row>4</xdr:row>
      <xdr:rowOff>11203</xdr:rowOff>
    </xdr:from>
    <xdr:to>
      <xdr:col>2</xdr:col>
      <xdr:colOff>749583</xdr:colOff>
      <xdr:row>4</xdr:row>
      <xdr:rowOff>549647</xdr:rowOff>
    </xdr:to>
    <xdr:pic macro="[0]!Aggiunge_riga">
      <xdr:nvPicPr>
        <xdr:cNvPr id="11" name="Immagine 10">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42105"/>
        <a:stretch>
          <a:fillRect/>
        </a:stretch>
      </xdr:blipFill>
      <xdr:spPr bwMode="auto">
        <a:xfrm>
          <a:off x="1871386" y="1423144"/>
          <a:ext cx="576000" cy="530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2306732</xdr:colOff>
      <xdr:row>4</xdr:row>
      <xdr:rowOff>11204</xdr:rowOff>
    </xdr:from>
    <xdr:to>
      <xdr:col>2</xdr:col>
      <xdr:colOff>2878922</xdr:colOff>
      <xdr:row>4</xdr:row>
      <xdr:rowOff>569966</xdr:rowOff>
    </xdr:to>
    <xdr:pic macro="[0]!Elimina_riga">
      <xdr:nvPicPr>
        <xdr:cNvPr id="12" name="Immagine 11">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202"/>
        <a:stretch>
          <a:fillRect/>
        </a:stretch>
      </xdr:blipFill>
      <xdr:spPr bwMode="auto">
        <a:xfrm>
          <a:off x="3998820" y="1423145"/>
          <a:ext cx="576000" cy="5587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168089</xdr:colOff>
      <xdr:row>4</xdr:row>
      <xdr:rowOff>11207</xdr:rowOff>
    </xdr:from>
    <xdr:to>
      <xdr:col>2</xdr:col>
      <xdr:colOff>740279</xdr:colOff>
      <xdr:row>4</xdr:row>
      <xdr:rowOff>530738</xdr:rowOff>
    </xdr:to>
    <xdr:pic macro="[0]!Aggiunge_riga">
      <xdr:nvPicPr>
        <xdr:cNvPr id="7" name="Immagine 6">
          <a:extLst>
            <a:ext uri="{FF2B5EF4-FFF2-40B4-BE49-F238E27FC236}">
              <a16:creationId xmlns:a16="http://schemas.microsoft.com/office/drawing/2014/main" id="{00000000-0008-0000-0A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42105"/>
        <a:stretch>
          <a:fillRect/>
        </a:stretch>
      </xdr:blipFill>
      <xdr:spPr bwMode="auto">
        <a:xfrm>
          <a:off x="1860177" y="1423148"/>
          <a:ext cx="576000" cy="5195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2306729</xdr:colOff>
      <xdr:row>4</xdr:row>
      <xdr:rowOff>11205</xdr:rowOff>
    </xdr:from>
    <xdr:to>
      <xdr:col>2</xdr:col>
      <xdr:colOff>2878919</xdr:colOff>
      <xdr:row>4</xdr:row>
      <xdr:rowOff>554270</xdr:rowOff>
    </xdr:to>
    <xdr:pic macro="[0]!Elimina_riga">
      <xdr:nvPicPr>
        <xdr:cNvPr id="8" name="Immagine 7">
          <a:extLst>
            <a:ext uri="{FF2B5EF4-FFF2-40B4-BE49-F238E27FC236}">
              <a16:creationId xmlns:a16="http://schemas.microsoft.com/office/drawing/2014/main" id="{00000000-0008-0000-0A00-00000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202"/>
        <a:stretch>
          <a:fillRect/>
        </a:stretch>
      </xdr:blipFill>
      <xdr:spPr bwMode="auto">
        <a:xfrm>
          <a:off x="3998817" y="1423146"/>
          <a:ext cx="576000" cy="54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182658</xdr:colOff>
      <xdr:row>14</xdr:row>
      <xdr:rowOff>14008</xdr:rowOff>
    </xdr:from>
    <xdr:to>
      <xdr:col>1</xdr:col>
      <xdr:colOff>758658</xdr:colOff>
      <xdr:row>14</xdr:row>
      <xdr:rowOff>574531</xdr:rowOff>
    </xdr:to>
    <xdr:pic macro="[0]!Aggiunge_riga">
      <xdr:nvPicPr>
        <xdr:cNvPr id="5" name="Immagine 6">
          <a:extLst>
            <a:ext uri="{FF2B5EF4-FFF2-40B4-BE49-F238E27FC236}">
              <a16:creationId xmlns:a16="http://schemas.microsoft.com/office/drawing/2014/main" id="{00000000-0008-0000-0B00-000005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34831"/>
        <a:stretch>
          <a:fillRect/>
        </a:stretch>
      </xdr:blipFill>
      <xdr:spPr bwMode="auto">
        <a:xfrm>
          <a:off x="630893" y="2075890"/>
          <a:ext cx="576000" cy="5662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2354912</xdr:colOff>
      <xdr:row>14</xdr:row>
      <xdr:rowOff>25215</xdr:rowOff>
    </xdr:from>
    <xdr:to>
      <xdr:col>1</xdr:col>
      <xdr:colOff>2930912</xdr:colOff>
      <xdr:row>14</xdr:row>
      <xdr:rowOff>570899</xdr:rowOff>
    </xdr:to>
    <xdr:pic macro="[0]!Elimina_riga">
      <xdr:nvPicPr>
        <xdr:cNvPr id="6" name="Immagine 7">
          <a:extLst>
            <a:ext uri="{FF2B5EF4-FFF2-40B4-BE49-F238E27FC236}">
              <a16:creationId xmlns:a16="http://schemas.microsoft.com/office/drawing/2014/main" id="{00000000-0008-0000-0B00-000006000000}"/>
            </a:ext>
          </a:extLst>
        </xdr:cNvPr>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9326"/>
        <a:stretch>
          <a:fillRect/>
        </a:stretch>
      </xdr:blipFill>
      <xdr:spPr bwMode="auto">
        <a:xfrm>
          <a:off x="2803147" y="2087097"/>
          <a:ext cx="576000" cy="5456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176498</xdr:colOff>
      <xdr:row>6</xdr:row>
      <xdr:rowOff>12330</xdr:rowOff>
    </xdr:from>
    <xdr:to>
      <xdr:col>1</xdr:col>
      <xdr:colOff>758980</xdr:colOff>
      <xdr:row>6</xdr:row>
      <xdr:rowOff>567694</xdr:rowOff>
    </xdr:to>
    <xdr:pic macro="[0]!Aggiunge_riga">
      <xdr:nvPicPr>
        <xdr:cNvPr id="5" name="Immagine 6">
          <a:extLst>
            <a:ext uri="{FF2B5EF4-FFF2-40B4-BE49-F238E27FC236}">
              <a16:creationId xmlns:a16="http://schemas.microsoft.com/office/drawing/2014/main" id="{00000000-0008-0000-0C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34831"/>
        <a:stretch>
          <a:fillRect/>
        </a:stretch>
      </xdr:blipFill>
      <xdr:spPr bwMode="auto">
        <a:xfrm>
          <a:off x="624733" y="1995771"/>
          <a:ext cx="565337" cy="549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1769413</xdr:colOff>
      <xdr:row>6</xdr:row>
      <xdr:rowOff>23536</xdr:rowOff>
    </xdr:from>
    <xdr:to>
      <xdr:col>1</xdr:col>
      <xdr:colOff>2308528</xdr:colOff>
      <xdr:row>6</xdr:row>
      <xdr:rowOff>535085</xdr:rowOff>
    </xdr:to>
    <xdr:pic macro="[0]!Elimina_riga">
      <xdr:nvPicPr>
        <xdr:cNvPr id="6" name="Immagine 7">
          <a:extLst>
            <a:ext uri="{FF2B5EF4-FFF2-40B4-BE49-F238E27FC236}">
              <a16:creationId xmlns:a16="http://schemas.microsoft.com/office/drawing/2014/main" id="{00000000-0008-0000-0C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9326"/>
        <a:stretch>
          <a:fillRect/>
        </a:stretch>
      </xdr:blipFill>
      <xdr:spPr bwMode="auto">
        <a:xfrm>
          <a:off x="2217648" y="2006977"/>
          <a:ext cx="542925" cy="511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2297205</xdr:colOff>
      <xdr:row>4</xdr:row>
      <xdr:rowOff>19706</xdr:rowOff>
    </xdr:from>
    <xdr:to>
      <xdr:col>5</xdr:col>
      <xdr:colOff>672353</xdr:colOff>
      <xdr:row>5</xdr:row>
      <xdr:rowOff>179294</xdr:rowOff>
    </xdr:to>
    <xdr:sp macro="" textlink="">
      <xdr:nvSpPr>
        <xdr:cNvPr id="4" name="Rettangolo 3">
          <a:extLst>
            <a:ext uri="{FF2B5EF4-FFF2-40B4-BE49-F238E27FC236}">
              <a16:creationId xmlns:a16="http://schemas.microsoft.com/office/drawing/2014/main" id="{00000000-0008-0000-0C00-000004000000}"/>
            </a:ext>
          </a:extLst>
        </xdr:cNvPr>
        <xdr:cNvSpPr/>
      </xdr:nvSpPr>
      <xdr:spPr>
        <a:xfrm>
          <a:off x="5213826" y="1254672"/>
          <a:ext cx="4188682" cy="540588"/>
        </a:xfrm>
        <a:prstGeom prst="rect">
          <a:avLst/>
        </a:prstGeom>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lang="it-IT" sz="900" i="0">
              <a:solidFill>
                <a:sysClr val="windowText" lastClr="000000"/>
              </a:solidFill>
              <a:latin typeface="Tahoma" panose="020B0604030504040204" pitchFamily="34" charset="0"/>
              <a:ea typeface="Tahoma" panose="020B0604030504040204" pitchFamily="34" charset="0"/>
              <a:cs typeface="Tahoma" panose="020B0604030504040204" pitchFamily="34" charset="0"/>
            </a:rPr>
            <a:t>Campi da compilare </a:t>
          </a:r>
          <a:r>
            <a:rPr lang="it-IT" sz="900" i="0" u="sng">
              <a:solidFill>
                <a:sysClr val="windowText" lastClr="000000"/>
              </a:solidFill>
              <a:latin typeface="Tahoma" panose="020B0604030504040204" pitchFamily="34" charset="0"/>
              <a:ea typeface="Tahoma" panose="020B0604030504040204" pitchFamily="34" charset="0"/>
              <a:cs typeface="Tahoma" panose="020B0604030504040204" pitchFamily="34" charset="0"/>
            </a:rPr>
            <a:t>manualmente</a:t>
          </a:r>
          <a:r>
            <a:rPr lang="it-IT" sz="900" i="0">
              <a:solidFill>
                <a:sysClr val="windowText" lastClr="000000"/>
              </a:solidFill>
              <a:latin typeface="Tahoma" panose="020B0604030504040204" pitchFamily="34" charset="0"/>
              <a:ea typeface="Tahoma" panose="020B0604030504040204" pitchFamily="34" charset="0"/>
              <a:cs typeface="Tahoma" panose="020B0604030504040204" pitchFamily="34" charset="0"/>
            </a:rPr>
            <a:t> solo in caso di "Anno</a:t>
          </a:r>
          <a:r>
            <a:rPr lang="it-IT" sz="900" i="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 cespite" pari al </a:t>
          </a:r>
          <a:r>
            <a:rPr lang="it-IT" sz="900" i="0" u="sng"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2018</a:t>
          </a:r>
          <a:r>
            <a:rPr lang="it-IT" sz="900" i="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 o al </a:t>
          </a:r>
          <a:r>
            <a:rPr lang="it-IT" sz="900" i="0" u="sng"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2019</a:t>
          </a:r>
          <a:r>
            <a:rPr lang="it-IT" sz="900" i="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 A partire dal 2020 la compilazione è automatica.</a:t>
          </a:r>
        </a:p>
        <a:p>
          <a:pPr algn="l"/>
          <a:r>
            <a:rPr lang="it-IT" sz="900" i="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(le formule nella colonna D, </a:t>
          </a:r>
          <a:r>
            <a:rPr lang="it-IT" sz="900" b="1" i="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a partire dalla riga 9</a:t>
          </a:r>
          <a:r>
            <a:rPr lang="it-IT" sz="900" i="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 possono essere sovrascritte)</a:t>
          </a:r>
          <a:endParaRPr lang="it-IT" sz="900" i="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3</xdr:col>
      <xdr:colOff>784416</xdr:colOff>
      <xdr:row>5</xdr:row>
      <xdr:rowOff>179296</xdr:rowOff>
    </xdr:from>
    <xdr:to>
      <xdr:col>3</xdr:col>
      <xdr:colOff>1232651</xdr:colOff>
      <xdr:row>5</xdr:row>
      <xdr:rowOff>302561</xdr:rowOff>
    </xdr:to>
    <xdr:cxnSp macro="">
      <xdr:nvCxnSpPr>
        <xdr:cNvPr id="7" name="Straight Arrow Connector 6">
          <a:extLst>
            <a:ext uri="{FF2B5EF4-FFF2-40B4-BE49-F238E27FC236}">
              <a16:creationId xmlns:a16="http://schemas.microsoft.com/office/drawing/2014/main" id="{00000000-0008-0000-0C00-000007000000}"/>
            </a:ext>
          </a:extLst>
        </xdr:cNvPr>
        <xdr:cNvCxnSpPr/>
      </xdr:nvCxnSpPr>
      <xdr:spPr>
        <a:xfrm flipH="1">
          <a:off x="6084798" y="1781737"/>
          <a:ext cx="448235" cy="123265"/>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504265</xdr:colOff>
      <xdr:row>5</xdr:row>
      <xdr:rowOff>179294</xdr:rowOff>
    </xdr:from>
    <xdr:to>
      <xdr:col>4</xdr:col>
      <xdr:colOff>907676</xdr:colOff>
      <xdr:row>5</xdr:row>
      <xdr:rowOff>324970</xdr:rowOff>
    </xdr:to>
    <xdr:cxnSp macro="">
      <xdr:nvCxnSpPr>
        <xdr:cNvPr id="8" name="Straight Arrow Connector 7">
          <a:extLst>
            <a:ext uri="{FF2B5EF4-FFF2-40B4-BE49-F238E27FC236}">
              <a16:creationId xmlns:a16="http://schemas.microsoft.com/office/drawing/2014/main" id="{00000000-0008-0000-0C00-000008000000}"/>
            </a:ext>
          </a:extLst>
        </xdr:cNvPr>
        <xdr:cNvCxnSpPr/>
      </xdr:nvCxnSpPr>
      <xdr:spPr>
        <a:xfrm>
          <a:off x="7519147" y="1781735"/>
          <a:ext cx="403411" cy="145676"/>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425822</xdr:colOff>
      <xdr:row>4</xdr:row>
      <xdr:rowOff>253258</xdr:rowOff>
    </xdr:from>
    <xdr:to>
      <xdr:col>2</xdr:col>
      <xdr:colOff>224117</xdr:colOff>
      <xdr:row>6</xdr:row>
      <xdr:rowOff>58276</xdr:rowOff>
    </xdr:to>
    <xdr:sp macro="" textlink="">
      <xdr:nvSpPr>
        <xdr:cNvPr id="9" name="Rettangolo 8">
          <a:extLst>
            <a:ext uri="{FF2B5EF4-FFF2-40B4-BE49-F238E27FC236}">
              <a16:creationId xmlns:a16="http://schemas.microsoft.com/office/drawing/2014/main" id="{00000000-0008-0000-0C00-000009000000}"/>
            </a:ext>
          </a:extLst>
        </xdr:cNvPr>
        <xdr:cNvSpPr/>
      </xdr:nvSpPr>
      <xdr:spPr>
        <a:xfrm>
          <a:off x="425822" y="1490387"/>
          <a:ext cx="2792507" cy="575983"/>
        </a:xfrm>
        <a:prstGeom prst="rect">
          <a:avLst/>
        </a:prstGeom>
        <a:no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lang="it-IT" sz="900" i="1">
              <a:solidFill>
                <a:srgbClr val="FF0000"/>
              </a:solidFill>
              <a:latin typeface="Tahoma" panose="020B0604030504040204" pitchFamily="34" charset="0"/>
              <a:ea typeface="Tahoma" panose="020B0604030504040204" pitchFamily="34" charset="0"/>
              <a:cs typeface="Tahoma" panose="020B0604030504040204" pitchFamily="34" charset="0"/>
            </a:rPr>
            <a:t>Per una corretta visulizzazione</a:t>
          </a:r>
          <a:r>
            <a:rPr lang="it-IT" sz="900" i="1" baseline="0">
              <a:solidFill>
                <a:srgbClr val="FF0000"/>
              </a:solidFill>
              <a:latin typeface="Tahoma" panose="020B0604030504040204" pitchFamily="34" charset="0"/>
              <a:ea typeface="Tahoma" panose="020B0604030504040204" pitchFamily="34" charset="0"/>
              <a:cs typeface="Tahoma" panose="020B0604030504040204" pitchFamily="34" charset="0"/>
            </a:rPr>
            <a:t> del MENU di convalida, compilare prima il campo </a:t>
          </a:r>
        </a:p>
        <a:p>
          <a:pPr algn="l"/>
          <a:r>
            <a:rPr lang="it-IT" sz="900" b="1" i="1" baseline="0">
              <a:solidFill>
                <a:srgbClr val="FF0000"/>
              </a:solidFill>
              <a:latin typeface="Tahoma" panose="020B0604030504040204" pitchFamily="34" charset="0"/>
              <a:ea typeface="Tahoma" panose="020B0604030504040204" pitchFamily="34" charset="0"/>
              <a:cs typeface="Tahoma" panose="020B0604030504040204" pitchFamily="34" charset="0"/>
            </a:rPr>
            <a:t>"Anno cespite</a:t>
          </a:r>
          <a:r>
            <a:rPr lang="it-IT" sz="900" i="1" baseline="0">
              <a:solidFill>
                <a:srgbClr val="FF0000"/>
              </a:solidFill>
              <a:latin typeface="Tahoma" panose="020B0604030504040204" pitchFamily="34" charset="0"/>
              <a:ea typeface="Tahoma" panose="020B0604030504040204" pitchFamily="34" charset="0"/>
              <a:cs typeface="Tahoma" panose="020B0604030504040204" pitchFamily="34" charset="0"/>
            </a:rPr>
            <a:t>"</a:t>
          </a:r>
          <a:endParaRPr lang="it-IT" sz="900" i="1">
            <a:solidFill>
              <a:srgbClr val="FF0000"/>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6</xdr:col>
      <xdr:colOff>11224</xdr:colOff>
      <xdr:row>4</xdr:row>
      <xdr:rowOff>268946</xdr:rowOff>
    </xdr:from>
    <xdr:to>
      <xdr:col>7</xdr:col>
      <xdr:colOff>1008548</xdr:colOff>
      <xdr:row>6</xdr:row>
      <xdr:rowOff>73964</xdr:rowOff>
    </xdr:to>
    <xdr:sp macro="" textlink="">
      <xdr:nvSpPr>
        <xdr:cNvPr id="10" name="Rettangolo 9">
          <a:extLst>
            <a:ext uri="{FF2B5EF4-FFF2-40B4-BE49-F238E27FC236}">
              <a16:creationId xmlns:a16="http://schemas.microsoft.com/office/drawing/2014/main" id="{00000000-0008-0000-0C00-00000A000000}"/>
            </a:ext>
          </a:extLst>
        </xdr:cNvPr>
        <xdr:cNvSpPr/>
      </xdr:nvSpPr>
      <xdr:spPr>
        <a:xfrm>
          <a:off x="10455106" y="1490387"/>
          <a:ext cx="2711824" cy="567018"/>
        </a:xfrm>
        <a:prstGeom prst="rect">
          <a:avLst/>
        </a:prstGeom>
        <a:no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lang="it-IT" sz="900" i="1">
              <a:solidFill>
                <a:srgbClr val="FF0000"/>
              </a:solidFill>
              <a:latin typeface="Tahoma" panose="020B0604030504040204" pitchFamily="34" charset="0"/>
              <a:ea typeface="Tahoma" panose="020B0604030504040204" pitchFamily="34" charset="0"/>
              <a:cs typeface="Tahoma" panose="020B0604030504040204" pitchFamily="34" charset="0"/>
            </a:rPr>
            <a:t>Per una corretta visulizzazione</a:t>
          </a:r>
          <a:r>
            <a:rPr lang="it-IT" sz="900" i="1" baseline="0">
              <a:solidFill>
                <a:srgbClr val="FF0000"/>
              </a:solidFill>
              <a:latin typeface="Tahoma" panose="020B0604030504040204" pitchFamily="34" charset="0"/>
              <a:ea typeface="Tahoma" panose="020B0604030504040204" pitchFamily="34" charset="0"/>
              <a:cs typeface="Tahoma" panose="020B0604030504040204" pitchFamily="34" charset="0"/>
            </a:rPr>
            <a:t> del MENU di convalida, compilare prima il campo </a:t>
          </a:r>
        </a:p>
        <a:p>
          <a:pPr algn="l"/>
          <a:r>
            <a:rPr lang="it-IT" sz="900" b="1" i="1" baseline="0">
              <a:solidFill>
                <a:srgbClr val="FF0000"/>
              </a:solidFill>
              <a:latin typeface="Tahoma" panose="020B0604030504040204" pitchFamily="34" charset="0"/>
              <a:ea typeface="Tahoma" panose="020B0604030504040204" pitchFamily="34" charset="0"/>
              <a:cs typeface="Tahoma" panose="020B0604030504040204" pitchFamily="34" charset="0"/>
            </a:rPr>
            <a:t>"Anno cespite</a:t>
          </a:r>
          <a:r>
            <a:rPr lang="it-IT" sz="900" i="1" baseline="0">
              <a:solidFill>
                <a:srgbClr val="FF0000"/>
              </a:solidFill>
              <a:latin typeface="Tahoma" panose="020B0604030504040204" pitchFamily="34" charset="0"/>
              <a:ea typeface="Tahoma" panose="020B0604030504040204" pitchFamily="34" charset="0"/>
              <a:cs typeface="Tahoma" panose="020B0604030504040204" pitchFamily="34" charset="0"/>
            </a:rPr>
            <a:t>"</a:t>
          </a:r>
          <a:endParaRPr lang="it-IT" sz="900" i="1">
            <a:solidFill>
              <a:srgbClr val="FF0000"/>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3</xdr:col>
      <xdr:colOff>212912</xdr:colOff>
      <xdr:row>6</xdr:row>
      <xdr:rowOff>33618</xdr:rowOff>
    </xdr:from>
    <xdr:to>
      <xdr:col>3</xdr:col>
      <xdr:colOff>803014</xdr:colOff>
      <xdr:row>6</xdr:row>
      <xdr:rowOff>588982</xdr:rowOff>
    </xdr:to>
    <xdr:pic macro="[0]!Aggiunge_riga">
      <xdr:nvPicPr>
        <xdr:cNvPr id="2" name="Immagine 6">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34831"/>
        <a:stretch>
          <a:fillRect/>
        </a:stretch>
      </xdr:blipFill>
      <xdr:spPr bwMode="auto">
        <a:xfrm>
          <a:off x="3092824" y="1613647"/>
          <a:ext cx="590102" cy="55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1891888</xdr:colOff>
      <xdr:row>6</xdr:row>
      <xdr:rowOff>25998</xdr:rowOff>
    </xdr:from>
    <xdr:to>
      <xdr:col>3</xdr:col>
      <xdr:colOff>2421478</xdr:colOff>
      <xdr:row>6</xdr:row>
      <xdr:rowOff>554692</xdr:rowOff>
    </xdr:to>
    <xdr:pic macro="[0]!Elimina_riga">
      <xdr:nvPicPr>
        <xdr:cNvPr id="3" name="Immagine 7">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9326"/>
        <a:stretch>
          <a:fillRect/>
        </a:stretch>
      </xdr:blipFill>
      <xdr:spPr bwMode="auto">
        <a:xfrm>
          <a:off x="4771800" y="1606027"/>
          <a:ext cx="539115" cy="521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95362</xdr:colOff>
      <xdr:row>2</xdr:row>
      <xdr:rowOff>427729</xdr:rowOff>
    </xdr:from>
    <xdr:to>
      <xdr:col>3</xdr:col>
      <xdr:colOff>1064559</xdr:colOff>
      <xdr:row>5</xdr:row>
      <xdr:rowOff>188595</xdr:rowOff>
    </xdr:to>
    <xdr:sp macro="" textlink="">
      <xdr:nvSpPr>
        <xdr:cNvPr id="4" name="Rectangle 3">
          <a:extLst>
            <a:ext uri="{FF2B5EF4-FFF2-40B4-BE49-F238E27FC236}">
              <a16:creationId xmlns:a16="http://schemas.microsoft.com/office/drawing/2014/main" id="{00000000-0008-0000-0D00-000004000000}"/>
            </a:ext>
          </a:extLst>
        </xdr:cNvPr>
        <xdr:cNvSpPr/>
      </xdr:nvSpPr>
      <xdr:spPr>
        <a:xfrm>
          <a:off x="397921" y="976817"/>
          <a:ext cx="3524138" cy="9598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100" b="1">
              <a:solidFill>
                <a:srgbClr val="C00000"/>
              </a:solidFill>
              <a:latin typeface="Arial Narrow" panose="020B0606020202030204" pitchFamily="34" charset="0"/>
            </a:rPr>
            <a:t>Verificare</a:t>
          </a:r>
          <a:r>
            <a:rPr lang="it-IT" sz="1100" b="1" baseline="0">
              <a:solidFill>
                <a:srgbClr val="C00000"/>
              </a:solidFill>
              <a:latin typeface="Arial Narrow" panose="020B0606020202030204" pitchFamily="34" charset="0"/>
            </a:rPr>
            <a:t> accuratamente le informazioni eventualmente precompilate per accertarsi della corrispondenza tra le vite utili già trasmesse nelle passate edizioni della presente raccolta dati ai fini della ricostruzione dei fondi di ammortamento come riportati in dati anni precedenti. </a:t>
          </a:r>
          <a:endParaRPr lang="it-IT" sz="1100" b="1">
            <a:solidFill>
              <a:srgbClr val="C00000"/>
            </a:solidFill>
            <a:latin typeface="Arial Narrow" panose="020B0606020202030204"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1964382</xdr:colOff>
      <xdr:row>8</xdr:row>
      <xdr:rowOff>11206</xdr:rowOff>
    </xdr:from>
    <xdr:to>
      <xdr:col>1</xdr:col>
      <xdr:colOff>2532762</xdr:colOff>
      <xdr:row>8</xdr:row>
      <xdr:rowOff>555691</xdr:rowOff>
    </xdr:to>
    <xdr:pic macro="[0]!Elimina_riga">
      <xdr:nvPicPr>
        <xdr:cNvPr id="2" name="Immagine 7">
          <a:extLst>
            <a:ext uri="{FF2B5EF4-FFF2-40B4-BE49-F238E27FC236}">
              <a16:creationId xmlns:a16="http://schemas.microsoft.com/office/drawing/2014/main" id="{00000000-0008-0000-0E00-000002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39326"/>
        <a:stretch>
          <a:fillRect/>
        </a:stretch>
      </xdr:blipFill>
      <xdr:spPr bwMode="auto">
        <a:xfrm>
          <a:off x="2412617" y="1467971"/>
          <a:ext cx="576000" cy="544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177046</xdr:colOff>
      <xdr:row>8</xdr:row>
      <xdr:rowOff>11206</xdr:rowOff>
    </xdr:from>
    <xdr:to>
      <xdr:col>1</xdr:col>
      <xdr:colOff>741616</xdr:colOff>
      <xdr:row>8</xdr:row>
      <xdr:rowOff>549753</xdr:rowOff>
    </xdr:to>
    <xdr:pic macro="[0]!Aggiunge_riga">
      <xdr:nvPicPr>
        <xdr:cNvPr id="3" name="Immagine 6">
          <a:extLst>
            <a:ext uri="{FF2B5EF4-FFF2-40B4-BE49-F238E27FC236}">
              <a16:creationId xmlns:a16="http://schemas.microsoft.com/office/drawing/2014/main" id="{00000000-0008-0000-0E00-000003000000}"/>
            </a:ext>
          </a:extLst>
        </xdr:cNvPr>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889"/>
        <a:stretch>
          <a:fillRect/>
        </a:stretch>
      </xdr:blipFill>
      <xdr:spPr bwMode="auto">
        <a:xfrm>
          <a:off x="625281" y="1467971"/>
          <a:ext cx="576000" cy="5461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184896</xdr:colOff>
      <xdr:row>6</xdr:row>
      <xdr:rowOff>11207</xdr:rowOff>
    </xdr:from>
    <xdr:to>
      <xdr:col>2</xdr:col>
      <xdr:colOff>760896</xdr:colOff>
      <xdr:row>6</xdr:row>
      <xdr:rowOff>555017</xdr:rowOff>
    </xdr:to>
    <xdr:pic macro="[0]!Aggiunge_riga">
      <xdr:nvPicPr>
        <xdr:cNvPr id="5" name="Immagine 6">
          <a:extLst>
            <a:ext uri="{FF2B5EF4-FFF2-40B4-BE49-F238E27FC236}">
              <a16:creationId xmlns:a16="http://schemas.microsoft.com/office/drawing/2014/main" id="{00000000-0008-0000-0F00-000005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42105"/>
        <a:stretch>
          <a:fillRect/>
        </a:stretch>
      </xdr:blipFill>
      <xdr:spPr bwMode="auto">
        <a:xfrm>
          <a:off x="1876984" y="1467972"/>
          <a:ext cx="576000" cy="54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2301129</xdr:colOff>
      <xdr:row>6</xdr:row>
      <xdr:rowOff>11207</xdr:rowOff>
    </xdr:from>
    <xdr:to>
      <xdr:col>2</xdr:col>
      <xdr:colOff>2873319</xdr:colOff>
      <xdr:row>6</xdr:row>
      <xdr:rowOff>555017</xdr:rowOff>
    </xdr:to>
    <xdr:pic macro="[0]!Elimina_riga">
      <xdr:nvPicPr>
        <xdr:cNvPr id="6" name="Immagine 7">
          <a:extLst>
            <a:ext uri="{FF2B5EF4-FFF2-40B4-BE49-F238E27FC236}">
              <a16:creationId xmlns:a16="http://schemas.microsoft.com/office/drawing/2014/main" id="{00000000-0008-0000-0F00-000006000000}"/>
            </a:ext>
          </a:extLst>
        </xdr:cNvPr>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202"/>
        <a:stretch>
          <a:fillRect/>
        </a:stretch>
      </xdr:blipFill>
      <xdr:spPr bwMode="auto">
        <a:xfrm>
          <a:off x="3993217" y="1467972"/>
          <a:ext cx="576000" cy="54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174814</xdr:colOff>
      <xdr:row>6</xdr:row>
      <xdr:rowOff>11205</xdr:rowOff>
    </xdr:from>
    <xdr:to>
      <xdr:col>1</xdr:col>
      <xdr:colOff>748909</xdr:colOff>
      <xdr:row>6</xdr:row>
      <xdr:rowOff>555015</xdr:rowOff>
    </xdr:to>
    <xdr:pic macro="[0]!Aggiunge_riga">
      <xdr:nvPicPr>
        <xdr:cNvPr id="5" name="Immagine 8">
          <a:extLst>
            <a:ext uri="{FF2B5EF4-FFF2-40B4-BE49-F238E27FC236}">
              <a16:creationId xmlns:a16="http://schemas.microsoft.com/office/drawing/2014/main" id="{00000000-0008-0000-1000-000005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42697"/>
        <a:stretch>
          <a:fillRect/>
        </a:stretch>
      </xdr:blipFill>
      <xdr:spPr bwMode="auto">
        <a:xfrm>
          <a:off x="623049" y="1467970"/>
          <a:ext cx="576000" cy="54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2302247</xdr:colOff>
      <xdr:row>6</xdr:row>
      <xdr:rowOff>11205</xdr:rowOff>
    </xdr:from>
    <xdr:to>
      <xdr:col>1</xdr:col>
      <xdr:colOff>2874437</xdr:colOff>
      <xdr:row>6</xdr:row>
      <xdr:rowOff>555015</xdr:rowOff>
    </xdr:to>
    <xdr:pic macro="[0]!Elimina_riga">
      <xdr:nvPicPr>
        <xdr:cNvPr id="6" name="Immagine 9">
          <a:extLst>
            <a:ext uri="{FF2B5EF4-FFF2-40B4-BE49-F238E27FC236}">
              <a16:creationId xmlns:a16="http://schemas.microsoft.com/office/drawing/2014/main" id="{00000000-0008-0000-1000-000006000000}"/>
            </a:ext>
          </a:extLst>
        </xdr:cNvPr>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42697"/>
        <a:stretch>
          <a:fillRect/>
        </a:stretch>
      </xdr:blipFill>
      <xdr:spPr bwMode="auto">
        <a:xfrm>
          <a:off x="2750482" y="1467970"/>
          <a:ext cx="576000" cy="54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39216</xdr:colOff>
      <xdr:row>8</xdr:row>
      <xdr:rowOff>44824</xdr:rowOff>
    </xdr:from>
    <xdr:to>
      <xdr:col>1</xdr:col>
      <xdr:colOff>590646</xdr:colOff>
      <xdr:row>8</xdr:row>
      <xdr:rowOff>592444</xdr:rowOff>
    </xdr:to>
    <xdr:pic macro="[0]!Aggiunge_blocco_tariffario">
      <xdr:nvPicPr>
        <xdr:cNvPr id="7" name="Immagine 6">
          <a:extLst>
            <a:ext uri="{FF2B5EF4-FFF2-40B4-BE49-F238E27FC236}">
              <a16:creationId xmlns:a16="http://schemas.microsoft.com/office/drawing/2014/main" id="{00000000-0008-0000-1100-000007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42105"/>
        <a:stretch>
          <a:fillRect/>
        </a:stretch>
      </xdr:blipFill>
      <xdr:spPr bwMode="auto">
        <a:xfrm>
          <a:off x="487451" y="1501589"/>
          <a:ext cx="540000" cy="54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1804706</xdr:colOff>
      <xdr:row>8</xdr:row>
      <xdr:rowOff>59552</xdr:rowOff>
    </xdr:from>
    <xdr:to>
      <xdr:col>1</xdr:col>
      <xdr:colOff>2344706</xdr:colOff>
      <xdr:row>8</xdr:row>
      <xdr:rowOff>593837</xdr:rowOff>
    </xdr:to>
    <xdr:pic macro="[0]!Elimina_blocco_tariffario">
      <xdr:nvPicPr>
        <xdr:cNvPr id="8" name="Immagine 7">
          <a:extLst>
            <a:ext uri="{FF2B5EF4-FFF2-40B4-BE49-F238E27FC236}">
              <a16:creationId xmlns:a16="http://schemas.microsoft.com/office/drawing/2014/main" id="{00000000-0008-0000-1100-000008000000}"/>
            </a:ext>
          </a:extLst>
        </xdr:cNvPr>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202"/>
        <a:stretch>
          <a:fillRect/>
        </a:stretch>
      </xdr:blipFill>
      <xdr:spPr bwMode="auto">
        <a:xfrm>
          <a:off x="2252941" y="1516317"/>
          <a:ext cx="540000" cy="54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22412</xdr:colOff>
      <xdr:row>1</xdr:row>
      <xdr:rowOff>100852</xdr:rowOff>
    </xdr:from>
    <xdr:to>
      <xdr:col>4</xdr:col>
      <xdr:colOff>268942</xdr:colOff>
      <xdr:row>3</xdr:row>
      <xdr:rowOff>134470</xdr:rowOff>
    </xdr:to>
    <xdr:sp macro="" textlink="">
      <xdr:nvSpPr>
        <xdr:cNvPr id="4" name="Rettangolo 3">
          <a:extLst>
            <a:ext uri="{FF2B5EF4-FFF2-40B4-BE49-F238E27FC236}">
              <a16:creationId xmlns:a16="http://schemas.microsoft.com/office/drawing/2014/main" id="{00000000-0008-0000-1100-000004000000}"/>
            </a:ext>
          </a:extLst>
        </xdr:cNvPr>
        <xdr:cNvSpPr/>
      </xdr:nvSpPr>
      <xdr:spPr>
        <a:xfrm>
          <a:off x="470647" y="414617"/>
          <a:ext cx="5087471" cy="414618"/>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lang="it-IT" sz="1100" i="1">
              <a:solidFill>
                <a:sysClr val="windowText" lastClr="000000"/>
              </a:solidFill>
              <a:latin typeface="Arial Narrow" panose="020B0606020202030204" pitchFamily="34" charset="0"/>
            </a:rPr>
            <a:t>Non include la strittura dei corrispettivi relativa allo scarico dei</a:t>
          </a:r>
          <a:r>
            <a:rPr lang="it-IT" sz="1100" i="1" baseline="0">
              <a:solidFill>
                <a:sysClr val="windowText" lastClr="000000"/>
              </a:solidFill>
              <a:latin typeface="Arial Narrow" panose="020B0606020202030204" pitchFamily="34" charset="0"/>
            </a:rPr>
            <a:t> reflui industriali, da compilare nel successivo foglio "Ricavi_Coll_Dep"</a:t>
          </a:r>
          <a:endParaRPr lang="it-IT" sz="1100" i="1">
            <a:solidFill>
              <a:sysClr val="windowText" lastClr="000000"/>
            </a:solidFill>
            <a:latin typeface="Arial Narrow" panose="020B0606020202030204" pitchFamily="34" charset="0"/>
          </a:endParaRPr>
        </a:p>
      </xdr:txBody>
    </xdr:sp>
    <xdr:clientData/>
  </xdr:twoCellAnchor>
  <xdr:twoCellAnchor>
    <xdr:from>
      <xdr:col>28</xdr:col>
      <xdr:colOff>171823</xdr:colOff>
      <xdr:row>0</xdr:row>
      <xdr:rowOff>186765</xdr:rowOff>
    </xdr:from>
    <xdr:to>
      <xdr:col>29</xdr:col>
      <xdr:colOff>1030941</xdr:colOff>
      <xdr:row>4</xdr:row>
      <xdr:rowOff>321235</xdr:rowOff>
    </xdr:to>
    <xdr:sp macro="" textlink="">
      <xdr:nvSpPr>
        <xdr:cNvPr id="2" name="CasellaDiTesto 1">
          <a:extLst>
            <a:ext uri="{FF2B5EF4-FFF2-40B4-BE49-F238E27FC236}">
              <a16:creationId xmlns:a16="http://schemas.microsoft.com/office/drawing/2014/main" id="{42CDA231-5EC3-D828-041B-0CAF99D046A9}"/>
            </a:ext>
          </a:extLst>
        </xdr:cNvPr>
        <xdr:cNvSpPr txBox="1"/>
      </xdr:nvSpPr>
      <xdr:spPr>
        <a:xfrm>
          <a:off x="32011470" y="186765"/>
          <a:ext cx="1942353" cy="10384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050" b="1" i="1">
              <a:solidFill>
                <a:schemeClr val="accent6">
                  <a:lumMod val="50000"/>
                </a:schemeClr>
              </a:solidFill>
              <a:effectLst/>
              <a:latin typeface="+mn-lt"/>
              <a:ea typeface="+mn-ea"/>
              <a:cs typeface="+mn-cs"/>
            </a:rPr>
            <a:t>Indicare il Consumo medio annuo per specifica Sottotipologia di Tipologia d’uso (se disponibile) o, in alternativa, per Tipologia d’uso</a:t>
          </a:r>
          <a:endParaRPr lang="it-IT" sz="1050" b="1" i="1">
            <a:solidFill>
              <a:schemeClr val="accent6">
                <a:lumMod val="50000"/>
              </a:schemeClr>
            </a:solidFill>
          </a:endParaRPr>
        </a:p>
      </xdr:txBody>
    </xdr:sp>
    <xdr:clientData/>
  </xdr:twoCellAnchor>
  <xdr:twoCellAnchor>
    <xdr:from>
      <xdr:col>28</xdr:col>
      <xdr:colOff>1060824</xdr:colOff>
      <xdr:row>4</xdr:row>
      <xdr:rowOff>156883</xdr:rowOff>
    </xdr:from>
    <xdr:to>
      <xdr:col>29</xdr:col>
      <xdr:colOff>239059</xdr:colOff>
      <xdr:row>5</xdr:row>
      <xdr:rowOff>179294</xdr:rowOff>
    </xdr:to>
    <xdr:cxnSp macro="">
      <xdr:nvCxnSpPr>
        <xdr:cNvPr id="5" name="Connettore 2 4">
          <a:extLst>
            <a:ext uri="{FF2B5EF4-FFF2-40B4-BE49-F238E27FC236}">
              <a16:creationId xmlns:a16="http://schemas.microsoft.com/office/drawing/2014/main" id="{F083AAFB-58DB-4CC0-CED2-F47699EB73C3}"/>
            </a:ext>
          </a:extLst>
        </xdr:cNvPr>
        <xdr:cNvCxnSpPr/>
      </xdr:nvCxnSpPr>
      <xdr:spPr>
        <a:xfrm flipH="1">
          <a:off x="32900471" y="1060824"/>
          <a:ext cx="261470" cy="40341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22411</xdr:colOff>
      <xdr:row>1</xdr:row>
      <xdr:rowOff>78441</xdr:rowOff>
    </xdr:from>
    <xdr:to>
      <xdr:col>2</xdr:col>
      <xdr:colOff>2711824</xdr:colOff>
      <xdr:row>3</xdr:row>
      <xdr:rowOff>56029</xdr:rowOff>
    </xdr:to>
    <xdr:sp macro="" textlink="">
      <xdr:nvSpPr>
        <xdr:cNvPr id="5" name="Rettangolo 4">
          <a:extLst>
            <a:ext uri="{FF2B5EF4-FFF2-40B4-BE49-F238E27FC236}">
              <a16:creationId xmlns:a16="http://schemas.microsoft.com/office/drawing/2014/main" id="{00000000-0008-0000-1300-000005000000}"/>
            </a:ext>
          </a:extLst>
        </xdr:cNvPr>
        <xdr:cNvSpPr/>
      </xdr:nvSpPr>
      <xdr:spPr>
        <a:xfrm>
          <a:off x="627529" y="392206"/>
          <a:ext cx="5087471" cy="358588"/>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lang="it-IT" sz="1100" i="1">
              <a:solidFill>
                <a:sysClr val="windowText" lastClr="000000"/>
              </a:solidFill>
              <a:latin typeface="Arial Narrow" panose="020B0606020202030204" pitchFamily="34" charset="0"/>
            </a:rPr>
            <a:t>Dati</a:t>
          </a:r>
          <a:r>
            <a:rPr lang="it-IT" sz="1100" i="1" baseline="0">
              <a:solidFill>
                <a:sysClr val="windowText" lastClr="000000"/>
              </a:solidFill>
              <a:latin typeface="Arial Narrow" panose="020B0606020202030204" pitchFamily="34" charset="0"/>
            </a:rPr>
            <a:t> riguardanti </a:t>
          </a:r>
          <a:r>
            <a:rPr lang="it-IT" sz="1100" i="1">
              <a:solidFill>
                <a:sysClr val="windowText" lastClr="000000"/>
              </a:solidFill>
              <a:latin typeface="Arial Narrow" panose="020B0606020202030204" pitchFamily="34" charset="0"/>
            </a:rPr>
            <a:t>il gettito tariffario relativo allo scarico dei</a:t>
          </a:r>
          <a:r>
            <a:rPr lang="it-IT" sz="1100" i="1" baseline="0">
              <a:solidFill>
                <a:sysClr val="windowText" lastClr="000000"/>
              </a:solidFill>
              <a:latin typeface="Arial Narrow" panose="020B0606020202030204" pitchFamily="34" charset="0"/>
            </a:rPr>
            <a:t> reflui industriali</a:t>
          </a:r>
          <a:endParaRPr lang="it-IT" sz="1100" i="1">
            <a:solidFill>
              <a:sysClr val="windowText" lastClr="000000"/>
            </a:solidFill>
            <a:latin typeface="Arial Narrow" panose="020B0606020202030204" pitchFamily="34" charset="0"/>
          </a:endParaRPr>
        </a:p>
      </xdr:txBody>
    </xdr:sp>
    <xdr:clientData/>
  </xdr:twoCellAnchor>
  <xdr:twoCellAnchor>
    <xdr:from>
      <xdr:col>1</xdr:col>
      <xdr:colOff>22411</xdr:colOff>
      <xdr:row>1</xdr:row>
      <xdr:rowOff>78441</xdr:rowOff>
    </xdr:from>
    <xdr:to>
      <xdr:col>2</xdr:col>
      <xdr:colOff>2711824</xdr:colOff>
      <xdr:row>3</xdr:row>
      <xdr:rowOff>56029</xdr:rowOff>
    </xdr:to>
    <xdr:sp macro="" textlink="">
      <xdr:nvSpPr>
        <xdr:cNvPr id="3" name="Rettangolo 4">
          <a:extLst>
            <a:ext uri="{FF2B5EF4-FFF2-40B4-BE49-F238E27FC236}">
              <a16:creationId xmlns:a16="http://schemas.microsoft.com/office/drawing/2014/main" id="{00000000-0008-0000-1300-000003000000}"/>
            </a:ext>
          </a:extLst>
        </xdr:cNvPr>
        <xdr:cNvSpPr/>
      </xdr:nvSpPr>
      <xdr:spPr>
        <a:xfrm>
          <a:off x="656776" y="402291"/>
          <a:ext cx="5162103" cy="362398"/>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lang="it-IT" sz="1100" i="1">
              <a:solidFill>
                <a:sysClr val="windowText" lastClr="000000"/>
              </a:solidFill>
              <a:latin typeface="Arial Narrow" panose="020B0606020202030204" pitchFamily="34" charset="0"/>
            </a:rPr>
            <a:t>Dati</a:t>
          </a:r>
          <a:r>
            <a:rPr lang="it-IT" sz="1100" i="1" baseline="0">
              <a:solidFill>
                <a:sysClr val="windowText" lastClr="000000"/>
              </a:solidFill>
              <a:latin typeface="Arial Narrow" panose="020B0606020202030204" pitchFamily="34" charset="0"/>
            </a:rPr>
            <a:t> riguardanti </a:t>
          </a:r>
          <a:r>
            <a:rPr lang="it-IT" sz="1100" i="1">
              <a:solidFill>
                <a:sysClr val="windowText" lastClr="000000"/>
              </a:solidFill>
              <a:latin typeface="Arial Narrow" panose="020B0606020202030204" pitchFamily="34" charset="0"/>
            </a:rPr>
            <a:t>il gettito tariffario relativo allo scarico dei</a:t>
          </a:r>
          <a:r>
            <a:rPr lang="it-IT" sz="1100" i="1" baseline="0">
              <a:solidFill>
                <a:sysClr val="windowText" lastClr="000000"/>
              </a:solidFill>
              <a:latin typeface="Arial Narrow" panose="020B0606020202030204" pitchFamily="34" charset="0"/>
            </a:rPr>
            <a:t> reflui industriali</a:t>
          </a:r>
          <a:endParaRPr lang="it-IT" sz="1100" i="1">
            <a:solidFill>
              <a:sysClr val="windowText" lastClr="000000"/>
            </a:solidFill>
            <a:latin typeface="Arial Narrow" panose="020B0606020202030204" pitchFamily="34"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179297</xdr:colOff>
      <xdr:row>8</xdr:row>
      <xdr:rowOff>168089</xdr:rowOff>
    </xdr:from>
    <xdr:to>
      <xdr:col>2</xdr:col>
      <xdr:colOff>745772</xdr:colOff>
      <xdr:row>9</xdr:row>
      <xdr:rowOff>18854</xdr:rowOff>
    </xdr:to>
    <xdr:pic macro="[0]!Aggiunge_riga">
      <xdr:nvPicPr>
        <xdr:cNvPr id="13" name="Immagine 6">
          <a:extLst>
            <a:ext uri="{FF2B5EF4-FFF2-40B4-BE49-F238E27FC236}">
              <a16:creationId xmlns:a16="http://schemas.microsoft.com/office/drawing/2014/main" id="{00000000-0008-0000-14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42105"/>
        <a:stretch>
          <a:fillRect/>
        </a:stretch>
      </xdr:blipFill>
      <xdr:spPr bwMode="auto">
        <a:xfrm>
          <a:off x="1871385" y="1624854"/>
          <a:ext cx="576000" cy="5195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2306729</xdr:colOff>
      <xdr:row>8</xdr:row>
      <xdr:rowOff>168090</xdr:rowOff>
    </xdr:from>
    <xdr:to>
      <xdr:col>2</xdr:col>
      <xdr:colOff>2875109</xdr:colOff>
      <xdr:row>9</xdr:row>
      <xdr:rowOff>55116</xdr:rowOff>
    </xdr:to>
    <xdr:pic macro="[0]!Elimina_riga">
      <xdr:nvPicPr>
        <xdr:cNvPr id="14" name="Immagine 7">
          <a:extLst>
            <a:ext uri="{FF2B5EF4-FFF2-40B4-BE49-F238E27FC236}">
              <a16:creationId xmlns:a16="http://schemas.microsoft.com/office/drawing/2014/main" id="{00000000-0008-0000-1400-00000E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202"/>
        <a:stretch>
          <a:fillRect/>
        </a:stretch>
      </xdr:blipFill>
      <xdr:spPr bwMode="auto">
        <a:xfrm>
          <a:off x="3998817" y="1624855"/>
          <a:ext cx="576000" cy="5557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448234</xdr:colOff>
      <xdr:row>2</xdr:row>
      <xdr:rowOff>0</xdr:rowOff>
    </xdr:from>
    <xdr:to>
      <xdr:col>3</xdr:col>
      <xdr:colOff>795617</xdr:colOff>
      <xdr:row>3</xdr:row>
      <xdr:rowOff>168088</xdr:rowOff>
    </xdr:to>
    <xdr:sp macro="" textlink="">
      <xdr:nvSpPr>
        <xdr:cNvPr id="15" name="Rettangolo 14">
          <a:extLst>
            <a:ext uri="{FF2B5EF4-FFF2-40B4-BE49-F238E27FC236}">
              <a16:creationId xmlns:a16="http://schemas.microsoft.com/office/drawing/2014/main" id="{00000000-0008-0000-1400-00000F000000}"/>
            </a:ext>
          </a:extLst>
        </xdr:cNvPr>
        <xdr:cNvSpPr/>
      </xdr:nvSpPr>
      <xdr:spPr>
        <a:xfrm>
          <a:off x="448234" y="504265"/>
          <a:ext cx="5087471" cy="358588"/>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lang="it-IT" sz="1100" i="1">
              <a:solidFill>
                <a:sysClr val="windowText" lastClr="000000"/>
              </a:solidFill>
              <a:latin typeface="Arial Narrow" panose="020B0606020202030204" pitchFamily="34" charset="0"/>
            </a:rPr>
            <a:t>Non include il gettito tariffario relativo allo scarico dei</a:t>
          </a:r>
          <a:r>
            <a:rPr lang="it-IT" sz="1100" i="1" baseline="0">
              <a:solidFill>
                <a:sysClr val="windowText" lastClr="000000"/>
              </a:solidFill>
              <a:latin typeface="Arial Narrow" panose="020B0606020202030204" pitchFamily="34" charset="0"/>
            </a:rPr>
            <a:t> reflui industriali</a:t>
          </a:r>
          <a:endParaRPr lang="it-IT" sz="1100" i="1">
            <a:solidFill>
              <a:sysClr val="windowText" lastClr="000000"/>
            </a:solidFill>
            <a:latin typeface="Arial Narrow" panose="020B0606020202030204" pitchFamily="34" charset="0"/>
          </a:endParaRPr>
        </a:p>
      </xdr:txBody>
    </xdr:sp>
    <xdr:clientData/>
  </xdr:twoCellAnchor>
</xdr:wsDr>
</file>

<file path=xl/drawings/drawing22.xml><?xml version="1.0" encoding="utf-8"?>
<xdr:wsDr xmlns:xdr="http://schemas.openxmlformats.org/drawingml/2006/spreadsheetDrawing" xmlns:a="http://schemas.openxmlformats.org/drawingml/2006/main">
  <xdr:oneCellAnchor>
    <xdr:from>
      <xdr:col>0</xdr:col>
      <xdr:colOff>12475</xdr:colOff>
      <xdr:row>0</xdr:row>
      <xdr:rowOff>1</xdr:rowOff>
    </xdr:from>
    <xdr:ext cx="3116815" cy="374141"/>
    <xdr:sp macro="" textlink="">
      <xdr:nvSpPr>
        <xdr:cNvPr id="2" name="Rettangolo 1">
          <a:extLst>
            <a:ext uri="{FF2B5EF4-FFF2-40B4-BE49-F238E27FC236}">
              <a16:creationId xmlns:a16="http://schemas.microsoft.com/office/drawing/2014/main" id="{E51721EF-C0A2-49E1-AF37-DC2D1D3346DE}"/>
            </a:ext>
          </a:extLst>
        </xdr:cNvPr>
        <xdr:cNvSpPr/>
      </xdr:nvSpPr>
      <xdr:spPr>
        <a:xfrm>
          <a:off x="12475" y="1"/>
          <a:ext cx="3116815" cy="374141"/>
        </a:xfrm>
        <a:prstGeom prst="rect">
          <a:avLst/>
        </a:prstGeom>
        <a:noFill/>
      </xdr:spPr>
      <xdr:txBody>
        <a:bodyPr wrap="none" lIns="91440" tIns="45720" rIns="91440" bIns="45720">
          <a:spAutoFit/>
        </a:bodyPr>
        <a:lstStyle/>
        <a:p>
          <a:pPr algn="ctr"/>
          <a:r>
            <a:rPr lang="it-IT" sz="1800" b="0" cap="none" spc="0">
              <a:ln w="0"/>
              <a:solidFill>
                <a:schemeClr val="accent1"/>
              </a:solidFill>
              <a:effectLst>
                <a:outerShdw blurRad="38100" dist="25400" dir="5400000" algn="ctr" rotWithShape="0">
                  <a:srgbClr val="6E747A">
                    <a:alpha val="43000"/>
                  </a:srgbClr>
                </a:outerShdw>
              </a:effectLst>
            </a:rPr>
            <a:t>Riepilogo componenti tariffarie</a:t>
          </a:r>
        </a:p>
      </xdr:txBody>
    </xdr:sp>
    <xdr:clientData/>
  </xdr:oneCellAnchor>
  <xdr:twoCellAnchor>
    <xdr:from>
      <xdr:col>8</xdr:col>
      <xdr:colOff>22413</xdr:colOff>
      <xdr:row>0</xdr:row>
      <xdr:rowOff>56029</xdr:rowOff>
    </xdr:from>
    <xdr:to>
      <xdr:col>15</xdr:col>
      <xdr:colOff>593912</xdr:colOff>
      <xdr:row>1</xdr:row>
      <xdr:rowOff>56029</xdr:rowOff>
    </xdr:to>
    <xdr:sp macro="" textlink="">
      <xdr:nvSpPr>
        <xdr:cNvPr id="3" name="Rettangolo 2">
          <a:extLst>
            <a:ext uri="{FF2B5EF4-FFF2-40B4-BE49-F238E27FC236}">
              <a16:creationId xmlns:a16="http://schemas.microsoft.com/office/drawing/2014/main" id="{3E903347-1625-4AD8-A52A-0453C55ED31A}"/>
            </a:ext>
          </a:extLst>
        </xdr:cNvPr>
        <xdr:cNvSpPr/>
      </xdr:nvSpPr>
      <xdr:spPr>
        <a:xfrm>
          <a:off x="8080563" y="56029"/>
          <a:ext cx="5381624" cy="29527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000" i="1">
              <a:solidFill>
                <a:srgbClr val="C00000"/>
              </a:solidFill>
              <a:effectLst/>
              <a:latin typeface="Arial Narrow" panose="020B0606020202030204" pitchFamily="34" charset="0"/>
              <a:ea typeface="+mn-ea"/>
              <a:cs typeface="+mn-cs"/>
            </a:rPr>
            <a:t>Informazioni come da predisposizione tariffaria approvata dall’Autorità ex delibera 639/2023/R/</a:t>
          </a:r>
          <a:r>
            <a:rPr lang="it-IT" sz="1000" i="1" cap="small" baseline="0">
              <a:solidFill>
                <a:srgbClr val="C00000"/>
              </a:solidFill>
              <a:effectLst/>
              <a:latin typeface="Arial Narrow" panose="020B0606020202030204" pitchFamily="34" charset="0"/>
              <a:ea typeface="+mn-ea"/>
              <a:cs typeface="+mn-cs"/>
            </a:rPr>
            <a:t>idr</a:t>
          </a:r>
          <a:endParaRPr lang="it-IT" sz="1000" i="1">
            <a:solidFill>
              <a:srgbClr val="C00000"/>
            </a:solidFill>
            <a:effectLst/>
            <a:latin typeface="Arial Narrow" panose="020B0606020202030204" pitchFamily="34" charset="0"/>
            <a:ea typeface="+mn-ea"/>
            <a:cs typeface="+mn-cs"/>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9</xdr:col>
      <xdr:colOff>588312</xdr:colOff>
      <xdr:row>2</xdr:row>
      <xdr:rowOff>73958</xdr:rowOff>
    </xdr:from>
    <xdr:to>
      <xdr:col>10</xdr:col>
      <xdr:colOff>172349</xdr:colOff>
      <xdr:row>4</xdr:row>
      <xdr:rowOff>18265</xdr:rowOff>
    </xdr:to>
    <xdr:pic macro="[0]!Elimina_riga">
      <xdr:nvPicPr>
        <xdr:cNvPr id="3" name="Immagine 7">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39326"/>
        <a:stretch>
          <a:fillRect/>
        </a:stretch>
      </xdr:blipFill>
      <xdr:spPr bwMode="auto">
        <a:xfrm>
          <a:off x="7894547" y="544605"/>
          <a:ext cx="540123" cy="516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896468</xdr:colOff>
      <xdr:row>2</xdr:row>
      <xdr:rowOff>73958</xdr:rowOff>
    </xdr:from>
    <xdr:to>
      <xdr:col>6</xdr:col>
      <xdr:colOff>1464158</xdr:colOff>
      <xdr:row>4</xdr:row>
      <xdr:rowOff>55095</xdr:rowOff>
    </xdr:to>
    <xdr:pic macro="[0]!Aggiunge_riga">
      <xdr:nvPicPr>
        <xdr:cNvPr id="4" name="Immagine 6">
          <a:extLst>
            <a:ext uri="{FF2B5EF4-FFF2-40B4-BE49-F238E27FC236}">
              <a16:creationId xmlns:a16="http://schemas.microsoft.com/office/drawing/2014/main" id="{00000000-0008-0000-17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889"/>
        <a:stretch>
          <a:fillRect/>
        </a:stretch>
      </xdr:blipFill>
      <xdr:spPr bwMode="auto">
        <a:xfrm>
          <a:off x="4560792" y="544605"/>
          <a:ext cx="561975" cy="541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42246</xdr:colOff>
      <xdr:row>1</xdr:row>
      <xdr:rowOff>129988</xdr:rowOff>
    </xdr:from>
    <xdr:to>
      <xdr:col>18</xdr:col>
      <xdr:colOff>72725</xdr:colOff>
      <xdr:row>3</xdr:row>
      <xdr:rowOff>169321</xdr:rowOff>
    </xdr:to>
    <xdr:sp macro="" textlink="">
      <xdr:nvSpPr>
        <xdr:cNvPr id="6" name="Rettangolo 5">
          <a:extLst>
            <a:ext uri="{FF2B5EF4-FFF2-40B4-BE49-F238E27FC236}">
              <a16:creationId xmlns:a16="http://schemas.microsoft.com/office/drawing/2014/main" id="{00000000-0008-0000-1700-000006000000}"/>
            </a:ext>
          </a:extLst>
        </xdr:cNvPr>
        <xdr:cNvSpPr/>
      </xdr:nvSpPr>
      <xdr:spPr>
        <a:xfrm>
          <a:off x="11449834" y="443753"/>
          <a:ext cx="3997362" cy="397921"/>
        </a:xfrm>
        <a:prstGeom prst="rect">
          <a:avLst/>
        </a:prstGeom>
        <a:no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lang="it-IT" sz="900" i="0">
              <a:solidFill>
                <a:sysClr val="windowText" lastClr="000000"/>
              </a:solidFill>
              <a:latin typeface="Tahoma" panose="020B0604030504040204" pitchFamily="34" charset="0"/>
              <a:ea typeface="Tahoma" panose="020B0604030504040204" pitchFamily="34" charset="0"/>
              <a:cs typeface="Tahoma" panose="020B0604030504040204" pitchFamily="34" charset="0"/>
            </a:rPr>
            <a:t>Campi da compilare solo in caso di "Anno</a:t>
          </a:r>
          <a:r>
            <a:rPr lang="it-IT" sz="900" i="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 cespite" pari  o superiore a 2018</a:t>
          </a:r>
          <a:endParaRPr lang="it-IT" sz="900" i="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15</xdr:col>
      <xdr:colOff>291356</xdr:colOff>
      <xdr:row>3</xdr:row>
      <xdr:rowOff>67238</xdr:rowOff>
    </xdr:from>
    <xdr:to>
      <xdr:col>15</xdr:col>
      <xdr:colOff>739591</xdr:colOff>
      <xdr:row>3</xdr:row>
      <xdr:rowOff>190503</xdr:rowOff>
    </xdr:to>
    <xdr:cxnSp macro="">
      <xdr:nvCxnSpPr>
        <xdr:cNvPr id="7" name="Straight Arrow Connector 6">
          <a:extLst>
            <a:ext uri="{FF2B5EF4-FFF2-40B4-BE49-F238E27FC236}">
              <a16:creationId xmlns:a16="http://schemas.microsoft.com/office/drawing/2014/main" id="{00000000-0008-0000-1700-000007000000}"/>
            </a:ext>
          </a:extLst>
        </xdr:cNvPr>
        <xdr:cNvCxnSpPr/>
      </xdr:nvCxnSpPr>
      <xdr:spPr>
        <a:xfrm flipH="1">
          <a:off x="12236827" y="762003"/>
          <a:ext cx="448235" cy="123265"/>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123265</xdr:colOff>
      <xdr:row>3</xdr:row>
      <xdr:rowOff>67236</xdr:rowOff>
    </xdr:from>
    <xdr:to>
      <xdr:col>16</xdr:col>
      <xdr:colOff>526676</xdr:colOff>
      <xdr:row>3</xdr:row>
      <xdr:rowOff>212912</xdr:rowOff>
    </xdr:to>
    <xdr:cxnSp macro="">
      <xdr:nvCxnSpPr>
        <xdr:cNvPr id="8" name="Straight Arrow Connector 7">
          <a:extLst>
            <a:ext uri="{FF2B5EF4-FFF2-40B4-BE49-F238E27FC236}">
              <a16:creationId xmlns:a16="http://schemas.microsoft.com/office/drawing/2014/main" id="{00000000-0008-0000-1700-000008000000}"/>
            </a:ext>
          </a:extLst>
        </xdr:cNvPr>
        <xdr:cNvCxnSpPr/>
      </xdr:nvCxnSpPr>
      <xdr:spPr>
        <a:xfrm>
          <a:off x="12954000" y="762001"/>
          <a:ext cx="403411" cy="145676"/>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editAs="oneCell">
    <xdr:from>
      <xdr:col>4</xdr:col>
      <xdr:colOff>1215840</xdr:colOff>
      <xdr:row>5</xdr:row>
      <xdr:rowOff>67235</xdr:rowOff>
    </xdr:from>
    <xdr:to>
      <xdr:col>5</xdr:col>
      <xdr:colOff>19275</xdr:colOff>
      <xdr:row>5</xdr:row>
      <xdr:rowOff>590886</xdr:rowOff>
    </xdr:to>
    <xdr:pic macro="[0]!Elimina_riga">
      <xdr:nvPicPr>
        <xdr:cNvPr id="2" name="Immagine 7">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39326"/>
        <a:stretch>
          <a:fillRect/>
        </a:stretch>
      </xdr:blipFill>
      <xdr:spPr bwMode="auto">
        <a:xfrm>
          <a:off x="4219016" y="1624853"/>
          <a:ext cx="540123" cy="516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806824</xdr:colOff>
      <xdr:row>5</xdr:row>
      <xdr:rowOff>46504</xdr:rowOff>
    </xdr:from>
    <xdr:to>
      <xdr:col>4</xdr:col>
      <xdr:colOff>517152</xdr:colOff>
      <xdr:row>5</xdr:row>
      <xdr:rowOff>587935</xdr:rowOff>
    </xdr:to>
    <xdr:pic macro="[0]!Aggiunge_riga">
      <xdr:nvPicPr>
        <xdr:cNvPr id="3" name="Immagine 6">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889"/>
        <a:stretch>
          <a:fillRect/>
        </a:stretch>
      </xdr:blipFill>
      <xdr:spPr bwMode="auto">
        <a:xfrm>
          <a:off x="2958353" y="1604122"/>
          <a:ext cx="571500" cy="541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7</xdr:col>
      <xdr:colOff>1383935</xdr:colOff>
      <xdr:row>0</xdr:row>
      <xdr:rowOff>256054</xdr:rowOff>
    </xdr:from>
    <xdr:to>
      <xdr:col>8</xdr:col>
      <xdr:colOff>362631</xdr:colOff>
      <xdr:row>4</xdr:row>
      <xdr:rowOff>55133</xdr:rowOff>
    </xdr:to>
    <xdr:pic macro="[0]!Elimina_riga">
      <xdr:nvPicPr>
        <xdr:cNvPr id="2" name="Immagine 7">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39326"/>
        <a:stretch>
          <a:fillRect/>
        </a:stretch>
      </xdr:blipFill>
      <xdr:spPr bwMode="auto">
        <a:xfrm>
          <a:off x="9889200" y="256054"/>
          <a:ext cx="540123" cy="516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481861</xdr:colOff>
      <xdr:row>0</xdr:row>
      <xdr:rowOff>257735</xdr:rowOff>
    </xdr:from>
    <xdr:to>
      <xdr:col>3</xdr:col>
      <xdr:colOff>1049551</xdr:colOff>
      <xdr:row>4</xdr:row>
      <xdr:rowOff>59616</xdr:rowOff>
    </xdr:to>
    <xdr:pic macro="[0]!Aggiunge_riga">
      <xdr:nvPicPr>
        <xdr:cNvPr id="3" name="Immagine 6">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b="38889"/>
        <a:stretch>
          <a:fillRect/>
        </a:stretch>
      </xdr:blipFill>
      <xdr:spPr bwMode="auto">
        <a:xfrm>
          <a:off x="4594420" y="257735"/>
          <a:ext cx="571500" cy="5378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xdr:from>
      <xdr:col>1</xdr:col>
      <xdr:colOff>92447</xdr:colOff>
      <xdr:row>7</xdr:row>
      <xdr:rowOff>90208</xdr:rowOff>
    </xdr:from>
    <xdr:to>
      <xdr:col>3</xdr:col>
      <xdr:colOff>190500</xdr:colOff>
      <xdr:row>7</xdr:row>
      <xdr:rowOff>491343</xdr:rowOff>
    </xdr:to>
    <mc:AlternateContent xmlns:mc="http://schemas.openxmlformats.org/markup-compatibility/2006" xmlns:a14="http://schemas.microsoft.com/office/drawing/2010/main">
      <mc:Choice Requires="a14">
        <xdr:sp macro="" textlink="">
          <xdr:nvSpPr>
            <xdr:cNvPr id="2" name="Object 4">
              <a:extLst>
                <a:ext uri="{63B3BB69-23CF-44E3-9099-C40C66FF867C}">
                  <a14:compatExt spid="_x0000_s1028"/>
                </a:ext>
                <a:ext uri="{FF2B5EF4-FFF2-40B4-BE49-F238E27FC236}">
                  <a16:creationId xmlns:a16="http://schemas.microsoft.com/office/drawing/2014/main" id="{927DEF46-99CA-41A3-B1F8-F873898217BD}"/>
                </a:ext>
              </a:extLst>
            </xdr:cNvPr>
            <xdr:cNvSpPr txBox="1"/>
          </xdr:nvSpPr>
          <xdr:spPr>
            <a:xfrm>
              <a:off x="359147" y="1509433"/>
              <a:ext cx="4222378" cy="401135"/>
            </a:xfrm>
            <a:prstGeom prst="rect">
              <a:avLst/>
            </a:prstGeom>
          </xdr:spPr>
          <xdr:txBody>
            <a:bodyPr vertOverflow="clip" horzOverflow="clip" wrap="square">
              <a:spAutoFit/>
            </a:bodyPr>
            <a:lstStyle/>
            <a:p>
              <a14:m>
                <m:oMath xmlns:m="http://schemas.openxmlformats.org/officeDocument/2006/math">
                  <m:f>
                    <m:fPr>
                      <m:ctrlPr>
                        <a:rPr lang="it-IT" i="1">
                          <a:solidFill>
                            <a:srgbClr val="000000"/>
                          </a:solidFill>
                          <a:latin typeface="Cambria Math" panose="02040503050406030204" pitchFamily="18" charset="0"/>
                        </a:rPr>
                      </m:ctrlPr>
                    </m:fPr>
                    <m:num>
                      <m:sSup>
                        <m:sSupPr>
                          <m:ctrlPr>
                            <a:rPr lang="it-IT" i="1">
                              <a:solidFill>
                                <a:srgbClr val="000000"/>
                              </a:solidFill>
                              <a:latin typeface="Cambria Math" panose="02040503050406030204" pitchFamily="18" charset="0"/>
                            </a:rPr>
                          </m:ctrlPr>
                        </m:sSupPr>
                        <m:e>
                          <m:r>
                            <a:rPr lang="it-IT" b="0" i="1">
                              <a:solidFill>
                                <a:srgbClr val="000000"/>
                              </a:solidFill>
                              <a:latin typeface="Cambria Math" panose="02040503050406030204" pitchFamily="18" charset="0"/>
                            </a:rPr>
                            <m:t>𝑉𝑅𝐺</m:t>
                          </m:r>
                        </m:e>
                        <m:sup>
                          <m:r>
                            <a:rPr lang="it-IT" i="1">
                              <a:solidFill>
                                <a:srgbClr val="000000"/>
                              </a:solidFill>
                              <a:latin typeface="Cambria Math" panose="02040503050406030204" pitchFamily="18" charset="0"/>
                            </a:rPr>
                            <m:t>2</m:t>
                          </m:r>
                          <m:r>
                            <a:rPr lang="it-IT" b="0" i="1">
                              <a:solidFill>
                                <a:srgbClr val="000000"/>
                              </a:solidFill>
                              <a:latin typeface="Cambria Math" panose="02040503050406030204" pitchFamily="18" charset="0"/>
                            </a:rPr>
                            <m:t>022</m:t>
                          </m:r>
                        </m:sup>
                      </m:sSup>
                    </m:num>
                    <m:den>
                      <m:r>
                        <a:rPr lang="it-IT" b="0" i="1">
                          <a:solidFill>
                            <a:srgbClr val="000000"/>
                          </a:solidFill>
                          <a:latin typeface="Cambria Math" panose="02040503050406030204" pitchFamily="18" charset="0"/>
                        </a:rPr>
                        <m:t>𝑝𝑜𝑝</m:t>
                      </m:r>
                      <m:r>
                        <a:rPr lang="it-IT" b="0" i="1">
                          <a:solidFill>
                            <a:srgbClr val="000000"/>
                          </a:solidFill>
                          <a:latin typeface="Cambria Math" panose="02040503050406030204" pitchFamily="18" charset="0"/>
                        </a:rPr>
                        <m:t>+0,25</m:t>
                      </m:r>
                      <m:sSub>
                        <m:sSubPr>
                          <m:ctrlPr>
                            <a:rPr lang="it-IT" b="0" i="1">
                              <a:solidFill>
                                <a:srgbClr val="000000"/>
                              </a:solidFill>
                              <a:latin typeface="Cambria Math" panose="02040503050406030204" pitchFamily="18" charset="0"/>
                            </a:rPr>
                          </m:ctrlPr>
                        </m:sSubPr>
                        <m:e>
                          <m:r>
                            <a:rPr lang="it-IT" b="0" i="1">
                              <a:solidFill>
                                <a:srgbClr val="000000"/>
                              </a:solidFill>
                              <a:latin typeface="Cambria Math" panose="02040503050406030204" pitchFamily="18" charset="0"/>
                            </a:rPr>
                            <m:t>𝑝𝑜𝑝</m:t>
                          </m:r>
                        </m:e>
                        <m:sub>
                          <m:r>
                            <a:rPr lang="it-IT" b="0" i="1">
                              <a:solidFill>
                                <a:srgbClr val="000000"/>
                              </a:solidFill>
                              <a:latin typeface="Cambria Math" panose="02040503050406030204" pitchFamily="18" charset="0"/>
                            </a:rPr>
                            <m:t>𝑓𝑙𝑢𝑡</m:t>
                          </m:r>
                        </m:sub>
                      </m:sSub>
                    </m:den>
                  </m:f>
                  <m:r>
                    <a:rPr lang="it-IT" i="1">
                      <a:solidFill>
                        <a:srgbClr val="000000"/>
                      </a:solidFill>
                      <a:latin typeface="Cambria Math" panose="02040503050406030204" pitchFamily="18" charset="0"/>
                    </a:rPr>
                    <m:t>≤</m:t>
                  </m:r>
                  <m:sSub>
                    <m:sSubPr>
                      <m:ctrlPr>
                        <a:rPr lang="it-IT" i="1">
                          <a:solidFill>
                            <a:srgbClr val="000000"/>
                          </a:solidFill>
                          <a:latin typeface="Cambria Math" panose="02040503050406030204" pitchFamily="18" charset="0"/>
                        </a:rPr>
                      </m:ctrlPr>
                    </m:sSubPr>
                    <m:e>
                      <m:r>
                        <a:rPr lang="it-IT" b="0" i="1">
                          <a:solidFill>
                            <a:srgbClr val="000000"/>
                          </a:solidFill>
                          <a:latin typeface="Cambria Math" panose="02040503050406030204" pitchFamily="18" charset="0"/>
                        </a:rPr>
                        <m:t>𝑉𝑅𝐺</m:t>
                      </m:r>
                    </m:e>
                    <m:sub>
                      <m:r>
                        <a:rPr lang="it-IT" b="0" i="1">
                          <a:solidFill>
                            <a:srgbClr val="000000"/>
                          </a:solidFill>
                          <a:latin typeface="Cambria Math" panose="02040503050406030204" pitchFamily="18" charset="0"/>
                        </a:rPr>
                        <m:t>𝑃𝑀</m:t>
                      </m:r>
                    </m:sub>
                  </m:sSub>
                </m:oMath>
              </a14:m>
              <a:r>
                <a:rPr lang="it-IT"/>
                <a:t> (</a:t>
              </a:r>
              <a:r>
                <a:rPr lang="it-IT" sz="1200" b="1">
                  <a:solidFill>
                    <a:schemeClr val="accent6">
                      <a:lumMod val="75000"/>
                    </a:schemeClr>
                  </a:solidFill>
                  <a:effectLst/>
                  <a:latin typeface="+mn-lt"/>
                  <a:ea typeface="+mn-ea"/>
                  <a:cs typeface="+mn-cs"/>
                </a:rPr>
                <a:t>SI</a:t>
              </a:r>
              <a:r>
                <a:rPr lang="it-IT"/>
                <a:t>) oppure </a:t>
              </a:r>
              <a14:m>
                <m:oMath xmlns:m="http://schemas.openxmlformats.org/officeDocument/2006/math">
                  <m:f>
                    <m:fPr>
                      <m:ctrlPr>
                        <a:rPr lang="it-IT" sz="1100" i="1">
                          <a:effectLst/>
                          <a:latin typeface="Cambria Math" panose="02040503050406030204" pitchFamily="18" charset="0"/>
                          <a:ea typeface="+mn-ea"/>
                          <a:cs typeface="+mn-cs"/>
                        </a:rPr>
                      </m:ctrlPr>
                    </m:fPr>
                    <m:num>
                      <m:sSup>
                        <m:sSupPr>
                          <m:ctrlPr>
                            <a:rPr lang="it-IT" sz="1100" i="1">
                              <a:effectLst/>
                              <a:latin typeface="Cambria Math" panose="02040503050406030204" pitchFamily="18" charset="0"/>
                              <a:ea typeface="+mn-ea"/>
                              <a:cs typeface="+mn-cs"/>
                            </a:rPr>
                          </m:ctrlPr>
                        </m:sSupPr>
                        <m:e>
                          <m:r>
                            <a:rPr lang="it-IT" sz="1100" b="0" i="1">
                              <a:effectLst/>
                              <a:latin typeface="Cambria Math" panose="02040503050406030204" pitchFamily="18" charset="0"/>
                              <a:ea typeface="+mn-ea"/>
                              <a:cs typeface="+mn-cs"/>
                            </a:rPr>
                            <m:t>𝑉𝑅𝐺</m:t>
                          </m:r>
                        </m:e>
                        <m:sup>
                          <m:r>
                            <a:rPr lang="it-IT" sz="1100" i="1">
                              <a:effectLst/>
                              <a:latin typeface="Cambria Math" panose="02040503050406030204" pitchFamily="18" charset="0"/>
                              <a:ea typeface="+mn-ea"/>
                              <a:cs typeface="+mn-cs"/>
                            </a:rPr>
                            <m:t>2</m:t>
                          </m:r>
                          <m:r>
                            <a:rPr lang="it-IT" sz="1100" b="0" i="1">
                              <a:effectLst/>
                              <a:latin typeface="Cambria Math" panose="02040503050406030204" pitchFamily="18" charset="0"/>
                              <a:ea typeface="+mn-ea"/>
                              <a:cs typeface="+mn-cs"/>
                            </a:rPr>
                            <m:t>022</m:t>
                          </m:r>
                        </m:sup>
                      </m:sSup>
                    </m:num>
                    <m:den>
                      <m:r>
                        <a:rPr lang="it-IT" sz="1100" b="0" i="1">
                          <a:effectLst/>
                          <a:latin typeface="Cambria Math" panose="02040503050406030204" pitchFamily="18" charset="0"/>
                          <a:ea typeface="+mn-ea"/>
                          <a:cs typeface="+mn-cs"/>
                        </a:rPr>
                        <m:t>𝑝𝑜𝑝</m:t>
                      </m:r>
                      <m:r>
                        <a:rPr lang="it-IT" sz="1100" b="0" i="1">
                          <a:effectLst/>
                          <a:latin typeface="Cambria Math" panose="02040503050406030204" pitchFamily="18" charset="0"/>
                          <a:ea typeface="+mn-ea"/>
                          <a:cs typeface="+mn-cs"/>
                        </a:rPr>
                        <m:t>+0,25</m:t>
                      </m:r>
                      <m:sSub>
                        <m:sSubPr>
                          <m:ctrlPr>
                            <a:rPr lang="it-IT" sz="1100" b="0" i="1">
                              <a:effectLst/>
                              <a:latin typeface="Cambria Math" panose="02040503050406030204" pitchFamily="18" charset="0"/>
                              <a:ea typeface="+mn-ea"/>
                              <a:cs typeface="+mn-cs"/>
                            </a:rPr>
                          </m:ctrlPr>
                        </m:sSubPr>
                        <m:e>
                          <m:r>
                            <a:rPr lang="it-IT" sz="1100" b="0" i="1">
                              <a:effectLst/>
                              <a:latin typeface="Cambria Math" panose="02040503050406030204" pitchFamily="18" charset="0"/>
                              <a:ea typeface="+mn-ea"/>
                              <a:cs typeface="+mn-cs"/>
                            </a:rPr>
                            <m:t>𝑝𝑜𝑝</m:t>
                          </m:r>
                        </m:e>
                        <m:sub>
                          <m:r>
                            <a:rPr lang="it-IT" sz="1100" b="0" i="1">
                              <a:effectLst/>
                              <a:latin typeface="Cambria Math" panose="02040503050406030204" pitchFamily="18" charset="0"/>
                              <a:ea typeface="+mn-ea"/>
                              <a:cs typeface="+mn-cs"/>
                            </a:rPr>
                            <m:t>𝑓𝑙𝑢𝑡</m:t>
                          </m:r>
                        </m:sub>
                      </m:sSub>
                    </m:den>
                  </m:f>
                  <m:r>
                    <a:rPr lang="it-IT" sz="1100" b="0" i="1">
                      <a:effectLst/>
                      <a:latin typeface="Cambria Math" panose="02040503050406030204" pitchFamily="18" charset="0"/>
                      <a:ea typeface="+mn-ea"/>
                      <a:cs typeface="+mn-cs"/>
                    </a:rPr>
                    <m:t>&gt;</m:t>
                  </m:r>
                  <m:sSub>
                    <m:sSubPr>
                      <m:ctrlPr>
                        <a:rPr lang="it-IT" sz="1100" i="1">
                          <a:effectLst/>
                          <a:latin typeface="Cambria Math" panose="02040503050406030204" pitchFamily="18" charset="0"/>
                          <a:ea typeface="+mn-ea"/>
                          <a:cs typeface="+mn-cs"/>
                        </a:rPr>
                      </m:ctrlPr>
                    </m:sSubPr>
                    <m:e>
                      <m:r>
                        <a:rPr lang="it-IT" sz="1100" b="0" i="1">
                          <a:effectLst/>
                          <a:latin typeface="Cambria Math" panose="02040503050406030204" pitchFamily="18" charset="0"/>
                          <a:ea typeface="+mn-ea"/>
                          <a:cs typeface="+mn-cs"/>
                        </a:rPr>
                        <m:t>𝑉𝑅𝐺</m:t>
                      </m:r>
                    </m:e>
                    <m:sub>
                      <m:r>
                        <a:rPr lang="it-IT" sz="1100" b="0" i="1">
                          <a:effectLst/>
                          <a:latin typeface="Cambria Math" panose="02040503050406030204" pitchFamily="18" charset="0"/>
                          <a:ea typeface="+mn-ea"/>
                          <a:cs typeface="+mn-cs"/>
                        </a:rPr>
                        <m:t>𝑃𝑀</m:t>
                      </m:r>
                    </m:sub>
                  </m:sSub>
                </m:oMath>
              </a14:m>
              <a:r>
                <a:rPr lang="it-IT"/>
                <a:t>(</a:t>
              </a:r>
              <a:r>
                <a:rPr lang="it-IT" sz="1200" b="1">
                  <a:solidFill>
                    <a:schemeClr val="accent6">
                      <a:lumMod val="75000"/>
                    </a:schemeClr>
                  </a:solidFill>
                </a:rPr>
                <a:t>NO</a:t>
              </a:r>
              <a:r>
                <a:rPr lang="it-IT"/>
                <a:t>)</a:t>
              </a:r>
            </a:p>
          </xdr:txBody>
        </xdr:sp>
      </mc:Choice>
      <mc:Fallback xmlns="">
        <xdr:sp macro="" textlink="">
          <xdr:nvSpPr>
            <xdr:cNvPr id="2" name="Object 4">
              <a:extLst>
                <a:ext uri="{63B3BB69-23CF-44E3-9099-C40C66FF867C}">
                  <a14:compatExt xmlns:a14="http://schemas.microsoft.com/office/drawing/2010/main" spid="_x0000_s1028"/>
                </a:ext>
                <a:ext uri="{FF2B5EF4-FFF2-40B4-BE49-F238E27FC236}">
                  <a16:creationId xmlns:a16="http://schemas.microsoft.com/office/drawing/2014/main" id="{927DEF46-99CA-41A3-B1F8-F873898217BD}"/>
                </a:ext>
              </a:extLst>
            </xdr:cNvPr>
            <xdr:cNvSpPr txBox="1"/>
          </xdr:nvSpPr>
          <xdr:spPr>
            <a:xfrm>
              <a:off x="359147" y="1509433"/>
              <a:ext cx="4222378" cy="401135"/>
            </a:xfrm>
            <a:prstGeom prst="rect">
              <a:avLst/>
            </a:prstGeom>
          </xdr:spPr>
          <xdr:txBody>
            <a:bodyPr vertOverflow="clip" horzOverflow="clip" wrap="square">
              <a:spAutoFit/>
            </a:bodyPr>
            <a:lstStyle/>
            <a:p>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a:t>
              </a:r>
              <a:r>
                <a:rPr lang="it-IT" i="0">
                  <a:solidFill>
                    <a:srgbClr val="000000"/>
                  </a:solidFill>
                  <a:latin typeface="Cambria Math" panose="02040503050406030204" pitchFamily="18" charset="0"/>
                </a:rPr>
                <a:t>2</a:t>
              </a:r>
              <a:r>
                <a:rPr lang="it-IT" b="0" i="0">
                  <a:solidFill>
                    <a:srgbClr val="000000"/>
                  </a:solidFill>
                  <a:latin typeface="Cambria Math" panose="02040503050406030204" pitchFamily="18" charset="0"/>
                </a:rPr>
                <a:t>022/(𝑝𝑜𝑝+0,25〖𝑝𝑜𝑝〗_𝑓𝑙𝑢𝑡 )</a:t>
              </a: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𝑉𝑅𝐺〗_𝑃𝑀</a:t>
              </a:r>
              <a:r>
                <a:rPr lang="it-IT"/>
                <a:t> (</a:t>
              </a:r>
              <a:r>
                <a:rPr lang="it-IT" sz="1200" b="1">
                  <a:solidFill>
                    <a:schemeClr val="accent6">
                      <a:lumMod val="75000"/>
                    </a:schemeClr>
                  </a:solidFill>
                  <a:effectLst/>
                  <a:latin typeface="+mn-lt"/>
                  <a:ea typeface="+mn-ea"/>
                  <a:cs typeface="+mn-cs"/>
                </a:rPr>
                <a:t>SI</a:t>
              </a:r>
              <a:r>
                <a:rPr lang="it-IT"/>
                <a:t>) oppure </a:t>
              </a: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𝑉𝑅𝐺〗^</a:t>
              </a:r>
              <a:r>
                <a:rPr lang="it-IT" sz="1100" i="0">
                  <a:effectLst/>
                  <a:latin typeface="Cambria Math" panose="02040503050406030204" pitchFamily="18" charset="0"/>
                  <a:ea typeface="+mn-ea"/>
                  <a:cs typeface="+mn-cs"/>
                </a:rPr>
                <a:t>2</a:t>
              </a:r>
              <a:r>
                <a:rPr lang="it-IT" sz="1100" b="0" i="0">
                  <a:effectLst/>
                  <a:latin typeface="Cambria Math" panose="02040503050406030204" pitchFamily="18" charset="0"/>
                  <a:ea typeface="+mn-ea"/>
                  <a:cs typeface="+mn-cs"/>
                </a:rPr>
                <a:t>022/(𝑝𝑜𝑝+0,25〖𝑝𝑜𝑝〗_𝑓𝑙𝑢𝑡 )&gt;</a:t>
              </a: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𝑉𝑅𝐺〗_𝑃𝑀</a:t>
              </a:r>
              <a:r>
                <a:rPr lang="it-IT"/>
                <a:t>(</a:t>
              </a:r>
              <a:r>
                <a:rPr lang="it-IT" sz="1200" b="1">
                  <a:solidFill>
                    <a:schemeClr val="accent6">
                      <a:lumMod val="75000"/>
                    </a:schemeClr>
                  </a:solidFill>
                </a:rPr>
                <a:t>NO</a:t>
              </a:r>
              <a:r>
                <a:rPr lang="it-IT"/>
                <a:t>)</a:t>
              </a:r>
            </a:p>
          </xdr:txBody>
        </xdr:sp>
      </mc:Fallback>
    </mc:AlternateContent>
    <xdr:clientData/>
  </xdr:twoCellAnchor>
  <xdr:twoCellAnchor>
    <xdr:from>
      <xdr:col>1</xdr:col>
      <xdr:colOff>123265</xdr:colOff>
      <xdr:row>11</xdr:row>
      <xdr:rowOff>134471</xdr:rowOff>
    </xdr:from>
    <xdr:to>
      <xdr:col>8</xdr:col>
      <xdr:colOff>0</xdr:colOff>
      <xdr:row>11</xdr:row>
      <xdr:rowOff>523873</xdr:rowOff>
    </xdr:to>
    <mc:AlternateContent xmlns:mc="http://schemas.openxmlformats.org/markup-compatibility/2006" xmlns:a14="http://schemas.microsoft.com/office/drawing/2010/main">
      <mc:Choice Requires="a14">
        <xdr:sp macro="" textlink="">
          <xdr:nvSpPr>
            <xdr:cNvPr id="3" name="Object 4">
              <a:extLst>
                <a:ext uri="{63B3BB69-23CF-44E3-9099-C40C66FF867C}">
                  <a14:compatExt spid="_x0000_s1028"/>
                </a:ext>
                <a:ext uri="{FF2B5EF4-FFF2-40B4-BE49-F238E27FC236}">
                  <a16:creationId xmlns:a16="http://schemas.microsoft.com/office/drawing/2014/main" id="{F1F29744-EBCC-4C2E-87A9-F8D431BA8D4E}"/>
                </a:ext>
              </a:extLst>
            </xdr:cNvPr>
            <xdr:cNvSpPr txBox="1"/>
          </xdr:nvSpPr>
          <xdr:spPr>
            <a:xfrm>
              <a:off x="389965" y="3182471"/>
              <a:ext cx="9144560" cy="389402"/>
            </a:xfrm>
            <a:prstGeom prst="rect">
              <a:avLst/>
            </a:prstGeom>
          </xdr:spPr>
          <xdr:txBody>
            <a:bodyPr vertOverflow="clip" horzOverflow="clip" wrap="square">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 xmlns:m="http://schemas.openxmlformats.org/officeDocument/2006/math">
                  <m:f>
                    <m:fPr>
                      <m:ctrlPr>
                        <a:rPr lang="it-IT" sz="1100" i="1">
                          <a:effectLst/>
                          <a:latin typeface="Cambria Math" panose="02040503050406030204" pitchFamily="18" charset="0"/>
                          <a:ea typeface="+mn-ea"/>
                          <a:cs typeface="+mn-cs"/>
                        </a:rPr>
                      </m:ctrlPr>
                    </m:fPr>
                    <m:num>
                      <m:nary>
                        <m:naryPr>
                          <m:chr m:val="∑"/>
                          <m:ctrlPr>
                            <a:rPr lang="it-IT" sz="1100" i="1">
                              <a:effectLst/>
                              <a:latin typeface="Cambria Math" panose="02040503050406030204" pitchFamily="18" charset="0"/>
                              <a:ea typeface="+mn-ea"/>
                              <a:cs typeface="+mn-cs"/>
                            </a:rPr>
                          </m:ctrlPr>
                        </m:naryPr>
                        <m:sub>
                          <m:r>
                            <a:rPr lang="it-IT" sz="1100" b="0" i="1">
                              <a:effectLst/>
                              <a:latin typeface="Cambria Math" panose="02040503050406030204" pitchFamily="18" charset="0"/>
                              <a:ea typeface="+mn-ea"/>
                              <a:cs typeface="+mn-cs"/>
                            </a:rPr>
                            <m:t>2024</m:t>
                          </m:r>
                        </m:sub>
                        <m:sup>
                          <m:r>
                            <a:rPr lang="it-IT" sz="1100" b="0" i="1">
                              <a:effectLst/>
                              <a:latin typeface="Cambria Math" panose="02040503050406030204" pitchFamily="18" charset="0"/>
                              <a:ea typeface="+mn-ea"/>
                              <a:cs typeface="+mn-cs"/>
                            </a:rPr>
                            <m:t>2029</m:t>
                          </m:r>
                        </m:sup>
                        <m:e>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𝐼𝑃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 </m:t>
                              </m:r>
                              <m:r>
                                <a:rPr lang="it-IT" sz="1100" b="0" i="1">
                                  <a:effectLst/>
                                  <a:latin typeface="Cambria Math" panose="02040503050406030204" pitchFamily="18" charset="0"/>
                                  <a:ea typeface="+mn-ea"/>
                                  <a:cs typeface="+mn-cs"/>
                                </a:rPr>
                                <m:t>𝐶𝐹𝑃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e>
                      </m:nary>
                      <m:r>
                        <a:rPr lang="it-IT" sz="1100" b="0" i="1">
                          <a:effectLst/>
                          <a:latin typeface="Cambria Math" panose="02040503050406030204" pitchFamily="18" charset="0"/>
                          <a:ea typeface="+mn-ea"/>
                          <a:cs typeface="+mn-cs"/>
                        </a:rPr>
                        <m:t> </m:t>
                      </m:r>
                    </m:num>
                    <m:den>
                      <m:r>
                        <a:rPr lang="it-IT" sz="1100" i="1">
                          <a:effectLst/>
                          <a:latin typeface="Cambria Math" panose="02040503050406030204" pitchFamily="18" charset="0"/>
                          <a:ea typeface="+mn-ea"/>
                          <a:cs typeface="+mn-cs"/>
                        </a:rPr>
                        <m:t>𝑅𝐴</m:t>
                      </m:r>
                      <m:sSub>
                        <m:sSubPr>
                          <m:ctrlPr>
                            <a:rPr lang="it-IT" sz="1100" i="1">
                              <a:effectLst/>
                              <a:latin typeface="Cambria Math" panose="02040503050406030204" pitchFamily="18" charset="0"/>
                              <a:ea typeface="+mn-ea"/>
                              <a:cs typeface="+mn-cs"/>
                            </a:rPr>
                          </m:ctrlPr>
                        </m:sSubPr>
                        <m:e>
                          <m:r>
                            <a:rPr lang="it-IT" sz="1100" i="1">
                              <a:effectLst/>
                              <a:latin typeface="Cambria Math" panose="02040503050406030204" pitchFamily="18" charset="0"/>
                              <a:ea typeface="+mn-ea"/>
                              <a:cs typeface="+mn-cs"/>
                            </a:rPr>
                            <m:t>𝐵</m:t>
                          </m:r>
                        </m:e>
                        <m:sub>
                          <m:r>
                            <a:rPr lang="it-IT" sz="1100" i="1">
                              <a:effectLst/>
                              <a:latin typeface="Cambria Math" panose="02040503050406030204" pitchFamily="18" charset="0"/>
                              <a:ea typeface="+mn-ea"/>
                              <a:cs typeface="+mn-cs"/>
                            </a:rPr>
                            <m:t>𝑀𝑇𝐼</m:t>
                          </m:r>
                          <m:r>
                            <a:rPr lang="it-IT" sz="1100" b="0" i="1">
                              <a:effectLst/>
                              <a:latin typeface="Cambria Math" panose="02040503050406030204" pitchFamily="18" charset="0"/>
                              <a:ea typeface="+mn-ea"/>
                              <a:cs typeface="+mn-cs"/>
                            </a:rPr>
                            <m:t>−3</m:t>
                          </m:r>
                        </m:sub>
                      </m:sSub>
                    </m:den>
                  </m:f>
                  <m:r>
                    <a:rPr lang="it-IT" sz="1100" b="0" i="1">
                      <a:effectLst/>
                      <a:latin typeface="Cambria Math" panose="02040503050406030204" pitchFamily="18" charset="0"/>
                      <a:ea typeface="+mn-ea"/>
                      <a:cs typeface="+mn-cs"/>
                    </a:rPr>
                    <m:t> ≤</m:t>
                  </m:r>
                  <m:r>
                    <m:rPr>
                      <m:sty m:val="p"/>
                    </m:rPr>
                    <a:rPr lang="el-GR" sz="1100" b="0" i="1">
                      <a:effectLst/>
                      <a:latin typeface="Cambria Math" panose="02040503050406030204" pitchFamily="18" charset="0"/>
                      <a:ea typeface="+mn-ea"/>
                      <a:cs typeface="+mn-cs"/>
                    </a:rPr>
                    <m:t>ω</m:t>
                  </m:r>
                </m:oMath>
              </a14:m>
              <a:r>
                <a:rPr lang="it-IT"/>
                <a:t> (</a:t>
              </a:r>
              <a:r>
                <a:rPr lang="it-IT" sz="1200" b="1">
                  <a:solidFill>
                    <a:schemeClr val="accent6">
                      <a:lumMod val="75000"/>
                    </a:schemeClr>
                  </a:solidFill>
                  <a:effectLst/>
                  <a:latin typeface="+mn-lt"/>
                  <a:ea typeface="+mn-ea"/>
                  <a:cs typeface="+mn-cs"/>
                </a:rPr>
                <a:t>SI</a:t>
              </a:r>
              <a:r>
                <a:rPr lang="it-IT"/>
                <a:t>) oppure </a:t>
              </a:r>
              <a14:m>
                <m:oMath xmlns:m="http://schemas.openxmlformats.org/officeDocument/2006/math">
                  <m:f>
                    <m:fPr>
                      <m:ctrlPr>
                        <a:rPr lang="it-IT" sz="1100" i="1">
                          <a:effectLst/>
                          <a:latin typeface="Cambria Math" panose="02040503050406030204" pitchFamily="18" charset="0"/>
                          <a:ea typeface="+mn-ea"/>
                          <a:cs typeface="+mn-cs"/>
                        </a:rPr>
                      </m:ctrlPr>
                    </m:fPr>
                    <m:num>
                      <m:nary>
                        <m:naryPr>
                          <m:chr m:val="∑"/>
                          <m:ctrlPr>
                            <a:rPr lang="it-IT" sz="1100" i="1">
                              <a:effectLst/>
                              <a:latin typeface="Cambria Math" panose="02040503050406030204" pitchFamily="18" charset="0"/>
                              <a:ea typeface="+mn-ea"/>
                              <a:cs typeface="+mn-cs"/>
                            </a:rPr>
                          </m:ctrlPr>
                        </m:naryPr>
                        <m:sub>
                          <m:r>
                            <a:rPr lang="it-IT" sz="1100" b="0" i="1">
                              <a:effectLst/>
                              <a:latin typeface="Cambria Math" panose="02040503050406030204" pitchFamily="18" charset="0"/>
                              <a:ea typeface="+mn-ea"/>
                              <a:cs typeface="+mn-cs"/>
                            </a:rPr>
                            <m:t>2024</m:t>
                          </m:r>
                        </m:sub>
                        <m:sup>
                          <m:r>
                            <a:rPr lang="it-IT" sz="1100" b="0" i="1">
                              <a:effectLst/>
                              <a:latin typeface="Cambria Math" panose="02040503050406030204" pitchFamily="18" charset="0"/>
                              <a:ea typeface="+mn-ea"/>
                              <a:cs typeface="+mn-cs"/>
                            </a:rPr>
                            <m:t>2029</m:t>
                          </m:r>
                        </m:sup>
                        <m:e>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𝐼𝑃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 </m:t>
                              </m:r>
                              <m:r>
                                <a:rPr lang="it-IT" sz="1100" b="0" i="1">
                                  <a:effectLst/>
                                  <a:latin typeface="Cambria Math" panose="02040503050406030204" pitchFamily="18" charset="0"/>
                                  <a:ea typeface="+mn-ea"/>
                                  <a:cs typeface="+mn-cs"/>
                                </a:rPr>
                                <m:t>𝐶𝐹𝑃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e>
                      </m:nary>
                      <m:r>
                        <a:rPr lang="it-IT" sz="1100" b="0" i="1">
                          <a:effectLst/>
                          <a:latin typeface="Cambria Math" panose="02040503050406030204" pitchFamily="18" charset="0"/>
                          <a:ea typeface="+mn-ea"/>
                          <a:cs typeface="+mn-cs"/>
                        </a:rPr>
                        <m:t> </m:t>
                      </m:r>
                    </m:num>
                    <m:den>
                      <m:r>
                        <a:rPr lang="it-IT" sz="1100" i="1">
                          <a:effectLst/>
                          <a:latin typeface="Cambria Math" panose="02040503050406030204" pitchFamily="18" charset="0"/>
                          <a:ea typeface="+mn-ea"/>
                          <a:cs typeface="+mn-cs"/>
                        </a:rPr>
                        <m:t>𝑅𝐴</m:t>
                      </m:r>
                      <m:r>
                        <a:rPr lang="it-IT" sz="1100" i="1">
                          <a:effectLst/>
                          <a:latin typeface="Cambria Math" panose="02040503050406030204" pitchFamily="18" charset="0"/>
                          <a:ea typeface="+mn-ea"/>
                          <a:cs typeface="+mn-cs"/>
                        </a:rPr>
                        <m:t>3</m:t>
                      </m:r>
                    </m:den>
                  </m:f>
                  <m:r>
                    <a:rPr lang="it-IT" sz="1100" b="0" i="1">
                      <a:effectLst/>
                      <a:latin typeface="Cambria Math" panose="02040503050406030204" pitchFamily="18" charset="0"/>
                      <a:ea typeface="+mn-ea"/>
                      <a:cs typeface="+mn-cs"/>
                    </a:rPr>
                    <m:t>&gt;</m:t>
                  </m:r>
                  <m:r>
                    <m:rPr>
                      <m:sty m:val="p"/>
                    </m:rPr>
                    <a:rPr lang="el-GR" sz="1100" b="0" i="1">
                      <a:effectLst/>
                      <a:latin typeface="Cambria Math" panose="02040503050406030204" pitchFamily="18" charset="0"/>
                      <a:ea typeface="+mn-ea"/>
                      <a:cs typeface="+mn-cs"/>
                    </a:rPr>
                    <m:t>ω</m:t>
                  </m:r>
                </m:oMath>
              </a14:m>
              <a:r>
                <a:rPr lang="it-IT"/>
                <a:t> (</a:t>
              </a:r>
              <a:r>
                <a:rPr lang="it-IT" sz="1200" b="1">
                  <a:solidFill>
                    <a:schemeClr val="accent6">
                      <a:lumMod val="75000"/>
                    </a:schemeClr>
                  </a:solidFill>
                </a:rPr>
                <a:t>NO</a:t>
              </a:r>
              <a:r>
                <a:rPr lang="it-IT"/>
                <a:t>)</a:t>
              </a:r>
            </a:p>
          </xdr:txBody>
        </xdr:sp>
      </mc:Choice>
      <mc:Fallback xmlns="">
        <xdr:sp macro="" textlink="">
          <xdr:nvSpPr>
            <xdr:cNvPr id="3" name="Object 4">
              <a:extLst>
                <a:ext uri="{63B3BB69-23CF-44E3-9099-C40C66FF867C}">
                  <a14:compatExt xmlns:a14="http://schemas.microsoft.com/office/drawing/2010/main" spid="_x0000_s1028"/>
                </a:ext>
                <a:ext uri="{FF2B5EF4-FFF2-40B4-BE49-F238E27FC236}">
                  <a16:creationId xmlns:a16="http://schemas.microsoft.com/office/drawing/2014/main" id="{F1F29744-EBCC-4C2E-87A9-F8D431BA8D4E}"/>
                </a:ext>
              </a:extLst>
            </xdr:cNvPr>
            <xdr:cNvSpPr txBox="1"/>
          </xdr:nvSpPr>
          <xdr:spPr>
            <a:xfrm>
              <a:off x="389965" y="3182471"/>
              <a:ext cx="9144560" cy="389402"/>
            </a:xfrm>
            <a:prstGeom prst="rect">
              <a:avLst/>
            </a:prstGeom>
          </xdr:spPr>
          <xdr:txBody>
            <a:bodyPr vertOverflow="clip" horzOverflow="clip" wrap="square">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_2024^2029▒〖〖𝐼𝑃〗_𝑎^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𝐶𝐹𝑃〗_𝑎^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a:t>
              </a:r>
              <a:r>
                <a:rPr lang="it-IT" sz="1100" i="0">
                  <a:effectLst/>
                  <a:latin typeface="Cambria Math" panose="02040503050406030204" pitchFamily="18" charset="0"/>
                  <a:ea typeface="+mn-ea"/>
                  <a:cs typeface="+mn-cs"/>
                </a:rPr>
                <a:t>𝑅𝐴𝐵_(𝑀𝑇𝐼</a:t>
              </a:r>
              <a:r>
                <a:rPr lang="it-IT" sz="1100" b="0" i="0">
                  <a:effectLst/>
                  <a:latin typeface="Cambria Math" panose="02040503050406030204" pitchFamily="18" charset="0"/>
                  <a:ea typeface="+mn-ea"/>
                  <a:cs typeface="+mn-cs"/>
                </a:rPr>
                <a:t>−3) )  ≤</a:t>
              </a:r>
              <a:r>
                <a:rPr lang="el-GR" sz="1100" b="0" i="0">
                  <a:effectLst/>
                  <a:latin typeface="Cambria Math" panose="02040503050406030204" pitchFamily="18" charset="0"/>
                  <a:ea typeface="+mn-ea"/>
                  <a:cs typeface="+mn-cs"/>
                </a:rPr>
                <a:t>ω</a:t>
              </a:r>
              <a:r>
                <a:rPr lang="it-IT"/>
                <a:t> (</a:t>
              </a:r>
              <a:r>
                <a:rPr lang="it-IT" sz="1200" b="1">
                  <a:solidFill>
                    <a:schemeClr val="accent6">
                      <a:lumMod val="75000"/>
                    </a:schemeClr>
                  </a:solidFill>
                  <a:effectLst/>
                  <a:latin typeface="+mn-lt"/>
                  <a:ea typeface="+mn-ea"/>
                  <a:cs typeface="+mn-cs"/>
                </a:rPr>
                <a:t>SI</a:t>
              </a:r>
              <a:r>
                <a:rPr lang="it-IT"/>
                <a:t>) oppure </a:t>
              </a: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_2024^2029▒〖〖𝐼𝑃〗_𝑎^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𝐶𝐹𝑃〗_𝑎^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a:t>
              </a:r>
              <a:r>
                <a:rPr lang="it-IT" sz="1100" i="0">
                  <a:effectLst/>
                  <a:latin typeface="Cambria Math" panose="02040503050406030204" pitchFamily="18" charset="0"/>
                  <a:ea typeface="+mn-ea"/>
                  <a:cs typeface="+mn-cs"/>
                </a:rPr>
                <a:t>𝑅𝐴3</a:t>
              </a:r>
              <a:r>
                <a:rPr lang="it-IT" sz="1100" b="0" i="0">
                  <a:effectLst/>
                  <a:latin typeface="Cambria Math" panose="02040503050406030204" pitchFamily="18" charset="0"/>
                  <a:ea typeface="+mn-ea"/>
                  <a:cs typeface="+mn-cs"/>
                </a:rPr>
                <a:t>&gt;</a:t>
              </a:r>
              <a:r>
                <a:rPr lang="el-GR" sz="1100" b="0" i="0">
                  <a:effectLst/>
                  <a:latin typeface="Cambria Math" panose="02040503050406030204" pitchFamily="18" charset="0"/>
                  <a:ea typeface="+mn-ea"/>
                  <a:cs typeface="+mn-cs"/>
                </a:rPr>
                <a:t>ω</a:t>
              </a:r>
              <a:r>
                <a:rPr lang="it-IT"/>
                <a:t> (</a:t>
              </a:r>
              <a:r>
                <a:rPr lang="it-IT" sz="1200" b="1">
                  <a:solidFill>
                    <a:schemeClr val="accent6">
                      <a:lumMod val="75000"/>
                    </a:schemeClr>
                  </a:solidFill>
                </a:rPr>
                <a:t>NO</a:t>
              </a:r>
              <a:r>
                <a:rPr lang="it-IT"/>
                <a:t>)</a:t>
              </a:r>
            </a:p>
          </xdr:txBody>
        </xdr:sp>
      </mc:Fallback>
    </mc:AlternateContent>
    <xdr:clientData/>
  </xdr:twoCellAnchor>
  <xdr:twoCellAnchor>
    <xdr:from>
      <xdr:col>1</xdr:col>
      <xdr:colOff>130660</xdr:colOff>
      <xdr:row>9</xdr:row>
      <xdr:rowOff>20731</xdr:rowOff>
    </xdr:from>
    <xdr:to>
      <xdr:col>2</xdr:col>
      <xdr:colOff>3860538</xdr:colOff>
      <xdr:row>9</xdr:row>
      <xdr:rowOff>297153</xdr:rowOff>
    </xdr:to>
    <mc:AlternateContent xmlns:mc="http://schemas.openxmlformats.org/markup-compatibility/2006" xmlns:a14="http://schemas.microsoft.com/office/drawing/2010/main">
      <mc:Choice Requires="a14">
        <xdr:sp macro="" textlink="">
          <xdr:nvSpPr>
            <xdr:cNvPr id="4" name="Object 4">
              <a:extLst>
                <a:ext uri="{63B3BB69-23CF-44E3-9099-C40C66FF867C}">
                  <a14:compatExt spid="_x0000_s1028"/>
                </a:ext>
                <a:ext uri="{FF2B5EF4-FFF2-40B4-BE49-F238E27FC236}">
                  <a16:creationId xmlns:a16="http://schemas.microsoft.com/office/drawing/2014/main" id="{CD220FA7-59DB-4B08-BC25-46210532458B}"/>
                </a:ext>
              </a:extLst>
            </xdr:cNvPr>
            <xdr:cNvSpPr txBox="1"/>
          </xdr:nvSpPr>
          <xdr:spPr>
            <a:xfrm>
              <a:off x="397360" y="2497231"/>
              <a:ext cx="3891803" cy="276422"/>
            </a:xfrm>
            <a:prstGeom prst="rect">
              <a:avLst/>
            </a:prstGeom>
          </xdr:spPr>
          <xdr:txBody>
            <a:bodyPr vertOverflow="clip" horzOverflow="clip" wrap="square">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it-IT"/>
                <a:t> </a:t>
              </a:r>
              <a14:m>
                <m:oMath xmlns:m="http://schemas.openxmlformats.org/officeDocument/2006/math">
                  <m:nary>
                    <m:naryPr>
                      <m:chr m:val="∑"/>
                      <m:ctrlPr>
                        <a:rPr lang="it-IT" sz="1100" i="1">
                          <a:effectLst/>
                          <a:latin typeface="Cambria Math" panose="02040503050406030204" pitchFamily="18" charset="0"/>
                          <a:ea typeface="+mn-ea"/>
                          <a:cs typeface="+mn-cs"/>
                        </a:rPr>
                      </m:ctrlPr>
                    </m:naryPr>
                    <m:sub>
                      <m:r>
                        <m:rPr>
                          <m:brk m:alnAt="23"/>
                        </m:rPr>
                        <a:rPr lang="it-IT" sz="1100" b="0" i="1">
                          <a:effectLst/>
                          <a:latin typeface="Cambria Math" panose="02040503050406030204" pitchFamily="18" charset="0"/>
                          <a:ea typeface="+mn-ea"/>
                          <a:cs typeface="+mn-cs"/>
                        </a:rPr>
                        <m:t>2</m:t>
                      </m:r>
                      <m:r>
                        <a:rPr lang="it-IT" sz="1100" b="0" i="1">
                          <a:effectLst/>
                          <a:latin typeface="Cambria Math" panose="02040503050406030204" pitchFamily="18" charset="0"/>
                          <a:ea typeface="+mn-ea"/>
                          <a:cs typeface="+mn-cs"/>
                        </a:rPr>
                        <m:t>024</m:t>
                      </m:r>
                    </m:sub>
                    <m:sup>
                      <m:r>
                        <a:rPr lang="it-IT" sz="1100" b="0" i="1">
                          <a:effectLst/>
                          <a:latin typeface="Cambria Math" panose="02040503050406030204" pitchFamily="18" charset="0"/>
                          <a:ea typeface="+mn-ea"/>
                          <a:cs typeface="+mn-cs"/>
                        </a:rPr>
                        <m:t>2029</m:t>
                      </m:r>
                    </m:sup>
                    <m:e>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𝐼𝑃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 </m:t>
                          </m:r>
                          <m:r>
                            <a:rPr lang="it-IT" sz="1100" b="0" i="1">
                              <a:effectLst/>
                              <a:latin typeface="Cambria Math" panose="02040503050406030204" pitchFamily="18" charset="0"/>
                              <a:ea typeface="+mn-ea"/>
                              <a:cs typeface="+mn-cs"/>
                            </a:rPr>
                            <m:t>𝐶𝐹𝑃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e>
                  </m:nary>
                </m:oMath>
              </a14:m>
              <a:endParaRPr lang="it-IT"/>
            </a:p>
          </xdr:txBody>
        </xdr:sp>
      </mc:Choice>
      <mc:Fallback xmlns="">
        <xdr:sp macro="" textlink="">
          <xdr:nvSpPr>
            <xdr:cNvPr id="4" name="Object 4">
              <a:extLst>
                <a:ext uri="{63B3BB69-23CF-44E3-9099-C40C66FF867C}">
                  <a14:compatExt xmlns:a14="http://schemas.microsoft.com/office/drawing/2010/main" spid="_x0000_s1028"/>
                </a:ext>
                <a:ext uri="{FF2B5EF4-FFF2-40B4-BE49-F238E27FC236}">
                  <a16:creationId xmlns:a16="http://schemas.microsoft.com/office/drawing/2014/main" id="{CD220FA7-59DB-4B08-BC25-46210532458B}"/>
                </a:ext>
              </a:extLst>
            </xdr:cNvPr>
            <xdr:cNvSpPr txBox="1"/>
          </xdr:nvSpPr>
          <xdr:spPr>
            <a:xfrm>
              <a:off x="397360" y="2497231"/>
              <a:ext cx="3891803" cy="276422"/>
            </a:xfrm>
            <a:prstGeom prst="rect">
              <a:avLst/>
            </a:prstGeom>
          </xdr:spPr>
          <xdr:txBody>
            <a:bodyPr vertOverflow="clip" horzOverflow="clip" wrap="square">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it-IT"/>
                <a:t> </a:t>
              </a: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_2024^2029▒〖〖𝐼𝑃〗_𝑎^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𝐶𝐹𝑃〗_𝑎^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a:t>
              </a:r>
              <a:endParaRPr lang="it-IT"/>
            </a:p>
          </xdr:txBody>
        </xdr:sp>
      </mc:Fallback>
    </mc:AlternateContent>
    <xdr:clientData/>
  </xdr:twoCellAnchor>
  <xdr:oneCellAnchor>
    <xdr:from>
      <xdr:col>0</xdr:col>
      <xdr:colOff>78442</xdr:colOff>
      <xdr:row>0</xdr:row>
      <xdr:rowOff>22412</xdr:rowOff>
    </xdr:from>
    <xdr:ext cx="2387833" cy="374141"/>
    <xdr:sp macro="" textlink="">
      <xdr:nvSpPr>
        <xdr:cNvPr id="5" name="Rettangolo 1">
          <a:extLst>
            <a:ext uri="{FF2B5EF4-FFF2-40B4-BE49-F238E27FC236}">
              <a16:creationId xmlns:a16="http://schemas.microsoft.com/office/drawing/2014/main" id="{237D7411-F1DF-40DD-A8EA-E629C0C6104F}"/>
            </a:ext>
          </a:extLst>
        </xdr:cNvPr>
        <xdr:cNvSpPr/>
      </xdr:nvSpPr>
      <xdr:spPr>
        <a:xfrm>
          <a:off x="78442" y="22412"/>
          <a:ext cx="2387833" cy="374141"/>
        </a:xfrm>
        <a:prstGeom prst="rect">
          <a:avLst/>
        </a:prstGeom>
        <a:noFill/>
      </xdr:spPr>
      <xdr:txBody>
        <a:bodyPr wrap="none" lIns="91440" tIns="45720" rIns="91440" bIns="45720">
          <a:spAutoFit/>
        </a:bodyPr>
        <a:lstStyle/>
        <a:p>
          <a:pPr algn="ctr"/>
          <a:r>
            <a:rPr lang="it-IT" sz="1800" b="0" cap="none" spc="0">
              <a:ln w="0"/>
              <a:solidFill>
                <a:schemeClr val="accent1"/>
              </a:solidFill>
              <a:effectLst>
                <a:outerShdw blurRad="38100" dist="25400" dir="5400000" algn="ctr" rotWithShape="0">
                  <a:srgbClr val="6E747A">
                    <a:alpha val="43000"/>
                  </a:srgbClr>
                </a:outerShdw>
              </a:effectLst>
            </a:rPr>
            <a:t>Storico Piano Tariffario</a:t>
          </a:r>
        </a:p>
      </xdr:txBody>
    </xdr:sp>
    <xdr:clientData/>
  </xdr:oneCellAnchor>
</xdr:wsDr>
</file>

<file path=xl/drawings/drawing27.xml><?xml version="1.0" encoding="utf-8"?>
<xdr:wsDr xmlns:xdr="http://schemas.openxmlformats.org/drawingml/2006/spreadsheetDrawing" xmlns:a="http://schemas.openxmlformats.org/drawingml/2006/main">
  <xdr:twoCellAnchor editAs="absolute">
    <xdr:from>
      <xdr:col>4</xdr:col>
      <xdr:colOff>474346</xdr:colOff>
      <xdr:row>0</xdr:row>
      <xdr:rowOff>248659</xdr:rowOff>
    </xdr:from>
    <xdr:to>
      <xdr:col>7</xdr:col>
      <xdr:colOff>398592</xdr:colOff>
      <xdr:row>2</xdr:row>
      <xdr:rowOff>97043</xdr:rowOff>
    </xdr:to>
    <xdr:sp macro="[0]!Aggiorna_DCUIT" textlink="">
      <xdr:nvSpPr>
        <xdr:cNvPr id="2" name="Rettangolo arrotondato 1">
          <a:extLst>
            <a:ext uri="{FF2B5EF4-FFF2-40B4-BE49-F238E27FC236}">
              <a16:creationId xmlns:a16="http://schemas.microsoft.com/office/drawing/2014/main" id="{00000000-0008-0000-1A00-000002000000}"/>
            </a:ext>
          </a:extLst>
        </xdr:cNvPr>
        <xdr:cNvSpPr/>
      </xdr:nvSpPr>
      <xdr:spPr>
        <a:xfrm>
          <a:off x="3563470" y="235324"/>
          <a:ext cx="1826559" cy="683558"/>
        </a:xfrm>
        <a:prstGeom prst="roundRect">
          <a:avLst/>
        </a:prstGeom>
        <a:solidFill>
          <a:srgbClr val="FFFF99"/>
        </a:solidFill>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it-IT" sz="1600" b="1"/>
            <a:t>Aggiorna</a:t>
          </a:r>
          <a:r>
            <a:rPr lang="it-IT" sz="1600" b="1" baseline="0"/>
            <a:t> </a:t>
          </a:r>
          <a:r>
            <a:rPr lang="it-IT" sz="1600" b="1" baseline="0">
              <a:latin typeface="Symbol" panose="05050102010706020507" pitchFamily="18" charset="2"/>
            </a:rPr>
            <a:t>D</a:t>
          </a:r>
          <a:r>
            <a:rPr lang="it-IT" sz="1600" b="1" baseline="0"/>
            <a:t>CUIT</a:t>
          </a:r>
          <a:endParaRPr lang="it-IT" sz="1600" b="1"/>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10</xdr:col>
      <xdr:colOff>33624</xdr:colOff>
      <xdr:row>0</xdr:row>
      <xdr:rowOff>100853</xdr:rowOff>
    </xdr:from>
    <xdr:to>
      <xdr:col>11</xdr:col>
      <xdr:colOff>885272</xdr:colOff>
      <xdr:row>3</xdr:row>
      <xdr:rowOff>56029</xdr:rowOff>
    </xdr:to>
    <xdr:sp macro="[0]!Calcola_RAB_gestore" textlink="">
      <xdr:nvSpPr>
        <xdr:cNvPr id="3" name="Rettangolo arrotondato 2">
          <a:extLst>
            <a:ext uri="{FF2B5EF4-FFF2-40B4-BE49-F238E27FC236}">
              <a16:creationId xmlns:a16="http://schemas.microsoft.com/office/drawing/2014/main" id="{00000000-0008-0000-1C00-000003000000}"/>
            </a:ext>
          </a:extLst>
        </xdr:cNvPr>
        <xdr:cNvSpPr/>
      </xdr:nvSpPr>
      <xdr:spPr>
        <a:xfrm>
          <a:off x="9939624" y="100853"/>
          <a:ext cx="1770530" cy="683558"/>
        </a:xfrm>
        <a:prstGeom prst="roundRect">
          <a:avLst/>
        </a:prstGeom>
        <a:solidFill>
          <a:srgbClr val="FFFF99"/>
        </a:solidFill>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it-IT" sz="1600" b="1"/>
            <a:t>CALCOLO IMN</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114300</xdr:colOff>
      <xdr:row>29</xdr:row>
      <xdr:rowOff>152400</xdr:rowOff>
    </xdr:from>
    <xdr:to>
      <xdr:col>1</xdr:col>
      <xdr:colOff>1985261</xdr:colOff>
      <xdr:row>32</xdr:row>
      <xdr:rowOff>49362</xdr:rowOff>
    </xdr:to>
    <mc:AlternateContent xmlns:mc="http://schemas.openxmlformats.org/markup-compatibility/2006" xmlns:a14="http://schemas.microsoft.com/office/drawing/2010/main">
      <mc:Choice Requires="a14">
        <xdr:sp macro="" textlink="">
          <xdr:nvSpPr>
            <xdr:cNvPr id="2" name="Object 2">
              <a:extLst>
                <a:ext uri="{63B3BB69-23CF-44E3-9099-C40C66FF867C}">
                  <a14:compatExt spid="_x0000_s1026"/>
                </a:ext>
                <a:ext uri="{FF2B5EF4-FFF2-40B4-BE49-F238E27FC236}">
                  <a16:creationId xmlns:a16="http://schemas.microsoft.com/office/drawing/2014/main" id="{00000000-0008-0000-1D00-000002000000}"/>
                </a:ext>
              </a:extLst>
            </xdr:cNvPr>
            <xdr:cNvSpPr txBox="1"/>
          </xdr:nvSpPr>
          <xdr:spPr>
            <a:xfrm>
              <a:off x="1425388" y="6965576"/>
              <a:ext cx="1870961" cy="468462"/>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rgbClr val="000000"/>
                            </a:solidFill>
                            <a:latin typeface="Cambria Math" panose="02040503050406030204" pitchFamily="18" charset="0"/>
                          </a:rPr>
                        </m:ctrlPr>
                      </m:fPr>
                      <m:num>
                        <m:nary>
                          <m:naryPr>
                            <m:chr m:val="∑"/>
                            <m:ctrlPr>
                              <a:rPr lang="it-IT" i="1">
                                <a:solidFill>
                                  <a:srgbClr val="000000"/>
                                </a:solidFill>
                                <a:latin typeface="Cambria Math" panose="02040503050406030204" pitchFamily="18" charset="0"/>
                              </a:rPr>
                            </m:ctrlPr>
                          </m:naryPr>
                          <m:sub>
                            <m:r>
                              <a:rPr lang="it-IT" b="0" i="1">
                                <a:solidFill>
                                  <a:srgbClr val="000000"/>
                                </a:solidFill>
                                <a:latin typeface="Cambria Math" panose="02040503050406030204" pitchFamily="18" charset="0"/>
                              </a:rPr>
                              <m:t>2024</m:t>
                            </m:r>
                          </m:sub>
                          <m:sup>
                            <m:r>
                              <a:rPr lang="it-IT" b="0" i="1">
                                <a:solidFill>
                                  <a:srgbClr val="000000"/>
                                </a:solidFill>
                                <a:latin typeface="Cambria Math" panose="02040503050406030204" pitchFamily="18" charset="0"/>
                              </a:rPr>
                              <m:t>2029</m:t>
                            </m:r>
                          </m:sup>
                          <m:e>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𝐼𝑃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 </m:t>
                                </m:r>
                                <m:r>
                                  <a:rPr lang="it-IT" sz="1100" b="0" i="1">
                                    <a:effectLst/>
                                    <a:latin typeface="Cambria Math" panose="02040503050406030204" pitchFamily="18" charset="0"/>
                                    <a:ea typeface="+mn-ea"/>
                                    <a:cs typeface="+mn-cs"/>
                                  </a:rPr>
                                  <m:t>𝐶𝐹𝑃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e>
                        </m:nary>
                        <m:r>
                          <a:rPr lang="it-IT" b="0" i="1">
                            <a:solidFill>
                              <a:srgbClr val="000000"/>
                            </a:solidFill>
                            <a:latin typeface="Cambria Math" panose="02040503050406030204" pitchFamily="18" charset="0"/>
                          </a:rPr>
                          <m:t> </m:t>
                        </m:r>
                      </m:num>
                      <m:den>
                        <m:r>
                          <a:rPr lang="it-IT" i="1">
                            <a:solidFill>
                              <a:srgbClr val="000000"/>
                            </a:solidFill>
                            <a:latin typeface="Cambria Math" panose="02040503050406030204" pitchFamily="18" charset="0"/>
                          </a:rPr>
                          <m:t>𝑅𝐴</m:t>
                        </m:r>
                        <m:sSub>
                          <m:sSubPr>
                            <m:ctrlPr>
                              <a:rPr lang="it-IT" i="1">
                                <a:solidFill>
                                  <a:srgbClr val="000000"/>
                                </a:solidFill>
                                <a:latin typeface="Cambria Math" panose="02040503050406030204" pitchFamily="18" charset="0"/>
                              </a:rPr>
                            </m:ctrlPr>
                          </m:sSubPr>
                          <m:e>
                            <m:r>
                              <a:rPr lang="it-IT" i="1">
                                <a:solidFill>
                                  <a:srgbClr val="000000"/>
                                </a:solidFill>
                                <a:latin typeface="Cambria Math" panose="02040503050406030204" pitchFamily="18" charset="0"/>
                              </a:rPr>
                              <m:t>𝐵</m:t>
                            </m:r>
                          </m:e>
                          <m:sub>
                            <m:r>
                              <a:rPr lang="it-IT" i="1">
                                <a:solidFill>
                                  <a:srgbClr val="000000"/>
                                </a:solidFill>
                                <a:latin typeface="Cambria Math" panose="02040503050406030204" pitchFamily="18" charset="0"/>
                              </a:rPr>
                              <m:t>𝑀𝑇𝐼</m:t>
                            </m:r>
                            <m:r>
                              <a:rPr lang="it-IT" b="0" i="1">
                                <a:solidFill>
                                  <a:srgbClr val="000000"/>
                                </a:solidFill>
                                <a:latin typeface="Cambria Math" panose="02040503050406030204" pitchFamily="18" charset="0"/>
                              </a:rPr>
                              <m:t>−3</m:t>
                            </m:r>
                          </m:sub>
                        </m:sSub>
                      </m:den>
                    </m:f>
                    <m:r>
                      <a:rPr lang="it-IT" b="0" i="1">
                        <a:solidFill>
                          <a:srgbClr val="000000"/>
                        </a:solidFill>
                        <a:latin typeface="Cambria Math" panose="02040503050406030204" pitchFamily="18" charset="0"/>
                      </a:rPr>
                      <m:t> </m:t>
                    </m:r>
                    <m:r>
                      <a:rPr lang="it-IT" b="0" i="1">
                        <a:solidFill>
                          <a:srgbClr val="000000"/>
                        </a:solidFill>
                        <a:latin typeface="Cambria Math" panose="02040503050406030204" pitchFamily="18" charset="0"/>
                        <a:ea typeface="Cambria Math" panose="02040503050406030204" pitchFamily="18" charset="0"/>
                      </a:rPr>
                      <m:t>≤</m:t>
                    </m:r>
                    <m:r>
                      <m:rPr>
                        <m:sty m:val="p"/>
                      </m:rPr>
                      <a:rPr lang="el-GR" b="0" i="1">
                        <a:solidFill>
                          <a:srgbClr val="000000"/>
                        </a:solidFill>
                        <a:latin typeface="Cambria Math" panose="02040503050406030204" pitchFamily="18" charset="0"/>
                        <a:ea typeface="Cambria Math" panose="02040503050406030204" pitchFamily="18" charset="0"/>
                      </a:rPr>
                      <m:t>ω</m:t>
                    </m:r>
                  </m:oMath>
                </m:oMathPara>
              </a14:m>
              <a:endParaRPr lang="it-IT"/>
            </a:p>
          </xdr:txBody>
        </xdr:sp>
      </mc:Choice>
      <mc:Fallback xmlns="">
        <xdr:sp macro="" textlink="">
          <xdr:nvSpPr>
            <xdr:cNvPr id="2" name="Object 2">
              <a:extLst>
                <a:ext uri="{63B3BB69-23CF-44E3-9099-C40C66FF867C}">
                  <a14:compatExt xmlns:a14="http://schemas.microsoft.com/office/drawing/2010/main" spid="_x0000_s1026"/>
                </a:ext>
                <a:ext uri="{FF2B5EF4-FFF2-40B4-BE49-F238E27FC236}">
                  <a16:creationId xmlns:a16="http://schemas.microsoft.com/office/drawing/2014/main" id="{00000000-0008-0000-1F00-000002000000}"/>
                </a:ext>
              </a:extLst>
            </xdr:cNvPr>
            <xdr:cNvSpPr txBox="1"/>
          </xdr:nvSpPr>
          <xdr:spPr>
            <a:xfrm>
              <a:off x="1425388" y="6965576"/>
              <a:ext cx="1870961" cy="468462"/>
            </a:xfrm>
            <a:prstGeom prst="rect">
              <a:avLst/>
            </a:prstGeom>
          </xdr:spPr>
          <xdr:txBody>
            <a:bodyPr vertOverflow="clip" horzOverflow="clip" wrap="none">
              <a:spAutoFit/>
            </a:bodyPr>
            <a:lstStyle/>
            <a:p>
              <a:pP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_2024^2029</a:t>
              </a:r>
              <a:r>
                <a:rPr lang="it-IT" sz="1100" b="0" i="0">
                  <a:solidFill>
                    <a:srgbClr val="000000"/>
                  </a:solidFill>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𝐼𝑃〗_𝑎^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𝐶𝐹𝑃〗_𝑎^</a:t>
              </a:r>
              <a:r>
                <a:rPr lang="it-IT" sz="1100" i="0">
                  <a:effectLst/>
                  <a:latin typeface="Cambria Math" panose="02040503050406030204" pitchFamily="18" charset="0"/>
                  <a:ea typeface="+mn-ea"/>
                  <a:cs typeface="+mn-cs"/>
                </a:rPr>
                <a:t>exp </a:t>
              </a:r>
              <a:r>
                <a:rPr lang="it-IT" sz="1100" b="0" i="0">
                  <a:solidFill>
                    <a:srgbClr val="000000"/>
                  </a:solidFill>
                  <a:effectLst/>
                  <a:latin typeface="Cambria Math" panose="02040503050406030204" pitchFamily="18" charset="0"/>
                  <a:ea typeface="+mn-ea"/>
                  <a:cs typeface="+mn-cs"/>
                </a:rPr>
                <a:t>〗 </a:t>
              </a:r>
              <a:r>
                <a:rPr lang="it-IT" b="0" i="0">
                  <a:solidFill>
                    <a:srgbClr val="000000"/>
                  </a:solidFill>
                  <a:latin typeface="Cambria Math" panose="02040503050406030204" pitchFamily="18" charset="0"/>
                </a:rPr>
                <a:t> )/(</a:t>
              </a:r>
              <a:r>
                <a:rPr lang="it-IT" i="0">
                  <a:solidFill>
                    <a:srgbClr val="000000"/>
                  </a:solidFill>
                  <a:latin typeface="Cambria Math" panose="02040503050406030204" pitchFamily="18" charset="0"/>
                </a:rPr>
                <a:t>𝑅𝐴𝐵_(𝑀𝑇𝐼</a:t>
              </a:r>
              <a:r>
                <a:rPr lang="it-IT" b="0" i="0">
                  <a:solidFill>
                    <a:srgbClr val="000000"/>
                  </a:solidFill>
                  <a:latin typeface="Cambria Math" panose="02040503050406030204" pitchFamily="18" charset="0"/>
                </a:rPr>
                <a:t>−3) )  </a:t>
              </a:r>
              <a:r>
                <a:rPr lang="it-IT" b="0" i="0">
                  <a:solidFill>
                    <a:srgbClr val="000000"/>
                  </a:solidFill>
                  <a:latin typeface="Cambria Math" panose="02040503050406030204" pitchFamily="18" charset="0"/>
                  <a:ea typeface="Cambria Math" panose="02040503050406030204" pitchFamily="18" charset="0"/>
                </a:rPr>
                <a:t>≤</a:t>
              </a:r>
              <a:r>
                <a:rPr lang="el-GR" b="0" i="0">
                  <a:solidFill>
                    <a:srgbClr val="000000"/>
                  </a:solidFill>
                  <a:latin typeface="Cambria Math" panose="02040503050406030204" pitchFamily="18" charset="0"/>
                  <a:ea typeface="Cambria Math" panose="02040503050406030204" pitchFamily="18" charset="0"/>
                </a:rPr>
                <a:t>ω</a:t>
              </a:r>
              <a:endParaRPr lang="it-IT"/>
            </a:p>
          </xdr:txBody>
        </xdr:sp>
      </mc:Fallback>
    </mc:AlternateContent>
    <xdr:clientData/>
  </xdr:twoCellAnchor>
  <xdr:twoCellAnchor>
    <xdr:from>
      <xdr:col>1</xdr:col>
      <xdr:colOff>112058</xdr:colOff>
      <xdr:row>33</xdr:row>
      <xdr:rowOff>156882</xdr:rowOff>
    </xdr:from>
    <xdr:to>
      <xdr:col>1</xdr:col>
      <xdr:colOff>1941983</xdr:colOff>
      <xdr:row>36</xdr:row>
      <xdr:rowOff>51535</xdr:rowOff>
    </xdr:to>
    <mc:AlternateContent xmlns:mc="http://schemas.openxmlformats.org/markup-compatibility/2006" xmlns:a14="http://schemas.microsoft.com/office/drawing/2010/main">
      <mc:Choice Requires="a14">
        <xdr:sp macro="" textlink="">
          <xdr:nvSpPr>
            <xdr:cNvPr id="10" name="Object 2">
              <a:extLst>
                <a:ext uri="{63B3BB69-23CF-44E3-9099-C40C66FF867C}">
                  <a14:compatExt spid="_x0000_s1026"/>
                </a:ext>
                <a:ext uri="{FF2B5EF4-FFF2-40B4-BE49-F238E27FC236}">
                  <a16:creationId xmlns:a16="http://schemas.microsoft.com/office/drawing/2014/main" id="{00000000-0008-0000-1D00-00000A000000}"/>
                </a:ext>
              </a:extLst>
            </xdr:cNvPr>
            <xdr:cNvSpPr txBox="1"/>
          </xdr:nvSpPr>
          <xdr:spPr>
            <a:xfrm>
              <a:off x="1389529" y="7216588"/>
              <a:ext cx="1829925" cy="466153"/>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rgbClr val="000000"/>
                            </a:solidFill>
                            <a:latin typeface="Cambria Math" panose="02040503050406030204" pitchFamily="18" charset="0"/>
                          </a:rPr>
                        </m:ctrlPr>
                      </m:fPr>
                      <m:num>
                        <m:nary>
                          <m:naryPr>
                            <m:chr m:val="∑"/>
                            <m:ctrlPr>
                              <a:rPr lang="it-IT" i="1">
                                <a:solidFill>
                                  <a:srgbClr val="000000"/>
                                </a:solidFill>
                                <a:latin typeface="Cambria Math" panose="02040503050406030204" pitchFamily="18" charset="0"/>
                              </a:rPr>
                            </m:ctrlPr>
                          </m:naryPr>
                          <m:sub>
                            <m:r>
                              <a:rPr lang="it-IT" b="0" i="1">
                                <a:solidFill>
                                  <a:srgbClr val="000000"/>
                                </a:solidFill>
                                <a:latin typeface="Cambria Math" panose="02040503050406030204" pitchFamily="18" charset="0"/>
                              </a:rPr>
                              <m:t>2024</m:t>
                            </m:r>
                          </m:sub>
                          <m:sup>
                            <m:r>
                              <a:rPr lang="it-IT" b="0" i="1">
                                <a:solidFill>
                                  <a:srgbClr val="000000"/>
                                </a:solidFill>
                                <a:latin typeface="Cambria Math" panose="02040503050406030204" pitchFamily="18" charset="0"/>
                              </a:rPr>
                              <m:t>2029</m:t>
                            </m:r>
                          </m:sup>
                          <m:e>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𝐼𝑃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 </m:t>
                                </m:r>
                                <m:r>
                                  <a:rPr lang="it-IT" sz="1100" b="0" i="1">
                                    <a:effectLst/>
                                    <a:latin typeface="Cambria Math" panose="02040503050406030204" pitchFamily="18" charset="0"/>
                                    <a:ea typeface="+mn-ea"/>
                                    <a:cs typeface="+mn-cs"/>
                                  </a:rPr>
                                  <m:t>𝐶𝐹𝑃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e>
                        </m:nary>
                        <m:r>
                          <a:rPr lang="it-IT" b="0" i="1">
                            <a:solidFill>
                              <a:srgbClr val="000000"/>
                            </a:solidFill>
                            <a:latin typeface="Cambria Math" panose="02040503050406030204" pitchFamily="18" charset="0"/>
                          </a:rPr>
                          <m:t> </m:t>
                        </m:r>
                      </m:num>
                      <m:den>
                        <m:r>
                          <a:rPr lang="it-IT" i="1">
                            <a:solidFill>
                              <a:srgbClr val="000000"/>
                            </a:solidFill>
                            <a:latin typeface="Cambria Math" panose="02040503050406030204" pitchFamily="18" charset="0"/>
                          </a:rPr>
                          <m:t>𝑅𝐴</m:t>
                        </m:r>
                        <m:sSub>
                          <m:sSubPr>
                            <m:ctrlPr>
                              <a:rPr lang="it-IT" i="1">
                                <a:solidFill>
                                  <a:srgbClr val="000000"/>
                                </a:solidFill>
                                <a:latin typeface="Cambria Math" panose="02040503050406030204" pitchFamily="18" charset="0"/>
                              </a:rPr>
                            </m:ctrlPr>
                          </m:sSubPr>
                          <m:e>
                            <m:r>
                              <a:rPr lang="it-IT" i="1">
                                <a:solidFill>
                                  <a:srgbClr val="000000"/>
                                </a:solidFill>
                                <a:latin typeface="Cambria Math" panose="02040503050406030204" pitchFamily="18" charset="0"/>
                              </a:rPr>
                              <m:t>𝐵</m:t>
                            </m:r>
                          </m:e>
                          <m:sub>
                            <m:r>
                              <a:rPr lang="it-IT" i="1">
                                <a:solidFill>
                                  <a:srgbClr val="000000"/>
                                </a:solidFill>
                                <a:latin typeface="Cambria Math" panose="02040503050406030204" pitchFamily="18" charset="0"/>
                              </a:rPr>
                              <m:t>𝑀𝑇𝐼</m:t>
                            </m:r>
                            <m:r>
                              <a:rPr lang="it-IT" b="0" i="1">
                                <a:solidFill>
                                  <a:srgbClr val="000000"/>
                                </a:solidFill>
                                <a:latin typeface="Cambria Math" panose="02040503050406030204" pitchFamily="18" charset="0"/>
                              </a:rPr>
                              <m:t>−3</m:t>
                            </m:r>
                          </m:sub>
                        </m:sSub>
                      </m:den>
                    </m:f>
                    <m:r>
                      <a:rPr lang="it-IT" b="0" i="1">
                        <a:solidFill>
                          <a:srgbClr val="000000"/>
                        </a:solidFill>
                        <a:latin typeface="Cambria Math" panose="02040503050406030204" pitchFamily="18" charset="0"/>
                        <a:ea typeface="Cambria Math" panose="02040503050406030204" pitchFamily="18" charset="0"/>
                      </a:rPr>
                      <m:t>&gt;</m:t>
                    </m:r>
                    <m:r>
                      <m:rPr>
                        <m:sty m:val="p"/>
                      </m:rPr>
                      <a:rPr lang="el-GR" b="0" i="1">
                        <a:solidFill>
                          <a:srgbClr val="000000"/>
                        </a:solidFill>
                        <a:latin typeface="Cambria Math" panose="02040503050406030204" pitchFamily="18" charset="0"/>
                        <a:ea typeface="Cambria Math" panose="02040503050406030204" pitchFamily="18" charset="0"/>
                      </a:rPr>
                      <m:t>ω</m:t>
                    </m:r>
                  </m:oMath>
                </m:oMathPara>
              </a14:m>
              <a:endParaRPr lang="it-IT"/>
            </a:p>
          </xdr:txBody>
        </xdr:sp>
      </mc:Choice>
      <mc:Fallback xmlns="">
        <xdr:sp macro="" textlink="">
          <xdr:nvSpPr>
            <xdr:cNvPr id="10" name="Object 2">
              <a:extLst>
                <a:ext uri="{63B3BB69-23CF-44E3-9099-C40C66FF867C}">
                  <a14:compatExt xmlns:a14="http://schemas.microsoft.com/office/drawing/2010/main" spid="_x0000_s1026"/>
                </a:ext>
                <a:ext uri="{FF2B5EF4-FFF2-40B4-BE49-F238E27FC236}">
                  <a16:creationId xmlns:a16="http://schemas.microsoft.com/office/drawing/2014/main" id="{00000000-0008-0000-1F00-00000A000000}"/>
                </a:ext>
              </a:extLst>
            </xdr:cNvPr>
            <xdr:cNvSpPr txBox="1"/>
          </xdr:nvSpPr>
          <xdr:spPr>
            <a:xfrm>
              <a:off x="1389529" y="7216588"/>
              <a:ext cx="1829925" cy="466153"/>
            </a:xfrm>
            <a:prstGeom prst="rect">
              <a:avLst/>
            </a:prstGeom>
          </xdr:spPr>
          <xdr:txBody>
            <a:bodyPr vertOverflow="clip" horzOverflow="clip" wrap="none">
              <a:spAutoFit/>
            </a:bodyPr>
            <a:lstStyle/>
            <a:p>
              <a:pP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_2024^2029</a:t>
              </a:r>
              <a:r>
                <a:rPr lang="it-IT" sz="1100" b="0" i="0">
                  <a:solidFill>
                    <a:srgbClr val="000000"/>
                  </a:solidFill>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𝐼𝑃〗_𝑎^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𝐶𝐹𝑃〗_𝑎^</a:t>
              </a:r>
              <a:r>
                <a:rPr lang="it-IT" sz="1100" i="0">
                  <a:effectLst/>
                  <a:latin typeface="Cambria Math" panose="02040503050406030204" pitchFamily="18" charset="0"/>
                  <a:ea typeface="+mn-ea"/>
                  <a:cs typeface="+mn-cs"/>
                </a:rPr>
                <a:t>exp </a:t>
              </a:r>
              <a:r>
                <a:rPr lang="it-IT" sz="1100" b="0" i="0">
                  <a:solidFill>
                    <a:srgbClr val="000000"/>
                  </a:solidFill>
                  <a:effectLst/>
                  <a:latin typeface="Cambria Math" panose="02040503050406030204" pitchFamily="18" charset="0"/>
                  <a:ea typeface="+mn-ea"/>
                  <a:cs typeface="+mn-cs"/>
                </a:rPr>
                <a:t>〗 </a:t>
              </a:r>
              <a:r>
                <a:rPr lang="it-IT" b="0" i="0">
                  <a:solidFill>
                    <a:srgbClr val="000000"/>
                  </a:solidFill>
                  <a:latin typeface="Cambria Math" panose="02040503050406030204" pitchFamily="18" charset="0"/>
                </a:rPr>
                <a:t> )/(</a:t>
              </a:r>
              <a:r>
                <a:rPr lang="it-IT" i="0">
                  <a:solidFill>
                    <a:srgbClr val="000000"/>
                  </a:solidFill>
                  <a:latin typeface="Cambria Math" panose="02040503050406030204" pitchFamily="18" charset="0"/>
                </a:rPr>
                <a:t>𝑅𝐴𝐵_(𝑀𝑇𝐼</a:t>
              </a:r>
              <a:r>
                <a:rPr lang="it-IT" b="0" i="0">
                  <a:solidFill>
                    <a:srgbClr val="000000"/>
                  </a:solidFill>
                  <a:latin typeface="Cambria Math" panose="02040503050406030204" pitchFamily="18" charset="0"/>
                </a:rPr>
                <a:t>−3) )</a:t>
              </a:r>
              <a:r>
                <a:rPr lang="it-IT" b="0" i="0">
                  <a:solidFill>
                    <a:srgbClr val="000000"/>
                  </a:solidFill>
                  <a:latin typeface="Cambria Math" panose="02040503050406030204" pitchFamily="18" charset="0"/>
                  <a:ea typeface="Cambria Math" panose="02040503050406030204" pitchFamily="18" charset="0"/>
                </a:rPr>
                <a:t>&gt;</a:t>
              </a:r>
              <a:r>
                <a:rPr lang="el-GR" b="0" i="0">
                  <a:solidFill>
                    <a:srgbClr val="000000"/>
                  </a:solidFill>
                  <a:latin typeface="Cambria Math" panose="02040503050406030204" pitchFamily="18" charset="0"/>
                  <a:ea typeface="Cambria Math" panose="02040503050406030204" pitchFamily="18" charset="0"/>
                </a:rPr>
                <a:t>ω</a:t>
              </a:r>
              <a:endParaRPr lang="it-IT"/>
            </a:p>
          </xdr:txBody>
        </xdr:sp>
      </mc:Fallback>
    </mc:AlternateContent>
    <xdr:clientData/>
  </xdr:twoCellAnchor>
  <xdr:twoCellAnchor>
    <xdr:from>
      <xdr:col>2</xdr:col>
      <xdr:colOff>89647</xdr:colOff>
      <xdr:row>26</xdr:row>
      <xdr:rowOff>44823</xdr:rowOff>
    </xdr:from>
    <xdr:to>
      <xdr:col>3</xdr:col>
      <xdr:colOff>1008530</xdr:colOff>
      <xdr:row>28</xdr:row>
      <xdr:rowOff>143570</xdr:rowOff>
    </xdr:to>
    <mc:AlternateContent xmlns:mc="http://schemas.openxmlformats.org/markup-compatibility/2006" xmlns:a14="http://schemas.microsoft.com/office/drawing/2010/main">
      <mc:Choice Requires="a14">
        <xdr:sp macro="" textlink="">
          <xdr:nvSpPr>
            <xdr:cNvPr id="3" name="Object 4">
              <a:extLst>
                <a:ext uri="{63B3BB69-23CF-44E3-9099-C40C66FF867C}">
                  <a14:compatExt spid="_x0000_s1028"/>
                </a:ext>
                <a:ext uri="{FF2B5EF4-FFF2-40B4-BE49-F238E27FC236}">
                  <a16:creationId xmlns:a16="http://schemas.microsoft.com/office/drawing/2014/main" id="{00000000-0008-0000-1D00-000003000000}"/>
                </a:ext>
              </a:extLst>
            </xdr:cNvPr>
            <xdr:cNvSpPr txBox="1"/>
          </xdr:nvSpPr>
          <xdr:spPr>
            <a:xfrm>
              <a:off x="3866029" y="5771029"/>
              <a:ext cx="1972236" cy="479747"/>
            </a:xfrm>
            <a:prstGeom prst="rect">
              <a:avLst/>
            </a:prstGeom>
          </xdr:spPr>
          <xdr:txBody>
            <a:bodyPr vertOverflow="clip" horzOverflow="clip" wrap="square">
              <a:spAutoFit/>
            </a:bodyPr>
            <a:lstStyle/>
            <a:p>
              <a:pPr/>
              <a14:m>
                <m:oMathPara xmlns:m="http://schemas.openxmlformats.org/officeDocument/2006/math">
                  <m:oMathParaPr>
                    <m:jc m:val="centerGroup"/>
                  </m:oMathParaPr>
                  <m:oMath xmlns:m="http://schemas.openxmlformats.org/officeDocument/2006/math">
                    <m:f>
                      <m:fPr>
                        <m:ctrlPr>
                          <a:rPr lang="it-IT" i="1">
                            <a:solidFill>
                              <a:srgbClr val="000000"/>
                            </a:solidFill>
                            <a:latin typeface="Cambria Math" panose="02040503050406030204" pitchFamily="18" charset="0"/>
                          </a:rPr>
                        </m:ctrlPr>
                      </m:fPr>
                      <m:num>
                        <m:sSup>
                          <m:sSupPr>
                            <m:ctrlPr>
                              <a:rPr lang="it-IT" i="1">
                                <a:solidFill>
                                  <a:srgbClr val="000000"/>
                                </a:solidFill>
                                <a:latin typeface="Cambria Math" panose="02040503050406030204" pitchFamily="18" charset="0"/>
                              </a:rPr>
                            </m:ctrlPr>
                          </m:sSupPr>
                          <m:e>
                            <m:r>
                              <a:rPr lang="it-IT" b="0" i="1">
                                <a:solidFill>
                                  <a:srgbClr val="000000"/>
                                </a:solidFill>
                                <a:latin typeface="Cambria Math" panose="02040503050406030204" pitchFamily="18" charset="0"/>
                              </a:rPr>
                              <m:t>𝑉𝑅𝐺</m:t>
                            </m:r>
                          </m:e>
                          <m:sup>
                            <m:r>
                              <a:rPr lang="it-IT" i="1">
                                <a:solidFill>
                                  <a:srgbClr val="000000"/>
                                </a:solidFill>
                                <a:latin typeface="Cambria Math" panose="02040503050406030204" pitchFamily="18" charset="0"/>
                              </a:rPr>
                              <m:t>2</m:t>
                            </m:r>
                            <m:r>
                              <a:rPr lang="it-IT" b="0" i="1">
                                <a:solidFill>
                                  <a:srgbClr val="000000"/>
                                </a:solidFill>
                                <a:latin typeface="Cambria Math" panose="02040503050406030204" pitchFamily="18" charset="0"/>
                              </a:rPr>
                              <m:t>022</m:t>
                            </m:r>
                          </m:sup>
                        </m:sSup>
                      </m:num>
                      <m:den>
                        <m:r>
                          <a:rPr lang="it-IT" b="0" i="1">
                            <a:solidFill>
                              <a:srgbClr val="000000"/>
                            </a:solidFill>
                            <a:latin typeface="Cambria Math" panose="02040503050406030204" pitchFamily="18" charset="0"/>
                          </a:rPr>
                          <m:t>𝑝𝑜𝑝</m:t>
                        </m:r>
                        <m:r>
                          <a:rPr lang="it-IT" b="0" i="1">
                            <a:solidFill>
                              <a:srgbClr val="000000"/>
                            </a:solidFill>
                            <a:latin typeface="Cambria Math" panose="02040503050406030204" pitchFamily="18" charset="0"/>
                          </a:rPr>
                          <m:t>+0,25</m:t>
                        </m:r>
                        <m:sSub>
                          <m:sSubPr>
                            <m:ctrlPr>
                              <a:rPr lang="it-IT" b="0" i="1">
                                <a:solidFill>
                                  <a:srgbClr val="000000"/>
                                </a:solidFill>
                                <a:latin typeface="Cambria Math" panose="02040503050406030204" pitchFamily="18" charset="0"/>
                              </a:rPr>
                            </m:ctrlPr>
                          </m:sSubPr>
                          <m:e>
                            <m:r>
                              <a:rPr lang="it-IT" b="0" i="1">
                                <a:solidFill>
                                  <a:srgbClr val="000000"/>
                                </a:solidFill>
                                <a:latin typeface="Cambria Math" panose="02040503050406030204" pitchFamily="18" charset="0"/>
                              </a:rPr>
                              <m:t>𝑝𝑜𝑝</m:t>
                            </m:r>
                          </m:e>
                          <m:sub>
                            <m:r>
                              <a:rPr lang="it-IT" b="0" i="1">
                                <a:solidFill>
                                  <a:srgbClr val="000000"/>
                                </a:solidFill>
                                <a:latin typeface="Cambria Math" panose="02040503050406030204" pitchFamily="18" charset="0"/>
                              </a:rPr>
                              <m:t>𝑓𝑙𝑢𝑡</m:t>
                            </m:r>
                          </m:sub>
                        </m:sSub>
                      </m:den>
                    </m:f>
                    <m:r>
                      <a:rPr lang="it-IT" i="1">
                        <a:solidFill>
                          <a:srgbClr val="000000"/>
                        </a:solidFill>
                        <a:latin typeface="Cambria Math" panose="02040503050406030204" pitchFamily="18" charset="0"/>
                      </a:rPr>
                      <m:t>≤</m:t>
                    </m:r>
                    <m:sSub>
                      <m:sSubPr>
                        <m:ctrlPr>
                          <a:rPr lang="it-IT" i="1">
                            <a:solidFill>
                              <a:srgbClr val="000000"/>
                            </a:solidFill>
                            <a:latin typeface="Cambria Math" panose="02040503050406030204" pitchFamily="18" charset="0"/>
                          </a:rPr>
                        </m:ctrlPr>
                      </m:sSubPr>
                      <m:e>
                        <m:r>
                          <a:rPr lang="it-IT" b="0" i="1">
                            <a:solidFill>
                              <a:srgbClr val="000000"/>
                            </a:solidFill>
                            <a:latin typeface="Cambria Math" panose="02040503050406030204" pitchFamily="18" charset="0"/>
                          </a:rPr>
                          <m:t>𝑉𝑅𝐺</m:t>
                        </m:r>
                      </m:e>
                      <m:sub>
                        <m:r>
                          <a:rPr lang="it-IT" b="0" i="1">
                            <a:solidFill>
                              <a:srgbClr val="000000"/>
                            </a:solidFill>
                            <a:latin typeface="Cambria Math" panose="02040503050406030204" pitchFamily="18" charset="0"/>
                          </a:rPr>
                          <m:t>𝑃𝑀</m:t>
                        </m:r>
                      </m:sub>
                    </m:sSub>
                  </m:oMath>
                </m:oMathPara>
              </a14:m>
              <a:endParaRPr lang="it-IT"/>
            </a:p>
          </xdr:txBody>
        </xdr:sp>
      </mc:Choice>
      <mc:Fallback xmlns="">
        <xdr:sp macro="" textlink="">
          <xdr:nvSpPr>
            <xdr:cNvPr id="3" name="Object 4">
              <a:extLst>
                <a:ext uri="{63B3BB69-23CF-44E3-9099-C40C66FF867C}">
                  <a14:compatExt xmlns:a14="http://schemas.microsoft.com/office/drawing/2010/main" spid="_x0000_s1028"/>
                </a:ext>
                <a:ext uri="{FF2B5EF4-FFF2-40B4-BE49-F238E27FC236}">
                  <a16:creationId xmlns:a16="http://schemas.microsoft.com/office/drawing/2014/main" id="{00000000-0008-0000-1F00-000003000000}"/>
                </a:ext>
              </a:extLst>
            </xdr:cNvPr>
            <xdr:cNvSpPr txBox="1"/>
          </xdr:nvSpPr>
          <xdr:spPr>
            <a:xfrm>
              <a:off x="3866029" y="5771029"/>
              <a:ext cx="1972236" cy="479747"/>
            </a:xfrm>
            <a:prstGeom prst="rect">
              <a:avLst/>
            </a:prstGeom>
          </xdr:spPr>
          <xdr:txBody>
            <a:bodyPr vertOverflow="clip" horzOverflow="clip" wrap="square">
              <a:spAutoFit/>
            </a:bodyPr>
            <a:lstStyle/>
            <a:p>
              <a:pP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a:t>
              </a:r>
              <a:r>
                <a:rPr lang="it-IT" i="0">
                  <a:solidFill>
                    <a:srgbClr val="000000"/>
                  </a:solidFill>
                  <a:latin typeface="Cambria Math" panose="02040503050406030204" pitchFamily="18" charset="0"/>
                </a:rPr>
                <a:t>2</a:t>
              </a:r>
              <a:r>
                <a:rPr lang="it-IT" b="0" i="0">
                  <a:solidFill>
                    <a:srgbClr val="000000"/>
                  </a:solidFill>
                  <a:latin typeface="Cambria Math" panose="02040503050406030204" pitchFamily="18" charset="0"/>
                </a:rPr>
                <a:t>022/(𝑝𝑜𝑝+0,25〖𝑝𝑜𝑝〗_𝑓𝑙𝑢𝑡 )</a:t>
              </a: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𝑉𝑅𝐺〗_𝑃𝑀</a:t>
              </a:r>
              <a:endParaRPr lang="it-IT"/>
            </a:p>
          </xdr:txBody>
        </xdr:sp>
      </mc:Fallback>
    </mc:AlternateContent>
    <xdr:clientData/>
  </xdr:twoCellAnchor>
  <xdr:twoCellAnchor>
    <xdr:from>
      <xdr:col>4</xdr:col>
      <xdr:colOff>96371</xdr:colOff>
      <xdr:row>26</xdr:row>
      <xdr:rowOff>51546</xdr:rowOff>
    </xdr:from>
    <xdr:to>
      <xdr:col>5</xdr:col>
      <xdr:colOff>1015254</xdr:colOff>
      <xdr:row>28</xdr:row>
      <xdr:rowOff>150293</xdr:rowOff>
    </xdr:to>
    <mc:AlternateContent xmlns:mc="http://schemas.openxmlformats.org/markup-compatibility/2006" xmlns:a14="http://schemas.microsoft.com/office/drawing/2010/main">
      <mc:Choice Requires="a14">
        <xdr:sp macro="" textlink="">
          <xdr:nvSpPr>
            <xdr:cNvPr id="7" name="Object 4">
              <a:extLst>
                <a:ext uri="{63B3BB69-23CF-44E3-9099-C40C66FF867C}">
                  <a14:compatExt spid="_x0000_s1028"/>
                </a:ext>
                <a:ext uri="{FF2B5EF4-FFF2-40B4-BE49-F238E27FC236}">
                  <a16:creationId xmlns:a16="http://schemas.microsoft.com/office/drawing/2014/main" id="{00000000-0008-0000-1D00-000007000000}"/>
                </a:ext>
              </a:extLst>
            </xdr:cNvPr>
            <xdr:cNvSpPr txBox="1"/>
          </xdr:nvSpPr>
          <xdr:spPr>
            <a:xfrm>
              <a:off x="5979459" y="5777752"/>
              <a:ext cx="1972236" cy="479747"/>
            </a:xfrm>
            <a:prstGeom prst="rect">
              <a:avLst/>
            </a:prstGeom>
          </xdr:spPr>
          <xdr:txBody>
            <a:bodyPr vertOverflow="clip" horzOverflow="clip" wrap="square">
              <a:spAutoFit/>
            </a:bodyPr>
            <a:lstStyle/>
            <a:p>
              <a:pPr/>
              <a14:m>
                <m:oMathPara xmlns:m="http://schemas.openxmlformats.org/officeDocument/2006/math">
                  <m:oMathParaPr>
                    <m:jc m:val="centerGroup"/>
                  </m:oMathParaPr>
                  <m:oMath xmlns:m="http://schemas.openxmlformats.org/officeDocument/2006/math">
                    <m:f>
                      <m:fPr>
                        <m:ctrlPr>
                          <a:rPr lang="it-IT" i="1">
                            <a:solidFill>
                              <a:srgbClr val="000000"/>
                            </a:solidFill>
                            <a:latin typeface="Cambria Math" panose="02040503050406030204" pitchFamily="18" charset="0"/>
                          </a:rPr>
                        </m:ctrlPr>
                      </m:fPr>
                      <m:num>
                        <m:sSup>
                          <m:sSupPr>
                            <m:ctrlPr>
                              <a:rPr lang="it-IT" i="1">
                                <a:solidFill>
                                  <a:srgbClr val="000000"/>
                                </a:solidFill>
                                <a:latin typeface="Cambria Math" panose="02040503050406030204" pitchFamily="18" charset="0"/>
                              </a:rPr>
                            </m:ctrlPr>
                          </m:sSupPr>
                          <m:e>
                            <m:r>
                              <a:rPr lang="it-IT" b="0" i="1">
                                <a:solidFill>
                                  <a:srgbClr val="000000"/>
                                </a:solidFill>
                                <a:latin typeface="Cambria Math" panose="02040503050406030204" pitchFamily="18" charset="0"/>
                              </a:rPr>
                              <m:t>𝑉𝑅𝐺</m:t>
                            </m:r>
                          </m:e>
                          <m:sup>
                            <m:r>
                              <a:rPr lang="it-IT" i="1">
                                <a:solidFill>
                                  <a:srgbClr val="000000"/>
                                </a:solidFill>
                                <a:latin typeface="Cambria Math" panose="02040503050406030204" pitchFamily="18" charset="0"/>
                              </a:rPr>
                              <m:t>2</m:t>
                            </m:r>
                            <m:r>
                              <a:rPr lang="it-IT" b="0" i="1">
                                <a:solidFill>
                                  <a:srgbClr val="000000"/>
                                </a:solidFill>
                                <a:latin typeface="Cambria Math" panose="02040503050406030204" pitchFamily="18" charset="0"/>
                              </a:rPr>
                              <m:t>022</m:t>
                            </m:r>
                          </m:sup>
                        </m:sSup>
                      </m:num>
                      <m:den>
                        <m:r>
                          <a:rPr lang="it-IT" b="0" i="1">
                            <a:solidFill>
                              <a:srgbClr val="000000"/>
                            </a:solidFill>
                            <a:latin typeface="Cambria Math" panose="02040503050406030204" pitchFamily="18" charset="0"/>
                          </a:rPr>
                          <m:t>𝑝𝑜𝑝</m:t>
                        </m:r>
                        <m:r>
                          <a:rPr lang="it-IT" b="0" i="1">
                            <a:solidFill>
                              <a:srgbClr val="000000"/>
                            </a:solidFill>
                            <a:latin typeface="Cambria Math" panose="02040503050406030204" pitchFamily="18" charset="0"/>
                          </a:rPr>
                          <m:t>+0,25</m:t>
                        </m:r>
                        <m:sSub>
                          <m:sSubPr>
                            <m:ctrlPr>
                              <a:rPr lang="it-IT" b="0" i="1">
                                <a:solidFill>
                                  <a:srgbClr val="000000"/>
                                </a:solidFill>
                                <a:latin typeface="Cambria Math" panose="02040503050406030204" pitchFamily="18" charset="0"/>
                              </a:rPr>
                            </m:ctrlPr>
                          </m:sSubPr>
                          <m:e>
                            <m:r>
                              <a:rPr lang="it-IT" b="0" i="1">
                                <a:solidFill>
                                  <a:srgbClr val="000000"/>
                                </a:solidFill>
                                <a:latin typeface="Cambria Math" panose="02040503050406030204" pitchFamily="18" charset="0"/>
                              </a:rPr>
                              <m:t>𝑝𝑜𝑝</m:t>
                            </m:r>
                          </m:e>
                          <m:sub>
                            <m:r>
                              <a:rPr lang="it-IT" b="0" i="1">
                                <a:solidFill>
                                  <a:srgbClr val="000000"/>
                                </a:solidFill>
                                <a:latin typeface="Cambria Math" panose="02040503050406030204" pitchFamily="18" charset="0"/>
                              </a:rPr>
                              <m:t>𝑓𝑙𝑢𝑡</m:t>
                            </m:r>
                          </m:sub>
                        </m:sSub>
                      </m:den>
                    </m:f>
                    <m:r>
                      <a:rPr lang="it-IT" b="0" i="1">
                        <a:solidFill>
                          <a:srgbClr val="000000"/>
                        </a:solidFill>
                        <a:latin typeface="Cambria Math" panose="02040503050406030204" pitchFamily="18" charset="0"/>
                      </a:rPr>
                      <m:t>&gt;</m:t>
                    </m:r>
                    <m:sSub>
                      <m:sSubPr>
                        <m:ctrlPr>
                          <a:rPr lang="it-IT" i="1">
                            <a:solidFill>
                              <a:srgbClr val="000000"/>
                            </a:solidFill>
                            <a:latin typeface="Cambria Math" panose="02040503050406030204" pitchFamily="18" charset="0"/>
                          </a:rPr>
                        </m:ctrlPr>
                      </m:sSubPr>
                      <m:e>
                        <m:r>
                          <a:rPr lang="it-IT" b="0" i="1">
                            <a:solidFill>
                              <a:srgbClr val="000000"/>
                            </a:solidFill>
                            <a:latin typeface="Cambria Math" panose="02040503050406030204" pitchFamily="18" charset="0"/>
                          </a:rPr>
                          <m:t>𝑉𝑅𝐺</m:t>
                        </m:r>
                      </m:e>
                      <m:sub>
                        <m:r>
                          <a:rPr lang="it-IT" b="0" i="1">
                            <a:solidFill>
                              <a:srgbClr val="000000"/>
                            </a:solidFill>
                            <a:latin typeface="Cambria Math" panose="02040503050406030204" pitchFamily="18" charset="0"/>
                          </a:rPr>
                          <m:t>𝑃𝑀</m:t>
                        </m:r>
                      </m:sub>
                    </m:sSub>
                  </m:oMath>
                </m:oMathPara>
              </a14:m>
              <a:endParaRPr lang="it-IT"/>
            </a:p>
          </xdr:txBody>
        </xdr:sp>
      </mc:Choice>
      <mc:Fallback xmlns="">
        <xdr:sp macro="" textlink="">
          <xdr:nvSpPr>
            <xdr:cNvPr id="7" name="Object 4">
              <a:extLst>
                <a:ext uri="{63B3BB69-23CF-44E3-9099-C40C66FF867C}">
                  <a14:compatExt xmlns:a14="http://schemas.microsoft.com/office/drawing/2010/main" spid="_x0000_s1028"/>
                </a:ext>
                <a:ext uri="{FF2B5EF4-FFF2-40B4-BE49-F238E27FC236}">
                  <a16:creationId xmlns:a16="http://schemas.microsoft.com/office/drawing/2014/main" id="{00000000-0008-0000-1F00-000007000000}"/>
                </a:ext>
              </a:extLst>
            </xdr:cNvPr>
            <xdr:cNvSpPr txBox="1"/>
          </xdr:nvSpPr>
          <xdr:spPr>
            <a:xfrm>
              <a:off x="5979459" y="5777752"/>
              <a:ext cx="1972236" cy="479747"/>
            </a:xfrm>
            <a:prstGeom prst="rect">
              <a:avLst/>
            </a:prstGeom>
          </xdr:spPr>
          <xdr:txBody>
            <a:bodyPr vertOverflow="clip" horzOverflow="clip" wrap="square">
              <a:spAutoFit/>
            </a:bodyPr>
            <a:lstStyle/>
            <a:p>
              <a:pP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a:t>
              </a:r>
              <a:r>
                <a:rPr lang="it-IT" i="0">
                  <a:solidFill>
                    <a:srgbClr val="000000"/>
                  </a:solidFill>
                  <a:latin typeface="Cambria Math" panose="02040503050406030204" pitchFamily="18" charset="0"/>
                </a:rPr>
                <a:t>2</a:t>
              </a:r>
              <a:r>
                <a:rPr lang="it-IT" b="0" i="0">
                  <a:solidFill>
                    <a:srgbClr val="000000"/>
                  </a:solidFill>
                  <a:latin typeface="Cambria Math" panose="02040503050406030204" pitchFamily="18" charset="0"/>
                </a:rPr>
                <a:t>022/(𝑝𝑜𝑝+0,25〖𝑝𝑜𝑝〗_𝑓𝑙𝑢𝑡 )&gt;</a:t>
              </a: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𝑉𝑅𝐺〗_𝑃𝑀</a:t>
              </a:r>
              <a:endParaRPr lang="it-IT"/>
            </a:p>
          </xdr:txBody>
        </xdr:sp>
      </mc:Fallback>
    </mc:AlternateContent>
    <xdr:clientData/>
  </xdr:twoCellAnchor>
  <xdr:twoCellAnchor>
    <xdr:from>
      <xdr:col>2</xdr:col>
      <xdr:colOff>10645</xdr:colOff>
      <xdr:row>30</xdr:row>
      <xdr:rowOff>146795</xdr:rowOff>
    </xdr:from>
    <xdr:to>
      <xdr:col>4</xdr:col>
      <xdr:colOff>95369</xdr:colOff>
      <xdr:row>33</xdr:row>
      <xdr:rowOff>275</xdr:rowOff>
    </xdr:to>
    <mc:AlternateContent xmlns:mc="http://schemas.openxmlformats.org/markup-compatibility/2006" xmlns:a14="http://schemas.microsoft.com/office/drawing/2010/main">
      <mc:Choice Requires="a14">
        <xdr:sp macro="" textlink="">
          <xdr:nvSpPr>
            <xdr:cNvPr id="4" name="Object 8">
              <a:extLst>
                <a:ext uri="{63B3BB69-23CF-44E3-9099-C40C66FF867C}">
                  <a14:compatExt spid="_x0000_s1032"/>
                </a:ext>
                <a:ext uri="{FF2B5EF4-FFF2-40B4-BE49-F238E27FC236}">
                  <a16:creationId xmlns:a16="http://schemas.microsoft.com/office/drawing/2014/main" id="{00000000-0008-0000-1D00-000004000000}"/>
                </a:ext>
              </a:extLst>
            </xdr:cNvPr>
            <xdr:cNvSpPr txBox="1"/>
          </xdr:nvSpPr>
          <xdr:spPr>
            <a:xfrm>
              <a:off x="3883398" y="7103407"/>
              <a:ext cx="2236253" cy="418256"/>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bg1">
                                <a:lumMod val="50000"/>
                              </a:schemeClr>
                            </a:solidFill>
                            <a:latin typeface="Cambria Math" panose="02040503050406030204" pitchFamily="18" charset="0"/>
                          </a:rPr>
                        </m:ctrlPr>
                      </m:fPr>
                      <m:num>
                        <m:sSup>
                          <m:sSupPr>
                            <m:ctrlPr>
                              <a:rPr lang="it-IT" i="1">
                                <a:solidFill>
                                  <a:schemeClr val="bg1">
                                    <a:lumMod val="50000"/>
                                  </a:schemeClr>
                                </a:solidFill>
                                <a:latin typeface="Cambria Math" panose="02040503050406030204" pitchFamily="18" charset="0"/>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b="0" i="1">
                                <a:solidFill>
                                  <a:schemeClr val="bg1">
                                    <a:lumMod val="50000"/>
                                  </a:schemeClr>
                                </a:solidFill>
                                <a:latin typeface="Cambria Math" panose="02040503050406030204" pitchFamily="18" charset="0"/>
                              </a:rPr>
                              <m:t>𝑎</m:t>
                            </m:r>
                          </m:sup>
                        </m:sSup>
                      </m:num>
                      <m:den>
                        <m:sSup>
                          <m:sSupPr>
                            <m:ctrlPr>
                              <a:rPr lang="it-IT" sz="1100" i="1">
                                <a:solidFill>
                                  <a:schemeClr val="bg1">
                                    <a:lumMod val="50000"/>
                                  </a:schemeClr>
                                </a:solidFill>
                                <a:effectLst/>
                                <a:latin typeface="Cambria Math" panose="02040503050406030204" pitchFamily="18" charset="0"/>
                                <a:ea typeface="+mn-ea"/>
                                <a:cs typeface="+mn-cs"/>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sz="1100" b="0" i="1">
                                <a:solidFill>
                                  <a:schemeClr val="bg1">
                                    <a:lumMod val="50000"/>
                                  </a:schemeClr>
                                </a:solidFill>
                                <a:effectLst/>
                                <a:latin typeface="Cambria Math" panose="02040503050406030204" pitchFamily="18" charset="0"/>
                                <a:ea typeface="+mn-ea"/>
                                <a:cs typeface="+mn-cs"/>
                              </a:rPr>
                              <m:t>𝑎</m:t>
                            </m:r>
                            <m:r>
                              <a:rPr lang="it-IT" sz="1100" b="0" i="1">
                                <a:solidFill>
                                  <a:schemeClr val="bg1">
                                    <a:lumMod val="50000"/>
                                  </a:schemeClr>
                                </a:solidFill>
                                <a:effectLst/>
                                <a:latin typeface="Cambria Math" panose="02040503050406030204" pitchFamily="18" charset="0"/>
                                <a:ea typeface="+mn-ea"/>
                                <a:cs typeface="+mn-cs"/>
                              </a:rPr>
                              <m:t>−1</m:t>
                            </m:r>
                          </m:sup>
                        </m:sSup>
                      </m:den>
                    </m:f>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1+</m:t>
                    </m:r>
                    <m:r>
                      <a:rPr lang="it-IT" b="0" i="1">
                        <a:solidFill>
                          <a:schemeClr val="bg1">
                            <a:lumMod val="50000"/>
                          </a:schemeClr>
                        </a:solidFill>
                        <a:latin typeface="Cambria Math" panose="02040503050406030204" pitchFamily="18" charset="0"/>
                      </a:rPr>
                      <m:t>𝑟𝑝𝑖</m:t>
                    </m:r>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1,25</m:t>
                    </m:r>
                    <m:r>
                      <a:rPr lang="it-IT" i="1">
                        <a:solidFill>
                          <a:schemeClr val="bg1">
                            <a:lumMod val="50000"/>
                          </a:schemeClr>
                        </a:solidFill>
                        <a:latin typeface="Cambria Math" panose="02040503050406030204" pitchFamily="18" charset="0"/>
                      </a:rPr>
                      <m:t>𝐾</m:t>
                    </m:r>
                    <m:r>
                      <a:rPr lang="it-IT" i="1">
                        <a:solidFill>
                          <a:schemeClr val="bg1">
                            <a:lumMod val="50000"/>
                          </a:schemeClr>
                        </a:solidFill>
                        <a:latin typeface="Cambria Math" panose="02040503050406030204" pitchFamily="18" charset="0"/>
                      </a:rPr>
                      <m:t>−1,5</m:t>
                    </m:r>
                    <m:r>
                      <a:rPr lang="it-IT" i="1">
                        <a:solidFill>
                          <a:schemeClr val="bg1">
                            <a:lumMod val="50000"/>
                          </a:schemeClr>
                        </a:solidFill>
                        <a:latin typeface="Cambria Math" panose="02040503050406030204" pitchFamily="18" charset="0"/>
                      </a:rPr>
                      <m:t>𝑋</m:t>
                    </m:r>
                    <m:r>
                      <a:rPr lang="it-IT" b="0" i="1">
                        <a:solidFill>
                          <a:schemeClr val="bg1">
                            <a:lumMod val="50000"/>
                          </a:schemeClr>
                        </a:solidFill>
                        <a:latin typeface="Cambria Math" panose="02040503050406030204" pitchFamily="18" charset="0"/>
                      </a:rPr>
                      <m:t>)</m:t>
                    </m:r>
                  </m:oMath>
                </m:oMathPara>
              </a14:m>
              <a:endParaRPr lang="it-IT">
                <a:solidFill>
                  <a:schemeClr val="bg1">
                    <a:lumMod val="50000"/>
                  </a:schemeClr>
                </a:solidFill>
              </a:endParaRPr>
            </a:p>
          </xdr:txBody>
        </xdr:sp>
      </mc:Choice>
      <mc:Fallback xmlns="">
        <xdr:sp macro="" textlink="">
          <xdr:nvSpPr>
            <xdr:cNvPr id="4" name="Object 8">
              <a:extLst>
                <a:ext uri="{63B3BB69-23CF-44E3-9099-C40C66FF867C}">
                  <a14:compatExt xmlns:a14="http://schemas.microsoft.com/office/drawing/2010/main" spid="_x0000_s1032"/>
                </a:ext>
                <a:ext uri="{FF2B5EF4-FFF2-40B4-BE49-F238E27FC236}">
                  <a16:creationId xmlns:a16="http://schemas.microsoft.com/office/drawing/2014/main" id="{00000000-0008-0000-1F00-000004000000}"/>
                </a:ext>
              </a:extLst>
            </xdr:cNvPr>
            <xdr:cNvSpPr txBox="1"/>
          </xdr:nvSpPr>
          <xdr:spPr>
            <a:xfrm>
              <a:off x="3883398" y="7103407"/>
              <a:ext cx="2236253" cy="418256"/>
            </a:xfrm>
            <a:prstGeom prst="rect">
              <a:avLst/>
            </a:prstGeom>
          </xdr:spPr>
          <xdr:txBody>
            <a:bodyPr vertOverflow="clip" horzOverflow="clip" wrap="none">
              <a:spAutoFit/>
            </a:bodyPr>
            <a:lstStyle/>
            <a:p>
              <a:pPr/>
              <a:r>
                <a:rPr lang="it-IT" sz="1100" i="0">
                  <a:solidFill>
                    <a:schemeClr val="bg1">
                      <a:lumMod val="50000"/>
                    </a:schemeClr>
                  </a:solidFill>
                  <a:effectLst/>
                  <a:latin typeface="Cambria Math" panose="02040503050406030204" pitchFamily="18" charset="0"/>
                  <a:ea typeface="+mn-ea"/>
                  <a:cs typeface="+mn-cs"/>
                </a:rPr>
                <a:t>𝜗^</a:t>
              </a:r>
              <a:r>
                <a:rPr lang="it-IT" b="0" i="0">
                  <a:solidFill>
                    <a:schemeClr val="bg1">
                      <a:lumMod val="50000"/>
                    </a:schemeClr>
                  </a:solidFill>
                  <a:latin typeface="Cambria Math" panose="02040503050406030204" pitchFamily="18" charset="0"/>
                </a:rPr>
                <a:t>𝑎/</a:t>
              </a:r>
              <a:r>
                <a:rPr lang="it-IT" sz="1100" i="0">
                  <a:solidFill>
                    <a:schemeClr val="bg1">
                      <a:lumMod val="50000"/>
                    </a:schemeClr>
                  </a:solidFill>
                  <a:effectLst/>
                  <a:latin typeface="Cambria Math" panose="02040503050406030204" pitchFamily="18" charset="0"/>
                  <a:ea typeface="+mn-ea"/>
                  <a:cs typeface="+mn-cs"/>
                </a:rPr>
                <a:t>𝜗^(</a:t>
              </a:r>
              <a:r>
                <a:rPr lang="it-IT" sz="1100" b="0" i="0">
                  <a:solidFill>
                    <a:schemeClr val="bg1">
                      <a:lumMod val="50000"/>
                    </a:schemeClr>
                  </a:solidFill>
                  <a:effectLst/>
                  <a:latin typeface="Cambria Math" panose="02040503050406030204" pitchFamily="18" charset="0"/>
                  <a:ea typeface="+mn-ea"/>
                  <a:cs typeface="+mn-cs"/>
                </a:rPr>
                <a:t>𝑎−1) </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a:t>
              </a:r>
              <a:r>
                <a:rPr lang="it-IT" i="0">
                  <a:solidFill>
                    <a:schemeClr val="bg1">
                      <a:lumMod val="50000"/>
                    </a:schemeClr>
                  </a:solidFill>
                  <a:latin typeface="Cambria Math" panose="02040503050406030204" pitchFamily="18" charset="0"/>
                </a:rPr>
                <a:t>1+</a:t>
              </a:r>
              <a:r>
                <a:rPr lang="it-IT" b="0" i="0">
                  <a:solidFill>
                    <a:schemeClr val="bg1">
                      <a:lumMod val="50000"/>
                    </a:schemeClr>
                  </a:solidFill>
                  <a:latin typeface="Cambria Math" panose="02040503050406030204" pitchFamily="18" charset="0"/>
                </a:rPr>
                <a:t>𝑟𝑝𝑖</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1,25</a:t>
              </a:r>
              <a:r>
                <a:rPr lang="it-IT" i="0">
                  <a:solidFill>
                    <a:schemeClr val="bg1">
                      <a:lumMod val="50000"/>
                    </a:schemeClr>
                  </a:solidFill>
                  <a:latin typeface="Cambria Math" panose="02040503050406030204" pitchFamily="18" charset="0"/>
                </a:rPr>
                <a:t>𝐾−</a:t>
              </a:r>
              <a:r>
                <a:rPr lang="it-IT" b="0" i="0">
                  <a:solidFill>
                    <a:schemeClr val="bg1">
                      <a:lumMod val="50000"/>
                    </a:schemeClr>
                  </a:solidFill>
                  <a:latin typeface="Cambria Math" panose="02040503050406030204" pitchFamily="18" charset="0"/>
                </a:rPr>
                <a:t>1,5</a:t>
              </a:r>
              <a:r>
                <a:rPr lang="it-IT" i="0">
                  <a:solidFill>
                    <a:schemeClr val="bg1">
                      <a:lumMod val="50000"/>
                    </a:schemeClr>
                  </a:solidFill>
                  <a:latin typeface="Cambria Math" panose="02040503050406030204" pitchFamily="18" charset="0"/>
                </a:rPr>
                <a:t>𝑋</a:t>
              </a:r>
              <a:r>
                <a:rPr lang="it-IT" b="0" i="0">
                  <a:solidFill>
                    <a:schemeClr val="bg1">
                      <a:lumMod val="50000"/>
                    </a:schemeClr>
                  </a:solidFill>
                  <a:latin typeface="Cambria Math" panose="02040503050406030204" pitchFamily="18" charset="0"/>
                </a:rPr>
                <a:t>)</a:t>
              </a:r>
              <a:endParaRPr lang="it-IT">
                <a:solidFill>
                  <a:schemeClr val="bg1">
                    <a:lumMod val="50000"/>
                  </a:schemeClr>
                </a:solidFill>
              </a:endParaRPr>
            </a:p>
          </xdr:txBody>
        </xdr:sp>
      </mc:Fallback>
    </mc:AlternateContent>
    <xdr:clientData/>
  </xdr:twoCellAnchor>
  <xdr:twoCellAnchor>
    <xdr:from>
      <xdr:col>4</xdr:col>
      <xdr:colOff>95809</xdr:colOff>
      <xdr:row>30</xdr:row>
      <xdr:rowOff>131107</xdr:rowOff>
    </xdr:from>
    <xdr:to>
      <xdr:col>6</xdr:col>
      <xdr:colOff>73516</xdr:colOff>
      <xdr:row>32</xdr:row>
      <xdr:rowOff>172846</xdr:rowOff>
    </xdr:to>
    <mc:AlternateContent xmlns:mc="http://schemas.openxmlformats.org/markup-compatibility/2006" xmlns:a14="http://schemas.microsoft.com/office/drawing/2010/main">
      <mc:Choice Requires="a14">
        <xdr:sp macro="" textlink="">
          <xdr:nvSpPr>
            <xdr:cNvPr id="9" name="Object 8">
              <a:extLst>
                <a:ext uri="{63B3BB69-23CF-44E3-9099-C40C66FF867C}">
                  <a14:compatExt spid="_x0000_s1032"/>
                </a:ext>
                <a:ext uri="{FF2B5EF4-FFF2-40B4-BE49-F238E27FC236}">
                  <a16:creationId xmlns:a16="http://schemas.microsoft.com/office/drawing/2014/main" id="{00000000-0008-0000-1D00-000009000000}"/>
                </a:ext>
              </a:extLst>
            </xdr:cNvPr>
            <xdr:cNvSpPr txBox="1"/>
          </xdr:nvSpPr>
          <xdr:spPr>
            <a:xfrm>
              <a:off x="6120091" y="7087719"/>
              <a:ext cx="2129237" cy="418256"/>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bg1">
                                <a:lumMod val="50000"/>
                              </a:schemeClr>
                            </a:solidFill>
                            <a:latin typeface="Cambria Math" panose="02040503050406030204" pitchFamily="18" charset="0"/>
                          </a:rPr>
                        </m:ctrlPr>
                      </m:fPr>
                      <m:num>
                        <m:sSup>
                          <m:sSupPr>
                            <m:ctrlPr>
                              <a:rPr lang="it-IT" i="1">
                                <a:solidFill>
                                  <a:schemeClr val="bg1">
                                    <a:lumMod val="50000"/>
                                  </a:schemeClr>
                                </a:solidFill>
                                <a:latin typeface="Cambria Math" panose="02040503050406030204" pitchFamily="18" charset="0"/>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b="0" i="1">
                                <a:solidFill>
                                  <a:schemeClr val="bg1">
                                    <a:lumMod val="50000"/>
                                  </a:schemeClr>
                                </a:solidFill>
                                <a:latin typeface="Cambria Math" panose="02040503050406030204" pitchFamily="18" charset="0"/>
                              </a:rPr>
                              <m:t>𝑎</m:t>
                            </m:r>
                          </m:sup>
                        </m:sSup>
                      </m:num>
                      <m:den>
                        <m:sSup>
                          <m:sSupPr>
                            <m:ctrlPr>
                              <a:rPr lang="it-IT" sz="1100" i="1">
                                <a:solidFill>
                                  <a:schemeClr val="bg1">
                                    <a:lumMod val="50000"/>
                                  </a:schemeClr>
                                </a:solidFill>
                                <a:effectLst/>
                                <a:latin typeface="Cambria Math" panose="02040503050406030204" pitchFamily="18" charset="0"/>
                                <a:ea typeface="+mn-ea"/>
                                <a:cs typeface="+mn-cs"/>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sz="1100" b="0" i="1">
                                <a:solidFill>
                                  <a:schemeClr val="bg1">
                                    <a:lumMod val="50000"/>
                                  </a:schemeClr>
                                </a:solidFill>
                                <a:effectLst/>
                                <a:latin typeface="Cambria Math" panose="02040503050406030204" pitchFamily="18" charset="0"/>
                                <a:ea typeface="+mn-ea"/>
                                <a:cs typeface="+mn-cs"/>
                              </a:rPr>
                              <m:t>𝑎</m:t>
                            </m:r>
                            <m:r>
                              <a:rPr lang="it-IT" sz="1100" b="0" i="1">
                                <a:solidFill>
                                  <a:schemeClr val="bg1">
                                    <a:lumMod val="50000"/>
                                  </a:schemeClr>
                                </a:solidFill>
                                <a:effectLst/>
                                <a:latin typeface="Cambria Math" panose="02040503050406030204" pitchFamily="18" charset="0"/>
                                <a:ea typeface="+mn-ea"/>
                                <a:cs typeface="+mn-cs"/>
                              </a:rPr>
                              <m:t>−1</m:t>
                            </m:r>
                          </m:sup>
                        </m:sSup>
                      </m:den>
                    </m:f>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1+</m:t>
                    </m:r>
                    <m:r>
                      <a:rPr lang="it-IT" b="0" i="1">
                        <a:solidFill>
                          <a:schemeClr val="bg1">
                            <a:lumMod val="50000"/>
                          </a:schemeClr>
                        </a:solidFill>
                        <a:latin typeface="Cambria Math" panose="02040503050406030204" pitchFamily="18" charset="0"/>
                      </a:rPr>
                      <m:t>𝑟𝑝𝑖</m:t>
                    </m:r>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1,25</m:t>
                    </m:r>
                    <m:r>
                      <a:rPr lang="it-IT" i="1">
                        <a:solidFill>
                          <a:schemeClr val="bg1">
                            <a:lumMod val="50000"/>
                          </a:schemeClr>
                        </a:solidFill>
                        <a:latin typeface="Cambria Math" panose="02040503050406030204" pitchFamily="18" charset="0"/>
                      </a:rPr>
                      <m:t>𝐾</m:t>
                    </m:r>
                    <m:r>
                      <a:rPr lang="it-IT" i="1">
                        <a:solidFill>
                          <a:schemeClr val="bg1">
                            <a:lumMod val="50000"/>
                          </a:schemeClr>
                        </a:solidFill>
                        <a:latin typeface="Cambria Math" panose="02040503050406030204" pitchFamily="18" charset="0"/>
                      </a:rPr>
                      <m:t>−2</m:t>
                    </m:r>
                    <m:r>
                      <a:rPr lang="it-IT" i="1">
                        <a:solidFill>
                          <a:schemeClr val="bg1">
                            <a:lumMod val="50000"/>
                          </a:schemeClr>
                        </a:solidFill>
                        <a:latin typeface="Cambria Math" panose="02040503050406030204" pitchFamily="18" charset="0"/>
                      </a:rPr>
                      <m:t>𝑋</m:t>
                    </m:r>
                    <m:r>
                      <a:rPr lang="it-IT" b="0" i="1">
                        <a:solidFill>
                          <a:schemeClr val="bg1">
                            <a:lumMod val="50000"/>
                          </a:schemeClr>
                        </a:solidFill>
                        <a:latin typeface="Cambria Math" panose="02040503050406030204" pitchFamily="18" charset="0"/>
                      </a:rPr>
                      <m:t>)</m:t>
                    </m:r>
                  </m:oMath>
                </m:oMathPara>
              </a14:m>
              <a:endParaRPr lang="it-IT">
                <a:solidFill>
                  <a:schemeClr val="bg1">
                    <a:lumMod val="50000"/>
                  </a:schemeClr>
                </a:solidFill>
              </a:endParaRPr>
            </a:p>
          </xdr:txBody>
        </xdr:sp>
      </mc:Choice>
      <mc:Fallback xmlns="">
        <xdr:sp macro="" textlink="">
          <xdr:nvSpPr>
            <xdr:cNvPr id="9" name="Object 8">
              <a:extLst>
                <a:ext uri="{63B3BB69-23CF-44E3-9099-C40C66FF867C}">
                  <a14:compatExt xmlns:a14="http://schemas.microsoft.com/office/drawing/2010/main" spid="_x0000_s1032"/>
                </a:ext>
                <a:ext uri="{FF2B5EF4-FFF2-40B4-BE49-F238E27FC236}">
                  <a16:creationId xmlns:a16="http://schemas.microsoft.com/office/drawing/2014/main" id="{00000000-0008-0000-1F00-000009000000}"/>
                </a:ext>
              </a:extLst>
            </xdr:cNvPr>
            <xdr:cNvSpPr txBox="1"/>
          </xdr:nvSpPr>
          <xdr:spPr>
            <a:xfrm>
              <a:off x="6120091" y="7087719"/>
              <a:ext cx="2129237" cy="418256"/>
            </a:xfrm>
            <a:prstGeom prst="rect">
              <a:avLst/>
            </a:prstGeom>
          </xdr:spPr>
          <xdr:txBody>
            <a:bodyPr vertOverflow="clip" horzOverflow="clip" wrap="none">
              <a:spAutoFit/>
            </a:bodyPr>
            <a:lstStyle/>
            <a:p>
              <a:pPr/>
              <a:r>
                <a:rPr lang="it-IT" sz="1100" i="0">
                  <a:solidFill>
                    <a:schemeClr val="bg1">
                      <a:lumMod val="50000"/>
                    </a:schemeClr>
                  </a:solidFill>
                  <a:effectLst/>
                  <a:latin typeface="Cambria Math" panose="02040503050406030204" pitchFamily="18" charset="0"/>
                  <a:ea typeface="+mn-ea"/>
                  <a:cs typeface="+mn-cs"/>
                </a:rPr>
                <a:t>𝜗^</a:t>
              </a:r>
              <a:r>
                <a:rPr lang="it-IT" b="0" i="0">
                  <a:solidFill>
                    <a:schemeClr val="bg1">
                      <a:lumMod val="50000"/>
                    </a:schemeClr>
                  </a:solidFill>
                  <a:latin typeface="Cambria Math" panose="02040503050406030204" pitchFamily="18" charset="0"/>
                </a:rPr>
                <a:t>𝑎/</a:t>
              </a:r>
              <a:r>
                <a:rPr lang="it-IT" sz="1100" i="0">
                  <a:solidFill>
                    <a:schemeClr val="bg1">
                      <a:lumMod val="50000"/>
                    </a:schemeClr>
                  </a:solidFill>
                  <a:effectLst/>
                  <a:latin typeface="Cambria Math" panose="02040503050406030204" pitchFamily="18" charset="0"/>
                  <a:ea typeface="+mn-ea"/>
                  <a:cs typeface="+mn-cs"/>
                </a:rPr>
                <a:t>𝜗^(</a:t>
              </a:r>
              <a:r>
                <a:rPr lang="it-IT" sz="1100" b="0" i="0">
                  <a:solidFill>
                    <a:schemeClr val="bg1">
                      <a:lumMod val="50000"/>
                    </a:schemeClr>
                  </a:solidFill>
                  <a:effectLst/>
                  <a:latin typeface="Cambria Math" panose="02040503050406030204" pitchFamily="18" charset="0"/>
                  <a:ea typeface="+mn-ea"/>
                  <a:cs typeface="+mn-cs"/>
                </a:rPr>
                <a:t>𝑎−1) </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a:t>
              </a:r>
              <a:r>
                <a:rPr lang="it-IT" i="0">
                  <a:solidFill>
                    <a:schemeClr val="bg1">
                      <a:lumMod val="50000"/>
                    </a:schemeClr>
                  </a:solidFill>
                  <a:latin typeface="Cambria Math" panose="02040503050406030204" pitchFamily="18" charset="0"/>
                </a:rPr>
                <a:t>1+</a:t>
              </a:r>
              <a:r>
                <a:rPr lang="it-IT" b="0" i="0">
                  <a:solidFill>
                    <a:schemeClr val="bg1">
                      <a:lumMod val="50000"/>
                    </a:schemeClr>
                  </a:solidFill>
                  <a:latin typeface="Cambria Math" panose="02040503050406030204" pitchFamily="18" charset="0"/>
                </a:rPr>
                <a:t>𝑟𝑝𝑖</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1,25</a:t>
              </a:r>
              <a:r>
                <a:rPr lang="it-IT" i="0">
                  <a:solidFill>
                    <a:schemeClr val="bg1">
                      <a:lumMod val="50000"/>
                    </a:schemeClr>
                  </a:solidFill>
                  <a:latin typeface="Cambria Math" panose="02040503050406030204" pitchFamily="18" charset="0"/>
                </a:rPr>
                <a:t>𝐾−2𝑋</a:t>
              </a:r>
              <a:r>
                <a:rPr lang="it-IT" b="0" i="0">
                  <a:solidFill>
                    <a:schemeClr val="bg1">
                      <a:lumMod val="50000"/>
                    </a:schemeClr>
                  </a:solidFill>
                  <a:latin typeface="Cambria Math" panose="02040503050406030204" pitchFamily="18" charset="0"/>
                </a:rPr>
                <a:t>)</a:t>
              </a:r>
              <a:endParaRPr lang="it-IT">
                <a:solidFill>
                  <a:schemeClr val="bg1">
                    <a:lumMod val="50000"/>
                  </a:schemeClr>
                </a:solidFill>
              </a:endParaRPr>
            </a:p>
          </xdr:txBody>
        </xdr:sp>
      </mc:Fallback>
    </mc:AlternateContent>
    <xdr:clientData/>
  </xdr:twoCellAnchor>
  <xdr:twoCellAnchor>
    <xdr:from>
      <xdr:col>6</xdr:col>
      <xdr:colOff>115981</xdr:colOff>
      <xdr:row>30</xdr:row>
      <xdr:rowOff>119902</xdr:rowOff>
    </xdr:from>
    <xdr:to>
      <xdr:col>8</xdr:col>
      <xdr:colOff>93688</xdr:colOff>
      <xdr:row>32</xdr:row>
      <xdr:rowOff>161641</xdr:rowOff>
    </xdr:to>
    <mc:AlternateContent xmlns:mc="http://schemas.openxmlformats.org/markup-compatibility/2006" xmlns:a14="http://schemas.microsoft.com/office/drawing/2010/main">
      <mc:Choice Requires="a14">
        <xdr:sp macro="" textlink="">
          <xdr:nvSpPr>
            <xdr:cNvPr id="11" name="Object 8">
              <a:extLst>
                <a:ext uri="{63B3BB69-23CF-44E3-9099-C40C66FF867C}">
                  <a14:compatExt spid="_x0000_s1032"/>
                </a:ext>
                <a:ext uri="{FF2B5EF4-FFF2-40B4-BE49-F238E27FC236}">
                  <a16:creationId xmlns:a16="http://schemas.microsoft.com/office/drawing/2014/main" id="{00000000-0008-0000-1D00-00000B000000}"/>
                </a:ext>
              </a:extLst>
            </xdr:cNvPr>
            <xdr:cNvSpPr txBox="1"/>
          </xdr:nvSpPr>
          <xdr:spPr>
            <a:xfrm>
              <a:off x="8291793" y="7076514"/>
              <a:ext cx="2129236" cy="418256"/>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bg1">
                                <a:lumMod val="50000"/>
                              </a:schemeClr>
                            </a:solidFill>
                            <a:latin typeface="Cambria Math" panose="02040503050406030204" pitchFamily="18" charset="0"/>
                          </a:rPr>
                        </m:ctrlPr>
                      </m:fPr>
                      <m:num>
                        <m:sSup>
                          <m:sSupPr>
                            <m:ctrlPr>
                              <a:rPr lang="it-IT" i="1">
                                <a:solidFill>
                                  <a:schemeClr val="bg1">
                                    <a:lumMod val="50000"/>
                                  </a:schemeClr>
                                </a:solidFill>
                                <a:latin typeface="Cambria Math" panose="02040503050406030204" pitchFamily="18" charset="0"/>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b="0" i="1">
                                <a:solidFill>
                                  <a:schemeClr val="bg1">
                                    <a:lumMod val="50000"/>
                                  </a:schemeClr>
                                </a:solidFill>
                                <a:latin typeface="Cambria Math" panose="02040503050406030204" pitchFamily="18" charset="0"/>
                              </a:rPr>
                              <m:t>𝑎</m:t>
                            </m:r>
                          </m:sup>
                        </m:sSup>
                      </m:num>
                      <m:den>
                        <m:sSup>
                          <m:sSupPr>
                            <m:ctrlPr>
                              <a:rPr lang="it-IT" sz="1100" i="1">
                                <a:solidFill>
                                  <a:schemeClr val="bg1">
                                    <a:lumMod val="50000"/>
                                  </a:schemeClr>
                                </a:solidFill>
                                <a:effectLst/>
                                <a:latin typeface="Cambria Math" panose="02040503050406030204" pitchFamily="18" charset="0"/>
                                <a:ea typeface="+mn-ea"/>
                                <a:cs typeface="+mn-cs"/>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sz="1100" b="0" i="1">
                                <a:solidFill>
                                  <a:schemeClr val="bg1">
                                    <a:lumMod val="50000"/>
                                  </a:schemeClr>
                                </a:solidFill>
                                <a:effectLst/>
                                <a:latin typeface="Cambria Math" panose="02040503050406030204" pitchFamily="18" charset="0"/>
                                <a:ea typeface="+mn-ea"/>
                                <a:cs typeface="+mn-cs"/>
                              </a:rPr>
                              <m:t>𝑎</m:t>
                            </m:r>
                            <m:r>
                              <a:rPr lang="it-IT" sz="1100" b="0" i="1">
                                <a:solidFill>
                                  <a:schemeClr val="bg1">
                                    <a:lumMod val="50000"/>
                                  </a:schemeClr>
                                </a:solidFill>
                                <a:effectLst/>
                                <a:latin typeface="Cambria Math" panose="02040503050406030204" pitchFamily="18" charset="0"/>
                                <a:ea typeface="+mn-ea"/>
                                <a:cs typeface="+mn-cs"/>
                              </a:rPr>
                              <m:t>−1</m:t>
                            </m:r>
                          </m:sup>
                        </m:sSup>
                      </m:den>
                    </m:f>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1+</m:t>
                    </m:r>
                    <m:r>
                      <a:rPr lang="it-IT" b="0" i="1">
                        <a:solidFill>
                          <a:schemeClr val="bg1">
                            <a:lumMod val="50000"/>
                          </a:schemeClr>
                        </a:solidFill>
                        <a:latin typeface="Cambria Math" panose="02040503050406030204" pitchFamily="18" charset="0"/>
                      </a:rPr>
                      <m:t>𝑟𝑝𝑖</m:t>
                    </m:r>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1,25</m:t>
                    </m:r>
                    <m:r>
                      <a:rPr lang="it-IT" i="1">
                        <a:solidFill>
                          <a:schemeClr val="bg1">
                            <a:lumMod val="50000"/>
                          </a:schemeClr>
                        </a:solidFill>
                        <a:latin typeface="Cambria Math" panose="02040503050406030204" pitchFamily="18" charset="0"/>
                      </a:rPr>
                      <m:t>𝐾</m:t>
                    </m:r>
                    <m:r>
                      <a:rPr lang="it-IT"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𝑋</m:t>
                    </m:r>
                    <m:r>
                      <a:rPr lang="it-IT" b="0" i="1">
                        <a:solidFill>
                          <a:schemeClr val="bg1">
                            <a:lumMod val="50000"/>
                          </a:schemeClr>
                        </a:solidFill>
                        <a:latin typeface="Cambria Math" panose="02040503050406030204" pitchFamily="18" charset="0"/>
                      </a:rPr>
                      <m:t>)</m:t>
                    </m:r>
                  </m:oMath>
                </m:oMathPara>
              </a14:m>
              <a:endParaRPr lang="it-IT">
                <a:solidFill>
                  <a:schemeClr val="bg1">
                    <a:lumMod val="50000"/>
                  </a:schemeClr>
                </a:solidFill>
              </a:endParaRPr>
            </a:p>
          </xdr:txBody>
        </xdr:sp>
      </mc:Choice>
      <mc:Fallback xmlns="">
        <xdr:sp macro="" textlink="">
          <xdr:nvSpPr>
            <xdr:cNvPr id="11" name="Object 8">
              <a:extLst>
                <a:ext uri="{63B3BB69-23CF-44E3-9099-C40C66FF867C}">
                  <a14:compatExt xmlns:a14="http://schemas.microsoft.com/office/drawing/2010/main" spid="_x0000_s1032"/>
                </a:ext>
                <a:ext uri="{FF2B5EF4-FFF2-40B4-BE49-F238E27FC236}">
                  <a16:creationId xmlns:a16="http://schemas.microsoft.com/office/drawing/2014/main" id="{00000000-0008-0000-1F00-00000B000000}"/>
                </a:ext>
              </a:extLst>
            </xdr:cNvPr>
            <xdr:cNvSpPr txBox="1"/>
          </xdr:nvSpPr>
          <xdr:spPr>
            <a:xfrm>
              <a:off x="8291793" y="7076514"/>
              <a:ext cx="2129236" cy="418256"/>
            </a:xfrm>
            <a:prstGeom prst="rect">
              <a:avLst/>
            </a:prstGeom>
          </xdr:spPr>
          <xdr:txBody>
            <a:bodyPr vertOverflow="clip" horzOverflow="clip" wrap="none">
              <a:spAutoFit/>
            </a:bodyPr>
            <a:lstStyle/>
            <a:p>
              <a:pPr/>
              <a:r>
                <a:rPr lang="it-IT" sz="1100" i="0">
                  <a:solidFill>
                    <a:schemeClr val="bg1">
                      <a:lumMod val="50000"/>
                    </a:schemeClr>
                  </a:solidFill>
                  <a:effectLst/>
                  <a:latin typeface="Cambria Math" panose="02040503050406030204" pitchFamily="18" charset="0"/>
                  <a:ea typeface="+mn-ea"/>
                  <a:cs typeface="+mn-cs"/>
                </a:rPr>
                <a:t>𝜗^</a:t>
              </a:r>
              <a:r>
                <a:rPr lang="it-IT" b="0" i="0">
                  <a:solidFill>
                    <a:schemeClr val="bg1">
                      <a:lumMod val="50000"/>
                    </a:schemeClr>
                  </a:solidFill>
                  <a:latin typeface="Cambria Math" panose="02040503050406030204" pitchFamily="18" charset="0"/>
                </a:rPr>
                <a:t>𝑎/</a:t>
              </a:r>
              <a:r>
                <a:rPr lang="it-IT" sz="1100" i="0">
                  <a:solidFill>
                    <a:schemeClr val="bg1">
                      <a:lumMod val="50000"/>
                    </a:schemeClr>
                  </a:solidFill>
                  <a:effectLst/>
                  <a:latin typeface="Cambria Math" panose="02040503050406030204" pitchFamily="18" charset="0"/>
                  <a:ea typeface="+mn-ea"/>
                  <a:cs typeface="+mn-cs"/>
                </a:rPr>
                <a:t>𝜗^(</a:t>
              </a:r>
              <a:r>
                <a:rPr lang="it-IT" sz="1100" b="0" i="0">
                  <a:solidFill>
                    <a:schemeClr val="bg1">
                      <a:lumMod val="50000"/>
                    </a:schemeClr>
                  </a:solidFill>
                  <a:effectLst/>
                  <a:latin typeface="Cambria Math" panose="02040503050406030204" pitchFamily="18" charset="0"/>
                  <a:ea typeface="+mn-ea"/>
                  <a:cs typeface="+mn-cs"/>
                </a:rPr>
                <a:t>𝑎−1) </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a:t>
              </a:r>
              <a:r>
                <a:rPr lang="it-IT" i="0">
                  <a:solidFill>
                    <a:schemeClr val="bg1">
                      <a:lumMod val="50000"/>
                    </a:schemeClr>
                  </a:solidFill>
                  <a:latin typeface="Cambria Math" panose="02040503050406030204" pitchFamily="18" charset="0"/>
                </a:rPr>
                <a:t>1+</a:t>
              </a:r>
              <a:r>
                <a:rPr lang="it-IT" b="0" i="0">
                  <a:solidFill>
                    <a:schemeClr val="bg1">
                      <a:lumMod val="50000"/>
                    </a:schemeClr>
                  </a:solidFill>
                  <a:latin typeface="Cambria Math" panose="02040503050406030204" pitchFamily="18" charset="0"/>
                </a:rPr>
                <a:t>𝑟𝑝𝑖</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1,25</a:t>
              </a:r>
              <a:r>
                <a:rPr lang="it-IT" i="0">
                  <a:solidFill>
                    <a:schemeClr val="bg1">
                      <a:lumMod val="50000"/>
                    </a:schemeClr>
                  </a:solidFill>
                  <a:latin typeface="Cambria Math" panose="02040503050406030204" pitchFamily="18" charset="0"/>
                </a:rPr>
                <a:t>𝐾−𝑋</a:t>
              </a:r>
              <a:r>
                <a:rPr lang="it-IT" b="0" i="0">
                  <a:solidFill>
                    <a:schemeClr val="bg1">
                      <a:lumMod val="50000"/>
                    </a:schemeClr>
                  </a:solidFill>
                  <a:latin typeface="Cambria Math" panose="02040503050406030204" pitchFamily="18" charset="0"/>
                </a:rPr>
                <a:t>)</a:t>
              </a:r>
              <a:endParaRPr lang="it-IT">
                <a:solidFill>
                  <a:schemeClr val="bg1">
                    <a:lumMod val="50000"/>
                  </a:schemeClr>
                </a:solidFill>
              </a:endParaRPr>
            </a:p>
          </xdr:txBody>
        </xdr:sp>
      </mc:Fallback>
    </mc:AlternateContent>
    <xdr:clientData/>
  </xdr:twoCellAnchor>
  <xdr:twoCellAnchor>
    <xdr:from>
      <xdr:col>2</xdr:col>
      <xdr:colOff>17926</xdr:colOff>
      <xdr:row>34</xdr:row>
      <xdr:rowOff>123265</xdr:rowOff>
    </xdr:from>
    <xdr:to>
      <xdr:col>4</xdr:col>
      <xdr:colOff>102650</xdr:colOff>
      <xdr:row>36</xdr:row>
      <xdr:rowOff>165003</xdr:rowOff>
    </xdr:to>
    <mc:AlternateContent xmlns:mc="http://schemas.openxmlformats.org/markup-compatibility/2006" xmlns:a14="http://schemas.microsoft.com/office/drawing/2010/main">
      <mc:Choice Requires="a14">
        <xdr:sp macro="" textlink="">
          <xdr:nvSpPr>
            <xdr:cNvPr id="12" name="Object 8">
              <a:extLst>
                <a:ext uri="{63B3BB69-23CF-44E3-9099-C40C66FF867C}">
                  <a14:compatExt spid="_x0000_s1032"/>
                </a:ext>
                <a:ext uri="{FF2B5EF4-FFF2-40B4-BE49-F238E27FC236}">
                  <a16:creationId xmlns:a16="http://schemas.microsoft.com/office/drawing/2014/main" id="{00000000-0008-0000-1D00-00000C000000}"/>
                </a:ext>
              </a:extLst>
            </xdr:cNvPr>
            <xdr:cNvSpPr txBox="1"/>
          </xdr:nvSpPr>
          <xdr:spPr>
            <a:xfrm>
              <a:off x="3890679" y="7832912"/>
              <a:ext cx="2236253" cy="418256"/>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bg1">
                                <a:lumMod val="50000"/>
                              </a:schemeClr>
                            </a:solidFill>
                            <a:latin typeface="Cambria Math" panose="02040503050406030204" pitchFamily="18" charset="0"/>
                          </a:rPr>
                        </m:ctrlPr>
                      </m:fPr>
                      <m:num>
                        <m:sSup>
                          <m:sSupPr>
                            <m:ctrlPr>
                              <a:rPr lang="it-IT" i="1">
                                <a:solidFill>
                                  <a:schemeClr val="bg1">
                                    <a:lumMod val="50000"/>
                                  </a:schemeClr>
                                </a:solidFill>
                                <a:latin typeface="Cambria Math" panose="02040503050406030204" pitchFamily="18" charset="0"/>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b="0" i="1">
                                <a:solidFill>
                                  <a:schemeClr val="bg1">
                                    <a:lumMod val="50000"/>
                                  </a:schemeClr>
                                </a:solidFill>
                                <a:latin typeface="Cambria Math" panose="02040503050406030204" pitchFamily="18" charset="0"/>
                              </a:rPr>
                              <m:t>𝑎</m:t>
                            </m:r>
                          </m:sup>
                        </m:sSup>
                      </m:num>
                      <m:den>
                        <m:sSup>
                          <m:sSupPr>
                            <m:ctrlPr>
                              <a:rPr lang="it-IT" sz="1100" i="1">
                                <a:solidFill>
                                  <a:schemeClr val="bg1">
                                    <a:lumMod val="50000"/>
                                  </a:schemeClr>
                                </a:solidFill>
                                <a:effectLst/>
                                <a:latin typeface="Cambria Math" panose="02040503050406030204" pitchFamily="18" charset="0"/>
                                <a:ea typeface="+mn-ea"/>
                                <a:cs typeface="+mn-cs"/>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sz="1100" b="0" i="1">
                                <a:solidFill>
                                  <a:schemeClr val="bg1">
                                    <a:lumMod val="50000"/>
                                  </a:schemeClr>
                                </a:solidFill>
                                <a:effectLst/>
                                <a:latin typeface="Cambria Math" panose="02040503050406030204" pitchFamily="18" charset="0"/>
                                <a:ea typeface="+mn-ea"/>
                                <a:cs typeface="+mn-cs"/>
                              </a:rPr>
                              <m:t>𝑎</m:t>
                            </m:r>
                            <m:r>
                              <a:rPr lang="it-IT" sz="1100" b="0" i="1">
                                <a:solidFill>
                                  <a:schemeClr val="bg1">
                                    <a:lumMod val="50000"/>
                                  </a:schemeClr>
                                </a:solidFill>
                                <a:effectLst/>
                                <a:latin typeface="Cambria Math" panose="02040503050406030204" pitchFamily="18" charset="0"/>
                                <a:ea typeface="+mn-ea"/>
                                <a:cs typeface="+mn-cs"/>
                              </a:rPr>
                              <m:t>−1</m:t>
                            </m:r>
                          </m:sup>
                        </m:sSup>
                      </m:den>
                    </m:f>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1+</m:t>
                    </m:r>
                    <m:r>
                      <a:rPr lang="it-IT" b="0" i="1">
                        <a:solidFill>
                          <a:schemeClr val="bg1">
                            <a:lumMod val="50000"/>
                          </a:schemeClr>
                        </a:solidFill>
                        <a:latin typeface="Cambria Math" panose="02040503050406030204" pitchFamily="18" charset="0"/>
                      </a:rPr>
                      <m:t>𝑟𝑝𝑖</m:t>
                    </m:r>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1,75</m:t>
                    </m:r>
                    <m:r>
                      <a:rPr lang="it-IT" i="1">
                        <a:solidFill>
                          <a:schemeClr val="bg1">
                            <a:lumMod val="50000"/>
                          </a:schemeClr>
                        </a:solidFill>
                        <a:latin typeface="Cambria Math" panose="02040503050406030204" pitchFamily="18" charset="0"/>
                      </a:rPr>
                      <m:t>𝐾</m:t>
                    </m:r>
                    <m:r>
                      <a:rPr lang="it-IT" i="1">
                        <a:solidFill>
                          <a:schemeClr val="bg1">
                            <a:lumMod val="50000"/>
                          </a:schemeClr>
                        </a:solidFill>
                        <a:latin typeface="Cambria Math" panose="02040503050406030204" pitchFamily="18" charset="0"/>
                      </a:rPr>
                      <m:t>−1,5</m:t>
                    </m:r>
                    <m:r>
                      <a:rPr lang="it-IT" i="1">
                        <a:solidFill>
                          <a:schemeClr val="bg1">
                            <a:lumMod val="50000"/>
                          </a:schemeClr>
                        </a:solidFill>
                        <a:latin typeface="Cambria Math" panose="02040503050406030204" pitchFamily="18" charset="0"/>
                      </a:rPr>
                      <m:t>𝑋</m:t>
                    </m:r>
                    <m:r>
                      <a:rPr lang="it-IT" b="0" i="1">
                        <a:solidFill>
                          <a:schemeClr val="bg1">
                            <a:lumMod val="50000"/>
                          </a:schemeClr>
                        </a:solidFill>
                        <a:latin typeface="Cambria Math" panose="02040503050406030204" pitchFamily="18" charset="0"/>
                      </a:rPr>
                      <m:t>)</m:t>
                    </m:r>
                  </m:oMath>
                </m:oMathPara>
              </a14:m>
              <a:endParaRPr lang="it-IT">
                <a:solidFill>
                  <a:schemeClr val="bg1">
                    <a:lumMod val="50000"/>
                  </a:schemeClr>
                </a:solidFill>
              </a:endParaRPr>
            </a:p>
          </xdr:txBody>
        </xdr:sp>
      </mc:Choice>
      <mc:Fallback xmlns="">
        <xdr:sp macro="" textlink="">
          <xdr:nvSpPr>
            <xdr:cNvPr id="12" name="Object 8">
              <a:extLst>
                <a:ext uri="{63B3BB69-23CF-44E3-9099-C40C66FF867C}">
                  <a14:compatExt xmlns:a14="http://schemas.microsoft.com/office/drawing/2010/main" spid="_x0000_s1032"/>
                </a:ext>
                <a:ext uri="{FF2B5EF4-FFF2-40B4-BE49-F238E27FC236}">
                  <a16:creationId xmlns:a16="http://schemas.microsoft.com/office/drawing/2014/main" id="{00000000-0008-0000-1F00-00000C000000}"/>
                </a:ext>
              </a:extLst>
            </xdr:cNvPr>
            <xdr:cNvSpPr txBox="1"/>
          </xdr:nvSpPr>
          <xdr:spPr>
            <a:xfrm>
              <a:off x="3890679" y="7832912"/>
              <a:ext cx="2236253" cy="418256"/>
            </a:xfrm>
            <a:prstGeom prst="rect">
              <a:avLst/>
            </a:prstGeom>
          </xdr:spPr>
          <xdr:txBody>
            <a:bodyPr vertOverflow="clip" horzOverflow="clip" wrap="none">
              <a:spAutoFit/>
            </a:bodyPr>
            <a:lstStyle/>
            <a:p>
              <a:pPr/>
              <a:r>
                <a:rPr lang="it-IT" sz="1100" i="0">
                  <a:solidFill>
                    <a:schemeClr val="bg1">
                      <a:lumMod val="50000"/>
                    </a:schemeClr>
                  </a:solidFill>
                  <a:effectLst/>
                  <a:latin typeface="Cambria Math" panose="02040503050406030204" pitchFamily="18" charset="0"/>
                  <a:ea typeface="+mn-ea"/>
                  <a:cs typeface="+mn-cs"/>
                </a:rPr>
                <a:t>𝜗^</a:t>
              </a:r>
              <a:r>
                <a:rPr lang="it-IT" b="0" i="0">
                  <a:solidFill>
                    <a:schemeClr val="bg1">
                      <a:lumMod val="50000"/>
                    </a:schemeClr>
                  </a:solidFill>
                  <a:latin typeface="Cambria Math" panose="02040503050406030204" pitchFamily="18" charset="0"/>
                </a:rPr>
                <a:t>𝑎/</a:t>
              </a:r>
              <a:r>
                <a:rPr lang="it-IT" sz="1100" i="0">
                  <a:solidFill>
                    <a:schemeClr val="bg1">
                      <a:lumMod val="50000"/>
                    </a:schemeClr>
                  </a:solidFill>
                  <a:effectLst/>
                  <a:latin typeface="Cambria Math" panose="02040503050406030204" pitchFamily="18" charset="0"/>
                  <a:ea typeface="+mn-ea"/>
                  <a:cs typeface="+mn-cs"/>
                </a:rPr>
                <a:t>𝜗^(</a:t>
              </a:r>
              <a:r>
                <a:rPr lang="it-IT" sz="1100" b="0" i="0">
                  <a:solidFill>
                    <a:schemeClr val="bg1">
                      <a:lumMod val="50000"/>
                    </a:schemeClr>
                  </a:solidFill>
                  <a:effectLst/>
                  <a:latin typeface="Cambria Math" panose="02040503050406030204" pitchFamily="18" charset="0"/>
                  <a:ea typeface="+mn-ea"/>
                  <a:cs typeface="+mn-cs"/>
                </a:rPr>
                <a:t>𝑎−1) </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a:t>
              </a:r>
              <a:r>
                <a:rPr lang="it-IT" i="0">
                  <a:solidFill>
                    <a:schemeClr val="bg1">
                      <a:lumMod val="50000"/>
                    </a:schemeClr>
                  </a:solidFill>
                  <a:latin typeface="Cambria Math" panose="02040503050406030204" pitchFamily="18" charset="0"/>
                </a:rPr>
                <a:t>1+</a:t>
              </a:r>
              <a:r>
                <a:rPr lang="it-IT" b="0" i="0">
                  <a:solidFill>
                    <a:schemeClr val="bg1">
                      <a:lumMod val="50000"/>
                    </a:schemeClr>
                  </a:solidFill>
                  <a:latin typeface="Cambria Math" panose="02040503050406030204" pitchFamily="18" charset="0"/>
                </a:rPr>
                <a:t>𝑟𝑝𝑖</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1,75</a:t>
              </a:r>
              <a:r>
                <a:rPr lang="it-IT" i="0">
                  <a:solidFill>
                    <a:schemeClr val="bg1">
                      <a:lumMod val="50000"/>
                    </a:schemeClr>
                  </a:solidFill>
                  <a:latin typeface="Cambria Math" panose="02040503050406030204" pitchFamily="18" charset="0"/>
                </a:rPr>
                <a:t>𝐾−</a:t>
              </a:r>
              <a:r>
                <a:rPr lang="it-IT" b="0" i="0">
                  <a:solidFill>
                    <a:schemeClr val="bg1">
                      <a:lumMod val="50000"/>
                    </a:schemeClr>
                  </a:solidFill>
                  <a:latin typeface="Cambria Math" panose="02040503050406030204" pitchFamily="18" charset="0"/>
                </a:rPr>
                <a:t>1,5</a:t>
              </a:r>
              <a:r>
                <a:rPr lang="it-IT" i="0">
                  <a:solidFill>
                    <a:schemeClr val="bg1">
                      <a:lumMod val="50000"/>
                    </a:schemeClr>
                  </a:solidFill>
                  <a:latin typeface="Cambria Math" panose="02040503050406030204" pitchFamily="18" charset="0"/>
                </a:rPr>
                <a:t>𝑋</a:t>
              </a:r>
              <a:r>
                <a:rPr lang="it-IT" b="0" i="0">
                  <a:solidFill>
                    <a:schemeClr val="bg1">
                      <a:lumMod val="50000"/>
                    </a:schemeClr>
                  </a:solidFill>
                  <a:latin typeface="Cambria Math" panose="02040503050406030204" pitchFamily="18" charset="0"/>
                </a:rPr>
                <a:t>)</a:t>
              </a:r>
              <a:endParaRPr lang="it-IT">
                <a:solidFill>
                  <a:schemeClr val="bg1">
                    <a:lumMod val="50000"/>
                  </a:schemeClr>
                </a:solidFill>
              </a:endParaRPr>
            </a:p>
          </xdr:txBody>
        </xdr:sp>
      </mc:Fallback>
    </mc:AlternateContent>
    <xdr:clientData/>
  </xdr:twoCellAnchor>
  <xdr:twoCellAnchor>
    <xdr:from>
      <xdr:col>4</xdr:col>
      <xdr:colOff>44822</xdr:colOff>
      <xdr:row>34</xdr:row>
      <xdr:rowOff>112059</xdr:rowOff>
    </xdr:from>
    <xdr:to>
      <xdr:col>6</xdr:col>
      <xdr:colOff>22529</xdr:colOff>
      <xdr:row>36</xdr:row>
      <xdr:rowOff>153797</xdr:rowOff>
    </xdr:to>
    <mc:AlternateContent xmlns:mc="http://schemas.openxmlformats.org/markup-compatibility/2006" xmlns:a14="http://schemas.microsoft.com/office/drawing/2010/main">
      <mc:Choice Requires="a14">
        <xdr:sp macro="" textlink="">
          <xdr:nvSpPr>
            <xdr:cNvPr id="13" name="Object 8">
              <a:extLst>
                <a:ext uri="{63B3BB69-23CF-44E3-9099-C40C66FF867C}">
                  <a14:compatExt spid="_x0000_s1032"/>
                </a:ext>
                <a:ext uri="{FF2B5EF4-FFF2-40B4-BE49-F238E27FC236}">
                  <a16:creationId xmlns:a16="http://schemas.microsoft.com/office/drawing/2014/main" id="{00000000-0008-0000-1D00-00000D000000}"/>
                </a:ext>
              </a:extLst>
            </xdr:cNvPr>
            <xdr:cNvSpPr txBox="1"/>
          </xdr:nvSpPr>
          <xdr:spPr>
            <a:xfrm>
              <a:off x="6069104" y="7821706"/>
              <a:ext cx="2129237" cy="418256"/>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bg1">
                                <a:lumMod val="50000"/>
                              </a:schemeClr>
                            </a:solidFill>
                            <a:latin typeface="Cambria Math" panose="02040503050406030204" pitchFamily="18" charset="0"/>
                          </a:rPr>
                        </m:ctrlPr>
                      </m:fPr>
                      <m:num>
                        <m:sSup>
                          <m:sSupPr>
                            <m:ctrlPr>
                              <a:rPr lang="it-IT" i="1">
                                <a:solidFill>
                                  <a:schemeClr val="bg1">
                                    <a:lumMod val="50000"/>
                                  </a:schemeClr>
                                </a:solidFill>
                                <a:latin typeface="Cambria Math" panose="02040503050406030204" pitchFamily="18" charset="0"/>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b="0" i="1">
                                <a:solidFill>
                                  <a:schemeClr val="bg1">
                                    <a:lumMod val="50000"/>
                                  </a:schemeClr>
                                </a:solidFill>
                                <a:latin typeface="Cambria Math" panose="02040503050406030204" pitchFamily="18" charset="0"/>
                              </a:rPr>
                              <m:t>𝑎</m:t>
                            </m:r>
                          </m:sup>
                        </m:sSup>
                      </m:num>
                      <m:den>
                        <m:sSup>
                          <m:sSupPr>
                            <m:ctrlPr>
                              <a:rPr lang="it-IT" sz="1100" i="1">
                                <a:solidFill>
                                  <a:schemeClr val="bg1">
                                    <a:lumMod val="50000"/>
                                  </a:schemeClr>
                                </a:solidFill>
                                <a:effectLst/>
                                <a:latin typeface="Cambria Math" panose="02040503050406030204" pitchFamily="18" charset="0"/>
                                <a:ea typeface="+mn-ea"/>
                                <a:cs typeface="+mn-cs"/>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sz="1100" b="0" i="1">
                                <a:solidFill>
                                  <a:schemeClr val="bg1">
                                    <a:lumMod val="50000"/>
                                  </a:schemeClr>
                                </a:solidFill>
                                <a:effectLst/>
                                <a:latin typeface="Cambria Math" panose="02040503050406030204" pitchFamily="18" charset="0"/>
                                <a:ea typeface="+mn-ea"/>
                                <a:cs typeface="+mn-cs"/>
                              </a:rPr>
                              <m:t>𝑎</m:t>
                            </m:r>
                            <m:r>
                              <a:rPr lang="it-IT" sz="1100" b="0" i="1">
                                <a:solidFill>
                                  <a:schemeClr val="bg1">
                                    <a:lumMod val="50000"/>
                                  </a:schemeClr>
                                </a:solidFill>
                                <a:effectLst/>
                                <a:latin typeface="Cambria Math" panose="02040503050406030204" pitchFamily="18" charset="0"/>
                                <a:ea typeface="+mn-ea"/>
                                <a:cs typeface="+mn-cs"/>
                              </a:rPr>
                              <m:t>−1</m:t>
                            </m:r>
                          </m:sup>
                        </m:sSup>
                      </m:den>
                    </m:f>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1+</m:t>
                    </m:r>
                    <m:r>
                      <a:rPr lang="it-IT" b="0" i="1">
                        <a:solidFill>
                          <a:schemeClr val="bg1">
                            <a:lumMod val="50000"/>
                          </a:schemeClr>
                        </a:solidFill>
                        <a:latin typeface="Cambria Math" panose="02040503050406030204" pitchFamily="18" charset="0"/>
                      </a:rPr>
                      <m:t>𝑟𝑝𝑖</m:t>
                    </m:r>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1,75</m:t>
                    </m:r>
                    <m:r>
                      <a:rPr lang="it-IT" i="1">
                        <a:solidFill>
                          <a:schemeClr val="bg1">
                            <a:lumMod val="50000"/>
                          </a:schemeClr>
                        </a:solidFill>
                        <a:latin typeface="Cambria Math" panose="02040503050406030204" pitchFamily="18" charset="0"/>
                      </a:rPr>
                      <m:t>𝐾</m:t>
                    </m:r>
                    <m:r>
                      <a:rPr lang="it-IT" i="1">
                        <a:solidFill>
                          <a:schemeClr val="bg1">
                            <a:lumMod val="50000"/>
                          </a:schemeClr>
                        </a:solidFill>
                        <a:latin typeface="Cambria Math" panose="02040503050406030204" pitchFamily="18" charset="0"/>
                      </a:rPr>
                      <m:t>−2</m:t>
                    </m:r>
                    <m:r>
                      <a:rPr lang="it-IT" i="1">
                        <a:solidFill>
                          <a:schemeClr val="bg1">
                            <a:lumMod val="50000"/>
                          </a:schemeClr>
                        </a:solidFill>
                        <a:latin typeface="Cambria Math" panose="02040503050406030204" pitchFamily="18" charset="0"/>
                      </a:rPr>
                      <m:t>𝑋</m:t>
                    </m:r>
                    <m:r>
                      <a:rPr lang="it-IT" b="0" i="1">
                        <a:solidFill>
                          <a:schemeClr val="bg1">
                            <a:lumMod val="50000"/>
                          </a:schemeClr>
                        </a:solidFill>
                        <a:latin typeface="Cambria Math" panose="02040503050406030204" pitchFamily="18" charset="0"/>
                      </a:rPr>
                      <m:t>)</m:t>
                    </m:r>
                  </m:oMath>
                </m:oMathPara>
              </a14:m>
              <a:endParaRPr lang="it-IT">
                <a:solidFill>
                  <a:schemeClr val="bg1">
                    <a:lumMod val="50000"/>
                  </a:schemeClr>
                </a:solidFill>
              </a:endParaRPr>
            </a:p>
          </xdr:txBody>
        </xdr:sp>
      </mc:Choice>
      <mc:Fallback xmlns="">
        <xdr:sp macro="" textlink="">
          <xdr:nvSpPr>
            <xdr:cNvPr id="13" name="Object 8">
              <a:extLst>
                <a:ext uri="{63B3BB69-23CF-44E3-9099-C40C66FF867C}">
                  <a14:compatExt xmlns:a14="http://schemas.microsoft.com/office/drawing/2010/main" spid="_x0000_s1032"/>
                </a:ext>
                <a:ext uri="{FF2B5EF4-FFF2-40B4-BE49-F238E27FC236}">
                  <a16:creationId xmlns:a16="http://schemas.microsoft.com/office/drawing/2014/main" id="{00000000-0008-0000-1F00-00000D000000}"/>
                </a:ext>
              </a:extLst>
            </xdr:cNvPr>
            <xdr:cNvSpPr txBox="1"/>
          </xdr:nvSpPr>
          <xdr:spPr>
            <a:xfrm>
              <a:off x="6069104" y="7821706"/>
              <a:ext cx="2129237" cy="418256"/>
            </a:xfrm>
            <a:prstGeom prst="rect">
              <a:avLst/>
            </a:prstGeom>
          </xdr:spPr>
          <xdr:txBody>
            <a:bodyPr vertOverflow="clip" horzOverflow="clip" wrap="none">
              <a:spAutoFit/>
            </a:bodyPr>
            <a:lstStyle/>
            <a:p>
              <a:pPr/>
              <a:r>
                <a:rPr lang="it-IT" sz="1100" i="0">
                  <a:solidFill>
                    <a:schemeClr val="bg1">
                      <a:lumMod val="50000"/>
                    </a:schemeClr>
                  </a:solidFill>
                  <a:effectLst/>
                  <a:latin typeface="Cambria Math" panose="02040503050406030204" pitchFamily="18" charset="0"/>
                  <a:ea typeface="+mn-ea"/>
                  <a:cs typeface="+mn-cs"/>
                </a:rPr>
                <a:t>𝜗^</a:t>
              </a:r>
              <a:r>
                <a:rPr lang="it-IT" b="0" i="0">
                  <a:solidFill>
                    <a:schemeClr val="bg1">
                      <a:lumMod val="50000"/>
                    </a:schemeClr>
                  </a:solidFill>
                  <a:latin typeface="Cambria Math" panose="02040503050406030204" pitchFamily="18" charset="0"/>
                </a:rPr>
                <a:t>𝑎/</a:t>
              </a:r>
              <a:r>
                <a:rPr lang="it-IT" sz="1100" i="0">
                  <a:solidFill>
                    <a:schemeClr val="bg1">
                      <a:lumMod val="50000"/>
                    </a:schemeClr>
                  </a:solidFill>
                  <a:effectLst/>
                  <a:latin typeface="Cambria Math" panose="02040503050406030204" pitchFamily="18" charset="0"/>
                  <a:ea typeface="+mn-ea"/>
                  <a:cs typeface="+mn-cs"/>
                </a:rPr>
                <a:t>𝜗^(</a:t>
              </a:r>
              <a:r>
                <a:rPr lang="it-IT" sz="1100" b="0" i="0">
                  <a:solidFill>
                    <a:schemeClr val="bg1">
                      <a:lumMod val="50000"/>
                    </a:schemeClr>
                  </a:solidFill>
                  <a:effectLst/>
                  <a:latin typeface="Cambria Math" panose="02040503050406030204" pitchFamily="18" charset="0"/>
                  <a:ea typeface="+mn-ea"/>
                  <a:cs typeface="+mn-cs"/>
                </a:rPr>
                <a:t>𝑎−1) </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a:t>
              </a:r>
              <a:r>
                <a:rPr lang="it-IT" i="0">
                  <a:solidFill>
                    <a:schemeClr val="bg1">
                      <a:lumMod val="50000"/>
                    </a:schemeClr>
                  </a:solidFill>
                  <a:latin typeface="Cambria Math" panose="02040503050406030204" pitchFamily="18" charset="0"/>
                </a:rPr>
                <a:t>1+</a:t>
              </a:r>
              <a:r>
                <a:rPr lang="it-IT" b="0" i="0">
                  <a:solidFill>
                    <a:schemeClr val="bg1">
                      <a:lumMod val="50000"/>
                    </a:schemeClr>
                  </a:solidFill>
                  <a:latin typeface="Cambria Math" panose="02040503050406030204" pitchFamily="18" charset="0"/>
                </a:rPr>
                <a:t>𝑟𝑝𝑖</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1,75</a:t>
              </a:r>
              <a:r>
                <a:rPr lang="it-IT" i="0">
                  <a:solidFill>
                    <a:schemeClr val="bg1">
                      <a:lumMod val="50000"/>
                    </a:schemeClr>
                  </a:solidFill>
                  <a:latin typeface="Cambria Math" panose="02040503050406030204" pitchFamily="18" charset="0"/>
                </a:rPr>
                <a:t>𝐾−2𝑋</a:t>
              </a:r>
              <a:r>
                <a:rPr lang="it-IT" b="0" i="0">
                  <a:solidFill>
                    <a:schemeClr val="bg1">
                      <a:lumMod val="50000"/>
                    </a:schemeClr>
                  </a:solidFill>
                  <a:latin typeface="Cambria Math" panose="02040503050406030204" pitchFamily="18" charset="0"/>
                </a:rPr>
                <a:t>)</a:t>
              </a:r>
              <a:endParaRPr lang="it-IT">
                <a:solidFill>
                  <a:schemeClr val="bg1">
                    <a:lumMod val="50000"/>
                  </a:schemeClr>
                </a:solidFill>
              </a:endParaRPr>
            </a:p>
          </xdr:txBody>
        </xdr:sp>
      </mc:Fallback>
    </mc:AlternateContent>
    <xdr:clientData/>
  </xdr:twoCellAnchor>
  <xdr:twoCellAnchor>
    <xdr:from>
      <xdr:col>6</xdr:col>
      <xdr:colOff>22411</xdr:colOff>
      <xdr:row>34</xdr:row>
      <xdr:rowOff>123265</xdr:rowOff>
    </xdr:from>
    <xdr:to>
      <xdr:col>8</xdr:col>
      <xdr:colOff>118</xdr:colOff>
      <xdr:row>36</xdr:row>
      <xdr:rowOff>165003</xdr:rowOff>
    </xdr:to>
    <mc:AlternateContent xmlns:mc="http://schemas.openxmlformats.org/markup-compatibility/2006" xmlns:a14="http://schemas.microsoft.com/office/drawing/2010/main">
      <mc:Choice Requires="a14">
        <xdr:sp macro="" textlink="">
          <xdr:nvSpPr>
            <xdr:cNvPr id="14" name="Object 8">
              <a:extLst>
                <a:ext uri="{63B3BB69-23CF-44E3-9099-C40C66FF867C}">
                  <a14:compatExt spid="_x0000_s1032"/>
                </a:ext>
                <a:ext uri="{FF2B5EF4-FFF2-40B4-BE49-F238E27FC236}">
                  <a16:creationId xmlns:a16="http://schemas.microsoft.com/office/drawing/2014/main" id="{00000000-0008-0000-1D00-00000E000000}"/>
                </a:ext>
              </a:extLst>
            </xdr:cNvPr>
            <xdr:cNvSpPr txBox="1"/>
          </xdr:nvSpPr>
          <xdr:spPr>
            <a:xfrm>
              <a:off x="8198223" y="7832912"/>
              <a:ext cx="2129236" cy="418256"/>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bg1">
                                <a:lumMod val="50000"/>
                              </a:schemeClr>
                            </a:solidFill>
                            <a:latin typeface="Cambria Math" panose="02040503050406030204" pitchFamily="18" charset="0"/>
                          </a:rPr>
                        </m:ctrlPr>
                      </m:fPr>
                      <m:num>
                        <m:sSup>
                          <m:sSupPr>
                            <m:ctrlPr>
                              <a:rPr lang="it-IT" i="1">
                                <a:solidFill>
                                  <a:schemeClr val="bg1">
                                    <a:lumMod val="50000"/>
                                  </a:schemeClr>
                                </a:solidFill>
                                <a:latin typeface="Cambria Math" panose="02040503050406030204" pitchFamily="18" charset="0"/>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b="0" i="1">
                                <a:solidFill>
                                  <a:schemeClr val="bg1">
                                    <a:lumMod val="50000"/>
                                  </a:schemeClr>
                                </a:solidFill>
                                <a:latin typeface="Cambria Math" panose="02040503050406030204" pitchFamily="18" charset="0"/>
                              </a:rPr>
                              <m:t>𝑎</m:t>
                            </m:r>
                          </m:sup>
                        </m:sSup>
                      </m:num>
                      <m:den>
                        <m:sSup>
                          <m:sSupPr>
                            <m:ctrlPr>
                              <a:rPr lang="it-IT" sz="1100" i="1">
                                <a:solidFill>
                                  <a:schemeClr val="bg1">
                                    <a:lumMod val="50000"/>
                                  </a:schemeClr>
                                </a:solidFill>
                                <a:effectLst/>
                                <a:latin typeface="Cambria Math" panose="02040503050406030204" pitchFamily="18" charset="0"/>
                                <a:ea typeface="+mn-ea"/>
                                <a:cs typeface="+mn-cs"/>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sz="1100" b="0" i="1">
                                <a:solidFill>
                                  <a:schemeClr val="bg1">
                                    <a:lumMod val="50000"/>
                                  </a:schemeClr>
                                </a:solidFill>
                                <a:effectLst/>
                                <a:latin typeface="Cambria Math" panose="02040503050406030204" pitchFamily="18" charset="0"/>
                                <a:ea typeface="+mn-ea"/>
                                <a:cs typeface="+mn-cs"/>
                              </a:rPr>
                              <m:t>𝑎</m:t>
                            </m:r>
                            <m:r>
                              <a:rPr lang="it-IT" sz="1100" b="0" i="1">
                                <a:solidFill>
                                  <a:schemeClr val="bg1">
                                    <a:lumMod val="50000"/>
                                  </a:schemeClr>
                                </a:solidFill>
                                <a:effectLst/>
                                <a:latin typeface="Cambria Math" panose="02040503050406030204" pitchFamily="18" charset="0"/>
                                <a:ea typeface="+mn-ea"/>
                                <a:cs typeface="+mn-cs"/>
                              </a:rPr>
                              <m:t>−1</m:t>
                            </m:r>
                          </m:sup>
                        </m:sSup>
                      </m:den>
                    </m:f>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1+</m:t>
                    </m:r>
                    <m:r>
                      <a:rPr lang="it-IT" b="0" i="1">
                        <a:solidFill>
                          <a:schemeClr val="bg1">
                            <a:lumMod val="50000"/>
                          </a:schemeClr>
                        </a:solidFill>
                        <a:latin typeface="Cambria Math" panose="02040503050406030204" pitchFamily="18" charset="0"/>
                      </a:rPr>
                      <m:t>𝑟𝑝𝑖</m:t>
                    </m:r>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1,75</m:t>
                    </m:r>
                    <m:r>
                      <a:rPr lang="it-IT" i="1">
                        <a:solidFill>
                          <a:schemeClr val="bg1">
                            <a:lumMod val="50000"/>
                          </a:schemeClr>
                        </a:solidFill>
                        <a:latin typeface="Cambria Math" panose="02040503050406030204" pitchFamily="18" charset="0"/>
                      </a:rPr>
                      <m:t>𝐾</m:t>
                    </m:r>
                    <m:r>
                      <a:rPr lang="it-IT"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𝑋</m:t>
                    </m:r>
                    <m:r>
                      <a:rPr lang="it-IT" b="0" i="1">
                        <a:solidFill>
                          <a:schemeClr val="bg1">
                            <a:lumMod val="50000"/>
                          </a:schemeClr>
                        </a:solidFill>
                        <a:latin typeface="Cambria Math" panose="02040503050406030204" pitchFamily="18" charset="0"/>
                      </a:rPr>
                      <m:t>)</m:t>
                    </m:r>
                  </m:oMath>
                </m:oMathPara>
              </a14:m>
              <a:endParaRPr lang="it-IT">
                <a:solidFill>
                  <a:schemeClr val="bg1">
                    <a:lumMod val="50000"/>
                  </a:schemeClr>
                </a:solidFill>
              </a:endParaRPr>
            </a:p>
          </xdr:txBody>
        </xdr:sp>
      </mc:Choice>
      <mc:Fallback xmlns="">
        <xdr:sp macro="" textlink="">
          <xdr:nvSpPr>
            <xdr:cNvPr id="14" name="Object 8">
              <a:extLst>
                <a:ext uri="{63B3BB69-23CF-44E3-9099-C40C66FF867C}">
                  <a14:compatExt xmlns:a14="http://schemas.microsoft.com/office/drawing/2010/main" spid="_x0000_s1032"/>
                </a:ext>
                <a:ext uri="{FF2B5EF4-FFF2-40B4-BE49-F238E27FC236}">
                  <a16:creationId xmlns:a16="http://schemas.microsoft.com/office/drawing/2014/main" id="{00000000-0008-0000-1F00-00000E000000}"/>
                </a:ext>
              </a:extLst>
            </xdr:cNvPr>
            <xdr:cNvSpPr txBox="1"/>
          </xdr:nvSpPr>
          <xdr:spPr>
            <a:xfrm>
              <a:off x="8198223" y="7832912"/>
              <a:ext cx="2129236" cy="418256"/>
            </a:xfrm>
            <a:prstGeom prst="rect">
              <a:avLst/>
            </a:prstGeom>
          </xdr:spPr>
          <xdr:txBody>
            <a:bodyPr vertOverflow="clip" horzOverflow="clip" wrap="none">
              <a:spAutoFit/>
            </a:bodyPr>
            <a:lstStyle/>
            <a:p>
              <a:pPr/>
              <a:r>
                <a:rPr lang="it-IT" sz="1100" i="0">
                  <a:solidFill>
                    <a:schemeClr val="bg1">
                      <a:lumMod val="50000"/>
                    </a:schemeClr>
                  </a:solidFill>
                  <a:effectLst/>
                  <a:latin typeface="Cambria Math" panose="02040503050406030204" pitchFamily="18" charset="0"/>
                  <a:ea typeface="+mn-ea"/>
                  <a:cs typeface="+mn-cs"/>
                </a:rPr>
                <a:t>𝜗^</a:t>
              </a:r>
              <a:r>
                <a:rPr lang="it-IT" b="0" i="0">
                  <a:solidFill>
                    <a:schemeClr val="bg1">
                      <a:lumMod val="50000"/>
                    </a:schemeClr>
                  </a:solidFill>
                  <a:latin typeface="Cambria Math" panose="02040503050406030204" pitchFamily="18" charset="0"/>
                </a:rPr>
                <a:t>𝑎/</a:t>
              </a:r>
              <a:r>
                <a:rPr lang="it-IT" sz="1100" i="0">
                  <a:solidFill>
                    <a:schemeClr val="bg1">
                      <a:lumMod val="50000"/>
                    </a:schemeClr>
                  </a:solidFill>
                  <a:effectLst/>
                  <a:latin typeface="Cambria Math" panose="02040503050406030204" pitchFamily="18" charset="0"/>
                  <a:ea typeface="+mn-ea"/>
                  <a:cs typeface="+mn-cs"/>
                </a:rPr>
                <a:t>𝜗^(</a:t>
              </a:r>
              <a:r>
                <a:rPr lang="it-IT" sz="1100" b="0" i="0">
                  <a:solidFill>
                    <a:schemeClr val="bg1">
                      <a:lumMod val="50000"/>
                    </a:schemeClr>
                  </a:solidFill>
                  <a:effectLst/>
                  <a:latin typeface="Cambria Math" panose="02040503050406030204" pitchFamily="18" charset="0"/>
                  <a:ea typeface="+mn-ea"/>
                  <a:cs typeface="+mn-cs"/>
                </a:rPr>
                <a:t>𝑎−1) </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a:t>
              </a:r>
              <a:r>
                <a:rPr lang="it-IT" i="0">
                  <a:solidFill>
                    <a:schemeClr val="bg1">
                      <a:lumMod val="50000"/>
                    </a:schemeClr>
                  </a:solidFill>
                  <a:latin typeface="Cambria Math" panose="02040503050406030204" pitchFamily="18" charset="0"/>
                </a:rPr>
                <a:t>1+</a:t>
              </a:r>
              <a:r>
                <a:rPr lang="it-IT" b="0" i="0">
                  <a:solidFill>
                    <a:schemeClr val="bg1">
                      <a:lumMod val="50000"/>
                    </a:schemeClr>
                  </a:solidFill>
                  <a:latin typeface="Cambria Math" panose="02040503050406030204" pitchFamily="18" charset="0"/>
                </a:rPr>
                <a:t>𝑟𝑝𝑖</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1,75</a:t>
              </a:r>
              <a:r>
                <a:rPr lang="it-IT" i="0">
                  <a:solidFill>
                    <a:schemeClr val="bg1">
                      <a:lumMod val="50000"/>
                    </a:schemeClr>
                  </a:solidFill>
                  <a:latin typeface="Cambria Math" panose="02040503050406030204" pitchFamily="18" charset="0"/>
                </a:rPr>
                <a:t>𝐾−𝑋</a:t>
              </a:r>
              <a:r>
                <a:rPr lang="it-IT" b="0" i="0">
                  <a:solidFill>
                    <a:schemeClr val="bg1">
                      <a:lumMod val="50000"/>
                    </a:schemeClr>
                  </a:solidFill>
                  <a:latin typeface="Cambria Math" panose="02040503050406030204" pitchFamily="18" charset="0"/>
                </a:rPr>
                <a:t>)</a:t>
              </a:r>
              <a:endParaRPr lang="it-IT">
                <a:solidFill>
                  <a:schemeClr val="bg1">
                    <a:lumMod val="50000"/>
                  </a:schemeClr>
                </a:solidFill>
              </a:endParaRPr>
            </a:p>
          </xdr:txBody>
        </xdr:sp>
      </mc:Fallback>
    </mc:AlternateContent>
    <xdr:clientData/>
  </xdr:twoCellAnchor>
  <xdr:twoCellAnchor>
    <xdr:from>
      <xdr:col>1</xdr:col>
      <xdr:colOff>114300</xdr:colOff>
      <xdr:row>29</xdr:row>
      <xdr:rowOff>152400</xdr:rowOff>
    </xdr:from>
    <xdr:to>
      <xdr:col>1</xdr:col>
      <xdr:colOff>1985261</xdr:colOff>
      <xdr:row>32</xdr:row>
      <xdr:rowOff>49362</xdr:rowOff>
    </xdr:to>
    <mc:AlternateContent xmlns:mc="http://schemas.openxmlformats.org/markup-compatibility/2006" xmlns:a14="http://schemas.microsoft.com/office/drawing/2010/main">
      <mc:Choice Requires="a14">
        <xdr:sp macro="" textlink="">
          <xdr:nvSpPr>
            <xdr:cNvPr id="5" name="Object 2">
              <a:extLst>
                <a:ext uri="{63B3BB69-23CF-44E3-9099-C40C66FF867C}">
                  <a14:compatExt spid="_x0000_s1026"/>
                </a:ext>
                <a:ext uri="{FF2B5EF4-FFF2-40B4-BE49-F238E27FC236}">
                  <a16:creationId xmlns:a16="http://schemas.microsoft.com/office/drawing/2014/main" id="{DDE43D1A-FB94-486F-AAEE-4EE26C9A9C95}"/>
                </a:ext>
              </a:extLst>
            </xdr:cNvPr>
            <xdr:cNvSpPr txBox="1"/>
          </xdr:nvSpPr>
          <xdr:spPr>
            <a:xfrm>
              <a:off x="1447800" y="7296150"/>
              <a:ext cx="1872866" cy="470367"/>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rgbClr val="000000"/>
                            </a:solidFill>
                            <a:latin typeface="Cambria Math" panose="02040503050406030204" pitchFamily="18" charset="0"/>
                          </a:rPr>
                        </m:ctrlPr>
                      </m:fPr>
                      <m:num>
                        <m:nary>
                          <m:naryPr>
                            <m:chr m:val="∑"/>
                            <m:ctrlPr>
                              <a:rPr lang="it-IT" i="1">
                                <a:solidFill>
                                  <a:srgbClr val="000000"/>
                                </a:solidFill>
                                <a:latin typeface="Cambria Math" panose="02040503050406030204" pitchFamily="18" charset="0"/>
                              </a:rPr>
                            </m:ctrlPr>
                          </m:naryPr>
                          <m:sub>
                            <m:r>
                              <a:rPr lang="it-IT" b="0" i="1">
                                <a:solidFill>
                                  <a:srgbClr val="000000"/>
                                </a:solidFill>
                                <a:latin typeface="Cambria Math" panose="02040503050406030204" pitchFamily="18" charset="0"/>
                              </a:rPr>
                              <m:t>2024</m:t>
                            </m:r>
                          </m:sub>
                          <m:sup>
                            <m:r>
                              <a:rPr lang="it-IT" b="0" i="1">
                                <a:solidFill>
                                  <a:srgbClr val="000000"/>
                                </a:solidFill>
                                <a:latin typeface="Cambria Math" panose="02040503050406030204" pitchFamily="18" charset="0"/>
                              </a:rPr>
                              <m:t>2029</m:t>
                            </m:r>
                          </m:sup>
                          <m:e>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𝐼𝑃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 </m:t>
                                </m:r>
                                <m:r>
                                  <a:rPr lang="it-IT" sz="1100" b="0" i="1">
                                    <a:effectLst/>
                                    <a:latin typeface="Cambria Math" panose="02040503050406030204" pitchFamily="18" charset="0"/>
                                    <a:ea typeface="+mn-ea"/>
                                    <a:cs typeface="+mn-cs"/>
                                  </a:rPr>
                                  <m:t>𝐶𝐹𝑃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e>
                        </m:nary>
                        <m:r>
                          <a:rPr lang="it-IT" b="0" i="1">
                            <a:solidFill>
                              <a:srgbClr val="000000"/>
                            </a:solidFill>
                            <a:latin typeface="Cambria Math" panose="02040503050406030204" pitchFamily="18" charset="0"/>
                          </a:rPr>
                          <m:t> </m:t>
                        </m:r>
                      </m:num>
                      <m:den>
                        <m:r>
                          <a:rPr lang="it-IT" i="1">
                            <a:solidFill>
                              <a:srgbClr val="000000"/>
                            </a:solidFill>
                            <a:latin typeface="Cambria Math" panose="02040503050406030204" pitchFamily="18" charset="0"/>
                          </a:rPr>
                          <m:t>𝑅𝐴</m:t>
                        </m:r>
                        <m:sSub>
                          <m:sSubPr>
                            <m:ctrlPr>
                              <a:rPr lang="it-IT" i="1">
                                <a:solidFill>
                                  <a:srgbClr val="000000"/>
                                </a:solidFill>
                                <a:latin typeface="Cambria Math" panose="02040503050406030204" pitchFamily="18" charset="0"/>
                              </a:rPr>
                            </m:ctrlPr>
                          </m:sSubPr>
                          <m:e>
                            <m:r>
                              <a:rPr lang="it-IT" i="1">
                                <a:solidFill>
                                  <a:srgbClr val="000000"/>
                                </a:solidFill>
                                <a:latin typeface="Cambria Math" panose="02040503050406030204" pitchFamily="18" charset="0"/>
                              </a:rPr>
                              <m:t>𝐵</m:t>
                            </m:r>
                          </m:e>
                          <m:sub>
                            <m:r>
                              <a:rPr lang="it-IT" i="1">
                                <a:solidFill>
                                  <a:srgbClr val="000000"/>
                                </a:solidFill>
                                <a:latin typeface="Cambria Math" panose="02040503050406030204" pitchFamily="18" charset="0"/>
                              </a:rPr>
                              <m:t>𝑀𝑇𝐼</m:t>
                            </m:r>
                            <m:r>
                              <a:rPr lang="it-IT" b="0" i="1">
                                <a:solidFill>
                                  <a:srgbClr val="000000"/>
                                </a:solidFill>
                                <a:latin typeface="Cambria Math" panose="02040503050406030204" pitchFamily="18" charset="0"/>
                              </a:rPr>
                              <m:t>−3</m:t>
                            </m:r>
                          </m:sub>
                        </m:sSub>
                      </m:den>
                    </m:f>
                    <m:r>
                      <a:rPr lang="it-IT" b="0" i="1">
                        <a:solidFill>
                          <a:srgbClr val="000000"/>
                        </a:solidFill>
                        <a:latin typeface="Cambria Math" panose="02040503050406030204" pitchFamily="18" charset="0"/>
                      </a:rPr>
                      <m:t> </m:t>
                    </m:r>
                    <m:r>
                      <a:rPr lang="it-IT" b="0" i="1">
                        <a:solidFill>
                          <a:srgbClr val="000000"/>
                        </a:solidFill>
                        <a:latin typeface="Cambria Math" panose="02040503050406030204" pitchFamily="18" charset="0"/>
                        <a:ea typeface="Cambria Math" panose="02040503050406030204" pitchFamily="18" charset="0"/>
                      </a:rPr>
                      <m:t>≤</m:t>
                    </m:r>
                    <m:r>
                      <m:rPr>
                        <m:sty m:val="p"/>
                      </m:rPr>
                      <a:rPr lang="el-GR" b="0" i="1">
                        <a:solidFill>
                          <a:srgbClr val="000000"/>
                        </a:solidFill>
                        <a:latin typeface="Cambria Math" panose="02040503050406030204" pitchFamily="18" charset="0"/>
                        <a:ea typeface="Cambria Math" panose="02040503050406030204" pitchFamily="18" charset="0"/>
                      </a:rPr>
                      <m:t>ω</m:t>
                    </m:r>
                  </m:oMath>
                </m:oMathPara>
              </a14:m>
              <a:endParaRPr lang="it-IT"/>
            </a:p>
          </xdr:txBody>
        </xdr:sp>
      </mc:Choice>
      <mc:Fallback xmlns="">
        <xdr:sp macro="" textlink="">
          <xdr:nvSpPr>
            <xdr:cNvPr id="5" name="Object 2">
              <a:extLst>
                <a:ext uri="{63B3BB69-23CF-44E3-9099-C40C66FF867C}">
                  <a14:compatExt xmlns:a14="http://schemas.microsoft.com/office/drawing/2010/main" spid="_x0000_s1026"/>
                </a:ext>
                <a:ext uri="{FF2B5EF4-FFF2-40B4-BE49-F238E27FC236}">
                  <a16:creationId xmlns:a16="http://schemas.microsoft.com/office/drawing/2014/main" id="{DDE43D1A-FB94-486F-AAEE-4EE26C9A9C95}"/>
                </a:ext>
              </a:extLst>
            </xdr:cNvPr>
            <xdr:cNvSpPr txBox="1"/>
          </xdr:nvSpPr>
          <xdr:spPr>
            <a:xfrm>
              <a:off x="1447800" y="7296150"/>
              <a:ext cx="1872866" cy="470367"/>
            </a:xfrm>
            <a:prstGeom prst="rect">
              <a:avLst/>
            </a:prstGeom>
          </xdr:spPr>
          <xdr:txBody>
            <a:bodyPr vertOverflow="clip" horzOverflow="clip" wrap="none">
              <a:spAutoFit/>
            </a:bodyPr>
            <a:lstStyle/>
            <a:p>
              <a:pP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_2024^2029</a:t>
              </a:r>
              <a:r>
                <a:rPr lang="it-IT" sz="1100" b="0" i="0">
                  <a:solidFill>
                    <a:srgbClr val="000000"/>
                  </a:solidFill>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𝐼𝑃〗_𝑎^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𝐶𝐹𝑃〗_𝑎^</a:t>
              </a:r>
              <a:r>
                <a:rPr lang="it-IT" sz="1100" i="0">
                  <a:effectLst/>
                  <a:latin typeface="Cambria Math" panose="02040503050406030204" pitchFamily="18" charset="0"/>
                  <a:ea typeface="+mn-ea"/>
                  <a:cs typeface="+mn-cs"/>
                </a:rPr>
                <a:t>exp </a:t>
              </a:r>
              <a:r>
                <a:rPr lang="it-IT" sz="1100" b="0" i="0">
                  <a:solidFill>
                    <a:srgbClr val="000000"/>
                  </a:solidFill>
                  <a:effectLst/>
                  <a:latin typeface="Cambria Math" panose="02040503050406030204" pitchFamily="18" charset="0"/>
                  <a:ea typeface="+mn-ea"/>
                  <a:cs typeface="+mn-cs"/>
                </a:rPr>
                <a:t>〗 </a:t>
              </a:r>
              <a:r>
                <a:rPr lang="it-IT" b="0" i="0">
                  <a:solidFill>
                    <a:srgbClr val="000000"/>
                  </a:solidFill>
                  <a:latin typeface="Cambria Math" panose="02040503050406030204" pitchFamily="18" charset="0"/>
                </a:rPr>
                <a:t> )/(</a:t>
              </a:r>
              <a:r>
                <a:rPr lang="it-IT" i="0">
                  <a:solidFill>
                    <a:srgbClr val="000000"/>
                  </a:solidFill>
                  <a:latin typeface="Cambria Math" panose="02040503050406030204" pitchFamily="18" charset="0"/>
                </a:rPr>
                <a:t>𝑅𝐴𝐵_(𝑀𝑇𝐼</a:t>
              </a:r>
              <a:r>
                <a:rPr lang="it-IT" b="0" i="0">
                  <a:solidFill>
                    <a:srgbClr val="000000"/>
                  </a:solidFill>
                  <a:latin typeface="Cambria Math" panose="02040503050406030204" pitchFamily="18" charset="0"/>
                </a:rPr>
                <a:t>−3) )  </a:t>
              </a:r>
              <a:r>
                <a:rPr lang="it-IT" b="0" i="0">
                  <a:solidFill>
                    <a:srgbClr val="000000"/>
                  </a:solidFill>
                  <a:latin typeface="Cambria Math" panose="02040503050406030204" pitchFamily="18" charset="0"/>
                  <a:ea typeface="Cambria Math" panose="02040503050406030204" pitchFamily="18" charset="0"/>
                </a:rPr>
                <a:t>≤</a:t>
              </a:r>
              <a:r>
                <a:rPr lang="el-GR" b="0" i="0">
                  <a:solidFill>
                    <a:srgbClr val="000000"/>
                  </a:solidFill>
                  <a:latin typeface="Cambria Math" panose="02040503050406030204" pitchFamily="18" charset="0"/>
                  <a:ea typeface="Cambria Math" panose="02040503050406030204" pitchFamily="18" charset="0"/>
                </a:rPr>
                <a:t>ω</a:t>
              </a:r>
              <a:endParaRPr lang="it-IT"/>
            </a:p>
          </xdr:txBody>
        </xdr:sp>
      </mc:Fallback>
    </mc:AlternateContent>
    <xdr:clientData/>
  </xdr:twoCellAnchor>
  <xdr:twoCellAnchor>
    <xdr:from>
      <xdr:col>1</xdr:col>
      <xdr:colOff>112058</xdr:colOff>
      <xdr:row>33</xdr:row>
      <xdr:rowOff>156882</xdr:rowOff>
    </xdr:from>
    <xdr:to>
      <xdr:col>1</xdr:col>
      <xdr:colOff>1941983</xdr:colOff>
      <xdr:row>36</xdr:row>
      <xdr:rowOff>51535</xdr:rowOff>
    </xdr:to>
    <mc:AlternateContent xmlns:mc="http://schemas.openxmlformats.org/markup-compatibility/2006" xmlns:a14="http://schemas.microsoft.com/office/drawing/2010/main">
      <mc:Choice Requires="a14">
        <xdr:sp macro="" textlink="">
          <xdr:nvSpPr>
            <xdr:cNvPr id="6" name="Object 2">
              <a:extLst>
                <a:ext uri="{63B3BB69-23CF-44E3-9099-C40C66FF867C}">
                  <a14:compatExt spid="_x0000_s1026"/>
                </a:ext>
                <a:ext uri="{FF2B5EF4-FFF2-40B4-BE49-F238E27FC236}">
                  <a16:creationId xmlns:a16="http://schemas.microsoft.com/office/drawing/2014/main" id="{700D9F18-D483-4A3B-95F9-857F2A462592}"/>
                </a:ext>
              </a:extLst>
            </xdr:cNvPr>
            <xdr:cNvSpPr txBox="1"/>
          </xdr:nvSpPr>
          <xdr:spPr>
            <a:xfrm>
              <a:off x="1445558" y="8064537"/>
              <a:ext cx="1829925" cy="468058"/>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rgbClr val="000000"/>
                            </a:solidFill>
                            <a:latin typeface="Cambria Math" panose="02040503050406030204" pitchFamily="18" charset="0"/>
                          </a:rPr>
                        </m:ctrlPr>
                      </m:fPr>
                      <m:num>
                        <m:nary>
                          <m:naryPr>
                            <m:chr m:val="∑"/>
                            <m:ctrlPr>
                              <a:rPr lang="it-IT" i="1">
                                <a:solidFill>
                                  <a:srgbClr val="000000"/>
                                </a:solidFill>
                                <a:latin typeface="Cambria Math" panose="02040503050406030204" pitchFamily="18" charset="0"/>
                              </a:rPr>
                            </m:ctrlPr>
                          </m:naryPr>
                          <m:sub>
                            <m:r>
                              <a:rPr lang="it-IT" b="0" i="1">
                                <a:solidFill>
                                  <a:srgbClr val="000000"/>
                                </a:solidFill>
                                <a:latin typeface="Cambria Math" panose="02040503050406030204" pitchFamily="18" charset="0"/>
                              </a:rPr>
                              <m:t>2024</m:t>
                            </m:r>
                          </m:sub>
                          <m:sup>
                            <m:r>
                              <a:rPr lang="it-IT" b="0" i="1">
                                <a:solidFill>
                                  <a:srgbClr val="000000"/>
                                </a:solidFill>
                                <a:latin typeface="Cambria Math" panose="02040503050406030204" pitchFamily="18" charset="0"/>
                              </a:rPr>
                              <m:t>2029</m:t>
                            </m:r>
                          </m:sup>
                          <m:e>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𝐼𝑃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 </m:t>
                                </m:r>
                                <m:r>
                                  <a:rPr lang="it-IT" sz="1100" b="0" i="1">
                                    <a:effectLst/>
                                    <a:latin typeface="Cambria Math" panose="02040503050406030204" pitchFamily="18" charset="0"/>
                                    <a:ea typeface="+mn-ea"/>
                                    <a:cs typeface="+mn-cs"/>
                                  </a:rPr>
                                  <m:t>𝐶𝐹𝑃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e>
                        </m:nary>
                        <m:r>
                          <a:rPr lang="it-IT" b="0" i="1">
                            <a:solidFill>
                              <a:srgbClr val="000000"/>
                            </a:solidFill>
                            <a:latin typeface="Cambria Math" panose="02040503050406030204" pitchFamily="18" charset="0"/>
                          </a:rPr>
                          <m:t> </m:t>
                        </m:r>
                      </m:num>
                      <m:den>
                        <m:r>
                          <a:rPr lang="it-IT" i="1">
                            <a:solidFill>
                              <a:srgbClr val="000000"/>
                            </a:solidFill>
                            <a:latin typeface="Cambria Math" panose="02040503050406030204" pitchFamily="18" charset="0"/>
                          </a:rPr>
                          <m:t>𝑅𝐴</m:t>
                        </m:r>
                        <m:sSub>
                          <m:sSubPr>
                            <m:ctrlPr>
                              <a:rPr lang="it-IT" i="1">
                                <a:solidFill>
                                  <a:srgbClr val="000000"/>
                                </a:solidFill>
                                <a:latin typeface="Cambria Math" panose="02040503050406030204" pitchFamily="18" charset="0"/>
                              </a:rPr>
                            </m:ctrlPr>
                          </m:sSubPr>
                          <m:e>
                            <m:r>
                              <a:rPr lang="it-IT" i="1">
                                <a:solidFill>
                                  <a:srgbClr val="000000"/>
                                </a:solidFill>
                                <a:latin typeface="Cambria Math" panose="02040503050406030204" pitchFamily="18" charset="0"/>
                              </a:rPr>
                              <m:t>𝐵</m:t>
                            </m:r>
                          </m:e>
                          <m:sub>
                            <m:r>
                              <a:rPr lang="it-IT" i="1">
                                <a:solidFill>
                                  <a:srgbClr val="000000"/>
                                </a:solidFill>
                                <a:latin typeface="Cambria Math" panose="02040503050406030204" pitchFamily="18" charset="0"/>
                              </a:rPr>
                              <m:t>𝑀𝑇𝐼</m:t>
                            </m:r>
                            <m:r>
                              <a:rPr lang="it-IT" b="0" i="1">
                                <a:solidFill>
                                  <a:srgbClr val="000000"/>
                                </a:solidFill>
                                <a:latin typeface="Cambria Math" panose="02040503050406030204" pitchFamily="18" charset="0"/>
                              </a:rPr>
                              <m:t>−3</m:t>
                            </m:r>
                          </m:sub>
                        </m:sSub>
                      </m:den>
                    </m:f>
                    <m:r>
                      <a:rPr lang="it-IT" b="0" i="1">
                        <a:solidFill>
                          <a:srgbClr val="000000"/>
                        </a:solidFill>
                        <a:latin typeface="Cambria Math" panose="02040503050406030204" pitchFamily="18" charset="0"/>
                        <a:ea typeface="Cambria Math" panose="02040503050406030204" pitchFamily="18" charset="0"/>
                      </a:rPr>
                      <m:t>&gt;</m:t>
                    </m:r>
                    <m:r>
                      <m:rPr>
                        <m:sty m:val="p"/>
                      </m:rPr>
                      <a:rPr lang="el-GR" b="0" i="1">
                        <a:solidFill>
                          <a:srgbClr val="000000"/>
                        </a:solidFill>
                        <a:latin typeface="Cambria Math" panose="02040503050406030204" pitchFamily="18" charset="0"/>
                        <a:ea typeface="Cambria Math" panose="02040503050406030204" pitchFamily="18" charset="0"/>
                      </a:rPr>
                      <m:t>ω</m:t>
                    </m:r>
                  </m:oMath>
                </m:oMathPara>
              </a14:m>
              <a:endParaRPr lang="it-IT"/>
            </a:p>
          </xdr:txBody>
        </xdr:sp>
      </mc:Choice>
      <mc:Fallback xmlns="">
        <xdr:sp macro="" textlink="">
          <xdr:nvSpPr>
            <xdr:cNvPr id="6" name="Object 2">
              <a:extLst>
                <a:ext uri="{63B3BB69-23CF-44E3-9099-C40C66FF867C}">
                  <a14:compatExt xmlns:a14="http://schemas.microsoft.com/office/drawing/2010/main" spid="_x0000_s1026"/>
                </a:ext>
                <a:ext uri="{FF2B5EF4-FFF2-40B4-BE49-F238E27FC236}">
                  <a16:creationId xmlns:a16="http://schemas.microsoft.com/office/drawing/2014/main" id="{700D9F18-D483-4A3B-95F9-857F2A462592}"/>
                </a:ext>
              </a:extLst>
            </xdr:cNvPr>
            <xdr:cNvSpPr txBox="1"/>
          </xdr:nvSpPr>
          <xdr:spPr>
            <a:xfrm>
              <a:off x="1445558" y="8064537"/>
              <a:ext cx="1829925" cy="468058"/>
            </a:xfrm>
            <a:prstGeom prst="rect">
              <a:avLst/>
            </a:prstGeom>
          </xdr:spPr>
          <xdr:txBody>
            <a:bodyPr vertOverflow="clip" horzOverflow="clip" wrap="none">
              <a:spAutoFit/>
            </a:bodyPr>
            <a:lstStyle/>
            <a:p>
              <a:pP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_2024^2029</a:t>
              </a:r>
              <a:r>
                <a:rPr lang="it-IT" sz="1100" b="0" i="0">
                  <a:solidFill>
                    <a:srgbClr val="000000"/>
                  </a:solidFill>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𝐼𝑃〗_𝑎^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𝐶𝐹𝑃〗_𝑎^</a:t>
              </a:r>
              <a:r>
                <a:rPr lang="it-IT" sz="1100" i="0">
                  <a:effectLst/>
                  <a:latin typeface="Cambria Math" panose="02040503050406030204" pitchFamily="18" charset="0"/>
                  <a:ea typeface="+mn-ea"/>
                  <a:cs typeface="+mn-cs"/>
                </a:rPr>
                <a:t>exp </a:t>
              </a:r>
              <a:r>
                <a:rPr lang="it-IT" sz="1100" b="0" i="0">
                  <a:solidFill>
                    <a:srgbClr val="000000"/>
                  </a:solidFill>
                  <a:effectLst/>
                  <a:latin typeface="Cambria Math" panose="02040503050406030204" pitchFamily="18" charset="0"/>
                  <a:ea typeface="+mn-ea"/>
                  <a:cs typeface="+mn-cs"/>
                </a:rPr>
                <a:t>〗 </a:t>
              </a:r>
              <a:r>
                <a:rPr lang="it-IT" b="0" i="0">
                  <a:solidFill>
                    <a:srgbClr val="000000"/>
                  </a:solidFill>
                  <a:latin typeface="Cambria Math" panose="02040503050406030204" pitchFamily="18" charset="0"/>
                </a:rPr>
                <a:t> )/(</a:t>
              </a:r>
              <a:r>
                <a:rPr lang="it-IT" i="0">
                  <a:solidFill>
                    <a:srgbClr val="000000"/>
                  </a:solidFill>
                  <a:latin typeface="Cambria Math" panose="02040503050406030204" pitchFamily="18" charset="0"/>
                </a:rPr>
                <a:t>𝑅𝐴𝐵_(𝑀𝑇𝐼</a:t>
              </a:r>
              <a:r>
                <a:rPr lang="it-IT" b="0" i="0">
                  <a:solidFill>
                    <a:srgbClr val="000000"/>
                  </a:solidFill>
                  <a:latin typeface="Cambria Math" panose="02040503050406030204" pitchFamily="18" charset="0"/>
                </a:rPr>
                <a:t>−3) )</a:t>
              </a:r>
              <a:r>
                <a:rPr lang="it-IT" b="0" i="0">
                  <a:solidFill>
                    <a:srgbClr val="000000"/>
                  </a:solidFill>
                  <a:latin typeface="Cambria Math" panose="02040503050406030204" pitchFamily="18" charset="0"/>
                  <a:ea typeface="Cambria Math" panose="02040503050406030204" pitchFamily="18" charset="0"/>
                </a:rPr>
                <a:t>&gt;</a:t>
              </a:r>
              <a:r>
                <a:rPr lang="el-GR" b="0" i="0">
                  <a:solidFill>
                    <a:srgbClr val="000000"/>
                  </a:solidFill>
                  <a:latin typeface="Cambria Math" panose="02040503050406030204" pitchFamily="18" charset="0"/>
                  <a:ea typeface="Cambria Math" panose="02040503050406030204" pitchFamily="18" charset="0"/>
                </a:rPr>
                <a:t>ω</a:t>
              </a:r>
              <a:endParaRPr lang="it-IT"/>
            </a:p>
          </xdr:txBody>
        </xdr:sp>
      </mc:Fallback>
    </mc:AlternateContent>
    <xdr:clientData/>
  </xdr:twoCellAnchor>
  <xdr:twoCellAnchor>
    <xdr:from>
      <xdr:col>2</xdr:col>
      <xdr:colOff>89647</xdr:colOff>
      <xdr:row>26</xdr:row>
      <xdr:rowOff>44823</xdr:rowOff>
    </xdr:from>
    <xdr:to>
      <xdr:col>3</xdr:col>
      <xdr:colOff>1008530</xdr:colOff>
      <xdr:row>28</xdr:row>
      <xdr:rowOff>143570</xdr:rowOff>
    </xdr:to>
    <mc:AlternateContent xmlns:mc="http://schemas.openxmlformats.org/markup-compatibility/2006" xmlns:a14="http://schemas.microsoft.com/office/drawing/2010/main">
      <mc:Choice Requires="a14">
        <xdr:sp macro="" textlink="">
          <xdr:nvSpPr>
            <xdr:cNvPr id="8" name="Object 4">
              <a:extLst>
                <a:ext uri="{63B3BB69-23CF-44E3-9099-C40C66FF867C}">
                  <a14:compatExt spid="_x0000_s1028"/>
                </a:ext>
                <a:ext uri="{FF2B5EF4-FFF2-40B4-BE49-F238E27FC236}">
                  <a16:creationId xmlns:a16="http://schemas.microsoft.com/office/drawing/2014/main" id="{008307B5-3CCF-45E6-AF03-BA995003C613}"/>
                </a:ext>
              </a:extLst>
            </xdr:cNvPr>
            <xdr:cNvSpPr txBox="1"/>
          </xdr:nvSpPr>
          <xdr:spPr>
            <a:xfrm>
              <a:off x="3998707" y="6618978"/>
              <a:ext cx="1985683" cy="475937"/>
            </a:xfrm>
            <a:prstGeom prst="rect">
              <a:avLst/>
            </a:prstGeom>
          </xdr:spPr>
          <xdr:txBody>
            <a:bodyPr vertOverflow="clip" horzOverflow="clip" wrap="square">
              <a:spAutoFit/>
            </a:bodyPr>
            <a:lstStyle/>
            <a:p>
              <a:pPr/>
              <a14:m>
                <m:oMathPara xmlns:m="http://schemas.openxmlformats.org/officeDocument/2006/math">
                  <m:oMathParaPr>
                    <m:jc m:val="centerGroup"/>
                  </m:oMathParaPr>
                  <m:oMath xmlns:m="http://schemas.openxmlformats.org/officeDocument/2006/math">
                    <m:f>
                      <m:fPr>
                        <m:ctrlPr>
                          <a:rPr lang="it-IT" i="1">
                            <a:solidFill>
                              <a:srgbClr val="000000"/>
                            </a:solidFill>
                            <a:latin typeface="Cambria Math" panose="02040503050406030204" pitchFamily="18" charset="0"/>
                          </a:rPr>
                        </m:ctrlPr>
                      </m:fPr>
                      <m:num>
                        <m:sSup>
                          <m:sSupPr>
                            <m:ctrlPr>
                              <a:rPr lang="it-IT" i="1">
                                <a:solidFill>
                                  <a:srgbClr val="000000"/>
                                </a:solidFill>
                                <a:latin typeface="Cambria Math" panose="02040503050406030204" pitchFamily="18" charset="0"/>
                              </a:rPr>
                            </m:ctrlPr>
                          </m:sSupPr>
                          <m:e>
                            <m:r>
                              <a:rPr lang="it-IT" b="0" i="1">
                                <a:solidFill>
                                  <a:srgbClr val="000000"/>
                                </a:solidFill>
                                <a:latin typeface="Cambria Math" panose="02040503050406030204" pitchFamily="18" charset="0"/>
                              </a:rPr>
                              <m:t>𝑉𝑅𝐺</m:t>
                            </m:r>
                          </m:e>
                          <m:sup>
                            <m:r>
                              <a:rPr lang="it-IT" i="1">
                                <a:solidFill>
                                  <a:srgbClr val="000000"/>
                                </a:solidFill>
                                <a:latin typeface="Cambria Math" panose="02040503050406030204" pitchFamily="18" charset="0"/>
                              </a:rPr>
                              <m:t>2</m:t>
                            </m:r>
                            <m:r>
                              <a:rPr lang="it-IT" b="0" i="1">
                                <a:solidFill>
                                  <a:srgbClr val="000000"/>
                                </a:solidFill>
                                <a:latin typeface="Cambria Math" panose="02040503050406030204" pitchFamily="18" charset="0"/>
                              </a:rPr>
                              <m:t>022</m:t>
                            </m:r>
                          </m:sup>
                        </m:sSup>
                      </m:num>
                      <m:den>
                        <m:r>
                          <a:rPr lang="it-IT" b="0" i="1">
                            <a:solidFill>
                              <a:srgbClr val="000000"/>
                            </a:solidFill>
                            <a:latin typeface="Cambria Math" panose="02040503050406030204" pitchFamily="18" charset="0"/>
                          </a:rPr>
                          <m:t>𝑝𝑜𝑝</m:t>
                        </m:r>
                        <m:r>
                          <a:rPr lang="it-IT" b="0" i="1">
                            <a:solidFill>
                              <a:srgbClr val="000000"/>
                            </a:solidFill>
                            <a:latin typeface="Cambria Math" panose="02040503050406030204" pitchFamily="18" charset="0"/>
                          </a:rPr>
                          <m:t>+0,25</m:t>
                        </m:r>
                        <m:sSub>
                          <m:sSubPr>
                            <m:ctrlPr>
                              <a:rPr lang="it-IT" b="0" i="1">
                                <a:solidFill>
                                  <a:srgbClr val="000000"/>
                                </a:solidFill>
                                <a:latin typeface="Cambria Math" panose="02040503050406030204" pitchFamily="18" charset="0"/>
                              </a:rPr>
                            </m:ctrlPr>
                          </m:sSubPr>
                          <m:e>
                            <m:r>
                              <a:rPr lang="it-IT" b="0" i="1">
                                <a:solidFill>
                                  <a:srgbClr val="000000"/>
                                </a:solidFill>
                                <a:latin typeface="Cambria Math" panose="02040503050406030204" pitchFamily="18" charset="0"/>
                              </a:rPr>
                              <m:t>𝑝𝑜𝑝</m:t>
                            </m:r>
                          </m:e>
                          <m:sub>
                            <m:r>
                              <a:rPr lang="it-IT" b="0" i="1">
                                <a:solidFill>
                                  <a:srgbClr val="000000"/>
                                </a:solidFill>
                                <a:latin typeface="Cambria Math" panose="02040503050406030204" pitchFamily="18" charset="0"/>
                              </a:rPr>
                              <m:t>𝑓𝑙𝑢𝑡</m:t>
                            </m:r>
                          </m:sub>
                        </m:sSub>
                      </m:den>
                    </m:f>
                    <m:r>
                      <a:rPr lang="it-IT" i="1">
                        <a:solidFill>
                          <a:srgbClr val="000000"/>
                        </a:solidFill>
                        <a:latin typeface="Cambria Math" panose="02040503050406030204" pitchFamily="18" charset="0"/>
                      </a:rPr>
                      <m:t>≤</m:t>
                    </m:r>
                    <m:sSub>
                      <m:sSubPr>
                        <m:ctrlPr>
                          <a:rPr lang="it-IT" i="1">
                            <a:solidFill>
                              <a:srgbClr val="000000"/>
                            </a:solidFill>
                            <a:latin typeface="Cambria Math" panose="02040503050406030204" pitchFamily="18" charset="0"/>
                          </a:rPr>
                        </m:ctrlPr>
                      </m:sSubPr>
                      <m:e>
                        <m:r>
                          <a:rPr lang="it-IT" b="0" i="1">
                            <a:solidFill>
                              <a:srgbClr val="000000"/>
                            </a:solidFill>
                            <a:latin typeface="Cambria Math" panose="02040503050406030204" pitchFamily="18" charset="0"/>
                          </a:rPr>
                          <m:t>𝑉𝑅𝐺</m:t>
                        </m:r>
                      </m:e>
                      <m:sub>
                        <m:r>
                          <a:rPr lang="it-IT" b="0" i="1">
                            <a:solidFill>
                              <a:srgbClr val="000000"/>
                            </a:solidFill>
                            <a:latin typeface="Cambria Math" panose="02040503050406030204" pitchFamily="18" charset="0"/>
                          </a:rPr>
                          <m:t>𝑃𝑀</m:t>
                        </m:r>
                      </m:sub>
                    </m:sSub>
                  </m:oMath>
                </m:oMathPara>
              </a14:m>
              <a:endParaRPr lang="it-IT"/>
            </a:p>
          </xdr:txBody>
        </xdr:sp>
      </mc:Choice>
      <mc:Fallback xmlns="">
        <xdr:sp macro="" textlink="">
          <xdr:nvSpPr>
            <xdr:cNvPr id="8" name="Object 4">
              <a:extLst>
                <a:ext uri="{63B3BB69-23CF-44E3-9099-C40C66FF867C}">
                  <a14:compatExt xmlns:a14="http://schemas.microsoft.com/office/drawing/2010/main" spid="_x0000_s1028"/>
                </a:ext>
                <a:ext uri="{FF2B5EF4-FFF2-40B4-BE49-F238E27FC236}">
                  <a16:creationId xmlns:a16="http://schemas.microsoft.com/office/drawing/2014/main" id="{008307B5-3CCF-45E6-AF03-BA995003C613}"/>
                </a:ext>
              </a:extLst>
            </xdr:cNvPr>
            <xdr:cNvSpPr txBox="1"/>
          </xdr:nvSpPr>
          <xdr:spPr>
            <a:xfrm>
              <a:off x="3998707" y="6618978"/>
              <a:ext cx="1985683" cy="475937"/>
            </a:xfrm>
            <a:prstGeom prst="rect">
              <a:avLst/>
            </a:prstGeom>
          </xdr:spPr>
          <xdr:txBody>
            <a:bodyPr vertOverflow="clip" horzOverflow="clip" wrap="square">
              <a:spAutoFit/>
            </a:bodyPr>
            <a:lstStyle/>
            <a:p>
              <a:pP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a:t>
              </a:r>
              <a:r>
                <a:rPr lang="it-IT" i="0">
                  <a:solidFill>
                    <a:srgbClr val="000000"/>
                  </a:solidFill>
                  <a:latin typeface="Cambria Math" panose="02040503050406030204" pitchFamily="18" charset="0"/>
                </a:rPr>
                <a:t>2</a:t>
              </a:r>
              <a:r>
                <a:rPr lang="it-IT" b="0" i="0">
                  <a:solidFill>
                    <a:srgbClr val="000000"/>
                  </a:solidFill>
                  <a:latin typeface="Cambria Math" panose="02040503050406030204" pitchFamily="18" charset="0"/>
                </a:rPr>
                <a:t>022/(𝑝𝑜𝑝+0,25〖𝑝𝑜𝑝〗_𝑓𝑙𝑢𝑡 )</a:t>
              </a: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𝑉𝑅𝐺〗_𝑃𝑀</a:t>
              </a:r>
              <a:endParaRPr lang="it-IT"/>
            </a:p>
          </xdr:txBody>
        </xdr:sp>
      </mc:Fallback>
    </mc:AlternateContent>
    <xdr:clientData/>
  </xdr:twoCellAnchor>
  <xdr:twoCellAnchor>
    <xdr:from>
      <xdr:col>4</xdr:col>
      <xdr:colOff>96371</xdr:colOff>
      <xdr:row>26</xdr:row>
      <xdr:rowOff>51546</xdr:rowOff>
    </xdr:from>
    <xdr:to>
      <xdr:col>5</xdr:col>
      <xdr:colOff>1015254</xdr:colOff>
      <xdr:row>28</xdr:row>
      <xdr:rowOff>150293</xdr:rowOff>
    </xdr:to>
    <mc:AlternateContent xmlns:mc="http://schemas.openxmlformats.org/markup-compatibility/2006" xmlns:a14="http://schemas.microsoft.com/office/drawing/2010/main">
      <mc:Choice Requires="a14">
        <xdr:sp macro="" textlink="">
          <xdr:nvSpPr>
            <xdr:cNvPr id="15" name="Object 4">
              <a:extLst>
                <a:ext uri="{63B3BB69-23CF-44E3-9099-C40C66FF867C}">
                  <a14:compatExt spid="_x0000_s1028"/>
                </a:ext>
                <a:ext uri="{FF2B5EF4-FFF2-40B4-BE49-F238E27FC236}">
                  <a16:creationId xmlns:a16="http://schemas.microsoft.com/office/drawing/2014/main" id="{FFB673B9-229A-4C49-A8D6-EA6007EBC5AC}"/>
                </a:ext>
              </a:extLst>
            </xdr:cNvPr>
            <xdr:cNvSpPr txBox="1"/>
          </xdr:nvSpPr>
          <xdr:spPr>
            <a:xfrm>
              <a:off x="6131411" y="6627606"/>
              <a:ext cx="1985683" cy="475937"/>
            </a:xfrm>
            <a:prstGeom prst="rect">
              <a:avLst/>
            </a:prstGeom>
          </xdr:spPr>
          <xdr:txBody>
            <a:bodyPr vertOverflow="clip" horzOverflow="clip" wrap="square">
              <a:spAutoFit/>
            </a:bodyPr>
            <a:lstStyle/>
            <a:p>
              <a:pPr/>
              <a14:m>
                <m:oMathPara xmlns:m="http://schemas.openxmlformats.org/officeDocument/2006/math">
                  <m:oMathParaPr>
                    <m:jc m:val="centerGroup"/>
                  </m:oMathParaPr>
                  <m:oMath xmlns:m="http://schemas.openxmlformats.org/officeDocument/2006/math">
                    <m:f>
                      <m:fPr>
                        <m:ctrlPr>
                          <a:rPr lang="it-IT" i="1">
                            <a:solidFill>
                              <a:srgbClr val="000000"/>
                            </a:solidFill>
                            <a:latin typeface="Cambria Math" panose="02040503050406030204" pitchFamily="18" charset="0"/>
                          </a:rPr>
                        </m:ctrlPr>
                      </m:fPr>
                      <m:num>
                        <m:sSup>
                          <m:sSupPr>
                            <m:ctrlPr>
                              <a:rPr lang="it-IT" i="1">
                                <a:solidFill>
                                  <a:srgbClr val="000000"/>
                                </a:solidFill>
                                <a:latin typeface="Cambria Math" panose="02040503050406030204" pitchFamily="18" charset="0"/>
                              </a:rPr>
                            </m:ctrlPr>
                          </m:sSupPr>
                          <m:e>
                            <m:r>
                              <a:rPr lang="it-IT" b="0" i="1">
                                <a:solidFill>
                                  <a:srgbClr val="000000"/>
                                </a:solidFill>
                                <a:latin typeface="Cambria Math" panose="02040503050406030204" pitchFamily="18" charset="0"/>
                              </a:rPr>
                              <m:t>𝑉𝑅𝐺</m:t>
                            </m:r>
                          </m:e>
                          <m:sup>
                            <m:r>
                              <a:rPr lang="it-IT" i="1">
                                <a:solidFill>
                                  <a:srgbClr val="000000"/>
                                </a:solidFill>
                                <a:latin typeface="Cambria Math" panose="02040503050406030204" pitchFamily="18" charset="0"/>
                              </a:rPr>
                              <m:t>2</m:t>
                            </m:r>
                            <m:r>
                              <a:rPr lang="it-IT" b="0" i="1">
                                <a:solidFill>
                                  <a:srgbClr val="000000"/>
                                </a:solidFill>
                                <a:latin typeface="Cambria Math" panose="02040503050406030204" pitchFamily="18" charset="0"/>
                              </a:rPr>
                              <m:t>022</m:t>
                            </m:r>
                          </m:sup>
                        </m:sSup>
                      </m:num>
                      <m:den>
                        <m:r>
                          <a:rPr lang="it-IT" b="0" i="1">
                            <a:solidFill>
                              <a:srgbClr val="000000"/>
                            </a:solidFill>
                            <a:latin typeface="Cambria Math" panose="02040503050406030204" pitchFamily="18" charset="0"/>
                          </a:rPr>
                          <m:t>𝑝𝑜𝑝</m:t>
                        </m:r>
                        <m:r>
                          <a:rPr lang="it-IT" b="0" i="1">
                            <a:solidFill>
                              <a:srgbClr val="000000"/>
                            </a:solidFill>
                            <a:latin typeface="Cambria Math" panose="02040503050406030204" pitchFamily="18" charset="0"/>
                          </a:rPr>
                          <m:t>+0,25</m:t>
                        </m:r>
                        <m:sSub>
                          <m:sSubPr>
                            <m:ctrlPr>
                              <a:rPr lang="it-IT" b="0" i="1">
                                <a:solidFill>
                                  <a:srgbClr val="000000"/>
                                </a:solidFill>
                                <a:latin typeface="Cambria Math" panose="02040503050406030204" pitchFamily="18" charset="0"/>
                              </a:rPr>
                            </m:ctrlPr>
                          </m:sSubPr>
                          <m:e>
                            <m:r>
                              <a:rPr lang="it-IT" b="0" i="1">
                                <a:solidFill>
                                  <a:srgbClr val="000000"/>
                                </a:solidFill>
                                <a:latin typeface="Cambria Math" panose="02040503050406030204" pitchFamily="18" charset="0"/>
                              </a:rPr>
                              <m:t>𝑝𝑜𝑝</m:t>
                            </m:r>
                          </m:e>
                          <m:sub>
                            <m:r>
                              <a:rPr lang="it-IT" b="0" i="1">
                                <a:solidFill>
                                  <a:srgbClr val="000000"/>
                                </a:solidFill>
                                <a:latin typeface="Cambria Math" panose="02040503050406030204" pitchFamily="18" charset="0"/>
                              </a:rPr>
                              <m:t>𝑓𝑙𝑢𝑡</m:t>
                            </m:r>
                          </m:sub>
                        </m:sSub>
                      </m:den>
                    </m:f>
                    <m:r>
                      <a:rPr lang="it-IT" b="0" i="1">
                        <a:solidFill>
                          <a:srgbClr val="000000"/>
                        </a:solidFill>
                        <a:latin typeface="Cambria Math" panose="02040503050406030204" pitchFamily="18" charset="0"/>
                      </a:rPr>
                      <m:t>&gt;</m:t>
                    </m:r>
                    <m:sSub>
                      <m:sSubPr>
                        <m:ctrlPr>
                          <a:rPr lang="it-IT" i="1">
                            <a:solidFill>
                              <a:srgbClr val="000000"/>
                            </a:solidFill>
                            <a:latin typeface="Cambria Math" panose="02040503050406030204" pitchFamily="18" charset="0"/>
                          </a:rPr>
                        </m:ctrlPr>
                      </m:sSubPr>
                      <m:e>
                        <m:r>
                          <a:rPr lang="it-IT" b="0" i="1">
                            <a:solidFill>
                              <a:srgbClr val="000000"/>
                            </a:solidFill>
                            <a:latin typeface="Cambria Math" panose="02040503050406030204" pitchFamily="18" charset="0"/>
                          </a:rPr>
                          <m:t>𝑉𝑅𝐺</m:t>
                        </m:r>
                      </m:e>
                      <m:sub>
                        <m:r>
                          <a:rPr lang="it-IT" b="0" i="1">
                            <a:solidFill>
                              <a:srgbClr val="000000"/>
                            </a:solidFill>
                            <a:latin typeface="Cambria Math" panose="02040503050406030204" pitchFamily="18" charset="0"/>
                          </a:rPr>
                          <m:t>𝑃𝑀</m:t>
                        </m:r>
                      </m:sub>
                    </m:sSub>
                  </m:oMath>
                </m:oMathPara>
              </a14:m>
              <a:endParaRPr lang="it-IT"/>
            </a:p>
          </xdr:txBody>
        </xdr:sp>
      </mc:Choice>
      <mc:Fallback xmlns="">
        <xdr:sp macro="" textlink="">
          <xdr:nvSpPr>
            <xdr:cNvPr id="15" name="Object 4">
              <a:extLst>
                <a:ext uri="{63B3BB69-23CF-44E3-9099-C40C66FF867C}">
                  <a14:compatExt xmlns:a14="http://schemas.microsoft.com/office/drawing/2010/main" spid="_x0000_s1028"/>
                </a:ext>
                <a:ext uri="{FF2B5EF4-FFF2-40B4-BE49-F238E27FC236}">
                  <a16:creationId xmlns:a16="http://schemas.microsoft.com/office/drawing/2014/main" id="{FFB673B9-229A-4C49-A8D6-EA6007EBC5AC}"/>
                </a:ext>
              </a:extLst>
            </xdr:cNvPr>
            <xdr:cNvSpPr txBox="1"/>
          </xdr:nvSpPr>
          <xdr:spPr>
            <a:xfrm>
              <a:off x="6131411" y="6627606"/>
              <a:ext cx="1985683" cy="475937"/>
            </a:xfrm>
            <a:prstGeom prst="rect">
              <a:avLst/>
            </a:prstGeom>
          </xdr:spPr>
          <xdr:txBody>
            <a:bodyPr vertOverflow="clip" horzOverflow="clip" wrap="square">
              <a:spAutoFit/>
            </a:bodyPr>
            <a:lstStyle/>
            <a:p>
              <a:pP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a:t>
              </a:r>
              <a:r>
                <a:rPr lang="it-IT" i="0">
                  <a:solidFill>
                    <a:srgbClr val="000000"/>
                  </a:solidFill>
                  <a:latin typeface="Cambria Math" panose="02040503050406030204" pitchFamily="18" charset="0"/>
                </a:rPr>
                <a:t>2</a:t>
              </a:r>
              <a:r>
                <a:rPr lang="it-IT" b="0" i="0">
                  <a:solidFill>
                    <a:srgbClr val="000000"/>
                  </a:solidFill>
                  <a:latin typeface="Cambria Math" panose="02040503050406030204" pitchFamily="18" charset="0"/>
                </a:rPr>
                <a:t>022/(𝑝𝑜𝑝+0,25〖𝑝𝑜𝑝〗_𝑓𝑙𝑢𝑡 )&gt;</a:t>
              </a: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𝑉𝑅𝐺〗_𝑃𝑀</a:t>
              </a:r>
              <a:endParaRPr lang="it-IT"/>
            </a:p>
          </xdr:txBody>
        </xdr:sp>
      </mc:Fallback>
    </mc:AlternateContent>
    <xdr:clientData/>
  </xdr:twoCellAnchor>
  <xdr:twoCellAnchor>
    <xdr:from>
      <xdr:col>2</xdr:col>
      <xdr:colOff>10645</xdr:colOff>
      <xdr:row>30</xdr:row>
      <xdr:rowOff>146795</xdr:rowOff>
    </xdr:from>
    <xdr:to>
      <xdr:col>4</xdr:col>
      <xdr:colOff>95369</xdr:colOff>
      <xdr:row>33</xdr:row>
      <xdr:rowOff>275</xdr:rowOff>
    </xdr:to>
    <mc:AlternateContent xmlns:mc="http://schemas.openxmlformats.org/markup-compatibility/2006" xmlns:a14="http://schemas.microsoft.com/office/drawing/2010/main">
      <mc:Choice Requires="a14">
        <xdr:sp macro="" textlink="">
          <xdr:nvSpPr>
            <xdr:cNvPr id="16" name="Object 8">
              <a:extLst>
                <a:ext uri="{63B3BB69-23CF-44E3-9099-C40C66FF867C}">
                  <a14:compatExt spid="_x0000_s1032"/>
                </a:ext>
                <a:ext uri="{FF2B5EF4-FFF2-40B4-BE49-F238E27FC236}">
                  <a16:creationId xmlns:a16="http://schemas.microsoft.com/office/drawing/2014/main" id="{CE928B9E-CE27-4DAD-9AF0-E289BB83BD6D}"/>
                </a:ext>
              </a:extLst>
            </xdr:cNvPr>
            <xdr:cNvSpPr txBox="1"/>
          </xdr:nvSpPr>
          <xdr:spPr>
            <a:xfrm>
              <a:off x="3917800" y="7479140"/>
              <a:ext cx="2212609" cy="426885"/>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bg1">
                                <a:lumMod val="50000"/>
                              </a:schemeClr>
                            </a:solidFill>
                            <a:latin typeface="Cambria Math" panose="02040503050406030204" pitchFamily="18" charset="0"/>
                          </a:rPr>
                        </m:ctrlPr>
                      </m:fPr>
                      <m:num>
                        <m:sSup>
                          <m:sSupPr>
                            <m:ctrlPr>
                              <a:rPr lang="it-IT" i="1">
                                <a:solidFill>
                                  <a:schemeClr val="bg1">
                                    <a:lumMod val="50000"/>
                                  </a:schemeClr>
                                </a:solidFill>
                                <a:latin typeface="Cambria Math" panose="02040503050406030204" pitchFamily="18" charset="0"/>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b="0" i="1">
                                <a:solidFill>
                                  <a:schemeClr val="bg1">
                                    <a:lumMod val="50000"/>
                                  </a:schemeClr>
                                </a:solidFill>
                                <a:latin typeface="Cambria Math" panose="02040503050406030204" pitchFamily="18" charset="0"/>
                              </a:rPr>
                              <m:t>𝑎</m:t>
                            </m:r>
                          </m:sup>
                        </m:sSup>
                      </m:num>
                      <m:den>
                        <m:sSup>
                          <m:sSupPr>
                            <m:ctrlPr>
                              <a:rPr lang="it-IT" sz="1100" i="1">
                                <a:solidFill>
                                  <a:schemeClr val="bg1">
                                    <a:lumMod val="50000"/>
                                  </a:schemeClr>
                                </a:solidFill>
                                <a:effectLst/>
                                <a:latin typeface="Cambria Math" panose="02040503050406030204" pitchFamily="18" charset="0"/>
                                <a:ea typeface="+mn-ea"/>
                                <a:cs typeface="+mn-cs"/>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sz="1100" b="0" i="1">
                                <a:solidFill>
                                  <a:schemeClr val="bg1">
                                    <a:lumMod val="50000"/>
                                  </a:schemeClr>
                                </a:solidFill>
                                <a:effectLst/>
                                <a:latin typeface="Cambria Math" panose="02040503050406030204" pitchFamily="18" charset="0"/>
                                <a:ea typeface="+mn-ea"/>
                                <a:cs typeface="+mn-cs"/>
                              </a:rPr>
                              <m:t>𝑎</m:t>
                            </m:r>
                            <m:r>
                              <a:rPr lang="it-IT" sz="1100" b="0" i="1">
                                <a:solidFill>
                                  <a:schemeClr val="bg1">
                                    <a:lumMod val="50000"/>
                                  </a:schemeClr>
                                </a:solidFill>
                                <a:effectLst/>
                                <a:latin typeface="Cambria Math" panose="02040503050406030204" pitchFamily="18" charset="0"/>
                                <a:ea typeface="+mn-ea"/>
                                <a:cs typeface="+mn-cs"/>
                              </a:rPr>
                              <m:t>−1</m:t>
                            </m:r>
                          </m:sup>
                        </m:sSup>
                      </m:den>
                    </m:f>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1+</m:t>
                    </m:r>
                    <m:r>
                      <a:rPr lang="it-IT" b="0" i="1">
                        <a:solidFill>
                          <a:schemeClr val="bg1">
                            <a:lumMod val="50000"/>
                          </a:schemeClr>
                        </a:solidFill>
                        <a:latin typeface="Cambria Math" panose="02040503050406030204" pitchFamily="18" charset="0"/>
                      </a:rPr>
                      <m:t>𝑟𝑝𝑖</m:t>
                    </m:r>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1,25</m:t>
                    </m:r>
                    <m:r>
                      <a:rPr lang="it-IT" i="1">
                        <a:solidFill>
                          <a:schemeClr val="bg1">
                            <a:lumMod val="50000"/>
                          </a:schemeClr>
                        </a:solidFill>
                        <a:latin typeface="Cambria Math" panose="02040503050406030204" pitchFamily="18" charset="0"/>
                      </a:rPr>
                      <m:t>𝐾</m:t>
                    </m:r>
                    <m:r>
                      <a:rPr lang="it-IT" i="1">
                        <a:solidFill>
                          <a:schemeClr val="bg1">
                            <a:lumMod val="50000"/>
                          </a:schemeClr>
                        </a:solidFill>
                        <a:latin typeface="Cambria Math" panose="02040503050406030204" pitchFamily="18" charset="0"/>
                      </a:rPr>
                      <m:t>−1,5</m:t>
                    </m:r>
                    <m:r>
                      <a:rPr lang="it-IT" i="1">
                        <a:solidFill>
                          <a:schemeClr val="bg1">
                            <a:lumMod val="50000"/>
                          </a:schemeClr>
                        </a:solidFill>
                        <a:latin typeface="Cambria Math" panose="02040503050406030204" pitchFamily="18" charset="0"/>
                      </a:rPr>
                      <m:t>𝑋</m:t>
                    </m:r>
                    <m:r>
                      <a:rPr lang="it-IT" b="0" i="1">
                        <a:solidFill>
                          <a:schemeClr val="bg1">
                            <a:lumMod val="50000"/>
                          </a:schemeClr>
                        </a:solidFill>
                        <a:latin typeface="Cambria Math" panose="02040503050406030204" pitchFamily="18" charset="0"/>
                      </a:rPr>
                      <m:t>)</m:t>
                    </m:r>
                  </m:oMath>
                </m:oMathPara>
              </a14:m>
              <a:endParaRPr lang="it-IT">
                <a:solidFill>
                  <a:schemeClr val="bg1">
                    <a:lumMod val="50000"/>
                  </a:schemeClr>
                </a:solidFill>
              </a:endParaRPr>
            </a:p>
          </xdr:txBody>
        </xdr:sp>
      </mc:Choice>
      <mc:Fallback xmlns="">
        <xdr:sp macro="" textlink="">
          <xdr:nvSpPr>
            <xdr:cNvPr id="16" name="Object 8">
              <a:extLst>
                <a:ext uri="{63B3BB69-23CF-44E3-9099-C40C66FF867C}">
                  <a14:compatExt xmlns:a14="http://schemas.microsoft.com/office/drawing/2010/main" spid="_x0000_s1032"/>
                </a:ext>
                <a:ext uri="{FF2B5EF4-FFF2-40B4-BE49-F238E27FC236}">
                  <a16:creationId xmlns:a16="http://schemas.microsoft.com/office/drawing/2014/main" id="{CE928B9E-CE27-4DAD-9AF0-E289BB83BD6D}"/>
                </a:ext>
              </a:extLst>
            </xdr:cNvPr>
            <xdr:cNvSpPr txBox="1"/>
          </xdr:nvSpPr>
          <xdr:spPr>
            <a:xfrm>
              <a:off x="3917800" y="7479140"/>
              <a:ext cx="2212609" cy="426885"/>
            </a:xfrm>
            <a:prstGeom prst="rect">
              <a:avLst/>
            </a:prstGeom>
          </xdr:spPr>
          <xdr:txBody>
            <a:bodyPr vertOverflow="clip" horzOverflow="clip" wrap="none">
              <a:spAutoFit/>
            </a:bodyPr>
            <a:lstStyle/>
            <a:p>
              <a:pPr/>
              <a:r>
                <a:rPr lang="it-IT" sz="1100" i="0">
                  <a:solidFill>
                    <a:schemeClr val="bg1">
                      <a:lumMod val="50000"/>
                    </a:schemeClr>
                  </a:solidFill>
                  <a:effectLst/>
                  <a:latin typeface="Cambria Math" panose="02040503050406030204" pitchFamily="18" charset="0"/>
                  <a:ea typeface="+mn-ea"/>
                  <a:cs typeface="+mn-cs"/>
                </a:rPr>
                <a:t>𝜗^</a:t>
              </a:r>
              <a:r>
                <a:rPr lang="it-IT" b="0" i="0">
                  <a:solidFill>
                    <a:schemeClr val="bg1">
                      <a:lumMod val="50000"/>
                    </a:schemeClr>
                  </a:solidFill>
                  <a:latin typeface="Cambria Math" panose="02040503050406030204" pitchFamily="18" charset="0"/>
                </a:rPr>
                <a:t>𝑎/</a:t>
              </a:r>
              <a:r>
                <a:rPr lang="it-IT" sz="1100" i="0">
                  <a:solidFill>
                    <a:schemeClr val="bg1">
                      <a:lumMod val="50000"/>
                    </a:schemeClr>
                  </a:solidFill>
                  <a:effectLst/>
                  <a:latin typeface="Cambria Math" panose="02040503050406030204" pitchFamily="18" charset="0"/>
                  <a:ea typeface="+mn-ea"/>
                  <a:cs typeface="+mn-cs"/>
                </a:rPr>
                <a:t>𝜗^(</a:t>
              </a:r>
              <a:r>
                <a:rPr lang="it-IT" sz="1100" b="0" i="0">
                  <a:solidFill>
                    <a:schemeClr val="bg1">
                      <a:lumMod val="50000"/>
                    </a:schemeClr>
                  </a:solidFill>
                  <a:effectLst/>
                  <a:latin typeface="Cambria Math" panose="02040503050406030204" pitchFamily="18" charset="0"/>
                  <a:ea typeface="+mn-ea"/>
                  <a:cs typeface="+mn-cs"/>
                </a:rPr>
                <a:t>𝑎−1) </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a:t>
              </a:r>
              <a:r>
                <a:rPr lang="it-IT" i="0">
                  <a:solidFill>
                    <a:schemeClr val="bg1">
                      <a:lumMod val="50000"/>
                    </a:schemeClr>
                  </a:solidFill>
                  <a:latin typeface="Cambria Math" panose="02040503050406030204" pitchFamily="18" charset="0"/>
                </a:rPr>
                <a:t>1+</a:t>
              </a:r>
              <a:r>
                <a:rPr lang="it-IT" b="0" i="0">
                  <a:solidFill>
                    <a:schemeClr val="bg1">
                      <a:lumMod val="50000"/>
                    </a:schemeClr>
                  </a:solidFill>
                  <a:latin typeface="Cambria Math" panose="02040503050406030204" pitchFamily="18" charset="0"/>
                </a:rPr>
                <a:t>𝑟𝑝𝑖</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1,25</a:t>
              </a:r>
              <a:r>
                <a:rPr lang="it-IT" i="0">
                  <a:solidFill>
                    <a:schemeClr val="bg1">
                      <a:lumMod val="50000"/>
                    </a:schemeClr>
                  </a:solidFill>
                  <a:latin typeface="Cambria Math" panose="02040503050406030204" pitchFamily="18" charset="0"/>
                </a:rPr>
                <a:t>𝐾−1,5𝑋</a:t>
              </a:r>
              <a:r>
                <a:rPr lang="it-IT" b="0" i="0">
                  <a:solidFill>
                    <a:schemeClr val="bg1">
                      <a:lumMod val="50000"/>
                    </a:schemeClr>
                  </a:solidFill>
                  <a:latin typeface="Cambria Math" panose="02040503050406030204" pitchFamily="18" charset="0"/>
                </a:rPr>
                <a:t>)</a:t>
              </a:r>
              <a:endParaRPr lang="it-IT">
                <a:solidFill>
                  <a:schemeClr val="bg1">
                    <a:lumMod val="50000"/>
                  </a:schemeClr>
                </a:solidFill>
              </a:endParaRPr>
            </a:p>
          </xdr:txBody>
        </xdr:sp>
      </mc:Fallback>
    </mc:AlternateContent>
    <xdr:clientData/>
  </xdr:twoCellAnchor>
  <xdr:twoCellAnchor>
    <xdr:from>
      <xdr:col>4</xdr:col>
      <xdr:colOff>95809</xdr:colOff>
      <xdr:row>30</xdr:row>
      <xdr:rowOff>131107</xdr:rowOff>
    </xdr:from>
    <xdr:to>
      <xdr:col>6</xdr:col>
      <xdr:colOff>73516</xdr:colOff>
      <xdr:row>32</xdr:row>
      <xdr:rowOff>172846</xdr:rowOff>
    </xdr:to>
    <mc:AlternateContent xmlns:mc="http://schemas.openxmlformats.org/markup-compatibility/2006" xmlns:a14="http://schemas.microsoft.com/office/drawing/2010/main">
      <mc:Choice Requires="a14">
        <xdr:sp macro="" textlink="">
          <xdr:nvSpPr>
            <xdr:cNvPr id="17" name="Object 8">
              <a:extLst>
                <a:ext uri="{63B3BB69-23CF-44E3-9099-C40C66FF867C}">
                  <a14:compatExt spid="_x0000_s1032"/>
                </a:ext>
                <a:ext uri="{FF2B5EF4-FFF2-40B4-BE49-F238E27FC236}">
                  <a16:creationId xmlns:a16="http://schemas.microsoft.com/office/drawing/2014/main" id="{FE7C4EF2-C457-4EC7-BE60-4217BCF1F9CD}"/>
                </a:ext>
              </a:extLst>
            </xdr:cNvPr>
            <xdr:cNvSpPr txBox="1"/>
          </xdr:nvSpPr>
          <xdr:spPr>
            <a:xfrm>
              <a:off x="6130849" y="7469167"/>
              <a:ext cx="2115117" cy="415119"/>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bg1">
                                <a:lumMod val="50000"/>
                              </a:schemeClr>
                            </a:solidFill>
                            <a:latin typeface="Cambria Math" panose="02040503050406030204" pitchFamily="18" charset="0"/>
                          </a:rPr>
                        </m:ctrlPr>
                      </m:fPr>
                      <m:num>
                        <m:sSup>
                          <m:sSupPr>
                            <m:ctrlPr>
                              <a:rPr lang="it-IT" i="1">
                                <a:solidFill>
                                  <a:schemeClr val="bg1">
                                    <a:lumMod val="50000"/>
                                  </a:schemeClr>
                                </a:solidFill>
                                <a:latin typeface="Cambria Math" panose="02040503050406030204" pitchFamily="18" charset="0"/>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b="0" i="1">
                                <a:solidFill>
                                  <a:schemeClr val="bg1">
                                    <a:lumMod val="50000"/>
                                  </a:schemeClr>
                                </a:solidFill>
                                <a:latin typeface="Cambria Math" panose="02040503050406030204" pitchFamily="18" charset="0"/>
                              </a:rPr>
                              <m:t>𝑎</m:t>
                            </m:r>
                          </m:sup>
                        </m:sSup>
                      </m:num>
                      <m:den>
                        <m:sSup>
                          <m:sSupPr>
                            <m:ctrlPr>
                              <a:rPr lang="it-IT" sz="1100" i="1">
                                <a:solidFill>
                                  <a:schemeClr val="bg1">
                                    <a:lumMod val="50000"/>
                                  </a:schemeClr>
                                </a:solidFill>
                                <a:effectLst/>
                                <a:latin typeface="Cambria Math" panose="02040503050406030204" pitchFamily="18" charset="0"/>
                                <a:ea typeface="+mn-ea"/>
                                <a:cs typeface="+mn-cs"/>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sz="1100" b="0" i="1">
                                <a:solidFill>
                                  <a:schemeClr val="bg1">
                                    <a:lumMod val="50000"/>
                                  </a:schemeClr>
                                </a:solidFill>
                                <a:effectLst/>
                                <a:latin typeface="Cambria Math" panose="02040503050406030204" pitchFamily="18" charset="0"/>
                                <a:ea typeface="+mn-ea"/>
                                <a:cs typeface="+mn-cs"/>
                              </a:rPr>
                              <m:t>𝑎</m:t>
                            </m:r>
                            <m:r>
                              <a:rPr lang="it-IT" sz="1100" b="0" i="1">
                                <a:solidFill>
                                  <a:schemeClr val="bg1">
                                    <a:lumMod val="50000"/>
                                  </a:schemeClr>
                                </a:solidFill>
                                <a:effectLst/>
                                <a:latin typeface="Cambria Math" panose="02040503050406030204" pitchFamily="18" charset="0"/>
                                <a:ea typeface="+mn-ea"/>
                                <a:cs typeface="+mn-cs"/>
                              </a:rPr>
                              <m:t>−1</m:t>
                            </m:r>
                          </m:sup>
                        </m:sSup>
                      </m:den>
                    </m:f>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1+</m:t>
                    </m:r>
                    <m:r>
                      <a:rPr lang="it-IT" b="0" i="1">
                        <a:solidFill>
                          <a:schemeClr val="bg1">
                            <a:lumMod val="50000"/>
                          </a:schemeClr>
                        </a:solidFill>
                        <a:latin typeface="Cambria Math" panose="02040503050406030204" pitchFamily="18" charset="0"/>
                      </a:rPr>
                      <m:t>𝑟𝑝𝑖</m:t>
                    </m:r>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1,25</m:t>
                    </m:r>
                    <m:r>
                      <a:rPr lang="it-IT" i="1">
                        <a:solidFill>
                          <a:schemeClr val="bg1">
                            <a:lumMod val="50000"/>
                          </a:schemeClr>
                        </a:solidFill>
                        <a:latin typeface="Cambria Math" panose="02040503050406030204" pitchFamily="18" charset="0"/>
                      </a:rPr>
                      <m:t>𝐾</m:t>
                    </m:r>
                    <m:r>
                      <a:rPr lang="it-IT" i="1">
                        <a:solidFill>
                          <a:schemeClr val="bg1">
                            <a:lumMod val="50000"/>
                          </a:schemeClr>
                        </a:solidFill>
                        <a:latin typeface="Cambria Math" panose="02040503050406030204" pitchFamily="18" charset="0"/>
                      </a:rPr>
                      <m:t>−2</m:t>
                    </m:r>
                    <m:r>
                      <a:rPr lang="it-IT" i="1">
                        <a:solidFill>
                          <a:schemeClr val="bg1">
                            <a:lumMod val="50000"/>
                          </a:schemeClr>
                        </a:solidFill>
                        <a:latin typeface="Cambria Math" panose="02040503050406030204" pitchFamily="18" charset="0"/>
                      </a:rPr>
                      <m:t>𝑋</m:t>
                    </m:r>
                    <m:r>
                      <a:rPr lang="it-IT" b="0" i="1">
                        <a:solidFill>
                          <a:schemeClr val="bg1">
                            <a:lumMod val="50000"/>
                          </a:schemeClr>
                        </a:solidFill>
                        <a:latin typeface="Cambria Math" panose="02040503050406030204" pitchFamily="18" charset="0"/>
                      </a:rPr>
                      <m:t>)</m:t>
                    </m:r>
                  </m:oMath>
                </m:oMathPara>
              </a14:m>
              <a:endParaRPr lang="it-IT">
                <a:solidFill>
                  <a:schemeClr val="bg1">
                    <a:lumMod val="50000"/>
                  </a:schemeClr>
                </a:solidFill>
              </a:endParaRPr>
            </a:p>
          </xdr:txBody>
        </xdr:sp>
      </mc:Choice>
      <mc:Fallback xmlns="">
        <xdr:sp macro="" textlink="">
          <xdr:nvSpPr>
            <xdr:cNvPr id="17" name="Object 8">
              <a:extLst>
                <a:ext uri="{63B3BB69-23CF-44E3-9099-C40C66FF867C}">
                  <a14:compatExt xmlns:a14="http://schemas.microsoft.com/office/drawing/2010/main" spid="_x0000_s1032"/>
                </a:ext>
                <a:ext uri="{FF2B5EF4-FFF2-40B4-BE49-F238E27FC236}">
                  <a16:creationId xmlns:a16="http://schemas.microsoft.com/office/drawing/2014/main" id="{FE7C4EF2-C457-4EC7-BE60-4217BCF1F9CD}"/>
                </a:ext>
              </a:extLst>
            </xdr:cNvPr>
            <xdr:cNvSpPr txBox="1"/>
          </xdr:nvSpPr>
          <xdr:spPr>
            <a:xfrm>
              <a:off x="6130849" y="7469167"/>
              <a:ext cx="2115117" cy="415119"/>
            </a:xfrm>
            <a:prstGeom prst="rect">
              <a:avLst/>
            </a:prstGeom>
          </xdr:spPr>
          <xdr:txBody>
            <a:bodyPr vertOverflow="clip" horzOverflow="clip" wrap="none">
              <a:spAutoFit/>
            </a:bodyPr>
            <a:lstStyle/>
            <a:p>
              <a:pPr/>
              <a:r>
                <a:rPr lang="it-IT" sz="1100" i="0">
                  <a:solidFill>
                    <a:schemeClr val="bg1">
                      <a:lumMod val="50000"/>
                    </a:schemeClr>
                  </a:solidFill>
                  <a:effectLst/>
                  <a:latin typeface="Cambria Math" panose="02040503050406030204" pitchFamily="18" charset="0"/>
                  <a:ea typeface="+mn-ea"/>
                  <a:cs typeface="+mn-cs"/>
                </a:rPr>
                <a:t>𝜗^</a:t>
              </a:r>
              <a:r>
                <a:rPr lang="it-IT" b="0" i="0">
                  <a:solidFill>
                    <a:schemeClr val="bg1">
                      <a:lumMod val="50000"/>
                    </a:schemeClr>
                  </a:solidFill>
                  <a:latin typeface="Cambria Math" panose="02040503050406030204" pitchFamily="18" charset="0"/>
                </a:rPr>
                <a:t>𝑎/</a:t>
              </a:r>
              <a:r>
                <a:rPr lang="it-IT" sz="1100" i="0">
                  <a:solidFill>
                    <a:schemeClr val="bg1">
                      <a:lumMod val="50000"/>
                    </a:schemeClr>
                  </a:solidFill>
                  <a:effectLst/>
                  <a:latin typeface="Cambria Math" panose="02040503050406030204" pitchFamily="18" charset="0"/>
                  <a:ea typeface="+mn-ea"/>
                  <a:cs typeface="+mn-cs"/>
                </a:rPr>
                <a:t>𝜗^(</a:t>
              </a:r>
              <a:r>
                <a:rPr lang="it-IT" sz="1100" b="0" i="0">
                  <a:solidFill>
                    <a:schemeClr val="bg1">
                      <a:lumMod val="50000"/>
                    </a:schemeClr>
                  </a:solidFill>
                  <a:effectLst/>
                  <a:latin typeface="Cambria Math" panose="02040503050406030204" pitchFamily="18" charset="0"/>
                  <a:ea typeface="+mn-ea"/>
                  <a:cs typeface="+mn-cs"/>
                </a:rPr>
                <a:t>𝑎−1) </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a:t>
              </a:r>
              <a:r>
                <a:rPr lang="it-IT" i="0">
                  <a:solidFill>
                    <a:schemeClr val="bg1">
                      <a:lumMod val="50000"/>
                    </a:schemeClr>
                  </a:solidFill>
                  <a:latin typeface="Cambria Math" panose="02040503050406030204" pitchFamily="18" charset="0"/>
                </a:rPr>
                <a:t>1+</a:t>
              </a:r>
              <a:r>
                <a:rPr lang="it-IT" b="0" i="0">
                  <a:solidFill>
                    <a:schemeClr val="bg1">
                      <a:lumMod val="50000"/>
                    </a:schemeClr>
                  </a:solidFill>
                  <a:latin typeface="Cambria Math" panose="02040503050406030204" pitchFamily="18" charset="0"/>
                </a:rPr>
                <a:t>𝑟𝑝𝑖</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1,25</a:t>
              </a:r>
              <a:r>
                <a:rPr lang="it-IT" i="0">
                  <a:solidFill>
                    <a:schemeClr val="bg1">
                      <a:lumMod val="50000"/>
                    </a:schemeClr>
                  </a:solidFill>
                  <a:latin typeface="Cambria Math" panose="02040503050406030204" pitchFamily="18" charset="0"/>
                </a:rPr>
                <a:t>𝐾−2𝑋</a:t>
              </a:r>
              <a:r>
                <a:rPr lang="it-IT" b="0" i="0">
                  <a:solidFill>
                    <a:schemeClr val="bg1">
                      <a:lumMod val="50000"/>
                    </a:schemeClr>
                  </a:solidFill>
                  <a:latin typeface="Cambria Math" panose="02040503050406030204" pitchFamily="18" charset="0"/>
                </a:rPr>
                <a:t>)</a:t>
              </a:r>
              <a:endParaRPr lang="it-IT">
                <a:solidFill>
                  <a:schemeClr val="bg1">
                    <a:lumMod val="50000"/>
                  </a:schemeClr>
                </a:solidFill>
              </a:endParaRPr>
            </a:p>
          </xdr:txBody>
        </xdr:sp>
      </mc:Fallback>
    </mc:AlternateContent>
    <xdr:clientData/>
  </xdr:twoCellAnchor>
  <xdr:twoCellAnchor>
    <xdr:from>
      <xdr:col>6</xdr:col>
      <xdr:colOff>115981</xdr:colOff>
      <xdr:row>30</xdr:row>
      <xdr:rowOff>119902</xdr:rowOff>
    </xdr:from>
    <xdr:to>
      <xdr:col>8</xdr:col>
      <xdr:colOff>93688</xdr:colOff>
      <xdr:row>32</xdr:row>
      <xdr:rowOff>161641</xdr:rowOff>
    </xdr:to>
    <mc:AlternateContent xmlns:mc="http://schemas.openxmlformats.org/markup-compatibility/2006" xmlns:a14="http://schemas.microsoft.com/office/drawing/2010/main">
      <mc:Choice Requires="a14">
        <xdr:sp macro="" textlink="">
          <xdr:nvSpPr>
            <xdr:cNvPr id="18" name="Object 8">
              <a:extLst>
                <a:ext uri="{63B3BB69-23CF-44E3-9099-C40C66FF867C}">
                  <a14:compatExt spid="_x0000_s1032"/>
                </a:ext>
                <a:ext uri="{FF2B5EF4-FFF2-40B4-BE49-F238E27FC236}">
                  <a16:creationId xmlns:a16="http://schemas.microsoft.com/office/drawing/2014/main" id="{1D017740-60C2-4E2B-A4BF-C7141B10B846}"/>
                </a:ext>
              </a:extLst>
            </xdr:cNvPr>
            <xdr:cNvSpPr txBox="1"/>
          </xdr:nvSpPr>
          <xdr:spPr>
            <a:xfrm>
              <a:off x="8288431" y="7456057"/>
              <a:ext cx="2115117" cy="422739"/>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bg1">
                                <a:lumMod val="50000"/>
                              </a:schemeClr>
                            </a:solidFill>
                            <a:latin typeface="Cambria Math" panose="02040503050406030204" pitchFamily="18" charset="0"/>
                          </a:rPr>
                        </m:ctrlPr>
                      </m:fPr>
                      <m:num>
                        <m:sSup>
                          <m:sSupPr>
                            <m:ctrlPr>
                              <a:rPr lang="it-IT" i="1">
                                <a:solidFill>
                                  <a:schemeClr val="bg1">
                                    <a:lumMod val="50000"/>
                                  </a:schemeClr>
                                </a:solidFill>
                                <a:latin typeface="Cambria Math" panose="02040503050406030204" pitchFamily="18" charset="0"/>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b="0" i="1">
                                <a:solidFill>
                                  <a:schemeClr val="bg1">
                                    <a:lumMod val="50000"/>
                                  </a:schemeClr>
                                </a:solidFill>
                                <a:latin typeface="Cambria Math" panose="02040503050406030204" pitchFamily="18" charset="0"/>
                              </a:rPr>
                              <m:t>𝑎</m:t>
                            </m:r>
                          </m:sup>
                        </m:sSup>
                      </m:num>
                      <m:den>
                        <m:sSup>
                          <m:sSupPr>
                            <m:ctrlPr>
                              <a:rPr lang="it-IT" sz="1100" i="1">
                                <a:solidFill>
                                  <a:schemeClr val="bg1">
                                    <a:lumMod val="50000"/>
                                  </a:schemeClr>
                                </a:solidFill>
                                <a:effectLst/>
                                <a:latin typeface="Cambria Math" panose="02040503050406030204" pitchFamily="18" charset="0"/>
                                <a:ea typeface="+mn-ea"/>
                                <a:cs typeface="+mn-cs"/>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sz="1100" b="0" i="1">
                                <a:solidFill>
                                  <a:schemeClr val="bg1">
                                    <a:lumMod val="50000"/>
                                  </a:schemeClr>
                                </a:solidFill>
                                <a:effectLst/>
                                <a:latin typeface="Cambria Math" panose="02040503050406030204" pitchFamily="18" charset="0"/>
                                <a:ea typeface="+mn-ea"/>
                                <a:cs typeface="+mn-cs"/>
                              </a:rPr>
                              <m:t>𝑎</m:t>
                            </m:r>
                            <m:r>
                              <a:rPr lang="it-IT" sz="1100" b="0" i="1">
                                <a:solidFill>
                                  <a:schemeClr val="bg1">
                                    <a:lumMod val="50000"/>
                                  </a:schemeClr>
                                </a:solidFill>
                                <a:effectLst/>
                                <a:latin typeface="Cambria Math" panose="02040503050406030204" pitchFamily="18" charset="0"/>
                                <a:ea typeface="+mn-ea"/>
                                <a:cs typeface="+mn-cs"/>
                              </a:rPr>
                              <m:t>−1</m:t>
                            </m:r>
                          </m:sup>
                        </m:sSup>
                      </m:den>
                    </m:f>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1+</m:t>
                    </m:r>
                    <m:r>
                      <a:rPr lang="it-IT" b="0" i="1">
                        <a:solidFill>
                          <a:schemeClr val="bg1">
                            <a:lumMod val="50000"/>
                          </a:schemeClr>
                        </a:solidFill>
                        <a:latin typeface="Cambria Math" panose="02040503050406030204" pitchFamily="18" charset="0"/>
                      </a:rPr>
                      <m:t>𝑟𝑝𝑖</m:t>
                    </m:r>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1,25</m:t>
                    </m:r>
                    <m:r>
                      <a:rPr lang="it-IT" i="1">
                        <a:solidFill>
                          <a:schemeClr val="bg1">
                            <a:lumMod val="50000"/>
                          </a:schemeClr>
                        </a:solidFill>
                        <a:latin typeface="Cambria Math" panose="02040503050406030204" pitchFamily="18" charset="0"/>
                      </a:rPr>
                      <m:t>𝐾</m:t>
                    </m:r>
                    <m:r>
                      <a:rPr lang="it-IT"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𝑋</m:t>
                    </m:r>
                    <m:r>
                      <a:rPr lang="it-IT" b="0" i="1">
                        <a:solidFill>
                          <a:schemeClr val="bg1">
                            <a:lumMod val="50000"/>
                          </a:schemeClr>
                        </a:solidFill>
                        <a:latin typeface="Cambria Math" panose="02040503050406030204" pitchFamily="18" charset="0"/>
                      </a:rPr>
                      <m:t>)</m:t>
                    </m:r>
                  </m:oMath>
                </m:oMathPara>
              </a14:m>
              <a:endParaRPr lang="it-IT">
                <a:solidFill>
                  <a:schemeClr val="bg1">
                    <a:lumMod val="50000"/>
                  </a:schemeClr>
                </a:solidFill>
              </a:endParaRPr>
            </a:p>
          </xdr:txBody>
        </xdr:sp>
      </mc:Choice>
      <mc:Fallback xmlns="">
        <xdr:sp macro="" textlink="">
          <xdr:nvSpPr>
            <xdr:cNvPr id="18" name="Object 8">
              <a:extLst>
                <a:ext uri="{63B3BB69-23CF-44E3-9099-C40C66FF867C}">
                  <a14:compatExt xmlns:a14="http://schemas.microsoft.com/office/drawing/2010/main" spid="_x0000_s1032"/>
                </a:ext>
                <a:ext uri="{FF2B5EF4-FFF2-40B4-BE49-F238E27FC236}">
                  <a16:creationId xmlns:a16="http://schemas.microsoft.com/office/drawing/2014/main" id="{1D017740-60C2-4E2B-A4BF-C7141B10B846}"/>
                </a:ext>
              </a:extLst>
            </xdr:cNvPr>
            <xdr:cNvSpPr txBox="1"/>
          </xdr:nvSpPr>
          <xdr:spPr>
            <a:xfrm>
              <a:off x="8288431" y="7456057"/>
              <a:ext cx="2115117" cy="422739"/>
            </a:xfrm>
            <a:prstGeom prst="rect">
              <a:avLst/>
            </a:prstGeom>
          </xdr:spPr>
          <xdr:txBody>
            <a:bodyPr vertOverflow="clip" horzOverflow="clip" wrap="none">
              <a:spAutoFit/>
            </a:bodyPr>
            <a:lstStyle/>
            <a:p>
              <a:pPr/>
              <a:r>
                <a:rPr lang="it-IT" sz="1100" i="0">
                  <a:solidFill>
                    <a:schemeClr val="bg1">
                      <a:lumMod val="50000"/>
                    </a:schemeClr>
                  </a:solidFill>
                  <a:effectLst/>
                  <a:latin typeface="Cambria Math" panose="02040503050406030204" pitchFamily="18" charset="0"/>
                  <a:ea typeface="+mn-ea"/>
                  <a:cs typeface="+mn-cs"/>
                </a:rPr>
                <a:t>𝜗^</a:t>
              </a:r>
              <a:r>
                <a:rPr lang="it-IT" b="0" i="0">
                  <a:solidFill>
                    <a:schemeClr val="bg1">
                      <a:lumMod val="50000"/>
                    </a:schemeClr>
                  </a:solidFill>
                  <a:latin typeface="Cambria Math" panose="02040503050406030204" pitchFamily="18" charset="0"/>
                </a:rPr>
                <a:t>𝑎/</a:t>
              </a:r>
              <a:r>
                <a:rPr lang="it-IT" sz="1100" i="0">
                  <a:solidFill>
                    <a:schemeClr val="bg1">
                      <a:lumMod val="50000"/>
                    </a:schemeClr>
                  </a:solidFill>
                  <a:effectLst/>
                  <a:latin typeface="Cambria Math" panose="02040503050406030204" pitchFamily="18" charset="0"/>
                  <a:ea typeface="+mn-ea"/>
                  <a:cs typeface="+mn-cs"/>
                </a:rPr>
                <a:t>𝜗^(</a:t>
              </a:r>
              <a:r>
                <a:rPr lang="it-IT" sz="1100" b="0" i="0">
                  <a:solidFill>
                    <a:schemeClr val="bg1">
                      <a:lumMod val="50000"/>
                    </a:schemeClr>
                  </a:solidFill>
                  <a:effectLst/>
                  <a:latin typeface="Cambria Math" panose="02040503050406030204" pitchFamily="18" charset="0"/>
                  <a:ea typeface="+mn-ea"/>
                  <a:cs typeface="+mn-cs"/>
                </a:rPr>
                <a:t>𝑎−1) </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a:t>
              </a:r>
              <a:r>
                <a:rPr lang="it-IT" i="0">
                  <a:solidFill>
                    <a:schemeClr val="bg1">
                      <a:lumMod val="50000"/>
                    </a:schemeClr>
                  </a:solidFill>
                  <a:latin typeface="Cambria Math" panose="02040503050406030204" pitchFamily="18" charset="0"/>
                </a:rPr>
                <a:t>1+</a:t>
              </a:r>
              <a:r>
                <a:rPr lang="it-IT" b="0" i="0">
                  <a:solidFill>
                    <a:schemeClr val="bg1">
                      <a:lumMod val="50000"/>
                    </a:schemeClr>
                  </a:solidFill>
                  <a:latin typeface="Cambria Math" panose="02040503050406030204" pitchFamily="18" charset="0"/>
                </a:rPr>
                <a:t>𝑟𝑝𝑖</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1,25</a:t>
              </a:r>
              <a:r>
                <a:rPr lang="it-IT" i="0">
                  <a:solidFill>
                    <a:schemeClr val="bg1">
                      <a:lumMod val="50000"/>
                    </a:schemeClr>
                  </a:solidFill>
                  <a:latin typeface="Cambria Math" panose="02040503050406030204" pitchFamily="18" charset="0"/>
                </a:rPr>
                <a:t>𝐾−𝑋</a:t>
              </a:r>
              <a:r>
                <a:rPr lang="it-IT" b="0" i="0">
                  <a:solidFill>
                    <a:schemeClr val="bg1">
                      <a:lumMod val="50000"/>
                    </a:schemeClr>
                  </a:solidFill>
                  <a:latin typeface="Cambria Math" panose="02040503050406030204" pitchFamily="18" charset="0"/>
                </a:rPr>
                <a:t>)</a:t>
              </a:r>
              <a:endParaRPr lang="it-IT">
                <a:solidFill>
                  <a:schemeClr val="bg1">
                    <a:lumMod val="50000"/>
                  </a:schemeClr>
                </a:solidFill>
              </a:endParaRPr>
            </a:p>
          </xdr:txBody>
        </xdr:sp>
      </mc:Fallback>
    </mc:AlternateContent>
    <xdr:clientData/>
  </xdr:twoCellAnchor>
  <xdr:twoCellAnchor>
    <xdr:from>
      <xdr:col>2</xdr:col>
      <xdr:colOff>17926</xdr:colOff>
      <xdr:row>34</xdr:row>
      <xdr:rowOff>123265</xdr:rowOff>
    </xdr:from>
    <xdr:to>
      <xdr:col>4</xdr:col>
      <xdr:colOff>102650</xdr:colOff>
      <xdr:row>36</xdr:row>
      <xdr:rowOff>165003</xdr:rowOff>
    </xdr:to>
    <mc:AlternateContent xmlns:mc="http://schemas.openxmlformats.org/markup-compatibility/2006" xmlns:a14="http://schemas.microsoft.com/office/drawing/2010/main">
      <mc:Choice Requires="a14">
        <xdr:sp macro="" textlink="">
          <xdr:nvSpPr>
            <xdr:cNvPr id="19" name="Object 8">
              <a:extLst>
                <a:ext uri="{63B3BB69-23CF-44E3-9099-C40C66FF867C}">
                  <a14:compatExt spid="_x0000_s1032"/>
                </a:ext>
                <a:ext uri="{FF2B5EF4-FFF2-40B4-BE49-F238E27FC236}">
                  <a16:creationId xmlns:a16="http://schemas.microsoft.com/office/drawing/2014/main" id="{0BDC48BE-E74E-4450-8571-68A37572975B}"/>
                </a:ext>
              </a:extLst>
            </xdr:cNvPr>
            <xdr:cNvSpPr txBox="1"/>
          </xdr:nvSpPr>
          <xdr:spPr>
            <a:xfrm>
              <a:off x="3926986" y="8221420"/>
              <a:ext cx="2210704" cy="424643"/>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bg1">
                                <a:lumMod val="50000"/>
                              </a:schemeClr>
                            </a:solidFill>
                            <a:latin typeface="Cambria Math" panose="02040503050406030204" pitchFamily="18" charset="0"/>
                          </a:rPr>
                        </m:ctrlPr>
                      </m:fPr>
                      <m:num>
                        <m:sSup>
                          <m:sSupPr>
                            <m:ctrlPr>
                              <a:rPr lang="it-IT" i="1">
                                <a:solidFill>
                                  <a:schemeClr val="bg1">
                                    <a:lumMod val="50000"/>
                                  </a:schemeClr>
                                </a:solidFill>
                                <a:latin typeface="Cambria Math" panose="02040503050406030204" pitchFamily="18" charset="0"/>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b="0" i="1">
                                <a:solidFill>
                                  <a:schemeClr val="bg1">
                                    <a:lumMod val="50000"/>
                                  </a:schemeClr>
                                </a:solidFill>
                                <a:latin typeface="Cambria Math" panose="02040503050406030204" pitchFamily="18" charset="0"/>
                              </a:rPr>
                              <m:t>𝑎</m:t>
                            </m:r>
                          </m:sup>
                        </m:sSup>
                      </m:num>
                      <m:den>
                        <m:sSup>
                          <m:sSupPr>
                            <m:ctrlPr>
                              <a:rPr lang="it-IT" sz="1100" i="1">
                                <a:solidFill>
                                  <a:schemeClr val="bg1">
                                    <a:lumMod val="50000"/>
                                  </a:schemeClr>
                                </a:solidFill>
                                <a:effectLst/>
                                <a:latin typeface="Cambria Math" panose="02040503050406030204" pitchFamily="18" charset="0"/>
                                <a:ea typeface="+mn-ea"/>
                                <a:cs typeface="+mn-cs"/>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sz="1100" b="0" i="1">
                                <a:solidFill>
                                  <a:schemeClr val="bg1">
                                    <a:lumMod val="50000"/>
                                  </a:schemeClr>
                                </a:solidFill>
                                <a:effectLst/>
                                <a:latin typeface="Cambria Math" panose="02040503050406030204" pitchFamily="18" charset="0"/>
                                <a:ea typeface="+mn-ea"/>
                                <a:cs typeface="+mn-cs"/>
                              </a:rPr>
                              <m:t>𝑎</m:t>
                            </m:r>
                            <m:r>
                              <a:rPr lang="it-IT" sz="1100" b="0" i="1">
                                <a:solidFill>
                                  <a:schemeClr val="bg1">
                                    <a:lumMod val="50000"/>
                                  </a:schemeClr>
                                </a:solidFill>
                                <a:effectLst/>
                                <a:latin typeface="Cambria Math" panose="02040503050406030204" pitchFamily="18" charset="0"/>
                                <a:ea typeface="+mn-ea"/>
                                <a:cs typeface="+mn-cs"/>
                              </a:rPr>
                              <m:t>−1</m:t>
                            </m:r>
                          </m:sup>
                        </m:sSup>
                      </m:den>
                    </m:f>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1+</m:t>
                    </m:r>
                    <m:r>
                      <a:rPr lang="it-IT" b="0" i="1">
                        <a:solidFill>
                          <a:schemeClr val="bg1">
                            <a:lumMod val="50000"/>
                          </a:schemeClr>
                        </a:solidFill>
                        <a:latin typeface="Cambria Math" panose="02040503050406030204" pitchFamily="18" charset="0"/>
                      </a:rPr>
                      <m:t>𝑟𝑝𝑖</m:t>
                    </m:r>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1,75</m:t>
                    </m:r>
                    <m:r>
                      <a:rPr lang="it-IT" i="1">
                        <a:solidFill>
                          <a:schemeClr val="bg1">
                            <a:lumMod val="50000"/>
                          </a:schemeClr>
                        </a:solidFill>
                        <a:latin typeface="Cambria Math" panose="02040503050406030204" pitchFamily="18" charset="0"/>
                      </a:rPr>
                      <m:t>𝐾</m:t>
                    </m:r>
                    <m:r>
                      <a:rPr lang="it-IT" i="1">
                        <a:solidFill>
                          <a:schemeClr val="bg1">
                            <a:lumMod val="50000"/>
                          </a:schemeClr>
                        </a:solidFill>
                        <a:latin typeface="Cambria Math" panose="02040503050406030204" pitchFamily="18" charset="0"/>
                      </a:rPr>
                      <m:t>−1,5</m:t>
                    </m:r>
                    <m:r>
                      <a:rPr lang="it-IT" i="1">
                        <a:solidFill>
                          <a:schemeClr val="bg1">
                            <a:lumMod val="50000"/>
                          </a:schemeClr>
                        </a:solidFill>
                        <a:latin typeface="Cambria Math" panose="02040503050406030204" pitchFamily="18" charset="0"/>
                      </a:rPr>
                      <m:t>𝑋</m:t>
                    </m:r>
                    <m:r>
                      <a:rPr lang="it-IT" b="0" i="1">
                        <a:solidFill>
                          <a:schemeClr val="bg1">
                            <a:lumMod val="50000"/>
                          </a:schemeClr>
                        </a:solidFill>
                        <a:latin typeface="Cambria Math" panose="02040503050406030204" pitchFamily="18" charset="0"/>
                      </a:rPr>
                      <m:t>)</m:t>
                    </m:r>
                  </m:oMath>
                </m:oMathPara>
              </a14:m>
              <a:endParaRPr lang="it-IT">
                <a:solidFill>
                  <a:schemeClr val="bg1">
                    <a:lumMod val="50000"/>
                  </a:schemeClr>
                </a:solidFill>
              </a:endParaRPr>
            </a:p>
          </xdr:txBody>
        </xdr:sp>
      </mc:Choice>
      <mc:Fallback xmlns="">
        <xdr:sp macro="" textlink="">
          <xdr:nvSpPr>
            <xdr:cNvPr id="19" name="Object 8">
              <a:extLst>
                <a:ext uri="{63B3BB69-23CF-44E3-9099-C40C66FF867C}">
                  <a14:compatExt xmlns:a14="http://schemas.microsoft.com/office/drawing/2010/main" spid="_x0000_s1032"/>
                </a:ext>
                <a:ext uri="{FF2B5EF4-FFF2-40B4-BE49-F238E27FC236}">
                  <a16:creationId xmlns:a16="http://schemas.microsoft.com/office/drawing/2014/main" id="{0BDC48BE-E74E-4450-8571-68A37572975B}"/>
                </a:ext>
              </a:extLst>
            </xdr:cNvPr>
            <xdr:cNvSpPr txBox="1"/>
          </xdr:nvSpPr>
          <xdr:spPr>
            <a:xfrm>
              <a:off x="3926986" y="8221420"/>
              <a:ext cx="2210704" cy="424643"/>
            </a:xfrm>
            <a:prstGeom prst="rect">
              <a:avLst/>
            </a:prstGeom>
          </xdr:spPr>
          <xdr:txBody>
            <a:bodyPr vertOverflow="clip" horzOverflow="clip" wrap="none">
              <a:spAutoFit/>
            </a:bodyPr>
            <a:lstStyle/>
            <a:p>
              <a:pPr/>
              <a:r>
                <a:rPr lang="it-IT" sz="1100" i="0">
                  <a:solidFill>
                    <a:schemeClr val="bg1">
                      <a:lumMod val="50000"/>
                    </a:schemeClr>
                  </a:solidFill>
                  <a:effectLst/>
                  <a:latin typeface="Cambria Math" panose="02040503050406030204" pitchFamily="18" charset="0"/>
                  <a:ea typeface="+mn-ea"/>
                  <a:cs typeface="+mn-cs"/>
                </a:rPr>
                <a:t>𝜗^</a:t>
              </a:r>
              <a:r>
                <a:rPr lang="it-IT" b="0" i="0">
                  <a:solidFill>
                    <a:schemeClr val="bg1">
                      <a:lumMod val="50000"/>
                    </a:schemeClr>
                  </a:solidFill>
                  <a:latin typeface="Cambria Math" panose="02040503050406030204" pitchFamily="18" charset="0"/>
                </a:rPr>
                <a:t>𝑎/</a:t>
              </a:r>
              <a:r>
                <a:rPr lang="it-IT" sz="1100" i="0">
                  <a:solidFill>
                    <a:schemeClr val="bg1">
                      <a:lumMod val="50000"/>
                    </a:schemeClr>
                  </a:solidFill>
                  <a:effectLst/>
                  <a:latin typeface="Cambria Math" panose="02040503050406030204" pitchFamily="18" charset="0"/>
                  <a:ea typeface="+mn-ea"/>
                  <a:cs typeface="+mn-cs"/>
                </a:rPr>
                <a:t>𝜗^(</a:t>
              </a:r>
              <a:r>
                <a:rPr lang="it-IT" sz="1100" b="0" i="0">
                  <a:solidFill>
                    <a:schemeClr val="bg1">
                      <a:lumMod val="50000"/>
                    </a:schemeClr>
                  </a:solidFill>
                  <a:effectLst/>
                  <a:latin typeface="Cambria Math" panose="02040503050406030204" pitchFamily="18" charset="0"/>
                  <a:ea typeface="+mn-ea"/>
                  <a:cs typeface="+mn-cs"/>
                </a:rPr>
                <a:t>𝑎−1) </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a:t>
              </a:r>
              <a:r>
                <a:rPr lang="it-IT" i="0">
                  <a:solidFill>
                    <a:schemeClr val="bg1">
                      <a:lumMod val="50000"/>
                    </a:schemeClr>
                  </a:solidFill>
                  <a:latin typeface="Cambria Math" panose="02040503050406030204" pitchFamily="18" charset="0"/>
                </a:rPr>
                <a:t>1+</a:t>
              </a:r>
              <a:r>
                <a:rPr lang="it-IT" b="0" i="0">
                  <a:solidFill>
                    <a:schemeClr val="bg1">
                      <a:lumMod val="50000"/>
                    </a:schemeClr>
                  </a:solidFill>
                  <a:latin typeface="Cambria Math" panose="02040503050406030204" pitchFamily="18" charset="0"/>
                </a:rPr>
                <a:t>𝑟𝑝𝑖</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1,75</a:t>
              </a:r>
              <a:r>
                <a:rPr lang="it-IT" i="0">
                  <a:solidFill>
                    <a:schemeClr val="bg1">
                      <a:lumMod val="50000"/>
                    </a:schemeClr>
                  </a:solidFill>
                  <a:latin typeface="Cambria Math" panose="02040503050406030204" pitchFamily="18" charset="0"/>
                </a:rPr>
                <a:t>𝐾−1,5𝑋</a:t>
              </a:r>
              <a:r>
                <a:rPr lang="it-IT" b="0" i="0">
                  <a:solidFill>
                    <a:schemeClr val="bg1">
                      <a:lumMod val="50000"/>
                    </a:schemeClr>
                  </a:solidFill>
                  <a:latin typeface="Cambria Math" panose="02040503050406030204" pitchFamily="18" charset="0"/>
                </a:rPr>
                <a:t>)</a:t>
              </a:r>
              <a:endParaRPr lang="it-IT">
                <a:solidFill>
                  <a:schemeClr val="bg1">
                    <a:lumMod val="50000"/>
                  </a:schemeClr>
                </a:solidFill>
              </a:endParaRPr>
            </a:p>
          </xdr:txBody>
        </xdr:sp>
      </mc:Fallback>
    </mc:AlternateContent>
    <xdr:clientData/>
  </xdr:twoCellAnchor>
  <xdr:twoCellAnchor>
    <xdr:from>
      <xdr:col>4</xdr:col>
      <xdr:colOff>44822</xdr:colOff>
      <xdr:row>34</xdr:row>
      <xdr:rowOff>112059</xdr:rowOff>
    </xdr:from>
    <xdr:to>
      <xdr:col>6</xdr:col>
      <xdr:colOff>22529</xdr:colOff>
      <xdr:row>36</xdr:row>
      <xdr:rowOff>153797</xdr:rowOff>
    </xdr:to>
    <mc:AlternateContent xmlns:mc="http://schemas.openxmlformats.org/markup-compatibility/2006" xmlns:a14="http://schemas.microsoft.com/office/drawing/2010/main">
      <mc:Choice Requires="a14">
        <xdr:sp macro="" textlink="">
          <xdr:nvSpPr>
            <xdr:cNvPr id="20" name="Object 8">
              <a:extLst>
                <a:ext uri="{63B3BB69-23CF-44E3-9099-C40C66FF867C}">
                  <a14:compatExt spid="_x0000_s1032"/>
                </a:ext>
                <a:ext uri="{FF2B5EF4-FFF2-40B4-BE49-F238E27FC236}">
                  <a16:creationId xmlns:a16="http://schemas.microsoft.com/office/drawing/2014/main" id="{170D0F2F-94D4-40AF-9403-4828B2078B3B}"/>
                </a:ext>
              </a:extLst>
            </xdr:cNvPr>
            <xdr:cNvSpPr txBox="1"/>
          </xdr:nvSpPr>
          <xdr:spPr>
            <a:xfrm>
              <a:off x="6085577" y="8208309"/>
              <a:ext cx="2105592" cy="422738"/>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bg1">
                                <a:lumMod val="50000"/>
                              </a:schemeClr>
                            </a:solidFill>
                            <a:latin typeface="Cambria Math" panose="02040503050406030204" pitchFamily="18" charset="0"/>
                          </a:rPr>
                        </m:ctrlPr>
                      </m:fPr>
                      <m:num>
                        <m:sSup>
                          <m:sSupPr>
                            <m:ctrlPr>
                              <a:rPr lang="it-IT" i="1">
                                <a:solidFill>
                                  <a:schemeClr val="bg1">
                                    <a:lumMod val="50000"/>
                                  </a:schemeClr>
                                </a:solidFill>
                                <a:latin typeface="Cambria Math" panose="02040503050406030204" pitchFamily="18" charset="0"/>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b="0" i="1">
                                <a:solidFill>
                                  <a:schemeClr val="bg1">
                                    <a:lumMod val="50000"/>
                                  </a:schemeClr>
                                </a:solidFill>
                                <a:latin typeface="Cambria Math" panose="02040503050406030204" pitchFamily="18" charset="0"/>
                              </a:rPr>
                              <m:t>𝑎</m:t>
                            </m:r>
                          </m:sup>
                        </m:sSup>
                      </m:num>
                      <m:den>
                        <m:sSup>
                          <m:sSupPr>
                            <m:ctrlPr>
                              <a:rPr lang="it-IT" sz="1100" i="1">
                                <a:solidFill>
                                  <a:schemeClr val="bg1">
                                    <a:lumMod val="50000"/>
                                  </a:schemeClr>
                                </a:solidFill>
                                <a:effectLst/>
                                <a:latin typeface="Cambria Math" panose="02040503050406030204" pitchFamily="18" charset="0"/>
                                <a:ea typeface="+mn-ea"/>
                                <a:cs typeface="+mn-cs"/>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sz="1100" b="0" i="1">
                                <a:solidFill>
                                  <a:schemeClr val="bg1">
                                    <a:lumMod val="50000"/>
                                  </a:schemeClr>
                                </a:solidFill>
                                <a:effectLst/>
                                <a:latin typeface="Cambria Math" panose="02040503050406030204" pitchFamily="18" charset="0"/>
                                <a:ea typeface="+mn-ea"/>
                                <a:cs typeface="+mn-cs"/>
                              </a:rPr>
                              <m:t>𝑎</m:t>
                            </m:r>
                            <m:r>
                              <a:rPr lang="it-IT" sz="1100" b="0" i="1">
                                <a:solidFill>
                                  <a:schemeClr val="bg1">
                                    <a:lumMod val="50000"/>
                                  </a:schemeClr>
                                </a:solidFill>
                                <a:effectLst/>
                                <a:latin typeface="Cambria Math" panose="02040503050406030204" pitchFamily="18" charset="0"/>
                                <a:ea typeface="+mn-ea"/>
                                <a:cs typeface="+mn-cs"/>
                              </a:rPr>
                              <m:t>−1</m:t>
                            </m:r>
                          </m:sup>
                        </m:sSup>
                      </m:den>
                    </m:f>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1+</m:t>
                    </m:r>
                    <m:r>
                      <a:rPr lang="it-IT" b="0" i="1">
                        <a:solidFill>
                          <a:schemeClr val="bg1">
                            <a:lumMod val="50000"/>
                          </a:schemeClr>
                        </a:solidFill>
                        <a:latin typeface="Cambria Math" panose="02040503050406030204" pitchFamily="18" charset="0"/>
                      </a:rPr>
                      <m:t>𝑟𝑝𝑖</m:t>
                    </m:r>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1,75</m:t>
                    </m:r>
                    <m:r>
                      <a:rPr lang="it-IT" i="1">
                        <a:solidFill>
                          <a:schemeClr val="bg1">
                            <a:lumMod val="50000"/>
                          </a:schemeClr>
                        </a:solidFill>
                        <a:latin typeface="Cambria Math" panose="02040503050406030204" pitchFamily="18" charset="0"/>
                      </a:rPr>
                      <m:t>𝐾</m:t>
                    </m:r>
                    <m:r>
                      <a:rPr lang="it-IT" i="1">
                        <a:solidFill>
                          <a:schemeClr val="bg1">
                            <a:lumMod val="50000"/>
                          </a:schemeClr>
                        </a:solidFill>
                        <a:latin typeface="Cambria Math" panose="02040503050406030204" pitchFamily="18" charset="0"/>
                      </a:rPr>
                      <m:t>−2</m:t>
                    </m:r>
                    <m:r>
                      <a:rPr lang="it-IT" i="1">
                        <a:solidFill>
                          <a:schemeClr val="bg1">
                            <a:lumMod val="50000"/>
                          </a:schemeClr>
                        </a:solidFill>
                        <a:latin typeface="Cambria Math" panose="02040503050406030204" pitchFamily="18" charset="0"/>
                      </a:rPr>
                      <m:t>𝑋</m:t>
                    </m:r>
                    <m:r>
                      <a:rPr lang="it-IT" b="0" i="1">
                        <a:solidFill>
                          <a:schemeClr val="bg1">
                            <a:lumMod val="50000"/>
                          </a:schemeClr>
                        </a:solidFill>
                        <a:latin typeface="Cambria Math" panose="02040503050406030204" pitchFamily="18" charset="0"/>
                      </a:rPr>
                      <m:t>)</m:t>
                    </m:r>
                  </m:oMath>
                </m:oMathPara>
              </a14:m>
              <a:endParaRPr lang="it-IT">
                <a:solidFill>
                  <a:schemeClr val="bg1">
                    <a:lumMod val="50000"/>
                  </a:schemeClr>
                </a:solidFill>
              </a:endParaRPr>
            </a:p>
          </xdr:txBody>
        </xdr:sp>
      </mc:Choice>
      <mc:Fallback xmlns="">
        <xdr:sp macro="" textlink="">
          <xdr:nvSpPr>
            <xdr:cNvPr id="20" name="Object 8">
              <a:extLst>
                <a:ext uri="{63B3BB69-23CF-44E3-9099-C40C66FF867C}">
                  <a14:compatExt xmlns:a14="http://schemas.microsoft.com/office/drawing/2010/main" spid="_x0000_s1032"/>
                </a:ext>
                <a:ext uri="{FF2B5EF4-FFF2-40B4-BE49-F238E27FC236}">
                  <a16:creationId xmlns:a16="http://schemas.microsoft.com/office/drawing/2014/main" id="{170D0F2F-94D4-40AF-9403-4828B2078B3B}"/>
                </a:ext>
              </a:extLst>
            </xdr:cNvPr>
            <xdr:cNvSpPr txBox="1"/>
          </xdr:nvSpPr>
          <xdr:spPr>
            <a:xfrm>
              <a:off x="6085577" y="8208309"/>
              <a:ext cx="2105592" cy="422738"/>
            </a:xfrm>
            <a:prstGeom prst="rect">
              <a:avLst/>
            </a:prstGeom>
          </xdr:spPr>
          <xdr:txBody>
            <a:bodyPr vertOverflow="clip" horzOverflow="clip" wrap="none">
              <a:spAutoFit/>
            </a:bodyPr>
            <a:lstStyle/>
            <a:p>
              <a:pPr/>
              <a:r>
                <a:rPr lang="it-IT" sz="1100" i="0">
                  <a:solidFill>
                    <a:schemeClr val="bg1">
                      <a:lumMod val="50000"/>
                    </a:schemeClr>
                  </a:solidFill>
                  <a:effectLst/>
                  <a:latin typeface="Cambria Math" panose="02040503050406030204" pitchFamily="18" charset="0"/>
                  <a:ea typeface="+mn-ea"/>
                  <a:cs typeface="+mn-cs"/>
                </a:rPr>
                <a:t>𝜗^</a:t>
              </a:r>
              <a:r>
                <a:rPr lang="it-IT" b="0" i="0">
                  <a:solidFill>
                    <a:schemeClr val="bg1">
                      <a:lumMod val="50000"/>
                    </a:schemeClr>
                  </a:solidFill>
                  <a:latin typeface="Cambria Math" panose="02040503050406030204" pitchFamily="18" charset="0"/>
                </a:rPr>
                <a:t>𝑎/</a:t>
              </a:r>
              <a:r>
                <a:rPr lang="it-IT" sz="1100" i="0">
                  <a:solidFill>
                    <a:schemeClr val="bg1">
                      <a:lumMod val="50000"/>
                    </a:schemeClr>
                  </a:solidFill>
                  <a:effectLst/>
                  <a:latin typeface="Cambria Math" panose="02040503050406030204" pitchFamily="18" charset="0"/>
                  <a:ea typeface="+mn-ea"/>
                  <a:cs typeface="+mn-cs"/>
                </a:rPr>
                <a:t>𝜗^(</a:t>
              </a:r>
              <a:r>
                <a:rPr lang="it-IT" sz="1100" b="0" i="0">
                  <a:solidFill>
                    <a:schemeClr val="bg1">
                      <a:lumMod val="50000"/>
                    </a:schemeClr>
                  </a:solidFill>
                  <a:effectLst/>
                  <a:latin typeface="Cambria Math" panose="02040503050406030204" pitchFamily="18" charset="0"/>
                  <a:ea typeface="+mn-ea"/>
                  <a:cs typeface="+mn-cs"/>
                </a:rPr>
                <a:t>𝑎−1) </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a:t>
              </a:r>
              <a:r>
                <a:rPr lang="it-IT" i="0">
                  <a:solidFill>
                    <a:schemeClr val="bg1">
                      <a:lumMod val="50000"/>
                    </a:schemeClr>
                  </a:solidFill>
                  <a:latin typeface="Cambria Math" panose="02040503050406030204" pitchFamily="18" charset="0"/>
                </a:rPr>
                <a:t>1+</a:t>
              </a:r>
              <a:r>
                <a:rPr lang="it-IT" b="0" i="0">
                  <a:solidFill>
                    <a:schemeClr val="bg1">
                      <a:lumMod val="50000"/>
                    </a:schemeClr>
                  </a:solidFill>
                  <a:latin typeface="Cambria Math" panose="02040503050406030204" pitchFamily="18" charset="0"/>
                </a:rPr>
                <a:t>𝑟𝑝𝑖</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1,75</a:t>
              </a:r>
              <a:r>
                <a:rPr lang="it-IT" i="0">
                  <a:solidFill>
                    <a:schemeClr val="bg1">
                      <a:lumMod val="50000"/>
                    </a:schemeClr>
                  </a:solidFill>
                  <a:latin typeface="Cambria Math" panose="02040503050406030204" pitchFamily="18" charset="0"/>
                </a:rPr>
                <a:t>𝐾−2𝑋</a:t>
              </a:r>
              <a:r>
                <a:rPr lang="it-IT" b="0" i="0">
                  <a:solidFill>
                    <a:schemeClr val="bg1">
                      <a:lumMod val="50000"/>
                    </a:schemeClr>
                  </a:solidFill>
                  <a:latin typeface="Cambria Math" panose="02040503050406030204" pitchFamily="18" charset="0"/>
                </a:rPr>
                <a:t>)</a:t>
              </a:r>
              <a:endParaRPr lang="it-IT">
                <a:solidFill>
                  <a:schemeClr val="bg1">
                    <a:lumMod val="50000"/>
                  </a:schemeClr>
                </a:solidFill>
              </a:endParaRPr>
            </a:p>
          </xdr:txBody>
        </xdr:sp>
      </mc:Fallback>
    </mc:AlternateContent>
    <xdr:clientData/>
  </xdr:twoCellAnchor>
  <xdr:twoCellAnchor>
    <xdr:from>
      <xdr:col>6</xdr:col>
      <xdr:colOff>22411</xdr:colOff>
      <xdr:row>34</xdr:row>
      <xdr:rowOff>123265</xdr:rowOff>
    </xdr:from>
    <xdr:to>
      <xdr:col>8</xdr:col>
      <xdr:colOff>118</xdr:colOff>
      <xdr:row>36</xdr:row>
      <xdr:rowOff>165003</xdr:rowOff>
    </xdr:to>
    <mc:AlternateContent xmlns:mc="http://schemas.openxmlformats.org/markup-compatibility/2006" xmlns:a14="http://schemas.microsoft.com/office/drawing/2010/main">
      <mc:Choice Requires="a14">
        <xdr:sp macro="" textlink="">
          <xdr:nvSpPr>
            <xdr:cNvPr id="21" name="Object 8">
              <a:extLst>
                <a:ext uri="{63B3BB69-23CF-44E3-9099-C40C66FF867C}">
                  <a14:compatExt spid="_x0000_s1032"/>
                </a:ext>
                <a:ext uri="{FF2B5EF4-FFF2-40B4-BE49-F238E27FC236}">
                  <a16:creationId xmlns:a16="http://schemas.microsoft.com/office/drawing/2014/main" id="{78AB5887-B69E-4F68-BD15-3DF5DFF69483}"/>
                </a:ext>
              </a:extLst>
            </xdr:cNvPr>
            <xdr:cNvSpPr txBox="1"/>
          </xdr:nvSpPr>
          <xdr:spPr>
            <a:xfrm>
              <a:off x="8191051" y="8221420"/>
              <a:ext cx="2115117" cy="424643"/>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bg1">
                                <a:lumMod val="50000"/>
                              </a:schemeClr>
                            </a:solidFill>
                            <a:latin typeface="Cambria Math" panose="02040503050406030204" pitchFamily="18" charset="0"/>
                          </a:rPr>
                        </m:ctrlPr>
                      </m:fPr>
                      <m:num>
                        <m:sSup>
                          <m:sSupPr>
                            <m:ctrlPr>
                              <a:rPr lang="it-IT" i="1">
                                <a:solidFill>
                                  <a:schemeClr val="bg1">
                                    <a:lumMod val="50000"/>
                                  </a:schemeClr>
                                </a:solidFill>
                                <a:latin typeface="Cambria Math" panose="02040503050406030204" pitchFamily="18" charset="0"/>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b="0" i="1">
                                <a:solidFill>
                                  <a:schemeClr val="bg1">
                                    <a:lumMod val="50000"/>
                                  </a:schemeClr>
                                </a:solidFill>
                                <a:latin typeface="Cambria Math" panose="02040503050406030204" pitchFamily="18" charset="0"/>
                              </a:rPr>
                              <m:t>𝑎</m:t>
                            </m:r>
                          </m:sup>
                        </m:sSup>
                      </m:num>
                      <m:den>
                        <m:sSup>
                          <m:sSupPr>
                            <m:ctrlPr>
                              <a:rPr lang="it-IT" sz="1100" i="1">
                                <a:solidFill>
                                  <a:schemeClr val="bg1">
                                    <a:lumMod val="50000"/>
                                  </a:schemeClr>
                                </a:solidFill>
                                <a:effectLst/>
                                <a:latin typeface="Cambria Math" panose="02040503050406030204" pitchFamily="18" charset="0"/>
                                <a:ea typeface="+mn-ea"/>
                                <a:cs typeface="+mn-cs"/>
                              </a:rPr>
                            </m:ctrlPr>
                          </m:sSupPr>
                          <m:e>
                            <m:r>
                              <a:rPr lang="it-IT" sz="1100" i="1">
                                <a:solidFill>
                                  <a:schemeClr val="bg1">
                                    <a:lumMod val="50000"/>
                                  </a:schemeClr>
                                </a:solidFill>
                                <a:effectLst/>
                                <a:latin typeface="Cambria Math" panose="02040503050406030204" pitchFamily="18" charset="0"/>
                                <a:ea typeface="+mn-ea"/>
                                <a:cs typeface="+mn-cs"/>
                              </a:rPr>
                              <m:t>𝜗</m:t>
                            </m:r>
                          </m:e>
                          <m:sup>
                            <m:r>
                              <a:rPr lang="it-IT" sz="1100" b="0" i="1">
                                <a:solidFill>
                                  <a:schemeClr val="bg1">
                                    <a:lumMod val="50000"/>
                                  </a:schemeClr>
                                </a:solidFill>
                                <a:effectLst/>
                                <a:latin typeface="Cambria Math" panose="02040503050406030204" pitchFamily="18" charset="0"/>
                                <a:ea typeface="+mn-ea"/>
                                <a:cs typeface="+mn-cs"/>
                              </a:rPr>
                              <m:t>𝑎</m:t>
                            </m:r>
                            <m:r>
                              <a:rPr lang="it-IT" sz="1100" b="0" i="1">
                                <a:solidFill>
                                  <a:schemeClr val="bg1">
                                    <a:lumMod val="50000"/>
                                  </a:schemeClr>
                                </a:solidFill>
                                <a:effectLst/>
                                <a:latin typeface="Cambria Math" panose="02040503050406030204" pitchFamily="18" charset="0"/>
                                <a:ea typeface="+mn-ea"/>
                                <a:cs typeface="+mn-cs"/>
                              </a:rPr>
                              <m:t>−1</m:t>
                            </m:r>
                          </m:sup>
                        </m:sSup>
                      </m:den>
                    </m:f>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1+</m:t>
                    </m:r>
                    <m:r>
                      <a:rPr lang="it-IT" b="0" i="1">
                        <a:solidFill>
                          <a:schemeClr val="bg1">
                            <a:lumMod val="50000"/>
                          </a:schemeClr>
                        </a:solidFill>
                        <a:latin typeface="Cambria Math" panose="02040503050406030204" pitchFamily="18" charset="0"/>
                      </a:rPr>
                      <m:t>𝑟𝑝𝑖</m:t>
                    </m:r>
                    <m:r>
                      <a:rPr lang="it-IT" i="1">
                        <a:solidFill>
                          <a:schemeClr val="bg1">
                            <a:lumMod val="50000"/>
                          </a:schemeClr>
                        </a:solidFill>
                        <a:latin typeface="Cambria Math" panose="02040503050406030204" pitchFamily="18" charset="0"/>
                      </a:rPr>
                      <m:t>+</m:t>
                    </m:r>
                    <m:r>
                      <a:rPr lang="it-IT" b="0" i="1">
                        <a:solidFill>
                          <a:schemeClr val="bg1">
                            <a:lumMod val="50000"/>
                          </a:schemeClr>
                        </a:solidFill>
                        <a:latin typeface="Cambria Math" panose="02040503050406030204" pitchFamily="18" charset="0"/>
                      </a:rPr>
                      <m:t>1,75</m:t>
                    </m:r>
                    <m:r>
                      <a:rPr lang="it-IT" i="1">
                        <a:solidFill>
                          <a:schemeClr val="bg1">
                            <a:lumMod val="50000"/>
                          </a:schemeClr>
                        </a:solidFill>
                        <a:latin typeface="Cambria Math" panose="02040503050406030204" pitchFamily="18" charset="0"/>
                      </a:rPr>
                      <m:t>𝐾</m:t>
                    </m:r>
                    <m:r>
                      <a:rPr lang="it-IT" i="1">
                        <a:solidFill>
                          <a:schemeClr val="bg1">
                            <a:lumMod val="50000"/>
                          </a:schemeClr>
                        </a:solidFill>
                        <a:latin typeface="Cambria Math" panose="02040503050406030204" pitchFamily="18" charset="0"/>
                      </a:rPr>
                      <m:t>−</m:t>
                    </m:r>
                    <m:r>
                      <a:rPr lang="it-IT" i="1">
                        <a:solidFill>
                          <a:schemeClr val="bg1">
                            <a:lumMod val="50000"/>
                          </a:schemeClr>
                        </a:solidFill>
                        <a:latin typeface="Cambria Math" panose="02040503050406030204" pitchFamily="18" charset="0"/>
                      </a:rPr>
                      <m:t>𝑋</m:t>
                    </m:r>
                    <m:r>
                      <a:rPr lang="it-IT" b="0" i="1">
                        <a:solidFill>
                          <a:schemeClr val="bg1">
                            <a:lumMod val="50000"/>
                          </a:schemeClr>
                        </a:solidFill>
                        <a:latin typeface="Cambria Math" panose="02040503050406030204" pitchFamily="18" charset="0"/>
                      </a:rPr>
                      <m:t>)</m:t>
                    </m:r>
                  </m:oMath>
                </m:oMathPara>
              </a14:m>
              <a:endParaRPr lang="it-IT">
                <a:solidFill>
                  <a:schemeClr val="bg1">
                    <a:lumMod val="50000"/>
                  </a:schemeClr>
                </a:solidFill>
              </a:endParaRPr>
            </a:p>
          </xdr:txBody>
        </xdr:sp>
      </mc:Choice>
      <mc:Fallback xmlns="">
        <xdr:sp macro="" textlink="">
          <xdr:nvSpPr>
            <xdr:cNvPr id="21" name="Object 8">
              <a:extLst>
                <a:ext uri="{63B3BB69-23CF-44E3-9099-C40C66FF867C}">
                  <a14:compatExt xmlns:a14="http://schemas.microsoft.com/office/drawing/2010/main" spid="_x0000_s1032"/>
                </a:ext>
                <a:ext uri="{FF2B5EF4-FFF2-40B4-BE49-F238E27FC236}">
                  <a16:creationId xmlns:a16="http://schemas.microsoft.com/office/drawing/2014/main" id="{78AB5887-B69E-4F68-BD15-3DF5DFF69483}"/>
                </a:ext>
              </a:extLst>
            </xdr:cNvPr>
            <xdr:cNvSpPr txBox="1"/>
          </xdr:nvSpPr>
          <xdr:spPr>
            <a:xfrm>
              <a:off x="8191051" y="8221420"/>
              <a:ext cx="2115117" cy="424643"/>
            </a:xfrm>
            <a:prstGeom prst="rect">
              <a:avLst/>
            </a:prstGeom>
          </xdr:spPr>
          <xdr:txBody>
            <a:bodyPr vertOverflow="clip" horzOverflow="clip" wrap="none">
              <a:spAutoFit/>
            </a:bodyPr>
            <a:lstStyle/>
            <a:p>
              <a:pPr/>
              <a:r>
                <a:rPr lang="it-IT" sz="1100" i="0">
                  <a:solidFill>
                    <a:schemeClr val="bg1">
                      <a:lumMod val="50000"/>
                    </a:schemeClr>
                  </a:solidFill>
                  <a:effectLst/>
                  <a:latin typeface="Cambria Math" panose="02040503050406030204" pitchFamily="18" charset="0"/>
                  <a:ea typeface="+mn-ea"/>
                  <a:cs typeface="+mn-cs"/>
                </a:rPr>
                <a:t>𝜗^</a:t>
              </a:r>
              <a:r>
                <a:rPr lang="it-IT" b="0" i="0">
                  <a:solidFill>
                    <a:schemeClr val="bg1">
                      <a:lumMod val="50000"/>
                    </a:schemeClr>
                  </a:solidFill>
                  <a:latin typeface="Cambria Math" panose="02040503050406030204" pitchFamily="18" charset="0"/>
                </a:rPr>
                <a:t>𝑎/</a:t>
              </a:r>
              <a:r>
                <a:rPr lang="it-IT" sz="1100" i="0">
                  <a:solidFill>
                    <a:schemeClr val="bg1">
                      <a:lumMod val="50000"/>
                    </a:schemeClr>
                  </a:solidFill>
                  <a:effectLst/>
                  <a:latin typeface="Cambria Math" panose="02040503050406030204" pitchFamily="18" charset="0"/>
                  <a:ea typeface="+mn-ea"/>
                  <a:cs typeface="+mn-cs"/>
                </a:rPr>
                <a:t>𝜗^(</a:t>
              </a:r>
              <a:r>
                <a:rPr lang="it-IT" sz="1100" b="0" i="0">
                  <a:solidFill>
                    <a:schemeClr val="bg1">
                      <a:lumMod val="50000"/>
                    </a:schemeClr>
                  </a:solidFill>
                  <a:effectLst/>
                  <a:latin typeface="Cambria Math" panose="02040503050406030204" pitchFamily="18" charset="0"/>
                  <a:ea typeface="+mn-ea"/>
                  <a:cs typeface="+mn-cs"/>
                </a:rPr>
                <a:t>𝑎−1) </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a:t>
              </a:r>
              <a:r>
                <a:rPr lang="it-IT" i="0">
                  <a:solidFill>
                    <a:schemeClr val="bg1">
                      <a:lumMod val="50000"/>
                    </a:schemeClr>
                  </a:solidFill>
                  <a:latin typeface="Cambria Math" panose="02040503050406030204" pitchFamily="18" charset="0"/>
                </a:rPr>
                <a:t>1+</a:t>
              </a:r>
              <a:r>
                <a:rPr lang="it-IT" b="0" i="0">
                  <a:solidFill>
                    <a:schemeClr val="bg1">
                      <a:lumMod val="50000"/>
                    </a:schemeClr>
                  </a:solidFill>
                  <a:latin typeface="Cambria Math" panose="02040503050406030204" pitchFamily="18" charset="0"/>
                </a:rPr>
                <a:t>𝑟𝑝𝑖</a:t>
              </a:r>
              <a:r>
                <a:rPr lang="it-IT" i="0">
                  <a:solidFill>
                    <a:schemeClr val="bg1">
                      <a:lumMod val="50000"/>
                    </a:schemeClr>
                  </a:solidFill>
                  <a:latin typeface="Cambria Math" panose="02040503050406030204" pitchFamily="18" charset="0"/>
                </a:rPr>
                <a:t>+</a:t>
              </a:r>
              <a:r>
                <a:rPr lang="it-IT" b="0" i="0">
                  <a:solidFill>
                    <a:schemeClr val="bg1">
                      <a:lumMod val="50000"/>
                    </a:schemeClr>
                  </a:solidFill>
                  <a:latin typeface="Cambria Math" panose="02040503050406030204" pitchFamily="18" charset="0"/>
                </a:rPr>
                <a:t>1,75</a:t>
              </a:r>
              <a:r>
                <a:rPr lang="it-IT" i="0">
                  <a:solidFill>
                    <a:schemeClr val="bg1">
                      <a:lumMod val="50000"/>
                    </a:schemeClr>
                  </a:solidFill>
                  <a:latin typeface="Cambria Math" panose="02040503050406030204" pitchFamily="18" charset="0"/>
                </a:rPr>
                <a:t>𝐾−𝑋</a:t>
              </a:r>
              <a:r>
                <a:rPr lang="it-IT" b="0" i="0">
                  <a:solidFill>
                    <a:schemeClr val="bg1">
                      <a:lumMod val="50000"/>
                    </a:schemeClr>
                  </a:solidFill>
                  <a:latin typeface="Cambria Math" panose="02040503050406030204" pitchFamily="18" charset="0"/>
                </a:rPr>
                <a:t>)</a:t>
              </a:r>
              <a:endParaRPr lang="it-IT">
                <a:solidFill>
                  <a:schemeClr val="bg1">
                    <a:lumMod val="50000"/>
                  </a:schemeClr>
                </a:solidFill>
              </a:endParaRPr>
            </a:p>
          </xdr:txBody>
        </xdr:sp>
      </mc:Fallback>
    </mc:AlternateContent>
    <xdr:clientData/>
  </xdr:twoCellAnchor>
  <xdr:twoCellAnchor>
    <xdr:from>
      <xdr:col>9</xdr:col>
      <xdr:colOff>246305</xdr:colOff>
      <xdr:row>42</xdr:row>
      <xdr:rowOff>0</xdr:rowOff>
    </xdr:from>
    <xdr:to>
      <xdr:col>9</xdr:col>
      <xdr:colOff>758496</xdr:colOff>
      <xdr:row>42</xdr:row>
      <xdr:rowOff>418256</xdr:rowOff>
    </xdr:to>
    <mc:AlternateContent xmlns:mc="http://schemas.openxmlformats.org/markup-compatibility/2006" xmlns:a14="http://schemas.microsoft.com/office/drawing/2010/main">
      <mc:Choice Requires="a14">
        <xdr:sp macro="" textlink="">
          <xdr:nvSpPr>
            <xdr:cNvPr id="22" name="Object 8">
              <a:extLst>
                <a:ext uri="{63B3BB69-23CF-44E3-9099-C40C66FF867C}">
                  <a14:compatExt spid="_x0000_s1032"/>
                </a:ext>
                <a:ext uri="{FF2B5EF4-FFF2-40B4-BE49-F238E27FC236}">
                  <a16:creationId xmlns:a16="http://schemas.microsoft.com/office/drawing/2014/main" id="{E66D58CF-4A17-470A-A0F7-5C4C06A3714C}"/>
                </a:ext>
              </a:extLst>
            </xdr:cNvPr>
            <xdr:cNvSpPr txBox="1"/>
          </xdr:nvSpPr>
          <xdr:spPr>
            <a:xfrm>
              <a:off x="12796893" y="9446559"/>
              <a:ext cx="512191" cy="418256"/>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f>
                      <m:fPr>
                        <m:ctrlPr>
                          <a:rPr lang="it-IT" i="1">
                            <a:solidFill>
                              <a:schemeClr val="tx1"/>
                            </a:solidFill>
                            <a:latin typeface="Cambria Math" panose="02040503050406030204" pitchFamily="18" charset="0"/>
                          </a:rPr>
                        </m:ctrlPr>
                      </m:fPr>
                      <m:num>
                        <m:sSup>
                          <m:sSupPr>
                            <m:ctrlPr>
                              <a:rPr lang="it-IT" i="1">
                                <a:solidFill>
                                  <a:schemeClr val="tx1"/>
                                </a:solidFill>
                                <a:latin typeface="Cambria Math" panose="02040503050406030204" pitchFamily="18" charset="0"/>
                              </a:rPr>
                            </m:ctrlPr>
                          </m:sSupPr>
                          <m:e>
                            <m:r>
                              <a:rPr lang="it-IT" sz="1100" i="1">
                                <a:solidFill>
                                  <a:schemeClr val="tx1"/>
                                </a:solidFill>
                                <a:effectLst/>
                                <a:latin typeface="Cambria Math" panose="02040503050406030204" pitchFamily="18" charset="0"/>
                                <a:ea typeface="+mn-ea"/>
                                <a:cs typeface="+mn-cs"/>
                              </a:rPr>
                              <m:t>𝜗</m:t>
                            </m:r>
                          </m:e>
                          <m:sup>
                            <m:r>
                              <a:rPr lang="it-IT" sz="1100" b="0" i="1">
                                <a:solidFill>
                                  <a:schemeClr val="tx1"/>
                                </a:solidFill>
                                <a:effectLst/>
                                <a:latin typeface="Cambria Math" panose="02040503050406030204" pitchFamily="18" charset="0"/>
                                <a:ea typeface="+mn-ea"/>
                                <a:cs typeface="+mn-cs"/>
                              </a:rPr>
                              <m:t>𝑎</m:t>
                            </m:r>
                          </m:sup>
                        </m:sSup>
                      </m:num>
                      <m:den>
                        <m:sSup>
                          <m:sSupPr>
                            <m:ctrlPr>
                              <a:rPr lang="it-IT" sz="1100" i="1">
                                <a:solidFill>
                                  <a:schemeClr val="tx1"/>
                                </a:solidFill>
                                <a:effectLst/>
                                <a:latin typeface="Cambria Math" panose="02040503050406030204" pitchFamily="18" charset="0"/>
                                <a:ea typeface="+mn-ea"/>
                                <a:cs typeface="+mn-cs"/>
                              </a:rPr>
                            </m:ctrlPr>
                          </m:sSupPr>
                          <m:e>
                            <m:r>
                              <a:rPr lang="it-IT" sz="1100" i="1">
                                <a:solidFill>
                                  <a:schemeClr val="tx1"/>
                                </a:solidFill>
                                <a:effectLst/>
                                <a:latin typeface="Cambria Math" panose="02040503050406030204" pitchFamily="18" charset="0"/>
                                <a:ea typeface="+mn-ea"/>
                                <a:cs typeface="+mn-cs"/>
                              </a:rPr>
                              <m:t>𝜗</m:t>
                            </m:r>
                          </m:e>
                          <m:sup>
                            <m:r>
                              <a:rPr lang="it-IT" sz="1100" b="0" i="1">
                                <a:solidFill>
                                  <a:schemeClr val="tx1"/>
                                </a:solidFill>
                                <a:effectLst/>
                                <a:latin typeface="Cambria Math" panose="02040503050406030204" pitchFamily="18" charset="0"/>
                                <a:ea typeface="+mn-ea"/>
                                <a:cs typeface="+mn-cs"/>
                              </a:rPr>
                              <m:t>𝑎</m:t>
                            </m:r>
                            <m:r>
                              <a:rPr lang="it-IT" sz="1100" b="0" i="1">
                                <a:solidFill>
                                  <a:schemeClr val="tx1"/>
                                </a:solidFill>
                                <a:effectLst/>
                                <a:latin typeface="Cambria Math" panose="02040503050406030204" pitchFamily="18" charset="0"/>
                                <a:ea typeface="+mn-ea"/>
                                <a:cs typeface="+mn-cs"/>
                              </a:rPr>
                              <m:t>−1</m:t>
                            </m:r>
                          </m:sup>
                        </m:sSup>
                      </m:den>
                    </m:f>
                  </m:oMath>
                </m:oMathPara>
              </a14:m>
              <a:endParaRPr lang="it-IT">
                <a:solidFill>
                  <a:schemeClr val="bg1">
                    <a:lumMod val="50000"/>
                  </a:schemeClr>
                </a:solidFill>
              </a:endParaRPr>
            </a:p>
          </xdr:txBody>
        </xdr:sp>
      </mc:Choice>
      <mc:Fallback xmlns="">
        <xdr:sp macro="" textlink="">
          <xdr:nvSpPr>
            <xdr:cNvPr id="22" name="Object 8">
              <a:extLst>
                <a:ext uri="{63B3BB69-23CF-44E3-9099-C40C66FF867C}">
                  <a14:compatExt xmlns:a14="http://schemas.microsoft.com/office/drawing/2010/main" spid="_x0000_s1032"/>
                </a:ext>
                <a:ext uri="{FF2B5EF4-FFF2-40B4-BE49-F238E27FC236}">
                  <a16:creationId xmlns:a16="http://schemas.microsoft.com/office/drawing/2014/main" id="{E66D58CF-4A17-470A-A0F7-5C4C06A3714C}"/>
                </a:ext>
              </a:extLst>
            </xdr:cNvPr>
            <xdr:cNvSpPr txBox="1"/>
          </xdr:nvSpPr>
          <xdr:spPr>
            <a:xfrm>
              <a:off x="12796893" y="9446559"/>
              <a:ext cx="512191" cy="418256"/>
            </a:xfrm>
            <a:prstGeom prst="rect">
              <a:avLst/>
            </a:prstGeom>
          </xdr:spPr>
          <xdr:txBody>
            <a:bodyPr vertOverflow="clip" horzOverflow="clip" wrap="none">
              <a:spAutoFit/>
            </a:bodyPr>
            <a:lstStyle/>
            <a:p>
              <a:pPr/>
              <a:r>
                <a:rPr lang="it-IT" sz="1100" i="0">
                  <a:solidFill>
                    <a:schemeClr val="tx1"/>
                  </a:solidFill>
                  <a:effectLst/>
                  <a:latin typeface="Cambria Math" panose="02040503050406030204" pitchFamily="18" charset="0"/>
                  <a:ea typeface="+mn-ea"/>
                  <a:cs typeface="+mn-cs"/>
                </a:rPr>
                <a:t>𝜗^</a:t>
              </a:r>
              <a:r>
                <a:rPr lang="it-IT" sz="1100" b="0" i="0">
                  <a:solidFill>
                    <a:schemeClr val="tx1"/>
                  </a:solidFill>
                  <a:effectLst/>
                  <a:latin typeface="Cambria Math" panose="02040503050406030204" pitchFamily="18" charset="0"/>
                  <a:ea typeface="+mn-ea"/>
                  <a:cs typeface="+mn-cs"/>
                </a:rPr>
                <a:t>𝑎/</a:t>
              </a:r>
              <a:r>
                <a:rPr lang="it-IT" sz="1100" i="0">
                  <a:solidFill>
                    <a:schemeClr val="tx1"/>
                  </a:solidFill>
                  <a:effectLst/>
                  <a:latin typeface="Cambria Math" panose="02040503050406030204" pitchFamily="18" charset="0"/>
                  <a:ea typeface="+mn-ea"/>
                  <a:cs typeface="+mn-cs"/>
                </a:rPr>
                <a:t>𝜗^(</a:t>
              </a:r>
              <a:r>
                <a:rPr lang="it-IT" sz="1100" b="0" i="0">
                  <a:solidFill>
                    <a:schemeClr val="tx1"/>
                  </a:solidFill>
                  <a:effectLst/>
                  <a:latin typeface="Cambria Math" panose="02040503050406030204" pitchFamily="18" charset="0"/>
                  <a:ea typeface="+mn-ea"/>
                  <a:cs typeface="+mn-cs"/>
                </a:rPr>
                <a:t>𝑎−1) </a:t>
              </a:r>
              <a:endParaRPr lang="it-IT">
                <a:solidFill>
                  <a:schemeClr val="bg1">
                    <a:lumMod val="50000"/>
                  </a:schemeClr>
                </a:solidFill>
              </a:endParaRPr>
            </a:p>
          </xdr:txBody>
        </xdr:sp>
      </mc:Fallback>
    </mc:AlternateContent>
    <xdr:clientData/>
  </xdr:twoCellAnchor>
</xdr:wsDr>
</file>

<file path=xl/drawings/drawing30.xml><?xml version="1.0" encoding="utf-8"?>
<xdr:wsDr xmlns:xdr="http://schemas.openxmlformats.org/drawingml/2006/spreadsheetDrawing" xmlns:a="http://schemas.openxmlformats.org/drawingml/2006/main">
  <xdr:twoCellAnchor>
    <xdr:from>
      <xdr:col>8</xdr:col>
      <xdr:colOff>142875</xdr:colOff>
      <xdr:row>38</xdr:row>
      <xdr:rowOff>71157</xdr:rowOff>
    </xdr:from>
    <xdr:to>
      <xdr:col>9</xdr:col>
      <xdr:colOff>526676</xdr:colOff>
      <xdr:row>43</xdr:row>
      <xdr:rowOff>166407</xdr:rowOff>
    </xdr:to>
    <xdr:sp macro="" textlink="">
      <xdr:nvSpPr>
        <xdr:cNvPr id="3" name="CasellaDiTesto 2">
          <a:extLst>
            <a:ext uri="{FF2B5EF4-FFF2-40B4-BE49-F238E27FC236}">
              <a16:creationId xmlns:a16="http://schemas.microsoft.com/office/drawing/2014/main" id="{00000000-0008-0000-1E00-000003000000}"/>
            </a:ext>
          </a:extLst>
        </xdr:cNvPr>
        <xdr:cNvSpPr txBox="1"/>
      </xdr:nvSpPr>
      <xdr:spPr>
        <a:xfrm>
          <a:off x="7785287" y="1673598"/>
          <a:ext cx="1437154" cy="11037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valori calcolati prima delle detrazioni</a:t>
          </a:r>
        </a:p>
      </xdr:txBody>
    </xdr:sp>
    <xdr:clientData/>
  </xdr:twoCellAnchor>
  <xdr:twoCellAnchor>
    <xdr:from>
      <xdr:col>8</xdr:col>
      <xdr:colOff>210670</xdr:colOff>
      <xdr:row>28</xdr:row>
      <xdr:rowOff>11206</xdr:rowOff>
    </xdr:from>
    <xdr:to>
      <xdr:col>9</xdr:col>
      <xdr:colOff>526676</xdr:colOff>
      <xdr:row>33</xdr:row>
      <xdr:rowOff>96931</xdr:rowOff>
    </xdr:to>
    <xdr:sp macro="" textlink="">
      <xdr:nvSpPr>
        <xdr:cNvPr id="13" name="CasellaDiTesto 12">
          <a:extLst>
            <a:ext uri="{FF2B5EF4-FFF2-40B4-BE49-F238E27FC236}">
              <a16:creationId xmlns:a16="http://schemas.microsoft.com/office/drawing/2014/main" id="{00000000-0008-0000-1E00-00000D000000}"/>
            </a:ext>
          </a:extLst>
        </xdr:cNvPr>
        <xdr:cNvSpPr txBox="1"/>
      </xdr:nvSpPr>
      <xdr:spPr>
        <a:xfrm>
          <a:off x="7853082" y="3451412"/>
          <a:ext cx="1369359" cy="1094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valori calcolati dopo le detrazioni e prima della rimodulazione</a:t>
          </a:r>
          <a:r>
            <a:rPr lang="it-IT" sz="1100" baseline="0"/>
            <a:t> </a:t>
          </a:r>
          <a:r>
            <a:rPr lang="it-IT" sz="1100" b="1" baseline="0"/>
            <a:t>RC</a:t>
          </a:r>
          <a:r>
            <a:rPr lang="it-IT" sz="1100" b="1" baseline="-25000"/>
            <a:t>TOT</a:t>
          </a:r>
          <a:endParaRPr lang="it-IT" sz="1100"/>
        </a:p>
      </xdr:txBody>
    </xdr:sp>
    <xdr:clientData/>
  </xdr:twoCellAnchor>
  <xdr:twoCellAnchor>
    <xdr:from>
      <xdr:col>8</xdr:col>
      <xdr:colOff>210670</xdr:colOff>
      <xdr:row>9</xdr:row>
      <xdr:rowOff>11206</xdr:rowOff>
    </xdr:from>
    <xdr:to>
      <xdr:col>9</xdr:col>
      <xdr:colOff>526676</xdr:colOff>
      <xdr:row>14</xdr:row>
      <xdr:rowOff>96931</xdr:rowOff>
    </xdr:to>
    <xdr:sp macro="" textlink="">
      <xdr:nvSpPr>
        <xdr:cNvPr id="10" name="CasellaDiTesto 9">
          <a:extLst>
            <a:ext uri="{FF2B5EF4-FFF2-40B4-BE49-F238E27FC236}">
              <a16:creationId xmlns:a16="http://schemas.microsoft.com/office/drawing/2014/main" id="{00000000-0008-0000-1E00-00000A000000}"/>
            </a:ext>
          </a:extLst>
        </xdr:cNvPr>
        <xdr:cNvSpPr txBox="1"/>
      </xdr:nvSpPr>
      <xdr:spPr>
        <a:xfrm>
          <a:off x="7853082" y="5479677"/>
          <a:ext cx="1369359" cy="1094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valori calcolati dopo rimodulazione </a:t>
          </a:r>
          <a:r>
            <a:rPr lang="it-IT" sz="1100" b="1" baseline="0">
              <a:solidFill>
                <a:schemeClr val="dk1"/>
              </a:solidFill>
              <a:effectLst/>
              <a:latin typeface="+mn-lt"/>
              <a:ea typeface="+mn-ea"/>
              <a:cs typeface="+mn-cs"/>
            </a:rPr>
            <a:t>RC</a:t>
          </a:r>
          <a:r>
            <a:rPr lang="it-IT" sz="1100" b="1" baseline="-25000">
              <a:solidFill>
                <a:schemeClr val="dk1"/>
              </a:solidFill>
              <a:effectLst/>
              <a:latin typeface="+mn-lt"/>
              <a:ea typeface="+mn-ea"/>
              <a:cs typeface="+mn-cs"/>
            </a:rPr>
            <a:t>TOT</a:t>
          </a:r>
          <a:r>
            <a:rPr lang="it-IT" sz="1100"/>
            <a:t>  e detrazioni</a:t>
          </a:r>
        </a:p>
      </xdr:txBody>
    </xdr:sp>
    <xdr:clientData/>
  </xdr:twoCellAnchor>
  <xdr:twoCellAnchor>
    <xdr:from>
      <xdr:col>2</xdr:col>
      <xdr:colOff>831140</xdr:colOff>
      <xdr:row>50</xdr:row>
      <xdr:rowOff>23533</xdr:rowOff>
    </xdr:from>
    <xdr:to>
      <xdr:col>6</xdr:col>
      <xdr:colOff>703422</xdr:colOff>
      <xdr:row>50</xdr:row>
      <xdr:rowOff>520336</xdr:rowOff>
    </xdr:to>
    <mc:AlternateContent xmlns:mc="http://schemas.openxmlformats.org/markup-compatibility/2006" xmlns:a14="http://schemas.microsoft.com/office/drawing/2010/main">
      <mc:Choice Requires="a14">
        <xdr:sp macro="" textlink="">
          <xdr:nvSpPr>
            <xdr:cNvPr id="2" name="Object 1">
              <a:extLst>
                <a:ext uri="{63B3BB69-23CF-44E3-9099-C40C66FF867C}">
                  <a14:compatExt spid="_x0000_s3073"/>
                </a:ext>
                <a:ext uri="{FF2B5EF4-FFF2-40B4-BE49-F238E27FC236}">
                  <a16:creationId xmlns:a16="http://schemas.microsoft.com/office/drawing/2014/main" id="{00000000-0008-0000-1E00-000002000000}"/>
                </a:ext>
              </a:extLst>
            </xdr:cNvPr>
            <xdr:cNvSpPr txBox="1"/>
          </xdr:nvSpPr>
          <xdr:spPr>
            <a:xfrm>
              <a:off x="4741993" y="8439151"/>
              <a:ext cx="4130517" cy="496803"/>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sSup>
                      <m:sSupPr>
                        <m:ctrlPr>
                          <a:rPr lang="it-IT" i="1">
                            <a:solidFill>
                              <a:srgbClr val="000000"/>
                            </a:solidFill>
                            <a:latin typeface="Cambria Math" panose="02040503050406030204" pitchFamily="18" charset="0"/>
                          </a:rPr>
                        </m:ctrlPr>
                      </m:sSupPr>
                      <m:e>
                        <m:r>
                          <a:rPr lang="it-IT" sz="1100" i="1">
                            <a:effectLst/>
                            <a:latin typeface="Cambria Math" panose="02040503050406030204" pitchFamily="18" charset="0"/>
                            <a:ea typeface="+mn-ea"/>
                            <a:cs typeface="+mn-cs"/>
                          </a:rPr>
                          <m:t>𝜗</m:t>
                        </m:r>
                      </m:e>
                      <m:sup>
                        <m:r>
                          <a:rPr lang="it-IT" b="0" i="1">
                            <a:solidFill>
                              <a:srgbClr val="000000"/>
                            </a:solidFill>
                            <a:latin typeface="Cambria Math" panose="02040503050406030204" pitchFamily="18" charset="0"/>
                          </a:rPr>
                          <m:t>𝑎</m:t>
                        </m:r>
                      </m:sup>
                    </m:sSup>
                    <m:r>
                      <a:rPr lang="it-IT" i="1">
                        <a:solidFill>
                          <a:srgbClr val="000000"/>
                        </a:solidFill>
                        <a:latin typeface="Cambria Math" panose="02040503050406030204" pitchFamily="18" charset="0"/>
                      </a:rPr>
                      <m:t>=</m:t>
                    </m:r>
                    <m:f>
                      <m:fPr>
                        <m:ctrlPr>
                          <a:rPr lang="it-IT" i="1">
                            <a:solidFill>
                              <a:srgbClr val="000000"/>
                            </a:solidFill>
                            <a:latin typeface="Cambria Math" panose="02040503050406030204" pitchFamily="18" charset="0"/>
                          </a:rPr>
                        </m:ctrlPr>
                      </m:fPr>
                      <m:num>
                        <m:sSup>
                          <m:sSupPr>
                            <m:ctrlPr>
                              <a:rPr lang="it-IT" i="1">
                                <a:solidFill>
                                  <a:srgbClr val="000000"/>
                                </a:solidFill>
                                <a:latin typeface="Cambria Math" panose="02040503050406030204" pitchFamily="18" charset="0"/>
                              </a:rPr>
                            </m:ctrlPr>
                          </m:sSupPr>
                          <m:e>
                            <m:r>
                              <a:rPr lang="it-IT" b="0" i="1">
                                <a:solidFill>
                                  <a:srgbClr val="000000"/>
                                </a:solidFill>
                                <a:latin typeface="Cambria Math" panose="02040503050406030204" pitchFamily="18" charset="0"/>
                              </a:rPr>
                              <m:t>𝑉𝑅𝐺</m:t>
                            </m:r>
                          </m:e>
                          <m:sup>
                            <m:r>
                              <a:rPr lang="it-IT" b="0" i="1">
                                <a:solidFill>
                                  <a:srgbClr val="000000"/>
                                </a:solidFill>
                                <a:latin typeface="Cambria Math" panose="02040503050406030204" pitchFamily="18" charset="0"/>
                              </a:rPr>
                              <m:t>𝑎</m:t>
                            </m:r>
                          </m:sup>
                        </m:sSup>
                      </m:num>
                      <m:den>
                        <m:nary>
                          <m:naryPr>
                            <m:chr m:val="∑"/>
                            <m:supHide m:val="on"/>
                            <m:ctrlPr>
                              <a:rPr lang="it-IT" i="1">
                                <a:solidFill>
                                  <a:srgbClr val="000000"/>
                                </a:solidFill>
                                <a:latin typeface="Cambria Math" panose="02040503050406030204" pitchFamily="18" charset="0"/>
                              </a:rPr>
                            </m:ctrlPr>
                          </m:naryPr>
                          <m:sub>
                            <m:r>
                              <a:rPr lang="it-IT" i="1">
                                <a:solidFill>
                                  <a:srgbClr val="000000"/>
                                </a:solidFill>
                                <a:latin typeface="Cambria Math" panose="02040503050406030204" pitchFamily="18" charset="0"/>
                              </a:rPr>
                              <m:t>𝑢</m:t>
                            </m:r>
                          </m:sub>
                          <m:sup/>
                          <m:e>
                            <m:sSubSup>
                              <m:sSubSupPr>
                                <m:ctrlPr>
                                  <a:rPr lang="it-IT" i="1">
                                    <a:solidFill>
                                      <a:srgbClr val="000000"/>
                                    </a:solidFill>
                                    <a:latin typeface="Cambria Math" panose="02040503050406030204" pitchFamily="18" charset="0"/>
                                  </a:rPr>
                                </m:ctrlPr>
                              </m:sSubSupPr>
                              <m:e>
                                <m:bar>
                                  <m:barPr>
                                    <m:ctrlPr>
                                      <a:rPr lang="it-IT" i="1">
                                        <a:solidFill>
                                          <a:srgbClr val="000000"/>
                                        </a:solidFill>
                                        <a:latin typeface="Cambria Math" panose="02040503050406030204" pitchFamily="18" charset="0"/>
                                      </a:rPr>
                                    </m:ctrlPr>
                                  </m:barPr>
                                  <m:e>
                                    <m:r>
                                      <a:rPr lang="it-IT" i="1">
                                        <a:solidFill>
                                          <a:srgbClr val="000000"/>
                                        </a:solidFill>
                                        <a:latin typeface="Cambria Math" panose="02040503050406030204" pitchFamily="18" charset="0"/>
                                      </a:rPr>
                                      <m:t>𝑡𝑎𝑟𝑖𝑓</m:t>
                                    </m:r>
                                  </m:e>
                                </m:bar>
                              </m:e>
                              <m:sub>
                                <m:r>
                                  <a:rPr lang="it-IT" i="1">
                                    <a:solidFill>
                                      <a:srgbClr val="000000"/>
                                    </a:solidFill>
                                    <a:latin typeface="Cambria Math" panose="02040503050406030204" pitchFamily="18" charset="0"/>
                                  </a:rPr>
                                  <m:t>𝑢</m:t>
                                </m:r>
                              </m:sub>
                              <m:sup>
                                <m:r>
                                  <a:rPr lang="it-IT" i="1">
                                    <a:solidFill>
                                      <a:srgbClr val="000000"/>
                                    </a:solidFill>
                                    <a:latin typeface="Cambria Math" panose="02040503050406030204" pitchFamily="18" charset="0"/>
                                  </a:rPr>
                                  <m:t>202</m:t>
                                </m:r>
                                <m:r>
                                  <a:rPr lang="it-IT" b="0" i="1">
                                    <a:solidFill>
                                      <a:srgbClr val="000000"/>
                                    </a:solidFill>
                                    <a:latin typeface="Cambria Math" panose="02040503050406030204" pitchFamily="18" charset="0"/>
                                  </a:rPr>
                                  <m:t>3</m:t>
                                </m:r>
                              </m:sup>
                            </m:sSubSup>
                            <m:r>
                              <a:rPr lang="it-IT" i="1">
                                <a:solidFill>
                                  <a:srgbClr val="000000"/>
                                </a:solidFill>
                                <a:latin typeface="Cambria Math" panose="02040503050406030204" pitchFamily="18" charset="0"/>
                              </a:rPr>
                              <m:t>•(</m:t>
                            </m:r>
                            <m:sSubSup>
                              <m:sSubSupPr>
                                <m:ctrlPr>
                                  <a:rPr lang="it-IT" i="1">
                                    <a:solidFill>
                                      <a:srgbClr val="000000"/>
                                    </a:solidFill>
                                    <a:latin typeface="Cambria Math" panose="02040503050406030204" pitchFamily="18" charset="0"/>
                                  </a:rPr>
                                </m:ctrlPr>
                              </m:sSubSupPr>
                              <m:e>
                                <m:bar>
                                  <m:barPr>
                                    <m:ctrlPr>
                                      <a:rPr lang="it-IT" i="1">
                                        <a:solidFill>
                                          <a:srgbClr val="000000"/>
                                        </a:solidFill>
                                        <a:latin typeface="Cambria Math" panose="02040503050406030204" pitchFamily="18" charset="0"/>
                                      </a:rPr>
                                    </m:ctrlPr>
                                  </m:barPr>
                                  <m:e>
                                    <m:r>
                                      <a:rPr lang="it-IT" i="1">
                                        <a:solidFill>
                                          <a:srgbClr val="000000"/>
                                        </a:solidFill>
                                        <a:latin typeface="Cambria Math" panose="02040503050406030204" pitchFamily="18" charset="0"/>
                                      </a:rPr>
                                      <m:t>𝑣𝑠𝑐𝑎𝑙</m:t>
                                    </m:r>
                                  </m:e>
                                </m:bar>
                              </m:e>
                              <m:sub>
                                <m:r>
                                  <a:rPr lang="it-IT" i="1">
                                    <a:solidFill>
                                      <a:srgbClr val="000000"/>
                                    </a:solidFill>
                                    <a:latin typeface="Cambria Math" panose="02040503050406030204" pitchFamily="18" charset="0"/>
                                  </a:rPr>
                                  <m:t>𝑢</m:t>
                                </m:r>
                              </m:sub>
                              <m:sup>
                                <m:r>
                                  <a:rPr lang="it-IT" i="1">
                                    <a:solidFill>
                                      <a:srgbClr val="000000"/>
                                    </a:solidFill>
                                    <a:latin typeface="Cambria Math" panose="02040503050406030204" pitchFamily="18" charset="0"/>
                                  </a:rPr>
                                  <m:t>𝑎</m:t>
                                </m:r>
                                <m:r>
                                  <a:rPr lang="it-IT" i="1">
                                    <a:solidFill>
                                      <a:srgbClr val="000000"/>
                                    </a:solidFill>
                                    <a:latin typeface="Cambria Math" panose="02040503050406030204" pitchFamily="18" charset="0"/>
                                  </a:rPr>
                                  <m:t>−2</m:t>
                                </m:r>
                              </m:sup>
                            </m:sSubSup>
                            <m:sSup>
                              <m:sSupPr>
                                <m:ctrlPr>
                                  <a:rPr lang="it-IT" i="1">
                                    <a:solidFill>
                                      <a:srgbClr val="000000"/>
                                    </a:solidFill>
                                    <a:latin typeface="Cambria Math" panose="02040503050406030204" pitchFamily="18" charset="0"/>
                                  </a:rPr>
                                </m:ctrlPr>
                              </m:sSupPr>
                              <m:e>
                                <m:r>
                                  <a:rPr lang="it-IT" i="1">
                                    <a:solidFill>
                                      <a:srgbClr val="000000"/>
                                    </a:solidFill>
                                    <a:latin typeface="Cambria Math" panose="02040503050406030204" pitchFamily="18" charset="0"/>
                                  </a:rPr>
                                  <m:t>)</m:t>
                                </m:r>
                              </m:e>
                              <m:sup>
                                <m:r>
                                  <a:rPr lang="it-IT" i="1">
                                    <a:solidFill>
                                      <a:srgbClr val="000000"/>
                                    </a:solidFill>
                                    <a:latin typeface="Cambria Math" panose="02040503050406030204" pitchFamily="18" charset="0"/>
                                  </a:rPr>
                                  <m:t>𝑇</m:t>
                                </m:r>
                              </m:sup>
                            </m:sSup>
                            <m:r>
                              <a:rPr lang="it-IT" i="1">
                                <a:solidFill>
                                  <a:srgbClr val="000000"/>
                                </a:solidFill>
                                <a:latin typeface="Cambria Math" panose="02040503050406030204" pitchFamily="18" charset="0"/>
                              </a:rPr>
                              <m:t>+</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𝑅</m:t>
                                </m:r>
                              </m:e>
                              <m:sub>
                                <m:r>
                                  <a:rPr lang="it-IT" i="1">
                                    <a:solidFill>
                                      <a:srgbClr val="000000"/>
                                    </a:solidFill>
                                    <a:latin typeface="Cambria Math" panose="02040503050406030204" pitchFamily="18" charset="0"/>
                                  </a:rPr>
                                  <m:t>𝑏</m:t>
                                </m:r>
                              </m:sub>
                              <m:sup>
                                <m:r>
                                  <a:rPr lang="it-IT" i="1">
                                    <a:solidFill>
                                      <a:srgbClr val="000000"/>
                                    </a:solidFill>
                                    <a:latin typeface="Cambria Math" panose="02040503050406030204" pitchFamily="18" charset="0"/>
                                  </a:rPr>
                                  <m:t>𝑎</m:t>
                                </m:r>
                                <m:r>
                                  <a:rPr lang="it-IT" i="1">
                                    <a:solidFill>
                                      <a:srgbClr val="000000"/>
                                    </a:solidFill>
                                    <a:latin typeface="Cambria Math" panose="02040503050406030204" pitchFamily="18" charset="0"/>
                                  </a:rPr>
                                  <m:t>−2</m:t>
                                </m:r>
                              </m:sup>
                            </m:sSubSup>
                          </m:e>
                        </m:nary>
                      </m:den>
                    </m:f>
                  </m:oMath>
                </m:oMathPara>
              </a14:m>
              <a:endParaRPr lang="it-IT"/>
            </a:p>
          </xdr:txBody>
        </xdr:sp>
      </mc:Choice>
      <mc:Fallback xmlns="">
        <xdr:sp macro="" textlink="">
          <xdr:nvSpPr>
            <xdr:cNvPr id="2" name="Object 1">
              <a:extLst>
                <a:ext uri="{63B3BB69-23CF-44E3-9099-C40C66FF867C}">
                  <a14:compatExt xmlns:a14="http://schemas.microsoft.com/office/drawing/2010/main" spid="_x0000_s3073"/>
                </a:ext>
                <a:ext uri="{FF2B5EF4-FFF2-40B4-BE49-F238E27FC236}">
                  <a16:creationId xmlns:a16="http://schemas.microsoft.com/office/drawing/2014/main" id="{00000000-0008-0000-1E00-000002000000}"/>
                </a:ext>
              </a:extLst>
            </xdr:cNvPr>
            <xdr:cNvSpPr txBox="1"/>
          </xdr:nvSpPr>
          <xdr:spPr>
            <a:xfrm>
              <a:off x="4741993" y="8439151"/>
              <a:ext cx="4130517" cy="496803"/>
            </a:xfrm>
            <a:prstGeom prst="rect">
              <a:avLst/>
            </a:prstGeom>
          </xdr:spPr>
          <xdr:txBody>
            <a:bodyPr vertOverflow="clip" horzOverflow="clip" wrap="none">
              <a:spAutoFit/>
            </a:bodyPr>
            <a:lstStyle/>
            <a:p>
              <a:pPr/>
              <a:r>
                <a:rPr lang="it-IT" sz="1100" i="0">
                  <a:effectLst/>
                  <a:latin typeface="Cambria Math" panose="02040503050406030204" pitchFamily="18" charset="0"/>
                  <a:ea typeface="+mn-ea"/>
                  <a:cs typeface="+mn-cs"/>
                </a:rPr>
                <a:t>𝜗</a:t>
              </a:r>
              <a:r>
                <a:rPr lang="it-IT" sz="1100" i="0">
                  <a:solidFill>
                    <a:srgbClr val="000000"/>
                  </a:solidFill>
                  <a:effectLst/>
                  <a:latin typeface="Cambria Math" panose="02040503050406030204" pitchFamily="18" charset="0"/>
                  <a:ea typeface="+mn-ea"/>
                  <a:cs typeface="+mn-cs"/>
                </a:rPr>
                <a:t>^</a:t>
              </a:r>
              <a:r>
                <a:rPr lang="it-IT" b="0" i="0">
                  <a:solidFill>
                    <a:srgbClr val="000000"/>
                  </a:solidFill>
                  <a:latin typeface="Cambria Math" panose="02040503050406030204" pitchFamily="18" charset="0"/>
                </a:rPr>
                <a:t>𝑎</a:t>
              </a: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𝑉𝑅𝐺〗^𝑎/(∑_</a:t>
              </a:r>
              <a:r>
                <a:rPr lang="it-IT" i="0">
                  <a:solidFill>
                    <a:srgbClr val="000000"/>
                  </a:solidFill>
                  <a:latin typeface="Cambria Math" panose="02040503050406030204" pitchFamily="18" charset="0"/>
                </a:rPr>
                <a:t>𝑢▒〖▁𝑡𝑎𝑟𝑖𝑓_𝑢^202</a:t>
              </a:r>
              <a:r>
                <a:rPr lang="it-IT" b="0" i="0">
                  <a:solidFill>
                    <a:srgbClr val="000000"/>
                  </a:solidFill>
                  <a:latin typeface="Cambria Math" panose="02040503050406030204" pitchFamily="18" charset="0"/>
                </a:rPr>
                <a:t>3</a:t>
              </a:r>
              <a:r>
                <a:rPr lang="it-IT" i="0">
                  <a:solidFill>
                    <a:srgbClr val="000000"/>
                  </a:solidFill>
                  <a:latin typeface="Cambria Math" panose="02040503050406030204" pitchFamily="18" charset="0"/>
                </a:rPr>
                <a:t>•(▁𝑣𝑠𝑐𝑎𝑙_𝑢^(𝑎−2) )^𝑇+𝑅_𝑏^(𝑎−2) 〗)</a:t>
              </a:r>
              <a:endParaRPr lang="it-IT"/>
            </a:p>
          </xdr:txBody>
        </xdr:sp>
      </mc:Fallback>
    </mc:AlternateContent>
    <xdr:clientData/>
  </xdr:twoCellAnchor>
  <xdr:twoCellAnchor>
    <xdr:from>
      <xdr:col>2</xdr:col>
      <xdr:colOff>409128</xdr:colOff>
      <xdr:row>3</xdr:row>
      <xdr:rowOff>84826</xdr:rowOff>
    </xdr:from>
    <xdr:to>
      <xdr:col>7</xdr:col>
      <xdr:colOff>765587</xdr:colOff>
      <xdr:row>3</xdr:row>
      <xdr:rowOff>349386</xdr:rowOff>
    </xdr:to>
    <mc:AlternateContent xmlns:mc="http://schemas.openxmlformats.org/markup-compatibility/2006" xmlns:a14="http://schemas.microsoft.com/office/drawing/2010/main">
      <mc:Choice Requires="a14">
        <xdr:sp macro="" textlink="">
          <xdr:nvSpPr>
            <xdr:cNvPr id="8" name="Object 12">
              <a:extLst>
                <a:ext uri="{63B3BB69-23CF-44E3-9099-C40C66FF867C}">
                  <a14:compatExt spid="_x0000_s3084"/>
                </a:ext>
                <a:ext uri="{FF2B5EF4-FFF2-40B4-BE49-F238E27FC236}">
                  <a16:creationId xmlns:a16="http://schemas.microsoft.com/office/drawing/2014/main" id="{00000000-0008-0000-1E00-000008000000}"/>
                </a:ext>
              </a:extLst>
            </xdr:cNvPr>
            <xdr:cNvSpPr txBox="1"/>
          </xdr:nvSpPr>
          <xdr:spPr>
            <a:xfrm>
              <a:off x="4319981" y="1171797"/>
              <a:ext cx="5679253" cy="264560"/>
            </a:xfrm>
            <a:prstGeom prst="rect">
              <a:avLst/>
            </a:prstGeom>
          </xdr:spPr>
          <xdr:txBody>
            <a:bodyPr vertOverflow="clip" horzOverflow="clip" wrap="square">
              <a:spAutoFit/>
            </a:bodyPr>
            <a:lstStyle/>
            <a:p>
              <a:pPr/>
              <a14:m>
                <m:oMathPara xmlns:m="http://schemas.openxmlformats.org/officeDocument/2006/math">
                  <m:oMathParaPr>
                    <m:jc m:val="centerGroup"/>
                  </m:oMathParaPr>
                  <m:oMath xmlns:m="http://schemas.openxmlformats.org/officeDocument/2006/math">
                    <m:r>
                      <a:rPr lang="it-IT" i="1">
                        <a:solidFill>
                          <a:srgbClr val="000000"/>
                        </a:solidFill>
                        <a:latin typeface="Cambria Math" panose="02040503050406030204" pitchFamily="18" charset="0"/>
                      </a:rPr>
                      <m:t>𝑉𝑅</m:t>
                    </m:r>
                    <m:sSup>
                      <m:sSupPr>
                        <m:ctrlPr>
                          <a:rPr lang="it-IT" i="1">
                            <a:solidFill>
                              <a:srgbClr val="000000"/>
                            </a:solidFill>
                            <a:latin typeface="Cambria Math" panose="02040503050406030204" pitchFamily="18" charset="0"/>
                          </a:rPr>
                        </m:ctrlPr>
                      </m:sSupPr>
                      <m:e>
                        <m:r>
                          <a:rPr lang="it-IT" i="1">
                            <a:solidFill>
                              <a:srgbClr val="000000"/>
                            </a:solidFill>
                            <a:latin typeface="Cambria Math" panose="02040503050406030204" pitchFamily="18" charset="0"/>
                          </a:rPr>
                          <m:t>𝐺</m:t>
                        </m:r>
                      </m:e>
                      <m:sup>
                        <m:r>
                          <a:rPr lang="it-IT" i="1">
                            <a:solidFill>
                              <a:srgbClr val="000000"/>
                            </a:solidFill>
                            <a:latin typeface="Cambria Math" panose="02040503050406030204" pitchFamily="18" charset="0"/>
                          </a:rPr>
                          <m:t>𝑎</m:t>
                        </m:r>
                      </m:sup>
                    </m:s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𝐶𝑎𝑝𝑒</m:t>
                    </m:r>
                    <m:sSup>
                      <m:sSupPr>
                        <m:ctrlPr>
                          <a:rPr lang="it-IT" i="1">
                            <a:solidFill>
                              <a:srgbClr val="000000"/>
                            </a:solidFill>
                            <a:latin typeface="Cambria Math" panose="02040503050406030204" pitchFamily="18" charset="0"/>
                          </a:rPr>
                        </m:ctrlPr>
                      </m:sSupPr>
                      <m:e>
                        <m:r>
                          <a:rPr lang="it-IT" i="1">
                            <a:solidFill>
                              <a:srgbClr val="000000"/>
                            </a:solidFill>
                            <a:latin typeface="Cambria Math" panose="02040503050406030204" pitchFamily="18" charset="0"/>
                          </a:rPr>
                          <m:t>𝑥</m:t>
                        </m:r>
                      </m:e>
                      <m:sup>
                        <m:r>
                          <a:rPr lang="it-IT" i="1">
                            <a:solidFill>
                              <a:srgbClr val="000000"/>
                            </a:solidFill>
                            <a:latin typeface="Cambria Math" panose="02040503050406030204" pitchFamily="18" charset="0"/>
                          </a:rPr>
                          <m:t>𝑎</m:t>
                        </m:r>
                      </m:sup>
                    </m:sSup>
                    <m:r>
                      <a:rPr lang="it-IT" i="1">
                        <a:solidFill>
                          <a:srgbClr val="000000"/>
                        </a:solidFill>
                        <a:latin typeface="Cambria Math" panose="02040503050406030204" pitchFamily="18" charset="0"/>
                      </a:rPr>
                      <m:t>+</m:t>
                    </m:r>
                    <m:sSup>
                      <m:sSupPr>
                        <m:ctrlPr>
                          <a:rPr lang="it-IT" sz="1100" i="1">
                            <a:effectLst/>
                            <a:latin typeface="Cambria Math" panose="02040503050406030204" pitchFamily="18" charset="0"/>
                            <a:ea typeface="+mn-ea"/>
                            <a:cs typeface="+mn-cs"/>
                          </a:rPr>
                        </m:ctrlPr>
                      </m:sSupPr>
                      <m:e>
                        <m:r>
                          <a:rPr lang="it-IT" sz="1100" b="0" i="1">
                            <a:effectLst/>
                            <a:latin typeface="Cambria Math" panose="02040503050406030204" pitchFamily="18" charset="0"/>
                            <a:ea typeface="+mn-ea"/>
                            <a:cs typeface="+mn-cs"/>
                          </a:rPr>
                          <m:t>𝐹𝑜𝑁𝐼</m:t>
                        </m:r>
                      </m:e>
                      <m:sup>
                        <m:r>
                          <a:rPr lang="it-IT" sz="1100" i="1">
                            <a:effectLst/>
                            <a:latin typeface="Cambria Math" panose="02040503050406030204" pitchFamily="18" charset="0"/>
                            <a:ea typeface="+mn-ea"/>
                            <a:cs typeface="+mn-cs"/>
                          </a:rPr>
                          <m:t>𝑎</m:t>
                        </m:r>
                      </m:sup>
                    </m:sSup>
                    <m:r>
                      <a:rPr lang="it-IT" sz="1100" i="1">
                        <a:effectLst/>
                        <a:latin typeface="Cambria Math" panose="02040503050406030204" pitchFamily="18" charset="0"/>
                        <a:ea typeface="+mn-ea"/>
                        <a:cs typeface="+mn-cs"/>
                      </a:rPr>
                      <m:t>+</m:t>
                    </m:r>
                    <m:r>
                      <a:rPr lang="it-IT" i="1">
                        <a:solidFill>
                          <a:srgbClr val="000000"/>
                        </a:solidFill>
                        <a:latin typeface="Cambria Math" panose="02040503050406030204" pitchFamily="18" charset="0"/>
                      </a:rPr>
                      <m:t>𝑂𝑝𝑒</m:t>
                    </m:r>
                    <m:sSup>
                      <m:sSupPr>
                        <m:ctrlPr>
                          <a:rPr lang="it-IT" i="1">
                            <a:solidFill>
                              <a:srgbClr val="000000"/>
                            </a:solidFill>
                            <a:latin typeface="Cambria Math" panose="02040503050406030204" pitchFamily="18" charset="0"/>
                          </a:rPr>
                        </m:ctrlPr>
                      </m:sSupPr>
                      <m:e>
                        <m:r>
                          <a:rPr lang="it-IT" i="1">
                            <a:solidFill>
                              <a:srgbClr val="000000"/>
                            </a:solidFill>
                            <a:latin typeface="Cambria Math" panose="02040503050406030204" pitchFamily="18" charset="0"/>
                          </a:rPr>
                          <m:t>𝑥</m:t>
                        </m:r>
                      </m:e>
                      <m:sup>
                        <m:r>
                          <a:rPr lang="it-IT" i="1">
                            <a:solidFill>
                              <a:srgbClr val="000000"/>
                            </a:solidFill>
                            <a:latin typeface="Cambria Math" panose="02040503050406030204" pitchFamily="18" charset="0"/>
                          </a:rPr>
                          <m:t>𝑎</m:t>
                        </m:r>
                      </m:sup>
                    </m:s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𝐸𝑅</m:t>
                    </m:r>
                    <m:sSup>
                      <m:sSupPr>
                        <m:ctrlPr>
                          <a:rPr lang="it-IT" i="1">
                            <a:solidFill>
                              <a:srgbClr val="000000"/>
                            </a:solidFill>
                            <a:latin typeface="Cambria Math" panose="02040503050406030204" pitchFamily="18" charset="0"/>
                          </a:rPr>
                        </m:ctrlPr>
                      </m:sSupPr>
                      <m:e>
                        <m:r>
                          <a:rPr lang="it-IT" i="1">
                            <a:solidFill>
                              <a:srgbClr val="000000"/>
                            </a:solidFill>
                            <a:latin typeface="Cambria Math" panose="02040503050406030204" pitchFamily="18" charset="0"/>
                          </a:rPr>
                          <m:t>𝐶</m:t>
                        </m:r>
                      </m:e>
                      <m:sup>
                        <m:r>
                          <a:rPr lang="it-IT" i="1">
                            <a:solidFill>
                              <a:srgbClr val="000000"/>
                            </a:solidFill>
                            <a:latin typeface="Cambria Math" panose="02040503050406030204" pitchFamily="18" charset="0"/>
                          </a:rPr>
                          <m:t>𝑎</m:t>
                        </m:r>
                      </m:sup>
                    </m:s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𝑐</m:t>
                        </m:r>
                      </m:e>
                      <m:sub>
                        <m:r>
                          <a:rPr lang="it-IT" i="1">
                            <a:solidFill>
                              <a:srgbClr val="000000"/>
                            </a:solidFill>
                            <a:latin typeface="Cambria Math" panose="02040503050406030204" pitchFamily="18" charset="0"/>
                          </a:rPr>
                          <m:t>𝑇𝑂𝑇</m:t>
                        </m:r>
                      </m:sub>
                      <m:sup>
                        <m:r>
                          <a:rPr lang="it-IT" i="1">
                            <a:solidFill>
                              <a:srgbClr val="000000"/>
                            </a:solidFill>
                            <a:latin typeface="Cambria Math" panose="02040503050406030204" pitchFamily="18" charset="0"/>
                          </a:rPr>
                          <m:t>𝑎</m:t>
                        </m:r>
                      </m:sup>
                    </m:sSubSup>
                  </m:oMath>
                </m:oMathPara>
              </a14:m>
              <a:endParaRPr lang="it-IT"/>
            </a:p>
          </xdr:txBody>
        </xdr:sp>
      </mc:Choice>
      <mc:Fallback xmlns="">
        <xdr:sp macro="" textlink="">
          <xdr:nvSpPr>
            <xdr:cNvPr id="8" name="Object 12">
              <a:extLst>
                <a:ext uri="{63B3BB69-23CF-44E3-9099-C40C66FF867C}">
                  <a14:compatExt xmlns:a14="http://schemas.microsoft.com/office/drawing/2010/main" spid="_x0000_s3084"/>
                </a:ext>
                <a:ext uri="{FF2B5EF4-FFF2-40B4-BE49-F238E27FC236}">
                  <a16:creationId xmlns:a16="http://schemas.microsoft.com/office/drawing/2014/main" id="{00000000-0008-0000-1E00-000008000000}"/>
                </a:ext>
              </a:extLst>
            </xdr:cNvPr>
            <xdr:cNvSpPr txBox="1"/>
          </xdr:nvSpPr>
          <xdr:spPr>
            <a:xfrm>
              <a:off x="4319981" y="1171797"/>
              <a:ext cx="5679253" cy="264560"/>
            </a:xfrm>
            <a:prstGeom prst="rect">
              <a:avLst/>
            </a:prstGeom>
          </xdr:spPr>
          <xdr:txBody>
            <a:bodyPr vertOverflow="clip" horzOverflow="clip" wrap="square">
              <a:spAutoFit/>
            </a:bodyPr>
            <a:lstStyle/>
            <a:p>
              <a:pPr/>
              <a:r>
                <a:rPr lang="it-IT" i="0">
                  <a:solidFill>
                    <a:srgbClr val="000000"/>
                  </a:solidFill>
                  <a:latin typeface="Cambria Math" panose="02040503050406030204" pitchFamily="18" charset="0"/>
                </a:rPr>
                <a:t>𝑉𝑅𝐺^𝑎=𝐶𝑎𝑝𝑒𝑥^𝑎+</a:t>
              </a: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𝐹𝑜𝑁𝐼〗^</a:t>
              </a:r>
              <a:r>
                <a:rPr lang="it-IT" sz="1100" i="0">
                  <a:effectLst/>
                  <a:latin typeface="Cambria Math" panose="02040503050406030204" pitchFamily="18" charset="0"/>
                  <a:ea typeface="+mn-ea"/>
                  <a:cs typeface="+mn-cs"/>
                </a:rPr>
                <a:t>𝑎+</a:t>
              </a:r>
              <a:r>
                <a:rPr lang="it-IT" i="0">
                  <a:solidFill>
                    <a:srgbClr val="000000"/>
                  </a:solidFill>
                  <a:latin typeface="Cambria Math" panose="02040503050406030204" pitchFamily="18" charset="0"/>
                </a:rPr>
                <a:t>𝑂𝑝𝑒𝑥^𝑎+𝐸𝑅𝐶^𝑎+𝑅𝑐_𝑇𝑂𝑇^𝑎</a:t>
              </a:r>
              <a:endParaRPr lang="it-IT"/>
            </a:p>
          </xdr:txBody>
        </xdr:sp>
      </mc:Fallback>
    </mc:AlternateContent>
    <xdr:clientData/>
  </xdr:twoCellAnchor>
</xdr:wsDr>
</file>

<file path=xl/drawings/drawing31.xml><?xml version="1.0" encoding="utf-8"?>
<xdr:wsDr xmlns:xdr="http://schemas.openxmlformats.org/drawingml/2006/spreadsheetDrawing" xmlns:a="http://schemas.openxmlformats.org/drawingml/2006/main">
  <xdr:twoCellAnchor>
    <xdr:from>
      <xdr:col>4</xdr:col>
      <xdr:colOff>11764</xdr:colOff>
      <xdr:row>3</xdr:row>
      <xdr:rowOff>150159</xdr:rowOff>
    </xdr:from>
    <xdr:to>
      <xdr:col>6</xdr:col>
      <xdr:colOff>0</xdr:colOff>
      <xdr:row>3</xdr:row>
      <xdr:rowOff>425106</xdr:rowOff>
    </xdr:to>
    <mc:AlternateContent xmlns:mc="http://schemas.openxmlformats.org/markup-compatibility/2006" xmlns:a14="http://schemas.microsoft.com/office/drawing/2010/main">
      <mc:Choice Requires="a14">
        <xdr:sp macro="" textlink="">
          <xdr:nvSpPr>
            <xdr:cNvPr id="2" name="Object 1">
              <a:extLst>
                <a:ext uri="{63B3BB69-23CF-44E3-9099-C40C66FF867C}">
                  <a14:compatExt spid="_x0000_s99329"/>
                </a:ext>
                <a:ext uri="{FF2B5EF4-FFF2-40B4-BE49-F238E27FC236}">
                  <a16:creationId xmlns:a16="http://schemas.microsoft.com/office/drawing/2014/main" id="{00000000-0008-0000-1F00-000002000000}"/>
                </a:ext>
              </a:extLst>
            </xdr:cNvPr>
            <xdr:cNvSpPr txBox="1"/>
          </xdr:nvSpPr>
          <xdr:spPr>
            <a:xfrm>
              <a:off x="3788146" y="1091453"/>
              <a:ext cx="3206647" cy="274947"/>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r>
                      <a:rPr lang="it-IT" i="1">
                        <a:solidFill>
                          <a:srgbClr val="000000"/>
                        </a:solidFill>
                        <a:latin typeface="Cambria Math" panose="02040503050406030204" pitchFamily="18" charset="0"/>
                      </a:rPr>
                      <m:t>𝐶𝑎𝑝𝑒</m:t>
                    </m:r>
                    <m:sSup>
                      <m:sSupPr>
                        <m:ctrlPr>
                          <a:rPr lang="it-IT" i="1">
                            <a:solidFill>
                              <a:srgbClr val="000000"/>
                            </a:solidFill>
                            <a:latin typeface="Cambria Math" panose="02040503050406030204" pitchFamily="18" charset="0"/>
                          </a:rPr>
                        </m:ctrlPr>
                      </m:sSupPr>
                      <m:e>
                        <m:r>
                          <a:rPr lang="it-IT" i="1">
                            <a:solidFill>
                              <a:srgbClr val="000000"/>
                            </a:solidFill>
                            <a:latin typeface="Cambria Math" panose="02040503050406030204" pitchFamily="18" charset="0"/>
                          </a:rPr>
                          <m:t>𝑥</m:t>
                        </m:r>
                      </m:e>
                      <m:sup>
                        <m:r>
                          <a:rPr lang="it-IT" i="1">
                            <a:solidFill>
                              <a:srgbClr val="000000"/>
                            </a:solidFill>
                            <a:latin typeface="Cambria Math" panose="02040503050406030204" pitchFamily="18" charset="0"/>
                          </a:rPr>
                          <m:t>𝑎</m:t>
                        </m:r>
                      </m:sup>
                    </m:s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𝐴𝑀</m:t>
                    </m:r>
                    <m:sSup>
                      <m:sSupPr>
                        <m:ctrlPr>
                          <a:rPr lang="it-IT" i="1">
                            <a:solidFill>
                              <a:srgbClr val="000000"/>
                            </a:solidFill>
                            <a:latin typeface="Cambria Math" panose="02040503050406030204" pitchFamily="18" charset="0"/>
                          </a:rPr>
                        </m:ctrlPr>
                      </m:sSupPr>
                      <m:e>
                        <m:r>
                          <a:rPr lang="it-IT" i="1">
                            <a:solidFill>
                              <a:srgbClr val="000000"/>
                            </a:solidFill>
                            <a:latin typeface="Cambria Math" panose="02040503050406030204" pitchFamily="18" charset="0"/>
                          </a:rPr>
                          <m:t>𝑀</m:t>
                        </m:r>
                      </m:e>
                      <m:sup>
                        <m:r>
                          <a:rPr lang="it-IT" i="1">
                            <a:solidFill>
                              <a:srgbClr val="000000"/>
                            </a:solidFill>
                            <a:latin typeface="Cambria Math" panose="02040503050406030204" pitchFamily="18" charset="0"/>
                          </a:rPr>
                          <m:t>𝑎</m:t>
                        </m:r>
                      </m:sup>
                    </m:s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𝑂</m:t>
                    </m:r>
                    <m:sSup>
                      <m:sSupPr>
                        <m:ctrlPr>
                          <a:rPr lang="it-IT" i="1">
                            <a:solidFill>
                              <a:srgbClr val="000000"/>
                            </a:solidFill>
                            <a:latin typeface="Cambria Math" panose="02040503050406030204" pitchFamily="18" charset="0"/>
                          </a:rPr>
                        </m:ctrlPr>
                      </m:sSupPr>
                      <m:e>
                        <m:r>
                          <a:rPr lang="it-IT" i="1">
                            <a:solidFill>
                              <a:srgbClr val="000000"/>
                            </a:solidFill>
                            <a:latin typeface="Cambria Math" panose="02040503050406030204" pitchFamily="18" charset="0"/>
                          </a:rPr>
                          <m:t>𝐹</m:t>
                        </m:r>
                      </m:e>
                      <m:sup>
                        <m:r>
                          <a:rPr lang="it-IT" i="1">
                            <a:solidFill>
                              <a:srgbClr val="000000"/>
                            </a:solidFill>
                            <a:latin typeface="Cambria Math" panose="02040503050406030204" pitchFamily="18" charset="0"/>
                          </a:rPr>
                          <m:t>𝑎</m:t>
                        </m:r>
                      </m:sup>
                    </m:s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𝑂𝐹𝑖𝑠</m:t>
                    </m:r>
                    <m:sSup>
                      <m:sSupPr>
                        <m:ctrlPr>
                          <a:rPr lang="it-IT" i="1">
                            <a:solidFill>
                              <a:srgbClr val="000000"/>
                            </a:solidFill>
                            <a:latin typeface="Cambria Math" panose="02040503050406030204" pitchFamily="18" charset="0"/>
                          </a:rPr>
                        </m:ctrlPr>
                      </m:sSupPr>
                      <m:e>
                        <m:r>
                          <a:rPr lang="it-IT" i="1">
                            <a:solidFill>
                              <a:srgbClr val="000000"/>
                            </a:solidFill>
                            <a:latin typeface="Cambria Math" panose="02040503050406030204" pitchFamily="18" charset="0"/>
                          </a:rPr>
                          <m:t>𝑐</m:t>
                        </m:r>
                      </m:e>
                      <m:sup>
                        <m:r>
                          <a:rPr lang="it-IT" i="1">
                            <a:solidFill>
                              <a:srgbClr val="000000"/>
                            </a:solidFill>
                            <a:latin typeface="Cambria Math" panose="02040503050406030204" pitchFamily="18" charset="0"/>
                          </a:rPr>
                          <m:t>𝑎</m:t>
                        </m:r>
                      </m:sup>
                    </m:sSup>
                    <m:r>
                      <a:rPr lang="it-IT" i="1">
                        <a:solidFill>
                          <a:srgbClr val="000000"/>
                        </a:solidFill>
                        <a:latin typeface="Cambria Math" panose="02040503050406030204" pitchFamily="18" charset="0"/>
                      </a:rPr>
                      <m:t>+</m:t>
                    </m:r>
                    <m:sSubSup>
                      <m:sSubSupPr>
                        <m:ctrlPr>
                          <a:rPr lang="it-IT" i="1">
                            <a:solidFill>
                              <a:srgbClr val="000000"/>
                            </a:solidFill>
                            <a:latin typeface="Cambria Math" panose="02040503050406030204" pitchFamily="18" charset="0"/>
                          </a:rPr>
                        </m:ctrlPr>
                      </m:sSubSupPr>
                      <m:e>
                        <m:r>
                          <m:rPr>
                            <m:sty m:val="p"/>
                          </m:rPr>
                          <a:rPr lang="it-IT" sz="1100" i="1">
                            <a:effectLst/>
                            <a:latin typeface="Cambria Math" panose="02040503050406030204" pitchFamily="18" charset="0"/>
                            <a:ea typeface="+mn-ea"/>
                            <a:cs typeface="+mn-cs"/>
                          </a:rPr>
                          <m:t>Δ</m:t>
                        </m:r>
                        <m:r>
                          <a:rPr lang="it-IT" sz="1100" b="0" i="1">
                            <a:effectLst/>
                            <a:latin typeface="Cambria Math" panose="02040503050406030204" pitchFamily="18" charset="0"/>
                            <a:ea typeface="+mn-ea"/>
                            <a:cs typeface="+mn-cs"/>
                          </a:rPr>
                          <m:t>𝐶𝑈𝐼𝑇</m:t>
                        </m:r>
                      </m:e>
                      <m:sub>
                        <m:r>
                          <a:rPr lang="it-IT" b="0" i="1">
                            <a:solidFill>
                              <a:srgbClr val="000000"/>
                            </a:solidFill>
                            <a:latin typeface="Cambria Math" panose="02040503050406030204" pitchFamily="18" charset="0"/>
                          </a:rPr>
                          <m:t>𝑐𝑎𝑝𝑒𝑥</m:t>
                        </m:r>
                      </m:sub>
                      <m:sup>
                        <m:r>
                          <a:rPr lang="it-IT" b="0" i="1">
                            <a:solidFill>
                              <a:srgbClr val="000000"/>
                            </a:solidFill>
                            <a:latin typeface="Cambria Math" panose="02040503050406030204" pitchFamily="18" charset="0"/>
                          </a:rPr>
                          <m:t>𝑎</m:t>
                        </m:r>
                      </m:sup>
                    </m:sSubSup>
                    <m:r>
                      <a:rPr lang="it-IT" b="0" i="1">
                        <a:solidFill>
                          <a:srgbClr val="000000"/>
                        </a:solidFill>
                        <a:latin typeface="Cambria Math" panose="02040503050406030204" pitchFamily="18" charset="0"/>
                      </a:rPr>
                      <m:t> </m:t>
                    </m:r>
                  </m:oMath>
                </m:oMathPara>
              </a14:m>
              <a:endParaRPr lang="it-IT"/>
            </a:p>
          </xdr:txBody>
        </xdr:sp>
      </mc:Choice>
      <mc:Fallback xmlns="">
        <xdr:sp macro="" textlink="">
          <xdr:nvSpPr>
            <xdr:cNvPr id="2" name="Object 1">
              <a:extLst>
                <a:ext uri="{63B3BB69-23CF-44E3-9099-C40C66FF867C}">
                  <a14:compatExt xmlns:a14="http://schemas.microsoft.com/office/drawing/2010/main" spid="_x0000_s99329"/>
                </a:ext>
                <a:ext uri="{FF2B5EF4-FFF2-40B4-BE49-F238E27FC236}">
                  <a16:creationId xmlns:a16="http://schemas.microsoft.com/office/drawing/2014/main" id="{00000000-0008-0000-1F00-000002000000}"/>
                </a:ext>
              </a:extLst>
            </xdr:cNvPr>
            <xdr:cNvSpPr txBox="1"/>
          </xdr:nvSpPr>
          <xdr:spPr>
            <a:xfrm>
              <a:off x="3788146" y="1091453"/>
              <a:ext cx="3206647" cy="274947"/>
            </a:xfrm>
            <a:prstGeom prst="rect">
              <a:avLst/>
            </a:prstGeom>
          </xdr:spPr>
          <xdr:txBody>
            <a:bodyPr vertOverflow="clip" horzOverflow="clip" wrap="none">
              <a:spAutoFit/>
            </a:bodyPr>
            <a:lstStyle/>
            <a:p>
              <a:pPr/>
              <a:r>
                <a:rPr lang="it-IT" i="0">
                  <a:solidFill>
                    <a:srgbClr val="000000"/>
                  </a:solidFill>
                  <a:latin typeface="Cambria Math" panose="02040503050406030204" pitchFamily="18" charset="0"/>
                </a:rPr>
                <a:t>𝐶𝑎𝑝𝑒𝑥^𝑎=𝐴𝑀𝑀^𝑎+𝑂𝐹^𝑎+𝑂𝐹𝑖𝑠𝑐^𝑎+〖</a:t>
              </a:r>
              <a:r>
                <a:rPr lang="it-IT" sz="1100" i="0">
                  <a:effectLst/>
                  <a:latin typeface="Cambria Math" panose="02040503050406030204" pitchFamily="18" charset="0"/>
                  <a:ea typeface="+mn-ea"/>
                  <a:cs typeface="+mn-cs"/>
                </a:rPr>
                <a:t>Δ</a:t>
              </a:r>
              <a:r>
                <a:rPr lang="it-IT" sz="1100" b="0" i="0">
                  <a:effectLst/>
                  <a:latin typeface="Cambria Math" panose="02040503050406030204" pitchFamily="18" charset="0"/>
                  <a:ea typeface="+mn-ea"/>
                  <a:cs typeface="+mn-cs"/>
                </a:rPr>
                <a:t>𝐶𝑈𝐼𝑇</a:t>
              </a:r>
              <a:r>
                <a:rPr lang="it-IT" sz="1100" b="0" i="0">
                  <a:solidFill>
                    <a:srgbClr val="000000"/>
                  </a:solidFill>
                  <a:effectLst/>
                  <a:latin typeface="Cambria Math" panose="02040503050406030204" pitchFamily="18" charset="0"/>
                  <a:ea typeface="+mn-ea"/>
                  <a:cs typeface="+mn-cs"/>
                </a:rPr>
                <a:t>〗_</a:t>
              </a:r>
              <a:r>
                <a:rPr lang="it-IT" b="0" i="0">
                  <a:solidFill>
                    <a:srgbClr val="000000"/>
                  </a:solidFill>
                  <a:latin typeface="Cambria Math" panose="02040503050406030204" pitchFamily="18" charset="0"/>
                </a:rPr>
                <a:t>𝑐𝑎𝑝𝑒𝑥^𝑎  </a:t>
              </a:r>
              <a:endParaRPr lang="it-IT"/>
            </a:p>
          </xdr:txBody>
        </xdr:sp>
      </mc:Fallback>
    </mc:AlternateContent>
    <xdr:clientData/>
  </xdr:twoCellAnchor>
</xdr:wsDr>
</file>

<file path=xl/drawings/drawing32.xml><?xml version="1.0" encoding="utf-8"?>
<xdr:wsDr xmlns:xdr="http://schemas.openxmlformats.org/drawingml/2006/spreadsheetDrawing" xmlns:a="http://schemas.openxmlformats.org/drawingml/2006/main">
  <xdr:twoCellAnchor>
    <xdr:from>
      <xdr:col>1</xdr:col>
      <xdr:colOff>2414867</xdr:colOff>
      <xdr:row>3</xdr:row>
      <xdr:rowOff>169209</xdr:rowOff>
    </xdr:from>
    <xdr:to>
      <xdr:col>6</xdr:col>
      <xdr:colOff>0</xdr:colOff>
      <xdr:row>3</xdr:row>
      <xdr:rowOff>444156</xdr:rowOff>
    </xdr:to>
    <mc:AlternateContent xmlns:mc="http://schemas.openxmlformats.org/markup-compatibility/2006" xmlns:a14="http://schemas.microsoft.com/office/drawing/2010/main">
      <mc:Choice Requires="a14">
        <xdr:sp macro="" textlink="">
          <xdr:nvSpPr>
            <xdr:cNvPr id="2" name="Object 4">
              <a:extLst>
                <a:ext uri="{63B3BB69-23CF-44E3-9099-C40C66FF867C}">
                  <a14:compatExt spid="_x0000_s58372"/>
                </a:ext>
                <a:ext uri="{FF2B5EF4-FFF2-40B4-BE49-F238E27FC236}">
                  <a16:creationId xmlns:a16="http://schemas.microsoft.com/office/drawing/2014/main" id="{00000000-0008-0000-2000-000002000000}"/>
                </a:ext>
              </a:extLst>
            </xdr:cNvPr>
            <xdr:cNvSpPr txBox="1"/>
          </xdr:nvSpPr>
          <xdr:spPr>
            <a:xfrm>
              <a:off x="3692338" y="1110503"/>
              <a:ext cx="2015809" cy="274947"/>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sSup>
                      <m:sSupPr>
                        <m:ctrlPr>
                          <a:rPr lang="it-IT" b="0" i="1">
                            <a:solidFill>
                              <a:srgbClr val="000000"/>
                            </a:solidFill>
                            <a:latin typeface="Cambria Math" panose="02040503050406030204" pitchFamily="18" charset="0"/>
                          </a:rPr>
                        </m:ctrlPr>
                      </m:sSupPr>
                      <m:e>
                        <m:r>
                          <a:rPr lang="it-IT" b="0" i="1">
                            <a:solidFill>
                              <a:srgbClr val="000000"/>
                            </a:solidFill>
                            <a:latin typeface="Cambria Math" panose="02040503050406030204" pitchFamily="18" charset="0"/>
                          </a:rPr>
                          <m:t>𝐸𝑅𝐶</m:t>
                        </m:r>
                      </m:e>
                      <m:sup>
                        <m:r>
                          <a:rPr lang="it-IT" b="0" i="1">
                            <a:solidFill>
                              <a:srgbClr val="000000"/>
                            </a:solidFill>
                            <a:latin typeface="Cambria Math" panose="02040503050406030204" pitchFamily="18" charset="0"/>
                          </a:rPr>
                          <m:t>𝑎</m:t>
                        </m:r>
                      </m:sup>
                    </m:sSup>
                    <m:r>
                      <a:rPr lang="it-IT" b="0" i="1">
                        <a:solidFill>
                          <a:srgbClr val="000000"/>
                        </a:solidFill>
                        <a:latin typeface="Cambria Math" panose="02040503050406030204" pitchFamily="18" charset="0"/>
                      </a:rPr>
                      <m:t> =</m:t>
                    </m:r>
                    <m:r>
                      <a:rPr lang="it-IT" i="1">
                        <a:solidFill>
                          <a:srgbClr val="000000"/>
                        </a:solidFill>
                        <a:latin typeface="Cambria Math" panose="02040503050406030204" pitchFamily="18" charset="0"/>
                      </a:rPr>
                      <m:t>𝐸𝑅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𝐶</m:t>
                        </m:r>
                      </m:e>
                      <m:sub>
                        <m:r>
                          <a:rPr lang="it-IT" b="0" i="1">
                            <a:solidFill>
                              <a:srgbClr val="000000"/>
                            </a:solidFill>
                            <a:latin typeface="Cambria Math" panose="02040503050406030204" pitchFamily="18" charset="0"/>
                          </a:rPr>
                          <m:t>𝑐𝑎𝑝𝑒𝑥</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𝐸𝑅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𝐶</m:t>
                        </m:r>
                      </m:e>
                      <m:sub>
                        <m:r>
                          <a:rPr lang="it-IT" b="0" i="1">
                            <a:solidFill>
                              <a:srgbClr val="000000"/>
                            </a:solidFill>
                            <a:latin typeface="Cambria Math" panose="02040503050406030204" pitchFamily="18" charset="0"/>
                          </a:rPr>
                          <m:t>𝑜𝑝𝑒𝑥</m:t>
                        </m:r>
                      </m:sub>
                      <m:sup>
                        <m:r>
                          <a:rPr lang="it-IT" i="1">
                            <a:solidFill>
                              <a:srgbClr val="000000"/>
                            </a:solidFill>
                            <a:latin typeface="Cambria Math" panose="02040503050406030204" pitchFamily="18" charset="0"/>
                          </a:rPr>
                          <m:t>𝑎</m:t>
                        </m:r>
                      </m:sup>
                    </m:sSubSup>
                  </m:oMath>
                </m:oMathPara>
              </a14:m>
              <a:endParaRPr lang="it-IT"/>
            </a:p>
          </xdr:txBody>
        </xdr:sp>
      </mc:Choice>
      <mc:Fallback xmlns="">
        <xdr:sp macro="" textlink="">
          <xdr:nvSpPr>
            <xdr:cNvPr id="2" name="Object 4">
              <a:extLst>
                <a:ext uri="{63B3BB69-23CF-44E3-9099-C40C66FF867C}">
                  <a14:compatExt xmlns:a14="http://schemas.microsoft.com/office/drawing/2010/main" spid="_x0000_s58372"/>
                </a:ext>
                <a:ext uri="{FF2B5EF4-FFF2-40B4-BE49-F238E27FC236}">
                  <a16:creationId xmlns:a16="http://schemas.microsoft.com/office/drawing/2014/main" id="{00000000-0008-0000-2D00-000002000000}"/>
                </a:ext>
              </a:extLst>
            </xdr:cNvPr>
            <xdr:cNvSpPr txBox="1"/>
          </xdr:nvSpPr>
          <xdr:spPr>
            <a:xfrm>
              <a:off x="3692338" y="1110503"/>
              <a:ext cx="2015809" cy="274947"/>
            </a:xfrm>
            <a:prstGeom prst="rect">
              <a:avLst/>
            </a:prstGeom>
          </xdr:spPr>
          <xdr:txBody>
            <a:bodyPr vertOverflow="clip" horzOverflow="clip" wrap="none">
              <a:spAutoFit/>
            </a:bodyPr>
            <a:lstStyle/>
            <a:p>
              <a:pPr/>
              <a:r>
                <a:rPr lang="it-IT" b="0" i="0">
                  <a:solidFill>
                    <a:srgbClr val="000000"/>
                  </a:solidFill>
                  <a:latin typeface="Cambria Math" panose="02040503050406030204" pitchFamily="18" charset="0"/>
                </a:rPr>
                <a:t>〖𝐸𝑅𝐶〗^𝑎  =</a:t>
              </a:r>
              <a:r>
                <a:rPr lang="it-IT" i="0">
                  <a:solidFill>
                    <a:srgbClr val="000000"/>
                  </a:solidFill>
                  <a:latin typeface="Cambria Math" panose="02040503050406030204" pitchFamily="18" charset="0"/>
                </a:rPr>
                <a:t>𝐸𝑅𝐶_</a:t>
              </a:r>
              <a:r>
                <a:rPr lang="it-IT" b="0" i="0">
                  <a:solidFill>
                    <a:srgbClr val="000000"/>
                  </a:solidFill>
                  <a:latin typeface="Cambria Math" panose="02040503050406030204" pitchFamily="18" charset="0"/>
                </a:rPr>
                <a:t>𝑐𝑎𝑝𝑒𝑥^</a:t>
              </a:r>
              <a:r>
                <a:rPr lang="it-IT" i="0">
                  <a:solidFill>
                    <a:srgbClr val="000000"/>
                  </a:solidFill>
                  <a:latin typeface="Cambria Math" panose="02040503050406030204" pitchFamily="18" charset="0"/>
                </a:rPr>
                <a:t>𝑎+𝐸𝑅𝐶_</a:t>
              </a:r>
              <a:r>
                <a:rPr lang="it-IT" b="0" i="0">
                  <a:solidFill>
                    <a:srgbClr val="000000"/>
                  </a:solidFill>
                  <a:latin typeface="Cambria Math" panose="02040503050406030204" pitchFamily="18" charset="0"/>
                </a:rPr>
                <a:t>𝑜𝑝𝑒𝑥^</a:t>
              </a:r>
              <a:r>
                <a:rPr lang="it-IT" i="0">
                  <a:solidFill>
                    <a:srgbClr val="000000"/>
                  </a:solidFill>
                  <a:latin typeface="Cambria Math" panose="02040503050406030204" pitchFamily="18" charset="0"/>
                </a:rPr>
                <a:t>𝑎</a:t>
              </a:r>
              <a:endParaRPr lang="it-IT"/>
            </a:p>
          </xdr:txBody>
        </xdr:sp>
      </mc:Fallback>
    </mc:AlternateContent>
    <xdr:clientData/>
  </xdr:twoCellAnchor>
  <xdr:twoCellAnchor>
    <xdr:from>
      <xdr:col>4</xdr:col>
      <xdr:colOff>844364</xdr:colOff>
      <xdr:row>40</xdr:row>
      <xdr:rowOff>118895</xdr:rowOff>
    </xdr:from>
    <xdr:to>
      <xdr:col>6</xdr:col>
      <xdr:colOff>0</xdr:colOff>
      <xdr:row>40</xdr:row>
      <xdr:rowOff>395747</xdr:rowOff>
    </xdr:to>
    <mc:AlternateContent xmlns:mc="http://schemas.openxmlformats.org/markup-compatibility/2006" xmlns:a14="http://schemas.microsoft.com/office/drawing/2010/main">
      <mc:Choice Requires="a14">
        <xdr:sp macro="" textlink="">
          <xdr:nvSpPr>
            <xdr:cNvPr id="4" name="Object 4">
              <a:extLst>
                <a:ext uri="{63B3BB69-23CF-44E3-9099-C40C66FF867C}">
                  <a14:compatExt spid="_x0000_s58372"/>
                </a:ext>
                <a:ext uri="{FF2B5EF4-FFF2-40B4-BE49-F238E27FC236}">
                  <a16:creationId xmlns:a16="http://schemas.microsoft.com/office/drawing/2014/main" id="{00000000-0008-0000-2000-000004000000}"/>
                </a:ext>
              </a:extLst>
            </xdr:cNvPr>
            <xdr:cNvSpPr txBox="1"/>
          </xdr:nvSpPr>
          <xdr:spPr>
            <a:xfrm>
              <a:off x="4923305" y="6887248"/>
              <a:ext cx="2231762" cy="276852"/>
            </a:xfrm>
            <a:prstGeom prst="rect">
              <a:avLst/>
            </a:prstGeom>
          </xdr:spPr>
          <xdr:txBody>
            <a:bodyPr vertOverflow="clip" horzOverflow="clip" wrap="square">
              <a:spAutoFit/>
            </a:bodyPr>
            <a:lstStyle/>
            <a:p>
              <a:pPr/>
              <a14:m>
                <m:oMathPara xmlns:m="http://schemas.openxmlformats.org/officeDocument/2006/math">
                  <m:oMathParaPr>
                    <m:jc m:val="centerGroup"/>
                  </m:oMathParaPr>
                  <m:oMath xmlns:m="http://schemas.openxmlformats.org/officeDocument/2006/math">
                    <m:r>
                      <a:rPr lang="it-IT" i="1">
                        <a:solidFill>
                          <a:srgbClr val="000000"/>
                        </a:solidFill>
                        <a:latin typeface="Cambria Math" panose="02040503050406030204" pitchFamily="18" charset="0"/>
                      </a:rPr>
                      <m:t>𝐸𝑅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𝐶</m:t>
                        </m:r>
                      </m:e>
                      <m:sub>
                        <m:r>
                          <a:rPr lang="it-IT" b="0" i="1">
                            <a:solidFill>
                              <a:srgbClr val="000000"/>
                            </a:solidFill>
                            <a:latin typeface="Cambria Math" panose="02040503050406030204" pitchFamily="18" charset="0"/>
                          </a:rPr>
                          <m:t>𝑐𝑎𝑝𝑒𝑥</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sSubSup>
                      <m:sSubSupPr>
                        <m:ctrlPr>
                          <a:rPr lang="it-IT" i="1">
                            <a:solidFill>
                              <a:srgbClr val="000000"/>
                            </a:solidFill>
                            <a:latin typeface="Cambria Math" panose="02040503050406030204" pitchFamily="18" charset="0"/>
                          </a:rPr>
                        </m:ctrlPr>
                      </m:sSubSupPr>
                      <m:e>
                        <m:r>
                          <a:rPr lang="it-IT" b="0" i="1">
                            <a:solidFill>
                              <a:srgbClr val="000000"/>
                            </a:solidFill>
                            <a:latin typeface="Cambria Math" panose="02040503050406030204" pitchFamily="18" charset="0"/>
                          </a:rPr>
                          <m:t>𝐸𝑁𝑉</m:t>
                        </m:r>
                      </m:e>
                      <m:sub>
                        <m:r>
                          <a:rPr lang="it-IT" b="0" i="1">
                            <a:solidFill>
                              <a:srgbClr val="000000"/>
                            </a:solidFill>
                            <a:latin typeface="Cambria Math" panose="02040503050406030204" pitchFamily="18" charset="0"/>
                          </a:rPr>
                          <m:t>𝑐𝑎𝑝𝑒𝑥</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sSubSup>
                      <m:sSubSupPr>
                        <m:ctrlPr>
                          <a:rPr lang="it-IT" i="1">
                            <a:solidFill>
                              <a:srgbClr val="000000"/>
                            </a:solidFill>
                            <a:latin typeface="Cambria Math" panose="02040503050406030204" pitchFamily="18" charset="0"/>
                          </a:rPr>
                        </m:ctrlPr>
                      </m:sSubSupPr>
                      <m:e>
                        <m:r>
                          <a:rPr lang="it-IT" b="0" i="1">
                            <a:solidFill>
                              <a:srgbClr val="000000"/>
                            </a:solidFill>
                            <a:latin typeface="Cambria Math" panose="02040503050406030204" pitchFamily="18" charset="0"/>
                          </a:rPr>
                          <m:t>𝑅𝐸𝑆</m:t>
                        </m:r>
                      </m:e>
                      <m:sub>
                        <m:r>
                          <a:rPr lang="it-IT" sz="1100" b="0" i="1">
                            <a:effectLst/>
                            <a:latin typeface="Cambria Math" panose="02040503050406030204" pitchFamily="18" charset="0"/>
                            <a:ea typeface="+mn-ea"/>
                            <a:cs typeface="+mn-cs"/>
                          </a:rPr>
                          <m:t>𝑐𝑎𝑝𝑒𝑥</m:t>
                        </m:r>
                      </m:sub>
                      <m:sup>
                        <m:r>
                          <a:rPr lang="it-IT" i="1">
                            <a:solidFill>
                              <a:srgbClr val="000000"/>
                            </a:solidFill>
                            <a:latin typeface="Cambria Math" panose="02040503050406030204" pitchFamily="18" charset="0"/>
                          </a:rPr>
                          <m:t>𝑎</m:t>
                        </m:r>
                      </m:sup>
                    </m:sSubSup>
                  </m:oMath>
                </m:oMathPara>
              </a14:m>
              <a:endParaRPr lang="it-IT"/>
            </a:p>
          </xdr:txBody>
        </xdr:sp>
      </mc:Choice>
      <mc:Fallback xmlns="">
        <xdr:sp macro="" textlink="">
          <xdr:nvSpPr>
            <xdr:cNvPr id="4" name="Object 4">
              <a:extLst>
                <a:ext uri="{63B3BB69-23CF-44E3-9099-C40C66FF867C}">
                  <a14:compatExt xmlns:a14="http://schemas.microsoft.com/office/drawing/2010/main" spid="_x0000_s58372"/>
                </a:ext>
                <a:ext uri="{FF2B5EF4-FFF2-40B4-BE49-F238E27FC236}">
                  <a16:creationId xmlns:a16="http://schemas.microsoft.com/office/drawing/2014/main" id="{00000000-0008-0000-2300-000004000000}"/>
                </a:ext>
              </a:extLst>
            </xdr:cNvPr>
            <xdr:cNvSpPr txBox="1"/>
          </xdr:nvSpPr>
          <xdr:spPr>
            <a:xfrm>
              <a:off x="4923305" y="6887248"/>
              <a:ext cx="2231762" cy="276852"/>
            </a:xfrm>
            <a:prstGeom prst="rect">
              <a:avLst/>
            </a:prstGeom>
          </xdr:spPr>
          <xdr:txBody>
            <a:bodyPr vertOverflow="clip" horzOverflow="clip" wrap="square">
              <a:spAutoFit/>
            </a:bodyPr>
            <a:lstStyle/>
            <a:p>
              <a:pPr/>
              <a:r>
                <a:rPr lang="it-IT" i="0">
                  <a:solidFill>
                    <a:srgbClr val="000000"/>
                  </a:solidFill>
                  <a:latin typeface="Cambria Math" panose="02040503050406030204" pitchFamily="18" charset="0"/>
                </a:rPr>
                <a:t>𝐸𝑅𝐶_</a:t>
              </a:r>
              <a:r>
                <a:rPr lang="it-IT" b="0" i="0">
                  <a:solidFill>
                    <a:srgbClr val="000000"/>
                  </a:solidFill>
                  <a:latin typeface="Cambria Math" panose="02040503050406030204" pitchFamily="18" charset="0"/>
                </a:rPr>
                <a:t>𝑐𝑎𝑝𝑒𝑥^</a:t>
              </a:r>
              <a:r>
                <a:rPr lang="it-IT" i="0">
                  <a:solidFill>
                    <a:srgbClr val="000000"/>
                  </a:solidFill>
                  <a:latin typeface="Cambria Math" panose="02040503050406030204" pitchFamily="18" charset="0"/>
                </a:rPr>
                <a:t>𝑎=〖</a:t>
              </a:r>
              <a:r>
                <a:rPr lang="it-IT" b="0" i="0">
                  <a:solidFill>
                    <a:srgbClr val="000000"/>
                  </a:solidFill>
                  <a:latin typeface="Cambria Math" panose="02040503050406030204" pitchFamily="18" charset="0"/>
                </a:rPr>
                <a:t>𝐸𝑁𝑉〗_𝑐𝑎𝑝𝑒𝑥^</a:t>
              </a:r>
              <a:r>
                <a:rPr lang="it-IT" i="0">
                  <a:solidFill>
                    <a:srgbClr val="000000"/>
                  </a:solidFill>
                  <a:latin typeface="Cambria Math" panose="02040503050406030204" pitchFamily="18" charset="0"/>
                </a:rPr>
                <a:t>𝑎+〖</a:t>
              </a:r>
              <a:r>
                <a:rPr lang="it-IT" b="0" i="0">
                  <a:solidFill>
                    <a:srgbClr val="000000"/>
                  </a:solidFill>
                  <a:latin typeface="Cambria Math" panose="02040503050406030204" pitchFamily="18" charset="0"/>
                </a:rPr>
                <a:t>𝑅𝐸𝑆〗_</a:t>
              </a:r>
              <a:r>
                <a:rPr lang="it-IT" sz="1100" b="0" i="0">
                  <a:effectLst/>
                  <a:latin typeface="Cambria Math" panose="02040503050406030204" pitchFamily="18" charset="0"/>
                  <a:ea typeface="+mn-ea"/>
                  <a:cs typeface="+mn-cs"/>
                </a:rPr>
                <a:t>𝑐𝑎𝑝𝑒𝑥^</a:t>
              </a:r>
              <a:r>
                <a:rPr lang="it-IT" i="0">
                  <a:solidFill>
                    <a:srgbClr val="000000"/>
                  </a:solidFill>
                  <a:latin typeface="Cambria Math" panose="02040503050406030204" pitchFamily="18" charset="0"/>
                </a:rPr>
                <a:t>𝑎</a:t>
              </a:r>
              <a:endParaRPr lang="it-IT"/>
            </a:p>
          </xdr:txBody>
        </xdr:sp>
      </mc:Fallback>
    </mc:AlternateContent>
    <xdr:clientData/>
  </xdr:twoCellAnchor>
  <xdr:twoCellAnchor>
    <xdr:from>
      <xdr:col>2</xdr:col>
      <xdr:colOff>762001</xdr:colOff>
      <xdr:row>139</xdr:row>
      <xdr:rowOff>88191</xdr:rowOff>
    </xdr:from>
    <xdr:to>
      <xdr:col>6</xdr:col>
      <xdr:colOff>314325</xdr:colOff>
      <xdr:row>140</xdr:row>
      <xdr:rowOff>91164</xdr:rowOff>
    </xdr:to>
    <mc:AlternateContent xmlns:mc="http://schemas.openxmlformats.org/markup-compatibility/2006" xmlns:a14="http://schemas.microsoft.com/office/drawing/2010/main">
      <mc:Choice Requires="a14">
        <xdr:sp macro="" textlink="">
          <xdr:nvSpPr>
            <xdr:cNvPr id="3" name="Object 4">
              <a:extLst>
                <a:ext uri="{63B3BB69-23CF-44E3-9099-C40C66FF867C}">
                  <a14:compatExt spid="_x0000_s58372"/>
                </a:ext>
                <a:ext uri="{FF2B5EF4-FFF2-40B4-BE49-F238E27FC236}">
                  <a16:creationId xmlns:a16="http://schemas.microsoft.com/office/drawing/2014/main" id="{00000000-0008-0000-2000-000003000000}"/>
                </a:ext>
              </a:extLst>
            </xdr:cNvPr>
            <xdr:cNvSpPr txBox="1"/>
          </xdr:nvSpPr>
          <xdr:spPr>
            <a:xfrm>
              <a:off x="4752976" y="26358141"/>
              <a:ext cx="3705224" cy="460173"/>
            </a:xfrm>
            <a:prstGeom prst="rect">
              <a:avLst/>
            </a:prstGeom>
          </xdr:spPr>
          <xdr:txBody>
            <a:bodyPr vertOverflow="clip" horzOverflow="clip" wrap="square">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r>
                      <a:rPr lang="it-IT" i="1">
                        <a:solidFill>
                          <a:srgbClr val="000000"/>
                        </a:solidFill>
                        <a:latin typeface="Cambria Math" panose="02040503050406030204" pitchFamily="18" charset="0"/>
                      </a:rPr>
                      <m:t>𝐸𝑅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𝐶</m:t>
                        </m:r>
                      </m:e>
                      <m:sub>
                        <m:r>
                          <a:rPr lang="it-IT" b="0" i="1">
                            <a:solidFill>
                              <a:srgbClr val="000000"/>
                            </a:solidFill>
                            <a:latin typeface="Cambria Math" panose="02040503050406030204" pitchFamily="18" charset="0"/>
                          </a:rPr>
                          <m:t>𝑜𝑝𝑒𝑥</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𝐸𝑅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𝐶</m:t>
                        </m:r>
                      </m:e>
                      <m:sub>
                        <m:r>
                          <a:rPr lang="it-IT" i="1">
                            <a:solidFill>
                              <a:srgbClr val="000000"/>
                            </a:solidFill>
                            <a:latin typeface="Cambria Math" panose="02040503050406030204" pitchFamily="18" charset="0"/>
                          </a:rPr>
                          <m:t>𝑒𝑛𝑑</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𝐸𝑅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𝐶</m:t>
                        </m:r>
                      </m:e>
                      <m:sub>
                        <m:r>
                          <a:rPr lang="it-IT" i="1">
                            <a:solidFill>
                              <a:srgbClr val="000000"/>
                            </a:solidFill>
                            <a:latin typeface="Cambria Math" panose="02040503050406030204" pitchFamily="18" charset="0"/>
                          </a:rPr>
                          <m:t>𝑎𝑙</m:t>
                        </m:r>
                      </m:sub>
                      <m:sup>
                        <m:r>
                          <a:rPr lang="it-IT" i="1">
                            <a:solidFill>
                              <a:srgbClr val="000000"/>
                            </a:solidFill>
                            <a:latin typeface="Cambria Math" panose="02040503050406030204" pitchFamily="18" charset="0"/>
                          </a:rPr>
                          <m:t>𝑎</m:t>
                        </m:r>
                      </m:sup>
                    </m:sSubSup>
                    <m:r>
                      <a:rPr lang="it-IT" sz="1100" i="1">
                        <a:effectLst/>
                        <a:latin typeface="Cambria Math" panose="02040503050406030204" pitchFamily="18" charset="0"/>
                        <a:ea typeface="+mn-ea"/>
                        <a:cs typeface="+mn-cs"/>
                      </a:rPr>
                      <m:t>+</m:t>
                    </m:r>
                    <m:r>
                      <a:rPr lang="it-IT" sz="1100" i="1">
                        <a:effectLst/>
                        <a:latin typeface="Cambria Math" panose="02040503050406030204" pitchFamily="18" charset="0"/>
                        <a:ea typeface="+mn-ea"/>
                        <a:cs typeface="+mn-cs"/>
                      </a:rPr>
                      <m:t>𝐸𝑅</m:t>
                    </m:r>
                    <m:sSubSup>
                      <m:sSubSupPr>
                        <m:ctrlPr>
                          <a:rPr lang="it-IT" sz="1100" i="1">
                            <a:effectLst/>
                            <a:latin typeface="Cambria Math" panose="02040503050406030204" pitchFamily="18" charset="0"/>
                            <a:ea typeface="+mn-ea"/>
                            <a:cs typeface="+mn-cs"/>
                          </a:rPr>
                        </m:ctrlPr>
                      </m:sSubSupPr>
                      <m:e>
                        <m:r>
                          <a:rPr lang="it-IT" sz="1100" i="1">
                            <a:effectLst/>
                            <a:latin typeface="Cambria Math" panose="02040503050406030204" pitchFamily="18" charset="0"/>
                            <a:ea typeface="+mn-ea"/>
                            <a:cs typeface="+mn-cs"/>
                          </a:rPr>
                          <m:t>𝐶</m:t>
                        </m:r>
                      </m:e>
                      <m:sub>
                        <m:r>
                          <a:rPr lang="it-IT" sz="1100" b="0" i="1">
                            <a:effectLst/>
                            <a:latin typeface="Cambria Math" panose="02040503050406030204" pitchFamily="18" charset="0"/>
                            <a:ea typeface="+mn-ea"/>
                            <a:cs typeface="+mn-cs"/>
                          </a:rPr>
                          <m:t>𝑡𝑒</m:t>
                        </m:r>
                        <m:r>
                          <a:rPr lang="it-IT" sz="1100" i="1">
                            <a:effectLst/>
                            <a:latin typeface="Cambria Math" panose="02040503050406030204" pitchFamily="18" charset="0"/>
                            <a:ea typeface="+mn-ea"/>
                            <a:cs typeface="+mn-cs"/>
                          </a:rPr>
                          <m:t>𝑙</m:t>
                        </m:r>
                      </m:sub>
                      <m:sup>
                        <m:r>
                          <a:rPr lang="it-IT" sz="1100" i="1">
                            <a:effectLst/>
                            <a:latin typeface="Cambria Math" panose="02040503050406030204" pitchFamily="18" charset="0"/>
                            <a:ea typeface="+mn-ea"/>
                            <a:cs typeface="+mn-cs"/>
                          </a:rPr>
                          <m:t>𝑎</m:t>
                        </m:r>
                      </m:sup>
                    </m:sSubSup>
                  </m:oMath>
                </m:oMathPara>
              </a14:m>
              <a:endParaRPr lang="it-IT">
                <a:effectLst/>
              </a:endParaRPr>
            </a:p>
            <a:p>
              <a:endParaRPr lang="it-IT"/>
            </a:p>
          </xdr:txBody>
        </xdr:sp>
      </mc:Choice>
      <mc:Fallback xmlns="">
        <xdr:sp macro="" textlink="">
          <xdr:nvSpPr>
            <xdr:cNvPr id="3" name="Object 4">
              <a:extLst>
                <a:ext uri="{63B3BB69-23CF-44E3-9099-C40C66FF867C}">
                  <a14:compatExt xmlns:a14="http://schemas.microsoft.com/office/drawing/2010/main" spid="_x0000_s58372"/>
                </a:ext>
                <a:ext uri="{FF2B5EF4-FFF2-40B4-BE49-F238E27FC236}">
                  <a16:creationId xmlns:a16="http://schemas.microsoft.com/office/drawing/2014/main" id="{00000000-0008-0000-2000-000003000000}"/>
                </a:ext>
              </a:extLst>
            </xdr:cNvPr>
            <xdr:cNvSpPr txBox="1"/>
          </xdr:nvSpPr>
          <xdr:spPr>
            <a:xfrm>
              <a:off x="4752976" y="26358141"/>
              <a:ext cx="3705224" cy="460173"/>
            </a:xfrm>
            <a:prstGeom prst="rect">
              <a:avLst/>
            </a:prstGeom>
          </xdr:spPr>
          <xdr:txBody>
            <a:bodyPr vertOverflow="clip" horzOverflow="clip" wrap="square">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it-IT" i="0">
                  <a:solidFill>
                    <a:srgbClr val="000000"/>
                  </a:solidFill>
                  <a:latin typeface="Cambria Math" panose="02040503050406030204" pitchFamily="18" charset="0"/>
                </a:rPr>
                <a:t>𝐸𝑅𝐶_</a:t>
              </a:r>
              <a:r>
                <a:rPr lang="it-IT" b="0" i="0">
                  <a:solidFill>
                    <a:srgbClr val="000000"/>
                  </a:solidFill>
                  <a:latin typeface="Cambria Math" panose="02040503050406030204" pitchFamily="18" charset="0"/>
                </a:rPr>
                <a:t>𝑜𝑝𝑒𝑥^</a:t>
              </a:r>
              <a:r>
                <a:rPr lang="it-IT" i="0">
                  <a:solidFill>
                    <a:srgbClr val="000000"/>
                  </a:solidFill>
                  <a:latin typeface="Cambria Math" panose="02040503050406030204" pitchFamily="18" charset="0"/>
                </a:rPr>
                <a:t>𝑎=𝐸𝑅𝐶_𝑒𝑛𝑑^𝑎+𝐸𝑅𝐶_𝑎𝑙^𝑎</a:t>
              </a:r>
              <a:r>
                <a:rPr lang="it-IT" sz="1100" i="0">
                  <a:effectLst/>
                  <a:latin typeface="Cambria Math" panose="02040503050406030204" pitchFamily="18" charset="0"/>
                  <a:ea typeface="+mn-ea"/>
                  <a:cs typeface="+mn-cs"/>
                </a:rPr>
                <a:t>+𝐸𝑅𝐶_</a:t>
              </a:r>
              <a:r>
                <a:rPr lang="it-IT" sz="1100" b="0" i="0">
                  <a:effectLst/>
                  <a:latin typeface="Cambria Math" panose="02040503050406030204" pitchFamily="18" charset="0"/>
                  <a:ea typeface="+mn-ea"/>
                  <a:cs typeface="+mn-cs"/>
                </a:rPr>
                <a:t>𝑡𝑒</a:t>
              </a:r>
              <a:r>
                <a:rPr lang="it-IT" sz="1100" i="0">
                  <a:effectLst/>
                  <a:latin typeface="Cambria Math" panose="02040503050406030204" pitchFamily="18" charset="0"/>
                  <a:ea typeface="+mn-ea"/>
                  <a:cs typeface="+mn-cs"/>
                </a:rPr>
                <a:t>𝑙^𝑎</a:t>
              </a:r>
              <a:endParaRPr lang="it-IT">
                <a:effectLst/>
              </a:endParaRPr>
            </a:p>
            <a:p>
              <a:endParaRPr lang="it-IT"/>
            </a:p>
          </xdr:txBody>
        </xdr:sp>
      </mc:Fallback>
    </mc:AlternateContent>
    <xdr:clientData/>
  </xdr:twoCellAnchor>
  <xdr:twoCellAnchor>
    <xdr:from>
      <xdr:col>3</xdr:col>
      <xdr:colOff>19050</xdr:colOff>
      <xdr:row>212</xdr:row>
      <xdr:rowOff>97716</xdr:rowOff>
    </xdr:from>
    <xdr:to>
      <xdr:col>6</xdr:col>
      <xdr:colOff>95250</xdr:colOff>
      <xdr:row>213</xdr:row>
      <xdr:rowOff>93002</xdr:rowOff>
    </xdr:to>
    <mc:AlternateContent xmlns:mc="http://schemas.openxmlformats.org/markup-compatibility/2006" xmlns:a14="http://schemas.microsoft.com/office/drawing/2010/main">
      <mc:Choice Requires="a14">
        <xdr:sp macro="" textlink="">
          <xdr:nvSpPr>
            <xdr:cNvPr id="5" name="Object 4">
              <a:extLst>
                <a:ext uri="{63B3BB69-23CF-44E3-9099-C40C66FF867C}">
                  <a14:compatExt spid="_x0000_s58372"/>
                </a:ext>
                <a:ext uri="{FF2B5EF4-FFF2-40B4-BE49-F238E27FC236}">
                  <a16:creationId xmlns:a16="http://schemas.microsoft.com/office/drawing/2014/main" id="{00000000-0008-0000-2000-000005000000}"/>
                </a:ext>
              </a:extLst>
            </xdr:cNvPr>
            <xdr:cNvSpPr txBox="1"/>
          </xdr:nvSpPr>
          <xdr:spPr>
            <a:xfrm>
              <a:off x="5048250" y="37997691"/>
              <a:ext cx="3190875" cy="452486"/>
            </a:xfrm>
            <a:prstGeom prst="rect">
              <a:avLst/>
            </a:prstGeom>
          </xdr:spPr>
          <xdr:txBody>
            <a:bodyPr vertOverflow="clip" horzOverflow="clip" wrap="square">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p>
                      <m:sSupPr>
                        <m:ctrlPr>
                          <a:rPr lang="it-IT" i="1">
                            <a:solidFill>
                              <a:srgbClr val="000000"/>
                            </a:solidFill>
                            <a:latin typeface="Cambria Math" panose="02040503050406030204" pitchFamily="18" charset="0"/>
                          </a:rPr>
                        </m:ctrlPr>
                      </m:sSupPr>
                      <m:e>
                        <m:r>
                          <a:rPr lang="it-IT" sz="1100" b="0" i="1">
                            <a:effectLst/>
                            <a:latin typeface="Cambria Math" panose="02040503050406030204" pitchFamily="18" charset="0"/>
                            <a:ea typeface="+mn-ea"/>
                            <a:cs typeface="+mn-cs"/>
                          </a:rPr>
                          <m:t>𝐸𝑅𝐶</m:t>
                        </m:r>
                      </m:e>
                      <m:sup>
                        <m:r>
                          <a:rPr lang="it-IT" sz="1100" i="1">
                            <a:effectLst/>
                            <a:latin typeface="Cambria Math" panose="02040503050406030204" pitchFamily="18" charset="0"/>
                            <a:ea typeface="+mn-ea"/>
                            <a:cs typeface="+mn-cs"/>
                          </a:rPr>
                          <m:t>𝑎</m:t>
                        </m:r>
                      </m:sup>
                    </m:s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𝐸𝑅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𝐶</m:t>
                        </m:r>
                      </m:e>
                      <m:sub>
                        <m:r>
                          <a:rPr lang="it-IT" b="0" i="1">
                            <a:solidFill>
                              <a:srgbClr val="000000"/>
                            </a:solidFill>
                            <a:latin typeface="Cambria Math" panose="02040503050406030204" pitchFamily="18" charset="0"/>
                          </a:rPr>
                          <m:t>𝐶𝑎𝑝𝑒𝑥</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𝐸𝑅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𝐶</m:t>
                        </m:r>
                      </m:e>
                      <m:sub>
                        <m:r>
                          <a:rPr lang="it-IT" b="0" i="1">
                            <a:solidFill>
                              <a:srgbClr val="000000"/>
                            </a:solidFill>
                            <a:latin typeface="Cambria Math" panose="02040503050406030204" pitchFamily="18" charset="0"/>
                          </a:rPr>
                          <m:t>𝑂𝑝𝑒𝑥</m:t>
                        </m:r>
                      </m:sub>
                      <m:sup>
                        <m:r>
                          <a:rPr lang="it-IT" i="1">
                            <a:solidFill>
                              <a:srgbClr val="000000"/>
                            </a:solidFill>
                            <a:latin typeface="Cambria Math" panose="02040503050406030204" pitchFamily="18" charset="0"/>
                          </a:rPr>
                          <m:t>𝑎</m:t>
                        </m:r>
                      </m:sup>
                    </m:sSubSup>
                  </m:oMath>
                </m:oMathPara>
              </a14:m>
              <a:endParaRPr lang="it-IT">
                <a:effectLst/>
              </a:endParaRPr>
            </a:p>
            <a:p>
              <a:endParaRPr lang="it-IT"/>
            </a:p>
          </xdr:txBody>
        </xdr:sp>
      </mc:Choice>
      <mc:Fallback xmlns="">
        <xdr:sp macro="" textlink="">
          <xdr:nvSpPr>
            <xdr:cNvPr id="5" name="Object 4">
              <a:extLst>
                <a:ext uri="{63B3BB69-23CF-44E3-9099-C40C66FF867C}">
                  <a14:compatExt xmlns:a14="http://schemas.microsoft.com/office/drawing/2010/main" spid="_x0000_s58372"/>
                </a:ext>
                <a:ext uri="{FF2B5EF4-FFF2-40B4-BE49-F238E27FC236}">
                  <a16:creationId xmlns:a16="http://schemas.microsoft.com/office/drawing/2014/main" id="{00000000-0008-0000-2000-000005000000}"/>
                </a:ext>
              </a:extLst>
            </xdr:cNvPr>
            <xdr:cNvSpPr txBox="1"/>
          </xdr:nvSpPr>
          <xdr:spPr>
            <a:xfrm>
              <a:off x="5048250" y="37997691"/>
              <a:ext cx="3190875" cy="452486"/>
            </a:xfrm>
            <a:prstGeom prst="rect">
              <a:avLst/>
            </a:prstGeom>
          </xdr:spPr>
          <xdr:txBody>
            <a:bodyPr vertOverflow="clip" horzOverflow="clip" wrap="square">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it-IT" i="0">
                  <a:solidFill>
                    <a:srgbClr val="000000"/>
                  </a:solidFill>
                  <a:latin typeface="Cambria Math" panose="02040503050406030204" pitchFamily="18" charset="0"/>
                </a:rPr>
                <a:t>〖</a:t>
              </a:r>
              <a:r>
                <a:rPr lang="it-IT" sz="1100" b="0" i="0">
                  <a:effectLst/>
                  <a:latin typeface="Cambria Math" panose="02040503050406030204" pitchFamily="18" charset="0"/>
                  <a:ea typeface="+mn-ea"/>
                  <a:cs typeface="+mn-cs"/>
                </a:rPr>
                <a:t>𝐸𝑅𝐶</a:t>
              </a:r>
              <a:r>
                <a:rPr lang="it-IT" sz="1100" b="0" i="0">
                  <a:solidFill>
                    <a:srgbClr val="000000"/>
                  </a:solidFill>
                  <a:effectLst/>
                  <a:latin typeface="Cambria Math" panose="02040503050406030204" pitchFamily="18" charset="0"/>
                  <a:ea typeface="+mn-ea"/>
                  <a:cs typeface="+mn-cs"/>
                </a:rPr>
                <a:t>〗^</a:t>
              </a:r>
              <a:r>
                <a:rPr lang="it-IT" sz="1100" i="0">
                  <a:effectLst/>
                  <a:latin typeface="Cambria Math" panose="02040503050406030204" pitchFamily="18" charset="0"/>
                  <a:ea typeface="+mn-ea"/>
                  <a:cs typeface="+mn-cs"/>
                </a:rPr>
                <a:t>𝑎</a:t>
              </a:r>
              <a:r>
                <a:rPr lang="it-IT" i="0">
                  <a:solidFill>
                    <a:srgbClr val="000000"/>
                  </a:solidFill>
                  <a:latin typeface="Cambria Math" panose="02040503050406030204" pitchFamily="18" charset="0"/>
                </a:rPr>
                <a:t>=𝐸𝑅𝐶_</a:t>
              </a:r>
              <a:r>
                <a:rPr lang="it-IT" b="0" i="0">
                  <a:solidFill>
                    <a:srgbClr val="000000"/>
                  </a:solidFill>
                  <a:latin typeface="Cambria Math" panose="02040503050406030204" pitchFamily="18" charset="0"/>
                </a:rPr>
                <a:t>𝐶𝑎𝑝𝑒𝑥^</a:t>
              </a:r>
              <a:r>
                <a:rPr lang="it-IT" i="0">
                  <a:solidFill>
                    <a:srgbClr val="000000"/>
                  </a:solidFill>
                  <a:latin typeface="Cambria Math" panose="02040503050406030204" pitchFamily="18" charset="0"/>
                </a:rPr>
                <a:t>𝑎+𝐸𝑅𝐶_</a:t>
              </a:r>
              <a:r>
                <a:rPr lang="it-IT" b="0" i="0">
                  <a:solidFill>
                    <a:srgbClr val="000000"/>
                  </a:solidFill>
                  <a:latin typeface="Cambria Math" panose="02040503050406030204" pitchFamily="18" charset="0"/>
                </a:rPr>
                <a:t>𝑂𝑝𝑒𝑥^</a:t>
              </a:r>
              <a:r>
                <a:rPr lang="it-IT" i="0">
                  <a:solidFill>
                    <a:srgbClr val="000000"/>
                  </a:solidFill>
                  <a:latin typeface="Cambria Math" panose="02040503050406030204" pitchFamily="18" charset="0"/>
                </a:rPr>
                <a:t>𝑎</a:t>
              </a:r>
              <a:endParaRPr lang="it-IT">
                <a:effectLst/>
              </a:endParaRPr>
            </a:p>
            <a:p>
              <a:endParaRPr lang="it-IT"/>
            </a:p>
          </xdr:txBody>
        </xdr:sp>
      </mc:Fallback>
    </mc:AlternateContent>
    <xdr:clientData/>
  </xdr:twoCellAnchor>
  <xdr:twoCellAnchor>
    <xdr:from>
      <xdr:col>0</xdr:col>
      <xdr:colOff>0</xdr:colOff>
      <xdr:row>193</xdr:row>
      <xdr:rowOff>0</xdr:rowOff>
    </xdr:from>
    <xdr:to>
      <xdr:col>8</xdr:col>
      <xdr:colOff>295275</xdr:colOff>
      <xdr:row>196</xdr:row>
      <xdr:rowOff>9525</xdr:rowOff>
    </xdr:to>
    <xdr:sp macro="" textlink="">
      <xdr:nvSpPr>
        <xdr:cNvPr id="6" name="Rectangle 5">
          <a:extLst>
            <a:ext uri="{FF2B5EF4-FFF2-40B4-BE49-F238E27FC236}">
              <a16:creationId xmlns:a16="http://schemas.microsoft.com/office/drawing/2014/main" id="{706652F5-97AC-4FFB-A26B-FE60E1C13FE7}"/>
            </a:ext>
          </a:extLst>
        </xdr:cNvPr>
        <xdr:cNvSpPr/>
      </xdr:nvSpPr>
      <xdr:spPr>
        <a:xfrm>
          <a:off x="0" y="35366325"/>
          <a:ext cx="10515600" cy="50482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000">
              <a:solidFill>
                <a:srgbClr val="C00000"/>
              </a:solidFill>
              <a:latin typeface="Arial Narrow" panose="020B0606020202030204" pitchFamily="34" charset="0"/>
            </a:rPr>
            <a:t>A partire dal 2026, in caso di gara, la componente è quantificata tenendo conto dell’eventuale riduzione offerta dall’aggiudicatario, al fine di preservare le efficienze nei costi derivanti dalla gara</a:t>
          </a:r>
        </a:p>
        <a:p>
          <a:pPr algn="l"/>
          <a:endParaRPr lang="it-IT" sz="1100">
            <a:solidFill>
              <a:srgbClr val="C00000"/>
            </a:solidFill>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1</xdr:col>
      <xdr:colOff>2436719</xdr:colOff>
      <xdr:row>3</xdr:row>
      <xdr:rowOff>141754</xdr:rowOff>
    </xdr:from>
    <xdr:to>
      <xdr:col>6</xdr:col>
      <xdr:colOff>0</xdr:colOff>
      <xdr:row>3</xdr:row>
      <xdr:rowOff>406314</xdr:rowOff>
    </xdr:to>
    <mc:AlternateContent xmlns:mc="http://schemas.openxmlformats.org/markup-compatibility/2006" xmlns:a14="http://schemas.microsoft.com/office/drawing/2010/main">
      <mc:Choice Requires="a14">
        <xdr:sp macro="" textlink="">
          <xdr:nvSpPr>
            <xdr:cNvPr id="2" name="Object 1">
              <a:extLst>
                <a:ext uri="{63B3BB69-23CF-44E3-9099-C40C66FF867C}">
                  <a14:compatExt spid="_x0000_s100353"/>
                </a:ext>
                <a:ext uri="{FF2B5EF4-FFF2-40B4-BE49-F238E27FC236}">
                  <a16:creationId xmlns:a16="http://schemas.microsoft.com/office/drawing/2014/main" id="{00000000-0008-0000-2100-000002000000}"/>
                </a:ext>
              </a:extLst>
            </xdr:cNvPr>
            <xdr:cNvSpPr txBox="1"/>
          </xdr:nvSpPr>
          <xdr:spPr>
            <a:xfrm>
              <a:off x="3754531" y="1208554"/>
              <a:ext cx="2846933" cy="264560"/>
            </a:xfrm>
            <a:prstGeom prst="rect">
              <a:avLst/>
            </a:prstGeom>
          </xdr:spPr>
          <xdr:txBody>
            <a:bodyPr vertOverflow="clip" horzOverflow="clip" wrap="none">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r>
                      <a:rPr lang="it-IT" i="1">
                        <a:solidFill>
                          <a:srgbClr val="000000"/>
                        </a:solidFill>
                        <a:latin typeface="Cambria Math" panose="02040503050406030204" pitchFamily="18" charset="0"/>
                      </a:rPr>
                      <m:t>𝐹𝑜𝑁</m:t>
                    </m:r>
                    <m:sSup>
                      <m:sSupPr>
                        <m:ctrlPr>
                          <a:rPr lang="it-IT" i="1">
                            <a:solidFill>
                              <a:srgbClr val="000000"/>
                            </a:solidFill>
                            <a:latin typeface="Cambria Math" panose="02040503050406030204" pitchFamily="18" charset="0"/>
                          </a:rPr>
                        </m:ctrlPr>
                      </m:sSupPr>
                      <m:e>
                        <m:r>
                          <a:rPr lang="it-IT" i="1">
                            <a:solidFill>
                              <a:srgbClr val="000000"/>
                            </a:solidFill>
                            <a:latin typeface="Cambria Math" panose="02040503050406030204" pitchFamily="18" charset="0"/>
                          </a:rPr>
                          <m:t>𝐼</m:t>
                        </m:r>
                      </m:e>
                      <m:sup>
                        <m:r>
                          <a:rPr lang="it-IT" i="1">
                            <a:solidFill>
                              <a:srgbClr val="000000"/>
                            </a:solidFill>
                            <a:latin typeface="Cambria Math" panose="02040503050406030204" pitchFamily="18" charset="0"/>
                          </a:rPr>
                          <m:t>𝑎</m:t>
                        </m:r>
                      </m:sup>
                    </m:s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𝐹𝑁</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𝐼</m:t>
                        </m:r>
                      </m:e>
                      <m:sub>
                        <m:r>
                          <a:rPr lang="it-IT" i="1">
                            <a:solidFill>
                              <a:srgbClr val="000000"/>
                            </a:solidFill>
                            <a:latin typeface="Cambria Math" panose="02040503050406030204" pitchFamily="18" charset="0"/>
                          </a:rPr>
                          <m:t>𝐹𝑜𝑁𝐼</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𝐴𝑀</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𝑀</m:t>
                        </m:r>
                      </m:e>
                      <m:sub>
                        <m:r>
                          <a:rPr lang="it-IT" i="1">
                            <a:solidFill>
                              <a:srgbClr val="000000"/>
                            </a:solidFill>
                            <a:latin typeface="Cambria Math" panose="02040503050406030204" pitchFamily="18" charset="0"/>
                          </a:rPr>
                          <m:t>𝐹𝑜𝑁𝐼</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r>
                      <m:rPr>
                        <m:sty m:val="p"/>
                      </m:rPr>
                      <a:rPr lang="it-IT" i="1">
                        <a:solidFill>
                          <a:srgbClr val="000000"/>
                        </a:solidFill>
                        <a:latin typeface="Cambria Math" panose="02040503050406030204" pitchFamily="18" charset="0"/>
                      </a:rPr>
                      <m:t>Δ</m:t>
                    </m:r>
                    <m:r>
                      <a:rPr lang="it-IT" i="1">
                        <a:solidFill>
                          <a:srgbClr val="000000"/>
                        </a:solidFill>
                        <a:latin typeface="Cambria Math" panose="02040503050406030204" pitchFamily="18" charset="0"/>
                      </a:rPr>
                      <m:t>𝐶𝑈𝐼</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𝑇</m:t>
                        </m:r>
                      </m:e>
                      <m:sub>
                        <m:r>
                          <a:rPr lang="it-IT" i="1">
                            <a:solidFill>
                              <a:srgbClr val="000000"/>
                            </a:solidFill>
                            <a:latin typeface="Cambria Math" panose="02040503050406030204" pitchFamily="18" charset="0"/>
                          </a:rPr>
                          <m:t>𝐹𝑜𝑁𝐼</m:t>
                        </m:r>
                      </m:sub>
                      <m:sup>
                        <m:r>
                          <a:rPr lang="it-IT" i="1">
                            <a:solidFill>
                              <a:srgbClr val="000000"/>
                            </a:solidFill>
                            <a:latin typeface="Cambria Math" panose="02040503050406030204" pitchFamily="18" charset="0"/>
                          </a:rPr>
                          <m:t>𝑎</m:t>
                        </m:r>
                      </m:sup>
                    </m:sSubSup>
                  </m:oMath>
                </m:oMathPara>
              </a14:m>
              <a:endParaRPr lang="it-IT"/>
            </a:p>
          </xdr:txBody>
        </xdr:sp>
      </mc:Choice>
      <mc:Fallback xmlns="">
        <xdr:sp macro="" textlink="">
          <xdr:nvSpPr>
            <xdr:cNvPr id="2" name="Object 1">
              <a:extLst>
                <a:ext uri="{63B3BB69-23CF-44E3-9099-C40C66FF867C}">
                  <a14:compatExt xmlns:a14="http://schemas.microsoft.com/office/drawing/2010/main" spid="_x0000_s100353"/>
                </a:ext>
                <a:ext uri="{FF2B5EF4-FFF2-40B4-BE49-F238E27FC236}">
                  <a16:creationId xmlns:a16="http://schemas.microsoft.com/office/drawing/2014/main" id="{00000000-0008-0000-2000-000002000000}"/>
                </a:ext>
              </a:extLst>
            </xdr:cNvPr>
            <xdr:cNvSpPr txBox="1"/>
          </xdr:nvSpPr>
          <xdr:spPr>
            <a:xfrm>
              <a:off x="3754531" y="1208554"/>
              <a:ext cx="2846933" cy="264560"/>
            </a:xfrm>
            <a:prstGeom prst="rect">
              <a:avLst/>
            </a:prstGeom>
          </xdr:spPr>
          <xdr:txBody>
            <a:bodyPr vertOverflow="clip" horzOverflow="clip" wrap="none">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it-IT" i="0">
                  <a:solidFill>
                    <a:srgbClr val="000000"/>
                  </a:solidFill>
                  <a:latin typeface="Cambria Math" panose="02040503050406030204" pitchFamily="18" charset="0"/>
                </a:rPr>
                <a:t>𝐹𝑜𝑁𝐼^𝑎=𝐹𝑁𝐼_𝐹𝑜𝑁𝐼^𝑎+𝐴𝑀𝑀_𝐹𝑜𝑁𝐼^𝑎+Δ𝐶𝑈𝐼𝑇_𝐹𝑜𝑁𝐼^𝑎</a:t>
              </a:r>
              <a:endParaRPr lang="it-IT"/>
            </a:p>
          </xdr:txBody>
        </xdr:sp>
      </mc:Fallback>
    </mc:AlternateContent>
    <xdr:clientData/>
  </xdr:twoCellAnchor>
</xdr:wsDr>
</file>

<file path=xl/drawings/drawing34.xml><?xml version="1.0" encoding="utf-8"?>
<xdr:wsDr xmlns:xdr="http://schemas.openxmlformats.org/drawingml/2006/spreadsheetDrawing" xmlns:a="http://schemas.openxmlformats.org/drawingml/2006/main">
  <xdr:twoCellAnchor>
    <xdr:from>
      <xdr:col>1</xdr:col>
      <xdr:colOff>2442882</xdr:colOff>
      <xdr:row>3</xdr:row>
      <xdr:rowOff>145676</xdr:rowOff>
    </xdr:from>
    <xdr:to>
      <xdr:col>6</xdr:col>
      <xdr:colOff>0</xdr:colOff>
      <xdr:row>3</xdr:row>
      <xdr:rowOff>410236</xdr:rowOff>
    </xdr:to>
    <mc:AlternateContent xmlns:mc="http://schemas.openxmlformats.org/markup-compatibility/2006" xmlns:a14="http://schemas.microsoft.com/office/drawing/2010/main">
      <mc:Choice Requires="a14">
        <xdr:sp macro="" textlink="">
          <xdr:nvSpPr>
            <xdr:cNvPr id="2" name="Object 1">
              <a:extLst>
                <a:ext uri="{63B3BB69-23CF-44E3-9099-C40C66FF867C}">
                  <a14:compatExt spid="_x0000_s99329"/>
                </a:ext>
                <a:ext uri="{FF2B5EF4-FFF2-40B4-BE49-F238E27FC236}">
                  <a16:creationId xmlns:a16="http://schemas.microsoft.com/office/drawing/2014/main" id="{00000000-0008-0000-2200-000002000000}"/>
                </a:ext>
              </a:extLst>
            </xdr:cNvPr>
            <xdr:cNvSpPr txBox="1"/>
          </xdr:nvSpPr>
          <xdr:spPr>
            <a:xfrm>
              <a:off x="3720353" y="1086970"/>
              <a:ext cx="2546915" cy="264560"/>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r>
                      <a:rPr lang="it-IT" b="0" i="1">
                        <a:solidFill>
                          <a:srgbClr val="000000"/>
                        </a:solidFill>
                        <a:latin typeface="Cambria Math" panose="02040503050406030204" pitchFamily="18" charset="0"/>
                      </a:rPr>
                      <m:t>𝑂</m:t>
                    </m:r>
                    <m:r>
                      <a:rPr lang="it-IT" i="1">
                        <a:solidFill>
                          <a:srgbClr val="000000"/>
                        </a:solidFill>
                        <a:latin typeface="Cambria Math" panose="02040503050406030204" pitchFamily="18" charset="0"/>
                      </a:rPr>
                      <m:t>𝑝𝑒</m:t>
                    </m:r>
                    <m:sSup>
                      <m:sSupPr>
                        <m:ctrlPr>
                          <a:rPr lang="it-IT" i="1">
                            <a:solidFill>
                              <a:srgbClr val="000000"/>
                            </a:solidFill>
                            <a:latin typeface="Cambria Math" panose="02040503050406030204" pitchFamily="18" charset="0"/>
                          </a:rPr>
                        </m:ctrlPr>
                      </m:sSupPr>
                      <m:e>
                        <m:r>
                          <a:rPr lang="it-IT" i="1">
                            <a:solidFill>
                              <a:srgbClr val="000000"/>
                            </a:solidFill>
                            <a:latin typeface="Cambria Math" panose="02040503050406030204" pitchFamily="18" charset="0"/>
                          </a:rPr>
                          <m:t>𝑥</m:t>
                        </m:r>
                      </m:e>
                      <m:sup>
                        <m:r>
                          <a:rPr lang="it-IT" i="1">
                            <a:solidFill>
                              <a:srgbClr val="000000"/>
                            </a:solidFill>
                            <a:latin typeface="Cambria Math" panose="02040503050406030204" pitchFamily="18" charset="0"/>
                          </a:rPr>
                          <m:t>𝑎</m:t>
                        </m:r>
                      </m:sup>
                    </m:sSup>
                    <m:r>
                      <a:rPr lang="it-IT" i="1">
                        <a:solidFill>
                          <a:srgbClr val="000000"/>
                        </a:solidFill>
                        <a:latin typeface="Cambria Math" panose="02040503050406030204" pitchFamily="18" charset="0"/>
                      </a:rPr>
                      <m:t>=</m:t>
                    </m:r>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𝑂𝑝𝑒𝑥</m:t>
                        </m:r>
                      </m:e>
                      <m:sub>
                        <m:r>
                          <a:rPr lang="it-IT" sz="1100" b="0" i="1">
                            <a:effectLst/>
                            <a:latin typeface="Cambria Math" panose="02040503050406030204" pitchFamily="18" charset="0"/>
                            <a:ea typeface="+mn-ea"/>
                            <a:cs typeface="+mn-cs"/>
                          </a:rPr>
                          <m:t>𝑒𝑛𝑑</m:t>
                        </m:r>
                      </m:sub>
                      <m:sup>
                        <m:r>
                          <a:rPr lang="it-IT" sz="1100" b="0" i="1">
                            <a:effectLst/>
                            <a:latin typeface="Cambria Math" panose="02040503050406030204" pitchFamily="18" charset="0"/>
                            <a:ea typeface="+mn-ea"/>
                            <a:cs typeface="+mn-cs"/>
                          </a:rPr>
                          <m:t>𝑎</m:t>
                        </m:r>
                      </m:sup>
                    </m:sSubSup>
                    <m:r>
                      <a:rPr lang="it-IT" i="1">
                        <a:solidFill>
                          <a:srgbClr val="000000"/>
                        </a:solidFill>
                        <a:latin typeface="Cambria Math" panose="02040503050406030204" pitchFamily="18" charset="0"/>
                      </a:rPr>
                      <m:t>+</m:t>
                    </m:r>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𝑂𝑝𝑒𝑥</m:t>
                        </m:r>
                      </m:e>
                      <m:sub>
                        <m:r>
                          <a:rPr lang="it-IT" sz="1100" b="0" i="1">
                            <a:effectLst/>
                            <a:latin typeface="Cambria Math" panose="02040503050406030204" pitchFamily="18" charset="0"/>
                            <a:ea typeface="+mn-ea"/>
                            <a:cs typeface="+mn-cs"/>
                          </a:rPr>
                          <m:t>𝑎𝑙</m:t>
                        </m:r>
                      </m:sub>
                      <m:sup>
                        <m:r>
                          <a:rPr lang="it-IT" sz="1100" b="0" i="1">
                            <a:effectLst/>
                            <a:latin typeface="Cambria Math" panose="02040503050406030204" pitchFamily="18" charset="0"/>
                            <a:ea typeface="+mn-ea"/>
                            <a:cs typeface="+mn-cs"/>
                          </a:rPr>
                          <m:t>𝑎</m:t>
                        </m:r>
                      </m:sup>
                    </m:sSubSup>
                    <m:r>
                      <a:rPr lang="it-IT" i="1">
                        <a:solidFill>
                          <a:srgbClr val="000000"/>
                        </a:solidFill>
                        <a:latin typeface="Cambria Math" panose="02040503050406030204" pitchFamily="18" charset="0"/>
                      </a:rPr>
                      <m:t>+</m:t>
                    </m:r>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𝑂𝑝𝑒𝑥</m:t>
                        </m:r>
                      </m:e>
                      <m:sub>
                        <m:r>
                          <a:rPr lang="it-IT" sz="1100" b="0" i="1">
                            <a:effectLst/>
                            <a:latin typeface="Cambria Math" panose="02040503050406030204" pitchFamily="18" charset="0"/>
                            <a:ea typeface="+mn-ea"/>
                            <a:cs typeface="+mn-cs"/>
                          </a:rPr>
                          <m:t>𝑡𝑒𝑙</m:t>
                        </m:r>
                      </m:sub>
                      <m:sup>
                        <m:r>
                          <a:rPr lang="it-IT" sz="1100" b="0" i="1">
                            <a:effectLst/>
                            <a:latin typeface="Cambria Math" panose="02040503050406030204" pitchFamily="18" charset="0"/>
                            <a:ea typeface="+mn-ea"/>
                            <a:cs typeface="+mn-cs"/>
                          </a:rPr>
                          <m:t>𝑎</m:t>
                        </m:r>
                      </m:sup>
                    </m:sSubSup>
                  </m:oMath>
                </m:oMathPara>
              </a14:m>
              <a:endParaRPr lang="it-IT"/>
            </a:p>
          </xdr:txBody>
        </xdr:sp>
      </mc:Choice>
      <mc:Fallback xmlns="">
        <xdr:sp macro="" textlink="">
          <xdr:nvSpPr>
            <xdr:cNvPr id="2" name="Object 1">
              <a:extLst>
                <a:ext uri="{63B3BB69-23CF-44E3-9099-C40C66FF867C}">
                  <a14:compatExt xmlns:a14="http://schemas.microsoft.com/office/drawing/2010/main" spid="_x0000_s99329"/>
                </a:ext>
                <a:ext uri="{FF2B5EF4-FFF2-40B4-BE49-F238E27FC236}">
                  <a16:creationId xmlns:a16="http://schemas.microsoft.com/office/drawing/2014/main" id="{00000000-0008-0000-2C00-000002000000}"/>
                </a:ext>
              </a:extLst>
            </xdr:cNvPr>
            <xdr:cNvSpPr txBox="1"/>
          </xdr:nvSpPr>
          <xdr:spPr>
            <a:xfrm>
              <a:off x="3720353" y="1086970"/>
              <a:ext cx="2546915" cy="264560"/>
            </a:xfrm>
            <a:prstGeom prst="rect">
              <a:avLst/>
            </a:prstGeom>
          </xdr:spPr>
          <xdr:txBody>
            <a:bodyPr vertOverflow="clip" horzOverflow="clip" wrap="none">
              <a:spAutoFit/>
            </a:bodyPr>
            <a:lstStyle/>
            <a:p>
              <a:pPr/>
              <a:r>
                <a:rPr lang="it-IT" b="0" i="0">
                  <a:solidFill>
                    <a:srgbClr val="000000"/>
                  </a:solidFill>
                  <a:latin typeface="Cambria Math" panose="02040503050406030204" pitchFamily="18" charset="0"/>
                </a:rPr>
                <a:t>𝑂</a:t>
              </a:r>
              <a:r>
                <a:rPr lang="it-IT" i="0">
                  <a:solidFill>
                    <a:srgbClr val="000000"/>
                  </a:solidFill>
                  <a:latin typeface="Cambria Math" panose="02040503050406030204" pitchFamily="18" charset="0"/>
                </a:rPr>
                <a:t>𝑝𝑒𝑥^𝑎=</a:t>
              </a: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𝑂𝑝𝑒𝑥〗_𝑒𝑛𝑑^𝑎</a:t>
              </a:r>
              <a:r>
                <a:rPr lang="it-IT" i="0">
                  <a:solidFill>
                    <a:srgbClr val="000000"/>
                  </a:solidFill>
                  <a:latin typeface="Cambria Math" panose="02040503050406030204" pitchFamily="18" charset="0"/>
                </a:rPr>
                <a:t>+</a:t>
              </a: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𝑂𝑝𝑒𝑥〗_𝑎𝑙^𝑎</a:t>
              </a:r>
              <a:r>
                <a:rPr lang="it-IT" i="0">
                  <a:solidFill>
                    <a:srgbClr val="000000"/>
                  </a:solidFill>
                  <a:latin typeface="Cambria Math" panose="02040503050406030204" pitchFamily="18" charset="0"/>
                </a:rPr>
                <a:t>+</a:t>
              </a: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𝑂𝑝𝑒𝑥〗_𝑡𝑒𝑙^𝑎</a:t>
              </a:r>
              <a:endParaRPr lang="it-IT"/>
            </a:p>
          </xdr:txBody>
        </xdr:sp>
      </mc:Fallback>
    </mc:AlternateContent>
    <xdr:clientData/>
  </xdr:twoCellAnchor>
  <xdr:twoCellAnchor>
    <xdr:from>
      <xdr:col>0</xdr:col>
      <xdr:colOff>0</xdr:colOff>
      <xdr:row>78</xdr:row>
      <xdr:rowOff>38100</xdr:rowOff>
    </xdr:from>
    <xdr:to>
      <xdr:col>8</xdr:col>
      <xdr:colOff>266700</xdr:colOff>
      <xdr:row>80</xdr:row>
      <xdr:rowOff>161925</xdr:rowOff>
    </xdr:to>
    <xdr:sp macro="" textlink="">
      <xdr:nvSpPr>
        <xdr:cNvPr id="3" name="Rectangle 2">
          <a:extLst>
            <a:ext uri="{FF2B5EF4-FFF2-40B4-BE49-F238E27FC236}">
              <a16:creationId xmlns:a16="http://schemas.microsoft.com/office/drawing/2014/main" id="{241A96A9-69FF-0501-C23B-46ED8680FE49}"/>
            </a:ext>
          </a:extLst>
        </xdr:cNvPr>
        <xdr:cNvSpPr/>
      </xdr:nvSpPr>
      <xdr:spPr>
        <a:xfrm>
          <a:off x="0" y="14392275"/>
          <a:ext cx="10515600" cy="50482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000">
              <a:solidFill>
                <a:srgbClr val="C00000"/>
              </a:solidFill>
              <a:latin typeface="Arial Narrow" panose="020B0606020202030204" pitchFamily="34" charset="0"/>
            </a:rPr>
            <a:t>A partire dal 2026, in caso di gara, la componente è quantificata tenendo conto dell’eventuale riduzione offerta dall’aggiudicatario, al fine di preservare le efficienze nei costi derivanti dalla gara</a:t>
          </a:r>
        </a:p>
        <a:p>
          <a:pPr algn="l"/>
          <a:endParaRPr lang="it-IT" sz="1100">
            <a:solidFill>
              <a:srgbClr val="C00000"/>
            </a:solidFill>
          </a:endParaRPr>
        </a:p>
      </xdr:txBody>
    </xdr:sp>
    <xdr:clientData/>
  </xdr:twoCellAnchor>
  <xdr:twoCellAnchor>
    <xdr:from>
      <xdr:col>0</xdr:col>
      <xdr:colOff>0</xdr:colOff>
      <xdr:row>90</xdr:row>
      <xdr:rowOff>57150</xdr:rowOff>
    </xdr:from>
    <xdr:to>
      <xdr:col>8</xdr:col>
      <xdr:colOff>266700</xdr:colOff>
      <xdr:row>92</xdr:row>
      <xdr:rowOff>180975</xdr:rowOff>
    </xdr:to>
    <xdr:sp macro="" textlink="">
      <xdr:nvSpPr>
        <xdr:cNvPr id="4" name="Rectangle 3">
          <a:extLst>
            <a:ext uri="{FF2B5EF4-FFF2-40B4-BE49-F238E27FC236}">
              <a16:creationId xmlns:a16="http://schemas.microsoft.com/office/drawing/2014/main" id="{B11761FB-10FE-4199-AC4F-F789B7BF3EDA}"/>
            </a:ext>
          </a:extLst>
        </xdr:cNvPr>
        <xdr:cNvSpPr/>
      </xdr:nvSpPr>
      <xdr:spPr>
        <a:xfrm>
          <a:off x="0" y="16735425"/>
          <a:ext cx="10515600" cy="50482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000">
              <a:solidFill>
                <a:srgbClr val="C00000"/>
              </a:solidFill>
              <a:latin typeface="Arial Narrow" panose="020B0606020202030204" pitchFamily="34" charset="0"/>
            </a:rPr>
            <a:t>A partire dal 2026, in caso di gara, la componente è quantificata tenendo conto dell’eventuale riduzione offerta dall’aggiudicatario, al fine di preservare le efficienze nei costi derivanti dalla gara</a:t>
          </a:r>
        </a:p>
        <a:p>
          <a:pPr algn="l"/>
          <a:endParaRPr lang="it-IT" sz="1100">
            <a:solidFill>
              <a:srgbClr val="C00000"/>
            </a:solidFill>
          </a:endParaRPr>
        </a:p>
      </xdr:txBody>
    </xdr:sp>
    <xdr:clientData/>
  </xdr:twoCellAnchor>
  <xdr:twoCellAnchor>
    <xdr:from>
      <xdr:col>0</xdr:col>
      <xdr:colOff>0</xdr:colOff>
      <xdr:row>105</xdr:row>
      <xdr:rowOff>0</xdr:rowOff>
    </xdr:from>
    <xdr:to>
      <xdr:col>8</xdr:col>
      <xdr:colOff>266700</xdr:colOff>
      <xdr:row>108</xdr:row>
      <xdr:rowOff>19050</xdr:rowOff>
    </xdr:to>
    <xdr:sp macro="" textlink="">
      <xdr:nvSpPr>
        <xdr:cNvPr id="5" name="Rectangle 4">
          <a:extLst>
            <a:ext uri="{FF2B5EF4-FFF2-40B4-BE49-F238E27FC236}">
              <a16:creationId xmlns:a16="http://schemas.microsoft.com/office/drawing/2014/main" id="{32FFB4E5-D424-4BFC-B345-E51640D952D0}"/>
            </a:ext>
          </a:extLst>
        </xdr:cNvPr>
        <xdr:cNvSpPr/>
      </xdr:nvSpPr>
      <xdr:spPr>
        <a:xfrm>
          <a:off x="0" y="19583400"/>
          <a:ext cx="10515600" cy="50482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000">
              <a:solidFill>
                <a:srgbClr val="C00000"/>
              </a:solidFill>
              <a:latin typeface="Arial Narrow" panose="020B0606020202030204" pitchFamily="34" charset="0"/>
            </a:rPr>
            <a:t>A partire dal 2026, in caso di gara, la componente è quantificata tenendo conto dell’eventuale riduzione offerta dall’aggiudicatario, al fine di preservare le efficienze nei costi derivanti dalla gara</a:t>
          </a:r>
        </a:p>
        <a:p>
          <a:pPr algn="l"/>
          <a:endParaRPr lang="it-IT" sz="1100">
            <a:solidFill>
              <a:srgbClr val="C00000"/>
            </a:solidFill>
          </a:endParaRP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1</xdr:col>
      <xdr:colOff>2478742</xdr:colOff>
      <xdr:row>3</xdr:row>
      <xdr:rowOff>10086</xdr:rowOff>
    </xdr:from>
    <xdr:to>
      <xdr:col>8</xdr:col>
      <xdr:colOff>6619</xdr:colOff>
      <xdr:row>4</xdr:row>
      <xdr:rowOff>340416</xdr:rowOff>
    </xdr:to>
    <mc:AlternateContent xmlns:mc="http://schemas.openxmlformats.org/markup-compatibility/2006" xmlns:a14="http://schemas.microsoft.com/office/drawing/2010/main">
      <mc:Choice Requires="a14">
        <xdr:sp macro="" textlink="">
          <xdr:nvSpPr>
            <xdr:cNvPr id="3" name="Object 1">
              <a:extLst>
                <a:ext uri="{63B3BB69-23CF-44E3-9099-C40C66FF867C}">
                  <a14:compatExt spid="_x0000_s59393"/>
                </a:ext>
                <a:ext uri="{FF2B5EF4-FFF2-40B4-BE49-F238E27FC236}">
                  <a16:creationId xmlns:a16="http://schemas.microsoft.com/office/drawing/2014/main" id="{00000000-0008-0000-2300-000003000000}"/>
                </a:ext>
              </a:extLst>
            </xdr:cNvPr>
            <xdr:cNvSpPr txBox="1"/>
          </xdr:nvSpPr>
          <xdr:spPr>
            <a:xfrm>
              <a:off x="3756213" y="951380"/>
              <a:ext cx="4240200" cy="901830"/>
            </a:xfrm>
            <a:prstGeom prst="rect">
              <a:avLst/>
            </a:prstGeom>
          </xdr:spPr>
          <xdr:txBody>
            <a:bodyPr vertOverflow="clip" horzOverflow="clip" wrap="none">
              <a:spAutoFit/>
            </a:bodyPr>
            <a:lstStyle/>
            <a:p>
              <a:pPr/>
              <a14:m>
                <m:oMathPara xmlns:m="http://schemas.openxmlformats.org/officeDocument/2006/math">
                  <m:oMathParaPr>
                    <m:jc m:val="centerGroup"/>
                  </m:oMathParaPr>
                  <m:oMath xmlns:m="http://schemas.openxmlformats.org/officeDocument/2006/math">
                    <m:r>
                      <a:rPr lang="it-IT" i="1">
                        <a:solidFill>
                          <a:srgbClr val="000000"/>
                        </a:solidFill>
                        <a:latin typeface="Cambria Math" panose="02040503050406030204" pitchFamily="18" charset="0"/>
                      </a:rPr>
                      <m:t>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𝑐</m:t>
                        </m:r>
                      </m:e>
                      <m:sub>
                        <m:r>
                          <a:rPr lang="it-IT" i="1">
                            <a:solidFill>
                              <a:srgbClr val="000000"/>
                            </a:solidFill>
                            <a:latin typeface="Cambria Math" panose="02040503050406030204" pitchFamily="18" charset="0"/>
                          </a:rPr>
                          <m:t>𝑇𝑂𝑇</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d>
                      <m:dPr>
                        <m:ctrlPr>
                          <a:rPr lang="it-IT" i="1">
                            <a:solidFill>
                              <a:srgbClr val="000000"/>
                            </a:solidFill>
                            <a:latin typeface="Cambria Math" panose="02040503050406030204" pitchFamily="18" charset="0"/>
                          </a:rPr>
                        </m:ctrlPr>
                      </m:dPr>
                      <m:e>
                        <m:r>
                          <a:rPr lang="it-IT" i="1">
                            <a:solidFill>
                              <a:srgbClr val="000000"/>
                            </a:solidFill>
                            <a:latin typeface="Cambria Math" panose="02040503050406030204" pitchFamily="18" charset="0"/>
                          </a:rPr>
                          <m:t>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𝑐</m:t>
                            </m:r>
                          </m:e>
                          <m:sub>
                            <m:r>
                              <a:rPr lang="it-IT" i="1">
                                <a:solidFill>
                                  <a:srgbClr val="000000"/>
                                </a:solidFill>
                                <a:latin typeface="Cambria Math" panose="02040503050406030204" pitchFamily="18" charset="0"/>
                              </a:rPr>
                              <m:t>𝑉𝑂𝐿</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𝑐</m:t>
                            </m:r>
                          </m:e>
                          <m:sub>
                            <m:r>
                              <a:rPr lang="it-IT" i="1">
                                <a:solidFill>
                                  <a:srgbClr val="000000"/>
                                </a:solidFill>
                                <a:latin typeface="Cambria Math" panose="02040503050406030204" pitchFamily="18" charset="0"/>
                              </a:rPr>
                              <m:t>𝐸𝐸</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𝑐</m:t>
                            </m:r>
                          </m:e>
                          <m:sub>
                            <m:r>
                              <a:rPr lang="it-IT" i="1">
                                <a:solidFill>
                                  <a:srgbClr val="000000"/>
                                </a:solidFill>
                                <a:latin typeface="Cambria Math" panose="02040503050406030204" pitchFamily="18" charset="0"/>
                              </a:rPr>
                              <m:t>𝑤𝑠</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𝑐</m:t>
                            </m:r>
                          </m:e>
                          <m:sub>
                            <m:r>
                              <a:rPr lang="it-IT" i="1">
                                <a:solidFill>
                                  <a:srgbClr val="000000"/>
                                </a:solidFill>
                                <a:latin typeface="Cambria Math" panose="02040503050406030204" pitchFamily="18" charset="0"/>
                              </a:rPr>
                              <m:t>𝐸𝑅𝐶</m:t>
                            </m:r>
                          </m:sub>
                          <m:sup>
                            <m:r>
                              <a:rPr lang="it-IT" i="1">
                                <a:solidFill>
                                  <a:srgbClr val="000000"/>
                                </a:solidFill>
                                <a:latin typeface="Cambria Math" panose="02040503050406030204" pitchFamily="18" charset="0"/>
                              </a:rPr>
                              <m:t>𝑎</m:t>
                            </m:r>
                          </m:sup>
                        </m:sSubSup>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𝑅</m:t>
                        </m:r>
                        <m:sSubSup>
                          <m:sSubSupPr>
                            <m:ctrlPr>
                              <a:rPr lang="it-IT" i="1">
                                <a:solidFill>
                                  <a:srgbClr val="000000"/>
                                </a:solidFill>
                                <a:latin typeface="Cambria Math" panose="02040503050406030204" pitchFamily="18" charset="0"/>
                              </a:rPr>
                            </m:ctrlPr>
                          </m:sSubSupPr>
                          <m:e>
                            <m:r>
                              <a:rPr lang="it-IT" i="1">
                                <a:solidFill>
                                  <a:srgbClr val="000000"/>
                                </a:solidFill>
                                <a:latin typeface="Cambria Math" panose="02040503050406030204" pitchFamily="18" charset="0"/>
                              </a:rPr>
                              <m:t>𝑐</m:t>
                            </m:r>
                          </m:e>
                          <m:sub>
                            <m:r>
                              <a:rPr lang="it-IT" i="1">
                                <a:solidFill>
                                  <a:srgbClr val="000000"/>
                                </a:solidFill>
                                <a:latin typeface="Cambria Math" panose="02040503050406030204" pitchFamily="18" charset="0"/>
                              </a:rPr>
                              <m:t>𝐴𝐿𝑇𝑅𝑂</m:t>
                            </m:r>
                          </m:sub>
                          <m:sup>
                            <m:r>
                              <a:rPr lang="it-IT" i="1">
                                <a:solidFill>
                                  <a:srgbClr val="000000"/>
                                </a:solidFill>
                                <a:latin typeface="Cambria Math" panose="02040503050406030204" pitchFamily="18" charset="0"/>
                              </a:rPr>
                              <m:t>𝑎</m:t>
                            </m:r>
                          </m:sup>
                        </m:sSubSup>
                      </m:e>
                    </m:d>
                    <m:r>
                      <a:rPr lang="it-IT" i="1">
                        <a:solidFill>
                          <a:srgbClr val="000000"/>
                        </a:solidFill>
                        <a:latin typeface="Cambria Math" panose="02040503050406030204" pitchFamily="18" charset="0"/>
                      </a:rPr>
                      <m:t>∗</m:t>
                    </m:r>
                    <m:nary>
                      <m:naryPr>
                        <m:chr m:val="∏"/>
                        <m:ctrlPr>
                          <a:rPr lang="it-IT" i="1">
                            <a:solidFill>
                              <a:srgbClr val="000000"/>
                            </a:solidFill>
                            <a:latin typeface="Cambria Math" panose="02040503050406030204" pitchFamily="18" charset="0"/>
                          </a:rPr>
                        </m:ctrlPr>
                      </m:naryPr>
                      <m:sub>
                        <m:r>
                          <a:rPr lang="it-IT" i="1">
                            <a:solidFill>
                              <a:srgbClr val="000000"/>
                            </a:solidFill>
                            <a:latin typeface="Cambria Math" panose="02040503050406030204" pitchFamily="18" charset="0"/>
                          </a:rPr>
                          <m:t>𝑡</m:t>
                        </m:r>
                        <m:r>
                          <a:rPr lang="it-IT" i="1">
                            <a:solidFill>
                              <a:srgbClr val="000000"/>
                            </a:solidFill>
                            <a:latin typeface="Cambria Math" panose="02040503050406030204" pitchFamily="18" charset="0"/>
                          </a:rPr>
                          <m:t>=</m:t>
                        </m:r>
                        <m:r>
                          <a:rPr lang="it-IT" i="1">
                            <a:solidFill>
                              <a:srgbClr val="000000"/>
                            </a:solidFill>
                            <a:latin typeface="Cambria Math" panose="02040503050406030204" pitchFamily="18" charset="0"/>
                          </a:rPr>
                          <m:t>𝑎</m:t>
                        </m:r>
                        <m:r>
                          <a:rPr lang="it-IT" i="1">
                            <a:solidFill>
                              <a:srgbClr val="000000"/>
                            </a:solidFill>
                            <a:latin typeface="Cambria Math" panose="02040503050406030204" pitchFamily="18" charset="0"/>
                          </a:rPr>
                          <m:t>−1</m:t>
                        </m:r>
                      </m:sub>
                      <m:sup>
                        <m:r>
                          <a:rPr lang="it-IT" i="1">
                            <a:solidFill>
                              <a:srgbClr val="000000"/>
                            </a:solidFill>
                            <a:latin typeface="Cambria Math" panose="02040503050406030204" pitchFamily="18" charset="0"/>
                          </a:rPr>
                          <m:t>𝑎</m:t>
                        </m:r>
                      </m:sup>
                      <m:e>
                        <m:d>
                          <m:dPr>
                            <m:ctrlPr>
                              <a:rPr lang="it-IT" i="1">
                                <a:solidFill>
                                  <a:srgbClr val="000000"/>
                                </a:solidFill>
                                <a:latin typeface="Cambria Math" panose="02040503050406030204" pitchFamily="18" charset="0"/>
                              </a:rPr>
                            </m:ctrlPr>
                          </m:dPr>
                          <m:e>
                            <m:r>
                              <a:rPr lang="it-IT" i="1">
                                <a:solidFill>
                                  <a:srgbClr val="000000"/>
                                </a:solidFill>
                                <a:latin typeface="Cambria Math" panose="02040503050406030204" pitchFamily="18" charset="0"/>
                              </a:rPr>
                              <m:t>1+</m:t>
                            </m:r>
                            <m:sSup>
                              <m:sSupPr>
                                <m:ctrlPr>
                                  <a:rPr lang="it-IT" i="1">
                                    <a:solidFill>
                                      <a:srgbClr val="000000"/>
                                    </a:solidFill>
                                    <a:latin typeface="Cambria Math" panose="02040503050406030204" pitchFamily="18" charset="0"/>
                                  </a:rPr>
                                </m:ctrlPr>
                              </m:sSupPr>
                              <m:e>
                                <m:r>
                                  <a:rPr lang="it-IT" i="1">
                                    <a:solidFill>
                                      <a:srgbClr val="000000"/>
                                    </a:solidFill>
                                    <a:latin typeface="Cambria Math" panose="02040503050406030204" pitchFamily="18" charset="0"/>
                                  </a:rPr>
                                  <m:t>𝐼</m:t>
                                </m:r>
                              </m:e>
                              <m:sup>
                                <m:r>
                                  <a:rPr lang="it-IT" i="1">
                                    <a:solidFill>
                                      <a:srgbClr val="000000"/>
                                    </a:solidFill>
                                    <a:latin typeface="Cambria Math" panose="02040503050406030204" pitchFamily="18" charset="0"/>
                                  </a:rPr>
                                  <m:t>𝑡</m:t>
                                </m:r>
                              </m:sup>
                            </m:sSup>
                          </m:e>
                        </m:d>
                      </m:e>
                    </m:nary>
                  </m:oMath>
                </m:oMathPara>
              </a14:m>
              <a:endParaRPr lang="it-IT"/>
            </a:p>
          </xdr:txBody>
        </xdr:sp>
      </mc:Choice>
      <mc:Fallback xmlns="">
        <xdr:sp macro="" textlink="">
          <xdr:nvSpPr>
            <xdr:cNvPr id="3" name="Object 1">
              <a:extLst>
                <a:ext uri="{63B3BB69-23CF-44E3-9099-C40C66FF867C}">
                  <a14:compatExt xmlns:a14="http://schemas.microsoft.com/office/drawing/2010/main" spid="_x0000_s59393"/>
                </a:ext>
                <a:ext uri="{FF2B5EF4-FFF2-40B4-BE49-F238E27FC236}">
                  <a16:creationId xmlns:a16="http://schemas.microsoft.com/office/drawing/2014/main" id="{00000000-0008-0000-2E00-000003000000}"/>
                </a:ext>
              </a:extLst>
            </xdr:cNvPr>
            <xdr:cNvSpPr txBox="1"/>
          </xdr:nvSpPr>
          <xdr:spPr>
            <a:xfrm>
              <a:off x="3756213" y="951380"/>
              <a:ext cx="4240200" cy="901830"/>
            </a:xfrm>
            <a:prstGeom prst="rect">
              <a:avLst/>
            </a:prstGeom>
          </xdr:spPr>
          <xdr:txBody>
            <a:bodyPr vertOverflow="clip" horzOverflow="clip" wrap="none">
              <a:spAutoFit/>
            </a:bodyPr>
            <a:lstStyle/>
            <a:p>
              <a:pPr/>
              <a:r>
                <a:rPr lang="it-IT" i="0">
                  <a:solidFill>
                    <a:srgbClr val="000000"/>
                  </a:solidFill>
                  <a:latin typeface="Cambria Math" panose="02040503050406030204" pitchFamily="18" charset="0"/>
                </a:rPr>
                <a:t>𝑅𝑐_𝑇𝑂𝑇^𝑎=(𝑅𝑐_𝑉𝑂𝐿^𝑎+𝑅𝑐_𝐸𝐸^𝑎+𝑅𝑐_𝑤𝑠^𝑎+𝑅𝑐_𝐸𝑅𝐶^𝑎+𝑅𝑐_𝐴𝐿𝑇𝑅𝑂^𝑎 )∗∏_(𝑡=𝑎−1)^𝑎▒(1+𝐼^𝑡 ) </a:t>
              </a:r>
              <a:endParaRPr lang="it-IT"/>
            </a:p>
          </xdr:txBody>
        </xdr:sp>
      </mc:Fallback>
    </mc:AlternateContent>
    <xdr:clientData/>
  </xdr:twoCellAnchor>
</xdr:wsDr>
</file>

<file path=xl/drawings/drawing36.xml><?xml version="1.0" encoding="utf-8"?>
<xdr:wsDr xmlns:xdr="http://schemas.openxmlformats.org/drawingml/2006/spreadsheetDrawing" xmlns:a="http://schemas.openxmlformats.org/drawingml/2006/main">
  <xdr:twoCellAnchor>
    <xdr:from>
      <xdr:col>0</xdr:col>
      <xdr:colOff>986118</xdr:colOff>
      <xdr:row>23</xdr:row>
      <xdr:rowOff>112059</xdr:rowOff>
    </xdr:from>
    <xdr:to>
      <xdr:col>0</xdr:col>
      <xdr:colOff>1109383</xdr:colOff>
      <xdr:row>24</xdr:row>
      <xdr:rowOff>212912</xdr:rowOff>
    </xdr:to>
    <xdr:sp macro="" textlink="">
      <xdr:nvSpPr>
        <xdr:cNvPr id="2" name="Freccia circolare a destra 1">
          <a:extLst>
            <a:ext uri="{FF2B5EF4-FFF2-40B4-BE49-F238E27FC236}">
              <a16:creationId xmlns:a16="http://schemas.microsoft.com/office/drawing/2014/main" id="{00000000-0008-0000-2400-000002000000}"/>
            </a:ext>
          </a:extLst>
        </xdr:cNvPr>
        <xdr:cNvSpPr/>
      </xdr:nvSpPr>
      <xdr:spPr>
        <a:xfrm>
          <a:off x="986118" y="5266765"/>
          <a:ext cx="123265" cy="291353"/>
        </a:xfrm>
        <a:prstGeom prst="curvedRightArrow">
          <a:avLst/>
        </a:prstGeom>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solidFill>
              <a:schemeClr val="tx1"/>
            </a:solidFill>
          </a:endParaRPr>
        </a:p>
      </xdr:txBody>
    </xdr:sp>
    <xdr:clientData/>
  </xdr:twoCellAnchor>
  <xdr:twoCellAnchor>
    <xdr:from>
      <xdr:col>0</xdr:col>
      <xdr:colOff>986118</xdr:colOff>
      <xdr:row>12</xdr:row>
      <xdr:rowOff>112059</xdr:rowOff>
    </xdr:from>
    <xdr:to>
      <xdr:col>0</xdr:col>
      <xdr:colOff>1109383</xdr:colOff>
      <xdr:row>13</xdr:row>
      <xdr:rowOff>212912</xdr:rowOff>
    </xdr:to>
    <xdr:sp macro="" textlink="">
      <xdr:nvSpPr>
        <xdr:cNvPr id="3" name="Freccia circolare a destra 1">
          <a:extLst>
            <a:ext uri="{FF2B5EF4-FFF2-40B4-BE49-F238E27FC236}">
              <a16:creationId xmlns:a16="http://schemas.microsoft.com/office/drawing/2014/main" id="{00000000-0008-0000-2400-000003000000}"/>
            </a:ext>
          </a:extLst>
        </xdr:cNvPr>
        <xdr:cNvSpPr/>
      </xdr:nvSpPr>
      <xdr:spPr>
        <a:xfrm>
          <a:off x="984213" y="5378824"/>
          <a:ext cx="127075" cy="276337"/>
        </a:xfrm>
        <a:prstGeom prst="curvedRightArrow">
          <a:avLst/>
        </a:prstGeom>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solidFill>
              <a:schemeClr val="tx1"/>
            </a:solidFill>
          </a:endParaRP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1</xdr:col>
      <xdr:colOff>92447</xdr:colOff>
      <xdr:row>7</xdr:row>
      <xdr:rowOff>90208</xdr:rowOff>
    </xdr:from>
    <xdr:to>
      <xdr:col>3</xdr:col>
      <xdr:colOff>190500</xdr:colOff>
      <xdr:row>7</xdr:row>
      <xdr:rowOff>491343</xdr:rowOff>
    </xdr:to>
    <mc:AlternateContent xmlns:mc="http://schemas.openxmlformats.org/markup-compatibility/2006" xmlns:a14="http://schemas.microsoft.com/office/drawing/2010/main">
      <mc:Choice Requires="a14">
        <xdr:sp macro="" textlink="">
          <xdr:nvSpPr>
            <xdr:cNvPr id="12" name="Object 4">
              <a:extLst>
                <a:ext uri="{63B3BB69-23CF-44E3-9099-C40C66FF867C}">
                  <a14:compatExt spid="_x0000_s1028"/>
                </a:ext>
                <a:ext uri="{FF2B5EF4-FFF2-40B4-BE49-F238E27FC236}">
                  <a16:creationId xmlns:a16="http://schemas.microsoft.com/office/drawing/2014/main" id="{00000000-0008-0000-2700-00000C000000}"/>
                </a:ext>
              </a:extLst>
            </xdr:cNvPr>
            <xdr:cNvSpPr txBox="1"/>
          </xdr:nvSpPr>
          <xdr:spPr>
            <a:xfrm>
              <a:off x="361388" y="1345267"/>
              <a:ext cx="4109759" cy="401135"/>
            </a:xfrm>
            <a:prstGeom prst="rect">
              <a:avLst/>
            </a:prstGeom>
          </xdr:spPr>
          <xdr:txBody>
            <a:bodyPr vertOverflow="clip" horzOverflow="clip" wrap="square">
              <a:spAutoFit/>
            </a:bodyPr>
            <a:lstStyle/>
            <a:p>
              <a14:m>
                <m:oMath xmlns:m="http://schemas.openxmlformats.org/officeDocument/2006/math">
                  <m:f>
                    <m:fPr>
                      <m:ctrlPr>
                        <a:rPr lang="it-IT" i="1">
                          <a:solidFill>
                            <a:srgbClr val="000000"/>
                          </a:solidFill>
                          <a:latin typeface="Cambria Math" panose="02040503050406030204" pitchFamily="18" charset="0"/>
                        </a:rPr>
                      </m:ctrlPr>
                    </m:fPr>
                    <m:num>
                      <m:sSup>
                        <m:sSupPr>
                          <m:ctrlPr>
                            <a:rPr lang="it-IT" i="1">
                              <a:solidFill>
                                <a:srgbClr val="000000"/>
                              </a:solidFill>
                              <a:latin typeface="Cambria Math" panose="02040503050406030204" pitchFamily="18" charset="0"/>
                            </a:rPr>
                          </m:ctrlPr>
                        </m:sSupPr>
                        <m:e>
                          <m:r>
                            <a:rPr lang="it-IT" b="0" i="1">
                              <a:solidFill>
                                <a:srgbClr val="000000"/>
                              </a:solidFill>
                              <a:latin typeface="Cambria Math" panose="02040503050406030204" pitchFamily="18" charset="0"/>
                            </a:rPr>
                            <m:t>𝑉𝑅𝐺</m:t>
                          </m:r>
                        </m:e>
                        <m:sup>
                          <m:r>
                            <a:rPr lang="it-IT" i="1">
                              <a:solidFill>
                                <a:srgbClr val="000000"/>
                              </a:solidFill>
                              <a:latin typeface="Cambria Math" panose="02040503050406030204" pitchFamily="18" charset="0"/>
                            </a:rPr>
                            <m:t>2</m:t>
                          </m:r>
                          <m:r>
                            <a:rPr lang="it-IT" b="0" i="1">
                              <a:solidFill>
                                <a:srgbClr val="000000"/>
                              </a:solidFill>
                              <a:latin typeface="Cambria Math" panose="02040503050406030204" pitchFamily="18" charset="0"/>
                            </a:rPr>
                            <m:t>022</m:t>
                          </m:r>
                        </m:sup>
                      </m:sSup>
                    </m:num>
                    <m:den>
                      <m:r>
                        <a:rPr lang="it-IT" b="0" i="1">
                          <a:solidFill>
                            <a:srgbClr val="000000"/>
                          </a:solidFill>
                          <a:latin typeface="Cambria Math" panose="02040503050406030204" pitchFamily="18" charset="0"/>
                        </a:rPr>
                        <m:t>𝑝𝑜𝑝</m:t>
                      </m:r>
                      <m:r>
                        <a:rPr lang="it-IT" b="0" i="1">
                          <a:solidFill>
                            <a:srgbClr val="000000"/>
                          </a:solidFill>
                          <a:latin typeface="Cambria Math" panose="02040503050406030204" pitchFamily="18" charset="0"/>
                        </a:rPr>
                        <m:t>+0,25</m:t>
                      </m:r>
                      <m:sSub>
                        <m:sSubPr>
                          <m:ctrlPr>
                            <a:rPr lang="it-IT" b="0" i="1">
                              <a:solidFill>
                                <a:srgbClr val="000000"/>
                              </a:solidFill>
                              <a:latin typeface="Cambria Math" panose="02040503050406030204" pitchFamily="18" charset="0"/>
                            </a:rPr>
                          </m:ctrlPr>
                        </m:sSubPr>
                        <m:e>
                          <m:r>
                            <a:rPr lang="it-IT" b="0" i="1">
                              <a:solidFill>
                                <a:srgbClr val="000000"/>
                              </a:solidFill>
                              <a:latin typeface="Cambria Math" panose="02040503050406030204" pitchFamily="18" charset="0"/>
                            </a:rPr>
                            <m:t>𝑝𝑜𝑝</m:t>
                          </m:r>
                        </m:e>
                        <m:sub>
                          <m:r>
                            <a:rPr lang="it-IT" b="0" i="1">
                              <a:solidFill>
                                <a:srgbClr val="000000"/>
                              </a:solidFill>
                              <a:latin typeface="Cambria Math" panose="02040503050406030204" pitchFamily="18" charset="0"/>
                            </a:rPr>
                            <m:t>𝑓𝑙𝑢𝑡</m:t>
                          </m:r>
                        </m:sub>
                      </m:sSub>
                    </m:den>
                  </m:f>
                  <m:r>
                    <a:rPr lang="it-IT" i="1">
                      <a:solidFill>
                        <a:srgbClr val="000000"/>
                      </a:solidFill>
                      <a:latin typeface="Cambria Math" panose="02040503050406030204" pitchFamily="18" charset="0"/>
                    </a:rPr>
                    <m:t>≤</m:t>
                  </m:r>
                  <m:sSub>
                    <m:sSubPr>
                      <m:ctrlPr>
                        <a:rPr lang="it-IT" i="1">
                          <a:solidFill>
                            <a:srgbClr val="000000"/>
                          </a:solidFill>
                          <a:latin typeface="Cambria Math" panose="02040503050406030204" pitchFamily="18" charset="0"/>
                        </a:rPr>
                      </m:ctrlPr>
                    </m:sSubPr>
                    <m:e>
                      <m:r>
                        <a:rPr lang="it-IT" b="0" i="1">
                          <a:solidFill>
                            <a:srgbClr val="000000"/>
                          </a:solidFill>
                          <a:latin typeface="Cambria Math" panose="02040503050406030204" pitchFamily="18" charset="0"/>
                        </a:rPr>
                        <m:t>𝑉𝑅𝐺</m:t>
                      </m:r>
                    </m:e>
                    <m:sub>
                      <m:r>
                        <a:rPr lang="it-IT" b="0" i="1">
                          <a:solidFill>
                            <a:srgbClr val="000000"/>
                          </a:solidFill>
                          <a:latin typeface="Cambria Math" panose="02040503050406030204" pitchFamily="18" charset="0"/>
                        </a:rPr>
                        <m:t>𝑃𝑀</m:t>
                      </m:r>
                    </m:sub>
                  </m:sSub>
                </m:oMath>
              </a14:m>
              <a:r>
                <a:rPr lang="it-IT"/>
                <a:t> (</a:t>
              </a:r>
              <a:r>
                <a:rPr lang="it-IT" sz="1200" b="1">
                  <a:solidFill>
                    <a:schemeClr val="accent6">
                      <a:lumMod val="75000"/>
                    </a:schemeClr>
                  </a:solidFill>
                  <a:effectLst/>
                  <a:latin typeface="+mn-lt"/>
                  <a:ea typeface="+mn-ea"/>
                  <a:cs typeface="+mn-cs"/>
                </a:rPr>
                <a:t>SI</a:t>
              </a:r>
              <a:r>
                <a:rPr lang="it-IT"/>
                <a:t>) oppure </a:t>
              </a:r>
              <a14:m>
                <m:oMath xmlns:m="http://schemas.openxmlformats.org/officeDocument/2006/math">
                  <m:f>
                    <m:fPr>
                      <m:ctrlPr>
                        <a:rPr lang="it-IT" sz="1100" i="1">
                          <a:effectLst/>
                          <a:latin typeface="Cambria Math" panose="02040503050406030204" pitchFamily="18" charset="0"/>
                          <a:ea typeface="+mn-ea"/>
                          <a:cs typeface="+mn-cs"/>
                        </a:rPr>
                      </m:ctrlPr>
                    </m:fPr>
                    <m:num>
                      <m:sSup>
                        <m:sSupPr>
                          <m:ctrlPr>
                            <a:rPr lang="it-IT" sz="1100" i="1">
                              <a:effectLst/>
                              <a:latin typeface="Cambria Math" panose="02040503050406030204" pitchFamily="18" charset="0"/>
                              <a:ea typeface="+mn-ea"/>
                              <a:cs typeface="+mn-cs"/>
                            </a:rPr>
                          </m:ctrlPr>
                        </m:sSupPr>
                        <m:e>
                          <m:r>
                            <a:rPr lang="it-IT" sz="1100" b="0" i="1">
                              <a:effectLst/>
                              <a:latin typeface="Cambria Math" panose="02040503050406030204" pitchFamily="18" charset="0"/>
                              <a:ea typeface="+mn-ea"/>
                              <a:cs typeface="+mn-cs"/>
                            </a:rPr>
                            <m:t>𝑉𝑅𝐺</m:t>
                          </m:r>
                        </m:e>
                        <m:sup>
                          <m:r>
                            <a:rPr lang="it-IT" sz="1100" i="1">
                              <a:effectLst/>
                              <a:latin typeface="Cambria Math" panose="02040503050406030204" pitchFamily="18" charset="0"/>
                              <a:ea typeface="+mn-ea"/>
                              <a:cs typeface="+mn-cs"/>
                            </a:rPr>
                            <m:t>2</m:t>
                          </m:r>
                          <m:r>
                            <a:rPr lang="it-IT" sz="1100" b="0" i="1">
                              <a:effectLst/>
                              <a:latin typeface="Cambria Math" panose="02040503050406030204" pitchFamily="18" charset="0"/>
                              <a:ea typeface="+mn-ea"/>
                              <a:cs typeface="+mn-cs"/>
                            </a:rPr>
                            <m:t>022</m:t>
                          </m:r>
                        </m:sup>
                      </m:sSup>
                    </m:num>
                    <m:den>
                      <m:r>
                        <a:rPr lang="it-IT" sz="1100" b="0" i="1">
                          <a:effectLst/>
                          <a:latin typeface="Cambria Math" panose="02040503050406030204" pitchFamily="18" charset="0"/>
                          <a:ea typeface="+mn-ea"/>
                          <a:cs typeface="+mn-cs"/>
                        </a:rPr>
                        <m:t>𝑝𝑜𝑝</m:t>
                      </m:r>
                      <m:r>
                        <a:rPr lang="it-IT" sz="1100" b="0" i="1">
                          <a:effectLst/>
                          <a:latin typeface="Cambria Math" panose="02040503050406030204" pitchFamily="18" charset="0"/>
                          <a:ea typeface="+mn-ea"/>
                          <a:cs typeface="+mn-cs"/>
                        </a:rPr>
                        <m:t>+0,25</m:t>
                      </m:r>
                      <m:sSub>
                        <m:sSubPr>
                          <m:ctrlPr>
                            <a:rPr lang="it-IT" sz="1100" b="0" i="1">
                              <a:effectLst/>
                              <a:latin typeface="Cambria Math" panose="02040503050406030204" pitchFamily="18" charset="0"/>
                              <a:ea typeface="+mn-ea"/>
                              <a:cs typeface="+mn-cs"/>
                            </a:rPr>
                          </m:ctrlPr>
                        </m:sSubPr>
                        <m:e>
                          <m:r>
                            <a:rPr lang="it-IT" sz="1100" b="0" i="1">
                              <a:effectLst/>
                              <a:latin typeface="Cambria Math" panose="02040503050406030204" pitchFamily="18" charset="0"/>
                              <a:ea typeface="+mn-ea"/>
                              <a:cs typeface="+mn-cs"/>
                            </a:rPr>
                            <m:t>𝑝𝑜𝑝</m:t>
                          </m:r>
                        </m:e>
                        <m:sub>
                          <m:r>
                            <a:rPr lang="it-IT" sz="1100" b="0" i="1">
                              <a:effectLst/>
                              <a:latin typeface="Cambria Math" panose="02040503050406030204" pitchFamily="18" charset="0"/>
                              <a:ea typeface="+mn-ea"/>
                              <a:cs typeface="+mn-cs"/>
                            </a:rPr>
                            <m:t>𝑓𝑙𝑢𝑡</m:t>
                          </m:r>
                        </m:sub>
                      </m:sSub>
                    </m:den>
                  </m:f>
                  <m:r>
                    <a:rPr lang="it-IT" sz="1100" b="0" i="1">
                      <a:effectLst/>
                      <a:latin typeface="Cambria Math" panose="02040503050406030204" pitchFamily="18" charset="0"/>
                      <a:ea typeface="+mn-ea"/>
                      <a:cs typeface="+mn-cs"/>
                    </a:rPr>
                    <m:t>&gt;</m:t>
                  </m:r>
                  <m:sSub>
                    <m:sSubPr>
                      <m:ctrlPr>
                        <a:rPr lang="it-IT" sz="1100" i="1">
                          <a:effectLst/>
                          <a:latin typeface="Cambria Math" panose="02040503050406030204" pitchFamily="18" charset="0"/>
                          <a:ea typeface="+mn-ea"/>
                          <a:cs typeface="+mn-cs"/>
                        </a:rPr>
                      </m:ctrlPr>
                    </m:sSubPr>
                    <m:e>
                      <m:r>
                        <a:rPr lang="it-IT" sz="1100" b="0" i="1">
                          <a:effectLst/>
                          <a:latin typeface="Cambria Math" panose="02040503050406030204" pitchFamily="18" charset="0"/>
                          <a:ea typeface="+mn-ea"/>
                          <a:cs typeface="+mn-cs"/>
                        </a:rPr>
                        <m:t>𝑉𝑅𝐺</m:t>
                      </m:r>
                    </m:e>
                    <m:sub>
                      <m:r>
                        <a:rPr lang="it-IT" sz="1100" b="0" i="1">
                          <a:effectLst/>
                          <a:latin typeface="Cambria Math" panose="02040503050406030204" pitchFamily="18" charset="0"/>
                          <a:ea typeface="+mn-ea"/>
                          <a:cs typeface="+mn-cs"/>
                        </a:rPr>
                        <m:t>𝑃𝑀</m:t>
                      </m:r>
                    </m:sub>
                  </m:sSub>
                </m:oMath>
              </a14:m>
              <a:r>
                <a:rPr lang="it-IT"/>
                <a:t>(</a:t>
              </a:r>
              <a:r>
                <a:rPr lang="it-IT" sz="1200" b="1">
                  <a:solidFill>
                    <a:schemeClr val="accent6">
                      <a:lumMod val="75000"/>
                    </a:schemeClr>
                  </a:solidFill>
                </a:rPr>
                <a:t>NO</a:t>
              </a:r>
              <a:r>
                <a:rPr lang="it-IT"/>
                <a:t>)</a:t>
              </a:r>
            </a:p>
          </xdr:txBody>
        </xdr:sp>
      </mc:Choice>
      <mc:Fallback xmlns="">
        <xdr:sp macro="" textlink="">
          <xdr:nvSpPr>
            <xdr:cNvPr id="12" name="Object 4">
              <a:extLst>
                <a:ext uri="{63B3BB69-23CF-44E3-9099-C40C66FF867C}">
                  <a14:compatExt xmlns:a14="http://schemas.microsoft.com/office/drawing/2010/main" spid="_x0000_s1028"/>
                </a:ext>
                <a:ext uri="{FF2B5EF4-FFF2-40B4-BE49-F238E27FC236}">
                  <a16:creationId xmlns:a16="http://schemas.microsoft.com/office/drawing/2014/main" id="{00000000-0008-0000-2900-00000C000000}"/>
                </a:ext>
              </a:extLst>
            </xdr:cNvPr>
            <xdr:cNvSpPr txBox="1"/>
          </xdr:nvSpPr>
          <xdr:spPr>
            <a:xfrm>
              <a:off x="361388" y="1345267"/>
              <a:ext cx="4109759" cy="401135"/>
            </a:xfrm>
            <a:prstGeom prst="rect">
              <a:avLst/>
            </a:prstGeom>
          </xdr:spPr>
          <xdr:txBody>
            <a:bodyPr vertOverflow="clip" horzOverflow="clip" wrap="square">
              <a:spAutoFit/>
            </a:bodyPr>
            <a:lstStyle/>
            <a:p>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a:t>
              </a:r>
              <a:r>
                <a:rPr lang="it-IT" i="0">
                  <a:solidFill>
                    <a:srgbClr val="000000"/>
                  </a:solidFill>
                  <a:latin typeface="Cambria Math" panose="02040503050406030204" pitchFamily="18" charset="0"/>
                </a:rPr>
                <a:t>2</a:t>
              </a:r>
              <a:r>
                <a:rPr lang="it-IT" b="0" i="0">
                  <a:solidFill>
                    <a:srgbClr val="000000"/>
                  </a:solidFill>
                  <a:latin typeface="Cambria Math" panose="02040503050406030204" pitchFamily="18" charset="0"/>
                </a:rPr>
                <a:t>022/(𝑝𝑜𝑝+0,25〖𝑝𝑜𝑝〗_𝑓𝑙𝑢𝑡 )</a:t>
              </a:r>
              <a:r>
                <a:rPr lang="it-IT" i="0">
                  <a:solidFill>
                    <a:srgbClr val="000000"/>
                  </a:solidFill>
                  <a:latin typeface="Cambria Math" panose="02040503050406030204" pitchFamily="18" charset="0"/>
                </a:rPr>
                <a:t>≤〖</a:t>
              </a:r>
              <a:r>
                <a:rPr lang="it-IT" b="0" i="0">
                  <a:solidFill>
                    <a:srgbClr val="000000"/>
                  </a:solidFill>
                  <a:latin typeface="Cambria Math" panose="02040503050406030204" pitchFamily="18" charset="0"/>
                </a:rPr>
                <a:t>𝑉𝑅𝐺〗_𝑃𝑀</a:t>
              </a:r>
              <a:r>
                <a:rPr lang="it-IT"/>
                <a:t> (</a:t>
              </a:r>
              <a:r>
                <a:rPr lang="it-IT" sz="1200" b="1">
                  <a:solidFill>
                    <a:schemeClr val="accent6">
                      <a:lumMod val="75000"/>
                    </a:schemeClr>
                  </a:solidFill>
                  <a:effectLst/>
                  <a:latin typeface="+mn-lt"/>
                  <a:ea typeface="+mn-ea"/>
                  <a:cs typeface="+mn-cs"/>
                </a:rPr>
                <a:t>SI</a:t>
              </a:r>
              <a:r>
                <a:rPr lang="it-IT"/>
                <a:t>) oppure </a:t>
              </a: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𝑉𝑅𝐺〗^</a:t>
              </a:r>
              <a:r>
                <a:rPr lang="it-IT" sz="1100" i="0">
                  <a:effectLst/>
                  <a:latin typeface="Cambria Math" panose="02040503050406030204" pitchFamily="18" charset="0"/>
                  <a:ea typeface="+mn-ea"/>
                  <a:cs typeface="+mn-cs"/>
                </a:rPr>
                <a:t>2</a:t>
              </a:r>
              <a:r>
                <a:rPr lang="it-IT" sz="1100" b="0" i="0">
                  <a:effectLst/>
                  <a:latin typeface="Cambria Math" panose="02040503050406030204" pitchFamily="18" charset="0"/>
                  <a:ea typeface="+mn-ea"/>
                  <a:cs typeface="+mn-cs"/>
                </a:rPr>
                <a:t>022/(𝑝𝑜𝑝+0,25〖𝑝𝑜𝑝〗_𝑓𝑙𝑢𝑡 )&gt;</a:t>
              </a: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𝑉𝑅𝐺〗_𝑃𝑀</a:t>
              </a:r>
              <a:r>
                <a:rPr lang="it-IT"/>
                <a:t>(</a:t>
              </a:r>
              <a:r>
                <a:rPr lang="it-IT" sz="1200" b="1">
                  <a:solidFill>
                    <a:schemeClr val="accent6">
                      <a:lumMod val="75000"/>
                    </a:schemeClr>
                  </a:solidFill>
                </a:rPr>
                <a:t>NO</a:t>
              </a:r>
              <a:r>
                <a:rPr lang="it-IT"/>
                <a:t>)</a:t>
              </a:r>
            </a:p>
          </xdr:txBody>
        </xdr:sp>
      </mc:Fallback>
    </mc:AlternateContent>
    <xdr:clientData/>
  </xdr:twoCellAnchor>
  <xdr:twoCellAnchor>
    <xdr:from>
      <xdr:col>1</xdr:col>
      <xdr:colOff>127075</xdr:colOff>
      <xdr:row>11</xdr:row>
      <xdr:rowOff>134471</xdr:rowOff>
    </xdr:from>
    <xdr:to>
      <xdr:col>2</xdr:col>
      <xdr:colOff>3935170</xdr:colOff>
      <xdr:row>11</xdr:row>
      <xdr:rowOff>524129</xdr:rowOff>
    </xdr:to>
    <mc:AlternateContent xmlns:mc="http://schemas.openxmlformats.org/markup-compatibility/2006" xmlns:a14="http://schemas.microsoft.com/office/drawing/2010/main">
      <mc:Choice Requires="a14">
        <xdr:sp macro="" textlink="">
          <xdr:nvSpPr>
            <xdr:cNvPr id="13" name="Object 4">
              <a:extLst>
                <a:ext uri="{63B3BB69-23CF-44E3-9099-C40C66FF867C}">
                  <a14:compatExt spid="_x0000_s1028"/>
                </a:ext>
                <a:ext uri="{FF2B5EF4-FFF2-40B4-BE49-F238E27FC236}">
                  <a16:creationId xmlns:a16="http://schemas.microsoft.com/office/drawing/2014/main" id="{00000000-0008-0000-2700-00000D000000}"/>
                </a:ext>
              </a:extLst>
            </xdr:cNvPr>
            <xdr:cNvSpPr txBox="1"/>
          </xdr:nvSpPr>
          <xdr:spPr>
            <a:xfrm>
              <a:off x="407222" y="3204883"/>
              <a:ext cx="3976183" cy="389658"/>
            </a:xfrm>
            <a:prstGeom prst="rect">
              <a:avLst/>
            </a:prstGeom>
          </xdr:spPr>
          <xdr:txBody>
            <a:bodyPr vertOverflow="clip" horzOverflow="clip" wrap="square">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 xmlns:m="http://schemas.openxmlformats.org/officeDocument/2006/math">
                  <m:f>
                    <m:fPr>
                      <m:ctrlPr>
                        <a:rPr lang="it-IT" sz="1100" i="1">
                          <a:effectLst/>
                          <a:latin typeface="Cambria Math" panose="02040503050406030204" pitchFamily="18" charset="0"/>
                          <a:ea typeface="+mn-ea"/>
                          <a:cs typeface="+mn-cs"/>
                        </a:rPr>
                      </m:ctrlPr>
                    </m:fPr>
                    <m:num>
                      <m:nary>
                        <m:naryPr>
                          <m:chr m:val="∑"/>
                          <m:ctrlPr>
                            <a:rPr lang="it-IT" sz="1100" i="1">
                              <a:effectLst/>
                              <a:latin typeface="Cambria Math" panose="02040503050406030204" pitchFamily="18" charset="0"/>
                              <a:ea typeface="+mn-ea"/>
                              <a:cs typeface="+mn-cs"/>
                            </a:rPr>
                          </m:ctrlPr>
                        </m:naryPr>
                        <m:sub>
                          <m:r>
                            <a:rPr lang="it-IT" sz="1100" b="0" i="1">
                              <a:effectLst/>
                              <a:latin typeface="Cambria Math" panose="02040503050406030204" pitchFamily="18" charset="0"/>
                              <a:ea typeface="+mn-ea"/>
                              <a:cs typeface="+mn-cs"/>
                            </a:rPr>
                            <m:t>2024</m:t>
                          </m:r>
                        </m:sub>
                        <m:sup>
                          <m:r>
                            <a:rPr lang="it-IT" sz="1100" b="0" i="1">
                              <a:effectLst/>
                              <a:latin typeface="Cambria Math" panose="02040503050406030204" pitchFamily="18" charset="0"/>
                              <a:ea typeface="+mn-ea"/>
                              <a:cs typeface="+mn-cs"/>
                            </a:rPr>
                            <m:t>2029</m:t>
                          </m:r>
                        </m:sup>
                        <m:e>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𝐼𝑃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 </m:t>
                              </m:r>
                              <m:r>
                                <a:rPr lang="it-IT" sz="1100" b="0" i="1">
                                  <a:effectLst/>
                                  <a:latin typeface="Cambria Math" panose="02040503050406030204" pitchFamily="18" charset="0"/>
                                  <a:ea typeface="+mn-ea"/>
                                  <a:cs typeface="+mn-cs"/>
                                </a:rPr>
                                <m:t>𝐶𝐹𝑃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e>
                      </m:nary>
                      <m:r>
                        <a:rPr lang="it-IT" sz="1100" b="0" i="1">
                          <a:effectLst/>
                          <a:latin typeface="Cambria Math" panose="02040503050406030204" pitchFamily="18" charset="0"/>
                          <a:ea typeface="+mn-ea"/>
                          <a:cs typeface="+mn-cs"/>
                        </a:rPr>
                        <m:t> </m:t>
                      </m:r>
                    </m:num>
                    <m:den>
                      <m:r>
                        <a:rPr lang="it-IT" sz="1100" i="1">
                          <a:effectLst/>
                          <a:latin typeface="Cambria Math" panose="02040503050406030204" pitchFamily="18" charset="0"/>
                          <a:ea typeface="+mn-ea"/>
                          <a:cs typeface="+mn-cs"/>
                        </a:rPr>
                        <m:t>𝑅𝐴</m:t>
                      </m:r>
                      <m:sSub>
                        <m:sSubPr>
                          <m:ctrlPr>
                            <a:rPr lang="it-IT" sz="1100" i="1">
                              <a:effectLst/>
                              <a:latin typeface="Cambria Math" panose="02040503050406030204" pitchFamily="18" charset="0"/>
                              <a:ea typeface="+mn-ea"/>
                              <a:cs typeface="+mn-cs"/>
                            </a:rPr>
                          </m:ctrlPr>
                        </m:sSubPr>
                        <m:e>
                          <m:r>
                            <a:rPr lang="it-IT" sz="1100" i="1">
                              <a:effectLst/>
                              <a:latin typeface="Cambria Math" panose="02040503050406030204" pitchFamily="18" charset="0"/>
                              <a:ea typeface="+mn-ea"/>
                              <a:cs typeface="+mn-cs"/>
                            </a:rPr>
                            <m:t>𝐵</m:t>
                          </m:r>
                        </m:e>
                        <m:sub>
                          <m:r>
                            <a:rPr lang="it-IT" sz="1100" i="1">
                              <a:effectLst/>
                              <a:latin typeface="Cambria Math" panose="02040503050406030204" pitchFamily="18" charset="0"/>
                              <a:ea typeface="+mn-ea"/>
                              <a:cs typeface="+mn-cs"/>
                            </a:rPr>
                            <m:t>𝑀𝑇𝐼</m:t>
                          </m:r>
                          <m:r>
                            <a:rPr lang="it-IT" sz="1100" b="0" i="1">
                              <a:effectLst/>
                              <a:latin typeface="Cambria Math" panose="02040503050406030204" pitchFamily="18" charset="0"/>
                              <a:ea typeface="+mn-ea"/>
                              <a:cs typeface="+mn-cs"/>
                            </a:rPr>
                            <m:t>−3</m:t>
                          </m:r>
                        </m:sub>
                      </m:sSub>
                    </m:den>
                  </m:f>
                  <m:r>
                    <a:rPr lang="it-IT" sz="1100" b="0" i="1">
                      <a:effectLst/>
                      <a:latin typeface="Cambria Math" panose="02040503050406030204" pitchFamily="18" charset="0"/>
                      <a:ea typeface="+mn-ea"/>
                      <a:cs typeface="+mn-cs"/>
                    </a:rPr>
                    <m:t> ≤</m:t>
                  </m:r>
                  <m:r>
                    <m:rPr>
                      <m:sty m:val="p"/>
                    </m:rPr>
                    <a:rPr lang="el-GR" sz="1100" b="0" i="1">
                      <a:effectLst/>
                      <a:latin typeface="Cambria Math" panose="02040503050406030204" pitchFamily="18" charset="0"/>
                      <a:ea typeface="+mn-ea"/>
                      <a:cs typeface="+mn-cs"/>
                    </a:rPr>
                    <m:t>ω</m:t>
                  </m:r>
                </m:oMath>
              </a14:m>
              <a:r>
                <a:rPr lang="it-IT"/>
                <a:t> (</a:t>
              </a:r>
              <a:r>
                <a:rPr lang="it-IT" sz="1200" b="1">
                  <a:solidFill>
                    <a:schemeClr val="accent6">
                      <a:lumMod val="75000"/>
                    </a:schemeClr>
                  </a:solidFill>
                  <a:effectLst/>
                  <a:latin typeface="+mn-lt"/>
                  <a:ea typeface="+mn-ea"/>
                  <a:cs typeface="+mn-cs"/>
                </a:rPr>
                <a:t>SI</a:t>
              </a:r>
              <a:r>
                <a:rPr lang="it-IT"/>
                <a:t>) oppure </a:t>
              </a:r>
              <a14:m>
                <m:oMath xmlns:m="http://schemas.openxmlformats.org/officeDocument/2006/math">
                  <m:f>
                    <m:fPr>
                      <m:ctrlPr>
                        <a:rPr lang="it-IT" sz="1100" i="1">
                          <a:effectLst/>
                          <a:latin typeface="Cambria Math" panose="02040503050406030204" pitchFamily="18" charset="0"/>
                          <a:ea typeface="+mn-ea"/>
                          <a:cs typeface="+mn-cs"/>
                        </a:rPr>
                      </m:ctrlPr>
                    </m:fPr>
                    <m:num>
                      <m:nary>
                        <m:naryPr>
                          <m:chr m:val="∑"/>
                          <m:ctrlPr>
                            <a:rPr lang="it-IT" sz="1100" i="1">
                              <a:effectLst/>
                              <a:latin typeface="Cambria Math" panose="02040503050406030204" pitchFamily="18" charset="0"/>
                              <a:ea typeface="+mn-ea"/>
                              <a:cs typeface="+mn-cs"/>
                            </a:rPr>
                          </m:ctrlPr>
                        </m:naryPr>
                        <m:sub>
                          <m:r>
                            <a:rPr lang="it-IT" sz="1100" b="0" i="1">
                              <a:effectLst/>
                              <a:latin typeface="Cambria Math" panose="02040503050406030204" pitchFamily="18" charset="0"/>
                              <a:ea typeface="+mn-ea"/>
                              <a:cs typeface="+mn-cs"/>
                            </a:rPr>
                            <m:t>2024</m:t>
                          </m:r>
                        </m:sub>
                        <m:sup>
                          <m:r>
                            <a:rPr lang="it-IT" sz="1100" b="0" i="1">
                              <a:effectLst/>
                              <a:latin typeface="Cambria Math" panose="02040503050406030204" pitchFamily="18" charset="0"/>
                              <a:ea typeface="+mn-ea"/>
                              <a:cs typeface="+mn-cs"/>
                            </a:rPr>
                            <m:t>2029</m:t>
                          </m:r>
                        </m:sup>
                        <m:e>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𝐼𝑃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 </m:t>
                              </m:r>
                              <m:r>
                                <a:rPr lang="it-IT" sz="1100" b="0" i="1">
                                  <a:effectLst/>
                                  <a:latin typeface="Cambria Math" panose="02040503050406030204" pitchFamily="18" charset="0"/>
                                  <a:ea typeface="+mn-ea"/>
                                  <a:cs typeface="+mn-cs"/>
                                </a:rPr>
                                <m:t>𝐶𝐹𝑃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e>
                      </m:nary>
                      <m:r>
                        <a:rPr lang="it-IT" sz="1100" b="0" i="1">
                          <a:effectLst/>
                          <a:latin typeface="Cambria Math" panose="02040503050406030204" pitchFamily="18" charset="0"/>
                          <a:ea typeface="+mn-ea"/>
                          <a:cs typeface="+mn-cs"/>
                        </a:rPr>
                        <m:t> </m:t>
                      </m:r>
                    </m:num>
                    <m:den>
                      <m:r>
                        <a:rPr lang="it-IT" sz="1100" i="1">
                          <a:effectLst/>
                          <a:latin typeface="Cambria Math" panose="02040503050406030204" pitchFamily="18" charset="0"/>
                          <a:ea typeface="+mn-ea"/>
                          <a:cs typeface="+mn-cs"/>
                        </a:rPr>
                        <m:t>𝑅𝐴</m:t>
                      </m:r>
                      <m:sSub>
                        <m:sSubPr>
                          <m:ctrlPr>
                            <a:rPr lang="it-IT" sz="1100" i="1">
                              <a:effectLst/>
                              <a:latin typeface="Cambria Math" panose="02040503050406030204" pitchFamily="18" charset="0"/>
                              <a:ea typeface="+mn-ea"/>
                              <a:cs typeface="+mn-cs"/>
                            </a:rPr>
                          </m:ctrlPr>
                        </m:sSubPr>
                        <m:e>
                          <m:r>
                            <a:rPr lang="it-IT" sz="1100" i="1">
                              <a:effectLst/>
                              <a:latin typeface="Cambria Math" panose="02040503050406030204" pitchFamily="18" charset="0"/>
                              <a:ea typeface="+mn-ea"/>
                              <a:cs typeface="+mn-cs"/>
                            </a:rPr>
                            <m:t>𝐵</m:t>
                          </m:r>
                        </m:e>
                        <m:sub>
                          <m:r>
                            <a:rPr lang="it-IT" sz="1100" i="1">
                              <a:effectLst/>
                              <a:latin typeface="Cambria Math" panose="02040503050406030204" pitchFamily="18" charset="0"/>
                              <a:ea typeface="+mn-ea"/>
                              <a:cs typeface="+mn-cs"/>
                            </a:rPr>
                            <m:t>𝑀𝑇𝐼</m:t>
                          </m:r>
                          <m:r>
                            <a:rPr lang="it-IT" sz="1100" b="0" i="1">
                              <a:effectLst/>
                              <a:latin typeface="Cambria Math" panose="02040503050406030204" pitchFamily="18" charset="0"/>
                              <a:ea typeface="+mn-ea"/>
                              <a:cs typeface="+mn-cs"/>
                            </a:rPr>
                            <m:t>−3</m:t>
                          </m:r>
                        </m:sub>
                      </m:sSub>
                    </m:den>
                  </m:f>
                  <m:r>
                    <a:rPr lang="it-IT" sz="1100" b="0" i="1">
                      <a:effectLst/>
                      <a:latin typeface="Cambria Math" panose="02040503050406030204" pitchFamily="18" charset="0"/>
                      <a:ea typeface="+mn-ea"/>
                      <a:cs typeface="+mn-cs"/>
                    </a:rPr>
                    <m:t>&gt;</m:t>
                  </m:r>
                  <m:r>
                    <m:rPr>
                      <m:sty m:val="p"/>
                    </m:rPr>
                    <a:rPr lang="el-GR" sz="1100" b="0" i="1">
                      <a:effectLst/>
                      <a:latin typeface="Cambria Math" panose="02040503050406030204" pitchFamily="18" charset="0"/>
                      <a:ea typeface="+mn-ea"/>
                      <a:cs typeface="+mn-cs"/>
                    </a:rPr>
                    <m:t>ω</m:t>
                  </m:r>
                </m:oMath>
              </a14:m>
              <a:r>
                <a:rPr lang="it-IT"/>
                <a:t> (</a:t>
              </a:r>
              <a:r>
                <a:rPr lang="it-IT" sz="1200" b="1">
                  <a:solidFill>
                    <a:schemeClr val="accent6">
                      <a:lumMod val="75000"/>
                    </a:schemeClr>
                  </a:solidFill>
                </a:rPr>
                <a:t>NO</a:t>
              </a:r>
              <a:r>
                <a:rPr lang="it-IT"/>
                <a:t>)</a:t>
              </a:r>
            </a:p>
          </xdr:txBody>
        </xdr:sp>
      </mc:Choice>
      <mc:Fallback xmlns="">
        <xdr:sp macro="" textlink="">
          <xdr:nvSpPr>
            <xdr:cNvPr id="13" name="Object 4">
              <a:extLst>
                <a:ext uri="{63B3BB69-23CF-44E3-9099-C40C66FF867C}">
                  <a14:compatExt xmlns:a14="http://schemas.microsoft.com/office/drawing/2010/main" spid="_x0000_s1028"/>
                </a:ext>
                <a:ext uri="{FF2B5EF4-FFF2-40B4-BE49-F238E27FC236}">
                  <a16:creationId xmlns:a16="http://schemas.microsoft.com/office/drawing/2014/main" id="{00000000-0008-0000-2700-00000D000000}"/>
                </a:ext>
              </a:extLst>
            </xdr:cNvPr>
            <xdr:cNvSpPr txBox="1"/>
          </xdr:nvSpPr>
          <xdr:spPr>
            <a:xfrm>
              <a:off x="407222" y="3204883"/>
              <a:ext cx="3976183" cy="389658"/>
            </a:xfrm>
            <a:prstGeom prst="rect">
              <a:avLst/>
            </a:prstGeom>
          </xdr:spPr>
          <xdr:txBody>
            <a:bodyPr vertOverflow="clip" horzOverflow="clip" wrap="square">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_2024^2029▒〖〖𝐼𝑃〗_𝑎^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𝐶𝐹𝑃〗_𝑎^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a:t>
              </a:r>
              <a:r>
                <a:rPr lang="it-IT" sz="1100" i="0">
                  <a:effectLst/>
                  <a:latin typeface="Cambria Math" panose="02040503050406030204" pitchFamily="18" charset="0"/>
                  <a:ea typeface="+mn-ea"/>
                  <a:cs typeface="+mn-cs"/>
                </a:rPr>
                <a:t>𝑅𝐴𝐵_(𝑀𝑇𝐼</a:t>
              </a:r>
              <a:r>
                <a:rPr lang="it-IT" sz="1100" b="0" i="0">
                  <a:effectLst/>
                  <a:latin typeface="Cambria Math" panose="02040503050406030204" pitchFamily="18" charset="0"/>
                  <a:ea typeface="+mn-ea"/>
                  <a:cs typeface="+mn-cs"/>
                </a:rPr>
                <a:t>−3) )  ≤</a:t>
              </a:r>
              <a:r>
                <a:rPr lang="el-GR" sz="1100" b="0" i="0">
                  <a:effectLst/>
                  <a:latin typeface="Cambria Math" panose="02040503050406030204" pitchFamily="18" charset="0"/>
                  <a:ea typeface="+mn-ea"/>
                  <a:cs typeface="+mn-cs"/>
                </a:rPr>
                <a:t>ω</a:t>
              </a:r>
              <a:r>
                <a:rPr lang="it-IT"/>
                <a:t> (</a:t>
              </a:r>
              <a:r>
                <a:rPr lang="it-IT" sz="1200" b="1">
                  <a:solidFill>
                    <a:schemeClr val="accent6">
                      <a:lumMod val="75000"/>
                    </a:schemeClr>
                  </a:solidFill>
                  <a:effectLst/>
                  <a:latin typeface="+mn-lt"/>
                  <a:ea typeface="+mn-ea"/>
                  <a:cs typeface="+mn-cs"/>
                </a:rPr>
                <a:t>SI</a:t>
              </a:r>
              <a:r>
                <a:rPr lang="it-IT"/>
                <a:t>) oppure </a:t>
              </a: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_2024^2029▒〖〖𝐼𝑃〗_𝑎^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𝐶𝐹𝑃〗_𝑎^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a:t>
              </a:r>
              <a:r>
                <a:rPr lang="it-IT" sz="1100" i="0">
                  <a:effectLst/>
                  <a:latin typeface="Cambria Math" panose="02040503050406030204" pitchFamily="18" charset="0"/>
                  <a:ea typeface="+mn-ea"/>
                  <a:cs typeface="+mn-cs"/>
                </a:rPr>
                <a:t>𝑅𝐴𝐵_(𝑀𝑇𝐼</a:t>
              </a:r>
              <a:r>
                <a:rPr lang="it-IT" sz="1100" b="0" i="0">
                  <a:effectLst/>
                  <a:latin typeface="Cambria Math" panose="02040503050406030204" pitchFamily="18" charset="0"/>
                  <a:ea typeface="+mn-ea"/>
                  <a:cs typeface="+mn-cs"/>
                </a:rPr>
                <a:t>−3) )&gt;</a:t>
              </a:r>
              <a:r>
                <a:rPr lang="el-GR" sz="1100" b="0" i="0">
                  <a:effectLst/>
                  <a:latin typeface="Cambria Math" panose="02040503050406030204" pitchFamily="18" charset="0"/>
                  <a:ea typeface="+mn-ea"/>
                  <a:cs typeface="+mn-cs"/>
                </a:rPr>
                <a:t>ω</a:t>
              </a:r>
              <a:r>
                <a:rPr lang="it-IT"/>
                <a:t> (</a:t>
              </a:r>
              <a:r>
                <a:rPr lang="it-IT" sz="1200" b="1">
                  <a:solidFill>
                    <a:schemeClr val="accent6">
                      <a:lumMod val="75000"/>
                    </a:schemeClr>
                  </a:solidFill>
                </a:rPr>
                <a:t>NO</a:t>
              </a:r>
              <a:r>
                <a:rPr lang="it-IT"/>
                <a:t>)</a:t>
              </a:r>
            </a:p>
          </xdr:txBody>
        </xdr:sp>
      </mc:Fallback>
    </mc:AlternateContent>
    <xdr:clientData/>
  </xdr:twoCellAnchor>
  <xdr:twoCellAnchor>
    <xdr:from>
      <xdr:col>1</xdr:col>
      <xdr:colOff>130660</xdr:colOff>
      <xdr:row>9</xdr:row>
      <xdr:rowOff>20731</xdr:rowOff>
    </xdr:from>
    <xdr:to>
      <xdr:col>2</xdr:col>
      <xdr:colOff>3860538</xdr:colOff>
      <xdr:row>9</xdr:row>
      <xdr:rowOff>297153</xdr:rowOff>
    </xdr:to>
    <mc:AlternateContent xmlns:mc="http://schemas.openxmlformats.org/markup-compatibility/2006" xmlns:a14="http://schemas.microsoft.com/office/drawing/2010/main">
      <mc:Choice Requires="a14">
        <xdr:sp macro="" textlink="">
          <xdr:nvSpPr>
            <xdr:cNvPr id="14" name="Object 4">
              <a:extLst>
                <a:ext uri="{63B3BB69-23CF-44E3-9099-C40C66FF867C}">
                  <a14:compatExt spid="_x0000_s1028"/>
                </a:ext>
                <a:ext uri="{FF2B5EF4-FFF2-40B4-BE49-F238E27FC236}">
                  <a16:creationId xmlns:a16="http://schemas.microsoft.com/office/drawing/2014/main" id="{00000000-0008-0000-2700-00000E000000}"/>
                </a:ext>
              </a:extLst>
            </xdr:cNvPr>
            <xdr:cNvSpPr txBox="1"/>
          </xdr:nvSpPr>
          <xdr:spPr>
            <a:xfrm>
              <a:off x="410807" y="2497231"/>
              <a:ext cx="3897966" cy="276422"/>
            </a:xfrm>
            <a:prstGeom prst="rect">
              <a:avLst/>
            </a:prstGeom>
          </xdr:spPr>
          <xdr:txBody>
            <a:bodyPr vertOverflow="clip" horzOverflow="clip" wrap="square">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it-IT"/>
                <a:t> </a:t>
              </a:r>
              <a14:m>
                <m:oMath xmlns:m="http://schemas.openxmlformats.org/officeDocument/2006/math">
                  <m:nary>
                    <m:naryPr>
                      <m:chr m:val="∑"/>
                      <m:ctrlPr>
                        <a:rPr lang="it-IT" sz="1100" i="1">
                          <a:effectLst/>
                          <a:latin typeface="Cambria Math" panose="02040503050406030204" pitchFamily="18" charset="0"/>
                          <a:ea typeface="+mn-ea"/>
                          <a:cs typeface="+mn-cs"/>
                        </a:rPr>
                      </m:ctrlPr>
                    </m:naryPr>
                    <m:sub>
                      <m:r>
                        <m:rPr>
                          <m:brk m:alnAt="23"/>
                        </m:rPr>
                        <a:rPr lang="it-IT" sz="1100" b="0" i="1">
                          <a:effectLst/>
                          <a:latin typeface="Cambria Math" panose="02040503050406030204" pitchFamily="18" charset="0"/>
                          <a:ea typeface="+mn-ea"/>
                          <a:cs typeface="+mn-cs"/>
                        </a:rPr>
                        <m:t>2</m:t>
                      </m:r>
                      <m:r>
                        <a:rPr lang="it-IT" sz="1100" b="0" i="1">
                          <a:effectLst/>
                          <a:latin typeface="Cambria Math" panose="02040503050406030204" pitchFamily="18" charset="0"/>
                          <a:ea typeface="+mn-ea"/>
                          <a:cs typeface="+mn-cs"/>
                        </a:rPr>
                        <m:t>024</m:t>
                      </m:r>
                    </m:sub>
                    <m:sup>
                      <m:r>
                        <a:rPr lang="it-IT" sz="1100" b="0" i="1">
                          <a:effectLst/>
                          <a:latin typeface="Cambria Math" panose="02040503050406030204" pitchFamily="18" charset="0"/>
                          <a:ea typeface="+mn-ea"/>
                          <a:cs typeface="+mn-cs"/>
                        </a:rPr>
                        <m:t>2029</m:t>
                      </m:r>
                    </m:sup>
                    <m:e>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𝐼𝑃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sSubSup>
                        <m:sSubSupPr>
                          <m:ctrlPr>
                            <a:rPr lang="it-IT" sz="1100" i="1">
                              <a:effectLst/>
                              <a:latin typeface="Cambria Math" panose="02040503050406030204" pitchFamily="18" charset="0"/>
                              <a:ea typeface="+mn-ea"/>
                              <a:cs typeface="+mn-cs"/>
                            </a:rPr>
                          </m:ctrlPr>
                        </m:sSubSupPr>
                        <m:e>
                          <m:r>
                            <a:rPr lang="it-IT" sz="1100" b="0" i="1">
                              <a:effectLst/>
                              <a:latin typeface="Cambria Math" panose="02040503050406030204" pitchFamily="18" charset="0"/>
                              <a:ea typeface="+mn-ea"/>
                              <a:cs typeface="+mn-cs"/>
                            </a:rPr>
                            <m:t>+ </m:t>
                          </m:r>
                          <m:r>
                            <a:rPr lang="it-IT" sz="1100" b="0" i="1">
                              <a:effectLst/>
                              <a:latin typeface="Cambria Math" panose="02040503050406030204" pitchFamily="18" charset="0"/>
                              <a:ea typeface="+mn-ea"/>
                              <a:cs typeface="+mn-cs"/>
                            </a:rPr>
                            <m:t>𝐶𝐹𝑃</m:t>
                          </m:r>
                        </m:e>
                        <m:sub>
                          <m:r>
                            <a:rPr lang="it-IT" sz="1100" b="0" i="1">
                              <a:effectLst/>
                              <a:latin typeface="Cambria Math" panose="02040503050406030204" pitchFamily="18" charset="0"/>
                              <a:ea typeface="+mn-ea"/>
                              <a:cs typeface="+mn-cs"/>
                            </a:rPr>
                            <m:t>𝑎</m:t>
                          </m:r>
                        </m:sub>
                        <m:sup>
                          <m:r>
                            <m:rPr>
                              <m:sty m:val="p"/>
                            </m:rPr>
                            <a:rPr lang="it-IT" sz="1100" i="0">
                              <a:effectLst/>
                              <a:latin typeface="Cambria Math" panose="02040503050406030204" pitchFamily="18" charset="0"/>
                              <a:ea typeface="+mn-ea"/>
                              <a:cs typeface="+mn-cs"/>
                            </a:rPr>
                            <m:t>exp</m:t>
                          </m:r>
                        </m:sup>
                      </m:sSubSup>
                    </m:e>
                  </m:nary>
                </m:oMath>
              </a14:m>
              <a:endParaRPr lang="it-IT"/>
            </a:p>
          </xdr:txBody>
        </xdr:sp>
      </mc:Choice>
      <mc:Fallback xmlns="">
        <xdr:sp macro="" textlink="">
          <xdr:nvSpPr>
            <xdr:cNvPr id="14" name="Object 4">
              <a:extLst>
                <a:ext uri="{63B3BB69-23CF-44E3-9099-C40C66FF867C}">
                  <a14:compatExt xmlns:a14="http://schemas.microsoft.com/office/drawing/2010/main" spid="_x0000_s1028"/>
                </a:ext>
                <a:ext uri="{FF2B5EF4-FFF2-40B4-BE49-F238E27FC236}">
                  <a16:creationId xmlns:a16="http://schemas.microsoft.com/office/drawing/2014/main" id="{00000000-0008-0000-2900-00000E000000}"/>
                </a:ext>
              </a:extLst>
            </xdr:cNvPr>
            <xdr:cNvSpPr txBox="1"/>
          </xdr:nvSpPr>
          <xdr:spPr>
            <a:xfrm>
              <a:off x="410807" y="2497231"/>
              <a:ext cx="3897966" cy="276422"/>
            </a:xfrm>
            <a:prstGeom prst="rect">
              <a:avLst/>
            </a:prstGeom>
          </xdr:spPr>
          <xdr:txBody>
            <a:bodyPr vertOverflow="clip" horzOverflow="clip" wrap="square">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it-IT"/>
                <a:t> </a:t>
              </a:r>
              <a:r>
                <a:rPr lang="it-IT" sz="1100" i="0">
                  <a:effectLst/>
                  <a:latin typeface="Cambria Math" panose="02040503050406030204" pitchFamily="18" charset="0"/>
                  <a:ea typeface="+mn-ea"/>
                  <a:cs typeface="+mn-cs"/>
                </a:rPr>
                <a:t>∑</a:t>
              </a:r>
              <a:r>
                <a:rPr lang="it-IT" sz="1100" b="0" i="0">
                  <a:effectLst/>
                  <a:latin typeface="Cambria Math" panose="02040503050406030204" pitchFamily="18" charset="0"/>
                  <a:ea typeface="+mn-ea"/>
                  <a:cs typeface="+mn-cs"/>
                </a:rPr>
                <a:t>_2024^2029▒〖〖𝐼𝑃〗_𝑎^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 𝐶𝐹𝑃〗_𝑎^</a:t>
              </a:r>
              <a:r>
                <a:rPr lang="it-IT" sz="1100" i="0">
                  <a:effectLst/>
                  <a:latin typeface="Cambria Math" panose="02040503050406030204" pitchFamily="18" charset="0"/>
                  <a:ea typeface="+mn-ea"/>
                  <a:cs typeface="+mn-cs"/>
                </a:rPr>
                <a:t>exp </a:t>
              </a:r>
              <a:r>
                <a:rPr lang="it-IT" sz="1100" b="0" i="0">
                  <a:effectLst/>
                  <a:latin typeface="Cambria Math" panose="02040503050406030204" pitchFamily="18" charset="0"/>
                  <a:ea typeface="+mn-ea"/>
                  <a:cs typeface="+mn-cs"/>
                </a:rPr>
                <a:t>〗</a:t>
              </a:r>
              <a:endParaRPr lang="it-IT"/>
            </a:p>
          </xdr:txBody>
        </xdr:sp>
      </mc:Fallback>
    </mc:AlternateContent>
    <xdr:clientData/>
  </xdr:twoCellAnchor>
  <xdr:twoCellAnchor>
    <xdr:from>
      <xdr:col>9</xdr:col>
      <xdr:colOff>18825</xdr:colOff>
      <xdr:row>2</xdr:row>
      <xdr:rowOff>39333</xdr:rowOff>
    </xdr:from>
    <xdr:to>
      <xdr:col>20</xdr:col>
      <xdr:colOff>522867</xdr:colOff>
      <xdr:row>14</xdr:row>
      <xdr:rowOff>0</xdr:rowOff>
    </xdr:to>
    <xdr:sp macro="" textlink="">
      <xdr:nvSpPr>
        <xdr:cNvPr id="2" name="Rectangle 1">
          <a:extLst>
            <a:ext uri="{FF2B5EF4-FFF2-40B4-BE49-F238E27FC236}">
              <a16:creationId xmlns:a16="http://schemas.microsoft.com/office/drawing/2014/main" id="{00000000-0008-0000-2700-000002000000}"/>
            </a:ext>
          </a:extLst>
        </xdr:cNvPr>
        <xdr:cNvSpPr/>
      </xdr:nvSpPr>
      <xdr:spPr>
        <a:xfrm>
          <a:off x="10585972" y="566009"/>
          <a:ext cx="11967660" cy="4286138"/>
        </a:xfrm>
        <a:prstGeom prst="rect">
          <a:avLst/>
        </a:prstGeom>
        <a:solidFill>
          <a:schemeClr val="tx1">
            <a:lumMod val="65000"/>
            <a:lumOff val="3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r>
            <a:rPr lang="it-IT" sz="1100" b="1" i="1" u="sng">
              <a:solidFill>
                <a:schemeClr val="lt1"/>
              </a:solidFill>
              <a:effectLst/>
              <a:latin typeface="+mn-lt"/>
              <a:ea typeface="+mn-ea"/>
              <a:cs typeface="+mn-cs"/>
            </a:rPr>
            <a:t>Indicazione metodologiche per lo sviluppo del piano economico-finanziario fino a fine affidamento</a:t>
          </a:r>
          <a:endParaRPr lang="it-IT" sz="1100" b="1">
            <a:solidFill>
              <a:schemeClr val="lt1"/>
            </a:solidFill>
            <a:effectLst/>
            <a:latin typeface="+mn-lt"/>
            <a:ea typeface="+mn-ea"/>
            <a:cs typeface="+mn-cs"/>
          </a:endParaRPr>
        </a:p>
        <a:p>
          <a:r>
            <a:rPr lang="it-IT" sz="1200" i="1">
              <a:solidFill>
                <a:schemeClr val="lt1"/>
              </a:solidFill>
              <a:effectLst/>
              <a:latin typeface="+mn-lt"/>
              <a:ea typeface="+mn-ea"/>
              <a:cs typeface="+mn-cs"/>
            </a:rPr>
            <a:t>Lo sviluppo del PEF (per tutta la durata dell’affidamento) tiene conto del raggiungimento e mantenimento dell’equilibrio economico finanziario della gestione del SII, secondo criteri di efficienza anche in relazione agli investimenti programmati. Gli Enti di governo dell’ambito e gli altri soggetti competenti aggiornano i PEF in conformità alle seguenti indicazioni metodologiche: </a:t>
          </a:r>
          <a:endParaRPr lang="it-IT" sz="1200">
            <a:solidFill>
              <a:schemeClr val="lt1"/>
            </a:solidFill>
            <a:effectLst/>
            <a:latin typeface="+mn-lt"/>
            <a:ea typeface="+mn-ea"/>
            <a:cs typeface="+mn-cs"/>
          </a:endParaRPr>
        </a:p>
        <a:p>
          <a:r>
            <a:rPr lang="it-IT" sz="1200" i="1">
              <a:solidFill>
                <a:schemeClr val="lt1"/>
              </a:solidFill>
              <a:effectLst/>
              <a:latin typeface="+mn-lt"/>
              <a:ea typeface="+mn-ea"/>
              <a:cs typeface="+mn-cs"/>
            </a:rPr>
            <a:t>a) il PEF è sviluppato a partire dai valori delle componenti di costo delle immobilizzazioni e di costo operativo, incluse le transazioni all’ingrosso, individuate per ciascun gestore per l’anno 2024 ai sensi del MTI-4; </a:t>
          </a:r>
          <a:endParaRPr lang="it-IT" sz="1200">
            <a:solidFill>
              <a:schemeClr val="lt1"/>
            </a:solidFill>
            <a:effectLst/>
            <a:latin typeface="+mn-lt"/>
            <a:ea typeface="+mn-ea"/>
            <a:cs typeface="+mn-cs"/>
          </a:endParaRPr>
        </a:p>
        <a:p>
          <a:r>
            <a:rPr lang="it-IT" sz="1200" i="1">
              <a:solidFill>
                <a:schemeClr val="lt1"/>
              </a:solidFill>
              <a:effectLst/>
              <a:latin typeface="+mn-lt"/>
              <a:ea typeface="+mn-ea"/>
              <a:cs typeface="+mn-cs"/>
            </a:rPr>
            <a:t>b) a partire dal 2030, le componenti tariffarie sono calcolate mediante l’applicazione reiterata dei criteri di cui al MTI-4 (riferiti al quarto periodo regolatorio 2024-2029), fatta eccezione per i criteri riconducibili a specifiche misure straordinarie la cui applicazione è circoscritta alle annualità espressamente indicate nel MTI-4; </a:t>
          </a:r>
          <a:endParaRPr lang="it-IT" sz="1200">
            <a:solidFill>
              <a:schemeClr val="lt1"/>
            </a:solidFill>
            <a:effectLst/>
            <a:latin typeface="+mn-lt"/>
            <a:ea typeface="+mn-ea"/>
            <a:cs typeface="+mn-cs"/>
          </a:endParaRPr>
        </a:p>
        <a:p>
          <a:r>
            <a:rPr lang="it-IT" sz="1200" i="1">
              <a:solidFill>
                <a:schemeClr val="lt1"/>
              </a:solidFill>
              <a:effectLst/>
              <a:latin typeface="+mn-lt"/>
              <a:ea typeface="+mn-ea"/>
              <a:cs typeface="+mn-cs"/>
            </a:rPr>
            <a:t>c) il PEF assume in ciascun anno: i) la completa realizzazione degli investimenti previsti nel PdI, per il medesimo ammontare e nei tempi ivi stabiliti, ponendo l’entrata in esercizio delle immobilizzazioni al 31 dicembre di ciascun anno, considerato che l’investimento realizzato nell’anno a rileva ai fini tariffari nell’anno (a + 2); ii) il perseguimento dei previsti obiettivi di qualità tecnica e contrattuale fissati dalla regolazione; </a:t>
          </a:r>
          <a:endParaRPr lang="it-IT" sz="1200">
            <a:solidFill>
              <a:schemeClr val="lt1"/>
            </a:solidFill>
            <a:effectLst/>
            <a:latin typeface="+mn-lt"/>
            <a:ea typeface="+mn-ea"/>
            <a:cs typeface="+mn-cs"/>
          </a:endParaRPr>
        </a:p>
        <a:p>
          <a:r>
            <a:rPr lang="it-IT" sz="1200" i="1">
              <a:solidFill>
                <a:schemeClr val="lt1"/>
              </a:solidFill>
              <a:effectLst/>
              <a:latin typeface="+mn-lt"/>
              <a:ea typeface="+mn-ea"/>
              <a:cs typeface="+mn-cs"/>
            </a:rPr>
            <a:t>d) a partire dal 2030, ove ne ricorrano i presupposti, il PEF evidenzia – nell’ambito della componente a conguaglio delle annualità individuate – gli importi riferiti a pregresse annualità (approvati dal soggetto competente) le cui modalità di recupero siano previste successivamente al 2029;</a:t>
          </a:r>
          <a:endParaRPr lang="it-IT" sz="1200">
            <a:solidFill>
              <a:schemeClr val="lt1"/>
            </a:solidFill>
            <a:effectLst/>
            <a:latin typeface="+mn-lt"/>
            <a:ea typeface="+mn-ea"/>
            <a:cs typeface="+mn-cs"/>
          </a:endParaRPr>
        </a:p>
        <a:p>
          <a:r>
            <a:rPr lang="it-IT" sz="1200" i="1">
              <a:solidFill>
                <a:schemeClr val="lt1"/>
              </a:solidFill>
              <a:effectLst/>
              <a:latin typeface="+mn-lt"/>
              <a:ea typeface="+mn-ea"/>
              <a:cs typeface="+mn-cs"/>
            </a:rPr>
            <a:t>e) l’aggiornamento dei PEF è predisposto assumendo la costanza, per tutto il periodo di riferimento, dei volumi erogati, salvo quanto previsto alla successiva lettera g); </a:t>
          </a:r>
          <a:endParaRPr lang="it-IT" sz="1200">
            <a:solidFill>
              <a:schemeClr val="lt1"/>
            </a:solidFill>
            <a:effectLst/>
            <a:latin typeface="+mn-lt"/>
            <a:ea typeface="+mn-ea"/>
            <a:cs typeface="+mn-cs"/>
          </a:endParaRPr>
        </a:p>
        <a:p>
          <a:r>
            <a:rPr lang="it-IT" sz="1200" i="1">
              <a:solidFill>
                <a:schemeClr val="lt1"/>
              </a:solidFill>
              <a:effectLst/>
              <a:latin typeface="+mn-lt"/>
              <a:ea typeface="+mn-ea"/>
              <a:cs typeface="+mn-cs"/>
            </a:rPr>
            <a:t>f) tutte le componenti di costo, incluse le transazioni all’ingrosso, sono proiettate negli anni successivi al 2024 a moneta costante, assumendo quindi un’inflazione pari a zero; </a:t>
          </a:r>
          <a:endParaRPr lang="it-IT" sz="1200">
            <a:solidFill>
              <a:schemeClr val="lt1"/>
            </a:solidFill>
            <a:effectLst/>
            <a:latin typeface="+mn-lt"/>
            <a:ea typeface="+mn-ea"/>
            <a:cs typeface="+mn-cs"/>
          </a:endParaRPr>
        </a:p>
        <a:p>
          <a:r>
            <a:rPr lang="it-IT" sz="1200" i="1">
              <a:solidFill>
                <a:schemeClr val="lt1"/>
              </a:solidFill>
              <a:effectLst/>
              <a:latin typeface="+mn-lt"/>
              <a:ea typeface="+mn-ea"/>
              <a:cs typeface="+mn-cs"/>
            </a:rPr>
            <a:t>g) le nuove attività e le variazioni sistemiche sono valutate ed inserite con le modalità e la tempistica previste nei pertinenti atti di pianificazione adottati a livello locale; le assunzioni in merito alle corrispondenti variazioni dei costi e dei ricavi sono adeguatamente illustrate e giustificate nella relazione di accompagnamento;</a:t>
          </a:r>
        </a:p>
        <a:p>
          <a:pPr marL="0" marR="0" lvl="0" indent="0" defTabSz="914400" eaLnBrk="1" fontAlgn="auto" latinLnBrk="0" hangingPunct="1">
            <a:lnSpc>
              <a:spcPct val="100000"/>
            </a:lnSpc>
            <a:spcBef>
              <a:spcPts val="0"/>
            </a:spcBef>
            <a:spcAft>
              <a:spcPts val="0"/>
            </a:spcAft>
            <a:buClrTx/>
            <a:buSzTx/>
            <a:buFontTx/>
            <a:buNone/>
            <a:tabLst/>
            <a:defRPr/>
          </a:pPr>
          <a:r>
            <a:rPr lang="it-IT" sz="1200" i="1">
              <a:solidFill>
                <a:schemeClr val="lt1"/>
              </a:solidFill>
              <a:effectLst/>
              <a:latin typeface="+mn-lt"/>
              <a:ea typeface="+mn-ea"/>
              <a:cs typeface="+mn-cs"/>
            </a:rPr>
            <a:t>h) il PEF è sviluppato tenendo nella dovuta considerazione le condizioni alle quali l’operatore si sia aggiudicato l’affidamento del servizio in esito alla procedura ad evidenza pubblica eventualmente espletata in applicazione della disciplina sul bando di gara di cui alla deliberazione 347/2025/R/idr, con particolare: i) ai parametri che incidono sul limite annuale di crescita del moltiplicatore tariffario; ii) alla determinazione di taluni costi operativi; iii) allo sharing dei margini relativi alle altre attività idriche; iv) alle componenti di costo caratterizzanti lo schema di convergenza, nei contesti territoriali che presentino persistenti carenze informative (Cfr. commi 3.5, 4.1, 5.1 - lett. c), punto i) - e 9.2 dell’Allegato A alla delibera 582/2025/R/idr). </a:t>
          </a:r>
        </a:p>
        <a:p>
          <a:endParaRPr lang="it-IT" sz="1200">
            <a:solidFill>
              <a:schemeClr val="lt1"/>
            </a:solidFill>
            <a:effectLst/>
            <a:latin typeface="+mn-lt"/>
            <a:ea typeface="+mn-ea"/>
            <a:cs typeface="+mn-cs"/>
          </a:endParaRPr>
        </a:p>
        <a:p>
          <a:pPr algn="l"/>
          <a:endParaRPr lang="it-IT" sz="1100"/>
        </a:p>
      </xdr:txBody>
    </xdr:sp>
    <xdr:clientData/>
  </xdr:twoCellAnchor>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3</xdr:row>
          <xdr:rowOff>257175</xdr:rowOff>
        </xdr:from>
        <xdr:to>
          <xdr:col>1</xdr:col>
          <xdr:colOff>600075</xdr:colOff>
          <xdr:row>3</xdr:row>
          <xdr:rowOff>495300</xdr:rowOff>
        </xdr:to>
        <xdr:sp macro="" textlink="">
          <xdr:nvSpPr>
            <xdr:cNvPr id="605185" name="Button 1" hidden="1">
              <a:extLst>
                <a:ext uri="{63B3BB69-23CF-44E3-9099-C40C66FF867C}">
                  <a14:compatExt spid="_x0000_s605185"/>
                </a:ext>
                <a:ext uri="{FF2B5EF4-FFF2-40B4-BE49-F238E27FC236}">
                  <a16:creationId xmlns:a16="http://schemas.microsoft.com/office/drawing/2014/main" id="{00000000-0008-0000-3200-0000013C09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it-IT" sz="1600" b="1"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2390775</xdr:colOff>
          <xdr:row>3</xdr:row>
          <xdr:rowOff>295275</xdr:rowOff>
        </xdr:from>
        <xdr:to>
          <xdr:col>1</xdr:col>
          <xdr:colOff>2857500</xdr:colOff>
          <xdr:row>3</xdr:row>
          <xdr:rowOff>523875</xdr:rowOff>
        </xdr:to>
        <xdr:sp macro="" textlink="">
          <xdr:nvSpPr>
            <xdr:cNvPr id="605186" name="Button 2" hidden="1">
              <a:extLst>
                <a:ext uri="{63B3BB69-23CF-44E3-9099-C40C66FF867C}">
                  <a14:compatExt spid="_x0000_s605186"/>
                </a:ext>
                <a:ext uri="{FF2B5EF4-FFF2-40B4-BE49-F238E27FC236}">
                  <a16:creationId xmlns:a16="http://schemas.microsoft.com/office/drawing/2014/main" id="{00000000-0008-0000-3200-0000023C09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it-IT" sz="1600" b="1"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3</xdr:row>
          <xdr:rowOff>257175</xdr:rowOff>
        </xdr:from>
        <xdr:to>
          <xdr:col>1</xdr:col>
          <xdr:colOff>600075</xdr:colOff>
          <xdr:row>3</xdr:row>
          <xdr:rowOff>495300</xdr:rowOff>
        </xdr:to>
        <xdr:sp macro="" textlink="">
          <xdr:nvSpPr>
            <xdr:cNvPr id="606209" name="Button 1" hidden="1">
              <a:extLst>
                <a:ext uri="{63B3BB69-23CF-44E3-9099-C40C66FF867C}">
                  <a14:compatExt spid="_x0000_s606209"/>
                </a:ext>
                <a:ext uri="{FF2B5EF4-FFF2-40B4-BE49-F238E27FC236}">
                  <a16:creationId xmlns:a16="http://schemas.microsoft.com/office/drawing/2014/main" id="{00000000-0008-0000-3300-0000014009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it-IT" sz="1600" b="1"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2657475</xdr:colOff>
          <xdr:row>3</xdr:row>
          <xdr:rowOff>295275</xdr:rowOff>
        </xdr:from>
        <xdr:to>
          <xdr:col>1</xdr:col>
          <xdr:colOff>3114675</xdr:colOff>
          <xdr:row>3</xdr:row>
          <xdr:rowOff>523875</xdr:rowOff>
        </xdr:to>
        <xdr:sp macro="" textlink="">
          <xdr:nvSpPr>
            <xdr:cNvPr id="606210" name="Button 2" hidden="1">
              <a:extLst>
                <a:ext uri="{63B3BB69-23CF-44E3-9099-C40C66FF867C}">
                  <a14:compatExt spid="_x0000_s606210"/>
                </a:ext>
                <a:ext uri="{FF2B5EF4-FFF2-40B4-BE49-F238E27FC236}">
                  <a16:creationId xmlns:a16="http://schemas.microsoft.com/office/drawing/2014/main" id="{00000000-0008-0000-3300-0000024009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it-IT" sz="1600" b="1" i="0" u="none" strike="noStrike" baseline="0">
                  <a:solidFill>
                    <a:srgbClr val="000000"/>
                  </a:solidFill>
                  <a:latin typeface="Calibri"/>
                  <a:ea typeface="Calibri"/>
                  <a:cs typeface="Calibri"/>
                </a:rPr>
                <a:t>-</a:t>
              </a:r>
            </a:p>
          </xdr:txBody>
        </xdr:sp>
        <xdr:clientData fPrintsWithSheet="0"/>
      </xdr:twoCellAnchor>
    </mc:Choice>
    <mc:Fallback/>
  </mc:AlternateContent>
  <xdr:twoCellAnchor>
    <xdr:from>
      <xdr:col>16</xdr:col>
      <xdr:colOff>1815351</xdr:colOff>
      <xdr:row>0</xdr:row>
      <xdr:rowOff>0</xdr:rowOff>
    </xdr:from>
    <xdr:to>
      <xdr:col>21</xdr:col>
      <xdr:colOff>0</xdr:colOff>
      <xdr:row>2</xdr:row>
      <xdr:rowOff>33617</xdr:rowOff>
    </xdr:to>
    <xdr:sp macro="" textlink="">
      <xdr:nvSpPr>
        <xdr:cNvPr id="5" name="CasellaDiTesto 4">
          <a:extLst>
            <a:ext uri="{FF2B5EF4-FFF2-40B4-BE49-F238E27FC236}">
              <a16:creationId xmlns:a16="http://schemas.microsoft.com/office/drawing/2014/main" id="{00000000-0008-0000-3200-000005000000}"/>
            </a:ext>
          </a:extLst>
        </xdr:cNvPr>
        <xdr:cNvSpPr txBox="1"/>
      </xdr:nvSpPr>
      <xdr:spPr>
        <a:xfrm>
          <a:off x="9480175" y="0"/>
          <a:ext cx="6028766" cy="638735"/>
        </a:xfrm>
        <a:prstGeom prst="rect">
          <a:avLst/>
        </a:prstGeom>
        <a:solidFill>
          <a:schemeClr val="accent6">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solidFill>
                <a:schemeClr val="bg1"/>
              </a:solidFill>
            </a:rPr>
            <a:t>Laddove</a:t>
          </a:r>
          <a:r>
            <a:rPr lang="it-IT" sz="1100" baseline="0">
              <a:solidFill>
                <a:schemeClr val="bg1"/>
              </a:solidFill>
            </a:rPr>
            <a:t> si prevedessero opere strategiche da inserire nel POS a partire dall'anno 2024, inserire comunque le informazioni generali nel foglio </a:t>
          </a:r>
          <a:r>
            <a:rPr lang="it-IT" sz="1100" baseline="0">
              <a:solidFill>
                <a:schemeClr val="bg1"/>
              </a:solidFill>
              <a:effectLst/>
              <a:latin typeface="+mn-lt"/>
              <a:ea typeface="+mn-ea"/>
              <a:cs typeface="+mn-cs"/>
            </a:rPr>
            <a:t>nel 'PdI-crono_inv' (colonne da A a O e da AW a AX) e inserire in questo foglio di lavoro gli importi previsti negli anni di riferimento</a:t>
          </a:r>
          <a:endParaRPr lang="it-IT" sz="1100">
            <a:solidFill>
              <a:schemeClr val="bg1"/>
            </a:solidFill>
          </a:endParaRPr>
        </a:p>
      </xdr:txBody>
    </xdr:sp>
    <xdr:clientData/>
  </xdr:twoCellAnchor>
  <xdr:twoCellAnchor>
    <xdr:from>
      <xdr:col>0</xdr:col>
      <xdr:colOff>138281</xdr:colOff>
      <xdr:row>1</xdr:row>
      <xdr:rowOff>8965</xdr:rowOff>
    </xdr:from>
    <xdr:to>
      <xdr:col>1</xdr:col>
      <xdr:colOff>1488141</xdr:colOff>
      <xdr:row>3</xdr:row>
      <xdr:rowOff>224117</xdr:rowOff>
    </xdr:to>
    <xdr:sp macro="[0]!creaPOS" textlink="">
      <xdr:nvSpPr>
        <xdr:cNvPr id="6" name="Scorrimento orizzontale 5">
          <a:extLst>
            <a:ext uri="{FF2B5EF4-FFF2-40B4-BE49-F238E27FC236}">
              <a16:creationId xmlns:a16="http://schemas.microsoft.com/office/drawing/2014/main" id="{00000000-0008-0000-3200-000006000000}"/>
            </a:ext>
          </a:extLst>
        </xdr:cNvPr>
        <xdr:cNvSpPr/>
      </xdr:nvSpPr>
      <xdr:spPr>
        <a:xfrm>
          <a:off x="138281" y="313765"/>
          <a:ext cx="3886872" cy="717176"/>
        </a:xfrm>
        <a:prstGeom prst="horizontalScroll">
          <a:avLst/>
        </a:prstGeom>
        <a:solidFill>
          <a:schemeClr val="accent6">
            <a:lumMod val="75000"/>
          </a:schemeClr>
        </a:solidFill>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it-IT" sz="1000" b="1"/>
            <a:t>Crea</a:t>
          </a:r>
          <a:r>
            <a:rPr lang="it-IT" sz="1000" b="1" baseline="0"/>
            <a:t> POS: </a:t>
          </a:r>
          <a:r>
            <a:rPr lang="it-IT" sz="1000" i="0" u="none">
              <a:solidFill>
                <a:schemeClr val="lt1"/>
              </a:solidFill>
              <a:effectLst/>
              <a:latin typeface="Arial Narrow" panose="020B0606020202030204" pitchFamily="34" charset="0"/>
              <a:ea typeface="+mn-ea"/>
              <a:cs typeface="+mn-cs"/>
            </a:rPr>
            <a:t>ricopia nel presente foglio gli interventi del foglio "PdI-crono_inv" per i quali è stata valorizzata la Colonna I</a:t>
          </a:r>
          <a:endParaRPr lang="it-IT" sz="1000" b="1" i="0" u="none">
            <a:latin typeface="Arial Narrow" panose="020B0606020202030204" pitchFamily="34" charset="0"/>
          </a:endParaRPr>
        </a:p>
      </xdr:txBody>
    </xdr:sp>
    <xdr:clientData/>
  </xdr:twoCellAnchor>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66675</xdr:colOff>
          <xdr:row>2</xdr:row>
          <xdr:rowOff>180975</xdr:rowOff>
        </xdr:from>
        <xdr:to>
          <xdr:col>1</xdr:col>
          <xdr:colOff>571500</xdr:colOff>
          <xdr:row>2</xdr:row>
          <xdr:rowOff>409575</xdr:rowOff>
        </xdr:to>
        <xdr:sp macro="" textlink="">
          <xdr:nvSpPr>
            <xdr:cNvPr id="607233" name="Button 1" hidden="1">
              <a:extLst>
                <a:ext uri="{63B3BB69-23CF-44E3-9099-C40C66FF867C}">
                  <a14:compatExt spid="_x0000_s607233"/>
                </a:ext>
                <a:ext uri="{FF2B5EF4-FFF2-40B4-BE49-F238E27FC236}">
                  <a16:creationId xmlns:a16="http://schemas.microsoft.com/office/drawing/2014/main" id="{00000000-0008-0000-3400-0000014409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it-IT" sz="1600" b="1"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3086100</xdr:colOff>
          <xdr:row>2</xdr:row>
          <xdr:rowOff>180975</xdr:rowOff>
        </xdr:from>
        <xdr:to>
          <xdr:col>1</xdr:col>
          <xdr:colOff>3543300</xdr:colOff>
          <xdr:row>2</xdr:row>
          <xdr:rowOff>447675</xdr:rowOff>
        </xdr:to>
        <xdr:sp macro="" textlink="">
          <xdr:nvSpPr>
            <xdr:cNvPr id="607234" name="Button 2" hidden="1">
              <a:extLst>
                <a:ext uri="{63B3BB69-23CF-44E3-9099-C40C66FF867C}">
                  <a14:compatExt spid="_x0000_s607234"/>
                </a:ext>
                <a:ext uri="{FF2B5EF4-FFF2-40B4-BE49-F238E27FC236}">
                  <a16:creationId xmlns:a16="http://schemas.microsoft.com/office/drawing/2014/main" id="{00000000-0008-0000-3400-0000024409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it-IT" sz="1600" b="1"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41.xml><?xml version="1.0" encoding="utf-8"?>
<xdr:wsDr xmlns:xdr="http://schemas.openxmlformats.org/drawingml/2006/spreadsheetDrawing" xmlns:a="http://schemas.openxmlformats.org/drawingml/2006/main">
  <xdr:twoCellAnchor>
    <xdr:from>
      <xdr:col>5</xdr:col>
      <xdr:colOff>47625</xdr:colOff>
      <xdr:row>0</xdr:row>
      <xdr:rowOff>39688</xdr:rowOff>
    </xdr:from>
    <xdr:to>
      <xdr:col>6</xdr:col>
      <xdr:colOff>59531</xdr:colOff>
      <xdr:row>0</xdr:row>
      <xdr:rowOff>849313</xdr:rowOff>
    </xdr:to>
    <xdr:sp macro="" textlink="">
      <xdr:nvSpPr>
        <xdr:cNvPr id="2" name="CasellaDiTesto 1">
          <a:extLst>
            <a:ext uri="{FF2B5EF4-FFF2-40B4-BE49-F238E27FC236}">
              <a16:creationId xmlns:a16="http://schemas.microsoft.com/office/drawing/2014/main" id="{86AFA9A3-65BF-4052-ADA8-A5F86BD27B58}"/>
            </a:ext>
          </a:extLst>
        </xdr:cNvPr>
        <xdr:cNvSpPr txBox="1"/>
      </xdr:nvSpPr>
      <xdr:spPr>
        <a:xfrm>
          <a:off x="5943600" y="39688"/>
          <a:ext cx="3402806" cy="809625"/>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per i soli soggetti che hanno precedentemente formulato istanza ai sensi del co. 5.3, lett. a) (aggregazioni gestionali), i dati richiesti sono relativi al solo perimetro di valutazione dell'anno base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1</xdr:colOff>
      <xdr:row>0</xdr:row>
      <xdr:rowOff>0</xdr:rowOff>
    </xdr:from>
    <xdr:to>
      <xdr:col>6</xdr:col>
      <xdr:colOff>11907</xdr:colOff>
      <xdr:row>0</xdr:row>
      <xdr:rowOff>809625</xdr:rowOff>
    </xdr:to>
    <xdr:sp macro="" textlink="">
      <xdr:nvSpPr>
        <xdr:cNvPr id="2" name="CasellaDiTesto 1">
          <a:extLst>
            <a:ext uri="{FF2B5EF4-FFF2-40B4-BE49-F238E27FC236}">
              <a16:creationId xmlns:a16="http://schemas.microsoft.com/office/drawing/2014/main" id="{2700BE21-ECAC-4754-A171-206FF545AC09}"/>
            </a:ext>
          </a:extLst>
        </xdr:cNvPr>
        <xdr:cNvSpPr txBox="1"/>
      </xdr:nvSpPr>
      <xdr:spPr>
        <a:xfrm>
          <a:off x="5895976" y="0"/>
          <a:ext cx="3402806" cy="809625"/>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per i soli soggetti che hanno precedentemente formulato istanza ai sensi del co. 5.3, lett. a) (aggregazioni gestionali), </a:t>
          </a:r>
          <a:r>
            <a:rPr lang="it-IT" sz="1100">
              <a:solidFill>
                <a:schemeClr val="dk1"/>
              </a:solidFill>
              <a:effectLst/>
              <a:latin typeface="+mn-lt"/>
              <a:ea typeface="+mn-ea"/>
              <a:cs typeface="+mn-cs"/>
            </a:rPr>
            <a:t>i dati richiesti sono relativi al solo perimetro di valutazione dell'anno base</a:t>
          </a:r>
          <a:endParaRPr lang="it-IT" sz="1100"/>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1</xdr:colOff>
      <xdr:row>0</xdr:row>
      <xdr:rowOff>0</xdr:rowOff>
    </xdr:from>
    <xdr:to>
      <xdr:col>5</xdr:col>
      <xdr:colOff>3381375</xdr:colOff>
      <xdr:row>0</xdr:row>
      <xdr:rowOff>809625</xdr:rowOff>
    </xdr:to>
    <xdr:sp macro="" textlink="">
      <xdr:nvSpPr>
        <xdr:cNvPr id="2" name="CasellaDiTesto 1">
          <a:extLst>
            <a:ext uri="{FF2B5EF4-FFF2-40B4-BE49-F238E27FC236}">
              <a16:creationId xmlns:a16="http://schemas.microsoft.com/office/drawing/2014/main" id="{51745530-5100-4872-AE3E-C85A666F408B}"/>
            </a:ext>
          </a:extLst>
        </xdr:cNvPr>
        <xdr:cNvSpPr txBox="1"/>
      </xdr:nvSpPr>
      <xdr:spPr>
        <a:xfrm>
          <a:off x="6134101" y="0"/>
          <a:ext cx="3381374" cy="809625"/>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per i soli soggetti che hanno precedentemente formulato istanza ai sensi del co. 5.3, lett. a) (aggregazioni gestionali), </a:t>
          </a:r>
          <a:r>
            <a:rPr lang="it-IT" sz="1100">
              <a:solidFill>
                <a:schemeClr val="dk1"/>
              </a:solidFill>
              <a:effectLst/>
              <a:latin typeface="+mn-lt"/>
              <a:ea typeface="+mn-ea"/>
              <a:cs typeface="+mn-cs"/>
            </a:rPr>
            <a:t>i dati richiesti sono relativi al solo perimetro di valutazione dell'anno base</a:t>
          </a:r>
          <a:endParaRPr lang="it-IT" sz="1100"/>
        </a:p>
      </xdr:txBody>
    </xdr:sp>
    <xdr:clientData/>
  </xdr:twoCellAnchor>
</xdr:wsDr>
</file>

<file path=xl/drawings/drawing44.xml><?xml version="1.0" encoding="utf-8"?>
<xdr:wsDr xmlns:xdr="http://schemas.openxmlformats.org/drawingml/2006/spreadsheetDrawing" xmlns:a="http://schemas.openxmlformats.org/drawingml/2006/main">
  <xdr:oneCellAnchor>
    <xdr:from>
      <xdr:col>11</xdr:col>
      <xdr:colOff>0</xdr:colOff>
      <xdr:row>1</xdr:row>
      <xdr:rowOff>547686</xdr:rowOff>
    </xdr:from>
    <xdr:ext cx="5195" cy="176688"/>
    <xdr:pic>
      <xdr:nvPicPr>
        <xdr:cNvPr id="2" name="irc_mi" descr="Risultati immagini per immagini di ok">
          <a:extLst>
            <a:ext uri="{FF2B5EF4-FFF2-40B4-BE49-F238E27FC236}">
              <a16:creationId xmlns:a16="http://schemas.microsoft.com/office/drawing/2014/main" id="{3A4030CB-238F-44E3-AF3D-F815E2248B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363825" y="1433511"/>
          <a:ext cx="5195" cy="1766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11</xdr:col>
      <xdr:colOff>0</xdr:colOff>
      <xdr:row>150</xdr:row>
      <xdr:rowOff>0</xdr:rowOff>
    </xdr:from>
    <xdr:ext cx="14288" cy="169105"/>
    <xdr:pic>
      <xdr:nvPicPr>
        <xdr:cNvPr id="3" name="Immagine 2" descr="Immagine correlata">
          <a:extLst>
            <a:ext uri="{FF2B5EF4-FFF2-40B4-BE49-F238E27FC236}">
              <a16:creationId xmlns:a16="http://schemas.microsoft.com/office/drawing/2014/main" id="{1D639192-9F17-4BE7-9943-C9FC5A270DC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363825" y="61779150"/>
          <a:ext cx="14288" cy="1691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5</xdr:col>
      <xdr:colOff>0</xdr:colOff>
      <xdr:row>0</xdr:row>
      <xdr:rowOff>0</xdr:rowOff>
    </xdr:from>
    <xdr:to>
      <xdr:col>6</xdr:col>
      <xdr:colOff>0</xdr:colOff>
      <xdr:row>0</xdr:row>
      <xdr:rowOff>809625</xdr:rowOff>
    </xdr:to>
    <xdr:sp macro="" textlink="">
      <xdr:nvSpPr>
        <xdr:cNvPr id="4" name="CasellaDiTesto 3">
          <a:extLst>
            <a:ext uri="{FF2B5EF4-FFF2-40B4-BE49-F238E27FC236}">
              <a16:creationId xmlns:a16="http://schemas.microsoft.com/office/drawing/2014/main" id="{A338E74B-7CFD-40BC-92F2-FA55B29A82A9}"/>
            </a:ext>
          </a:extLst>
        </xdr:cNvPr>
        <xdr:cNvSpPr txBox="1"/>
      </xdr:nvSpPr>
      <xdr:spPr>
        <a:xfrm>
          <a:off x="6886575" y="0"/>
          <a:ext cx="3390900" cy="809625"/>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per i soli soggetti che hanno precedentemente formulato istanza ai sensi del co. 5.3, lett. a) (aggregazioni gestionali), </a:t>
          </a:r>
          <a:r>
            <a:rPr lang="it-IT" sz="1100">
              <a:solidFill>
                <a:schemeClr val="dk1"/>
              </a:solidFill>
              <a:effectLst/>
              <a:latin typeface="+mn-lt"/>
              <a:ea typeface="+mn-ea"/>
              <a:cs typeface="+mn-cs"/>
            </a:rPr>
            <a:t>i dati richiesti sono relativi al solo perimetro di valutazione dell'anno base</a:t>
          </a:r>
          <a:endParaRPr lang="it-IT" sz="1100"/>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0</xdr:colOff>
      <xdr:row>0</xdr:row>
      <xdr:rowOff>0</xdr:rowOff>
    </xdr:from>
    <xdr:to>
      <xdr:col>5</xdr:col>
      <xdr:colOff>3369468</xdr:colOff>
      <xdr:row>0</xdr:row>
      <xdr:rowOff>809625</xdr:rowOff>
    </xdr:to>
    <xdr:sp macro="" textlink="">
      <xdr:nvSpPr>
        <xdr:cNvPr id="2" name="CasellaDiTesto 1">
          <a:extLst>
            <a:ext uri="{FF2B5EF4-FFF2-40B4-BE49-F238E27FC236}">
              <a16:creationId xmlns:a16="http://schemas.microsoft.com/office/drawing/2014/main" id="{B2C9AE30-E9F6-42EA-8076-CD9426233D20}"/>
            </a:ext>
          </a:extLst>
        </xdr:cNvPr>
        <xdr:cNvSpPr txBox="1"/>
      </xdr:nvSpPr>
      <xdr:spPr>
        <a:xfrm>
          <a:off x="6105525" y="0"/>
          <a:ext cx="3369468" cy="809625"/>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per i soli soggetti che hanno precedentemente formulato istanza ai sensi del co. 5.3, lett. a) (aggregazioni gestionali), </a:t>
          </a:r>
          <a:r>
            <a:rPr lang="it-IT" sz="1100">
              <a:solidFill>
                <a:schemeClr val="dk1"/>
              </a:solidFill>
              <a:effectLst/>
              <a:latin typeface="+mn-lt"/>
              <a:ea typeface="+mn-ea"/>
              <a:cs typeface="+mn-cs"/>
            </a:rPr>
            <a:t>i dati richiesti sono relativi al solo perimetro di valutazione dell'anno base</a:t>
          </a:r>
          <a:endParaRPr lang="it-IT" sz="1100"/>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9</xdr:col>
      <xdr:colOff>142874</xdr:colOff>
      <xdr:row>6</xdr:row>
      <xdr:rowOff>124303</xdr:rowOff>
    </xdr:from>
    <xdr:to>
      <xdr:col>9</xdr:col>
      <xdr:colOff>792956</xdr:colOff>
      <xdr:row>8</xdr:row>
      <xdr:rowOff>200501</xdr:rowOff>
    </xdr:to>
    <xdr:sp macro="[0]!AttivaQT_SI" textlink="">
      <xdr:nvSpPr>
        <xdr:cNvPr id="2" name="Ovale 1">
          <a:extLst>
            <a:ext uri="{FF2B5EF4-FFF2-40B4-BE49-F238E27FC236}">
              <a16:creationId xmlns:a16="http://schemas.microsoft.com/office/drawing/2014/main" id="{37C83F96-8CA9-4FAA-82D4-F895F3F6BD78}"/>
            </a:ext>
          </a:extLst>
        </xdr:cNvPr>
        <xdr:cNvSpPr/>
      </xdr:nvSpPr>
      <xdr:spPr>
        <a:xfrm>
          <a:off x="9020174" y="2924653"/>
          <a:ext cx="650082" cy="571498"/>
        </a:xfrm>
        <a:prstGeom prst="ellipse">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it-IT" sz="1400" b="1"/>
            <a:t>SI</a:t>
          </a:r>
        </a:p>
      </xdr:txBody>
    </xdr:sp>
    <xdr:clientData/>
  </xdr:twoCellAnchor>
  <xdr:twoCellAnchor>
    <xdr:from>
      <xdr:col>9</xdr:col>
      <xdr:colOff>115250</xdr:colOff>
      <xdr:row>10</xdr:row>
      <xdr:rowOff>67140</xdr:rowOff>
    </xdr:from>
    <xdr:to>
      <xdr:col>9</xdr:col>
      <xdr:colOff>802957</xdr:colOff>
      <xdr:row>12</xdr:row>
      <xdr:rowOff>29040</xdr:rowOff>
    </xdr:to>
    <xdr:sp macro="[0]!AttivaQT_NO" textlink="">
      <xdr:nvSpPr>
        <xdr:cNvPr id="3" name="Ovale 2">
          <a:extLst>
            <a:ext uri="{FF2B5EF4-FFF2-40B4-BE49-F238E27FC236}">
              <a16:creationId xmlns:a16="http://schemas.microsoft.com/office/drawing/2014/main" id="{47FD2D92-10AC-4773-B8EC-D9DD98F8ADB8}"/>
            </a:ext>
          </a:extLst>
        </xdr:cNvPr>
        <xdr:cNvSpPr/>
      </xdr:nvSpPr>
      <xdr:spPr>
        <a:xfrm>
          <a:off x="8992550" y="3858090"/>
          <a:ext cx="687707" cy="600075"/>
        </a:xfrm>
        <a:prstGeom prst="ellipse">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it-IT" sz="1400" b="1"/>
            <a:t>NO</a:t>
          </a:r>
        </a:p>
      </xdr:txBody>
    </xdr:sp>
    <xdr:clientData/>
  </xdr:twoCellAnchor>
  <xdr:twoCellAnchor>
    <xdr:from>
      <xdr:col>12</xdr:col>
      <xdr:colOff>134053</xdr:colOff>
      <xdr:row>3</xdr:row>
      <xdr:rowOff>232011</xdr:rowOff>
    </xdr:from>
    <xdr:to>
      <xdr:col>13</xdr:col>
      <xdr:colOff>213102</xdr:colOff>
      <xdr:row>10</xdr:row>
      <xdr:rowOff>244119</xdr:rowOff>
    </xdr:to>
    <xdr:sp macro="" textlink="">
      <xdr:nvSpPr>
        <xdr:cNvPr id="4" name="Freccia circolare a sinistra 3">
          <a:extLst>
            <a:ext uri="{FF2B5EF4-FFF2-40B4-BE49-F238E27FC236}">
              <a16:creationId xmlns:a16="http://schemas.microsoft.com/office/drawing/2014/main" id="{A740EB7C-8468-4357-8406-917C0F41CBB6}"/>
            </a:ext>
          </a:extLst>
        </xdr:cNvPr>
        <xdr:cNvSpPr/>
      </xdr:nvSpPr>
      <xdr:spPr>
        <a:xfrm rot="260044">
          <a:off x="14907328" y="2289411"/>
          <a:ext cx="841049" cy="1745658"/>
        </a:xfrm>
        <a:prstGeom prst="curved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solidFill>
              <a:schemeClr val="tx1"/>
            </a:solidFill>
          </a:endParaRPr>
        </a:p>
      </xdr:txBody>
    </xdr:sp>
    <xdr:clientData/>
  </xdr:twoCellAnchor>
  <xdr:twoCellAnchor>
    <xdr:from>
      <xdr:col>9</xdr:col>
      <xdr:colOff>854392</xdr:colOff>
      <xdr:row>6</xdr:row>
      <xdr:rowOff>115252</xdr:rowOff>
    </xdr:from>
    <xdr:to>
      <xdr:col>11</xdr:col>
      <xdr:colOff>631031</xdr:colOff>
      <xdr:row>9</xdr:row>
      <xdr:rowOff>255270</xdr:rowOff>
    </xdr:to>
    <xdr:sp macro="" textlink="">
      <xdr:nvSpPr>
        <xdr:cNvPr id="5" name="CasellaDiTesto 4">
          <a:extLst>
            <a:ext uri="{FF2B5EF4-FFF2-40B4-BE49-F238E27FC236}">
              <a16:creationId xmlns:a16="http://schemas.microsoft.com/office/drawing/2014/main" id="{6D741E3D-5413-4BC8-AE39-F1AE9D96C6BF}"/>
            </a:ext>
          </a:extLst>
        </xdr:cNvPr>
        <xdr:cNvSpPr txBox="1"/>
      </xdr:nvSpPr>
      <xdr:spPr>
        <a:xfrm>
          <a:off x="9731692" y="2915602"/>
          <a:ext cx="4910614" cy="873443"/>
        </a:xfrm>
        <a:prstGeom prst="rect">
          <a:avLst/>
        </a:prstGeom>
        <a:solidFill>
          <a:sysClr val="window" lastClr="FFFFFF"/>
        </a:solidFill>
        <a:ln>
          <a:noFill/>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pPr algn="l"/>
          <a:r>
            <a:rPr lang="it-IT" sz="1100" i="1">
              <a:solidFill>
                <a:schemeClr val="accent1">
                  <a:lumMod val="50000"/>
                </a:schemeClr>
              </a:solidFill>
            </a:rPr>
            <a:t>Compilare</a:t>
          </a:r>
          <a:r>
            <a:rPr lang="it-IT" sz="1100" i="1" baseline="0">
              <a:solidFill>
                <a:schemeClr val="accent1">
                  <a:lumMod val="50000"/>
                </a:schemeClr>
              </a:solidFill>
            </a:rPr>
            <a:t> i fogli di qualità tecnica contenuti nel presente file Rdt, utilizzando l'apposito pulsante a sinistra che scopre i fogli QT e crea il collegamento con la tavola "Riepilogo RQTI" </a:t>
          </a:r>
        </a:p>
        <a:p>
          <a:pPr algn="l"/>
          <a:endParaRPr lang="it-IT" sz="1100" i="1">
            <a:solidFill>
              <a:schemeClr val="accent1">
                <a:lumMod val="50000"/>
              </a:schemeClr>
            </a:solidFill>
          </a:endParaRPr>
        </a:p>
        <a:p>
          <a:pPr algn="ctr"/>
          <a:endParaRPr lang="it-IT" sz="1100" i="1">
            <a:solidFill>
              <a:schemeClr val="accent1">
                <a:lumMod val="50000"/>
              </a:schemeClr>
            </a:solidFill>
          </a:endParaRPr>
        </a:p>
      </xdr:txBody>
    </xdr:sp>
    <xdr:clientData/>
  </xdr:twoCellAnchor>
  <xdr:twoCellAnchor>
    <xdr:from>
      <xdr:col>9</xdr:col>
      <xdr:colOff>859630</xdr:colOff>
      <xdr:row>9</xdr:row>
      <xdr:rowOff>275275</xdr:rowOff>
    </xdr:from>
    <xdr:to>
      <xdr:col>11</xdr:col>
      <xdr:colOff>514349</xdr:colOff>
      <xdr:row>13</xdr:row>
      <xdr:rowOff>152401</xdr:rowOff>
    </xdr:to>
    <xdr:sp macro="" textlink="">
      <xdr:nvSpPr>
        <xdr:cNvPr id="6" name="CasellaDiTesto 5">
          <a:extLst>
            <a:ext uri="{FF2B5EF4-FFF2-40B4-BE49-F238E27FC236}">
              <a16:creationId xmlns:a16="http://schemas.microsoft.com/office/drawing/2014/main" id="{D67A532E-36AC-4BBF-98CA-CC3A20FCB0A0}"/>
            </a:ext>
          </a:extLst>
        </xdr:cNvPr>
        <xdr:cNvSpPr txBox="1"/>
      </xdr:nvSpPr>
      <xdr:spPr>
        <a:xfrm>
          <a:off x="9736930" y="3790000"/>
          <a:ext cx="4788694" cy="1039176"/>
        </a:xfrm>
        <a:prstGeom prst="rect">
          <a:avLst/>
        </a:prstGeom>
        <a:solidFill>
          <a:sysClr val="window" lastClr="FFFFFF"/>
        </a:solidFill>
        <a:ln>
          <a:noFill/>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pPr algn="l"/>
          <a:r>
            <a:rPr lang="it-IT" sz="1100" i="1">
              <a:solidFill>
                <a:schemeClr val="accent1">
                  <a:lumMod val="50000"/>
                </a:schemeClr>
              </a:solidFill>
            </a:rPr>
            <a:t>Compilare la tavola</a:t>
          </a:r>
          <a:r>
            <a:rPr lang="it-IT" sz="1100" i="1" baseline="0">
              <a:solidFill>
                <a:schemeClr val="accent1">
                  <a:lumMod val="50000"/>
                </a:schemeClr>
              </a:solidFill>
            </a:rPr>
            <a:t> "Riepilogo RQTI: identificazione obiettivi 2026-2027" sulla base dei valori 2025 indicati nel file RQTI_2026, utilizzando l'apposito pulsante a sinistra che sblocca le celle e rende compilabile la colonna "Valori 2025 per definizione obiettivi" della tavola "Riepilogo RQTI" </a:t>
          </a:r>
        </a:p>
        <a:p>
          <a:pPr algn="l"/>
          <a:endParaRPr lang="it-IT" sz="1100" i="1">
            <a:solidFill>
              <a:schemeClr val="accent1">
                <a:lumMod val="50000"/>
              </a:schemeClr>
            </a:solidFill>
          </a:endParaRPr>
        </a:p>
        <a:p>
          <a:pPr algn="ctr"/>
          <a:endParaRPr lang="it-IT" sz="1100" i="1">
            <a:solidFill>
              <a:schemeClr val="accent1">
                <a:lumMod val="50000"/>
              </a:schemeClr>
            </a:solidFill>
          </a:endParaRPr>
        </a:p>
      </xdr:txBody>
    </xdr:sp>
    <xdr:clientData/>
  </xdr:twoCellAnchor>
  <xdr:twoCellAnchor>
    <xdr:from>
      <xdr:col>2</xdr:col>
      <xdr:colOff>54349</xdr:colOff>
      <xdr:row>0</xdr:row>
      <xdr:rowOff>111836</xdr:rowOff>
    </xdr:from>
    <xdr:to>
      <xdr:col>9</xdr:col>
      <xdr:colOff>2429772</xdr:colOff>
      <xdr:row>0</xdr:row>
      <xdr:rowOff>986118</xdr:rowOff>
    </xdr:to>
    <xdr:sp macro="" textlink="">
      <xdr:nvSpPr>
        <xdr:cNvPr id="7" name="CasellaDiTesto 6">
          <a:extLst>
            <a:ext uri="{FF2B5EF4-FFF2-40B4-BE49-F238E27FC236}">
              <a16:creationId xmlns:a16="http://schemas.microsoft.com/office/drawing/2014/main" id="{4E4B0F0A-CD00-45C7-8FFC-DADA7A86EE33}"/>
            </a:ext>
          </a:extLst>
        </xdr:cNvPr>
        <xdr:cNvSpPr txBox="1"/>
      </xdr:nvSpPr>
      <xdr:spPr>
        <a:xfrm>
          <a:off x="3264274" y="111836"/>
          <a:ext cx="8042798" cy="874282"/>
        </a:xfrm>
        <a:prstGeom prst="rect">
          <a:avLst/>
        </a:prstGeom>
        <a:solidFill>
          <a:srgbClr val="FDE9D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solidFill>
                <a:schemeClr val="dk1"/>
              </a:solidFill>
              <a:effectLst/>
              <a:latin typeface="+mn-lt"/>
              <a:ea typeface="+mn-ea"/>
              <a:cs typeface="+mn-cs"/>
            </a:rPr>
            <a:t>Inserire nelle celle in colore giallo  i valori relativi all'anno 2025 per la definizione degli obiettivi 2026-2027. </a:t>
          </a:r>
        </a:p>
        <a:p>
          <a:r>
            <a:rPr lang="it-IT" sz="1100">
              <a:solidFill>
                <a:schemeClr val="dk1"/>
              </a:solidFill>
              <a:effectLst/>
              <a:latin typeface="+mn-lt"/>
              <a:ea typeface="+mn-ea"/>
              <a:cs typeface="+mn-cs"/>
            </a:rPr>
            <a:t>Dalla riga 3 alla riga 69, tali valori corrispondono a quelli indicati nel file RQTI_2026 (foglio Riepilogo RQTI, colonna C) a meno di aggregazioni gestionali in corso, per le quali sia stata formulata specifica istanza.  </a:t>
          </a:r>
        </a:p>
        <a:p>
          <a:r>
            <a:rPr lang="it-IT" sz="1100" u="sng">
              <a:solidFill>
                <a:schemeClr val="dk1"/>
              </a:solidFill>
              <a:effectLst/>
              <a:latin typeface="+mn-lt"/>
              <a:ea typeface="+mn-ea"/>
              <a:cs typeface="+mn-cs"/>
            </a:rPr>
            <a:t>Dalla riga 70 in poi, fare riferimento agli articoli 37 e 37.bis del MTI-4 </a:t>
          </a:r>
          <a:endParaRPr lang="it-IT" sz="1100" u="sng"/>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Antonio Ivano" refreshedDate="46073.75689675926" createdVersion="6" refreshedVersion="8" minRefreshableVersion="3" recordCount="1" xr:uid="{D1AA984D-0D58-4664-AF5E-CB62E0A4C54C}">
  <cacheSource type="worksheet">
    <worksheetSource name="=IMN_PROPRIETARI"/>
  </cacheSource>
  <cacheFields count="75">
    <cacheField name="idato associato al gestore" numFmtId="0">
      <sharedItems containsSemiMixedTypes="0" containsString="0" containsNumber="1" containsInteger="1" minValue="0" maxValue="0"/>
    </cacheField>
    <cacheField name="idarera associato al gestore" numFmtId="0">
      <sharedItems containsSemiMixedTypes="0" containsString="0" containsNumber="1" containsInteger="1" minValue="0" maxValue="0"/>
    </cacheField>
    <cacheField name="Tipologia di Proprietario" numFmtId="0">
      <sharedItems containsNonDate="0" containsString="0" containsBlank="1"/>
    </cacheField>
    <cacheField name="Key_Prop" numFmtId="0">
      <sharedItems containsNonDate="0" containsString="0" containsBlank="1"/>
    </cacheField>
    <cacheField name="ID_Categoria_Cespite" numFmtId="0">
      <sharedItems/>
    </cacheField>
    <cacheField name="CategoriaCespite" numFmtId="0">
      <sharedItems containsNonDate="0" containsString="0" containsBlank="1"/>
    </cacheField>
    <cacheField name="ID_Immobilizzazione" numFmtId="0">
      <sharedItems/>
    </cacheField>
    <cacheField name="IMMOBILIZZAZIONE" numFmtId="0">
      <sharedItems containsNonDate="0" containsString="0" containsBlank="1"/>
    </cacheField>
    <cacheField name="Motivazione della realizzazione da parte di terzi" numFmtId="0">
      <sharedItems containsNonDate="0" containsString="0" containsBlank="1"/>
    </cacheField>
    <cacheField name="Immobilizzazioni riconducibili a una grande infrastruttura upstream" numFmtId="0">
      <sharedItems containsNonDate="0" containsString="0" containsBlank="1"/>
    </cacheField>
    <cacheField name="AnnoCespite" numFmtId="0">
      <sharedItems containsNonDate="0" containsString="0" containsBlank="1"/>
    </cacheField>
    <cacheField name="IP" numFmtId="3">
      <sharedItems containsNonDate="0" containsString="0" containsBlank="1"/>
    </cacheField>
    <cacheField name="FAIP" numFmtId="3">
      <sharedItems containsNonDate="0" containsString="0" containsBlank="1"/>
    </cacheField>
    <cacheField name="CFP" numFmtId="3">
      <sharedItems containsNonDate="0" containsString="0" containsBlank="1"/>
    </cacheField>
    <cacheField name="FACP" numFmtId="3">
      <sharedItems containsNonDate="0" containsString="0" containsBlank="1"/>
    </cacheField>
    <cacheField name="New_Key_prop" numFmtId="0">
      <sharedItems count="9">
        <s v=""/>
        <s v="_-000001-" u="1"/>
        <s v="_-000002-" u="1"/>
        <s v="_-123456-" u="1"/>
        <s v="_--00000000002" u="1"/>
        <s v="101_3045-000001-" u="1"/>
        <s v="101_5-000003-" u="1"/>
        <s v="101_5-000005-" u="1"/>
        <s v="101_5-000007-" u="1"/>
      </sharedItems>
    </cacheField>
    <cacheField name="dati da non valorizzare" numFmtId="0">
      <sharedItems/>
    </cacheField>
    <cacheField name="VU 2024" numFmtId="3">
      <sharedItems containsSemiMixedTypes="0" containsString="0" containsNumber="1" containsInteger="1" minValue="0" maxValue="0"/>
    </cacheField>
    <cacheField name="IP 2024" numFmtId="3">
      <sharedItems containsSemiMixedTypes="0" containsString="0" containsNumber="1" containsInteger="1" minValue="0" maxValue="0"/>
    </cacheField>
    <cacheField name="FAIP 2024" numFmtId="3">
      <sharedItems containsSemiMixedTypes="0" containsString="0" containsNumber="1" containsInteger="1" minValue="0" maxValue="0"/>
    </cacheField>
    <cacheField name="IP netto 2024" numFmtId="3">
      <sharedItems containsSemiMixedTypes="0" containsString="0" containsNumber="1" containsInteger="1" minValue="0" maxValue="0"/>
    </cacheField>
    <cacheField name="AMM 2024" numFmtId="3">
      <sharedItems containsSemiMixedTypes="0" containsString="0" containsNumber="1" containsInteger="1" minValue="0" maxValue="0"/>
    </cacheField>
    <cacheField name="CFP 2024" numFmtId="3">
      <sharedItems containsSemiMixedTypes="0" containsString="0" containsNumber="1" containsInteger="1" minValue="0" maxValue="0"/>
    </cacheField>
    <cacheField name="FA CFP 2024" numFmtId="3">
      <sharedItems containsSemiMixedTypes="0" containsString="0" containsNumber="1" containsInteger="1" minValue="0" maxValue="0"/>
    </cacheField>
    <cacheField name="CFP netto 2024" numFmtId="3">
      <sharedItems containsSemiMixedTypes="0" containsString="0" containsNumber="1" containsInteger="1" minValue="0" maxValue="0"/>
    </cacheField>
    <cacheField name="AMM CFP 2024" numFmtId="3">
      <sharedItems containsSemiMixedTypes="0" containsString="0" containsNumber="1" containsInteger="1" minValue="0" maxValue="0"/>
    </cacheField>
    <cacheField name="Nriga" numFmtId="3">
      <sharedItems containsSemiMixedTypes="0" containsString="0" containsNumber="1" containsInteger="1" minValue="1" maxValue="1"/>
    </cacheField>
    <cacheField name="VU 2025" numFmtId="3">
      <sharedItems containsSemiMixedTypes="0" containsString="0" containsNumber="1" containsInteger="1" minValue="0" maxValue="0"/>
    </cacheField>
    <cacheField name="IP 2025" numFmtId="3">
      <sharedItems containsSemiMixedTypes="0" containsString="0" containsNumber="1" containsInteger="1" minValue="0" maxValue="0"/>
    </cacheField>
    <cacheField name="FAIP 2025" numFmtId="3">
      <sharedItems containsSemiMixedTypes="0" containsString="0" containsNumber="1" containsInteger="1" minValue="0" maxValue="0"/>
    </cacheField>
    <cacheField name="IP netto 2025" numFmtId="3">
      <sharedItems containsSemiMixedTypes="0" containsString="0" containsNumber="1" containsInteger="1" minValue="0" maxValue="0"/>
    </cacheField>
    <cacheField name="AMM 2025" numFmtId="3">
      <sharedItems containsSemiMixedTypes="0" containsString="0" containsNumber="1" containsInteger="1" minValue="0" maxValue="0"/>
    </cacheField>
    <cacheField name="CFP 2025" numFmtId="3">
      <sharedItems containsSemiMixedTypes="0" containsString="0" containsNumber="1" containsInteger="1" minValue="0" maxValue="0"/>
    </cacheField>
    <cacheField name="FA CFP 2025" numFmtId="3">
      <sharedItems containsSemiMixedTypes="0" containsString="0" containsNumber="1" containsInteger="1" minValue="0" maxValue="0"/>
    </cacheField>
    <cacheField name="CFP netto 2025" numFmtId="3">
      <sharedItems containsSemiMixedTypes="0" containsString="0" containsNumber="1" containsInteger="1" minValue="0" maxValue="0"/>
    </cacheField>
    <cacheField name="AMM CFP 2025" numFmtId="3">
      <sharedItems containsSemiMixedTypes="0" containsString="0" containsNumber="1" containsInteger="1" minValue="0" maxValue="0"/>
    </cacheField>
    <cacheField name="aaa" numFmtId="3">
      <sharedItems containsSemiMixedTypes="0" containsString="0" containsNumber="1" containsInteger="1" minValue="1" maxValue="1"/>
    </cacheField>
    <cacheField name="VU 2026" numFmtId="3">
      <sharedItems containsSemiMixedTypes="0" containsString="0" containsNumber="1" containsInteger="1" minValue="0" maxValue="0"/>
    </cacheField>
    <cacheField name="IP 2026" numFmtId="3">
      <sharedItems containsSemiMixedTypes="0" containsString="0" containsNumber="1" containsInteger="1" minValue="0" maxValue="0"/>
    </cacheField>
    <cacheField name="FAIP 2026" numFmtId="3">
      <sharedItems containsSemiMixedTypes="0" containsString="0" containsNumber="1" containsInteger="1" minValue="0" maxValue="0"/>
    </cacheField>
    <cacheField name="IP netto 2026" numFmtId="3">
      <sharedItems containsSemiMixedTypes="0" containsString="0" containsNumber="1" containsInteger="1" minValue="0" maxValue="0"/>
    </cacheField>
    <cacheField name="AMM 2026" numFmtId="3">
      <sharedItems containsSemiMixedTypes="0" containsString="0" containsNumber="1" containsInteger="1" minValue="0" maxValue="0"/>
    </cacheField>
    <cacheField name="CFP 2026" numFmtId="3">
      <sharedItems containsSemiMixedTypes="0" containsString="0" containsNumber="1" containsInteger="1" minValue="0" maxValue="0"/>
    </cacheField>
    <cacheField name="FA CFP 2026" numFmtId="3">
      <sharedItems containsSemiMixedTypes="0" containsString="0" containsNumber="1" containsInteger="1" minValue="0" maxValue="0"/>
    </cacheField>
    <cacheField name="CFP netto 2026" numFmtId="3">
      <sharedItems containsSemiMixedTypes="0" containsString="0" containsNumber="1" containsInteger="1" minValue="0" maxValue="0"/>
    </cacheField>
    <cacheField name="AMM CFP 2026" numFmtId="3">
      <sharedItems containsSemiMixedTypes="0" containsString="0" containsNumber="1" containsInteger="1" minValue="0" maxValue="0"/>
    </cacheField>
    <cacheField name="aaaa" numFmtId="3">
      <sharedItems containsSemiMixedTypes="0" containsString="0" containsNumber="1" containsInteger="1" minValue="1" maxValue="1"/>
    </cacheField>
    <cacheField name="VU 2027" numFmtId="3">
      <sharedItems containsSemiMixedTypes="0" containsString="0" containsNumber="1" containsInteger="1" minValue="0" maxValue="0"/>
    </cacheField>
    <cacheField name="IP 2027" numFmtId="3">
      <sharedItems containsSemiMixedTypes="0" containsString="0" containsNumber="1" containsInteger="1" minValue="0" maxValue="0"/>
    </cacheField>
    <cacheField name="FAIP 2027" numFmtId="3">
      <sharedItems containsSemiMixedTypes="0" containsString="0" containsNumber="1" containsInteger="1" minValue="0" maxValue="0"/>
    </cacheField>
    <cacheField name="IP netto 2027" numFmtId="3">
      <sharedItems containsSemiMixedTypes="0" containsString="0" containsNumber="1" containsInteger="1" minValue="0" maxValue="0"/>
    </cacheField>
    <cacheField name="AMM 2027" numFmtId="3">
      <sharedItems containsSemiMixedTypes="0" containsString="0" containsNumber="1" containsInteger="1" minValue="0" maxValue="0"/>
    </cacheField>
    <cacheField name="CFP 2027" numFmtId="3">
      <sharedItems containsSemiMixedTypes="0" containsString="0" containsNumber="1" containsInteger="1" minValue="0" maxValue="0"/>
    </cacheField>
    <cacheField name="FA CFP 2027" numFmtId="3">
      <sharedItems containsSemiMixedTypes="0" containsString="0" containsNumber="1" containsInteger="1" minValue="0" maxValue="0"/>
    </cacheField>
    <cacheField name="CFP netto 2027" numFmtId="3">
      <sharedItems containsSemiMixedTypes="0" containsString="0" containsNumber="1" containsInteger="1" minValue="0" maxValue="0"/>
    </cacheField>
    <cacheField name="AMM CFP 2027" numFmtId="3">
      <sharedItems containsSemiMixedTypes="0" containsString="0" containsNumber="1" containsInteger="1" minValue="0" maxValue="0"/>
    </cacheField>
    <cacheField name="aaaa2" numFmtId="3">
      <sharedItems containsSemiMixedTypes="0" containsString="0" containsNumber="1" containsInteger="1" minValue="1" maxValue="1"/>
    </cacheField>
    <cacheField name="VU 2028" numFmtId="3">
      <sharedItems containsSemiMixedTypes="0" containsString="0" containsNumber="1" containsInteger="1" minValue="0" maxValue="0"/>
    </cacheField>
    <cacheField name="IP 2028" numFmtId="3">
      <sharedItems containsSemiMixedTypes="0" containsString="0" containsNumber="1" containsInteger="1" minValue="0" maxValue="0"/>
    </cacheField>
    <cacheField name="FAIP 2028" numFmtId="3">
      <sharedItems containsSemiMixedTypes="0" containsString="0" containsNumber="1" containsInteger="1" minValue="0" maxValue="0"/>
    </cacheField>
    <cacheField name="IP netto 2028" numFmtId="3">
      <sharedItems containsSemiMixedTypes="0" containsString="0" containsNumber="1" containsInteger="1" minValue="0" maxValue="0"/>
    </cacheField>
    <cacheField name="AMM 2028" numFmtId="3">
      <sharedItems containsSemiMixedTypes="0" containsString="0" containsNumber="1" containsInteger="1" minValue="0" maxValue="0"/>
    </cacheField>
    <cacheField name="CFP 2028" numFmtId="3">
      <sharedItems containsSemiMixedTypes="0" containsString="0" containsNumber="1" containsInteger="1" minValue="0" maxValue="0"/>
    </cacheField>
    <cacheField name="FA CFP 2028" numFmtId="3">
      <sharedItems containsSemiMixedTypes="0" containsString="0" containsNumber="1" containsInteger="1" minValue="0" maxValue="0"/>
    </cacheField>
    <cacheField name="CFP netto 2028" numFmtId="3">
      <sharedItems containsSemiMixedTypes="0" containsString="0" containsNumber="1" containsInteger="1" minValue="0" maxValue="0"/>
    </cacheField>
    <cacheField name="AMM CFP 2028" numFmtId="3">
      <sharedItems containsSemiMixedTypes="0" containsString="0" containsNumber="1" containsInteger="1" minValue="0" maxValue="0"/>
    </cacheField>
    <cacheField name="aaaa3" numFmtId="3">
      <sharedItems containsSemiMixedTypes="0" containsString="0" containsNumber="1" containsInteger="1" minValue="1" maxValue="1"/>
    </cacheField>
    <cacheField name="VU 2029" numFmtId="3">
      <sharedItems containsSemiMixedTypes="0" containsString="0" containsNumber="1" containsInteger="1" minValue="0" maxValue="0"/>
    </cacheField>
    <cacheField name="IP 2029" numFmtId="3">
      <sharedItems containsSemiMixedTypes="0" containsString="0" containsNumber="1" containsInteger="1" minValue="0" maxValue="0"/>
    </cacheField>
    <cacheField name="FAIP 2029" numFmtId="3">
      <sharedItems containsSemiMixedTypes="0" containsString="0" containsNumber="1" containsInteger="1" minValue="0" maxValue="0"/>
    </cacheField>
    <cacheField name="IP netto 2029" numFmtId="3">
      <sharedItems containsSemiMixedTypes="0" containsString="0" containsNumber="1" containsInteger="1" minValue="0" maxValue="0"/>
    </cacheField>
    <cacheField name="AMM 2029" numFmtId="3">
      <sharedItems containsSemiMixedTypes="0" containsString="0" containsNumber="1" containsInteger="1" minValue="0" maxValue="0"/>
    </cacheField>
    <cacheField name="CFP 2029" numFmtId="3">
      <sharedItems containsSemiMixedTypes="0" containsString="0" containsNumber="1" containsInteger="1" minValue="0" maxValue="0"/>
    </cacheField>
    <cacheField name="FA CFP 2029" numFmtId="3">
      <sharedItems containsSemiMixedTypes="0" containsString="0" containsNumber="1" containsInteger="1" minValue="0" maxValue="0"/>
    </cacheField>
    <cacheField name="CFP netto 2029" numFmtId="3">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Antonio Ivano" refreshedDate="46112.426840740744" missingItemsLimit="0" createdVersion="6" refreshedVersion="8" minRefreshableVersion="3" recordCount="1" xr:uid="{75DBEEF9-44EA-49C2-B086-2B23C119FA92}">
  <cacheSource type="worksheet">
    <worksheetSource name="sIMN_new" sheet="IMN_consolidamento"/>
  </cacheSource>
  <cacheFields count="18">
    <cacheField name="IDATO" numFmtId="0">
      <sharedItems containsSemiMixedTypes="0" containsString="0" containsNumber="1" containsInteger="1" minValue="0" maxValue="0"/>
    </cacheField>
    <cacheField name="IDGestore" numFmtId="0">
      <sharedItems containsSemiMixedTypes="0" containsString="0" containsNumber="1" containsInteger="1" minValue="0" maxValue="0"/>
    </cacheField>
    <cacheField name="Gestore_Proprietario" numFmtId="0">
      <sharedItems count="1">
        <s v="Gestore"/>
      </sharedItems>
    </cacheField>
    <cacheField name="N_prop" numFmtId="0">
      <sharedItems containsSemiMixedTypes="0" containsString="0" containsNumber="1" containsInteger="1" minValue="0" maxValue="0" count="1">
        <n v="0"/>
      </sharedItems>
    </cacheField>
    <cacheField name="Fonte" numFmtId="0">
      <sharedItems count="1">
        <s v="IP"/>
      </sharedItems>
    </cacheField>
    <cacheField name="ID_Categoria_Cespite" numFmtId="0">
      <sharedItems containsSemiMixedTypes="0" containsString="0" containsNumber="1" containsInteger="1" minValue="0" maxValue="0" count="1">
        <n v="0"/>
      </sharedItems>
    </cacheField>
    <cacheField name="CategoriaCespite" numFmtId="0">
      <sharedItems containsSemiMixedTypes="0" containsString="0" containsNumber="1" containsInteger="1" minValue="0" maxValue="0" count="1">
        <n v="0"/>
      </sharedItems>
    </cacheField>
    <cacheField name="ID_Immobilizzazione" numFmtId="0">
      <sharedItems containsSemiMixedTypes="0" containsString="0" containsNumber="1" containsInteger="1" minValue="0" maxValue="0" count="1">
        <n v="0"/>
      </sharedItems>
    </cacheField>
    <cacheField name="IMMOBILIZZAZIONE" numFmtId="0">
      <sharedItems containsSemiMixedTypes="0" containsString="0" containsNumber="1" containsInteger="1" minValue="0" maxValue="0" count="1">
        <n v="0"/>
      </sharedItems>
    </cacheField>
    <cacheField name="AnnoCespite" numFmtId="0">
      <sharedItems containsSemiMixedTypes="0" containsString="0" containsNumber="1" containsInteger="1" minValue="0" maxValue="0" count="1">
        <n v="0"/>
      </sharedItems>
    </cacheField>
    <cacheField name="IP" numFmtId="0">
      <sharedItems containsSemiMixedTypes="0" containsString="0" containsNumber="1" containsInteger="1" minValue="0" maxValue="0"/>
    </cacheField>
    <cacheField name="FAIP" numFmtId="0">
      <sharedItems containsSemiMixedTypes="0" containsString="0" containsNumber="1" containsInteger="1" minValue="0" maxValue="0"/>
    </cacheField>
    <cacheField name="CFP" numFmtId="0">
      <sharedItems containsSemiMixedTypes="0" containsString="0" containsNumber="1" containsInteger="1" minValue="0" maxValue="0"/>
    </cacheField>
    <cacheField name="FACP" numFmtId="0">
      <sharedItems containsSemiMixedTypes="0" containsString="0" containsNumber="1" containsInteger="1" minValue="0" maxValue="0"/>
    </cacheField>
    <cacheField name="-" numFmtId="0">
      <sharedItems containsSemiMixedTypes="0" containsString="0" containsNumber="1" containsInteger="1" minValue="0" maxValue="0" count="1">
        <n v="0"/>
      </sharedItems>
    </cacheField>
    <cacheField name="Tipologia di costo sotteso" numFmtId="0">
      <sharedItems count="1">
        <s v=""/>
      </sharedItems>
    </cacheField>
    <cacheField name="Attività" numFmtId="0">
      <sharedItems count="1">
        <s v=""/>
      </sharedItems>
    </cacheField>
    <cacheField name="foglio di origine" numFmtId="0">
      <sharedItems count="1">
        <s v="Dismissioni"/>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
  <r>
    <n v="0"/>
    <n v="0"/>
    <m/>
    <m/>
    <s v=""/>
    <m/>
    <s v=""/>
    <m/>
    <m/>
    <m/>
    <m/>
    <m/>
    <m/>
    <m/>
    <m/>
    <x v="0"/>
    <b v="0"/>
    <n v="0"/>
    <n v="0"/>
    <n v="0"/>
    <n v="0"/>
    <n v="0"/>
    <n v="0"/>
    <n v="0"/>
    <n v="0"/>
    <n v="0"/>
    <n v="1"/>
    <n v="0"/>
    <n v="0"/>
    <n v="0"/>
    <n v="0"/>
    <n v="0"/>
    <n v="0"/>
    <n v="0"/>
    <n v="0"/>
    <n v="0"/>
    <n v="1"/>
    <n v="0"/>
    <n v="0"/>
    <n v="0"/>
    <n v="0"/>
    <n v="0"/>
    <n v="0"/>
    <n v="0"/>
    <n v="0"/>
    <n v="0"/>
    <n v="1"/>
    <n v="0"/>
    <n v="0"/>
    <n v="0"/>
    <n v="0"/>
    <n v="0"/>
    <n v="0"/>
    <n v="0"/>
    <n v="0"/>
    <n v="0"/>
    <n v="1"/>
    <n v="0"/>
    <n v="0"/>
    <n v="0"/>
    <n v="0"/>
    <n v="0"/>
    <n v="0"/>
    <n v="0"/>
    <n v="0"/>
    <n v="0"/>
    <n v="1"/>
    <n v="0"/>
    <n v="0"/>
    <n v="0"/>
    <n v="0"/>
    <n v="0"/>
    <n v="0"/>
    <n v="0"/>
    <n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
  <r>
    <n v="0"/>
    <n v="0"/>
    <x v="0"/>
    <x v="0"/>
    <x v="0"/>
    <x v="0"/>
    <x v="0"/>
    <x v="0"/>
    <x v="0"/>
    <x v="0"/>
    <n v="0"/>
    <n v="0"/>
    <n v="0"/>
    <n v="0"/>
    <x v="0"/>
    <x v="0"/>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DA36CF3-D202-4FD4-A93E-F060ADCD0724}" name="Pivot_Proprietari" cacheId="0" applyNumberFormats="0" applyBorderFormats="0" applyFontFormats="0" applyPatternFormats="0" applyAlignmentFormats="0" applyWidthHeightFormats="1" dataCaption="Valori" updatedVersion="8" minRefreshableVersion="3" showDrill="0" useAutoFormatting="1" rowGrandTotals="0" colGrandTotals="0" itemPrintTitles="1" createdVersion="4" indent="0" compact="0" compactData="0" multipleFieldFilters="0" rowHeaderCaption="N_prop">
  <location ref="A6:X7" firstHeaderRow="0" firstDataRow="1" firstDataCol="1"/>
  <pivotFields count="75">
    <pivotField compact="0" numFmtId="169" outline="0" showAll="0" defaultSubtotal="0"/>
    <pivotField compact="0" outline="0" showAll="0"/>
    <pivotField compact="0" numFmtId="169" outline="0" showAll="0" defaultSubtotal="0"/>
    <pivotField compact="0" numFmtId="169" outline="0" showAll="0" defaultSubtotal="0">
      <extLst>
        <ext xmlns:x14="http://schemas.microsoft.com/office/spreadsheetml/2009/9/main" uri="{2946ED86-A175-432a-8AC1-64E0C546D7DE}">
          <x14:pivotField fillDownLabels="1"/>
        </ext>
      </extLst>
    </pivotField>
    <pivotField compact="0" numFmtId="169" outline="0" multipleItemSelectionAllowed="1" showAll="0"/>
    <pivotField compact="0" numFmtId="169" outline="0" showAll="0"/>
    <pivotField compact="0" numFmtId="169" outline="0" showAll="0"/>
    <pivotField compact="0" numFmtId="169" outline="0" showAll="0"/>
    <pivotField compact="0" outline="0" showAll="0"/>
    <pivotField compact="0" outline="0" showAll="0"/>
    <pivotField compact="0" numFmtId="169" outline="0" showAll="0"/>
    <pivotField compact="0" numFmtId="171" outline="0" showAll="0"/>
    <pivotField compact="0" numFmtId="171" outline="0" showAll="0"/>
    <pivotField compact="0" numFmtId="169" outline="0" showAll="0"/>
    <pivotField compact="0" numFmtId="169" outline="0" showAll="0" defaultSubtotal="0"/>
    <pivotField axis="axisRow" compact="0" numFmtId="169" outline="0" showAll="0" sortType="ascending" defaultSubtotal="0">
      <items count="9">
        <item x="0"/>
        <item m="1" x="4"/>
        <item m="1" x="1"/>
        <item m="1" x="2"/>
        <item m="1" x="3"/>
        <item m="1" x="5"/>
        <item m="1" x="6"/>
        <item m="1" x="7"/>
        <item m="1" x="8"/>
      </items>
    </pivotField>
    <pivotField compact="0" outline="0" showAll="0" defaultSubtotal="0"/>
    <pivotField compact="0" numFmtId="3" outline="0" showAll="0"/>
    <pivotField compact="0" numFmtId="3" outline="0" showAll="0"/>
    <pivotField compact="0" numFmtId="3" outline="0" showAll="0"/>
    <pivotField dataField="1" compact="0" numFmtId="3" outline="0" showAll="0"/>
    <pivotField dataField="1" compact="0" numFmtId="3" outline="0" showAll="0"/>
    <pivotField compact="0" numFmtId="3" outline="0" showAll="0"/>
    <pivotField compact="0" numFmtId="3" outline="0" showAll="0"/>
    <pivotField dataField="1" compact="0" numFmtId="3" outline="0" showAll="0"/>
    <pivotField dataField="1" compact="0" numFmtId="3" outline="0" showAll="0"/>
    <pivotField compact="0" numFmtId="3" outline="0" showAll="0" defaultSubtotal="0"/>
    <pivotField compact="0" numFmtId="3" outline="0" showAll="0"/>
    <pivotField compact="0" numFmtId="3" outline="0" showAll="0"/>
    <pivotField compact="0" numFmtId="3" outline="0" showAll="0"/>
    <pivotField dataField="1" compact="0" numFmtId="3" outline="0" showAll="0"/>
    <pivotField dataField="1" compact="0" numFmtId="3" outline="0" showAll="0"/>
    <pivotField compact="0" numFmtId="3" outline="0" showAll="0"/>
    <pivotField compact="0" numFmtId="3" outline="0" showAll="0"/>
    <pivotField dataField="1" compact="0" numFmtId="3" outline="0" showAll="0"/>
    <pivotField dataField="1" compact="0" numFmtId="3" outline="0" showAll="0"/>
    <pivotField compact="0" numFmtId="169" outline="0" showAll="0" defaultSubtotal="0"/>
    <pivotField compact="0" numFmtId="3" outline="0" showAll="0"/>
    <pivotField compact="0" numFmtId="3" outline="0" showAll="0"/>
    <pivotField compact="0" numFmtId="3" outline="0" showAll="0"/>
    <pivotField dataField="1" compact="0" numFmtId="3" outline="0" showAll="0"/>
    <pivotField dataField="1" compact="0" numFmtId="3" outline="0" showAll="0"/>
    <pivotField compact="0" numFmtId="3" outline="0" showAll="0"/>
    <pivotField compact="0" numFmtId="3" outline="0" showAll="0"/>
    <pivotField dataField="1" compact="0" numFmtId="3" outline="0" showAll="0"/>
    <pivotField dataField="1" compact="0" numFmtId="3" outline="0" showAll="0"/>
    <pivotField compact="0" numFmtId="169" outline="0" showAll="0" defaultSubtotal="0"/>
    <pivotField compact="0" numFmtId="3" outline="0" showAll="0"/>
    <pivotField compact="0" numFmtId="3" outline="0" showAll="0"/>
    <pivotField compact="0" numFmtId="3" outline="0" showAll="0"/>
    <pivotField dataField="1" compact="0" numFmtId="3" outline="0" showAll="0"/>
    <pivotField dataField="1" compact="0" numFmtId="3" outline="0" showAll="0"/>
    <pivotField compact="0" numFmtId="3" outline="0" showAll="0"/>
    <pivotField compact="0" numFmtId="3" outline="0" showAll="0"/>
    <pivotField dataField="1" compact="0" numFmtId="3" outline="0" showAll="0"/>
    <pivotField dataField="1" compact="0" numFmtId="3" outline="0" showAll="0"/>
    <pivotField compact="0" outline="0" showAll="0"/>
    <pivotField compact="0" numFmtId="3" outline="0" showAll="0"/>
    <pivotField compact="0" numFmtId="3" outline="0" showAll="0"/>
    <pivotField compact="0" numFmtId="3" outline="0" showAll="0"/>
    <pivotField dataField="1" compact="0" numFmtId="3" outline="0" showAll="0"/>
    <pivotField dataField="1" compact="0" numFmtId="3" outline="0" showAll="0"/>
    <pivotField compact="0" numFmtId="3" outline="0" showAll="0"/>
    <pivotField compact="0" numFmtId="3" outline="0" showAll="0"/>
    <pivotField dataField="1" compact="0" numFmtId="3" outline="0" showAll="0"/>
    <pivotField dataField="1" compact="0" numFmtId="3" outline="0" showAll="0"/>
    <pivotField compact="0" outline="0" showAll="0"/>
    <pivotField compact="0" numFmtId="3" outline="0" showAll="0"/>
    <pivotField compact="0" numFmtId="3" outline="0" showAll="0"/>
    <pivotField compact="0" numFmtId="3" outline="0" showAll="0"/>
    <pivotField dataField="1" compact="0" numFmtId="3" outline="0" showAll="0"/>
    <pivotField dataField="1" compact="0" numFmtId="3" outline="0" showAll="0"/>
    <pivotField compact="0" numFmtId="3" outline="0" showAll="0"/>
    <pivotField compact="0" numFmtId="3" outline="0" showAll="0"/>
    <pivotField dataField="1" compact="0" numFmtId="3" outline="0" showAll="0"/>
  </pivotFields>
  <rowFields count="1">
    <field x="15"/>
  </rowFields>
  <rowItems count="1">
    <i>
      <x/>
    </i>
  </rowItems>
  <colFields count="1">
    <field x="-2"/>
  </colFields>
  <colItems count="23">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colItems>
  <dataFields count="23">
    <dataField name="CINp 2024" fld="20" baseField="0" baseItem="0"/>
    <dataField name="CINp 2025" fld="30" baseField="0" baseItem="0"/>
    <dataField name="CINp 2026" fld="40" baseField="0" baseItem="0"/>
    <dataField name="CINp 2027" fld="50" baseField="0" baseItem="0"/>
    <dataField name="CINp 2028" fld="60" baseField="0" baseItem="0"/>
    <dataField name="CINp 2029" fld="70" baseField="0" baseItem="0"/>
    <dataField name="AMMp 2024" fld="21" baseField="0" baseItem="0"/>
    <dataField name="AMMp 2025" fld="31" baseField="0" baseItem="0"/>
    <dataField name="AMMp 2026" fld="41" baseField="0" baseItem="0"/>
    <dataField name="AMMp 2027" fld="51" baseField="0" baseItem="0"/>
    <dataField name="AMMp 2028" fld="61" baseField="0" baseItem="0"/>
    <dataField name="AMMp 2029" fld="71" baseField="0" baseItem="0"/>
    <dataField name="CINfp,p 2024" fld="24" baseField="0" baseItem="0"/>
    <dataField name="CINfp,p 2025" fld="34" baseField="0" baseItem="0"/>
    <dataField name="CINfp,p 2026" fld="44" baseField="0" baseItem="0"/>
    <dataField name="CINfp,p 2027" fld="54" baseField="0" baseItem="0"/>
    <dataField name="CINfp,p 2028" fld="64" baseField="0" baseItem="0"/>
    <dataField name="CINfp,p 2029" fld="74" baseField="0" baseItem="0"/>
    <dataField name="AMMcfp,p 2024" fld="25" baseField="0" baseItem="0"/>
    <dataField name="AMMcfp,p 2025" fld="35" baseField="0" baseItem="0"/>
    <dataField name="AMMcfp,p 2026" fld="45" baseField="0" baseItem="0"/>
    <dataField name="AMMcfp,p 2027" fld="55" baseField="0" baseItem="0"/>
    <dataField name="AMMcfp,p 2028" fld="65" baseField="0" baseItem="0"/>
  </dataFields>
  <formats count="3">
    <format dxfId="149">
      <pivotArea outline="0" collapsedLevelsAreSubtotals="1" fieldPosition="0"/>
    </format>
    <format dxfId="148">
      <pivotArea type="all" dataOnly="0" outline="0" fieldPosition="0"/>
    </format>
    <format dxfId="147">
      <pivotArea type="all" dataOnly="0" outline="0" fieldPosition="0"/>
    </format>
  </formats>
  <pivotTableStyleInfo name="PivotStyleLight16" showRowHeaders="1" showColHeaders="1" showRowStripes="1"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FB412820-CED8-4CA8-BE49-9EC2FB35C044}" name="pIMN" cacheId="1" applyNumberFormats="0" applyBorderFormats="0" applyFontFormats="0" applyPatternFormats="0" applyAlignmentFormats="0" applyWidthHeightFormats="1" dataCaption="Valori" missingCaption="0" updatedVersion="8" minRefreshableVersion="3" showDrill="0" rowGrandTotals="0" colGrandTotals="0" itemPrintTitles="1" createdVersion="4" indent="0" compact="0" compactData="0" multipleFieldFilters="0">
  <location ref="A5:M6" firstHeaderRow="0" firstDataRow="1" firstDataCol="9"/>
  <pivotFields count="18">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
        <item x="0"/>
      </items>
      <extLst>
        <ext xmlns:x14="http://schemas.microsoft.com/office/spreadsheetml/2009/9/main" uri="{2946ED86-A175-432a-8AC1-64E0C546D7DE}">
          <x14:pivotField fillDownLabels="1"/>
        </ext>
      </extLst>
    </pivotField>
    <pivotField compact="0" outline="0" showAll="0" defaultSubtotal="0">
      <items count="1">
        <item x="0"/>
      </items>
      <extLst>
        <ext xmlns:x14="http://schemas.microsoft.com/office/spreadsheetml/2009/9/main" uri="{2946ED86-A175-432a-8AC1-64E0C546D7DE}">
          <x14:pivotField fillDownLabels="1"/>
        </ext>
      </extLst>
    </pivotField>
    <pivotField compact="0" outline="0" showAll="0" defaultSubtotal="0">
      <items count="1">
        <item x="0"/>
      </items>
      <extLst>
        <ext xmlns:x14="http://schemas.microsoft.com/office/spreadsheetml/2009/9/main" uri="{2946ED86-A175-432a-8AC1-64E0C546D7DE}">
          <x14:pivotField fillDownLabels="1"/>
        </ext>
      </extLst>
    </pivotField>
    <pivotField name="ID categoria cespite" axis="axisRow" compact="0" outline="0" showAll="0" defaultSubtotal="0">
      <items count="1">
        <item x="0"/>
      </items>
      <extLst>
        <ext xmlns:x14="http://schemas.microsoft.com/office/spreadsheetml/2009/9/main" uri="{2946ED86-A175-432a-8AC1-64E0C546D7DE}">
          <x14:pivotField fillDownLabels="1"/>
        </ext>
      </extLst>
    </pivotField>
    <pivotField name="Categoria cespite" axis="axisRow" compact="0" outline="0" showAll="0" defaultSubtotal="0">
      <items count="1">
        <item x="0"/>
      </items>
      <extLst>
        <ext xmlns:x14="http://schemas.microsoft.com/office/spreadsheetml/2009/9/main" uri="{2946ED86-A175-432a-8AC1-64E0C546D7DE}">
          <x14:pivotField fillDownLabels="1"/>
        </ext>
      </extLst>
    </pivotField>
    <pivotField name="ID Immobilizzazione" axis="axisRow" compact="0" outline="0" showAll="0" defaultSubtotal="0">
      <items count="1">
        <item x="0"/>
      </items>
      <extLst>
        <ext xmlns:x14="http://schemas.microsoft.com/office/spreadsheetml/2009/9/main" uri="{2946ED86-A175-432a-8AC1-64E0C546D7DE}">
          <x14:pivotField fillDownLabels="1"/>
        </ext>
      </extLst>
    </pivotField>
    <pivotField axis="axisRow" compact="0" outline="0" showAll="0" defaultSubtotal="0">
      <items count="1">
        <item x="0"/>
      </items>
      <extLst>
        <ext xmlns:x14="http://schemas.microsoft.com/office/spreadsheetml/2009/9/main" uri="{2946ED86-A175-432a-8AC1-64E0C546D7DE}">
          <x14:pivotField fillDownLabels="1"/>
        </ext>
      </extLst>
    </pivotField>
    <pivotField name="Anno Cespite" axis="axisRow" compact="0" outline="0" showAll="0" defaultSubtotal="0">
      <items count="1">
        <item x="0"/>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name="Per dismissioni" axis="axisRow" compact="0" outline="0" subtotalTop="0" showAll="0" defaultSubtotal="0">
      <items count="1">
        <item x="0"/>
      </items>
      <extLst>
        <ext xmlns:x14="http://schemas.microsoft.com/office/spreadsheetml/2009/9/main" uri="{2946ED86-A175-432a-8AC1-64E0C546D7DE}">
          <x14:pivotField fillDownLabels="1"/>
        </ext>
      </extLst>
    </pivotField>
    <pivotField axis="axisRow" compact="0" outline="0" subtotalTop="0" showAll="0" defaultSubtotal="0">
      <items count="1">
        <item x="0"/>
      </items>
      <extLst>
        <ext xmlns:x14="http://schemas.microsoft.com/office/spreadsheetml/2009/9/main" uri="{2946ED86-A175-432a-8AC1-64E0C546D7DE}">
          <x14:pivotField fillDownLabels="1"/>
        </ext>
      </extLst>
    </pivotField>
    <pivotField axis="axisRow" compact="0" outline="0" showAll="0" defaultSubtotal="0">
      <items count="1">
        <item x="0"/>
      </items>
      <extLst>
        <ext xmlns:x14="http://schemas.microsoft.com/office/spreadsheetml/2009/9/main" uri="{2946ED86-A175-432a-8AC1-64E0C546D7DE}">
          <x14:pivotField fillDownLabels="1"/>
        </ext>
      </extLst>
    </pivotField>
    <pivotField axis="axisRow" compact="0" outline="0" showAll="0" defaultSubtotal="0">
      <items count="1">
        <item x="0"/>
      </items>
      <extLst>
        <ext xmlns:x14="http://schemas.microsoft.com/office/spreadsheetml/2009/9/main" uri="{2946ED86-A175-432a-8AC1-64E0C546D7DE}">
          <x14:pivotField fillDownLabels="1"/>
        </ext>
      </extLst>
    </pivotField>
  </pivotFields>
  <rowFields count="9">
    <field x="5"/>
    <field x="6"/>
    <field x="7"/>
    <field x="8"/>
    <field x="9"/>
    <field x="14"/>
    <field x="15"/>
    <field x="16"/>
    <field x="17"/>
  </rowFields>
  <rowItems count="1">
    <i>
      <x/>
      <x/>
      <x/>
      <x/>
      <x/>
      <x/>
      <x/>
      <x/>
      <x/>
    </i>
  </rowItems>
  <colFields count="1">
    <field x="-2"/>
  </colFields>
  <colItems count="4">
    <i>
      <x/>
    </i>
    <i i="1">
      <x v="1"/>
    </i>
    <i i="2">
      <x v="2"/>
    </i>
    <i i="3">
      <x v="3"/>
    </i>
  </colItems>
  <dataFields count="4">
    <dataField name="IP " fld="10" baseField="14" baseItem="1" numFmtId="3"/>
    <dataField name="FAIP " fld="11" baseField="14" baseItem="1" numFmtId="3"/>
    <dataField name="CFP " fld="12" baseField="14" baseItem="1" numFmtId="3"/>
    <dataField name="FACFP" fld="13" baseField="14" baseItem="1" numFmtId="3"/>
  </dataFields>
  <formats count="48">
    <format dxfId="146">
      <pivotArea field="4" type="button" dataOnly="0" labelOnly="1" outline="0"/>
    </format>
    <format dxfId="145">
      <pivotArea field="2" type="button" dataOnly="0" labelOnly="1" outline="0"/>
    </format>
    <format dxfId="144">
      <pivotArea field="3" type="button" dataOnly="0" labelOnly="1" outline="0"/>
    </format>
    <format dxfId="143">
      <pivotArea field="5" type="button" dataOnly="0" labelOnly="1" outline="0" axis="axisRow" fieldPosition="0"/>
    </format>
    <format dxfId="142">
      <pivotArea field="6" type="button" dataOnly="0" labelOnly="1" outline="0" axis="axisRow" fieldPosition="1"/>
    </format>
    <format dxfId="141">
      <pivotArea field="7" type="button" dataOnly="0" labelOnly="1" outline="0" axis="axisRow" fieldPosition="2"/>
    </format>
    <format dxfId="140">
      <pivotArea field="8" type="button" dataOnly="0" labelOnly="1" outline="0" axis="axisRow" fieldPosition="3"/>
    </format>
    <format dxfId="139">
      <pivotArea field="9" type="button" dataOnly="0" labelOnly="1" outline="0" axis="axisRow" fieldPosition="4"/>
    </format>
    <format dxfId="138">
      <pivotArea field="17" type="button" dataOnly="0" labelOnly="1" outline="0" axis="axisRow" fieldPosition="8"/>
    </format>
    <format dxfId="137">
      <pivotArea dataOnly="0" labelOnly="1" outline="0" fieldPosition="0">
        <references count="1">
          <reference field="4294967294" count="4">
            <x v="0"/>
            <x v="1"/>
            <x v="2"/>
            <x v="3"/>
          </reference>
        </references>
      </pivotArea>
    </format>
    <format dxfId="136">
      <pivotArea field="4" type="button" dataOnly="0" labelOnly="1" outline="0"/>
    </format>
    <format dxfId="135">
      <pivotArea field="2" type="button" dataOnly="0" labelOnly="1" outline="0"/>
    </format>
    <format dxfId="134">
      <pivotArea field="3" type="button" dataOnly="0" labelOnly="1" outline="0"/>
    </format>
    <format dxfId="133">
      <pivotArea field="5" type="button" dataOnly="0" labelOnly="1" outline="0" axis="axisRow" fieldPosition="0"/>
    </format>
    <format dxfId="132">
      <pivotArea field="6" type="button" dataOnly="0" labelOnly="1" outline="0" axis="axisRow" fieldPosition="1"/>
    </format>
    <format dxfId="131">
      <pivotArea field="7" type="button" dataOnly="0" labelOnly="1" outline="0" axis="axisRow" fieldPosition="2"/>
    </format>
    <format dxfId="130">
      <pivotArea field="8" type="button" dataOnly="0" labelOnly="1" outline="0" axis="axisRow" fieldPosition="3"/>
    </format>
    <format dxfId="129">
      <pivotArea field="9" type="button" dataOnly="0" labelOnly="1" outline="0" axis="axisRow" fieldPosition="4"/>
    </format>
    <format dxfId="128">
      <pivotArea field="17" type="button" dataOnly="0" labelOnly="1" outline="0" axis="axisRow" fieldPosition="8"/>
    </format>
    <format dxfId="127">
      <pivotArea dataOnly="0" labelOnly="1" outline="0" fieldPosition="0">
        <references count="1">
          <reference field="4294967294" count="4">
            <x v="0"/>
            <x v="1"/>
            <x v="2"/>
            <x v="3"/>
          </reference>
        </references>
      </pivotArea>
    </format>
    <format dxfId="126">
      <pivotArea field="4" type="button" dataOnly="0" labelOnly="1" outline="0"/>
    </format>
    <format dxfId="125">
      <pivotArea field="2" type="button" dataOnly="0" labelOnly="1" outline="0"/>
    </format>
    <format dxfId="124">
      <pivotArea field="3" type="button" dataOnly="0" labelOnly="1" outline="0"/>
    </format>
    <format dxfId="123">
      <pivotArea field="5" type="button" dataOnly="0" labelOnly="1" outline="0" axis="axisRow" fieldPosition="0"/>
    </format>
    <format dxfId="122">
      <pivotArea field="6" type="button" dataOnly="0" labelOnly="1" outline="0" axis="axisRow" fieldPosition="1"/>
    </format>
    <format dxfId="121">
      <pivotArea field="7" type="button" dataOnly="0" labelOnly="1" outline="0" axis="axisRow" fieldPosition="2"/>
    </format>
    <format dxfId="120">
      <pivotArea field="8" type="button" dataOnly="0" labelOnly="1" outline="0" axis="axisRow" fieldPosition="3"/>
    </format>
    <format dxfId="119">
      <pivotArea field="9" type="button" dataOnly="0" labelOnly="1" outline="0" axis="axisRow" fieldPosition="4"/>
    </format>
    <format dxfId="118">
      <pivotArea field="17" type="button" dataOnly="0" labelOnly="1" outline="0" axis="axisRow" fieldPosition="8"/>
    </format>
    <format dxfId="117">
      <pivotArea dataOnly="0" labelOnly="1" outline="0" fieldPosition="0">
        <references count="1">
          <reference field="4294967294" count="4">
            <x v="0"/>
            <x v="1"/>
            <x v="2"/>
            <x v="3"/>
          </reference>
        </references>
      </pivotArea>
    </format>
    <format dxfId="116">
      <pivotArea field="4" type="button" dataOnly="0" labelOnly="1" outline="0"/>
    </format>
    <format dxfId="115">
      <pivotArea field="2" type="button" dataOnly="0" labelOnly="1" outline="0"/>
    </format>
    <format dxfId="114">
      <pivotArea field="3" type="button" dataOnly="0" labelOnly="1" outline="0"/>
    </format>
    <format dxfId="113">
      <pivotArea field="5" type="button" dataOnly="0" labelOnly="1" outline="0" axis="axisRow" fieldPosition="0"/>
    </format>
    <format dxfId="112">
      <pivotArea field="6" type="button" dataOnly="0" labelOnly="1" outline="0" axis="axisRow" fieldPosition="1"/>
    </format>
    <format dxfId="111">
      <pivotArea field="7" type="button" dataOnly="0" labelOnly="1" outline="0" axis="axisRow" fieldPosition="2"/>
    </format>
    <format dxfId="110">
      <pivotArea field="8" type="button" dataOnly="0" labelOnly="1" outline="0" axis="axisRow" fieldPosition="3"/>
    </format>
    <format dxfId="109">
      <pivotArea field="9" type="button" dataOnly="0" labelOnly="1" outline="0" axis="axisRow" fieldPosition="4"/>
    </format>
    <format dxfId="108">
      <pivotArea field="17" type="button" dataOnly="0" labelOnly="1" outline="0" axis="axisRow" fieldPosition="8"/>
    </format>
    <format dxfId="107">
      <pivotArea dataOnly="0" labelOnly="1" outline="0" fieldPosition="0">
        <references count="1">
          <reference field="4294967294" count="4">
            <x v="0"/>
            <x v="1"/>
            <x v="2"/>
            <x v="3"/>
          </reference>
        </references>
      </pivotArea>
    </format>
    <format dxfId="106">
      <pivotArea outline="0" fieldPosition="0">
        <references count="1">
          <reference field="4294967294" count="1">
            <x v="0"/>
          </reference>
        </references>
      </pivotArea>
    </format>
    <format dxfId="105">
      <pivotArea outline="0" fieldPosition="0">
        <references count="1">
          <reference field="4294967294" count="1">
            <x v="1"/>
          </reference>
        </references>
      </pivotArea>
    </format>
    <format dxfId="104">
      <pivotArea outline="0" fieldPosition="0">
        <references count="1">
          <reference field="4294967294" count="1">
            <x v="2"/>
          </reference>
        </references>
      </pivotArea>
    </format>
    <format dxfId="103">
      <pivotArea outline="0" fieldPosition="0">
        <references count="1">
          <reference field="4294967294" count="1">
            <x v="3"/>
          </reference>
        </references>
      </pivotArea>
    </format>
    <format dxfId="102">
      <pivotArea type="all" dataOnly="0" outline="0" fieldPosition="0"/>
    </format>
    <format dxfId="101">
      <pivotArea type="all" dataOnly="0" outline="0" fieldPosition="0"/>
    </format>
    <format dxfId="100">
      <pivotArea type="all" dataOnly="0" outline="0" fieldPosition="0"/>
    </format>
    <format dxfId="99">
      <pivotArea type="all" dataOnly="0" outline="0" fieldPosition="0"/>
    </format>
  </formats>
  <pivotTableStyleInfo name="PivotStyleLight2" showRowHeaders="0" showColHeaders="1" showRowStripes="1"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drawing" Target="../drawings/drawing4.xml"/><Relationship Id="rId4" Type="http://schemas.openxmlformats.org/officeDocument/2006/relationships/printerSettings" Target="../printerSettings/printerSettings5.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drawing" Target="../drawings/drawing5.xml"/><Relationship Id="rId4" Type="http://schemas.openxmlformats.org/officeDocument/2006/relationships/printerSettings" Target="../printerSettings/printerSettings9.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4.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comments" Target="../comments2.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vmlDrawing" Target="../drawings/vmlDrawing2.vml"/><Relationship Id="rId5" Type="http://schemas.openxmlformats.org/officeDocument/2006/relationships/drawing" Target="../drawings/drawing6.xml"/><Relationship Id="rId4" Type="http://schemas.openxmlformats.org/officeDocument/2006/relationships/printerSettings" Target="../printerSettings/printerSettings18.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19.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2.bin"/><Relationship Id="rId7" Type="http://schemas.openxmlformats.org/officeDocument/2006/relationships/comments" Target="../comments4.xml"/><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vmlDrawing" Target="../drawings/vmlDrawing4.vml"/><Relationship Id="rId5" Type="http://schemas.openxmlformats.org/officeDocument/2006/relationships/drawing" Target="../drawings/drawing8.xml"/><Relationship Id="rId4" Type="http://schemas.openxmlformats.org/officeDocument/2006/relationships/printerSettings" Target="../printerSettings/printerSettings23.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 Id="rId5" Type="http://schemas.openxmlformats.org/officeDocument/2006/relationships/drawing" Target="../drawings/drawing9.xml"/><Relationship Id="rId4" Type="http://schemas.openxmlformats.org/officeDocument/2006/relationships/printerSettings" Target="../printerSettings/printerSettings27.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5" Type="http://schemas.openxmlformats.org/officeDocument/2006/relationships/drawing" Target="../drawings/drawing10.xml"/><Relationship Id="rId4" Type="http://schemas.openxmlformats.org/officeDocument/2006/relationships/printerSettings" Target="../printerSettings/printerSettings31.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printerSettings" Target="../printerSettings/printerSettings33.bin"/><Relationship Id="rId1" Type="http://schemas.openxmlformats.org/officeDocument/2006/relationships/printerSettings" Target="../printerSettings/printerSettings32.bin"/><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 Id="rId5" Type="http://schemas.openxmlformats.org/officeDocument/2006/relationships/drawing" Target="../drawings/drawing12.xml"/><Relationship Id="rId4" Type="http://schemas.openxmlformats.org/officeDocument/2006/relationships/printerSettings" Target="../printerSettings/printerSettings38.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 Id="rId5" Type="http://schemas.openxmlformats.org/officeDocument/2006/relationships/drawing" Target="../drawings/drawing13.xml"/><Relationship Id="rId4" Type="http://schemas.openxmlformats.org/officeDocument/2006/relationships/printerSettings" Target="../printerSettings/printerSettings42.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45.bin"/><Relationship Id="rId7" Type="http://schemas.openxmlformats.org/officeDocument/2006/relationships/comments" Target="../comments5.xml"/><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 Id="rId6" Type="http://schemas.openxmlformats.org/officeDocument/2006/relationships/vmlDrawing" Target="../drawings/vmlDrawing5.vml"/><Relationship Id="rId5" Type="http://schemas.openxmlformats.org/officeDocument/2006/relationships/drawing" Target="../drawings/drawing14.xml"/><Relationship Id="rId4" Type="http://schemas.openxmlformats.org/officeDocument/2006/relationships/printerSettings" Target="../printerSettings/printerSettings46.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5.xml"/><Relationship Id="rId1" Type="http://schemas.openxmlformats.org/officeDocument/2006/relationships/printerSettings" Target="../printerSettings/printerSettings47.bin"/><Relationship Id="rId4" Type="http://schemas.openxmlformats.org/officeDocument/2006/relationships/comments" Target="../comments6.xm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50.bin"/><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 Id="rId6" Type="http://schemas.openxmlformats.org/officeDocument/2006/relationships/vmlDrawing" Target="../drawings/vmlDrawing7.vml"/><Relationship Id="rId5" Type="http://schemas.openxmlformats.org/officeDocument/2006/relationships/drawing" Target="../drawings/drawing16.xml"/><Relationship Id="rId4" Type="http://schemas.openxmlformats.org/officeDocument/2006/relationships/printerSettings" Target="../printerSettings/printerSettings51.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printerSettings" Target="../printerSettings/printerSettings53.bin"/><Relationship Id="rId1" Type="http://schemas.openxmlformats.org/officeDocument/2006/relationships/printerSettings" Target="../printerSettings/printerSettings52.bin"/><Relationship Id="rId5" Type="http://schemas.openxmlformats.org/officeDocument/2006/relationships/drawing" Target="../drawings/drawing17.xml"/><Relationship Id="rId4" Type="http://schemas.openxmlformats.org/officeDocument/2006/relationships/printerSettings" Target="../printerSettings/printerSettings55.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58.bin"/><Relationship Id="rId2" Type="http://schemas.openxmlformats.org/officeDocument/2006/relationships/printerSettings" Target="../printerSettings/printerSettings57.bin"/><Relationship Id="rId1" Type="http://schemas.openxmlformats.org/officeDocument/2006/relationships/printerSettings" Target="../printerSettings/printerSettings56.bin"/><Relationship Id="rId5" Type="http://schemas.openxmlformats.org/officeDocument/2006/relationships/drawing" Target="../drawings/drawing18.xml"/><Relationship Id="rId4" Type="http://schemas.openxmlformats.org/officeDocument/2006/relationships/printerSettings" Target="../printerSettings/printerSettings59.bin"/></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62.bin"/><Relationship Id="rId7" Type="http://schemas.openxmlformats.org/officeDocument/2006/relationships/comments" Target="../comments7.xml"/><Relationship Id="rId2" Type="http://schemas.openxmlformats.org/officeDocument/2006/relationships/printerSettings" Target="../printerSettings/printerSettings61.bin"/><Relationship Id="rId1" Type="http://schemas.openxmlformats.org/officeDocument/2006/relationships/printerSettings" Target="../printerSettings/printerSettings60.bin"/><Relationship Id="rId6" Type="http://schemas.openxmlformats.org/officeDocument/2006/relationships/vmlDrawing" Target="../drawings/vmlDrawing8.vml"/><Relationship Id="rId5" Type="http://schemas.openxmlformats.org/officeDocument/2006/relationships/drawing" Target="../drawings/drawing19.xml"/><Relationship Id="rId4" Type="http://schemas.openxmlformats.org/officeDocument/2006/relationships/printerSettings" Target="../printerSettings/printerSettings6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20.xml"/><Relationship Id="rId1" Type="http://schemas.openxmlformats.org/officeDocument/2006/relationships/printerSettings" Target="../printerSettings/printerSettings65.bin"/><Relationship Id="rId4" Type="http://schemas.openxmlformats.org/officeDocument/2006/relationships/comments" Target="../comments8.xm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68.bin"/><Relationship Id="rId2" Type="http://schemas.openxmlformats.org/officeDocument/2006/relationships/printerSettings" Target="../printerSettings/printerSettings67.bin"/><Relationship Id="rId1" Type="http://schemas.openxmlformats.org/officeDocument/2006/relationships/printerSettings" Target="../printerSettings/printerSettings66.bin"/><Relationship Id="rId5" Type="http://schemas.openxmlformats.org/officeDocument/2006/relationships/drawing" Target="../drawings/drawing21.xml"/><Relationship Id="rId4" Type="http://schemas.openxmlformats.org/officeDocument/2006/relationships/printerSettings" Target="../printerSettings/printerSettings69.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22.xml"/><Relationship Id="rId1" Type="http://schemas.openxmlformats.org/officeDocument/2006/relationships/printerSettings" Target="../printerSettings/printerSettings70.bin"/><Relationship Id="rId4" Type="http://schemas.openxmlformats.org/officeDocument/2006/relationships/comments" Target="../comments9.xm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73.bin"/><Relationship Id="rId7" Type="http://schemas.openxmlformats.org/officeDocument/2006/relationships/comments" Target="../comments10.xml"/><Relationship Id="rId2" Type="http://schemas.openxmlformats.org/officeDocument/2006/relationships/printerSettings" Target="../printerSettings/printerSettings72.bin"/><Relationship Id="rId1" Type="http://schemas.openxmlformats.org/officeDocument/2006/relationships/printerSettings" Target="../printerSettings/printerSettings71.bin"/><Relationship Id="rId6" Type="http://schemas.openxmlformats.org/officeDocument/2006/relationships/vmlDrawing" Target="../drawings/vmlDrawing11.vml"/><Relationship Id="rId5" Type="http://schemas.openxmlformats.org/officeDocument/2006/relationships/drawing" Target="../drawings/drawing23.xml"/><Relationship Id="rId4" Type="http://schemas.openxmlformats.org/officeDocument/2006/relationships/printerSettings" Target="../printerSettings/printerSettings74.bin"/></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77.bin"/><Relationship Id="rId2" Type="http://schemas.openxmlformats.org/officeDocument/2006/relationships/printerSettings" Target="../printerSettings/printerSettings76.bin"/><Relationship Id="rId1" Type="http://schemas.openxmlformats.org/officeDocument/2006/relationships/printerSettings" Target="../printerSettings/printerSettings75.bin"/><Relationship Id="rId6" Type="http://schemas.openxmlformats.org/officeDocument/2006/relationships/comments" Target="../comments11.xml"/><Relationship Id="rId5" Type="http://schemas.openxmlformats.org/officeDocument/2006/relationships/vmlDrawing" Target="../drawings/vmlDrawing12.vml"/><Relationship Id="rId4"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80.bin"/><Relationship Id="rId2" Type="http://schemas.openxmlformats.org/officeDocument/2006/relationships/printerSettings" Target="../printerSettings/printerSettings79.bin"/><Relationship Id="rId1" Type="http://schemas.openxmlformats.org/officeDocument/2006/relationships/printerSettings" Target="../printerSettings/printerSettings78.bin"/><Relationship Id="rId6" Type="http://schemas.openxmlformats.org/officeDocument/2006/relationships/comments" Target="../comments12.xml"/><Relationship Id="rId5" Type="http://schemas.openxmlformats.org/officeDocument/2006/relationships/vmlDrawing" Target="../drawings/vmlDrawing13.vml"/><Relationship Id="rId4"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81.bin"/></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83.bin"/><Relationship Id="rId2" Type="http://schemas.openxmlformats.org/officeDocument/2006/relationships/printerSettings" Target="../printerSettings/printerSettings82.bin"/><Relationship Id="rId1" Type="http://schemas.openxmlformats.org/officeDocument/2006/relationships/pivotTable" Target="../pivotTables/pivotTable1.xml"/><Relationship Id="rId6" Type="http://schemas.openxmlformats.org/officeDocument/2006/relationships/drawing" Target="../drawings/drawing27.xml"/><Relationship Id="rId5" Type="http://schemas.openxmlformats.org/officeDocument/2006/relationships/printerSettings" Target="../printerSettings/printerSettings85.bin"/><Relationship Id="rId4" Type="http://schemas.openxmlformats.org/officeDocument/2006/relationships/printerSettings" Target="../printerSettings/printerSettings84.bin"/></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88.bin"/><Relationship Id="rId2" Type="http://schemas.openxmlformats.org/officeDocument/2006/relationships/printerSettings" Target="../printerSettings/printerSettings87.bin"/><Relationship Id="rId1" Type="http://schemas.openxmlformats.org/officeDocument/2006/relationships/printerSettings" Target="../printerSettings/printerSettings86.bin"/></Relationships>
</file>

<file path=xl/worksheets/_rels/sheet30.xml.rels><?xml version="1.0" encoding="UTF-8" standalone="yes"?>
<Relationships xmlns="http://schemas.openxmlformats.org/package/2006/relationships"><Relationship Id="rId8" Type="http://schemas.openxmlformats.org/officeDocument/2006/relationships/comments" Target="../comments13.xml"/><Relationship Id="rId3" Type="http://schemas.openxmlformats.org/officeDocument/2006/relationships/printerSettings" Target="../printerSettings/printerSettings90.bin"/><Relationship Id="rId7" Type="http://schemas.openxmlformats.org/officeDocument/2006/relationships/vmlDrawing" Target="../drawings/vmlDrawing14.vml"/><Relationship Id="rId2" Type="http://schemas.openxmlformats.org/officeDocument/2006/relationships/printerSettings" Target="../printerSettings/printerSettings89.bin"/><Relationship Id="rId1" Type="http://schemas.openxmlformats.org/officeDocument/2006/relationships/pivotTable" Target="../pivotTables/pivotTable2.xml"/><Relationship Id="rId6" Type="http://schemas.openxmlformats.org/officeDocument/2006/relationships/drawing" Target="../drawings/drawing28.xml"/><Relationship Id="rId5" Type="http://schemas.openxmlformats.org/officeDocument/2006/relationships/printerSettings" Target="../printerSettings/printerSettings92.bin"/><Relationship Id="rId4" Type="http://schemas.openxmlformats.org/officeDocument/2006/relationships/printerSettings" Target="../printerSettings/printerSettings91.bin"/></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95.bin"/><Relationship Id="rId2" Type="http://schemas.openxmlformats.org/officeDocument/2006/relationships/printerSettings" Target="../printerSettings/printerSettings94.bin"/><Relationship Id="rId1" Type="http://schemas.openxmlformats.org/officeDocument/2006/relationships/printerSettings" Target="../printerSettings/printerSettings93.bin"/><Relationship Id="rId5" Type="http://schemas.openxmlformats.org/officeDocument/2006/relationships/drawing" Target="../drawings/drawing29.xml"/><Relationship Id="rId4" Type="http://schemas.openxmlformats.org/officeDocument/2006/relationships/printerSettings" Target="../printerSettings/printerSettings96.bin"/></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99.bin"/><Relationship Id="rId7" Type="http://schemas.openxmlformats.org/officeDocument/2006/relationships/comments" Target="../comments14.xml"/><Relationship Id="rId2" Type="http://schemas.openxmlformats.org/officeDocument/2006/relationships/printerSettings" Target="../printerSettings/printerSettings98.bin"/><Relationship Id="rId1" Type="http://schemas.openxmlformats.org/officeDocument/2006/relationships/printerSettings" Target="../printerSettings/printerSettings97.bin"/><Relationship Id="rId6" Type="http://schemas.openxmlformats.org/officeDocument/2006/relationships/vmlDrawing" Target="../drawings/vmlDrawing15.vml"/><Relationship Id="rId5" Type="http://schemas.openxmlformats.org/officeDocument/2006/relationships/drawing" Target="../drawings/drawing30.xml"/><Relationship Id="rId4" Type="http://schemas.openxmlformats.org/officeDocument/2006/relationships/printerSettings" Target="../printerSettings/printerSettings100.bin"/></Relationships>
</file>

<file path=xl/worksheets/_rels/sheet33.xml.rels><?xml version="1.0" encoding="UTF-8" standalone="yes"?>
<Relationships xmlns="http://schemas.openxmlformats.org/package/2006/relationships"><Relationship Id="rId3" Type="http://schemas.openxmlformats.org/officeDocument/2006/relationships/printerSettings" Target="../printerSettings/printerSettings103.bin"/><Relationship Id="rId2" Type="http://schemas.openxmlformats.org/officeDocument/2006/relationships/printerSettings" Target="../printerSettings/printerSettings102.bin"/><Relationship Id="rId1" Type="http://schemas.openxmlformats.org/officeDocument/2006/relationships/printerSettings" Target="../printerSettings/printerSettings101.bin"/><Relationship Id="rId5" Type="http://schemas.openxmlformats.org/officeDocument/2006/relationships/drawing" Target="../drawings/drawing31.xml"/><Relationship Id="rId4" Type="http://schemas.openxmlformats.org/officeDocument/2006/relationships/printerSettings" Target="../printerSettings/printerSettings104.bin"/></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107.bin"/><Relationship Id="rId2" Type="http://schemas.openxmlformats.org/officeDocument/2006/relationships/printerSettings" Target="../printerSettings/printerSettings106.bin"/><Relationship Id="rId1" Type="http://schemas.openxmlformats.org/officeDocument/2006/relationships/printerSettings" Target="../printerSettings/printerSettings105.bin"/><Relationship Id="rId5" Type="http://schemas.openxmlformats.org/officeDocument/2006/relationships/drawing" Target="../drawings/drawing32.xml"/><Relationship Id="rId4" Type="http://schemas.openxmlformats.org/officeDocument/2006/relationships/printerSettings" Target="../printerSettings/printerSettings108.bin"/></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111.bin"/><Relationship Id="rId2" Type="http://schemas.openxmlformats.org/officeDocument/2006/relationships/printerSettings" Target="../printerSettings/printerSettings110.bin"/><Relationship Id="rId1" Type="http://schemas.openxmlformats.org/officeDocument/2006/relationships/printerSettings" Target="../printerSettings/printerSettings109.bin"/><Relationship Id="rId5" Type="http://schemas.openxmlformats.org/officeDocument/2006/relationships/drawing" Target="../drawings/drawing33.xml"/><Relationship Id="rId4" Type="http://schemas.openxmlformats.org/officeDocument/2006/relationships/printerSettings" Target="../printerSettings/printerSettings112.bin"/></Relationships>
</file>

<file path=xl/worksheets/_rels/sheet36.xml.rels><?xml version="1.0" encoding="UTF-8" standalone="yes"?>
<Relationships xmlns="http://schemas.openxmlformats.org/package/2006/relationships"><Relationship Id="rId3" Type="http://schemas.openxmlformats.org/officeDocument/2006/relationships/printerSettings" Target="../printerSettings/printerSettings115.bin"/><Relationship Id="rId7" Type="http://schemas.openxmlformats.org/officeDocument/2006/relationships/comments" Target="../comments15.xml"/><Relationship Id="rId2" Type="http://schemas.openxmlformats.org/officeDocument/2006/relationships/printerSettings" Target="../printerSettings/printerSettings114.bin"/><Relationship Id="rId1" Type="http://schemas.openxmlformats.org/officeDocument/2006/relationships/printerSettings" Target="../printerSettings/printerSettings113.bin"/><Relationship Id="rId6" Type="http://schemas.openxmlformats.org/officeDocument/2006/relationships/vmlDrawing" Target="../drawings/vmlDrawing16.vml"/><Relationship Id="rId5" Type="http://schemas.openxmlformats.org/officeDocument/2006/relationships/drawing" Target="../drawings/drawing34.xml"/><Relationship Id="rId4" Type="http://schemas.openxmlformats.org/officeDocument/2006/relationships/printerSettings" Target="../printerSettings/printerSettings11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119.bin"/><Relationship Id="rId2" Type="http://schemas.openxmlformats.org/officeDocument/2006/relationships/printerSettings" Target="../printerSettings/printerSettings118.bin"/><Relationship Id="rId1" Type="http://schemas.openxmlformats.org/officeDocument/2006/relationships/printerSettings" Target="../printerSettings/printerSettings117.bin"/><Relationship Id="rId5" Type="http://schemas.openxmlformats.org/officeDocument/2006/relationships/drawing" Target="../drawings/drawing35.xml"/><Relationship Id="rId4" Type="http://schemas.openxmlformats.org/officeDocument/2006/relationships/printerSettings" Target="../printerSettings/printerSettings120.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21.bin"/></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124.bin"/><Relationship Id="rId2" Type="http://schemas.openxmlformats.org/officeDocument/2006/relationships/printerSettings" Target="../printerSettings/printerSettings123.bin"/><Relationship Id="rId1" Type="http://schemas.openxmlformats.org/officeDocument/2006/relationships/printerSettings" Target="../printerSettings/printerSettings122.bin"/><Relationship Id="rId4" Type="http://schemas.openxmlformats.org/officeDocument/2006/relationships/printerSettings" Target="../printerSettings/printerSettings125.bin"/></Relationships>
</file>

<file path=xl/worksheets/_rels/sheet40.xml.rels><?xml version="1.0" encoding="UTF-8" standalone="yes"?>
<Relationships xmlns="http://schemas.openxmlformats.org/package/2006/relationships"><Relationship Id="rId3" Type="http://schemas.openxmlformats.org/officeDocument/2006/relationships/printerSettings" Target="../printerSettings/printerSettings128.bin"/><Relationship Id="rId2" Type="http://schemas.openxmlformats.org/officeDocument/2006/relationships/printerSettings" Target="../printerSettings/printerSettings127.bin"/><Relationship Id="rId1" Type="http://schemas.openxmlformats.org/officeDocument/2006/relationships/printerSettings" Target="../printerSettings/printerSettings126.bin"/></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131.bin"/><Relationship Id="rId2" Type="http://schemas.openxmlformats.org/officeDocument/2006/relationships/printerSettings" Target="../printerSettings/printerSettings130.bin"/><Relationship Id="rId1" Type="http://schemas.openxmlformats.org/officeDocument/2006/relationships/printerSettings" Target="../printerSettings/printerSettings129.bin"/><Relationship Id="rId4" Type="http://schemas.openxmlformats.org/officeDocument/2006/relationships/drawing" Target="../drawings/drawing37.xm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134.bin"/><Relationship Id="rId2" Type="http://schemas.openxmlformats.org/officeDocument/2006/relationships/printerSettings" Target="../printerSettings/printerSettings133.bin"/><Relationship Id="rId1" Type="http://schemas.openxmlformats.org/officeDocument/2006/relationships/printerSettings" Target="../printerSettings/printerSettings132.bin"/><Relationship Id="rId4" Type="http://schemas.openxmlformats.org/officeDocument/2006/relationships/printerSettings" Target="../printerSettings/printerSettings135.bin"/></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138.bin"/><Relationship Id="rId2" Type="http://schemas.openxmlformats.org/officeDocument/2006/relationships/printerSettings" Target="../printerSettings/printerSettings137.bin"/><Relationship Id="rId1" Type="http://schemas.openxmlformats.org/officeDocument/2006/relationships/printerSettings" Target="../printerSettings/printerSettings136.bin"/><Relationship Id="rId4" Type="http://schemas.openxmlformats.org/officeDocument/2006/relationships/printerSettings" Target="../printerSettings/printerSettings139.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140.bin"/></Relationships>
</file>

<file path=xl/worksheets/_rels/sheet45.xml.rels><?xml version="1.0" encoding="UTF-8" standalone="yes"?>
<Relationships xmlns="http://schemas.openxmlformats.org/package/2006/relationships"><Relationship Id="rId3" Type="http://schemas.openxmlformats.org/officeDocument/2006/relationships/printerSettings" Target="../printerSettings/printerSettings143.bin"/><Relationship Id="rId2" Type="http://schemas.openxmlformats.org/officeDocument/2006/relationships/printerSettings" Target="../printerSettings/printerSettings142.bin"/><Relationship Id="rId1" Type="http://schemas.openxmlformats.org/officeDocument/2006/relationships/printerSettings" Target="../printerSettings/printerSettings141.bin"/><Relationship Id="rId4" Type="http://schemas.openxmlformats.org/officeDocument/2006/relationships/printerSettings" Target="../printerSettings/printerSettings144.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147.bin"/><Relationship Id="rId2" Type="http://schemas.openxmlformats.org/officeDocument/2006/relationships/printerSettings" Target="../printerSettings/printerSettings146.bin"/><Relationship Id="rId1" Type="http://schemas.openxmlformats.org/officeDocument/2006/relationships/printerSettings" Target="../printerSettings/printerSettings145.bin"/><Relationship Id="rId4" Type="http://schemas.openxmlformats.org/officeDocument/2006/relationships/printerSettings" Target="../printerSettings/printerSettings148.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149.bin"/></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152.bin"/><Relationship Id="rId2" Type="http://schemas.openxmlformats.org/officeDocument/2006/relationships/printerSettings" Target="../printerSettings/printerSettings151.bin"/><Relationship Id="rId1" Type="http://schemas.openxmlformats.org/officeDocument/2006/relationships/printerSettings" Target="../printerSettings/printerSettings150.bin"/><Relationship Id="rId4" Type="http://schemas.openxmlformats.org/officeDocument/2006/relationships/printerSettings" Target="../printerSettings/printerSettings153.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154.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155.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38.xml"/><Relationship Id="rId1" Type="http://schemas.openxmlformats.org/officeDocument/2006/relationships/printerSettings" Target="../printerSettings/printerSettings156.bin"/><Relationship Id="rId6" Type="http://schemas.openxmlformats.org/officeDocument/2006/relationships/comments" Target="../comments16.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39.xml"/><Relationship Id="rId1" Type="http://schemas.openxmlformats.org/officeDocument/2006/relationships/printerSettings" Target="../printerSettings/printerSettings157.bin"/><Relationship Id="rId6" Type="http://schemas.openxmlformats.org/officeDocument/2006/relationships/comments" Target="../comments17.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40.xml"/><Relationship Id="rId1" Type="http://schemas.openxmlformats.org/officeDocument/2006/relationships/printerSettings" Target="../printerSettings/printerSettings158.bin"/><Relationship Id="rId6" Type="http://schemas.openxmlformats.org/officeDocument/2006/relationships/comments" Target="../comments18.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159.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160.bin"/></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41.xml"/><Relationship Id="rId1" Type="http://schemas.openxmlformats.org/officeDocument/2006/relationships/printerSettings" Target="../printerSettings/printerSettings161.bin"/><Relationship Id="rId4" Type="http://schemas.openxmlformats.org/officeDocument/2006/relationships/comments" Target="../comments19.xml"/></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62.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63.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64.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65.bin"/></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46.xml"/><Relationship Id="rId1" Type="http://schemas.openxmlformats.org/officeDocument/2006/relationships/printerSettings" Target="../printerSettings/printerSettings166.bin"/><Relationship Id="rId4" Type="http://schemas.openxmlformats.org/officeDocument/2006/relationships/comments" Target="../comments20.xml"/></Relationships>
</file>

<file path=xl/worksheets/_rels/sheet62.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2.vml"/><Relationship Id="rId1" Type="http://schemas.openxmlformats.org/officeDocument/2006/relationships/printerSettings" Target="../printerSettings/printerSettings16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45"/>
  <dimension ref="A1:E14"/>
  <sheetViews>
    <sheetView showGridLines="0" zoomScale="85" zoomScaleNormal="85" workbookViewId="0">
      <selection activeCell="F10" sqref="F10"/>
    </sheetView>
  </sheetViews>
  <sheetFormatPr defaultRowHeight="15"/>
  <cols>
    <col min="1" max="1" width="15" bestFit="1" customWidth="1"/>
    <col min="2" max="2" width="16.5703125" bestFit="1" customWidth="1"/>
    <col min="3" max="3" width="3.42578125" customWidth="1"/>
    <col min="4" max="4" width="26.42578125" bestFit="1" customWidth="1"/>
    <col min="5" max="5" width="30.5703125" bestFit="1" customWidth="1"/>
    <col min="15" max="15" width="23" bestFit="1" customWidth="1"/>
  </cols>
  <sheetData>
    <row r="1" spans="1:5" ht="18.75">
      <c r="A1" s="428" t="s">
        <v>243</v>
      </c>
      <c r="B1" s="428" t="s">
        <v>9</v>
      </c>
      <c r="C1" s="429"/>
      <c r="D1" s="430" t="s">
        <v>24977</v>
      </c>
      <c r="E1" s="431" t="s">
        <v>24976</v>
      </c>
    </row>
    <row r="2" spans="1:5">
      <c r="A2" s="428">
        <f>idato</f>
        <v>0</v>
      </c>
      <c r="B2" s="428">
        <f>Codice_ARERA</f>
        <v>0</v>
      </c>
      <c r="D2" s="432" t="str">
        <f>IF(A2*B2&gt;0,"SI","NO")</f>
        <v>NO</v>
      </c>
      <c r="E2" s="433" t="s">
        <v>133</v>
      </c>
    </row>
    <row r="3" spans="1:5">
      <c r="C3" s="434"/>
      <c r="D3" s="430" t="s">
        <v>24978</v>
      </c>
      <c r="E3" s="338"/>
    </row>
    <row r="4" spans="1:5">
      <c r="A4" s="927"/>
      <c r="D4" s="435">
        <v>0</v>
      </c>
    </row>
    <row r="5" spans="1:5">
      <c r="A5" s="927"/>
      <c r="D5" s="436" t="s">
        <v>24979</v>
      </c>
    </row>
    <row r="7" spans="1:5">
      <c r="D7" t="s">
        <v>25124</v>
      </c>
    </row>
    <row r="8" spans="1:5">
      <c r="D8" s="591" t="s">
        <v>26512</v>
      </c>
    </row>
    <row r="10" spans="1:5">
      <c r="D10" s="714" t="s">
        <v>133</v>
      </c>
    </row>
    <row r="13" spans="1:5">
      <c r="D13" s="985" t="s">
        <v>26511</v>
      </c>
    </row>
    <row r="14" spans="1:5">
      <c r="D14" s="986" t="s">
        <v>26479</v>
      </c>
    </row>
  </sheetData>
  <sheetProtection algorithmName="SHA-512" hashValue="oAAwgT99Maqkz2i2bubzmc/Qxb1vwvxsjIPlOZ49nqRjXIQbNrLrB6ziyAutzazXDkF2+pJz5gPFDRoK/EJvEw==" saltValue="3Wv+f06EtvxxY4iHcxRm7w==" spinCount="100000" sheet="1" objects="1" scenarios="1"/>
  <customSheetViews>
    <customSheetView guid="{849F61E1-F6D3-48F4-A6FF-68F8FE186D80}" scale="85" state="hidden">
      <selection activeCell="D13" sqref="D13"/>
      <pageMargins left="0.7" right="0.7" top="0.75" bottom="0.75" header="0.3" footer="0.3"/>
    </customSheetView>
    <customSheetView guid="{83029BA9-344F-4783-B8F2-6704FB40A582}" scale="85">
      <selection activeCell="D13" sqref="D13"/>
      <pageMargins left="0.7" right="0.7" top="0.75" bottom="0.75" header="0.3" footer="0.3"/>
    </customSheetView>
  </customSheetView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glio2">
    <tabColor theme="7" tint="0.79998168889431442"/>
    <pageSetUpPr fitToPage="1"/>
  </sheetPr>
  <dimension ref="A1:R68"/>
  <sheetViews>
    <sheetView showGridLines="0" tabSelected="1" zoomScale="85" zoomScaleNormal="85" workbookViewId="0">
      <pane ySplit="8" topLeftCell="A9" activePane="bottomLeft" state="frozen"/>
      <selection activeCell="T79" sqref="T79"/>
      <selection pane="bottomLeft" activeCell="C17" sqref="C17:F17"/>
    </sheetView>
  </sheetViews>
  <sheetFormatPr defaultColWidth="9.42578125" defaultRowHeight="15"/>
  <cols>
    <col min="1" max="1" width="6.5703125" customWidth="1"/>
    <col min="2" max="2" width="9.5703125" customWidth="1"/>
    <col min="3" max="3" width="27.42578125" customWidth="1"/>
    <col min="4" max="4" width="0.5703125" customWidth="1"/>
    <col min="5" max="5" width="12.42578125" customWidth="1"/>
    <col min="6" max="6" width="48.42578125" customWidth="1"/>
    <col min="7" max="7" width="26" hidden="1" customWidth="1"/>
    <col min="8" max="8" width="17" hidden="1" customWidth="1"/>
    <col min="9" max="9" width="26.42578125" hidden="1" customWidth="1"/>
    <col min="10" max="10" width="6.5703125" customWidth="1"/>
    <col min="11" max="11" width="9.5703125" customWidth="1"/>
    <col min="12" max="12" width="27.42578125" customWidth="1"/>
    <col min="13" max="13" width="0.5703125" customWidth="1"/>
    <col min="14" max="14" width="12.42578125" customWidth="1"/>
    <col min="15" max="15" width="47.5703125" customWidth="1"/>
    <col min="16" max="16" width="29.5703125" hidden="1" customWidth="1"/>
    <col min="17" max="17" width="16" hidden="1" customWidth="1"/>
    <col min="18" max="18" width="32.5703125" hidden="1" customWidth="1"/>
    <col min="19" max="19" width="26.5703125" customWidth="1"/>
    <col min="20" max="20" width="16" customWidth="1"/>
    <col min="21" max="21" width="32.5703125" customWidth="1"/>
  </cols>
  <sheetData>
    <row r="1" spans="1:18" ht="25.35" customHeight="1">
      <c r="A1" s="261"/>
      <c r="B1" s="300" t="s">
        <v>240</v>
      </c>
      <c r="C1" s="571"/>
      <c r="D1" s="571"/>
      <c r="E1" s="571"/>
      <c r="F1" s="1620" t="s">
        <v>25126</v>
      </c>
      <c r="K1" s="300" t="s">
        <v>29973</v>
      </c>
      <c r="L1" s="75"/>
    </row>
    <row r="2" spans="1:18" ht="15" customHeight="1">
      <c r="A2" s="507"/>
      <c r="B2" s="3564" t="s">
        <v>241</v>
      </c>
      <c r="C2" s="3564"/>
      <c r="D2" s="572"/>
      <c r="E2" s="3564" t="s">
        <v>242</v>
      </c>
      <c r="F2" s="3564"/>
      <c r="M2" s="573"/>
    </row>
    <row r="3" spans="1:18" ht="24" hidden="1">
      <c r="A3" s="571"/>
      <c r="B3" s="574" t="s">
        <v>243</v>
      </c>
      <c r="C3" s="575" t="s">
        <v>241</v>
      </c>
      <c r="D3" s="576" t="s">
        <v>244</v>
      </c>
      <c r="E3" s="574" t="s">
        <v>9</v>
      </c>
      <c r="F3" s="575" t="s">
        <v>245</v>
      </c>
      <c r="H3" s="577" t="s">
        <v>246</v>
      </c>
      <c r="M3" s="573"/>
    </row>
    <row r="4" spans="1:18" ht="27.75" customHeight="1">
      <c r="A4" s="571"/>
      <c r="B4" s="1622"/>
      <c r="C4" s="1623"/>
      <c r="D4" s="301"/>
      <c r="E4" s="1622"/>
      <c r="F4" s="1623"/>
      <c r="H4" s="577" t="s">
        <v>31482</v>
      </c>
      <c r="M4" s="573"/>
    </row>
    <row r="5" spans="1:18" ht="15" customHeight="1">
      <c r="A5" s="507"/>
      <c r="B5" s="507"/>
      <c r="C5" s="507"/>
      <c r="D5" s="507"/>
      <c r="E5" s="507"/>
      <c r="F5" s="507"/>
      <c r="L5" s="103"/>
      <c r="M5" s="573"/>
    </row>
    <row r="6" spans="1:18" ht="15" customHeight="1">
      <c r="A6" s="507"/>
      <c r="C6" s="507"/>
      <c r="D6" s="507"/>
      <c r="E6" s="507"/>
      <c r="F6" s="1621" t="s">
        <v>31481</v>
      </c>
      <c r="M6" s="573"/>
    </row>
    <row r="7" spans="1:18" ht="28.5" customHeight="1">
      <c r="A7" s="507"/>
      <c r="B7" s="507"/>
      <c r="C7" s="507"/>
      <c r="D7" s="507"/>
      <c r="E7" s="507"/>
      <c r="F7" s="585"/>
    </row>
    <row r="8" spans="1:18" ht="47.25" customHeight="1" thickBot="1">
      <c r="A8" s="571"/>
      <c r="B8" s="578" t="s">
        <v>25117</v>
      </c>
      <c r="C8" s="579" t="s">
        <v>247</v>
      </c>
      <c r="D8" s="571"/>
      <c r="E8" s="507"/>
      <c r="F8" s="507"/>
      <c r="G8" t="s">
        <v>248</v>
      </c>
      <c r="I8" s="580" t="s">
        <v>24884</v>
      </c>
      <c r="K8" s="578" t="s">
        <v>25117</v>
      </c>
      <c r="L8" s="579" t="s">
        <v>247</v>
      </c>
      <c r="M8" s="571"/>
      <c r="N8" s="507"/>
      <c r="O8" s="507"/>
      <c r="P8" t="s">
        <v>248</v>
      </c>
      <c r="R8" s="580" t="s">
        <v>24884</v>
      </c>
    </row>
    <row r="9" spans="1:18" ht="18.75" customHeight="1" thickTop="1">
      <c r="A9" s="507"/>
      <c r="B9" s="581"/>
      <c r="C9" s="3568" t="s">
        <v>28858</v>
      </c>
      <c r="D9" s="3569"/>
      <c r="E9" s="3569"/>
      <c r="F9" s="3570"/>
      <c r="G9" s="582" t="s">
        <v>28859</v>
      </c>
      <c r="H9" s="583" t="s">
        <v>22846</v>
      </c>
      <c r="K9" s="581"/>
      <c r="L9" s="3531" t="s">
        <v>29571</v>
      </c>
      <c r="M9" s="3532"/>
      <c r="N9" s="3532"/>
      <c r="O9" s="3533"/>
      <c r="P9" s="582" t="s">
        <v>29571</v>
      </c>
      <c r="Q9" s="583" t="s">
        <v>22844</v>
      </c>
      <c r="R9" s="584"/>
    </row>
    <row r="10" spans="1:18" ht="18.75" customHeight="1">
      <c r="A10" s="507"/>
      <c r="B10" s="1517"/>
      <c r="C10" s="3549" t="s">
        <v>31857</v>
      </c>
      <c r="D10" s="3550"/>
      <c r="E10" s="3550"/>
      <c r="F10" s="3551"/>
      <c r="G10" s="2745" t="s">
        <v>31857</v>
      </c>
      <c r="H10" s="1398" t="s">
        <v>22846</v>
      </c>
      <c r="K10" s="581"/>
      <c r="L10" s="3534" t="s">
        <v>29572</v>
      </c>
      <c r="M10" s="3535"/>
      <c r="N10" s="3535"/>
      <c r="O10" s="3536"/>
      <c r="P10" s="582" t="s">
        <v>29572</v>
      </c>
      <c r="Q10" s="583" t="s">
        <v>22844</v>
      </c>
      <c r="R10" s="584"/>
    </row>
    <row r="11" spans="1:18" ht="18.75" customHeight="1">
      <c r="A11" s="507"/>
      <c r="B11" s="581"/>
      <c r="C11" s="3549" t="s">
        <v>22840</v>
      </c>
      <c r="D11" s="3550"/>
      <c r="E11" s="3550"/>
      <c r="F11" s="3551"/>
      <c r="G11" s="582" t="s">
        <v>26816</v>
      </c>
      <c r="H11" s="583" t="s">
        <v>22846</v>
      </c>
      <c r="K11" s="1321"/>
      <c r="L11" s="3534" t="s">
        <v>29573</v>
      </c>
      <c r="M11" s="3535"/>
      <c r="N11" s="3535"/>
      <c r="O11" s="3536"/>
      <c r="P11" s="642" t="s">
        <v>29573</v>
      </c>
      <c r="Q11" s="583" t="s">
        <v>22844</v>
      </c>
      <c r="R11" s="1337"/>
    </row>
    <row r="12" spans="1:18" ht="18.75" customHeight="1">
      <c r="A12" s="571"/>
      <c r="B12" s="581"/>
      <c r="C12" s="3549" t="s">
        <v>24731</v>
      </c>
      <c r="D12" s="3550"/>
      <c r="E12" s="3550"/>
      <c r="F12" s="3551"/>
      <c r="G12" s="582" t="s">
        <v>29753</v>
      </c>
      <c r="H12" s="583" t="s">
        <v>22846</v>
      </c>
      <c r="K12" s="1517"/>
      <c r="L12" s="3534" t="s">
        <v>29574</v>
      </c>
      <c r="M12" s="3535"/>
      <c r="N12" s="3535"/>
      <c r="O12" s="3536"/>
      <c r="P12" s="642" t="s">
        <v>29574</v>
      </c>
      <c r="Q12" s="583" t="s">
        <v>22844</v>
      </c>
      <c r="R12" s="1516"/>
    </row>
    <row r="13" spans="1:18" ht="18.75" customHeight="1">
      <c r="A13" s="571"/>
      <c r="B13" s="2472"/>
      <c r="C13" s="3549" t="s">
        <v>29629</v>
      </c>
      <c r="D13" s="3550"/>
      <c r="E13" s="3550"/>
      <c r="F13" s="3551"/>
      <c r="G13" s="1322" t="s">
        <v>29728</v>
      </c>
      <c r="H13" s="583" t="s">
        <v>22846</v>
      </c>
      <c r="I13" s="584" t="s">
        <v>29728</v>
      </c>
      <c r="K13" s="1517"/>
      <c r="L13" s="3534" t="s">
        <v>30977</v>
      </c>
      <c r="M13" s="3535"/>
      <c r="N13" s="3535"/>
      <c r="O13" s="3536"/>
      <c r="P13" s="2151" t="s">
        <v>30977</v>
      </c>
      <c r="Q13" s="583" t="s">
        <v>22844</v>
      </c>
      <c r="R13" s="2320"/>
    </row>
    <row r="14" spans="1:18" ht="18.75" customHeight="1">
      <c r="A14" s="571"/>
      <c r="B14" s="581"/>
      <c r="C14" s="3549" t="s">
        <v>26552</v>
      </c>
      <c r="D14" s="3550"/>
      <c r="E14" s="3550"/>
      <c r="F14" s="3551"/>
      <c r="G14" s="582" t="s">
        <v>28809</v>
      </c>
      <c r="H14" s="583" t="s">
        <v>22844</v>
      </c>
      <c r="I14" s="584" t="s">
        <v>24870</v>
      </c>
      <c r="K14" s="1517"/>
      <c r="L14" s="3543" t="s">
        <v>29981</v>
      </c>
      <c r="M14" s="3544"/>
      <c r="N14" s="3544"/>
      <c r="O14" s="3545"/>
      <c r="P14" s="642" t="s">
        <v>29984</v>
      </c>
      <c r="Q14" s="583" t="s">
        <v>22844</v>
      </c>
      <c r="R14" s="1516"/>
    </row>
    <row r="15" spans="1:18" ht="18.75" customHeight="1">
      <c r="A15" s="507"/>
      <c r="B15" s="581"/>
      <c r="C15" s="3565" t="s">
        <v>22848</v>
      </c>
      <c r="D15" s="3566"/>
      <c r="E15" s="3566"/>
      <c r="F15" s="3567"/>
      <c r="G15" s="582" t="s">
        <v>26551</v>
      </c>
      <c r="H15" s="583" t="s">
        <v>22844</v>
      </c>
      <c r="I15" s="584" t="s">
        <v>24872</v>
      </c>
      <c r="K15" s="1517"/>
      <c r="L15" s="3525" t="s">
        <v>25658</v>
      </c>
      <c r="M15" s="3526"/>
      <c r="N15" s="3526"/>
      <c r="O15" s="3527"/>
      <c r="P15" s="642" t="s">
        <v>25656</v>
      </c>
      <c r="Q15" s="1398" t="s">
        <v>22843</v>
      </c>
      <c r="R15" s="1516"/>
    </row>
    <row r="16" spans="1:18" ht="18.75" customHeight="1">
      <c r="A16" s="507"/>
      <c r="B16" s="1321"/>
      <c r="C16" s="3549" t="s">
        <v>22859</v>
      </c>
      <c r="D16" s="3550"/>
      <c r="E16" s="3550"/>
      <c r="F16" s="3551"/>
      <c r="G16" s="582" t="s">
        <v>251</v>
      </c>
      <c r="H16" s="583" t="s">
        <v>22846</v>
      </c>
      <c r="I16" s="584" t="s">
        <v>24885</v>
      </c>
      <c r="K16" s="1517"/>
      <c r="L16" s="3537" t="s">
        <v>25659</v>
      </c>
      <c r="M16" s="3538"/>
      <c r="N16" s="3538"/>
      <c r="O16" s="3539"/>
      <c r="P16" s="642" t="s">
        <v>29803</v>
      </c>
      <c r="Q16" s="1398" t="s">
        <v>22844</v>
      </c>
      <c r="R16" s="1516" t="s">
        <v>25662</v>
      </c>
    </row>
    <row r="17" spans="1:18" ht="18.75" customHeight="1">
      <c r="A17" s="507"/>
      <c r="B17" s="581"/>
      <c r="C17" s="3549" t="s">
        <v>22860</v>
      </c>
      <c r="D17" s="3550"/>
      <c r="E17" s="3550"/>
      <c r="F17" s="3551"/>
      <c r="G17" s="582" t="s">
        <v>252</v>
      </c>
      <c r="H17" s="583" t="s">
        <v>22846</v>
      </c>
      <c r="I17" s="584" t="s">
        <v>24886</v>
      </c>
      <c r="K17" s="1321"/>
      <c r="L17" s="3537" t="s">
        <v>27101</v>
      </c>
      <c r="M17" s="3538"/>
      <c r="N17" s="3538"/>
      <c r="O17" s="3539"/>
      <c r="P17" s="642" t="s">
        <v>27100</v>
      </c>
      <c r="Q17" s="1398" t="s">
        <v>22844</v>
      </c>
      <c r="R17" s="1516" t="s">
        <v>27102</v>
      </c>
    </row>
    <row r="18" spans="1:18" ht="18.75" customHeight="1">
      <c r="A18" s="507"/>
      <c r="B18" s="581"/>
      <c r="C18" s="3549" t="s">
        <v>22861</v>
      </c>
      <c r="D18" s="3550"/>
      <c r="E18" s="3550"/>
      <c r="F18" s="3551"/>
      <c r="G18" s="582" t="s">
        <v>253</v>
      </c>
      <c r="H18" s="583" t="s">
        <v>22846</v>
      </c>
      <c r="I18" s="584" t="s">
        <v>24887</v>
      </c>
      <c r="K18" s="1517"/>
      <c r="L18" s="3537" t="s">
        <v>25660</v>
      </c>
      <c r="M18" s="3538"/>
      <c r="N18" s="3538"/>
      <c r="O18" s="3539"/>
      <c r="P18" s="642" t="s">
        <v>29804</v>
      </c>
      <c r="Q18" s="583" t="s">
        <v>22844</v>
      </c>
      <c r="R18" s="584" t="s">
        <v>25663</v>
      </c>
    </row>
    <row r="19" spans="1:18" ht="18.75" customHeight="1">
      <c r="A19" s="507"/>
      <c r="B19" s="2472"/>
      <c r="C19" s="3549" t="s">
        <v>29974</v>
      </c>
      <c r="D19" s="3550"/>
      <c r="E19" s="3550"/>
      <c r="F19" s="3551"/>
      <c r="G19" s="582" t="s">
        <v>22871</v>
      </c>
      <c r="H19" s="583" t="s">
        <v>22846</v>
      </c>
      <c r="I19" s="584" t="s">
        <v>22871</v>
      </c>
      <c r="K19" s="581"/>
      <c r="L19" s="3537" t="s">
        <v>25661</v>
      </c>
      <c r="M19" s="3538"/>
      <c r="N19" s="3538"/>
      <c r="O19" s="3539"/>
      <c r="P19" s="582" t="s">
        <v>25657</v>
      </c>
      <c r="Q19" s="583" t="s">
        <v>22844</v>
      </c>
      <c r="R19" s="584"/>
    </row>
    <row r="20" spans="1:18" ht="18.75" customHeight="1" thickBot="1">
      <c r="A20" s="507"/>
      <c r="B20" s="740"/>
      <c r="C20" s="3549" t="s">
        <v>22870</v>
      </c>
      <c r="D20" s="3550"/>
      <c r="E20" s="3550"/>
      <c r="F20" s="3551"/>
      <c r="G20" s="582" t="s">
        <v>22870</v>
      </c>
      <c r="H20" s="583" t="s">
        <v>22846</v>
      </c>
      <c r="I20" s="584" t="s">
        <v>22870</v>
      </c>
      <c r="K20" s="1321"/>
      <c r="L20" s="3540" t="s">
        <v>29982</v>
      </c>
      <c r="M20" s="3541"/>
      <c r="N20" s="3541"/>
      <c r="O20" s="3542"/>
      <c r="P20" s="1322" t="s">
        <v>29983</v>
      </c>
      <c r="Q20" s="583" t="s">
        <v>22844</v>
      </c>
      <c r="R20" s="1337"/>
    </row>
    <row r="21" spans="1:18" ht="18.75" customHeight="1" thickTop="1">
      <c r="A21" s="507"/>
      <c r="B21" s="740"/>
      <c r="C21" s="3549" t="s">
        <v>22839</v>
      </c>
      <c r="D21" s="3550"/>
      <c r="E21" s="3550"/>
      <c r="F21" s="3551"/>
      <c r="G21" s="582" t="s">
        <v>250</v>
      </c>
      <c r="H21" s="583" t="s">
        <v>22844</v>
      </c>
      <c r="I21" s="584" t="s">
        <v>30401</v>
      </c>
    </row>
    <row r="22" spans="1:18" ht="18.75" customHeight="1">
      <c r="A22" s="507"/>
      <c r="B22" s="2472"/>
      <c r="C22" s="3549" t="s">
        <v>27110</v>
      </c>
      <c r="D22" s="3550"/>
      <c r="E22" s="3550"/>
      <c r="F22" s="3551"/>
      <c r="G22" s="582" t="s">
        <v>24819</v>
      </c>
      <c r="H22" s="583" t="s">
        <v>22846</v>
      </c>
      <c r="I22" s="584" t="s">
        <v>24894</v>
      </c>
    </row>
    <row r="23" spans="1:18" ht="18.75" customHeight="1">
      <c r="A23" s="507"/>
      <c r="B23" s="581"/>
      <c r="C23" s="3549" t="s">
        <v>28849</v>
      </c>
      <c r="D23" s="3550"/>
      <c r="E23" s="3550"/>
      <c r="F23" s="3551"/>
      <c r="G23" s="582" t="s">
        <v>27075</v>
      </c>
      <c r="H23" s="583" t="s">
        <v>22846</v>
      </c>
      <c r="I23" s="584" t="s">
        <v>27085</v>
      </c>
      <c r="L23" s="1944"/>
    </row>
    <row r="24" spans="1:18" ht="18.75" customHeight="1">
      <c r="A24" s="507"/>
      <c r="B24" s="581"/>
      <c r="C24" s="3549" t="s">
        <v>28850</v>
      </c>
      <c r="D24" s="3550"/>
      <c r="E24" s="3550"/>
      <c r="F24" s="3551"/>
      <c r="G24" s="582" t="s">
        <v>27076</v>
      </c>
      <c r="H24" s="583" t="s">
        <v>22846</v>
      </c>
      <c r="I24" s="584" t="s">
        <v>27076</v>
      </c>
    </row>
    <row r="25" spans="1:18" ht="18.75" customHeight="1">
      <c r="A25" s="507"/>
      <c r="B25" s="1321"/>
      <c r="C25" s="3549" t="s">
        <v>28851</v>
      </c>
      <c r="D25" s="3550"/>
      <c r="E25" s="3550"/>
      <c r="F25" s="3551"/>
      <c r="G25" s="582" t="s">
        <v>26561</v>
      </c>
      <c r="H25" s="583" t="s">
        <v>22846</v>
      </c>
    </row>
    <row r="26" spans="1:18" ht="18.75" customHeight="1">
      <c r="A26" s="507"/>
      <c r="B26" s="581"/>
      <c r="C26" s="3549" t="s">
        <v>30958</v>
      </c>
      <c r="D26" s="3550"/>
      <c r="E26" s="3550"/>
      <c r="F26" s="3551"/>
      <c r="G26" s="2151" t="s">
        <v>30957</v>
      </c>
      <c r="H26" s="583" t="s">
        <v>22846</v>
      </c>
    </row>
    <row r="27" spans="1:18" ht="18.75" customHeight="1">
      <c r="A27" s="507"/>
      <c r="B27" s="581"/>
      <c r="C27" s="3549" t="s">
        <v>28861</v>
      </c>
      <c r="D27" s="3550"/>
      <c r="E27" s="3550"/>
      <c r="F27" s="3551"/>
      <c r="G27" s="1322" t="s">
        <v>28862</v>
      </c>
      <c r="H27" s="583" t="s">
        <v>22844</v>
      </c>
    </row>
    <row r="28" spans="1:18" ht="18.75" customHeight="1">
      <c r="A28" s="507"/>
      <c r="B28" s="1321"/>
      <c r="C28" s="3549" t="s">
        <v>28852</v>
      </c>
      <c r="D28" s="3550"/>
      <c r="E28" s="3550"/>
      <c r="F28" s="3551"/>
      <c r="G28" s="582" t="s">
        <v>27077</v>
      </c>
      <c r="H28" s="583" t="s">
        <v>22844</v>
      </c>
      <c r="I28" s="584" t="s">
        <v>27084</v>
      </c>
    </row>
    <row r="29" spans="1:18" ht="18.75" customHeight="1">
      <c r="A29" s="507"/>
      <c r="B29" s="581"/>
      <c r="C29" s="3549" t="s">
        <v>25418</v>
      </c>
      <c r="D29" s="3550"/>
      <c r="E29" s="3550"/>
      <c r="F29" s="3551"/>
      <c r="G29" s="582" t="s">
        <v>22849</v>
      </c>
      <c r="H29" s="583" t="s">
        <v>22844</v>
      </c>
    </row>
    <row r="30" spans="1:18" ht="18.75" customHeight="1">
      <c r="A30" s="507"/>
      <c r="B30" s="581"/>
      <c r="C30" s="3537" t="s">
        <v>31323</v>
      </c>
      <c r="D30" s="3538"/>
      <c r="E30" s="3538"/>
      <c r="F30" s="3539"/>
      <c r="G30" s="582" t="s">
        <v>31322</v>
      </c>
      <c r="H30" s="583" t="s">
        <v>22844</v>
      </c>
    </row>
    <row r="31" spans="1:18" ht="18.75" customHeight="1">
      <c r="A31" s="507"/>
      <c r="B31" s="581"/>
      <c r="C31" s="3546" t="s">
        <v>22842</v>
      </c>
      <c r="D31" s="3547"/>
      <c r="E31" s="3547"/>
      <c r="F31" s="3548"/>
      <c r="G31" s="582" t="s">
        <v>22858</v>
      </c>
      <c r="H31" s="583" t="s">
        <v>22843</v>
      </c>
    </row>
    <row r="32" spans="1:18" ht="18.75" customHeight="1">
      <c r="A32" s="507"/>
      <c r="B32" s="740"/>
      <c r="C32" s="3546" t="s">
        <v>30374</v>
      </c>
      <c r="D32" s="3547"/>
      <c r="E32" s="3547"/>
      <c r="F32" s="3548"/>
      <c r="G32" s="582" t="s">
        <v>30373</v>
      </c>
      <c r="H32" s="583" t="s">
        <v>22843</v>
      </c>
      <c r="I32" s="584" t="s">
        <v>30372</v>
      </c>
    </row>
    <row r="33" spans="1:9" ht="18.75" customHeight="1">
      <c r="A33" s="507"/>
      <c r="B33" s="740"/>
      <c r="C33" s="3546" t="s">
        <v>30375</v>
      </c>
      <c r="D33" s="3547"/>
      <c r="E33" s="3547"/>
      <c r="F33" s="3548"/>
      <c r="G33" s="642" t="s">
        <v>30371</v>
      </c>
      <c r="H33" s="583" t="s">
        <v>22844</v>
      </c>
      <c r="I33" s="584" t="s">
        <v>30376</v>
      </c>
    </row>
    <row r="34" spans="1:9" ht="18.75" customHeight="1">
      <c r="A34" s="507"/>
      <c r="B34" s="740"/>
      <c r="C34" s="3546" t="s">
        <v>26505</v>
      </c>
      <c r="D34" s="3547"/>
      <c r="E34" s="3547"/>
      <c r="F34" s="3548"/>
      <c r="G34" s="582" t="s">
        <v>28812</v>
      </c>
      <c r="H34" s="583" t="s">
        <v>22843</v>
      </c>
      <c r="I34" s="584" t="s">
        <v>28811</v>
      </c>
    </row>
    <row r="35" spans="1:9" ht="18.75" customHeight="1">
      <c r="A35" s="507"/>
      <c r="B35" s="2744"/>
      <c r="C35" s="3546" t="s">
        <v>31468</v>
      </c>
      <c r="D35" s="3547"/>
      <c r="E35" s="3547"/>
      <c r="F35" s="3548"/>
      <c r="G35" s="2745" t="s">
        <v>31469</v>
      </c>
      <c r="H35" s="2746" t="s">
        <v>22843</v>
      </c>
      <c r="I35" s="77"/>
    </row>
    <row r="36" spans="1:9" ht="18.75" customHeight="1">
      <c r="A36" s="507"/>
      <c r="B36" s="740"/>
      <c r="C36" s="3525" t="s">
        <v>26804</v>
      </c>
      <c r="D36" s="3526"/>
      <c r="E36" s="3526"/>
      <c r="F36" s="3527"/>
      <c r="G36" s="582" t="s">
        <v>22851</v>
      </c>
      <c r="H36" s="583" t="s">
        <v>22845</v>
      </c>
    </row>
    <row r="37" spans="1:9" ht="18.75" customHeight="1">
      <c r="A37" s="507"/>
      <c r="B37" s="740"/>
      <c r="C37" s="3525" t="s">
        <v>26503</v>
      </c>
      <c r="D37" s="3526"/>
      <c r="E37" s="3526"/>
      <c r="F37" s="3527"/>
      <c r="G37" s="582" t="s">
        <v>26985</v>
      </c>
      <c r="H37" s="583" t="s">
        <v>22843</v>
      </c>
    </row>
    <row r="38" spans="1:9" ht="18.75" customHeight="1">
      <c r="A38" s="507"/>
      <c r="B38" s="740"/>
      <c r="C38" s="3525" t="s">
        <v>29975</v>
      </c>
      <c r="D38" s="3526"/>
      <c r="E38" s="3526"/>
      <c r="F38" s="3527"/>
      <c r="G38" s="582" t="s">
        <v>26644</v>
      </c>
      <c r="H38" s="583" t="s">
        <v>22843</v>
      </c>
    </row>
    <row r="39" spans="1:9" ht="18.75" customHeight="1">
      <c r="A39" s="507"/>
      <c r="B39" s="581"/>
      <c r="C39" s="3525" t="s">
        <v>260</v>
      </c>
      <c r="D39" s="3526"/>
      <c r="E39" s="3526"/>
      <c r="F39" s="3527"/>
      <c r="G39" s="582" t="s">
        <v>22857</v>
      </c>
      <c r="H39" s="583" t="s">
        <v>22845</v>
      </c>
    </row>
    <row r="40" spans="1:9" ht="18.75" customHeight="1">
      <c r="A40" s="507"/>
      <c r="B40" s="581"/>
      <c r="C40" s="3525" t="s">
        <v>261</v>
      </c>
      <c r="D40" s="3526"/>
      <c r="E40" s="3526"/>
      <c r="F40" s="3527"/>
      <c r="G40" s="582" t="s">
        <v>22856</v>
      </c>
      <c r="H40" s="583" t="s">
        <v>22845</v>
      </c>
    </row>
    <row r="41" spans="1:9" ht="18.75" customHeight="1">
      <c r="A41" s="507"/>
      <c r="B41" s="740"/>
      <c r="C41" s="3525" t="s">
        <v>22850</v>
      </c>
      <c r="D41" s="3526"/>
      <c r="E41" s="3526"/>
      <c r="F41" s="3527"/>
      <c r="G41" s="582" t="s">
        <v>22852</v>
      </c>
      <c r="H41" s="583" t="s">
        <v>22845</v>
      </c>
    </row>
    <row r="42" spans="1:9" ht="18.75" customHeight="1">
      <c r="A42" s="507"/>
      <c r="B42" s="740"/>
      <c r="C42" s="3525" t="s">
        <v>22746</v>
      </c>
      <c r="D42" s="3526"/>
      <c r="E42" s="3526"/>
      <c r="F42" s="3527"/>
      <c r="G42" s="582" t="s">
        <v>22746</v>
      </c>
      <c r="H42" s="583" t="s">
        <v>22845</v>
      </c>
    </row>
    <row r="43" spans="1:9" ht="18.75" customHeight="1">
      <c r="A43" s="507"/>
      <c r="B43" s="581"/>
      <c r="C43" s="3525" t="s">
        <v>262</v>
      </c>
      <c r="D43" s="3526"/>
      <c r="E43" s="3526"/>
      <c r="F43" s="3527"/>
      <c r="G43" s="582" t="s">
        <v>22855</v>
      </c>
      <c r="H43" s="583" t="s">
        <v>22845</v>
      </c>
    </row>
    <row r="44" spans="1:9" ht="18.75" customHeight="1">
      <c r="A44" s="507"/>
      <c r="B44" s="581"/>
      <c r="C44" s="3525" t="s">
        <v>230</v>
      </c>
      <c r="D44" s="3526"/>
      <c r="E44" s="3526"/>
      <c r="F44" s="3527"/>
      <c r="G44" s="582" t="s">
        <v>22854</v>
      </c>
      <c r="H44" s="583" t="s">
        <v>22845</v>
      </c>
    </row>
    <row r="45" spans="1:9" ht="18.75" customHeight="1">
      <c r="A45" s="507"/>
      <c r="B45" s="581"/>
      <c r="C45" s="3525" t="s">
        <v>567</v>
      </c>
      <c r="D45" s="3526"/>
      <c r="E45" s="3526"/>
      <c r="F45" s="3527"/>
      <c r="G45" s="582" t="s">
        <v>22853</v>
      </c>
      <c r="H45" s="583" t="s">
        <v>22845</v>
      </c>
    </row>
    <row r="46" spans="1:9" ht="18.75" customHeight="1">
      <c r="A46" s="507"/>
      <c r="B46" s="581"/>
      <c r="C46" s="3525" t="s">
        <v>27044</v>
      </c>
      <c r="D46" s="3526"/>
      <c r="E46" s="3526"/>
      <c r="F46" s="3527"/>
      <c r="G46" s="582" t="s">
        <v>27044</v>
      </c>
      <c r="H46" s="583" t="s">
        <v>22845</v>
      </c>
    </row>
    <row r="47" spans="1:9" ht="18.75" customHeight="1">
      <c r="B47" s="740"/>
      <c r="C47" s="3561" t="s">
        <v>254</v>
      </c>
      <c r="D47" s="3562"/>
      <c r="E47" s="3562"/>
      <c r="F47" s="3563"/>
      <c r="G47" s="582" t="s">
        <v>255</v>
      </c>
      <c r="H47" s="583" t="s">
        <v>22844</v>
      </c>
    </row>
    <row r="48" spans="1:9" ht="18.75" customHeight="1">
      <c r="A48" s="507"/>
      <c r="B48" s="581"/>
      <c r="C48" s="3561" t="s">
        <v>256</v>
      </c>
      <c r="D48" s="3562"/>
      <c r="E48" s="3562"/>
      <c r="F48" s="3563"/>
      <c r="G48" s="582" t="s">
        <v>257</v>
      </c>
      <c r="H48" s="583" t="s">
        <v>22846</v>
      </c>
    </row>
    <row r="49" spans="1:9" ht="18.75" customHeight="1">
      <c r="A49" s="507"/>
      <c r="B49" s="581"/>
      <c r="C49" s="3561" t="s">
        <v>27107</v>
      </c>
      <c r="D49" s="3562"/>
      <c r="E49" s="3562"/>
      <c r="F49" s="3563"/>
      <c r="G49" s="1397" t="s">
        <v>27106</v>
      </c>
      <c r="H49" s="1398" t="s">
        <v>22846</v>
      </c>
    </row>
    <row r="50" spans="1:9" ht="18" customHeight="1">
      <c r="A50" s="507"/>
      <c r="B50" s="581"/>
      <c r="C50" s="3561" t="s">
        <v>258</v>
      </c>
      <c r="D50" s="3562"/>
      <c r="E50" s="3562"/>
      <c r="F50" s="3563"/>
      <c r="G50" s="642" t="s">
        <v>259</v>
      </c>
      <c r="H50" s="583" t="s">
        <v>22846</v>
      </c>
    </row>
    <row r="51" spans="1:9" ht="18" customHeight="1">
      <c r="A51" s="507"/>
      <c r="B51" s="581"/>
      <c r="C51" s="3555" t="s">
        <v>22898</v>
      </c>
      <c r="D51" s="3556"/>
      <c r="E51" s="3556"/>
      <c r="F51" s="3557"/>
      <c r="G51" s="582" t="s">
        <v>24732</v>
      </c>
      <c r="H51" s="583" t="s">
        <v>25420</v>
      </c>
    </row>
    <row r="52" spans="1:9" ht="18" customHeight="1">
      <c r="A52" s="507"/>
      <c r="B52" s="581"/>
      <c r="C52" s="3558" t="s">
        <v>22901</v>
      </c>
      <c r="D52" s="3559"/>
      <c r="E52" s="3559"/>
      <c r="F52" s="3560"/>
      <c r="G52" s="582" t="s">
        <v>22847</v>
      </c>
      <c r="H52" s="583" t="s">
        <v>25420</v>
      </c>
    </row>
    <row r="53" spans="1:9" ht="18" customHeight="1">
      <c r="A53" s="507"/>
      <c r="B53" s="581"/>
      <c r="C53" s="3528" t="s">
        <v>25419</v>
      </c>
      <c r="D53" s="3529"/>
      <c r="E53" s="3529"/>
      <c r="F53" s="3530"/>
      <c r="G53" s="582" t="s">
        <v>263</v>
      </c>
      <c r="H53" s="583" t="s">
        <v>25420</v>
      </c>
    </row>
    <row r="54" spans="1:9" ht="18.75" customHeight="1">
      <c r="A54" s="507"/>
      <c r="B54" s="581"/>
      <c r="C54" s="3528" t="s">
        <v>22841</v>
      </c>
      <c r="D54" s="3529"/>
      <c r="E54" s="3529"/>
      <c r="F54" s="3530"/>
      <c r="G54" s="582" t="s">
        <v>22902</v>
      </c>
      <c r="H54" s="583" t="s">
        <v>24730</v>
      </c>
    </row>
    <row r="55" spans="1:9" ht="15.75" thickBot="1">
      <c r="A55" s="507"/>
      <c r="B55" s="581"/>
      <c r="C55" s="3552" t="s">
        <v>31299</v>
      </c>
      <c r="D55" s="3553"/>
      <c r="E55" s="3553"/>
      <c r="F55" s="3554"/>
      <c r="G55" s="1322" t="s">
        <v>31298</v>
      </c>
      <c r="H55" s="583" t="s">
        <v>24730</v>
      </c>
    </row>
    <row r="56" spans="1:9" ht="15.75" hidden="1" thickTop="1">
      <c r="B56" s="581"/>
      <c r="C56" s="3528" t="s">
        <v>29571</v>
      </c>
      <c r="D56" s="3529"/>
      <c r="E56" s="3529"/>
      <c r="F56" s="3530"/>
      <c r="G56" s="582" t="s">
        <v>29571</v>
      </c>
      <c r="H56" s="583" t="s">
        <v>22844</v>
      </c>
      <c r="I56" s="584"/>
    </row>
    <row r="57" spans="1:9" hidden="1">
      <c r="B57" s="581"/>
      <c r="C57" s="3528" t="s">
        <v>29572</v>
      </c>
      <c r="D57" s="3529"/>
      <c r="E57" s="3529"/>
      <c r="F57" s="3530"/>
      <c r="G57" s="582" t="s">
        <v>29572</v>
      </c>
      <c r="H57" s="583" t="s">
        <v>22844</v>
      </c>
      <c r="I57" s="584"/>
    </row>
    <row r="58" spans="1:9" hidden="1">
      <c r="B58" s="581"/>
      <c r="C58" s="3528" t="s">
        <v>29573</v>
      </c>
      <c r="D58" s="3529"/>
      <c r="E58" s="3529"/>
      <c r="F58" s="3530"/>
      <c r="G58" s="642" t="s">
        <v>29573</v>
      </c>
      <c r="H58" s="583" t="s">
        <v>22844</v>
      </c>
      <c r="I58" s="1337"/>
    </row>
    <row r="59" spans="1:9" hidden="1">
      <c r="B59" s="581"/>
      <c r="C59" s="3528" t="s">
        <v>29574</v>
      </c>
      <c r="D59" s="3529"/>
      <c r="E59" s="3529"/>
      <c r="F59" s="3530"/>
      <c r="G59" s="642" t="s">
        <v>29574</v>
      </c>
      <c r="H59" s="583" t="s">
        <v>22844</v>
      </c>
      <c r="I59" s="1516"/>
    </row>
    <row r="60" spans="1:9" ht="18.75" hidden="1" customHeight="1">
      <c r="B60" s="581"/>
      <c r="C60" s="3528" t="s">
        <v>30977</v>
      </c>
      <c r="D60" s="3529"/>
      <c r="E60" s="3529"/>
      <c r="F60" s="3530"/>
      <c r="G60" s="2151" t="s">
        <v>30977</v>
      </c>
      <c r="H60" s="583" t="s">
        <v>22844</v>
      </c>
      <c r="I60" s="2320"/>
    </row>
    <row r="61" spans="1:9" ht="18.75" hidden="1" customHeight="1">
      <c r="B61" s="581"/>
      <c r="C61" s="3528" t="s">
        <v>29981</v>
      </c>
      <c r="D61" s="3529"/>
      <c r="E61" s="3529"/>
      <c r="F61" s="3530"/>
      <c r="G61" s="642" t="s">
        <v>29984</v>
      </c>
      <c r="H61" s="583" t="s">
        <v>22844</v>
      </c>
      <c r="I61" s="1516"/>
    </row>
    <row r="62" spans="1:9" ht="18.75" hidden="1" customHeight="1">
      <c r="B62" s="581"/>
      <c r="C62" s="3528" t="s">
        <v>25658</v>
      </c>
      <c r="D62" s="3529"/>
      <c r="E62" s="3529"/>
      <c r="F62" s="3530"/>
      <c r="G62" s="642" t="s">
        <v>25656</v>
      </c>
      <c r="H62" s="1398" t="s">
        <v>22843</v>
      </c>
      <c r="I62" s="1516"/>
    </row>
    <row r="63" spans="1:9" ht="18.75" hidden="1" customHeight="1">
      <c r="B63" s="581"/>
      <c r="C63" s="3528" t="s">
        <v>25659</v>
      </c>
      <c r="D63" s="3529"/>
      <c r="E63" s="3529"/>
      <c r="F63" s="3530"/>
      <c r="G63" s="642" t="s">
        <v>29803</v>
      </c>
      <c r="H63" s="1398" t="s">
        <v>22844</v>
      </c>
      <c r="I63" s="1516" t="s">
        <v>25662</v>
      </c>
    </row>
    <row r="64" spans="1:9" ht="18.75" hidden="1" customHeight="1">
      <c r="B64" s="581"/>
      <c r="C64" s="3528" t="s">
        <v>27101</v>
      </c>
      <c r="D64" s="3529"/>
      <c r="E64" s="3529"/>
      <c r="F64" s="3530"/>
      <c r="G64" s="642" t="s">
        <v>27100</v>
      </c>
      <c r="H64" s="1398" t="s">
        <v>22844</v>
      </c>
      <c r="I64" s="1516" t="s">
        <v>27102</v>
      </c>
    </row>
    <row r="65" spans="2:9" ht="18.75" hidden="1" customHeight="1">
      <c r="B65" s="581"/>
      <c r="C65" s="3528" t="s">
        <v>25660</v>
      </c>
      <c r="D65" s="3529"/>
      <c r="E65" s="3529"/>
      <c r="F65" s="3530"/>
      <c r="G65" s="642" t="s">
        <v>29804</v>
      </c>
      <c r="H65" s="583" t="s">
        <v>22844</v>
      </c>
      <c r="I65" s="584" t="s">
        <v>25663</v>
      </c>
    </row>
    <row r="66" spans="2:9" hidden="1">
      <c r="B66" s="581"/>
      <c r="C66" s="3528" t="s">
        <v>25661</v>
      </c>
      <c r="D66" s="3529"/>
      <c r="E66" s="3529"/>
      <c r="F66" s="3530"/>
      <c r="G66" s="582" t="s">
        <v>25657</v>
      </c>
      <c r="H66" s="583" t="s">
        <v>22844</v>
      </c>
      <c r="I66" s="584"/>
    </row>
    <row r="67" spans="2:9" ht="15.75" hidden="1" thickBot="1">
      <c r="B67" s="581"/>
      <c r="C67" s="3552" t="s">
        <v>29982</v>
      </c>
      <c r="D67" s="3553"/>
      <c r="E67" s="3553"/>
      <c r="F67" s="3554"/>
      <c r="G67" s="1322" t="s">
        <v>29983</v>
      </c>
      <c r="H67" s="583" t="s">
        <v>22844</v>
      </c>
      <c r="I67" s="1337"/>
    </row>
    <row r="68" spans="2:9" ht="15.75" thickTop="1"/>
  </sheetData>
  <sheetProtection algorithmName="SHA-512" hashValue="h4TX0EVm4Cnk3gnvJUzC+vLokDZuForlk14lbIvzTwgQcveIo0kXluMrZbkVQVIyRCG3NHLk9fnHhjNzWX3HRQ==" saltValue="KGJYIkxrrZXDRxnjVXGd/Q==" spinCount="100000" sheet="1" objects="1" scenarios="1"/>
  <customSheetViews>
    <customSheetView guid="{849F61E1-F6D3-48F4-A6FF-68F8FE186D80}" scale="85" showPageBreaks="1" showGridLines="0" fitToPage="1" printArea="1" hiddenRows="1" hiddenColumns="1">
      <pane ySplit="8" topLeftCell="A9" activePane="bottomLeft" state="frozen"/>
      <selection pane="bottomLeft" activeCell="R6" sqref="R6"/>
      <pageMargins left="0.7" right="0.7" top="0.75" bottom="0.75" header="0.3" footer="0.3"/>
      <pageSetup paperSize="9" scale="49" orientation="landscape" r:id="rId1"/>
    </customSheetView>
    <customSheetView guid="{1E1889AA-9C00-49BF-A07E-295053EABBEF}" scale="85" showGridLines="0" hiddenRows="1">
      <selection activeCell="I4" sqref="I4"/>
      <pageMargins left="0.7" right="0.7" top="0.75" bottom="0.75" header="0.3" footer="0.3"/>
      <pageSetup paperSize="9" orientation="portrait" verticalDpi="300" r:id="rId2"/>
    </customSheetView>
    <customSheetView guid="{83029BA9-344F-4783-B8F2-6704FB40A582}" scale="85" showGridLines="0" fitToPage="1" hiddenRows="1" hiddenColumns="1">
      <pane ySplit="8" topLeftCell="A9" activePane="bottomLeft" state="frozen"/>
      <selection pane="bottomLeft" activeCell="C14" sqref="C14:F14"/>
      <pageMargins left="0.7" right="0.7" top="0.75" bottom="0.75" header="0.3" footer="0.3"/>
      <pageSetup paperSize="9" scale="53" orientation="landscape" r:id="rId3"/>
    </customSheetView>
  </customSheetViews>
  <mergeCells count="73">
    <mergeCell ref="C66:F66"/>
    <mergeCell ref="C67:F67"/>
    <mergeCell ref="C61:F61"/>
    <mergeCell ref="C62:F62"/>
    <mergeCell ref="C63:F63"/>
    <mergeCell ref="C64:F64"/>
    <mergeCell ref="C65:F65"/>
    <mergeCell ref="C56:F56"/>
    <mergeCell ref="C57:F57"/>
    <mergeCell ref="C58:F58"/>
    <mergeCell ref="C59:F59"/>
    <mergeCell ref="C60:F60"/>
    <mergeCell ref="C10:F10"/>
    <mergeCell ref="L13:O13"/>
    <mergeCell ref="C26:F26"/>
    <mergeCell ref="C40:F40"/>
    <mergeCell ref="C39:F39"/>
    <mergeCell ref="C33:F33"/>
    <mergeCell ref="C32:F32"/>
    <mergeCell ref="C37:F37"/>
    <mergeCell ref="C34:F34"/>
    <mergeCell ref="C38:F38"/>
    <mergeCell ref="C36:F36"/>
    <mergeCell ref="C30:F30"/>
    <mergeCell ref="C35:F35"/>
    <mergeCell ref="C54:F54"/>
    <mergeCell ref="C42:F42"/>
    <mergeCell ref="C47:F47"/>
    <mergeCell ref="C48:F48"/>
    <mergeCell ref="B2:C2"/>
    <mergeCell ref="E2:F2"/>
    <mergeCell ref="C11:F11"/>
    <mergeCell ref="C15:F15"/>
    <mergeCell ref="C9:F9"/>
    <mergeCell ref="C45:F45"/>
    <mergeCell ref="C46:F46"/>
    <mergeCell ref="C50:F50"/>
    <mergeCell ref="C23:F23"/>
    <mergeCell ref="C22:F22"/>
    <mergeCell ref="C28:F28"/>
    <mergeCell ref="C20:F20"/>
    <mergeCell ref="C55:F55"/>
    <mergeCell ref="C25:F25"/>
    <mergeCell ref="C27:F27"/>
    <mergeCell ref="C12:F12"/>
    <mergeCell ref="C14:F14"/>
    <mergeCell ref="C24:F24"/>
    <mergeCell ref="C17:F17"/>
    <mergeCell ref="C19:F19"/>
    <mergeCell ref="C18:F18"/>
    <mergeCell ref="C21:F21"/>
    <mergeCell ref="C13:F13"/>
    <mergeCell ref="C51:F51"/>
    <mergeCell ref="C52:F52"/>
    <mergeCell ref="C43:F43"/>
    <mergeCell ref="C49:F49"/>
    <mergeCell ref="C44:F44"/>
    <mergeCell ref="C41:F41"/>
    <mergeCell ref="C53:F53"/>
    <mergeCell ref="L9:O9"/>
    <mergeCell ref="L10:O10"/>
    <mergeCell ref="L18:O18"/>
    <mergeCell ref="L19:O19"/>
    <mergeCell ref="L20:O20"/>
    <mergeCell ref="L11:O11"/>
    <mergeCell ref="L12:O12"/>
    <mergeCell ref="L14:O14"/>
    <mergeCell ref="L15:O15"/>
    <mergeCell ref="L16:O16"/>
    <mergeCell ref="L17:O17"/>
    <mergeCell ref="C31:F31"/>
    <mergeCell ref="C16:F16"/>
    <mergeCell ref="C29:F29"/>
  </mergeCells>
  <conditionalFormatting sqref="B9:F50 B50:B67">
    <cfRule type="expression" dxfId="155" priority="5">
      <formula>$B9="X"</formula>
    </cfRule>
  </conditionalFormatting>
  <conditionalFormatting sqref="K9:O20">
    <cfRule type="expression" dxfId="154" priority="10923">
      <formula>$K9="X"</formula>
    </cfRule>
  </conditionalFormatting>
  <pageMargins left="0.7" right="0.7" top="0.75" bottom="0.75" header="0.3" footer="0.3"/>
  <pageSetup paperSize="9" scale="53" orientation="landscape" r:id="rId4"/>
  <drawing r:id="rId5"/>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TT_Tabelle_Riferimento!$B$53:$B$54</xm:f>
          </x14:formula1>
          <xm:sqref>F7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5">
    <tabColor rgb="FFC5D9F1"/>
  </sheetPr>
  <dimension ref="A1:P49"/>
  <sheetViews>
    <sheetView showGridLines="0" zoomScale="85" zoomScaleNormal="85" workbookViewId="0">
      <selection activeCell="M3" sqref="M3"/>
    </sheetView>
  </sheetViews>
  <sheetFormatPr defaultColWidth="9.42578125" defaultRowHeight="15"/>
  <cols>
    <col min="1" max="1" width="8.7109375" customWidth="1"/>
    <col min="2" max="2" width="2.5703125" style="310" customWidth="1"/>
    <col min="3" max="3" width="55.42578125" style="310" customWidth="1"/>
    <col min="4" max="4" width="17.5703125" style="310" customWidth="1"/>
    <col min="5" max="5" width="17.5703125" customWidth="1"/>
    <col min="6" max="6" width="17.5703125" style="445" customWidth="1"/>
    <col min="7" max="11" width="18.28515625" customWidth="1"/>
    <col min="12" max="12" width="22.42578125" bestFit="1" customWidth="1"/>
    <col min="13" max="13" width="22.5703125" bestFit="1" customWidth="1"/>
    <col min="14" max="14" width="19.5703125" bestFit="1" customWidth="1"/>
    <col min="15" max="15" width="17.5703125" bestFit="1" customWidth="1"/>
    <col min="16" max="16" width="22.5703125" bestFit="1" customWidth="1"/>
  </cols>
  <sheetData>
    <row r="1" spans="1:16" ht="25.35" customHeight="1">
      <c r="A1" s="1588"/>
      <c r="B1" s="300" t="s">
        <v>16</v>
      </c>
      <c r="C1" s="302"/>
      <c r="D1"/>
      <c r="F1"/>
    </row>
    <row r="2" spans="1:16" ht="15" customHeight="1" thickBot="1">
      <c r="B2" s="303" t="s">
        <v>17</v>
      </c>
      <c r="C2" s="302"/>
      <c r="D2" s="304"/>
      <c r="E2" s="437" t="s">
        <v>29767</v>
      </c>
      <c r="F2" s="706" t="s">
        <v>29768</v>
      </c>
      <c r="G2" s="706" t="s">
        <v>29740</v>
      </c>
      <c r="M2" s="305" t="s">
        <v>26554</v>
      </c>
      <c r="N2" s="305" t="s">
        <v>26553</v>
      </c>
      <c r="O2" s="305" t="s">
        <v>26555</v>
      </c>
      <c r="P2" s="306" t="s">
        <v>26549</v>
      </c>
    </row>
    <row r="3" spans="1:16" ht="15.75" thickBot="1">
      <c r="A3" s="307"/>
      <c r="B3" s="304"/>
      <c r="C3" s="705" t="s">
        <v>30458</v>
      </c>
      <c r="D3" s="308" t="s">
        <v>25454</v>
      </c>
      <c r="E3" s="1586">
        <f>+E5+E6</f>
        <v>0</v>
      </c>
      <c r="F3" s="1587">
        <f>+F5+F6</f>
        <v>0</v>
      </c>
      <c r="G3" s="2457">
        <f>+G5+G6</f>
        <v>0</v>
      </c>
      <c r="M3" s="305" t="b">
        <f>+COUNTA(E5:F5,E8:F8,E10:F10,E12:F12,G5,G8,G12)&lt;&gt;11</f>
        <v>1</v>
      </c>
      <c r="N3" s="305" t="b">
        <f>+MIN(E5:F5,E8:F8,E10:F10,G5,G8)&lt;=0</f>
        <v>1</v>
      </c>
      <c r="O3" s="305" t="b">
        <f>+OR(COUNT(E15,E23,E29)=0,COUNT(F15,F23,F29)=0)</f>
        <v>1</v>
      </c>
      <c r="P3" s="306" t="b">
        <f t="array" ref="P3">+OR(M3:O3)</f>
        <v>1</v>
      </c>
    </row>
    <row r="4" spans="1:16" ht="15.75" thickBot="1">
      <c r="A4" s="307"/>
      <c r="B4" s="304"/>
      <c r="C4" s="479" t="s">
        <v>26588</v>
      </c>
      <c r="D4" s="308" t="s">
        <v>25454</v>
      </c>
      <c r="E4" s="615"/>
      <c r="F4" s="703"/>
      <c r="P4" s="580"/>
    </row>
    <row r="5" spans="1:16" ht="15.75" thickBot="1">
      <c r="A5" s="307"/>
      <c r="B5" s="304"/>
      <c r="C5" s="705" t="s">
        <v>30455</v>
      </c>
      <c r="D5" s="308" t="s">
        <v>25454</v>
      </c>
      <c r="E5" s="615"/>
      <c r="F5" s="703"/>
      <c r="G5" s="614"/>
    </row>
    <row r="6" spans="1:16" ht="15.75" thickBot="1">
      <c r="A6" s="307"/>
      <c r="B6" s="304"/>
      <c r="C6" s="705" t="s">
        <v>30456</v>
      </c>
      <c r="D6" s="308" t="s">
        <v>25454</v>
      </c>
      <c r="E6" s="615"/>
      <c r="F6" s="703"/>
      <c r="G6" s="614"/>
      <c r="P6" s="580"/>
    </row>
    <row r="7" spans="1:16" ht="26.25" thickBot="1">
      <c r="A7" s="307"/>
      <c r="B7" s="304"/>
      <c r="C7" s="705" t="s">
        <v>30457</v>
      </c>
      <c r="D7" s="308" t="s">
        <v>22743</v>
      </c>
      <c r="E7" s="615"/>
      <c r="F7" s="703"/>
      <c r="P7" s="580"/>
    </row>
    <row r="8" spans="1:16" ht="15.75" thickBot="1">
      <c r="A8" s="307"/>
      <c r="B8" s="304"/>
      <c r="C8" s="705" t="s">
        <v>24828</v>
      </c>
      <c r="D8" s="308" t="s">
        <v>27</v>
      </c>
      <c r="E8" s="615"/>
      <c r="F8" s="703"/>
      <c r="G8" s="614"/>
    </row>
    <row r="9" spans="1:16" ht="15.75" thickBot="1">
      <c r="A9" s="307"/>
      <c r="B9" s="304"/>
      <c r="C9" s="479" t="s">
        <v>26588</v>
      </c>
      <c r="D9" s="308" t="s">
        <v>27</v>
      </c>
      <c r="E9" s="615"/>
      <c r="F9" s="703"/>
    </row>
    <row r="10" spans="1:16" ht="15.75" thickBot="1">
      <c r="B10" s="304"/>
      <c r="C10" s="309" t="s">
        <v>18</v>
      </c>
      <c r="D10" s="308" t="s">
        <v>27090</v>
      </c>
      <c r="E10" s="1050"/>
      <c r="F10" s="1051"/>
      <c r="G10" s="10"/>
    </row>
    <row r="11" spans="1:16" ht="26.25" thickBot="1">
      <c r="B11" s="304"/>
      <c r="C11" s="479" t="s">
        <v>26589</v>
      </c>
      <c r="D11" s="308" t="s">
        <v>27090</v>
      </c>
      <c r="E11" s="1050"/>
      <c r="F11" s="1051"/>
      <c r="G11" s="10"/>
    </row>
    <row r="12" spans="1:16" ht="27" customHeight="1" thickBot="1">
      <c r="B12" s="304"/>
      <c r="C12" s="705" t="s">
        <v>19</v>
      </c>
      <c r="D12" s="308" t="s">
        <v>22743</v>
      </c>
      <c r="E12" s="615"/>
      <c r="F12" s="703"/>
      <c r="G12" s="614"/>
    </row>
    <row r="13" spans="1:16" ht="16.5">
      <c r="B13" s="303" t="s">
        <v>20</v>
      </c>
      <c r="C13" s="302"/>
      <c r="D13" s="304"/>
      <c r="E13" s="304"/>
      <c r="F13" s="304"/>
      <c r="G13" s="304"/>
    </row>
    <row r="14" spans="1:16" ht="15.75" thickBot="1">
      <c r="C14" s="311" t="s">
        <v>24844</v>
      </c>
      <c r="D14" s="312" t="s">
        <v>273</v>
      </c>
      <c r="E14" s="439"/>
      <c r="F14" s="440"/>
    </row>
    <row r="15" spans="1:16" ht="15.75" thickBot="1">
      <c r="C15" s="313" t="s">
        <v>24845</v>
      </c>
      <c r="D15" s="314" t="s">
        <v>273</v>
      </c>
      <c r="E15" s="615"/>
      <c r="F15" s="703"/>
    </row>
    <row r="16" spans="1:16">
      <c r="C16" s="315" t="s">
        <v>24846</v>
      </c>
      <c r="D16" s="316" t="s">
        <v>22</v>
      </c>
      <c r="E16" s="441"/>
      <c r="F16" s="442"/>
    </row>
    <row r="17" spans="2:10">
      <c r="C17" s="317" t="s">
        <v>24847</v>
      </c>
      <c r="D17" s="318" t="s">
        <v>273</v>
      </c>
      <c r="E17" s="202"/>
      <c r="F17" s="203"/>
    </row>
    <row r="18" spans="2:10">
      <c r="C18" s="317" t="s">
        <v>24848</v>
      </c>
      <c r="D18" s="319" t="s">
        <v>273</v>
      </c>
      <c r="E18" s="202"/>
      <c r="F18" s="203"/>
    </row>
    <row r="19" spans="2:10">
      <c r="C19" s="317" t="s">
        <v>24849</v>
      </c>
      <c r="D19" s="319" t="s">
        <v>23</v>
      </c>
      <c r="E19" s="202"/>
      <c r="F19" s="203"/>
    </row>
    <row r="20" spans="2:10">
      <c r="C20" s="317" t="s">
        <v>24850</v>
      </c>
      <c r="D20" s="319" t="s">
        <v>24</v>
      </c>
      <c r="E20" s="202"/>
      <c r="F20" s="203"/>
    </row>
    <row r="21" spans="2:10" ht="16.5">
      <c r="B21" s="303" t="s">
        <v>25</v>
      </c>
      <c r="C21" s="302"/>
      <c r="D21" s="304"/>
      <c r="E21" s="304"/>
      <c r="F21" s="304"/>
      <c r="G21" s="304"/>
      <c r="H21" s="304"/>
    </row>
    <row r="22" spans="2:10" ht="15.75" thickBot="1">
      <c r="C22" s="311" t="s">
        <v>24851</v>
      </c>
      <c r="D22" s="312" t="s">
        <v>273</v>
      </c>
      <c r="E22" s="439"/>
      <c r="F22" s="440"/>
    </row>
    <row r="23" spans="2:10" ht="15.75" thickBot="1">
      <c r="C23" s="313" t="s">
        <v>24852</v>
      </c>
      <c r="D23" s="308" t="s">
        <v>273</v>
      </c>
      <c r="E23" s="615"/>
      <c r="F23" s="703"/>
    </row>
    <row r="24" spans="2:10">
      <c r="C24" s="315" t="s">
        <v>24853</v>
      </c>
      <c r="D24" s="316" t="s">
        <v>24</v>
      </c>
      <c r="E24" s="441"/>
      <c r="F24" s="442"/>
    </row>
    <row r="25" spans="2:10">
      <c r="C25" s="317" t="s">
        <v>24854</v>
      </c>
      <c r="D25" s="318" t="s">
        <v>273</v>
      </c>
      <c r="E25" s="202"/>
      <c r="F25" s="203"/>
    </row>
    <row r="26" spans="2:10">
      <c r="C26" s="317" t="s">
        <v>24855</v>
      </c>
      <c r="D26" s="319" t="s">
        <v>23</v>
      </c>
      <c r="E26" s="202"/>
      <c r="F26" s="203"/>
    </row>
    <row r="27" spans="2:10" ht="16.5">
      <c r="B27" s="303" t="s">
        <v>26</v>
      </c>
      <c r="C27" s="320"/>
      <c r="D27" s="304"/>
      <c r="E27" s="304"/>
      <c r="F27" s="304"/>
      <c r="G27" s="304"/>
      <c r="H27" s="304"/>
      <c r="I27" s="304"/>
      <c r="J27" s="304"/>
    </row>
    <row r="28" spans="2:10" ht="15.75" thickBot="1">
      <c r="C28" s="311" t="s">
        <v>24856</v>
      </c>
      <c r="D28" s="321" t="s">
        <v>273</v>
      </c>
      <c r="E28" s="439"/>
      <c r="F28" s="440"/>
    </row>
    <row r="29" spans="2:10" ht="15.75" thickBot="1">
      <c r="C29" s="313" t="s">
        <v>24857</v>
      </c>
      <c r="D29" s="314" t="s">
        <v>273</v>
      </c>
      <c r="E29" s="615"/>
      <c r="F29" s="703"/>
    </row>
    <row r="30" spans="2:10">
      <c r="C30" s="315" t="s">
        <v>24858</v>
      </c>
      <c r="D30" s="316" t="s">
        <v>273</v>
      </c>
      <c r="E30" s="441"/>
      <c r="F30" s="442"/>
    </row>
    <row r="31" spans="2:10">
      <c r="C31" s="317" t="s">
        <v>24859</v>
      </c>
      <c r="D31" s="319" t="s">
        <v>23</v>
      </c>
      <c r="E31" s="202"/>
      <c r="F31" s="203"/>
    </row>
    <row r="32" spans="2:10">
      <c r="C32" s="317" t="s">
        <v>29</v>
      </c>
      <c r="D32" s="319" t="s">
        <v>28</v>
      </c>
      <c r="E32" s="441"/>
      <c r="F32" s="442"/>
    </row>
    <row r="33" spans="5:6" ht="14.25" customHeight="1">
      <c r="E33" s="443"/>
      <c r="F33" s="444"/>
    </row>
    <row r="49" spans="5:10">
      <c r="E49" s="310"/>
      <c r="F49" s="310"/>
      <c r="G49" s="310"/>
      <c r="H49" s="310"/>
      <c r="I49" s="310"/>
      <c r="J49" s="310"/>
    </row>
  </sheetData>
  <sheetProtection algorithmName="SHA-512" hashValue="K7+vHQ5CjX/ciMtcLo5yensszA8JQq1dLKNj6z08mzgRoxSnYATTRpL02TNl9BkM0GtBVLDaZwr15xcemNuXkg==" saltValue="5ilHum4ZdSLMuU+ayvVSUg==" spinCount="100000" sheet="1" objects="1" scenarios="1"/>
  <dataConsolidate/>
  <customSheetViews>
    <customSheetView guid="{849F61E1-F6D3-48F4-A6FF-68F8FE186D80}" scale="85" showGridLines="0">
      <selection activeCell="G2" sqref="G2"/>
      <pageMargins left="0.7" right="0.7" top="0.75" bottom="0.75" header="0.3" footer="0.3"/>
      <pageSetup paperSize="9" orientation="portrait" verticalDpi="300" r:id="rId1"/>
    </customSheetView>
    <customSheetView guid="{1E1889AA-9C00-49BF-A07E-295053EABBEF}" scale="85" showGridLines="0">
      <pageMargins left="0.7" right="0.7" top="0.75" bottom="0.75" header="0.3" footer="0.3"/>
      <pageSetup paperSize="9" orientation="portrait" verticalDpi="300" r:id="rId2"/>
    </customSheetView>
    <customSheetView guid="{83029BA9-344F-4783-B8F2-6704FB40A582}" scale="85" showGridLines="0">
      <selection activeCell="G2" sqref="G2"/>
      <pageMargins left="0.7" right="0.7" top="0.75" bottom="0.75" header="0.3" footer="0.3"/>
      <pageSetup paperSize="9" orientation="portrait" verticalDpi="300" r:id="rId3"/>
    </customSheetView>
  </customSheetViews>
  <phoneticPr fontId="341" type="noConversion"/>
  <dataValidations count="3">
    <dataValidation type="list" allowBlank="1" showInputMessage="1" showErrorMessage="1" sqref="E12:G12" xr:uid="{00000000-0002-0000-0200-000000000000}">
      <formula1>si_no</formula1>
    </dataValidation>
    <dataValidation type="decimal" operator="greaterThanOrEqual" allowBlank="1" showInputMessage="1" showErrorMessage="1" sqref="E14:F20 E22:F26 E28:F32" xr:uid="{A532E1CC-FD57-47DD-9F8D-C5AE35C88DE2}">
      <formula1>0</formula1>
    </dataValidation>
    <dataValidation type="list" allowBlank="1" showInputMessage="1" showErrorMessage="1" sqref="E7:F7" xr:uid="{7BE0B96B-8612-4BF9-A52F-E14FE4FFCF8A}">
      <formula1>"SI,NO"</formula1>
    </dataValidation>
  </dataValidations>
  <pageMargins left="0.7" right="0.7" top="0.75" bottom="0.75" header="0.3" footer="0.3"/>
  <pageSetup paperSize="9" orientation="portrait" verticalDpi="300" r:id="rId4"/>
  <drawing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C2AF4-B113-4B0F-976E-BA88CC48C23B}">
  <sheetPr codeName="Sheet2">
    <tabColor rgb="FFC5D9F1"/>
  </sheetPr>
  <dimension ref="A1:P25"/>
  <sheetViews>
    <sheetView showGridLines="0" zoomScale="85" zoomScaleNormal="85" workbookViewId="0">
      <selection activeCell="E24" sqref="E24:H25"/>
    </sheetView>
  </sheetViews>
  <sheetFormatPr defaultRowHeight="15"/>
  <cols>
    <col min="1" max="1" width="8.7109375" customWidth="1"/>
    <col min="2" max="2" width="2.5703125" customWidth="1"/>
    <col min="3" max="3" width="55.42578125" customWidth="1"/>
    <col min="4" max="6" width="17.5703125" customWidth="1"/>
    <col min="7" max="11" width="18.28515625" customWidth="1"/>
    <col min="12" max="12" width="22.42578125" bestFit="1" customWidth="1"/>
    <col min="13" max="13" width="22.5703125" bestFit="1" customWidth="1"/>
    <col min="14" max="14" width="19.5703125" bestFit="1" customWidth="1"/>
    <col min="15" max="15" width="17.5703125" bestFit="1" customWidth="1"/>
    <col min="16" max="16" width="22.5703125" bestFit="1" customWidth="1"/>
  </cols>
  <sheetData>
    <row r="1" spans="1:16" ht="24" thickBot="1">
      <c r="A1" s="1588"/>
      <c r="B1" s="300" t="s">
        <v>31844</v>
      </c>
      <c r="C1" s="320"/>
      <c r="D1" s="304"/>
      <c r="E1" s="437" t="s">
        <v>31852</v>
      </c>
      <c r="F1" s="438"/>
    </row>
    <row r="2" spans="1:16" ht="15.75" thickBot="1">
      <c r="B2" s="310"/>
      <c r="C2" s="313" t="s">
        <v>277</v>
      </c>
      <c r="D2" s="314" t="s">
        <v>21</v>
      </c>
      <c r="E2" s="611"/>
      <c r="P2" s="306" t="s">
        <v>26549</v>
      </c>
    </row>
    <row r="3" spans="1:16" ht="15.75" thickBot="1">
      <c r="B3" s="310"/>
      <c r="C3" s="594" t="s">
        <v>278</v>
      </c>
      <c r="D3" s="314" t="s">
        <v>25125</v>
      </c>
      <c r="E3" s="612"/>
      <c r="P3" s="306" t="b">
        <f>+COUNTA(E2:E8)&lt;&gt;7</f>
        <v>1</v>
      </c>
    </row>
    <row r="4" spans="1:16" ht="15.75" thickBot="1">
      <c r="B4" s="310"/>
      <c r="C4" s="594" t="s">
        <v>279</v>
      </c>
      <c r="D4" s="314" t="s">
        <v>25125</v>
      </c>
      <c r="E4" s="612"/>
    </row>
    <row r="5" spans="1:16" ht="15.75" thickBot="1">
      <c r="B5" s="310"/>
      <c r="C5" s="313" t="s">
        <v>280</v>
      </c>
      <c r="D5" s="314" t="s">
        <v>22743</v>
      </c>
      <c r="E5" s="613"/>
    </row>
    <row r="6" spans="1:16" ht="15.75" thickBot="1">
      <c r="B6" s="310"/>
      <c r="C6" s="595" t="s">
        <v>31211</v>
      </c>
      <c r="D6" s="314" t="s">
        <v>22743</v>
      </c>
      <c r="E6" s="613"/>
    </row>
    <row r="7" spans="1:16" ht="15.75" thickBot="1">
      <c r="B7" s="310"/>
      <c r="C7" s="595" t="s">
        <v>25127</v>
      </c>
      <c r="D7" s="314" t="s">
        <v>22743</v>
      </c>
      <c r="E7" s="613"/>
    </row>
    <row r="8" spans="1:16" ht="39" thickBot="1">
      <c r="B8" s="310"/>
      <c r="C8" s="595" t="s">
        <v>31845</v>
      </c>
      <c r="D8" s="314" t="s">
        <v>22743</v>
      </c>
      <c r="E8" s="613"/>
      <c r="F8" s="445"/>
    </row>
    <row r="9" spans="1:16">
      <c r="B9" s="310"/>
      <c r="C9" s="310"/>
      <c r="D9" s="310"/>
      <c r="E9" s="310"/>
      <c r="F9" s="310"/>
      <c r="G9" s="310"/>
    </row>
    <row r="10" spans="1:16" ht="23.25">
      <c r="B10" s="300" t="s">
        <v>31445</v>
      </c>
      <c r="C10" s="320"/>
      <c r="D10" s="310"/>
    </row>
    <row r="11" spans="1:16" ht="23.25">
      <c r="B11" s="300"/>
      <c r="C11" s="3184" t="s">
        <v>31864</v>
      </c>
      <c r="D11" s="310"/>
      <c r="E11" s="437"/>
      <c r="F11" s="437"/>
      <c r="G11" s="437"/>
      <c r="H11" s="437"/>
    </row>
    <row r="12" spans="1:16" ht="24" thickBot="1">
      <c r="B12" s="300"/>
      <c r="C12" s="3571" t="s">
        <v>31846</v>
      </c>
      <c r="D12" s="3571"/>
      <c r="E12" s="437" t="s">
        <v>29769</v>
      </c>
      <c r="F12" s="437" t="s">
        <v>29770</v>
      </c>
      <c r="G12" s="437" t="s">
        <v>29771</v>
      </c>
      <c r="H12" s="437" t="s">
        <v>29772</v>
      </c>
    </row>
    <row r="13" spans="1:16" ht="15.75" thickBot="1">
      <c r="C13" s="594" t="s">
        <v>31847</v>
      </c>
      <c r="D13" s="314" t="s">
        <v>30</v>
      </c>
      <c r="E13" s="2693"/>
      <c r="F13" s="2693"/>
      <c r="G13" s="2693"/>
      <c r="H13" s="2693"/>
    </row>
    <row r="14" spans="1:16" ht="15.75" thickBot="1">
      <c r="C14" s="594" t="s">
        <v>31848</v>
      </c>
      <c r="D14" s="314" t="s">
        <v>30</v>
      </c>
      <c r="E14" s="2693"/>
      <c r="F14" s="2693"/>
      <c r="G14" s="2693"/>
      <c r="H14" s="2693"/>
    </row>
    <row r="15" spans="1:16" ht="15.75" thickBot="1">
      <c r="C15" s="3571" t="s">
        <v>31849</v>
      </c>
      <c r="D15" s="3571"/>
    </row>
    <row r="16" spans="1:16" ht="16.5" thickBot="1">
      <c r="C16" s="594" t="s">
        <v>31850</v>
      </c>
      <c r="D16" s="314" t="s">
        <v>273</v>
      </c>
      <c r="E16" s="3253"/>
      <c r="F16" s="3253"/>
      <c r="G16" s="3253"/>
      <c r="H16" s="3253"/>
    </row>
    <row r="17" spans="3:8" ht="15.75" thickBot="1">
      <c r="C17" s="3571" t="s">
        <v>31851</v>
      </c>
      <c r="D17" s="3572"/>
    </row>
    <row r="18" spans="3:8" ht="18" customHeight="1" thickBot="1">
      <c r="C18" s="594" t="s">
        <v>31467</v>
      </c>
      <c r="D18" s="308" t="s">
        <v>27</v>
      </c>
      <c r="E18" s="2729">
        <f>+Input_per_calcoli_finali!K143</f>
        <v>0</v>
      </c>
      <c r="F18" s="2729">
        <f>+Input_per_calcoli_finali!L143</f>
        <v>0</v>
      </c>
      <c r="G18" s="2729">
        <f>+Input_per_calcoli_finali!M143</f>
        <v>0</v>
      </c>
      <c r="H18" s="2729">
        <f>+Input_per_calcoli_finali!N143</f>
        <v>0</v>
      </c>
    </row>
    <row r="19" spans="3:8" ht="15.75" thickBot="1">
      <c r="C19" s="594" t="s">
        <v>31856</v>
      </c>
      <c r="D19" s="314" t="s">
        <v>22743</v>
      </c>
      <c r="E19" s="615"/>
      <c r="F19" s="615"/>
      <c r="G19" s="615"/>
      <c r="H19" s="615"/>
    </row>
    <row r="20" spans="3:8" ht="15.75" thickBot="1">
      <c r="C20" s="594" t="s">
        <v>31853</v>
      </c>
      <c r="D20" s="314" t="s">
        <v>22743</v>
      </c>
      <c r="E20" s="615"/>
      <c r="F20" s="615"/>
      <c r="G20" s="615"/>
      <c r="H20" s="615"/>
    </row>
    <row r="21" spans="3:8" ht="15.75" thickBot="1">
      <c r="C21" s="594" t="s">
        <v>31854</v>
      </c>
      <c r="D21" s="314" t="s">
        <v>22743</v>
      </c>
      <c r="E21" s="615"/>
      <c r="F21" s="615"/>
      <c r="G21" s="615"/>
      <c r="H21" s="615"/>
    </row>
    <row r="22" spans="3:8" ht="15.75" thickBot="1">
      <c r="C22" s="594" t="s">
        <v>31855</v>
      </c>
      <c r="D22" s="314" t="s">
        <v>22743</v>
      </c>
      <c r="E22" s="615"/>
      <c r="F22" s="615"/>
      <c r="G22" s="615"/>
      <c r="H22" s="615"/>
    </row>
    <row r="23" spans="3:8" ht="30.75" customHeight="1" thickBot="1">
      <c r="C23" s="3573" t="s">
        <v>31869</v>
      </c>
      <c r="D23" s="3572"/>
    </row>
    <row r="24" spans="3:8" ht="16.5" thickBot="1">
      <c r="C24" s="594" t="s">
        <v>31858</v>
      </c>
      <c r="D24" s="308" t="s">
        <v>27</v>
      </c>
      <c r="E24" s="3522"/>
      <c r="F24" s="3522"/>
      <c r="G24" s="3522"/>
      <c r="H24" s="3522"/>
    </row>
    <row r="25" spans="3:8" ht="16.5" thickBot="1">
      <c r="C25" s="594" t="s">
        <v>31859</v>
      </c>
      <c r="D25" s="308" t="s">
        <v>27</v>
      </c>
      <c r="E25" s="3522"/>
      <c r="F25" s="3522"/>
      <c r="G25" s="3522"/>
      <c r="H25" s="3522"/>
    </row>
  </sheetData>
  <sheetProtection algorithmName="SHA-512" hashValue="pu51NXCp4uicy4QfV89djJcpMeqalE9xKaHE5N64bVENnvQ1FHnAUHmjawefjycB940AOhE7FMlvDfb2TA9Xyg==" saltValue="+PL5WJ+J6oBTwINhhpAqgw==" spinCount="100000" sheet="1" objects="1" scenarios="1"/>
  <mergeCells count="4">
    <mergeCell ref="C12:D12"/>
    <mergeCell ref="C15:D15"/>
    <mergeCell ref="C17:D17"/>
    <mergeCell ref="C23:D23"/>
  </mergeCells>
  <dataValidations count="5">
    <dataValidation type="decimal" operator="lessThanOrEqual" allowBlank="1" showInputMessage="1" showErrorMessage="1" sqref="E13:H13 E16:H16" xr:uid="{F8933A72-A1A4-4D7D-868E-763BCD2C0F84}">
      <formula1>0</formula1>
    </dataValidation>
    <dataValidation type="decimal" operator="greaterThanOrEqual" allowBlank="1" showInputMessage="1" showErrorMessage="1" sqref="E24:H25 E18:H18 E14:H14" xr:uid="{A532E1CC-FD57-47DD-9F8D-C5AE35C88DE2}">
      <formula1>0</formula1>
    </dataValidation>
    <dataValidation type="list" allowBlank="1" showInputMessage="1" showErrorMessage="1" sqref="E2" xr:uid="{00000000-0002-0000-0200-000002000000}">
      <formula1>tipo_affidamento</formula1>
    </dataValidation>
    <dataValidation type="list" allowBlank="1" showInputMessage="1" showErrorMessage="1" sqref="E5:E8" xr:uid="{00000000-0002-0000-0200-000000000000}">
      <formula1>si_no</formula1>
    </dataValidation>
    <dataValidation type="list" operator="greaterThanOrEqual" allowBlank="1" showInputMessage="1" showErrorMessage="1" sqref="E19:H22" xr:uid="{6A74AC6B-6511-4941-806A-15533874F056}">
      <formula1>si_no</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6">
    <tabColor rgb="FFC5D9F1"/>
  </sheetPr>
  <dimension ref="A1:S115"/>
  <sheetViews>
    <sheetView showGridLines="0" zoomScale="85" zoomScaleNormal="85" workbookViewId="0">
      <pane xSplit="2" ySplit="3" topLeftCell="C75" activePane="bottomRight" state="frozen"/>
      <selection pane="topRight"/>
      <selection pane="bottomLeft"/>
      <selection pane="bottomRight" activeCell="C35" sqref="C35"/>
    </sheetView>
  </sheetViews>
  <sheetFormatPr defaultColWidth="9.42578125" defaultRowHeight="12.75"/>
  <cols>
    <col min="1" max="1" width="6.5703125" style="478" customWidth="1"/>
    <col min="2" max="2" width="60.42578125" style="478" customWidth="1"/>
    <col min="3" max="3" width="18.5703125" style="478" customWidth="1"/>
    <col min="4" max="6" width="17" style="478" customWidth="1"/>
    <col min="7" max="7" width="13.42578125" style="478" customWidth="1"/>
    <col min="8" max="8" width="1.5703125" style="10" customWidth="1"/>
    <col min="9" max="12" width="18.5703125" style="478" customWidth="1"/>
    <col min="13" max="13" width="13.42578125" style="478" customWidth="1"/>
    <col min="14" max="14" width="3.5703125" style="10" customWidth="1"/>
    <col min="15" max="15" width="9.42578125" style="478" customWidth="1"/>
    <col min="16" max="16" width="25.5703125" style="322" customWidth="1"/>
    <col min="17" max="17" width="19" style="478" bestFit="1" customWidth="1"/>
    <col min="18" max="18" width="17.42578125" style="478" customWidth="1"/>
    <col min="19" max="19" width="21.42578125" style="478" customWidth="1"/>
    <col min="20" max="16384" width="9.42578125" style="478"/>
  </cols>
  <sheetData>
    <row r="1" spans="1:19" ht="25.35" customHeight="1" thickBot="1">
      <c r="A1" s="1588"/>
      <c r="B1" s="300" t="s">
        <v>24993</v>
      </c>
      <c r="O1" s="10"/>
      <c r="P1" s="478"/>
      <c r="Q1" s="1046" t="s">
        <v>26549</v>
      </c>
      <c r="R1" s="1480" t="s">
        <v>28813</v>
      </c>
      <c r="S1" s="1480" t="s">
        <v>28814</v>
      </c>
    </row>
    <row r="2" spans="1:19" ht="15" customHeight="1" thickTop="1" thickBot="1">
      <c r="C2" s="3574" t="s">
        <v>29767</v>
      </c>
      <c r="D2" s="3575"/>
      <c r="E2" s="3575"/>
      <c r="F2" s="3575"/>
      <c r="G2" s="3576"/>
      <c r="I2" s="3577" t="s">
        <v>29768</v>
      </c>
      <c r="J2" s="3578"/>
      <c r="K2" s="3578"/>
      <c r="L2" s="3578"/>
      <c r="M2" s="3579"/>
      <c r="O2" s="10"/>
      <c r="P2" s="478"/>
      <c r="Q2" s="1479" t="b">
        <f t="array" ref="Q2">+OR(R2:S2)</f>
        <v>1</v>
      </c>
      <c r="R2" s="1480" t="b">
        <f t="array" ref="R2">+OR(P:P)</f>
        <v>0</v>
      </c>
      <c r="S2" s="1480" t="b">
        <f>SUM(C:M)=0</f>
        <v>1</v>
      </c>
    </row>
    <row r="3" spans="1:19" ht="39.75" customHeight="1" thickTop="1" thickBot="1">
      <c r="B3" s="741"/>
      <c r="C3" s="742" t="s">
        <v>239</v>
      </c>
      <c r="D3" s="743" t="s">
        <v>271</v>
      </c>
      <c r="E3" s="446" t="s">
        <v>238</v>
      </c>
      <c r="F3" s="744" t="s">
        <v>103</v>
      </c>
      <c r="G3" s="745" t="s">
        <v>31</v>
      </c>
      <c r="I3" s="742" t="s">
        <v>239</v>
      </c>
      <c r="J3" s="743" t="s">
        <v>271</v>
      </c>
      <c r="K3" s="446" t="s">
        <v>238</v>
      </c>
      <c r="L3" s="744" t="s">
        <v>103</v>
      </c>
      <c r="M3" s="745" t="s">
        <v>31</v>
      </c>
      <c r="O3" s="1559" t="s">
        <v>22741</v>
      </c>
      <c r="P3" s="1559" t="s">
        <v>26575</v>
      </c>
    </row>
    <row r="4" spans="1:19" ht="14.25" thickTop="1" thickBot="1">
      <c r="A4" s="1044" t="s">
        <v>32</v>
      </c>
      <c r="B4" s="741"/>
      <c r="C4" s="1466">
        <f>C5+C7+C8+C9+C11</f>
        <v>0</v>
      </c>
      <c r="D4" s="761"/>
      <c r="E4" s="760">
        <f>+C4-D4</f>
        <v>0</v>
      </c>
      <c r="F4" s="1466">
        <f>F5+F7+F8+F9+F11</f>
        <v>0</v>
      </c>
      <c r="G4" s="1467">
        <f>G5+G7+G8+G9+G11</f>
        <v>0</v>
      </c>
      <c r="H4" s="762"/>
      <c r="I4" s="1466">
        <f>I5+I7+I8+I9+I11</f>
        <v>0</v>
      </c>
      <c r="J4" s="761"/>
      <c r="K4" s="1468">
        <f>+I4-J4</f>
        <v>0</v>
      </c>
      <c r="L4" s="1469">
        <f>L5+L7+L8+L9+L11</f>
        <v>0</v>
      </c>
      <c r="M4" s="1470">
        <f>M5+M7+M8+M9+M11</f>
        <v>0</v>
      </c>
      <c r="O4" s="1560">
        <v>0</v>
      </c>
      <c r="P4" s="1561" t="b">
        <f>OR(C13&gt;C4,F13&gt;F4,G13&gt;G4,I13&gt;I4,L13&gt;L4,M13&gt;M4)</f>
        <v>0</v>
      </c>
    </row>
    <row r="5" spans="1:19" ht="15.75" customHeight="1" thickTop="1">
      <c r="A5" s="746"/>
      <c r="B5" s="747" t="s">
        <v>33</v>
      </c>
      <c r="C5" s="146"/>
      <c r="D5" s="147"/>
      <c r="E5" s="764">
        <f>+C5-D5</f>
        <v>0</v>
      </c>
      <c r="F5" s="1378"/>
      <c r="G5" s="148"/>
      <c r="H5" s="762"/>
      <c r="I5" s="149"/>
      <c r="J5" s="147"/>
      <c r="K5" s="764">
        <f>+I5-J5</f>
        <v>0</v>
      </c>
      <c r="L5" s="1357"/>
      <c r="M5" s="150"/>
      <c r="O5" s="1562">
        <v>1</v>
      </c>
      <c r="P5" s="1563"/>
    </row>
    <row r="6" spans="1:19">
      <c r="A6" s="746"/>
      <c r="B6" s="748" t="s">
        <v>34</v>
      </c>
      <c r="C6" s="151"/>
      <c r="D6" s="152"/>
      <c r="E6" s="765">
        <f t="shared" ref="E6:E12" si="0">+C6-D6</f>
        <v>0</v>
      </c>
      <c r="F6" s="1379"/>
      <c r="G6" s="153"/>
      <c r="H6" s="762"/>
      <c r="I6" s="154"/>
      <c r="J6" s="152"/>
      <c r="K6" s="765">
        <f t="shared" ref="K6:K12" si="1">+I6-J6</f>
        <v>0</v>
      </c>
      <c r="L6" s="1358"/>
      <c r="M6" s="155"/>
      <c r="O6" s="1560">
        <v>2</v>
      </c>
      <c r="P6" s="1561" t="b">
        <f>OR(C6&gt;C5,F6&gt;F5,G6&gt;G5,I6&gt;I5,L6&gt;L5,M6&gt;M5)</f>
        <v>0</v>
      </c>
    </row>
    <row r="7" spans="1:19" ht="33" customHeight="1">
      <c r="A7" s="746"/>
      <c r="B7" s="749" t="s">
        <v>35</v>
      </c>
      <c r="C7" s="447"/>
      <c r="D7" s="448"/>
      <c r="E7" s="766">
        <f t="shared" si="0"/>
        <v>0</v>
      </c>
      <c r="F7" s="1380"/>
      <c r="G7" s="449"/>
      <c r="H7" s="762"/>
      <c r="I7" s="450"/>
      <c r="J7" s="448"/>
      <c r="K7" s="766">
        <f t="shared" si="1"/>
        <v>0</v>
      </c>
      <c r="L7" s="1359"/>
      <c r="M7" s="451"/>
      <c r="O7" s="1560">
        <v>3</v>
      </c>
      <c r="P7" s="1563"/>
    </row>
    <row r="8" spans="1:19" ht="14.25" customHeight="1">
      <c r="A8" s="746"/>
      <c r="B8" s="749" t="s">
        <v>36</v>
      </c>
      <c r="C8" s="447"/>
      <c r="D8" s="448"/>
      <c r="E8" s="766">
        <f t="shared" si="0"/>
        <v>0</v>
      </c>
      <c r="F8" s="1380"/>
      <c r="G8" s="449"/>
      <c r="H8" s="762"/>
      <c r="I8" s="450"/>
      <c r="J8" s="448"/>
      <c r="K8" s="766">
        <f t="shared" si="1"/>
        <v>0</v>
      </c>
      <c r="L8" s="1359"/>
      <c r="M8" s="451"/>
      <c r="O8" s="1560">
        <v>4</v>
      </c>
      <c r="P8" s="1563"/>
    </row>
    <row r="9" spans="1:19" ht="27.75" customHeight="1">
      <c r="A9" s="746"/>
      <c r="B9" s="747" t="s">
        <v>37</v>
      </c>
      <c r="C9" s="452"/>
      <c r="D9" s="453"/>
      <c r="E9" s="767">
        <f t="shared" si="0"/>
        <v>0</v>
      </c>
      <c r="F9" s="1381"/>
      <c r="G9" s="454"/>
      <c r="H9" s="762"/>
      <c r="I9" s="455"/>
      <c r="J9" s="453"/>
      <c r="K9" s="767">
        <f t="shared" si="1"/>
        <v>0</v>
      </c>
      <c r="L9" s="1360"/>
      <c r="M9" s="456"/>
      <c r="O9" s="1560">
        <v>5</v>
      </c>
      <c r="P9" s="1563"/>
    </row>
    <row r="10" spans="1:19" ht="15.75" customHeight="1">
      <c r="A10" s="746"/>
      <c r="B10" s="748" t="s">
        <v>38</v>
      </c>
      <c r="C10" s="151"/>
      <c r="D10" s="152"/>
      <c r="E10" s="765">
        <f t="shared" si="0"/>
        <v>0</v>
      </c>
      <c r="F10" s="1361"/>
      <c r="G10" s="156"/>
      <c r="H10" s="762"/>
      <c r="I10" s="154"/>
      <c r="J10" s="152"/>
      <c r="K10" s="765">
        <f t="shared" si="1"/>
        <v>0</v>
      </c>
      <c r="L10" s="1361"/>
      <c r="M10" s="156"/>
      <c r="O10" s="1560">
        <v>6</v>
      </c>
      <c r="P10" s="1561" t="b">
        <f>OR(C10&gt;C9,F10&gt;F9,G10&gt;G9,I10&gt;I9,L10&gt;L9,M10&gt;M9)</f>
        <v>0</v>
      </c>
    </row>
    <row r="11" spans="1:19" ht="18" customHeight="1">
      <c r="A11" s="746"/>
      <c r="B11" s="747" t="s">
        <v>39</v>
      </c>
      <c r="C11" s="452"/>
      <c r="D11" s="453"/>
      <c r="E11" s="767">
        <f t="shared" si="0"/>
        <v>0</v>
      </c>
      <c r="F11" s="1381"/>
      <c r="G11" s="454"/>
      <c r="H11" s="762"/>
      <c r="I11" s="455"/>
      <c r="J11" s="453"/>
      <c r="K11" s="767">
        <f t="shared" si="1"/>
        <v>0</v>
      </c>
      <c r="L11" s="1360"/>
      <c r="M11" s="456"/>
      <c r="O11" s="1560">
        <v>7</v>
      </c>
      <c r="P11" s="1563"/>
    </row>
    <row r="12" spans="1:19" ht="13.5" thickBot="1">
      <c r="A12" s="746"/>
      <c r="B12" s="748" t="s">
        <v>34</v>
      </c>
      <c r="C12" s="157"/>
      <c r="D12" s="158"/>
      <c r="E12" s="768">
        <f t="shared" si="0"/>
        <v>0</v>
      </c>
      <c r="F12" s="1382"/>
      <c r="G12" s="159"/>
      <c r="H12" s="762"/>
      <c r="I12" s="160"/>
      <c r="J12" s="158"/>
      <c r="K12" s="768">
        <f t="shared" si="1"/>
        <v>0</v>
      </c>
      <c r="L12" s="1362"/>
      <c r="M12" s="161"/>
      <c r="O12" s="1560">
        <v>8</v>
      </c>
      <c r="P12" s="1561" t="b">
        <f>OR(C12&gt;C11,F12&gt;F11,G12&gt;G11,I12&gt;I11,L12&gt;L11,M12&gt;M11)</f>
        <v>0</v>
      </c>
    </row>
    <row r="13" spans="1:19" ht="25.5" customHeight="1" thickTop="1" thickBot="1">
      <c r="A13" s="49" t="s">
        <v>40</v>
      </c>
      <c r="B13" s="741"/>
      <c r="C13" s="1150">
        <f>SUM(C14:C40)</f>
        <v>0</v>
      </c>
      <c r="D13" s="1151"/>
      <c r="E13" s="1150">
        <f>+C13-D13</f>
        <v>0</v>
      </c>
      <c r="F13" s="1152">
        <f>SUM(F14:F40)</f>
        <v>0</v>
      </c>
      <c r="G13" s="1153">
        <f>SUM(G14:G40)</f>
        <v>0</v>
      </c>
      <c r="H13" s="1154"/>
      <c r="I13" s="1150">
        <f>SUM(I14:I40)</f>
        <v>0</v>
      </c>
      <c r="J13" s="1151"/>
      <c r="K13" s="1155">
        <f>+I13-J13</f>
        <v>0</v>
      </c>
      <c r="L13" s="1363">
        <f>SUM(L14:L40)</f>
        <v>0</v>
      </c>
      <c r="M13" s="1156">
        <f>SUM(M14:M40)</f>
        <v>0</v>
      </c>
      <c r="O13" s="1564">
        <v>9</v>
      </c>
      <c r="P13" s="1563"/>
    </row>
    <row r="14" spans="1:19" ht="18" customHeight="1" thickTop="1">
      <c r="A14" s="746"/>
      <c r="B14" s="750" t="s">
        <v>41</v>
      </c>
      <c r="C14" s="162"/>
      <c r="D14" s="152"/>
      <c r="E14" s="770">
        <f t="shared" ref="E14:E39" si="2">+C14-D14</f>
        <v>0</v>
      </c>
      <c r="F14" s="1364"/>
      <c r="G14" s="163"/>
      <c r="H14" s="762"/>
      <c r="I14" s="164"/>
      <c r="J14" s="152"/>
      <c r="K14" s="770">
        <f t="shared" ref="K14:K39" si="3">+I14-J14</f>
        <v>0</v>
      </c>
      <c r="L14" s="1364"/>
      <c r="M14" s="163"/>
      <c r="O14" s="1560">
        <v>10</v>
      </c>
      <c r="P14" s="1563"/>
    </row>
    <row r="15" spans="1:19" ht="18" customHeight="1">
      <c r="A15" s="746"/>
      <c r="B15" s="750" t="s">
        <v>42</v>
      </c>
      <c r="C15" s="447"/>
      <c r="D15" s="448"/>
      <c r="E15" s="766">
        <f t="shared" si="2"/>
        <v>0</v>
      </c>
      <c r="F15" s="1365"/>
      <c r="G15" s="457"/>
      <c r="H15" s="762"/>
      <c r="I15" s="450"/>
      <c r="J15" s="448"/>
      <c r="K15" s="766">
        <f t="shared" si="3"/>
        <v>0</v>
      </c>
      <c r="L15" s="1365"/>
      <c r="M15" s="457"/>
      <c r="O15" s="1560">
        <v>11</v>
      </c>
      <c r="P15" s="1563"/>
    </row>
    <row r="16" spans="1:19" ht="18" customHeight="1">
      <c r="A16" s="746"/>
      <c r="B16" s="750" t="s">
        <v>43</v>
      </c>
      <c r="C16" s="447"/>
      <c r="D16" s="448"/>
      <c r="E16" s="766">
        <f t="shared" si="2"/>
        <v>0</v>
      </c>
      <c r="F16" s="1365"/>
      <c r="G16" s="457"/>
      <c r="H16" s="762"/>
      <c r="I16" s="450"/>
      <c r="J16" s="448"/>
      <c r="K16" s="766">
        <f t="shared" si="3"/>
        <v>0</v>
      </c>
      <c r="L16" s="1365"/>
      <c r="M16" s="457"/>
      <c r="O16" s="1560">
        <v>13</v>
      </c>
      <c r="P16" s="1563"/>
    </row>
    <row r="17" spans="1:16" ht="18" customHeight="1">
      <c r="A17" s="746"/>
      <c r="B17" s="750" t="s">
        <v>44</v>
      </c>
      <c r="C17" s="447"/>
      <c r="D17" s="448"/>
      <c r="E17" s="766">
        <f t="shared" si="2"/>
        <v>0</v>
      </c>
      <c r="F17" s="1380"/>
      <c r="G17" s="457"/>
      <c r="H17" s="762"/>
      <c r="I17" s="450"/>
      <c r="J17" s="448"/>
      <c r="K17" s="766">
        <f t="shared" si="3"/>
        <v>0</v>
      </c>
      <c r="L17" s="1359"/>
      <c r="M17" s="457"/>
      <c r="O17" s="1560">
        <v>14</v>
      </c>
      <c r="P17" s="1563"/>
    </row>
    <row r="18" spans="1:16" ht="18" customHeight="1">
      <c r="A18" s="746"/>
      <c r="B18" s="750" t="s">
        <v>45</v>
      </c>
      <c r="C18" s="447"/>
      <c r="D18" s="448"/>
      <c r="E18" s="766">
        <f t="shared" si="2"/>
        <v>0</v>
      </c>
      <c r="F18" s="1365"/>
      <c r="G18" s="457"/>
      <c r="H18" s="762"/>
      <c r="I18" s="450"/>
      <c r="J18" s="448"/>
      <c r="K18" s="766">
        <f t="shared" si="3"/>
        <v>0</v>
      </c>
      <c r="L18" s="1365"/>
      <c r="M18" s="457"/>
      <c r="O18" s="1560">
        <v>15</v>
      </c>
      <c r="P18" s="1563"/>
    </row>
    <row r="19" spans="1:16" ht="18" customHeight="1">
      <c r="A19" s="746"/>
      <c r="B19" s="750" t="s">
        <v>46</v>
      </c>
      <c r="C19" s="447"/>
      <c r="D19" s="448"/>
      <c r="E19" s="766">
        <f t="shared" si="2"/>
        <v>0</v>
      </c>
      <c r="F19" s="1365"/>
      <c r="G19" s="457"/>
      <c r="H19" s="762"/>
      <c r="I19" s="450"/>
      <c r="J19" s="448"/>
      <c r="K19" s="766">
        <f t="shared" si="3"/>
        <v>0</v>
      </c>
      <c r="L19" s="1365"/>
      <c r="M19" s="457"/>
      <c r="O19" s="1560">
        <v>16</v>
      </c>
      <c r="P19" s="1563"/>
    </row>
    <row r="20" spans="1:16" ht="18" customHeight="1">
      <c r="A20" s="746"/>
      <c r="B20" s="750" t="s">
        <v>47</v>
      </c>
      <c r="C20" s="447"/>
      <c r="D20" s="448"/>
      <c r="E20" s="766">
        <f t="shared" si="2"/>
        <v>0</v>
      </c>
      <c r="F20" s="1365"/>
      <c r="G20" s="457"/>
      <c r="H20" s="762"/>
      <c r="I20" s="450"/>
      <c r="J20" s="448"/>
      <c r="K20" s="766">
        <f t="shared" si="3"/>
        <v>0</v>
      </c>
      <c r="L20" s="1365"/>
      <c r="M20" s="457"/>
      <c r="O20" s="1560">
        <v>17</v>
      </c>
      <c r="P20" s="1563"/>
    </row>
    <row r="21" spans="1:16" ht="18" customHeight="1">
      <c r="A21" s="746"/>
      <c r="B21" s="750" t="s">
        <v>48</v>
      </c>
      <c r="C21" s="447"/>
      <c r="D21" s="448"/>
      <c r="E21" s="766">
        <f t="shared" si="2"/>
        <v>0</v>
      </c>
      <c r="F21" s="1365"/>
      <c r="G21" s="457"/>
      <c r="H21" s="762"/>
      <c r="I21" s="450"/>
      <c r="J21" s="448"/>
      <c r="K21" s="766">
        <f t="shared" si="3"/>
        <v>0</v>
      </c>
      <c r="L21" s="1365"/>
      <c r="M21" s="457"/>
      <c r="O21" s="1560">
        <v>18</v>
      </c>
      <c r="P21" s="1563"/>
    </row>
    <row r="22" spans="1:16" ht="18" customHeight="1">
      <c r="A22" s="746"/>
      <c r="B22" s="750" t="s">
        <v>49</v>
      </c>
      <c r="C22" s="447"/>
      <c r="D22" s="448"/>
      <c r="E22" s="766">
        <f t="shared" si="2"/>
        <v>0</v>
      </c>
      <c r="F22" s="1365"/>
      <c r="G22" s="457"/>
      <c r="H22" s="762"/>
      <c r="I22" s="450"/>
      <c r="J22" s="448"/>
      <c r="K22" s="766">
        <f t="shared" si="3"/>
        <v>0</v>
      </c>
      <c r="L22" s="1365"/>
      <c r="M22" s="457"/>
      <c r="O22" s="1560">
        <v>19</v>
      </c>
      <c r="P22" s="1563"/>
    </row>
    <row r="23" spans="1:16" ht="18" customHeight="1">
      <c r="A23" s="935"/>
      <c r="B23" s="750" t="s">
        <v>50</v>
      </c>
      <c r="C23" s="447"/>
      <c r="D23" s="448"/>
      <c r="E23" s="766">
        <f t="shared" si="2"/>
        <v>0</v>
      </c>
      <c r="F23" s="1380"/>
      <c r="G23" s="457"/>
      <c r="H23" s="762"/>
      <c r="I23" s="450"/>
      <c r="J23" s="448"/>
      <c r="K23" s="766">
        <f>+I23-J23</f>
        <v>0</v>
      </c>
      <c r="L23" s="1359"/>
      <c r="M23" s="457"/>
      <c r="O23" s="1560">
        <v>20</v>
      </c>
      <c r="P23" s="1563"/>
    </row>
    <row r="24" spans="1:16" ht="18" customHeight="1">
      <c r="A24" s="935"/>
      <c r="B24" s="750" t="s">
        <v>51</v>
      </c>
      <c r="C24" s="447"/>
      <c r="D24" s="448"/>
      <c r="E24" s="766">
        <f t="shared" si="2"/>
        <v>0</v>
      </c>
      <c r="F24" s="1383"/>
      <c r="G24" s="457"/>
      <c r="H24" s="762"/>
      <c r="I24" s="450"/>
      <c r="J24" s="448"/>
      <c r="K24" s="766">
        <f>+I24-J24</f>
        <v>0</v>
      </c>
      <c r="L24" s="1359"/>
      <c r="M24" s="457"/>
      <c r="O24" s="1560">
        <v>22</v>
      </c>
      <c r="P24" s="1563"/>
    </row>
    <row r="25" spans="1:16" ht="18" customHeight="1">
      <c r="A25" s="746"/>
      <c r="B25" s="750" t="s">
        <v>52</v>
      </c>
      <c r="C25" s="458"/>
      <c r="D25" s="448"/>
      <c r="E25" s="771"/>
      <c r="F25" s="1380"/>
      <c r="G25" s="457"/>
      <c r="H25" s="762"/>
      <c r="I25" s="459"/>
      <c r="J25" s="448"/>
      <c r="K25" s="771"/>
      <c r="L25" s="1359"/>
      <c r="M25" s="457"/>
      <c r="O25" s="1560">
        <v>23</v>
      </c>
      <c r="P25" s="1563"/>
    </row>
    <row r="26" spans="1:16" ht="18" customHeight="1">
      <c r="A26" s="746"/>
      <c r="B26" s="750" t="s">
        <v>53</v>
      </c>
      <c r="C26" s="458"/>
      <c r="D26" s="448"/>
      <c r="E26" s="771"/>
      <c r="F26" s="1380"/>
      <c r="G26" s="457"/>
      <c r="H26" s="762"/>
      <c r="I26" s="459"/>
      <c r="J26" s="448"/>
      <c r="K26" s="771"/>
      <c r="L26" s="1359"/>
      <c r="M26" s="457"/>
      <c r="O26" s="1560">
        <v>24</v>
      </c>
      <c r="P26" s="1563"/>
    </row>
    <row r="27" spans="1:16" ht="18" customHeight="1">
      <c r="A27" s="935"/>
      <c r="B27" s="750" t="s">
        <v>31183</v>
      </c>
      <c r="C27" s="447"/>
      <c r="D27" s="448"/>
      <c r="E27" s="766">
        <f t="shared" si="2"/>
        <v>0</v>
      </c>
      <c r="F27" s="1365"/>
      <c r="G27" s="449"/>
      <c r="H27" s="762"/>
      <c r="I27" s="450"/>
      <c r="J27" s="448"/>
      <c r="K27" s="766">
        <f t="shared" si="3"/>
        <v>0</v>
      </c>
      <c r="L27" s="1365"/>
      <c r="M27" s="451"/>
      <c r="O27" s="1560">
        <v>25</v>
      </c>
      <c r="P27" s="1563"/>
    </row>
    <row r="28" spans="1:16" ht="18" customHeight="1">
      <c r="A28" s="935"/>
      <c r="B28" s="750" t="s">
        <v>31184</v>
      </c>
      <c r="C28" s="447"/>
      <c r="D28" s="448"/>
      <c r="E28" s="766">
        <f t="shared" si="2"/>
        <v>0</v>
      </c>
      <c r="F28" s="1365"/>
      <c r="G28" s="449"/>
      <c r="H28" s="762"/>
      <c r="I28" s="450"/>
      <c r="J28" s="448"/>
      <c r="K28" s="766">
        <f t="shared" si="3"/>
        <v>0</v>
      </c>
      <c r="L28" s="1365"/>
      <c r="M28" s="451"/>
      <c r="O28" s="1560">
        <v>26</v>
      </c>
      <c r="P28" s="1563"/>
    </row>
    <row r="29" spans="1:16" ht="18" customHeight="1">
      <c r="A29" s="746"/>
      <c r="B29" s="750" t="s">
        <v>24895</v>
      </c>
      <c r="C29" s="458"/>
      <c r="D29" s="448"/>
      <c r="E29" s="771"/>
      <c r="F29" s="1380"/>
      <c r="G29" s="457"/>
      <c r="H29" s="762"/>
      <c r="I29" s="459"/>
      <c r="J29" s="448"/>
      <c r="K29" s="771"/>
      <c r="L29" s="1359"/>
      <c r="M29" s="457"/>
      <c r="O29" s="1560">
        <v>27</v>
      </c>
      <c r="P29" s="1563"/>
    </row>
    <row r="30" spans="1:16" ht="18" customHeight="1">
      <c r="A30" s="746"/>
      <c r="B30" s="750" t="s">
        <v>55</v>
      </c>
      <c r="C30" s="458"/>
      <c r="D30" s="448"/>
      <c r="E30" s="771"/>
      <c r="F30" s="1380"/>
      <c r="G30" s="449"/>
      <c r="H30" s="762"/>
      <c r="I30" s="459"/>
      <c r="J30" s="448"/>
      <c r="K30" s="771"/>
      <c r="L30" s="1359"/>
      <c r="M30" s="451"/>
      <c r="O30" s="1560">
        <v>28</v>
      </c>
      <c r="P30" s="1563"/>
    </row>
    <row r="31" spans="1:16" ht="18" customHeight="1">
      <c r="A31" s="746"/>
      <c r="B31" s="750" t="s">
        <v>56</v>
      </c>
      <c r="C31" s="447"/>
      <c r="D31" s="448"/>
      <c r="E31" s="766">
        <f t="shared" si="2"/>
        <v>0</v>
      </c>
      <c r="F31" s="1380"/>
      <c r="G31" s="449"/>
      <c r="H31" s="762"/>
      <c r="I31" s="450"/>
      <c r="J31" s="448"/>
      <c r="K31" s="766">
        <f t="shared" si="3"/>
        <v>0</v>
      </c>
      <c r="L31" s="1359"/>
      <c r="M31" s="451"/>
      <c r="O31" s="1560">
        <v>29</v>
      </c>
      <c r="P31" s="1563"/>
    </row>
    <row r="32" spans="1:16" ht="18" customHeight="1">
      <c r="A32" s="746"/>
      <c r="B32" s="750" t="s">
        <v>57</v>
      </c>
      <c r="C32" s="458"/>
      <c r="D32" s="448"/>
      <c r="E32" s="771"/>
      <c r="F32" s="1380"/>
      <c r="G32" s="457"/>
      <c r="H32" s="762"/>
      <c r="I32" s="459"/>
      <c r="J32" s="448"/>
      <c r="K32" s="771"/>
      <c r="L32" s="1359"/>
      <c r="M32" s="457"/>
      <c r="O32" s="1560">
        <v>30</v>
      </c>
      <c r="P32" s="1563"/>
    </row>
    <row r="33" spans="1:16" ht="18" customHeight="1">
      <c r="A33" s="746"/>
      <c r="B33" s="750" t="s">
        <v>58</v>
      </c>
      <c r="C33" s="458"/>
      <c r="D33" s="448"/>
      <c r="E33" s="771"/>
      <c r="F33" s="1380"/>
      <c r="G33" s="457"/>
      <c r="H33" s="762"/>
      <c r="I33" s="459"/>
      <c r="J33" s="448"/>
      <c r="K33" s="771"/>
      <c r="L33" s="1359"/>
      <c r="M33" s="457"/>
      <c r="O33" s="1560">
        <v>31</v>
      </c>
      <c r="P33" s="1563"/>
    </row>
    <row r="34" spans="1:16" ht="18" customHeight="1">
      <c r="A34" s="746"/>
      <c r="B34" s="750" t="s">
        <v>59</v>
      </c>
      <c r="C34" s="458"/>
      <c r="D34" s="448"/>
      <c r="E34" s="771"/>
      <c r="F34" s="1380"/>
      <c r="G34" s="449"/>
      <c r="H34" s="762"/>
      <c r="I34" s="459"/>
      <c r="J34" s="448"/>
      <c r="K34" s="771"/>
      <c r="L34" s="1359"/>
      <c r="M34" s="451"/>
      <c r="O34" s="1560">
        <v>32</v>
      </c>
      <c r="P34" s="1563"/>
    </row>
    <row r="35" spans="1:16" ht="21" customHeight="1">
      <c r="A35" s="746"/>
      <c r="B35" s="750" t="s">
        <v>60</v>
      </c>
      <c r="C35" s="447"/>
      <c r="D35" s="448"/>
      <c r="E35" s="766">
        <f>+C35-D35</f>
        <v>0</v>
      </c>
      <c r="F35" s="1365"/>
      <c r="G35" s="457"/>
      <c r="H35" s="762"/>
      <c r="I35" s="450"/>
      <c r="J35" s="448"/>
      <c r="K35" s="771"/>
      <c r="L35" s="1365"/>
      <c r="M35" s="457"/>
      <c r="O35" s="1560">
        <v>33</v>
      </c>
      <c r="P35" s="1561" t="b">
        <f>+OR(C35&lt;&gt;D114,I35&lt;&gt;J114)</f>
        <v>0</v>
      </c>
    </row>
    <row r="36" spans="1:16" ht="18" customHeight="1">
      <c r="A36" s="746"/>
      <c r="B36" s="750" t="s">
        <v>61</v>
      </c>
      <c r="C36" s="458"/>
      <c r="D36" s="448"/>
      <c r="E36" s="771"/>
      <c r="F36" s="1380"/>
      <c r="G36" s="457"/>
      <c r="H36" s="762"/>
      <c r="I36" s="459"/>
      <c r="J36" s="448"/>
      <c r="K36" s="771"/>
      <c r="L36" s="1359"/>
      <c r="M36" s="457"/>
      <c r="O36" s="1560">
        <v>34</v>
      </c>
      <c r="P36" s="1563"/>
    </row>
    <row r="37" spans="1:16" ht="18" customHeight="1">
      <c r="A37" s="746"/>
      <c r="B37" s="750" t="s">
        <v>62</v>
      </c>
      <c r="C37" s="447"/>
      <c r="D37" s="448"/>
      <c r="E37" s="766">
        <f t="shared" si="2"/>
        <v>0</v>
      </c>
      <c r="F37" s="1380"/>
      <c r="G37" s="449"/>
      <c r="H37" s="762"/>
      <c r="I37" s="450"/>
      <c r="J37" s="448"/>
      <c r="K37" s="766">
        <f t="shared" si="3"/>
        <v>0</v>
      </c>
      <c r="L37" s="1359"/>
      <c r="M37" s="451"/>
      <c r="O37" s="1560">
        <v>35</v>
      </c>
      <c r="P37" s="1563"/>
    </row>
    <row r="38" spans="1:16" ht="18" customHeight="1">
      <c r="A38" s="746"/>
      <c r="B38" s="750" t="s">
        <v>63</v>
      </c>
      <c r="C38" s="447"/>
      <c r="D38" s="448"/>
      <c r="E38" s="766">
        <f t="shared" si="2"/>
        <v>0</v>
      </c>
      <c r="F38" s="1380"/>
      <c r="G38" s="449"/>
      <c r="H38" s="762"/>
      <c r="I38" s="450"/>
      <c r="J38" s="448"/>
      <c r="K38" s="766">
        <f t="shared" si="3"/>
        <v>0</v>
      </c>
      <c r="L38" s="1359"/>
      <c r="M38" s="451"/>
      <c r="O38" s="1560">
        <v>36</v>
      </c>
      <c r="P38" s="1563"/>
    </row>
    <row r="39" spans="1:16" ht="18" customHeight="1">
      <c r="A39" s="746"/>
      <c r="B39" s="750" t="s">
        <v>64</v>
      </c>
      <c r="C39" s="447"/>
      <c r="D39" s="448"/>
      <c r="E39" s="766">
        <f t="shared" si="2"/>
        <v>0</v>
      </c>
      <c r="F39" s="1380"/>
      <c r="G39" s="449"/>
      <c r="H39" s="762"/>
      <c r="I39" s="450"/>
      <c r="J39" s="448"/>
      <c r="K39" s="766">
        <f t="shared" si="3"/>
        <v>0</v>
      </c>
      <c r="L39" s="1359"/>
      <c r="M39" s="451"/>
      <c r="O39" s="1560">
        <v>37</v>
      </c>
      <c r="P39" s="1563"/>
    </row>
    <row r="40" spans="1:16" ht="18" customHeight="1" thickBot="1">
      <c r="A40" s="746"/>
      <c r="B40" s="750" t="s">
        <v>65</v>
      </c>
      <c r="C40" s="460"/>
      <c r="D40" s="461"/>
      <c r="E40" s="772"/>
      <c r="F40" s="466"/>
      <c r="G40" s="449"/>
      <c r="H40" s="762"/>
      <c r="I40" s="463"/>
      <c r="J40" s="461"/>
      <c r="K40" s="772"/>
      <c r="L40" s="468"/>
      <c r="M40" s="464"/>
      <c r="O40" s="1560">
        <v>38</v>
      </c>
      <c r="P40" s="1563"/>
    </row>
    <row r="41" spans="1:16" ht="14.25" thickTop="1" thickBot="1">
      <c r="B41" s="751"/>
      <c r="C41" s="773"/>
      <c r="D41" s="773"/>
      <c r="E41" s="773"/>
      <c r="F41" s="773"/>
      <c r="G41" s="773"/>
      <c r="H41" s="773"/>
      <c r="I41" s="773"/>
      <c r="J41" s="773"/>
      <c r="K41" s="773"/>
      <c r="L41" s="773"/>
      <c r="M41" s="773"/>
      <c r="O41" s="1560">
        <v>39</v>
      </c>
      <c r="P41" s="1563"/>
    </row>
    <row r="42" spans="1:16" ht="21" customHeight="1" thickTop="1" thickBot="1">
      <c r="A42" s="1045" t="s">
        <v>66</v>
      </c>
      <c r="B42" s="741"/>
      <c r="C42" s="1471">
        <f>C43+C46++C59+C62+C65+SUM(C69:C72)</f>
        <v>0</v>
      </c>
      <c r="D42" s="1472">
        <f>D43+D46++D59+D62+D65+SUM(D69:D72)</f>
        <v>0</v>
      </c>
      <c r="E42" s="774">
        <f>+C42-D42</f>
        <v>0</v>
      </c>
      <c r="F42" s="1471">
        <f>F43+F46++F59+F62+F65+SUM(F69:F72)</f>
        <v>0</v>
      </c>
      <c r="G42" s="1467">
        <f>G43+G46++G59+G62+G65+SUM(G69:G72)</f>
        <v>0</v>
      </c>
      <c r="H42" s="762"/>
      <c r="I42" s="1471">
        <f>I43+I46++I59+I62+I65+SUM(I69:I72)</f>
        <v>0</v>
      </c>
      <c r="J42" s="1472">
        <f>J43+J46++J59+J62+J65+SUM(J69:J72)</f>
        <v>0</v>
      </c>
      <c r="K42" s="1473">
        <f>+I42-J42</f>
        <v>0</v>
      </c>
      <c r="L42" s="1474">
        <f>L43+L46++L59+L62+L65+SUM(L69:L72)</f>
        <v>0</v>
      </c>
      <c r="M42" s="1475">
        <f>M43+M46++M59+M62+M65+SUM(M69:M72)</f>
        <v>0</v>
      </c>
      <c r="O42" s="1560">
        <v>40</v>
      </c>
      <c r="P42" s="1561" t="b">
        <f>+OR(C42&lt;(C43+C46+C59+C62+C65+SUM(C69:C72)),D42&lt;(D43+D46+D59+D62+D65+SUM(D69:D72)),F42&lt;(F43+F46+F59+F62+F65+SUM(F69:F72)),G42&lt;(G43+G46+G59+G62+G65+SUM(G69:G72)),I42&lt;(I43+I46+I59+I62+I65+SUM(I69:I72)),J42&lt;(J43+J46+J59+J62+J65+SUM(J69:J72)),L42&lt;(L43+L46+L59+L62+L65+SUM(L69:L72)),M42&lt;(M43+M46+M59+M62+M65+SUM(M69:M72)))</f>
        <v>0</v>
      </c>
    </row>
    <row r="43" spans="1:16" ht="18" customHeight="1" thickTop="1" thickBot="1">
      <c r="A43" s="746"/>
      <c r="B43" s="747" t="s">
        <v>67</v>
      </c>
      <c r="C43" s="465"/>
      <c r="D43" s="466"/>
      <c r="E43" s="763">
        <f>+C43-D43</f>
        <v>0</v>
      </c>
      <c r="F43" s="466"/>
      <c r="G43" s="462"/>
      <c r="H43" s="762"/>
      <c r="I43" s="467"/>
      <c r="J43" s="468"/>
      <c r="K43" s="775">
        <f>+I43-J43</f>
        <v>0</v>
      </c>
      <c r="L43" s="468"/>
      <c r="M43" s="464"/>
      <c r="O43" s="1560">
        <v>41</v>
      </c>
      <c r="P43" s="1563"/>
    </row>
    <row r="44" spans="1:16" ht="13.5" thickTop="1">
      <c r="A44" s="746"/>
      <c r="B44" s="753" t="s">
        <v>26573</v>
      </c>
      <c r="C44" s="170"/>
      <c r="D44" s="174"/>
      <c r="E44" s="777">
        <f>+C44-D44</f>
        <v>0</v>
      </c>
      <c r="F44" s="1384"/>
      <c r="G44" s="171"/>
      <c r="H44" s="762"/>
      <c r="I44" s="172"/>
      <c r="J44" s="175"/>
      <c r="K44" s="777">
        <f>+I44-J44</f>
        <v>0</v>
      </c>
      <c r="L44" s="1366"/>
      <c r="M44" s="173"/>
      <c r="O44" s="1560">
        <v>44</v>
      </c>
      <c r="P44" s="1563"/>
    </row>
    <row r="45" spans="1:16" ht="13.5" thickBot="1">
      <c r="A45" s="746"/>
      <c r="B45" s="753" t="s">
        <v>26574</v>
      </c>
      <c r="C45" s="1031"/>
      <c r="D45" s="1032"/>
      <c r="E45" s="1033">
        <f>+C45-D45</f>
        <v>0</v>
      </c>
      <c r="F45" s="1385"/>
      <c r="G45" s="1034"/>
      <c r="H45" s="762"/>
      <c r="I45" s="1037"/>
      <c r="J45" s="1038"/>
      <c r="K45" s="1033">
        <f>+I45-J45</f>
        <v>0</v>
      </c>
      <c r="L45" s="1367"/>
      <c r="M45" s="1039"/>
      <c r="O45" s="1560">
        <v>45</v>
      </c>
      <c r="P45" s="1563"/>
    </row>
    <row r="46" spans="1:16" ht="18" customHeight="1" thickTop="1">
      <c r="A46" s="746"/>
      <c r="B46" s="752" t="s">
        <v>68</v>
      </c>
      <c r="C46" s="1035">
        <f>+SUM(C47:C58)</f>
        <v>0</v>
      </c>
      <c r="D46" s="1035">
        <f>+SUM(D47:D58)</f>
        <v>0</v>
      </c>
      <c r="E46" s="779">
        <f>+C46-D46</f>
        <v>0</v>
      </c>
      <c r="F46" s="1368">
        <f>+SUM(F47:F58)</f>
        <v>0</v>
      </c>
      <c r="G46" s="1036">
        <f>+SUM(G47:G58)</f>
        <v>0</v>
      </c>
      <c r="H46" s="762"/>
      <c r="I46" s="1035">
        <f>+SUM(I47:I58)</f>
        <v>0</v>
      </c>
      <c r="J46" s="776">
        <f>+SUM(J47:J58)</f>
        <v>0</v>
      </c>
      <c r="K46" s="1040">
        <f>+I46-J46</f>
        <v>0</v>
      </c>
      <c r="L46" s="1368">
        <f>+SUM(L47:L58)</f>
        <v>0</v>
      </c>
      <c r="M46" s="1036">
        <f>+SUM(M47:M58)</f>
        <v>0</v>
      </c>
      <c r="O46" s="1564">
        <v>46</v>
      </c>
      <c r="P46" s="1563"/>
    </row>
    <row r="47" spans="1:16">
      <c r="A47" s="746"/>
      <c r="B47" s="1544" t="s">
        <v>69</v>
      </c>
      <c r="C47" s="170"/>
      <c r="D47" s="1030"/>
      <c r="E47" s="777">
        <f t="shared" ref="E47:E103" si="4">+C47-D47</f>
        <v>0</v>
      </c>
      <c r="F47" s="1384"/>
      <c r="G47" s="171"/>
      <c r="H47" s="762"/>
      <c r="I47" s="172"/>
      <c r="J47" s="1030"/>
      <c r="K47" s="777">
        <f t="shared" ref="K47:K58" si="5">+I47-J47</f>
        <v>0</v>
      </c>
      <c r="L47" s="1366"/>
      <c r="M47" s="173"/>
      <c r="O47" s="1565">
        <v>47</v>
      </c>
      <c r="P47" s="1566"/>
    </row>
    <row r="48" spans="1:16">
      <c r="A48" s="746"/>
      <c r="B48" s="1544" t="s">
        <v>70</v>
      </c>
      <c r="C48" s="170"/>
      <c r="D48" s="1030"/>
      <c r="E48" s="777">
        <f t="shared" si="4"/>
        <v>0</v>
      </c>
      <c r="F48" s="1384"/>
      <c r="G48" s="171"/>
      <c r="H48" s="762"/>
      <c r="I48" s="172"/>
      <c r="J48" s="1030"/>
      <c r="K48" s="777">
        <f t="shared" si="5"/>
        <v>0</v>
      </c>
      <c r="L48" s="1366"/>
      <c r="M48" s="173"/>
      <c r="O48" s="1565">
        <v>48</v>
      </c>
      <c r="P48" s="1566"/>
    </row>
    <row r="49" spans="1:16">
      <c r="A49" s="746"/>
      <c r="B49" s="1544" t="s">
        <v>26567</v>
      </c>
      <c r="C49" s="170"/>
      <c r="D49" s="174"/>
      <c r="E49" s="777">
        <f t="shared" si="4"/>
        <v>0</v>
      </c>
      <c r="F49" s="1384"/>
      <c r="G49" s="171"/>
      <c r="H49" s="762"/>
      <c r="I49" s="172"/>
      <c r="J49" s="175"/>
      <c r="K49" s="777">
        <f t="shared" si="5"/>
        <v>0</v>
      </c>
      <c r="L49" s="1366"/>
      <c r="M49" s="173"/>
      <c r="O49" s="1560">
        <v>49</v>
      </c>
      <c r="P49" s="1563"/>
    </row>
    <row r="50" spans="1:16">
      <c r="A50" s="746"/>
      <c r="B50" s="1544" t="s">
        <v>26568</v>
      </c>
      <c r="C50" s="170"/>
      <c r="D50" s="174"/>
      <c r="E50" s="777">
        <f t="shared" si="4"/>
        <v>0</v>
      </c>
      <c r="F50" s="1384"/>
      <c r="G50" s="171"/>
      <c r="H50" s="762"/>
      <c r="I50" s="172"/>
      <c r="J50" s="175"/>
      <c r="K50" s="777">
        <f t="shared" si="5"/>
        <v>0</v>
      </c>
      <c r="L50" s="1366"/>
      <c r="M50" s="173"/>
      <c r="O50" s="1560">
        <v>50</v>
      </c>
      <c r="P50" s="1563"/>
    </row>
    <row r="51" spans="1:16">
      <c r="A51" s="746"/>
      <c r="B51" s="1544" t="s">
        <v>26569</v>
      </c>
      <c r="C51" s="170"/>
      <c r="D51" s="174"/>
      <c r="E51" s="777">
        <f t="shared" si="4"/>
        <v>0</v>
      </c>
      <c r="F51" s="1384"/>
      <c r="G51" s="171"/>
      <c r="H51" s="762"/>
      <c r="I51" s="172"/>
      <c r="J51" s="175"/>
      <c r="K51" s="777">
        <f t="shared" si="5"/>
        <v>0</v>
      </c>
      <c r="L51" s="1366"/>
      <c r="M51" s="173"/>
      <c r="O51" s="1560">
        <v>51</v>
      </c>
      <c r="P51" s="1563"/>
    </row>
    <row r="52" spans="1:16">
      <c r="A52" s="746"/>
      <c r="B52" s="1544" t="s">
        <v>26570</v>
      </c>
      <c r="C52" s="170"/>
      <c r="D52" s="174"/>
      <c r="E52" s="777">
        <f t="shared" si="4"/>
        <v>0</v>
      </c>
      <c r="F52" s="1384"/>
      <c r="G52" s="171"/>
      <c r="H52" s="762"/>
      <c r="I52" s="172"/>
      <c r="J52" s="175"/>
      <c r="K52" s="777">
        <f t="shared" si="5"/>
        <v>0</v>
      </c>
      <c r="L52" s="1366"/>
      <c r="M52" s="173"/>
      <c r="O52" s="1560">
        <v>52</v>
      </c>
      <c r="P52" s="1563"/>
    </row>
    <row r="53" spans="1:16">
      <c r="A53" s="746"/>
      <c r="B53" s="1544" t="s">
        <v>28830</v>
      </c>
      <c r="C53" s="170"/>
      <c r="D53" s="174"/>
      <c r="E53" s="777">
        <f t="shared" si="4"/>
        <v>0</v>
      </c>
      <c r="F53" s="1384"/>
      <c r="G53" s="171"/>
      <c r="H53" s="762"/>
      <c r="I53" s="172"/>
      <c r="J53" s="175"/>
      <c r="K53" s="777">
        <f t="shared" si="5"/>
        <v>0</v>
      </c>
      <c r="L53" s="1366"/>
      <c r="M53" s="173"/>
      <c r="O53" s="1560">
        <v>53</v>
      </c>
      <c r="P53" s="1563"/>
    </row>
    <row r="54" spans="1:16">
      <c r="A54" s="746"/>
      <c r="B54" s="1544" t="s">
        <v>28831</v>
      </c>
      <c r="C54" s="170"/>
      <c r="D54" s="174"/>
      <c r="E54" s="777">
        <f t="shared" si="4"/>
        <v>0</v>
      </c>
      <c r="F54" s="1384"/>
      <c r="G54" s="171"/>
      <c r="H54" s="762"/>
      <c r="I54" s="172"/>
      <c r="J54" s="175"/>
      <c r="K54" s="777">
        <f t="shared" si="5"/>
        <v>0</v>
      </c>
      <c r="L54" s="1366"/>
      <c r="M54" s="173"/>
      <c r="O54" s="1560">
        <v>54</v>
      </c>
      <c r="P54" s="1563"/>
    </row>
    <row r="55" spans="1:16">
      <c r="A55" s="746"/>
      <c r="B55" s="1544" t="s">
        <v>26571</v>
      </c>
      <c r="C55" s="170"/>
      <c r="D55" s="174"/>
      <c r="E55" s="777">
        <f t="shared" si="4"/>
        <v>0</v>
      </c>
      <c r="F55" s="1384"/>
      <c r="G55" s="171"/>
      <c r="H55" s="762"/>
      <c r="I55" s="172"/>
      <c r="J55" s="175"/>
      <c r="K55" s="777">
        <f t="shared" si="5"/>
        <v>0</v>
      </c>
      <c r="L55" s="1366"/>
      <c r="M55" s="173"/>
      <c r="O55" s="1560">
        <v>55</v>
      </c>
      <c r="P55" s="1563"/>
    </row>
    <row r="56" spans="1:16">
      <c r="A56" s="746"/>
      <c r="B56" s="1544" t="s">
        <v>26572</v>
      </c>
      <c r="C56" s="170"/>
      <c r="D56" s="174"/>
      <c r="E56" s="777">
        <f t="shared" si="4"/>
        <v>0</v>
      </c>
      <c r="F56" s="1384"/>
      <c r="G56" s="171"/>
      <c r="H56" s="762"/>
      <c r="I56" s="172"/>
      <c r="J56" s="175"/>
      <c r="K56" s="777">
        <f t="shared" si="5"/>
        <v>0</v>
      </c>
      <c r="L56" s="1366"/>
      <c r="M56" s="173"/>
      <c r="O56" s="1560">
        <v>56</v>
      </c>
      <c r="P56" s="1563"/>
    </row>
    <row r="57" spans="1:16">
      <c r="A57" s="746"/>
      <c r="B57" s="1545" t="s">
        <v>71</v>
      </c>
      <c r="C57" s="170"/>
      <c r="D57" s="174"/>
      <c r="E57" s="777">
        <f t="shared" si="4"/>
        <v>0</v>
      </c>
      <c r="F57" s="1384"/>
      <c r="G57" s="171"/>
      <c r="H57" s="762"/>
      <c r="I57" s="172"/>
      <c r="J57" s="175"/>
      <c r="K57" s="777">
        <f t="shared" si="5"/>
        <v>0</v>
      </c>
      <c r="L57" s="1366"/>
      <c r="M57" s="173"/>
      <c r="O57" s="1560">
        <v>57</v>
      </c>
      <c r="P57" s="1563"/>
    </row>
    <row r="58" spans="1:16" ht="13.5" thickBot="1">
      <c r="A58" s="746"/>
      <c r="B58" s="1546" t="s">
        <v>72</v>
      </c>
      <c r="C58" s="176"/>
      <c r="D58" s="177"/>
      <c r="E58" s="778">
        <f t="shared" si="4"/>
        <v>0</v>
      </c>
      <c r="F58" s="1386"/>
      <c r="G58" s="178"/>
      <c r="H58" s="762"/>
      <c r="I58" s="179"/>
      <c r="J58" s="180"/>
      <c r="K58" s="778">
        <f t="shared" si="5"/>
        <v>0</v>
      </c>
      <c r="L58" s="1369"/>
      <c r="M58" s="181"/>
      <c r="O58" s="1560">
        <v>58</v>
      </c>
      <c r="P58" s="1563"/>
    </row>
    <row r="59" spans="1:16" ht="18" customHeight="1" thickTop="1">
      <c r="A59" s="746"/>
      <c r="B59" s="755" t="s">
        <v>73</v>
      </c>
      <c r="C59" s="1026"/>
      <c r="D59" s="1042"/>
      <c r="E59" s="1041">
        <f t="shared" si="4"/>
        <v>0</v>
      </c>
      <c r="F59" s="1388"/>
      <c r="G59" s="1027"/>
      <c r="H59" s="762"/>
      <c r="I59" s="1028"/>
      <c r="J59" s="1043"/>
      <c r="K59" s="1041">
        <f t="shared" ref="K59:K93" si="6">+I59-J59</f>
        <v>0</v>
      </c>
      <c r="L59" s="1371"/>
      <c r="M59" s="1029"/>
      <c r="O59" s="1564">
        <v>59</v>
      </c>
      <c r="P59" s="1561" t="b">
        <f>OR(C59&lt;SUM(C60:C61),D59&lt;SUM(D60:D61),F59&lt;SUM(F60:F61),G59&lt;SUM(G60:G61),I59&lt;SUM(I60:I61),J59&lt;SUM(J60:J61),L59&lt;SUM(L60:L61),M59&lt;SUM(M60:M61))</f>
        <v>0</v>
      </c>
    </row>
    <row r="60" spans="1:16">
      <c r="A60" s="746"/>
      <c r="B60" s="1476" t="s">
        <v>28832</v>
      </c>
      <c r="C60" s="170"/>
      <c r="D60" s="174"/>
      <c r="E60" s="777">
        <f t="shared" si="4"/>
        <v>0</v>
      </c>
      <c r="F60" s="1384"/>
      <c r="G60" s="171"/>
      <c r="H60" s="762"/>
      <c r="I60" s="172"/>
      <c r="J60" s="175"/>
      <c r="K60" s="777">
        <f t="shared" si="6"/>
        <v>0</v>
      </c>
      <c r="L60" s="1366"/>
      <c r="M60" s="173"/>
      <c r="O60" s="1565"/>
      <c r="P60" s="1567"/>
    </row>
    <row r="61" spans="1:16" ht="13.5" thickBot="1">
      <c r="A61" s="746"/>
      <c r="B61" s="1477" t="s">
        <v>28833</v>
      </c>
      <c r="C61" s="170"/>
      <c r="D61" s="174"/>
      <c r="E61" s="777">
        <f t="shared" si="4"/>
        <v>0</v>
      </c>
      <c r="F61" s="1384"/>
      <c r="G61" s="171"/>
      <c r="H61" s="762"/>
      <c r="I61" s="172"/>
      <c r="J61" s="175"/>
      <c r="K61" s="777">
        <f t="shared" si="6"/>
        <v>0</v>
      </c>
      <c r="L61" s="1366"/>
      <c r="M61" s="173"/>
      <c r="O61" s="1565"/>
      <c r="P61" s="1567"/>
    </row>
    <row r="62" spans="1:16" ht="18" customHeight="1" thickTop="1">
      <c r="A62" s="746"/>
      <c r="B62" s="747" t="s">
        <v>74</v>
      </c>
      <c r="C62" s="146"/>
      <c r="D62" s="188"/>
      <c r="E62" s="764">
        <f t="shared" si="4"/>
        <v>0</v>
      </c>
      <c r="F62" s="1378"/>
      <c r="G62" s="148"/>
      <c r="H62" s="762"/>
      <c r="I62" s="149"/>
      <c r="J62" s="189"/>
      <c r="K62" s="764">
        <f t="shared" si="6"/>
        <v>0</v>
      </c>
      <c r="L62" s="1357"/>
      <c r="M62" s="150"/>
      <c r="O62" s="1560">
        <v>74</v>
      </c>
      <c r="P62" s="1561" t="b">
        <f>+OR(C62&lt;(C63+C64),D62&lt;(D63+D64),F62&lt;(F63+F64),G62&lt;(G63+G64),I62&lt;(I63+I64),J62&lt;(J63+J64),L62&lt;(L63+L64),M62&lt;(M63+M64))</f>
        <v>0</v>
      </c>
    </row>
    <row r="63" spans="1:16">
      <c r="A63" s="746"/>
      <c r="B63" s="1547" t="s">
        <v>26566</v>
      </c>
      <c r="C63" s="170"/>
      <c r="D63" s="174"/>
      <c r="E63" s="777">
        <f t="shared" si="4"/>
        <v>0</v>
      </c>
      <c r="F63" s="1384"/>
      <c r="G63" s="171"/>
      <c r="H63" s="762"/>
      <c r="I63" s="172"/>
      <c r="J63" s="175"/>
      <c r="K63" s="777">
        <f t="shared" si="6"/>
        <v>0</v>
      </c>
      <c r="L63" s="1366"/>
      <c r="M63" s="173"/>
      <c r="O63" s="1565">
        <v>75</v>
      </c>
      <c r="P63" s="1566"/>
    </row>
    <row r="64" spans="1:16" ht="13.5" thickBot="1">
      <c r="A64" s="746"/>
      <c r="B64" s="748" t="s">
        <v>75</v>
      </c>
      <c r="C64" s="157"/>
      <c r="D64" s="190"/>
      <c r="E64" s="768">
        <f t="shared" si="4"/>
        <v>0</v>
      </c>
      <c r="F64" s="1382"/>
      <c r="G64" s="159"/>
      <c r="H64" s="762"/>
      <c r="I64" s="160"/>
      <c r="J64" s="191"/>
      <c r="K64" s="768">
        <f t="shared" si="6"/>
        <v>0</v>
      </c>
      <c r="L64" s="1362"/>
      <c r="M64" s="161"/>
      <c r="O64" s="1560">
        <v>76</v>
      </c>
      <c r="P64" s="1566"/>
    </row>
    <row r="65" spans="1:16" ht="18" customHeight="1" thickTop="1">
      <c r="A65" s="746"/>
      <c r="B65" s="747" t="s">
        <v>26562</v>
      </c>
      <c r="C65" s="146"/>
      <c r="D65" s="188"/>
      <c r="E65" s="764">
        <f t="shared" si="4"/>
        <v>0</v>
      </c>
      <c r="F65" s="1378"/>
      <c r="G65" s="148"/>
      <c r="H65" s="762"/>
      <c r="I65" s="149"/>
      <c r="J65" s="189"/>
      <c r="K65" s="764">
        <f t="shared" si="6"/>
        <v>0</v>
      </c>
      <c r="L65" s="1357"/>
      <c r="M65" s="150"/>
      <c r="O65" s="1560">
        <v>77</v>
      </c>
      <c r="P65" s="1561" t="b">
        <f>OR(C65&lt;SUM(C66:C68),D65&lt;SUM(D66:D68),F65&lt;SUM(F66:F68),G65&lt;SUM(G66:G68),I65&lt;SUM(I66:I68),J65&lt;SUM(J66:J68),L65&lt;SUM(L66:L68),M65&lt;SUM(M66:M68))</f>
        <v>0</v>
      </c>
    </row>
    <row r="66" spans="1:16">
      <c r="A66" s="746"/>
      <c r="B66" s="1547" t="s">
        <v>26563</v>
      </c>
      <c r="C66" s="1026"/>
      <c r="D66" s="1042"/>
      <c r="E66" s="1041">
        <f t="shared" si="4"/>
        <v>0</v>
      </c>
      <c r="F66" s="1388"/>
      <c r="G66" s="1027"/>
      <c r="H66" s="762"/>
      <c r="I66" s="1028"/>
      <c r="J66" s="1043"/>
      <c r="K66" s="1041">
        <f t="shared" si="6"/>
        <v>0</v>
      </c>
      <c r="L66" s="1371"/>
      <c r="M66" s="1029"/>
      <c r="O66" s="1565">
        <v>78</v>
      </c>
      <c r="P66" s="1566"/>
    </row>
    <row r="67" spans="1:16" ht="25.5">
      <c r="A67" s="746"/>
      <c r="B67" s="1544" t="s">
        <v>26564</v>
      </c>
      <c r="C67" s="170"/>
      <c r="D67" s="174"/>
      <c r="E67" s="777">
        <f t="shared" si="4"/>
        <v>0</v>
      </c>
      <c r="F67" s="1384"/>
      <c r="G67" s="171"/>
      <c r="H67" s="762"/>
      <c r="I67" s="172"/>
      <c r="J67" s="175"/>
      <c r="K67" s="777">
        <f t="shared" si="6"/>
        <v>0</v>
      </c>
      <c r="L67" s="1366"/>
      <c r="M67" s="173"/>
      <c r="O67" s="1560">
        <v>79</v>
      </c>
      <c r="P67" s="1563"/>
    </row>
    <row r="68" spans="1:16" ht="26.25" thickBot="1">
      <c r="A68" s="746"/>
      <c r="B68" s="1547" t="s">
        <v>26565</v>
      </c>
      <c r="C68" s="182"/>
      <c r="D68" s="183"/>
      <c r="E68" s="780">
        <f t="shared" si="4"/>
        <v>0</v>
      </c>
      <c r="F68" s="1387"/>
      <c r="G68" s="184"/>
      <c r="H68" s="762"/>
      <c r="I68" s="185"/>
      <c r="J68" s="186"/>
      <c r="K68" s="780">
        <f t="shared" si="6"/>
        <v>0</v>
      </c>
      <c r="L68" s="1370"/>
      <c r="M68" s="187"/>
      <c r="O68" s="1560">
        <v>80</v>
      </c>
      <c r="P68" s="1563"/>
    </row>
    <row r="69" spans="1:16" ht="26.25" thickTop="1">
      <c r="A69" s="746"/>
      <c r="B69" s="749" t="s">
        <v>27104</v>
      </c>
      <c r="C69" s="447"/>
      <c r="D69" s="448"/>
      <c r="E69" s="766">
        <f t="shared" si="4"/>
        <v>0</v>
      </c>
      <c r="F69" s="1380"/>
      <c r="G69" s="449"/>
      <c r="H69" s="762"/>
      <c r="I69" s="450"/>
      <c r="J69" s="448"/>
      <c r="K69" s="766">
        <f t="shared" si="6"/>
        <v>0</v>
      </c>
      <c r="L69" s="1359"/>
      <c r="M69" s="451"/>
      <c r="O69" s="1560">
        <v>81</v>
      </c>
      <c r="P69" s="1563"/>
    </row>
    <row r="70" spans="1:16" ht="18" customHeight="1">
      <c r="A70" s="746"/>
      <c r="B70" s="749" t="s">
        <v>76</v>
      </c>
      <c r="C70" s="447"/>
      <c r="D70" s="448"/>
      <c r="E70" s="766">
        <f t="shared" si="4"/>
        <v>0</v>
      </c>
      <c r="F70" s="1380"/>
      <c r="G70" s="449"/>
      <c r="H70" s="762"/>
      <c r="I70" s="450"/>
      <c r="J70" s="448"/>
      <c r="K70" s="766">
        <f t="shared" si="6"/>
        <v>0</v>
      </c>
      <c r="L70" s="1359"/>
      <c r="M70" s="451"/>
      <c r="O70" s="1560">
        <v>82</v>
      </c>
      <c r="P70" s="1563"/>
    </row>
    <row r="71" spans="1:16" ht="18" customHeight="1">
      <c r="A71" s="746"/>
      <c r="B71" s="749" t="s">
        <v>77</v>
      </c>
      <c r="C71" s="447"/>
      <c r="D71" s="448"/>
      <c r="E71" s="766">
        <f t="shared" si="4"/>
        <v>0</v>
      </c>
      <c r="F71" s="1380"/>
      <c r="G71" s="449"/>
      <c r="H71" s="762"/>
      <c r="I71" s="450"/>
      <c r="J71" s="448"/>
      <c r="K71" s="766">
        <f t="shared" si="6"/>
        <v>0</v>
      </c>
      <c r="L71" s="1359"/>
      <c r="M71" s="451"/>
      <c r="O71" s="1560">
        <v>83</v>
      </c>
      <c r="P71" s="1563"/>
    </row>
    <row r="72" spans="1:16" ht="18" customHeight="1" thickBot="1">
      <c r="A72" s="746"/>
      <c r="B72" s="749" t="s">
        <v>78</v>
      </c>
      <c r="C72" s="465"/>
      <c r="D72" s="469"/>
      <c r="E72" s="781">
        <f t="shared" si="4"/>
        <v>0</v>
      </c>
      <c r="F72" s="466"/>
      <c r="G72" s="462"/>
      <c r="H72" s="762"/>
      <c r="I72" s="467"/>
      <c r="J72" s="470"/>
      <c r="K72" s="781">
        <f t="shared" si="6"/>
        <v>0</v>
      </c>
      <c r="L72" s="468"/>
      <c r="M72" s="464"/>
      <c r="O72" s="1560">
        <v>84</v>
      </c>
      <c r="P72" s="1563"/>
    </row>
    <row r="73" spans="1:16" ht="25.5" customHeight="1" thickTop="1" thickBot="1">
      <c r="A73" s="49" t="s">
        <v>79</v>
      </c>
      <c r="B73" s="741"/>
      <c r="C73" s="782">
        <f>SUM(C74:C92)+C93+C97-C81</f>
        <v>0</v>
      </c>
      <c r="D73" s="783">
        <f>SUM(D74:D92)+D93+D97-D81</f>
        <v>0</v>
      </c>
      <c r="E73" s="784">
        <f t="shared" si="4"/>
        <v>0</v>
      </c>
      <c r="F73" s="1149">
        <f t="shared" ref="F73:G73" si="7">SUM(F74:F92)+F93+F97-F81</f>
        <v>0</v>
      </c>
      <c r="G73" s="769">
        <f t="shared" si="7"/>
        <v>0</v>
      </c>
      <c r="H73" s="762"/>
      <c r="I73" s="782">
        <f>SUM(I74:I92)+I93+I97-I81</f>
        <v>0</v>
      </c>
      <c r="J73" s="783">
        <f>SUM(J74:J92)+J93+J97-J81</f>
        <v>0</v>
      </c>
      <c r="K73" s="784">
        <f t="shared" si="6"/>
        <v>0</v>
      </c>
      <c r="L73" s="1149">
        <f t="shared" ref="L73:M73" si="8">SUM(L74:L92)+L93+L97-L81</f>
        <v>0</v>
      </c>
      <c r="M73" s="769">
        <f t="shared" si="8"/>
        <v>0</v>
      </c>
      <c r="O73" s="1564">
        <v>85</v>
      </c>
      <c r="P73" s="1563"/>
    </row>
    <row r="74" spans="1:16" ht="29.25" customHeight="1" thickTop="1">
      <c r="A74" s="756"/>
      <c r="B74" s="757" t="s">
        <v>80</v>
      </c>
      <c r="C74" s="192"/>
      <c r="D74" s="448"/>
      <c r="E74" s="785">
        <f t="shared" si="4"/>
        <v>0</v>
      </c>
      <c r="F74" s="1389"/>
      <c r="G74" s="193"/>
      <c r="H74" s="762"/>
      <c r="I74" s="194"/>
      <c r="J74" s="448"/>
      <c r="K74" s="785">
        <f t="shared" si="6"/>
        <v>0</v>
      </c>
      <c r="L74" s="1372"/>
      <c r="M74" s="195"/>
      <c r="O74" s="1560">
        <v>86</v>
      </c>
      <c r="P74" s="1563"/>
    </row>
    <row r="75" spans="1:16" ht="18" customHeight="1">
      <c r="A75" s="756"/>
      <c r="B75" s="757" t="s">
        <v>81</v>
      </c>
      <c r="C75" s="447"/>
      <c r="D75" s="448"/>
      <c r="E75" s="786">
        <f t="shared" si="4"/>
        <v>0</v>
      </c>
      <c r="F75" s="1390"/>
      <c r="G75" s="471"/>
      <c r="H75" s="762"/>
      <c r="I75" s="450"/>
      <c r="J75" s="448"/>
      <c r="K75" s="786">
        <f t="shared" si="6"/>
        <v>0</v>
      </c>
      <c r="L75" s="1373"/>
      <c r="M75" s="472"/>
      <c r="O75" s="1560">
        <v>87</v>
      </c>
      <c r="P75" s="1563"/>
    </row>
    <row r="76" spans="1:16" ht="18" customHeight="1">
      <c r="A76" s="756"/>
      <c r="B76" s="757" t="s">
        <v>82</v>
      </c>
      <c r="C76" s="447"/>
      <c r="D76" s="448"/>
      <c r="E76" s="786">
        <f t="shared" si="4"/>
        <v>0</v>
      </c>
      <c r="F76" s="1390"/>
      <c r="G76" s="471"/>
      <c r="H76" s="762"/>
      <c r="I76" s="450"/>
      <c r="J76" s="448"/>
      <c r="K76" s="786">
        <f t="shared" si="6"/>
        <v>0</v>
      </c>
      <c r="L76" s="1373"/>
      <c r="M76" s="472"/>
      <c r="O76" s="1560">
        <v>88</v>
      </c>
      <c r="P76" s="1563"/>
    </row>
    <row r="77" spans="1:16" ht="18" customHeight="1">
      <c r="A77" s="756"/>
      <c r="B77" s="757" t="s">
        <v>83</v>
      </c>
      <c r="C77" s="447"/>
      <c r="D77" s="448"/>
      <c r="E77" s="786">
        <f t="shared" si="4"/>
        <v>0</v>
      </c>
      <c r="F77" s="1390"/>
      <c r="G77" s="471"/>
      <c r="H77" s="762"/>
      <c r="I77" s="450"/>
      <c r="J77" s="448"/>
      <c r="K77" s="786">
        <f t="shared" si="6"/>
        <v>0</v>
      </c>
      <c r="L77" s="1373"/>
      <c r="M77" s="472"/>
      <c r="O77" s="1560">
        <v>89</v>
      </c>
      <c r="P77" s="1563"/>
    </row>
    <row r="78" spans="1:16" ht="18" customHeight="1">
      <c r="A78" s="756"/>
      <c r="B78" s="757" t="s">
        <v>84</v>
      </c>
      <c r="C78" s="447"/>
      <c r="D78" s="448"/>
      <c r="E78" s="786">
        <f t="shared" si="4"/>
        <v>0</v>
      </c>
      <c r="F78" s="1390"/>
      <c r="G78" s="471"/>
      <c r="H78" s="762"/>
      <c r="I78" s="450"/>
      <c r="J78" s="448"/>
      <c r="K78" s="786">
        <f t="shared" si="6"/>
        <v>0</v>
      </c>
      <c r="L78" s="1373"/>
      <c r="M78" s="472"/>
      <c r="O78" s="1560">
        <v>90</v>
      </c>
      <c r="P78" s="1563"/>
    </row>
    <row r="79" spans="1:16" ht="18" customHeight="1">
      <c r="A79" s="756"/>
      <c r="B79" s="757" t="s">
        <v>85</v>
      </c>
      <c r="C79" s="447"/>
      <c r="D79" s="448"/>
      <c r="E79" s="786">
        <f t="shared" si="4"/>
        <v>0</v>
      </c>
      <c r="F79" s="1390"/>
      <c r="G79" s="471"/>
      <c r="H79" s="762"/>
      <c r="I79" s="450"/>
      <c r="J79" s="448"/>
      <c r="K79" s="786">
        <f t="shared" si="6"/>
        <v>0</v>
      </c>
      <c r="L79" s="1373"/>
      <c r="M79" s="472"/>
      <c r="O79" s="1560">
        <v>91</v>
      </c>
      <c r="P79" s="1563"/>
    </row>
    <row r="80" spans="1:16" ht="18" customHeight="1">
      <c r="A80" s="756"/>
      <c r="B80" s="757" t="s">
        <v>31324</v>
      </c>
      <c r="C80" s="447"/>
      <c r="D80" s="448"/>
      <c r="E80" s="786">
        <f t="shared" si="4"/>
        <v>0</v>
      </c>
      <c r="F80" s="1390"/>
      <c r="G80" s="471"/>
      <c r="H80" s="762"/>
      <c r="I80" s="450"/>
      <c r="J80" s="448"/>
      <c r="K80" s="786">
        <f t="shared" si="6"/>
        <v>0</v>
      </c>
      <c r="L80" s="1373"/>
      <c r="M80" s="472"/>
      <c r="O80" s="1560">
        <v>115</v>
      </c>
      <c r="P80" s="1563"/>
    </row>
    <row r="81" spans="1:16" ht="18" customHeight="1">
      <c r="A81" s="756"/>
      <c r="B81" s="1547" t="s">
        <v>31325</v>
      </c>
      <c r="C81" s="447"/>
      <c r="D81" s="448"/>
      <c r="E81" s="786">
        <f t="shared" si="4"/>
        <v>0</v>
      </c>
      <c r="F81" s="1390"/>
      <c r="G81" s="471"/>
      <c r="H81" s="762"/>
      <c r="I81" s="450"/>
      <c r="J81" s="448"/>
      <c r="K81" s="786">
        <f t="shared" si="6"/>
        <v>0</v>
      </c>
      <c r="L81" s="1373"/>
      <c r="M81" s="472"/>
      <c r="O81" s="1560">
        <v>92</v>
      </c>
      <c r="P81" s="1563"/>
    </row>
    <row r="82" spans="1:16" ht="18" customHeight="1">
      <c r="A82" s="756"/>
      <c r="B82" s="757" t="s">
        <v>87</v>
      </c>
      <c r="C82" s="447"/>
      <c r="D82" s="448"/>
      <c r="E82" s="786">
        <f t="shared" si="4"/>
        <v>0</v>
      </c>
      <c r="F82" s="1390"/>
      <c r="G82" s="471"/>
      <c r="H82" s="762"/>
      <c r="I82" s="450"/>
      <c r="J82" s="448"/>
      <c r="K82" s="786">
        <f t="shared" si="6"/>
        <v>0</v>
      </c>
      <c r="L82" s="1373"/>
      <c r="M82" s="472"/>
      <c r="O82" s="1560">
        <v>93</v>
      </c>
      <c r="P82" s="1563"/>
    </row>
    <row r="83" spans="1:16" ht="18" customHeight="1">
      <c r="A83" s="756"/>
      <c r="B83" s="757" t="s">
        <v>88</v>
      </c>
      <c r="C83" s="447"/>
      <c r="D83" s="448"/>
      <c r="E83" s="786">
        <f t="shared" si="4"/>
        <v>0</v>
      </c>
      <c r="F83" s="1390"/>
      <c r="G83" s="471"/>
      <c r="H83" s="762"/>
      <c r="I83" s="450"/>
      <c r="J83" s="448"/>
      <c r="K83" s="786">
        <f t="shared" si="6"/>
        <v>0</v>
      </c>
      <c r="L83" s="1373"/>
      <c r="M83" s="472"/>
      <c r="O83" s="1560">
        <v>94</v>
      </c>
      <c r="P83" s="1563"/>
    </row>
    <row r="84" spans="1:16" ht="18" customHeight="1">
      <c r="A84" s="756"/>
      <c r="B84" s="757" t="s">
        <v>29724</v>
      </c>
      <c r="C84" s="447"/>
      <c r="D84" s="448"/>
      <c r="E84" s="786">
        <f t="shared" si="4"/>
        <v>0</v>
      </c>
      <c r="F84" s="1390"/>
      <c r="G84" s="471"/>
      <c r="H84" s="762"/>
      <c r="I84" s="450"/>
      <c r="J84" s="448"/>
      <c r="K84" s="786">
        <f t="shared" si="6"/>
        <v>0</v>
      </c>
      <c r="L84" s="1373"/>
      <c r="M84" s="472"/>
      <c r="O84" s="1560">
        <v>95</v>
      </c>
      <c r="P84" s="1563"/>
    </row>
    <row r="85" spans="1:16" ht="18" customHeight="1">
      <c r="A85" s="756"/>
      <c r="B85" s="757" t="s">
        <v>89</v>
      </c>
      <c r="C85" s="447"/>
      <c r="D85" s="448"/>
      <c r="E85" s="786">
        <f t="shared" si="4"/>
        <v>0</v>
      </c>
      <c r="F85" s="1390"/>
      <c r="G85" s="471"/>
      <c r="H85" s="762"/>
      <c r="I85" s="450"/>
      <c r="J85" s="448"/>
      <c r="K85" s="786">
        <f t="shared" si="6"/>
        <v>0</v>
      </c>
      <c r="L85" s="1373"/>
      <c r="M85" s="472"/>
      <c r="O85" s="1560">
        <v>96</v>
      </c>
      <c r="P85" s="1563"/>
    </row>
    <row r="86" spans="1:16" ht="18" customHeight="1">
      <c r="A86" s="756"/>
      <c r="B86" s="757" t="s">
        <v>90</v>
      </c>
      <c r="C86" s="447"/>
      <c r="D86" s="448"/>
      <c r="E86" s="786">
        <f t="shared" si="4"/>
        <v>0</v>
      </c>
      <c r="F86" s="1374"/>
      <c r="G86" s="473"/>
      <c r="H86" s="762"/>
      <c r="I86" s="450"/>
      <c r="J86" s="448"/>
      <c r="K86" s="786">
        <f t="shared" si="6"/>
        <v>0</v>
      </c>
      <c r="L86" s="1374"/>
      <c r="M86" s="473"/>
      <c r="O86" s="1560">
        <v>97</v>
      </c>
      <c r="P86" s="1563"/>
    </row>
    <row r="87" spans="1:16">
      <c r="A87" s="756"/>
      <c r="B87" s="757" t="s">
        <v>31183</v>
      </c>
      <c r="C87" s="447"/>
      <c r="D87" s="448"/>
      <c r="E87" s="786">
        <f t="shared" si="4"/>
        <v>0</v>
      </c>
      <c r="F87" s="1374"/>
      <c r="G87" s="473"/>
      <c r="H87" s="762"/>
      <c r="I87" s="450"/>
      <c r="J87" s="448"/>
      <c r="K87" s="786">
        <f t="shared" si="6"/>
        <v>0</v>
      </c>
      <c r="L87" s="1374"/>
      <c r="M87" s="473"/>
      <c r="O87" s="1560">
        <v>98</v>
      </c>
      <c r="P87" s="1563"/>
    </row>
    <row r="88" spans="1:16">
      <c r="A88" s="756"/>
      <c r="B88" s="757" t="s">
        <v>31184</v>
      </c>
      <c r="C88" s="447"/>
      <c r="D88" s="448"/>
      <c r="E88" s="786">
        <f t="shared" si="4"/>
        <v>0</v>
      </c>
      <c r="F88" s="1374"/>
      <c r="G88" s="473"/>
      <c r="H88" s="762"/>
      <c r="I88" s="450"/>
      <c r="J88" s="448"/>
      <c r="K88" s="786">
        <f t="shared" si="6"/>
        <v>0</v>
      </c>
      <c r="L88" s="1374"/>
      <c r="M88" s="473"/>
      <c r="O88" s="1560">
        <v>99</v>
      </c>
      <c r="P88" s="1563"/>
    </row>
    <row r="89" spans="1:16" ht="18" customHeight="1">
      <c r="A89" s="756"/>
      <c r="B89" s="757" t="s">
        <v>91</v>
      </c>
      <c r="C89" s="447"/>
      <c r="D89" s="448"/>
      <c r="E89" s="786">
        <f t="shared" si="4"/>
        <v>0</v>
      </c>
      <c r="F89" s="1390"/>
      <c r="G89" s="471"/>
      <c r="H89" s="762"/>
      <c r="I89" s="450"/>
      <c r="J89" s="448"/>
      <c r="K89" s="786">
        <f t="shared" si="6"/>
        <v>0</v>
      </c>
      <c r="L89" s="1373"/>
      <c r="M89" s="472"/>
      <c r="O89" s="1560">
        <v>100</v>
      </c>
      <c r="P89" s="1563"/>
    </row>
    <row r="90" spans="1:16" ht="18" customHeight="1">
      <c r="A90" s="756"/>
      <c r="B90" s="758" t="s">
        <v>92</v>
      </c>
      <c r="C90" s="1486"/>
      <c r="D90" s="1465"/>
      <c r="E90" s="1487">
        <f t="shared" si="4"/>
        <v>0</v>
      </c>
      <c r="F90" s="1488"/>
      <c r="G90" s="1489"/>
      <c r="H90" s="762"/>
      <c r="I90" s="1490"/>
      <c r="J90" s="1465"/>
      <c r="K90" s="1487">
        <f t="shared" si="6"/>
        <v>0</v>
      </c>
      <c r="L90" s="1491"/>
      <c r="M90" s="1492"/>
      <c r="O90" s="1560">
        <v>101</v>
      </c>
      <c r="P90" s="1563"/>
    </row>
    <row r="91" spans="1:16" ht="25.5">
      <c r="A91" s="756"/>
      <c r="B91" s="758" t="s">
        <v>29723</v>
      </c>
      <c r="C91" s="1498"/>
      <c r="D91" s="1465"/>
      <c r="E91" s="1487">
        <f t="shared" si="4"/>
        <v>0</v>
      </c>
      <c r="F91" s="1488"/>
      <c r="G91" s="1489"/>
      <c r="H91" s="762"/>
      <c r="I91" s="1491"/>
      <c r="J91" s="1465"/>
      <c r="K91" s="1487">
        <f t="shared" si="6"/>
        <v>0</v>
      </c>
      <c r="L91" s="1491"/>
      <c r="M91" s="1492"/>
      <c r="O91" s="1565">
        <v>102</v>
      </c>
      <c r="P91" s="1561" t="b">
        <f>OR(C91&gt;C46,F91&gt;F46,G91&gt;G46,I91&gt;I46,L91&gt;L46,M91&gt;M46)</f>
        <v>0</v>
      </c>
    </row>
    <row r="92" spans="1:16" ht="18" customHeight="1" thickBot="1">
      <c r="A92" s="756"/>
      <c r="B92" s="758" t="s">
        <v>29627</v>
      </c>
      <c r="C92" s="1493"/>
      <c r="D92" s="1494"/>
      <c r="E92" s="1487">
        <v>0</v>
      </c>
      <c r="F92" s="1495"/>
      <c r="G92" s="475"/>
      <c r="H92" s="762"/>
      <c r="I92" s="1491"/>
      <c r="J92" s="1496"/>
      <c r="K92" s="1487">
        <v>0</v>
      </c>
      <c r="L92" s="1497"/>
      <c r="M92" s="476"/>
      <c r="O92" s="1565">
        <v>103</v>
      </c>
      <c r="P92" s="1567"/>
    </row>
    <row r="93" spans="1:16" ht="18" customHeight="1" thickTop="1" thickBot="1">
      <c r="A93" s="756"/>
      <c r="B93" s="752" t="s">
        <v>93</v>
      </c>
      <c r="C93" s="782">
        <f>+SUM(C94:C96)</f>
        <v>0</v>
      </c>
      <c r="D93" s="783">
        <f>+SUM(D94:D96)</f>
        <v>0</v>
      </c>
      <c r="E93" s="1463">
        <f t="shared" si="4"/>
        <v>0</v>
      </c>
      <c r="F93" s="1149">
        <f>+SUM(F94:F96)</f>
        <v>0</v>
      </c>
      <c r="G93" s="769">
        <f>+SUM(G94:G96)</f>
        <v>0</v>
      </c>
      <c r="H93" s="762"/>
      <c r="I93" s="1464">
        <f>+SUM(I94:I96)</f>
        <v>0</v>
      </c>
      <c r="J93" s="783">
        <f>+SUM(J94:J96)</f>
        <v>0</v>
      </c>
      <c r="K93" s="1463">
        <f t="shared" si="6"/>
        <v>0</v>
      </c>
      <c r="L93" s="1149">
        <f>+SUM(L94:L96)</f>
        <v>0</v>
      </c>
      <c r="M93" s="769">
        <f>+SUM(M94:M96)</f>
        <v>0</v>
      </c>
      <c r="O93" s="1564">
        <v>104</v>
      </c>
      <c r="P93" s="1563"/>
    </row>
    <row r="94" spans="1:16" ht="11.25" customHeight="1" thickTop="1">
      <c r="A94" s="756"/>
      <c r="B94" s="759" t="s">
        <v>94</v>
      </c>
      <c r="C94" s="165"/>
      <c r="D94" s="196"/>
      <c r="E94" s="787">
        <f t="shared" si="4"/>
        <v>0</v>
      </c>
      <c r="F94" s="1391"/>
      <c r="G94" s="167"/>
      <c r="H94" s="762"/>
      <c r="I94" s="168"/>
      <c r="J94" s="166"/>
      <c r="K94" s="787">
        <f>+I94-J94</f>
        <v>0</v>
      </c>
      <c r="L94" s="1375"/>
      <c r="M94" s="169"/>
      <c r="O94" s="1560">
        <v>105</v>
      </c>
      <c r="P94" s="1563"/>
    </row>
    <row r="95" spans="1:16">
      <c r="A95" s="756"/>
      <c r="B95" s="753" t="s">
        <v>95</v>
      </c>
      <c r="C95" s="170"/>
      <c r="D95" s="197"/>
      <c r="E95" s="788">
        <f t="shared" si="4"/>
        <v>0</v>
      </c>
      <c r="F95" s="1392"/>
      <c r="G95" s="171"/>
      <c r="H95" s="762"/>
      <c r="I95" s="172"/>
      <c r="J95" s="448"/>
      <c r="K95" s="788">
        <f>+I95-J95</f>
        <v>0</v>
      </c>
      <c r="L95" s="1376"/>
      <c r="M95" s="173"/>
      <c r="O95" s="1560">
        <v>106</v>
      </c>
      <c r="P95" s="1563"/>
    </row>
    <row r="96" spans="1:16" ht="13.5" thickBot="1">
      <c r="A96" s="756"/>
      <c r="B96" s="754" t="s">
        <v>96</v>
      </c>
      <c r="C96" s="176"/>
      <c r="D96" s="198"/>
      <c r="E96" s="789">
        <f t="shared" si="4"/>
        <v>0</v>
      </c>
      <c r="F96" s="1393"/>
      <c r="G96" s="178"/>
      <c r="H96" s="762"/>
      <c r="I96" s="179"/>
      <c r="J96" s="474"/>
      <c r="K96" s="789">
        <f>+I96-J96</f>
        <v>0</v>
      </c>
      <c r="L96" s="1377"/>
      <c r="M96" s="181"/>
      <c r="O96" s="1560">
        <v>107</v>
      </c>
      <c r="P96" s="1563"/>
    </row>
    <row r="97" spans="1:16" ht="18" customHeight="1" thickTop="1" thickBot="1">
      <c r="A97" s="756"/>
      <c r="B97" s="752" t="s">
        <v>97</v>
      </c>
      <c r="C97" s="782">
        <f>+SUM(C98:C103)</f>
        <v>0</v>
      </c>
      <c r="D97" s="783">
        <f>+SUM(D98:D103)</f>
        <v>0</v>
      </c>
      <c r="E97" s="784">
        <f t="shared" si="4"/>
        <v>0</v>
      </c>
      <c r="F97" s="1149">
        <f>+SUM(F98:F103)</f>
        <v>0</v>
      </c>
      <c r="G97" s="769">
        <f>+SUM(G98:G103)</f>
        <v>0</v>
      </c>
      <c r="H97" s="762"/>
      <c r="I97" s="782">
        <f>+SUM(I98:I103)</f>
        <v>0</v>
      </c>
      <c r="J97" s="783">
        <f>+SUM(J98:J103)</f>
        <v>0</v>
      </c>
      <c r="K97" s="784">
        <f>+I97-J97</f>
        <v>0</v>
      </c>
      <c r="L97" s="1149">
        <f>+SUM(L98:L103)</f>
        <v>0</v>
      </c>
      <c r="M97" s="769">
        <f>+SUM(M98:M103)</f>
        <v>0</v>
      </c>
      <c r="O97" s="1564">
        <v>108</v>
      </c>
      <c r="P97" s="1563"/>
    </row>
    <row r="98" spans="1:16" ht="13.5" thickTop="1">
      <c r="A98" s="756"/>
      <c r="B98" s="759" t="s">
        <v>98</v>
      </c>
      <c r="C98" s="165"/>
      <c r="D98" s="199"/>
      <c r="E98" s="787">
        <f t="shared" si="4"/>
        <v>0</v>
      </c>
      <c r="F98" s="1391"/>
      <c r="G98" s="167"/>
      <c r="H98" s="762"/>
      <c r="I98" s="168"/>
      <c r="J98" s="200"/>
      <c r="K98" s="787">
        <f t="shared" ref="K98:K103" si="9">+I98-J98</f>
        <v>0</v>
      </c>
      <c r="L98" s="1375"/>
      <c r="M98" s="169"/>
      <c r="O98" s="1560">
        <v>109</v>
      </c>
      <c r="P98" s="1563"/>
    </row>
    <row r="99" spans="1:16">
      <c r="A99" s="756"/>
      <c r="B99" s="753" t="s">
        <v>99</v>
      </c>
      <c r="C99" s="170"/>
      <c r="D99" s="174"/>
      <c r="E99" s="788">
        <f t="shared" si="4"/>
        <v>0</v>
      </c>
      <c r="F99" s="1392"/>
      <c r="G99" s="171"/>
      <c r="H99" s="762"/>
      <c r="I99" s="172"/>
      <c r="J99" s="175"/>
      <c r="K99" s="788">
        <f t="shared" si="9"/>
        <v>0</v>
      </c>
      <c r="L99" s="1376"/>
      <c r="M99" s="173"/>
      <c r="O99" s="1560">
        <v>110</v>
      </c>
      <c r="P99" s="1563"/>
    </row>
    <row r="100" spans="1:16">
      <c r="A100" s="756"/>
      <c r="B100" s="753" t="s">
        <v>100</v>
      </c>
      <c r="C100" s="170"/>
      <c r="D100" s="174"/>
      <c r="E100" s="788">
        <f t="shared" si="4"/>
        <v>0</v>
      </c>
      <c r="F100" s="1392"/>
      <c r="G100" s="171"/>
      <c r="H100" s="762"/>
      <c r="I100" s="172"/>
      <c r="J100" s="175"/>
      <c r="K100" s="788">
        <f t="shared" si="9"/>
        <v>0</v>
      </c>
      <c r="L100" s="1376"/>
      <c r="M100" s="173"/>
      <c r="O100" s="1560">
        <v>111</v>
      </c>
      <c r="P100" s="1563"/>
    </row>
    <row r="101" spans="1:16">
      <c r="A101" s="756"/>
      <c r="B101" s="753" t="s">
        <v>101</v>
      </c>
      <c r="C101" s="170"/>
      <c r="D101" s="174"/>
      <c r="E101" s="788">
        <f t="shared" si="4"/>
        <v>0</v>
      </c>
      <c r="F101" s="1392"/>
      <c r="G101" s="171"/>
      <c r="H101" s="762"/>
      <c r="I101" s="172"/>
      <c r="J101" s="175"/>
      <c r="K101" s="788">
        <f t="shared" si="9"/>
        <v>0</v>
      </c>
      <c r="L101" s="1376"/>
      <c r="M101" s="173"/>
      <c r="O101" s="1560">
        <v>112</v>
      </c>
      <c r="P101" s="1563"/>
    </row>
    <row r="102" spans="1:16">
      <c r="A102" s="756"/>
      <c r="B102" s="753" t="s">
        <v>102</v>
      </c>
      <c r="C102" s="170"/>
      <c r="D102" s="174"/>
      <c r="E102" s="788">
        <f t="shared" si="4"/>
        <v>0</v>
      </c>
      <c r="F102" s="1392"/>
      <c r="G102" s="171"/>
      <c r="H102" s="762"/>
      <c r="I102" s="172"/>
      <c r="J102" s="175"/>
      <c r="K102" s="788">
        <f t="shared" si="9"/>
        <v>0</v>
      </c>
      <c r="L102" s="1376"/>
      <c r="M102" s="173"/>
      <c r="O102" s="1560">
        <v>113</v>
      </c>
      <c r="P102" s="1563"/>
    </row>
    <row r="103" spans="1:16" ht="13.5" thickBot="1">
      <c r="A103" s="756"/>
      <c r="B103" s="754" t="s">
        <v>30978</v>
      </c>
      <c r="C103" s="176"/>
      <c r="D103" s="198"/>
      <c r="E103" s="789">
        <f t="shared" si="4"/>
        <v>0</v>
      </c>
      <c r="F103" s="1393"/>
      <c r="G103" s="178"/>
      <c r="H103" s="762"/>
      <c r="I103" s="179"/>
      <c r="J103" s="198"/>
      <c r="K103" s="789">
        <f t="shared" si="9"/>
        <v>0</v>
      </c>
      <c r="L103" s="1377"/>
      <c r="M103" s="181"/>
      <c r="O103" s="1560">
        <v>114</v>
      </c>
      <c r="P103" s="1563"/>
    </row>
    <row r="104" spans="1:16" ht="13.5" thickTop="1"/>
    <row r="106" spans="1:16" ht="13.5" thickBot="1"/>
    <row r="107" spans="1:16" ht="15" customHeight="1" thickTop="1" thickBot="1">
      <c r="A107" s="49" t="s">
        <v>29718</v>
      </c>
      <c r="D107" s="3580" t="s">
        <v>29767</v>
      </c>
      <c r="E107" s="3581"/>
      <c r="F107" s="3582"/>
      <c r="J107" s="3583" t="s">
        <v>29768</v>
      </c>
      <c r="K107" s="3584"/>
      <c r="L107" s="3585"/>
    </row>
    <row r="108" spans="1:16" ht="14.25" thickTop="1" thickBot="1"/>
    <row r="109" spans="1:16" ht="25.35" customHeight="1" thickTop="1" thickBot="1">
      <c r="A109" s="1045" t="s">
        <v>29592</v>
      </c>
      <c r="B109" s="1548"/>
      <c r="D109" s="744" t="s">
        <v>27108</v>
      </c>
      <c r="F109" s="744" t="s">
        <v>27109</v>
      </c>
      <c r="H109" s="1406"/>
      <c r="J109" s="744" t="s">
        <v>27108</v>
      </c>
      <c r="L109" s="744" t="s">
        <v>27109</v>
      </c>
    </row>
    <row r="110" spans="1:16" ht="14.25" thickTop="1" thickBot="1"/>
    <row r="111" spans="1:16" ht="26.25" thickTop="1">
      <c r="B111" s="1399" t="s">
        <v>29719</v>
      </c>
      <c r="D111" s="1402"/>
      <c r="E111" s="384"/>
      <c r="F111" s="1402"/>
      <c r="J111" s="1403"/>
      <c r="K111" s="384"/>
      <c r="L111" s="1403"/>
    </row>
    <row r="112" spans="1:16" ht="25.5">
      <c r="B112" s="754" t="s">
        <v>29720</v>
      </c>
      <c r="D112" s="1400"/>
      <c r="E112" s="384"/>
      <c r="F112" s="1400"/>
      <c r="J112" s="1404"/>
      <c r="K112" s="384"/>
      <c r="L112" s="1404"/>
    </row>
    <row r="113" spans="2:16" ht="51">
      <c r="B113" s="754" t="s">
        <v>29721</v>
      </c>
      <c r="D113" s="1400"/>
      <c r="E113" s="384"/>
      <c r="F113" s="1400"/>
      <c r="J113" s="1404"/>
      <c r="K113" s="384"/>
      <c r="L113" s="1404"/>
    </row>
    <row r="114" spans="2:16" ht="39" thickBot="1">
      <c r="B114" s="754" t="s">
        <v>32819</v>
      </c>
      <c r="D114" s="1401"/>
      <c r="E114" s="384"/>
      <c r="F114" s="1401"/>
      <c r="J114" s="1405"/>
      <c r="K114" s="384"/>
      <c r="L114" s="1405"/>
    </row>
    <row r="115" spans="2:16" ht="13.5" thickTop="1">
      <c r="O115" s="1560">
        <v>115</v>
      </c>
      <c r="P115" s="1568" t="b">
        <f>+OR(SUM(D111:D113)&gt;F4,SUM(J111:J113)&gt;L4,SUM(F111:F113)&gt;F42,SUM(L111:L113)&gt;L42)</f>
        <v>0</v>
      </c>
    </row>
  </sheetData>
  <sheetProtection algorithmName="SHA-512" hashValue="2W18Ovcb+lrMY64YhngYdn5Oe52a3PE6SmIkV9d6n9frmEuJLzzs1ok1zOJ+Y2EtlA94vLNNkobTOwBVRjXq7g==" saltValue="O6gdfNwkeSrW7dIG643r+Q==" spinCount="100000" sheet="1" objects="1" scenarios="1"/>
  <customSheetViews>
    <customSheetView guid="{849F61E1-F6D3-48F4-A6FF-68F8FE186D80}" scale="85" showGridLines="0">
      <pane xSplit="2" ySplit="3" topLeftCell="D7" activePane="bottomRight" state="frozen"/>
      <selection pane="bottomRight"/>
      <pageMargins left="0.7" right="0.7" top="0.75" bottom="0.75" header="0.3" footer="0.3"/>
      <pageSetup paperSize="9" orientation="portrait" verticalDpi="300" r:id="rId1"/>
    </customSheetView>
    <customSheetView guid="{1E1889AA-9C00-49BF-A07E-295053EABBEF}" scale="85" showGridLines="0">
      <pane xSplit="2" ySplit="3" topLeftCell="C4" activePane="bottomRight" state="frozen"/>
      <selection pane="bottomRight"/>
      <pageMargins left="0.7" right="0.7" top="0.75" bottom="0.75" header="0.3" footer="0.3"/>
      <pageSetup paperSize="9" orientation="portrait" verticalDpi="300" r:id="rId2"/>
    </customSheetView>
    <customSheetView guid="{83029BA9-344F-4783-B8F2-6704FB40A582}" scale="85" showGridLines="0">
      <pane xSplit="2" ySplit="3" topLeftCell="D34" activePane="bottomRight" state="frozen"/>
      <selection pane="bottomRight" activeCell="D42" sqref="D42"/>
      <pageMargins left="0.7" right="0.7" top="0.75" bottom="0.75" header="0.3" footer="0.3"/>
      <pageSetup paperSize="9" orientation="portrait" verticalDpi="300" r:id="rId3"/>
    </customSheetView>
  </customSheetViews>
  <mergeCells count="4">
    <mergeCell ref="C2:G2"/>
    <mergeCell ref="I2:M2"/>
    <mergeCell ref="D107:F107"/>
    <mergeCell ref="J107:L107"/>
  </mergeCells>
  <pageMargins left="0.7" right="0.7" top="0.75" bottom="0.75" header="0.3" footer="0.3"/>
  <pageSetup paperSize="9" orientation="portrait" verticalDpi="300" r:id="rId4"/>
  <legacyDrawing r:id="rId5"/>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glio16">
    <tabColor rgb="FFC5D9F1"/>
  </sheetPr>
  <dimension ref="A1:R107"/>
  <sheetViews>
    <sheetView showGridLines="0" zoomScale="85" zoomScaleNormal="85" workbookViewId="0"/>
  </sheetViews>
  <sheetFormatPr defaultColWidth="9.42578125" defaultRowHeight="16.5"/>
  <cols>
    <col min="1" max="1" width="14.7109375" style="103" customWidth="1"/>
    <col min="2" max="2" width="4.140625" style="3283" customWidth="1"/>
    <col min="3" max="3" width="51" style="3283" customWidth="1"/>
    <col min="4" max="4" width="8.42578125" style="3283" bestFit="1" customWidth="1"/>
    <col min="5" max="6" width="17.5703125" style="10" customWidth="1"/>
    <col min="7" max="7" width="17.5703125" style="3298" customWidth="1"/>
    <col min="8" max="10" width="17.5703125" style="3285" customWidth="1"/>
    <col min="11" max="12" width="17.5703125" style="10" customWidth="1"/>
    <col min="13" max="13" width="5.5703125" style="10" customWidth="1"/>
    <col min="14" max="14" width="22.42578125" style="10" bestFit="1" customWidth="1"/>
    <col min="15" max="15" width="27.42578125" style="10" bestFit="1" customWidth="1"/>
    <col min="16" max="16" width="31.42578125" style="10" bestFit="1" customWidth="1"/>
    <col min="17" max="17" width="23.5703125" style="103" bestFit="1" customWidth="1"/>
    <col min="18" max="18" width="19" style="103" bestFit="1" customWidth="1"/>
    <col min="19" max="16384" width="9.42578125" style="103"/>
  </cols>
  <sheetData>
    <row r="1" spans="1:18" ht="25.35" customHeight="1">
      <c r="A1" s="1588"/>
      <c r="B1" s="300" t="s">
        <v>281</v>
      </c>
      <c r="C1" s="300"/>
      <c r="D1" s="3271"/>
      <c r="G1" s="3272"/>
      <c r="H1" s="3273"/>
      <c r="I1" s="3273"/>
      <c r="J1" s="3273"/>
    </row>
    <row r="2" spans="1:18" ht="15" customHeight="1">
      <c r="B2" s="3274"/>
      <c r="C2" s="3275"/>
      <c r="D2" s="3271"/>
      <c r="E2" s="3276" t="s">
        <v>29767</v>
      </c>
      <c r="F2" s="3276" t="s">
        <v>29768</v>
      </c>
      <c r="G2" s="103"/>
      <c r="H2" s="103"/>
      <c r="I2" s="103"/>
      <c r="J2" s="103"/>
      <c r="K2" s="706"/>
      <c r="O2" s="305" t="s">
        <v>27091</v>
      </c>
      <c r="P2" s="305" t="s">
        <v>27092</v>
      </c>
      <c r="Q2" s="305" t="s">
        <v>27093</v>
      </c>
      <c r="R2" s="306" t="s">
        <v>26549</v>
      </c>
    </row>
    <row r="3" spans="1:18">
      <c r="A3" s="3277"/>
      <c r="B3" s="3278"/>
      <c r="C3" s="315" t="s">
        <v>282</v>
      </c>
      <c r="D3" s="318" t="s">
        <v>27</v>
      </c>
      <c r="E3" s="202"/>
      <c r="F3" s="203"/>
      <c r="G3" s="103"/>
      <c r="H3" s="103"/>
      <c r="I3" s="103"/>
      <c r="J3" s="103"/>
      <c r="O3" s="305" t="b">
        <f>+OR(E31*F31=0,E31="",F31="")</f>
        <v>1</v>
      </c>
      <c r="P3" s="305" t="b" cm="1">
        <f t="array" ref="P3">+OR(E17:F19="",E24:F26="",E27:F27="",E31:F32="",E49:E50="",F49:F50="",E52:F54="",E55:F56="",E76:F84="",E67="",E86:F86="")</f>
        <v>1</v>
      </c>
      <c r="Q3" s="305" t="b">
        <f>OR(E6&gt;E5,F6&gt;F5,E12&gt;E11,F12&gt;F11)</f>
        <v>0</v>
      </c>
      <c r="R3" s="306" t="b">
        <f t="array" ref="R3">+OR(O3:Q3)</f>
        <v>1</v>
      </c>
    </row>
    <row r="4" spans="1:18">
      <c r="A4" s="3279"/>
      <c r="B4" s="3280" t="s">
        <v>24988</v>
      </c>
      <c r="C4" s="403"/>
      <c r="D4" s="478"/>
      <c r="E4" s="3281"/>
      <c r="F4" s="3282"/>
      <c r="G4" s="103"/>
      <c r="H4" s="103"/>
      <c r="I4" s="103"/>
      <c r="J4" s="103"/>
      <c r="O4"/>
      <c r="P4"/>
      <c r="Q4"/>
      <c r="R4"/>
    </row>
    <row r="5" spans="1:18">
      <c r="A5" s="3279"/>
      <c r="C5" s="315" t="s">
        <v>283</v>
      </c>
      <c r="D5" s="318" t="s">
        <v>27</v>
      </c>
      <c r="E5" s="202"/>
      <c r="F5" s="203"/>
      <c r="G5" s="103"/>
      <c r="H5" s="103"/>
      <c r="I5" s="103"/>
      <c r="J5" s="103"/>
    </row>
    <row r="6" spans="1:18">
      <c r="A6" s="3279"/>
      <c r="C6" s="3284" t="s">
        <v>284</v>
      </c>
      <c r="D6" s="318" t="s">
        <v>27</v>
      </c>
      <c r="E6" s="202"/>
      <c r="F6" s="203"/>
      <c r="G6" s="103"/>
      <c r="H6" s="103"/>
      <c r="I6" s="103"/>
      <c r="J6" s="103"/>
    </row>
    <row r="7" spans="1:18">
      <c r="C7" s="315" t="s">
        <v>285</v>
      </c>
      <c r="D7" s="318" t="s">
        <v>30</v>
      </c>
      <c r="E7" s="205"/>
      <c r="F7" s="206"/>
      <c r="G7" s="103"/>
      <c r="H7" s="103"/>
      <c r="I7" s="103"/>
      <c r="J7" s="103"/>
    </row>
    <row r="8" spans="1:18">
      <c r="C8" s="315" t="s">
        <v>286</v>
      </c>
      <c r="D8" s="318" t="s">
        <v>27</v>
      </c>
      <c r="E8" s="202"/>
      <c r="F8" s="203"/>
      <c r="G8" s="103"/>
      <c r="H8" s="103"/>
      <c r="I8" s="103"/>
      <c r="J8" s="103"/>
    </row>
    <row r="9" spans="1:18">
      <c r="C9" s="315" t="s">
        <v>287</v>
      </c>
      <c r="D9" s="318" t="s">
        <v>30</v>
      </c>
      <c r="E9" s="205"/>
      <c r="F9" s="206"/>
      <c r="G9" s="103"/>
      <c r="H9" s="103"/>
      <c r="I9" s="103"/>
      <c r="J9" s="103"/>
    </row>
    <row r="10" spans="1:18">
      <c r="C10" s="315" t="s">
        <v>288</v>
      </c>
      <c r="D10" s="318" t="s">
        <v>27</v>
      </c>
      <c r="E10" s="202"/>
      <c r="F10" s="203"/>
      <c r="G10" s="103"/>
      <c r="H10" s="103"/>
      <c r="I10" s="103"/>
      <c r="J10" s="103"/>
    </row>
    <row r="11" spans="1:18">
      <c r="C11" s="315" t="s">
        <v>289</v>
      </c>
      <c r="D11" s="318" t="s">
        <v>27</v>
      </c>
      <c r="E11" s="202"/>
      <c r="F11" s="203"/>
      <c r="G11" s="103"/>
      <c r="H11" s="103"/>
      <c r="I11" s="103"/>
      <c r="J11" s="103"/>
    </row>
    <row r="12" spans="1:18">
      <c r="C12" s="3284" t="s">
        <v>284</v>
      </c>
      <c r="D12" s="318" t="s">
        <v>27</v>
      </c>
      <c r="E12" s="202"/>
      <c r="F12" s="203"/>
      <c r="G12" s="103"/>
      <c r="H12" s="103"/>
      <c r="I12" s="103"/>
      <c r="J12" s="103"/>
    </row>
    <row r="13" spans="1:18">
      <c r="C13" s="315" t="s">
        <v>290</v>
      </c>
      <c r="D13" s="318" t="s">
        <v>30</v>
      </c>
      <c r="E13" s="205"/>
      <c r="F13" s="206"/>
      <c r="G13" s="103"/>
      <c r="H13" s="103"/>
      <c r="I13" s="103"/>
      <c r="J13" s="103"/>
    </row>
    <row r="14" spans="1:18">
      <c r="C14" s="315" t="s">
        <v>291</v>
      </c>
      <c r="D14" s="318" t="s">
        <v>27</v>
      </c>
      <c r="E14" s="202"/>
      <c r="F14" s="203"/>
      <c r="G14" s="103"/>
      <c r="H14" s="103"/>
      <c r="I14" s="103"/>
      <c r="J14" s="103"/>
    </row>
    <row r="15" spans="1:18">
      <c r="C15" s="315" t="s">
        <v>292</v>
      </c>
      <c r="D15" s="318" t="s">
        <v>27</v>
      </c>
      <c r="E15" s="202"/>
      <c r="F15" s="203"/>
      <c r="G15" s="103"/>
      <c r="H15" s="103"/>
      <c r="I15" s="103"/>
      <c r="J15" s="103"/>
    </row>
    <row r="16" spans="1:18" ht="17.25" thickBot="1">
      <c r="B16" s="3280" t="s">
        <v>293</v>
      </c>
      <c r="C16" s="3275"/>
      <c r="D16" s="3271"/>
      <c r="E16" s="54"/>
      <c r="F16" s="3282"/>
      <c r="G16" s="103"/>
      <c r="H16" s="103"/>
      <c r="I16" s="103"/>
      <c r="J16" s="103"/>
    </row>
    <row r="17" spans="1:17" ht="17.25" thickBot="1">
      <c r="C17" s="705" t="s">
        <v>294</v>
      </c>
      <c r="D17" s="308" t="s">
        <v>27</v>
      </c>
      <c r="E17" s="704"/>
      <c r="F17" s="703"/>
      <c r="G17" s="103"/>
      <c r="H17" s="103"/>
      <c r="I17" s="103"/>
      <c r="J17" s="103"/>
    </row>
    <row r="18" spans="1:17" ht="17.25" thickBot="1">
      <c r="C18" s="705" t="s">
        <v>295</v>
      </c>
      <c r="D18" s="308" t="s">
        <v>27</v>
      </c>
      <c r="E18" s="704"/>
      <c r="F18" s="703"/>
      <c r="G18" s="103"/>
      <c r="H18" s="103"/>
      <c r="I18" s="103"/>
      <c r="J18" s="103"/>
    </row>
    <row r="19" spans="1:17" ht="17.25" thickBot="1">
      <c r="C19" s="705" t="s">
        <v>296</v>
      </c>
      <c r="D19" s="308" t="s">
        <v>27</v>
      </c>
      <c r="E19" s="704"/>
      <c r="F19" s="703"/>
      <c r="G19" s="103"/>
      <c r="H19" s="103"/>
      <c r="I19" s="103"/>
      <c r="J19" s="103"/>
    </row>
    <row r="20" spans="1:17">
      <c r="C20" s="315" t="s">
        <v>297</v>
      </c>
      <c r="D20" s="318" t="s">
        <v>27</v>
      </c>
      <c r="E20" s="202"/>
      <c r="F20" s="203"/>
      <c r="G20" s="103"/>
      <c r="H20" s="103"/>
      <c r="I20" s="103"/>
      <c r="J20" s="103"/>
    </row>
    <row r="21" spans="1:17">
      <c r="C21" s="315" t="s">
        <v>298</v>
      </c>
      <c r="D21" s="318" t="s">
        <v>27</v>
      </c>
      <c r="E21" s="202"/>
      <c r="F21" s="203"/>
      <c r="G21" s="103"/>
      <c r="H21" s="103"/>
      <c r="I21" s="103"/>
      <c r="J21" s="103"/>
    </row>
    <row r="22" spans="1:17">
      <c r="C22" s="315" t="s">
        <v>299</v>
      </c>
      <c r="D22" s="318" t="s">
        <v>27</v>
      </c>
      <c r="E22" s="202"/>
      <c r="F22" s="203"/>
      <c r="G22" s="103"/>
      <c r="H22" s="103"/>
      <c r="I22" s="103"/>
      <c r="J22" s="103"/>
    </row>
    <row r="23" spans="1:17" ht="17.25" thickBot="1">
      <c r="C23" s="315" t="s">
        <v>300</v>
      </c>
      <c r="D23" s="318" t="s">
        <v>27</v>
      </c>
      <c r="E23" s="202"/>
      <c r="F23" s="203"/>
      <c r="G23" s="103"/>
      <c r="H23" s="103"/>
      <c r="I23" s="103"/>
      <c r="J23" s="103"/>
    </row>
    <row r="24" spans="1:17" ht="17.25" thickBot="1">
      <c r="C24" s="705" t="s">
        <v>301</v>
      </c>
      <c r="D24" s="308" t="s">
        <v>27</v>
      </c>
      <c r="E24" s="704"/>
      <c r="F24" s="703"/>
      <c r="G24" s="103"/>
      <c r="H24" s="103"/>
      <c r="I24" s="103"/>
      <c r="J24" s="103"/>
    </row>
    <row r="25" spans="1:17" ht="17.25" thickBot="1">
      <c r="A25" s="3277"/>
      <c r="C25" s="705" t="s">
        <v>302</v>
      </c>
      <c r="D25" s="308" t="s">
        <v>27</v>
      </c>
      <c r="E25" s="704"/>
      <c r="F25" s="703"/>
      <c r="G25" s="103"/>
      <c r="H25" s="103"/>
      <c r="I25" s="103"/>
      <c r="J25" s="103"/>
    </row>
    <row r="26" spans="1:17" ht="26.25" thickBot="1">
      <c r="A26" s="3277"/>
      <c r="C26" s="705" t="s">
        <v>30505</v>
      </c>
      <c r="D26" s="308" t="s">
        <v>27</v>
      </c>
      <c r="E26" s="704"/>
      <c r="F26" s="703"/>
      <c r="G26" s="103"/>
      <c r="H26" s="103"/>
      <c r="I26" s="103"/>
      <c r="J26" s="103"/>
    </row>
    <row r="27" spans="1:17" ht="18" customHeight="1" thickBot="1">
      <c r="A27" s="3277" t="s">
        <v>303</v>
      </c>
      <c r="C27" s="705" t="s">
        <v>304</v>
      </c>
      <c r="D27" s="308" t="s">
        <v>27</v>
      </c>
      <c r="E27" s="704"/>
      <c r="F27" s="703"/>
      <c r="G27" s="103"/>
      <c r="H27" s="103"/>
      <c r="I27" s="103"/>
      <c r="J27" s="103"/>
    </row>
    <row r="28" spans="1:17">
      <c r="G28" s="3281"/>
      <c r="H28" s="3282"/>
      <c r="I28" s="3282"/>
      <c r="J28" s="3282"/>
    </row>
    <row r="29" spans="1:17" ht="23.25">
      <c r="B29" s="300" t="s">
        <v>305</v>
      </c>
      <c r="C29" s="3275"/>
      <c r="D29" s="3271"/>
      <c r="G29" s="3281"/>
      <c r="H29" s="3282"/>
      <c r="I29" s="3282"/>
      <c r="J29" s="3282"/>
    </row>
    <row r="30" spans="1:17" ht="17.25" thickBot="1">
      <c r="B30" s="3280" t="s">
        <v>306</v>
      </c>
      <c r="C30" s="3275"/>
      <c r="D30" s="3271"/>
      <c r="E30" s="3276" t="s">
        <v>29767</v>
      </c>
      <c r="F30" s="3276" t="s">
        <v>29768</v>
      </c>
      <c r="G30" s="3276"/>
      <c r="H30" s="3276"/>
      <c r="I30" s="3276"/>
      <c r="J30" s="3276"/>
      <c r="K30" s="3276"/>
      <c r="L30" s="3276"/>
    </row>
    <row r="31" spans="1:17" ht="17.25" thickBot="1">
      <c r="C31" s="705" t="s">
        <v>307</v>
      </c>
      <c r="D31" s="308" t="s">
        <v>30</v>
      </c>
      <c r="E31" s="207"/>
      <c r="F31" s="208"/>
      <c r="G31" s="103"/>
      <c r="H31" s="103"/>
      <c r="I31" s="103"/>
      <c r="J31" s="103"/>
    </row>
    <row r="32" spans="1:17" ht="17.25" thickBot="1">
      <c r="C32" s="705" t="s">
        <v>24974</v>
      </c>
      <c r="D32" s="308" t="s">
        <v>27</v>
      </c>
      <c r="E32" s="704"/>
      <c r="F32" s="703"/>
      <c r="G32" s="103"/>
      <c r="I32" s="103"/>
      <c r="J32" s="103"/>
      <c r="K32" s="103"/>
      <c r="Q32" s="10"/>
    </row>
    <row r="33" spans="2:10" ht="17.25" hidden="1" thickBot="1">
      <c r="C33" s="705" t="s">
        <v>29808</v>
      </c>
      <c r="D33" s="3286" t="s">
        <v>30</v>
      </c>
      <c r="E33" s="3302"/>
      <c r="F33" s="3302"/>
      <c r="G33" s="103"/>
      <c r="H33" s="103"/>
      <c r="I33" s="103"/>
      <c r="J33" s="103"/>
    </row>
    <row r="34" spans="2:10" ht="26.25" thickBot="1">
      <c r="C34" s="705" t="s">
        <v>31830</v>
      </c>
      <c r="D34" s="308" t="s">
        <v>22743</v>
      </c>
      <c r="E34" s="615"/>
      <c r="F34" s="3303"/>
      <c r="G34" s="103"/>
      <c r="H34" s="103"/>
      <c r="I34" s="103"/>
      <c r="J34" s="103"/>
    </row>
    <row r="35" spans="2:10">
      <c r="B35" s="3280" t="s">
        <v>308</v>
      </c>
      <c r="C35" s="3275"/>
      <c r="D35" s="3271"/>
      <c r="E35" s="54"/>
      <c r="F35" s="3282"/>
      <c r="G35" s="103"/>
      <c r="H35" s="103"/>
      <c r="I35" s="103"/>
      <c r="J35" s="103"/>
    </row>
    <row r="36" spans="2:10">
      <c r="C36" s="315" t="s">
        <v>309</v>
      </c>
      <c r="D36" s="318" t="s">
        <v>27</v>
      </c>
      <c r="E36" s="202"/>
      <c r="F36" s="203"/>
      <c r="G36" s="103"/>
      <c r="H36" s="103"/>
      <c r="I36" s="103"/>
      <c r="J36" s="103"/>
    </row>
    <row r="37" spans="2:10">
      <c r="C37" s="315" t="s">
        <v>310</v>
      </c>
      <c r="D37" s="318" t="s">
        <v>27</v>
      </c>
      <c r="E37" s="202"/>
      <c r="F37" s="203"/>
      <c r="G37" s="103"/>
      <c r="H37" s="103"/>
      <c r="I37" s="103"/>
      <c r="J37" s="103"/>
    </row>
    <row r="38" spans="2:10">
      <c r="C38" s="315" t="s">
        <v>311</v>
      </c>
      <c r="D38" s="318" t="s">
        <v>27</v>
      </c>
      <c r="E38" s="202"/>
      <c r="F38" s="203"/>
      <c r="G38" s="103"/>
      <c r="H38" s="103"/>
      <c r="I38" s="103"/>
      <c r="J38" s="103"/>
    </row>
    <row r="39" spans="2:10">
      <c r="C39" s="315" t="s">
        <v>312</v>
      </c>
      <c r="D39" s="318" t="s">
        <v>27</v>
      </c>
      <c r="E39" s="202"/>
      <c r="F39" s="203"/>
      <c r="G39" s="103"/>
      <c r="H39" s="103"/>
      <c r="I39" s="103"/>
      <c r="J39" s="103"/>
    </row>
    <row r="40" spans="2:10">
      <c r="C40" s="315" t="s">
        <v>313</v>
      </c>
      <c r="D40" s="318" t="s">
        <v>30</v>
      </c>
      <c r="E40" s="205"/>
      <c r="F40" s="206"/>
      <c r="G40" s="103"/>
      <c r="H40" s="103"/>
      <c r="I40" s="103"/>
      <c r="J40" s="103"/>
    </row>
    <row r="41" spans="2:10">
      <c r="B41" s="3280" t="s">
        <v>29589</v>
      </c>
      <c r="C41" s="3275"/>
      <c r="D41" s="3271"/>
      <c r="G41" s="54"/>
      <c r="H41" s="3282"/>
      <c r="I41" s="3282"/>
      <c r="J41" s="3282"/>
    </row>
    <row r="42" spans="2:10">
      <c r="C42" s="315" t="s">
        <v>314</v>
      </c>
      <c r="D42" s="318" t="s">
        <v>27</v>
      </c>
      <c r="E42" s="202"/>
      <c r="F42" s="203"/>
      <c r="G42" s="103"/>
      <c r="H42" s="103"/>
      <c r="I42" s="103"/>
      <c r="J42" s="103"/>
    </row>
    <row r="43" spans="2:10">
      <c r="C43" s="315" t="s">
        <v>27078</v>
      </c>
      <c r="D43" s="318" t="s">
        <v>27</v>
      </c>
      <c r="E43" s="202"/>
      <c r="F43" s="203"/>
      <c r="G43" s="103"/>
      <c r="H43" s="103"/>
      <c r="I43" s="103"/>
      <c r="J43" s="103"/>
    </row>
    <row r="44" spans="2:10">
      <c r="C44" s="315" t="s">
        <v>27079</v>
      </c>
      <c r="D44" s="318" t="s">
        <v>27</v>
      </c>
      <c r="E44" s="202"/>
      <c r="F44" s="203"/>
      <c r="G44" s="103"/>
      <c r="H44" s="103"/>
      <c r="I44" s="103"/>
      <c r="J44" s="103"/>
    </row>
    <row r="45" spans="2:10">
      <c r="C45" s="3287" t="s">
        <v>27105</v>
      </c>
      <c r="D45" s="318" t="s">
        <v>27</v>
      </c>
      <c r="E45" s="3288"/>
      <c r="F45" s="3289"/>
      <c r="G45" s="103"/>
      <c r="H45" s="103"/>
      <c r="I45" s="103"/>
      <c r="J45" s="103"/>
    </row>
    <row r="46" spans="2:10">
      <c r="C46" s="3290" t="s">
        <v>29806</v>
      </c>
      <c r="D46" s="3291" t="s">
        <v>27</v>
      </c>
      <c r="E46" s="1640"/>
      <c r="F46" s="1641"/>
      <c r="G46" s="103"/>
      <c r="H46" s="103"/>
      <c r="I46" s="103"/>
      <c r="J46" s="103"/>
    </row>
    <row r="47" spans="2:10">
      <c r="C47" s="315" t="s">
        <v>24911</v>
      </c>
      <c r="D47" s="318" t="s">
        <v>27</v>
      </c>
      <c r="E47" s="3288"/>
      <c r="F47" s="3289"/>
      <c r="G47" s="103"/>
      <c r="H47" s="103"/>
      <c r="I47" s="103"/>
      <c r="J47" s="103"/>
    </row>
    <row r="48" spans="2:10" ht="17.25" thickBot="1">
      <c r="B48" s="3280" t="s">
        <v>315</v>
      </c>
      <c r="C48" s="3275"/>
      <c r="D48" s="3271"/>
      <c r="E48" s="54"/>
      <c r="F48" s="3282"/>
      <c r="G48" s="103"/>
      <c r="H48" s="103"/>
      <c r="I48" s="103"/>
      <c r="J48" s="103"/>
    </row>
    <row r="49" spans="1:16" ht="17.25" thickBot="1">
      <c r="C49" s="705" t="s">
        <v>27080</v>
      </c>
      <c r="D49" s="308" t="s">
        <v>27</v>
      </c>
      <c r="E49" s="704"/>
      <c r="F49" s="703"/>
      <c r="G49" s="103"/>
      <c r="H49" s="103"/>
      <c r="I49" s="103"/>
      <c r="J49" s="103"/>
    </row>
    <row r="50" spans="1:16" ht="17.25" thickBot="1">
      <c r="C50" s="705" t="s">
        <v>316</v>
      </c>
      <c r="D50" s="308" t="s">
        <v>27</v>
      </c>
      <c r="E50" s="704"/>
      <c r="F50" s="703"/>
      <c r="G50" s="103"/>
      <c r="H50" s="103"/>
      <c r="I50" s="103"/>
      <c r="J50" s="103"/>
    </row>
    <row r="51" spans="1:16" ht="17.25" thickBot="1">
      <c r="C51" s="479" t="s">
        <v>30592</v>
      </c>
      <c r="D51" s="308" t="s">
        <v>27</v>
      </c>
      <c r="E51" s="3288"/>
      <c r="F51" s="3289"/>
      <c r="G51" s="103"/>
      <c r="H51" s="103"/>
      <c r="I51" s="103"/>
      <c r="J51" s="103"/>
    </row>
    <row r="52" spans="1:16" ht="17.25" thickBot="1">
      <c r="C52" s="479" t="s">
        <v>30593</v>
      </c>
      <c r="D52" s="308" t="s">
        <v>27</v>
      </c>
      <c r="E52" s="704"/>
      <c r="F52" s="703"/>
      <c r="G52" s="103"/>
      <c r="H52" s="103"/>
      <c r="I52" s="103"/>
      <c r="J52" s="103"/>
    </row>
    <row r="53" spans="1:16" ht="17.25" thickBot="1">
      <c r="C53" s="705" t="s">
        <v>317</v>
      </c>
      <c r="D53" s="308" t="s">
        <v>27</v>
      </c>
      <c r="E53" s="704"/>
      <c r="F53" s="703"/>
      <c r="G53" s="103"/>
      <c r="H53" s="103"/>
      <c r="I53" s="103"/>
      <c r="J53" s="103"/>
    </row>
    <row r="54" spans="1:16" ht="26.25" thickBot="1">
      <c r="C54" s="705" t="s">
        <v>26478</v>
      </c>
      <c r="D54" s="308" t="s">
        <v>27</v>
      </c>
      <c r="E54" s="704"/>
      <c r="F54" s="703"/>
      <c r="G54" s="103"/>
      <c r="H54" s="103"/>
      <c r="I54" s="103"/>
      <c r="J54" s="103"/>
      <c r="L54" s="28"/>
      <c r="M54" s="28"/>
    </row>
    <row r="55" spans="1:16" ht="32.25" thickBot="1">
      <c r="C55" s="705" t="s">
        <v>31831</v>
      </c>
      <c r="D55" s="3292" t="s">
        <v>27</v>
      </c>
      <c r="E55" s="615"/>
      <c r="F55" s="703"/>
      <c r="G55" s="103"/>
      <c r="H55" s="103"/>
      <c r="I55" s="103"/>
      <c r="J55" s="103"/>
      <c r="L55" s="28"/>
      <c r="M55" s="28"/>
    </row>
    <row r="56" spans="1:16" ht="17.25" thickBot="1">
      <c r="B56" s="3280"/>
      <c r="C56" s="705" t="s">
        <v>30508</v>
      </c>
      <c r="D56" s="308" t="s">
        <v>27</v>
      </c>
      <c r="E56" s="704"/>
      <c r="F56" s="703"/>
      <c r="G56" s="706"/>
      <c r="H56" s="706"/>
      <c r="I56" s="706"/>
      <c r="J56" s="706"/>
      <c r="K56" s="1013"/>
      <c r="L56" s="1013"/>
      <c r="M56" s="1013"/>
      <c r="N56" s="1013"/>
      <c r="O56" s="1013"/>
      <c r="P56" s="1013"/>
    </row>
    <row r="57" spans="1:16" ht="25.5">
      <c r="B57" s="3280"/>
      <c r="C57" s="3293" t="s">
        <v>31335</v>
      </c>
      <c r="D57" s="318" t="s">
        <v>27</v>
      </c>
      <c r="E57" s="3288"/>
      <c r="F57" s="203"/>
      <c r="G57" s="706"/>
      <c r="H57" s="706"/>
      <c r="I57" s="706"/>
      <c r="J57" s="706"/>
      <c r="K57" s="1013"/>
      <c r="L57" s="1013"/>
      <c r="M57" s="1013"/>
      <c r="N57" s="1013"/>
      <c r="O57" s="1013"/>
      <c r="P57" s="1013"/>
    </row>
    <row r="58" spans="1:16" customFormat="1" ht="25.5">
      <c r="A58" s="103"/>
      <c r="C58" s="3293" t="s">
        <v>31420</v>
      </c>
      <c r="D58" s="318" t="s">
        <v>27</v>
      </c>
      <c r="E58" s="3288"/>
      <c r="F58" s="203"/>
    </row>
    <row r="59" spans="1:16" customFormat="1" ht="17.25" thickBot="1">
      <c r="A59" s="103"/>
      <c r="B59" s="3280" t="s">
        <v>315</v>
      </c>
      <c r="E59" s="3276" t="s">
        <v>31350</v>
      </c>
      <c r="F59" s="3276" t="s">
        <v>31351</v>
      </c>
    </row>
    <row r="60" spans="1:16" ht="17.25" thickBot="1">
      <c r="C60" s="3294" t="s">
        <v>31421</v>
      </c>
      <c r="D60" s="308" t="s">
        <v>27</v>
      </c>
      <c r="E60" s="3288"/>
      <c r="F60" s="3288"/>
      <c r="G60" s="103"/>
      <c r="H60" s="103"/>
      <c r="I60" s="103"/>
      <c r="J60" s="103"/>
      <c r="L60" s="28"/>
      <c r="M60" s="28"/>
    </row>
    <row r="61" spans="1:16" ht="17.25" thickBot="1">
      <c r="C61" s="3294" t="s">
        <v>31422</v>
      </c>
      <c r="D61" s="308" t="s">
        <v>27</v>
      </c>
      <c r="E61" s="3288"/>
      <c r="F61" s="3288"/>
      <c r="G61" s="103"/>
      <c r="H61" s="103"/>
      <c r="I61" s="103"/>
      <c r="J61" s="103"/>
      <c r="L61" s="28"/>
      <c r="M61" s="28"/>
    </row>
    <row r="62" spans="1:16" ht="17.25" thickBot="1">
      <c r="C62" s="3294" t="s">
        <v>31423</v>
      </c>
      <c r="D62" s="308" t="s">
        <v>27</v>
      </c>
      <c r="E62" s="3288"/>
      <c r="F62" s="3288"/>
      <c r="G62" s="103"/>
      <c r="H62" s="103"/>
      <c r="I62" s="103"/>
      <c r="J62" s="103"/>
      <c r="L62" s="28"/>
      <c r="M62" s="28"/>
    </row>
    <row r="63" spans="1:16" ht="21.6" customHeight="1" thickBot="1">
      <c r="B63" s="103"/>
      <c r="C63" s="705" t="s">
        <v>31424</v>
      </c>
      <c r="D63" s="308" t="s">
        <v>27</v>
      </c>
      <c r="E63" s="1645"/>
      <c r="F63" s="203"/>
      <c r="G63" s="103"/>
      <c r="H63" s="103"/>
      <c r="I63" s="103"/>
      <c r="J63" s="103"/>
      <c r="L63" s="28"/>
      <c r="M63" s="28"/>
    </row>
    <row r="64" spans="1:16" ht="21.6" customHeight="1" thickBot="1">
      <c r="B64" s="103"/>
      <c r="C64" s="705" t="s">
        <v>31425</v>
      </c>
      <c r="D64" s="308" t="s">
        <v>27</v>
      </c>
      <c r="E64" s="1645"/>
      <c r="F64" s="203"/>
      <c r="G64" s="103"/>
      <c r="H64" s="103"/>
      <c r="I64" s="103"/>
      <c r="J64" s="103"/>
      <c r="L64" s="28"/>
      <c r="M64" s="28"/>
    </row>
    <row r="65" spans="2:12" ht="17.25" thickBot="1">
      <c r="B65" s="3280" t="s">
        <v>24760</v>
      </c>
      <c r="C65" s="3295"/>
      <c r="E65" s="3276" t="s">
        <v>29767</v>
      </c>
      <c r="F65" s="3276" t="s">
        <v>29768</v>
      </c>
      <c r="G65" s="3276" t="s">
        <v>29769</v>
      </c>
      <c r="H65" s="3276" t="s">
        <v>29770</v>
      </c>
      <c r="I65" s="3276" t="s">
        <v>29771</v>
      </c>
      <c r="J65" s="3276" t="s">
        <v>29772</v>
      </c>
      <c r="K65" s="3276"/>
      <c r="L65" s="3276"/>
    </row>
    <row r="66" spans="2:12" ht="26.25" thickBot="1">
      <c r="C66" s="705" t="s">
        <v>24904</v>
      </c>
      <c r="D66" s="3296" t="s">
        <v>27</v>
      </c>
      <c r="E66" s="2729"/>
      <c r="F66" s="3297"/>
      <c r="G66" s="1830"/>
      <c r="H66" s="1830"/>
      <c r="I66" s="1830"/>
      <c r="J66" s="1830"/>
      <c r="K66" s="3276"/>
      <c r="L66" s="3276"/>
    </row>
    <row r="67" spans="2:12" ht="26.25" thickBot="1">
      <c r="C67" s="705" t="s">
        <v>30507</v>
      </c>
      <c r="D67" s="308" t="s">
        <v>22743</v>
      </c>
      <c r="E67" s="615"/>
    </row>
    <row r="68" spans="2:12" ht="17.25" thickBot="1">
      <c r="B68" s="3280" t="s">
        <v>31179</v>
      </c>
      <c r="C68" s="3295"/>
      <c r="E68" s="3276" t="s">
        <v>29767</v>
      </c>
      <c r="F68" s="3276" t="s">
        <v>29768</v>
      </c>
      <c r="G68" s="3276" t="s">
        <v>29769</v>
      </c>
      <c r="H68" s="3276" t="s">
        <v>29770</v>
      </c>
      <c r="I68" s="3276" t="s">
        <v>29771</v>
      </c>
      <c r="J68" s="3276" t="s">
        <v>29772</v>
      </c>
    </row>
    <row r="69" spans="2:12" ht="30" customHeight="1" thickBot="1">
      <c r="C69" s="313" t="s">
        <v>31860</v>
      </c>
      <c r="D69" s="308" t="s">
        <v>27</v>
      </c>
      <c r="E69" s="3288"/>
      <c r="F69" s="703"/>
      <c r="G69" s="3285"/>
    </row>
    <row r="70" spans="2:12" ht="17.25" thickBot="1">
      <c r="C70" s="313" t="s">
        <v>31178</v>
      </c>
      <c r="D70" s="3299" t="s">
        <v>27</v>
      </c>
      <c r="E70" s="2729"/>
      <c r="F70" s="3297"/>
      <c r="G70" s="3297">
        <f>Input_per_calcoli_finali!K30</f>
        <v>0</v>
      </c>
      <c r="H70" s="3297">
        <f>Input_per_calcoli_finali!L30</f>
        <v>0</v>
      </c>
      <c r="I70" s="3297">
        <f>Input_per_calcoli_finali!M30</f>
        <v>0</v>
      </c>
      <c r="J70" s="3297">
        <f>Input_per_calcoli_finali!N30</f>
        <v>0</v>
      </c>
    </row>
    <row r="71" spans="2:12" ht="17.25" thickBot="1">
      <c r="C71" s="313" t="s">
        <v>31466</v>
      </c>
      <c r="D71" s="3299" t="s">
        <v>27</v>
      </c>
      <c r="E71" s="2729"/>
      <c r="F71" s="3297"/>
      <c r="G71" s="1830"/>
      <c r="H71" s="1830"/>
      <c r="I71" s="1830"/>
      <c r="J71" s="1830"/>
    </row>
    <row r="72" spans="2:12" ht="42" thickBot="1">
      <c r="C72" s="595" t="s">
        <v>31453</v>
      </c>
      <c r="D72" s="308" t="s">
        <v>27</v>
      </c>
      <c r="E72" s="2729">
        <f>+SUMIFS('PdI-crono_ges'!O:O,'PdI-crono_ges'!$K:$K,"lettera a)")</f>
        <v>0</v>
      </c>
      <c r="F72" s="3297">
        <f>+SUMIFS('PdI-crono_ges'!S:S,'PdI-crono_ges'!$K:$K,"lettera a)")</f>
        <v>0</v>
      </c>
      <c r="G72" s="3297">
        <f>+SUMIFS('PdI-crono_ges'!V:V,'PdI-crono_ges'!$K:$K,"lettera a)")</f>
        <v>0</v>
      </c>
      <c r="H72" s="3297">
        <f>+SUMIFS('PdI-crono_ges'!W:W,'PdI-crono_ges'!$K:$K,"lettera a)")</f>
        <v>0</v>
      </c>
      <c r="I72" s="3297">
        <f>+SUMIFS('PdI-crono_ges'!X:X,'PdI-crono_ges'!$K:$K,"lettera a)")</f>
        <v>0</v>
      </c>
      <c r="J72" s="3297">
        <f>+SUMIFS('PdI-crono_ges'!Y:Y,'PdI-crono_ges'!$K:$K,"lettera a)")</f>
        <v>0</v>
      </c>
    </row>
    <row r="73" spans="2:12" ht="42" thickBot="1">
      <c r="C73" s="595" t="s">
        <v>31452</v>
      </c>
      <c r="D73" s="308" t="s">
        <v>27</v>
      </c>
      <c r="E73" s="2729">
        <f>+SUMIFS('PdI-crono_ges'!O:O,'PdI-crono_ges'!$K:$K,"lettera b)")</f>
        <v>0</v>
      </c>
      <c r="F73" s="3297">
        <f>+SUMIFS('PdI-crono_ges'!S:S,'PdI-crono_ges'!$K:$K,"lettera b)")</f>
        <v>0</v>
      </c>
      <c r="G73" s="3297">
        <f>+SUMIFS('PdI-crono_ges'!V:V,'PdI-crono_ges'!$K:$K,"lettera b)")</f>
        <v>0</v>
      </c>
      <c r="H73" s="3297">
        <f>+SUMIFS('PdI-crono_ges'!W:W,'PdI-crono_ges'!$K:$K,"lettera b)")</f>
        <v>0</v>
      </c>
      <c r="I73" s="3297">
        <f>+SUMIFS('PdI-crono_ges'!X:X,'PdI-crono_ges'!$K:$K,"lettera b)")</f>
        <v>0</v>
      </c>
      <c r="J73" s="3297">
        <f>+SUMIFS('PdI-crono_ges'!Y:Y,'PdI-crono_ges'!$K:$K,"lettera b)")</f>
        <v>0</v>
      </c>
    </row>
    <row r="74" spans="2:12" ht="29.25" thickBot="1">
      <c r="C74" s="595" t="s">
        <v>31454</v>
      </c>
      <c r="D74" s="308" t="s">
        <v>27</v>
      </c>
      <c r="E74" s="2729">
        <f>+SUMIFS('PdI-crono_ges'!O:O,'PdI-crono_ges'!$K:$K,"lettera c) 477/2023/R/IDR")</f>
        <v>0</v>
      </c>
      <c r="F74" s="3297">
        <f>+SUMIFS('PdI-crono_ges'!S:S,'PdI-crono_ges'!$K:$K,"lettera c) 477/2023/R/IDR")</f>
        <v>0</v>
      </c>
      <c r="G74" s="3297">
        <f>+SUMIFS('PdI-crono_ges'!V:V,'PdI-crono_ges'!$K:$K,"lettera c) 477/2023/R/IDR")</f>
        <v>0</v>
      </c>
      <c r="H74" s="3297">
        <f>+SUMIFS('PdI-crono_ges'!W:W,'PdI-crono_ges'!$K:$K,"lettera c) 477/2023/R/IDR")</f>
        <v>0</v>
      </c>
      <c r="I74" s="3297">
        <f>+SUMIFS('PdI-crono_ges'!X:X,'PdI-crono_ges'!$K:$K,"lettera c) 477/2023/R/IDR")</f>
        <v>0</v>
      </c>
      <c r="J74" s="3297">
        <f>+SUMIFS('PdI-crono_ges'!Y:Y,'PdI-crono_ges'!$K:$K,"lettera c) 477/2023/R/IDR")</f>
        <v>0</v>
      </c>
    </row>
    <row r="75" spans="2:12" ht="29.25" thickBot="1">
      <c r="C75" s="595" t="s">
        <v>31455</v>
      </c>
      <c r="D75" s="308" t="s">
        <v>27</v>
      </c>
      <c r="E75" s="3288"/>
      <c r="F75" s="3288"/>
      <c r="G75" s="3297">
        <f>+SUMIFS('PdI-crono_ges'!V:V,'PdI-crono_ges'!$K:$K,"lettera c) 225/2025/R/IDR")</f>
        <v>0</v>
      </c>
      <c r="H75" s="3297">
        <f>+SUMIFS('PdI-crono_ges'!W:W,'PdI-crono_ges'!$K:$K,"lettera c) 225/2025/R/IDR")</f>
        <v>0</v>
      </c>
      <c r="I75" s="3297">
        <f>+SUMIFS('PdI-crono_ges'!X:X,'PdI-crono_ges'!$K:$K,"lettera c) 225/2025/R/IDR")</f>
        <v>0</v>
      </c>
      <c r="J75" s="3297">
        <f>+SUMIFS('PdI-crono_ges'!Y:Y,'PdI-crono_ges'!$K:$K,"lettera c) 225/2025/R/IDR")</f>
        <v>0</v>
      </c>
    </row>
    <row r="76" spans="2:12" ht="42.75" thickBot="1">
      <c r="C76" s="595" t="s">
        <v>31456</v>
      </c>
      <c r="D76" s="308" t="s">
        <v>27</v>
      </c>
      <c r="E76" s="704"/>
      <c r="F76" s="703"/>
      <c r="G76" s="1830"/>
      <c r="H76" s="1830"/>
      <c r="I76" s="1830"/>
      <c r="J76" s="1830"/>
    </row>
    <row r="77" spans="2:12" ht="42.75" thickBot="1">
      <c r="C77" s="595" t="s">
        <v>31457</v>
      </c>
      <c r="D77" s="308" t="s">
        <v>27</v>
      </c>
      <c r="E77" s="704"/>
      <c r="F77" s="703"/>
      <c r="G77" s="1830"/>
      <c r="H77" s="1830"/>
      <c r="I77" s="1830"/>
      <c r="J77" s="1830"/>
      <c r="K77" s="1013"/>
    </row>
    <row r="78" spans="2:12" ht="29.25" thickBot="1">
      <c r="C78" s="595" t="s">
        <v>31832</v>
      </c>
      <c r="D78" s="308" t="s">
        <v>27</v>
      </c>
      <c r="E78" s="704"/>
      <c r="F78" s="703"/>
      <c r="G78" s="1830"/>
      <c r="H78" s="1830"/>
      <c r="I78" s="1830"/>
      <c r="J78" s="1830"/>
      <c r="K78" s="1013"/>
    </row>
    <row r="79" spans="2:12" ht="29.25" thickBot="1">
      <c r="C79" s="595" t="s">
        <v>31833</v>
      </c>
      <c r="D79" s="308" t="s">
        <v>27</v>
      </c>
      <c r="E79" s="3288"/>
      <c r="F79" s="3288"/>
      <c r="G79" s="1830"/>
      <c r="H79" s="1830"/>
      <c r="I79" s="1830"/>
      <c r="J79" s="1830"/>
      <c r="K79" s="1013"/>
    </row>
    <row r="80" spans="2:12" ht="42.75" thickBot="1">
      <c r="C80" s="595" t="s">
        <v>31450</v>
      </c>
      <c r="D80" s="308" t="s">
        <v>27</v>
      </c>
      <c r="E80" s="3288"/>
      <c r="F80" s="3288"/>
      <c r="G80" s="1830"/>
      <c r="H80" s="1830"/>
      <c r="I80" s="1830"/>
      <c r="J80" s="1830"/>
      <c r="K80" s="1013"/>
    </row>
    <row r="81" spans="2:12" ht="29.25" thickBot="1">
      <c r="C81" s="595" t="s">
        <v>31458</v>
      </c>
      <c r="D81" s="308" t="s">
        <v>27</v>
      </c>
      <c r="E81" s="704"/>
      <c r="F81" s="703"/>
      <c r="G81" s="1830"/>
      <c r="H81" s="1830"/>
      <c r="I81" s="1830"/>
      <c r="J81" s="1830"/>
    </row>
    <row r="82" spans="2:12" ht="29.25" thickBot="1">
      <c r="C82" s="595" t="s">
        <v>31460</v>
      </c>
      <c r="D82" s="308" t="s">
        <v>27</v>
      </c>
      <c r="E82" s="704"/>
      <c r="F82" s="703"/>
      <c r="G82" s="1830"/>
      <c r="H82" s="1830"/>
      <c r="I82" s="1830"/>
      <c r="J82" s="1830"/>
    </row>
    <row r="83" spans="2:12" ht="29.25" thickBot="1">
      <c r="C83" s="595" t="s">
        <v>31459</v>
      </c>
      <c r="D83" s="308" t="s">
        <v>27</v>
      </c>
      <c r="E83" s="704"/>
      <c r="F83" s="703"/>
      <c r="G83" s="1830"/>
      <c r="H83" s="1830"/>
      <c r="I83" s="1830"/>
      <c r="J83" s="1830"/>
      <c r="K83" s="1013"/>
    </row>
    <row r="84" spans="2:12" ht="29.25" thickBot="1">
      <c r="C84" s="595" t="s">
        <v>31461</v>
      </c>
      <c r="D84" s="308" t="s">
        <v>27</v>
      </c>
      <c r="E84" s="704"/>
      <c r="F84" s="703"/>
      <c r="G84" s="1830"/>
      <c r="H84" s="1830"/>
      <c r="I84" s="1830"/>
      <c r="J84" s="1830"/>
      <c r="K84" s="1013"/>
    </row>
    <row r="85" spans="2:12" ht="17.25" thickBot="1">
      <c r="C85" s="313" t="s">
        <v>30520</v>
      </c>
      <c r="D85" s="3299" t="s">
        <v>27</v>
      </c>
      <c r="E85" s="2729">
        <f>+Dati_Anni_precedenti!E45</f>
        <v>0</v>
      </c>
      <c r="F85" s="3297">
        <f>+Dati_Anni_precedenti!F45</f>
        <v>0</v>
      </c>
      <c r="G85" s="1830"/>
      <c r="H85" s="1830"/>
      <c r="I85" s="1830"/>
      <c r="J85" s="1830"/>
      <c r="K85" s="1013"/>
    </row>
    <row r="86" spans="2:12" ht="28.15" customHeight="1" thickBot="1">
      <c r="C86" s="3300" t="s">
        <v>30521</v>
      </c>
      <c r="D86" s="3301" t="s">
        <v>22743</v>
      </c>
      <c r="E86" s="615"/>
      <c r="F86" s="1407"/>
    </row>
    <row r="87" spans="2:12" ht="17.25" thickBot="1">
      <c r="B87" s="3280" t="s">
        <v>31236</v>
      </c>
      <c r="C87" s="3295"/>
      <c r="G87" s="3276" t="s">
        <v>29769</v>
      </c>
      <c r="H87" s="3276" t="s">
        <v>29770</v>
      </c>
      <c r="I87" s="3276" t="s">
        <v>29771</v>
      </c>
      <c r="J87" s="3276" t="s">
        <v>29772</v>
      </c>
    </row>
    <row r="88" spans="2:12" ht="26.25" thickBot="1">
      <c r="B88"/>
      <c r="C88" s="595" t="s">
        <v>31231</v>
      </c>
      <c r="D88" s="3299" t="s">
        <v>31232</v>
      </c>
      <c r="E88" s="2729"/>
      <c r="F88" s="3297"/>
      <c r="G88" s="1830"/>
      <c r="H88" s="1830"/>
      <c r="I88" s="1830"/>
      <c r="J88" s="1830"/>
    </row>
    <row r="89" spans="2:12" ht="26.25" thickBot="1">
      <c r="B89"/>
      <c r="C89" s="595" t="s">
        <v>31235</v>
      </c>
      <c r="D89" s="3299" t="s">
        <v>31232</v>
      </c>
      <c r="E89" s="2729"/>
      <c r="F89" s="3297"/>
      <c r="G89" s="1830"/>
      <c r="H89" s="1830"/>
      <c r="I89" s="1830"/>
      <c r="J89" s="1830"/>
    </row>
    <row r="90" spans="2:12" ht="17.25" thickBot="1">
      <c r="B90"/>
      <c r="C90" s="595" t="s">
        <v>31248</v>
      </c>
      <c r="D90" s="3299" t="s">
        <v>31232</v>
      </c>
      <c r="E90" s="2729"/>
      <c r="F90" s="3297"/>
      <c r="G90" s="3297">
        <f ca="1">+ERC!E220</f>
        <v>0</v>
      </c>
      <c r="H90" s="3297">
        <f ca="1">+ERC!F220</f>
        <v>0</v>
      </c>
      <c r="I90" s="3297">
        <f ca="1">+ERC!G220</f>
        <v>0</v>
      </c>
      <c r="J90" s="3297">
        <f ca="1">+ERC!H220</f>
        <v>0</v>
      </c>
    </row>
    <row r="91" spans="2:12" ht="17.25" thickBot="1">
      <c r="B91"/>
      <c r="C91" s="313" t="s">
        <v>31249</v>
      </c>
      <c r="D91" s="3299" t="s">
        <v>31232</v>
      </c>
      <c r="E91" s="2729"/>
      <c r="F91" s="3297"/>
      <c r="G91" s="1830"/>
      <c r="H91" s="1830"/>
      <c r="I91" s="1830"/>
      <c r="J91" s="1830"/>
    </row>
    <row r="93" spans="2:12" ht="23.25">
      <c r="B93" s="300" t="s">
        <v>27082</v>
      </c>
      <c r="C93" s="3275"/>
      <c r="D93" s="3271"/>
      <c r="G93" s="3281"/>
      <c r="H93" s="3282"/>
      <c r="I93" s="3282"/>
      <c r="J93" s="3282"/>
    </row>
    <row r="94" spans="2:12">
      <c r="B94" s="3280" t="s">
        <v>26576</v>
      </c>
      <c r="C94" s="3275"/>
      <c r="D94" s="3271"/>
      <c r="E94" s="3276" t="s">
        <v>29767</v>
      </c>
      <c r="F94" s="3276" t="s">
        <v>29768</v>
      </c>
      <c r="G94" s="3281"/>
      <c r="H94" s="3282"/>
      <c r="I94" s="3282"/>
      <c r="J94" s="3282"/>
      <c r="L94" s="3276"/>
    </row>
    <row r="95" spans="2:12">
      <c r="C95" s="315" t="s">
        <v>26577</v>
      </c>
      <c r="D95" s="315" t="s">
        <v>26581</v>
      </c>
      <c r="E95" s="202"/>
      <c r="F95" s="203"/>
      <c r="G95" s="3281"/>
      <c r="H95" s="3282"/>
      <c r="I95" s="3282"/>
      <c r="J95" s="3282"/>
    </row>
    <row r="96" spans="2:12">
      <c r="C96" s="315" t="s">
        <v>15948</v>
      </c>
      <c r="D96" s="315" t="s">
        <v>26581</v>
      </c>
      <c r="E96" s="202"/>
      <c r="F96" s="203"/>
      <c r="G96" s="3281"/>
      <c r="H96" s="3282"/>
      <c r="I96" s="3282"/>
      <c r="J96" s="3282"/>
    </row>
    <row r="97" spans="2:12">
      <c r="C97" s="315" t="s">
        <v>26578</v>
      </c>
      <c r="D97" s="315" t="s">
        <v>26581</v>
      </c>
      <c r="E97" s="202"/>
      <c r="F97" s="203"/>
      <c r="G97" s="3281"/>
      <c r="H97" s="3282"/>
      <c r="I97" s="3282"/>
      <c r="J97" s="3282"/>
    </row>
    <row r="98" spans="2:12">
      <c r="C98" s="315" t="s">
        <v>26579</v>
      </c>
      <c r="D98" s="315" t="s">
        <v>26581</v>
      </c>
      <c r="E98" s="202"/>
      <c r="F98" s="203"/>
      <c r="G98" s="3281"/>
      <c r="H98" s="3282"/>
      <c r="I98" s="3282"/>
      <c r="J98" s="3282"/>
    </row>
    <row r="99" spans="2:12">
      <c r="C99" s="315" t="s">
        <v>26580</v>
      </c>
      <c r="D99" s="315" t="s">
        <v>26581</v>
      </c>
      <c r="E99" s="202"/>
      <c r="F99" s="203"/>
      <c r="G99" s="3281"/>
      <c r="H99" s="3282"/>
      <c r="I99" s="3282"/>
      <c r="J99" s="3282"/>
    </row>
    <row r="100" spans="2:12">
      <c r="B100" s="3280" t="s">
        <v>26582</v>
      </c>
      <c r="C100" s="3275"/>
      <c r="D100" s="3271"/>
      <c r="E100" s="3276" t="s">
        <v>29767</v>
      </c>
      <c r="F100" s="3276" t="s">
        <v>29768</v>
      </c>
      <c r="G100" s="3281"/>
      <c r="H100" s="3282"/>
      <c r="I100" s="3282"/>
      <c r="J100" s="3282"/>
      <c r="L100" s="3276"/>
    </row>
    <row r="101" spans="2:12">
      <c r="C101" s="315" t="s">
        <v>26577</v>
      </c>
      <c r="D101" s="315" t="s">
        <v>27</v>
      </c>
      <c r="E101" s="202"/>
      <c r="F101" s="203"/>
      <c r="G101" s="3281"/>
      <c r="H101" s="3282"/>
      <c r="I101" s="3282"/>
      <c r="J101" s="3282"/>
    </row>
    <row r="102" spans="2:12">
      <c r="C102" s="315" t="s">
        <v>15948</v>
      </c>
      <c r="D102" s="315" t="s">
        <v>27</v>
      </c>
      <c r="E102" s="202"/>
      <c r="F102" s="203"/>
      <c r="G102" s="3281"/>
      <c r="H102" s="3282"/>
      <c r="I102" s="3282"/>
      <c r="J102" s="3282"/>
    </row>
    <row r="103" spans="2:12">
      <c r="C103" s="315" t="s">
        <v>26578</v>
      </c>
      <c r="D103" s="315" t="s">
        <v>27</v>
      </c>
      <c r="E103" s="202"/>
      <c r="F103" s="203"/>
      <c r="G103" s="3281"/>
      <c r="H103" s="3282"/>
      <c r="I103" s="3282"/>
      <c r="J103" s="3282"/>
    </row>
    <row r="104" spans="2:12">
      <c r="C104" s="315" t="s">
        <v>26579</v>
      </c>
      <c r="D104" s="315" t="s">
        <v>27</v>
      </c>
      <c r="E104" s="202"/>
      <c r="F104" s="203"/>
      <c r="G104" s="3281"/>
      <c r="H104" s="3282"/>
      <c r="I104" s="3282"/>
      <c r="J104" s="3282"/>
    </row>
    <row r="105" spans="2:12">
      <c r="C105" s="315" t="s">
        <v>26580</v>
      </c>
      <c r="D105" s="315" t="s">
        <v>27</v>
      </c>
      <c r="E105" s="202"/>
      <c r="F105" s="203"/>
      <c r="G105" s="3281"/>
      <c r="H105" s="3282"/>
      <c r="I105" s="3282"/>
      <c r="J105" s="3282"/>
    </row>
    <row r="106" spans="2:12">
      <c r="B106" s="3280" t="s">
        <v>29582</v>
      </c>
      <c r="C106" s="3275"/>
      <c r="D106" s="3271"/>
      <c r="E106" s="3276" t="s">
        <v>29767</v>
      </c>
      <c r="F106" s="3276" t="s">
        <v>29768</v>
      </c>
      <c r="G106" s="3281"/>
      <c r="H106" s="3282"/>
      <c r="I106" s="3282"/>
      <c r="J106" s="3282"/>
      <c r="L106" s="3276"/>
    </row>
    <row r="107" spans="2:12">
      <c r="C107" s="315" t="s">
        <v>26583</v>
      </c>
      <c r="D107" s="315" t="s">
        <v>27</v>
      </c>
      <c r="E107" s="202"/>
      <c r="F107" s="203"/>
      <c r="G107" s="3281"/>
      <c r="H107" s="3282"/>
      <c r="I107" s="3282"/>
      <c r="J107" s="3282"/>
    </row>
  </sheetData>
  <sheetProtection algorithmName="SHA-512" hashValue="kvSfKw5n6f43+cREkesSQH3C/5zaI6VvicUGHYLsHbPxWOzSvKf1fPZi2HlF3ZDJ0tiP8Y1WYF5yUAsz3fcJuw==" saltValue="FHi7uAorHcep8sSj4vaiCw==" spinCount="100000" sheet="1" objects="1" scenarios="1"/>
  <customSheetViews>
    <customSheetView guid="{849F61E1-F6D3-48F4-A6FF-68F8FE186D80}" scale="85" showGridLines="0" hiddenColumns="1" topLeftCell="A31">
      <selection activeCell="I11" sqref="I11"/>
      <pageMargins left="0.7" right="0.7" top="0.75" bottom="0.75" header="0.3" footer="0.3"/>
      <pageSetup paperSize="9" orientation="portrait" verticalDpi="300" r:id="rId1"/>
    </customSheetView>
    <customSheetView guid="{1E1889AA-9C00-49BF-A07E-295053EABBEF}" scale="85" showGridLines="0">
      <pane xSplit="4" ySplit="4" topLeftCell="E5" activePane="bottomRight" state="frozen"/>
      <selection pane="bottomRight"/>
      <pageMargins left="0.7" right="0.7" top="0.75" bottom="0.75" header="0.3" footer="0.3"/>
      <pageSetup paperSize="9" orientation="portrait" verticalDpi="300" r:id="rId2"/>
    </customSheetView>
    <customSheetView guid="{83029BA9-344F-4783-B8F2-6704FB40A582}" scale="85" showGridLines="0" hiddenColumns="1">
      <selection activeCell="I11" sqref="I11"/>
      <pageMargins left="0.7" right="0.7" top="0.75" bottom="0.75" header="0.3" footer="0.3"/>
      <pageSetup paperSize="9" orientation="portrait" verticalDpi="300" r:id="rId3"/>
    </customSheetView>
  </customSheetViews>
  <phoneticPr fontId="341" type="noConversion"/>
  <dataValidations count="4">
    <dataValidation type="list" allowBlank="1" showInputMessage="1" showErrorMessage="1" sqref="E67 F86" xr:uid="{F824A1C8-98E7-4E3C-AE10-852A6E3C61BF}">
      <formula1>si_no</formula1>
    </dataValidation>
    <dataValidation type="list" allowBlank="1" showInputMessage="1" showErrorMessage="1" sqref="E86 E34" xr:uid="{3A66FFEF-4DBE-4284-8F22-CCD7099DC7A9}">
      <formula1>"SI,NO"</formula1>
    </dataValidation>
    <dataValidation type="decimal" operator="greaterThanOrEqual" allowBlank="1" showInputMessage="1" showErrorMessage="1" sqref="G78:J85 G70:J70 G88:J91" xr:uid="{17EF0B01-438A-450B-A76D-DBCCBA44473B}">
      <formula1>0</formula1>
    </dataValidation>
    <dataValidation type="decimal" operator="lessThanOrEqual" allowBlank="1" showInputMessage="1" showErrorMessage="1" sqref="G71:J71" xr:uid="{E30F8260-369D-4BAD-BEE4-CA97DBEF48AF}">
      <formula1>G70</formula1>
    </dataValidation>
  </dataValidations>
  <pageMargins left="0.7" right="0.7" top="0.75" bottom="0.75" header="0.3" footer="0.3"/>
  <pageSetup paperSize="9" orientation="portrait" verticalDpi="300" r:id="rId4"/>
  <drawing r:id="rId5"/>
  <legacyDrawing r:id="rId6"/>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A858D-F188-4C5B-A483-4C243569A99F}">
  <sheetPr codeName="Foglio55">
    <tabColor rgb="FFC5D9F1"/>
  </sheetPr>
  <dimension ref="A1:K8"/>
  <sheetViews>
    <sheetView showGridLines="0" zoomScale="85" zoomScaleNormal="85" workbookViewId="0"/>
  </sheetViews>
  <sheetFormatPr defaultColWidth="9.42578125" defaultRowHeight="15"/>
  <cols>
    <col min="1" max="1" width="6.5703125" customWidth="1"/>
    <col min="2" max="2" width="45.5703125" style="7" customWidth="1"/>
    <col min="3" max="3" width="19.42578125" bestFit="1" customWidth="1"/>
    <col min="4" max="5" width="18.5703125" style="1526" customWidth="1"/>
    <col min="6" max="7" width="20.42578125" customWidth="1"/>
    <col min="8" max="8" width="18.5703125" style="7" customWidth="1"/>
    <col min="9" max="9" width="18.5703125" style="1524" customWidth="1"/>
    <col min="10" max="11" width="18.5703125" style="7" customWidth="1"/>
    <col min="12" max="12" width="18.5703125" customWidth="1"/>
    <col min="13" max="15" width="15.5703125" customWidth="1"/>
  </cols>
  <sheetData>
    <row r="1" spans="1:11" ht="23.25">
      <c r="A1" s="1588"/>
      <c r="B1" s="1520" t="s">
        <v>29628</v>
      </c>
    </row>
    <row r="2" spans="1:11" ht="15" customHeight="1"/>
    <row r="3" spans="1:11" ht="15" customHeight="1"/>
    <row r="4" spans="1:11" ht="15" customHeight="1"/>
    <row r="5" spans="1:11" ht="30" customHeight="1"/>
    <row r="6" spans="1:11" ht="27" customHeight="1"/>
    <row r="7" spans="1:11" ht="38.25">
      <c r="A7" s="798" t="s">
        <v>22741</v>
      </c>
      <c r="B7" s="1521" t="s">
        <v>29583</v>
      </c>
      <c r="C7" s="1442" t="s">
        <v>29584</v>
      </c>
      <c r="D7" s="1527" t="s">
        <v>29585</v>
      </c>
      <c r="E7" s="1528" t="s">
        <v>29586</v>
      </c>
      <c r="F7" s="799" t="s">
        <v>29587</v>
      </c>
      <c r="G7" s="1878" t="s">
        <v>30461</v>
      </c>
      <c r="H7" s="1522" t="s">
        <v>30496</v>
      </c>
      <c r="I7" s="1525" t="s">
        <v>30497</v>
      </c>
      <c r="J7" s="1523" t="s">
        <v>30498</v>
      </c>
      <c r="K7" s="1523" t="s">
        <v>30499</v>
      </c>
    </row>
    <row r="8" spans="1:11" ht="25.35" customHeight="1">
      <c r="A8" s="323">
        <f>+ROW()-7</f>
        <v>1</v>
      </c>
      <c r="B8" s="1444"/>
      <c r="C8" s="600"/>
      <c r="D8" s="1443"/>
      <c r="E8" s="1443"/>
      <c r="F8" s="1449"/>
      <c r="G8" s="1879"/>
      <c r="H8" s="1444"/>
      <c r="I8" s="1449"/>
      <c r="J8" s="1444"/>
      <c r="K8" s="1444"/>
    </row>
  </sheetData>
  <sheetProtection algorithmName="SHA-512" hashValue="QrAD+sqvs1HR+BnmxSfMGlW/Tr3F1Q+kXRSEjln0uDGWlzOsA45pJamKtIWAv6Ris7DUsnGSLggO3a8yzpekdg==" saltValue="coC1lIqJ/VBk596HK6WvJQ==" spinCount="100000" sheet="1" objects="1" scenarios="1"/>
  <dataValidations count="5">
    <dataValidation type="list" allowBlank="1" showInputMessage="1" showErrorMessage="1" sqref="F8" xr:uid="{4A15DAC4-D09B-441E-BABF-D4CBAE49F1AA}">
      <formula1>"Fideiussione, nessuna, altro"</formula1>
    </dataValidation>
    <dataValidation type="list" allowBlank="1" showInputMessage="1" showErrorMessage="1" sqref="C8" xr:uid="{A58CB78E-7468-4CA6-8196-F2F483DE9B92}">
      <formula1>"Banche,Intermediari finanziari,CdP, BEI, società capogruppo, altro"</formula1>
    </dataValidation>
    <dataValidation type="decimal" operator="greaterThan" allowBlank="1" showInputMessage="1" showErrorMessage="1" sqref="J8:K8 H8 B8" xr:uid="{1593B385-BFDF-47F1-BFD3-8315CB1B1989}">
      <formula1>0</formula1>
    </dataValidation>
    <dataValidation type="decimal" allowBlank="1" showInputMessage="1" showErrorMessage="1" sqref="I8" xr:uid="{70E4D0F9-AFA2-4008-8B52-4D28CD7D24A9}">
      <formula1>0</formula1>
      <formula2>1</formula2>
    </dataValidation>
    <dataValidation type="list" allowBlank="1" showInputMessage="1" showErrorMessage="1" sqref="G8" xr:uid="{AAF5FE6E-E6DA-462C-9D22-A5922FD4E92D}">
      <formula1>"2024,2025"</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2">
        <x14:dataValidation type="date" operator="greaterThan" allowBlank="1" showInputMessage="1" showErrorMessage="1" errorTitle="Errore nel formato" error="rispettare il formato richiesto_x000a_(gg/mm/aaaa)" promptTitle="gg/mm/aaaa" xr:uid="{77FE6D62-D768-4027-8201-DAE090B7FC88}">
          <x14:formula1>
            <xm:f>Affidamento!E3</xm:f>
          </x14:formula1>
          <xm:sqref>D8</xm:sqref>
        </x14:dataValidation>
        <x14:dataValidation type="date" operator="greaterThan" allowBlank="1" showInputMessage="1" showErrorMessage="1" errorTitle="Errore nel formato" error="rispettare il formato richiesto_x000a_(gg/mm/aaaa)" promptTitle="gg/mm/aaaa" xr:uid="{B8174C6D-E4D5-48C2-BD7E-CEFE24085508}">
          <x14:formula1>
            <xm:f>Affidamento!E3</xm:f>
          </x14:formula1>
          <xm:sqref>E8</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glio40">
    <tabColor rgb="FFC5D9F1"/>
  </sheetPr>
  <dimension ref="A1:Q8"/>
  <sheetViews>
    <sheetView showGridLines="0" zoomScale="85" zoomScaleNormal="85" workbookViewId="0">
      <pane ySplit="7" topLeftCell="A8" activePane="bottomLeft" state="frozen"/>
      <selection pane="bottomLeft"/>
    </sheetView>
  </sheetViews>
  <sheetFormatPr defaultColWidth="9.42578125" defaultRowHeight="12.75"/>
  <cols>
    <col min="1" max="1" width="6.5703125" style="793" customWidth="1"/>
    <col min="2" max="2" width="18.5703125" style="10" customWidth="1"/>
    <col min="3" max="3" width="45.5703125" style="10" customWidth="1"/>
    <col min="4" max="4" width="18.5703125" style="10" customWidth="1"/>
    <col min="5" max="6" width="18.5703125" style="806" customWidth="1"/>
    <col min="7" max="8" width="18.5703125" style="10" customWidth="1"/>
    <col min="9" max="10" width="8" style="10" customWidth="1"/>
    <col min="11" max="11" width="19.5703125" style="10" bestFit="1" customWidth="1"/>
    <col min="12" max="12" width="17.5703125" style="797" bestFit="1" customWidth="1"/>
    <col min="13" max="13" width="37.42578125" style="807" customWidth="1"/>
    <col min="14" max="14" width="15.5703125" style="10" hidden="1" customWidth="1"/>
    <col min="15" max="15" width="18" style="10" customWidth="1"/>
    <col min="16" max="17" width="15.5703125" style="10" customWidth="1"/>
    <col min="18" max="16384" width="9.42578125" style="10"/>
  </cols>
  <sheetData>
    <row r="1" spans="1:17" s="254" customFormat="1" ht="25.35" customHeight="1">
      <c r="A1" s="1588"/>
      <c r="B1" s="300" t="s">
        <v>24994</v>
      </c>
      <c r="C1" s="55"/>
      <c r="D1" s="55"/>
      <c r="E1" s="790"/>
      <c r="F1" s="790"/>
      <c r="G1" s="791"/>
      <c r="H1" s="791"/>
      <c r="I1" s="791"/>
      <c r="J1" s="791"/>
      <c r="K1" s="791"/>
      <c r="L1" s="791"/>
      <c r="M1" s="792"/>
      <c r="O1" s="55"/>
      <c r="P1" s="55"/>
    </row>
    <row r="2" spans="1:17" s="254" customFormat="1" ht="15" customHeight="1">
      <c r="A2" s="793"/>
      <c r="B2" s="55"/>
      <c r="C2" s="55"/>
      <c r="D2" s="55"/>
      <c r="E2" s="790"/>
      <c r="F2" s="790"/>
      <c r="G2" s="791"/>
      <c r="H2" s="791"/>
      <c r="I2" s="791"/>
      <c r="J2" s="791"/>
      <c r="K2" s="791"/>
      <c r="L2" s="791"/>
      <c r="M2" s="790"/>
      <c r="O2" s="55"/>
      <c r="P2" s="55"/>
    </row>
    <row r="3" spans="1:17" s="254" customFormat="1" ht="15" customHeight="1">
      <c r="A3" s="793"/>
      <c r="B3" s="55"/>
      <c r="C3" s="794" t="s">
        <v>24733</v>
      </c>
      <c r="D3" s="55"/>
      <c r="E3" s="790"/>
      <c r="F3" s="790"/>
      <c r="G3" s="791"/>
      <c r="H3" s="791"/>
      <c r="I3" s="791"/>
      <c r="J3" s="791"/>
      <c r="K3" s="791"/>
      <c r="L3" s="791"/>
      <c r="M3" s="790"/>
      <c r="O3" s="306" t="s">
        <v>25117</v>
      </c>
      <c r="P3" s="1049"/>
      <c r="Q3" s="1394"/>
    </row>
    <row r="4" spans="1:17" s="254" customFormat="1" ht="15" customHeight="1">
      <c r="A4" s="793"/>
      <c r="B4" s="795"/>
      <c r="C4" s="75"/>
      <c r="D4" s="796"/>
      <c r="E4" s="790"/>
      <c r="F4" s="790"/>
      <c r="G4" s="791"/>
      <c r="H4" s="791"/>
      <c r="I4" s="791"/>
      <c r="J4" s="791"/>
      <c r="K4" s="791"/>
      <c r="L4" s="791"/>
      <c r="M4" s="790"/>
      <c r="O4" s="306" t="b">
        <f t="array" aca="1" ref="O4" ca="1">+OR(O5:Q5)</f>
        <v>0</v>
      </c>
      <c r="P4" s="1049"/>
      <c r="Q4" s="1394"/>
    </row>
    <row r="5" spans="1:17" s="254" customFormat="1" ht="30" customHeight="1">
      <c r="A5" s="793"/>
      <c r="B5" s="437"/>
      <c r="C5" s="55"/>
      <c r="D5" s="55"/>
      <c r="E5" s="790"/>
      <c r="F5" s="791"/>
      <c r="G5" s="791"/>
      <c r="H5" s="791"/>
      <c r="I5" s="791"/>
      <c r="J5" s="791"/>
      <c r="K5" s="791"/>
      <c r="L5" s="791"/>
      <c r="M5" s="790"/>
      <c r="O5" s="1046" t="b">
        <f t="array" aca="1" ref="O5" ca="1">OR(INDEX(Elenco_Proprietari,0,15)=TRUE)</f>
        <v>0</v>
      </c>
      <c r="P5" s="1046" t="b">
        <f t="array" aca="1" ref="P5" ca="1">OR(INDEX(Elenco_Proprietari,0,16))</f>
        <v>0</v>
      </c>
      <c r="Q5" s="1046" t="b">
        <f t="array" aca="1" ref="Q5" ca="1">OR(INDEX(Elenco_Proprietari,0,17))</f>
        <v>0</v>
      </c>
    </row>
    <row r="6" spans="1:17" s="254" customFormat="1" ht="27" customHeight="1">
      <c r="A6" s="793"/>
      <c r="B6" s="437"/>
      <c r="C6" s="55"/>
      <c r="D6" s="55"/>
      <c r="E6" s="790"/>
      <c r="F6" s="790"/>
      <c r="G6" s="796"/>
      <c r="H6" s="797"/>
      <c r="I6" s="791"/>
      <c r="J6" s="791"/>
      <c r="K6" s="791"/>
      <c r="L6" s="797"/>
      <c r="M6" s="790"/>
      <c r="N6" s="10"/>
      <c r="O6" s="1049"/>
      <c r="P6" s="1049"/>
      <c r="Q6" s="1394"/>
    </row>
    <row r="7" spans="1:17" s="802" customFormat="1" ht="52.35" customHeight="1">
      <c r="A7" s="547" t="s">
        <v>24881</v>
      </c>
      <c r="B7" s="798" t="s">
        <v>24863</v>
      </c>
      <c r="C7" s="798" t="s">
        <v>24805</v>
      </c>
      <c r="D7" s="798" t="s">
        <v>22691</v>
      </c>
      <c r="E7" s="799" t="s">
        <v>22899</v>
      </c>
      <c r="F7" s="799" t="s">
        <v>22900</v>
      </c>
      <c r="G7" s="798" t="s">
        <v>24797</v>
      </c>
      <c r="H7" s="798" t="s">
        <v>24874</v>
      </c>
      <c r="I7" s="798" t="s">
        <v>24866</v>
      </c>
      <c r="J7" s="798" t="s">
        <v>24864</v>
      </c>
      <c r="K7" s="798" t="s">
        <v>24871</v>
      </c>
      <c r="L7" s="798" t="s">
        <v>24865</v>
      </c>
      <c r="M7" s="800" t="s">
        <v>24867</v>
      </c>
      <c r="N7" s="801" t="s">
        <v>24996</v>
      </c>
      <c r="O7" s="1396" t="s">
        <v>26545</v>
      </c>
      <c r="P7" s="1396" t="s">
        <v>26546</v>
      </c>
      <c r="Q7" s="1396" t="s">
        <v>26547</v>
      </c>
    </row>
    <row r="8" spans="1:17" s="254" customFormat="1" ht="30" customHeight="1">
      <c r="A8" s="532">
        <f>+ROW(A8)-7</f>
        <v>1</v>
      </c>
      <c r="B8" s="323" t="str">
        <f>idato &amp; "_" &amp; idgestore &amp; "-" &amp; IF($D8="Comune",$F8,"") &amp; "-" &amp;IF($D8="Comune","",$E8)</f>
        <v>_--</v>
      </c>
      <c r="C8" s="600"/>
      <c r="D8" s="600"/>
      <c r="E8" s="601"/>
      <c r="F8" s="601"/>
      <c r="G8" s="480"/>
      <c r="H8" s="480"/>
      <c r="I8" s="808" t="s">
        <v>137</v>
      </c>
      <c r="J8" s="803"/>
      <c r="K8" s="804" t="str">
        <f>B8</f>
        <v>_--</v>
      </c>
      <c r="L8" s="324" t="str">
        <f>IF(I8="SI",VLOOKUP(M8,C:K,9,0),K8)</f>
        <v>_--</v>
      </c>
      <c r="M8" s="1571" t="s">
        <v>29805</v>
      </c>
      <c r="N8" s="805">
        <f>+IF(H8="SI",L8,0)</f>
        <v>0</v>
      </c>
      <c r="O8" s="1395" t="b">
        <f>IF(COUNTIF(B:B,B8)&gt;1,IF(COUNTA(C8:H8)=0,FALSE,TRUE),FALSE)</f>
        <v>0</v>
      </c>
      <c r="P8" s="1395" t="b">
        <f>IF(COUNTA(E8:F8)&lt;1,IF(COUNTA(C8:H8)=0,FALSE,TRUE),FALSE)</f>
        <v>0</v>
      </c>
      <c r="Q8" s="1395" t="b">
        <f>IF(COUNTA(D8)&lt;1,IF(COUNTA(C8:H8)=0,FALSE,TRUE),FALSE)</f>
        <v>0</v>
      </c>
    </row>
  </sheetData>
  <sheetProtection algorithmName="SHA-512" hashValue="Y2LXDvXWxBbTxPo/Sg5HBJVMV/RGbSkvRVDATMrRnx+ctDNahmsiXAz8A18AxFqna92jDR5tKwVQPTF+lUpb2A==" saltValue="BrTZ1+8Qhq6NVXknDZUM6g==" spinCount="100000" sheet="1" objects="1" scenarios="1"/>
  <customSheetViews>
    <customSheetView guid="{849F61E1-F6D3-48F4-A6FF-68F8FE186D80}" scale="85" showGridLines="0" hiddenRows="1" hiddenColumns="1">
      <pane ySplit="7" topLeftCell="A9" activePane="bottomLeft" state="frozen"/>
      <selection pane="bottomLeft" activeCell="C9" sqref="C9"/>
      <pageMargins left="0.7" right="0.7" top="0.75" bottom="0.75" header="0.3" footer="0.3"/>
      <pageSetup paperSize="9" orientation="portrait" verticalDpi="300" r:id="rId1"/>
    </customSheetView>
    <customSheetView guid="{1E1889AA-9C00-49BF-A07E-295053EABBEF}" scale="85" showGridLines="0">
      <pageMargins left="0.7" right="0.7" top="0.75" bottom="0.75" header="0.3" footer="0.3"/>
      <pageSetup paperSize="9" orientation="portrait" verticalDpi="300" r:id="rId2"/>
    </customSheetView>
    <customSheetView guid="{83029BA9-344F-4783-B8F2-6704FB40A582}" scale="85" showGridLines="0" hiddenRows="1" hiddenColumns="1">
      <pane ySplit="7" topLeftCell="A8" activePane="bottomLeft" state="frozen"/>
      <selection pane="bottomLeft" activeCell="C9" sqref="C9"/>
      <pageMargins left="0.7" right="0.7" top="0.75" bottom="0.75" header="0.3" footer="0.3"/>
      <pageSetup paperSize="9" orientation="portrait" verticalDpi="300" r:id="rId3"/>
    </customSheetView>
  </customSheetViews>
  <conditionalFormatting sqref="L8:M8">
    <cfRule type="expression" dxfId="153" priority="10940">
      <formula>$I8&lt;&gt;"SI"</formula>
    </cfRule>
  </conditionalFormatting>
  <dataValidations count="5">
    <dataValidation type="textLength" operator="equal" allowBlank="1" showInputMessage="1" showErrorMessage="1" sqref="E8" xr:uid="{00000000-0002-0000-0500-000000000000}">
      <formula1>11</formula1>
    </dataValidation>
    <dataValidation type="textLength" operator="equal" allowBlank="1" showInputMessage="1" showErrorMessage="1" sqref="F8" xr:uid="{00000000-0002-0000-0500-000001000000}">
      <formula1>6</formula1>
    </dataValidation>
    <dataValidation type="list" allowBlank="1" showInputMessage="1" showErrorMessage="1" sqref="D8" xr:uid="{00000000-0002-0000-0500-000002000000}">
      <formula1>Tipologia_Proprietario</formula1>
    </dataValidation>
    <dataValidation type="list" allowBlank="1" showInputMessage="1" showErrorMessage="1" sqref="G8:I8" xr:uid="{00000000-0002-0000-0500-000003000000}">
      <formula1>si_no</formula1>
    </dataValidation>
    <dataValidation type="list" allowBlank="1" showInputMessage="1" showErrorMessage="1" sqref="M8" xr:uid="{51D8EC80-AF8A-43CF-B936-074580A5274A}">
      <formula1>OFFSET($C$8,0,0,COUNTA($A:$A)-1,1)</formula1>
    </dataValidation>
  </dataValidations>
  <pageMargins left="0.7" right="0.7" top="0.75" bottom="0.75" header="0.3" footer="0.3"/>
  <pageSetup paperSize="9" orientation="portrait" verticalDpi="300" r:id="rId4"/>
  <drawing r:id="rId5"/>
  <legacyDrawing r:id="rId6"/>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oglio27">
    <tabColor rgb="FFC5D9F1"/>
  </sheetPr>
  <dimension ref="A1:AN8"/>
  <sheetViews>
    <sheetView showGridLines="0" zoomScale="85" zoomScaleNormal="85" workbookViewId="0">
      <pane ySplit="7" topLeftCell="A8" activePane="bottomLeft" state="frozen"/>
      <selection pane="bottomLeft"/>
    </sheetView>
  </sheetViews>
  <sheetFormatPr defaultColWidth="9.42578125" defaultRowHeight="15"/>
  <cols>
    <col min="1" max="1" width="6.5703125" customWidth="1"/>
    <col min="2" max="2" width="18.5703125" customWidth="1"/>
    <col min="3" max="3" width="45.5703125" customWidth="1"/>
    <col min="4" max="6" width="18.5703125" customWidth="1"/>
    <col min="7" max="14" width="16.5703125" customWidth="1"/>
    <col min="15" max="15" width="31.42578125" customWidth="1"/>
    <col min="16" max="21" width="16.5703125" customWidth="1"/>
    <col min="22" max="22" width="3.5703125" customWidth="1"/>
    <col min="23" max="28" width="15.5703125" customWidth="1"/>
    <col min="29" max="29" width="3.5703125" customWidth="1"/>
    <col min="30" max="35" width="15.5703125" customWidth="1"/>
    <col min="36" max="36" width="3.5703125" customWidth="1"/>
    <col min="37" max="37" width="19" style="1049" bestFit="1" customWidth="1"/>
  </cols>
  <sheetData>
    <row r="1" spans="1:40" s="254" customFormat="1" ht="25.35" customHeight="1">
      <c r="A1" s="482"/>
      <c r="B1" s="300" t="s">
        <v>24995</v>
      </c>
      <c r="C1" s="55"/>
      <c r="D1" s="55"/>
      <c r="E1" s="791"/>
      <c r="F1" s="791"/>
      <c r="G1" s="55"/>
      <c r="N1" s="55"/>
      <c r="O1" s="55"/>
      <c r="AK1" s="1394"/>
    </row>
    <row r="2" spans="1:40" s="254" customFormat="1" ht="15" customHeight="1">
      <c r="A2" s="55"/>
      <c r="B2" s="55"/>
      <c r="C2" s="55"/>
      <c r="D2" s="55"/>
      <c r="E2" s="791"/>
      <c r="F2" s="791"/>
      <c r="G2" s="55"/>
      <c r="N2" s="55"/>
      <c r="O2" s="55"/>
      <c r="AK2" s="1394"/>
    </row>
    <row r="3" spans="1:40" s="254" customFormat="1" ht="15" customHeight="1">
      <c r="A3" s="55"/>
      <c r="B3" s="791"/>
      <c r="C3" s="794" t="s">
        <v>29699</v>
      </c>
      <c r="D3" s="791"/>
      <c r="E3" s="791"/>
      <c r="F3" s="791"/>
      <c r="G3" s="10"/>
      <c r="H3" s="10"/>
      <c r="I3" s="10"/>
      <c r="J3" s="10"/>
      <c r="K3" s="10"/>
      <c r="L3" s="10"/>
      <c r="M3" s="10"/>
      <c r="N3" s="10"/>
      <c r="O3" s="10"/>
      <c r="P3" s="10"/>
      <c r="Q3" s="10"/>
      <c r="R3" s="10"/>
      <c r="S3" s="10"/>
      <c r="T3" s="10"/>
      <c r="U3" s="10"/>
      <c r="V3" s="10"/>
      <c r="AK3" s="1394"/>
    </row>
    <row r="4" spans="1:40" s="254" customFormat="1" ht="15" customHeight="1">
      <c r="A4" s="55"/>
      <c r="B4" s="437"/>
      <c r="C4" s="55"/>
      <c r="D4" s="55"/>
      <c r="E4" s="55"/>
      <c r="F4" s="791"/>
      <c r="G4" s="55"/>
      <c r="H4" s="3304"/>
      <c r="I4" s="3304"/>
      <c r="J4" s="3304"/>
      <c r="K4" s="3304"/>
      <c r="L4" s="3304"/>
      <c r="M4" s="3304"/>
      <c r="N4" s="55"/>
      <c r="O4" s="55"/>
      <c r="AK4" s="1046" t="s">
        <v>26549</v>
      </c>
      <c r="AN4" s="809"/>
    </row>
    <row r="5" spans="1:40" s="254" customFormat="1" ht="30" customHeight="1">
      <c r="A5" s="55"/>
      <c r="B5" s="55"/>
      <c r="C5" s="55"/>
      <c r="D5" s="55"/>
      <c r="E5" s="55"/>
      <c r="F5" s="55"/>
      <c r="G5" s="791"/>
      <c r="N5" s="791"/>
      <c r="O5" s="791"/>
      <c r="AK5" s="1046" t="b">
        <f t="array" aca="1" ref="AK5" ca="1">OR(INDEX(Corrispettivi_Proprietari,0,COLUMN($AK$8)-COLUMN($A$8)+1))</f>
        <v>0</v>
      </c>
    </row>
    <row r="6" spans="1:40" s="254" customFormat="1" ht="27" customHeight="1">
      <c r="A6" s="55"/>
      <c r="B6" s="55"/>
      <c r="C6" s="55"/>
      <c r="D6" s="28"/>
      <c r="E6" s="55"/>
      <c r="F6" s="55"/>
      <c r="G6" s="3305" t="s">
        <v>22689</v>
      </c>
      <c r="H6" s="3306"/>
      <c r="I6" s="3307"/>
      <c r="J6" s="3308"/>
      <c r="K6" s="3308"/>
      <c r="L6" s="3308"/>
      <c r="M6" s="3308"/>
      <c r="N6" s="3305" t="s">
        <v>22690</v>
      </c>
      <c r="O6" s="3306"/>
      <c r="P6" s="3307"/>
      <c r="Q6" s="3308"/>
      <c r="R6" s="3308"/>
      <c r="S6" s="3308"/>
      <c r="T6" s="3308"/>
      <c r="U6" s="3308"/>
      <c r="V6" s="10"/>
      <c r="W6" s="3309" t="s">
        <v>26548</v>
      </c>
      <c r="X6" s="3310"/>
      <c r="Y6" s="3310"/>
      <c r="Z6" s="3310"/>
      <c r="AA6" s="3310"/>
      <c r="AB6" s="3310"/>
      <c r="AD6" s="3309" t="s">
        <v>24877</v>
      </c>
      <c r="AE6" s="3311"/>
      <c r="AF6" s="3311"/>
      <c r="AG6" s="3311"/>
      <c r="AH6" s="3311"/>
      <c r="AI6" s="3311"/>
      <c r="AK6" s="1394"/>
    </row>
    <row r="7" spans="1:40" s="802" customFormat="1" ht="52.35" customHeight="1">
      <c r="A7" s="547" t="s">
        <v>24881</v>
      </c>
      <c r="B7" s="798" t="s">
        <v>24863</v>
      </c>
      <c r="C7" s="798" t="s">
        <v>24805</v>
      </c>
      <c r="D7" s="798" t="s">
        <v>22691</v>
      </c>
      <c r="E7" s="3312" t="s">
        <v>22899</v>
      </c>
      <c r="F7" s="3312" t="s">
        <v>22900</v>
      </c>
      <c r="G7" s="3313" t="s">
        <v>24972</v>
      </c>
      <c r="H7" s="3314" t="s">
        <v>30353</v>
      </c>
      <c r="I7" s="3314" t="s">
        <v>30354</v>
      </c>
      <c r="J7" s="3314" t="s">
        <v>30355</v>
      </c>
      <c r="K7" s="3314" t="s">
        <v>30356</v>
      </c>
      <c r="L7" s="3314" t="s">
        <v>30357</v>
      </c>
      <c r="M7" s="3315" t="s">
        <v>30358</v>
      </c>
      <c r="N7" s="3313" t="s">
        <v>24972</v>
      </c>
      <c r="O7" s="3314" t="s">
        <v>27123</v>
      </c>
      <c r="P7" s="3314" t="s">
        <v>30353</v>
      </c>
      <c r="Q7" s="3314" t="s">
        <v>30354</v>
      </c>
      <c r="R7" s="3314" t="s">
        <v>30355</v>
      </c>
      <c r="S7" s="3314" t="s">
        <v>30356</v>
      </c>
      <c r="T7" s="3315" t="s">
        <v>30357</v>
      </c>
      <c r="U7" s="3315" t="s">
        <v>30358</v>
      </c>
      <c r="V7" s="10"/>
      <c r="W7" s="3316" t="s">
        <v>30359</v>
      </c>
      <c r="X7" s="123" t="s">
        <v>30360</v>
      </c>
      <c r="Y7" s="3316" t="s">
        <v>30361</v>
      </c>
      <c r="Z7" s="123" t="s">
        <v>30362</v>
      </c>
      <c r="AA7" s="3316" t="s">
        <v>30363</v>
      </c>
      <c r="AB7" s="123" t="s">
        <v>30364</v>
      </c>
      <c r="AD7" s="3316" t="s">
        <v>30365</v>
      </c>
      <c r="AE7" s="3316" t="s">
        <v>30366</v>
      </c>
      <c r="AF7" s="3316" t="s">
        <v>30367</v>
      </c>
      <c r="AG7" s="3316" t="s">
        <v>30368</v>
      </c>
      <c r="AH7" s="3316" t="s">
        <v>30369</v>
      </c>
      <c r="AI7" s="3316" t="s">
        <v>30370</v>
      </c>
      <c r="AK7" s="3317" t="s">
        <v>26550</v>
      </c>
    </row>
    <row r="8" spans="1:40" ht="30" customHeight="1">
      <c r="A8" s="532">
        <f>+ROW(A8)-7</f>
        <v>1</v>
      </c>
      <c r="B8" s="323" t="str">
        <f>IFERROR(IF(VLOOKUP(C8,Soggetti_proprietari!C:K,9,0)=0,"",VLOOKUP(C8,Soggetti_proprietari!C:K,9,0)),"")</f>
        <v/>
      </c>
      <c r="C8" s="325"/>
      <c r="D8" s="326" t="str">
        <f>IFERROR(IF(VLOOKUP(C8,Soggetti_proprietari!C:K,2,0)=0,"",VLOOKUP(C8,Soggetti_proprietari!C:K,2,0)),"")</f>
        <v/>
      </c>
      <c r="E8" s="326" t="str">
        <f>IFERROR(IF(VLOOKUP(C8,Soggetti_proprietari!C:K,3,0)=0,"",VLOOKUP(C8,Soggetti_proprietari!C:K,3,0)),"")</f>
        <v/>
      </c>
      <c r="F8" s="326" t="str">
        <f>IFERROR(IF(VLOOKUP(C8,Soggetti_proprietari!C:K,4,0)=0,"",VLOOKUP(C8,Soggetti_proprietari!C:K,4,0)),"")</f>
        <v/>
      </c>
      <c r="G8" s="327"/>
      <c r="H8" s="3318"/>
      <c r="I8" s="3318"/>
      <c r="J8" s="481"/>
      <c r="K8" s="481"/>
      <c r="L8" s="481"/>
      <c r="M8" s="481"/>
      <c r="N8" s="327"/>
      <c r="O8" s="481"/>
      <c r="P8" s="3318"/>
      <c r="Q8" s="3318"/>
      <c r="R8" s="481"/>
      <c r="S8" s="481"/>
      <c r="T8" s="481"/>
      <c r="U8" s="481"/>
      <c r="W8" s="2734"/>
      <c r="X8" s="2734"/>
      <c r="Y8" s="1569">
        <f t="shared" ref="Y8:AB8" si="0">+IF(AND($G8&lt;=2023,$G8&lt;&gt;"",$D8&lt;&gt;"Altra società privata",$B8&lt;&gt;""),J8,0)</f>
        <v>0</v>
      </c>
      <c r="Z8" s="1569">
        <f t="shared" si="0"/>
        <v>0</v>
      </c>
      <c r="AA8" s="1569">
        <f t="shared" si="0"/>
        <v>0</v>
      </c>
      <c r="AB8" s="1569">
        <f t="shared" si="0"/>
        <v>0</v>
      </c>
      <c r="AC8" s="810"/>
      <c r="AD8" s="2734"/>
      <c r="AE8" s="2734"/>
      <c r="AF8" s="1569">
        <f t="shared" ref="AF8:AI8" si="1">+IF(AND($N8&lt;=2006,$N8&lt;&gt;"",$D8&lt;&gt;"Altra società privata",$B8&lt;&gt;""),R8,IF($O8="SI",R8,0))</f>
        <v>0</v>
      </c>
      <c r="AG8" s="1569">
        <f t="shared" si="1"/>
        <v>0</v>
      </c>
      <c r="AH8" s="1569">
        <f t="shared" si="1"/>
        <v>0</v>
      </c>
      <c r="AI8" s="1569">
        <f t="shared" si="1"/>
        <v>0</v>
      </c>
      <c r="AJ8" s="810"/>
      <c r="AK8" s="3319" t="b">
        <f>IF(COUNTIF(B:B,B8)&gt;1,IF(AND(G8="",J8="",K8="",N8="",R8="",S8="",C8=""),FALSE,TRUE),FALSE)</f>
        <v>0</v>
      </c>
    </row>
  </sheetData>
  <sheetProtection algorithmName="SHA-512" hashValue="UWuUfpBLnH51a5KQLeCbn1inJl9l7JLUW1XLfFiRojcauuyLtwEInGW2Udf3Tm71CwEvAd7l8h5GhrFofFrvIg==" saltValue="NvTNor8uUH2r/pxU8hwemw==" spinCount="100000" sheet="1" objects="1" scenarios="1"/>
  <dataConsolidate/>
  <customSheetViews>
    <customSheetView guid="{849F61E1-F6D3-48F4-A6FF-68F8FE186D80}" scale="85" showGridLines="0">
      <pane ySplit="7" topLeftCell="A8" activePane="bottomLeft" state="frozen"/>
      <selection pane="bottomLeft" activeCell="H8" sqref="H8"/>
      <pageMargins left="0.7" right="0.7" top="0.75" bottom="0.75" header="0.3" footer="0.3"/>
      <pageSetup paperSize="9" orientation="portrait" verticalDpi="300" r:id="rId1"/>
    </customSheetView>
    <customSheetView guid="{1E1889AA-9C00-49BF-A07E-295053EABBEF}" scale="85" showGridLines="0">
      <pageMargins left="0.7" right="0.7" top="0.75" bottom="0.75" header="0.3" footer="0.3"/>
      <pageSetup paperSize="9" orientation="portrait" verticalDpi="300" r:id="rId2"/>
    </customSheetView>
    <customSheetView guid="{83029BA9-344F-4783-B8F2-6704FB40A582}" scale="85" showGridLines="0">
      <pane ySplit="7" topLeftCell="A8" activePane="bottomLeft" state="frozen"/>
      <selection pane="bottomLeft" activeCell="H8" sqref="H8"/>
      <pageMargins left="0.7" right="0.7" top="0.75" bottom="0.75" header="0.3" footer="0.3"/>
      <pageSetup paperSize="9" orientation="portrait" verticalDpi="300" r:id="rId3"/>
    </customSheetView>
  </customSheetViews>
  <phoneticPr fontId="341" type="noConversion"/>
  <dataValidations count="4">
    <dataValidation type="list" allowBlank="1" showInputMessage="1" showErrorMessage="1" sqref="C8" xr:uid="{00000000-0002-0000-0600-000000000000}">
      <formula1>INDEX(Elenco_Proprietari,0,3)</formula1>
    </dataValidation>
    <dataValidation type="decimal" operator="greaterThanOrEqual" allowBlank="1" showInputMessage="1" showErrorMessage="1" sqref="H8:M8 P8:U8" xr:uid="{F315374E-5535-4AD8-A85F-03E83FB744A2}">
      <formula1>0</formula1>
    </dataValidation>
    <dataValidation type="whole" allowBlank="1" showInputMessage="1" showErrorMessage="1" sqref="G8 N8" xr:uid="{8199F3F3-A578-4ECB-BA8B-348D2616068A}">
      <formula1>0</formula1>
      <formula2>2023</formula2>
    </dataValidation>
    <dataValidation type="list" allowBlank="1" showInputMessage="1" showErrorMessage="1" sqref="O8" xr:uid="{ED638E59-EAB0-474E-8A71-4148134CE258}">
      <formula1>si_no</formula1>
    </dataValidation>
  </dataValidations>
  <pageMargins left="0.7" right="0.7" top="0.75" bottom="0.75" header="0.3" footer="0.3"/>
  <pageSetup paperSize="9" orientation="portrait" verticalDpi="300"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oglio39">
    <tabColor rgb="FFC5D9F1"/>
  </sheetPr>
  <dimension ref="A1:Q8"/>
  <sheetViews>
    <sheetView showGridLines="0" zoomScale="85" zoomScaleNormal="85" workbookViewId="0"/>
  </sheetViews>
  <sheetFormatPr defaultColWidth="9.42578125" defaultRowHeight="15"/>
  <cols>
    <col min="1" max="1" width="6.5703125" style="343" customWidth="1"/>
    <col min="2" max="2" width="18.5703125" customWidth="1"/>
    <col min="3" max="3" width="45.5703125" customWidth="1"/>
    <col min="4" max="4" width="18.5703125" customWidth="1"/>
    <col min="5" max="5" width="23.42578125" customWidth="1"/>
    <col min="8" max="8" width="27.5703125" bestFit="1" customWidth="1"/>
    <col min="9" max="9" width="10.42578125" customWidth="1"/>
    <col min="10" max="10" width="11" bestFit="1" customWidth="1"/>
    <col min="17" max="17" width="24" style="739" bestFit="1" customWidth="1"/>
  </cols>
  <sheetData>
    <row r="1" spans="1:17" s="483" customFormat="1" ht="25.35" customHeight="1">
      <c r="A1" s="1589"/>
      <c r="B1" s="300" t="s">
        <v>25000</v>
      </c>
      <c r="C1" s="304"/>
      <c r="H1" s="304"/>
      <c r="I1" s="304"/>
      <c r="J1" s="304"/>
      <c r="Q1" s="278"/>
    </row>
    <row r="2" spans="1:17" s="483" customFormat="1" ht="15" customHeight="1">
      <c r="A2" s="557"/>
      <c r="B2" s="811"/>
      <c r="C2" s="304"/>
      <c r="H2" s="304"/>
      <c r="I2" s="304"/>
      <c r="J2" s="304"/>
      <c r="Q2" s="722" t="s">
        <v>26549</v>
      </c>
    </row>
    <row r="3" spans="1:17" s="483" customFormat="1" ht="15" customHeight="1">
      <c r="A3" s="557"/>
      <c r="B3" s="812" t="s">
        <v>29630</v>
      </c>
      <c r="C3" s="304"/>
      <c r="H3" s="304"/>
      <c r="I3" s="304"/>
      <c r="J3" s="304"/>
      <c r="Q3" s="722" t="b">
        <f t="array" aca="1" ref="Q3" ca="1">+OR(INDEX(Soggetti_Elenco,0,13))</f>
        <v>0</v>
      </c>
    </row>
    <row r="4" spans="1:17" s="483" customFormat="1" ht="15" customHeight="1">
      <c r="A4" s="557"/>
      <c r="B4" s="304"/>
      <c r="C4" s="304"/>
      <c r="H4" s="304"/>
      <c r="I4" s="304"/>
      <c r="J4" s="304"/>
      <c r="Q4" s="278"/>
    </row>
    <row r="5" spans="1:17" s="483" customFormat="1" ht="30" customHeight="1">
      <c r="A5" s="557"/>
      <c r="B5" s="3586" t="s">
        <v>29631</v>
      </c>
      <c r="C5" s="3586"/>
      <c r="D5" s="3586"/>
      <c r="E5" s="3586"/>
      <c r="H5" s="304"/>
      <c r="I5" s="304"/>
      <c r="J5" s="304"/>
      <c r="Q5" s="278"/>
    </row>
    <row r="6" spans="1:17" s="816" customFormat="1" ht="15" customHeight="1">
      <c r="A6" s="813"/>
      <c r="B6" s="814"/>
      <c r="C6" s="815"/>
      <c r="H6" s="815"/>
      <c r="I6" s="815"/>
      <c r="J6" s="815"/>
      <c r="Q6" s="278"/>
    </row>
    <row r="7" spans="1:17" s="819" customFormat="1" ht="52.35" customHeight="1">
      <c r="A7" s="817"/>
      <c r="B7" s="501" t="s">
        <v>24868</v>
      </c>
      <c r="C7" s="818" t="s">
        <v>22832</v>
      </c>
      <c r="D7" s="494" t="s">
        <v>22895</v>
      </c>
      <c r="E7" s="816"/>
      <c r="H7" s="540" t="s">
        <v>24896</v>
      </c>
      <c r="I7" s="540" t="s">
        <v>25442</v>
      </c>
      <c r="J7" s="540" t="s">
        <v>25443</v>
      </c>
      <c r="K7" s="539" t="s">
        <v>26585</v>
      </c>
      <c r="L7" s="539" t="s">
        <v>26586</v>
      </c>
      <c r="M7" s="539" t="s">
        <v>26587</v>
      </c>
      <c r="Q7" s="820"/>
    </row>
    <row r="8" spans="1:17" s="483" customFormat="1" ht="24.75" customHeight="1">
      <c r="A8" s="821">
        <f>+ROW(A8)-7</f>
        <v>1</v>
      </c>
      <c r="B8" s="332"/>
      <c r="C8" s="1730"/>
      <c r="D8" s="233"/>
      <c r="E8" s="816"/>
      <c r="H8" s="822">
        <f>+IFERROR(VLOOKUP(I8,TT_Gestori!A:C,3,FALSE),IFERROR(VLOOKUP(D8,TT_Gestori!B:C,2,FALSE),+C8))</f>
        <v>0</v>
      </c>
      <c r="I8" s="533">
        <f>IFERROR(VLOOKUP(B8,TT_Gestori!A:C,1,FALSE),IFERROR(VLOOKUP(D8,TT_Gestori!B:D,3,FALSE),B8))</f>
        <v>0</v>
      </c>
      <c r="J8" s="823">
        <f>IFERROR(VLOOKUP(D8,TT_Gestori!C:C,1,FALSE),IFERROR(VLOOKUP(I8,TT_Gestori!A:C,2,FALSE),D8))</f>
        <v>0</v>
      </c>
      <c r="K8" s="533" t="b">
        <f>+OR(I8="",I8=0)</f>
        <v>1</v>
      </c>
      <c r="L8" s="533" t="b">
        <f>+OR(J8="",J8=0)</f>
        <v>1</v>
      </c>
      <c r="M8" s="533" t="b">
        <f>+IF(AND(B8="",C8="",D8="",ROW(B8)=8),FALSE,IF(OR(H8="",H8=0,K8=TRUE,L8=TRUE),TRUE,FALSE))</f>
        <v>0</v>
      </c>
      <c r="Q8" s="278"/>
    </row>
  </sheetData>
  <sheetProtection algorithmName="SHA-512" hashValue="EFvWEsKfl2SfbdeoB4BCX8ueuOJrDRk7e7rvrWmu74I62KR1X/3QDhM5LJfBQS5F/j7v8DNkXxSbeAyfqUAqqQ==" saltValue="iI13HuiDx6vZFUDGG08pFA==" spinCount="100000" sheet="1" objects="1" scenarios="1"/>
  <customSheetViews>
    <customSheetView guid="{849F61E1-F6D3-48F4-A6FF-68F8FE186D80}" scale="85" showGridLines="0">
      <selection activeCell="K16" sqref="K16"/>
      <pageMargins left="0.7" right="0.7" top="0.75" bottom="0.75" header="0.3" footer="0.3"/>
      <pageSetup paperSize="9" orientation="portrait" verticalDpi="300" r:id="rId1"/>
    </customSheetView>
    <customSheetView guid="{1E1889AA-9C00-49BF-A07E-295053EABBEF}" scale="85" showGridLines="0" hiddenRows="1">
      <pageMargins left="0.7" right="0.7" top="0.75" bottom="0.75" header="0.3" footer="0.3"/>
      <pageSetup paperSize="9" orientation="portrait" verticalDpi="300" r:id="rId2"/>
    </customSheetView>
    <customSheetView guid="{83029BA9-344F-4783-B8F2-6704FB40A582}" scale="85" showGridLines="0">
      <selection activeCell="K16" sqref="K16"/>
      <pageMargins left="0.7" right="0.7" top="0.75" bottom="0.75" header="0.3" footer="0.3"/>
      <pageSetup paperSize="9" orientation="portrait" verticalDpi="300" r:id="rId3"/>
    </customSheetView>
  </customSheetViews>
  <mergeCells count="1">
    <mergeCell ref="B5:E5"/>
  </mergeCells>
  <dataValidations count="1">
    <dataValidation type="textLength" operator="equal" allowBlank="1" showInputMessage="1" showErrorMessage="1" sqref="D8" xr:uid="{00000000-0002-0000-0C00-000000000000}">
      <formula1>11</formula1>
    </dataValidation>
  </dataValidations>
  <pageMargins left="0.7" right="0.7" top="0.75" bottom="0.75" header="0.3" footer="0.3"/>
  <pageSetup paperSize="9" orientation="portrait" verticalDpi="300" r:id="rId4"/>
  <drawing r:id="rId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oglio22">
    <tabColor rgb="FFC5D9F1"/>
  </sheetPr>
  <dimension ref="A1:AN6"/>
  <sheetViews>
    <sheetView showGridLines="0" zoomScale="85" zoomScaleNormal="85" workbookViewId="0">
      <pane ySplit="5" topLeftCell="A6" activePane="bottomLeft" state="frozen"/>
      <selection pane="bottomLeft"/>
    </sheetView>
  </sheetViews>
  <sheetFormatPr defaultColWidth="9.42578125" defaultRowHeight="15"/>
  <cols>
    <col min="1" max="1" width="6.5703125" customWidth="1"/>
    <col min="2" max="2" width="18.5703125" customWidth="1"/>
    <col min="3" max="3" width="45.5703125" customWidth="1"/>
    <col min="4" max="5" width="18.5703125" customWidth="1"/>
    <col min="6" max="7" width="15.5703125" customWidth="1"/>
    <col min="8" max="8" width="15.5703125" hidden="1" customWidth="1"/>
    <col min="9" max="13" width="15.5703125" customWidth="1"/>
    <col min="14" max="14" width="15.5703125" hidden="1" customWidth="1"/>
    <col min="15" max="19" width="15.5703125" customWidth="1"/>
    <col min="20" max="20" width="15.5703125" hidden="1" customWidth="1"/>
    <col min="21" max="33" width="15.5703125" customWidth="1"/>
    <col min="34" max="34" width="5.5703125" customWidth="1"/>
    <col min="35" max="38" width="18.5703125" customWidth="1"/>
  </cols>
  <sheetData>
    <row r="1" spans="1:40" s="254" customFormat="1" ht="25.35" customHeight="1">
      <c r="A1" s="482"/>
      <c r="B1" s="300" t="s">
        <v>25000</v>
      </c>
      <c r="C1"/>
      <c r="D1"/>
      <c r="E1"/>
      <c r="F1"/>
      <c r="G1"/>
      <c r="H1"/>
      <c r="I1"/>
      <c r="J1"/>
      <c r="K1"/>
      <c r="L1"/>
      <c r="M1"/>
      <c r="N1"/>
      <c r="O1"/>
      <c r="P1"/>
      <c r="Q1"/>
      <c r="R1"/>
      <c r="S1" s="10"/>
      <c r="T1" s="10"/>
      <c r="X1" s="497"/>
      <c r="Y1" s="497"/>
      <c r="Z1" s="497"/>
      <c r="AA1" s="497"/>
      <c r="AB1" s="497"/>
      <c r="AC1" s="497"/>
      <c r="AD1" s="497"/>
      <c r="AE1" s="497"/>
      <c r="AF1" s="497"/>
      <c r="AG1" s="497"/>
      <c r="AI1"/>
    </row>
    <row r="2" spans="1:40" s="209" customFormat="1" ht="45" customHeight="1">
      <c r="A2" s="498"/>
      <c r="B2" s="499"/>
      <c r="C2"/>
      <c r="D2" s="478"/>
      <c r="E2" s="478"/>
      <c r="X2" s="497"/>
      <c r="Y2" s="497"/>
      <c r="Z2" s="497"/>
      <c r="AA2" s="497"/>
      <c r="AB2" s="497"/>
      <c r="AC2" s="497"/>
      <c r="AD2" s="497"/>
      <c r="AE2" s="497"/>
      <c r="AF2" s="497"/>
      <c r="AG2" s="497"/>
      <c r="AI2"/>
    </row>
    <row r="3" spans="1:40" s="209" customFormat="1" ht="30" customHeight="1">
      <c r="A3" s="478"/>
      <c r="B3" s="3587" t="s">
        <v>29632</v>
      </c>
      <c r="C3" s="3587"/>
      <c r="D3" s="3587"/>
      <c r="E3" s="3587"/>
      <c r="X3" s="497"/>
      <c r="Y3" s="497"/>
      <c r="Z3" s="497"/>
      <c r="AA3" s="497"/>
      <c r="AB3" s="497"/>
      <c r="AC3" s="497"/>
      <c r="AD3" s="497"/>
      <c r="AE3" s="497"/>
      <c r="AF3" s="497"/>
      <c r="AG3" s="497"/>
      <c r="AI3"/>
    </row>
    <row r="4" spans="1:40" s="209" customFormat="1" ht="15" customHeight="1">
      <c r="A4" s="478"/>
      <c r="B4" s="499"/>
      <c r="C4" s="478"/>
      <c r="D4" s="478"/>
      <c r="E4" s="478"/>
      <c r="F4" s="1529" t="s">
        <v>29740</v>
      </c>
      <c r="G4" s="1530"/>
      <c r="H4" s="1530"/>
      <c r="I4" s="1530"/>
      <c r="J4" s="1530"/>
      <c r="K4" s="1531"/>
      <c r="L4" s="1529" t="s">
        <v>29767</v>
      </c>
      <c r="M4" s="1530"/>
      <c r="N4" s="1530"/>
      <c r="O4" s="1530"/>
      <c r="P4" s="1530"/>
      <c r="Q4" s="1531"/>
      <c r="R4" s="1532" t="s">
        <v>29768</v>
      </c>
      <c r="S4" s="1530"/>
      <c r="T4" s="1530"/>
      <c r="U4" s="1530"/>
      <c r="V4" s="1530"/>
      <c r="W4" s="1531"/>
      <c r="X4" s="618"/>
      <c r="Y4" s="619"/>
      <c r="Z4" s="1014" t="s">
        <v>31338</v>
      </c>
      <c r="AA4" s="619"/>
      <c r="AB4" s="620"/>
      <c r="AC4" s="618"/>
      <c r="AD4" s="619"/>
      <c r="AE4" s="1014" t="s">
        <v>31339</v>
      </c>
      <c r="AF4" s="619"/>
      <c r="AG4" s="620"/>
      <c r="AI4"/>
    </row>
    <row r="5" spans="1:40" s="209" customFormat="1" ht="52.35" customHeight="1">
      <c r="A5" s="500" t="s">
        <v>24881</v>
      </c>
      <c r="B5" s="501" t="s">
        <v>26544</v>
      </c>
      <c r="C5" s="501" t="s">
        <v>24798</v>
      </c>
      <c r="D5" s="501" t="s">
        <v>241</v>
      </c>
      <c r="E5" s="501" t="s">
        <v>265</v>
      </c>
      <c r="F5" s="502" t="s">
        <v>266</v>
      </c>
      <c r="G5" s="502" t="s">
        <v>267</v>
      </c>
      <c r="H5" s="1504" t="s">
        <v>21</v>
      </c>
      <c r="I5" s="502" t="s">
        <v>268</v>
      </c>
      <c r="J5" s="502" t="s">
        <v>269</v>
      </c>
      <c r="K5" s="502" t="s">
        <v>270</v>
      </c>
      <c r="L5" s="502" t="s">
        <v>266</v>
      </c>
      <c r="M5" s="502" t="s">
        <v>267</v>
      </c>
      <c r="N5" s="1504" t="s">
        <v>21</v>
      </c>
      <c r="O5" s="502" t="s">
        <v>268</v>
      </c>
      <c r="P5" s="502" t="s">
        <v>269</v>
      </c>
      <c r="Q5" s="502" t="s">
        <v>270</v>
      </c>
      <c r="R5" s="502" t="s">
        <v>266</v>
      </c>
      <c r="S5" s="502" t="s">
        <v>267</v>
      </c>
      <c r="T5" s="1504" t="s">
        <v>21</v>
      </c>
      <c r="U5" s="502" t="s">
        <v>268</v>
      </c>
      <c r="V5" s="502" t="s">
        <v>269</v>
      </c>
      <c r="W5" s="502" t="s">
        <v>270</v>
      </c>
      <c r="X5" s="502" t="s">
        <v>31341</v>
      </c>
      <c r="Y5" s="502" t="s">
        <v>31340</v>
      </c>
      <c r="Z5" s="502" t="s">
        <v>31342</v>
      </c>
      <c r="AA5" s="502" t="s">
        <v>31343</v>
      </c>
      <c r="AB5" s="502" t="s">
        <v>26525</v>
      </c>
      <c r="AC5" s="502" t="s">
        <v>31344</v>
      </c>
      <c r="AD5" s="502" t="s">
        <v>31345</v>
      </c>
      <c r="AE5" s="502" t="s">
        <v>31346</v>
      </c>
      <c r="AF5" s="502" t="s">
        <v>31347</v>
      </c>
      <c r="AG5" s="502" t="s">
        <v>26525</v>
      </c>
      <c r="AI5" s="1570" t="s">
        <v>31395</v>
      </c>
      <c r="AJ5" s="1570" t="s">
        <v>31396</v>
      </c>
      <c r="AK5" s="1570" t="s">
        <v>31348</v>
      </c>
      <c r="AL5" s="1570" t="s">
        <v>31349</v>
      </c>
      <c r="AM5"/>
      <c r="AN5"/>
    </row>
    <row r="6" spans="1:40" s="209" customFormat="1" ht="25.35" customHeight="1">
      <c r="A6" s="1858">
        <f>+ROW(A6)-5</f>
        <v>1</v>
      </c>
      <c r="B6" s="504">
        <f ca="1">+IF(ISNA(VLOOKUP(C6,soggetto_j,2,FALSE)),0,VLOOKUP(C6,soggetto_j,2,FALSE))</f>
        <v>0</v>
      </c>
      <c r="C6" s="333"/>
      <c r="D6" s="333"/>
      <c r="E6" s="333"/>
      <c r="F6" s="616"/>
      <c r="G6" s="617"/>
      <c r="H6" s="1597"/>
      <c r="I6" s="696"/>
      <c r="J6" s="697"/>
      <c r="K6" s="505">
        <f>+F6*G6+I6*J6</f>
        <v>0</v>
      </c>
      <c r="L6" s="211"/>
      <c r="M6" s="212"/>
      <c r="N6" s="1502"/>
      <c r="O6" s="211"/>
      <c r="P6" s="495"/>
      <c r="Q6" s="505">
        <f>+L6*M6+O6*P6</f>
        <v>0</v>
      </c>
      <c r="R6" s="213"/>
      <c r="S6" s="214"/>
      <c r="T6" s="1503"/>
      <c r="U6" s="213"/>
      <c r="V6" s="496"/>
      <c r="W6" s="505">
        <f>+U6*V6+R6*S6</f>
        <v>0</v>
      </c>
      <c r="X6" s="215"/>
      <c r="Y6" s="216"/>
      <c r="Z6" s="216"/>
      <c r="AA6" s="1859">
        <f>+Dati_Anni_precedenti!$E$5</f>
        <v>0</v>
      </c>
      <c r="AB6" s="3320">
        <f>++Dati_Anni_precedenti!$G$4</f>
        <v>0</v>
      </c>
      <c r="AC6" s="1860"/>
      <c r="AD6" s="1861"/>
      <c r="AE6" s="1861"/>
      <c r="AF6" s="1859">
        <f>+Dati_Anni_precedenti!$F$5</f>
        <v>0</v>
      </c>
      <c r="AG6" s="3320">
        <f>++Dati_Anni_precedenti!$G$4</f>
        <v>0</v>
      </c>
      <c r="AI6" s="2606">
        <f>+O6*$J6+L6*$G6</f>
        <v>0</v>
      </c>
      <c r="AJ6" s="2606">
        <f>+U6*$J6+R6*$G6</f>
        <v>0</v>
      </c>
      <c r="AK6" s="2606">
        <f>+Q6</f>
        <v>0</v>
      </c>
      <c r="AL6" s="2606">
        <f>+W6</f>
        <v>0</v>
      </c>
      <c r="AM6" s="1013"/>
      <c r="AN6" s="1013"/>
    </row>
  </sheetData>
  <sheetProtection algorithmName="SHA-512" hashValue="fIuW1fW0nDlQRHxNCdsmpJqWsdXN7Zsmgt2WjW9OEV/M+rZfuu26UOgqMj5ABICVE+7aYFfU4CAOynRLBmfxag==" saltValue="7+jayLeAAQuhIHdmqVsFDw==" spinCount="100000" sheet="1" objects="1" scenarios="1"/>
  <customSheetViews>
    <customSheetView guid="{849F61E1-F6D3-48F4-A6FF-68F8FE186D80}" scale="85" showGridLines="0" topLeftCell="Q1">
      <pane ySplit="5" topLeftCell="A6" activePane="bottomLeft" state="frozen"/>
      <selection pane="bottomLeft"/>
      <pageMargins left="0.7" right="0.7" top="0.75" bottom="0.75" header="0.3" footer="0.3"/>
      <pageSetup paperSize="9" orientation="portrait" r:id="rId1"/>
    </customSheetView>
    <customSheetView guid="{1E1889AA-9C00-49BF-A07E-295053EABBEF}" scale="85" showGridLines="0" hiddenRows="1">
      <pageMargins left="0.7" right="0.7" top="0.75" bottom="0.75" header="0.3" footer="0.3"/>
    </customSheetView>
    <customSheetView guid="{83029BA9-344F-4783-B8F2-6704FB40A582}" scale="85" showGridLines="0">
      <pane ySplit="5" topLeftCell="A6" activePane="bottomLeft" state="frozen"/>
      <selection pane="bottomLeft" activeCell="F9" sqref="F9"/>
      <pageMargins left="0.7" right="0.7" top="0.75" bottom="0.75" header="0.3" footer="0.3"/>
      <pageSetup paperSize="9" orientation="portrait" r:id="rId2"/>
    </customSheetView>
  </customSheetViews>
  <mergeCells count="1">
    <mergeCell ref="B3:E3"/>
  </mergeCells>
  <dataValidations count="4">
    <dataValidation type="list" allowBlank="1" showInputMessage="1" showErrorMessage="1" sqref="AC6 X6" xr:uid="{00000000-0002-0000-0D00-000000000000}">
      <formula1>si_no</formula1>
    </dataValidation>
    <dataValidation type="list" allowBlank="1" showInputMessage="1" showErrorMessage="1" sqref="E6" xr:uid="{00000000-0002-0000-0D00-000001000000}">
      <formula1>Servizio_Dettaglio</formula1>
    </dataValidation>
    <dataValidation type="list" allowBlank="1" showInputMessage="1" showErrorMessage="1" sqref="D6" xr:uid="{00000000-0002-0000-0D00-000002000000}">
      <formula1>ATO_tutte</formula1>
    </dataValidation>
    <dataValidation type="list" allowBlank="1" showInputMessage="1" showErrorMessage="1" sqref="C6" xr:uid="{00000000-0002-0000-0D00-000003000000}">
      <formula1>INDEX(Soggetti_Elenco,0,8)</formula1>
    </dataValidation>
  </dataValidations>
  <pageMargins left="0.7" right="0.7" top="0.75" bottom="0.75" header="0.3" footer="0.3"/>
  <pageSetup paperSize="9" orientation="portrait"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oglio24">
    <tabColor rgb="FFC5D9F1"/>
  </sheetPr>
  <dimension ref="A1:Z6"/>
  <sheetViews>
    <sheetView showGridLines="0" zoomScale="85" zoomScaleNormal="85" workbookViewId="0">
      <pane ySplit="5" topLeftCell="A6" activePane="bottomLeft" state="frozen"/>
      <selection pane="bottomLeft"/>
    </sheetView>
  </sheetViews>
  <sheetFormatPr defaultColWidth="9.42578125" defaultRowHeight="15"/>
  <cols>
    <col min="1" max="1" width="6.5703125" customWidth="1"/>
    <col min="2" max="2" width="18.5703125" customWidth="1"/>
    <col min="3" max="3" width="45.5703125" customWidth="1"/>
    <col min="4" max="6" width="18.5703125" customWidth="1"/>
    <col min="7" max="8" width="15.5703125" customWidth="1"/>
    <col min="9" max="9" width="15.5703125" hidden="1" customWidth="1"/>
    <col min="10" max="12" width="15.5703125" customWidth="1"/>
    <col min="13" max="13" width="18.5703125" customWidth="1"/>
    <col min="14" max="19" width="15.5703125" customWidth="1"/>
    <col min="20" max="20" width="15.5703125" hidden="1" customWidth="1"/>
    <col min="21" max="23" width="15.5703125" customWidth="1"/>
    <col min="24" max="24" width="9.42578125" customWidth="1"/>
    <col min="25" max="25" width="11.42578125" bestFit="1" customWidth="1"/>
    <col min="26" max="26" width="47.5703125" customWidth="1"/>
  </cols>
  <sheetData>
    <row r="1" spans="1:26" s="497" customFormat="1" ht="25.35" customHeight="1">
      <c r="A1" s="482"/>
      <c r="B1" s="300" t="s">
        <v>25000</v>
      </c>
      <c r="C1"/>
      <c r="D1"/>
      <c r="E1"/>
      <c r="F1"/>
      <c r="G1"/>
      <c r="H1"/>
      <c r="I1"/>
      <c r="J1"/>
      <c r="K1"/>
      <c r="L1"/>
      <c r="M1"/>
      <c r="N1"/>
      <c r="O1"/>
      <c r="P1"/>
      <c r="Q1"/>
      <c r="R1"/>
      <c r="S1"/>
      <c r="T1"/>
      <c r="U1"/>
      <c r="V1"/>
      <c r="W1"/>
      <c r="X1"/>
      <c r="Y1"/>
    </row>
    <row r="2" spans="1:26" s="497" customFormat="1" ht="45" customHeight="1">
      <c r="A2" s="506"/>
      <c r="B2"/>
      <c r="C2"/>
      <c r="D2" s="507"/>
      <c r="E2" s="507"/>
      <c r="F2" s="507"/>
      <c r="Y2"/>
    </row>
    <row r="3" spans="1:26" s="512" customFormat="1" ht="30" customHeight="1">
      <c r="A3" s="508"/>
      <c r="B3" s="3587" t="s">
        <v>29633</v>
      </c>
      <c r="C3" s="3587"/>
      <c r="D3" s="3587"/>
      <c r="E3" s="3587"/>
      <c r="F3" s="1818"/>
      <c r="G3" s="509" t="s">
        <v>24973</v>
      </c>
      <c r="H3" s="510"/>
      <c r="I3" s="510"/>
      <c r="J3" s="510"/>
      <c r="K3" s="510"/>
      <c r="L3" s="510"/>
      <c r="M3" s="510"/>
      <c r="N3" s="510"/>
      <c r="O3" s="510"/>
      <c r="P3" s="510"/>
      <c r="Q3" s="510"/>
      <c r="R3" s="511" t="s">
        <v>24990</v>
      </c>
      <c r="S3" s="510"/>
      <c r="T3" s="510"/>
      <c r="U3" s="510"/>
      <c r="V3" s="510"/>
      <c r="W3" s="510"/>
      <c r="Y3"/>
    </row>
    <row r="4" spans="1:26" s="209" customFormat="1" ht="15.75">
      <c r="A4" s="478"/>
      <c r="B4" s="499"/>
      <c r="C4" s="478"/>
      <c r="D4" s="478"/>
      <c r="E4" s="478"/>
      <c r="F4" s="478"/>
      <c r="G4" s="3588" t="s">
        <v>30534</v>
      </c>
      <c r="H4" s="3589"/>
      <c r="I4" s="3589"/>
      <c r="J4" s="3589"/>
      <c r="K4" s="3589"/>
      <c r="L4" s="3590"/>
      <c r="M4" s="3588" t="s">
        <v>30533</v>
      </c>
      <c r="N4" s="3589"/>
      <c r="O4" s="3589"/>
      <c r="P4" s="3589"/>
      <c r="Q4" s="3590"/>
      <c r="R4" s="3591" t="s">
        <v>30535</v>
      </c>
      <c r="S4" s="3592"/>
      <c r="T4" s="3592"/>
      <c r="U4" s="3592"/>
      <c r="V4" s="3592"/>
      <c r="W4" s="3593"/>
      <c r="Y4"/>
    </row>
    <row r="5" spans="1:26" s="209" customFormat="1" ht="52.35" customHeight="1">
      <c r="A5" s="513" t="s">
        <v>24881</v>
      </c>
      <c r="B5" s="514" t="s">
        <v>26544</v>
      </c>
      <c r="C5" s="514" t="s">
        <v>24999</v>
      </c>
      <c r="D5" s="514" t="s">
        <v>241</v>
      </c>
      <c r="E5" s="514" t="s">
        <v>265</v>
      </c>
      <c r="F5" s="1835" t="s">
        <v>30461</v>
      </c>
      <c r="G5" s="515" t="s">
        <v>266</v>
      </c>
      <c r="H5" s="515" t="s">
        <v>267</v>
      </c>
      <c r="I5" s="1504" t="s">
        <v>21</v>
      </c>
      <c r="J5" s="515" t="s">
        <v>268</v>
      </c>
      <c r="K5" s="515" t="s">
        <v>269</v>
      </c>
      <c r="L5" s="515" t="s">
        <v>270</v>
      </c>
      <c r="M5" s="515" t="s">
        <v>30462</v>
      </c>
      <c r="N5" s="515" t="s">
        <v>30463</v>
      </c>
      <c r="O5" s="515" t="s">
        <v>30464</v>
      </c>
      <c r="P5" s="515" t="s">
        <v>30465</v>
      </c>
      <c r="Q5" s="515" t="s">
        <v>26525</v>
      </c>
      <c r="R5" s="515" t="s">
        <v>266</v>
      </c>
      <c r="S5" s="515" t="s">
        <v>267</v>
      </c>
      <c r="T5" s="1504" t="s">
        <v>21</v>
      </c>
      <c r="U5" s="515" t="s">
        <v>268</v>
      </c>
      <c r="V5" s="515" t="s">
        <v>269</v>
      </c>
      <c r="W5" s="515" t="s">
        <v>270</v>
      </c>
      <c r="Y5"/>
      <c r="Z5" s="1165" t="s">
        <v>30466</v>
      </c>
    </row>
    <row r="6" spans="1:26" s="497" customFormat="1" ht="25.35" customHeight="1">
      <c r="A6" s="503">
        <f>+ROW(A6)-5</f>
        <v>1</v>
      </c>
      <c r="B6" s="504">
        <f ca="1">+IFERROR(VLOOKUP(C6,soggetto_j,2,FALSE),"")</f>
        <v>0</v>
      </c>
      <c r="C6" s="333"/>
      <c r="D6" s="333"/>
      <c r="E6" s="333"/>
      <c r="F6" s="333"/>
      <c r="G6" s="211"/>
      <c r="H6" s="212"/>
      <c r="I6" s="1502"/>
      <c r="J6" s="211"/>
      <c r="K6" s="495"/>
      <c r="L6" s="505">
        <f>+G6*H6+J6*K6</f>
        <v>0</v>
      </c>
      <c r="M6" s="215"/>
      <c r="N6" s="216"/>
      <c r="O6" s="216"/>
      <c r="P6" s="216"/>
      <c r="Q6" s="609"/>
      <c r="R6" s="217"/>
      <c r="S6" s="218"/>
      <c r="T6" s="1502"/>
      <c r="U6" s="217"/>
      <c r="V6" s="495"/>
      <c r="W6" s="505">
        <f>+R6*S6+U6*V6</f>
        <v>0</v>
      </c>
      <c r="X6" s="209"/>
      <c r="Y6"/>
      <c r="Z6" s="1921" t="s">
        <v>30536</v>
      </c>
    </row>
  </sheetData>
  <sheetProtection algorithmName="SHA-512" hashValue="/TduXRcPgcfYJGEaOmRIGPMvkom4biotbIU/jRAtbaodm+vq0hcbBx66g2eKfauKZVAoNcZvlZwgD4yD7w78Nw==" saltValue="oGnso+XiNvooK+j/U8sw1w==" spinCount="100000" sheet="1" objects="1" scenarios="1"/>
  <customSheetViews>
    <customSheetView guid="{849F61E1-F6D3-48F4-A6FF-68F8FE186D80}" scale="85" showGridLines="0" topLeftCell="W1">
      <pane ySplit="5" topLeftCell="A6" activePane="bottomLeft" state="frozen"/>
      <selection pane="bottomLeft"/>
      <pageMargins left="0.7" right="0.7" top="0.75" bottom="0.75" header="0.3" footer="0.3"/>
      <pageSetup paperSize="9" orientation="portrait" verticalDpi="300" r:id="rId1"/>
    </customSheetView>
    <customSheetView guid="{1E1889AA-9C00-49BF-A07E-295053EABBEF}" scale="85" showGridLines="0" hiddenRows="1" hiddenColumns="1">
      <pageMargins left="0.7" right="0.7" top="0.75" bottom="0.75" header="0.3" footer="0.3"/>
      <pageSetup paperSize="9" orientation="portrait" verticalDpi="300" r:id="rId2"/>
    </customSheetView>
    <customSheetView guid="{83029BA9-344F-4783-B8F2-6704FB40A582}" scale="85" showGridLines="0" topLeftCell="W1">
      <pane ySplit="5" topLeftCell="A6" activePane="bottomLeft" state="frozen"/>
      <selection pane="bottomLeft"/>
      <pageMargins left="0.7" right="0.7" top="0.75" bottom="0.75" header="0.3" footer="0.3"/>
      <pageSetup paperSize="9" orientation="portrait" verticalDpi="300" r:id="rId3"/>
    </customSheetView>
  </customSheetViews>
  <mergeCells count="4">
    <mergeCell ref="B3:E3"/>
    <mergeCell ref="G4:L4"/>
    <mergeCell ref="M4:Q4"/>
    <mergeCell ref="R4:W4"/>
  </mergeCells>
  <dataValidations count="4">
    <dataValidation type="list" allowBlank="1" showInputMessage="1" showErrorMessage="1" sqref="E6" xr:uid="{00000000-0002-0000-0E00-000000000000}">
      <formula1>Servizio_Dettaglio</formula1>
    </dataValidation>
    <dataValidation type="list" allowBlank="1" showInputMessage="1" showErrorMessage="1" sqref="M6" xr:uid="{00000000-0002-0000-0E00-000001000000}">
      <formula1>si_no</formula1>
    </dataValidation>
    <dataValidation type="list" allowBlank="1" showInputMessage="1" showErrorMessage="1" sqref="D6" xr:uid="{00000000-0002-0000-0E00-000002000000}">
      <formula1>ATO_tutte</formula1>
    </dataValidation>
    <dataValidation type="list" allowBlank="1" showInputMessage="1" showErrorMessage="1" sqref="C6" xr:uid="{00000000-0002-0000-0E00-000003000000}">
      <formula1>INDEX(Soggetti_Elenco,0,8)</formula1>
    </dataValidation>
  </dataValidations>
  <pageMargins left="0.7" right="0.7" top="0.75" bottom="0.75" header="0.3" footer="0.3"/>
  <pageSetup paperSize="9" orientation="portrait" verticalDpi="300" r:id="rId4"/>
  <drawing r:id="rId5"/>
  <extLst>
    <ext xmlns:x14="http://schemas.microsoft.com/office/spreadsheetml/2009/9/main" uri="{CCE6A557-97BC-4b89-ADB6-D9C93CAAB3DF}">
      <x14:dataValidations xmlns:xm="http://schemas.microsoft.com/office/excel/2006/main" count="1">
        <x14:dataValidation type="list" allowBlank="1" showInputMessage="1" showErrorMessage="1" xr:uid="{5E776EBE-E23D-4931-96BA-EAEA6E0E0954}">
          <x14:formula1>
            <xm:f>TT_Tabelle_Riferimento!$J$16:$J$17</xm:f>
          </x14:formula1>
          <xm:sqref>F6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6">
    <tabColor rgb="FFC5D9F1"/>
  </sheetPr>
  <dimension ref="A1:AE16"/>
  <sheetViews>
    <sheetView showGridLines="0" zoomScale="85" zoomScaleNormal="85" workbookViewId="0">
      <pane ySplit="16" topLeftCell="A17" activePane="bottomLeft" state="frozen"/>
      <selection pane="bottomLeft"/>
    </sheetView>
  </sheetViews>
  <sheetFormatPr defaultColWidth="5.42578125" defaultRowHeight="11.1" customHeight="1"/>
  <cols>
    <col min="1" max="1" width="6.5703125" style="10" customWidth="1"/>
    <col min="2" max="2" width="44.42578125" style="10" customWidth="1"/>
    <col min="3" max="3" width="35.5703125" style="10" customWidth="1"/>
    <col min="4" max="8" width="25.5703125" style="10" customWidth="1"/>
    <col min="9" max="9" width="22" style="10" customWidth="1"/>
    <col min="10" max="10" width="8.5703125" style="10" customWidth="1"/>
    <col min="11" max="11" width="13" style="10" customWidth="1"/>
    <col min="12" max="12" width="15.42578125" style="10" customWidth="1"/>
    <col min="13" max="13" width="14.5703125" style="10" bestFit="1" customWidth="1"/>
    <col min="14" max="14" width="13.5703125" style="10" customWidth="1"/>
    <col min="15" max="15" width="17" style="10" bestFit="1" customWidth="1"/>
    <col min="16" max="16" width="46.42578125" style="10" customWidth="1"/>
    <col min="17" max="20" width="13.5703125" style="10" customWidth="1"/>
    <col min="21" max="21" width="15.42578125" style="134" bestFit="1" customWidth="1"/>
    <col min="22" max="22" width="13.5703125" style="10" customWidth="1"/>
    <col min="23" max="23" width="26.42578125" style="134" customWidth="1"/>
    <col min="24" max="24" width="26.42578125" style="10" customWidth="1"/>
    <col min="25" max="25" width="11.5703125" customWidth="1"/>
    <col min="26" max="27" width="13.5703125" style="10" customWidth="1"/>
    <col min="28" max="28" width="15.42578125" style="10" customWidth="1"/>
    <col min="29" max="34" width="13.5703125" style="10" customWidth="1"/>
    <col min="35" max="36" width="15.5703125" style="10" customWidth="1"/>
    <col min="37" max="16384" width="5.42578125" style="10"/>
  </cols>
  <sheetData>
    <row r="1" spans="1:31" s="125" customFormat="1" ht="25.35" customHeight="1">
      <c r="A1" s="1589"/>
      <c r="B1" s="300" t="s">
        <v>25001</v>
      </c>
      <c r="C1" s="226"/>
      <c r="D1" s="226"/>
      <c r="E1" s="226"/>
      <c r="F1" s="516"/>
      <c r="G1" s="517" t="s">
        <v>24897</v>
      </c>
      <c r="L1" s="340"/>
      <c r="N1" s="340"/>
      <c r="O1" s="340"/>
      <c r="P1" s="340"/>
      <c r="Q1" s="10"/>
      <c r="R1" s="10"/>
      <c r="S1" s="340"/>
      <c r="T1" s="340"/>
      <c r="U1" s="586"/>
      <c r="W1" s="586"/>
      <c r="Y1"/>
      <c r="Z1" s="340"/>
      <c r="AB1" s="340"/>
    </row>
    <row r="2" spans="1:31" s="522" customFormat="1" ht="18" customHeight="1">
      <c r="A2" s="518" t="s">
        <v>25003</v>
      </c>
      <c r="B2" s="519"/>
      <c r="C2" s="520"/>
      <c r="D2" s="520"/>
      <c r="E2" s="520"/>
      <c r="F2" s="520"/>
      <c r="G2" s="520"/>
      <c r="H2" s="520"/>
      <c r="I2" s="1943"/>
      <c r="K2" s="125"/>
      <c r="M2" s="1508" t="s">
        <v>28871</v>
      </c>
      <c r="N2" s="1508" t="s">
        <v>28872</v>
      </c>
      <c r="O2" s="722" t="s">
        <v>28873</v>
      </c>
      <c r="P2" s="521"/>
      <c r="Q2" s="10"/>
      <c r="R2" s="10"/>
      <c r="S2" s="521"/>
      <c r="T2" s="521"/>
      <c r="U2" s="1341"/>
      <c r="W2" s="1341"/>
      <c r="Y2"/>
      <c r="Z2" s="521"/>
      <c r="AB2" s="521"/>
    </row>
    <row r="3" spans="1:31" s="522" customFormat="1" ht="15">
      <c r="A3" s="523"/>
      <c r="B3" s="521"/>
      <c r="D3" s="1738">
        <v>2024</v>
      </c>
      <c r="E3" s="1738">
        <v>2025</v>
      </c>
      <c r="F3" s="1738">
        <v>2026</v>
      </c>
      <c r="G3" s="1738">
        <v>2027</v>
      </c>
      <c r="K3" s="125"/>
      <c r="M3" s="1508" t="b">
        <f t="array" aca="1" ref="M3" ca="1">+OR(INDEX(Nuovi_Investimenti,0,29))</f>
        <v>1</v>
      </c>
      <c r="N3" s="1508" t="b">
        <f>+(D10+E10-'PdI-riepilogo'!F4-'PdI-riepilogo'!G4)&lt;&gt;0</f>
        <v>0</v>
      </c>
      <c r="O3" s="722" t="b">
        <f t="array" aca="1" ref="O3" ca="1">++OR(M3:N3)</f>
        <v>1</v>
      </c>
      <c r="P3" s="521"/>
      <c r="Q3" s="10"/>
      <c r="R3" s="10"/>
      <c r="S3" s="521"/>
      <c r="T3" s="521"/>
      <c r="U3" s="1341"/>
      <c r="W3" s="1341"/>
      <c r="Y3"/>
      <c r="Z3" s="521"/>
      <c r="AB3" s="521"/>
    </row>
    <row r="4" spans="1:31" s="522" customFormat="1" ht="28.5">
      <c r="A4" s="521"/>
      <c r="B4" s="521"/>
      <c r="C4" s="1554" t="s">
        <v>29700</v>
      </c>
      <c r="D4" s="2340">
        <f>'PdI-riepilogo'!E143</f>
        <v>0</v>
      </c>
      <c r="E4" s="2341">
        <f>'PdI-riepilogo'!F143</f>
        <v>0</v>
      </c>
      <c r="F4" s="2342">
        <f>'PdI-riepilogo'!G143</f>
        <v>0</v>
      </c>
      <c r="G4" s="2342">
        <f>'PdI-riepilogo'!H143</f>
        <v>0</v>
      </c>
      <c r="K4" s="125"/>
      <c r="L4" s="340"/>
      <c r="M4" s="125"/>
      <c r="N4" s="10"/>
      <c r="P4" s="521"/>
      <c r="Q4" s="10"/>
      <c r="R4" s="10"/>
      <c r="S4" s="521"/>
      <c r="T4" s="521"/>
      <c r="U4" s="1341"/>
      <c r="W4" s="1341"/>
      <c r="Y4"/>
      <c r="Z4" s="521"/>
      <c r="AB4" s="521"/>
    </row>
    <row r="5" spans="1:31" s="522" customFormat="1" ht="28.5">
      <c r="A5" s="521"/>
      <c r="B5" s="521"/>
      <c r="C5" s="1554" t="s">
        <v>29701</v>
      </c>
      <c r="D5" s="544"/>
      <c r="E5" s="545"/>
      <c r="F5" s="1776"/>
      <c r="G5" s="1776"/>
      <c r="K5" s="125"/>
      <c r="L5" s="340"/>
      <c r="M5" s="125"/>
      <c r="N5" s="10"/>
      <c r="O5" s="10"/>
      <c r="P5" s="521"/>
      <c r="Q5" s="10"/>
      <c r="R5" s="10"/>
      <c r="S5" s="521"/>
      <c r="T5" s="521"/>
      <c r="U5" s="1341"/>
      <c r="W5" s="1341"/>
      <c r="Y5"/>
      <c r="Z5" s="521"/>
      <c r="AB5" s="521"/>
    </row>
    <row r="6" spans="1:31" s="125" customFormat="1" ht="11.1" customHeight="1">
      <c r="A6" s="523"/>
      <c r="B6" s="340"/>
      <c r="C6" s="226"/>
      <c r="D6" s="340"/>
      <c r="E6" s="525"/>
      <c r="F6" s="525"/>
      <c r="G6" s="340"/>
      <c r="J6" s="75"/>
      <c r="L6" s="340"/>
      <c r="N6" s="340"/>
      <c r="O6" s="340"/>
      <c r="P6" s="340"/>
      <c r="Q6" s="10"/>
      <c r="R6" s="10"/>
      <c r="S6" s="340"/>
      <c r="T6" s="340"/>
      <c r="U6" s="586"/>
      <c r="W6" s="586"/>
      <c r="Y6"/>
      <c r="Z6" s="340"/>
      <c r="AB6" s="340"/>
    </row>
    <row r="7" spans="1:31" s="522" customFormat="1" ht="18" customHeight="1">
      <c r="A7" s="518" t="s">
        <v>32815</v>
      </c>
      <c r="B7" s="519"/>
      <c r="C7" s="520"/>
      <c r="D7" s="519"/>
      <c r="E7" s="519"/>
      <c r="F7" s="519"/>
      <c r="G7" s="519"/>
      <c r="H7" s="520"/>
      <c r="I7" s="1943"/>
      <c r="J7" s="125"/>
      <c r="L7" s="340"/>
      <c r="M7" s="125"/>
      <c r="N7" s="521"/>
      <c r="O7" s="521"/>
      <c r="P7" s="521"/>
      <c r="Q7" s="521"/>
      <c r="R7" s="521"/>
      <c r="S7" s="521"/>
      <c r="T7" s="521"/>
      <c r="U7" s="1341"/>
      <c r="W7" s="1341"/>
      <c r="Y7"/>
      <c r="Z7" s="521"/>
      <c r="AB7" s="521"/>
    </row>
    <row r="8" spans="1:31" s="522" customFormat="1" ht="12" customHeight="1">
      <c r="A8" s="523"/>
      <c r="B8" s="521"/>
      <c r="D8" s="1738">
        <v>2024</v>
      </c>
      <c r="E8" s="1738">
        <v>2025</v>
      </c>
      <c r="F8" s="1738">
        <v>2026</v>
      </c>
      <c r="G8" s="1738">
        <v>2027</v>
      </c>
      <c r="H8" s="125"/>
      <c r="I8" s="125"/>
      <c r="J8" s="125"/>
      <c r="K8" s="125"/>
      <c r="L8" s="340"/>
      <c r="M8" s="125"/>
      <c r="N8" s="10"/>
      <c r="O8" s="10"/>
      <c r="P8" s="521"/>
      <c r="Q8" s="10"/>
      <c r="R8" s="10"/>
      <c r="S8" s="521"/>
      <c r="T8" s="521"/>
      <c r="U8" s="1341"/>
      <c r="W8" s="1341"/>
      <c r="Y8"/>
      <c r="Z8" s="521"/>
      <c r="AA8" s="125"/>
      <c r="AB8" s="521"/>
    </row>
    <row r="9" spans="1:31" s="125" customFormat="1" ht="12" customHeight="1">
      <c r="A9" s="340"/>
      <c r="B9" s="340"/>
      <c r="C9" s="1350" t="s">
        <v>30606</v>
      </c>
      <c r="D9" s="1556">
        <f>Altri_dati_eco_fin!E56</f>
        <v>0</v>
      </c>
      <c r="E9" s="1556">
        <f>Altri_dati_eco_fin!F56</f>
        <v>0</v>
      </c>
      <c r="F9" s="1941"/>
      <c r="G9" s="1941"/>
      <c r="L9" s="340"/>
      <c r="N9" s="340"/>
      <c r="O9" s="10"/>
      <c r="P9" s="340"/>
      <c r="Q9" s="10"/>
      <c r="R9" s="10"/>
      <c r="S9" s="340"/>
      <c r="T9" s="340"/>
      <c r="U9" s="586"/>
      <c r="W9" s="586"/>
      <c r="Y9"/>
      <c r="Z9" s="340"/>
      <c r="AB9" s="340"/>
    </row>
    <row r="10" spans="1:31" s="125" customFormat="1" ht="12" customHeight="1">
      <c r="A10" s="340"/>
      <c r="B10" s="340"/>
      <c r="C10" s="524" t="s">
        <v>24800</v>
      </c>
      <c r="D10" s="546">
        <f>+SUMIF($T:$T,D$8,$U:$U)</f>
        <v>0</v>
      </c>
      <c r="E10" s="546">
        <f>+SUMIF($T:$T,E$8,$U:$U)</f>
        <v>0</v>
      </c>
      <c r="F10" s="546">
        <f>PdI_consolidamento!X4</f>
        <v>0</v>
      </c>
      <c r="G10" s="546">
        <f>PdI_consolidamento!Y4</f>
        <v>0</v>
      </c>
      <c r="K10" s="1408" t="s">
        <v>26757</v>
      </c>
      <c r="L10" s="75" t="s">
        <v>29702</v>
      </c>
      <c r="P10" s="340"/>
      <c r="Q10" s="10"/>
      <c r="R10" s="10"/>
      <c r="S10" s="340"/>
      <c r="T10" s="340"/>
      <c r="U10" s="586"/>
      <c r="W10" s="586"/>
      <c r="Y10"/>
      <c r="Z10" s="340"/>
      <c r="AB10" s="340"/>
    </row>
    <row r="11" spans="1:31" s="125" customFormat="1" ht="12" customHeight="1">
      <c r="A11" s="340"/>
      <c r="B11" s="340"/>
      <c r="C11" s="524" t="s">
        <v>30437</v>
      </c>
      <c r="D11" s="1453" t="str">
        <f t="shared" ref="D11:G11" si="0">+IF($K11&lt;&gt;"",$K11,"")</f>
        <v/>
      </c>
      <c r="E11" s="1453" t="str">
        <f t="shared" si="0"/>
        <v/>
      </c>
      <c r="F11" s="1453" t="str">
        <f t="shared" si="0"/>
        <v/>
      </c>
      <c r="G11" s="1453" t="str">
        <f t="shared" si="0"/>
        <v/>
      </c>
      <c r="K11" s="1453"/>
      <c r="L11" s="524" t="s">
        <v>27066</v>
      </c>
      <c r="P11" s="340"/>
      <c r="Q11" s="10"/>
      <c r="R11" s="10"/>
      <c r="S11" s="340"/>
      <c r="T11" s="340"/>
      <c r="U11" s="586"/>
      <c r="W11" s="586"/>
      <c r="Y11"/>
      <c r="Z11" s="340"/>
      <c r="AB11" s="340"/>
    </row>
    <row r="12" spans="1:31" ht="12" customHeight="1">
      <c r="C12" s="524" t="s">
        <v>30438</v>
      </c>
      <c r="D12" s="1453" t="str">
        <f t="shared" ref="D12:G12" si="1">+IF($K12&lt;&gt;"",$K12,"")</f>
        <v/>
      </c>
      <c r="E12" s="1453" t="str">
        <f t="shared" si="1"/>
        <v/>
      </c>
      <c r="F12" s="1453" t="str">
        <f t="shared" si="1"/>
        <v/>
      </c>
      <c r="G12" s="1453" t="str">
        <f t="shared" si="1"/>
        <v/>
      </c>
      <c r="H12" s="125"/>
      <c r="I12" s="125"/>
      <c r="J12" s="125"/>
      <c r="K12" s="1453"/>
      <c r="L12" s="524" t="s">
        <v>27067</v>
      </c>
      <c r="M12" s="125"/>
    </row>
    <row r="13" spans="1:31" ht="12" customHeight="1">
      <c r="C13" s="524" t="s">
        <v>26635</v>
      </c>
      <c r="D13" s="2787">
        <f>IFERROR(D9/D10,0)</f>
        <v>0</v>
      </c>
      <c r="E13" s="2787">
        <f>IFERROR(E9/E10,0)</f>
        <v>0</v>
      </c>
      <c r="F13" s="1942"/>
      <c r="G13" s="1942"/>
      <c r="H13" s="125"/>
      <c r="I13" s="125"/>
      <c r="J13" s="125"/>
      <c r="K13" s="125"/>
      <c r="L13" s="340"/>
      <c r="M13" s="125"/>
    </row>
    <row r="14" spans="1:31" ht="12" customHeight="1">
      <c r="D14" s="61"/>
      <c r="E14" s="61"/>
      <c r="F14" s="61"/>
      <c r="G14" s="61"/>
      <c r="I14" s="125"/>
      <c r="J14" s="125"/>
      <c r="K14" s="125"/>
      <c r="L14" s="340"/>
      <c r="M14" s="125"/>
    </row>
    <row r="15" spans="1:31" s="125" customFormat="1" ht="52.35" customHeight="1">
      <c r="A15" s="527" t="s">
        <v>24881</v>
      </c>
      <c r="B15" s="528" t="s">
        <v>25002</v>
      </c>
      <c r="C15" s="529" t="s">
        <v>187</v>
      </c>
      <c r="D15" s="1591" t="s">
        <v>26592</v>
      </c>
      <c r="E15" s="529" t="s">
        <v>27112</v>
      </c>
      <c r="F15" s="529" t="s">
        <v>188</v>
      </c>
      <c r="G15" s="531" t="s">
        <v>189</v>
      </c>
      <c r="H15" s="531" t="s">
        <v>24860</v>
      </c>
      <c r="I15" s="531" t="s">
        <v>24801</v>
      </c>
      <c r="J15" s="531" t="s">
        <v>24861</v>
      </c>
      <c r="K15" s="538" t="s">
        <v>24869</v>
      </c>
      <c r="L15" s="539" t="s">
        <v>24868</v>
      </c>
      <c r="M15" s="539" t="s">
        <v>192</v>
      </c>
      <c r="N15" s="540" t="s">
        <v>193</v>
      </c>
      <c r="O15" s="539" t="s">
        <v>191</v>
      </c>
      <c r="P15" s="540" t="s">
        <v>194</v>
      </c>
      <c r="Q15" s="541" t="s">
        <v>195</v>
      </c>
      <c r="R15" s="540" t="s">
        <v>196</v>
      </c>
      <c r="S15" s="541" t="s">
        <v>197</v>
      </c>
      <c r="T15" s="541" t="s">
        <v>198</v>
      </c>
      <c r="U15" s="1342" t="s">
        <v>22698</v>
      </c>
      <c r="V15" s="541" t="s">
        <v>22699</v>
      </c>
      <c r="W15" s="1342" t="s">
        <v>22700</v>
      </c>
      <c r="X15" s="541" t="s">
        <v>22701</v>
      </c>
      <c r="Y15" s="1122" t="s">
        <v>21</v>
      </c>
      <c r="Z15" s="1122" t="s">
        <v>230</v>
      </c>
      <c r="AA15" s="1122" t="s">
        <v>26592</v>
      </c>
      <c r="AB15" s="1122" t="s">
        <v>24799</v>
      </c>
      <c r="AC15" s="1122" t="s">
        <v>28810</v>
      </c>
      <c r="AE15"/>
    </row>
    <row r="16" spans="1:31" s="125" customFormat="1" ht="25.35" customHeight="1">
      <c r="A16" s="532">
        <f>+ROW(A16)-15</f>
        <v>1</v>
      </c>
      <c r="B16" s="334"/>
      <c r="C16" s="115"/>
      <c r="D16" s="1592" t="str">
        <f>+IFERROR(VLOOKUP(B16,TT_Tabelle_Riferimento!$G$127:$I$164,3,FALSE),"")</f>
        <v/>
      </c>
      <c r="E16" s="1590"/>
      <c r="F16" s="335"/>
      <c r="G16" s="116"/>
      <c r="H16" s="116"/>
      <c r="I16" s="542">
        <f>+IFERROR(HLOOKUP(F16,$D$8:$E$13,6,FALSE)*G16,0)</f>
        <v>0</v>
      </c>
      <c r="J16" s="543">
        <f>+I16+H16</f>
        <v>0</v>
      </c>
      <c r="K16" s="533">
        <f>idato</f>
        <v>0</v>
      </c>
      <c r="L16" s="533">
        <f>idgestore</f>
        <v>0</v>
      </c>
      <c r="M16" s="533" t="s">
        <v>245</v>
      </c>
      <c r="N16" s="533">
        <v>0</v>
      </c>
      <c r="O16" s="533" t="s">
        <v>22698</v>
      </c>
      <c r="P16" s="533">
        <f>+IFERROR(VLOOKUP(Q16,TT_Tabelle_Riferimento!$G$127:$K$164,5,0),0)</f>
        <v>0</v>
      </c>
      <c r="Q16" s="736">
        <f>+IFERROR(VLOOKUP(B16,TT_Tabelle_Riferimento!$G$127:$K$164,1,0),0)</f>
        <v>0</v>
      </c>
      <c r="R16" s="533">
        <f>+IFERROR(VLOOKUP(S16,cat_imm_new,2,0),0)</f>
        <v>0</v>
      </c>
      <c r="S16" s="534">
        <f>+IFERROR(VLOOKUP(C16,cat_imm_new,1,0),0)</f>
        <v>0</v>
      </c>
      <c r="T16" s="535">
        <f t="shared" ref="T16:U16" si="2">F16</f>
        <v>0</v>
      </c>
      <c r="U16" s="695">
        <f t="shared" si="2"/>
        <v>0</v>
      </c>
      <c r="V16" s="536">
        <v>0</v>
      </c>
      <c r="W16" s="992">
        <f>J16</f>
        <v>0</v>
      </c>
      <c r="X16" s="536">
        <v>0</v>
      </c>
      <c r="Y16" s="1064"/>
      <c r="Z16" s="1100" t="str">
        <f>+IF(OR(E16="Res",E16="Env",E16="Non ERC"),E16,"")</f>
        <v/>
      </c>
      <c r="AA16" s="1058" t="str">
        <f>+IF(OR(D16="Acquedotto",D16="Fognatura",D16="Depurazione",D16="Comune"),D16,"")</f>
        <v/>
      </c>
      <c r="AB16" s="1100" t="s">
        <v>22871</v>
      </c>
      <c r="AC16" s="1100" t="b">
        <f t="array" ref="AC16">+IF(OR(K16:L16=0,P16=0,R16=0),TRUE,FALSE)</f>
        <v>1</v>
      </c>
      <c r="AE16"/>
    </row>
  </sheetData>
  <sheetProtection algorithmName="SHA-512" hashValue="ipzAlG58kKr3+ayWhCLCMAJF5IugOma7uPc0WBJ5B8crGX9HutHZOR9SGgxFlJF4c0wWtXPBFrP4ZkdXPurlxg==" saltValue="6dlaL+SiEMlPC4FsragKkg==" spinCount="100000" sheet="1" objects="1" scenarios="1"/>
  <dataConsolidate/>
  <customSheetViews>
    <customSheetView guid="{849F61E1-F6D3-48F4-A6FF-68F8FE186D80}" scale="85" showGridLines="0" hiddenRows="1">
      <pane ySplit="12" topLeftCell="A14" activePane="bottomLeft" state="frozen"/>
      <selection pane="bottomLeft"/>
      <pageMargins left="0.59055118110236227" right="0.59055118110236227" top="0.98425196850393704" bottom="0.78740157480314965" header="0.51181102362204722" footer="0.51181102362204722"/>
      <pageSetup paperSize="9" scale="80" orientation="portrait" r:id="rId1"/>
      <headerFooter alignWithMargins="0">
        <oddHeader>&amp;L2. &amp;F&amp;R2.6 &amp;A</oddHeader>
        <oddFooter>&amp;Rpagina &amp;P di &amp;N</oddFooter>
      </headerFooter>
    </customSheetView>
    <customSheetView guid="{1E1889AA-9C00-49BF-A07E-295053EABBEF}" scale="85" showGridLines="0" hiddenColumns="1">
      <pageMargins left="0.59055118110236227" right="0.59055118110236227" top="0.98425196850393704" bottom="0.78740157480314965" header="0.51181102362204722" footer="0.51181102362204722"/>
      <pageSetup paperSize="9" scale="80" orientation="portrait" r:id="rId2"/>
      <headerFooter alignWithMargins="0">
        <oddHeader>&amp;L2. &amp;F&amp;R2.6 &amp;A</oddHeader>
        <oddFooter>&amp;Rpagina &amp;P di &amp;N</oddFooter>
      </headerFooter>
    </customSheetView>
    <customSheetView guid="{83029BA9-344F-4783-B8F2-6704FB40A582}" scale="85" showGridLines="0" hiddenRows="1">
      <pane ySplit="12" topLeftCell="A13" activePane="bottomLeft" state="frozen"/>
      <selection pane="bottomLeft"/>
      <pageMargins left="0.59055118110236227" right="0.59055118110236227" top="0.98425196850393704" bottom="0.78740157480314965" header="0.51181102362204722" footer="0.51181102362204722"/>
      <pageSetup paperSize="9" scale="80" orientation="portrait" r:id="rId3"/>
      <headerFooter alignWithMargins="0">
        <oddHeader>&amp;L2. &amp;F&amp;R2.6 &amp;A</oddHeader>
        <oddFooter>&amp;Rpagina &amp;P di &amp;N</oddFooter>
      </headerFooter>
    </customSheetView>
  </customSheetViews>
  <dataValidations count="4">
    <dataValidation type="decimal" allowBlank="1" showInputMessage="1" showErrorMessage="1" sqref="K11:K12" xr:uid="{2B925D5A-6D1C-430D-BD64-8DA0742D1A0C}">
      <formula1>0</formula1>
      <formula2>1</formula2>
    </dataValidation>
    <dataValidation type="list" allowBlank="1" showInputMessage="1" showErrorMessage="1" sqref="B16" xr:uid="{2FBAE061-6CF0-4668-96A7-B601B7319463}">
      <formula1>cat_imm_nuovi_inv</formula1>
    </dataValidation>
    <dataValidation type="list" allowBlank="1" showInputMessage="1" showErrorMessage="1" sqref="F16" xr:uid="{4F658941-2AA8-4327-A320-02392BF44ED2}">
      <formula1>"2024,2025"</formula1>
    </dataValidation>
    <dataValidation type="list" allowBlank="1" showInputMessage="1" showErrorMessage="1" sqref="E16" xr:uid="{2A5DE66A-7853-4829-932E-5B0E739031B5}">
      <formula1>costo_sotteso</formula1>
    </dataValidation>
  </dataValidations>
  <pageMargins left="0.59055118110236227" right="0.59055118110236227" top="0.98425196850393704" bottom="0.78740157480314965" header="0.51181102362204722" footer="0.51181102362204722"/>
  <pageSetup paperSize="9" scale="80" orientation="portrait" r:id="rId4"/>
  <headerFooter alignWithMargins="0"/>
  <drawing r:id="rId5"/>
  <extLst>
    <ext xmlns:x14="http://schemas.microsoft.com/office/spreadsheetml/2009/9/main" uri="{CCE6A557-97BC-4b89-ADB6-D9C93CAAB3DF}">
      <x14:dataValidations xmlns:xm="http://schemas.microsoft.com/office/excel/2006/main" count="1">
        <x14:dataValidation type="list" allowBlank="1" showInputMessage="1" showErrorMessage="1" xr:uid="{152E16EA-638C-497F-89DB-5EFE5156853D}">
          <x14:formula1>
            <xm:f>TT_Tabelle_Riferimento!$G$172:$G$175</xm:f>
          </x14:formula1>
          <xm:sqref>C16</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7">
    <tabColor rgb="FFC5D9F1"/>
  </sheetPr>
  <dimension ref="A1:AK8"/>
  <sheetViews>
    <sheetView showGridLines="0" zoomScale="85" zoomScaleNormal="85" workbookViewId="0">
      <pane ySplit="7" topLeftCell="A8" activePane="bottomLeft" state="frozen"/>
      <selection pane="bottomLeft"/>
    </sheetView>
  </sheetViews>
  <sheetFormatPr defaultColWidth="5.42578125" defaultRowHeight="11.1" customHeight="1"/>
  <cols>
    <col min="1" max="1" width="6.5703125" style="10" customWidth="1"/>
    <col min="2" max="2" width="37" style="10" customWidth="1"/>
    <col min="3" max="3" width="35.5703125" style="10" customWidth="1"/>
    <col min="4" max="11" width="25.5703125" style="10" customWidth="1"/>
    <col min="12" max="12" width="7.5703125" style="10" hidden="1" customWidth="1"/>
    <col min="13" max="13" width="19" style="10" bestFit="1" customWidth="1"/>
    <col min="14" max="15" width="7.5703125" style="10" customWidth="1"/>
    <col min="16" max="16" width="17.5703125" style="10" customWidth="1"/>
    <col min="17" max="18" width="15.5703125" style="10" customWidth="1"/>
    <col min="19" max="19" width="44.42578125" style="10" bestFit="1" customWidth="1"/>
    <col min="20" max="27" width="15.5703125" style="10" customWidth="1"/>
    <col min="28" max="30" width="16.42578125" style="10" customWidth="1"/>
    <col min="31" max="31" width="13.42578125" style="10" customWidth="1"/>
    <col min="32" max="32" width="14.42578125" style="10" customWidth="1"/>
    <col min="33" max="34" width="5.42578125" style="10"/>
    <col min="35" max="35" width="26.42578125" style="10" customWidth="1"/>
    <col min="36" max="16384" width="5.42578125" style="10"/>
  </cols>
  <sheetData>
    <row r="1" spans="1:37" s="125" customFormat="1" ht="25.35" customHeight="1">
      <c r="A1" s="1589"/>
      <c r="B1" s="300" t="s">
        <v>25001</v>
      </c>
      <c r="C1" s="523"/>
      <c r="D1" s="340"/>
      <c r="E1" s="341"/>
      <c r="F1" s="516"/>
      <c r="G1" s="517" t="s">
        <v>24897</v>
      </c>
      <c r="H1" s="516"/>
      <c r="I1" s="516"/>
      <c r="J1" s="516"/>
      <c r="Q1" s="340"/>
      <c r="S1" s="340"/>
      <c r="T1" s="340"/>
      <c r="U1" s="10"/>
      <c r="V1" s="10"/>
      <c r="AA1" s="340"/>
    </row>
    <row r="2" spans="1:37" s="522" customFormat="1" ht="18" customHeight="1">
      <c r="A2" s="518" t="s">
        <v>25004</v>
      </c>
      <c r="B2" s="519"/>
      <c r="C2" s="519"/>
      <c r="D2" s="519"/>
      <c r="E2" s="519"/>
      <c r="F2" s="520"/>
      <c r="G2" s="520"/>
      <c r="H2" s="520"/>
      <c r="I2" s="520"/>
      <c r="J2" s="1065"/>
      <c r="K2" s="1065"/>
      <c r="L2" s="125"/>
      <c r="M2" s="125"/>
      <c r="N2" s="125"/>
      <c r="O2" s="125"/>
      <c r="P2" s="10"/>
      <c r="Q2" s="10"/>
      <c r="R2" s="10"/>
      <c r="S2" s="10"/>
      <c r="T2" s="10"/>
      <c r="U2" s="10"/>
      <c r="V2" s="10"/>
      <c r="AA2" s="10"/>
      <c r="AI2"/>
    </row>
    <row r="3" spans="1:37" s="522" customFormat="1" ht="36" customHeight="1">
      <c r="A3" s="10"/>
      <c r="B3" s="10"/>
      <c r="C3" s="10"/>
      <c r="D3" s="10"/>
      <c r="E3" s="10"/>
      <c r="F3" s="10"/>
      <c r="G3" s="10"/>
      <c r="H3" s="10"/>
      <c r="I3" s="10"/>
      <c r="J3" s="10"/>
      <c r="K3" s="125"/>
      <c r="L3" s="125"/>
      <c r="M3" s="1481" t="s">
        <v>26549</v>
      </c>
      <c r="N3" s="125"/>
      <c r="O3" s="125"/>
      <c r="P3" s="10"/>
      <c r="Q3" s="10"/>
      <c r="R3" s="10"/>
      <c r="S3" s="10"/>
      <c r="T3" s="10"/>
      <c r="U3" s="10"/>
      <c r="V3" s="10"/>
      <c r="AA3" s="10"/>
      <c r="AI3"/>
    </row>
    <row r="4" spans="1:37" s="522" customFormat="1" ht="18" customHeight="1">
      <c r="A4" s="10"/>
      <c r="B4" s="10"/>
      <c r="C4" s="10"/>
      <c r="D4" s="10"/>
      <c r="E4" s="10"/>
      <c r="F4" s="10"/>
      <c r="G4" s="10"/>
      <c r="H4" s="10"/>
      <c r="I4" s="10"/>
      <c r="J4" s="10"/>
      <c r="K4" s="125"/>
      <c r="L4" s="125"/>
      <c r="M4" s="1482" t="b">
        <f t="array" aca="1" ref="M4" ca="1">+OR(INDEX(Dismissioni,0,32))</f>
        <v>0</v>
      </c>
      <c r="N4" s="125"/>
      <c r="O4" s="125"/>
      <c r="P4" s="10"/>
      <c r="Q4" s="10"/>
      <c r="R4" s="10"/>
      <c r="S4" s="10"/>
      <c r="T4" s="10"/>
      <c r="U4" s="10"/>
      <c r="V4" s="10"/>
      <c r="AA4" s="10"/>
      <c r="AI4"/>
    </row>
    <row r="5" spans="1:37" s="522" customFormat="1" ht="30" customHeight="1">
      <c r="A5"/>
      <c r="B5"/>
      <c r="C5"/>
      <c r="D5"/>
      <c r="E5"/>
      <c r="F5"/>
      <c r="G5"/>
      <c r="H5"/>
      <c r="I5"/>
      <c r="J5"/>
      <c r="K5"/>
      <c r="L5" s="125"/>
      <c r="M5" s="125"/>
      <c r="N5" s="125"/>
      <c r="O5" s="125"/>
      <c r="P5" s="125"/>
      <c r="Q5" s="125"/>
      <c r="R5" s="340"/>
      <c r="S5" s="125"/>
      <c r="T5" s="340"/>
      <c r="U5" s="340"/>
      <c r="V5" s="10"/>
      <c r="W5" s="10"/>
      <c r="AB5" s="340"/>
      <c r="AC5" s="340"/>
      <c r="AJ5"/>
    </row>
    <row r="6" spans="1:37" s="125" customFormat="1" ht="30" customHeight="1">
      <c r="A6" s="523"/>
      <c r="B6" s="340"/>
      <c r="C6" s="523"/>
      <c r="D6" s="523"/>
      <c r="E6" s="340"/>
      <c r="F6" s="340"/>
      <c r="G6" s="516"/>
      <c r="H6" s="516"/>
      <c r="I6" s="516"/>
      <c r="J6" s="516"/>
      <c r="K6" s="516"/>
      <c r="R6" s="340"/>
      <c r="T6" s="340"/>
      <c r="U6" s="340"/>
      <c r="V6" s="10"/>
      <c r="W6" s="10"/>
      <c r="AB6" s="340"/>
      <c r="AC6" s="340"/>
      <c r="AJ6" s="522"/>
    </row>
    <row r="7" spans="1:37" s="125" customFormat="1" ht="52.35" customHeight="1">
      <c r="A7" s="547" t="s">
        <v>24881</v>
      </c>
      <c r="B7" s="528" t="s">
        <v>25002</v>
      </c>
      <c r="C7" s="528" t="s">
        <v>187</v>
      </c>
      <c r="D7" s="529" t="s">
        <v>26592</v>
      </c>
      <c r="E7" s="529" t="s">
        <v>27112</v>
      </c>
      <c r="F7" s="528" t="s">
        <v>24878</v>
      </c>
      <c r="G7" s="1648" t="s">
        <v>188</v>
      </c>
      <c r="H7" s="530" t="s">
        <v>189</v>
      </c>
      <c r="I7" s="530" t="s">
        <v>24879</v>
      </c>
      <c r="J7" s="530" t="s">
        <v>22866</v>
      </c>
      <c r="K7" s="530" t="s">
        <v>24880</v>
      </c>
      <c r="L7" s="530"/>
      <c r="M7" s="538" t="s">
        <v>24869</v>
      </c>
      <c r="N7" s="539" t="s">
        <v>25421</v>
      </c>
      <c r="O7" s="539" t="s">
        <v>192</v>
      </c>
      <c r="P7" s="539" t="s">
        <v>193</v>
      </c>
      <c r="Q7" s="539" t="s">
        <v>191</v>
      </c>
      <c r="R7" s="539" t="s">
        <v>194</v>
      </c>
      <c r="S7" s="541" t="s">
        <v>195</v>
      </c>
      <c r="T7" s="539" t="s">
        <v>196</v>
      </c>
      <c r="U7" s="541" t="s">
        <v>197</v>
      </c>
      <c r="V7" s="541" t="s">
        <v>25401</v>
      </c>
      <c r="W7" s="548" t="s">
        <v>22698</v>
      </c>
      <c r="X7" s="548" t="s">
        <v>22699</v>
      </c>
      <c r="Y7" s="548" t="s">
        <v>22700</v>
      </c>
      <c r="Z7" s="548" t="s">
        <v>25133</v>
      </c>
      <c r="AA7" s="548" t="s">
        <v>21</v>
      </c>
      <c r="AB7" s="548" t="s">
        <v>230</v>
      </c>
      <c r="AC7" s="548" t="s">
        <v>26592</v>
      </c>
      <c r="AD7" s="548" t="s">
        <v>24799</v>
      </c>
      <c r="AE7" s="548" t="s">
        <v>198</v>
      </c>
      <c r="AF7" s="548" t="s">
        <v>28810</v>
      </c>
      <c r="AK7" s="522"/>
    </row>
    <row r="8" spans="1:37" ht="25.35" customHeight="1">
      <c r="A8" s="532">
        <f>+ROW(A8)-8</f>
        <v>0</v>
      </c>
      <c r="B8" s="334"/>
      <c r="C8" s="115"/>
      <c r="D8" s="1592" t="str">
        <f>+IFERROR(IF(G8&gt;=2020,VLOOKUP(B8,TT_Tabelle_Riferimento!$G$127:$I$164,3,FALSE),""),"")</f>
        <v/>
      </c>
      <c r="E8" s="1590"/>
      <c r="F8" s="335"/>
      <c r="G8" s="335"/>
      <c r="H8" s="116"/>
      <c r="I8" s="116"/>
      <c r="J8" s="116"/>
      <c r="K8" s="116"/>
      <c r="L8" s="116"/>
      <c r="M8" s="685">
        <f>idato</f>
        <v>0</v>
      </c>
      <c r="N8" s="685">
        <f>idgestore</f>
        <v>0</v>
      </c>
      <c r="O8" s="685" t="s">
        <v>245</v>
      </c>
      <c r="P8" s="685">
        <v>0</v>
      </c>
      <c r="Q8" s="685" t="s">
        <v>22698</v>
      </c>
      <c r="R8" s="685">
        <f>+IFERROR(IF(G8&lt;2020,VLOOKUP(B8,id_cat_ces,2,FALSE),VLOOKUP(B8,TT_Tabelle_Riferimento!$G$127:$K$164,5,FALSE)),0)</f>
        <v>0</v>
      </c>
      <c r="S8" s="634">
        <f>+IFERROR(IF(G8&lt;2020,VLOOKUP(B8,id_cat_ces,1,FALSE),VLOOKUP(B8,TT_Tabelle_Riferimento!$G$127:$K$164,1,FALSE)),0)</f>
        <v>0</v>
      </c>
      <c r="T8" s="533">
        <f>+IFERROR(VLOOKUP(U8,cat_imm_new,2,0),0)</f>
        <v>0</v>
      </c>
      <c r="U8" s="634">
        <f>+IFERROR(VLOOKUP(C8,cat_imm_new,1,0),0)</f>
        <v>0</v>
      </c>
      <c r="V8" s="634">
        <f>+F8</f>
        <v>0</v>
      </c>
      <c r="W8" s="686" cm="1">
        <f t="array" ref="W8">+IFERROR(IP(ABS($H8),$R8,$T8,$G8,V8+2,ifl),0)*-1</f>
        <v>0</v>
      </c>
      <c r="X8" s="686" cm="1">
        <f t="array" ref="X8">+IFERROR(FondoAmm(ABS($H8),ABS($I8),$G8,$R8,$T8,V8+2,IF($G8&gt;=2020,vite_regolatorie_new,vite_regolatorie),ifl),0)*-1</f>
        <v>0</v>
      </c>
      <c r="Y8" s="686" cm="1">
        <f t="array" ref="Y8">+IFERROR(CFP_A(ABS($J8),$R8,$T8,$G8,V8+2,ifl),0)*-1</f>
        <v>0</v>
      </c>
      <c r="Z8" s="686" cm="1">
        <f t="array" ref="Z8">+IFERROR(FACFP(ABS($J8),ABS($K8),$G8,$R8,$T8,V8+2,IF($G8&gt;=2020,vite_regolatorie_new,vite_regolatorie),ifl),0)*-1</f>
        <v>0</v>
      </c>
      <c r="AA8" s="634">
        <f>+G8</f>
        <v>0</v>
      </c>
      <c r="AB8" s="1058" t="str">
        <f>+IF(OR(E8="Res",E8="Env",E8="Non ERC"),E8,"")</f>
        <v/>
      </c>
      <c r="AC8" s="1058" t="str">
        <f>+IF(OR(D8="Acquedotto",D8="Fognatura",D8="Depurazione",D8="Comune"),D8,"")</f>
        <v/>
      </c>
      <c r="AD8" s="687" t="s">
        <v>22870</v>
      </c>
      <c r="AE8" s="634">
        <f>+G8</f>
        <v>0</v>
      </c>
      <c r="AF8" s="634" t="b">
        <f t="array" ref="AF8">+IF(OR(M8:N8=0,R8=0,T8=0),IF(COUNTA(A:A)&gt;3,TRUE,FALSE),FALSE)</f>
        <v>0</v>
      </c>
    </row>
  </sheetData>
  <sheetProtection algorithmName="SHA-512" hashValue="BUzAmXFRaJSo1kUHoMOdVbAkMlqSZobktzO9uWKnillLNvsLlKR+HswqVK16+mdHMlbMcuM7KNU6Z8AQcEl/Lg==" saltValue="9Hj7M9hfQIWzydwNuWIDkQ==" spinCount="100000" sheet="1" objects="1" scenarios="1"/>
  <dataConsolidate/>
  <customSheetViews>
    <customSheetView guid="{849F61E1-F6D3-48F4-A6FF-68F8FE186D80}" scale="85" showGridLines="0" hiddenRows="1">
      <pane ySplit="7" topLeftCell="A9" activePane="bottomLeft" state="frozen"/>
      <selection pane="bottomLeft"/>
      <pageMargins left="0.59055118110236227" right="0.59055118110236227" top="0.98425196850393704" bottom="0.78740157480314965" header="0.51181102362204722" footer="0.51181102362204722"/>
      <pageSetup paperSize="9" scale="80" orientation="portrait" r:id="rId1"/>
      <headerFooter alignWithMargins="0">
        <oddHeader>&amp;L2. &amp;F&amp;R2.6 &amp;A</oddHeader>
        <oddFooter>&amp;Rpagina &amp;P di &amp;N</oddFooter>
      </headerFooter>
    </customSheetView>
    <customSheetView guid="{1E1889AA-9C00-49BF-A07E-295053EABBEF}" scale="85" showGridLines="0" hiddenColumns="1">
      <pageMargins left="0.59055118110236227" right="0.59055118110236227" top="0.98425196850393704" bottom="0.78740157480314965" header="0.51181102362204722" footer="0.51181102362204722"/>
      <pageSetup paperSize="9" scale="80" orientation="portrait" r:id="rId2"/>
      <headerFooter alignWithMargins="0">
        <oddHeader>&amp;L2. &amp;F&amp;R2.6 &amp;A</oddHeader>
        <oddFooter>&amp;Rpagina &amp;P di &amp;N</oddFooter>
      </headerFooter>
    </customSheetView>
    <customSheetView guid="{83029BA9-344F-4783-B8F2-6704FB40A582}" scale="85" showGridLines="0" hiddenRows="1">
      <pane ySplit="7" topLeftCell="A8" activePane="bottomLeft" state="frozen"/>
      <selection pane="bottomLeft"/>
      <pageMargins left="0.59055118110236227" right="0.59055118110236227" top="0.98425196850393704" bottom="0.78740157480314965" header="0.51181102362204722" footer="0.51181102362204722"/>
      <pageSetup paperSize="9" scale="80" orientation="portrait" r:id="rId3"/>
      <headerFooter alignWithMargins="0">
        <oddHeader>&amp;L2. &amp;F&amp;R2.6 &amp;A</oddHeader>
        <oddFooter>&amp;Rpagina &amp;P di &amp;N</oddFooter>
      </headerFooter>
    </customSheetView>
  </customSheetViews>
  <dataValidations count="5">
    <dataValidation type="decimal" operator="greaterThanOrEqual" allowBlank="1" showInputMessage="1" showErrorMessage="1" sqref="H8:L8" xr:uid="{18B39592-2075-43DF-ADDE-53C04FA1F5BE}">
      <formula1>0</formula1>
    </dataValidation>
    <dataValidation type="list" allowBlank="1" showInputMessage="1" showErrorMessage="1" sqref="E8" xr:uid="{45E4264D-78B5-4867-8A59-3A8DFB1806DA}">
      <formula1>costo_sotteso</formula1>
    </dataValidation>
    <dataValidation type="list" allowBlank="1" showInputMessage="1" showErrorMessage="1" sqref="D8" xr:uid="{6FD48BF2-9551-4CBD-926B-788170D18DED}">
      <formula1>attività</formula1>
    </dataValidation>
    <dataValidation type="whole" allowBlank="1" showInputMessage="1" showErrorMessage="1" sqref="G8" xr:uid="{2494A5C5-90B0-41FC-A5CE-084836D34014}">
      <formula1>1967</formula1>
      <formula2>F8</formula2>
    </dataValidation>
    <dataValidation type="list" allowBlank="1" showInputMessage="1" showErrorMessage="1" sqref="B8" xr:uid="{288B1610-9774-472F-A9D5-9D549C929F59}">
      <formula1>IF(G8&lt;2020,CategorieCespiti,cat_imm_nuovi_inv)</formula1>
    </dataValidation>
  </dataValidations>
  <pageMargins left="0.59055118110236227" right="0.59055118110236227" top="0.98425196850393704" bottom="0.78740157480314965" header="0.51181102362204722" footer="0.51181102362204722"/>
  <pageSetup paperSize="9" scale="80" orientation="portrait" r:id="rId4"/>
  <headerFooter alignWithMargins="0"/>
  <drawing r:id="rId5"/>
  <legacyDrawing r:id="rId6"/>
  <extLst>
    <ext xmlns:x14="http://schemas.microsoft.com/office/spreadsheetml/2009/9/main" uri="{CCE6A557-97BC-4b89-ADB6-D9C93CAAB3DF}">
      <x14:dataValidations xmlns:xm="http://schemas.microsoft.com/office/excel/2006/main" count="2">
        <x14:dataValidation type="list" allowBlank="1" showInputMessage="1" showErrorMessage="1" xr:uid="{F57E4834-3B9E-4994-B928-CB00B96771D0}">
          <x14:formula1>
            <xm:f>TT_Tabelle_Riferimento!$G$172:$G$175</xm:f>
          </x14:formula1>
          <xm:sqref>C8</xm:sqref>
        </x14:dataValidation>
        <x14:dataValidation type="list" allowBlank="1" showInputMessage="1" showErrorMessage="1" xr:uid="{97541F11-7C2F-4251-B43E-E8B72571ED3C}">
          <x14:formula1>
            <xm:f>TT_Tabelle_Riferimento!$J$4:$J$17</xm:f>
          </x14:formula1>
          <xm:sqref>F8</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E2DE3-665E-4E15-8FF3-7CAD917D03D5}">
  <sheetPr codeName="Sheet1">
    <tabColor rgb="FFC5D9F1"/>
  </sheetPr>
  <dimension ref="A1:AJ8"/>
  <sheetViews>
    <sheetView showGridLines="0" zoomScale="85" zoomScaleNormal="85" workbookViewId="0"/>
  </sheetViews>
  <sheetFormatPr defaultRowHeight="15"/>
  <cols>
    <col min="1" max="1" width="4.42578125" customWidth="1"/>
    <col min="2" max="3" width="18.5703125" customWidth="1"/>
    <col min="4" max="4" width="38" customWidth="1"/>
    <col min="5" max="12" width="18.5703125" customWidth="1"/>
    <col min="14" max="14" width="12.5703125" customWidth="1"/>
  </cols>
  <sheetData>
    <row r="1" spans="1:36" s="125" customFormat="1" ht="25.35" customHeight="1">
      <c r="A1" s="1589"/>
      <c r="B1" s="300" t="s">
        <v>25001</v>
      </c>
      <c r="C1" s="523"/>
      <c r="D1" s="340"/>
      <c r="E1" s="341"/>
      <c r="F1" s="341"/>
      <c r="G1" s="341"/>
      <c r="H1" s="1782" t="s">
        <v>30404</v>
      </c>
      <c r="I1" s="516"/>
      <c r="J1" s="516"/>
      <c r="K1" s="517"/>
      <c r="L1" s="516"/>
      <c r="R1" s="340"/>
      <c r="T1" s="340"/>
      <c r="U1" s="340"/>
      <c r="V1" s="10"/>
      <c r="W1" s="10"/>
      <c r="AB1" s="340"/>
    </row>
    <row r="2" spans="1:36" s="522" customFormat="1" ht="18" customHeight="1">
      <c r="A2" s="518" t="s">
        <v>30396</v>
      </c>
      <c r="B2" s="519"/>
      <c r="C2" s="519"/>
      <c r="D2" s="519"/>
      <c r="E2" s="519"/>
      <c r="F2" s="2373"/>
      <c r="G2" s="2373"/>
      <c r="H2" s="520"/>
      <c r="I2" s="520"/>
      <c r="J2" s="520"/>
      <c r="K2" s="1783"/>
      <c r="L2" s="520"/>
      <c r="M2" s="125"/>
      <c r="N2" s="125"/>
      <c r="O2" s="125"/>
      <c r="P2" s="125"/>
      <c r="Q2" s="10"/>
      <c r="R2" s="10"/>
      <c r="S2" s="10"/>
      <c r="T2" s="10"/>
      <c r="U2" s="10"/>
      <c r="V2" s="10"/>
      <c r="W2" s="10"/>
      <c r="AB2" s="10"/>
      <c r="AJ2"/>
    </row>
    <row r="3" spans="1:36" s="522" customFormat="1" ht="36" customHeight="1">
      <c r="A3" s="10"/>
      <c r="B3" s="10"/>
      <c r="F3" s="1738">
        <v>2022</v>
      </c>
      <c r="G3" s="1738">
        <v>2023</v>
      </c>
      <c r="H3" s="1738">
        <v>2024</v>
      </c>
      <c r="I3" s="1738">
        <v>2025</v>
      </c>
      <c r="J3" s="1738">
        <v>2026</v>
      </c>
      <c r="K3" s="1738">
        <v>2027</v>
      </c>
      <c r="M3" s="125"/>
      <c r="N3" s="1481" t="s">
        <v>26549</v>
      </c>
      <c r="O3" s="125"/>
      <c r="P3" s="125"/>
      <c r="Q3" s="10"/>
      <c r="R3" s="10"/>
      <c r="S3" s="10"/>
      <c r="T3" s="10"/>
      <c r="U3" s="10"/>
      <c r="V3" s="10"/>
      <c r="W3" s="10"/>
      <c r="AB3" s="10"/>
      <c r="AJ3"/>
    </row>
    <row r="4" spans="1:36" s="522" customFormat="1" ht="44.85" customHeight="1">
      <c r="A4" s="10"/>
      <c r="B4" s="10"/>
      <c r="E4" s="1785" t="s">
        <v>22839</v>
      </c>
      <c r="F4" s="2473">
        <f>+Dati_Anni_precedenti!E91</f>
        <v>0</v>
      </c>
      <c r="G4" s="2473">
        <f>+Dati_Anni_precedenti!F91</f>
        <v>0</v>
      </c>
      <c r="H4" s="2340" t="str" cm="1">
        <f t="array" ref="H4">+IF(OR(iAF="SI",schema="IV",schema="V",schema="VI"),"SI","NO")</f>
        <v>NO</v>
      </c>
      <c r="I4" s="2341" t="str" cm="1">
        <f t="array" ref="I4">+IF(OR(iAF="SI",schema="IV",schema="V",schema="VI"),"SI","NO")</f>
        <v>NO</v>
      </c>
      <c r="J4" s="2342" t="str" cm="1">
        <f t="array" ref="J4">+IF(OR(iAF="SI",schema="IV",schema="V",schema="VI"),"SI","NO")</f>
        <v>NO</v>
      </c>
      <c r="K4" s="2342" t="str" cm="1">
        <f t="array" ref="K4">+IF(OR(iAF="SI",schema="IV",schema="V",schema="VI"),"SI","NO")</f>
        <v>NO</v>
      </c>
      <c r="M4" s="125"/>
      <c r="N4" s="1482" t="b">
        <f t="array" aca="1" ref="N4" ca="1">+OR(INDEX(AmmortamentoFinanziario,0,14))</f>
        <v>0</v>
      </c>
      <c r="O4" s="125"/>
      <c r="P4" s="125"/>
      <c r="Q4" s="10"/>
      <c r="R4" s="10"/>
      <c r="S4" s="10"/>
      <c r="T4" s="10"/>
      <c r="U4" s="10"/>
      <c r="V4" s="10"/>
      <c r="W4" s="10"/>
      <c r="AB4" s="10"/>
      <c r="AJ4"/>
    </row>
    <row r="6" spans="1:36" ht="41.85" customHeight="1">
      <c r="K6" s="573"/>
    </row>
    <row r="7" spans="1:36" ht="52.35" customHeight="1">
      <c r="A7" s="547" t="s">
        <v>22741</v>
      </c>
      <c r="B7" s="798" t="s">
        <v>30405</v>
      </c>
      <c r="C7" s="798" t="s">
        <v>30393</v>
      </c>
      <c r="D7" s="798" t="s">
        <v>30392</v>
      </c>
      <c r="E7" s="798" t="s">
        <v>30394</v>
      </c>
      <c r="F7" s="2374" t="s">
        <v>31218</v>
      </c>
      <c r="G7" s="798" t="s">
        <v>31278</v>
      </c>
      <c r="H7" s="798" t="s">
        <v>30403</v>
      </c>
      <c r="I7" s="798" t="s">
        <v>30398</v>
      </c>
      <c r="J7" s="798" t="s">
        <v>30397</v>
      </c>
      <c r="K7" s="1784" t="s">
        <v>30399</v>
      </c>
      <c r="L7" s="798" t="s">
        <v>30402</v>
      </c>
      <c r="N7" s="538" t="s">
        <v>30400</v>
      </c>
    </row>
    <row r="8" spans="1:36" ht="24" customHeight="1">
      <c r="A8" s="532">
        <f>+ROW(A8)-7</f>
        <v>1</v>
      </c>
      <c r="B8" s="1778"/>
      <c r="C8" s="1778"/>
      <c r="D8" s="115"/>
      <c r="E8" s="1777"/>
      <c r="F8" s="1778"/>
      <c r="G8" s="2375" t="str">
        <f>+IF(B8="","",IF(F8="SI",C8-2,IF(OR(B8="1967-2011",B8&lt;2012),2011,B8)))</f>
        <v/>
      </c>
      <c r="H8" s="1780" t="str">
        <f>+IF(B8="","",G8&amp;"-"&amp;C8&amp;"-"&amp;I8&amp;IF(OR(B8="1967-2011",B8&lt;2020,F8="SI"),"_old","_new"))</f>
        <v/>
      </c>
      <c r="I8" s="1779" t="str">
        <f>+IFERROR(VLOOKUP(D8,IF(OR(IF(B8="1967-2011",2011,B8)&lt;2020,F8="SI"),id_cat_ces,imm_nuovi_inv),IF(OR(IF(B8="1967-2011",2011,B8)&lt;2020,F8="SI"),2,5),FALSE),"")</f>
        <v/>
      </c>
      <c r="J8" s="1781" t="str">
        <f>+IFERROR(IF(RIGHT(H8,4)="_old",VLOOKUP(I8,TT_Tabelle_Riferimento!$H$31:$I$50,2,FALSE),VLOOKUP(I8,TT_Tabelle_Riferimento!$D$127:$H$164,5,FALSE)),"")</f>
        <v/>
      </c>
      <c r="K8" s="1781" t="str">
        <f>+IFERROR(IF(VALUE(LEFT(H8,4))=2011,IF(iAF="","NO",iAF),IF(VLOOKUP(VALUE(LEFT(H8,4)),rif_metodo,3,FALSE)="","NO",VLOOKUP(VALUE(LEFT(H8,4)),rif_metodo,3,FALSE))),"")</f>
        <v/>
      </c>
      <c r="L8" s="1781" t="str">
        <f>+IFERROR(IF(AND(K8="SI",E8&gt;0),E8,J8),"")</f>
        <v/>
      </c>
      <c r="N8" s="685" t="b">
        <f>+IF(COUNTIFS(A:A,"&gt;0",G:G,G8,H:H,H8,I:I,I8)&lt;=1,FALSE,TRUE)</f>
        <v>0</v>
      </c>
    </row>
  </sheetData>
  <sheetProtection algorithmName="SHA-512" hashValue="l7rMOx9UDZljiEWuodTa1dDaPWA4W/lnSa+rx57X4421JYQS8/q5iTKH0Xj5fm5RmWJMLNQn6FblujTcq6HcUw==" saltValue="66chCw1xlmiEURonIV7FpQ==" spinCount="100000" sheet="1" objects="1" scenarios="1"/>
  <dataValidations count="6">
    <dataValidation type="list" allowBlank="1" showInputMessage="1" showErrorMessage="1" sqref="F4:K4" xr:uid="{BE8842E2-5EC6-431B-82A4-CD2D700E937D}">
      <formula1>"SI,NO"</formula1>
    </dataValidation>
    <dataValidation type="whole" operator="greaterThanOrEqual" allowBlank="1" showInputMessage="1" showErrorMessage="1" sqref="C8" xr:uid="{38F5BC51-6B51-4177-971D-A419D9BFDAA4}">
      <formula1>2011</formula1>
    </dataValidation>
    <dataValidation type="whole" operator="greaterThan" allowBlank="1" showInputMessage="1" showErrorMessage="1" sqref="E8" xr:uid="{3064B4A2-A893-434C-B9FD-F86232FB1216}">
      <formula1>0</formula1>
    </dataValidation>
    <dataValidation type="list" operator="greaterThanOrEqual" allowBlank="1" showInputMessage="1" showErrorMessage="1" sqref="B8" xr:uid="{ECDF987E-8E8D-457A-992B-9C07594144BF}">
      <formula1>"1967-2011,2012,2013,2014,2015,2016,2017,2018,2019,2020,2021,2022,2023,2024,2025,2026,2027"</formula1>
    </dataValidation>
    <dataValidation type="list" operator="greaterThanOrEqual" allowBlank="1" showInputMessage="1" showErrorMessage="1" sqref="F8" xr:uid="{CEE33462-9454-45E2-860D-6D81047473C4}">
      <formula1>si_no</formula1>
    </dataValidation>
    <dataValidation type="list" allowBlank="1" showInputMessage="1" showErrorMessage="1" sqref="D8" xr:uid="{EECEF8EB-3272-41F9-A612-9C4F3770B778}">
      <formula1>IF(OR(B8&lt;2020,B8="1967-2011",F8="SI"),CategorieCespiti,cat_imm_nuovi_inv)</formula1>
    </dataValidation>
  </dataValidations>
  <pageMargins left="0.7" right="0.7" top="0.75" bottom="0.75" header="0.3" footer="0.3"/>
  <pageSetup paperSize="9" orientation="portrait"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oglio4">
    <tabColor rgb="FFC5D9F1"/>
  </sheetPr>
  <dimension ref="A1:W10"/>
  <sheetViews>
    <sheetView showGridLines="0" zoomScale="85" zoomScaleNormal="85" workbookViewId="0"/>
  </sheetViews>
  <sheetFormatPr defaultColWidth="9.42578125" defaultRowHeight="16.5"/>
  <cols>
    <col min="1" max="1" width="6.5703125" style="556" customWidth="1"/>
    <col min="2" max="2" width="40.5703125" style="103" customWidth="1"/>
    <col min="3" max="9" width="20.5703125" style="103" customWidth="1"/>
    <col min="10" max="10" width="20.5703125" style="1305" customWidth="1"/>
    <col min="11" max="12" width="20.5703125" style="103" customWidth="1"/>
    <col min="13" max="13" width="5.5703125" style="103" customWidth="1"/>
    <col min="14" max="16" width="20.5703125" style="103" customWidth="1"/>
    <col min="17" max="17" width="38" style="103" customWidth="1"/>
    <col min="18" max="19" width="22.5703125" style="739" bestFit="1" customWidth="1"/>
    <col min="20" max="22" width="9.42578125" style="103"/>
    <col min="24" max="16384" width="9.42578125" style="103"/>
  </cols>
  <sheetData>
    <row r="1" spans="1:19" s="549" customFormat="1" ht="25.35" customHeight="1">
      <c r="A1" s="1589"/>
      <c r="B1" s="204" t="s">
        <v>25005</v>
      </c>
      <c r="J1" s="1300"/>
      <c r="M1" s="103"/>
      <c r="R1" s="278"/>
      <c r="S1" s="278"/>
    </row>
    <row r="2" spans="1:19" s="549" customFormat="1" ht="15" customHeight="1">
      <c r="A2" s="550"/>
      <c r="F2"/>
      <c r="G2"/>
      <c r="H2"/>
      <c r="I2"/>
      <c r="J2" s="7"/>
      <c r="K2"/>
      <c r="L2"/>
      <c r="M2"/>
      <c r="N2" s="1482" t="s">
        <v>26549</v>
      </c>
      <c r="O2"/>
      <c r="P2"/>
      <c r="Q2"/>
      <c r="S2" s="278"/>
    </row>
    <row r="3" spans="1:19" s="549" customFormat="1" ht="15" customHeight="1">
      <c r="A3" s="550"/>
      <c r="B3" s="486"/>
      <c r="C3" s="262"/>
      <c r="D3" s="262"/>
      <c r="E3" s="262"/>
      <c r="F3" s="262"/>
      <c r="G3" s="262"/>
      <c r="H3" s="262"/>
      <c r="I3" s="262"/>
      <c r="J3" s="1301"/>
      <c r="K3" s="262"/>
      <c r="L3" s="262"/>
      <c r="M3" s="103"/>
      <c r="N3" s="1482" t="b">
        <f t="array" ref="N3">+OR(S:S)</f>
        <v>0</v>
      </c>
      <c r="O3" s="262"/>
      <c r="P3" s="262"/>
      <c r="Q3" s="262"/>
      <c r="S3" s="278"/>
    </row>
    <row r="4" spans="1:19" s="549" customFormat="1" ht="15" customHeight="1">
      <c r="A4" s="550"/>
      <c r="B4" s="262" t="s">
        <v>25008</v>
      </c>
      <c r="J4" s="1300"/>
      <c r="M4" s="103"/>
      <c r="R4" s="278"/>
      <c r="S4" s="278"/>
    </row>
    <row r="5" spans="1:19" s="553" customFormat="1" ht="30" customHeight="1">
      <c r="A5" s="551"/>
      <c r="B5" s="1299" t="s">
        <v>25006</v>
      </c>
      <c r="C5" s="1299"/>
      <c r="D5" s="1299"/>
      <c r="E5" s="1299"/>
      <c r="F5" s="552"/>
      <c r="G5" s="552"/>
      <c r="H5" s="552"/>
      <c r="I5" s="552"/>
      <c r="J5" s="1302"/>
      <c r="K5" s="552"/>
      <c r="L5" s="552"/>
      <c r="M5" s="103"/>
      <c r="N5" s="552"/>
      <c r="O5" s="552"/>
      <c r="P5" s="552"/>
      <c r="Q5" s="552"/>
      <c r="R5" s="278"/>
      <c r="S5" s="278"/>
    </row>
    <row r="6" spans="1:19" s="553" customFormat="1" ht="15" customHeight="1">
      <c r="A6" s="551"/>
      <c r="J6" s="1303"/>
      <c r="M6" s="103"/>
      <c r="R6" s="278"/>
      <c r="S6" s="278"/>
    </row>
    <row r="7" spans="1:19" s="553" customFormat="1" ht="9.75" hidden="1" customHeight="1">
      <c r="A7" s="551"/>
      <c r="J7" s="1303"/>
      <c r="M7" s="103"/>
      <c r="R7" s="278"/>
      <c r="S7" s="278"/>
    </row>
    <row r="8" spans="1:19" s="549" customFormat="1" ht="26.25" hidden="1" customHeight="1">
      <c r="A8" s="550"/>
      <c r="J8" s="1300"/>
      <c r="M8" s="103"/>
      <c r="R8" s="278"/>
      <c r="S8" s="278"/>
    </row>
    <row r="9" spans="1:19" s="549" customFormat="1" ht="52.35" customHeight="1">
      <c r="A9" s="550"/>
      <c r="B9" s="114" t="s">
        <v>25007</v>
      </c>
      <c r="C9" s="114" t="s">
        <v>30509</v>
      </c>
      <c r="D9" s="114" t="s">
        <v>29590</v>
      </c>
      <c r="E9" s="114" t="s">
        <v>24803</v>
      </c>
      <c r="F9" s="114" t="s">
        <v>30510</v>
      </c>
      <c r="G9" s="502" t="s">
        <v>29634</v>
      </c>
      <c r="H9" s="502" t="s">
        <v>29635</v>
      </c>
      <c r="I9" s="502" t="s">
        <v>29636</v>
      </c>
      <c r="J9" s="1304" t="s">
        <v>31289</v>
      </c>
      <c r="K9" s="114" t="s">
        <v>24806</v>
      </c>
      <c r="L9" s="114" t="s">
        <v>31328</v>
      </c>
      <c r="M9" s="103"/>
      <c r="N9" s="123" t="s">
        <v>22832</v>
      </c>
      <c r="O9" s="123" t="s">
        <v>24893</v>
      </c>
      <c r="P9" s="123" t="s">
        <v>24843</v>
      </c>
      <c r="Q9" s="123" t="s">
        <v>27046</v>
      </c>
      <c r="R9" s="278"/>
      <c r="S9" s="738" t="s">
        <v>26549</v>
      </c>
    </row>
    <row r="10" spans="1:19" s="549" customFormat="1" ht="25.35" customHeight="1">
      <c r="A10" s="554">
        <f>+ROW(A10)-9</f>
        <v>1</v>
      </c>
      <c r="B10" s="336"/>
      <c r="C10" s="337"/>
      <c r="D10" s="337"/>
      <c r="E10" s="698"/>
      <c r="F10" s="698"/>
      <c r="G10" s="336"/>
      <c r="H10" s="336"/>
      <c r="I10" s="336"/>
      <c r="J10" s="139"/>
      <c r="K10" s="1307"/>
      <c r="L10" s="1307"/>
      <c r="M10" s="10"/>
      <c r="N10" s="555" t="str">
        <f>+IF(B10="","-",B10)</f>
        <v>-</v>
      </c>
      <c r="O10" s="2447" t="str">
        <f>+IF(C10="","-",C10)</f>
        <v>-</v>
      </c>
      <c r="P10" s="555" t="str">
        <f>+IF(J10="","-",J10)</f>
        <v>-</v>
      </c>
      <c r="Q10" s="1306" t="str">
        <f>+IF(Input_per_calcoli_finali!$K$25="","",Input_per_calcoli_finali!$K$25)</f>
        <v/>
      </c>
      <c r="R10" s="278"/>
      <c r="S10" s="738" t="b">
        <f>+AND((COUNTA(B10:E10)+COUNTA(G10:K10))&lt;&gt;9,COUNTA(B10:K10)&gt;0)</f>
        <v>0</v>
      </c>
    </row>
  </sheetData>
  <sheetProtection algorithmName="SHA-512" hashValue="wDdJnRAh4pYuKlMToq6AM0brAGsdvKiXQHZm7DhUHJFYsk+OtcBdAiv0wNkn2QMHaYF2t96tp70vEux+gxfWhw==" saltValue="f0FoY8svmI1biK5pJPDB6Q==" spinCount="100000" sheet="1" objects="1" scenarios="1"/>
  <customSheetViews>
    <customSheetView guid="{849F61E1-F6D3-48F4-A6FF-68F8FE186D80}" scale="85" showGridLines="0" hiddenRows="1">
      <pageMargins left="0.7" right="0.7" top="0.75" bottom="0.75" header="0.3" footer="0.3"/>
      <pageSetup paperSize="9" orientation="portrait" r:id="rId1"/>
    </customSheetView>
    <customSheetView guid="{1E1889AA-9C00-49BF-A07E-295053EABBEF}" scale="85" showGridLines="0" hiddenRows="1">
      <selection activeCell="B11" sqref="B11:L12"/>
      <pageMargins left="0.7" right="0.7" top="0.75" bottom="0.75" header="0.3" footer="0.3"/>
      <pageSetup paperSize="9" orientation="portrait" r:id="rId2"/>
    </customSheetView>
    <customSheetView guid="{83029BA9-344F-4783-B8F2-6704FB40A582}" scale="85" showGridLines="0" hiddenRows="1">
      <pageMargins left="0.7" right="0.7" top="0.75" bottom="0.75" header="0.3" footer="0.3"/>
      <pageSetup paperSize="9" orientation="portrait" r:id="rId3"/>
    </customSheetView>
  </customSheetViews>
  <dataValidations count="4">
    <dataValidation type="list" allowBlank="1" showInputMessage="1" showErrorMessage="1" sqref="G10:I10" xr:uid="{00000000-0002-0000-1200-000000000000}">
      <formula1>si_no</formula1>
    </dataValidation>
    <dataValidation type="list" allowBlank="1" showInputMessage="1" showErrorMessage="1" sqref="D10" xr:uid="{00000000-0002-0000-1200-000001000000}">
      <formula1>"Gestore,Grossista,Proprietario"</formula1>
    </dataValidation>
    <dataValidation type="list" allowBlank="1" showInputMessage="1" showErrorMessage="1" sqref="K10" xr:uid="{00000000-0002-0000-1200-000003000000}">
      <formula1>"Dati completi,Dati stimati"</formula1>
    </dataValidation>
    <dataValidation type="list" allowBlank="1" showInputMessage="1" showErrorMessage="1" sqref="L10" xr:uid="{D8E68E63-0E97-4EA8-816B-8B81F5304052}">
      <formula1>"2026,2027,2028,2029"</formula1>
    </dataValidation>
  </dataValidations>
  <pageMargins left="0.7" right="0.7" top="0.75" bottom="0.75" header="0.3" footer="0.3"/>
  <pageSetup paperSize="9" orientation="portrait" r:id="rId4"/>
  <drawing r:id="rId5"/>
  <legacyDrawing r:id="rId6"/>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glio33">
    <tabColor rgb="FFC5D9F1"/>
  </sheetPr>
  <dimension ref="A1:H8"/>
  <sheetViews>
    <sheetView showGridLines="0" zoomScale="85" zoomScaleNormal="85" workbookViewId="0"/>
  </sheetViews>
  <sheetFormatPr defaultRowHeight="15"/>
  <cols>
    <col min="1" max="1" width="6.5703125" customWidth="1"/>
    <col min="2" max="2" width="18.5703125" customWidth="1"/>
    <col min="3" max="3" width="45.5703125" customWidth="1"/>
    <col min="4" max="4" width="10.5703125" customWidth="1"/>
    <col min="5" max="5" width="18.5703125" customWidth="1"/>
    <col min="6" max="6" width="17" customWidth="1"/>
    <col min="7" max="7" width="19.5703125" customWidth="1"/>
    <col min="242" max="242" width="2.5703125" customWidth="1"/>
    <col min="243" max="243" width="8.42578125" customWidth="1"/>
    <col min="244" max="244" width="36.42578125" customWidth="1"/>
    <col min="245" max="246" width="17.5703125" customWidth="1"/>
    <col min="247" max="247" width="43" customWidth="1"/>
    <col min="248" max="248" width="7.42578125" customWidth="1"/>
    <col min="249" max="249" width="12.5703125" customWidth="1"/>
    <col min="250" max="250" width="9.42578125" customWidth="1"/>
    <col min="498" max="498" width="2.5703125" customWidth="1"/>
    <col min="499" max="499" width="8.42578125" customWidth="1"/>
    <col min="500" max="500" width="36.42578125" customWidth="1"/>
    <col min="501" max="502" width="17.5703125" customWidth="1"/>
    <col min="503" max="503" width="43" customWidth="1"/>
    <col min="504" max="504" width="7.42578125" customWidth="1"/>
    <col min="505" max="505" width="12.5703125" customWidth="1"/>
    <col min="506" max="506" width="9.42578125" customWidth="1"/>
    <col min="754" max="754" width="2.5703125" customWidth="1"/>
    <col min="755" max="755" width="8.42578125" customWidth="1"/>
    <col min="756" max="756" width="36.42578125" customWidth="1"/>
    <col min="757" max="758" width="17.5703125" customWidth="1"/>
    <col min="759" max="759" width="43" customWidth="1"/>
    <col min="760" max="760" width="7.42578125" customWidth="1"/>
    <col min="761" max="761" width="12.5703125" customWidth="1"/>
    <col min="762" max="762" width="9.42578125" customWidth="1"/>
    <col min="1010" max="1010" width="2.5703125" customWidth="1"/>
    <col min="1011" max="1011" width="8.42578125" customWidth="1"/>
    <col min="1012" max="1012" width="36.42578125" customWidth="1"/>
    <col min="1013" max="1014" width="17.5703125" customWidth="1"/>
    <col min="1015" max="1015" width="43" customWidth="1"/>
    <col min="1016" max="1016" width="7.42578125" customWidth="1"/>
    <col min="1017" max="1017" width="12.5703125" customWidth="1"/>
    <col min="1018" max="1018" width="9.42578125" customWidth="1"/>
    <col min="1266" max="1266" width="2.5703125" customWidth="1"/>
    <col min="1267" max="1267" width="8.42578125" customWidth="1"/>
    <col min="1268" max="1268" width="36.42578125" customWidth="1"/>
    <col min="1269" max="1270" width="17.5703125" customWidth="1"/>
    <col min="1271" max="1271" width="43" customWidth="1"/>
    <col min="1272" max="1272" width="7.42578125" customWidth="1"/>
    <col min="1273" max="1273" width="12.5703125" customWidth="1"/>
    <col min="1274" max="1274" width="9.42578125" customWidth="1"/>
    <col min="1522" max="1522" width="2.5703125" customWidth="1"/>
    <col min="1523" max="1523" width="8.42578125" customWidth="1"/>
    <col min="1524" max="1524" width="36.42578125" customWidth="1"/>
    <col min="1525" max="1526" width="17.5703125" customWidth="1"/>
    <col min="1527" max="1527" width="43" customWidth="1"/>
    <col min="1528" max="1528" width="7.42578125" customWidth="1"/>
    <col min="1529" max="1529" width="12.5703125" customWidth="1"/>
    <col min="1530" max="1530" width="9.42578125" customWidth="1"/>
    <col min="1778" max="1778" width="2.5703125" customWidth="1"/>
    <col min="1779" max="1779" width="8.42578125" customWidth="1"/>
    <col min="1780" max="1780" width="36.42578125" customWidth="1"/>
    <col min="1781" max="1782" width="17.5703125" customWidth="1"/>
    <col min="1783" max="1783" width="43" customWidth="1"/>
    <col min="1784" max="1784" width="7.42578125" customWidth="1"/>
    <col min="1785" max="1785" width="12.5703125" customWidth="1"/>
    <col min="1786" max="1786" width="9.42578125" customWidth="1"/>
    <col min="2034" max="2034" width="2.5703125" customWidth="1"/>
    <col min="2035" max="2035" width="8.42578125" customWidth="1"/>
    <col min="2036" max="2036" width="36.42578125" customWidth="1"/>
    <col min="2037" max="2038" width="17.5703125" customWidth="1"/>
    <col min="2039" max="2039" width="43" customWidth="1"/>
    <col min="2040" max="2040" width="7.42578125" customWidth="1"/>
    <col min="2041" max="2041" width="12.5703125" customWidth="1"/>
    <col min="2042" max="2042" width="9.42578125" customWidth="1"/>
    <col min="2290" max="2290" width="2.5703125" customWidth="1"/>
    <col min="2291" max="2291" width="8.42578125" customWidth="1"/>
    <col min="2292" max="2292" width="36.42578125" customWidth="1"/>
    <col min="2293" max="2294" width="17.5703125" customWidth="1"/>
    <col min="2295" max="2295" width="43" customWidth="1"/>
    <col min="2296" max="2296" width="7.42578125" customWidth="1"/>
    <col min="2297" max="2297" width="12.5703125" customWidth="1"/>
    <col min="2298" max="2298" width="9.42578125" customWidth="1"/>
    <col min="2546" max="2546" width="2.5703125" customWidth="1"/>
    <col min="2547" max="2547" width="8.42578125" customWidth="1"/>
    <col min="2548" max="2548" width="36.42578125" customWidth="1"/>
    <col min="2549" max="2550" width="17.5703125" customWidth="1"/>
    <col min="2551" max="2551" width="43" customWidth="1"/>
    <col min="2552" max="2552" width="7.42578125" customWidth="1"/>
    <col min="2553" max="2553" width="12.5703125" customWidth="1"/>
    <col min="2554" max="2554" width="9.42578125" customWidth="1"/>
    <col min="2802" max="2802" width="2.5703125" customWidth="1"/>
    <col min="2803" max="2803" width="8.42578125" customWidth="1"/>
    <col min="2804" max="2804" width="36.42578125" customWidth="1"/>
    <col min="2805" max="2806" width="17.5703125" customWidth="1"/>
    <col min="2807" max="2807" width="43" customWidth="1"/>
    <col min="2808" max="2808" width="7.42578125" customWidth="1"/>
    <col min="2809" max="2809" width="12.5703125" customWidth="1"/>
    <col min="2810" max="2810" width="9.42578125" customWidth="1"/>
    <col min="3058" max="3058" width="2.5703125" customWidth="1"/>
    <col min="3059" max="3059" width="8.42578125" customWidth="1"/>
    <col min="3060" max="3060" width="36.42578125" customWidth="1"/>
    <col min="3061" max="3062" width="17.5703125" customWidth="1"/>
    <col min="3063" max="3063" width="43" customWidth="1"/>
    <col min="3064" max="3064" width="7.42578125" customWidth="1"/>
    <col min="3065" max="3065" width="12.5703125" customWidth="1"/>
    <col min="3066" max="3066" width="9.42578125" customWidth="1"/>
    <col min="3314" max="3314" width="2.5703125" customWidth="1"/>
    <col min="3315" max="3315" width="8.42578125" customWidth="1"/>
    <col min="3316" max="3316" width="36.42578125" customWidth="1"/>
    <col min="3317" max="3318" width="17.5703125" customWidth="1"/>
    <col min="3319" max="3319" width="43" customWidth="1"/>
    <col min="3320" max="3320" width="7.42578125" customWidth="1"/>
    <col min="3321" max="3321" width="12.5703125" customWidth="1"/>
    <col min="3322" max="3322" width="9.42578125" customWidth="1"/>
    <col min="3570" max="3570" width="2.5703125" customWidth="1"/>
    <col min="3571" max="3571" width="8.42578125" customWidth="1"/>
    <col min="3572" max="3572" width="36.42578125" customWidth="1"/>
    <col min="3573" max="3574" width="17.5703125" customWidth="1"/>
    <col min="3575" max="3575" width="43" customWidth="1"/>
    <col min="3576" max="3576" width="7.42578125" customWidth="1"/>
    <col min="3577" max="3577" width="12.5703125" customWidth="1"/>
    <col min="3578" max="3578" width="9.42578125" customWidth="1"/>
    <col min="3826" max="3826" width="2.5703125" customWidth="1"/>
    <col min="3827" max="3827" width="8.42578125" customWidth="1"/>
    <col min="3828" max="3828" width="36.42578125" customWidth="1"/>
    <col min="3829" max="3830" width="17.5703125" customWidth="1"/>
    <col min="3831" max="3831" width="43" customWidth="1"/>
    <col min="3832" max="3832" width="7.42578125" customWidth="1"/>
    <col min="3833" max="3833" width="12.5703125" customWidth="1"/>
    <col min="3834" max="3834" width="9.42578125" customWidth="1"/>
    <col min="4082" max="4082" width="2.5703125" customWidth="1"/>
    <col min="4083" max="4083" width="8.42578125" customWidth="1"/>
    <col min="4084" max="4084" width="36.42578125" customWidth="1"/>
    <col min="4085" max="4086" width="17.5703125" customWidth="1"/>
    <col min="4087" max="4087" width="43" customWidth="1"/>
    <col min="4088" max="4088" width="7.42578125" customWidth="1"/>
    <col min="4089" max="4089" width="12.5703125" customWidth="1"/>
    <col min="4090" max="4090" width="9.42578125" customWidth="1"/>
    <col min="4338" max="4338" width="2.5703125" customWidth="1"/>
    <col min="4339" max="4339" width="8.42578125" customWidth="1"/>
    <col min="4340" max="4340" width="36.42578125" customWidth="1"/>
    <col min="4341" max="4342" width="17.5703125" customWidth="1"/>
    <col min="4343" max="4343" width="43" customWidth="1"/>
    <col min="4344" max="4344" width="7.42578125" customWidth="1"/>
    <col min="4345" max="4345" width="12.5703125" customWidth="1"/>
    <col min="4346" max="4346" width="9.42578125" customWidth="1"/>
    <col min="4594" max="4594" width="2.5703125" customWidth="1"/>
    <col min="4595" max="4595" width="8.42578125" customWidth="1"/>
    <col min="4596" max="4596" width="36.42578125" customWidth="1"/>
    <col min="4597" max="4598" width="17.5703125" customWidth="1"/>
    <col min="4599" max="4599" width="43" customWidth="1"/>
    <col min="4600" max="4600" width="7.42578125" customWidth="1"/>
    <col min="4601" max="4601" width="12.5703125" customWidth="1"/>
    <col min="4602" max="4602" width="9.42578125" customWidth="1"/>
    <col min="4850" max="4850" width="2.5703125" customWidth="1"/>
    <col min="4851" max="4851" width="8.42578125" customWidth="1"/>
    <col min="4852" max="4852" width="36.42578125" customWidth="1"/>
    <col min="4853" max="4854" width="17.5703125" customWidth="1"/>
    <col min="4855" max="4855" width="43" customWidth="1"/>
    <col min="4856" max="4856" width="7.42578125" customWidth="1"/>
    <col min="4857" max="4857" width="12.5703125" customWidth="1"/>
    <col min="4858" max="4858" width="9.42578125" customWidth="1"/>
    <col min="5106" max="5106" width="2.5703125" customWidth="1"/>
    <col min="5107" max="5107" width="8.42578125" customWidth="1"/>
    <col min="5108" max="5108" width="36.42578125" customWidth="1"/>
    <col min="5109" max="5110" width="17.5703125" customWidth="1"/>
    <col min="5111" max="5111" width="43" customWidth="1"/>
    <col min="5112" max="5112" width="7.42578125" customWidth="1"/>
    <col min="5113" max="5113" width="12.5703125" customWidth="1"/>
    <col min="5114" max="5114" width="9.42578125" customWidth="1"/>
    <col min="5362" max="5362" width="2.5703125" customWidth="1"/>
    <col min="5363" max="5363" width="8.42578125" customWidth="1"/>
    <col min="5364" max="5364" width="36.42578125" customWidth="1"/>
    <col min="5365" max="5366" width="17.5703125" customWidth="1"/>
    <col min="5367" max="5367" width="43" customWidth="1"/>
    <col min="5368" max="5368" width="7.42578125" customWidth="1"/>
    <col min="5369" max="5369" width="12.5703125" customWidth="1"/>
    <col min="5370" max="5370" width="9.42578125" customWidth="1"/>
    <col min="5618" max="5618" width="2.5703125" customWidth="1"/>
    <col min="5619" max="5619" width="8.42578125" customWidth="1"/>
    <col min="5620" max="5620" width="36.42578125" customWidth="1"/>
    <col min="5621" max="5622" width="17.5703125" customWidth="1"/>
    <col min="5623" max="5623" width="43" customWidth="1"/>
    <col min="5624" max="5624" width="7.42578125" customWidth="1"/>
    <col min="5625" max="5625" width="12.5703125" customWidth="1"/>
    <col min="5626" max="5626" width="9.42578125" customWidth="1"/>
    <col min="5874" max="5874" width="2.5703125" customWidth="1"/>
    <col min="5875" max="5875" width="8.42578125" customWidth="1"/>
    <col min="5876" max="5876" width="36.42578125" customWidth="1"/>
    <col min="5877" max="5878" width="17.5703125" customWidth="1"/>
    <col min="5879" max="5879" width="43" customWidth="1"/>
    <col min="5880" max="5880" width="7.42578125" customWidth="1"/>
    <col min="5881" max="5881" width="12.5703125" customWidth="1"/>
    <col min="5882" max="5882" width="9.42578125" customWidth="1"/>
    <col min="6130" max="6130" width="2.5703125" customWidth="1"/>
    <col min="6131" max="6131" width="8.42578125" customWidth="1"/>
    <col min="6132" max="6132" width="36.42578125" customWidth="1"/>
    <col min="6133" max="6134" width="17.5703125" customWidth="1"/>
    <col min="6135" max="6135" width="43" customWidth="1"/>
    <col min="6136" max="6136" width="7.42578125" customWidth="1"/>
    <col min="6137" max="6137" width="12.5703125" customWidth="1"/>
    <col min="6138" max="6138" width="9.42578125" customWidth="1"/>
    <col min="6386" max="6386" width="2.5703125" customWidth="1"/>
    <col min="6387" max="6387" width="8.42578125" customWidth="1"/>
    <col min="6388" max="6388" width="36.42578125" customWidth="1"/>
    <col min="6389" max="6390" width="17.5703125" customWidth="1"/>
    <col min="6391" max="6391" width="43" customWidth="1"/>
    <col min="6392" max="6392" width="7.42578125" customWidth="1"/>
    <col min="6393" max="6393" width="12.5703125" customWidth="1"/>
    <col min="6394" max="6394" width="9.42578125" customWidth="1"/>
    <col min="6642" max="6642" width="2.5703125" customWidth="1"/>
    <col min="6643" max="6643" width="8.42578125" customWidth="1"/>
    <col min="6644" max="6644" width="36.42578125" customWidth="1"/>
    <col min="6645" max="6646" width="17.5703125" customWidth="1"/>
    <col min="6647" max="6647" width="43" customWidth="1"/>
    <col min="6648" max="6648" width="7.42578125" customWidth="1"/>
    <col min="6649" max="6649" width="12.5703125" customWidth="1"/>
    <col min="6650" max="6650" width="9.42578125" customWidth="1"/>
    <col min="6898" max="6898" width="2.5703125" customWidth="1"/>
    <col min="6899" max="6899" width="8.42578125" customWidth="1"/>
    <col min="6900" max="6900" width="36.42578125" customWidth="1"/>
    <col min="6901" max="6902" width="17.5703125" customWidth="1"/>
    <col min="6903" max="6903" width="43" customWidth="1"/>
    <col min="6904" max="6904" width="7.42578125" customWidth="1"/>
    <col min="6905" max="6905" width="12.5703125" customWidth="1"/>
    <col min="6906" max="6906" width="9.42578125" customWidth="1"/>
    <col min="7154" max="7154" width="2.5703125" customWidth="1"/>
    <col min="7155" max="7155" width="8.42578125" customWidth="1"/>
    <col min="7156" max="7156" width="36.42578125" customWidth="1"/>
    <col min="7157" max="7158" width="17.5703125" customWidth="1"/>
    <col min="7159" max="7159" width="43" customWidth="1"/>
    <col min="7160" max="7160" width="7.42578125" customWidth="1"/>
    <col min="7161" max="7161" width="12.5703125" customWidth="1"/>
    <col min="7162" max="7162" width="9.42578125" customWidth="1"/>
    <col min="7410" max="7410" width="2.5703125" customWidth="1"/>
    <col min="7411" max="7411" width="8.42578125" customWidth="1"/>
    <col min="7412" max="7412" width="36.42578125" customWidth="1"/>
    <col min="7413" max="7414" width="17.5703125" customWidth="1"/>
    <col min="7415" max="7415" width="43" customWidth="1"/>
    <col min="7416" max="7416" width="7.42578125" customWidth="1"/>
    <col min="7417" max="7417" width="12.5703125" customWidth="1"/>
    <col min="7418" max="7418" width="9.42578125" customWidth="1"/>
    <col min="7666" max="7666" width="2.5703125" customWidth="1"/>
    <col min="7667" max="7667" width="8.42578125" customWidth="1"/>
    <col min="7668" max="7668" width="36.42578125" customWidth="1"/>
    <col min="7669" max="7670" width="17.5703125" customWidth="1"/>
    <col min="7671" max="7671" width="43" customWidth="1"/>
    <col min="7672" max="7672" width="7.42578125" customWidth="1"/>
    <col min="7673" max="7673" width="12.5703125" customWidth="1"/>
    <col min="7674" max="7674" width="9.42578125" customWidth="1"/>
    <col min="7922" max="7922" width="2.5703125" customWidth="1"/>
    <col min="7923" max="7923" width="8.42578125" customWidth="1"/>
    <col min="7924" max="7924" width="36.42578125" customWidth="1"/>
    <col min="7925" max="7926" width="17.5703125" customWidth="1"/>
    <col min="7927" max="7927" width="43" customWidth="1"/>
    <col min="7928" max="7928" width="7.42578125" customWidth="1"/>
    <col min="7929" max="7929" width="12.5703125" customWidth="1"/>
    <col min="7930" max="7930" width="9.42578125" customWidth="1"/>
    <col min="8178" max="8178" width="2.5703125" customWidth="1"/>
    <col min="8179" max="8179" width="8.42578125" customWidth="1"/>
    <col min="8180" max="8180" width="36.42578125" customWidth="1"/>
    <col min="8181" max="8182" width="17.5703125" customWidth="1"/>
    <col min="8183" max="8183" width="43" customWidth="1"/>
    <col min="8184" max="8184" width="7.42578125" customWidth="1"/>
    <col min="8185" max="8185" width="12.5703125" customWidth="1"/>
    <col min="8186" max="8186" width="9.42578125" customWidth="1"/>
    <col min="8434" max="8434" width="2.5703125" customWidth="1"/>
    <col min="8435" max="8435" width="8.42578125" customWidth="1"/>
    <col min="8436" max="8436" width="36.42578125" customWidth="1"/>
    <col min="8437" max="8438" width="17.5703125" customWidth="1"/>
    <col min="8439" max="8439" width="43" customWidth="1"/>
    <col min="8440" max="8440" width="7.42578125" customWidth="1"/>
    <col min="8441" max="8441" width="12.5703125" customWidth="1"/>
    <col min="8442" max="8442" width="9.42578125" customWidth="1"/>
    <col min="8690" max="8690" width="2.5703125" customWidth="1"/>
    <col min="8691" max="8691" width="8.42578125" customWidth="1"/>
    <col min="8692" max="8692" width="36.42578125" customWidth="1"/>
    <col min="8693" max="8694" width="17.5703125" customWidth="1"/>
    <col min="8695" max="8695" width="43" customWidth="1"/>
    <col min="8696" max="8696" width="7.42578125" customWidth="1"/>
    <col min="8697" max="8697" width="12.5703125" customWidth="1"/>
    <col min="8698" max="8698" width="9.42578125" customWidth="1"/>
    <col min="8946" max="8946" width="2.5703125" customWidth="1"/>
    <col min="8947" max="8947" width="8.42578125" customWidth="1"/>
    <col min="8948" max="8948" width="36.42578125" customWidth="1"/>
    <col min="8949" max="8950" width="17.5703125" customWidth="1"/>
    <col min="8951" max="8951" width="43" customWidth="1"/>
    <col min="8952" max="8952" width="7.42578125" customWidth="1"/>
    <col min="8953" max="8953" width="12.5703125" customWidth="1"/>
    <col min="8954" max="8954" width="9.42578125" customWidth="1"/>
    <col min="9202" max="9202" width="2.5703125" customWidth="1"/>
    <col min="9203" max="9203" width="8.42578125" customWidth="1"/>
    <col min="9204" max="9204" width="36.42578125" customWidth="1"/>
    <col min="9205" max="9206" width="17.5703125" customWidth="1"/>
    <col min="9207" max="9207" width="43" customWidth="1"/>
    <col min="9208" max="9208" width="7.42578125" customWidth="1"/>
    <col min="9209" max="9209" width="12.5703125" customWidth="1"/>
    <col min="9210" max="9210" width="9.42578125" customWidth="1"/>
    <col min="9458" max="9458" width="2.5703125" customWidth="1"/>
    <col min="9459" max="9459" width="8.42578125" customWidth="1"/>
    <col min="9460" max="9460" width="36.42578125" customWidth="1"/>
    <col min="9461" max="9462" width="17.5703125" customWidth="1"/>
    <col min="9463" max="9463" width="43" customWidth="1"/>
    <col min="9464" max="9464" width="7.42578125" customWidth="1"/>
    <col min="9465" max="9465" width="12.5703125" customWidth="1"/>
    <col min="9466" max="9466" width="9.42578125" customWidth="1"/>
    <col min="9714" max="9714" width="2.5703125" customWidth="1"/>
    <col min="9715" max="9715" width="8.42578125" customWidth="1"/>
    <col min="9716" max="9716" width="36.42578125" customWidth="1"/>
    <col min="9717" max="9718" width="17.5703125" customWidth="1"/>
    <col min="9719" max="9719" width="43" customWidth="1"/>
    <col min="9720" max="9720" width="7.42578125" customWidth="1"/>
    <col min="9721" max="9721" width="12.5703125" customWidth="1"/>
    <col min="9722" max="9722" width="9.42578125" customWidth="1"/>
    <col min="9970" max="9970" width="2.5703125" customWidth="1"/>
    <col min="9971" max="9971" width="8.42578125" customWidth="1"/>
    <col min="9972" max="9972" width="36.42578125" customWidth="1"/>
    <col min="9973" max="9974" width="17.5703125" customWidth="1"/>
    <col min="9975" max="9975" width="43" customWidth="1"/>
    <col min="9976" max="9976" width="7.42578125" customWidth="1"/>
    <col min="9977" max="9977" width="12.5703125" customWidth="1"/>
    <col min="9978" max="9978" width="9.42578125" customWidth="1"/>
    <col min="10226" max="10226" width="2.5703125" customWidth="1"/>
    <col min="10227" max="10227" width="8.42578125" customWidth="1"/>
    <col min="10228" max="10228" width="36.42578125" customWidth="1"/>
    <col min="10229" max="10230" width="17.5703125" customWidth="1"/>
    <col min="10231" max="10231" width="43" customWidth="1"/>
    <col min="10232" max="10232" width="7.42578125" customWidth="1"/>
    <col min="10233" max="10233" width="12.5703125" customWidth="1"/>
    <col min="10234" max="10234" width="9.42578125" customWidth="1"/>
    <col min="10482" max="10482" width="2.5703125" customWidth="1"/>
    <col min="10483" max="10483" width="8.42578125" customWidth="1"/>
    <col min="10484" max="10484" width="36.42578125" customWidth="1"/>
    <col min="10485" max="10486" width="17.5703125" customWidth="1"/>
    <col min="10487" max="10487" width="43" customWidth="1"/>
    <col min="10488" max="10488" width="7.42578125" customWidth="1"/>
    <col min="10489" max="10489" width="12.5703125" customWidth="1"/>
    <col min="10490" max="10490" width="9.42578125" customWidth="1"/>
    <col min="10738" max="10738" width="2.5703125" customWidth="1"/>
    <col min="10739" max="10739" width="8.42578125" customWidth="1"/>
    <col min="10740" max="10740" width="36.42578125" customWidth="1"/>
    <col min="10741" max="10742" width="17.5703125" customWidth="1"/>
    <col min="10743" max="10743" width="43" customWidth="1"/>
    <col min="10744" max="10744" width="7.42578125" customWidth="1"/>
    <col min="10745" max="10745" width="12.5703125" customWidth="1"/>
    <col min="10746" max="10746" width="9.42578125" customWidth="1"/>
    <col min="10994" max="10994" width="2.5703125" customWidth="1"/>
    <col min="10995" max="10995" width="8.42578125" customWidth="1"/>
    <col min="10996" max="10996" width="36.42578125" customWidth="1"/>
    <col min="10997" max="10998" width="17.5703125" customWidth="1"/>
    <col min="10999" max="10999" width="43" customWidth="1"/>
    <col min="11000" max="11000" width="7.42578125" customWidth="1"/>
    <col min="11001" max="11001" width="12.5703125" customWidth="1"/>
    <col min="11002" max="11002" width="9.42578125" customWidth="1"/>
    <col min="11250" max="11250" width="2.5703125" customWidth="1"/>
    <col min="11251" max="11251" width="8.42578125" customWidth="1"/>
    <col min="11252" max="11252" width="36.42578125" customWidth="1"/>
    <col min="11253" max="11254" width="17.5703125" customWidth="1"/>
    <col min="11255" max="11255" width="43" customWidth="1"/>
    <col min="11256" max="11256" width="7.42578125" customWidth="1"/>
    <col min="11257" max="11257" width="12.5703125" customWidth="1"/>
    <col min="11258" max="11258" width="9.42578125" customWidth="1"/>
    <col min="11506" max="11506" width="2.5703125" customWidth="1"/>
    <col min="11507" max="11507" width="8.42578125" customWidth="1"/>
    <col min="11508" max="11508" width="36.42578125" customWidth="1"/>
    <col min="11509" max="11510" width="17.5703125" customWidth="1"/>
    <col min="11511" max="11511" width="43" customWidth="1"/>
    <col min="11512" max="11512" width="7.42578125" customWidth="1"/>
    <col min="11513" max="11513" width="12.5703125" customWidth="1"/>
    <col min="11514" max="11514" width="9.42578125" customWidth="1"/>
    <col min="11762" max="11762" width="2.5703125" customWidth="1"/>
    <col min="11763" max="11763" width="8.42578125" customWidth="1"/>
    <col min="11764" max="11764" width="36.42578125" customWidth="1"/>
    <col min="11765" max="11766" width="17.5703125" customWidth="1"/>
    <col min="11767" max="11767" width="43" customWidth="1"/>
    <col min="11768" max="11768" width="7.42578125" customWidth="1"/>
    <col min="11769" max="11769" width="12.5703125" customWidth="1"/>
    <col min="11770" max="11770" width="9.42578125" customWidth="1"/>
    <col min="12018" max="12018" width="2.5703125" customWidth="1"/>
    <col min="12019" max="12019" width="8.42578125" customWidth="1"/>
    <col min="12020" max="12020" width="36.42578125" customWidth="1"/>
    <col min="12021" max="12022" width="17.5703125" customWidth="1"/>
    <col min="12023" max="12023" width="43" customWidth="1"/>
    <col min="12024" max="12024" width="7.42578125" customWidth="1"/>
    <col min="12025" max="12025" width="12.5703125" customWidth="1"/>
    <col min="12026" max="12026" width="9.42578125" customWidth="1"/>
    <col min="12274" max="12274" width="2.5703125" customWidth="1"/>
    <col min="12275" max="12275" width="8.42578125" customWidth="1"/>
    <col min="12276" max="12276" width="36.42578125" customWidth="1"/>
    <col min="12277" max="12278" width="17.5703125" customWidth="1"/>
    <col min="12279" max="12279" width="43" customWidth="1"/>
    <col min="12280" max="12280" width="7.42578125" customWidth="1"/>
    <col min="12281" max="12281" width="12.5703125" customWidth="1"/>
    <col min="12282" max="12282" width="9.42578125" customWidth="1"/>
    <col min="12530" max="12530" width="2.5703125" customWidth="1"/>
    <col min="12531" max="12531" width="8.42578125" customWidth="1"/>
    <col min="12532" max="12532" width="36.42578125" customWidth="1"/>
    <col min="12533" max="12534" width="17.5703125" customWidth="1"/>
    <col min="12535" max="12535" width="43" customWidth="1"/>
    <col min="12536" max="12536" width="7.42578125" customWidth="1"/>
    <col min="12537" max="12537" width="12.5703125" customWidth="1"/>
    <col min="12538" max="12538" width="9.42578125" customWidth="1"/>
    <col min="12786" max="12786" width="2.5703125" customWidth="1"/>
    <col min="12787" max="12787" width="8.42578125" customWidth="1"/>
    <col min="12788" max="12788" width="36.42578125" customWidth="1"/>
    <col min="12789" max="12790" width="17.5703125" customWidth="1"/>
    <col min="12791" max="12791" width="43" customWidth="1"/>
    <col min="12792" max="12792" width="7.42578125" customWidth="1"/>
    <col min="12793" max="12793" width="12.5703125" customWidth="1"/>
    <col min="12794" max="12794" width="9.42578125" customWidth="1"/>
    <col min="13042" max="13042" width="2.5703125" customWidth="1"/>
    <col min="13043" max="13043" width="8.42578125" customWidth="1"/>
    <col min="13044" max="13044" width="36.42578125" customWidth="1"/>
    <col min="13045" max="13046" width="17.5703125" customWidth="1"/>
    <col min="13047" max="13047" width="43" customWidth="1"/>
    <col min="13048" max="13048" width="7.42578125" customWidth="1"/>
    <col min="13049" max="13049" width="12.5703125" customWidth="1"/>
    <col min="13050" max="13050" width="9.42578125" customWidth="1"/>
    <col min="13298" max="13298" width="2.5703125" customWidth="1"/>
    <col min="13299" max="13299" width="8.42578125" customWidth="1"/>
    <col min="13300" max="13300" width="36.42578125" customWidth="1"/>
    <col min="13301" max="13302" width="17.5703125" customWidth="1"/>
    <col min="13303" max="13303" width="43" customWidth="1"/>
    <col min="13304" max="13304" width="7.42578125" customWidth="1"/>
    <col min="13305" max="13305" width="12.5703125" customWidth="1"/>
    <col min="13306" max="13306" width="9.42578125" customWidth="1"/>
    <col min="13554" max="13554" width="2.5703125" customWidth="1"/>
    <col min="13555" max="13555" width="8.42578125" customWidth="1"/>
    <col min="13556" max="13556" width="36.42578125" customWidth="1"/>
    <col min="13557" max="13558" width="17.5703125" customWidth="1"/>
    <col min="13559" max="13559" width="43" customWidth="1"/>
    <col min="13560" max="13560" width="7.42578125" customWidth="1"/>
    <col min="13561" max="13561" width="12.5703125" customWidth="1"/>
    <col min="13562" max="13562" width="9.42578125" customWidth="1"/>
    <col min="13810" max="13810" width="2.5703125" customWidth="1"/>
    <col min="13811" max="13811" width="8.42578125" customWidth="1"/>
    <col min="13812" max="13812" width="36.42578125" customWidth="1"/>
    <col min="13813" max="13814" width="17.5703125" customWidth="1"/>
    <col min="13815" max="13815" width="43" customWidth="1"/>
    <col min="13816" max="13816" width="7.42578125" customWidth="1"/>
    <col min="13817" max="13817" width="12.5703125" customWidth="1"/>
    <col min="13818" max="13818" width="9.42578125" customWidth="1"/>
    <col min="14066" max="14066" width="2.5703125" customWidth="1"/>
    <col min="14067" max="14067" width="8.42578125" customWidth="1"/>
    <col min="14068" max="14068" width="36.42578125" customWidth="1"/>
    <col min="14069" max="14070" width="17.5703125" customWidth="1"/>
    <col min="14071" max="14071" width="43" customWidth="1"/>
    <col min="14072" max="14072" width="7.42578125" customWidth="1"/>
    <col min="14073" max="14073" width="12.5703125" customWidth="1"/>
    <col min="14074" max="14074" width="9.42578125" customWidth="1"/>
    <col min="14322" max="14322" width="2.5703125" customWidth="1"/>
    <col min="14323" max="14323" width="8.42578125" customWidth="1"/>
    <col min="14324" max="14324" width="36.42578125" customWidth="1"/>
    <col min="14325" max="14326" width="17.5703125" customWidth="1"/>
    <col min="14327" max="14327" width="43" customWidth="1"/>
    <col min="14328" max="14328" width="7.42578125" customWidth="1"/>
    <col min="14329" max="14329" width="12.5703125" customWidth="1"/>
    <col min="14330" max="14330" width="9.42578125" customWidth="1"/>
    <col min="14578" max="14578" width="2.5703125" customWidth="1"/>
    <col min="14579" max="14579" width="8.42578125" customWidth="1"/>
    <col min="14580" max="14580" width="36.42578125" customWidth="1"/>
    <col min="14581" max="14582" width="17.5703125" customWidth="1"/>
    <col min="14583" max="14583" width="43" customWidth="1"/>
    <col min="14584" max="14584" width="7.42578125" customWidth="1"/>
    <col min="14585" max="14585" width="12.5703125" customWidth="1"/>
    <col min="14586" max="14586" width="9.42578125" customWidth="1"/>
    <col min="14834" max="14834" width="2.5703125" customWidth="1"/>
    <col min="14835" max="14835" width="8.42578125" customWidth="1"/>
    <col min="14836" max="14836" width="36.42578125" customWidth="1"/>
    <col min="14837" max="14838" width="17.5703125" customWidth="1"/>
    <col min="14839" max="14839" width="43" customWidth="1"/>
    <col min="14840" max="14840" width="7.42578125" customWidth="1"/>
    <col min="14841" max="14841" width="12.5703125" customWidth="1"/>
    <col min="14842" max="14842" width="9.42578125" customWidth="1"/>
    <col min="15090" max="15090" width="2.5703125" customWidth="1"/>
    <col min="15091" max="15091" width="8.42578125" customWidth="1"/>
    <col min="15092" max="15092" width="36.42578125" customWidth="1"/>
    <col min="15093" max="15094" width="17.5703125" customWidth="1"/>
    <col min="15095" max="15095" width="43" customWidth="1"/>
    <col min="15096" max="15096" width="7.42578125" customWidth="1"/>
    <col min="15097" max="15097" width="12.5703125" customWidth="1"/>
    <col min="15098" max="15098" width="9.42578125" customWidth="1"/>
    <col min="15346" max="15346" width="2.5703125" customWidth="1"/>
    <col min="15347" max="15347" width="8.42578125" customWidth="1"/>
    <col min="15348" max="15348" width="36.42578125" customWidth="1"/>
    <col min="15349" max="15350" width="17.5703125" customWidth="1"/>
    <col min="15351" max="15351" width="43" customWidth="1"/>
    <col min="15352" max="15352" width="7.42578125" customWidth="1"/>
    <col min="15353" max="15353" width="12.5703125" customWidth="1"/>
    <col min="15354" max="15354" width="9.42578125" customWidth="1"/>
    <col min="15602" max="15602" width="2.5703125" customWidth="1"/>
    <col min="15603" max="15603" width="8.42578125" customWidth="1"/>
    <col min="15604" max="15604" width="36.42578125" customWidth="1"/>
    <col min="15605" max="15606" width="17.5703125" customWidth="1"/>
    <col min="15607" max="15607" width="43" customWidth="1"/>
    <col min="15608" max="15608" width="7.42578125" customWidth="1"/>
    <col min="15609" max="15609" width="12.5703125" customWidth="1"/>
    <col min="15610" max="15610" width="9.42578125" customWidth="1"/>
    <col min="15858" max="15858" width="2.5703125" customWidth="1"/>
    <col min="15859" max="15859" width="8.42578125" customWidth="1"/>
    <col min="15860" max="15860" width="36.42578125" customWidth="1"/>
    <col min="15861" max="15862" width="17.5703125" customWidth="1"/>
    <col min="15863" max="15863" width="43" customWidth="1"/>
    <col min="15864" max="15864" width="7.42578125" customWidth="1"/>
    <col min="15865" max="15865" width="12.5703125" customWidth="1"/>
    <col min="15866" max="15866" width="9.42578125" customWidth="1"/>
    <col min="16114" max="16114" width="2.5703125" customWidth="1"/>
    <col min="16115" max="16115" width="8.42578125" customWidth="1"/>
    <col min="16116" max="16116" width="36.42578125" customWidth="1"/>
    <col min="16117" max="16118" width="17.5703125" customWidth="1"/>
    <col min="16119" max="16119" width="43" customWidth="1"/>
    <col min="16120" max="16120" width="7.42578125" customWidth="1"/>
    <col min="16121" max="16121" width="12.5703125" customWidth="1"/>
    <col min="16122" max="16122" width="9.42578125" customWidth="1"/>
  </cols>
  <sheetData>
    <row r="1" spans="1:8" s="304" customFormat="1" ht="25.35" customHeight="1">
      <c r="A1" s="1589"/>
      <c r="B1" s="300" t="s">
        <v>24997</v>
      </c>
    </row>
    <row r="2" spans="1:8" s="304" customFormat="1" ht="15" customHeight="1">
      <c r="G2" s="1482" t="s">
        <v>26549</v>
      </c>
    </row>
    <row r="3" spans="1:8" s="304" customFormat="1" ht="15" customHeight="1">
      <c r="G3" s="1482" t="b">
        <f t="array" ref="G3">+OR(F:F)</f>
        <v>1</v>
      </c>
      <c r="H3" s="809"/>
    </row>
    <row r="4" spans="1:8" s="304" customFormat="1" ht="15" customHeight="1"/>
    <row r="5" spans="1:8" s="304" customFormat="1" ht="30" customHeight="1">
      <c r="B5" s="3594" t="s">
        <v>27074</v>
      </c>
      <c r="C5" s="3594"/>
      <c r="D5" s="3594"/>
    </row>
    <row r="6" spans="1:8" s="815" customFormat="1" ht="27" customHeight="1"/>
    <row r="7" spans="1:8" s="840" customFormat="1" ht="52.35" customHeight="1">
      <c r="A7" s="1450"/>
      <c r="B7" s="501" t="s">
        <v>24888</v>
      </c>
      <c r="C7" s="501" t="s">
        <v>27073</v>
      </c>
      <c r="D7" s="343" t="s">
        <v>24889</v>
      </c>
      <c r="E7" s="815"/>
      <c r="F7" s="1451" t="s">
        <v>26557</v>
      </c>
    </row>
    <row r="8" spans="1:8" ht="30" customHeight="1">
      <c r="B8" s="328">
        <f>+ROW(A8)-7</f>
        <v>1</v>
      </c>
      <c r="C8" s="329"/>
      <c r="D8" s="343">
        <f>+B8</f>
        <v>1</v>
      </c>
      <c r="E8" s="815"/>
      <c r="F8" s="1452" t="b">
        <f>+C8=""</f>
        <v>1</v>
      </c>
      <c r="G8" s="840"/>
    </row>
  </sheetData>
  <sheetProtection algorithmName="SHA-512" hashValue="QdF3ILk6qqzgouBm4jpj1qvPK69S9Tt7Cabc4LkQKGQgMautyeyDTRIksqAyrDNjKAUKRIDgdrian3tyLNvlGw==" saltValue="SNX9fDwylSVaYDWRt1ITkg==" spinCount="100000" sheet="1" objects="1" scenarios="1"/>
  <customSheetViews>
    <customSheetView guid="{849F61E1-F6D3-48F4-A6FF-68F8FE186D80}" scale="85" showGridLines="0">
      <pageMargins left="0.7" right="0.7" top="0.75" bottom="0.75" header="0.3" footer="0.3"/>
      <pageSetup paperSize="9" orientation="portrait" verticalDpi="300" r:id="rId1"/>
    </customSheetView>
    <customSheetView guid="{1E1889AA-9C00-49BF-A07E-295053EABBEF}" scale="85" showGridLines="0" hiddenRows="1">
      <pageMargins left="0.7" right="0.7" top="0.75" bottom="0.75" header="0.3" footer="0.3"/>
      <pageSetup paperSize="9" orientation="portrait" verticalDpi="300" r:id="rId2"/>
    </customSheetView>
    <customSheetView guid="{83029BA9-344F-4783-B8F2-6704FB40A582}" scale="85" showGridLines="0">
      <pageMargins left="0.7" right="0.7" top="0.75" bottom="0.75" header="0.3" footer="0.3"/>
      <pageSetup paperSize="9" orientation="portrait" verticalDpi="300" r:id="rId3"/>
    </customSheetView>
  </customSheetViews>
  <mergeCells count="1">
    <mergeCell ref="B5:D5"/>
  </mergeCells>
  <pageMargins left="0.7" right="0.7" top="0.75" bottom="0.75" header="0.3" footer="0.3"/>
  <pageSetup paperSize="9" orientation="portrait" verticalDpi="300" r:id="rId4"/>
  <drawing r:id="rId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glio9">
    <tabColor rgb="FFC5D9F1"/>
  </sheetPr>
  <dimension ref="A1:AA8"/>
  <sheetViews>
    <sheetView showGridLines="0" zoomScale="85" zoomScaleNormal="85" workbookViewId="0">
      <pane ySplit="7" topLeftCell="A8" activePane="bottomLeft" state="frozen"/>
      <selection pane="bottomLeft"/>
    </sheetView>
  </sheetViews>
  <sheetFormatPr defaultColWidth="9.42578125" defaultRowHeight="15"/>
  <cols>
    <col min="1" max="1" width="6.5703125" customWidth="1"/>
    <col min="2" max="2" width="45.5703125" customWidth="1"/>
    <col min="3" max="5" width="18.5703125" customWidth="1"/>
    <col min="6" max="7" width="17" customWidth="1"/>
    <col min="8" max="8" width="19.5703125" customWidth="1"/>
  </cols>
  <sheetData>
    <row r="1" spans="1:27" s="483" customFormat="1" ht="25.35" customHeight="1">
      <c r="A1" s="1589"/>
      <c r="B1" s="300" t="s">
        <v>24997</v>
      </c>
      <c r="C1" s="304"/>
      <c r="E1" s="304"/>
      <c r="F1" s="304"/>
      <c r="G1" s="304"/>
      <c r="H1" s="304"/>
      <c r="I1" s="304"/>
      <c r="J1" s="304"/>
      <c r="K1" s="304"/>
      <c r="L1" s="304"/>
      <c r="M1" s="304"/>
      <c r="N1" s="304"/>
      <c r="O1" s="304"/>
      <c r="P1" s="304"/>
      <c r="Q1" s="304"/>
      <c r="R1" s="304"/>
      <c r="S1" s="304"/>
      <c r="T1" s="304"/>
      <c r="U1" s="304"/>
      <c r="V1" s="304"/>
      <c r="W1" s="304"/>
      <c r="X1" s="304"/>
      <c r="Y1" s="304"/>
      <c r="Z1" s="304"/>
      <c r="AA1" s="304"/>
    </row>
    <row r="2" spans="1:27" s="483" customFormat="1" ht="15" customHeight="1">
      <c r="A2" s="304"/>
      <c r="B2" s="839" t="s">
        <v>6</v>
      </c>
      <c r="C2" s="304"/>
      <c r="E2" s="304"/>
      <c r="F2" s="304"/>
      <c r="G2" s="304"/>
      <c r="H2" s="1482" t="s">
        <v>26549</v>
      </c>
      <c r="I2" s="304"/>
      <c r="J2" s="304"/>
      <c r="K2" s="304"/>
      <c r="L2" s="304"/>
      <c r="M2" s="304"/>
      <c r="N2" s="304"/>
      <c r="O2" s="304"/>
      <c r="P2" s="304"/>
      <c r="Q2" s="304"/>
      <c r="R2" s="304"/>
      <c r="S2" s="304"/>
      <c r="T2" s="304"/>
      <c r="U2" s="304"/>
      <c r="V2" s="304"/>
      <c r="W2" s="304"/>
      <c r="X2" s="304"/>
      <c r="Y2" s="304"/>
      <c r="Z2" s="304"/>
      <c r="AA2" s="304"/>
    </row>
    <row r="3" spans="1:27" s="483" customFormat="1" ht="15" customHeight="1">
      <c r="A3" s="304"/>
      <c r="B3" s="304"/>
      <c r="C3" s="304"/>
      <c r="E3" s="304"/>
      <c r="F3" s="304"/>
      <c r="G3" s="304"/>
      <c r="H3" s="1482" t="b">
        <f t="array" ref="H3">+OR(F:G)</f>
        <v>1</v>
      </c>
      <c r="I3" s="304"/>
      <c r="J3" s="304"/>
      <c r="K3" s="304"/>
      <c r="L3" s="304"/>
      <c r="M3" s="304"/>
      <c r="N3" s="304"/>
      <c r="O3" s="304"/>
      <c r="P3" s="304"/>
      <c r="Q3" s="304"/>
      <c r="R3" s="304"/>
      <c r="S3" s="304"/>
      <c r="T3" s="304"/>
      <c r="U3" s="304"/>
      <c r="V3" s="304"/>
      <c r="W3" s="304"/>
      <c r="X3" s="304"/>
      <c r="Y3" s="304"/>
      <c r="Z3" s="304"/>
      <c r="AA3" s="304"/>
    </row>
    <row r="4" spans="1:27" s="492" customFormat="1" ht="15" customHeight="1">
      <c r="A4" s="490"/>
      <c r="B4" s="490"/>
      <c r="C4" s="490"/>
      <c r="E4" s="304"/>
      <c r="F4" s="304"/>
      <c r="G4" s="304"/>
      <c r="H4" s="304"/>
      <c r="I4" s="490"/>
      <c r="J4" s="490"/>
      <c r="K4" s="490"/>
      <c r="L4" s="490"/>
      <c r="M4" s="490"/>
      <c r="N4" s="490"/>
      <c r="O4" s="490"/>
      <c r="P4" s="490"/>
      <c r="Q4" s="490"/>
      <c r="R4" s="490"/>
      <c r="S4" s="490"/>
      <c r="T4" s="490"/>
      <c r="U4" s="490"/>
      <c r="V4" s="490"/>
      <c r="W4" s="490"/>
      <c r="X4" s="490"/>
      <c r="Y4" s="490"/>
      <c r="Z4" s="490"/>
      <c r="AA4" s="490"/>
    </row>
    <row r="5" spans="1:27" s="483" customFormat="1" ht="30" customHeight="1">
      <c r="A5" s="304"/>
      <c r="B5" s="3595" t="s">
        <v>27081</v>
      </c>
      <c r="C5" s="3595"/>
      <c r="D5" s="3595"/>
      <c r="E5" s="304"/>
      <c r="F5" s="304"/>
      <c r="G5" s="304"/>
      <c r="H5" s="304"/>
      <c r="I5" s="304"/>
      <c r="J5" s="304"/>
      <c r="K5" s="304"/>
      <c r="L5" s="304"/>
      <c r="M5" s="304"/>
      <c r="N5" s="304"/>
      <c r="O5" s="304"/>
      <c r="P5" s="304"/>
      <c r="Q5" s="304"/>
      <c r="R5" s="304"/>
      <c r="S5" s="304"/>
      <c r="T5" s="304"/>
      <c r="U5" s="304"/>
      <c r="V5" s="304"/>
      <c r="W5" s="304"/>
      <c r="X5" s="304"/>
      <c r="Y5" s="304"/>
      <c r="Z5" s="304"/>
      <c r="AA5" s="304"/>
    </row>
    <row r="6" spans="1:27" s="816" customFormat="1" ht="27" customHeight="1">
      <c r="A6" s="815"/>
      <c r="B6" s="815"/>
      <c r="C6" s="815"/>
      <c r="E6" s="815"/>
      <c r="F6" s="815"/>
      <c r="G6" s="815"/>
      <c r="H6" s="815"/>
      <c r="I6" s="815"/>
      <c r="J6" s="815"/>
      <c r="K6" s="815"/>
      <c r="L6" s="815"/>
      <c r="M6" s="815"/>
      <c r="N6" s="815"/>
      <c r="O6" s="815"/>
      <c r="P6" s="815"/>
      <c r="Q6" s="815"/>
      <c r="R6" s="815"/>
      <c r="S6" s="815"/>
      <c r="T6" s="815"/>
      <c r="U6" s="815"/>
      <c r="V6" s="815"/>
      <c r="W6" s="815"/>
      <c r="X6" s="815"/>
      <c r="Y6" s="815"/>
      <c r="Z6" s="815"/>
      <c r="AA6" s="815"/>
    </row>
    <row r="7" spans="1:27" s="819" customFormat="1" ht="52.35" customHeight="1">
      <c r="A7" s="501" t="s">
        <v>24888</v>
      </c>
      <c r="B7" s="501" t="s">
        <v>15</v>
      </c>
      <c r="C7" s="501" t="s">
        <v>8</v>
      </c>
      <c r="D7" s="494" t="s">
        <v>24989</v>
      </c>
      <c r="E7" s="815"/>
      <c r="F7" s="1451" t="s">
        <v>26557</v>
      </c>
      <c r="G7" s="1451" t="s">
        <v>29986</v>
      </c>
      <c r="H7" s="840"/>
      <c r="I7" s="840"/>
      <c r="J7" s="840"/>
      <c r="K7" s="840"/>
      <c r="L7" s="840"/>
      <c r="M7" s="840"/>
      <c r="N7" s="840"/>
      <c r="O7" s="840"/>
      <c r="P7" s="840"/>
      <c r="Q7" s="840"/>
      <c r="R7" s="840"/>
      <c r="S7" s="840"/>
      <c r="T7" s="840"/>
      <c r="U7" s="840"/>
      <c r="V7" s="840"/>
      <c r="W7" s="840"/>
      <c r="X7" s="840"/>
      <c r="Y7" s="840"/>
      <c r="Z7" s="840"/>
      <c r="AA7" s="840"/>
    </row>
    <row r="8" spans="1:27" s="483" customFormat="1" ht="30" customHeight="1">
      <c r="A8" s="328">
        <f>+ROW(A8)-7</f>
        <v>1</v>
      </c>
      <c r="B8" s="330"/>
      <c r="C8" s="331"/>
      <c r="D8" s="328" t="str">
        <f>IFERROR(VLOOKUP(C8,TT_Comuni_ATO!X:Y,2,0),"")</f>
        <v/>
      </c>
      <c r="E8" s="815"/>
      <c r="F8" s="1452" t="b">
        <f>+IF(ISNA(VLOOKUP(B8,Elenco_Bacini_Tariffari!C:C,1,FALSE)),TRUE,FALSE)</f>
        <v>1</v>
      </c>
      <c r="G8" s="1452" t="b">
        <f>+IF(AND(B8="",C8="",D8=""),FALSE,IF(COUNTA(B8:D8)&lt;&gt;3,TRUE,FALSE))</f>
        <v>0</v>
      </c>
      <c r="H8" s="840"/>
      <c r="I8" s="304"/>
      <c r="J8" s="304"/>
      <c r="K8" s="304"/>
      <c r="L8" s="304"/>
      <c r="M8" s="304"/>
      <c r="N8" s="304"/>
      <c r="O8" s="304"/>
      <c r="P8" s="304"/>
      <c r="Q8" s="304"/>
      <c r="R8" s="304"/>
      <c r="S8" s="304"/>
      <c r="T8" s="304"/>
      <c r="U8" s="304"/>
      <c r="V8" s="304"/>
      <c r="W8" s="304"/>
      <c r="X8" s="304"/>
      <c r="Y8" s="304"/>
      <c r="Z8" s="304"/>
      <c r="AA8" s="304"/>
    </row>
  </sheetData>
  <sheetProtection algorithmName="SHA-512" hashValue="KyUZ4rAFQfad2CdbiAUgBX065hFX75jZ/GBFTDevrUvgvoMAc3jm4nngBVoAkPRNDMC30UQUZ7p+x9CD1V3b5w==" saltValue="t4djOuUJGe7vFZLp8iGwMg==" spinCount="100000" sheet="1" objects="1" scenarios="1"/>
  <customSheetViews>
    <customSheetView guid="{849F61E1-F6D3-48F4-A6FF-68F8FE186D80}" scale="85" showGridLines="0">
      <pane ySplit="7" topLeftCell="A8" activePane="bottomLeft" state="frozen"/>
      <selection pane="bottomLeft"/>
      <pageMargins left="0.7" right="0.7" top="0.75" bottom="0.75" header="0.3" footer="0.3"/>
      <pageSetup paperSize="9" orientation="portrait" verticalDpi="300" r:id="rId1"/>
    </customSheetView>
    <customSheetView guid="{1E1889AA-9C00-49BF-A07E-295053EABBEF}" scale="85" showGridLines="0" hiddenRows="1">
      <pageMargins left="0.7" right="0.7" top="0.75" bottom="0.75" header="0.3" footer="0.3"/>
      <pageSetup paperSize="9" orientation="portrait" verticalDpi="300" r:id="rId2"/>
    </customSheetView>
    <customSheetView guid="{83029BA9-344F-4783-B8F2-6704FB40A582}" scale="85" showGridLines="0">
      <pane ySplit="7" topLeftCell="A8" activePane="bottomLeft" state="frozen"/>
      <selection pane="bottomLeft"/>
      <pageMargins left="0.7" right="0.7" top="0.75" bottom="0.75" header="0.3" footer="0.3"/>
      <pageSetup paperSize="9" orientation="portrait" verticalDpi="300" r:id="rId3"/>
    </customSheetView>
  </customSheetViews>
  <mergeCells count="1">
    <mergeCell ref="B5:D5"/>
  </mergeCells>
  <dataValidations count="1">
    <dataValidation type="list" allowBlank="1" showInputMessage="1" showErrorMessage="1" sqref="B8" xr:uid="{00000000-0002-0000-0800-000000000000}">
      <formula1>INDEX(BaciniTariffariElenco,0,2)</formula1>
    </dataValidation>
  </dataValidations>
  <pageMargins left="0.7" right="0.7" top="0.75" bottom="0.75" header="0.3" footer="0.3"/>
  <pageSetup paperSize="9" orientation="portrait" verticalDpi="300" r:id="rId4"/>
  <drawing r:id="rId5"/>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1000000}">
          <x14:formula1>
            <xm:f>OFFSET(TT_Comuni_ATO!$X$1,1,0,COUNTA(TT_Comuni_ATO!$X$2:$X$8742),1)</xm:f>
          </x14:formula1>
          <xm:sqref>C8</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oglio10">
    <tabColor rgb="FFC5D9F1"/>
  </sheetPr>
  <dimension ref="A1:AW22"/>
  <sheetViews>
    <sheetView showGridLines="0" zoomScale="85" zoomScaleNormal="85" workbookViewId="0">
      <pane ySplit="10" topLeftCell="A11" activePane="bottomLeft" state="frozen"/>
      <selection pane="bottomLeft"/>
    </sheetView>
  </sheetViews>
  <sheetFormatPr defaultColWidth="9.42578125" defaultRowHeight="15"/>
  <cols>
    <col min="1" max="1" width="6.5703125" customWidth="1"/>
    <col min="2" max="2" width="36" customWidth="1"/>
    <col min="3" max="3" width="16.5703125" customWidth="1"/>
    <col min="4" max="4" width="20" style="485" customWidth="1"/>
    <col min="5" max="5" width="10.5703125" customWidth="1"/>
    <col min="6" max="6" width="18.5703125" customWidth="1"/>
    <col min="7" max="18" width="15.5703125" customWidth="1"/>
    <col min="19" max="20" width="16" customWidth="1"/>
    <col min="21" max="22" width="15.5703125" customWidth="1"/>
    <col min="23" max="23" width="16" customWidth="1"/>
    <col min="24" max="25" width="15.5703125" customWidth="1"/>
    <col min="26" max="26" width="20.28515625" customWidth="1"/>
    <col min="27" max="42" width="15.5703125" customWidth="1"/>
    <col min="44" max="44" width="19" bestFit="1" customWidth="1"/>
    <col min="45" max="45" width="20.5703125" bestFit="1" customWidth="1"/>
    <col min="46" max="46" width="15" bestFit="1" customWidth="1"/>
    <col min="47" max="47" width="12.42578125" bestFit="1" customWidth="1"/>
    <col min="48" max="48" width="12.7109375" customWidth="1"/>
  </cols>
  <sheetData>
    <row r="1" spans="1:49" s="483" customFormat="1" ht="25.35" customHeight="1">
      <c r="A1" s="482"/>
      <c r="B1" s="204" t="s">
        <v>24997</v>
      </c>
      <c r="D1" s="484"/>
      <c r="AQ1"/>
      <c r="AR1"/>
      <c r="AS1"/>
      <c r="AT1"/>
      <c r="AU1"/>
      <c r="AV1"/>
      <c r="AW1"/>
    </row>
    <row r="2" spans="1:49" s="483" customFormat="1" ht="15" customHeight="1">
      <c r="A2" s="304"/>
      <c r="B2"/>
      <c r="C2"/>
      <c r="D2" s="485"/>
      <c r="E2"/>
      <c r="F2"/>
      <c r="G2"/>
      <c r="H2"/>
      <c r="I2"/>
      <c r="J2"/>
      <c r="K2"/>
      <c r="L2"/>
      <c r="M2"/>
      <c r="N2"/>
      <c r="O2"/>
      <c r="P2"/>
      <c r="Q2"/>
      <c r="R2"/>
      <c r="S2"/>
      <c r="T2"/>
      <c r="U2"/>
      <c r="V2"/>
      <c r="W2"/>
      <c r="X2"/>
      <c r="Y2"/>
      <c r="Z2"/>
      <c r="AA2"/>
      <c r="AD2"/>
      <c r="AE2"/>
      <c r="AF2"/>
      <c r="AG2"/>
      <c r="AL2"/>
      <c r="AM2"/>
      <c r="AN2"/>
      <c r="AO2"/>
      <c r="AQ2"/>
      <c r="AR2" s="1482" t="s">
        <v>26549</v>
      </c>
      <c r="AS2" s="1482" t="s">
        <v>30951</v>
      </c>
      <c r="AT2" s="1482" t="s">
        <v>30094</v>
      </c>
      <c r="AU2" s="1482" t="s">
        <v>30952</v>
      </c>
      <c r="AV2"/>
      <c r="AW2"/>
    </row>
    <row r="3" spans="1:49" s="483" customFormat="1" ht="15" customHeight="1">
      <c r="A3" s="304"/>
      <c r="B3" s="486"/>
      <c r="C3" s="487"/>
      <c r="D3" s="488"/>
      <c r="E3" s="487"/>
      <c r="F3" s="487"/>
      <c r="G3" s="487"/>
      <c r="H3" s="487"/>
      <c r="I3" s="487"/>
      <c r="J3" s="487"/>
      <c r="K3" s="487"/>
      <c r="L3" s="487"/>
      <c r="M3" s="487"/>
      <c r="N3" s="487"/>
      <c r="O3" s="487"/>
      <c r="P3" s="487"/>
      <c r="Q3" s="487"/>
      <c r="R3" s="489"/>
      <c r="S3" s="489"/>
      <c r="T3" s="489"/>
      <c r="U3" s="489"/>
      <c r="V3" s="489"/>
      <c r="W3" s="489"/>
      <c r="X3" s="489"/>
      <c r="Y3" s="489"/>
      <c r="Z3" s="489"/>
      <c r="AA3" s="489"/>
      <c r="AQ3"/>
      <c r="AR3" s="1482" t="b">
        <f>+OR(AS3:AU3)</f>
        <v>1</v>
      </c>
      <c r="AS3" s="1480" t="b">
        <f>+IFERROR(OR(AD:AD),FALSE)</f>
        <v>1</v>
      </c>
      <c r="AT3" s="1480" t="b">
        <f>+IFERROR(OR(AE:AE),FALSE)</f>
        <v>1</v>
      </c>
      <c r="AU3" s="1480" t="b">
        <f t="array" ref="AU3">+OR(AP:AP)</f>
        <v>0</v>
      </c>
      <c r="AV3"/>
      <c r="AW3"/>
    </row>
    <row r="4" spans="1:49" s="483" customFormat="1" ht="15" customHeight="1">
      <c r="A4" s="304"/>
      <c r="D4" s="484"/>
      <c r="AQ4"/>
      <c r="AR4"/>
      <c r="AS4"/>
      <c r="AT4"/>
      <c r="AU4"/>
      <c r="AV4"/>
      <c r="AW4"/>
    </row>
    <row r="5" spans="1:49" s="492" customFormat="1" ht="30" customHeight="1">
      <c r="A5" s="490"/>
      <c r="B5" s="491" t="s">
        <v>26560</v>
      </c>
      <c r="C5" s="491"/>
      <c r="D5" s="491"/>
      <c r="F5" s="491"/>
      <c r="AQ5"/>
      <c r="AR5"/>
      <c r="AS5"/>
      <c r="AT5"/>
      <c r="AU5"/>
      <c r="AV5"/>
      <c r="AW5"/>
    </row>
    <row r="6" spans="1:49" s="492" customFormat="1" ht="15" customHeight="1" thickBot="1">
      <c r="A6" s="490"/>
      <c r="D6" s="493"/>
      <c r="AH6" s="483"/>
      <c r="AI6" s="483"/>
      <c r="AQ6"/>
      <c r="AR6"/>
      <c r="AS6"/>
      <c r="AT6"/>
      <c r="AU6"/>
      <c r="AV6"/>
      <c r="AW6"/>
    </row>
    <row r="7" spans="1:49" s="492" customFormat="1" ht="30" hidden="1" customHeight="1" thickBot="1">
      <c r="A7" s="490"/>
      <c r="D7" s="493"/>
      <c r="AQ7"/>
      <c r="AR7"/>
      <c r="AS7"/>
      <c r="AT7"/>
      <c r="AU7"/>
      <c r="AV7"/>
      <c r="AW7"/>
    </row>
    <row r="8" spans="1:49" s="483" customFormat="1" ht="30" hidden="1" customHeight="1" thickBot="1">
      <c r="A8" s="304"/>
      <c r="D8" s="484"/>
      <c r="G8" s="2119"/>
      <c r="H8" s="2119"/>
      <c r="I8" s="2120" t="s">
        <v>24818</v>
      </c>
      <c r="J8" s="2121"/>
      <c r="K8" s="2120" t="s">
        <v>24818</v>
      </c>
      <c r="L8" s="2121"/>
      <c r="M8"/>
      <c r="N8"/>
      <c r="O8"/>
      <c r="P8"/>
      <c r="Q8"/>
      <c r="AQ8"/>
      <c r="AR8"/>
      <c r="AS8"/>
      <c r="AT8"/>
      <c r="AU8"/>
      <c r="AV8"/>
      <c r="AW8"/>
    </row>
    <row r="9" spans="1:49" s="278" customFormat="1" ht="52.35" customHeight="1" thickBot="1">
      <c r="A9" s="304"/>
      <c r="B9" s="2122" t="s">
        <v>27071</v>
      </c>
      <c r="C9" s="2123" t="s">
        <v>14</v>
      </c>
      <c r="D9" s="2123" t="s">
        <v>10</v>
      </c>
      <c r="E9" s="2123" t="s">
        <v>13</v>
      </c>
      <c r="F9" s="2123" t="s">
        <v>24998</v>
      </c>
      <c r="G9" s="2123" t="s">
        <v>30440</v>
      </c>
      <c r="H9" s="2124" t="s">
        <v>30441</v>
      </c>
      <c r="I9" s="2125" t="s">
        <v>31352</v>
      </c>
      <c r="J9" s="2124" t="s">
        <v>31353</v>
      </c>
      <c r="K9" s="2126" t="s">
        <v>31354</v>
      </c>
      <c r="L9" s="2124" t="s">
        <v>31355</v>
      </c>
      <c r="M9" s="2126" t="s">
        <v>30442</v>
      </c>
      <c r="N9" s="2123" t="s">
        <v>31356</v>
      </c>
      <c r="O9" s="2123" t="s">
        <v>31357</v>
      </c>
      <c r="P9" s="2127" t="s">
        <v>30443</v>
      </c>
      <c r="Q9" s="2126" t="s">
        <v>31358</v>
      </c>
      <c r="R9" s="2128" t="s">
        <v>31359</v>
      </c>
      <c r="S9" s="2126" t="s">
        <v>30444</v>
      </c>
      <c r="T9" s="2123" t="s">
        <v>31360</v>
      </c>
      <c r="U9" s="2123" t="s">
        <v>31361</v>
      </c>
      <c r="V9" s="2127" t="s">
        <v>31362</v>
      </c>
      <c r="W9" s="2123" t="s">
        <v>31363</v>
      </c>
      <c r="X9" s="2123" t="s">
        <v>31364</v>
      </c>
      <c r="Y9" s="2123" t="s">
        <v>31365</v>
      </c>
      <c r="Z9" s="2123" t="s">
        <v>31366</v>
      </c>
      <c r="AA9" s="2123" t="s">
        <v>31367</v>
      </c>
      <c r="AB9" s="2123" t="s">
        <v>31368</v>
      </c>
      <c r="AC9" s="2123" t="s">
        <v>31862</v>
      </c>
      <c r="AD9" s="2129" t="s">
        <v>27072</v>
      </c>
      <c r="AE9" s="2130" t="s">
        <v>25469</v>
      </c>
      <c r="AF9" s="2130" t="s">
        <v>10</v>
      </c>
      <c r="AG9" s="2130" t="s">
        <v>265</v>
      </c>
      <c r="AH9" s="1570" t="s">
        <v>31436</v>
      </c>
      <c r="AI9" s="1570" t="s">
        <v>31437</v>
      </c>
      <c r="AJ9" s="1570" t="s">
        <v>31369</v>
      </c>
      <c r="AK9" s="1570" t="s">
        <v>31370</v>
      </c>
      <c r="AL9" s="2131" t="s">
        <v>29754</v>
      </c>
      <c r="AM9" s="2131" t="s">
        <v>29755</v>
      </c>
      <c r="AN9" s="2131" t="s">
        <v>29756</v>
      </c>
      <c r="AO9" s="2131" t="s">
        <v>29757</v>
      </c>
      <c r="AP9" s="1165" t="s">
        <v>30950</v>
      </c>
      <c r="AQ9"/>
      <c r="AR9"/>
      <c r="AS9"/>
      <c r="AT9"/>
      <c r="AU9"/>
      <c r="AV9"/>
      <c r="AW9"/>
    </row>
    <row r="10" spans="1:49" s="483" customFormat="1" ht="15.75" hidden="1" customHeight="1" thickBot="1">
      <c r="A10" s="304"/>
      <c r="B10" s="2132"/>
      <c r="C10" s="2133"/>
      <c r="D10" s="2134"/>
      <c r="E10" s="2135"/>
      <c r="F10" s="2135"/>
      <c r="G10" s="2136"/>
      <c r="H10" s="2137"/>
      <c r="I10" s="2138" t="s">
        <v>12</v>
      </c>
      <c r="J10" s="2136" t="s">
        <v>11</v>
      </c>
      <c r="K10" s="2139" t="s">
        <v>12</v>
      </c>
      <c r="L10" s="2140" t="s">
        <v>11</v>
      </c>
      <c r="M10" s="2137"/>
      <c r="N10" s="2139"/>
      <c r="O10" s="2140"/>
      <c r="P10" s="2141"/>
      <c r="Q10" s="2142"/>
      <c r="R10" s="2136"/>
      <c r="S10" s="2143"/>
      <c r="T10" s="2144"/>
      <c r="U10" s="2144"/>
      <c r="V10" s="2143"/>
      <c r="W10" s="2144"/>
      <c r="X10" s="2144"/>
      <c r="Y10" s="2144"/>
      <c r="Z10" s="2144"/>
      <c r="AA10" s="2144"/>
      <c r="AB10" s="2144"/>
      <c r="AC10" s="2144"/>
      <c r="AD10" s="2145" t="s">
        <v>7</v>
      </c>
      <c r="AE10" s="2146"/>
      <c r="AF10" s="2146"/>
      <c r="AG10" s="2146"/>
      <c r="AH10" s="254"/>
      <c r="AI10" s="254"/>
      <c r="AJ10" s="254"/>
      <c r="AK10" s="254"/>
      <c r="AL10" s="2146"/>
      <c r="AM10" s="2146"/>
      <c r="AN10" s="2146"/>
      <c r="AO10" s="2146"/>
      <c r="AP10" s="254"/>
      <c r="AQ10"/>
      <c r="AR10"/>
      <c r="AS10"/>
      <c r="AT10"/>
      <c r="AU10"/>
      <c r="AV10"/>
      <c r="AW10"/>
    </row>
    <row r="11" spans="1:49" s="483" customFormat="1" ht="12" customHeight="1" thickTop="1">
      <c r="A11" s="304"/>
      <c r="B11" s="3596"/>
      <c r="C11" s="3599"/>
      <c r="D11" s="3602"/>
      <c r="E11" s="3605"/>
      <c r="F11" s="3608" t="s">
        <v>26558</v>
      </c>
      <c r="G11" s="1018">
        <v>0</v>
      </c>
      <c r="H11" s="1595"/>
      <c r="I11" s="1018">
        <v>0</v>
      </c>
      <c r="J11" s="1021"/>
      <c r="K11" s="1018">
        <v>0</v>
      </c>
      <c r="L11" s="1596"/>
      <c r="M11" s="1806"/>
      <c r="N11" s="1803"/>
      <c r="O11" s="1593"/>
      <c r="P11" s="1814"/>
      <c r="Q11" s="1799"/>
      <c r="R11" s="1023"/>
      <c r="S11" s="2396"/>
      <c r="T11" s="2405"/>
      <c r="U11" s="2408"/>
      <c r="V11" s="2399"/>
      <c r="W11" s="2411"/>
      <c r="X11" s="2402"/>
      <c r="Y11" s="2402"/>
      <c r="Z11" s="2402"/>
      <c r="AA11" s="2402"/>
      <c r="AB11" s="2393">
        <f>+Y11+(X11-Z11)</f>
        <v>0</v>
      </c>
      <c r="AC11" s="2393"/>
      <c r="AD11" s="693" t="b">
        <f>+IFERROR(VLOOKUP(B11,Elenco_Bacini_Tariffari!C:C,1,FALSE),TRUE)</f>
        <v>1</v>
      </c>
      <c r="AE11" s="693" t="b">
        <f>+IFERROR(VLOOKUP(C11,ticsi_tipol,1,FALSE),TRUE)</f>
        <v>1</v>
      </c>
      <c r="AF11" s="693">
        <f>+D11</f>
        <v>0</v>
      </c>
      <c r="AG11" s="693" t="s">
        <v>26558</v>
      </c>
      <c r="AH11" s="230">
        <f>+IFERROR($M11*Q11+$S11*W11,0)</f>
        <v>0</v>
      </c>
      <c r="AI11" s="230">
        <f>+IFERROR($M11*R11+$S11*X11,0)</f>
        <v>0</v>
      </c>
      <c r="AJ11" s="230">
        <f>+IFERROR($N11*Q11+$T11*W11,0)</f>
        <v>0</v>
      </c>
      <c r="AK11" s="230">
        <f>+IFERROR(O11*R11+U11*X11,0)</f>
        <v>0</v>
      </c>
      <c r="AL11" s="693">
        <v>1</v>
      </c>
      <c r="AM11" s="693">
        <v>1</v>
      </c>
      <c r="AN11" s="693">
        <f>+IF(ROW()=11,1,(ROW()+1)/12)</f>
        <v>1</v>
      </c>
      <c r="AO11" s="693" t="str">
        <f>+IF(E11="SI",1,IF(E11="NO",0,""))</f>
        <v/>
      </c>
      <c r="AP11" s="230" t="b">
        <f>+IF(AA11&gt;SUM(R11:R20),TRUE,FALSE)</f>
        <v>0</v>
      </c>
      <c r="AQ11"/>
      <c r="AR11"/>
      <c r="AS11"/>
      <c r="AT11"/>
      <c r="AU11"/>
      <c r="AV11"/>
      <c r="AW11"/>
    </row>
    <row r="12" spans="1:49" s="483" customFormat="1" ht="12" customHeight="1">
      <c r="A12" s="304"/>
      <c r="B12" s="3597"/>
      <c r="C12" s="3600"/>
      <c r="D12" s="3603"/>
      <c r="E12" s="3606"/>
      <c r="F12" s="3609"/>
      <c r="G12" s="1018" t="str">
        <f>+IF(H11=0,"",H11+1)</f>
        <v/>
      </c>
      <c r="H12" s="1595"/>
      <c r="I12" s="1018" t="str">
        <f t="shared" ref="I12:I20" si="0">+IF(J11=0,"",J11+1)</f>
        <v/>
      </c>
      <c r="J12" s="1022"/>
      <c r="K12" s="1018" t="str">
        <f>+IF(L11=0,"",L11+1)</f>
        <v/>
      </c>
      <c r="L12" s="1596"/>
      <c r="M12" s="1806"/>
      <c r="N12" s="1804"/>
      <c r="O12" s="1593"/>
      <c r="P12" s="1814"/>
      <c r="Q12" s="1800"/>
      <c r="R12" s="1023"/>
      <c r="S12" s="2397"/>
      <c r="T12" s="2406"/>
      <c r="U12" s="2409"/>
      <c r="V12" s="2400"/>
      <c r="W12" s="2412"/>
      <c r="X12" s="2403"/>
      <c r="Y12" s="2403"/>
      <c r="Z12" s="2403"/>
      <c r="AA12" s="2403"/>
      <c r="AB12" s="2394"/>
      <c r="AC12" s="2394"/>
      <c r="AD12" s="691" t="b">
        <f t="shared" ref="AD12:AD22" si="1">AD11</f>
        <v>1</v>
      </c>
      <c r="AE12" s="691" t="b">
        <f>+AE11</f>
        <v>1</v>
      </c>
      <c r="AF12" s="691">
        <f>+AF11</f>
        <v>0</v>
      </c>
      <c r="AG12" s="691" t="s">
        <v>26558</v>
      </c>
      <c r="AH12" s="1598">
        <f t="shared" ref="AH12:AH22" si="2">+IFERROR($M12*Q12,0)</f>
        <v>0</v>
      </c>
      <c r="AI12" s="1598">
        <f t="shared" ref="AI12:AI22" si="3">+IFERROR($M12*R12,0)</f>
        <v>0</v>
      </c>
      <c r="AJ12" s="231">
        <f t="shared" ref="AJ12:AJ20" si="4">+IFERROR($N12*Q12,0)</f>
        <v>0</v>
      </c>
      <c r="AK12" s="231">
        <f t="shared" ref="AK12:AK20" si="5">+IFERROR(O12*R12,0)</f>
        <v>0</v>
      </c>
      <c r="AL12" s="691">
        <f t="shared" ref="AL12:AL20" si="6">+IF(OR(K12&lt;&gt;"",ISNUMBER(K12)=TRUE),AL11+1,0)</f>
        <v>0</v>
      </c>
      <c r="AM12" s="691">
        <v>2</v>
      </c>
      <c r="AN12" s="691">
        <f>+AN11</f>
        <v>1</v>
      </c>
      <c r="AO12" s="691" t="str">
        <f>+AO11</f>
        <v/>
      </c>
      <c r="AP12" s="231" t="b">
        <f t="shared" ref="AP12:AP20" si="7">+AP11</f>
        <v>0</v>
      </c>
      <c r="AQ12"/>
      <c r="AR12"/>
      <c r="AS12"/>
      <c r="AT12"/>
      <c r="AU12"/>
      <c r="AV12"/>
      <c r="AW12"/>
    </row>
    <row r="13" spans="1:49" s="483" customFormat="1" ht="12" customHeight="1">
      <c r="A13" s="304"/>
      <c r="B13" s="3597"/>
      <c r="C13" s="3600"/>
      <c r="D13" s="3603"/>
      <c r="E13" s="3606"/>
      <c r="F13" s="3609"/>
      <c r="G13" s="1018" t="str">
        <f t="shared" ref="G13:G20" si="8">+IF(H12=0,"",H12+1)</f>
        <v/>
      </c>
      <c r="H13" s="1595"/>
      <c r="I13" s="1018" t="str">
        <f t="shared" si="0"/>
        <v/>
      </c>
      <c r="J13" s="1022"/>
      <c r="K13" s="1018" t="str">
        <f t="shared" ref="K13:K20" si="9">+IF(L12=0,"",L12+1)</f>
        <v/>
      </c>
      <c r="L13" s="1596"/>
      <c r="M13" s="1806"/>
      <c r="N13" s="1804"/>
      <c r="O13" s="1593"/>
      <c r="P13" s="1814"/>
      <c r="Q13" s="1800"/>
      <c r="R13" s="1023"/>
      <c r="S13" s="2397"/>
      <c r="T13" s="2406"/>
      <c r="U13" s="2409"/>
      <c r="V13" s="2400"/>
      <c r="W13" s="2412"/>
      <c r="X13" s="2403"/>
      <c r="Y13" s="2403"/>
      <c r="Z13" s="2403"/>
      <c r="AA13" s="2403"/>
      <c r="AB13" s="2394"/>
      <c r="AC13" s="2394"/>
      <c r="AD13" s="691" t="b">
        <f t="shared" si="1"/>
        <v>1</v>
      </c>
      <c r="AE13" s="691" t="b">
        <f t="shared" ref="AE13:AE22" si="10">+AE12</f>
        <v>1</v>
      </c>
      <c r="AF13" s="691">
        <f t="shared" ref="AF13:AF22" si="11">+AF12</f>
        <v>0</v>
      </c>
      <c r="AG13" s="691" t="s">
        <v>26558</v>
      </c>
      <c r="AH13" s="1598">
        <f t="shared" si="2"/>
        <v>0</v>
      </c>
      <c r="AI13" s="1598">
        <f t="shared" si="3"/>
        <v>0</v>
      </c>
      <c r="AJ13" s="231">
        <f t="shared" si="4"/>
        <v>0</v>
      </c>
      <c r="AK13" s="231">
        <f t="shared" si="5"/>
        <v>0</v>
      </c>
      <c r="AL13" s="691">
        <f t="shared" si="6"/>
        <v>0</v>
      </c>
      <c r="AM13" s="691">
        <v>3</v>
      </c>
      <c r="AN13" s="691">
        <f t="shared" ref="AN13:AO22" si="12">+AN12</f>
        <v>1</v>
      </c>
      <c r="AO13" s="691" t="str">
        <f t="shared" si="12"/>
        <v/>
      </c>
      <c r="AP13" s="231" t="b">
        <f t="shared" si="7"/>
        <v>0</v>
      </c>
      <c r="AQ13"/>
      <c r="AR13"/>
      <c r="AS13"/>
      <c r="AT13"/>
      <c r="AU13"/>
      <c r="AV13"/>
      <c r="AW13"/>
    </row>
    <row r="14" spans="1:49" s="483" customFormat="1" ht="12" customHeight="1">
      <c r="A14" s="304"/>
      <c r="B14" s="3597"/>
      <c r="C14" s="3600"/>
      <c r="D14" s="3603"/>
      <c r="E14" s="3606"/>
      <c r="F14" s="3609"/>
      <c r="G14" s="1018" t="str">
        <f t="shared" si="8"/>
        <v/>
      </c>
      <c r="H14" s="1595"/>
      <c r="I14" s="1018" t="str">
        <f t="shared" si="0"/>
        <v/>
      </c>
      <c r="J14" s="1022"/>
      <c r="K14" s="1018" t="str">
        <f t="shared" si="9"/>
        <v/>
      </c>
      <c r="L14" s="1596"/>
      <c r="M14" s="1806"/>
      <c r="N14" s="1804"/>
      <c r="O14" s="1593"/>
      <c r="P14" s="1814"/>
      <c r="Q14" s="1800"/>
      <c r="R14" s="1023"/>
      <c r="S14" s="2397"/>
      <c r="T14" s="2406"/>
      <c r="U14" s="2409"/>
      <c r="V14" s="2400"/>
      <c r="W14" s="2412"/>
      <c r="X14" s="2403"/>
      <c r="Y14" s="2403"/>
      <c r="Z14" s="2403"/>
      <c r="AA14" s="2403"/>
      <c r="AB14" s="2394"/>
      <c r="AC14" s="2394"/>
      <c r="AD14" s="691" t="b">
        <f t="shared" si="1"/>
        <v>1</v>
      </c>
      <c r="AE14" s="691" t="b">
        <f t="shared" si="10"/>
        <v>1</v>
      </c>
      <c r="AF14" s="691">
        <f t="shared" si="11"/>
        <v>0</v>
      </c>
      <c r="AG14" s="691" t="s">
        <v>26558</v>
      </c>
      <c r="AH14" s="1598">
        <f t="shared" si="2"/>
        <v>0</v>
      </c>
      <c r="AI14" s="1598">
        <f t="shared" si="3"/>
        <v>0</v>
      </c>
      <c r="AJ14" s="231">
        <f t="shared" si="4"/>
        <v>0</v>
      </c>
      <c r="AK14" s="231">
        <f t="shared" si="5"/>
        <v>0</v>
      </c>
      <c r="AL14" s="691">
        <f t="shared" si="6"/>
        <v>0</v>
      </c>
      <c r="AM14" s="691">
        <v>4</v>
      </c>
      <c r="AN14" s="691">
        <f t="shared" si="12"/>
        <v>1</v>
      </c>
      <c r="AO14" s="691" t="str">
        <f t="shared" si="12"/>
        <v/>
      </c>
      <c r="AP14" s="231" t="b">
        <f t="shared" si="7"/>
        <v>0</v>
      </c>
      <c r="AQ14"/>
      <c r="AR14"/>
      <c r="AS14"/>
      <c r="AT14"/>
      <c r="AU14"/>
      <c r="AV14"/>
      <c r="AW14"/>
    </row>
    <row r="15" spans="1:49" s="483" customFormat="1" ht="12" customHeight="1">
      <c r="A15" s="304"/>
      <c r="B15" s="3597"/>
      <c r="C15" s="3600"/>
      <c r="D15" s="3603"/>
      <c r="E15" s="3606"/>
      <c r="F15" s="3609"/>
      <c r="G15" s="1018" t="str">
        <f t="shared" si="8"/>
        <v/>
      </c>
      <c r="H15" s="1595"/>
      <c r="I15" s="1018" t="str">
        <f t="shared" si="0"/>
        <v/>
      </c>
      <c r="J15" s="1022"/>
      <c r="K15" s="1018" t="str">
        <f t="shared" si="9"/>
        <v/>
      </c>
      <c r="L15" s="1596"/>
      <c r="M15" s="1806"/>
      <c r="N15" s="1804"/>
      <c r="O15" s="1593"/>
      <c r="P15" s="1814"/>
      <c r="Q15" s="1800"/>
      <c r="R15" s="1023"/>
      <c r="S15" s="2397"/>
      <c r="T15" s="2406"/>
      <c r="U15" s="2409"/>
      <c r="V15" s="2400"/>
      <c r="W15" s="2412"/>
      <c r="X15" s="2403"/>
      <c r="Y15" s="2403"/>
      <c r="Z15" s="2403"/>
      <c r="AA15" s="2403"/>
      <c r="AB15" s="2394"/>
      <c r="AC15" s="2394"/>
      <c r="AD15" s="691" t="b">
        <f t="shared" si="1"/>
        <v>1</v>
      </c>
      <c r="AE15" s="691" t="b">
        <f t="shared" si="10"/>
        <v>1</v>
      </c>
      <c r="AF15" s="691">
        <f t="shared" si="11"/>
        <v>0</v>
      </c>
      <c r="AG15" s="691" t="s">
        <v>26558</v>
      </c>
      <c r="AH15" s="1598">
        <f t="shared" si="2"/>
        <v>0</v>
      </c>
      <c r="AI15" s="1598">
        <f t="shared" si="3"/>
        <v>0</v>
      </c>
      <c r="AJ15" s="231">
        <f t="shared" si="4"/>
        <v>0</v>
      </c>
      <c r="AK15" s="231">
        <f t="shared" si="5"/>
        <v>0</v>
      </c>
      <c r="AL15" s="691">
        <f t="shared" si="6"/>
        <v>0</v>
      </c>
      <c r="AM15" s="691">
        <v>5</v>
      </c>
      <c r="AN15" s="691">
        <f t="shared" si="12"/>
        <v>1</v>
      </c>
      <c r="AO15" s="691" t="str">
        <f t="shared" si="12"/>
        <v/>
      </c>
      <c r="AP15" s="231" t="b">
        <f t="shared" si="7"/>
        <v>0</v>
      </c>
      <c r="AQ15"/>
      <c r="AR15"/>
      <c r="AS15"/>
      <c r="AT15"/>
      <c r="AU15"/>
      <c r="AV15"/>
      <c r="AW15"/>
    </row>
    <row r="16" spans="1:49" s="483" customFormat="1" ht="12" customHeight="1">
      <c r="A16" s="304"/>
      <c r="B16" s="3597"/>
      <c r="C16" s="3600"/>
      <c r="D16" s="3603"/>
      <c r="E16" s="3606"/>
      <c r="F16" s="3609"/>
      <c r="G16" s="1018" t="str">
        <f t="shared" si="8"/>
        <v/>
      </c>
      <c r="H16" s="1595"/>
      <c r="I16" s="1018" t="str">
        <f t="shared" si="0"/>
        <v/>
      </c>
      <c r="J16" s="1022"/>
      <c r="K16" s="1018" t="str">
        <f t="shared" si="9"/>
        <v/>
      </c>
      <c r="L16" s="1596"/>
      <c r="M16" s="1806"/>
      <c r="N16" s="1804"/>
      <c r="O16" s="1593"/>
      <c r="P16" s="1814"/>
      <c r="Q16" s="1800"/>
      <c r="R16" s="1023"/>
      <c r="S16" s="2397"/>
      <c r="T16" s="2406"/>
      <c r="U16" s="2409"/>
      <c r="V16" s="2400"/>
      <c r="W16" s="2412"/>
      <c r="X16" s="2403"/>
      <c r="Y16" s="2403"/>
      <c r="Z16" s="2403"/>
      <c r="AA16" s="2403"/>
      <c r="AB16" s="2394"/>
      <c r="AC16" s="2394"/>
      <c r="AD16" s="691" t="b">
        <f t="shared" si="1"/>
        <v>1</v>
      </c>
      <c r="AE16" s="691" t="b">
        <f t="shared" si="10"/>
        <v>1</v>
      </c>
      <c r="AF16" s="691">
        <f t="shared" si="11"/>
        <v>0</v>
      </c>
      <c r="AG16" s="691" t="s">
        <v>26558</v>
      </c>
      <c r="AH16" s="1598">
        <f t="shared" si="2"/>
        <v>0</v>
      </c>
      <c r="AI16" s="1598">
        <f t="shared" si="3"/>
        <v>0</v>
      </c>
      <c r="AJ16" s="231">
        <f t="shared" si="4"/>
        <v>0</v>
      </c>
      <c r="AK16" s="231">
        <f t="shared" si="5"/>
        <v>0</v>
      </c>
      <c r="AL16" s="691">
        <f t="shared" si="6"/>
        <v>0</v>
      </c>
      <c r="AM16" s="691">
        <v>6</v>
      </c>
      <c r="AN16" s="691">
        <f t="shared" si="12"/>
        <v>1</v>
      </c>
      <c r="AO16" s="691" t="str">
        <f t="shared" si="12"/>
        <v/>
      </c>
      <c r="AP16" s="231" t="b">
        <f t="shared" si="7"/>
        <v>0</v>
      </c>
      <c r="AQ16"/>
      <c r="AR16"/>
      <c r="AS16"/>
      <c r="AT16"/>
      <c r="AU16"/>
      <c r="AV16"/>
      <c r="AW16"/>
    </row>
    <row r="17" spans="1:49" s="483" customFormat="1" ht="12" customHeight="1">
      <c r="A17" s="304"/>
      <c r="B17" s="3597"/>
      <c r="C17" s="3600"/>
      <c r="D17" s="3603"/>
      <c r="E17" s="3606"/>
      <c r="F17" s="3609"/>
      <c r="G17" s="1018" t="str">
        <f t="shared" si="8"/>
        <v/>
      </c>
      <c r="H17" s="1595"/>
      <c r="I17" s="1018" t="str">
        <f t="shared" si="0"/>
        <v/>
      </c>
      <c r="J17" s="1022"/>
      <c r="K17" s="1018" t="str">
        <f t="shared" si="9"/>
        <v/>
      </c>
      <c r="L17" s="1596"/>
      <c r="M17" s="1806"/>
      <c r="N17" s="1804"/>
      <c r="O17" s="1593"/>
      <c r="P17" s="1814"/>
      <c r="Q17" s="1800"/>
      <c r="R17" s="1023"/>
      <c r="S17" s="2397"/>
      <c r="T17" s="2406"/>
      <c r="U17" s="2409"/>
      <c r="V17" s="2400"/>
      <c r="W17" s="2412"/>
      <c r="X17" s="2403"/>
      <c r="Y17" s="2403"/>
      <c r="Z17" s="2403"/>
      <c r="AA17" s="2403"/>
      <c r="AB17" s="2394"/>
      <c r="AC17" s="2394"/>
      <c r="AD17" s="691" t="b">
        <f t="shared" si="1"/>
        <v>1</v>
      </c>
      <c r="AE17" s="691" t="b">
        <f t="shared" si="10"/>
        <v>1</v>
      </c>
      <c r="AF17" s="691">
        <f t="shared" si="11"/>
        <v>0</v>
      </c>
      <c r="AG17" s="691" t="s">
        <v>26558</v>
      </c>
      <c r="AH17" s="1598">
        <f t="shared" si="2"/>
        <v>0</v>
      </c>
      <c r="AI17" s="1598">
        <f t="shared" si="3"/>
        <v>0</v>
      </c>
      <c r="AJ17" s="231">
        <f t="shared" si="4"/>
        <v>0</v>
      </c>
      <c r="AK17" s="231">
        <f t="shared" si="5"/>
        <v>0</v>
      </c>
      <c r="AL17" s="691">
        <f t="shared" si="6"/>
        <v>0</v>
      </c>
      <c r="AM17" s="691">
        <v>7</v>
      </c>
      <c r="AN17" s="691">
        <f t="shared" si="12"/>
        <v>1</v>
      </c>
      <c r="AO17" s="691" t="str">
        <f t="shared" si="12"/>
        <v/>
      </c>
      <c r="AP17" s="231" t="b">
        <f t="shared" si="7"/>
        <v>0</v>
      </c>
      <c r="AQ17"/>
      <c r="AR17"/>
      <c r="AS17"/>
      <c r="AT17"/>
      <c r="AU17"/>
      <c r="AV17"/>
      <c r="AW17"/>
    </row>
    <row r="18" spans="1:49" s="483" customFormat="1" ht="12" customHeight="1">
      <c r="A18" s="304"/>
      <c r="B18" s="3597"/>
      <c r="C18" s="3600"/>
      <c r="D18" s="3603"/>
      <c r="E18" s="3606"/>
      <c r="F18" s="3609"/>
      <c r="G18" s="1018" t="str">
        <f t="shared" si="8"/>
        <v/>
      </c>
      <c r="H18" s="1595"/>
      <c r="I18" s="1018" t="str">
        <f t="shared" si="0"/>
        <v/>
      </c>
      <c r="J18" s="1022"/>
      <c r="K18" s="1018" t="str">
        <f t="shared" si="9"/>
        <v/>
      </c>
      <c r="L18" s="1596"/>
      <c r="M18" s="1806"/>
      <c r="N18" s="1804"/>
      <c r="O18" s="1593"/>
      <c r="P18" s="1814"/>
      <c r="Q18" s="1800"/>
      <c r="R18" s="1023"/>
      <c r="S18" s="2397"/>
      <c r="T18" s="2406"/>
      <c r="U18" s="2409"/>
      <c r="V18" s="2400"/>
      <c r="W18" s="2412"/>
      <c r="X18" s="2403"/>
      <c r="Y18" s="2403"/>
      <c r="Z18" s="2403"/>
      <c r="AA18" s="2403"/>
      <c r="AB18" s="2394"/>
      <c r="AC18" s="2394"/>
      <c r="AD18" s="691" t="b">
        <f t="shared" si="1"/>
        <v>1</v>
      </c>
      <c r="AE18" s="691" t="b">
        <f t="shared" si="10"/>
        <v>1</v>
      </c>
      <c r="AF18" s="691">
        <f t="shared" si="11"/>
        <v>0</v>
      </c>
      <c r="AG18" s="691" t="s">
        <v>26558</v>
      </c>
      <c r="AH18" s="1598">
        <f t="shared" si="2"/>
        <v>0</v>
      </c>
      <c r="AI18" s="1598">
        <f t="shared" si="3"/>
        <v>0</v>
      </c>
      <c r="AJ18" s="231">
        <f t="shared" si="4"/>
        <v>0</v>
      </c>
      <c r="AK18" s="231">
        <f t="shared" si="5"/>
        <v>0</v>
      </c>
      <c r="AL18" s="691">
        <f t="shared" si="6"/>
        <v>0</v>
      </c>
      <c r="AM18" s="691">
        <v>8</v>
      </c>
      <c r="AN18" s="691">
        <f t="shared" si="12"/>
        <v>1</v>
      </c>
      <c r="AO18" s="691" t="str">
        <f t="shared" si="12"/>
        <v/>
      </c>
      <c r="AP18" s="231" t="b">
        <f t="shared" si="7"/>
        <v>0</v>
      </c>
      <c r="AQ18"/>
      <c r="AR18"/>
      <c r="AS18"/>
      <c r="AT18"/>
      <c r="AU18"/>
      <c r="AV18"/>
      <c r="AW18"/>
    </row>
    <row r="19" spans="1:49" s="483" customFormat="1" ht="12" customHeight="1">
      <c r="A19" s="304"/>
      <c r="B19" s="3597"/>
      <c r="C19" s="3600"/>
      <c r="D19" s="3603"/>
      <c r="E19" s="3606"/>
      <c r="F19" s="3609"/>
      <c r="G19" s="1018" t="str">
        <f t="shared" si="8"/>
        <v/>
      </c>
      <c r="H19" s="1595"/>
      <c r="I19" s="1018" t="str">
        <f t="shared" si="0"/>
        <v/>
      </c>
      <c r="J19" s="1022"/>
      <c r="K19" s="1018" t="str">
        <f t="shared" si="9"/>
        <v/>
      </c>
      <c r="L19" s="1596"/>
      <c r="M19" s="1806"/>
      <c r="N19" s="1804"/>
      <c r="O19" s="1593"/>
      <c r="P19" s="1814"/>
      <c r="Q19" s="1800"/>
      <c r="R19" s="1023"/>
      <c r="S19" s="2397"/>
      <c r="T19" s="2406"/>
      <c r="U19" s="2409"/>
      <c r="V19" s="2400"/>
      <c r="W19" s="2412"/>
      <c r="X19" s="2403"/>
      <c r="Y19" s="2403"/>
      <c r="Z19" s="2403"/>
      <c r="AA19" s="2403"/>
      <c r="AB19" s="2394"/>
      <c r="AC19" s="2394"/>
      <c r="AD19" s="691" t="b">
        <f t="shared" si="1"/>
        <v>1</v>
      </c>
      <c r="AE19" s="691" t="b">
        <f t="shared" si="10"/>
        <v>1</v>
      </c>
      <c r="AF19" s="691">
        <f t="shared" si="11"/>
        <v>0</v>
      </c>
      <c r="AG19" s="691" t="s">
        <v>26558</v>
      </c>
      <c r="AH19" s="1598">
        <f t="shared" si="2"/>
        <v>0</v>
      </c>
      <c r="AI19" s="1598">
        <f t="shared" si="3"/>
        <v>0</v>
      </c>
      <c r="AJ19" s="231">
        <f t="shared" si="4"/>
        <v>0</v>
      </c>
      <c r="AK19" s="231">
        <f t="shared" si="5"/>
        <v>0</v>
      </c>
      <c r="AL19" s="691">
        <f t="shared" si="6"/>
        <v>0</v>
      </c>
      <c r="AM19" s="691">
        <v>9</v>
      </c>
      <c r="AN19" s="691">
        <f t="shared" si="12"/>
        <v>1</v>
      </c>
      <c r="AO19" s="691" t="str">
        <f t="shared" si="12"/>
        <v/>
      </c>
      <c r="AP19" s="231" t="b">
        <f t="shared" si="7"/>
        <v>0</v>
      </c>
      <c r="AQ19"/>
      <c r="AR19"/>
      <c r="AS19"/>
      <c r="AT19"/>
      <c r="AU19"/>
      <c r="AV19"/>
      <c r="AW19"/>
    </row>
    <row r="20" spans="1:49" s="483" customFormat="1" ht="12" customHeight="1">
      <c r="A20" s="304"/>
      <c r="B20" s="3597"/>
      <c r="C20" s="3600"/>
      <c r="D20" s="3603"/>
      <c r="E20" s="3606"/>
      <c r="F20" s="3610"/>
      <c r="G20" s="1018" t="str">
        <f t="shared" si="8"/>
        <v/>
      </c>
      <c r="H20" s="1595"/>
      <c r="I20" s="1018" t="str">
        <f t="shared" si="0"/>
        <v/>
      </c>
      <c r="J20" s="1022"/>
      <c r="K20" s="1018" t="str">
        <f t="shared" si="9"/>
        <v/>
      </c>
      <c r="L20" s="1596"/>
      <c r="M20" s="1806"/>
      <c r="N20" s="1804"/>
      <c r="O20" s="1593"/>
      <c r="P20" s="1814"/>
      <c r="Q20" s="1800"/>
      <c r="R20" s="1023"/>
      <c r="S20" s="2398"/>
      <c r="T20" s="2407"/>
      <c r="U20" s="2410"/>
      <c r="V20" s="2401"/>
      <c r="W20" s="2413"/>
      <c r="X20" s="2404"/>
      <c r="Y20" s="2404"/>
      <c r="Z20" s="2404"/>
      <c r="AA20" s="2404"/>
      <c r="AB20" s="2395"/>
      <c r="AC20" s="2395"/>
      <c r="AD20" s="691" t="b">
        <f t="shared" si="1"/>
        <v>1</v>
      </c>
      <c r="AE20" s="691" t="b">
        <f t="shared" si="10"/>
        <v>1</v>
      </c>
      <c r="AF20" s="691">
        <f t="shared" si="11"/>
        <v>0</v>
      </c>
      <c r="AG20" s="691" t="s">
        <v>26558</v>
      </c>
      <c r="AH20" s="1598">
        <f t="shared" si="2"/>
        <v>0</v>
      </c>
      <c r="AI20" s="1598">
        <f t="shared" si="3"/>
        <v>0</v>
      </c>
      <c r="AJ20" s="231">
        <f t="shared" si="4"/>
        <v>0</v>
      </c>
      <c r="AK20" s="231">
        <f t="shared" si="5"/>
        <v>0</v>
      </c>
      <c r="AL20" s="691">
        <f t="shared" si="6"/>
        <v>0</v>
      </c>
      <c r="AM20" s="691">
        <v>10</v>
      </c>
      <c r="AN20" s="691">
        <f t="shared" si="12"/>
        <v>1</v>
      </c>
      <c r="AO20" s="691" t="str">
        <f t="shared" si="12"/>
        <v/>
      </c>
      <c r="AP20" s="231" t="b">
        <f t="shared" si="7"/>
        <v>0</v>
      </c>
      <c r="AQ20"/>
      <c r="AR20"/>
      <c r="AS20"/>
      <c r="AT20"/>
      <c r="AU20"/>
      <c r="AV20"/>
      <c r="AW20"/>
    </row>
    <row r="21" spans="1:49">
      <c r="B21" s="3597"/>
      <c r="C21" s="3600"/>
      <c r="D21" s="3603"/>
      <c r="E21" s="3606"/>
      <c r="F21" s="2147" t="s">
        <v>26559</v>
      </c>
      <c r="G21" s="1019"/>
      <c r="H21" s="1846"/>
      <c r="I21" s="1019"/>
      <c r="J21" s="1846"/>
      <c r="K21" s="1019"/>
      <c r="L21" s="1846"/>
      <c r="M21" s="1833"/>
      <c r="N21" s="1803"/>
      <c r="O21" s="1593"/>
      <c r="P21" s="1814"/>
      <c r="Q21" s="1799"/>
      <c r="R21" s="1023"/>
      <c r="S21" s="1807"/>
      <c r="T21" s="1795"/>
      <c r="U21" s="1796"/>
      <c r="V21" s="1809"/>
      <c r="W21" s="1810"/>
      <c r="X21" s="1811"/>
      <c r="Y21" s="1811"/>
      <c r="Z21" s="1811"/>
      <c r="AA21" s="1811"/>
      <c r="AB21" s="2149">
        <f>+Y21+(X21-Z21)</f>
        <v>0</v>
      </c>
      <c r="AC21" s="2149"/>
      <c r="AD21" s="691" t="b">
        <f t="shared" si="1"/>
        <v>1</v>
      </c>
      <c r="AE21" s="691" t="b">
        <f t="shared" si="10"/>
        <v>1</v>
      </c>
      <c r="AF21" s="691">
        <f t="shared" si="11"/>
        <v>0</v>
      </c>
      <c r="AG21" s="691" t="s">
        <v>26559</v>
      </c>
      <c r="AH21" s="1598">
        <f t="shared" si="2"/>
        <v>0</v>
      </c>
      <c r="AI21" s="1598">
        <f t="shared" si="3"/>
        <v>0</v>
      </c>
      <c r="AJ21" s="231">
        <f t="shared" ref="AJ21:AJ22" si="13">+IFERROR($N21*Q21+$T21*W21,0)</f>
        <v>0</v>
      </c>
      <c r="AK21" s="231">
        <f t="shared" ref="AK21:AK22" si="14">+IFERROR(O21*R21+U21*X21,0)</f>
        <v>0</v>
      </c>
      <c r="AL21" s="691">
        <v>1</v>
      </c>
      <c r="AM21" s="691">
        <v>11</v>
      </c>
      <c r="AN21" s="691">
        <f t="shared" si="12"/>
        <v>1</v>
      </c>
      <c r="AO21" s="691" t="str">
        <f t="shared" si="12"/>
        <v/>
      </c>
      <c r="AP21" s="231" t="b">
        <f>+IF(AA21&gt;R21,TRUE,FALSE)</f>
        <v>0</v>
      </c>
    </row>
    <row r="22" spans="1:49" ht="15.75" thickBot="1">
      <c r="B22" s="3598"/>
      <c r="C22" s="3601"/>
      <c r="D22" s="3604"/>
      <c r="E22" s="3607"/>
      <c r="F22" s="2148" t="s">
        <v>145</v>
      </c>
      <c r="G22" s="1020"/>
      <c r="H22" s="1847"/>
      <c r="I22" s="1020"/>
      <c r="J22" s="1847"/>
      <c r="K22" s="1020"/>
      <c r="L22" s="1847"/>
      <c r="M22" s="1834"/>
      <c r="N22" s="1805"/>
      <c r="O22" s="1594"/>
      <c r="P22" s="1815"/>
      <c r="Q22" s="1801"/>
      <c r="R22" s="1024"/>
      <c r="S22" s="1808"/>
      <c r="T22" s="1797"/>
      <c r="U22" s="1798"/>
      <c r="V22" s="1802"/>
      <c r="W22" s="1812"/>
      <c r="X22" s="1813"/>
      <c r="Y22" s="1813"/>
      <c r="Z22" s="1813"/>
      <c r="AA22" s="1813"/>
      <c r="AB22" s="2150">
        <f>+Y22+(X22-Z22)</f>
        <v>0</v>
      </c>
      <c r="AC22" s="2150"/>
      <c r="AD22" s="692" t="b">
        <f t="shared" si="1"/>
        <v>1</v>
      </c>
      <c r="AE22" s="692" t="b">
        <f t="shared" si="10"/>
        <v>1</v>
      </c>
      <c r="AF22" s="692">
        <f t="shared" si="11"/>
        <v>0</v>
      </c>
      <c r="AG22" s="692" t="s">
        <v>145</v>
      </c>
      <c r="AH22" s="1598">
        <f t="shared" si="2"/>
        <v>0</v>
      </c>
      <c r="AI22" s="1598">
        <f t="shared" si="3"/>
        <v>0</v>
      </c>
      <c r="AJ22" s="232">
        <f t="shared" si="13"/>
        <v>0</v>
      </c>
      <c r="AK22" s="232">
        <f t="shared" si="14"/>
        <v>0</v>
      </c>
      <c r="AL22" s="692">
        <v>1</v>
      </c>
      <c r="AM22" s="692">
        <v>12</v>
      </c>
      <c r="AN22" s="692">
        <f t="shared" si="12"/>
        <v>1</v>
      </c>
      <c r="AO22" s="692" t="str">
        <f t="shared" si="12"/>
        <v/>
      </c>
      <c r="AP22" s="232" t="b">
        <f>+IF(AA22&gt;R22,TRUE,FALSE)</f>
        <v>0</v>
      </c>
    </row>
  </sheetData>
  <sheetProtection algorithmName="SHA-512" hashValue="uw67a7H7ScJfnAcePCCQV2GFt/5Mm6w/fClglhUwlZUNnMi6P20T0yiuArxLvEwukWEeh1AvOCYrHEP7ZYBsGg==" saltValue="obidCnCDs4NQpHIRqffmhw==" spinCount="100000" sheet="1" objects="1" scenarios="1"/>
  <customSheetViews>
    <customSheetView guid="{849F61E1-F6D3-48F4-A6FF-68F8FE186D80}" scale="85" showGridLines="0" hiddenRows="1" hiddenColumns="1">
      <pane ySplit="9" topLeftCell="A11" activePane="bottomLeft" state="frozen"/>
      <selection pane="bottomLeft" activeCell="AB5" sqref="AB5"/>
      <pageMargins left="0.39370078740157483" right="0.39370078740157483" top="0.39370078740157483" bottom="0.19685039370078741" header="0.19685039370078741" footer="0"/>
      <printOptions horizontalCentered="1"/>
      <pageSetup paperSize="9" scale="80" fitToHeight="0" orientation="portrait" r:id="rId1"/>
      <headerFooter alignWithMargins="0">
        <oddHeader>&amp;L2. &amp;F&amp;R2.8 &amp;A</oddHeader>
        <oddFooter>&amp;Rpagina &amp;P di &amp;N</oddFooter>
      </headerFooter>
    </customSheetView>
    <customSheetView guid="{1E1889AA-9C00-49BF-A07E-295053EABBEF}" scale="85" showGridLines="0" hiddenRows="1" hiddenColumns="1">
      <pageMargins left="0.39370078740157483" right="0.39370078740157483" top="0.39370078740157483" bottom="0.19685039370078741" header="0.19685039370078741" footer="0"/>
      <printOptions horizontalCentered="1"/>
      <pageSetup paperSize="9" scale="80" fitToHeight="0" orientation="portrait" r:id="rId2"/>
      <headerFooter alignWithMargins="0">
        <oddHeader>&amp;L2. &amp;F&amp;R2.8 &amp;A</oddHeader>
        <oddFooter>&amp;Rpagina &amp;P di &amp;N</oddFooter>
      </headerFooter>
    </customSheetView>
    <customSheetView guid="{83029BA9-344F-4783-B8F2-6704FB40A582}" scale="85" showGridLines="0" hiddenRows="1" hiddenColumns="1">
      <pane ySplit="9" topLeftCell="A11" activePane="bottomLeft" state="frozen"/>
      <selection pane="bottomLeft" activeCell="AB5" sqref="AB5"/>
      <pageMargins left="0.39370078740157483" right="0.39370078740157483" top="0.39370078740157483" bottom="0.19685039370078741" header="0.19685039370078741" footer="0"/>
      <printOptions horizontalCentered="1"/>
      <pageSetup paperSize="9" scale="80" fitToHeight="0" orientation="portrait" r:id="rId3"/>
      <headerFooter alignWithMargins="0">
        <oddHeader>&amp;L2. &amp;F&amp;R2.8 &amp;A</oddHeader>
        <oddFooter>&amp;Rpagina &amp;P di &amp;N</oddFooter>
      </headerFooter>
    </customSheetView>
  </customSheetViews>
  <mergeCells count="5">
    <mergeCell ref="B11:B22"/>
    <mergeCell ref="C11:C22"/>
    <mergeCell ref="D11:D22"/>
    <mergeCell ref="E11:E22"/>
    <mergeCell ref="F11:F20"/>
  </mergeCells>
  <phoneticPr fontId="341" type="noConversion"/>
  <conditionalFormatting sqref="N12:N20 Q12:Q20 I12:J20">
    <cfRule type="expression" dxfId="152" priority="149">
      <formula>$I12=""</formula>
    </cfRule>
  </conditionalFormatting>
  <conditionalFormatting sqref="M12:M20 G12:H20 P12:P20">
    <cfRule type="expression" dxfId="151" priority="148">
      <formula>$G12=""</formula>
    </cfRule>
  </conditionalFormatting>
  <conditionalFormatting sqref="K12:L20 O12:O20 R12:R20">
    <cfRule type="expression" dxfId="150" priority="102">
      <formula>$K12=""</formula>
    </cfRule>
  </conditionalFormatting>
  <dataValidations count="6">
    <dataValidation type="list" allowBlank="1" showInputMessage="1" showErrorMessage="1" sqref="B11" xr:uid="{1E3947AA-A0F4-466A-A876-B57B25AAD2E9}">
      <formula1>INDEX(BaciniTariffariElenco,0,2)</formula1>
    </dataValidation>
    <dataValidation type="list" allowBlank="1" showInputMessage="1" showErrorMessage="1" sqref="E11" xr:uid="{C979AF69-8A17-4061-8C03-702EB2DA2E9F}">
      <formula1>si_no</formula1>
    </dataValidation>
    <dataValidation type="list" allowBlank="1" showInputMessage="1" showErrorMessage="1" sqref="C11" xr:uid="{C1FE9995-E9AB-487A-AE69-6D2F6015ADDA}">
      <formula1>ticsi_tipol</formula1>
    </dataValidation>
    <dataValidation type="decimal" operator="greaterThanOrEqual" allowBlank="1" showInputMessage="1" showErrorMessage="1" sqref="AA11:AA22" xr:uid="{D2AD36C8-7F09-42F4-AD18-582308055CB5}">
      <formula1>0</formula1>
    </dataValidation>
    <dataValidation type="decimal" operator="greaterThan" allowBlank="1" showInputMessage="1" showErrorMessage="1" sqref="Z11:Z22" xr:uid="{B9D38F50-F29F-4CC6-8CAB-E082C633D213}">
      <formula1>Y11</formula1>
    </dataValidation>
    <dataValidation type="decimal" allowBlank="1" showInputMessage="1" showErrorMessage="1" sqref="Y11:Y22" xr:uid="{A80AA9F5-5273-4E0C-9EED-A9E7A8A603A8}">
      <formula1>0</formula1>
      <formula2>X11</formula2>
    </dataValidation>
  </dataValidations>
  <printOptions horizontalCentered="1"/>
  <pageMargins left="0.39370078740157483" right="0.39370078740157483" top="0.39370078740157483" bottom="0.19685039370078741" header="0.19685039370078741" footer="0"/>
  <pageSetup paperSize="9" scale="80" fitToHeight="0" orientation="portrait" r:id="rId4"/>
  <headerFooter alignWithMargins="0"/>
  <drawing r:id="rId5"/>
  <legacyDrawing r:id="rId6"/>
  <extLst>
    <ext xmlns:x14="http://schemas.microsoft.com/office/spreadsheetml/2009/9/main" uri="{CCE6A557-97BC-4b89-ADB6-D9C93CAAB3DF}">
      <x14:dataValidations xmlns:xm="http://schemas.microsoft.com/office/excel/2006/main" count="1">
        <x14:dataValidation type="list" allowBlank="1" showInputMessage="1" showErrorMessage="1" xr:uid="{FA06F44C-0941-4A9F-877B-55CEA43D6E58}">
          <x14:formula1>
            <xm:f>IF(C11="a) uso domestico",INDEX(ticsi_t_s,0,1),INDEX(TT_Tabelle_Riferimento!$H$91:$H$92,0,1))</xm:f>
          </x14:formula1>
          <xm:sqref>D11:D22</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D17AD-722C-4151-A408-DFAEC9B597CE}">
  <sheetPr codeName="Sheet3">
    <tabColor rgb="FFC5D9F1"/>
  </sheetPr>
  <dimension ref="A1:AA25"/>
  <sheetViews>
    <sheetView showGridLines="0" zoomScale="85" zoomScaleNormal="85" workbookViewId="0"/>
  </sheetViews>
  <sheetFormatPr defaultRowHeight="15"/>
  <cols>
    <col min="2" max="2" width="87.7109375" customWidth="1"/>
    <col min="3" max="3" width="20.5703125" style="565" customWidth="1"/>
    <col min="4" max="4" width="53.28515625" customWidth="1"/>
    <col min="8" max="8" width="18.42578125" bestFit="1" customWidth="1"/>
    <col min="12" max="12" width="17.5703125" customWidth="1"/>
  </cols>
  <sheetData>
    <row r="1" spans="1:27" s="483" customFormat="1" ht="25.35" customHeight="1">
      <c r="A1" s="1589"/>
      <c r="B1" s="300" t="s">
        <v>30953</v>
      </c>
      <c r="C1" s="2465"/>
      <c r="E1" s="304"/>
      <c r="F1" s="304"/>
      <c r="G1" s="304"/>
      <c r="H1" s="304"/>
      <c r="I1" s="304"/>
      <c r="J1" s="304"/>
      <c r="K1" s="304"/>
      <c r="L1" s="304"/>
      <c r="M1" s="304"/>
      <c r="N1" s="304"/>
      <c r="O1" s="304"/>
      <c r="P1" s="304"/>
      <c r="Q1" s="304"/>
      <c r="R1" s="304"/>
      <c r="S1" s="304"/>
      <c r="T1" s="304"/>
      <c r="U1" s="304"/>
      <c r="V1" s="304"/>
      <c r="W1" s="304"/>
      <c r="X1" s="304"/>
      <c r="Y1" s="304"/>
      <c r="Z1" s="304"/>
      <c r="AA1" s="304"/>
    </row>
    <row r="2" spans="1:27" s="483" customFormat="1" ht="15" customHeight="1">
      <c r="A2" s="304"/>
      <c r="B2" s="839" t="s">
        <v>6</v>
      </c>
      <c r="C2" s="2465"/>
      <c r="E2" s="304"/>
      <c r="F2" s="304"/>
      <c r="G2" s="304"/>
      <c r="H2" s="1482" t="s">
        <v>26549</v>
      </c>
      <c r="I2" s="304"/>
      <c r="J2" s="304"/>
      <c r="K2" s="304"/>
      <c r="L2" s="304"/>
      <c r="M2" s="304"/>
      <c r="N2" s="304"/>
      <c r="O2" s="304"/>
      <c r="P2" s="304"/>
      <c r="Q2" s="304"/>
      <c r="R2" s="304"/>
      <c r="S2" s="304"/>
      <c r="T2" s="304"/>
      <c r="U2" s="304"/>
      <c r="V2" s="304"/>
      <c r="W2" s="304"/>
      <c r="X2" s="304"/>
      <c r="Y2" s="304"/>
      <c r="Z2" s="304"/>
      <c r="AA2" s="304"/>
    </row>
    <row r="3" spans="1:27" s="483" customFormat="1" ht="15" customHeight="1">
      <c r="A3" s="304"/>
      <c r="B3" s="304"/>
      <c r="C3" s="2465"/>
      <c r="E3" s="304"/>
      <c r="F3" s="304"/>
      <c r="G3" s="304"/>
      <c r="H3" s="1482" t="b">
        <f>+IF(OR(C14&gt;C13,C17&gt;C16,C25&gt;C24),TRUE,FALSE)</f>
        <v>0</v>
      </c>
      <c r="I3" s="304"/>
      <c r="J3" s="304"/>
      <c r="K3" s="304"/>
      <c r="L3" s="304"/>
      <c r="M3" s="304"/>
      <c r="N3" s="304"/>
      <c r="O3" s="304"/>
      <c r="P3" s="304"/>
      <c r="Q3" s="304"/>
      <c r="R3" s="304"/>
      <c r="S3" s="304"/>
      <c r="T3" s="304"/>
      <c r="U3" s="304"/>
      <c r="V3" s="304"/>
      <c r="W3" s="304"/>
      <c r="X3" s="304"/>
      <c r="Y3" s="304"/>
      <c r="Z3" s="304"/>
      <c r="AA3" s="304"/>
    </row>
    <row r="4" spans="1:27" s="492" customFormat="1" ht="15" customHeight="1">
      <c r="A4" s="490"/>
      <c r="B4" s="490"/>
      <c r="C4" s="2466"/>
      <c r="E4" s="304"/>
      <c r="F4" s="304"/>
      <c r="G4" s="304"/>
      <c r="H4" s="304"/>
      <c r="I4" s="490"/>
      <c r="J4" s="490"/>
      <c r="K4" s="490"/>
      <c r="L4" s="490"/>
      <c r="M4" s="490"/>
      <c r="N4" s="490"/>
      <c r="O4" s="490"/>
      <c r="P4" s="490"/>
      <c r="Q4" s="490"/>
      <c r="R4" s="490"/>
      <c r="S4" s="490"/>
      <c r="T4" s="490"/>
      <c r="U4" s="490"/>
      <c r="V4" s="490"/>
      <c r="W4" s="490"/>
      <c r="X4" s="490"/>
      <c r="Y4" s="490"/>
      <c r="Z4" s="490"/>
      <c r="AA4" s="490"/>
    </row>
    <row r="5" spans="1:27" s="483" customFormat="1" ht="45" customHeight="1">
      <c r="A5" s="304"/>
      <c r="B5" s="3611" t="s">
        <v>30954</v>
      </c>
      <c r="C5" s="3611"/>
      <c r="D5" s="3611"/>
      <c r="E5" s="304"/>
      <c r="F5" s="304"/>
      <c r="G5" s="304"/>
      <c r="H5" s="304"/>
      <c r="I5" s="304"/>
      <c r="J5" s="304"/>
      <c r="K5" s="304"/>
      <c r="L5" s="304"/>
      <c r="M5" s="304"/>
      <c r="N5" s="304"/>
      <c r="O5" s="304"/>
      <c r="P5" s="304"/>
      <c r="Q5" s="304"/>
      <c r="R5" s="304"/>
      <c r="S5" s="304"/>
      <c r="T5" s="304"/>
      <c r="U5" s="304"/>
      <c r="V5" s="304"/>
      <c r="W5" s="304"/>
      <c r="X5" s="304"/>
      <c r="Y5" s="304"/>
      <c r="Z5" s="304"/>
      <c r="AA5" s="304"/>
    </row>
    <row r="6" spans="1:27">
      <c r="L6" s="304"/>
    </row>
    <row r="7" spans="1:27" ht="17.25" thickBot="1">
      <c r="A7" s="303"/>
      <c r="C7" s="3321" t="s">
        <v>29768</v>
      </c>
      <c r="D7" s="2343" t="s">
        <v>22875</v>
      </c>
      <c r="L7" s="304"/>
    </row>
    <row r="8" spans="1:27" ht="39" thickBot="1">
      <c r="B8" s="2344" t="s">
        <v>31192</v>
      </c>
      <c r="C8" s="2467"/>
      <c r="D8" s="2345" t="s">
        <v>31193</v>
      </c>
      <c r="L8" s="304"/>
    </row>
    <row r="9" spans="1:27" ht="15.75" thickBot="1">
      <c r="B9" s="2344" t="s">
        <v>31172</v>
      </c>
      <c r="C9" s="2467"/>
      <c r="L9" s="1600"/>
    </row>
    <row r="10" spans="1:27" ht="26.65" customHeight="1" thickBot="1">
      <c r="B10" s="2344" t="s">
        <v>30943</v>
      </c>
      <c r="C10" s="2468"/>
      <c r="D10" s="2345" t="s">
        <v>31194</v>
      </c>
    </row>
    <row r="11" spans="1:27" ht="15.75" thickBot="1">
      <c r="B11" s="2344" t="s">
        <v>31195</v>
      </c>
      <c r="C11" s="2468"/>
    </row>
    <row r="12" spans="1:27" ht="51.75" thickBot="1">
      <c r="B12" s="2344" t="s">
        <v>31196</v>
      </c>
      <c r="C12" s="2469"/>
      <c r="D12" s="2345" t="s">
        <v>31193</v>
      </c>
    </row>
    <row r="13" spans="1:27" ht="15.75" thickBot="1">
      <c r="B13" s="2344" t="s">
        <v>31173</v>
      </c>
      <c r="C13" s="2469"/>
    </row>
    <row r="14" spans="1:27" ht="26.25" thickBot="1">
      <c r="B14" s="2344" t="s">
        <v>31197</v>
      </c>
      <c r="C14" s="2470"/>
      <c r="D14" s="1619" t="str">
        <f>IF(C14&lt;=C13,"","! non può essere superiore al numero di utenze raggruppate/condominiali alle quali sono state fornite tali indicazioni !")</f>
        <v/>
      </c>
    </row>
    <row r="15" spans="1:27" ht="39" thickBot="1">
      <c r="B15" s="2344" t="s">
        <v>31198</v>
      </c>
      <c r="C15" s="2471"/>
      <c r="D15" s="2345" t="s">
        <v>31193</v>
      </c>
    </row>
    <row r="16" spans="1:27" ht="15.75" thickBot="1">
      <c r="B16" s="2344" t="s">
        <v>31174</v>
      </c>
      <c r="C16" s="2470"/>
    </row>
    <row r="17" spans="2:12" ht="15.75" thickBot="1">
      <c r="B17" s="2346" t="s">
        <v>31175</v>
      </c>
      <c r="C17" s="2470"/>
      <c r="D17" s="1619" t="str">
        <f>IF(C17&lt;=C16,"","! non può essere superiore al numero di utenti indiretti a cui è stato fornito tale modulo !")</f>
        <v/>
      </c>
    </row>
    <row r="18" spans="2:12" ht="32.1" customHeight="1" thickBot="1">
      <c r="B18" s="2347" t="s">
        <v>31199</v>
      </c>
      <c r="C18" s="2470"/>
      <c r="D18" s="2345" t="s">
        <v>31194</v>
      </c>
    </row>
    <row r="19" spans="2:12" ht="32.1" customHeight="1" thickBot="1">
      <c r="B19" s="2347" t="s">
        <v>31200</v>
      </c>
      <c r="C19" s="2470"/>
      <c r="D19" s="2345" t="s">
        <v>31194</v>
      </c>
    </row>
    <row r="20" spans="2:12" ht="39" thickBot="1">
      <c r="B20" s="2344" t="s">
        <v>31201</v>
      </c>
      <c r="C20" s="2470"/>
      <c r="D20" s="1619"/>
      <c r="L20" s="2118"/>
    </row>
    <row r="21" spans="2:12" ht="36.75" thickBot="1">
      <c r="B21" s="2344" t="s">
        <v>31176</v>
      </c>
      <c r="C21" s="2470"/>
      <c r="D21" s="2345" t="s">
        <v>31193</v>
      </c>
      <c r="L21" s="2118"/>
    </row>
    <row r="22" spans="2:12" ht="15.75" thickBot="1">
      <c r="B22" s="2344" t="s">
        <v>31177</v>
      </c>
      <c r="C22" s="2470"/>
    </row>
    <row r="23" spans="2:12" ht="26.65" customHeight="1" thickBot="1">
      <c r="B23" s="2344" t="s">
        <v>31202</v>
      </c>
      <c r="C23" s="2470"/>
      <c r="D23" s="2345" t="s">
        <v>31194</v>
      </c>
    </row>
    <row r="24" spans="2:12" ht="51.75" thickBot="1">
      <c r="B24" s="2344" t="s">
        <v>31203</v>
      </c>
      <c r="C24" s="2470"/>
    </row>
    <row r="25" spans="2:12" ht="30.6" customHeight="1" thickBot="1">
      <c r="B25" s="2346" t="s">
        <v>30955</v>
      </c>
      <c r="C25" s="2470"/>
      <c r="D25" s="2345" t="s">
        <v>31863</v>
      </c>
    </row>
  </sheetData>
  <sheetProtection algorithmName="SHA-512" hashValue="V9P6EGQny0EfcAR1xGTNh/1+ioIGCshP4j3hjMcdSpObK4V+qhuPohpOHbVC1FfTdEoGjjRJrzsAwcSG4BgL+A==" saltValue="AgnBclvWXgSXWfSQZTZUvg==" spinCount="100000" sheet="1" objects="1" scenarios="1"/>
  <mergeCells count="1">
    <mergeCell ref="B5:D5"/>
  </mergeCells>
  <dataValidations count="4">
    <dataValidation type="whole" allowBlank="1" showInputMessage="1" showErrorMessage="1" sqref="C21:C22 C8:C9 C12:C13 C15:C16 C24" xr:uid="{131CBFA4-0CCA-49A1-89DD-1FC02890A4F4}">
      <formula1>0</formula1>
      <formula2>10000000000000</formula2>
    </dataValidation>
    <dataValidation type="list" allowBlank="1" showInputMessage="1" showErrorMessage="1" sqref="C20" xr:uid="{7658DE85-C233-49BB-AE15-BE20E9A35EC8}">
      <formula1>si_no</formula1>
    </dataValidation>
    <dataValidation type="whole" allowBlank="1" showInputMessage="1" showErrorMessage="1" sqref="C14 C17 C25" xr:uid="{9E093321-B0CC-45EA-A5C2-E85DD7799FD6}">
      <formula1>0</formula1>
      <formula2>C13</formula2>
    </dataValidation>
    <dataValidation type="whole" allowBlank="1" showInputMessage="1" showErrorMessage="1" sqref="C11" xr:uid="{EDB3D597-ED11-4C55-AC20-156889BCCFAA}">
      <formula1>0</formula1>
      <formula2>10</formula2>
    </dataValidation>
  </dataValidations>
  <pageMargins left="0.7" right="0.7" top="0.75" bottom="0.75" header="0.3" footer="0.3"/>
  <pageSetup paperSize="9" orientation="portrait" horizontalDpi="1200" verticalDpi="1200" r:id="rId1"/>
  <extLst>
    <ext xmlns:x14="http://schemas.microsoft.com/office/spreadsheetml/2009/9/main" uri="{CCE6A557-97BC-4b89-ADB6-D9C93CAAB3DF}">
      <x14:dataValidations xmlns:xm="http://schemas.microsoft.com/office/excel/2006/main" count="2">
        <x14:dataValidation type="list" allowBlank="1" showInputMessage="1" showErrorMessage="1" xr:uid="{4FA01DE4-7DC9-402F-8A45-2EC01852A01F}">
          <x14:formula1>
            <xm:f>TT_Tabelle_Riferimento!$B$71:$B$76</xm:f>
          </x14:formula1>
          <xm:sqref>C10 C18:C19</xm:sqref>
        </x14:dataValidation>
        <x14:dataValidation type="list" allowBlank="1" showInputMessage="1" showErrorMessage="1" xr:uid="{83C5BED1-5108-4F1B-A79A-AE6DA2121C44}">
          <x14:formula1>
            <xm:f>TT_Tabelle_Riferimento!$B$80:$B$82</xm:f>
          </x14:formula1>
          <xm:sqref>C23</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CCD35-FE25-49E7-8E42-45B737FDD814}">
  <sheetPr codeName="Foglio73">
    <tabColor rgb="FFC5D9F1"/>
    <pageSetUpPr fitToPage="1"/>
  </sheetPr>
  <dimension ref="A1:AD29"/>
  <sheetViews>
    <sheetView showGridLines="0" zoomScale="85" zoomScaleNormal="85" zoomScaleSheetLayoutView="90" workbookViewId="0">
      <pane ySplit="5" topLeftCell="A6" activePane="bottomLeft" state="frozen"/>
      <selection pane="bottomLeft"/>
    </sheetView>
  </sheetViews>
  <sheetFormatPr defaultColWidth="9.42578125" defaultRowHeight="15"/>
  <cols>
    <col min="1" max="1" width="16.140625" customWidth="1"/>
    <col min="2" max="2" width="36" customWidth="1"/>
    <col min="3" max="3" width="51.42578125" customWidth="1"/>
    <col min="4" max="5" width="18.5703125" customWidth="1"/>
    <col min="6" max="6" width="18.5703125" hidden="1" customWidth="1"/>
    <col min="7" max="9" width="18.5703125" customWidth="1"/>
    <col min="10" max="10" width="26.5703125" bestFit="1" customWidth="1"/>
    <col min="11" max="11" width="24.5703125" customWidth="1"/>
    <col min="12" max="12" width="31.5703125" customWidth="1"/>
    <col min="13" max="13" width="21" customWidth="1"/>
    <col min="14" max="14" width="28" customWidth="1"/>
    <col min="15" max="15" width="10.5703125" customWidth="1"/>
    <col min="16" max="16" width="10.42578125" customWidth="1"/>
  </cols>
  <sheetData>
    <row r="1" spans="1:30" s="483" customFormat="1" ht="25.35" customHeight="1">
      <c r="A1" s="482"/>
      <c r="B1" s="204" t="s">
        <v>24997</v>
      </c>
      <c r="D1" s="484"/>
      <c r="W1"/>
      <c r="X1"/>
      <c r="Y1"/>
      <c r="Z1"/>
      <c r="AA1"/>
      <c r="AB1"/>
      <c r="AC1"/>
      <c r="AD1"/>
    </row>
    <row r="2" spans="1:30" s="483" customFormat="1" ht="15" customHeight="1">
      <c r="B2" s="304"/>
      <c r="C2"/>
      <c r="D2" s="485"/>
      <c r="E2"/>
      <c r="F2"/>
      <c r="G2"/>
      <c r="H2"/>
      <c r="I2"/>
      <c r="J2"/>
      <c r="K2"/>
      <c r="L2"/>
      <c r="M2"/>
      <c r="N2"/>
      <c r="O2"/>
      <c r="P2"/>
      <c r="Q2"/>
      <c r="R2"/>
      <c r="S2"/>
      <c r="W2"/>
      <c r="X2"/>
      <c r="Y2"/>
      <c r="Z2"/>
      <c r="AA2"/>
      <c r="AB2"/>
      <c r="AC2"/>
      <c r="AD2"/>
    </row>
    <row r="3" spans="1:30" s="483" customFormat="1" ht="15" customHeight="1">
      <c r="B3" s="304"/>
      <c r="C3" s="486"/>
      <c r="D3" s="488"/>
      <c r="E3" s="487"/>
      <c r="F3" s="487"/>
      <c r="G3" s="487"/>
      <c r="H3" s="487"/>
      <c r="I3" s="487"/>
      <c r="J3" s="487"/>
      <c r="K3" s="487"/>
      <c r="L3" s="487"/>
      <c r="M3" s="487"/>
      <c r="N3" s="489"/>
      <c r="O3" s="489"/>
      <c r="P3" s="489"/>
      <c r="Q3" s="489"/>
      <c r="R3" s="489"/>
      <c r="W3"/>
      <c r="X3"/>
      <c r="Y3"/>
      <c r="Z3"/>
      <c r="AA3"/>
      <c r="AB3"/>
      <c r="AC3"/>
      <c r="AD3"/>
    </row>
    <row r="4" spans="1:30" s="483" customFormat="1" ht="15" customHeight="1">
      <c r="B4" s="304"/>
      <c r="D4" s="484"/>
      <c r="W4"/>
      <c r="X4"/>
      <c r="Y4"/>
      <c r="Z4"/>
      <c r="AA4"/>
      <c r="AB4"/>
      <c r="AC4"/>
      <c r="AD4"/>
    </row>
    <row r="5" spans="1:30" s="492" customFormat="1" ht="30" customHeight="1">
      <c r="B5" s="491" t="s">
        <v>28867</v>
      </c>
      <c r="C5" s="1319"/>
      <c r="D5" s="491"/>
      <c r="F5" s="491"/>
      <c r="W5"/>
      <c r="X5"/>
      <c r="Y5"/>
      <c r="Z5"/>
      <c r="AA5"/>
      <c r="AB5"/>
      <c r="AC5"/>
      <c r="AD5"/>
    </row>
    <row r="6" spans="1:30" s="492" customFormat="1" ht="15" customHeight="1">
      <c r="B6" s="490"/>
      <c r="D6" s="493"/>
      <c r="W6"/>
      <c r="X6"/>
      <c r="Y6"/>
      <c r="Z6"/>
      <c r="AA6"/>
      <c r="AB6"/>
      <c r="AC6"/>
      <c r="AD6"/>
    </row>
    <row r="7" spans="1:30">
      <c r="B7" s="1315"/>
      <c r="C7" s="1316"/>
      <c r="D7" s="1316"/>
      <c r="E7" s="1316"/>
      <c r="F7" s="1316"/>
      <c r="G7" s="1316"/>
      <c r="K7" s="1316"/>
      <c r="L7" s="1316"/>
    </row>
    <row r="8" spans="1:30" s="1518" customFormat="1">
      <c r="B8" s="1315"/>
      <c r="C8" s="1316"/>
      <c r="D8" s="1316"/>
      <c r="E8" s="1316"/>
      <c r="F8" s="1316"/>
      <c r="G8" s="1519"/>
      <c r="H8" s="1519"/>
      <c r="I8" s="1519"/>
      <c r="J8" s="1519"/>
      <c r="K8" s="1519"/>
      <c r="M8" s="1519"/>
      <c r="N8" s="1519"/>
      <c r="O8" s="1519"/>
      <c r="P8" s="1519"/>
      <c r="Q8" s="1519"/>
    </row>
    <row r="9" spans="1:30" s="1518" customFormat="1" ht="15.75">
      <c r="B9" s="1317" t="s">
        <v>29591</v>
      </c>
      <c r="C9" s="1519"/>
      <c r="E9" s="1316"/>
      <c r="F9" s="1316"/>
    </row>
    <row r="10" spans="1:30" s="1518" customFormat="1" ht="27.75">
      <c r="B10" s="2321" t="s">
        <v>25450</v>
      </c>
      <c r="C10" s="2322" t="s">
        <v>31407</v>
      </c>
      <c r="D10" s="2322" t="s">
        <v>31408</v>
      </c>
      <c r="E10" s="1316"/>
      <c r="F10" s="1316"/>
    </row>
    <row r="11" spans="1:30" s="1518" customFormat="1">
      <c r="B11" s="2324" t="s">
        <v>26559</v>
      </c>
      <c r="C11" s="2325"/>
      <c r="D11" s="2325"/>
      <c r="E11" s="1316"/>
      <c r="F11" s="1316"/>
    </row>
    <row r="12" spans="1:30" s="1518" customFormat="1">
      <c r="B12" s="2324" t="s">
        <v>145</v>
      </c>
      <c r="C12" s="2325"/>
      <c r="D12" s="2325"/>
      <c r="E12" s="1316"/>
      <c r="F12" s="1316"/>
    </row>
    <row r="13" spans="1:30" s="1518" customFormat="1">
      <c r="B13" s="1315"/>
      <c r="C13" s="1316"/>
      <c r="D13" s="1316"/>
      <c r="E13" s="1316"/>
      <c r="F13" s="1316"/>
    </row>
    <row r="16" spans="1:30">
      <c r="B16" s="1316"/>
      <c r="C16" s="1316"/>
      <c r="D16" s="1316"/>
      <c r="E16" s="1316"/>
      <c r="G16" s="1316"/>
      <c r="H16" s="1316"/>
      <c r="I16" s="1316"/>
      <c r="J16" s="1316"/>
      <c r="K16" s="1316"/>
      <c r="M16" s="1316"/>
      <c r="N16" s="1316"/>
      <c r="O16" s="1316"/>
      <c r="P16" s="1316"/>
      <c r="Q16" s="1316"/>
    </row>
    <row r="17" spans="2:14" ht="15.75">
      <c r="B17" s="1317" t="s">
        <v>27056</v>
      </c>
      <c r="C17" s="1317"/>
      <c r="D17" s="1318"/>
      <c r="E17" s="1318"/>
      <c r="F17" s="1318"/>
      <c r="G17" s="1318"/>
      <c r="H17" s="1318"/>
      <c r="M17" s="1316"/>
      <c r="N17" s="1316"/>
    </row>
    <row r="18" spans="2:14" ht="37.5">
      <c r="B18" s="2326" t="s">
        <v>25449</v>
      </c>
      <c r="C18" s="2321" t="s">
        <v>25450</v>
      </c>
      <c r="D18" s="2321" t="s">
        <v>31438</v>
      </c>
      <c r="E18" s="2321" t="s">
        <v>31439</v>
      </c>
      <c r="F18" s="2464"/>
      <c r="G18" s="2321" t="s">
        <v>31440</v>
      </c>
      <c r="H18" s="2321" t="s">
        <v>31441</v>
      </c>
      <c r="M18" s="1316"/>
      <c r="N18" s="1316"/>
    </row>
    <row r="19" spans="2:14" ht="51" customHeight="1">
      <c r="B19" s="2327" t="s">
        <v>27057</v>
      </c>
      <c r="C19" s="2328" t="s">
        <v>27058</v>
      </c>
      <c r="D19" s="2325"/>
      <c r="E19" s="2325"/>
      <c r="F19" s="2329"/>
      <c r="G19" s="2329"/>
      <c r="H19" s="2329"/>
      <c r="M19" s="1316"/>
      <c r="N19" s="1316"/>
    </row>
    <row r="20" spans="2:14" ht="51">
      <c r="B20" s="2327" t="s">
        <v>27059</v>
      </c>
      <c r="C20" s="2323" t="s">
        <v>29725</v>
      </c>
      <c r="D20" s="2329"/>
      <c r="E20" s="2329"/>
      <c r="F20" s="2329"/>
      <c r="G20" s="2325"/>
      <c r="H20" s="2325"/>
      <c r="M20" s="1316"/>
      <c r="N20" s="1316"/>
    </row>
    <row r="21" spans="2:14">
      <c r="M21" s="1316"/>
      <c r="N21" s="1316"/>
    </row>
    <row r="25" spans="2:14" ht="18.75">
      <c r="B25" s="1317" t="s">
        <v>28868</v>
      </c>
      <c r="C25" s="1317"/>
      <c r="M25" s="1316"/>
      <c r="N25" s="1316"/>
    </row>
    <row r="26" spans="2:14" ht="37.5">
      <c r="B26" s="2326" t="s">
        <v>25449</v>
      </c>
      <c r="C26" s="2321" t="s">
        <v>25450</v>
      </c>
      <c r="D26" s="2321" t="s">
        <v>31440</v>
      </c>
      <c r="E26" s="2321" t="s">
        <v>31441</v>
      </c>
      <c r="M26" s="1316"/>
      <c r="N26" s="1316"/>
    </row>
    <row r="27" spans="2:14" ht="34.15" customHeight="1">
      <c r="B27" s="2330" t="s">
        <v>29722</v>
      </c>
      <c r="C27" s="2323" t="s">
        <v>28865</v>
      </c>
      <c r="D27" s="3236">
        <f t="shared" ref="D27:E27" si="0">+G20</f>
        <v>0</v>
      </c>
      <c r="E27" s="3236">
        <f t="shared" si="0"/>
        <v>0</v>
      </c>
      <c r="M27" s="1316"/>
      <c r="N27" s="1316"/>
    </row>
    <row r="28" spans="2:14" ht="33.75">
      <c r="B28" s="2326" t="s">
        <v>25449</v>
      </c>
      <c r="C28" s="2321" t="s">
        <v>25450</v>
      </c>
      <c r="D28" s="2331" t="s">
        <v>31866</v>
      </c>
      <c r="E28" s="2331" t="s">
        <v>31867</v>
      </c>
      <c r="M28" s="1316"/>
      <c r="N28" s="1316"/>
    </row>
    <row r="29" spans="2:14" ht="38.25">
      <c r="B29" s="2332" t="s">
        <v>27060</v>
      </c>
      <c r="C29" s="2323" t="s">
        <v>29726</v>
      </c>
      <c r="D29" s="2333"/>
      <c r="E29" s="2333"/>
    </row>
  </sheetData>
  <sheetProtection algorithmName="SHA-512" hashValue="2zuzvy/S28SpszKMMxLoegMdaXkHVqXAV0cx6x1wZRE13S2L4IEHsCjpJIMTTc7o03iwwTOHnHXgW+vCN7KkYQ==" saltValue="FZjZpj2Erl5kZO3MceemRw==" spinCount="100000" sheet="1" objects="1" scenarios="1"/>
  <dataValidations count="2">
    <dataValidation type="decimal" operator="greaterThanOrEqual" allowBlank="1" showInputMessage="1" showErrorMessage="1" error="il valore non può assumere valore negativo" sqref="D20:G20 E19 E27" xr:uid="{773F8B99-48CF-4830-BBFC-70A84F74A7B7}">
      <formula1>0</formula1>
    </dataValidation>
    <dataValidation type="decimal" operator="greaterThanOrEqual" allowBlank="1" showInputMessage="1" showErrorMessage="1" sqref="C11:D12 G19 D19 D27" xr:uid="{E23D11EC-122B-4E66-8354-A41E7B158AB3}">
      <formula1>0</formula1>
    </dataValidation>
  </dataValidations>
  <pageMargins left="0.7" right="0.7" top="0.75" bottom="0.75" header="0.3" footer="0.3"/>
  <pageSetup paperSize="9" scale="73" orientation="landscape" r:id="rId1"/>
  <drawing r:id="rId2"/>
  <legacy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oglio8">
    <tabColor rgb="FFC5D9F1"/>
  </sheetPr>
  <dimension ref="A1:Z11"/>
  <sheetViews>
    <sheetView showGridLines="0" zoomScale="85" zoomScaleNormal="85" workbookViewId="0">
      <selection activeCell="N1" sqref="N1:N1048576"/>
    </sheetView>
  </sheetViews>
  <sheetFormatPr defaultRowHeight="15"/>
  <cols>
    <col min="1" max="1" width="6.5703125" customWidth="1"/>
    <col min="2" max="2" width="18.5703125" customWidth="1"/>
    <col min="3" max="3" width="45.5703125" customWidth="1"/>
    <col min="4" max="7" width="36.42578125" customWidth="1"/>
    <col min="8" max="12" width="28.5703125" customWidth="1"/>
    <col min="13" max="13" width="16.42578125" style="1013" customWidth="1"/>
    <col min="14" max="17" width="15.42578125" style="1013" customWidth="1"/>
    <col min="18" max="26" width="8.5703125" style="1013"/>
  </cols>
  <sheetData>
    <row r="1" spans="1:26" s="483" customFormat="1" ht="25.35" customHeight="1">
      <c r="A1" s="482"/>
      <c r="B1" s="300" t="s">
        <v>24997</v>
      </c>
      <c r="I1"/>
      <c r="J1"/>
      <c r="K1"/>
      <c r="L1"/>
      <c r="M1" s="1013"/>
      <c r="N1" s="254"/>
      <c r="O1" s="254"/>
      <c r="P1" s="254"/>
      <c r="Q1" s="254"/>
      <c r="R1" s="254"/>
      <c r="S1" s="254"/>
      <c r="T1" s="254"/>
      <c r="U1" s="254"/>
      <c r="V1" s="254"/>
      <c r="W1" s="254"/>
      <c r="X1" s="254"/>
      <c r="Y1" s="254"/>
      <c r="Z1" s="254"/>
    </row>
    <row r="2" spans="1:26" s="483" customFormat="1" ht="15" customHeight="1">
      <c r="A2" s="304"/>
      <c r="B2" s="304"/>
      <c r="I2"/>
      <c r="J2"/>
      <c r="K2"/>
      <c r="L2"/>
      <c r="M2" s="1013"/>
      <c r="N2" s="254"/>
      <c r="O2" s="254"/>
      <c r="P2" s="254"/>
      <c r="Q2" s="254"/>
      <c r="R2" s="254"/>
      <c r="S2" s="254"/>
      <c r="T2" s="254"/>
      <c r="U2" s="254"/>
      <c r="V2" s="254"/>
      <c r="W2" s="254"/>
      <c r="X2" s="254"/>
      <c r="Y2" s="254"/>
      <c r="Z2" s="254"/>
    </row>
    <row r="3" spans="1:26" s="483" customFormat="1" ht="15" customHeight="1">
      <c r="A3" s="304"/>
      <c r="B3" s="1848"/>
      <c r="H3"/>
      <c r="I3"/>
      <c r="J3"/>
      <c r="K3"/>
      <c r="L3"/>
      <c r="M3" s="1013"/>
      <c r="R3" s="254"/>
      <c r="S3" s="254"/>
      <c r="T3" s="254"/>
      <c r="U3" s="254"/>
      <c r="V3" s="254"/>
      <c r="W3" s="254"/>
      <c r="X3" s="254"/>
      <c r="Y3" s="254"/>
      <c r="Z3" s="254"/>
    </row>
    <row r="4" spans="1:26" s="483" customFormat="1" ht="15" customHeight="1">
      <c r="A4" s="304"/>
      <c r="B4" s="304"/>
      <c r="D4" s="1849"/>
      <c r="E4" s="1849"/>
      <c r="F4" s="1849"/>
      <c r="G4" s="1849"/>
      <c r="H4"/>
      <c r="I4"/>
      <c r="J4"/>
      <c r="K4"/>
      <c r="L4"/>
      <c r="M4" s="1013"/>
      <c r="R4" s="254"/>
      <c r="S4" s="254"/>
      <c r="T4" s="254"/>
      <c r="U4" s="254"/>
      <c r="V4" s="254"/>
      <c r="W4" s="254"/>
      <c r="X4" s="254"/>
      <c r="Y4" s="254"/>
      <c r="Z4" s="254"/>
    </row>
    <row r="5" spans="1:26" s="483" customFormat="1" ht="30" customHeight="1">
      <c r="A5" s="304"/>
      <c r="B5" s="3611" t="s">
        <v>29605</v>
      </c>
      <c r="C5" s="3611"/>
      <c r="D5" s="3611"/>
      <c r="E5"/>
      <c r="F5" s="1850"/>
      <c r="G5" s="934"/>
      <c r="H5"/>
      <c r="I5"/>
      <c r="J5"/>
      <c r="K5"/>
      <c r="L5"/>
      <c r="M5" s="1013"/>
      <c r="N5" s="254"/>
      <c r="O5" s="254"/>
      <c r="P5" s="254"/>
      <c r="Q5" s="254"/>
      <c r="R5" s="254"/>
      <c r="S5" s="254"/>
      <c r="T5" s="254"/>
      <c r="U5" s="254"/>
      <c r="V5" s="254"/>
      <c r="W5" s="254"/>
      <c r="X5" s="254"/>
      <c r="Y5" s="254"/>
      <c r="Z5" s="254"/>
    </row>
    <row r="6" spans="1:26" s="816" customFormat="1" ht="15" customHeight="1">
      <c r="A6" s="815"/>
      <c r="B6" s="815"/>
      <c r="C6" s="2722"/>
      <c r="D6" s="2723"/>
      <c r="E6" s="2723"/>
      <c r="F6" s="2723"/>
      <c r="G6" s="1851"/>
      <c r="H6"/>
      <c r="I6"/>
      <c r="J6"/>
      <c r="K6"/>
      <c r="L6"/>
      <c r="M6" s="1013"/>
      <c r="N6" s="1013"/>
      <c r="O6" s="1013"/>
      <c r="P6" s="1013"/>
      <c r="Q6" s="1013"/>
      <c r="R6" s="254"/>
      <c r="S6" s="254"/>
      <c r="T6" s="254"/>
      <c r="U6" s="254"/>
      <c r="V6" s="254"/>
      <c r="W6" s="254"/>
      <c r="X6" s="254"/>
      <c r="Y6" s="254"/>
      <c r="Z6" s="254"/>
    </row>
    <row r="7" spans="1:26" s="816" customFormat="1" ht="15" hidden="1" customHeight="1" thickBot="1">
      <c r="A7" s="815"/>
      <c r="B7" s="815"/>
      <c r="D7" s="1852"/>
      <c r="E7" s="1852"/>
      <c r="F7" s="1852"/>
      <c r="G7" s="1852"/>
      <c r="H7"/>
      <c r="I7"/>
      <c r="J7"/>
      <c r="K7"/>
      <c r="L7"/>
      <c r="M7" s="1013"/>
      <c r="N7" s="1013"/>
      <c r="O7" s="1013"/>
      <c r="P7" s="1013"/>
      <c r="Q7" s="1013"/>
      <c r="R7" s="254"/>
      <c r="S7" s="254"/>
      <c r="T7" s="254"/>
      <c r="U7" s="254"/>
      <c r="V7" s="254"/>
      <c r="W7" s="254"/>
      <c r="X7" s="254"/>
      <c r="Y7" s="254"/>
      <c r="Z7" s="254"/>
    </row>
    <row r="8" spans="1:26" s="816" customFormat="1" ht="23.25" hidden="1" customHeight="1">
      <c r="A8" s="815"/>
      <c r="B8" s="815"/>
      <c r="D8" s="1853"/>
      <c r="E8" s="1853"/>
      <c r="F8" s="1853"/>
      <c r="G8" s="1853"/>
      <c r="H8"/>
      <c r="I8"/>
      <c r="J8"/>
      <c r="K8"/>
      <c r="L8"/>
      <c r="M8" s="1013"/>
      <c r="N8" s="1013"/>
      <c r="O8" s="1013"/>
      <c r="P8" s="1013"/>
      <c r="Q8" s="1013"/>
      <c r="R8" s="254"/>
      <c r="S8" s="254"/>
      <c r="T8" s="254"/>
      <c r="U8" s="254"/>
      <c r="V8" s="254"/>
      <c r="W8" s="254"/>
      <c r="X8" s="254"/>
      <c r="Y8" s="254"/>
      <c r="Z8" s="254"/>
    </row>
    <row r="9" spans="1:26" s="819" customFormat="1" ht="52.35" customHeight="1">
      <c r="A9" s="840"/>
      <c r="B9" s="3612" t="s">
        <v>24881</v>
      </c>
      <c r="C9" s="3614" t="s">
        <v>7</v>
      </c>
      <c r="D9" s="1854" t="s">
        <v>31436</v>
      </c>
      <c r="E9" s="1854" t="s">
        <v>31437</v>
      </c>
      <c r="F9" s="1854" t="s">
        <v>31369</v>
      </c>
      <c r="G9" s="1854" t="s">
        <v>31370</v>
      </c>
      <c r="H9" s="1854" t="s">
        <v>31436</v>
      </c>
      <c r="I9" s="1854" t="s">
        <v>31437</v>
      </c>
      <c r="J9" s="1854" t="s">
        <v>31369</v>
      </c>
      <c r="K9" s="1854" t="s">
        <v>31370</v>
      </c>
      <c r="L9" s="1855" t="s">
        <v>26636</v>
      </c>
      <c r="M9" s="1013"/>
      <c r="N9" s="2721" t="s">
        <v>31436</v>
      </c>
      <c r="O9" s="2721" t="s">
        <v>31437</v>
      </c>
      <c r="P9" s="2721" t="s">
        <v>31369</v>
      </c>
      <c r="Q9" s="2721" t="s">
        <v>31370</v>
      </c>
      <c r="R9" s="802"/>
      <c r="S9" s="802"/>
      <c r="T9" s="802"/>
      <c r="U9" s="802"/>
      <c r="V9" s="802"/>
      <c r="W9" s="802"/>
      <c r="X9" s="802"/>
      <c r="Y9" s="802"/>
      <c r="Z9" s="802"/>
    </row>
    <row r="10" spans="1:26" s="819" customFormat="1" ht="16.5">
      <c r="A10" s="840"/>
      <c r="B10" s="3613"/>
      <c r="C10" s="3615"/>
      <c r="D10" s="2720" t="s">
        <v>31434</v>
      </c>
      <c r="E10" s="2720" t="s">
        <v>31435</v>
      </c>
      <c r="F10" s="2720" t="s">
        <v>31432</v>
      </c>
      <c r="G10" s="2720" t="s">
        <v>31433</v>
      </c>
      <c r="H10" s="2720" t="s">
        <v>31434</v>
      </c>
      <c r="I10" s="2720" t="s">
        <v>31435</v>
      </c>
      <c r="J10" s="2720" t="s">
        <v>31432</v>
      </c>
      <c r="K10" s="2720" t="s">
        <v>31433</v>
      </c>
      <c r="L10" s="1856"/>
      <c r="M10" s="1013"/>
      <c r="N10" s="1013"/>
      <c r="O10" s="1013"/>
      <c r="P10" s="1013"/>
      <c r="Q10" s="1013"/>
      <c r="R10" s="802"/>
      <c r="S10" s="802"/>
      <c r="T10" s="802"/>
      <c r="U10" s="802"/>
      <c r="V10" s="802"/>
      <c r="W10" s="802"/>
      <c r="X10" s="802"/>
      <c r="Y10" s="802"/>
      <c r="Z10" s="802"/>
    </row>
    <row r="11" spans="1:26" s="483" customFormat="1" ht="32.25" customHeight="1">
      <c r="A11" s="304"/>
      <c r="B11" s="1857">
        <f>+ROW(A11)-10</f>
        <v>1</v>
      </c>
      <c r="C11" s="1454"/>
      <c r="D11" s="1816">
        <f>+SUMIF(Struttura_corrispettivi!$AD:$AD,$C11,Struttura_corrispettivi!AH:AH)</f>
        <v>0</v>
      </c>
      <c r="E11" s="1816">
        <f>+SUMIF(Struttura_corrispettivi!$AD:$AD,$C11,Struttura_corrispettivi!AI:AI)</f>
        <v>0</v>
      </c>
      <c r="F11" s="1816">
        <f>+SUMIF(Struttura_corrispettivi!$AD:$AD,$C11,Struttura_corrispettivi!AJ:AJ)</f>
        <v>0</v>
      </c>
      <c r="G11" s="1816">
        <f>+SUMIF(Struttura_corrispettivi!$AD:$AD,$C11,Struttura_corrispettivi!AK:AK)</f>
        <v>0</v>
      </c>
      <c r="H11" s="2724"/>
      <c r="I11" s="2724"/>
      <c r="J11" s="2724"/>
      <c r="K11" s="2724"/>
      <c r="L11" s="210"/>
      <c r="M11" s="1013"/>
      <c r="N11" s="2434">
        <f>+IF(H11=0,D11,H11)</f>
        <v>0</v>
      </c>
      <c r="O11" s="2434">
        <f>+IF(I11=0,E11,I11)</f>
        <v>0</v>
      </c>
      <c r="P11" s="2434">
        <f>+IF(J11=0,F11,J11)</f>
        <v>0</v>
      </c>
      <c r="Q11" s="2434">
        <f>+IF(K11=0,G11,K11)</f>
        <v>0</v>
      </c>
      <c r="R11" s="254"/>
      <c r="S11" s="254"/>
      <c r="T11" s="254"/>
      <c r="U11" s="254"/>
      <c r="V11" s="254"/>
      <c r="W11" s="254"/>
      <c r="X11" s="254"/>
      <c r="Y11" s="254"/>
      <c r="Z11" s="254"/>
    </row>
  </sheetData>
  <sheetProtection algorithmName="SHA-512" hashValue="3xrO038L+XJyriufKRSFzMAYDZWEL5vQ+T2ea36f0ndWTxL35JU9lWpFvKwYZC8r7Bhr5x2dSXnP1nbXHA43gA==" saltValue="/BXy7BQnhhY0Do2/GKABXQ==" spinCount="100000" sheet="1" objects="1" scenarios="1"/>
  <customSheetViews>
    <customSheetView guid="{849F61E1-F6D3-48F4-A6FF-68F8FE186D80}" scale="85" showGridLines="0" hiddenRows="1">
      <pageMargins left="0.7" right="0.7" top="0.75" bottom="0.75" header="0.3" footer="0.3"/>
      <pageSetup paperSize="9" orientation="portrait" verticalDpi="300" r:id="rId1"/>
    </customSheetView>
    <customSheetView guid="{1E1889AA-9C00-49BF-A07E-295053EABBEF}" scale="85" showGridLines="0" hiddenRows="1" hiddenColumns="1">
      <pageMargins left="0.7" right="0.7" top="0.75" bottom="0.75" header="0.3" footer="0.3"/>
      <pageSetup paperSize="9" orientation="portrait" verticalDpi="300" r:id="rId2"/>
    </customSheetView>
    <customSheetView guid="{83029BA9-344F-4783-B8F2-6704FB40A582}" scale="85" showGridLines="0" hiddenRows="1">
      <pageMargins left="0.7" right="0.7" top="0.75" bottom="0.75" header="0.3" footer="0.3"/>
      <pageSetup paperSize="9" orientation="portrait" verticalDpi="300" r:id="rId3"/>
    </customSheetView>
  </customSheetViews>
  <mergeCells count="3">
    <mergeCell ref="B9:B10"/>
    <mergeCell ref="C9:C10"/>
    <mergeCell ref="B5:D5"/>
  </mergeCells>
  <phoneticPr fontId="341" type="noConversion"/>
  <dataValidations count="1">
    <dataValidation type="list" allowBlank="1" showInputMessage="1" showErrorMessage="1" sqref="C11" xr:uid="{00000000-0002-0000-0B00-000000000000}">
      <formula1>INDEX(BaciniTariffariElenco,0,2)</formula1>
    </dataValidation>
  </dataValidations>
  <pageMargins left="0.7" right="0.7" top="0.75" bottom="0.75" header="0.3" footer="0.3"/>
  <pageSetup paperSize="9" orientation="portrait" verticalDpi="300" r:id="rId4"/>
  <drawing r:id="rId5"/>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21252-2CCD-498D-BE8E-0E37FE389063}">
  <sheetPr codeName="Foglio7">
    <tabColor rgb="FFFDE9D9"/>
  </sheetPr>
  <dimension ref="B1:AG138"/>
  <sheetViews>
    <sheetView showGridLines="0" zoomScale="85" zoomScaleNormal="85" workbookViewId="0"/>
  </sheetViews>
  <sheetFormatPr defaultColWidth="9.28515625" defaultRowHeight="15"/>
  <cols>
    <col min="1" max="1" width="3.28515625" style="561" customWidth="1"/>
    <col min="2" max="2" width="8.28515625" style="561" customWidth="1"/>
    <col min="3" max="3" width="36.28515625" style="561" customWidth="1"/>
    <col min="4" max="4" width="40.140625" style="563" customWidth="1"/>
    <col min="5" max="7" width="12.7109375" style="1016" customWidth="1"/>
    <col min="8" max="8" width="14.42578125" style="561" customWidth="1"/>
    <col min="9" max="9" width="16.42578125" bestFit="1" customWidth="1"/>
    <col min="10" max="16" width="9.28515625" customWidth="1"/>
    <col min="17" max="16384" width="9.28515625" style="561"/>
  </cols>
  <sheetData>
    <row r="1" spans="2:33" s="558" customFormat="1" ht="23.25">
      <c r="B1" s="300"/>
      <c r="E1" s="1015"/>
      <c r="F1" s="1015"/>
      <c r="G1" s="1015"/>
      <c r="S1" s="561"/>
      <c r="AD1"/>
      <c r="AE1"/>
      <c r="AF1"/>
      <c r="AG1"/>
    </row>
    <row r="2" spans="2:33" s="559" customFormat="1">
      <c r="E2" s="1015"/>
      <c r="F2" s="1015"/>
      <c r="G2" s="1015"/>
      <c r="H2"/>
      <c r="I2"/>
      <c r="AD2"/>
      <c r="AE2" s="485"/>
      <c r="AF2" s="485"/>
      <c r="AG2"/>
    </row>
    <row r="3" spans="2:33">
      <c r="B3" s="2474" t="s">
        <v>22741</v>
      </c>
      <c r="C3" s="2475" t="s">
        <v>209</v>
      </c>
      <c r="D3" s="2476" t="s">
        <v>210</v>
      </c>
      <c r="E3" s="2477">
        <v>2024</v>
      </c>
      <c r="F3" s="2477">
        <v>2025</v>
      </c>
      <c r="G3" s="2478" t="s">
        <v>30187</v>
      </c>
      <c r="H3"/>
      <c r="J3" s="561"/>
      <c r="K3" s="561"/>
      <c r="L3" s="561"/>
      <c r="M3" s="561"/>
      <c r="N3" s="561"/>
      <c r="O3" s="561"/>
      <c r="P3" s="561"/>
      <c r="AD3"/>
      <c r="AE3" s="485"/>
      <c r="AF3" s="485"/>
      <c r="AG3"/>
    </row>
    <row r="4" spans="2:33">
      <c r="B4" s="2479">
        <v>1</v>
      </c>
      <c r="C4" s="2480" t="s">
        <v>26526</v>
      </c>
      <c r="D4" s="2481" t="s">
        <v>211</v>
      </c>
      <c r="E4" s="824"/>
      <c r="F4" s="824"/>
      <c r="G4" s="2482"/>
      <c r="H4"/>
      <c r="J4" s="561"/>
      <c r="K4" s="561"/>
      <c r="L4" s="561"/>
      <c r="M4" s="561"/>
      <c r="N4" s="561"/>
      <c r="O4" s="561"/>
      <c r="P4" s="561"/>
      <c r="AD4"/>
      <c r="AE4" s="485"/>
      <c r="AF4" s="485"/>
      <c r="AG4"/>
    </row>
    <row r="5" spans="2:33">
      <c r="B5" s="2479">
        <v>2</v>
      </c>
      <c r="C5" s="2480" t="s">
        <v>26526</v>
      </c>
      <c r="D5" s="2483" t="s">
        <v>212</v>
      </c>
      <c r="E5" s="2484"/>
      <c r="F5" s="2484"/>
      <c r="G5" s="824"/>
      <c r="H5"/>
      <c r="J5" s="561"/>
      <c r="K5" s="561"/>
      <c r="L5" s="561"/>
      <c r="M5" s="561"/>
      <c r="N5" s="561"/>
      <c r="O5" s="561"/>
      <c r="P5" s="561"/>
      <c r="AD5"/>
      <c r="AE5" s="485"/>
      <c r="AF5" s="485"/>
      <c r="AG5"/>
    </row>
    <row r="6" spans="2:33">
      <c r="B6" s="2479">
        <v>3</v>
      </c>
      <c r="C6" s="2480" t="s">
        <v>26526</v>
      </c>
      <c r="D6" s="2485" t="s">
        <v>213</v>
      </c>
      <c r="E6" s="2484"/>
      <c r="F6" s="2484"/>
      <c r="G6" s="824"/>
      <c r="H6"/>
      <c r="J6" s="561"/>
      <c r="K6" s="561"/>
      <c r="L6" s="561"/>
      <c r="M6" s="561"/>
      <c r="N6" s="561"/>
      <c r="O6" s="561"/>
      <c r="P6" s="561"/>
      <c r="AD6"/>
      <c r="AE6" s="485"/>
      <c r="AF6" s="485"/>
      <c r="AG6"/>
    </row>
    <row r="7" spans="2:33">
      <c r="B7" s="2479">
        <v>4</v>
      </c>
      <c r="C7" s="2480" t="s">
        <v>26526</v>
      </c>
      <c r="D7" s="2481" t="s">
        <v>214</v>
      </c>
      <c r="E7" s="825"/>
      <c r="F7" s="825"/>
      <c r="G7" s="2486"/>
      <c r="H7"/>
      <c r="J7" s="561"/>
      <c r="K7" s="561"/>
      <c r="L7" s="561"/>
      <c r="M7" s="561"/>
      <c r="N7" s="561"/>
      <c r="O7" s="561"/>
      <c r="P7" s="561"/>
      <c r="AD7"/>
      <c r="AE7" s="485"/>
      <c r="AF7" s="485"/>
      <c r="AG7"/>
    </row>
    <row r="8" spans="2:33" ht="15.75">
      <c r="B8" s="2479">
        <v>5</v>
      </c>
      <c r="C8" s="2480" t="s">
        <v>215</v>
      </c>
      <c r="D8" s="2487" t="s">
        <v>30488</v>
      </c>
      <c r="E8" s="825"/>
      <c r="F8" s="825"/>
      <c r="G8" s="2486"/>
      <c r="H8"/>
      <c r="J8" s="561"/>
      <c r="K8" s="561"/>
      <c r="L8" s="561"/>
      <c r="M8" s="561"/>
      <c r="N8" s="561"/>
      <c r="O8" s="561"/>
      <c r="P8" s="561"/>
      <c r="AD8"/>
      <c r="AE8" s="485"/>
      <c r="AF8" s="485"/>
      <c r="AG8"/>
    </row>
    <row r="9" spans="2:33">
      <c r="B9" s="2479">
        <v>6</v>
      </c>
      <c r="C9" s="2480" t="s">
        <v>215</v>
      </c>
      <c r="D9" s="2481" t="s">
        <v>216</v>
      </c>
      <c r="E9" s="825"/>
      <c r="F9" s="825"/>
      <c r="G9" s="909"/>
      <c r="H9"/>
      <c r="J9" s="561"/>
      <c r="K9" s="561"/>
      <c r="L9" s="561"/>
      <c r="M9" s="561"/>
      <c r="N9" s="561"/>
      <c r="O9" s="561"/>
      <c r="P9" s="561"/>
      <c r="AD9"/>
      <c r="AE9" s="485"/>
      <c r="AF9" s="485"/>
      <c r="AG9"/>
    </row>
    <row r="10" spans="2:33">
      <c r="B10" s="2479">
        <v>7</v>
      </c>
      <c r="C10" s="2480" t="s">
        <v>215</v>
      </c>
      <c r="D10" s="2481" t="s">
        <v>30482</v>
      </c>
      <c r="E10" s="825"/>
      <c r="F10" s="825"/>
      <c r="G10" s="908"/>
      <c r="H10"/>
      <c r="J10" s="561"/>
      <c r="K10" s="561"/>
      <c r="L10" s="561"/>
      <c r="M10" s="561"/>
      <c r="N10" s="561"/>
      <c r="O10" s="561"/>
      <c r="P10" s="561"/>
      <c r="AD10"/>
      <c r="AE10" s="485"/>
      <c r="AF10" s="485"/>
      <c r="AG10"/>
    </row>
    <row r="11" spans="2:33" ht="15.75">
      <c r="B11" s="2479">
        <v>8</v>
      </c>
      <c r="C11" s="2480" t="s">
        <v>215</v>
      </c>
      <c r="D11" s="2481" t="s">
        <v>30596</v>
      </c>
      <c r="E11" s="825"/>
      <c r="F11" s="825"/>
      <c r="G11" s="2486"/>
      <c r="H11"/>
      <c r="J11" s="561"/>
      <c r="K11" s="561"/>
      <c r="L11" s="561"/>
      <c r="M11" s="561"/>
      <c r="N11" s="561"/>
      <c r="O11" s="561"/>
      <c r="P11" s="561"/>
      <c r="AD11"/>
      <c r="AE11" s="485"/>
      <c r="AF11" s="485"/>
      <c r="AG11"/>
    </row>
    <row r="12" spans="2:33">
      <c r="B12" s="2479">
        <v>9</v>
      </c>
      <c r="C12" s="2480" t="s">
        <v>215</v>
      </c>
      <c r="D12" s="2481" t="s">
        <v>215</v>
      </c>
      <c r="E12" s="2486"/>
      <c r="F12" s="2486"/>
      <c r="G12" s="825"/>
      <c r="H12"/>
      <c r="J12" s="561"/>
      <c r="K12" s="561"/>
      <c r="L12" s="561"/>
      <c r="M12" s="561"/>
      <c r="N12" s="561"/>
      <c r="O12" s="561"/>
      <c r="P12" s="561"/>
      <c r="AD12"/>
      <c r="AE12" s="485"/>
      <c r="AF12" s="485"/>
      <c r="AG12"/>
    </row>
    <row r="13" spans="2:33" ht="15.75">
      <c r="B13" s="2479">
        <v>10</v>
      </c>
      <c r="C13" s="2480" t="s">
        <v>26997</v>
      </c>
      <c r="D13" s="2488" t="s">
        <v>27000</v>
      </c>
      <c r="E13" s="2486"/>
      <c r="F13" s="2486"/>
      <c r="G13" s="825"/>
      <c r="H13"/>
      <c r="J13" s="561"/>
      <c r="K13" s="561"/>
      <c r="L13" s="561"/>
      <c r="M13" s="561"/>
      <c r="N13" s="561"/>
      <c r="O13" s="561"/>
      <c r="P13" s="561"/>
      <c r="AD13"/>
      <c r="AE13" s="485"/>
      <c r="AF13" s="485"/>
      <c r="AG13"/>
    </row>
    <row r="14" spans="2:33">
      <c r="B14" s="2479">
        <v>11</v>
      </c>
      <c r="C14" s="2480" t="s">
        <v>26997</v>
      </c>
      <c r="D14" s="2488" t="s">
        <v>26999</v>
      </c>
      <c r="E14" s="2486"/>
      <c r="F14" s="2486"/>
      <c r="G14" s="825"/>
      <c r="H14"/>
      <c r="J14" s="561"/>
      <c r="K14" s="561"/>
      <c r="L14" s="561"/>
      <c r="M14" s="561"/>
      <c r="N14" s="561"/>
      <c r="O14" s="561"/>
      <c r="P14" s="561"/>
      <c r="AD14"/>
      <c r="AE14" s="485"/>
      <c r="AF14" s="485"/>
      <c r="AG14"/>
    </row>
    <row r="15" spans="2:33" ht="15.75">
      <c r="B15" s="2479">
        <v>12</v>
      </c>
      <c r="C15" s="2480" t="s">
        <v>26997</v>
      </c>
      <c r="D15" s="2488" t="s">
        <v>26998</v>
      </c>
      <c r="E15" s="2486"/>
      <c r="F15" s="2486"/>
      <c r="G15" s="825"/>
      <c r="H15"/>
      <c r="J15" s="561"/>
      <c r="K15" s="561"/>
      <c r="L15" s="561"/>
      <c r="M15" s="561"/>
      <c r="N15" s="561"/>
      <c r="O15" s="561"/>
      <c r="P15" s="561"/>
      <c r="AD15"/>
      <c r="AE15" s="485"/>
      <c r="AF15" s="485"/>
      <c r="AG15"/>
    </row>
    <row r="16" spans="2:33">
      <c r="B16" s="2479">
        <v>13</v>
      </c>
      <c r="C16" s="2480" t="s">
        <v>217</v>
      </c>
      <c r="D16" s="2481" t="s">
        <v>218</v>
      </c>
      <c r="E16" s="2486"/>
      <c r="F16" s="2486"/>
      <c r="G16" s="825"/>
      <c r="H16"/>
      <c r="J16" s="561"/>
      <c r="K16" s="561"/>
      <c r="L16" s="561"/>
      <c r="M16" s="561"/>
      <c r="N16" s="561"/>
      <c r="O16" s="561"/>
      <c r="P16" s="561"/>
      <c r="AD16"/>
      <c r="AE16" s="485"/>
      <c r="AF16" s="485"/>
      <c r="AG16"/>
    </row>
    <row r="17" spans="2:33">
      <c r="B17" s="2479">
        <v>14</v>
      </c>
      <c r="C17" s="2480" t="s">
        <v>217</v>
      </c>
      <c r="D17" s="2481" t="s">
        <v>30582</v>
      </c>
      <c r="E17" s="2486"/>
      <c r="F17" s="2486"/>
      <c r="G17" s="825"/>
      <c r="H17"/>
      <c r="J17" s="561"/>
      <c r="K17" s="561"/>
      <c r="L17" s="561"/>
      <c r="M17" s="561"/>
      <c r="N17" s="561"/>
      <c r="O17" s="561"/>
      <c r="P17" s="561"/>
      <c r="AD17"/>
      <c r="AE17" s="485"/>
      <c r="AF17" s="485"/>
      <c r="AG17"/>
    </row>
    <row r="18" spans="2:33">
      <c r="B18" s="2479">
        <v>15</v>
      </c>
      <c r="C18" s="2480" t="s">
        <v>217</v>
      </c>
      <c r="D18" s="2481" t="s">
        <v>25410</v>
      </c>
      <c r="E18" s="2486"/>
      <c r="F18" s="2486"/>
      <c r="G18" s="825"/>
      <c r="H18"/>
      <c r="J18" s="561"/>
      <c r="K18" s="561"/>
      <c r="L18" s="561"/>
      <c r="M18" s="561"/>
      <c r="N18" s="561"/>
      <c r="O18" s="561"/>
      <c r="P18" s="561"/>
      <c r="AD18"/>
      <c r="AE18" s="485"/>
      <c r="AF18" s="485"/>
      <c r="AG18"/>
    </row>
    <row r="19" spans="2:33">
      <c r="B19" s="2479">
        <v>16</v>
      </c>
      <c r="C19" s="2480" t="s">
        <v>217</v>
      </c>
      <c r="D19" s="2489" t="s">
        <v>30583</v>
      </c>
      <c r="E19" s="2486"/>
      <c r="F19" s="2486"/>
      <c r="G19" s="825"/>
      <c r="H19"/>
      <c r="J19" s="561"/>
      <c r="K19" s="561"/>
      <c r="L19" s="561"/>
      <c r="M19" s="561"/>
      <c r="N19" s="561"/>
      <c r="O19" s="561"/>
      <c r="P19" s="561"/>
      <c r="AD19"/>
      <c r="AE19" s="485"/>
      <c r="AF19" s="485"/>
      <c r="AG19"/>
    </row>
    <row r="20" spans="2:33" ht="16.5">
      <c r="B20" s="2479">
        <v>17</v>
      </c>
      <c r="C20" s="2480" t="s">
        <v>217</v>
      </c>
      <c r="D20" s="2490" t="s">
        <v>30584</v>
      </c>
      <c r="E20" s="2486"/>
      <c r="F20" s="2486"/>
      <c r="G20" s="825"/>
      <c r="H20"/>
      <c r="J20" s="561"/>
      <c r="K20" s="561"/>
      <c r="L20" s="561"/>
      <c r="M20" s="561"/>
      <c r="N20" s="561"/>
      <c r="O20" s="561"/>
      <c r="P20" s="561"/>
      <c r="AD20"/>
      <c r="AE20" s="485"/>
      <c r="AF20" s="485"/>
      <c r="AG20"/>
    </row>
    <row r="21" spans="2:33">
      <c r="B21" s="2479">
        <v>18</v>
      </c>
      <c r="C21" s="2480" t="s">
        <v>217</v>
      </c>
      <c r="D21" s="2481" t="s">
        <v>24906</v>
      </c>
      <c r="E21" s="2491"/>
      <c r="F21" s="2491"/>
      <c r="G21" s="825"/>
      <c r="H21"/>
      <c r="J21" s="561"/>
      <c r="K21" s="561"/>
      <c r="L21" s="561"/>
      <c r="M21" s="561"/>
      <c r="N21" s="561"/>
      <c r="O21" s="561"/>
      <c r="P21" s="561"/>
      <c r="AD21"/>
      <c r="AE21" s="485"/>
      <c r="AF21" s="485"/>
      <c r="AG21"/>
    </row>
    <row r="22" spans="2:33">
      <c r="B22" s="2479">
        <v>19</v>
      </c>
      <c r="C22" s="2480" t="s">
        <v>217</v>
      </c>
      <c r="D22" s="2481" t="s">
        <v>24907</v>
      </c>
      <c r="E22" s="2486"/>
      <c r="F22" s="2486"/>
      <c r="G22" s="825"/>
      <c r="H22"/>
      <c r="J22" s="561"/>
      <c r="K22" s="561"/>
      <c r="L22" s="561"/>
      <c r="M22" s="561"/>
      <c r="N22" s="561"/>
      <c r="O22" s="561"/>
      <c r="P22" s="561"/>
      <c r="AD22"/>
      <c r="AE22" s="485"/>
      <c r="AF22" s="485"/>
      <c r="AG22"/>
    </row>
    <row r="23" spans="2:33">
      <c r="B23" s="2479">
        <v>20</v>
      </c>
      <c r="C23" s="2480" t="s">
        <v>219</v>
      </c>
      <c r="D23" s="2481" t="s">
        <v>201</v>
      </c>
      <c r="E23" s="2486"/>
      <c r="F23" s="2486"/>
      <c r="G23" s="825"/>
      <c r="H23"/>
      <c r="J23" s="561"/>
      <c r="K23" s="561"/>
      <c r="L23" s="561"/>
      <c r="M23" s="561"/>
      <c r="N23" s="561"/>
      <c r="O23" s="561"/>
      <c r="P23" s="561"/>
      <c r="AD23"/>
      <c r="AE23" s="485"/>
      <c r="AF23" s="485"/>
      <c r="AG23"/>
    </row>
    <row r="24" spans="2:33">
      <c r="B24" s="2479">
        <v>21</v>
      </c>
      <c r="C24" s="2480" t="s">
        <v>219</v>
      </c>
      <c r="D24" s="2481" t="s">
        <v>220</v>
      </c>
      <c r="E24" s="2486"/>
      <c r="F24" s="2486"/>
      <c r="G24" s="825"/>
      <c r="H24"/>
      <c r="J24" s="561"/>
      <c r="K24" s="561"/>
      <c r="L24" s="561"/>
      <c r="M24" s="561"/>
      <c r="N24" s="561"/>
      <c r="O24" s="561"/>
      <c r="P24" s="561"/>
      <c r="AD24"/>
      <c r="AE24" s="485"/>
      <c r="AF24" s="485"/>
      <c r="AG24"/>
    </row>
    <row r="25" spans="2:33">
      <c r="B25" s="2479">
        <v>22</v>
      </c>
      <c r="C25" s="2480" t="s">
        <v>219</v>
      </c>
      <c r="D25" s="2481" t="s">
        <v>221</v>
      </c>
      <c r="E25" s="2486"/>
      <c r="F25" s="2486"/>
      <c r="G25" s="825"/>
      <c r="H25"/>
      <c r="J25" s="561"/>
      <c r="K25" s="561"/>
      <c r="L25" s="561"/>
      <c r="M25" s="561"/>
      <c r="N25" s="561"/>
      <c r="O25" s="561"/>
      <c r="P25" s="561"/>
      <c r="AD25"/>
      <c r="AE25" s="485"/>
      <c r="AF25" s="485"/>
      <c r="AG25"/>
    </row>
    <row r="26" spans="2:33" ht="15.75">
      <c r="B26" s="2479">
        <v>23</v>
      </c>
      <c r="C26" s="2480" t="s">
        <v>219</v>
      </c>
      <c r="D26" s="2481" t="s">
        <v>222</v>
      </c>
      <c r="E26" s="2491"/>
      <c r="F26" s="2491"/>
      <c r="G26" s="825"/>
      <c r="H26"/>
      <c r="J26" s="561"/>
      <c r="K26" s="561"/>
      <c r="L26" s="561"/>
      <c r="M26" s="561"/>
      <c r="N26" s="561"/>
      <c r="O26" s="561"/>
      <c r="P26" s="561"/>
      <c r="AD26"/>
      <c r="AE26" s="485"/>
      <c r="AF26" s="485"/>
      <c r="AG26"/>
    </row>
    <row r="27" spans="2:33">
      <c r="B27" s="2479">
        <v>24</v>
      </c>
      <c r="C27" s="2480" t="s">
        <v>223</v>
      </c>
      <c r="D27" s="2481" t="s">
        <v>199</v>
      </c>
      <c r="E27" s="2491"/>
      <c r="F27" s="2491"/>
      <c r="G27" s="825"/>
      <c r="H27"/>
      <c r="J27" s="561"/>
      <c r="K27" s="561"/>
      <c r="L27" s="561"/>
      <c r="M27" s="561"/>
      <c r="N27" s="561"/>
      <c r="O27" s="561"/>
      <c r="P27" s="561"/>
      <c r="AD27"/>
      <c r="AE27" s="485"/>
      <c r="AF27" s="485"/>
      <c r="AG27"/>
    </row>
    <row r="28" spans="2:33">
      <c r="B28" s="2479">
        <v>25</v>
      </c>
      <c r="C28" s="2480" t="s">
        <v>223</v>
      </c>
      <c r="D28" s="2481" t="s">
        <v>200</v>
      </c>
      <c r="E28" s="2491"/>
      <c r="F28" s="2491"/>
      <c r="G28" s="825"/>
      <c r="H28"/>
      <c r="J28" s="561"/>
      <c r="K28" s="561"/>
      <c r="L28" s="561"/>
      <c r="M28" s="561"/>
      <c r="N28" s="561"/>
      <c r="O28" s="561"/>
      <c r="P28" s="561"/>
      <c r="AD28"/>
      <c r="AE28" s="485"/>
      <c r="AF28" s="485"/>
      <c r="AG28"/>
    </row>
    <row r="29" spans="2:33">
      <c r="B29" s="2479">
        <v>26</v>
      </c>
      <c r="C29" s="2480" t="s">
        <v>223</v>
      </c>
      <c r="D29" s="2481" t="s">
        <v>224</v>
      </c>
      <c r="E29" s="2486"/>
      <c r="F29" s="2486"/>
      <c r="G29" s="825"/>
      <c r="H29"/>
      <c r="J29" s="561"/>
      <c r="K29" s="561"/>
      <c r="L29" s="561"/>
      <c r="M29" s="561"/>
      <c r="N29" s="561"/>
      <c r="O29" s="561"/>
      <c r="P29" s="561"/>
      <c r="AD29"/>
      <c r="AE29" s="485"/>
      <c r="AF29" s="485"/>
      <c r="AG29"/>
    </row>
    <row r="30" spans="2:33" ht="15.75">
      <c r="B30" s="2479">
        <v>27</v>
      </c>
      <c r="C30" s="2480" t="s">
        <v>225</v>
      </c>
      <c r="D30" s="2481" t="s">
        <v>226</v>
      </c>
      <c r="E30" s="2486"/>
      <c r="F30" s="2486"/>
      <c r="G30" s="825"/>
      <c r="H30"/>
      <c r="J30" s="561"/>
      <c r="K30" s="561"/>
      <c r="L30" s="561"/>
      <c r="M30" s="561"/>
      <c r="N30" s="561"/>
      <c r="O30" s="561"/>
      <c r="P30" s="561"/>
      <c r="AD30"/>
      <c r="AE30" s="485"/>
      <c r="AF30" s="485"/>
      <c r="AG30"/>
    </row>
    <row r="31" spans="2:33" ht="15.75">
      <c r="B31" s="2479">
        <v>28</v>
      </c>
      <c r="C31" s="2480" t="s">
        <v>225</v>
      </c>
      <c r="D31" s="2481" t="s">
        <v>227</v>
      </c>
      <c r="E31" s="2486"/>
      <c r="F31" s="2486"/>
      <c r="G31" s="825"/>
      <c r="H31"/>
      <c r="J31" s="561"/>
      <c r="K31" s="561"/>
      <c r="L31" s="561"/>
      <c r="M31" s="561"/>
      <c r="N31" s="561"/>
      <c r="O31" s="561"/>
      <c r="P31" s="561"/>
      <c r="AD31"/>
      <c r="AE31" s="485"/>
      <c r="AF31" s="485"/>
      <c r="AG31"/>
    </row>
    <row r="32" spans="2:33" ht="15.75">
      <c r="B32" s="2479">
        <v>29</v>
      </c>
      <c r="C32" s="2480" t="s">
        <v>225</v>
      </c>
      <c r="D32" s="2481" t="s">
        <v>228</v>
      </c>
      <c r="E32" s="2486"/>
      <c r="F32" s="2486"/>
      <c r="G32" s="825"/>
      <c r="H32"/>
      <c r="J32" s="561"/>
      <c r="K32" s="561"/>
      <c r="L32" s="561"/>
      <c r="M32" s="561"/>
      <c r="N32" s="561"/>
      <c r="O32" s="561"/>
      <c r="P32" s="561"/>
      <c r="AD32"/>
      <c r="AE32" s="485"/>
      <c r="AF32" s="485"/>
      <c r="AG32"/>
    </row>
    <row r="33" spans="2:33">
      <c r="B33" s="2479">
        <v>30</v>
      </c>
      <c r="C33" s="2480" t="s">
        <v>30586</v>
      </c>
      <c r="D33" s="2481" t="s">
        <v>22813</v>
      </c>
      <c r="E33" s="2486"/>
      <c r="F33" s="2486"/>
      <c r="G33" s="825"/>
      <c r="H33"/>
      <c r="J33" s="561"/>
      <c r="K33" s="561"/>
      <c r="L33" s="561"/>
      <c r="M33" s="561"/>
      <c r="N33" s="561"/>
      <c r="O33" s="561"/>
      <c r="P33" s="561"/>
      <c r="AD33"/>
      <c r="AE33" s="485"/>
      <c r="AF33" s="485"/>
      <c r="AG33"/>
    </row>
    <row r="34" spans="2:33" ht="15.75">
      <c r="B34" s="2479">
        <v>31</v>
      </c>
      <c r="C34" s="2480" t="s">
        <v>30586</v>
      </c>
      <c r="D34" s="2481" t="s">
        <v>30515</v>
      </c>
      <c r="E34" s="2486"/>
      <c r="F34" s="2486"/>
      <c r="G34" s="825"/>
      <c r="H34"/>
      <c r="J34" s="561"/>
      <c r="K34" s="561"/>
      <c r="L34" s="561"/>
      <c r="M34" s="561"/>
      <c r="N34" s="561"/>
      <c r="O34" s="561"/>
      <c r="P34" s="561"/>
      <c r="AD34"/>
      <c r="AE34" s="485"/>
      <c r="AF34" s="485"/>
      <c r="AG34"/>
    </row>
    <row r="35" spans="2:33" ht="15.75">
      <c r="B35" s="2479">
        <v>32</v>
      </c>
      <c r="C35" s="2480" t="s">
        <v>30586</v>
      </c>
      <c r="D35" s="2481" t="s">
        <v>30516</v>
      </c>
      <c r="E35" s="2486"/>
      <c r="F35" s="2486"/>
      <c r="G35" s="825"/>
      <c r="H35"/>
      <c r="J35" s="561"/>
      <c r="K35" s="561"/>
      <c r="L35" s="561"/>
      <c r="M35" s="561"/>
      <c r="N35" s="561"/>
      <c r="O35" s="561"/>
      <c r="P35" s="561"/>
      <c r="AD35"/>
      <c r="AE35" s="485"/>
      <c r="AF35" s="485"/>
      <c r="AG35"/>
    </row>
    <row r="36" spans="2:33" ht="15.75">
      <c r="B36" s="2479">
        <v>33</v>
      </c>
      <c r="C36" s="2480" t="s">
        <v>30586</v>
      </c>
      <c r="D36" s="2481" t="s">
        <v>30517</v>
      </c>
      <c r="E36" s="2486"/>
      <c r="F36" s="2486"/>
      <c r="G36" s="825"/>
      <c r="H36"/>
      <c r="J36" s="561"/>
      <c r="K36" s="561"/>
      <c r="L36" s="561"/>
      <c r="M36" s="561"/>
      <c r="N36" s="561"/>
      <c r="O36" s="561"/>
      <c r="P36" s="561"/>
      <c r="AD36"/>
      <c r="AE36" s="485"/>
      <c r="AF36" s="485"/>
      <c r="AG36"/>
    </row>
    <row r="37" spans="2:33" ht="29.25">
      <c r="B37" s="2479">
        <v>34</v>
      </c>
      <c r="C37" s="2480" t="s">
        <v>30586</v>
      </c>
      <c r="D37" s="2481" t="s">
        <v>31295</v>
      </c>
      <c r="E37" s="2486"/>
      <c r="F37" s="2486"/>
      <c r="G37" s="825"/>
      <c r="H37"/>
      <c r="J37" s="561"/>
      <c r="K37" s="561"/>
      <c r="L37" s="561"/>
      <c r="M37" s="561"/>
      <c r="N37" s="561"/>
      <c r="O37" s="561"/>
      <c r="P37" s="561"/>
      <c r="AD37"/>
      <c r="AE37" s="485"/>
      <c r="AF37" s="485"/>
      <c r="AG37"/>
    </row>
    <row r="38" spans="2:33" ht="29.25">
      <c r="B38" s="2479">
        <v>35</v>
      </c>
      <c r="C38" s="2480" t="s">
        <v>30586</v>
      </c>
      <c r="D38" s="2481" t="s">
        <v>31294</v>
      </c>
      <c r="E38" s="2486"/>
      <c r="F38" s="2486"/>
      <c r="G38" s="825"/>
      <c r="H38"/>
      <c r="J38" s="561"/>
      <c r="K38" s="561"/>
      <c r="L38" s="561"/>
      <c r="M38" s="561"/>
      <c r="N38" s="561"/>
      <c r="O38" s="561"/>
      <c r="P38" s="561"/>
      <c r="AD38"/>
      <c r="AE38" s="485"/>
      <c r="AF38" s="485"/>
      <c r="AG38"/>
    </row>
    <row r="39" spans="2:33" ht="29.25">
      <c r="B39" s="2479">
        <v>36</v>
      </c>
      <c r="C39" s="2480" t="s">
        <v>30586</v>
      </c>
      <c r="D39" s="2481" t="s">
        <v>31293</v>
      </c>
      <c r="E39" s="2486"/>
      <c r="F39" s="2486"/>
      <c r="G39" s="825"/>
      <c r="H39"/>
      <c r="J39" s="561"/>
      <c r="K39" s="561"/>
      <c r="L39" s="561"/>
      <c r="M39" s="561"/>
      <c r="N39" s="561"/>
      <c r="O39" s="561"/>
      <c r="P39" s="561"/>
      <c r="AD39"/>
      <c r="AE39" s="485"/>
      <c r="AF39" s="485"/>
      <c r="AG39"/>
    </row>
    <row r="40" spans="2:33" ht="15.75">
      <c r="B40" s="2479">
        <v>37</v>
      </c>
      <c r="C40" s="2480" t="s">
        <v>30586</v>
      </c>
      <c r="D40" s="2481" t="s">
        <v>30518</v>
      </c>
      <c r="E40" s="2491"/>
      <c r="F40" s="2491"/>
      <c r="G40" s="825"/>
      <c r="H40"/>
      <c r="J40" s="561"/>
      <c r="K40" s="561"/>
      <c r="L40" s="561"/>
      <c r="M40" s="561"/>
      <c r="N40" s="561"/>
      <c r="O40" s="561"/>
      <c r="P40" s="561"/>
      <c r="AD40"/>
      <c r="AE40" s="485"/>
      <c r="AF40" s="485"/>
      <c r="AG40"/>
    </row>
    <row r="41" spans="2:33" ht="15.75">
      <c r="B41" s="2479">
        <v>38</v>
      </c>
      <c r="C41" s="2480" t="s">
        <v>30586</v>
      </c>
      <c r="D41" s="2481" t="s">
        <v>30519</v>
      </c>
      <c r="E41" s="2491"/>
      <c r="F41" s="2491"/>
      <c r="G41" s="825"/>
      <c r="H41"/>
      <c r="J41" s="561"/>
      <c r="K41" s="561"/>
      <c r="L41" s="561"/>
      <c r="M41" s="561"/>
      <c r="N41" s="561"/>
      <c r="O41" s="561"/>
      <c r="P41" s="561"/>
      <c r="AD41"/>
      <c r="AE41" s="485"/>
      <c r="AF41" s="485"/>
      <c r="AG41"/>
    </row>
    <row r="42" spans="2:33" ht="15.75">
      <c r="B42" s="2479">
        <v>39</v>
      </c>
      <c r="C42" s="2480" t="s">
        <v>30586</v>
      </c>
      <c r="D42" s="2481" t="s">
        <v>26990</v>
      </c>
      <c r="E42" s="2491"/>
      <c r="F42" s="2491"/>
      <c r="G42" s="825"/>
      <c r="H42"/>
      <c r="J42" s="561"/>
      <c r="K42" s="561"/>
      <c r="L42" s="561"/>
      <c r="M42" s="561"/>
      <c r="N42" s="561"/>
      <c r="O42" s="561"/>
      <c r="P42" s="561"/>
      <c r="AD42"/>
      <c r="AE42" s="485"/>
      <c r="AF42" s="485"/>
      <c r="AG42"/>
    </row>
    <row r="43" spans="2:33" ht="15.75">
      <c r="B43" s="2479">
        <v>40</v>
      </c>
      <c r="C43" s="2480" t="s">
        <v>30587</v>
      </c>
      <c r="D43" s="2481" t="s">
        <v>234</v>
      </c>
      <c r="E43" s="2491"/>
      <c r="F43" s="2491"/>
      <c r="G43" s="825"/>
      <c r="H43"/>
      <c r="J43" s="561"/>
      <c r="K43" s="561"/>
      <c r="L43" s="561"/>
      <c r="M43" s="561"/>
      <c r="N43" s="561"/>
      <c r="O43" s="561"/>
      <c r="P43" s="561"/>
      <c r="AD43"/>
      <c r="AE43" s="485"/>
      <c r="AF43" s="485"/>
      <c r="AG43"/>
    </row>
    <row r="44" spans="2:33" ht="15.75">
      <c r="B44" s="2479">
        <v>41</v>
      </c>
      <c r="C44" s="2480" t="s">
        <v>30587</v>
      </c>
      <c r="D44" s="2481" t="s">
        <v>26991</v>
      </c>
      <c r="E44" s="2491"/>
      <c r="F44" s="2491"/>
      <c r="G44" s="825"/>
      <c r="H44"/>
      <c r="J44" s="561"/>
      <c r="K44" s="561"/>
      <c r="L44" s="561"/>
      <c r="M44" s="561"/>
      <c r="N44" s="561"/>
      <c r="O44" s="561"/>
      <c r="P44" s="561"/>
      <c r="AD44"/>
      <c r="AE44" s="485"/>
      <c r="AF44" s="485"/>
      <c r="AG44"/>
    </row>
    <row r="45" spans="2:33" ht="16.5">
      <c r="B45" s="2479">
        <v>42</v>
      </c>
      <c r="C45" s="2480" t="s">
        <v>30587</v>
      </c>
      <c r="D45" s="2481" t="s">
        <v>30483</v>
      </c>
      <c r="E45" s="2491"/>
      <c r="F45" s="2491"/>
      <c r="G45" s="825"/>
      <c r="H45"/>
      <c r="J45" s="561"/>
      <c r="K45" s="561"/>
      <c r="L45" s="561"/>
      <c r="M45" s="561"/>
      <c r="N45" s="561"/>
      <c r="O45" s="561"/>
      <c r="P45" s="561"/>
      <c r="AD45"/>
      <c r="AE45" s="485"/>
      <c r="AF45" s="485"/>
      <c r="AG45"/>
    </row>
    <row r="46" spans="2:33" ht="15.75">
      <c r="B46" s="2479">
        <v>43</v>
      </c>
      <c r="C46" s="2480" t="s">
        <v>30587</v>
      </c>
      <c r="D46" s="2481" t="s">
        <v>26992</v>
      </c>
      <c r="E46" s="2491"/>
      <c r="F46" s="2491"/>
      <c r="G46" s="825"/>
      <c r="H46"/>
      <c r="J46" s="561"/>
      <c r="K46" s="561"/>
      <c r="L46" s="561"/>
      <c r="M46" s="561"/>
      <c r="N46" s="561"/>
      <c r="O46" s="561"/>
      <c r="P46" s="561"/>
      <c r="AD46"/>
      <c r="AE46" s="485"/>
      <c r="AF46" s="485"/>
      <c r="AG46"/>
    </row>
    <row r="47" spans="2:33">
      <c r="B47" s="2479">
        <v>44</v>
      </c>
      <c r="C47" s="2480" t="s">
        <v>30587</v>
      </c>
      <c r="D47" s="2481" t="s">
        <v>235</v>
      </c>
      <c r="E47" s="2491"/>
      <c r="F47" s="2491"/>
      <c r="G47" s="825"/>
      <c r="H47"/>
      <c r="J47" s="561"/>
      <c r="K47" s="561"/>
      <c r="L47" s="561"/>
      <c r="M47" s="561"/>
      <c r="N47" s="561"/>
      <c r="O47" s="561"/>
      <c r="P47" s="561"/>
      <c r="AD47"/>
      <c r="AE47" s="485"/>
      <c r="AF47" s="485"/>
      <c r="AG47"/>
    </row>
    <row r="48" spans="2:33">
      <c r="B48" s="2479">
        <v>45</v>
      </c>
      <c r="C48" s="2480" t="s">
        <v>30587</v>
      </c>
      <c r="D48" s="2481" t="s">
        <v>236</v>
      </c>
      <c r="E48" s="2491"/>
      <c r="F48" s="2491"/>
      <c r="G48" s="825"/>
      <c r="H48"/>
      <c r="J48" s="561"/>
      <c r="K48" s="561"/>
      <c r="L48" s="561"/>
      <c r="M48" s="561"/>
      <c r="N48" s="561"/>
      <c r="O48" s="561"/>
      <c r="P48" s="561"/>
      <c r="AD48"/>
      <c r="AE48" s="485"/>
      <c r="AF48" s="485"/>
      <c r="AG48"/>
    </row>
    <row r="49" spans="2:33" ht="15.75">
      <c r="B49" s="2479">
        <v>46</v>
      </c>
      <c r="C49" s="2480" t="s">
        <v>30587</v>
      </c>
      <c r="D49" s="2481" t="s">
        <v>231</v>
      </c>
      <c r="E49" s="2491"/>
      <c r="F49" s="2491"/>
      <c r="G49" s="825"/>
      <c r="H49"/>
      <c r="J49" s="561"/>
      <c r="K49" s="561"/>
      <c r="L49" s="561"/>
      <c r="M49" s="561"/>
      <c r="N49" s="561"/>
      <c r="O49" s="561"/>
      <c r="P49" s="561"/>
      <c r="AD49"/>
      <c r="AE49" s="485"/>
      <c r="AF49" s="485"/>
      <c r="AG49"/>
    </row>
    <row r="50" spans="2:33" ht="15.75">
      <c r="B50" s="2479">
        <v>47</v>
      </c>
      <c r="C50" s="2480" t="s">
        <v>30587</v>
      </c>
      <c r="D50" s="2481" t="s">
        <v>26993</v>
      </c>
      <c r="E50" s="2486"/>
      <c r="F50" s="2486"/>
      <c r="G50" s="825"/>
      <c r="H50"/>
      <c r="J50" s="561"/>
      <c r="K50" s="561"/>
      <c r="L50" s="561"/>
      <c r="M50" s="561"/>
      <c r="N50" s="561"/>
      <c r="O50" s="561"/>
      <c r="P50" s="561"/>
      <c r="AD50"/>
      <c r="AE50" s="485"/>
      <c r="AF50" s="485"/>
      <c r="AG50"/>
    </row>
    <row r="51" spans="2:33" ht="15.75">
      <c r="B51" s="2479">
        <v>48</v>
      </c>
      <c r="C51" s="2480" t="s">
        <v>30587</v>
      </c>
      <c r="D51" s="2481" t="s">
        <v>232</v>
      </c>
      <c r="E51" s="2486"/>
      <c r="F51" s="2486"/>
      <c r="G51" s="825"/>
      <c r="H51"/>
      <c r="J51" s="561"/>
      <c r="K51" s="561"/>
      <c r="L51" s="561"/>
      <c r="M51" s="561"/>
      <c r="N51" s="561"/>
      <c r="O51" s="561"/>
      <c r="P51" s="561"/>
      <c r="AD51"/>
      <c r="AE51" s="485"/>
      <c r="AF51" s="485"/>
      <c r="AG51"/>
    </row>
    <row r="52" spans="2:33" ht="15.75">
      <c r="B52" s="2479">
        <v>49</v>
      </c>
      <c r="C52" s="2480" t="s">
        <v>30587</v>
      </c>
      <c r="D52" s="2481" t="s">
        <v>233</v>
      </c>
      <c r="E52" s="2486"/>
      <c r="F52" s="2486"/>
      <c r="G52" s="825"/>
      <c r="H52"/>
      <c r="J52" s="561"/>
      <c r="K52" s="561"/>
      <c r="L52" s="561"/>
      <c r="M52" s="561"/>
      <c r="N52" s="561"/>
      <c r="O52" s="561"/>
      <c r="P52" s="561"/>
      <c r="AD52"/>
      <c r="AE52" s="485"/>
      <c r="AF52" s="485"/>
      <c r="AG52"/>
    </row>
    <row r="53" spans="2:33">
      <c r="B53" s="2479">
        <v>50</v>
      </c>
      <c r="C53" s="2480" t="s">
        <v>30587</v>
      </c>
      <c r="D53" s="2481" t="s">
        <v>25411</v>
      </c>
      <c r="E53" s="2486"/>
      <c r="F53" s="2486"/>
      <c r="G53" s="825"/>
      <c r="H53"/>
      <c r="J53" s="561"/>
      <c r="K53" s="561"/>
      <c r="L53" s="561"/>
      <c r="M53" s="561"/>
      <c r="N53" s="561"/>
      <c r="O53" s="561"/>
      <c r="P53" s="561"/>
      <c r="AD53"/>
      <c r="AE53" s="485"/>
      <c r="AF53" s="485"/>
      <c r="AG53"/>
    </row>
    <row r="54" spans="2:33" ht="15.75">
      <c r="B54" s="2479">
        <v>51</v>
      </c>
      <c r="C54" s="2480" t="s">
        <v>30588</v>
      </c>
      <c r="D54" s="2481" t="s">
        <v>237</v>
      </c>
      <c r="E54" s="2486"/>
      <c r="F54" s="2486"/>
      <c r="G54" s="825"/>
      <c r="H54"/>
      <c r="J54" s="561"/>
      <c r="K54" s="561"/>
      <c r="L54" s="561"/>
      <c r="M54" s="561"/>
      <c r="N54" s="561"/>
      <c r="O54" s="561"/>
      <c r="P54" s="561"/>
      <c r="AD54"/>
      <c r="AE54" s="485"/>
      <c r="AF54" s="485"/>
      <c r="AG54"/>
    </row>
    <row r="55" spans="2:33" ht="15.75">
      <c r="B55" s="2479">
        <v>52</v>
      </c>
      <c r="C55" s="2480" t="s">
        <v>30589</v>
      </c>
      <c r="D55" s="2492" t="s">
        <v>26893</v>
      </c>
      <c r="E55" s="2486"/>
      <c r="F55" s="2486"/>
      <c r="G55" s="825"/>
      <c r="H55"/>
      <c r="J55" s="561"/>
      <c r="K55" s="561"/>
      <c r="L55" s="561"/>
      <c r="M55" s="561"/>
      <c r="N55" s="561"/>
      <c r="O55" s="561"/>
      <c r="P55" s="561"/>
      <c r="AD55"/>
      <c r="AE55" s="485"/>
      <c r="AF55" s="485"/>
      <c r="AG55"/>
    </row>
    <row r="56" spans="2:33" ht="15.75">
      <c r="B56" s="2479">
        <v>53</v>
      </c>
      <c r="C56" s="2480" t="s">
        <v>30589</v>
      </c>
      <c r="D56" s="2492" t="s">
        <v>26894</v>
      </c>
      <c r="E56" s="2486"/>
      <c r="F56" s="2486"/>
      <c r="G56" s="825"/>
      <c r="H56"/>
      <c r="J56" s="561"/>
      <c r="K56" s="561"/>
      <c r="L56" s="561"/>
      <c r="M56" s="561"/>
      <c r="N56" s="561"/>
      <c r="O56" s="561"/>
      <c r="P56" s="561"/>
      <c r="AD56"/>
      <c r="AE56" s="485"/>
      <c r="AF56" s="485"/>
      <c r="AG56"/>
    </row>
    <row r="57" spans="2:33" ht="15.75">
      <c r="B57" s="2479">
        <v>54</v>
      </c>
      <c r="C57" s="2480" t="s">
        <v>30590</v>
      </c>
      <c r="D57" s="2492" t="s">
        <v>31290</v>
      </c>
      <c r="E57" s="2486"/>
      <c r="F57" s="2486"/>
      <c r="G57" s="825"/>
      <c r="H57"/>
      <c r="J57" s="561"/>
      <c r="K57" s="561"/>
      <c r="L57" s="561"/>
      <c r="M57" s="561"/>
      <c r="N57" s="561"/>
      <c r="O57" s="561"/>
      <c r="P57" s="561"/>
      <c r="AD57"/>
      <c r="AE57" s="485"/>
      <c r="AF57" s="485"/>
      <c r="AG57"/>
    </row>
    <row r="58" spans="2:33" ht="15.75">
      <c r="B58" s="2479">
        <v>55</v>
      </c>
      <c r="C58" s="2480" t="s">
        <v>30590</v>
      </c>
      <c r="D58" s="2492" t="s">
        <v>31291</v>
      </c>
      <c r="E58" s="2486"/>
      <c r="F58" s="2486"/>
      <c r="G58" s="825"/>
      <c r="H58"/>
    </row>
    <row r="59" spans="2:33" customFormat="1" ht="15.75">
      <c r="B59" s="2479">
        <v>56</v>
      </c>
      <c r="C59" s="2480" t="s">
        <v>30590</v>
      </c>
      <c r="D59" s="2481" t="s">
        <v>25412</v>
      </c>
      <c r="E59" s="2486"/>
      <c r="F59" s="2486"/>
      <c r="G59" s="825"/>
    </row>
    <row r="60" spans="2:33" customFormat="1" ht="15.75">
      <c r="B60" s="2479">
        <v>57</v>
      </c>
      <c r="C60" s="2480" t="s">
        <v>30590</v>
      </c>
      <c r="D60" s="2481" t="s">
        <v>25413</v>
      </c>
      <c r="E60" s="2486"/>
      <c r="F60" s="2486"/>
      <c r="G60" s="825"/>
    </row>
    <row r="61" spans="2:33" customFormat="1" ht="15.75">
      <c r="B61" s="2479">
        <v>58</v>
      </c>
      <c r="C61" s="2480" t="s">
        <v>30590</v>
      </c>
      <c r="D61" s="2481" t="s">
        <v>31292</v>
      </c>
      <c r="E61" s="2486"/>
      <c r="F61" s="2486"/>
      <c r="G61" s="825"/>
    </row>
    <row r="62" spans="2:33" customFormat="1" ht="15.75">
      <c r="B62" s="2479">
        <v>59</v>
      </c>
      <c r="C62" s="2480" t="s">
        <v>30590</v>
      </c>
      <c r="D62" s="2481" t="s">
        <v>31170</v>
      </c>
      <c r="E62" s="2486"/>
      <c r="F62" s="2486"/>
      <c r="G62" s="825"/>
    </row>
    <row r="63" spans="2:33" customFormat="1" ht="15.75">
      <c r="B63" s="2479">
        <v>60</v>
      </c>
      <c r="C63" s="2480" t="s">
        <v>30590</v>
      </c>
      <c r="D63" s="2481" t="s">
        <v>31171</v>
      </c>
      <c r="E63" s="2486"/>
      <c r="F63" s="2486"/>
      <c r="G63" s="825"/>
    </row>
    <row r="64" spans="2:33" customFormat="1" ht="16.5">
      <c r="B64" s="2479">
        <v>61</v>
      </c>
      <c r="C64" s="2480" t="s">
        <v>30590</v>
      </c>
      <c r="D64" s="2481" t="s">
        <v>30591</v>
      </c>
      <c r="E64" s="2486"/>
      <c r="F64" s="2486"/>
      <c r="G64" s="825"/>
    </row>
    <row r="65" spans="2:7" customFormat="1" ht="15.75">
      <c r="B65" s="2479">
        <v>62</v>
      </c>
      <c r="C65" s="2480" t="s">
        <v>27070</v>
      </c>
      <c r="D65" s="2481" t="s">
        <v>24908</v>
      </c>
      <c r="E65" s="2486"/>
      <c r="F65" s="2486"/>
      <c r="G65" s="825"/>
    </row>
    <row r="66" spans="2:7" customFormat="1" ht="15.75">
      <c r="B66" s="2479">
        <v>63</v>
      </c>
      <c r="C66" s="2480" t="s">
        <v>27070</v>
      </c>
      <c r="D66" s="2481" t="s">
        <v>24909</v>
      </c>
      <c r="E66" s="2486"/>
      <c r="F66" s="2486"/>
      <c r="G66" s="825"/>
    </row>
    <row r="67" spans="2:7" customFormat="1" ht="15.75">
      <c r="B67" s="2479">
        <v>64</v>
      </c>
      <c r="C67" s="2480" t="s">
        <v>27070</v>
      </c>
      <c r="D67" s="2481" t="s">
        <v>24910</v>
      </c>
      <c r="E67" s="2486"/>
      <c r="F67" s="2486"/>
      <c r="G67" s="825"/>
    </row>
    <row r="68" spans="2:7" customFormat="1" ht="18.75">
      <c r="B68" s="2479">
        <v>65</v>
      </c>
      <c r="C68" s="2480" t="s">
        <v>27070</v>
      </c>
      <c r="D68" s="2493" t="s">
        <v>24738</v>
      </c>
      <c r="E68" s="2486"/>
      <c r="F68" s="2486"/>
      <c r="G68" s="825"/>
    </row>
    <row r="69" spans="2:7" customFormat="1" ht="16.5">
      <c r="B69" s="2479">
        <v>66</v>
      </c>
      <c r="C69" s="2480" t="s">
        <v>27070</v>
      </c>
      <c r="D69" s="2494" t="s">
        <v>31318</v>
      </c>
      <c r="E69" s="2486"/>
      <c r="F69" s="2486"/>
      <c r="G69" s="825"/>
    </row>
    <row r="70" spans="2:7" customFormat="1" ht="16.5">
      <c r="B70" s="2479">
        <v>67</v>
      </c>
      <c r="C70" s="2480" t="s">
        <v>27070</v>
      </c>
      <c r="D70" s="2494" t="s">
        <v>31319</v>
      </c>
      <c r="E70" s="2486"/>
      <c r="F70" s="2486"/>
      <c r="G70" s="825"/>
    </row>
    <row r="71" spans="2:7" customFormat="1" ht="18.75">
      <c r="B71" s="2479">
        <v>68</v>
      </c>
      <c r="C71" s="2480" t="s">
        <v>27070</v>
      </c>
      <c r="D71" s="2488" t="s">
        <v>24739</v>
      </c>
      <c r="E71" s="2486"/>
      <c r="F71" s="2486"/>
      <c r="G71" s="825"/>
    </row>
    <row r="72" spans="2:7" customFormat="1" ht="16.5">
      <c r="B72" s="2479">
        <v>69</v>
      </c>
      <c r="C72" s="2480" t="s">
        <v>27070</v>
      </c>
      <c r="D72" s="2488" t="s">
        <v>26848</v>
      </c>
      <c r="E72" s="2486"/>
      <c r="F72" s="2486"/>
      <c r="G72" s="825"/>
    </row>
    <row r="73" spans="2:7" customFormat="1">
      <c r="B73" s="2479">
        <v>70</v>
      </c>
      <c r="C73" s="2480" t="s">
        <v>27070</v>
      </c>
      <c r="D73" s="2488" t="s">
        <v>22694</v>
      </c>
      <c r="E73" s="2486"/>
      <c r="F73" s="2486"/>
      <c r="G73" s="825"/>
    </row>
    <row r="74" spans="2:7" customFormat="1" ht="15.75">
      <c r="B74" s="2479">
        <v>71</v>
      </c>
      <c r="C74" s="2480" t="s">
        <v>27070</v>
      </c>
      <c r="D74" s="2488" t="s">
        <v>28863</v>
      </c>
      <c r="E74" s="2486"/>
      <c r="F74" s="2486"/>
      <c r="G74" s="825"/>
    </row>
    <row r="75" spans="2:7" customFormat="1">
      <c r="B75" s="2479">
        <v>72</v>
      </c>
      <c r="C75" s="2480" t="s">
        <v>27070</v>
      </c>
      <c r="D75" s="2488" t="s">
        <v>26849</v>
      </c>
      <c r="E75" s="2486"/>
      <c r="F75" s="2486"/>
      <c r="G75" s="825"/>
    </row>
    <row r="76" spans="2:7" customFormat="1" ht="25.5">
      <c r="B76" s="2479">
        <v>73</v>
      </c>
      <c r="C76" s="2480" t="s">
        <v>27070</v>
      </c>
      <c r="D76" s="2488" t="s">
        <v>30594</v>
      </c>
      <c r="E76" s="2486"/>
      <c r="F76" s="2486"/>
      <c r="G76" s="825"/>
    </row>
    <row r="77" spans="2:7" customFormat="1">
      <c r="B77" s="2479">
        <v>74</v>
      </c>
      <c r="C77" s="2480" t="s">
        <v>27070</v>
      </c>
      <c r="D77" s="2488" t="s">
        <v>30595</v>
      </c>
      <c r="E77" s="2486"/>
      <c r="F77" s="2486"/>
      <c r="G77" s="825"/>
    </row>
    <row r="78" spans="2:7" customFormat="1" ht="16.5">
      <c r="B78" s="2479">
        <v>75</v>
      </c>
      <c r="C78" s="2480" t="s">
        <v>27070</v>
      </c>
      <c r="D78" s="2488" t="s">
        <v>24740</v>
      </c>
      <c r="E78" s="2486"/>
      <c r="F78" s="2486"/>
      <c r="G78" s="825"/>
    </row>
    <row r="79" spans="2:7" customFormat="1" ht="16.5">
      <c r="B79" s="2479">
        <v>76</v>
      </c>
      <c r="C79" s="2480" t="s">
        <v>27070</v>
      </c>
      <c r="D79" s="2488" t="s">
        <v>29626</v>
      </c>
      <c r="E79" s="2486"/>
      <c r="F79" s="2486"/>
      <c r="G79" s="825"/>
    </row>
    <row r="80" spans="2:7" customFormat="1" ht="15.75">
      <c r="B80" s="2479">
        <v>77</v>
      </c>
      <c r="C80" s="2480" t="s">
        <v>27070</v>
      </c>
      <c r="D80" s="2495" t="s">
        <v>25441</v>
      </c>
      <c r="E80" s="2486"/>
      <c r="F80" s="2486"/>
      <c r="G80" s="825"/>
    </row>
    <row r="81" spans="2:7" customFormat="1" ht="15.75">
      <c r="B81" s="2479">
        <v>78</v>
      </c>
      <c r="C81" s="2480" t="s">
        <v>27070</v>
      </c>
      <c r="D81" s="2496" t="s">
        <v>26855</v>
      </c>
      <c r="E81" s="2486"/>
      <c r="F81" s="2486"/>
      <c r="G81" s="825"/>
    </row>
    <row r="82" spans="2:7" customFormat="1" ht="15.75">
      <c r="B82" s="2479">
        <v>79</v>
      </c>
      <c r="C82" s="2480" t="s">
        <v>27070</v>
      </c>
      <c r="D82" s="2496" t="s">
        <v>26864</v>
      </c>
      <c r="E82" s="2486"/>
      <c r="F82" s="2486"/>
      <c r="G82" s="825"/>
    </row>
    <row r="83" spans="2:7" customFormat="1">
      <c r="B83" s="2479">
        <v>80</v>
      </c>
      <c r="C83" s="2480" t="s">
        <v>27070</v>
      </c>
      <c r="D83" s="2496" t="s">
        <v>30478</v>
      </c>
      <c r="E83" s="2486"/>
      <c r="F83" s="2486"/>
      <c r="G83" s="825"/>
    </row>
    <row r="84" spans="2:7" customFormat="1">
      <c r="B84" s="2479">
        <v>81</v>
      </c>
      <c r="C84" s="2480" t="s">
        <v>27070</v>
      </c>
      <c r="D84" s="2496" t="s">
        <v>30479</v>
      </c>
      <c r="E84" s="2486"/>
      <c r="F84" s="2486"/>
      <c r="G84" s="825"/>
    </row>
    <row r="85" spans="2:7" customFormat="1" ht="15.75">
      <c r="B85" s="2479">
        <v>82</v>
      </c>
      <c r="C85" s="2480" t="s">
        <v>27070</v>
      </c>
      <c r="D85" s="2496" t="s">
        <v>26865</v>
      </c>
      <c r="E85" s="2486"/>
      <c r="F85" s="2486"/>
      <c r="G85" s="825"/>
    </row>
    <row r="86" spans="2:7" customFormat="1" ht="15.75">
      <c r="B86" s="2479">
        <v>83</v>
      </c>
      <c r="C86" s="2480" t="s">
        <v>27070</v>
      </c>
      <c r="D86" s="2488" t="s">
        <v>29976</v>
      </c>
      <c r="E86" s="2486"/>
      <c r="F86" s="2486"/>
      <c r="G86" s="825"/>
    </row>
    <row r="87" spans="2:7" customFormat="1">
      <c r="B87" s="2479">
        <v>84</v>
      </c>
      <c r="C87" s="2480" t="s">
        <v>27070</v>
      </c>
      <c r="D87" s="2481" t="s">
        <v>30446</v>
      </c>
      <c r="E87" s="2486"/>
      <c r="F87" s="2486"/>
      <c r="G87" s="825"/>
    </row>
    <row r="88" spans="2:7" customFormat="1">
      <c r="B88" s="2479">
        <v>85</v>
      </c>
      <c r="C88" s="2480" t="s">
        <v>27070</v>
      </c>
      <c r="D88" s="2481" t="s">
        <v>30477</v>
      </c>
      <c r="E88" s="2486"/>
      <c r="F88" s="2486"/>
      <c r="G88" s="825"/>
    </row>
    <row r="89" spans="2:7" customFormat="1">
      <c r="B89" s="2479">
        <v>86</v>
      </c>
      <c r="C89" s="2480" t="s">
        <v>27070</v>
      </c>
      <c r="D89" s="2497" t="s">
        <v>30480</v>
      </c>
      <c r="E89" s="2486"/>
      <c r="F89" s="2486"/>
      <c r="G89" s="825"/>
    </row>
    <row r="90" spans="2:7" customFormat="1" ht="15.75">
      <c r="B90" s="2479">
        <v>87</v>
      </c>
      <c r="C90" s="2480" t="s">
        <v>27070</v>
      </c>
      <c r="D90" s="2481" t="s">
        <v>25414</v>
      </c>
      <c r="E90" s="2486"/>
      <c r="F90" s="2486"/>
      <c r="G90" s="825"/>
    </row>
    <row r="91" spans="2:7" customFormat="1">
      <c r="B91" s="2479">
        <v>88</v>
      </c>
      <c r="C91" s="2480" t="s">
        <v>22839</v>
      </c>
      <c r="D91" s="2481" t="s">
        <v>30485</v>
      </c>
      <c r="E91" s="1824"/>
      <c r="F91" s="1824"/>
      <c r="G91" s="825"/>
    </row>
    <row r="92" spans="2:7" customFormat="1" ht="15.75">
      <c r="B92" s="2479">
        <v>89</v>
      </c>
      <c r="C92" s="2480" t="s">
        <v>25473</v>
      </c>
      <c r="D92" s="2481" t="s">
        <v>30585</v>
      </c>
      <c r="E92" s="2486"/>
      <c r="F92" s="2486"/>
      <c r="G92" s="825"/>
    </row>
    <row r="93" spans="2:7" customFormat="1"/>
    <row r="94" spans="2:7" customFormat="1"/>
    <row r="95" spans="2:7" customFormat="1"/>
    <row r="96" spans="2:7" customFormat="1">
      <c r="C96" s="561"/>
      <c r="D96" s="561"/>
      <c r="E96" s="1820">
        <v>2022</v>
      </c>
      <c r="F96" s="1820">
        <v>2023</v>
      </c>
      <c r="G96" s="1820" t="s">
        <v>31416</v>
      </c>
    </row>
    <row r="97" spans="3:7" customFormat="1" ht="15.75">
      <c r="C97" s="1822" t="s">
        <v>229</v>
      </c>
      <c r="D97" s="1823" t="s">
        <v>30447</v>
      </c>
      <c r="E97" s="2486"/>
      <c r="F97" s="1821"/>
    </row>
    <row r="98" spans="3:7" customFormat="1" ht="15.75">
      <c r="C98" s="1822" t="s">
        <v>26925</v>
      </c>
      <c r="D98" s="1823" t="s">
        <v>25412</v>
      </c>
      <c r="E98" s="2486"/>
      <c r="F98" s="1821"/>
    </row>
    <row r="99" spans="3:7" customFormat="1" ht="15.75">
      <c r="C99" s="2717" t="s">
        <v>229</v>
      </c>
      <c r="D99" s="2718" t="s">
        <v>31410</v>
      </c>
      <c r="E99" s="1821"/>
      <c r="F99" s="2703"/>
    </row>
    <row r="100" spans="3:7" customFormat="1" ht="15.75">
      <c r="C100" s="2717" t="s">
        <v>229</v>
      </c>
      <c r="D100" s="2718" t="s">
        <v>31411</v>
      </c>
      <c r="E100" s="1821"/>
      <c r="F100" s="2703"/>
    </row>
    <row r="101" spans="3:7" customFormat="1" ht="15.75">
      <c r="C101" s="2717" t="s">
        <v>229</v>
      </c>
      <c r="D101" s="2718" t="s">
        <v>31412</v>
      </c>
      <c r="E101" s="1821"/>
      <c r="F101" s="2703"/>
    </row>
    <row r="102" spans="3:7" customFormat="1">
      <c r="C102" s="1822" t="s">
        <v>24829</v>
      </c>
      <c r="D102" s="1823" t="s">
        <v>30459</v>
      </c>
      <c r="E102" s="2486"/>
      <c r="F102" s="2486"/>
    </row>
    <row r="103" spans="3:7" customFormat="1">
      <c r="C103" s="1822" t="s">
        <v>24829</v>
      </c>
      <c r="D103" s="1823" t="s">
        <v>30460</v>
      </c>
      <c r="E103" s="2486"/>
      <c r="F103" s="2486"/>
    </row>
    <row r="104" spans="3:7" customFormat="1" ht="29.25">
      <c r="C104" s="1822" t="s">
        <v>24829</v>
      </c>
      <c r="D104" s="2481" t="s">
        <v>31413</v>
      </c>
      <c r="E104" s="1821"/>
      <c r="F104" s="1824"/>
    </row>
    <row r="105" spans="3:7" customFormat="1" ht="29.25">
      <c r="C105" s="1822" t="s">
        <v>24829</v>
      </c>
      <c r="D105" s="2481" t="s">
        <v>31414</v>
      </c>
      <c r="E105" s="1821"/>
      <c r="F105" s="1824"/>
    </row>
    <row r="106" spans="3:7" customFormat="1" ht="29.25">
      <c r="C106" s="1822" t="s">
        <v>24829</v>
      </c>
      <c r="D106" s="2481" t="s">
        <v>24831</v>
      </c>
      <c r="E106" s="1821"/>
      <c r="F106" s="1824"/>
    </row>
    <row r="107" spans="3:7" customFormat="1" ht="29.25">
      <c r="C107" s="1822" t="s">
        <v>24829</v>
      </c>
      <c r="D107" s="2481" t="s">
        <v>24830</v>
      </c>
      <c r="E107" s="1821"/>
      <c r="F107" s="1824"/>
    </row>
    <row r="108" spans="3:7" customFormat="1" ht="25.5">
      <c r="C108" s="2701" t="s">
        <v>31401</v>
      </c>
      <c r="D108" s="2702" t="s">
        <v>31415</v>
      </c>
      <c r="E108" s="1535"/>
      <c r="F108" s="1535"/>
      <c r="G108" s="2703"/>
    </row>
    <row r="109" spans="3:7" customFormat="1">
      <c r="C109" s="2480" t="s">
        <v>22839</v>
      </c>
      <c r="D109" s="2481" t="s">
        <v>30532</v>
      </c>
      <c r="E109" s="1824"/>
      <c r="F109" s="1824"/>
    </row>
    <row r="110" spans="3:7" customFormat="1">
      <c r="C110" s="561"/>
      <c r="D110" s="561"/>
      <c r="E110" s="561"/>
      <c r="F110" s="561"/>
    </row>
    <row r="111" spans="3:7" customFormat="1">
      <c r="C111" s="561"/>
      <c r="D111" s="561"/>
      <c r="E111" s="561"/>
      <c r="F111" s="561"/>
    </row>
    <row r="112" spans="3:7" customFormat="1">
      <c r="C112" s="561"/>
      <c r="D112" s="561"/>
      <c r="E112" s="561"/>
      <c r="F112" s="561"/>
    </row>
    <row r="113" spans="2:9">
      <c r="D113" s="561"/>
      <c r="E113" s="1820">
        <v>2020</v>
      </c>
      <c r="F113" s="1820">
        <v>2021</v>
      </c>
    </row>
    <row r="114" spans="2:9">
      <c r="C114" s="1822" t="s">
        <v>24829</v>
      </c>
      <c r="D114" s="1823" t="s">
        <v>26590</v>
      </c>
      <c r="E114" s="1824"/>
      <c r="F114" s="1824"/>
      <c r="G114" s="1536"/>
    </row>
    <row r="115" spans="2:9">
      <c r="C115" s="1822" t="s">
        <v>24829</v>
      </c>
      <c r="D115" s="1823" t="s">
        <v>30459</v>
      </c>
      <c r="E115" s="1825"/>
      <c r="F115" s="1825"/>
      <c r="G115" s="1826"/>
      <c r="H115"/>
    </row>
    <row r="116" spans="2:9">
      <c r="C116" s="1822" t="s">
        <v>24829</v>
      </c>
      <c r="D116" s="1823" t="s">
        <v>30460</v>
      </c>
      <c r="E116" s="1825"/>
      <c r="F116" s="1825"/>
      <c r="G116" s="1826"/>
      <c r="H116"/>
    </row>
    <row r="117" spans="2:9">
      <c r="C117" s="1822" t="s">
        <v>22839</v>
      </c>
      <c r="D117" s="1827" t="s">
        <v>29759</v>
      </c>
      <c r="E117" s="1824"/>
      <c r="F117" s="1824"/>
      <c r="G117" s="1826"/>
      <c r="H117"/>
    </row>
    <row r="118" spans="2:9">
      <c r="C118" s="563"/>
      <c r="D118" s="2498"/>
      <c r="E118" s="1536"/>
      <c r="F118" s="1536"/>
    </row>
    <row r="119" spans="2:9">
      <c r="C119" s="563"/>
      <c r="D119" s="2498"/>
      <c r="E119" s="1536"/>
      <c r="F119" s="1536"/>
    </row>
    <row r="121" spans="2:9">
      <c r="E121" s="1820">
        <v>2018</v>
      </c>
      <c r="F121" s="1820">
        <v>2019</v>
      </c>
    </row>
    <row r="122" spans="2:9">
      <c r="C122" s="1822" t="s">
        <v>22839</v>
      </c>
      <c r="D122" s="1827" t="s">
        <v>30413</v>
      </c>
      <c r="E122" s="1824"/>
      <c r="F122" s="1824"/>
      <c r="G122" s="1826"/>
      <c r="H122"/>
    </row>
    <row r="123" spans="2:9">
      <c r="D123" s="561"/>
      <c r="E123" s="561"/>
      <c r="F123" s="561"/>
      <c r="G123" s="561"/>
      <c r="I123" s="561"/>
    </row>
    <row r="124" spans="2:9">
      <c r="D124" s="561"/>
      <c r="E124" s="561"/>
      <c r="F124" s="561"/>
      <c r="G124" s="561"/>
      <c r="I124" s="561"/>
    </row>
    <row r="125" spans="2:9">
      <c r="E125" s="1015"/>
      <c r="F125" s="1015"/>
      <c r="G125" s="1015"/>
      <c r="H125"/>
    </row>
    <row r="126" spans="2:9">
      <c r="B126"/>
      <c r="C126"/>
      <c r="D126"/>
      <c r="E126" s="2499" t="s">
        <v>25408</v>
      </c>
      <c r="F126" s="2499" t="s">
        <v>25409</v>
      </c>
      <c r="G126" s="1015"/>
      <c r="H126"/>
    </row>
    <row r="127" spans="2:9" ht="17.25" thickBot="1">
      <c r="C127" s="2480" t="s">
        <v>24829</v>
      </c>
      <c r="D127" s="2489" t="s">
        <v>26543</v>
      </c>
      <c r="E127" s="1535"/>
      <c r="F127" s="2500"/>
      <c r="H127"/>
    </row>
    <row r="128" spans="2:9" ht="16.5" thickTop="1" thickBot="1">
      <c r="C128" s="2480" t="s">
        <v>22839</v>
      </c>
      <c r="D128" s="2501" t="s">
        <v>25445</v>
      </c>
      <c r="E128" s="1017"/>
      <c r="F128" s="1601"/>
      <c r="H128"/>
    </row>
    <row r="129" spans="3:7" ht="15.75" thickTop="1">
      <c r="E129" s="1015"/>
      <c r="F129" s="1015"/>
      <c r="G129" s="1015"/>
    </row>
    <row r="130" spans="3:7">
      <c r="E130" s="1015"/>
      <c r="F130" s="1015"/>
      <c r="G130" s="1015"/>
    </row>
    <row r="131" spans="3:7">
      <c r="E131" s="1015"/>
      <c r="F131" s="1015"/>
      <c r="G131" s="1015"/>
    </row>
    <row r="132" spans="3:7" ht="15.75" thickBot="1">
      <c r="E132" s="2499" t="s">
        <v>25406</v>
      </c>
      <c r="F132" s="2499" t="s">
        <v>25407</v>
      </c>
      <c r="G132" s="1015"/>
    </row>
    <row r="133" spans="3:7" ht="16.5" thickTop="1" thickBot="1">
      <c r="C133" s="2480" t="s">
        <v>22839</v>
      </c>
      <c r="D133" s="2501" t="s">
        <v>24883</v>
      </c>
      <c r="E133" s="1017"/>
      <c r="F133" s="1601"/>
    </row>
    <row r="134" spans="3:7" ht="15.75" thickTop="1">
      <c r="E134" s="1015"/>
      <c r="F134" s="1015"/>
      <c r="G134" s="1015"/>
    </row>
    <row r="135" spans="3:7">
      <c r="E135" s="1015"/>
      <c r="F135" s="1015"/>
      <c r="G135" s="1015"/>
    </row>
    <row r="136" spans="3:7">
      <c r="E136" s="1015"/>
      <c r="F136" s="1015"/>
      <c r="G136" s="1015"/>
    </row>
    <row r="137" spans="3:7">
      <c r="E137" s="2499" t="s">
        <v>25405</v>
      </c>
    </row>
    <row r="138" spans="3:7" ht="15.75">
      <c r="C138" s="2480" t="s">
        <v>24829</v>
      </c>
      <c r="D138" s="2501" t="s">
        <v>25435</v>
      </c>
      <c r="E138" s="2500"/>
    </row>
  </sheetData>
  <sheetProtection algorithmName="SHA-512" hashValue="4Ii266bXU7WqzydD0uIqE3/M/lAZK0aCyVrQeudwj66iIf3aq7W4NGhnD9Cw+xnAsXcbVdRJdQtZGoi6LreIPw==" saltValue="oN8aJLLgrIpoqjfHXr6rjg==" spinCount="100000" sheet="1" objects="1" scenarios="1"/>
  <dataValidations disablePrompts="1" count="1">
    <dataValidation type="list" allowBlank="1" showInputMessage="1" showErrorMessage="1" sqref="E128:F128 E133:F133 E122:F122 E117:F117 E91:F91" xr:uid="{6E4CF6E2-D38E-4A4D-A7A7-CC0968AC9FBE}">
      <formula1>"SI,NO,Non applicabile"</formula1>
    </dataValidation>
  </dataValidations>
  <pageMargins left="0.7" right="0.7" top="0.75" bottom="0.75" header="0.3" footer="0.3"/>
  <pageSetup paperSize="9" orientation="portrait"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oglio214">
    <tabColor rgb="FFFDE9D9"/>
  </sheetPr>
  <dimension ref="A1:Y65"/>
  <sheetViews>
    <sheetView showGridLines="0" zoomScale="85" zoomScaleNormal="85" workbookViewId="0">
      <pane ySplit="5" topLeftCell="A6" activePane="bottomLeft" state="frozen"/>
      <selection pane="bottomLeft"/>
    </sheetView>
  </sheetViews>
  <sheetFormatPr defaultColWidth="9.42578125" defaultRowHeight="12.75"/>
  <cols>
    <col min="1" max="1" width="6.5703125" style="621" customWidth="1"/>
    <col min="2" max="2" width="9.42578125" style="621"/>
    <col min="3" max="3" width="9.42578125" style="996"/>
    <col min="4" max="5" width="9.42578125" style="621"/>
    <col min="6" max="6" width="12" style="621" customWidth="1"/>
    <col min="7" max="7" width="26.42578125" style="996" customWidth="1"/>
    <col min="8" max="8" width="9.42578125" style="621"/>
    <col min="9" max="9" width="19.42578125" style="996" bestFit="1" customWidth="1"/>
    <col min="10" max="10" width="14.42578125" style="621" customWidth="1"/>
    <col min="11" max="12" width="14.42578125" style="834" bestFit="1" customWidth="1"/>
    <col min="13" max="13" width="13.42578125" style="834" bestFit="1" customWidth="1"/>
    <col min="14" max="17" width="13.42578125" style="834" customWidth="1"/>
    <col min="18" max="18" width="17.5703125" style="834" customWidth="1"/>
    <col min="19" max="19" width="19.42578125" style="621" customWidth="1"/>
    <col min="20" max="20" width="26" style="621" bestFit="1" customWidth="1"/>
    <col min="21" max="21" width="26.5703125" style="621" bestFit="1" customWidth="1"/>
    <col min="22" max="22" width="22" style="621" bestFit="1" customWidth="1"/>
    <col min="23" max="23" width="24.5703125" style="621" bestFit="1" customWidth="1"/>
    <col min="24" max="25" width="18.42578125" style="621" customWidth="1"/>
    <col min="26" max="27" width="9.42578125" style="621"/>
    <col min="28" max="32" width="25.42578125" style="621" customWidth="1"/>
    <col min="33" max="16384" width="9.42578125" style="621"/>
  </cols>
  <sheetData>
    <row r="1" spans="1:25" s="630" customFormat="1" ht="25.35" customHeight="1">
      <c r="A1" s="2451"/>
      <c r="C1" s="995"/>
      <c r="F1" s="340"/>
      <c r="G1" s="994"/>
      <c r="H1" s="340"/>
      <c r="I1" s="999"/>
      <c r="J1" s="340"/>
      <c r="K1" s="590"/>
      <c r="L1" s="1552" t="s">
        <v>29698</v>
      </c>
      <c r="M1" s="590"/>
      <c r="N1" s="590"/>
      <c r="O1" s="590"/>
      <c r="P1" s="590"/>
      <c r="Q1" s="590"/>
      <c r="R1" s="590"/>
    </row>
    <row r="2" spans="1:25" ht="15">
      <c r="G2" s="995"/>
      <c r="H2" s="342" t="s">
        <v>31372</v>
      </c>
      <c r="I2" s="995"/>
      <c r="J2" s="630"/>
      <c r="K2" s="631"/>
      <c r="M2" s="631"/>
      <c r="N2" s="631"/>
      <c r="O2" s="631"/>
      <c r="P2" s="631"/>
      <c r="Q2" s="631"/>
      <c r="R2" s="631"/>
      <c r="S2" s="1482" t="s">
        <v>26549</v>
      </c>
      <c r="T2" s="1483" t="s">
        <v>26639</v>
      </c>
      <c r="U2" s="1483" t="s">
        <v>26640</v>
      </c>
      <c r="V2" s="1483" t="s">
        <v>26641</v>
      </c>
      <c r="W2" s="1483" t="s">
        <v>26642</v>
      </c>
    </row>
    <row r="3" spans="1:25" ht="15">
      <c r="K3" s="631"/>
      <c r="L3" s="631"/>
      <c r="M3" s="631"/>
      <c r="N3" s="631"/>
      <c r="O3" s="631"/>
      <c r="P3" s="631"/>
      <c r="Q3" s="631"/>
      <c r="R3" s="631"/>
      <c r="S3" s="1482" t="b">
        <f t="array" aca="1" ref="S3" ca="1">+OR(T3:W3)</f>
        <v>1</v>
      </c>
      <c r="T3" s="1483" t="b">
        <f t="array" aca="1" ref="T3" ca="1">+OR(INDEX(IMN_ante2019,0,20))</f>
        <v>1</v>
      </c>
      <c r="U3" s="1483" t="b">
        <f t="array" aca="1" ref="U3" ca="1">+OR(INDEX(IMN_ante2019,0,21))</f>
        <v>1</v>
      </c>
      <c r="V3" s="1483" t="b">
        <f t="array" aca="1" ref="V3" ca="1">+OR(INDEX(IMN_ante2019,0,22))</f>
        <v>1</v>
      </c>
      <c r="W3" s="1483" t="b">
        <f t="array" aca="1" ref="W3" ca="1">+OR(INDEX(IMN_ante2019,0,23))</f>
        <v>0</v>
      </c>
    </row>
    <row r="4" spans="1:25" s="630" customFormat="1" ht="29.25" customHeight="1">
      <c r="A4" s="678" t="s">
        <v>31371</v>
      </c>
      <c r="B4" s="679"/>
      <c r="C4" s="997"/>
      <c r="D4" s="679"/>
      <c r="E4" s="679"/>
      <c r="F4" s="679"/>
      <c r="G4" s="997"/>
      <c r="H4" s="679"/>
      <c r="I4" s="997"/>
      <c r="J4" s="679"/>
      <c r="K4" s="679"/>
      <c r="L4" s="679"/>
      <c r="M4" s="679"/>
      <c r="N4" s="1061"/>
      <c r="O4" s="1099"/>
      <c r="P4" s="1334"/>
      <c r="Q4" s="1336"/>
      <c r="R4" s="631"/>
    </row>
    <row r="5" spans="1:25" s="426" customFormat="1" ht="59.25" customHeight="1">
      <c r="A5" s="593" t="s">
        <v>24869</v>
      </c>
      <c r="B5" s="593" t="s">
        <v>24868</v>
      </c>
      <c r="C5" s="592" t="s">
        <v>192</v>
      </c>
      <c r="D5" s="592" t="s">
        <v>193</v>
      </c>
      <c r="E5" s="593" t="s">
        <v>191</v>
      </c>
      <c r="F5" s="593" t="s">
        <v>194</v>
      </c>
      <c r="G5" s="699" t="s">
        <v>195</v>
      </c>
      <c r="H5" s="592" t="s">
        <v>196</v>
      </c>
      <c r="I5" s="699" t="s">
        <v>197</v>
      </c>
      <c r="J5" s="699" t="s">
        <v>198</v>
      </c>
      <c r="K5" s="700" t="s">
        <v>22698</v>
      </c>
      <c r="L5" s="700" t="s">
        <v>22699</v>
      </c>
      <c r="M5" s="700" t="s">
        <v>22700</v>
      </c>
      <c r="N5" s="1062" t="s">
        <v>22701</v>
      </c>
      <c r="O5" s="1062" t="s">
        <v>21</v>
      </c>
      <c r="P5" s="1335" t="s">
        <v>29760</v>
      </c>
      <c r="Q5" s="1335" t="s">
        <v>26592</v>
      </c>
      <c r="R5" s="426" t="s">
        <v>24799</v>
      </c>
      <c r="S5" s="426" t="s">
        <v>22741</v>
      </c>
      <c r="T5" s="426" t="s">
        <v>26639</v>
      </c>
      <c r="U5" s="426" t="s">
        <v>26640</v>
      </c>
      <c r="V5" s="426" t="s">
        <v>26641</v>
      </c>
      <c r="W5" s="426" t="s">
        <v>26642</v>
      </c>
    </row>
    <row r="6" spans="1:25" s="702" customFormat="1" ht="25.35" customHeight="1">
      <c r="A6" s="828">
        <f>+idato</f>
        <v>0</v>
      </c>
      <c r="B6" s="828">
        <f>+idgestore</f>
        <v>0</v>
      </c>
      <c r="C6" s="1000" t="s">
        <v>245</v>
      </c>
      <c r="D6" s="829">
        <v>0</v>
      </c>
      <c r="E6" s="829" t="s">
        <v>22698</v>
      </c>
      <c r="F6" s="829" t="str">
        <f>+IFERROR(IF(J6&lt;2020,VLOOKUP(G6,id_cat_ces,2,FALSE),VLOOKUP(G6,TT_Tabelle_Riferimento!$G$127:$K$164,5,FALSE)),"")</f>
        <v/>
      </c>
      <c r="G6" s="998"/>
      <c r="H6" s="829" t="str">
        <f>+IFERROR(VLOOKUP(I6,id_cat_imm,2,FALSE),"")</f>
        <v/>
      </c>
      <c r="I6" s="998"/>
      <c r="J6" s="701"/>
      <c r="K6" s="717"/>
      <c r="L6" s="717"/>
      <c r="M6" s="717"/>
      <c r="N6" s="717"/>
      <c r="O6" s="1605"/>
      <c r="P6" s="1606"/>
      <c r="Q6" s="1769"/>
      <c r="R6" s="1000" t="str">
        <f>+"RAB_cespiti_anni_precedenti"</f>
        <v>RAB_cespiti_anni_precedenti</v>
      </c>
      <c r="S6" s="829">
        <f>+ROW(A6)-5</f>
        <v>1</v>
      </c>
      <c r="T6" s="829" t="b">
        <f>++IF(S6=0,FALSE,IFERROR(IF(J6&lt;2020,VLOOKUP(G6,id_cat_ces,2,FALSE),VLOOKUP(G6,TT_Tabelle_Riferimento!$G$127:$K$164,5,FALSE)),FALSE)&lt;&gt;F6)</f>
        <v>1</v>
      </c>
      <c r="U6" s="829" t="b">
        <f>++IF(S6=0,FALSE,IFERROR(VLOOKUP(I6,id_cat_imm,2,FALSE),FALSE)&lt;&gt;H6)</f>
        <v>1</v>
      </c>
      <c r="V6" s="829" t="b">
        <f>+IF(S6=0,FALSE,J6&lt;1967)</f>
        <v>1</v>
      </c>
      <c r="W6" s="829" t="b">
        <f>+IF(S6=0,FALSE,OR(K6&lt;0,L6&lt;0,M6&lt;0,N6&lt;0))</f>
        <v>0</v>
      </c>
      <c r="X6" s="830"/>
      <c r="Y6" s="830"/>
    </row>
    <row r="7" spans="1:25">
      <c r="A7" s="831"/>
      <c r="B7" s="831"/>
      <c r="F7" s="832"/>
      <c r="H7" s="832"/>
      <c r="J7" s="832"/>
      <c r="K7" s="833"/>
      <c r="L7" s="833"/>
      <c r="M7" s="833"/>
      <c r="N7" s="833"/>
      <c r="O7" s="833"/>
      <c r="P7" s="833"/>
      <c r="Q7" s="833"/>
      <c r="R7" s="833"/>
    </row>
    <row r="8" spans="1:25">
      <c r="A8" s="831"/>
      <c r="B8" s="831"/>
      <c r="F8" s="832"/>
      <c r="H8" s="832"/>
      <c r="J8" s="832"/>
      <c r="K8" s="833"/>
      <c r="L8" s="833"/>
      <c r="M8" s="833"/>
      <c r="N8" s="833"/>
      <c r="O8" s="833"/>
      <c r="P8" s="833"/>
      <c r="Q8" s="833"/>
      <c r="R8" s="833"/>
    </row>
    <row r="9" spans="1:25">
      <c r="A9" s="831"/>
      <c r="B9" s="831"/>
      <c r="F9" s="832"/>
      <c r="H9" s="832"/>
      <c r="J9" s="832"/>
      <c r="K9" s="833"/>
      <c r="L9" s="833"/>
      <c r="M9" s="833"/>
      <c r="N9" s="833"/>
      <c r="O9" s="833"/>
      <c r="P9" s="833"/>
      <c r="Q9" s="833"/>
      <c r="R9" s="833"/>
    </row>
    <row r="10" spans="1:25">
      <c r="A10" s="831"/>
      <c r="B10" s="831"/>
      <c r="F10" s="832"/>
      <c r="H10" s="832"/>
      <c r="J10" s="832"/>
      <c r="K10" s="833"/>
      <c r="L10" s="833"/>
      <c r="M10" s="833"/>
      <c r="N10" s="833"/>
      <c r="O10" s="833"/>
      <c r="P10" s="833"/>
      <c r="Q10" s="833"/>
      <c r="R10" s="833"/>
    </row>
    <row r="11" spans="1:25">
      <c r="A11" s="831"/>
      <c r="B11" s="831"/>
      <c r="F11" s="832"/>
      <c r="H11" s="832"/>
      <c r="J11" s="832"/>
      <c r="K11" s="833"/>
      <c r="L11" s="833"/>
      <c r="M11" s="833"/>
      <c r="N11" s="833"/>
      <c r="O11" s="833"/>
      <c r="P11" s="833"/>
      <c r="Q11" s="833"/>
      <c r="R11" s="833"/>
    </row>
    <row r="12" spans="1:25">
      <c r="A12" s="831"/>
      <c r="B12" s="831"/>
      <c r="F12" s="832"/>
      <c r="H12" s="832"/>
      <c r="J12" s="832"/>
      <c r="K12" s="833"/>
      <c r="L12" s="833"/>
      <c r="M12" s="833"/>
      <c r="N12" s="833"/>
      <c r="O12" s="833"/>
      <c r="P12" s="833"/>
      <c r="Q12" s="833"/>
      <c r="R12" s="833"/>
    </row>
    <row r="13" spans="1:25">
      <c r="A13" s="831"/>
      <c r="B13" s="831"/>
      <c r="F13" s="832"/>
      <c r="H13" s="832"/>
      <c r="J13" s="832"/>
      <c r="K13" s="833"/>
      <c r="L13" s="833"/>
      <c r="M13" s="833"/>
      <c r="N13" s="833"/>
      <c r="O13" s="833"/>
      <c r="P13" s="833"/>
      <c r="Q13" s="833"/>
      <c r="R13" s="833"/>
    </row>
    <row r="14" spans="1:25">
      <c r="A14" s="831"/>
      <c r="B14" s="831"/>
      <c r="F14" s="832"/>
      <c r="H14" s="832"/>
      <c r="J14" s="832"/>
      <c r="K14" s="833"/>
      <c r="L14" s="833"/>
      <c r="M14" s="833"/>
      <c r="N14" s="833"/>
      <c r="O14" s="833"/>
      <c r="P14" s="833"/>
      <c r="Q14" s="833"/>
      <c r="R14" s="833"/>
    </row>
    <row r="15" spans="1:25">
      <c r="A15" s="831"/>
      <c r="B15" s="831"/>
      <c r="F15" s="832"/>
      <c r="H15" s="832"/>
      <c r="J15" s="832"/>
      <c r="K15" s="833"/>
      <c r="L15" s="833"/>
      <c r="M15" s="833"/>
      <c r="N15" s="833"/>
      <c r="O15" s="833"/>
      <c r="P15" s="833"/>
      <c r="Q15" s="833"/>
      <c r="R15" s="833"/>
    </row>
    <row r="16" spans="1:25">
      <c r="A16" s="831"/>
      <c r="B16" s="831"/>
      <c r="F16" s="832"/>
      <c r="H16" s="832"/>
      <c r="J16" s="832"/>
      <c r="K16" s="833"/>
      <c r="L16" s="833"/>
      <c r="M16" s="833"/>
      <c r="N16" s="833"/>
      <c r="O16" s="833"/>
      <c r="P16" s="833"/>
      <c r="Q16" s="833"/>
      <c r="R16" s="833"/>
    </row>
    <row r="17" spans="1:18">
      <c r="A17" s="831"/>
      <c r="B17" s="831"/>
      <c r="F17" s="832"/>
      <c r="H17" s="832"/>
      <c r="J17" s="832"/>
      <c r="K17" s="833"/>
      <c r="L17" s="833"/>
      <c r="M17" s="833"/>
      <c r="N17" s="833"/>
      <c r="O17" s="833"/>
      <c r="P17" s="833"/>
      <c r="Q17" s="833"/>
      <c r="R17" s="833"/>
    </row>
    <row r="18" spans="1:18">
      <c r="A18" s="831"/>
      <c r="B18" s="831"/>
      <c r="F18" s="832"/>
      <c r="H18" s="832"/>
      <c r="J18" s="832"/>
      <c r="K18" s="833"/>
      <c r="L18" s="833"/>
      <c r="M18" s="833"/>
      <c r="N18" s="833"/>
      <c r="O18" s="833"/>
      <c r="P18" s="833"/>
      <c r="Q18" s="833"/>
      <c r="R18" s="833"/>
    </row>
    <row r="19" spans="1:18">
      <c r="A19" s="831"/>
      <c r="B19" s="831"/>
      <c r="F19" s="832"/>
      <c r="H19" s="832"/>
      <c r="J19" s="832"/>
      <c r="K19" s="833"/>
      <c r="L19" s="833"/>
      <c r="M19" s="833"/>
      <c r="N19" s="833"/>
      <c r="O19" s="833"/>
      <c r="P19" s="833"/>
      <c r="Q19" s="833"/>
      <c r="R19" s="833"/>
    </row>
    <row r="20" spans="1:18">
      <c r="A20" s="831"/>
      <c r="B20" s="831"/>
      <c r="F20" s="832"/>
      <c r="H20" s="832"/>
      <c r="J20" s="832"/>
      <c r="K20" s="833"/>
      <c r="L20" s="833"/>
      <c r="M20" s="833"/>
      <c r="N20" s="833"/>
      <c r="O20" s="833"/>
      <c r="P20" s="833"/>
      <c r="Q20" s="833"/>
      <c r="R20" s="833"/>
    </row>
    <row r="21" spans="1:18">
      <c r="A21" s="831"/>
      <c r="B21" s="831"/>
      <c r="F21" s="832"/>
      <c r="H21" s="832"/>
      <c r="J21" s="832"/>
      <c r="K21" s="833"/>
      <c r="L21" s="833"/>
      <c r="M21" s="833"/>
      <c r="N21" s="833"/>
      <c r="O21" s="833"/>
      <c r="P21" s="833"/>
      <c r="Q21" s="833"/>
      <c r="R21" s="833"/>
    </row>
    <row r="22" spans="1:18">
      <c r="A22" s="831"/>
      <c r="B22" s="831"/>
      <c r="F22" s="832"/>
      <c r="H22" s="832"/>
      <c r="J22" s="832"/>
      <c r="K22" s="833"/>
      <c r="L22" s="833"/>
      <c r="M22" s="833"/>
      <c r="N22" s="833"/>
      <c r="O22" s="833"/>
      <c r="P22" s="833"/>
      <c r="Q22" s="833"/>
      <c r="R22" s="833"/>
    </row>
    <row r="23" spans="1:18">
      <c r="A23" s="831"/>
      <c r="B23" s="831"/>
      <c r="F23" s="832"/>
      <c r="H23" s="832"/>
      <c r="J23" s="832"/>
      <c r="K23" s="833"/>
      <c r="L23" s="833"/>
      <c r="M23" s="833"/>
      <c r="N23" s="833"/>
      <c r="O23" s="833"/>
      <c r="P23" s="833"/>
      <c r="Q23" s="833"/>
      <c r="R23" s="833"/>
    </row>
    <row r="24" spans="1:18">
      <c r="A24" s="831"/>
      <c r="B24" s="831"/>
      <c r="F24" s="832"/>
      <c r="H24" s="832"/>
      <c r="J24" s="832"/>
      <c r="K24" s="833"/>
      <c r="L24" s="833"/>
      <c r="M24" s="833"/>
      <c r="N24" s="833"/>
      <c r="O24" s="833"/>
      <c r="P24" s="833"/>
      <c r="Q24" s="833"/>
      <c r="R24" s="833"/>
    </row>
    <row r="25" spans="1:18">
      <c r="A25" s="831"/>
      <c r="B25" s="831"/>
      <c r="F25" s="832"/>
      <c r="H25" s="832"/>
      <c r="J25" s="832"/>
      <c r="K25" s="833"/>
      <c r="L25" s="833"/>
      <c r="M25" s="833"/>
      <c r="N25" s="833"/>
      <c r="O25" s="833"/>
      <c r="P25" s="833"/>
      <c r="Q25" s="833"/>
      <c r="R25" s="833"/>
    </row>
    <row r="26" spans="1:18">
      <c r="A26" s="831"/>
      <c r="B26" s="831"/>
      <c r="F26" s="832"/>
      <c r="H26" s="832"/>
      <c r="J26" s="832"/>
      <c r="K26" s="833"/>
      <c r="L26" s="833"/>
      <c r="M26" s="833"/>
      <c r="N26" s="833"/>
      <c r="O26" s="833"/>
      <c r="P26" s="833"/>
      <c r="Q26" s="833"/>
      <c r="R26" s="833"/>
    </row>
    <row r="27" spans="1:18">
      <c r="A27" s="831"/>
      <c r="B27" s="831"/>
      <c r="F27" s="832"/>
      <c r="H27" s="832"/>
      <c r="J27" s="832"/>
      <c r="K27" s="833"/>
      <c r="L27" s="833"/>
      <c r="M27" s="833"/>
      <c r="N27" s="833"/>
      <c r="O27" s="833"/>
      <c r="P27" s="833"/>
      <c r="Q27" s="833"/>
      <c r="R27" s="833"/>
    </row>
    <row r="28" spans="1:18">
      <c r="A28" s="831"/>
      <c r="B28" s="831"/>
      <c r="F28" s="832"/>
      <c r="H28" s="832"/>
      <c r="J28" s="832"/>
      <c r="K28" s="833"/>
      <c r="L28" s="833"/>
      <c r="M28" s="833"/>
      <c r="N28" s="833"/>
      <c r="O28" s="833"/>
      <c r="P28" s="833"/>
      <c r="Q28" s="833"/>
      <c r="R28" s="833"/>
    </row>
    <row r="29" spans="1:18">
      <c r="A29" s="831"/>
      <c r="B29" s="831"/>
      <c r="F29" s="832"/>
      <c r="H29" s="832"/>
      <c r="J29" s="832"/>
      <c r="K29" s="833"/>
      <c r="L29" s="833"/>
      <c r="M29" s="833"/>
      <c r="N29" s="833"/>
      <c r="O29" s="833"/>
      <c r="P29" s="833"/>
      <c r="Q29" s="833"/>
      <c r="R29" s="833"/>
    </row>
    <row r="30" spans="1:18">
      <c r="A30" s="831"/>
      <c r="B30" s="831"/>
      <c r="F30" s="832"/>
      <c r="H30" s="832"/>
      <c r="J30" s="832"/>
      <c r="K30" s="833"/>
      <c r="L30" s="833"/>
      <c r="M30" s="833"/>
      <c r="N30" s="833"/>
      <c r="O30" s="833"/>
      <c r="P30" s="833"/>
      <c r="Q30" s="833"/>
      <c r="R30" s="833"/>
    </row>
    <row r="31" spans="1:18">
      <c r="A31" s="831"/>
      <c r="B31" s="831"/>
      <c r="F31" s="832"/>
      <c r="H31" s="832"/>
      <c r="J31" s="832"/>
      <c r="K31" s="833"/>
      <c r="L31" s="833"/>
      <c r="M31" s="833"/>
      <c r="N31" s="833"/>
      <c r="O31" s="833"/>
      <c r="P31" s="833"/>
      <c r="Q31" s="833"/>
      <c r="R31" s="833"/>
    </row>
    <row r="32" spans="1:18">
      <c r="A32" s="831"/>
      <c r="B32" s="831"/>
      <c r="F32" s="832"/>
      <c r="H32" s="832"/>
      <c r="J32" s="832"/>
      <c r="K32" s="833"/>
      <c r="L32" s="833"/>
      <c r="M32" s="833"/>
      <c r="N32" s="833"/>
      <c r="O32" s="833"/>
      <c r="P32" s="833"/>
      <c r="Q32" s="833"/>
      <c r="R32" s="833"/>
    </row>
    <row r="33" spans="1:18">
      <c r="A33" s="831"/>
      <c r="B33" s="831"/>
      <c r="F33" s="832"/>
      <c r="H33" s="832"/>
      <c r="J33" s="832"/>
      <c r="K33" s="833"/>
      <c r="L33" s="833"/>
      <c r="M33" s="833"/>
      <c r="N33" s="833"/>
      <c r="O33" s="833"/>
      <c r="P33" s="833"/>
      <c r="Q33" s="833"/>
      <c r="R33" s="833"/>
    </row>
    <row r="34" spans="1:18">
      <c r="A34" s="831"/>
      <c r="B34" s="831"/>
      <c r="F34" s="832"/>
      <c r="H34" s="832"/>
      <c r="J34" s="832"/>
      <c r="K34" s="833"/>
      <c r="L34" s="833"/>
      <c r="M34" s="833"/>
      <c r="N34" s="833"/>
      <c r="O34" s="833"/>
      <c r="P34" s="833"/>
      <c r="Q34" s="833"/>
      <c r="R34" s="833"/>
    </row>
    <row r="35" spans="1:18">
      <c r="A35" s="831"/>
      <c r="B35" s="831"/>
      <c r="F35" s="832"/>
      <c r="H35" s="832"/>
      <c r="J35" s="832"/>
      <c r="K35" s="833"/>
      <c r="L35" s="833"/>
      <c r="M35" s="833"/>
      <c r="N35" s="833"/>
      <c r="O35" s="833"/>
      <c r="P35" s="833"/>
      <c r="Q35" s="833"/>
      <c r="R35" s="833"/>
    </row>
    <row r="36" spans="1:18">
      <c r="A36" s="831"/>
      <c r="B36" s="831"/>
      <c r="F36" s="832"/>
      <c r="H36" s="832"/>
      <c r="J36" s="832"/>
      <c r="K36" s="833"/>
      <c r="L36" s="833"/>
      <c r="M36" s="833"/>
      <c r="N36" s="833"/>
      <c r="O36" s="833"/>
      <c r="P36" s="833"/>
      <c r="Q36" s="833"/>
      <c r="R36" s="833"/>
    </row>
    <row r="37" spans="1:18">
      <c r="A37" s="831"/>
      <c r="B37" s="831"/>
      <c r="F37" s="832"/>
      <c r="H37" s="832"/>
      <c r="J37" s="832"/>
      <c r="K37" s="833"/>
      <c r="L37" s="833"/>
      <c r="M37" s="833"/>
      <c r="N37" s="833"/>
      <c r="O37" s="833"/>
      <c r="P37" s="833"/>
      <c r="Q37" s="833"/>
      <c r="R37" s="833"/>
    </row>
    <row r="38" spans="1:18">
      <c r="A38" s="831"/>
      <c r="B38" s="831"/>
      <c r="F38" s="832"/>
      <c r="H38" s="832"/>
      <c r="J38" s="832"/>
      <c r="K38" s="833"/>
      <c r="L38" s="833"/>
      <c r="M38" s="833"/>
      <c r="N38" s="833"/>
      <c r="O38" s="833"/>
      <c r="P38" s="833"/>
      <c r="Q38" s="833"/>
      <c r="R38" s="833"/>
    </row>
    <row r="39" spans="1:18">
      <c r="A39" s="831"/>
      <c r="B39" s="831"/>
      <c r="F39" s="832"/>
      <c r="H39" s="832"/>
      <c r="J39" s="832"/>
      <c r="K39" s="833"/>
      <c r="L39" s="833"/>
      <c r="M39" s="833"/>
      <c r="N39" s="833"/>
      <c r="O39" s="833"/>
      <c r="P39" s="833"/>
      <c r="Q39" s="833"/>
      <c r="R39" s="833"/>
    </row>
    <row r="40" spans="1:18">
      <c r="A40" s="831"/>
      <c r="B40" s="831"/>
      <c r="F40" s="832"/>
      <c r="H40" s="832"/>
      <c r="J40" s="832"/>
      <c r="K40" s="833"/>
      <c r="L40" s="833"/>
      <c r="M40" s="833"/>
      <c r="N40" s="833"/>
      <c r="O40" s="833"/>
      <c r="P40" s="833"/>
      <c r="Q40" s="833"/>
      <c r="R40" s="833"/>
    </row>
    <row r="41" spans="1:18">
      <c r="A41" s="831"/>
      <c r="B41" s="831"/>
      <c r="F41" s="832"/>
      <c r="H41" s="832"/>
      <c r="J41" s="832"/>
      <c r="K41" s="833"/>
      <c r="L41" s="833"/>
      <c r="M41" s="833"/>
      <c r="N41" s="833"/>
      <c r="O41" s="833"/>
      <c r="P41" s="833"/>
      <c r="Q41" s="833"/>
      <c r="R41" s="833"/>
    </row>
    <row r="42" spans="1:18">
      <c r="A42" s="831"/>
      <c r="B42" s="831"/>
      <c r="F42" s="832"/>
      <c r="H42" s="832"/>
      <c r="J42" s="832"/>
      <c r="K42" s="833"/>
      <c r="L42" s="833"/>
      <c r="M42" s="833"/>
      <c r="N42" s="833"/>
      <c r="O42" s="833"/>
      <c r="P42" s="833"/>
      <c r="Q42" s="833"/>
      <c r="R42" s="833"/>
    </row>
    <row r="43" spans="1:18">
      <c r="A43" s="831"/>
      <c r="B43" s="831"/>
      <c r="F43" s="832"/>
      <c r="H43" s="832"/>
      <c r="J43" s="832"/>
      <c r="K43" s="833"/>
      <c r="L43" s="833"/>
      <c r="M43" s="833"/>
      <c r="N43" s="833"/>
      <c r="O43" s="833"/>
      <c r="P43" s="833"/>
      <c r="Q43" s="833"/>
      <c r="R43" s="833"/>
    </row>
    <row r="44" spans="1:18">
      <c r="A44" s="831"/>
      <c r="B44" s="831"/>
      <c r="F44" s="832"/>
      <c r="H44" s="832"/>
      <c r="J44" s="832"/>
      <c r="K44" s="833"/>
      <c r="L44" s="833"/>
      <c r="M44" s="833"/>
      <c r="N44" s="833"/>
      <c r="O44" s="833"/>
      <c r="P44" s="833"/>
      <c r="Q44" s="833"/>
      <c r="R44" s="833"/>
    </row>
    <row r="45" spans="1:18">
      <c r="A45" s="831"/>
      <c r="B45" s="831"/>
      <c r="F45" s="832"/>
      <c r="H45" s="832"/>
      <c r="J45" s="832"/>
      <c r="K45" s="833"/>
      <c r="L45" s="833"/>
      <c r="M45" s="833"/>
      <c r="N45" s="833"/>
      <c r="O45" s="833"/>
      <c r="P45" s="833"/>
      <c r="Q45" s="833"/>
      <c r="R45" s="833"/>
    </row>
    <row r="46" spans="1:18">
      <c r="A46" s="831"/>
      <c r="B46" s="831"/>
      <c r="F46" s="832"/>
      <c r="H46" s="832"/>
      <c r="J46" s="832"/>
      <c r="K46" s="833"/>
      <c r="L46" s="833"/>
      <c r="M46" s="833"/>
      <c r="N46" s="833"/>
      <c r="O46" s="833"/>
      <c r="P46" s="833"/>
      <c r="Q46" s="833"/>
      <c r="R46" s="833"/>
    </row>
    <row r="47" spans="1:18">
      <c r="A47" s="831"/>
      <c r="B47" s="831"/>
      <c r="F47" s="832"/>
      <c r="H47" s="832"/>
      <c r="J47" s="832"/>
      <c r="K47" s="833"/>
      <c r="L47" s="833"/>
      <c r="M47" s="833"/>
      <c r="N47" s="833"/>
      <c r="O47" s="833"/>
      <c r="P47" s="833"/>
      <c r="Q47" s="833"/>
      <c r="R47" s="833"/>
    </row>
    <row r="48" spans="1:18">
      <c r="A48" s="831"/>
      <c r="B48" s="831"/>
      <c r="F48" s="832"/>
      <c r="H48" s="832"/>
      <c r="J48" s="832"/>
      <c r="K48" s="833"/>
      <c r="L48" s="833"/>
      <c r="M48" s="833"/>
      <c r="N48" s="833"/>
      <c r="O48" s="833"/>
      <c r="P48" s="833"/>
      <c r="Q48" s="833"/>
      <c r="R48" s="833"/>
    </row>
    <row r="49" spans="1:18">
      <c r="A49" s="831"/>
      <c r="B49" s="831"/>
      <c r="F49" s="832"/>
      <c r="H49" s="832"/>
      <c r="J49" s="832"/>
      <c r="K49" s="833"/>
      <c r="L49" s="833"/>
      <c r="M49" s="833"/>
      <c r="N49" s="833"/>
      <c r="O49" s="833"/>
      <c r="P49" s="833"/>
      <c r="Q49" s="833"/>
      <c r="R49" s="833"/>
    </row>
    <row r="50" spans="1:18">
      <c r="A50" s="831"/>
      <c r="B50" s="831"/>
      <c r="F50" s="832"/>
      <c r="H50" s="832"/>
      <c r="J50" s="832"/>
      <c r="K50" s="833"/>
      <c r="L50" s="833"/>
      <c r="M50" s="833"/>
      <c r="N50" s="833"/>
      <c r="O50" s="833"/>
      <c r="P50" s="833"/>
      <c r="Q50" s="833"/>
      <c r="R50" s="833"/>
    </row>
    <row r="51" spans="1:18">
      <c r="A51" s="831"/>
      <c r="B51" s="831"/>
      <c r="F51" s="832"/>
      <c r="H51" s="832"/>
      <c r="J51" s="832"/>
      <c r="K51" s="833"/>
      <c r="L51" s="833"/>
      <c r="M51" s="833"/>
      <c r="N51" s="833"/>
      <c r="O51" s="833"/>
      <c r="P51" s="833"/>
      <c r="Q51" s="833"/>
      <c r="R51" s="833"/>
    </row>
    <row r="52" spans="1:18">
      <c r="A52" s="831"/>
      <c r="B52" s="831"/>
      <c r="F52" s="832"/>
      <c r="H52" s="832"/>
      <c r="J52" s="832"/>
      <c r="K52" s="833"/>
      <c r="L52" s="833"/>
      <c r="M52" s="833"/>
      <c r="N52" s="833"/>
      <c r="O52" s="833"/>
      <c r="P52" s="833"/>
      <c r="Q52" s="833"/>
      <c r="R52" s="833"/>
    </row>
    <row r="53" spans="1:18">
      <c r="A53" s="831"/>
      <c r="B53" s="831"/>
      <c r="F53" s="832"/>
      <c r="H53" s="832"/>
      <c r="J53" s="832"/>
      <c r="K53" s="833"/>
      <c r="L53" s="833"/>
      <c r="M53" s="833"/>
      <c r="N53" s="833"/>
      <c r="O53" s="833"/>
      <c r="P53" s="833"/>
      <c r="Q53" s="833"/>
      <c r="R53" s="833"/>
    </row>
    <row r="54" spans="1:18">
      <c r="A54" s="831"/>
      <c r="B54" s="831"/>
      <c r="F54" s="832"/>
      <c r="H54" s="832"/>
      <c r="J54" s="832"/>
      <c r="K54" s="833"/>
      <c r="L54" s="833"/>
      <c r="M54" s="833"/>
      <c r="N54" s="833"/>
      <c r="O54" s="833"/>
      <c r="P54" s="833"/>
      <c r="Q54" s="833"/>
      <c r="R54" s="833"/>
    </row>
    <row r="55" spans="1:18">
      <c r="A55" s="831"/>
      <c r="B55" s="831"/>
      <c r="F55" s="832"/>
      <c r="H55" s="832"/>
      <c r="J55" s="832"/>
      <c r="K55" s="833"/>
      <c r="L55" s="833"/>
      <c r="M55" s="833"/>
      <c r="N55" s="833"/>
      <c r="O55" s="833"/>
      <c r="P55" s="833"/>
      <c r="Q55" s="833"/>
      <c r="R55" s="833"/>
    </row>
    <row r="56" spans="1:18">
      <c r="A56" s="831"/>
      <c r="B56" s="831"/>
      <c r="F56" s="832"/>
      <c r="H56" s="832"/>
      <c r="J56" s="832"/>
      <c r="K56" s="833"/>
      <c r="L56" s="833"/>
      <c r="M56" s="833"/>
      <c r="N56" s="833"/>
      <c r="O56" s="833"/>
      <c r="P56" s="833"/>
      <c r="Q56" s="833"/>
      <c r="R56" s="833"/>
    </row>
    <row r="57" spans="1:18">
      <c r="A57" s="831"/>
      <c r="B57" s="831"/>
      <c r="F57" s="832"/>
      <c r="H57" s="832"/>
      <c r="J57" s="832"/>
      <c r="K57" s="833"/>
      <c r="L57" s="833"/>
      <c r="M57" s="833"/>
      <c r="N57" s="833"/>
      <c r="O57" s="833"/>
      <c r="P57" s="833"/>
      <c r="Q57" s="833"/>
      <c r="R57" s="833"/>
    </row>
    <row r="58" spans="1:18">
      <c r="A58" s="831"/>
      <c r="B58" s="831"/>
      <c r="F58" s="832"/>
      <c r="H58" s="832"/>
      <c r="J58" s="832"/>
      <c r="K58" s="833"/>
      <c r="L58" s="833"/>
      <c r="M58" s="833"/>
      <c r="N58" s="833"/>
      <c r="O58" s="833"/>
      <c r="P58" s="833"/>
      <c r="Q58" s="833"/>
      <c r="R58" s="833"/>
    </row>
    <row r="59" spans="1:18">
      <c r="A59" s="831"/>
      <c r="B59" s="831"/>
      <c r="F59" s="832"/>
      <c r="H59" s="832"/>
      <c r="J59" s="832"/>
      <c r="K59" s="833"/>
      <c r="L59" s="833"/>
      <c r="M59" s="833"/>
      <c r="N59" s="833"/>
      <c r="O59" s="833"/>
      <c r="P59" s="833"/>
      <c r="Q59" s="833"/>
      <c r="R59" s="833"/>
    </row>
    <row r="60" spans="1:18">
      <c r="A60" s="831"/>
      <c r="B60" s="831"/>
      <c r="F60" s="832"/>
      <c r="H60" s="832"/>
      <c r="J60" s="832"/>
      <c r="K60" s="833"/>
      <c r="L60" s="833"/>
      <c r="M60" s="833"/>
      <c r="N60" s="833"/>
      <c r="O60" s="833"/>
      <c r="P60" s="833"/>
      <c r="Q60" s="833"/>
      <c r="R60" s="833"/>
    </row>
    <row r="61" spans="1:18">
      <c r="A61" s="831"/>
      <c r="B61" s="831"/>
      <c r="F61" s="832"/>
      <c r="H61" s="832"/>
      <c r="J61" s="832"/>
      <c r="K61" s="833"/>
      <c r="L61" s="833"/>
      <c r="M61" s="833"/>
      <c r="N61" s="833"/>
      <c r="O61" s="833"/>
      <c r="P61" s="833"/>
      <c r="Q61" s="833"/>
      <c r="R61" s="833"/>
    </row>
    <row r="62" spans="1:18">
      <c r="A62" s="831"/>
      <c r="B62" s="831"/>
      <c r="F62" s="832"/>
      <c r="H62" s="832"/>
      <c r="J62" s="832"/>
      <c r="K62" s="833"/>
      <c r="L62" s="833"/>
      <c r="M62" s="833"/>
      <c r="N62" s="833"/>
      <c r="O62" s="833"/>
      <c r="P62" s="833"/>
      <c r="Q62" s="833"/>
      <c r="R62" s="833"/>
    </row>
    <row r="63" spans="1:18">
      <c r="A63" s="831"/>
      <c r="B63" s="831"/>
      <c r="F63" s="832"/>
      <c r="H63" s="832"/>
      <c r="J63" s="832"/>
      <c r="K63" s="833"/>
      <c r="L63" s="833"/>
      <c r="M63" s="833"/>
      <c r="N63" s="833"/>
      <c r="O63" s="833"/>
      <c r="P63" s="833"/>
      <c r="Q63" s="833"/>
      <c r="R63" s="833"/>
    </row>
    <row r="64" spans="1:18">
      <c r="A64" s="831"/>
      <c r="B64" s="831"/>
      <c r="F64" s="832"/>
      <c r="H64" s="832"/>
      <c r="J64" s="832"/>
      <c r="K64" s="833"/>
      <c r="L64" s="833"/>
      <c r="M64" s="833"/>
      <c r="N64" s="833"/>
      <c r="O64" s="833"/>
      <c r="P64" s="833"/>
      <c r="Q64" s="833"/>
      <c r="R64" s="833"/>
    </row>
    <row r="65" spans="1:18">
      <c r="A65" s="831"/>
      <c r="B65" s="831"/>
      <c r="F65" s="832"/>
      <c r="H65" s="832"/>
      <c r="J65" s="832"/>
      <c r="K65" s="833"/>
      <c r="L65" s="833"/>
      <c r="M65" s="833"/>
      <c r="N65" s="833"/>
      <c r="O65" s="833"/>
      <c r="P65" s="833"/>
      <c r="Q65" s="833"/>
      <c r="R65" s="833"/>
    </row>
  </sheetData>
  <sheetProtection algorithmName="SHA-512" hashValue="nt2djuQUd59tf+OWxgqoGDNsPyqzqZYBRgRq4TVn0eYTZkyDh7vBIo+6V6XEYexBixldKBBrqXqTug7mB1MpgA==" saltValue="S3RXuaJ8/xSKwdK2YCwZ6A==" spinCount="100000" sheet="1" objects="1" scenarios="1"/>
  <autoFilter ref="A5:R6" xr:uid="{00000000-0009-0000-0000-000015000000}"/>
  <customSheetViews>
    <customSheetView guid="{849F61E1-F6D3-48F4-A6FF-68F8FE186D80}" scale="85" showGridLines="0" showAutoFilter="1" hiddenRows="1">
      <pane ySplit="5" topLeftCell="A7" activePane="bottomLeft" state="frozen"/>
      <selection pane="bottomLeft"/>
      <pageMargins left="0.7" right="0.7" top="0.75" bottom="0.75" header="0.3" footer="0.3"/>
      <pageSetup paperSize="9" orientation="portrait" r:id="rId1"/>
      <autoFilter ref="A5:O7" xr:uid="{5FC0008A-2343-44EC-B4A6-B0D647C44DF2}"/>
    </customSheetView>
    <customSheetView guid="{1E1889AA-9C00-49BF-A07E-295053EABBEF}" scale="85" showGridLines="0">
      <pageMargins left="0.7" right="0.7" top="0.75" bottom="0.75" header="0.3" footer="0.3"/>
      <pageSetup paperSize="9" orientation="portrait" r:id="rId2"/>
    </customSheetView>
    <customSheetView guid="{83029BA9-344F-4783-B8F2-6704FB40A582}" scale="85" showGridLines="0" showAutoFilter="1" hiddenRows="1">
      <pane ySplit="5" topLeftCell="A6" activePane="bottomLeft" state="frozen"/>
      <selection pane="bottomLeft"/>
      <pageMargins left="0.7" right="0.7" top="0.75" bottom="0.75" header="0.3" footer="0.3"/>
      <pageSetup paperSize="9" orientation="portrait" r:id="rId3"/>
      <autoFilter ref="A5:O5" xr:uid="{780792E3-9E2C-403D-87AC-D8AB5E5E0FA8}"/>
    </customSheetView>
  </customSheetViews>
  <dataValidations count="6">
    <dataValidation type="decimal" operator="greaterThanOrEqual" allowBlank="1" showInputMessage="1" showErrorMessage="1" sqref="K6:O6" xr:uid="{00000000-0002-0000-1500-000000000000}">
      <formula1>0</formula1>
    </dataValidation>
    <dataValidation type="whole" allowBlank="1" showInputMessage="1" showErrorMessage="1" sqref="J6" xr:uid="{00000000-0002-0000-1500-000001000000}">
      <formula1>1967</formula1>
      <formula2>2022</formula2>
    </dataValidation>
    <dataValidation type="list" allowBlank="1" showInputMessage="1" showErrorMessage="1" sqref="I6" xr:uid="{00000000-0002-0000-1500-000002000000}">
      <formula1>Cat_Immobilizzazione</formula1>
    </dataValidation>
    <dataValidation type="list" operator="greaterThanOrEqual" allowBlank="1" showInputMessage="1" showErrorMessage="1" sqref="P6" xr:uid="{0E07F7F4-E109-401E-A834-4EE4942D5857}">
      <formula1>costo_sotteso</formula1>
    </dataValidation>
    <dataValidation type="list" operator="greaterThanOrEqual" allowBlank="1" showInputMessage="1" showErrorMessage="1" sqref="Q6" xr:uid="{BBF6A446-6797-4802-8F8A-CFEF612F43DA}">
      <formula1>attività</formula1>
    </dataValidation>
    <dataValidation type="list" allowBlank="1" showInputMessage="1" showErrorMessage="1" sqref="G6" xr:uid="{00000000-0002-0000-1500-000003000000}">
      <formula1>IF(J6&lt;2020,CategorieCespiti,cat_imm_nuovi_inv)</formula1>
    </dataValidation>
  </dataValidations>
  <pageMargins left="0.7" right="0.7" top="0.75" bottom="0.75" header="0.3" footer="0.3"/>
  <pageSetup paperSize="9" orientation="portrait" r:id="rId4"/>
  <drawing r:id="rId5"/>
  <legacyDrawing r:id="rId6"/>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Foglio47">
    <tabColor rgb="FFFDE9D9"/>
  </sheetPr>
  <dimension ref="A1:BC7"/>
  <sheetViews>
    <sheetView showGridLines="0" zoomScale="85" zoomScaleNormal="85" workbookViewId="0"/>
  </sheetViews>
  <sheetFormatPr defaultColWidth="9.42578125" defaultRowHeight="15"/>
  <cols>
    <col min="1" max="1" width="6.5703125" style="837" customWidth="1"/>
    <col min="2" max="4" width="12.5703125" style="837" customWidth="1"/>
    <col min="5" max="5" width="26.42578125" style="990" customWidth="1"/>
    <col min="6" max="6" width="12.5703125" style="837" customWidth="1"/>
    <col min="7" max="9" width="24.42578125" style="990" customWidth="1"/>
    <col min="10" max="13" width="15.5703125" style="837" customWidth="1"/>
    <col min="14" max="15" width="25.5703125" style="837" customWidth="1"/>
    <col min="16" max="16" width="9.42578125" style="837"/>
    <col min="17" max="17" width="11" style="837" customWidth="1"/>
    <col min="18" max="18" width="19.5703125" style="837" bestFit="1" customWidth="1"/>
    <col min="19" max="20" width="11" style="837" customWidth="1"/>
    <col min="21" max="21" width="26" style="837" bestFit="1" customWidth="1"/>
    <col min="22" max="22" width="16" style="990" bestFit="1" customWidth="1"/>
    <col min="23" max="23" width="19.5703125" style="837" bestFit="1" customWidth="1"/>
    <col min="24" max="24" width="11" style="837" customWidth="1"/>
    <col min="25" max="25" width="12.42578125" style="837" customWidth="1"/>
    <col min="26" max="26" width="18.5703125" style="837" bestFit="1" customWidth="1"/>
    <col min="27" max="30" width="11" style="837" customWidth="1"/>
    <col min="31" max="33" width="22.5703125" style="837" customWidth="1"/>
    <col min="34" max="35" width="14.5703125" style="837" customWidth="1"/>
    <col min="36" max="36" width="15.5703125" style="837" customWidth="1"/>
    <col min="37" max="39" width="14.5703125" style="837" customWidth="1"/>
    <col min="40" max="40" width="2.42578125" customWidth="1"/>
    <col min="41" max="43" width="15.5703125" style="837" customWidth="1"/>
    <col min="44" max="44" width="14.42578125" style="837" customWidth="1"/>
    <col min="45" max="45" width="15.5703125" style="837" customWidth="1"/>
    <col min="46" max="46" width="2.42578125" customWidth="1"/>
    <col min="47" max="49" width="15.5703125" style="837" customWidth="1"/>
    <col min="50" max="50" width="2.42578125" customWidth="1"/>
    <col min="51" max="51" width="15.5703125" style="837" customWidth="1"/>
    <col min="52" max="54" width="9.42578125" style="837"/>
    <col min="55" max="55" width="26.42578125" style="10" customWidth="1"/>
    <col min="56" max="16384" width="9.42578125" style="837"/>
  </cols>
  <sheetData>
    <row r="1" spans="1:55" s="644" customFormat="1" ht="25.35" customHeight="1">
      <c r="A1" s="2450"/>
      <c r="B1" s="643"/>
      <c r="C1" s="643"/>
      <c r="D1" s="340"/>
      <c r="E1" s="994"/>
      <c r="F1" s="340"/>
      <c r="G1" s="999"/>
      <c r="H1" s="999"/>
      <c r="I1" s="999"/>
      <c r="J1" s="340"/>
      <c r="K1" s="125"/>
      <c r="L1" s="125"/>
      <c r="M1" s="125"/>
      <c r="O1" s="125"/>
      <c r="R1" s="1482" t="s">
        <v>26584</v>
      </c>
      <c r="U1" s="1483" t="s">
        <v>26639</v>
      </c>
      <c r="V1" s="989"/>
      <c r="W1" s="721" t="s">
        <v>26640</v>
      </c>
      <c r="Z1" s="721" t="s">
        <v>26642</v>
      </c>
      <c r="AC1" s="721" t="s">
        <v>29979</v>
      </c>
      <c r="AN1"/>
      <c r="AT1"/>
      <c r="AX1"/>
    </row>
    <row r="2" spans="1:55" s="5" customFormat="1" ht="15.75" thickBot="1">
      <c r="A2" s="645"/>
      <c r="D2" s="643"/>
      <c r="E2" s="1001"/>
      <c r="F2" s="342"/>
      <c r="G2" s="1001"/>
      <c r="H2" s="1001"/>
      <c r="I2" s="1001"/>
      <c r="J2" s="643"/>
      <c r="K2" s="644"/>
      <c r="L2" s="644"/>
      <c r="M2" s="644"/>
      <c r="N2" s="644"/>
      <c r="O2" s="644"/>
      <c r="Q2" s="644"/>
      <c r="R2" s="1484" t="b">
        <f t="array" aca="1" ref="R2" ca="1">+OR(U2,W2,Z2,AC2)</f>
        <v>0</v>
      </c>
      <c r="S2" s="644"/>
      <c r="T2" s="644"/>
      <c r="U2" s="737" t="b" cm="1">
        <f t="array" aca="1" ref="U2" ca="1">+OR(VALUE(INDEX(ConfermaInvestimenti,0,21)))=0</f>
        <v>0</v>
      </c>
      <c r="V2" s="989"/>
      <c r="W2" s="737" t="b">
        <f ca="1">+OR(INDEX(ConfermaInvestimenti,0,23))=0</f>
        <v>0</v>
      </c>
      <c r="X2" s="644"/>
      <c r="Y2" s="644"/>
      <c r="Z2" s="737" t="b" cm="1">
        <f t="array" aca="1" ref="Z2" ca="1">+OR(VALUE(INDEX(ConfermaInvestimenti,0,26)))&lt;0</f>
        <v>0</v>
      </c>
      <c r="AA2" s="644"/>
      <c r="AB2" s="644"/>
      <c r="AC2" s="737" t="b">
        <f ca="1">+SUM(Z:Z)-'PdI-riepilogo'!E4&lt;&gt;0</f>
        <v>0</v>
      </c>
      <c r="AD2" s="644"/>
      <c r="AE2" s="644"/>
      <c r="AF2" s="644"/>
      <c r="AG2" s="644"/>
      <c r="AN2"/>
      <c r="AT2"/>
      <c r="AX2"/>
    </row>
    <row r="3" spans="1:55" s="5" customFormat="1" ht="52.5" thickTop="1" thickBot="1">
      <c r="A3" s="645"/>
      <c r="D3" s="675" t="s">
        <v>31373</v>
      </c>
      <c r="E3" s="646"/>
      <c r="F3" s="646"/>
      <c r="G3" s="646"/>
      <c r="H3" s="646"/>
      <c r="I3" s="646"/>
      <c r="J3" s="646"/>
      <c r="K3" s="647"/>
      <c r="L3" s="647"/>
      <c r="M3" s="648"/>
      <c r="N3" s="649" t="s">
        <v>29606</v>
      </c>
      <c r="O3" s="650"/>
      <c r="Q3" s="644"/>
      <c r="S3" s="644"/>
      <c r="T3" s="644"/>
      <c r="U3" s="644"/>
      <c r="V3" s="989"/>
      <c r="W3" s="644"/>
      <c r="X3" s="644"/>
      <c r="Y3" s="644"/>
      <c r="Z3" s="644"/>
      <c r="AA3" s="644"/>
      <c r="AB3" s="644"/>
      <c r="AC3" s="644"/>
      <c r="AD3" s="644"/>
      <c r="AE3" s="644"/>
      <c r="AF3" s="644"/>
      <c r="AG3" s="644"/>
      <c r="AN3"/>
      <c r="AT3"/>
      <c r="AX3"/>
    </row>
    <row r="4" spans="1:55" s="644" customFormat="1" ht="24.75" customHeight="1" thickTop="1" thickBot="1">
      <c r="A4" s="651"/>
      <c r="B4" s="643"/>
      <c r="C4" s="643"/>
      <c r="D4" s="652"/>
      <c r="E4" s="1002"/>
      <c r="F4" s="653"/>
      <c r="G4" s="1002"/>
      <c r="H4" s="1002"/>
      <c r="I4" s="1002"/>
      <c r="J4" s="653"/>
      <c r="K4" s="654"/>
      <c r="L4" s="654"/>
      <c r="M4" s="655"/>
      <c r="N4" s="656" t="s">
        <v>31374</v>
      </c>
      <c r="O4" s="657"/>
      <c r="V4" s="989"/>
      <c r="AH4" s="658" t="s">
        <v>30379</v>
      </c>
      <c r="AI4" s="658"/>
      <c r="AK4" s="659"/>
      <c r="AN4"/>
      <c r="AT4"/>
      <c r="AX4"/>
      <c r="BC4" s="522"/>
    </row>
    <row r="5" spans="1:55" s="644" customFormat="1" ht="9.75" hidden="1" customHeight="1" thickBot="1">
      <c r="A5" s="651"/>
      <c r="B5" s="643"/>
      <c r="C5" s="643"/>
      <c r="D5" s="660"/>
      <c r="E5" s="1003"/>
      <c r="F5" s="661"/>
      <c r="G5" s="1003"/>
      <c r="H5" s="1602"/>
      <c r="I5" s="1602"/>
      <c r="J5" s="661"/>
      <c r="K5" s="662"/>
      <c r="L5" s="662"/>
      <c r="M5" s="1059"/>
      <c r="N5" s="663"/>
      <c r="O5" s="664"/>
      <c r="V5" s="989"/>
      <c r="AH5" s="665"/>
      <c r="AI5" s="665"/>
      <c r="AK5" s="659"/>
      <c r="AN5"/>
      <c r="AT5"/>
      <c r="AX5"/>
      <c r="BC5" s="125"/>
    </row>
    <row r="6" spans="1:55" s="129" customFormat="1" ht="52.35" customHeight="1" thickTop="1">
      <c r="A6" s="666" t="s">
        <v>24881</v>
      </c>
      <c r="B6" s="667" t="s">
        <v>24869</v>
      </c>
      <c r="C6" s="667" t="s">
        <v>25421</v>
      </c>
      <c r="D6" s="668" t="s">
        <v>194</v>
      </c>
      <c r="E6" s="668" t="s">
        <v>195</v>
      </c>
      <c r="F6" s="668" t="s">
        <v>196</v>
      </c>
      <c r="G6" s="668" t="s">
        <v>197</v>
      </c>
      <c r="H6" s="1603" t="s">
        <v>29761</v>
      </c>
      <c r="I6" s="1603" t="s">
        <v>26592</v>
      </c>
      <c r="J6" s="668" t="s">
        <v>198</v>
      </c>
      <c r="K6" s="669" t="s">
        <v>25422</v>
      </c>
      <c r="L6" s="670" t="s">
        <v>30495</v>
      </c>
      <c r="M6" s="1060" t="s">
        <v>26637</v>
      </c>
      <c r="N6" s="671" t="s">
        <v>22698</v>
      </c>
      <c r="O6" s="672" t="s">
        <v>22700</v>
      </c>
      <c r="P6" s="538" t="s">
        <v>24869</v>
      </c>
      <c r="Q6" s="539" t="s">
        <v>26544</v>
      </c>
      <c r="R6" s="539" t="s">
        <v>192</v>
      </c>
      <c r="S6" s="540" t="s">
        <v>193</v>
      </c>
      <c r="T6" s="539" t="s">
        <v>191</v>
      </c>
      <c r="U6" s="540" t="s">
        <v>194</v>
      </c>
      <c r="V6" s="541" t="s">
        <v>195</v>
      </c>
      <c r="W6" s="540" t="s">
        <v>196</v>
      </c>
      <c r="X6" s="541" t="s">
        <v>197</v>
      </c>
      <c r="Y6" s="541" t="s">
        <v>198</v>
      </c>
      <c r="Z6" s="541" t="s">
        <v>22698</v>
      </c>
      <c r="AA6" s="541"/>
      <c r="AB6" s="541" t="s">
        <v>22700</v>
      </c>
      <c r="AC6" s="541"/>
      <c r="AD6" s="541" t="s">
        <v>21</v>
      </c>
      <c r="AE6" s="1063" t="s">
        <v>230</v>
      </c>
      <c r="AF6" s="1121" t="s">
        <v>26592</v>
      </c>
      <c r="AG6" s="541" t="s">
        <v>24799</v>
      </c>
      <c r="AH6" s="673" t="s">
        <v>25428</v>
      </c>
      <c r="AI6" s="673" t="s">
        <v>25429</v>
      </c>
      <c r="AJ6" s="674" t="s">
        <v>25430</v>
      </c>
      <c r="AK6" s="673" t="s">
        <v>25431</v>
      </c>
      <c r="AL6" s="673" t="s">
        <v>25432</v>
      </c>
      <c r="AM6" s="673" t="s">
        <v>25433</v>
      </c>
      <c r="AN6"/>
      <c r="AO6" s="674" t="s">
        <v>30377</v>
      </c>
      <c r="AP6" s="674" t="s">
        <v>30378</v>
      </c>
      <c r="AQ6" s="835" t="s">
        <v>25426</v>
      </c>
      <c r="AR6" s="1607" t="s">
        <v>31418</v>
      </c>
      <c r="AS6" s="1607" t="s">
        <v>31419</v>
      </c>
      <c r="AT6"/>
      <c r="AU6" s="835" t="s">
        <v>25438</v>
      </c>
      <c r="AV6" s="674" t="s">
        <v>25439</v>
      </c>
      <c r="AW6" s="674" t="s">
        <v>25440</v>
      </c>
      <c r="AX6"/>
      <c r="AY6" s="835" t="s">
        <v>25427</v>
      </c>
      <c r="BC6" s="522"/>
    </row>
    <row r="7" spans="1:55" customFormat="1" ht="40.5" customHeight="1">
      <c r="A7" s="836">
        <f>+ROW(A7)-ROW($A$6)</f>
        <v>1</v>
      </c>
      <c r="B7" s="836">
        <f>+idato</f>
        <v>0</v>
      </c>
      <c r="C7" s="836">
        <f>+idgestore</f>
        <v>0</v>
      </c>
      <c r="D7" s="836">
        <f>+IFERROR(VLOOKUP(E7,TT_Tabelle_Riferimento!$G$127:$K$164,5,FALSE),0)</f>
        <v>0</v>
      </c>
      <c r="E7" s="1649"/>
      <c r="F7" s="836">
        <f>+IFERROR(VLOOKUP(G7,id_cat_imm,2,FALSE),0)</f>
        <v>0</v>
      </c>
      <c r="G7" s="1649"/>
      <c r="H7" s="1650"/>
      <c r="I7" s="2788" t="str">
        <f>+IFERROR(VLOOKUP(D7,TT_Tabelle_Riferimento!$D$127:$K$164,2,FALSE),"")</f>
        <v/>
      </c>
      <c r="J7" s="836">
        <v>2023</v>
      </c>
      <c r="K7" s="682"/>
      <c r="L7" s="1651"/>
      <c r="M7" s="682"/>
      <c r="N7" s="991"/>
      <c r="O7" s="991"/>
      <c r="P7" s="533">
        <f>idato</f>
        <v>0</v>
      </c>
      <c r="Q7" s="533">
        <f>idgestore</f>
        <v>0</v>
      </c>
      <c r="R7" s="533" t="s">
        <v>245</v>
      </c>
      <c r="S7" s="533">
        <v>0</v>
      </c>
      <c r="T7" s="533" t="s">
        <v>22698</v>
      </c>
      <c r="U7" s="533">
        <f>IFERROR(VLOOKUP(V7,TT_Tabelle_Riferimento!$G$127:$K$164,5,0),0)</f>
        <v>0</v>
      </c>
      <c r="V7" s="736">
        <f>IFERROR(VLOOKUP(E7,TT_Tabelle_Riferimento!$G$127:$K$164,1,0),0)</f>
        <v>0</v>
      </c>
      <c r="W7" s="533">
        <f>+IFERROR(VLOOKUP(X7,TT_Tabelle_Riferimento!$G$2:$H$6,2,0),0)</f>
        <v>0</v>
      </c>
      <c r="X7" s="534">
        <f>+IFERROR(VLOOKUP(G7,TT_Tabelle_Riferimento!$G$2:$H$6,1,0),0)</f>
        <v>0</v>
      </c>
      <c r="Y7" s="535">
        <f>J7</f>
        <v>2023</v>
      </c>
      <c r="Z7" s="695">
        <f>N7</f>
        <v>0</v>
      </c>
      <c r="AA7" s="633"/>
      <c r="AB7" s="992">
        <f ca="1">IFERROR(O7+(SUM(M:M)/SUM(Z:Z))*Z7,0)</f>
        <v>0</v>
      </c>
      <c r="AC7" s="633"/>
      <c r="AD7" s="1333"/>
      <c r="AE7" s="1064">
        <f>+H7</f>
        <v>0</v>
      </c>
      <c r="AF7" s="1064" t="str">
        <f>+I7</f>
        <v/>
      </c>
      <c r="AG7" s="537" t="s">
        <v>30371</v>
      </c>
      <c r="AH7" s="683">
        <f>+IFERROR(IP(Z7,U7,W7,2023,2025,ifl)-IP(K7,U7,W7,2023,2025,ifl),0)</f>
        <v>0</v>
      </c>
      <c r="AI7" s="683">
        <f>+IFERROR(FondoAmm(Z7,0,2023,U7,W7,2025,vite_regolatorie_new,ifl)-FondoAmm(K7,0,2023,U7,W7,2025,vite_regolatorie_new,ifl),0)</f>
        <v>0</v>
      </c>
      <c r="AJ7" s="683">
        <f>+IFERROR(QA(Z7,0,2023,U7,W7,2025,vite_regolatorie,ifl)-QA(K7,0,2023,U7,W7,2025,vite_regolatorie,ifl),0)</f>
        <v>0</v>
      </c>
      <c r="AK7" s="683">
        <f ca="1">+IFERROR(CFP_A(AB7,U7,W7,2023,2025,ifl)-CFP_A(L7,U7,W7,2023,2025,ifl),0)</f>
        <v>0</v>
      </c>
      <c r="AL7" s="683">
        <f ca="1">+IFERROR(FACFP(AB7,0,2023,U7,W7,2025,vite_regolatorie,ifl)-FACFP(L7,0,2023,U7,W7,2025,vite_regolatorie,ifl),0)</f>
        <v>0</v>
      </c>
      <c r="AM7" s="683">
        <f ca="1">+IFERROR(QA_CFP(AB7,0,2023,W7,U7,2025,vite_regolatorie,ifl)-QA_CFP(L7,0,2023,W7,U7,2025,vite_regolatorie,ifl),0)</f>
        <v>0</v>
      </c>
      <c r="AO7" s="688">
        <f>+IFERROR(IP(Z7,U7,W7,2023,2025,ifl)-FondoAmm(Z7,0,2023,U7,W7,2025,vite_regolatorie,ifl)-(IP(K7,U7,W7,2023,2025,ifl)-FondoAmm(K7,0,2023,U7,W7,2025,vite_regolatorie,ifl)),0)</f>
        <v>0</v>
      </c>
      <c r="AP7" s="688">
        <f ca="1">+IFERROR(CFP_A(AB7,U7,W7,2023,2025,ifl)-FACFP(AB7,0,2023,U7,W7,2025,vite_regolatorie,ifl)-(CFP_A(L7,U7,W7,2023,2025,ifl)-FACFP(L7,0,2023,U7,W7,2025,vite_regolatorie,ifl)),0)</f>
        <v>0</v>
      </c>
      <c r="AQ7" s="689">
        <f ca="1">IFERROR(1-AP7/AO7,0)</f>
        <v>0</v>
      </c>
      <c r="AR7" s="1768">
        <v>4.3125000000000004E-2</v>
      </c>
      <c r="AS7" s="1768">
        <v>7.5641061386614528E-2</v>
      </c>
      <c r="AU7" s="690">
        <f ca="1">+AJ7-AM7</f>
        <v>0</v>
      </c>
      <c r="AV7" s="688">
        <f ca="1">+AR7*AQ7*AO7</f>
        <v>0</v>
      </c>
      <c r="AW7" s="688">
        <f ca="1">+AS7*0.275*AQ7*AO7</f>
        <v>0</v>
      </c>
      <c r="AY7" s="690">
        <f ca="1">+AU7+AV7+AW7</f>
        <v>0</v>
      </c>
      <c r="BC7" s="522"/>
    </row>
  </sheetData>
  <sheetProtection algorithmName="SHA-512" hashValue="NAoiqewiwLAlvlAlfA903Xwu5XQ0DOHVNIeKoLkry8VSHjMw4kWR+TlU4R9DAgaRNNB84T4XvDTb6vVnGZOUiA==" saltValue="80Qp/9sTUddyXH1crOPtWA==" spinCount="100000" sheet="1" objects="1" scenarios="1"/>
  <customSheetViews>
    <customSheetView guid="{849F61E1-F6D3-48F4-A6FF-68F8FE186D80}" scale="85" showGridLines="0" hiddenRows="1">
      <pageMargins left="0.7" right="0.7" top="0.75" bottom="0.75" header="0.3" footer="0.3"/>
      <pageSetup paperSize="9" orientation="portrait" r:id="rId1"/>
    </customSheetView>
    <customSheetView guid="{83029BA9-344F-4783-B8F2-6704FB40A582}" scale="85" showGridLines="0" hiddenRows="1">
      <pageMargins left="0.7" right="0.7" top="0.75" bottom="0.75" header="0.3" footer="0.3"/>
      <pageSetup paperSize="9" orientation="portrait" r:id="rId2"/>
    </customSheetView>
  </customSheetViews>
  <dataValidations count="5">
    <dataValidation type="decimal" operator="greaterThanOrEqual" allowBlank="1" showInputMessage="1" showErrorMessage="1" sqref="K7:O7" xr:uid="{290D91FE-F615-4692-8A92-9F36EE433A51}">
      <formula1>0</formula1>
    </dataValidation>
    <dataValidation type="list" allowBlank="1" showInputMessage="1" showErrorMessage="1" sqref="E7" xr:uid="{8941E295-8D22-479F-82EA-49C4D08EE24C}">
      <formula1>cat_imm_nuovi_inv</formula1>
    </dataValidation>
    <dataValidation type="list" allowBlank="1" showInputMessage="1" showErrorMessage="1" sqref="G7" xr:uid="{B9A76F66-7B18-493F-B864-79D1CE774060}">
      <formula1>Cat_Immobilizzazione</formula1>
    </dataValidation>
    <dataValidation type="list" allowBlank="1" showInputMessage="1" showErrorMessage="1" sqref="J7" xr:uid="{662CFAE7-BCE0-4C54-B1B3-62FD47F439E5}">
      <formula1>"2023"</formula1>
    </dataValidation>
    <dataValidation type="list" allowBlank="1" showInputMessage="1" showErrorMessage="1" sqref="H7" xr:uid="{7EE564AB-3204-47C6-AD44-D25FA753F102}">
      <formula1>costo_sotteso</formula1>
    </dataValidation>
  </dataValidations>
  <pageMargins left="0.7" right="0.7" top="0.75" bottom="0.75" header="0.3" footer="0.3"/>
  <pageSetup paperSize="9" orientation="portrait" r:id="rId3"/>
  <drawing r:id="rId4"/>
  <legacyDrawing r:id="rId5"/>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Foglio18">
    <tabColor rgb="FFFDE9D9"/>
  </sheetPr>
  <dimension ref="A1:CI9"/>
  <sheetViews>
    <sheetView showGridLines="0" zoomScale="85" zoomScaleNormal="85" workbookViewId="0">
      <pane ySplit="6" topLeftCell="A7" activePane="bottomLeft" state="frozen"/>
      <selection pane="bottomLeft"/>
    </sheetView>
  </sheetViews>
  <sheetFormatPr defaultColWidth="9.42578125" defaultRowHeight="15"/>
  <cols>
    <col min="1" max="2" width="13.5703125" customWidth="1"/>
    <col min="3" max="3" width="34.42578125" customWidth="1"/>
    <col min="4" max="4" width="21" bestFit="1" customWidth="1"/>
    <col min="5" max="5" width="9.42578125" customWidth="1"/>
    <col min="6" max="6" width="26" style="565" customWidth="1"/>
    <col min="7" max="7" width="9.42578125" bestFit="1" customWidth="1"/>
    <col min="8" max="8" width="23.42578125" style="565" bestFit="1" customWidth="1"/>
    <col min="9" max="10" width="23.42578125" style="565" customWidth="1"/>
    <col min="11" max="11" width="11.42578125" bestFit="1" customWidth="1"/>
    <col min="12" max="15" width="15.5703125" style="838" customWidth="1"/>
    <col min="16" max="16" width="21" bestFit="1" customWidth="1"/>
    <col min="17" max="17" width="13.42578125" customWidth="1"/>
    <col min="18" max="26" width="15.5703125" customWidth="1"/>
    <col min="27" max="27" width="2.5703125" customWidth="1"/>
    <col min="28" max="36" width="15.5703125" customWidth="1"/>
    <col min="37" max="37" width="2.5703125" customWidth="1"/>
    <col min="38" max="46" width="15.5703125" customWidth="1"/>
    <col min="47" max="47" width="2.5703125" customWidth="1"/>
    <col min="48" max="56" width="15.5703125" customWidth="1"/>
    <col min="57" max="57" width="2.5703125" customWidth="1"/>
    <col min="58" max="66" width="15.5703125" customWidth="1"/>
    <col min="67" max="67" width="2.5703125" customWidth="1"/>
    <col min="68" max="76" width="15.5703125" customWidth="1"/>
  </cols>
  <sheetData>
    <row r="1" spans="1:87" s="235" customFormat="1" ht="25.35" customHeight="1" thickBot="1">
      <c r="A1" s="2449"/>
      <c r="B1" s="355"/>
      <c r="C1" s="2458" t="s">
        <v>26506</v>
      </c>
      <c r="D1" s="356"/>
      <c r="E1" s="356"/>
      <c r="F1" s="1455"/>
      <c r="G1" s="357"/>
      <c r="H1" s="2459" t="s">
        <v>29697</v>
      </c>
      <c r="I1" s="1553"/>
      <c r="J1" s="1553"/>
      <c r="K1" s="357"/>
      <c r="L1" s="365"/>
      <c r="M1" s="365"/>
      <c r="N1" s="365"/>
      <c r="O1" s="365"/>
      <c r="P1"/>
      <c r="Q1" s="125"/>
      <c r="R1" s="124"/>
      <c r="S1" s="124"/>
      <c r="T1" s="124"/>
      <c r="U1" s="124"/>
      <c r="V1" s="125"/>
      <c r="W1" s="125"/>
      <c r="X1" s="125"/>
      <c r="Y1" s="125"/>
      <c r="Z1" s="125"/>
      <c r="AA1" s="125"/>
      <c r="AB1" s="125"/>
      <c r="AC1" s="125"/>
      <c r="AD1" s="125"/>
      <c r="AE1" s="125"/>
      <c r="AF1" s="125"/>
      <c r="AG1" s="125"/>
      <c r="AH1" s="125"/>
      <c r="AI1" s="125"/>
      <c r="AJ1" s="124"/>
      <c r="AK1" s="124"/>
      <c r="AL1" s="124"/>
      <c r="AM1" s="124"/>
      <c r="AN1" s="125"/>
      <c r="AO1" s="125"/>
      <c r="AP1" s="125"/>
      <c r="AQ1" s="125"/>
      <c r="AR1" s="125"/>
      <c r="AS1" s="125"/>
      <c r="AT1" s="125"/>
      <c r="AU1" s="125"/>
      <c r="AV1" s="125"/>
      <c r="AW1" s="125"/>
      <c r="AX1" s="125"/>
      <c r="AY1" s="125"/>
      <c r="AZ1" s="125"/>
      <c r="BA1" s="124"/>
      <c r="BB1" s="124"/>
      <c r="BC1" s="124"/>
      <c r="BD1" s="125"/>
      <c r="BE1" s="125"/>
      <c r="BF1" s="125"/>
      <c r="BG1" s="125"/>
      <c r="BH1" s="125"/>
      <c r="BI1" s="125"/>
      <c r="BJ1" s="125"/>
      <c r="BK1" s="124"/>
      <c r="BL1" s="124"/>
      <c r="BM1" s="124"/>
      <c r="BN1" s="125"/>
      <c r="BO1" s="125"/>
      <c r="BP1" s="125"/>
      <c r="BQ1" s="125"/>
      <c r="BR1" s="125"/>
      <c r="BS1" s="125"/>
      <c r="BT1" s="125"/>
      <c r="BU1" s="124"/>
      <c r="BV1" s="124"/>
      <c r="BW1" s="124"/>
      <c r="BX1" s="125"/>
      <c r="CI1" s="124"/>
    </row>
    <row r="2" spans="1:87" ht="16.5" thickTop="1" thickBot="1">
      <c r="A2" s="358" t="s">
        <v>24991</v>
      </c>
      <c r="B2" s="359"/>
      <c r="C2" s="359"/>
      <c r="D2" s="359"/>
      <c r="E2" s="359"/>
      <c r="F2" s="359"/>
      <c r="G2" s="359"/>
      <c r="H2" s="359"/>
      <c r="I2" s="359"/>
      <c r="J2" s="359"/>
      <c r="K2" s="359"/>
      <c r="L2" s="366"/>
      <c r="M2" s="366"/>
      <c r="N2" s="366"/>
      <c r="O2" s="367"/>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CI2" s="5"/>
    </row>
    <row r="3" spans="1:87" ht="15.75" thickTop="1">
      <c r="A3" s="360" t="s">
        <v>26507</v>
      </c>
      <c r="B3" s="361"/>
      <c r="C3" s="361"/>
      <c r="D3" s="361"/>
      <c r="E3" s="361"/>
      <c r="F3" s="1456"/>
      <c r="G3" s="361"/>
      <c r="H3" s="1456"/>
      <c r="I3" s="1456"/>
      <c r="J3" s="1456"/>
      <c r="K3" s="361"/>
      <c r="L3" s="368"/>
      <c r="M3" s="368"/>
      <c r="N3" s="368"/>
      <c r="O3" s="369"/>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CI3" s="124"/>
    </row>
    <row r="4" spans="1:87" hidden="1">
      <c r="E4" s="362"/>
      <c r="G4" s="362"/>
      <c r="K4" s="362"/>
      <c r="L4" s="370"/>
      <c r="M4" s="370"/>
      <c r="N4" s="370"/>
      <c r="O4" s="370"/>
      <c r="Q4" s="125"/>
      <c r="R4" s="10"/>
      <c r="S4" s="10"/>
      <c r="T4" s="10"/>
      <c r="U4" s="10"/>
      <c r="V4" s="10"/>
      <c r="W4" s="10"/>
      <c r="X4" s="10"/>
      <c r="Y4" s="10"/>
      <c r="Z4" s="10"/>
      <c r="AA4" s="10"/>
      <c r="AB4" s="10"/>
      <c r="AC4" s="10"/>
      <c r="AD4" s="10"/>
      <c r="AE4" s="10"/>
      <c r="AF4" s="5"/>
      <c r="AG4" s="10"/>
      <c r="AH4" s="10"/>
      <c r="AI4" s="10"/>
      <c r="AJ4" s="10"/>
      <c r="AK4" s="10"/>
      <c r="AL4" s="10"/>
      <c r="AM4" s="10"/>
      <c r="AN4" s="10"/>
      <c r="AO4" s="10"/>
      <c r="AP4" s="10"/>
      <c r="AQ4" s="10"/>
      <c r="AR4" s="10"/>
      <c r="AS4" s="10"/>
      <c r="AT4" s="10"/>
      <c r="AU4" s="10"/>
      <c r="AV4" s="10"/>
      <c r="AW4" s="10"/>
      <c r="AX4" s="10"/>
      <c r="AY4" s="10"/>
      <c r="AZ4" s="10"/>
      <c r="BA4" s="10"/>
      <c r="BB4" s="10"/>
      <c r="BC4" s="10"/>
      <c r="BD4" s="5"/>
      <c r="BE4" s="10"/>
      <c r="BF4" s="10"/>
      <c r="BG4" s="10"/>
      <c r="BH4" s="10"/>
      <c r="BI4" s="10"/>
      <c r="BJ4" s="10"/>
      <c r="BK4" s="10"/>
      <c r="BL4" s="10"/>
      <c r="BM4" s="10"/>
      <c r="BN4" s="5"/>
      <c r="BO4" s="10"/>
      <c r="BP4" s="10"/>
      <c r="BQ4" s="10"/>
      <c r="BR4" s="10"/>
      <c r="BS4" s="10"/>
      <c r="BT4" s="10"/>
      <c r="BU4" s="10"/>
      <c r="BV4" s="10"/>
      <c r="BW4" s="10"/>
      <c r="BX4" s="5"/>
    </row>
    <row r="5" spans="1:87" ht="51">
      <c r="A5" s="363" t="s">
        <v>24862</v>
      </c>
      <c r="B5" s="363" t="s">
        <v>26643</v>
      </c>
      <c r="C5" s="363" t="s">
        <v>24890</v>
      </c>
      <c r="D5" s="363" t="s">
        <v>24863</v>
      </c>
      <c r="E5" s="364" t="s">
        <v>194</v>
      </c>
      <c r="F5" s="363" t="s">
        <v>195</v>
      </c>
      <c r="G5" s="364" t="s">
        <v>196</v>
      </c>
      <c r="H5" s="363" t="s">
        <v>197</v>
      </c>
      <c r="I5" s="2358" t="s">
        <v>30927</v>
      </c>
      <c r="J5" s="2358" t="s">
        <v>31219</v>
      </c>
      <c r="K5" s="364" t="s">
        <v>198</v>
      </c>
      <c r="L5" s="371" t="s">
        <v>22698</v>
      </c>
      <c r="M5" s="371" t="s">
        <v>22699</v>
      </c>
      <c r="N5" s="371" t="s">
        <v>22700</v>
      </c>
      <c r="O5" s="371" t="s">
        <v>22701</v>
      </c>
      <c r="P5" s="118" t="s">
        <v>24865</v>
      </c>
      <c r="Q5" s="118" t="s">
        <v>26508</v>
      </c>
      <c r="R5" s="120" t="s">
        <v>30270</v>
      </c>
      <c r="S5" s="120" t="s">
        <v>30271</v>
      </c>
      <c r="T5" s="120" t="s">
        <v>30272</v>
      </c>
      <c r="U5" s="120" t="s">
        <v>30273</v>
      </c>
      <c r="V5" s="120" t="s">
        <v>30274</v>
      </c>
      <c r="W5" s="120" t="s">
        <v>30275</v>
      </c>
      <c r="X5" s="120" t="s">
        <v>30276</v>
      </c>
      <c r="Y5" s="120" t="s">
        <v>30277</v>
      </c>
      <c r="Z5" s="120" t="s">
        <v>30278</v>
      </c>
      <c r="AA5" s="119" t="s">
        <v>24975</v>
      </c>
      <c r="AB5" s="121" t="s">
        <v>30279</v>
      </c>
      <c r="AC5" s="121" t="s">
        <v>30280</v>
      </c>
      <c r="AD5" s="121" t="s">
        <v>30281</v>
      </c>
      <c r="AE5" s="121" t="s">
        <v>30282</v>
      </c>
      <c r="AF5" s="121" t="s">
        <v>30283</v>
      </c>
      <c r="AG5" s="121" t="s">
        <v>30284</v>
      </c>
      <c r="AH5" s="121" t="s">
        <v>30285</v>
      </c>
      <c r="AI5" s="121" t="s">
        <v>30286</v>
      </c>
      <c r="AJ5" s="121" t="s">
        <v>30287</v>
      </c>
      <c r="AK5" s="119" t="s">
        <v>22732</v>
      </c>
      <c r="AL5" s="1766" t="s">
        <v>30288</v>
      </c>
      <c r="AM5" s="1766" t="s">
        <v>30289</v>
      </c>
      <c r="AN5" s="1766" t="s">
        <v>30290</v>
      </c>
      <c r="AO5" s="1766" t="s">
        <v>30291</v>
      </c>
      <c r="AP5" s="1766" t="s">
        <v>30292</v>
      </c>
      <c r="AQ5" s="1766" t="s">
        <v>30293</v>
      </c>
      <c r="AR5" s="1766" t="s">
        <v>30294</v>
      </c>
      <c r="AS5" s="1766" t="s">
        <v>30295</v>
      </c>
      <c r="AT5" s="1766" t="s">
        <v>30296</v>
      </c>
      <c r="AU5" s="119" t="s">
        <v>22731</v>
      </c>
      <c r="AV5" s="1766" t="s">
        <v>30297</v>
      </c>
      <c r="AW5" s="1766" t="s">
        <v>30298</v>
      </c>
      <c r="AX5" s="1766" t="s">
        <v>30299</v>
      </c>
      <c r="AY5" s="1766" t="s">
        <v>30300</v>
      </c>
      <c r="AZ5" s="1766" t="s">
        <v>30301</v>
      </c>
      <c r="BA5" s="1766" t="s">
        <v>30302</v>
      </c>
      <c r="BB5" s="1766" t="s">
        <v>30303</v>
      </c>
      <c r="BC5" s="1766" t="s">
        <v>30304</v>
      </c>
      <c r="BD5" s="1766" t="s">
        <v>30305</v>
      </c>
      <c r="BE5" s="119" t="s">
        <v>22731</v>
      </c>
      <c r="BF5" s="1766" t="s">
        <v>30306</v>
      </c>
      <c r="BG5" s="1766" t="s">
        <v>30307</v>
      </c>
      <c r="BH5" s="1766" t="s">
        <v>30308</v>
      </c>
      <c r="BI5" s="1766" t="s">
        <v>30309</v>
      </c>
      <c r="BJ5" s="1766" t="s">
        <v>30310</v>
      </c>
      <c r="BK5" s="1766" t="s">
        <v>30311</v>
      </c>
      <c r="BL5" s="1766" t="s">
        <v>30312</v>
      </c>
      <c r="BM5" s="1766" t="s">
        <v>30313</v>
      </c>
      <c r="BN5" s="1766" t="s">
        <v>30314</v>
      </c>
      <c r="BO5" s="119" t="s">
        <v>22731</v>
      </c>
      <c r="BP5" s="1766" t="s">
        <v>30315</v>
      </c>
      <c r="BQ5" s="1766" t="s">
        <v>30316</v>
      </c>
      <c r="BR5" s="1766" t="s">
        <v>30317</v>
      </c>
      <c r="BS5" s="1766" t="s">
        <v>30318</v>
      </c>
      <c r="BT5" s="1766" t="s">
        <v>30319</v>
      </c>
      <c r="BU5" s="1766" t="s">
        <v>30320</v>
      </c>
      <c r="BV5" s="1766" t="s">
        <v>30321</v>
      </c>
      <c r="BW5" s="1766" t="s">
        <v>30322</v>
      </c>
      <c r="BX5" s="1766" t="s">
        <v>30323</v>
      </c>
    </row>
    <row r="6" spans="1:87" s="77" customFormat="1" ht="25.35" customHeight="1">
      <c r="A6" s="828">
        <f>+idato</f>
        <v>0</v>
      </c>
      <c r="B6" s="828">
        <f>+idgestore</f>
        <v>0</v>
      </c>
      <c r="C6" s="1457"/>
      <c r="D6" s="1457"/>
      <c r="E6" s="1000" t="str">
        <f>+IFERROR(IF(K6&lt;2020,VLOOKUP(F6,id_cat_ces,2,FALSE),VLOOKUP(F6,TT_Tabelle_Riferimento!$G$127:$K$164,5,FALSE)),"")</f>
        <v/>
      </c>
      <c r="F6" s="998"/>
      <c r="G6" s="829" t="str">
        <f>+IFERROR(VLOOKUP(H6,id_cat_imm,2,FALSE),"")</f>
        <v/>
      </c>
      <c r="H6" s="998"/>
      <c r="I6" s="2359"/>
      <c r="J6" s="2359"/>
      <c r="K6" s="701"/>
      <c r="L6" s="717"/>
      <c r="M6" s="717"/>
      <c r="N6" s="717"/>
      <c r="O6" s="717"/>
      <c r="P6" s="1458" t="str">
        <f>+IF(D6="","",IFERROR(VLOOKUP(D6,Soggetti_proprietari!K:L,2,0),""))</f>
        <v/>
      </c>
      <c r="Q6" s="1459" t="b">
        <f>IF(ISNA(VLOOKUP(P6,Soggetti_proprietari!N:N,1,FALSE)),IF(OR(K6=1961,K6=1962),TRUE,FALSE),TRUE)</f>
        <v>0</v>
      </c>
      <c r="R6" s="1460">
        <f>+IF(OR($Q6,$E6=""),0,VLOOKUP($E6,IF($K6&lt;2020,ViteRegolatorieProp_old,ViteRegolatorieProp_new),VALUE(RIGHT(R$5,4))-2011))</f>
        <v>0</v>
      </c>
      <c r="S6" s="1460">
        <f>IF(OR($Q6,$E6=""),0,IFERROR(IP_PROP($L6,T6,V6,$E6,$G6,$K6,$R6,VALUE(RIGHT(S$5,4)),ifl),0))</f>
        <v>0</v>
      </c>
      <c r="T6" s="1461">
        <f>IF(OR($Q6,$E6=""),0,IFERROR(FondoAmm_prop($L6,$M6,$K6,$E6,$G6,VALUE(RIGHT(T$5,4)),IF($K6&lt;2020,ViteRegolatorieProp_old,ViteRegolatorieProp_new),ifl),0))</f>
        <v>0</v>
      </c>
      <c r="U6" s="1461">
        <f>+S6-T6</f>
        <v>0</v>
      </c>
      <c r="V6" s="1461">
        <f>IF(OR($Q6,$E6=""),0,IFERROR(QA_PROP($L6,$M6,$K6,$E6,$G6,VALUE(RIGHT(V$5,4)),IF($K6&lt;2020,ViteRegolatorieProp_old,ViteRegolatorieProp_new),ifl),0))</f>
        <v>0</v>
      </c>
      <c r="W6" s="1460">
        <f>IF(OR($Q6,$E6=""),0,IFERROR(IP_PROP($N6,X6,Z6,$E6,$G6,$K6,$R6,VALUE(RIGHT(W$5,4)),ifl),0))</f>
        <v>0</v>
      </c>
      <c r="X6" s="1461">
        <f>IF(OR($Q6,$E6=""),0,IFERROR(FondoAmm_prop($N6,$O6,$K6,$E6,$G6,VALUE(RIGHT(X$5,4)),IF($K6&lt;2020,ViteRegolatorieProp_old,ViteRegolatorieProp_new),ifl),0))</f>
        <v>0</v>
      </c>
      <c r="Y6" s="1461">
        <f>+W6-X6</f>
        <v>0</v>
      </c>
      <c r="Z6" s="1461">
        <f>IF(OR($Q6,$E6=""),0,IFERROR(QA_PROP($N6,$O6,$K6,$E6,$G6,VALUE(RIGHT(Z$5,4)),IF($K6&lt;2020,ViteRegolatorieProp_old,ViteRegolatorieProp_new),ifl),0))</f>
        <v>0</v>
      </c>
      <c r="AA6" s="1462">
        <f>+ROW(A6)-5</f>
        <v>1</v>
      </c>
      <c r="AB6" s="1460">
        <f>+IF(OR($Q6,$E6=""),0,VLOOKUP($E6,IF($K6&lt;2020,ViteRegolatorieProp_old,ViteRegolatorieProp_new),VALUE(RIGHT(AB$5,4))-2011))</f>
        <v>0</v>
      </c>
      <c r="AC6" s="1460">
        <f>IF(OR($Q6,$E6=""),0,IFERROR(IP_PROP($L6,AD6,AF6,$E6,$G6,$K6,$R6,VALUE(RIGHT(AC$5,4)),ifl),0))</f>
        <v>0</v>
      </c>
      <c r="AD6" s="1461">
        <f>IF(OR($Q6,$E6=""),0,IFERROR(FondoAmm_prop($L6,$M6,$K6,$E6,$G6,VALUE(RIGHT(AD$5,4)),IF($K6&lt;2020,ViteRegolatorieProp_old,ViteRegolatorieProp_new),ifl),0))</f>
        <v>0</v>
      </c>
      <c r="AE6" s="1461">
        <f>+AC6-AD6</f>
        <v>0</v>
      </c>
      <c r="AF6" s="1461">
        <f>IF(OR($Q6,$E6=""),0,IFERROR(QA_PROP($L6,$M6,$K6,$E6,$G6,VALUE(RIGHT(AF$5,4)),IF($K6&lt;2020,ViteRegolatorieProp_old,ViteRegolatorieProp_new),ifl),0))</f>
        <v>0</v>
      </c>
      <c r="AG6" s="1460">
        <f>IF(OR($Q6,$E6=""),0,IFERROR(IP_PROP($N6,AH6,AJ6,$E6,$G6,$K6,$R6,VALUE(RIGHT(AG$5,4)),ifl),0))</f>
        <v>0</v>
      </c>
      <c r="AH6" s="1461">
        <f>IF(OR($Q6,$E6=""),0,IFERROR(FondoAmm_prop($N6,$O6,$K6,$E6,$G6,VALUE(RIGHT(AH$5,4)),IF($K6&lt;2020,ViteRegolatorieProp_old,ViteRegolatorieProp_new),ifl),0))</f>
        <v>0</v>
      </c>
      <c r="AI6" s="1461">
        <f>+AG6-AH6</f>
        <v>0</v>
      </c>
      <c r="AJ6" s="1461">
        <f>IF(OR($Q6,$E6=""),0,IFERROR(QA_PROP($N6,$O6,$K6,$E6,$G6,VALUE(RIGHT(AJ$5,4)),IF($K6&lt;2020,ViteRegolatorieProp_old,ViteRegolatorieProp_new),ifl),0))</f>
        <v>0</v>
      </c>
      <c r="AK6" s="1462">
        <f>+ROW(M6)-5</f>
        <v>1</v>
      </c>
      <c r="AL6" s="1460">
        <f>+IF(OR($Q6,$E6=""),0,VLOOKUP($E6,IF($K6&lt;2020,ViteRegolatorieProp_old,ViteRegolatorieProp_new),VALUE(RIGHT(AL$5,4))-2011))</f>
        <v>0</v>
      </c>
      <c r="AM6" s="1460">
        <f>IF(OR($Q6,$E6=""),0,IFERROR(IP_PROP($L6,AN6,AP6,$E6,$G6,$K6,$R6,VALUE(RIGHT(AM$5,4)),ifl),0))</f>
        <v>0</v>
      </c>
      <c r="AN6" s="1461">
        <f>IF(OR($Q6,$E6=""),0,IFERROR(FondoAmm_prop($L6,$M6,$K6,$E6,$G6,VALUE(RIGHT(AN$5,4)),IF($K6&lt;2020,ViteRegolatorieProp_old,ViteRegolatorieProp_new),ifl),0))</f>
        <v>0</v>
      </c>
      <c r="AO6" s="1461">
        <f>+AM6-AN6</f>
        <v>0</v>
      </c>
      <c r="AP6" s="1461">
        <f>IF(OR($Q6,$E6=""),0,IFERROR(QA_PROP($L6,$M6,$K6,$E6,$G6,VALUE(RIGHT(AP$5,4)),IF($K6&lt;2020,ViteRegolatorieProp_old,ViteRegolatorieProp_new),ifl),0))</f>
        <v>0</v>
      </c>
      <c r="AQ6" s="1460">
        <f>IF(OR($Q6,$E6=""),0,IFERROR(IP_PROP($N6,AR6,AT6,$E6,$G6,$K6,$R6,VALUE(RIGHT(AQ$5,4)),ifl),0))</f>
        <v>0</v>
      </c>
      <c r="AR6" s="1461">
        <f>IF(OR($Q6,$E6=""),0,IFERROR(FondoAmm_prop($N6,$O6,$K6,$E6,$G6,VALUE(RIGHT(AR$5,4)),IF($K6&lt;2020,ViteRegolatorieProp_old,ViteRegolatorieProp_new),ifl),0))</f>
        <v>0</v>
      </c>
      <c r="AS6" s="1461">
        <f>+AQ6-AR6</f>
        <v>0</v>
      </c>
      <c r="AT6" s="1461">
        <f>IF(OR($Q6,$E6=""),0,IFERROR(QA_PROP($N6,$O6,$K6,$E6,$G6,VALUE(RIGHT(AT$5,4)),IF($K6&lt;2020,ViteRegolatorieProp_old,ViteRegolatorieProp_new),ifl),0))</f>
        <v>0</v>
      </c>
      <c r="AU6" s="1462">
        <f>+ROW(W6)-5</f>
        <v>1</v>
      </c>
      <c r="AV6" s="1460">
        <f>+IF(OR($Q6,$E6=""),0,VLOOKUP($E6,IF($K6&lt;2020,ViteRegolatorieProp_old,ViteRegolatorieProp_new),VALUE(RIGHT(AV$5,4))-2011))</f>
        <v>0</v>
      </c>
      <c r="AW6" s="1460">
        <f>IF(OR($Q6,$E6=""),0,IFERROR(IP_PROP($L6,AX6,AZ6,$E6,$G6,$K6,$R6,VALUE(RIGHT(AW$5,4)),ifl),0))</f>
        <v>0</v>
      </c>
      <c r="AX6" s="1461">
        <f>IF(OR($Q6,$E6=""),0,IFERROR(FondoAmm_prop($L6,$M6,$K6,$E6,$G6,VALUE(RIGHT(AX$5,4)),IF($K6&lt;2020,ViteRegolatorieProp_old,ViteRegolatorieProp_new),ifl),0))</f>
        <v>0</v>
      </c>
      <c r="AY6" s="1461">
        <f>+AW6-AX6</f>
        <v>0</v>
      </c>
      <c r="AZ6" s="1461">
        <f>IF(OR($Q6,$E6=""),0,IFERROR(QA_PROP($L6,$M6,$K6,$E6,$G6,VALUE(RIGHT(AZ$5,4)),IF($K6&lt;2020,ViteRegolatorieProp_old,ViteRegolatorieProp_new),ifl),0))</f>
        <v>0</v>
      </c>
      <c r="BA6" s="1460">
        <f>IF(OR($Q6,$E6=""),0,IFERROR(IP_PROP($N6,BB6,BD6,$E6,$G6,$K6,$R6,VALUE(RIGHT(BA$5,4)),ifl),0))</f>
        <v>0</v>
      </c>
      <c r="BB6" s="1461">
        <f>IF(OR($Q6,$E6=""),0,IFERROR(FondoAmm_prop($N6,$O6,$K6,$E6,$G6,VALUE(RIGHT(BB$5,4)),IF($K6&lt;2020,ViteRegolatorieProp_old,ViteRegolatorieProp_new),ifl),0))</f>
        <v>0</v>
      </c>
      <c r="BC6" s="1461">
        <f>+BA6-BB6</f>
        <v>0</v>
      </c>
      <c r="BD6" s="1461">
        <f>IF(OR($Q6,$E6=""),0,IFERROR(QA_PROP($N6,$O6,$K6,$E6,$G6,VALUE(RIGHT(BD$5,4)),IF($K6&lt;2020,ViteRegolatorieProp_old,ViteRegolatorieProp_new),ifl),0))</f>
        <v>0</v>
      </c>
      <c r="BE6" s="1462">
        <f>+ROW(AG6)-5</f>
        <v>1</v>
      </c>
      <c r="BF6" s="1460">
        <f>+IF(OR($Q6,$E6=""),0,VLOOKUP($E6,IF($K6&lt;2020,ViteRegolatorieProp_old,ViteRegolatorieProp_new),VALUE(RIGHT(BF$5,4))-2011))</f>
        <v>0</v>
      </c>
      <c r="BG6" s="1460">
        <f>IF(OR($Q6,$E6=""),0,IFERROR(IP_PROP($L6,BH6,BJ6,$E6,$G6,$K6,$R6,VALUE(RIGHT(BG$5,4)),ifl),0))</f>
        <v>0</v>
      </c>
      <c r="BH6" s="1461">
        <f>IF(OR($Q6,$E6=""),0,IFERROR(FondoAmm_prop($L6,$M6,$K6,$E6,$G6,VALUE(RIGHT(BH$5,4)),IF($K6&lt;2020,ViteRegolatorieProp_old,ViteRegolatorieProp_new),ifl),0))</f>
        <v>0</v>
      </c>
      <c r="BI6" s="1461">
        <f>+BG6-BH6</f>
        <v>0</v>
      </c>
      <c r="BJ6" s="1461">
        <f>IF(OR($Q6,$E6=""),0,IFERROR(QA_PROP($L6,$M6,$K6,$E6,$G6,VALUE(RIGHT(BJ$5,4)),IF($K6&lt;2020,ViteRegolatorieProp_old,ViteRegolatorieProp_new),ifl),0))</f>
        <v>0</v>
      </c>
      <c r="BK6" s="1460">
        <f>IF(OR($Q6,$E6=""),0,IFERROR(IP_PROP($N6,BL6,BN6,$E6,$G6,$K6,$R6,VALUE(RIGHT(BK$5,4)),ifl),0))</f>
        <v>0</v>
      </c>
      <c r="BL6" s="1461">
        <f>IF(OR($Q6,$E6=""),0,IFERROR(FondoAmm_prop($N6,$O6,$K6,$E6,$G6,VALUE(RIGHT(BL$5,4)),IF($K6&lt;2020,ViteRegolatorieProp_old,ViteRegolatorieProp_new),ifl),0))</f>
        <v>0</v>
      </c>
      <c r="BM6" s="1461">
        <f>+BK6-BL6</f>
        <v>0</v>
      </c>
      <c r="BN6" s="1461">
        <f>IF(OR($Q6,$E6=""),0,IFERROR(QA_PROP($N6,$O6,$K6,$E6,$G6,VALUE(RIGHT(BN$5,4)),IF($K6&lt;2020,ViteRegolatorieProp_old,ViteRegolatorieProp_new),ifl),0))</f>
        <v>0</v>
      </c>
      <c r="BO6" s="1462">
        <f>+ROW(AQ6)-5</f>
        <v>1</v>
      </c>
      <c r="BP6" s="1460">
        <f>+IF(OR($Q6,$E6=""),0,VLOOKUP($E6,IF($K6&lt;2020,ViteRegolatorieProp_old,ViteRegolatorieProp_new),VALUE(RIGHT(BP$5,4))-2011))</f>
        <v>0</v>
      </c>
      <c r="BQ6" s="1460">
        <f>IF(OR($Q6,$E6=""),0,IFERROR(IP_PROP($L6,BR6,BT6,$E6,$G6,$K6,$R6,VALUE(RIGHT(BQ$5,4)),ifl),0))</f>
        <v>0</v>
      </c>
      <c r="BR6" s="1461">
        <f>IF(OR($Q6,$E6=""),0,IFERROR(FondoAmm_prop($L6,$M6,$K6,$E6,$G6,VALUE(RIGHT(BR$5,4)),IF($K6&lt;2020,ViteRegolatorieProp_old,ViteRegolatorieProp_new),ifl),0))</f>
        <v>0</v>
      </c>
      <c r="BS6" s="1461">
        <f>+BQ6-BR6</f>
        <v>0</v>
      </c>
      <c r="BT6" s="1461">
        <f>IF(OR($Q6,$E6=""),0,IFERROR(QA_PROP($L6,$M6,$K6,$E6,$G6,VALUE(RIGHT(BT$5,4)),IF($K6&lt;2020,ViteRegolatorieProp_old,ViteRegolatorieProp_new),ifl),0))</f>
        <v>0</v>
      </c>
      <c r="BU6" s="1460">
        <f>IF(OR($Q6,$E6=""),0,IFERROR(IP_PROP($N6,BV6,BX6,$E6,$G6,$K6,$R6,VALUE(RIGHT(BU$5,4)),ifl),0))</f>
        <v>0</v>
      </c>
      <c r="BV6" s="1461">
        <f>IF(OR($Q6,$E6=""),0,IFERROR(FondoAmm_prop($N6,$O6,$K6,$E6,$G6,VALUE(RIGHT(BV$5,4)),IF($K6&lt;2020,ViteRegolatorieProp_old,ViteRegolatorieProp_new),ifl),0))</f>
        <v>0</v>
      </c>
      <c r="BW6" s="1461">
        <f>+BU6-BV6</f>
        <v>0</v>
      </c>
      <c r="BX6" s="1461">
        <f>IF(OR($Q6,$E6=""),0,IFERROR(QA_PROP($N6,$O6,$K6,$E6,$G6,VALUE(RIGHT(BX$5,4)),IF($K6&lt;2020,ViteRegolatorieProp_old,ViteRegolatorieProp_new),ifl),0))</f>
        <v>0</v>
      </c>
    </row>
    <row r="7" spans="1:87">
      <c r="N7"/>
      <c r="O7" s="1340"/>
      <c r="P7" s="1340"/>
      <c r="Q7" s="1340"/>
      <c r="R7" s="1340"/>
      <c r="S7" s="1340"/>
      <c r="T7" s="1340"/>
      <c r="U7" s="1340"/>
    </row>
    <row r="8" spans="1:87">
      <c r="N8"/>
      <c r="O8"/>
    </row>
    <row r="9" spans="1:87">
      <c r="N9" s="1339"/>
    </row>
  </sheetData>
  <sheetProtection algorithmName="SHA-512" hashValue="vTlSjaBw2CkPIj7k83kb9tjycEHkBQ0iXnoUBFKB0wamGiDU0bkHYDWpBQHIEmOwjrYr3LQTX/nrJscgNtcmhA==" saltValue="u83QMMa6Xc5kpCeaKXFQFw==" spinCount="100000" sheet="1" objects="1" scenarios="1"/>
  <customSheetViews>
    <customSheetView guid="{849F61E1-F6D3-48F4-A6FF-68F8FE186D80}" scale="85" showGridLines="0" hiddenRows="1">
      <pane ySplit="5" topLeftCell="A7" activePane="bottomLeft" state="frozen"/>
      <selection pane="bottomLeft"/>
      <pageMargins left="0.7" right="0.7" top="0.75" bottom="0.75" header="0.3" footer="0.3"/>
      <pageSetup paperSize="9" orientation="portrait" r:id="rId1"/>
    </customSheetView>
    <customSheetView guid="{1E1889AA-9C00-49BF-A07E-295053EABBEF}" scale="85" showGridLines="0">
      <selection activeCell="H13" sqref="H13"/>
      <pageMargins left="0.7" right="0.7" top="0.75" bottom="0.75" header="0.3" footer="0.3"/>
    </customSheetView>
    <customSheetView guid="{83029BA9-344F-4783-B8F2-6704FB40A582}" scale="85" showGridLines="0" hiddenRows="1">
      <pane ySplit="5" topLeftCell="A6" activePane="bottomLeft" state="frozen"/>
      <selection pane="bottomLeft"/>
      <pageMargins left="0.7" right="0.7" top="0.75" bottom="0.75" header="0.3" footer="0.3"/>
      <pageSetup paperSize="9" orientation="portrait" r:id="rId2"/>
    </customSheetView>
  </customSheetViews>
  <dataValidations count="6">
    <dataValidation type="whole" operator="greaterThanOrEqual" allowBlank="1" showInputMessage="1" showErrorMessage="1" sqref="K6" xr:uid="{00000000-0002-0000-1700-000002000000}">
      <formula1>1963</formula1>
    </dataValidation>
    <dataValidation type="list" allowBlank="1" showInputMessage="1" showErrorMessage="1" sqref="H6" xr:uid="{00000000-0002-0000-1700-000001000000}">
      <formula1>Cat_Immobilizzazione</formula1>
    </dataValidation>
    <dataValidation type="decimal" operator="greaterThanOrEqual" allowBlank="1" showInputMessage="1" showErrorMessage="1" sqref="L6:O6" xr:uid="{00000000-0002-0000-1700-000003000000}">
      <formula1>0</formula1>
    </dataValidation>
    <dataValidation type="list" allowBlank="1" showInputMessage="1" showErrorMessage="1" sqref="C6" xr:uid="{91D2AF48-F743-4FBC-B7A5-511AB065DE93}">
      <formula1>Tipologia_Proprietario</formula1>
    </dataValidation>
    <dataValidation type="list" allowBlank="1" showInputMessage="1" showErrorMessage="1" sqref="I6" xr:uid="{6ED1107B-ED4A-4358-97F5-F752A86A36B7}">
      <formula1>infrastrutture_new</formula1>
    </dataValidation>
    <dataValidation type="list" allowBlank="1" showInputMessage="1" showErrorMessage="1" sqref="J6" xr:uid="{0A83D14B-D751-4C04-8506-BE297D217455}">
      <formula1>" ,x"</formula1>
    </dataValidation>
  </dataValidations>
  <pageMargins left="0.7" right="0.7" top="0.75" bottom="0.75" header="0.3" footer="0.3"/>
  <pageSetup paperSize="9" orientation="portrait" r:id="rId3"/>
  <drawing r:id="rId4"/>
  <legacyDrawing r:id="rId5"/>
  <extLst>
    <ext xmlns:x14="http://schemas.microsoft.com/office/spreadsheetml/2009/9/main" uri="{CCE6A557-97BC-4b89-ADB6-D9C93CAAB3DF}">
      <x14:dataValidations xmlns:xm="http://schemas.microsoft.com/office/excel/2006/main" count="1">
        <x14:dataValidation type="list" allowBlank="1" showInputMessage="1" showErrorMessage="1" xr:uid="{5AA16225-F716-4201-A38B-2036B4804508}">
          <x14:formula1>
            <xm:f>IF(K6&lt;2020,CategorieCespiti,IF(K6&lt;2022,TT_Tabelle_Riferimento!$G$127:$G$164,cat_imm_nuovi_inv))</xm:f>
          </x14:formula1>
          <xm:sqref>F6</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A592B-35C0-4BB3-98AA-E86E46545D80}">
  <sheetPr codeName="Sheet8">
    <tabColor rgb="FFFDE9D9"/>
  </sheetPr>
  <dimension ref="A1:AR106"/>
  <sheetViews>
    <sheetView showGridLines="0" zoomScale="85" zoomScaleNormal="85" workbookViewId="0"/>
  </sheetViews>
  <sheetFormatPr defaultRowHeight="15"/>
  <cols>
    <col min="1" max="1" width="4" style="254" customWidth="1"/>
    <col min="2" max="2" width="2.42578125" style="254" customWidth="1"/>
    <col min="3" max="3" width="59.42578125" style="255" customWidth="1"/>
    <col min="4" max="4" width="14.28515625" style="255" bestFit="1" customWidth="1"/>
    <col min="5" max="6" width="15.7109375" style="255" customWidth="1"/>
    <col min="7" max="7" width="15.7109375" style="257" customWidth="1"/>
    <col min="8" max="8" width="15.7109375" style="255" customWidth="1"/>
    <col min="9" max="9" width="15.7109375" style="257" customWidth="1"/>
    <col min="10" max="10" width="15.7109375" style="255" customWidth="1"/>
    <col min="11" max="12" width="15.7109375" style="257" customWidth="1"/>
    <col min="13" max="13" width="15.7109375" style="255" customWidth="1"/>
    <col min="14" max="14" width="15.7109375" style="257" customWidth="1"/>
    <col min="15" max="15" width="15.7109375" style="255" customWidth="1"/>
    <col min="16" max="17" width="15.7109375" style="257" customWidth="1"/>
    <col min="18" max="18" width="15.7109375" style="255" customWidth="1"/>
    <col min="19" max="19" width="15.7109375" style="257" customWidth="1"/>
    <col min="20" max="20" width="15.7109375" style="255" customWidth="1"/>
    <col min="21" max="21" width="15.7109375" style="257" customWidth="1"/>
    <col min="22" max="22" width="15.7109375" style="255" customWidth="1"/>
    <col min="23" max="23" width="15.7109375" style="257" customWidth="1"/>
    <col min="24" max="24" width="15.7109375" style="255" customWidth="1"/>
    <col min="25" max="25" width="15.7109375" style="257" customWidth="1"/>
    <col min="26" max="26" width="15.7109375" style="255" customWidth="1"/>
    <col min="27" max="27" width="15.7109375" style="257" customWidth="1"/>
    <col min="28" max="44" width="15.7109375" style="255" customWidth="1"/>
  </cols>
  <sheetData>
    <row r="1" spans="1:44">
      <c r="S1" s="261"/>
    </row>
    <row r="2" spans="1:44" ht="20.25">
      <c r="C2" s="258"/>
      <c r="F2"/>
      <c r="G2"/>
      <c r="H2"/>
      <c r="I2"/>
    </row>
    <row r="3" spans="1:44">
      <c r="C3" s="260" t="s">
        <v>22739</v>
      </c>
      <c r="D3" s="260"/>
      <c r="E3" s="260"/>
      <c r="G3"/>
      <c r="H3"/>
      <c r="I3"/>
      <c r="J3" s="261"/>
      <c r="K3" s="261"/>
      <c r="L3" s="261"/>
      <c r="M3" s="261"/>
      <c r="N3" s="261"/>
      <c r="O3" s="261"/>
      <c r="P3" s="261"/>
      <c r="Q3" s="261"/>
      <c r="R3" s="261"/>
      <c r="S3" s="261"/>
      <c r="T3" s="261"/>
      <c r="U3" s="261"/>
      <c r="V3" s="261"/>
      <c r="W3" s="261"/>
      <c r="X3" s="261"/>
      <c r="Y3" s="261"/>
      <c r="Z3" s="261"/>
      <c r="AA3" s="261"/>
      <c r="AB3" s="261"/>
      <c r="AD3" s="261"/>
      <c r="AE3" s="261"/>
      <c r="AF3" s="261"/>
      <c r="AG3" s="261"/>
      <c r="AH3" s="261"/>
      <c r="AI3" s="261"/>
      <c r="AJ3" s="261"/>
      <c r="AK3" s="261"/>
      <c r="AL3" s="261"/>
      <c r="AM3" s="261"/>
      <c r="AN3" s="261"/>
      <c r="AO3" s="261"/>
      <c r="AP3" s="261"/>
      <c r="AQ3" s="261"/>
      <c r="AR3" s="261"/>
    </row>
    <row r="4" spans="1:44">
      <c r="A4" s="262"/>
      <c r="B4" s="262"/>
      <c r="C4" s="256"/>
      <c r="D4" s="256"/>
      <c r="E4" s="256"/>
      <c r="F4" s="262"/>
      <c r="G4"/>
      <c r="H4" s="262"/>
      <c r="I4" s="262"/>
      <c r="J4" s="262"/>
      <c r="K4" s="262"/>
      <c r="L4" s="261"/>
      <c r="M4" s="261"/>
      <c r="N4" s="261"/>
      <c r="O4" s="261"/>
      <c r="P4" s="261"/>
      <c r="Q4" s="261"/>
      <c r="R4" s="261"/>
      <c r="S4" s="261"/>
      <c r="T4" s="261"/>
      <c r="U4" s="261"/>
      <c r="V4" s="261"/>
      <c r="W4" s="261"/>
      <c r="X4" s="261"/>
      <c r="Y4" s="261"/>
      <c r="Z4" s="261"/>
      <c r="AA4" s="261"/>
      <c r="AB4" s="261"/>
      <c r="AD4" s="261"/>
      <c r="AE4" s="261"/>
      <c r="AF4" s="261"/>
      <c r="AG4" s="261"/>
      <c r="AH4" s="261"/>
      <c r="AI4" s="261"/>
      <c r="AJ4" s="261"/>
      <c r="AK4" s="261"/>
      <c r="AL4" s="261"/>
      <c r="AM4" s="261"/>
      <c r="AN4" s="261"/>
      <c r="AO4" s="261"/>
      <c r="AP4" s="261"/>
      <c r="AQ4" s="261"/>
      <c r="AR4" s="261"/>
    </row>
    <row r="5" spans="1:44">
      <c r="A5" s="262"/>
      <c r="B5" s="262"/>
      <c r="C5" s="256"/>
      <c r="D5" s="2502" t="s">
        <v>22740</v>
      </c>
      <c r="E5" s="2503" t="s">
        <v>30528</v>
      </c>
      <c r="F5" s="262"/>
      <c r="G5"/>
      <c r="H5"/>
      <c r="I5"/>
      <c r="J5"/>
      <c r="K5"/>
      <c r="L5"/>
      <c r="M5"/>
      <c r="N5"/>
      <c r="O5"/>
      <c r="P5"/>
      <c r="Q5"/>
      <c r="R5"/>
      <c r="S5"/>
      <c r="T5"/>
      <c r="U5"/>
      <c r="V5"/>
      <c r="W5"/>
      <c r="X5"/>
      <c r="Y5"/>
      <c r="Z5"/>
      <c r="AA5"/>
      <c r="AB5"/>
      <c r="AC5"/>
      <c r="AD5"/>
      <c r="AE5"/>
      <c r="AF5"/>
      <c r="AG5"/>
      <c r="AH5"/>
      <c r="AI5"/>
      <c r="AJ5"/>
      <c r="AK5"/>
      <c r="AL5"/>
      <c r="AM5"/>
      <c r="AN5"/>
      <c r="AO5"/>
      <c r="AP5"/>
      <c r="AQ5"/>
      <c r="AR5"/>
    </row>
    <row r="6" spans="1:44">
      <c r="B6" s="262"/>
      <c r="C6" s="2504" t="s">
        <v>30486</v>
      </c>
      <c r="D6" s="2505" t="s">
        <v>22742</v>
      </c>
      <c r="E6" s="2506"/>
      <c r="G6"/>
      <c r="H6"/>
      <c r="I6"/>
      <c r="L6" s="261"/>
      <c r="M6" s="261"/>
      <c r="N6" s="261"/>
      <c r="O6" s="261"/>
      <c r="P6" s="261"/>
      <c r="Q6" s="261"/>
      <c r="R6" s="261"/>
      <c r="S6" s="261"/>
      <c r="T6" s="261"/>
      <c r="U6" s="261"/>
      <c r="V6" s="261"/>
      <c r="W6" s="261"/>
      <c r="X6" s="261"/>
      <c r="Y6" s="261"/>
      <c r="Z6" s="261"/>
      <c r="AA6" s="261"/>
      <c r="AB6" s="261"/>
      <c r="AD6" s="261"/>
      <c r="AE6" s="261"/>
      <c r="AF6" s="261"/>
      <c r="AG6" s="261"/>
      <c r="AH6" s="261"/>
      <c r="AI6" s="261"/>
      <c r="AJ6" s="261"/>
      <c r="AK6" s="261"/>
      <c r="AL6" s="261"/>
      <c r="AM6" s="261"/>
      <c r="AN6" s="261"/>
      <c r="AO6" s="261"/>
      <c r="AP6" s="261"/>
      <c r="AQ6" s="261"/>
      <c r="AR6" s="261"/>
    </row>
    <row r="7" spans="1:44" ht="15.75">
      <c r="B7" s="262"/>
      <c r="C7" s="2504" t="s">
        <v>30596</v>
      </c>
      <c r="D7" s="2505" t="s">
        <v>24764</v>
      </c>
      <c r="E7" s="2506"/>
      <c r="G7"/>
      <c r="H7"/>
      <c r="I7"/>
      <c r="L7" s="261"/>
      <c r="M7" s="261"/>
      <c r="N7" s="261"/>
      <c r="O7" s="261"/>
      <c r="P7" s="261"/>
      <c r="Q7" s="261"/>
      <c r="R7" s="261"/>
      <c r="S7" s="261"/>
      <c r="T7" s="261"/>
      <c r="U7" s="261"/>
      <c r="V7" s="261"/>
      <c r="W7" s="261"/>
      <c r="X7" s="261"/>
      <c r="Y7" s="261"/>
      <c r="Z7" s="261"/>
      <c r="AA7" s="261"/>
      <c r="AB7" s="261"/>
      <c r="AD7" s="261"/>
      <c r="AE7" s="261"/>
      <c r="AF7" s="261"/>
      <c r="AG7" s="261"/>
      <c r="AH7" s="261"/>
      <c r="AI7" s="261"/>
      <c r="AJ7" s="261"/>
      <c r="AK7" s="261"/>
      <c r="AL7" s="261"/>
      <c r="AM7" s="261"/>
      <c r="AN7" s="261"/>
      <c r="AO7" s="261"/>
      <c r="AP7" s="261"/>
      <c r="AQ7" s="261"/>
      <c r="AR7" s="261"/>
    </row>
    <row r="8" spans="1:44" ht="45" customHeight="1">
      <c r="A8" s="261"/>
      <c r="B8" s="262"/>
      <c r="C8" s="2507"/>
      <c r="D8" s="2508" t="s">
        <v>22743</v>
      </c>
      <c r="E8" s="2509"/>
      <c r="F8" s="261"/>
      <c r="G8"/>
      <c r="H8" s="261"/>
      <c r="I8" s="261"/>
      <c r="J8" s="261"/>
      <c r="K8" s="261"/>
      <c r="L8" s="261"/>
      <c r="M8" s="261"/>
      <c r="N8" s="261"/>
      <c r="O8" s="261"/>
      <c r="P8" s="261"/>
      <c r="Q8" s="261"/>
      <c r="R8" s="261"/>
      <c r="S8" s="261"/>
      <c r="T8" s="261"/>
      <c r="U8" s="261"/>
      <c r="V8" s="261"/>
      <c r="W8" s="261"/>
      <c r="X8" s="261"/>
      <c r="Y8" s="261"/>
      <c r="Z8" s="261"/>
      <c r="AA8" s="261"/>
      <c r="AB8" s="261"/>
      <c r="AD8" s="261"/>
      <c r="AE8" s="261"/>
      <c r="AF8" s="261"/>
      <c r="AG8" s="261"/>
      <c r="AH8" s="261"/>
      <c r="AI8" s="261"/>
      <c r="AJ8" s="261"/>
      <c r="AK8" s="261"/>
      <c r="AL8" s="261"/>
      <c r="AM8" s="261"/>
      <c r="AN8" s="261"/>
      <c r="AO8" s="261"/>
      <c r="AP8" s="261"/>
      <c r="AQ8" s="261"/>
      <c r="AR8" s="261"/>
    </row>
    <row r="9" spans="1:44" ht="38.25">
      <c r="B9" s="262"/>
      <c r="C9" s="2510" t="s">
        <v>27043</v>
      </c>
      <c r="D9" s="2508" t="s">
        <v>22743</v>
      </c>
      <c r="E9" s="2509"/>
      <c r="G9"/>
      <c r="H9" s="261"/>
      <c r="I9" s="261"/>
      <c r="J9" s="261"/>
      <c r="K9" s="261"/>
      <c r="L9" s="261"/>
      <c r="M9" s="261"/>
      <c r="N9" s="261"/>
      <c r="O9" s="261"/>
      <c r="P9" s="261"/>
      <c r="Q9" s="261"/>
      <c r="R9" s="261"/>
      <c r="S9" s="261"/>
      <c r="T9" s="261"/>
      <c r="U9" s="261"/>
      <c r="V9" s="261"/>
      <c r="W9" s="261"/>
      <c r="X9" s="261"/>
      <c r="Y9" s="261"/>
      <c r="Z9" s="261"/>
      <c r="AA9" s="261"/>
      <c r="AB9" s="261"/>
      <c r="AD9" s="261"/>
      <c r="AE9" s="261"/>
      <c r="AF9" s="261"/>
      <c r="AG9" s="261"/>
      <c r="AH9" s="261"/>
      <c r="AI9" s="261"/>
      <c r="AJ9" s="261"/>
      <c r="AK9" s="261"/>
      <c r="AL9" s="261"/>
      <c r="AM9" s="261"/>
      <c r="AN9" s="261"/>
      <c r="AO9" s="261"/>
      <c r="AP9" s="261"/>
      <c r="AQ9" s="261"/>
      <c r="AR9" s="261"/>
    </row>
    <row r="10" spans="1:44" ht="29.25" customHeight="1">
      <c r="B10" s="262"/>
      <c r="C10" s="2511"/>
      <c r="D10" s="2505" t="s">
        <v>22742</v>
      </c>
      <c r="E10" s="2512"/>
      <c r="G10"/>
      <c r="H10"/>
      <c r="I10"/>
      <c r="J10" s="261"/>
      <c r="K10" s="261"/>
      <c r="L10" s="261"/>
      <c r="M10" s="261"/>
      <c r="N10" s="261"/>
      <c r="O10" s="261"/>
      <c r="P10" s="261"/>
      <c r="Q10" s="261"/>
      <c r="R10" s="261"/>
      <c r="S10" s="261"/>
      <c r="T10" s="261"/>
      <c r="U10" s="261"/>
      <c r="V10" s="261"/>
      <c r="W10" s="261"/>
      <c r="X10" s="261"/>
      <c r="Y10" s="261"/>
      <c r="Z10" s="261"/>
      <c r="AA10" s="261"/>
      <c r="AB10" s="261"/>
      <c r="AD10" s="261"/>
      <c r="AE10" s="261"/>
      <c r="AF10" s="261"/>
      <c r="AG10" s="261"/>
      <c r="AH10" s="261"/>
      <c r="AI10" s="261"/>
      <c r="AJ10" s="261"/>
      <c r="AK10" s="261"/>
      <c r="AL10" s="261"/>
      <c r="AM10" s="261"/>
      <c r="AN10" s="261"/>
      <c r="AO10" s="261"/>
      <c r="AP10" s="261"/>
      <c r="AQ10" s="261"/>
      <c r="AR10" s="261"/>
    </row>
    <row r="11" spans="1:44" ht="15.75">
      <c r="A11" s="261"/>
      <c r="B11" s="262"/>
      <c r="C11" s="2513" t="s">
        <v>30487</v>
      </c>
      <c r="D11" s="2505" t="s">
        <v>22742</v>
      </c>
      <c r="E11" s="2506"/>
      <c r="F11" s="261"/>
      <c r="G11"/>
      <c r="H11"/>
      <c r="I11"/>
      <c r="J11" s="261"/>
      <c r="K11" s="261"/>
      <c r="L11" s="261"/>
      <c r="M11" s="261"/>
      <c r="N11" s="261"/>
      <c r="O11" s="261"/>
      <c r="P11" s="261"/>
      <c r="Q11" s="261"/>
      <c r="R11" s="261"/>
      <c r="S11" s="261"/>
      <c r="T11" s="261"/>
      <c r="U11" s="261"/>
      <c r="V11" s="261"/>
      <c r="W11" s="261"/>
      <c r="X11" s="261"/>
      <c r="Y11" s="261"/>
      <c r="Z11" s="261"/>
      <c r="AA11" s="261"/>
      <c r="AB11" s="261"/>
      <c r="AD11" s="261"/>
      <c r="AE11" s="261"/>
      <c r="AF11" s="261"/>
      <c r="AG11" s="261"/>
      <c r="AH11" s="261"/>
      <c r="AI11" s="261"/>
      <c r="AJ11" s="261"/>
      <c r="AK11" s="261"/>
      <c r="AL11" s="261"/>
      <c r="AM11" s="261"/>
      <c r="AN11" s="261"/>
      <c r="AO11" s="261"/>
      <c r="AP11" s="261"/>
      <c r="AQ11" s="261"/>
      <c r="AR11" s="261"/>
    </row>
    <row r="12" spans="1:44" ht="54" customHeight="1">
      <c r="B12" s="262"/>
      <c r="C12" s="2514"/>
      <c r="D12" s="2508" t="s">
        <v>22743</v>
      </c>
      <c r="E12" s="2509"/>
      <c r="G12"/>
      <c r="H12"/>
      <c r="I12"/>
      <c r="J12" s="209"/>
      <c r="K12" s="261"/>
      <c r="L12" s="261"/>
      <c r="M12" s="209"/>
      <c r="N12" s="261"/>
      <c r="O12" s="209"/>
      <c r="P12" s="261"/>
      <c r="Q12" s="261"/>
      <c r="R12" s="209"/>
      <c r="S12" s="261"/>
      <c r="T12" s="209"/>
      <c r="U12" s="261"/>
      <c r="V12" s="209"/>
      <c r="W12" s="261"/>
      <c r="X12" s="209"/>
      <c r="Y12" s="261"/>
      <c r="Z12" s="209"/>
      <c r="AA12" s="261"/>
      <c r="AB12" s="209"/>
      <c r="AD12" s="261"/>
      <c r="AE12" s="261"/>
      <c r="AF12" s="261"/>
      <c r="AG12" s="261"/>
      <c r="AH12" s="261"/>
      <c r="AI12" s="261"/>
      <c r="AJ12" s="261"/>
      <c r="AK12" s="261"/>
      <c r="AL12" s="261"/>
      <c r="AM12" s="261"/>
      <c r="AN12" s="261"/>
      <c r="AO12" s="261"/>
      <c r="AP12" s="261"/>
      <c r="AQ12" s="261"/>
      <c r="AR12" s="261"/>
    </row>
    <row r="13" spans="1:44" ht="38.25">
      <c r="A13" s="261"/>
      <c r="B13" s="262"/>
      <c r="C13" s="2515" t="s">
        <v>27042</v>
      </c>
      <c r="D13" s="2516" t="s">
        <v>24802</v>
      </c>
      <c r="E13" s="2517"/>
      <c r="F13" s="261"/>
      <c r="G13"/>
      <c r="H13" s="261"/>
      <c r="I13" s="261"/>
      <c r="J13" s="261"/>
      <c r="K13" s="261"/>
      <c r="L13" s="261"/>
      <c r="M13" s="261"/>
      <c r="N13" s="261"/>
      <c r="O13" s="261"/>
      <c r="P13" s="261"/>
      <c r="Q13" s="261"/>
      <c r="R13" s="261"/>
      <c r="S13" s="261"/>
      <c r="T13" s="261"/>
      <c r="U13" s="261"/>
      <c r="V13" s="261"/>
      <c r="W13" s="261"/>
      <c r="X13" s="261"/>
      <c r="Y13" s="261"/>
      <c r="Z13" s="261"/>
      <c r="AA13" s="261"/>
      <c r="AB13" s="261"/>
      <c r="AD13" s="261"/>
      <c r="AE13" s="261"/>
      <c r="AF13" s="261"/>
      <c r="AG13" s="261"/>
      <c r="AH13" s="261"/>
      <c r="AI13" s="261"/>
      <c r="AJ13" s="261"/>
      <c r="AK13" s="261"/>
      <c r="AL13" s="261"/>
      <c r="AM13" s="261"/>
      <c r="AN13" s="261"/>
      <c r="AO13" s="261"/>
      <c r="AP13" s="261"/>
      <c r="AQ13" s="261"/>
      <c r="AR13" s="261"/>
    </row>
    <row r="14" spans="1:44">
      <c r="A14" s="261"/>
      <c r="B14" s="262"/>
      <c r="C14" s="2518" t="s">
        <v>22876</v>
      </c>
      <c r="D14" s="2505" t="s">
        <v>24765</v>
      </c>
      <c r="E14" s="2519"/>
      <c r="F14" s="261"/>
      <c r="G14"/>
      <c r="H14" s="261"/>
      <c r="I14" s="261"/>
      <c r="J14" s="261"/>
      <c r="K14" s="261"/>
      <c r="L14" s="261"/>
      <c r="M14" s="261"/>
      <c r="N14" s="261"/>
      <c r="O14" s="261"/>
      <c r="P14" s="261"/>
      <c r="Q14" s="261"/>
      <c r="R14" s="261"/>
      <c r="S14" s="261"/>
      <c r="T14" s="261"/>
      <c r="U14" s="261"/>
      <c r="V14" s="261"/>
      <c r="W14" s="261"/>
      <c r="X14" s="261"/>
      <c r="Y14" s="261"/>
      <c r="Z14" s="261"/>
      <c r="AA14" s="261"/>
      <c r="AB14" s="261"/>
      <c r="AD14" s="261"/>
      <c r="AE14" s="261"/>
      <c r="AF14" s="261"/>
      <c r="AG14" s="261"/>
      <c r="AH14" s="261"/>
      <c r="AI14" s="261"/>
      <c r="AJ14" s="261"/>
      <c r="AK14" s="261"/>
      <c r="AL14" s="261"/>
      <c r="AM14" s="261"/>
      <c r="AN14" s="261"/>
      <c r="AO14" s="261"/>
      <c r="AP14" s="261"/>
      <c r="AQ14" s="261"/>
      <c r="AR14" s="261"/>
    </row>
    <row r="15" spans="1:44">
      <c r="A15" s="261"/>
      <c r="B15" s="262"/>
      <c r="C15" s="2520" t="s">
        <v>173</v>
      </c>
      <c r="D15" s="2521" t="s">
        <v>22874</v>
      </c>
      <c r="E15" s="2522"/>
      <c r="F15" s="261"/>
      <c r="G15"/>
      <c r="H15" s="715"/>
      <c r="I15" s="1013"/>
      <c r="J15" s="1013"/>
      <c r="K15" s="261"/>
      <c r="L15" s="261"/>
      <c r="M15" s="261"/>
      <c r="N15" s="261"/>
      <c r="O15" s="261"/>
      <c r="P15" s="261"/>
      <c r="Q15" s="261"/>
      <c r="R15" s="261"/>
      <c r="S15" s="261"/>
      <c r="T15" s="261"/>
      <c r="U15" s="261"/>
      <c r="V15" s="261"/>
      <c r="W15" s="261"/>
      <c r="X15" s="261"/>
      <c r="Y15" s="261"/>
      <c r="Z15" s="261"/>
      <c r="AA15" s="261"/>
      <c r="AB15" s="261"/>
      <c r="AD15" s="261"/>
      <c r="AE15" s="261"/>
      <c r="AF15" s="261"/>
      <c r="AG15" s="261"/>
      <c r="AH15" s="261"/>
      <c r="AI15" s="261"/>
      <c r="AJ15" s="261"/>
      <c r="AK15" s="261"/>
      <c r="AL15" s="261"/>
      <c r="AM15" s="261"/>
      <c r="AN15" s="261"/>
      <c r="AO15" s="261"/>
      <c r="AP15" s="261"/>
      <c r="AQ15" s="261"/>
      <c r="AR15" s="261"/>
    </row>
    <row r="16" spans="1:44">
      <c r="A16" s="1013"/>
      <c r="B16" s="1013"/>
      <c r="C16" s="1013"/>
      <c r="D16" s="1013"/>
      <c r="F16" s="1013"/>
      <c r="G16" s="1013"/>
      <c r="H16" s="1013"/>
      <c r="I16" s="1013"/>
      <c r="J16" s="1013"/>
      <c r="K16" s="1013"/>
      <c r="L16" s="1013"/>
      <c r="M16" s="1013"/>
      <c r="N16" s="1013"/>
      <c r="O16" s="1013"/>
      <c r="P16" s="1013"/>
      <c r="Q16" s="1013"/>
      <c r="R16" s="1013"/>
      <c r="S16" s="1013"/>
      <c r="T16" s="1013"/>
      <c r="U16" s="1013"/>
      <c r="V16" s="1013"/>
      <c r="W16" s="1013"/>
      <c r="X16" s="1013"/>
      <c r="Y16" s="1013"/>
      <c r="Z16" s="1013"/>
      <c r="AA16" s="1013"/>
      <c r="AB16" s="1013"/>
      <c r="AC16" s="1013"/>
      <c r="AD16" s="1013"/>
      <c r="AE16" s="1013"/>
      <c r="AF16" s="1013"/>
      <c r="AG16" s="1013"/>
      <c r="AH16" s="1013"/>
      <c r="AI16" s="1013"/>
      <c r="AJ16" s="1013"/>
      <c r="AK16" s="1013"/>
      <c r="AL16" s="1013"/>
      <c r="AM16" s="1013"/>
      <c r="AN16" s="1013"/>
      <c r="AO16" s="1013"/>
      <c r="AP16" s="1013"/>
      <c r="AQ16" s="1013"/>
      <c r="AR16" s="1013"/>
    </row>
    <row r="17" spans="1:44">
      <c r="A17" s="1013"/>
      <c r="B17" s="1013"/>
      <c r="C17" s="1013"/>
      <c r="D17" s="1013"/>
      <c r="E17" s="1013"/>
      <c r="F17" s="1013"/>
      <c r="G17" s="1013"/>
      <c r="H17" s="1013"/>
      <c r="I17" s="1013"/>
      <c r="J17" s="1013"/>
      <c r="K17" s="1013"/>
      <c r="L17" s="1013"/>
      <c r="M17" s="1013"/>
      <c r="N17" s="1013"/>
      <c r="O17" s="1013"/>
      <c r="P17" s="1013"/>
      <c r="Q17" s="1013"/>
      <c r="R17" s="1013"/>
      <c r="S17" s="1013"/>
      <c r="T17" s="1013"/>
      <c r="U17" s="1013"/>
      <c r="V17" s="1013"/>
      <c r="W17" s="1013"/>
      <c r="X17" s="1013"/>
      <c r="Y17" s="1013"/>
      <c r="Z17" s="1013"/>
      <c r="AA17" s="1013"/>
      <c r="AB17" s="1013"/>
      <c r="AC17" s="1013"/>
      <c r="AD17" s="1013"/>
      <c r="AE17" s="1013"/>
      <c r="AF17" s="1013"/>
      <c r="AG17" s="1013"/>
      <c r="AH17" s="1013"/>
      <c r="AI17" s="1013"/>
      <c r="AJ17" s="1013"/>
      <c r="AK17" s="1013"/>
      <c r="AL17" s="1013"/>
      <c r="AM17" s="1013"/>
      <c r="AN17" s="1013"/>
      <c r="AO17" s="1013"/>
      <c r="AP17" s="1013"/>
      <c r="AQ17" s="1013"/>
      <c r="AR17" s="1013"/>
    </row>
    <row r="18" spans="1:44">
      <c r="A18"/>
      <c r="B18"/>
      <c r="C18"/>
      <c r="D18" s="1013"/>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row>
    <row r="19" spans="1:44">
      <c r="A19" s="1013"/>
      <c r="B19" s="1013"/>
      <c r="C19" s="1013"/>
      <c r="D19" s="1013"/>
      <c r="E19" s="1013"/>
      <c r="F19" s="1013"/>
      <c r="G19" s="1013"/>
      <c r="H19" s="1013"/>
      <c r="I19" s="1013"/>
      <c r="J19" s="1013"/>
      <c r="K19" s="1013"/>
      <c r="L19" s="1013"/>
      <c r="M19" s="1013"/>
      <c r="N19" s="1013"/>
      <c r="O19" s="1013"/>
      <c r="P19" s="1013"/>
      <c r="Q19" s="1013"/>
      <c r="R19" s="1013"/>
      <c r="S19" s="1013"/>
      <c r="T19" s="1013"/>
      <c r="U19" s="1013"/>
      <c r="V19" s="1013"/>
      <c r="W19" s="1013"/>
      <c r="X19" s="1013"/>
      <c r="Y19" s="1013"/>
      <c r="Z19" s="1013"/>
      <c r="AA19" s="1013"/>
      <c r="AB19" s="1013"/>
      <c r="AC19" s="1013"/>
      <c r="AD19" s="1013"/>
      <c r="AE19" s="1013"/>
      <c r="AF19" s="1013"/>
      <c r="AG19" s="1013"/>
      <c r="AH19" s="1013"/>
      <c r="AI19" s="1013"/>
      <c r="AJ19" s="1013"/>
      <c r="AK19" s="1013"/>
      <c r="AL19" s="1013"/>
      <c r="AM19" s="1013"/>
      <c r="AN19" s="1013"/>
      <c r="AO19" s="1013"/>
      <c r="AP19" s="1013"/>
      <c r="AQ19" s="1013"/>
      <c r="AR19" s="1013"/>
    </row>
    <row r="20" spans="1:44">
      <c r="C20" s="260" t="s">
        <v>25130</v>
      </c>
      <c r="D20" s="260"/>
      <c r="E20" s="260"/>
      <c r="F20" s="260"/>
      <c r="G20" s="260"/>
      <c r="H20" s="260"/>
      <c r="I20" s="260"/>
      <c r="J20" s="260"/>
      <c r="K20" s="260"/>
      <c r="L20" s="260"/>
      <c r="M20" s="260"/>
      <c r="N20" s="260"/>
      <c r="O20" s="260"/>
      <c r="P20" s="260"/>
      <c r="Q20" s="260"/>
      <c r="R20" s="260"/>
      <c r="S20" s="260"/>
      <c r="T20" s="260"/>
      <c r="U20" s="260"/>
      <c r="V20" s="260"/>
      <c r="W20" s="260"/>
      <c r="X20" s="260"/>
      <c r="Y20" s="260"/>
      <c r="Z20" s="260"/>
      <c r="AA20" s="260"/>
      <c r="AB20" s="260"/>
      <c r="AC20" s="260"/>
      <c r="AD20" s="260"/>
      <c r="AE20" s="260"/>
      <c r="AF20" s="260"/>
      <c r="AG20" s="260"/>
      <c r="AH20" s="260"/>
      <c r="AI20" s="260"/>
      <c r="AJ20" s="260"/>
      <c r="AK20" s="260"/>
      <c r="AL20" s="260"/>
      <c r="AM20" s="260"/>
      <c r="AN20" s="260"/>
      <c r="AO20" s="260"/>
      <c r="AP20" s="260"/>
      <c r="AQ20" s="260"/>
      <c r="AR20" s="260"/>
    </row>
    <row r="21" spans="1:44">
      <c r="A21" s="377"/>
      <c r="B21" s="377"/>
      <c r="C21" s="378"/>
      <c r="D21" s="2523" t="s">
        <v>22740</v>
      </c>
      <c r="E21" s="2524" t="s">
        <v>29767</v>
      </c>
      <c r="F21" s="2524" t="s">
        <v>29768</v>
      </c>
      <c r="G21" s="2524" t="s">
        <v>29769</v>
      </c>
      <c r="H21" s="2524" t="s">
        <v>29770</v>
      </c>
      <c r="I21" s="2524" t="s">
        <v>29771</v>
      </c>
      <c r="J21" s="2524" t="s">
        <v>29772</v>
      </c>
      <c r="K21" s="2524" t="s">
        <v>29773</v>
      </c>
      <c r="L21" s="2524" t="s">
        <v>29774</v>
      </c>
      <c r="M21" s="2524" t="s">
        <v>29775</v>
      </c>
      <c r="N21" s="2524" t="s">
        <v>29776</v>
      </c>
      <c r="O21" s="2524" t="s">
        <v>29777</v>
      </c>
      <c r="P21" s="2524" t="s">
        <v>29778</v>
      </c>
      <c r="Q21" s="2524" t="s">
        <v>29779</v>
      </c>
      <c r="R21" s="2524" t="s">
        <v>29780</v>
      </c>
      <c r="S21" s="2524" t="s">
        <v>29781</v>
      </c>
      <c r="T21" s="2524" t="s">
        <v>29782</v>
      </c>
      <c r="U21" s="2524" t="s">
        <v>29783</v>
      </c>
      <c r="V21" s="2524" t="s">
        <v>29784</v>
      </c>
      <c r="W21" s="2524" t="s">
        <v>29785</v>
      </c>
      <c r="X21" s="2524" t="s">
        <v>29786</v>
      </c>
      <c r="Y21" s="2524" t="s">
        <v>29787</v>
      </c>
      <c r="Z21" s="2524" t="s">
        <v>29788</v>
      </c>
      <c r="AA21" s="2524" t="s">
        <v>29789</v>
      </c>
      <c r="AB21" s="2524" t="s">
        <v>29790</v>
      </c>
      <c r="AC21" s="2524" t="s">
        <v>29791</v>
      </c>
      <c r="AD21" s="2524" t="s">
        <v>29792</v>
      </c>
      <c r="AE21" s="2524" t="s">
        <v>29793</v>
      </c>
      <c r="AF21" s="2524" t="s">
        <v>29794</v>
      </c>
      <c r="AG21" s="2524" t="s">
        <v>29795</v>
      </c>
      <c r="AH21" s="2524" t="s">
        <v>29796</v>
      </c>
      <c r="AI21" s="2524" t="s">
        <v>29797</v>
      </c>
      <c r="AJ21" s="2524" t="s">
        <v>29798</v>
      </c>
      <c r="AK21" s="2524" t="s">
        <v>29799</v>
      </c>
      <c r="AL21" s="2524" t="s">
        <v>29800</v>
      </c>
      <c r="AM21" s="2524" t="s">
        <v>29801</v>
      </c>
      <c r="AN21" s="2524" t="s">
        <v>29802</v>
      </c>
      <c r="AO21" s="2524" t="s">
        <v>30388</v>
      </c>
      <c r="AP21" s="2524" t="s">
        <v>30389</v>
      </c>
      <c r="AQ21" s="2524" t="s">
        <v>30390</v>
      </c>
      <c r="AR21" s="2524" t="s">
        <v>30391</v>
      </c>
    </row>
    <row r="22" spans="1:44" ht="15.75">
      <c r="C22" s="2513" t="s">
        <v>26995</v>
      </c>
      <c r="D22" s="2505" t="s">
        <v>22742</v>
      </c>
      <c r="E22" s="2525"/>
      <c r="F22" s="2525"/>
      <c r="G22" s="2525"/>
      <c r="H22" s="2525"/>
      <c r="I22" s="2525"/>
      <c r="J22" s="2525"/>
      <c r="K22" s="2525"/>
      <c r="L22" s="2525"/>
      <c r="M22" s="2525"/>
      <c r="N22" s="2525"/>
      <c r="O22" s="2525"/>
      <c r="P22" s="2525"/>
      <c r="Q22" s="2525"/>
      <c r="R22" s="2525"/>
      <c r="S22" s="2525"/>
      <c r="T22" s="2525"/>
      <c r="U22" s="2525"/>
      <c r="V22" s="2525"/>
      <c r="W22" s="2525"/>
      <c r="X22" s="2525"/>
      <c r="Y22" s="2525"/>
      <c r="Z22" s="2525"/>
      <c r="AA22" s="2525"/>
      <c r="AB22" s="2525"/>
      <c r="AC22" s="2525"/>
      <c r="AD22" s="2525"/>
      <c r="AE22" s="2525"/>
      <c r="AF22" s="2525"/>
      <c r="AG22" s="2525"/>
      <c r="AH22" s="2525"/>
      <c r="AI22" s="2525"/>
      <c r="AJ22" s="2525"/>
      <c r="AK22" s="2525"/>
      <c r="AL22" s="2525"/>
      <c r="AM22" s="2525"/>
      <c r="AN22" s="2525"/>
      <c r="AO22" s="2525"/>
      <c r="AP22" s="2525"/>
      <c r="AQ22" s="2525"/>
      <c r="AR22" s="2525"/>
    </row>
    <row r="23" spans="1:44" ht="15.75">
      <c r="C23" s="2513" t="s">
        <v>26994</v>
      </c>
      <c r="D23" s="2505" t="s">
        <v>22742</v>
      </c>
      <c r="E23" s="2525"/>
      <c r="F23" s="2525"/>
      <c r="G23" s="2525"/>
      <c r="H23" s="2525"/>
      <c r="I23" s="2525"/>
      <c r="J23" s="2525"/>
      <c r="K23" s="2525"/>
      <c r="L23" s="2525"/>
      <c r="M23" s="2525"/>
      <c r="N23" s="2525"/>
      <c r="O23" s="2525"/>
      <c r="P23" s="2525"/>
      <c r="Q23" s="2525"/>
      <c r="R23" s="2525"/>
      <c r="S23" s="2525"/>
      <c r="T23" s="2525"/>
      <c r="U23" s="2525"/>
      <c r="V23" s="2525"/>
      <c r="W23" s="2525"/>
      <c r="X23" s="2525"/>
      <c r="Y23" s="2525"/>
      <c r="Z23" s="2525"/>
      <c r="AA23" s="2525"/>
      <c r="AB23" s="2525"/>
      <c r="AC23" s="2525"/>
      <c r="AD23" s="2525"/>
      <c r="AE23" s="2525"/>
      <c r="AF23" s="2525"/>
      <c r="AG23" s="2525"/>
      <c r="AH23" s="2525"/>
      <c r="AI23" s="2525"/>
      <c r="AJ23" s="2525"/>
      <c r="AK23" s="2525"/>
      <c r="AL23" s="2525"/>
      <c r="AM23" s="2525"/>
      <c r="AN23" s="2525"/>
      <c r="AO23" s="2525"/>
      <c r="AP23" s="2525"/>
      <c r="AQ23" s="2525"/>
      <c r="AR23" s="2525"/>
    </row>
    <row r="24" spans="1:44">
      <c r="C24" s="2513" t="s">
        <v>24820</v>
      </c>
      <c r="D24" s="2505" t="s">
        <v>22742</v>
      </c>
      <c r="E24" s="2525"/>
      <c r="F24" s="2525"/>
      <c r="G24" s="2525"/>
      <c r="H24" s="2525"/>
      <c r="I24" s="2525"/>
      <c r="J24" s="2525"/>
      <c r="K24" s="2525"/>
      <c r="L24" s="2525"/>
      <c r="M24" s="2525"/>
      <c r="N24" s="2525"/>
      <c r="O24" s="2525"/>
      <c r="P24" s="2525"/>
      <c r="Q24" s="2525"/>
      <c r="R24" s="2525"/>
      <c r="S24" s="2525"/>
      <c r="T24" s="2525"/>
      <c r="U24" s="2525"/>
      <c r="V24" s="2525"/>
      <c r="W24" s="2525"/>
      <c r="X24" s="2525"/>
      <c r="Y24" s="2525"/>
      <c r="Z24" s="2525"/>
      <c r="AA24" s="2525"/>
      <c r="AB24" s="2525"/>
      <c r="AC24" s="2525"/>
      <c r="AD24" s="2525"/>
      <c r="AE24" s="2525"/>
      <c r="AF24" s="2525"/>
      <c r="AG24" s="2525"/>
      <c r="AH24" s="2525"/>
      <c r="AI24" s="2525"/>
      <c r="AJ24" s="2525"/>
      <c r="AK24" s="2525"/>
      <c r="AL24" s="2525"/>
      <c r="AM24" s="2525"/>
      <c r="AN24" s="2525"/>
      <c r="AO24" s="2525"/>
      <c r="AP24" s="2525"/>
      <c r="AQ24" s="2525"/>
      <c r="AR24" s="2525"/>
    </row>
    <row r="25" spans="1:44" ht="16.5">
      <c r="A25" s="929"/>
      <c r="C25" s="2526" t="s">
        <v>28853</v>
      </c>
      <c r="D25" s="2505" t="s">
        <v>22742</v>
      </c>
      <c r="E25" s="2525"/>
      <c r="F25" s="2525"/>
      <c r="G25" s="2525"/>
      <c r="H25" s="2525"/>
      <c r="I25" s="2525"/>
      <c r="J25" s="2525"/>
      <c r="K25" s="2525"/>
      <c r="L25" s="2525"/>
      <c r="M25" s="2525"/>
      <c r="N25" s="2525"/>
      <c r="O25" s="2525"/>
      <c r="P25" s="2525"/>
      <c r="Q25" s="2525"/>
      <c r="R25" s="2525"/>
      <c r="S25" s="2525"/>
      <c r="T25" s="2525"/>
      <c r="U25" s="2525"/>
      <c r="V25" s="2525"/>
      <c r="W25" s="2525"/>
      <c r="X25" s="2525"/>
      <c r="Y25" s="2525"/>
      <c r="Z25" s="2525"/>
      <c r="AA25" s="2525"/>
      <c r="AB25" s="2525"/>
      <c r="AC25" s="2525"/>
      <c r="AD25" s="2525"/>
      <c r="AE25" s="2525"/>
      <c r="AF25" s="2525"/>
      <c r="AG25" s="2525"/>
      <c r="AH25" s="2525"/>
      <c r="AI25" s="2525"/>
      <c r="AJ25" s="2525"/>
      <c r="AK25" s="2525"/>
      <c r="AL25" s="2525"/>
      <c r="AM25" s="2525"/>
      <c r="AN25" s="2525"/>
      <c r="AO25" s="2525"/>
      <c r="AP25" s="2525"/>
      <c r="AQ25" s="2525"/>
      <c r="AR25" s="2525"/>
    </row>
    <row r="26" spans="1:44" ht="15.75">
      <c r="C26" s="2513" t="s">
        <v>24741</v>
      </c>
      <c r="D26" s="2505" t="s">
        <v>22742</v>
      </c>
      <c r="E26" s="2525"/>
      <c r="F26" s="2525"/>
      <c r="G26" s="2525"/>
      <c r="H26" s="2525"/>
      <c r="I26" s="2525"/>
      <c r="J26" s="2525"/>
      <c r="K26" s="2525"/>
      <c r="L26" s="2525"/>
      <c r="M26" s="2525"/>
      <c r="N26" s="2525"/>
      <c r="O26" s="2525"/>
      <c r="P26" s="2525"/>
      <c r="Q26" s="2525"/>
      <c r="R26" s="2525"/>
      <c r="S26" s="2525"/>
      <c r="T26" s="2525"/>
      <c r="U26" s="2525"/>
      <c r="V26" s="2525"/>
      <c r="W26" s="2525"/>
      <c r="X26" s="2525"/>
      <c r="Y26" s="2525"/>
      <c r="Z26" s="2525"/>
      <c r="AA26" s="2525"/>
      <c r="AB26" s="2525"/>
      <c r="AC26" s="2525"/>
      <c r="AD26" s="2525"/>
      <c r="AE26" s="2525"/>
      <c r="AF26" s="2525"/>
      <c r="AG26" s="2525"/>
      <c r="AH26" s="2525"/>
      <c r="AI26" s="2525"/>
      <c r="AJ26" s="2525"/>
      <c r="AK26" s="2525"/>
      <c r="AL26" s="2525"/>
      <c r="AM26" s="2525"/>
      <c r="AN26" s="2525"/>
      <c r="AO26" s="2525"/>
      <c r="AP26" s="2525"/>
      <c r="AQ26" s="2525"/>
      <c r="AR26" s="2525"/>
    </row>
    <row r="27" spans="1:44" ht="16.5">
      <c r="C27" s="2526" t="s">
        <v>28854</v>
      </c>
      <c r="D27" s="2505" t="s">
        <v>22742</v>
      </c>
      <c r="E27" s="2525"/>
      <c r="F27" s="2525"/>
      <c r="G27" s="2525"/>
      <c r="H27" s="2525"/>
      <c r="I27" s="2525"/>
      <c r="J27" s="2525"/>
      <c r="K27" s="2525"/>
      <c r="L27" s="2525"/>
      <c r="M27" s="2525"/>
      <c r="N27" s="2525"/>
      <c r="O27" s="2525"/>
      <c r="P27" s="2525"/>
      <c r="Q27" s="2525"/>
      <c r="R27" s="2525"/>
      <c r="S27" s="2525"/>
      <c r="T27" s="2525"/>
      <c r="U27" s="2525"/>
      <c r="V27" s="2525"/>
      <c r="W27" s="2525"/>
      <c r="X27" s="2525"/>
      <c r="Y27" s="2525"/>
      <c r="Z27" s="2525"/>
      <c r="AA27" s="2525"/>
      <c r="AB27" s="2525"/>
      <c r="AC27" s="2525"/>
      <c r="AD27" s="2525"/>
      <c r="AE27" s="2525"/>
      <c r="AF27" s="2525"/>
      <c r="AG27" s="2525"/>
      <c r="AH27" s="2525"/>
      <c r="AI27" s="2525"/>
      <c r="AJ27" s="2525"/>
      <c r="AK27" s="2525"/>
      <c r="AL27" s="2525"/>
      <c r="AM27" s="2525"/>
      <c r="AN27" s="2525"/>
      <c r="AO27" s="2525"/>
      <c r="AP27" s="2525"/>
      <c r="AQ27" s="2525"/>
      <c r="AR27" s="2525"/>
    </row>
    <row r="28" spans="1:44" ht="15.75">
      <c r="C28" s="2513" t="s">
        <v>28855</v>
      </c>
      <c r="D28" s="2505" t="s">
        <v>22742</v>
      </c>
      <c r="E28" s="2525"/>
      <c r="F28" s="2525"/>
      <c r="G28" s="2525"/>
      <c r="H28" s="2525"/>
      <c r="I28" s="2525"/>
      <c r="J28" s="2525"/>
      <c r="K28" s="2525"/>
      <c r="L28" s="2525"/>
      <c r="M28" s="2525"/>
      <c r="N28" s="2525"/>
      <c r="O28" s="2525"/>
      <c r="P28" s="2525"/>
      <c r="Q28" s="2525"/>
      <c r="R28" s="2525"/>
      <c r="S28" s="2525"/>
      <c r="T28" s="2525"/>
      <c r="U28" s="2525"/>
      <c r="V28" s="2525"/>
      <c r="W28" s="2525"/>
      <c r="X28" s="2525"/>
      <c r="Y28" s="2525"/>
      <c r="Z28" s="2525"/>
      <c r="AA28" s="2525"/>
      <c r="AB28" s="2525"/>
      <c r="AC28" s="2525"/>
      <c r="AD28" s="2525"/>
      <c r="AE28" s="2525"/>
      <c r="AF28" s="2525"/>
      <c r="AG28" s="2525"/>
      <c r="AH28" s="2525"/>
      <c r="AI28" s="2525"/>
      <c r="AJ28" s="2525"/>
      <c r="AK28" s="2525"/>
      <c r="AL28" s="2525"/>
      <c r="AM28" s="2525"/>
      <c r="AN28" s="2525"/>
      <c r="AO28" s="2525"/>
      <c r="AP28" s="2525"/>
      <c r="AQ28" s="2525"/>
      <c r="AR28" s="2525"/>
    </row>
    <row r="29" spans="1:44" ht="15.75">
      <c r="C29" s="2527" t="s">
        <v>26996</v>
      </c>
      <c r="D29" s="2528" t="s">
        <v>22742</v>
      </c>
      <c r="E29" s="2529"/>
      <c r="F29" s="2529"/>
      <c r="G29" s="2529"/>
      <c r="H29" s="2529"/>
      <c r="I29" s="2529"/>
      <c r="J29" s="2529"/>
      <c r="K29" s="2529"/>
      <c r="L29" s="2529"/>
      <c r="M29" s="2529"/>
      <c r="N29" s="2529"/>
      <c r="O29" s="2529"/>
      <c r="P29" s="2529"/>
      <c r="Q29" s="2529"/>
      <c r="R29" s="2529"/>
      <c r="S29" s="2529"/>
      <c r="T29" s="2529"/>
      <c r="U29" s="2529"/>
      <c r="V29" s="2529"/>
      <c r="W29" s="2529"/>
      <c r="X29" s="2529"/>
      <c r="Y29" s="2529"/>
      <c r="Z29" s="2529"/>
      <c r="AA29" s="2529"/>
      <c r="AB29" s="2529"/>
      <c r="AC29" s="2529"/>
      <c r="AD29" s="2529"/>
      <c r="AE29" s="2529"/>
      <c r="AF29" s="2529"/>
      <c r="AG29" s="2529"/>
      <c r="AH29" s="2529"/>
      <c r="AI29" s="2529"/>
      <c r="AJ29" s="2529"/>
      <c r="AK29" s="2529"/>
      <c r="AL29" s="2529"/>
      <c r="AM29" s="2529"/>
      <c r="AN29" s="2529"/>
      <c r="AO29" s="2529"/>
      <c r="AP29" s="2529"/>
      <c r="AQ29" s="2529"/>
      <c r="AR29" s="2529"/>
    </row>
    <row r="30" spans="1:44">
      <c r="C30" s="2513" t="s">
        <v>24821</v>
      </c>
      <c r="D30" s="2505" t="s">
        <v>22742</v>
      </c>
      <c r="E30" s="2525"/>
      <c r="F30" s="2525"/>
      <c r="G30" s="2525"/>
      <c r="H30" s="2525"/>
      <c r="I30" s="2525"/>
      <c r="J30" s="2525"/>
      <c r="K30" s="2530"/>
      <c r="L30" s="2530"/>
      <c r="M30" s="2530"/>
      <c r="N30" s="2530"/>
      <c r="O30" s="2530"/>
      <c r="P30" s="2530"/>
      <c r="Q30" s="2530"/>
      <c r="R30" s="2530"/>
      <c r="S30" s="2530"/>
      <c r="T30" s="2530"/>
      <c r="U30" s="2530"/>
      <c r="V30" s="2530"/>
      <c r="W30" s="2530"/>
      <c r="X30" s="2530"/>
      <c r="Y30" s="2530"/>
      <c r="Z30" s="2530"/>
      <c r="AA30" s="2530"/>
      <c r="AB30" s="2530"/>
      <c r="AC30" s="2530"/>
      <c r="AD30" s="2530"/>
      <c r="AE30" s="2530"/>
      <c r="AF30" s="2530"/>
      <c r="AG30" s="2530"/>
      <c r="AH30" s="2530"/>
      <c r="AI30" s="2530"/>
      <c r="AJ30" s="2530"/>
      <c r="AK30" s="2530"/>
      <c r="AL30" s="2530"/>
      <c r="AM30" s="2530"/>
      <c r="AN30" s="2530"/>
      <c r="AO30" s="2530"/>
      <c r="AP30" s="2530"/>
      <c r="AQ30" s="2530"/>
      <c r="AR30" s="2530"/>
    </row>
    <row r="31" spans="1:44">
      <c r="C31" s="2513" t="s">
        <v>24822</v>
      </c>
      <c r="D31" s="2505" t="s">
        <v>22742</v>
      </c>
      <c r="E31" s="2525"/>
      <c r="F31" s="2525"/>
      <c r="G31" s="2525"/>
      <c r="H31" s="2525"/>
      <c r="I31" s="2525"/>
      <c r="J31" s="2525"/>
      <c r="K31" s="2530"/>
      <c r="L31" s="2530"/>
      <c r="M31" s="2530"/>
      <c r="N31" s="2530"/>
      <c r="O31" s="2530"/>
      <c r="P31" s="2530"/>
      <c r="Q31" s="2530"/>
      <c r="R31" s="2530"/>
      <c r="S31" s="2530"/>
      <c r="T31" s="2530"/>
      <c r="U31" s="2530"/>
      <c r="V31" s="2530"/>
      <c r="W31" s="2530"/>
      <c r="X31" s="2530"/>
      <c r="Y31" s="2530"/>
      <c r="Z31" s="2530"/>
      <c r="AA31" s="2530"/>
      <c r="AB31" s="2530"/>
      <c r="AC31" s="2530"/>
      <c r="AD31" s="2530"/>
      <c r="AE31" s="2530"/>
      <c r="AF31" s="2530"/>
      <c r="AG31" s="2530"/>
      <c r="AH31" s="2530"/>
      <c r="AI31" s="2530"/>
      <c r="AJ31" s="2530"/>
      <c r="AK31" s="2530"/>
      <c r="AL31" s="2530"/>
      <c r="AM31" s="2530"/>
      <c r="AN31" s="2530"/>
      <c r="AO31" s="2530"/>
      <c r="AP31" s="2530"/>
      <c r="AQ31" s="2530"/>
      <c r="AR31" s="2530"/>
    </row>
    <row r="32" spans="1:44">
      <c r="C32" s="2513" t="s">
        <v>24823</v>
      </c>
      <c r="D32" s="2505" t="s">
        <v>22742</v>
      </c>
      <c r="E32" s="2525"/>
      <c r="F32" s="2525"/>
      <c r="G32" s="2525"/>
      <c r="H32" s="2525"/>
      <c r="I32" s="2525"/>
      <c r="J32" s="2525"/>
      <c r="K32" s="2530"/>
      <c r="L32" s="2530"/>
      <c r="M32" s="2530"/>
      <c r="N32" s="2530"/>
      <c r="O32" s="2530"/>
      <c r="P32" s="2530"/>
      <c r="Q32" s="2530"/>
      <c r="R32" s="2530"/>
      <c r="S32" s="2530"/>
      <c r="T32" s="2530"/>
      <c r="U32" s="2530"/>
      <c r="V32" s="2530"/>
      <c r="W32" s="2530"/>
      <c r="X32" s="2530"/>
      <c r="Y32" s="2530"/>
      <c r="Z32" s="2530"/>
      <c r="AA32" s="2530"/>
      <c r="AB32" s="2530"/>
      <c r="AC32" s="2530"/>
      <c r="AD32" s="2530"/>
      <c r="AE32" s="2530"/>
      <c r="AF32" s="2530"/>
      <c r="AG32" s="2530"/>
      <c r="AH32" s="2530"/>
      <c r="AI32" s="2530"/>
      <c r="AJ32" s="2530"/>
      <c r="AK32" s="2530"/>
      <c r="AL32" s="2530"/>
      <c r="AM32" s="2530"/>
      <c r="AN32" s="2530"/>
      <c r="AO32" s="2530"/>
      <c r="AP32" s="2530"/>
      <c r="AQ32" s="2530"/>
      <c r="AR32" s="2530"/>
    </row>
    <row r="33" spans="1:44" ht="15.75">
      <c r="C33" s="2513" t="s">
        <v>24824</v>
      </c>
      <c r="D33" s="2505" t="s">
        <v>22742</v>
      </c>
      <c r="E33" s="2525"/>
      <c r="F33" s="2525"/>
      <c r="G33" s="2525"/>
      <c r="H33" s="2525"/>
      <c r="I33" s="2525"/>
      <c r="J33" s="2525"/>
      <c r="K33" s="2530"/>
      <c r="L33" s="2530"/>
      <c r="M33" s="2530"/>
      <c r="N33" s="2530"/>
      <c r="O33" s="2530"/>
      <c r="P33" s="2530"/>
      <c r="Q33" s="2530"/>
      <c r="R33" s="2530"/>
      <c r="S33" s="2530"/>
      <c r="T33" s="2530"/>
      <c r="U33" s="2530"/>
      <c r="V33" s="2530"/>
      <c r="W33" s="2530"/>
      <c r="X33" s="2530"/>
      <c r="Y33" s="2530"/>
      <c r="Z33" s="2530"/>
      <c r="AA33" s="2530"/>
      <c r="AB33" s="2530"/>
      <c r="AC33" s="2530"/>
      <c r="AD33" s="2530"/>
      <c r="AE33" s="2530"/>
      <c r="AF33" s="2530"/>
      <c r="AG33" s="2530"/>
      <c r="AH33" s="2530"/>
      <c r="AI33" s="2530"/>
      <c r="AJ33" s="2530"/>
      <c r="AK33" s="2530"/>
      <c r="AL33" s="2530"/>
      <c r="AM33" s="2530"/>
      <c r="AN33" s="2530"/>
      <c r="AO33" s="2530"/>
      <c r="AP33" s="2530"/>
      <c r="AQ33" s="2530"/>
      <c r="AR33" s="2530"/>
    </row>
    <row r="34" spans="1:44">
      <c r="C34" s="2520" t="s">
        <v>29729</v>
      </c>
      <c r="D34" s="2528" t="s">
        <v>22742</v>
      </c>
      <c r="E34" s="2531"/>
      <c r="F34" s="2531"/>
      <c r="G34" s="2531"/>
      <c r="H34" s="2531"/>
      <c r="I34" s="2531"/>
      <c r="J34" s="2531"/>
      <c r="K34" s="2531"/>
      <c r="L34" s="2531"/>
      <c r="M34" s="2531"/>
      <c r="N34" s="2531"/>
      <c r="O34" s="2531"/>
      <c r="P34" s="2531"/>
      <c r="Q34" s="2531"/>
      <c r="R34" s="2531"/>
      <c r="S34" s="2531"/>
      <c r="T34" s="2531"/>
      <c r="U34" s="2531"/>
      <c r="V34" s="2531"/>
      <c r="W34" s="2531"/>
      <c r="X34" s="2531"/>
      <c r="Y34" s="2531"/>
      <c r="Z34" s="2531"/>
      <c r="AA34" s="2531"/>
      <c r="AB34" s="2531"/>
      <c r="AC34" s="2531"/>
      <c r="AD34" s="2531"/>
      <c r="AE34" s="2531"/>
      <c r="AF34" s="2531"/>
      <c r="AG34" s="2531"/>
      <c r="AH34" s="2531"/>
      <c r="AI34" s="2531"/>
      <c r="AJ34" s="2531"/>
      <c r="AK34" s="2531"/>
      <c r="AL34" s="2531"/>
      <c r="AM34" s="2531"/>
      <c r="AN34" s="2531"/>
      <c r="AO34" s="2531"/>
      <c r="AP34" s="2531"/>
      <c r="AQ34" s="2531"/>
      <c r="AR34" s="2531"/>
    </row>
    <row r="35" spans="1:44" ht="15.75">
      <c r="C35" s="2504" t="s">
        <v>24771</v>
      </c>
      <c r="D35" s="2505" t="s">
        <v>22742</v>
      </c>
      <c r="E35" s="2532"/>
      <c r="F35" s="2532"/>
      <c r="G35" s="2532"/>
      <c r="H35" s="2532"/>
      <c r="I35" s="2532"/>
      <c r="J35" s="2532"/>
      <c r="K35" s="2533"/>
      <c r="L35" s="2533"/>
      <c r="M35" s="2533"/>
      <c r="N35" s="2533"/>
      <c r="O35" s="2533"/>
      <c r="P35" s="2533"/>
      <c r="Q35" s="2533"/>
      <c r="R35" s="2533"/>
      <c r="S35" s="2533"/>
      <c r="T35" s="2533"/>
      <c r="U35" s="2533"/>
      <c r="V35" s="2533"/>
      <c r="W35" s="2533"/>
      <c r="X35" s="2533"/>
      <c r="Y35" s="2533"/>
      <c r="Z35" s="2533"/>
      <c r="AA35" s="2533"/>
      <c r="AB35" s="2533"/>
      <c r="AC35" s="2533"/>
      <c r="AD35" s="2533"/>
      <c r="AE35" s="2533"/>
      <c r="AF35" s="2533"/>
      <c r="AG35" s="2533"/>
      <c r="AH35" s="2533"/>
      <c r="AI35" s="2533"/>
      <c r="AJ35" s="2533"/>
      <c r="AK35" s="2533"/>
      <c r="AL35" s="2533"/>
      <c r="AM35" s="2533"/>
      <c r="AN35" s="2533"/>
      <c r="AO35" s="2533"/>
      <c r="AP35" s="2533"/>
      <c r="AQ35" s="2533"/>
      <c r="AR35" s="2533"/>
    </row>
    <row r="36" spans="1:44">
      <c r="C36" s="2504" t="s">
        <v>24772</v>
      </c>
      <c r="D36" s="2505" t="s">
        <v>22742</v>
      </c>
      <c r="E36" s="2532"/>
      <c r="F36" s="2532"/>
      <c r="G36" s="2532"/>
      <c r="H36" s="2532"/>
      <c r="I36" s="2532"/>
      <c r="J36" s="2532"/>
      <c r="K36" s="2533"/>
      <c r="L36" s="2533"/>
      <c r="M36" s="2533"/>
      <c r="N36" s="2533"/>
      <c r="O36" s="2533"/>
      <c r="P36" s="2533"/>
      <c r="Q36" s="2533"/>
      <c r="R36" s="2533"/>
      <c r="S36" s="2533"/>
      <c r="T36" s="2533"/>
      <c r="U36" s="2533"/>
      <c r="V36" s="2533"/>
      <c r="W36" s="2533"/>
      <c r="X36" s="2533"/>
      <c r="Y36" s="2533"/>
      <c r="Z36" s="2533"/>
      <c r="AA36" s="2533"/>
      <c r="AB36" s="2533"/>
      <c r="AC36" s="2533"/>
      <c r="AD36" s="2533"/>
      <c r="AE36" s="2533"/>
      <c r="AF36" s="2533"/>
      <c r="AG36" s="2533"/>
      <c r="AH36" s="2533"/>
      <c r="AI36" s="2533"/>
      <c r="AJ36" s="2533"/>
      <c r="AK36" s="2533"/>
      <c r="AL36" s="2533"/>
      <c r="AM36" s="2533"/>
      <c r="AN36" s="2533"/>
      <c r="AO36" s="2533"/>
      <c r="AP36" s="2533"/>
      <c r="AQ36" s="2533"/>
      <c r="AR36" s="2533"/>
    </row>
    <row r="37" spans="1:44">
      <c r="C37" s="2520" t="s">
        <v>25131</v>
      </c>
      <c r="D37" s="2528" t="s">
        <v>22742</v>
      </c>
      <c r="E37" s="2531"/>
      <c r="F37" s="2531"/>
      <c r="G37" s="2531"/>
      <c r="H37" s="2531"/>
      <c r="I37" s="2531"/>
      <c r="J37" s="2531"/>
      <c r="K37" s="2534"/>
      <c r="L37" s="2534"/>
      <c r="M37" s="2534"/>
      <c r="N37" s="2534"/>
      <c r="O37" s="2534"/>
      <c r="P37" s="2534"/>
      <c r="Q37" s="2534"/>
      <c r="R37" s="2534"/>
      <c r="S37" s="2534"/>
      <c r="T37" s="2534"/>
      <c r="U37" s="2534"/>
      <c r="V37" s="2534"/>
      <c r="W37" s="2534"/>
      <c r="X37" s="2534"/>
      <c r="Y37" s="2534"/>
      <c r="Z37" s="2534"/>
      <c r="AA37" s="2534"/>
      <c r="AB37" s="2534"/>
      <c r="AC37" s="2534"/>
      <c r="AD37" s="2534"/>
      <c r="AE37" s="2534"/>
      <c r="AF37" s="2534"/>
      <c r="AG37" s="2534"/>
      <c r="AH37" s="2534"/>
      <c r="AI37" s="2534"/>
      <c r="AJ37" s="2534"/>
      <c r="AK37" s="2534"/>
      <c r="AL37" s="2534"/>
      <c r="AM37" s="2534"/>
      <c r="AN37" s="2534"/>
      <c r="AO37" s="2534"/>
      <c r="AP37" s="2534"/>
      <c r="AQ37" s="2534"/>
      <c r="AR37" s="2534"/>
    </row>
    <row r="38" spans="1:44" ht="18" hidden="1" customHeight="1">
      <c r="C38" s="2535"/>
      <c r="D38" s="2505"/>
      <c r="E38" s="2532"/>
      <c r="F38" s="2532"/>
      <c r="G38" s="2532"/>
      <c r="H38" s="2532"/>
      <c r="I38" s="2533"/>
      <c r="J38" s="2533"/>
      <c r="K38" s="2533"/>
      <c r="L38" s="2533"/>
      <c r="M38" s="2533"/>
      <c r="N38" s="2533"/>
      <c r="O38" s="2533"/>
      <c r="P38" s="2533"/>
      <c r="Q38" s="2533"/>
      <c r="R38" s="2533"/>
      <c r="S38" s="2533"/>
      <c r="T38" s="2533"/>
      <c r="U38" s="2533"/>
      <c r="V38" s="2533"/>
      <c r="W38" s="2533"/>
      <c r="X38" s="2533"/>
      <c r="Y38" s="2533"/>
      <c r="Z38" s="2533"/>
      <c r="AA38" s="2533"/>
      <c r="AB38" s="2533"/>
      <c r="AC38" s="2533"/>
      <c r="AD38" s="2533"/>
      <c r="AE38" s="2533"/>
      <c r="AF38" s="2533"/>
      <c r="AG38" s="2533"/>
      <c r="AH38" s="2533"/>
      <c r="AI38" s="2533"/>
      <c r="AJ38" s="2533"/>
      <c r="AK38" s="2533"/>
      <c r="AL38" s="2533"/>
      <c r="AM38" s="2533"/>
      <c r="AN38" s="2533"/>
      <c r="AO38" s="2533"/>
      <c r="AP38" s="2533"/>
      <c r="AQ38" s="2533"/>
      <c r="AR38" s="2533"/>
    </row>
    <row r="39" spans="1:44" hidden="1">
      <c r="C39" s="2535"/>
      <c r="D39" s="2505"/>
      <c r="E39" s="2532"/>
      <c r="F39" s="2532"/>
      <c r="G39" s="2532"/>
      <c r="H39" s="2532"/>
      <c r="I39" s="2533"/>
      <c r="J39" s="2533"/>
      <c r="K39" s="2533"/>
      <c r="L39" s="2533"/>
      <c r="M39" s="2533"/>
      <c r="N39" s="2533"/>
      <c r="O39" s="2533"/>
      <c r="P39" s="2533"/>
      <c r="Q39" s="2533"/>
      <c r="R39" s="2533"/>
      <c r="S39" s="2533"/>
      <c r="T39" s="2533"/>
      <c r="U39" s="2533"/>
      <c r="V39" s="2533"/>
      <c r="W39" s="2533"/>
      <c r="X39" s="2533"/>
      <c r="Y39" s="2533"/>
      <c r="Z39" s="2533"/>
      <c r="AA39" s="2533"/>
      <c r="AB39" s="2533"/>
      <c r="AC39" s="2533"/>
      <c r="AD39" s="2533"/>
      <c r="AE39" s="2533"/>
      <c r="AF39" s="2533"/>
      <c r="AG39" s="2533"/>
      <c r="AH39" s="2533"/>
      <c r="AI39" s="2533"/>
      <c r="AJ39" s="2533"/>
      <c r="AK39" s="2533"/>
      <c r="AL39" s="2533"/>
      <c r="AM39" s="2533"/>
      <c r="AN39" s="2533"/>
      <c r="AO39" s="2533"/>
      <c r="AP39" s="2533"/>
      <c r="AQ39" s="2533"/>
      <c r="AR39" s="2533"/>
    </row>
    <row r="40" spans="1:44" hidden="1">
      <c r="C40" s="2536"/>
      <c r="D40" s="2505"/>
      <c r="E40" s="2532"/>
      <c r="F40" s="2532"/>
      <c r="G40" s="2532"/>
      <c r="H40" s="2532"/>
      <c r="I40" s="2533"/>
      <c r="J40" s="2533"/>
      <c r="K40" s="2533"/>
      <c r="L40" s="2533"/>
      <c r="M40" s="2533"/>
      <c r="N40" s="2533"/>
      <c r="O40" s="2533"/>
      <c r="P40" s="2533"/>
      <c r="Q40" s="2533"/>
      <c r="R40" s="2533"/>
      <c r="S40" s="2533"/>
      <c r="T40" s="2533"/>
      <c r="U40" s="2533"/>
      <c r="V40" s="2533"/>
      <c r="W40" s="2533"/>
      <c r="X40" s="2533"/>
      <c r="Y40" s="2533"/>
      <c r="Z40" s="2533"/>
      <c r="AA40" s="2533"/>
      <c r="AB40" s="2533"/>
      <c r="AC40" s="2533"/>
      <c r="AD40" s="2533"/>
      <c r="AE40" s="2533"/>
      <c r="AF40" s="2533"/>
      <c r="AG40" s="2533"/>
      <c r="AH40" s="2533"/>
      <c r="AI40" s="2533"/>
      <c r="AJ40" s="2533"/>
      <c r="AK40" s="2533"/>
      <c r="AL40" s="2533"/>
      <c r="AM40" s="2533"/>
      <c r="AN40" s="2533"/>
      <c r="AO40" s="2533"/>
      <c r="AP40" s="2533"/>
      <c r="AQ40" s="2533"/>
      <c r="AR40" s="2533"/>
    </row>
    <row r="41" spans="1:44" ht="15.75">
      <c r="C41" s="2504" t="s">
        <v>29638</v>
      </c>
      <c r="D41" s="2505" t="s">
        <v>22742</v>
      </c>
      <c r="E41" s="2532"/>
      <c r="F41" s="2532"/>
      <c r="G41" s="2532"/>
      <c r="H41" s="2532"/>
      <c r="I41" s="2532"/>
      <c r="J41" s="2532"/>
      <c r="K41" s="2533"/>
      <c r="L41" s="2533"/>
      <c r="M41" s="2533"/>
      <c r="N41" s="2533"/>
      <c r="O41" s="2533"/>
      <c r="P41" s="2533"/>
      <c r="Q41" s="2533"/>
      <c r="R41" s="2533"/>
      <c r="S41" s="2533"/>
      <c r="T41" s="2533"/>
      <c r="U41" s="2533"/>
      <c r="V41" s="2533"/>
      <c r="W41" s="2533"/>
      <c r="X41" s="2533"/>
      <c r="Y41" s="2533"/>
      <c r="Z41" s="2533"/>
      <c r="AA41" s="2533"/>
      <c r="AB41" s="2533"/>
      <c r="AC41" s="2533"/>
      <c r="AD41" s="2533"/>
      <c r="AE41" s="2533"/>
      <c r="AF41" s="2533"/>
      <c r="AG41" s="2533"/>
      <c r="AH41" s="2533"/>
      <c r="AI41" s="2533"/>
      <c r="AJ41" s="2533"/>
      <c r="AK41" s="2533"/>
      <c r="AL41" s="2533"/>
      <c r="AM41" s="2533"/>
      <c r="AN41" s="2533"/>
      <c r="AO41" s="2533"/>
      <c r="AP41" s="2533"/>
      <c r="AQ41" s="2533"/>
      <c r="AR41" s="2533"/>
    </row>
    <row r="42" spans="1:44" ht="15.75">
      <c r="C42" s="2504" t="s">
        <v>29639</v>
      </c>
      <c r="D42" s="2505" t="s">
        <v>22742</v>
      </c>
      <c r="E42" s="2532"/>
      <c r="F42" s="2532"/>
      <c r="G42" s="2532"/>
      <c r="H42" s="2532"/>
      <c r="I42" s="2532"/>
      <c r="J42" s="2532"/>
      <c r="K42" s="2533"/>
      <c r="L42" s="2533"/>
      <c r="M42" s="2533"/>
      <c r="N42" s="2533"/>
      <c r="O42" s="2533"/>
      <c r="P42" s="2533"/>
      <c r="Q42" s="2533"/>
      <c r="R42" s="2533"/>
      <c r="S42" s="2533"/>
      <c r="T42" s="2533"/>
      <c r="U42" s="2533"/>
      <c r="V42" s="2533"/>
      <c r="W42" s="2533"/>
      <c r="X42" s="2533"/>
      <c r="Y42" s="2533"/>
      <c r="Z42" s="2533"/>
      <c r="AA42" s="2533"/>
      <c r="AB42" s="2533"/>
      <c r="AC42" s="2533"/>
      <c r="AD42" s="2533"/>
      <c r="AE42" s="2533"/>
      <c r="AF42" s="2533"/>
      <c r="AG42" s="2533"/>
      <c r="AH42" s="2533"/>
      <c r="AI42" s="2533"/>
      <c r="AJ42" s="2533"/>
      <c r="AK42" s="2533"/>
      <c r="AL42" s="2533"/>
      <c r="AM42" s="2533"/>
      <c r="AN42" s="2533"/>
      <c r="AO42" s="2533"/>
      <c r="AP42" s="2533"/>
      <c r="AQ42" s="2533"/>
      <c r="AR42" s="2533"/>
    </row>
    <row r="43" spans="1:44">
      <c r="C43" s="2520" t="s">
        <v>24773</v>
      </c>
      <c r="D43" s="2528" t="s">
        <v>22742</v>
      </c>
      <c r="E43" s="2531"/>
      <c r="F43" s="2531"/>
      <c r="G43" s="2531"/>
      <c r="H43" s="2531"/>
      <c r="I43" s="2531"/>
      <c r="J43" s="2531"/>
      <c r="K43" s="2534"/>
      <c r="L43" s="2534"/>
      <c r="M43" s="2534"/>
      <c r="N43" s="2534"/>
      <c r="O43" s="2534"/>
      <c r="P43" s="2534"/>
      <c r="Q43" s="2534"/>
      <c r="R43" s="2534"/>
      <c r="S43" s="2534"/>
      <c r="T43" s="2534"/>
      <c r="U43" s="2534"/>
      <c r="V43" s="2534"/>
      <c r="W43" s="2534"/>
      <c r="X43" s="2534"/>
      <c r="Y43" s="2534"/>
      <c r="Z43" s="2534"/>
      <c r="AA43" s="2534"/>
      <c r="AB43" s="2534"/>
      <c r="AC43" s="2534"/>
      <c r="AD43" s="2534"/>
      <c r="AE43" s="2534"/>
      <c r="AF43" s="2534"/>
      <c r="AG43" s="2534"/>
      <c r="AH43" s="2534"/>
      <c r="AI43" s="2534"/>
      <c r="AJ43" s="2534"/>
      <c r="AK43" s="2534"/>
      <c r="AL43" s="2534"/>
      <c r="AM43" s="2534"/>
      <c r="AN43" s="2534"/>
      <c r="AO43" s="2534"/>
      <c r="AP43" s="2534"/>
      <c r="AQ43" s="2534"/>
      <c r="AR43" s="2534"/>
    </row>
    <row r="44" spans="1:44">
      <c r="A44" s="261"/>
      <c r="B44" s="261"/>
      <c r="C44" s="259"/>
      <c r="D44" s="259"/>
      <c r="E44" s="278"/>
      <c r="F44" s="278"/>
      <c r="AC44" s="278"/>
      <c r="AD44" s="278"/>
      <c r="AE44" s="278"/>
      <c r="AF44" s="278"/>
      <c r="AG44" s="278"/>
      <c r="AH44" s="278"/>
      <c r="AI44" s="278"/>
      <c r="AJ44" s="278"/>
      <c r="AK44" s="278"/>
      <c r="AL44" s="278"/>
      <c r="AM44" s="278"/>
      <c r="AN44" s="278"/>
      <c r="AO44" s="278"/>
      <c r="AP44" s="278"/>
      <c r="AQ44" s="278"/>
      <c r="AR44" s="278"/>
    </row>
    <row r="45" spans="1:44">
      <c r="C45" s="260" t="s">
        <v>22745</v>
      </c>
      <c r="D45" s="260"/>
      <c r="E45" s="260"/>
      <c r="F45" s="260"/>
      <c r="G45" s="260"/>
      <c r="H45" s="260"/>
      <c r="I45" s="260"/>
      <c r="J45" s="260"/>
      <c r="K45" s="260"/>
      <c r="L45" s="260"/>
      <c r="M45" s="260"/>
      <c r="N45" s="260"/>
      <c r="O45" s="260"/>
      <c r="P45" s="260"/>
      <c r="Q45" s="260"/>
      <c r="R45" s="260"/>
      <c r="S45" s="260"/>
      <c r="T45" s="260"/>
      <c r="U45" s="260"/>
      <c r="V45" s="260"/>
      <c r="W45" s="260"/>
      <c r="X45" s="260"/>
      <c r="Y45" s="260"/>
      <c r="Z45" s="260"/>
      <c r="AA45" s="260"/>
      <c r="AB45" s="260"/>
      <c r="AC45" s="260"/>
      <c r="AD45" s="260"/>
      <c r="AE45" s="260"/>
      <c r="AF45" s="260"/>
      <c r="AG45" s="260"/>
      <c r="AH45" s="260"/>
      <c r="AI45" s="260"/>
      <c r="AJ45" s="260"/>
      <c r="AK45" s="260"/>
      <c r="AL45" s="260"/>
      <c r="AM45" s="260"/>
      <c r="AN45" s="260"/>
      <c r="AO45" s="260"/>
      <c r="AP45" s="260"/>
      <c r="AQ45" s="260"/>
      <c r="AR45" s="260"/>
    </row>
    <row r="46" spans="1:44">
      <c r="A46" s="55"/>
      <c r="B46" s="55"/>
      <c r="C46" s="378"/>
      <c r="D46" s="2523" t="s">
        <v>22740</v>
      </c>
      <c r="E46" s="2524" t="s">
        <v>29767</v>
      </c>
      <c r="F46" s="2524" t="s">
        <v>29768</v>
      </c>
      <c r="G46" s="2524" t="s">
        <v>29769</v>
      </c>
      <c r="H46" s="2524" t="s">
        <v>29770</v>
      </c>
      <c r="I46" s="2524" t="s">
        <v>29771</v>
      </c>
      <c r="J46" s="2524" t="s">
        <v>29772</v>
      </c>
      <c r="K46" s="2524" t="s">
        <v>29773</v>
      </c>
      <c r="L46" s="2524" t="s">
        <v>29774</v>
      </c>
      <c r="M46" s="2524" t="s">
        <v>29775</v>
      </c>
      <c r="N46" s="2524" t="s">
        <v>29776</v>
      </c>
      <c r="O46" s="2524" t="s">
        <v>29777</v>
      </c>
      <c r="P46" s="2524" t="s">
        <v>29778</v>
      </c>
      <c r="Q46" s="2524" t="s">
        <v>29779</v>
      </c>
      <c r="R46" s="2524" t="s">
        <v>29780</v>
      </c>
      <c r="S46" s="2524" t="s">
        <v>29781</v>
      </c>
      <c r="T46" s="2524" t="s">
        <v>29782</v>
      </c>
      <c r="U46" s="2524" t="s">
        <v>29783</v>
      </c>
      <c r="V46" s="2524" t="s">
        <v>29784</v>
      </c>
      <c r="W46" s="2524" t="s">
        <v>29785</v>
      </c>
      <c r="X46" s="2524" t="s">
        <v>29786</v>
      </c>
      <c r="Y46" s="2524" t="s">
        <v>29787</v>
      </c>
      <c r="Z46" s="2524" t="s">
        <v>29788</v>
      </c>
      <c r="AA46" s="2524" t="s">
        <v>29789</v>
      </c>
      <c r="AB46" s="2524" t="s">
        <v>29790</v>
      </c>
      <c r="AC46" s="2524" t="s">
        <v>29791</v>
      </c>
      <c r="AD46" s="2524" t="s">
        <v>29792</v>
      </c>
      <c r="AE46" s="2524" t="s">
        <v>29793</v>
      </c>
      <c r="AF46" s="2524" t="s">
        <v>29794</v>
      </c>
      <c r="AG46" s="2524" t="s">
        <v>29795</v>
      </c>
      <c r="AH46" s="2524" t="s">
        <v>29796</v>
      </c>
      <c r="AI46" s="2524" t="s">
        <v>29797</v>
      </c>
      <c r="AJ46" s="2524" t="s">
        <v>29798</v>
      </c>
      <c r="AK46" s="2524" t="s">
        <v>29799</v>
      </c>
      <c r="AL46" s="2524" t="s">
        <v>29800</v>
      </c>
      <c r="AM46" s="2524" t="s">
        <v>29801</v>
      </c>
      <c r="AN46" s="2524" t="s">
        <v>29802</v>
      </c>
      <c r="AO46" s="2524" t="s">
        <v>30388</v>
      </c>
      <c r="AP46" s="2524" t="s">
        <v>30389</v>
      </c>
      <c r="AQ46" s="2524" t="s">
        <v>30390</v>
      </c>
      <c r="AR46" s="2524" t="s">
        <v>30391</v>
      </c>
    </row>
    <row r="47" spans="1:44" ht="15.75">
      <c r="C47" s="2504" t="s">
        <v>24825</v>
      </c>
      <c r="D47" s="2505" t="s">
        <v>22742</v>
      </c>
      <c r="E47" s="2525"/>
      <c r="F47" s="2525"/>
      <c r="G47" s="2525"/>
      <c r="H47" s="2525"/>
      <c r="I47" s="2525"/>
      <c r="J47" s="2525"/>
      <c r="K47" s="2525"/>
      <c r="L47" s="2525"/>
      <c r="M47" s="2525"/>
      <c r="N47" s="2525"/>
      <c r="O47" s="2525"/>
      <c r="P47" s="2525"/>
      <c r="Q47" s="2525"/>
      <c r="R47" s="2525"/>
      <c r="S47" s="2525"/>
      <c r="T47" s="2525"/>
      <c r="U47" s="2525"/>
      <c r="V47" s="2525"/>
      <c r="W47" s="2525"/>
      <c r="X47" s="2525"/>
      <c r="Y47" s="2525"/>
      <c r="Z47" s="2525"/>
      <c r="AA47" s="2525"/>
      <c r="AB47" s="2525"/>
      <c r="AC47" s="2525"/>
      <c r="AD47" s="2525"/>
      <c r="AE47" s="2525"/>
      <c r="AF47" s="2525"/>
      <c r="AG47" s="2525"/>
      <c r="AH47" s="2525"/>
      <c r="AI47" s="2525"/>
      <c r="AJ47" s="2525"/>
      <c r="AK47" s="2525"/>
      <c r="AL47" s="2525"/>
      <c r="AM47" s="2525"/>
      <c r="AN47" s="2525"/>
      <c r="AO47" s="2525"/>
      <c r="AP47" s="2525"/>
      <c r="AQ47" s="2525"/>
      <c r="AR47" s="2525"/>
    </row>
    <row r="48" spans="1:44" ht="15.75">
      <c r="C48" s="2504" t="s">
        <v>24826</v>
      </c>
      <c r="D48" s="2505" t="s">
        <v>22742</v>
      </c>
      <c r="E48" s="2525"/>
      <c r="F48" s="2525"/>
      <c r="G48" s="2525"/>
      <c r="H48" s="2525"/>
      <c r="I48" s="2525"/>
      <c r="J48" s="2525"/>
      <c r="K48" s="2525"/>
      <c r="L48" s="2525"/>
      <c r="M48" s="2525"/>
      <c r="N48" s="2525"/>
      <c r="O48" s="2525"/>
      <c r="P48" s="2525"/>
      <c r="Q48" s="2525"/>
      <c r="R48" s="2525"/>
      <c r="S48" s="2525"/>
      <c r="T48" s="2525"/>
      <c r="U48" s="2525"/>
      <c r="V48" s="2525"/>
      <c r="W48" s="2525"/>
      <c r="X48" s="2525"/>
      <c r="Y48" s="2525"/>
      <c r="Z48" s="2525"/>
      <c r="AA48" s="2525"/>
      <c r="AB48" s="2525"/>
      <c r="AC48" s="2525"/>
      <c r="AD48" s="2525"/>
      <c r="AE48" s="2525"/>
      <c r="AF48" s="2525"/>
      <c r="AG48" s="2525"/>
      <c r="AH48" s="2525"/>
      <c r="AI48" s="2525"/>
      <c r="AJ48" s="2525"/>
      <c r="AK48" s="2525"/>
      <c r="AL48" s="2525"/>
      <c r="AM48" s="2525"/>
      <c r="AN48" s="2525"/>
      <c r="AO48" s="2525"/>
      <c r="AP48" s="2525"/>
      <c r="AQ48" s="2525"/>
      <c r="AR48" s="2525"/>
    </row>
    <row r="49" spans="1:44" ht="15.75">
      <c r="C49" s="2504" t="s">
        <v>24827</v>
      </c>
      <c r="D49" s="2505" t="s">
        <v>22742</v>
      </c>
      <c r="E49" s="2525"/>
      <c r="F49" s="2525"/>
      <c r="G49" s="2525"/>
      <c r="H49" s="2525"/>
      <c r="I49" s="2525"/>
      <c r="J49" s="2525"/>
      <c r="K49" s="2525"/>
      <c r="L49" s="2525"/>
      <c r="M49" s="2525"/>
      <c r="N49" s="2525"/>
      <c r="O49" s="2525"/>
      <c r="P49" s="2525"/>
      <c r="Q49" s="2525"/>
      <c r="R49" s="2525"/>
      <c r="S49" s="2525"/>
      <c r="T49" s="2525"/>
      <c r="U49" s="2525"/>
      <c r="V49" s="2525"/>
      <c r="W49" s="2525"/>
      <c r="X49" s="2525"/>
      <c r="Y49" s="2525"/>
      <c r="Z49" s="2525"/>
      <c r="AA49" s="2525"/>
      <c r="AB49" s="2525"/>
      <c r="AC49" s="2525"/>
      <c r="AD49" s="2525"/>
      <c r="AE49" s="2525"/>
      <c r="AF49" s="2525"/>
      <c r="AG49" s="2525"/>
      <c r="AH49" s="2525"/>
      <c r="AI49" s="2525"/>
      <c r="AJ49" s="2525"/>
      <c r="AK49" s="2525"/>
      <c r="AL49" s="2525"/>
      <c r="AM49" s="2525"/>
      <c r="AN49" s="2525"/>
      <c r="AO49" s="2525"/>
      <c r="AP49" s="2525"/>
      <c r="AQ49" s="2525"/>
      <c r="AR49" s="2525"/>
    </row>
    <row r="50" spans="1:44">
      <c r="C50" s="2520" t="s">
        <v>22811</v>
      </c>
      <c r="D50" s="2528" t="s">
        <v>22742</v>
      </c>
      <c r="E50" s="2529"/>
      <c r="F50" s="2529"/>
      <c r="G50" s="2529"/>
      <c r="H50" s="2529"/>
      <c r="I50" s="2529"/>
      <c r="J50" s="2529"/>
      <c r="K50" s="2529"/>
      <c r="L50" s="2529"/>
      <c r="M50" s="2529"/>
      <c r="N50" s="2529"/>
      <c r="O50" s="2529"/>
      <c r="P50" s="2529"/>
      <c r="Q50" s="2529"/>
      <c r="R50" s="2529"/>
      <c r="S50" s="2529"/>
      <c r="T50" s="2529"/>
      <c r="U50" s="2529"/>
      <c r="V50" s="2529"/>
      <c r="W50" s="2529"/>
      <c r="X50" s="2529"/>
      <c r="Y50" s="2529"/>
      <c r="Z50" s="2529"/>
      <c r="AA50" s="2529"/>
      <c r="AB50" s="2529"/>
      <c r="AC50" s="2529"/>
      <c r="AD50" s="2529"/>
      <c r="AE50" s="2529"/>
      <c r="AF50" s="2529"/>
      <c r="AG50" s="2529"/>
      <c r="AH50" s="2529"/>
      <c r="AI50" s="2529"/>
      <c r="AJ50" s="2529"/>
      <c r="AK50" s="2529"/>
      <c r="AL50" s="2529"/>
      <c r="AM50" s="2529"/>
      <c r="AN50" s="2529"/>
      <c r="AO50" s="2529"/>
      <c r="AP50" s="2529"/>
      <c r="AQ50" s="2529"/>
      <c r="AR50" s="2529"/>
    </row>
    <row r="51" spans="1:44">
      <c r="G51" s="255"/>
      <c r="I51" s="255"/>
      <c r="K51" s="255"/>
      <c r="L51" s="255"/>
      <c r="N51" s="255"/>
      <c r="P51" s="255"/>
      <c r="Q51" s="255"/>
      <c r="S51" s="255"/>
      <c r="U51" s="255"/>
      <c r="W51" s="255"/>
      <c r="Y51" s="255"/>
      <c r="AA51" s="255"/>
    </row>
    <row r="52" spans="1:44">
      <c r="C52" s="260" t="s">
        <v>28848</v>
      </c>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row>
    <row r="53" spans="1:44">
      <c r="A53" s="55"/>
      <c r="B53" s="55"/>
      <c r="C53" s="378"/>
      <c r="D53" s="2523" t="s">
        <v>22740</v>
      </c>
      <c r="E53" s="2524" t="s">
        <v>29767</v>
      </c>
      <c r="F53" s="2524" t="s">
        <v>29768</v>
      </c>
      <c r="G53" s="2524" t="s">
        <v>29769</v>
      </c>
      <c r="H53" s="2524" t="s">
        <v>29770</v>
      </c>
      <c r="I53" s="2524" t="s">
        <v>29771</v>
      </c>
      <c r="J53" s="2524" t="s">
        <v>29772</v>
      </c>
      <c r="K53" s="2524" t="s">
        <v>29773</v>
      </c>
      <c r="L53" s="2524" t="s">
        <v>29774</v>
      </c>
      <c r="M53" s="2524" t="s">
        <v>29775</v>
      </c>
      <c r="N53" s="2524" t="s">
        <v>29776</v>
      </c>
      <c r="O53" s="2524" t="s">
        <v>29777</v>
      </c>
      <c r="P53" s="2524" t="s">
        <v>29778</v>
      </c>
      <c r="Q53" s="2524" t="s">
        <v>29779</v>
      </c>
      <c r="R53" s="2524" t="s">
        <v>29780</v>
      </c>
      <c r="S53" s="2524" t="s">
        <v>29781</v>
      </c>
      <c r="T53" s="2524" t="s">
        <v>29782</v>
      </c>
      <c r="U53" s="2524" t="s">
        <v>29783</v>
      </c>
      <c r="V53" s="2524" t="s">
        <v>29784</v>
      </c>
      <c r="W53" s="2524" t="s">
        <v>29785</v>
      </c>
      <c r="X53" s="2524" t="s">
        <v>29786</v>
      </c>
      <c r="Y53" s="2524" t="s">
        <v>29787</v>
      </c>
      <c r="Z53" s="2524" t="s">
        <v>29788</v>
      </c>
      <c r="AA53" s="2524" t="s">
        <v>29789</v>
      </c>
      <c r="AB53" s="2524" t="s">
        <v>29790</v>
      </c>
      <c r="AC53" s="2524" t="s">
        <v>29791</v>
      </c>
      <c r="AD53" s="2524" t="s">
        <v>29792</v>
      </c>
      <c r="AE53" s="2524" t="s">
        <v>29793</v>
      </c>
      <c r="AF53" s="2524" t="s">
        <v>29794</v>
      </c>
      <c r="AG53" s="2524" t="s">
        <v>29795</v>
      </c>
      <c r="AH53" s="2524" t="s">
        <v>29796</v>
      </c>
      <c r="AI53" s="2524" t="s">
        <v>29797</v>
      </c>
      <c r="AJ53" s="2524" t="s">
        <v>29798</v>
      </c>
      <c r="AK53" s="2524" t="s">
        <v>29799</v>
      </c>
      <c r="AL53" s="2524" t="s">
        <v>29800</v>
      </c>
      <c r="AM53" s="2524" t="s">
        <v>29801</v>
      </c>
      <c r="AN53" s="2524" t="s">
        <v>29802</v>
      </c>
      <c r="AO53" s="2524" t="s">
        <v>30388</v>
      </c>
      <c r="AP53" s="2524" t="s">
        <v>30389</v>
      </c>
      <c r="AQ53" s="2524" t="s">
        <v>30390</v>
      </c>
      <c r="AR53" s="2524" t="s">
        <v>30391</v>
      </c>
    </row>
    <row r="54" spans="1:44">
      <c r="C54" s="2504" t="s">
        <v>24769</v>
      </c>
      <c r="D54" s="2505" t="s">
        <v>22742</v>
      </c>
      <c r="E54" s="2525"/>
      <c r="F54" s="2525"/>
      <c r="G54" s="2525"/>
      <c r="H54" s="2525"/>
      <c r="I54" s="2525"/>
      <c r="J54" s="2525"/>
      <c r="K54" s="2530"/>
      <c r="L54" s="2530"/>
      <c r="M54" s="2530"/>
      <c r="N54" s="2530"/>
      <c r="O54" s="2530"/>
      <c r="P54" s="2530"/>
      <c r="Q54" s="2530"/>
      <c r="R54" s="2530"/>
      <c r="S54" s="2530"/>
      <c r="T54" s="2530"/>
      <c r="U54" s="2530"/>
      <c r="V54" s="2530"/>
      <c r="W54" s="2530"/>
      <c r="X54" s="2530"/>
      <c r="Y54" s="2530"/>
      <c r="Z54" s="2530"/>
      <c r="AA54" s="2530"/>
      <c r="AB54" s="2530"/>
      <c r="AC54" s="2530"/>
      <c r="AD54" s="2530"/>
      <c r="AE54" s="2530"/>
      <c r="AF54" s="2530"/>
      <c r="AG54" s="2530"/>
      <c r="AH54" s="2530"/>
      <c r="AI54" s="2530"/>
      <c r="AJ54" s="2530"/>
      <c r="AK54" s="2530"/>
      <c r="AL54" s="2530"/>
      <c r="AM54" s="2530"/>
      <c r="AN54" s="2530"/>
      <c r="AO54" s="2530"/>
      <c r="AP54" s="2530"/>
      <c r="AQ54" s="2530"/>
      <c r="AR54" s="2530"/>
    </row>
    <row r="55" spans="1:44">
      <c r="C55" s="2504" t="s">
        <v>24770</v>
      </c>
      <c r="D55" s="2505" t="s">
        <v>22742</v>
      </c>
      <c r="E55" s="2525"/>
      <c r="F55" s="2525"/>
      <c r="G55" s="2525"/>
      <c r="H55" s="2525"/>
      <c r="I55" s="2525"/>
      <c r="J55" s="2525"/>
      <c r="K55" s="2530"/>
      <c r="L55" s="2530"/>
      <c r="M55" s="2530"/>
      <c r="N55" s="2530"/>
      <c r="O55" s="2530"/>
      <c r="P55" s="2530"/>
      <c r="Q55" s="2530"/>
      <c r="R55" s="2530"/>
      <c r="S55" s="2530"/>
      <c r="T55" s="2530"/>
      <c r="U55" s="2530"/>
      <c r="V55" s="2530"/>
      <c r="W55" s="2530"/>
      <c r="X55" s="2530"/>
      <c r="Y55" s="2530"/>
      <c r="Z55" s="2530"/>
      <c r="AA55" s="2530"/>
      <c r="AB55" s="2530"/>
      <c r="AC55" s="2530"/>
      <c r="AD55" s="2530"/>
      <c r="AE55" s="2530"/>
      <c r="AF55" s="2530"/>
      <c r="AG55" s="2530"/>
      <c r="AH55" s="2530"/>
      <c r="AI55" s="2530"/>
      <c r="AJ55" s="2530"/>
      <c r="AK55" s="2530"/>
      <c r="AL55" s="2530"/>
      <c r="AM55" s="2530"/>
      <c r="AN55" s="2530"/>
      <c r="AO55" s="2530"/>
      <c r="AP55" s="2530"/>
      <c r="AQ55" s="2530"/>
      <c r="AR55" s="2530"/>
    </row>
    <row r="56" spans="1:44">
      <c r="C56" s="2504" t="s">
        <v>22811</v>
      </c>
      <c r="D56" s="2505" t="s">
        <v>22742</v>
      </c>
      <c r="E56" s="2525"/>
      <c r="F56" s="2525"/>
      <c r="G56" s="2525"/>
      <c r="H56" s="2525"/>
      <c r="I56" s="2525"/>
      <c r="J56" s="2525"/>
      <c r="K56" s="2530"/>
      <c r="L56" s="2530"/>
      <c r="M56" s="2530"/>
      <c r="N56" s="2530"/>
      <c r="O56" s="2530"/>
      <c r="P56" s="2530"/>
      <c r="Q56" s="2530"/>
      <c r="R56" s="2530"/>
      <c r="S56" s="2530"/>
      <c r="T56" s="2530"/>
      <c r="U56" s="2530"/>
      <c r="V56" s="2530"/>
      <c r="W56" s="2530"/>
      <c r="X56" s="2530"/>
      <c r="Y56" s="2530"/>
      <c r="Z56" s="2530"/>
      <c r="AA56" s="2530"/>
      <c r="AB56" s="2530"/>
      <c r="AC56" s="2530"/>
      <c r="AD56" s="2530"/>
      <c r="AE56" s="2530"/>
      <c r="AF56" s="2530"/>
      <c r="AG56" s="2530"/>
      <c r="AH56" s="2530"/>
      <c r="AI56" s="2530"/>
      <c r="AJ56" s="2530"/>
      <c r="AK56" s="2530"/>
      <c r="AL56" s="2530"/>
      <c r="AM56" s="2530"/>
      <c r="AN56" s="2530"/>
      <c r="AO56" s="2530"/>
      <c r="AP56" s="2530"/>
      <c r="AQ56" s="2530"/>
      <c r="AR56" s="2530"/>
    </row>
    <row r="57" spans="1:44" ht="15.75">
      <c r="C57" s="2504" t="s">
        <v>24776</v>
      </c>
      <c r="D57" s="2505" t="s">
        <v>22742</v>
      </c>
      <c r="E57" s="2525"/>
      <c r="F57" s="2525"/>
      <c r="G57" s="2525"/>
      <c r="H57" s="2525"/>
      <c r="I57" s="2525"/>
      <c r="J57" s="2525"/>
      <c r="K57" s="2530"/>
      <c r="L57" s="2530"/>
      <c r="M57" s="2530"/>
      <c r="N57" s="2530"/>
      <c r="O57" s="2530"/>
      <c r="P57" s="2530"/>
      <c r="Q57" s="2530"/>
      <c r="R57" s="2530"/>
      <c r="S57" s="2530"/>
      <c r="T57" s="2530"/>
      <c r="U57" s="2530"/>
      <c r="V57" s="2530"/>
      <c r="W57" s="2530"/>
      <c r="X57" s="2530"/>
      <c r="Y57" s="2530"/>
      <c r="Z57" s="2530"/>
      <c r="AA57" s="2530"/>
      <c r="AB57" s="2530"/>
      <c r="AC57" s="2530"/>
      <c r="AD57" s="2530"/>
      <c r="AE57" s="2530"/>
      <c r="AF57" s="2530"/>
      <c r="AG57" s="2530"/>
      <c r="AH57" s="2530"/>
      <c r="AI57" s="2530"/>
      <c r="AJ57" s="2530"/>
      <c r="AK57" s="2530"/>
      <c r="AL57" s="2530"/>
      <c r="AM57" s="2530"/>
      <c r="AN57" s="2530"/>
      <c r="AO57" s="2530"/>
      <c r="AP57" s="2530"/>
      <c r="AQ57" s="2530"/>
      <c r="AR57" s="2530"/>
    </row>
    <row r="58" spans="1:44">
      <c r="C58" s="2537" t="s">
        <v>24774</v>
      </c>
      <c r="D58" s="2505" t="s">
        <v>22742</v>
      </c>
      <c r="E58" s="2525"/>
      <c r="F58" s="2525"/>
      <c r="G58" s="2525"/>
      <c r="H58" s="2525"/>
      <c r="I58" s="2525"/>
      <c r="J58" s="2525"/>
      <c r="K58" s="2530"/>
      <c r="L58" s="2530"/>
      <c r="M58" s="2530"/>
      <c r="N58" s="2530"/>
      <c r="O58" s="2530"/>
      <c r="P58" s="2530"/>
      <c r="Q58" s="2530"/>
      <c r="R58" s="2530"/>
      <c r="S58" s="2530"/>
      <c r="T58" s="2530"/>
      <c r="U58" s="2530"/>
      <c r="V58" s="2530"/>
      <c r="W58" s="2530"/>
      <c r="X58" s="2530"/>
      <c r="Y58" s="2530"/>
      <c r="Z58" s="2530"/>
      <c r="AA58" s="2530"/>
      <c r="AB58" s="2530"/>
      <c r="AC58" s="2530"/>
      <c r="AD58" s="2530"/>
      <c r="AE58" s="2530"/>
      <c r="AF58" s="2530"/>
      <c r="AG58" s="2530"/>
      <c r="AH58" s="2530"/>
      <c r="AI58" s="2530"/>
      <c r="AJ58" s="2530"/>
      <c r="AK58" s="2530"/>
      <c r="AL58" s="2530"/>
      <c r="AM58" s="2530"/>
      <c r="AN58" s="2530"/>
      <c r="AO58" s="2530"/>
      <c r="AP58" s="2530"/>
      <c r="AQ58" s="2530"/>
      <c r="AR58" s="2530"/>
    </row>
    <row r="59" spans="1:44">
      <c r="C59" s="2520" t="s">
        <v>25014</v>
      </c>
      <c r="D59" s="2538" t="s">
        <v>22742</v>
      </c>
      <c r="E59" s="2529"/>
      <c r="F59" s="2529"/>
      <c r="G59" s="2529"/>
      <c r="H59" s="2529"/>
      <c r="I59" s="2529"/>
      <c r="J59" s="2529"/>
      <c r="K59" s="2539"/>
      <c r="L59" s="2539"/>
      <c r="M59" s="2539"/>
      <c r="N59" s="2539"/>
      <c r="O59" s="2539"/>
      <c r="P59" s="2539"/>
      <c r="Q59" s="2539"/>
      <c r="R59" s="2539"/>
      <c r="S59" s="2539"/>
      <c r="T59" s="2539"/>
      <c r="U59" s="2539"/>
      <c r="V59" s="2539"/>
      <c r="W59" s="2539"/>
      <c r="X59" s="2539"/>
      <c r="Y59" s="2539"/>
      <c r="Z59" s="2539"/>
      <c r="AA59" s="2539"/>
      <c r="AB59" s="2539"/>
      <c r="AC59" s="2539"/>
      <c r="AD59" s="2539"/>
      <c r="AE59" s="2539"/>
      <c r="AF59" s="2539"/>
      <c r="AG59" s="2539"/>
      <c r="AH59" s="2539"/>
      <c r="AI59" s="2539"/>
      <c r="AJ59" s="2539"/>
      <c r="AK59" s="2539"/>
      <c r="AL59" s="2539"/>
      <c r="AM59" s="2539"/>
      <c r="AN59" s="2539"/>
      <c r="AO59" s="2539"/>
      <c r="AP59" s="2539"/>
      <c r="AQ59" s="2539"/>
      <c r="AR59" s="2539"/>
    </row>
    <row r="60" spans="1:44">
      <c r="C60" s="256"/>
      <c r="D60" s="256"/>
      <c r="E60" s="256"/>
      <c r="F60" s="256"/>
      <c r="G60" s="32"/>
      <c r="I60" s="32"/>
      <c r="K60" s="32"/>
      <c r="L60" s="32"/>
      <c r="N60" s="32"/>
      <c r="P60" s="32"/>
      <c r="Q60" s="32"/>
      <c r="S60" s="32"/>
      <c r="U60" s="32"/>
      <c r="W60" s="32"/>
      <c r="Y60" s="32"/>
      <c r="AA60" s="32"/>
      <c r="AC60" s="256"/>
      <c r="AD60" s="256"/>
      <c r="AE60" s="256"/>
      <c r="AF60" s="256"/>
      <c r="AG60" s="256"/>
      <c r="AH60" s="256"/>
      <c r="AI60" s="256"/>
      <c r="AJ60" s="256"/>
      <c r="AK60" s="256"/>
      <c r="AL60" s="256"/>
      <c r="AM60" s="256"/>
      <c r="AN60" s="256"/>
      <c r="AO60" s="256"/>
      <c r="AP60" s="256"/>
      <c r="AQ60" s="256"/>
      <c r="AR60" s="256"/>
    </row>
    <row r="61" spans="1:44">
      <c r="C61" s="260" t="s">
        <v>25015</v>
      </c>
      <c r="D61" s="260"/>
      <c r="E61" s="260"/>
      <c r="F61" s="260"/>
      <c r="G61" s="260"/>
      <c r="H61" s="260"/>
      <c r="I61" s="260"/>
      <c r="J61" s="260"/>
      <c r="K61" s="260"/>
      <c r="L61" s="260"/>
      <c r="M61" s="260"/>
      <c r="N61" s="260"/>
      <c r="O61" s="260"/>
      <c r="P61" s="260"/>
      <c r="Q61" s="260"/>
      <c r="R61" s="260"/>
      <c r="S61" s="260"/>
      <c r="T61" s="260"/>
      <c r="U61" s="260"/>
      <c r="V61" s="260"/>
      <c r="W61" s="260"/>
      <c r="X61" s="260"/>
      <c r="Y61" s="260"/>
      <c r="Z61" s="260"/>
      <c r="AA61" s="260"/>
      <c r="AB61" s="260"/>
      <c r="AC61" s="260"/>
      <c r="AD61" s="260"/>
      <c r="AE61" s="260"/>
      <c r="AF61" s="260"/>
      <c r="AG61" s="260"/>
      <c r="AH61" s="260"/>
      <c r="AI61" s="260"/>
      <c r="AJ61" s="260"/>
      <c r="AK61" s="260"/>
      <c r="AL61" s="260"/>
      <c r="AM61" s="260"/>
      <c r="AN61" s="260"/>
      <c r="AO61" s="260"/>
      <c r="AP61" s="260"/>
      <c r="AQ61" s="260"/>
      <c r="AR61" s="260"/>
    </row>
    <row r="62" spans="1:44">
      <c r="A62" s="55"/>
      <c r="B62" s="55"/>
      <c r="C62" s="378"/>
      <c r="D62" s="2523" t="s">
        <v>22740</v>
      </c>
      <c r="E62" s="2524" t="s">
        <v>29767</v>
      </c>
      <c r="F62" s="2524" t="s">
        <v>29768</v>
      </c>
      <c r="G62" s="2524" t="s">
        <v>29769</v>
      </c>
      <c r="H62" s="2524" t="s">
        <v>29770</v>
      </c>
      <c r="I62" s="2524" t="s">
        <v>29771</v>
      </c>
      <c r="J62" s="2524" t="s">
        <v>29772</v>
      </c>
      <c r="K62" s="2524" t="s">
        <v>29773</v>
      </c>
      <c r="L62" s="2524" t="s">
        <v>29774</v>
      </c>
      <c r="M62" s="2524" t="s">
        <v>29775</v>
      </c>
      <c r="N62" s="2524" t="s">
        <v>29776</v>
      </c>
      <c r="O62" s="2524" t="s">
        <v>29777</v>
      </c>
      <c r="P62" s="2524" t="s">
        <v>29778</v>
      </c>
      <c r="Q62" s="2524" t="s">
        <v>29779</v>
      </c>
      <c r="R62" s="2524" t="s">
        <v>29780</v>
      </c>
      <c r="S62" s="2524" t="s">
        <v>29781</v>
      </c>
      <c r="T62" s="2524" t="s">
        <v>29782</v>
      </c>
      <c r="U62" s="2524" t="s">
        <v>29783</v>
      </c>
      <c r="V62" s="2524" t="s">
        <v>29784</v>
      </c>
      <c r="W62" s="2524" t="s">
        <v>29785</v>
      </c>
      <c r="X62" s="2524" t="s">
        <v>29786</v>
      </c>
      <c r="Y62" s="2524" t="s">
        <v>29787</v>
      </c>
      <c r="Z62" s="2524" t="s">
        <v>29788</v>
      </c>
      <c r="AA62" s="2524" t="s">
        <v>29789</v>
      </c>
      <c r="AB62" s="2524" t="s">
        <v>29790</v>
      </c>
      <c r="AC62" s="2524" t="s">
        <v>29791</v>
      </c>
      <c r="AD62" s="2524" t="s">
        <v>29792</v>
      </c>
      <c r="AE62" s="2524" t="s">
        <v>29793</v>
      </c>
      <c r="AF62" s="2524" t="s">
        <v>29794</v>
      </c>
      <c r="AG62" s="2524" t="s">
        <v>29795</v>
      </c>
      <c r="AH62" s="2524" t="s">
        <v>29796</v>
      </c>
      <c r="AI62" s="2524" t="s">
        <v>29797</v>
      </c>
      <c r="AJ62" s="2524" t="s">
        <v>29798</v>
      </c>
      <c r="AK62" s="2524" t="s">
        <v>29799</v>
      </c>
      <c r="AL62" s="2524" t="s">
        <v>29800</v>
      </c>
      <c r="AM62" s="2524" t="s">
        <v>29801</v>
      </c>
      <c r="AN62" s="2524" t="s">
        <v>29802</v>
      </c>
      <c r="AO62" s="2524" t="s">
        <v>30388</v>
      </c>
      <c r="AP62" s="2524" t="s">
        <v>30389</v>
      </c>
      <c r="AQ62" s="2524" t="s">
        <v>30390</v>
      </c>
      <c r="AR62" s="2524" t="s">
        <v>30391</v>
      </c>
    </row>
    <row r="63" spans="1:44">
      <c r="C63" s="2540" t="s">
        <v>25017</v>
      </c>
      <c r="D63" s="2541" t="s">
        <v>22742</v>
      </c>
      <c r="E63" s="2542"/>
      <c r="F63" s="2542"/>
      <c r="G63" s="2542"/>
      <c r="H63" s="2542"/>
      <c r="I63" s="2542"/>
      <c r="J63" s="2542"/>
      <c r="K63" s="2543"/>
      <c r="L63" s="2543"/>
      <c r="M63" s="2543"/>
      <c r="N63" s="2543"/>
      <c r="O63" s="2543"/>
      <c r="P63" s="2543"/>
      <c r="Q63" s="2543"/>
      <c r="R63" s="2543"/>
      <c r="S63" s="2543"/>
      <c r="T63" s="2543"/>
      <c r="U63" s="2543"/>
      <c r="V63" s="2543"/>
      <c r="W63" s="2543"/>
      <c r="X63" s="2543"/>
      <c r="Y63" s="2543"/>
      <c r="Z63" s="2543"/>
      <c r="AA63" s="2543"/>
      <c r="AB63" s="2543"/>
      <c r="AC63" s="2543"/>
      <c r="AD63" s="2543"/>
      <c r="AE63" s="2543"/>
      <c r="AF63" s="2543"/>
      <c r="AG63" s="2543"/>
      <c r="AH63" s="2543"/>
      <c r="AI63" s="2543"/>
      <c r="AJ63" s="2543"/>
      <c r="AK63" s="2543"/>
      <c r="AL63" s="2543"/>
      <c r="AM63" s="2543"/>
      <c r="AN63" s="2543"/>
      <c r="AO63" s="2543"/>
      <c r="AP63" s="2543"/>
      <c r="AQ63" s="2543"/>
      <c r="AR63" s="2543"/>
    </row>
    <row r="64" spans="1:44" ht="16.5">
      <c r="C64" s="2544" t="s">
        <v>24775</v>
      </c>
      <c r="D64" s="2505" t="s">
        <v>22742</v>
      </c>
      <c r="E64" s="2525"/>
      <c r="F64" s="2525"/>
      <c r="G64" s="2525"/>
      <c r="H64" s="2525"/>
      <c r="I64" s="2525"/>
      <c r="J64" s="2525"/>
      <c r="K64" s="2530"/>
      <c r="L64" s="2530"/>
      <c r="M64" s="2530"/>
      <c r="N64" s="2530"/>
      <c r="O64" s="2530"/>
      <c r="P64" s="2530"/>
      <c r="Q64" s="2530"/>
      <c r="R64" s="2530"/>
      <c r="S64" s="2530"/>
      <c r="T64" s="2530"/>
      <c r="U64" s="2530"/>
      <c r="V64" s="2530"/>
      <c r="W64" s="2530"/>
      <c r="X64" s="2530"/>
      <c r="Y64" s="2530"/>
      <c r="Z64" s="2530"/>
      <c r="AA64" s="2530"/>
      <c r="AB64" s="2530"/>
      <c r="AC64" s="2530"/>
      <c r="AD64" s="2530"/>
      <c r="AE64" s="2530"/>
      <c r="AF64" s="2530"/>
      <c r="AG64" s="2530"/>
      <c r="AH64" s="2530"/>
      <c r="AI64" s="2530"/>
      <c r="AJ64" s="2530"/>
      <c r="AK64" s="2530"/>
      <c r="AL64" s="2530"/>
      <c r="AM64" s="2530"/>
      <c r="AN64" s="2530"/>
      <c r="AO64" s="2530"/>
      <c r="AP64" s="2530"/>
      <c r="AQ64" s="2530"/>
      <c r="AR64" s="2530"/>
    </row>
    <row r="65" spans="1:44">
      <c r="C65" s="2545" t="s">
        <v>30597</v>
      </c>
      <c r="D65" s="2505" t="s">
        <v>22742</v>
      </c>
      <c r="E65" s="2525"/>
      <c r="F65" s="2525"/>
      <c r="G65" s="2525"/>
      <c r="H65" s="2525"/>
      <c r="I65" s="2525"/>
      <c r="J65" s="2525"/>
      <c r="K65" s="2530"/>
      <c r="L65" s="2530"/>
      <c r="M65" s="2530"/>
      <c r="N65" s="2530"/>
      <c r="O65" s="2530"/>
      <c r="P65" s="2530"/>
      <c r="Q65" s="2530"/>
      <c r="R65" s="2530"/>
      <c r="S65" s="2530"/>
      <c r="T65" s="2530"/>
      <c r="U65" s="2530"/>
      <c r="V65" s="2530"/>
      <c r="W65" s="2530"/>
      <c r="X65" s="2530"/>
      <c r="Y65" s="2530"/>
      <c r="Z65" s="2530"/>
      <c r="AA65" s="2530"/>
      <c r="AB65" s="2530"/>
      <c r="AC65" s="2530"/>
      <c r="AD65" s="2530"/>
      <c r="AE65" s="2530"/>
      <c r="AF65" s="2530"/>
      <c r="AG65" s="2530"/>
      <c r="AH65" s="2530"/>
      <c r="AI65" s="2530"/>
      <c r="AJ65" s="2530"/>
      <c r="AK65" s="2530"/>
      <c r="AL65" s="2530"/>
      <c r="AM65" s="2530"/>
      <c r="AN65" s="2530"/>
      <c r="AO65" s="2530"/>
      <c r="AP65" s="2530"/>
      <c r="AQ65" s="2530"/>
      <c r="AR65" s="2530"/>
    </row>
    <row r="66" spans="1:44">
      <c r="C66" s="2546" t="s">
        <v>25016</v>
      </c>
      <c r="D66" s="2547" t="s">
        <v>25009</v>
      </c>
      <c r="E66" s="2548"/>
      <c r="F66" s="2548"/>
      <c r="G66" s="2548"/>
      <c r="H66" s="2548"/>
      <c r="I66" s="2548"/>
      <c r="J66" s="2548"/>
      <c r="K66" s="2549"/>
      <c r="L66" s="2549"/>
      <c r="M66" s="2549"/>
      <c r="N66" s="2549"/>
      <c r="O66" s="2549"/>
      <c r="P66" s="2549"/>
      <c r="Q66" s="2549"/>
      <c r="R66" s="2549"/>
      <c r="S66" s="2549"/>
      <c r="T66" s="2549"/>
      <c r="U66" s="2549"/>
      <c r="V66" s="2549"/>
      <c r="W66" s="2549"/>
      <c r="X66" s="2549"/>
      <c r="Y66" s="2549"/>
      <c r="Z66" s="2549"/>
      <c r="AA66" s="2549"/>
      <c r="AB66" s="2549"/>
      <c r="AC66" s="2549"/>
      <c r="AD66" s="2549"/>
      <c r="AE66" s="2549"/>
      <c r="AF66" s="2549"/>
      <c r="AG66" s="2549"/>
      <c r="AH66" s="2549"/>
      <c r="AI66" s="2549"/>
      <c r="AJ66" s="2549"/>
      <c r="AK66" s="2549"/>
      <c r="AL66" s="2549"/>
      <c r="AM66" s="2549"/>
      <c r="AN66" s="2549"/>
      <c r="AO66" s="2549"/>
      <c r="AP66" s="2549"/>
      <c r="AQ66" s="2549"/>
      <c r="AR66" s="2549"/>
    </row>
    <row r="67" spans="1:44">
      <c r="C67" s="256"/>
      <c r="D67" s="256"/>
      <c r="E67" s="256"/>
      <c r="F67" s="256"/>
      <c r="G67" s="32"/>
      <c r="I67" s="32"/>
      <c r="K67" s="32"/>
      <c r="L67" s="32"/>
      <c r="N67" s="32"/>
      <c r="P67" s="32"/>
      <c r="Q67" s="32"/>
      <c r="S67" s="32"/>
      <c r="U67" s="32"/>
      <c r="W67" s="32"/>
      <c r="Y67" s="32"/>
      <c r="AA67" s="32"/>
      <c r="AC67" s="256"/>
      <c r="AD67" s="256"/>
      <c r="AE67" s="256"/>
      <c r="AF67" s="256"/>
      <c r="AG67" s="256"/>
      <c r="AH67" s="256"/>
      <c r="AI67" s="256"/>
      <c r="AJ67" s="256"/>
      <c r="AK67" s="256"/>
      <c r="AL67" s="256"/>
      <c r="AM67" s="256"/>
      <c r="AN67" s="256"/>
      <c r="AO67" s="256"/>
      <c r="AP67" s="256"/>
      <c r="AQ67" s="256"/>
      <c r="AR67" s="256"/>
    </row>
    <row r="68" spans="1:44">
      <c r="C68" s="260" t="s">
        <v>26054</v>
      </c>
      <c r="D68" s="260"/>
      <c r="E68" s="260"/>
      <c r="F68" s="260"/>
      <c r="G68" s="260"/>
      <c r="H68" s="260"/>
      <c r="I68" s="260"/>
      <c r="J68" s="260"/>
      <c r="K68" s="260"/>
      <c r="L68" s="260"/>
      <c r="M68" s="260"/>
      <c r="N68" s="260"/>
      <c r="O68" s="260"/>
      <c r="P68" s="260"/>
      <c r="Q68" s="260"/>
      <c r="R68" s="260"/>
      <c r="S68" s="260"/>
      <c r="T68" s="260"/>
      <c r="U68" s="260"/>
      <c r="V68" s="260"/>
      <c r="W68" s="260"/>
      <c r="X68" s="260"/>
      <c r="Y68" s="260"/>
      <c r="Z68" s="260"/>
      <c r="AA68" s="260"/>
      <c r="AB68" s="260"/>
      <c r="AC68" s="260"/>
      <c r="AD68" s="260"/>
      <c r="AE68" s="260"/>
      <c r="AF68" s="260"/>
      <c r="AG68" s="260"/>
      <c r="AH68" s="260"/>
      <c r="AI68" s="260"/>
      <c r="AJ68" s="260"/>
      <c r="AK68" s="260"/>
      <c r="AL68" s="260"/>
      <c r="AM68" s="260"/>
      <c r="AN68" s="260"/>
      <c r="AO68" s="260"/>
      <c r="AP68" s="260"/>
      <c r="AQ68" s="260"/>
      <c r="AR68" s="260"/>
    </row>
    <row r="69" spans="1:44">
      <c r="A69" s="55"/>
      <c r="B69" s="55"/>
      <c r="C69" s="378"/>
      <c r="D69" s="2523" t="s">
        <v>22740</v>
      </c>
      <c r="E69" s="2524" t="s">
        <v>29767</v>
      </c>
      <c r="F69" s="2524" t="s">
        <v>29768</v>
      </c>
      <c r="G69" s="2524" t="s">
        <v>29769</v>
      </c>
      <c r="H69" s="2524" t="s">
        <v>29770</v>
      </c>
      <c r="I69" s="2524" t="s">
        <v>29771</v>
      </c>
      <c r="J69" s="2524" t="s">
        <v>29772</v>
      </c>
      <c r="K69" s="2524" t="s">
        <v>29773</v>
      </c>
      <c r="L69" s="2524" t="s">
        <v>29774</v>
      </c>
      <c r="M69" s="2524" t="s">
        <v>29775</v>
      </c>
      <c r="N69" s="2524" t="s">
        <v>29776</v>
      </c>
      <c r="O69" s="2524" t="s">
        <v>29777</v>
      </c>
      <c r="P69" s="2524" t="s">
        <v>29778</v>
      </c>
      <c r="Q69" s="2524" t="s">
        <v>29779</v>
      </c>
      <c r="R69" s="2524" t="s">
        <v>29780</v>
      </c>
      <c r="S69" s="2524" t="s">
        <v>29781</v>
      </c>
      <c r="T69" s="2524" t="s">
        <v>29782</v>
      </c>
      <c r="U69" s="2524" t="s">
        <v>29783</v>
      </c>
      <c r="V69" s="2524" t="s">
        <v>29784</v>
      </c>
      <c r="W69" s="2524" t="s">
        <v>29785</v>
      </c>
      <c r="X69" s="2524" t="s">
        <v>29786</v>
      </c>
      <c r="Y69" s="2524" t="s">
        <v>29787</v>
      </c>
      <c r="Z69" s="2524" t="s">
        <v>29788</v>
      </c>
      <c r="AA69" s="2524" t="s">
        <v>29789</v>
      </c>
      <c r="AB69" s="2524" t="s">
        <v>29790</v>
      </c>
      <c r="AC69" s="2524" t="s">
        <v>29791</v>
      </c>
      <c r="AD69" s="2524" t="s">
        <v>29792</v>
      </c>
      <c r="AE69" s="2524" t="s">
        <v>29793</v>
      </c>
      <c r="AF69" s="2524" t="s">
        <v>29794</v>
      </c>
      <c r="AG69" s="2524" t="s">
        <v>29795</v>
      </c>
      <c r="AH69" s="2524" t="s">
        <v>29796</v>
      </c>
      <c r="AI69" s="2524" t="s">
        <v>29797</v>
      </c>
      <c r="AJ69" s="2524" t="s">
        <v>29798</v>
      </c>
      <c r="AK69" s="2524" t="s">
        <v>29799</v>
      </c>
      <c r="AL69" s="2524" t="s">
        <v>29800</v>
      </c>
      <c r="AM69" s="2524" t="s">
        <v>29801</v>
      </c>
      <c r="AN69" s="2524" t="s">
        <v>29802</v>
      </c>
      <c r="AO69" s="2524" t="s">
        <v>30388</v>
      </c>
      <c r="AP69" s="2524" t="s">
        <v>30389</v>
      </c>
      <c r="AQ69" s="2524" t="s">
        <v>30390</v>
      </c>
      <c r="AR69" s="2524" t="s">
        <v>30391</v>
      </c>
    </row>
    <row r="70" spans="1:44">
      <c r="C70" s="2544" t="s">
        <v>22824</v>
      </c>
      <c r="D70" s="2550" t="s">
        <v>25009</v>
      </c>
      <c r="E70" s="2719"/>
      <c r="F70" s="2551"/>
      <c r="G70" s="2551"/>
      <c r="H70" s="2551"/>
      <c r="I70" s="2551"/>
      <c r="J70" s="2551"/>
      <c r="K70" s="2552"/>
      <c r="L70" s="2552"/>
      <c r="M70" s="2552"/>
      <c r="N70" s="2552"/>
      <c r="O70" s="2552"/>
      <c r="P70" s="2552"/>
      <c r="Q70" s="2552"/>
      <c r="R70" s="2552"/>
      <c r="S70" s="2552"/>
      <c r="T70" s="2552"/>
      <c r="U70" s="2552"/>
      <c r="V70" s="2552"/>
      <c r="W70" s="2552"/>
      <c r="X70" s="2552"/>
      <c r="Y70" s="2552"/>
      <c r="Z70" s="2552"/>
      <c r="AA70" s="2552"/>
      <c r="AB70" s="2552"/>
      <c r="AC70" s="2552"/>
      <c r="AD70" s="2552"/>
      <c r="AE70" s="2552"/>
      <c r="AF70" s="2552"/>
      <c r="AG70" s="2552"/>
      <c r="AH70" s="2552"/>
      <c r="AI70" s="2552"/>
      <c r="AJ70" s="2552"/>
      <c r="AK70" s="2552"/>
      <c r="AL70" s="2552"/>
      <c r="AM70" s="2552"/>
      <c r="AN70" s="2552"/>
      <c r="AO70" s="2552"/>
      <c r="AP70" s="2552"/>
      <c r="AQ70" s="2552"/>
      <c r="AR70" s="2552"/>
    </row>
    <row r="71" spans="1:44">
      <c r="C71" s="2553" t="s">
        <v>25012</v>
      </c>
      <c r="D71" s="2554" t="s">
        <v>22742</v>
      </c>
      <c r="E71" s="2555"/>
      <c r="F71" s="2555"/>
      <c r="G71" s="2555"/>
      <c r="H71" s="2555"/>
      <c r="I71" s="2555"/>
      <c r="J71" s="2555"/>
      <c r="K71" s="2556"/>
      <c r="L71" s="2556"/>
      <c r="M71" s="2556"/>
      <c r="N71" s="2556"/>
      <c r="O71" s="2556"/>
      <c r="P71" s="2556"/>
      <c r="Q71" s="2556"/>
      <c r="R71" s="2556"/>
      <c r="S71" s="2556"/>
      <c r="T71" s="2556"/>
      <c r="U71" s="2556"/>
      <c r="V71" s="2556"/>
      <c r="W71" s="2556"/>
      <c r="X71" s="2557"/>
      <c r="Y71" s="2556"/>
      <c r="Z71" s="2556"/>
      <c r="AA71" s="2556"/>
      <c r="AB71" s="2556"/>
      <c r="AC71" s="2556"/>
      <c r="AD71" s="2556"/>
      <c r="AE71" s="2556"/>
      <c r="AF71" s="2556"/>
      <c r="AG71" s="2556"/>
      <c r="AH71" s="2556"/>
      <c r="AI71" s="2556"/>
      <c r="AJ71" s="2556"/>
      <c r="AK71" s="2556"/>
      <c r="AL71" s="2556"/>
      <c r="AM71" s="2556"/>
      <c r="AN71" s="2556"/>
      <c r="AO71" s="2556"/>
      <c r="AP71" s="2556"/>
      <c r="AQ71" s="2556"/>
      <c r="AR71" s="2556"/>
    </row>
    <row r="72" spans="1:44">
      <c r="C72" s="2558" t="s">
        <v>25013</v>
      </c>
      <c r="D72" s="2554" t="s">
        <v>25010</v>
      </c>
      <c r="E72" s="2559"/>
      <c r="F72" s="2559"/>
      <c r="G72" s="2559"/>
      <c r="H72" s="2559"/>
      <c r="I72" s="2559"/>
      <c r="J72" s="2559"/>
      <c r="K72" s="2556"/>
      <c r="L72" s="2556"/>
      <c r="M72" s="2556"/>
      <c r="N72" s="2556"/>
      <c r="O72" s="2556"/>
      <c r="P72" s="2556"/>
      <c r="Q72" s="2556"/>
      <c r="R72" s="2556"/>
      <c r="S72" s="2556"/>
      <c r="T72" s="2556"/>
      <c r="U72" s="2556"/>
      <c r="V72" s="2556"/>
      <c r="W72" s="2556"/>
      <c r="X72" s="2556"/>
      <c r="Y72" s="2556"/>
      <c r="Z72" s="2556"/>
      <c r="AA72" s="2556"/>
      <c r="AB72" s="2556"/>
      <c r="AC72" s="2556"/>
      <c r="AD72" s="2556"/>
      <c r="AE72" s="2556"/>
      <c r="AF72" s="2556"/>
      <c r="AG72" s="2556"/>
      <c r="AH72" s="2556"/>
      <c r="AI72" s="2556"/>
      <c r="AJ72" s="2556"/>
      <c r="AK72" s="2556"/>
      <c r="AL72" s="2556"/>
      <c r="AM72" s="2556"/>
      <c r="AN72" s="2556"/>
      <c r="AO72" s="2556"/>
      <c r="AP72" s="2556"/>
      <c r="AQ72" s="2556"/>
      <c r="AR72" s="2556"/>
    </row>
    <row r="73" spans="1:44">
      <c r="D73" s="278"/>
      <c r="E73" s="2560"/>
      <c r="F73" s="2561"/>
      <c r="G73" s="2561"/>
      <c r="H73" s="2561"/>
      <c r="I73" s="2562"/>
      <c r="J73" s="2562"/>
      <c r="K73" s="2562"/>
      <c r="L73" s="2562"/>
      <c r="M73" s="2562"/>
      <c r="N73" s="2562"/>
      <c r="O73" s="2562"/>
      <c r="P73" s="2562"/>
      <c r="Q73" s="2562"/>
      <c r="R73" s="2562"/>
      <c r="S73" s="2562"/>
      <c r="T73" s="2562"/>
      <c r="U73" s="2562"/>
      <c r="V73" s="2562"/>
      <c r="W73" s="2562"/>
      <c r="X73" s="2562"/>
      <c r="Y73" s="2562"/>
      <c r="Z73" s="2562"/>
      <c r="AA73" s="2562"/>
      <c r="AB73" s="2562"/>
      <c r="AC73" s="2562"/>
      <c r="AD73" s="2562"/>
      <c r="AE73" s="2562"/>
      <c r="AF73" s="2562"/>
      <c r="AG73" s="2562"/>
      <c r="AH73" s="2562"/>
      <c r="AI73" s="2562"/>
      <c r="AJ73" s="2562"/>
      <c r="AK73" s="2562"/>
      <c r="AL73" s="2562"/>
      <c r="AM73" s="2562"/>
      <c r="AN73" s="2562"/>
      <c r="AO73" s="2562"/>
      <c r="AP73" s="2562"/>
      <c r="AQ73" s="2562"/>
      <c r="AR73" s="2562"/>
    </row>
    <row r="74" spans="1:44">
      <c r="C74" s="260" t="s">
        <v>31205</v>
      </c>
      <c r="D74" s="260"/>
      <c r="E74" s="260"/>
      <c r="F74" s="260"/>
      <c r="G74" s="260"/>
      <c r="H74" s="260"/>
      <c r="I74" s="260"/>
      <c r="J74" s="260"/>
      <c r="K74" s="260"/>
      <c r="L74" s="260"/>
      <c r="M74" s="260"/>
      <c r="N74" s="260"/>
      <c r="O74" s="260"/>
      <c r="P74" s="260"/>
      <c r="Q74" s="260"/>
      <c r="R74" s="260"/>
      <c r="S74" s="260"/>
      <c r="T74" s="260"/>
      <c r="U74" s="260"/>
      <c r="V74" s="260"/>
      <c r="W74" s="260"/>
      <c r="X74" s="260"/>
      <c r="Y74" s="260"/>
      <c r="Z74" s="260"/>
      <c r="AA74" s="260"/>
      <c r="AB74" s="260"/>
      <c r="AC74" s="260"/>
      <c r="AD74" s="260"/>
      <c r="AE74" s="260"/>
      <c r="AF74" s="260"/>
      <c r="AG74" s="260"/>
      <c r="AH74" s="260"/>
      <c r="AI74" s="260"/>
      <c r="AJ74" s="260"/>
      <c r="AK74" s="260"/>
      <c r="AL74" s="260"/>
      <c r="AM74" s="260"/>
      <c r="AN74" s="260"/>
      <c r="AO74" s="260"/>
      <c r="AP74" s="260"/>
      <c r="AQ74" s="260"/>
      <c r="AR74" s="260"/>
    </row>
    <row r="75" spans="1:44">
      <c r="D75" s="2523" t="s">
        <v>22740</v>
      </c>
      <c r="E75" s="2524" t="s">
        <v>29767</v>
      </c>
      <c r="F75" s="2524" t="s">
        <v>29768</v>
      </c>
      <c r="G75" s="2524" t="s">
        <v>29769</v>
      </c>
      <c r="H75" s="2524" t="s">
        <v>29770</v>
      </c>
      <c r="I75" s="2524" t="s">
        <v>29771</v>
      </c>
      <c r="J75" s="2524" t="s">
        <v>29772</v>
      </c>
      <c r="K75" s="2524" t="s">
        <v>29773</v>
      </c>
      <c r="L75" s="2524" t="s">
        <v>29774</v>
      </c>
      <c r="M75" s="2524" t="s">
        <v>29775</v>
      </c>
      <c r="N75" s="2524" t="s">
        <v>29776</v>
      </c>
      <c r="O75" s="2524" t="s">
        <v>29777</v>
      </c>
      <c r="P75" s="2524" t="s">
        <v>29778</v>
      </c>
      <c r="Q75" s="2524" t="s">
        <v>29779</v>
      </c>
      <c r="R75" s="2524" t="s">
        <v>29780</v>
      </c>
      <c r="S75" s="2524" t="s">
        <v>29781</v>
      </c>
      <c r="T75" s="2524" t="s">
        <v>29782</v>
      </c>
      <c r="U75" s="2524" t="s">
        <v>29783</v>
      </c>
      <c r="V75" s="2524" t="s">
        <v>29784</v>
      </c>
      <c r="W75" s="2524" t="s">
        <v>29785</v>
      </c>
      <c r="X75" s="2524" t="s">
        <v>29786</v>
      </c>
      <c r="Y75" s="2524" t="s">
        <v>29787</v>
      </c>
      <c r="Z75" s="2524" t="s">
        <v>29788</v>
      </c>
      <c r="AA75" s="2524" t="s">
        <v>29789</v>
      </c>
      <c r="AB75" s="2524" t="s">
        <v>29790</v>
      </c>
      <c r="AC75" s="2524" t="s">
        <v>29791</v>
      </c>
      <c r="AD75" s="2524" t="s">
        <v>29792</v>
      </c>
      <c r="AE75" s="2524" t="s">
        <v>29793</v>
      </c>
      <c r="AF75" s="2524" t="s">
        <v>29794</v>
      </c>
      <c r="AG75" s="2524" t="s">
        <v>29795</v>
      </c>
      <c r="AH75" s="2524" t="s">
        <v>29796</v>
      </c>
      <c r="AI75" s="2524" t="s">
        <v>29797</v>
      </c>
      <c r="AJ75" s="2524" t="s">
        <v>29798</v>
      </c>
      <c r="AK75" s="2524" t="s">
        <v>29799</v>
      </c>
      <c r="AL75" s="2524" t="s">
        <v>29800</v>
      </c>
      <c r="AM75" s="2524" t="s">
        <v>29801</v>
      </c>
      <c r="AN75" s="2524" t="s">
        <v>29802</v>
      </c>
      <c r="AO75" s="2524" t="s">
        <v>30388</v>
      </c>
      <c r="AP75" s="2524" t="s">
        <v>30389</v>
      </c>
      <c r="AQ75" s="2524" t="s">
        <v>30390</v>
      </c>
      <c r="AR75" s="2524" t="s">
        <v>30391</v>
      </c>
    </row>
    <row r="76" spans="1:44">
      <c r="C76" s="2563" t="s">
        <v>31207</v>
      </c>
      <c r="D76" s="2564" t="s">
        <v>28829</v>
      </c>
      <c r="E76" s="2565"/>
      <c r="F76" s="2565"/>
      <c r="G76" s="2565"/>
      <c r="H76" s="2565"/>
      <c r="I76" s="2565"/>
      <c r="J76" s="2565"/>
      <c r="K76" s="2566"/>
      <c r="L76" s="2566"/>
      <c r="M76" s="2566"/>
      <c r="N76" s="2566"/>
      <c r="O76" s="2566"/>
      <c r="P76" s="2566"/>
      <c r="Q76" s="2566"/>
      <c r="R76" s="2566"/>
      <c r="S76" s="2566"/>
      <c r="T76" s="2566"/>
      <c r="U76" s="2566"/>
      <c r="V76" s="2566"/>
      <c r="W76" s="2566"/>
      <c r="X76" s="2566"/>
      <c r="Y76" s="2566"/>
      <c r="Z76" s="2566"/>
      <c r="AA76" s="2566"/>
      <c r="AB76" s="2566"/>
      <c r="AC76" s="2566"/>
      <c r="AD76" s="2566"/>
      <c r="AE76" s="2566"/>
      <c r="AF76" s="2566"/>
      <c r="AG76" s="2566"/>
      <c r="AH76" s="2566"/>
      <c r="AI76" s="2566"/>
      <c r="AJ76" s="2566"/>
      <c r="AK76" s="2566"/>
      <c r="AL76" s="2566"/>
      <c r="AM76" s="2566"/>
      <c r="AN76" s="2566"/>
      <c r="AO76" s="2566"/>
      <c r="AP76" s="2566"/>
      <c r="AQ76" s="2566"/>
      <c r="AR76" s="2566"/>
    </row>
    <row r="77" spans="1:44" ht="15.75">
      <c r="C77" s="2567" t="s">
        <v>27089</v>
      </c>
      <c r="D77" s="2505" t="s">
        <v>22742</v>
      </c>
      <c r="E77" s="2525"/>
      <c r="F77" s="2525"/>
      <c r="G77" s="2525"/>
      <c r="H77" s="2525"/>
      <c r="I77" s="2525"/>
      <c r="J77" s="2525"/>
      <c r="K77" s="2525"/>
      <c r="L77" s="2525"/>
      <c r="M77" s="2525"/>
      <c r="N77" s="2525"/>
      <c r="O77" s="2525"/>
      <c r="P77" s="2525"/>
      <c r="Q77" s="2525"/>
      <c r="R77" s="2525"/>
      <c r="S77" s="2525"/>
      <c r="T77" s="2525"/>
      <c r="U77" s="2525"/>
      <c r="V77" s="2525"/>
      <c r="W77" s="2525"/>
      <c r="X77" s="2525"/>
      <c r="Y77" s="2525"/>
      <c r="Z77" s="2525"/>
      <c r="AA77" s="2525"/>
      <c r="AB77" s="2525"/>
      <c r="AC77" s="2525"/>
      <c r="AD77" s="2525"/>
      <c r="AE77" s="2525"/>
      <c r="AF77" s="2525"/>
      <c r="AG77" s="2525"/>
      <c r="AH77" s="2525"/>
      <c r="AI77" s="2525"/>
      <c r="AJ77" s="2525"/>
      <c r="AK77" s="2525"/>
      <c r="AL77" s="2525"/>
      <c r="AM77" s="2525"/>
      <c r="AN77" s="2525"/>
      <c r="AO77" s="2525"/>
      <c r="AP77" s="2525"/>
      <c r="AQ77" s="2525"/>
      <c r="AR77" s="2525"/>
    </row>
    <row r="78" spans="1:44">
      <c r="D78" s="278"/>
      <c r="E78" s="2560"/>
      <c r="F78" s="2560"/>
      <c r="G78" s="2560"/>
      <c r="H78" s="2560"/>
      <c r="I78" s="2562"/>
      <c r="J78" s="2562"/>
      <c r="K78" s="2562"/>
      <c r="L78" s="2562"/>
      <c r="M78" s="2562"/>
      <c r="N78" s="2562"/>
      <c r="O78" s="2562"/>
      <c r="P78" s="2562"/>
      <c r="Q78" s="2562"/>
      <c r="R78" s="2562"/>
      <c r="S78" s="2562"/>
      <c r="T78" s="2562"/>
      <c r="U78" s="2562"/>
      <c r="V78" s="2562"/>
      <c r="W78" s="2562"/>
      <c r="X78" s="2562"/>
      <c r="Y78" s="2562"/>
      <c r="Z78" s="2562"/>
      <c r="AA78" s="2562"/>
      <c r="AB78" s="2562"/>
      <c r="AC78" s="2562"/>
      <c r="AD78" s="2562"/>
      <c r="AE78" s="2562"/>
      <c r="AF78" s="2562"/>
      <c r="AG78" s="2562"/>
      <c r="AH78" s="2562"/>
      <c r="AI78" s="2562"/>
      <c r="AJ78" s="2562"/>
      <c r="AK78" s="2562"/>
      <c r="AL78" s="2562"/>
      <c r="AM78" s="2562"/>
      <c r="AN78" s="2562"/>
      <c r="AO78" s="2562"/>
      <c r="AP78" s="2562"/>
      <c r="AQ78" s="2562"/>
      <c r="AR78" s="2562"/>
    </row>
    <row r="79" spans="1:44">
      <c r="C79" s="260" t="s">
        <v>22747</v>
      </c>
      <c r="D79" s="260"/>
      <c r="E79" s="260"/>
      <c r="F79" s="260"/>
      <c r="G79" s="260"/>
      <c r="H79" s="260"/>
      <c r="I79" s="260"/>
      <c r="J79" s="260"/>
      <c r="K79" s="260"/>
      <c r="L79" s="260"/>
      <c r="M79" s="260"/>
      <c r="N79" s="260"/>
      <c r="O79" s="260"/>
      <c r="P79" s="260"/>
      <c r="Q79" s="260"/>
      <c r="R79" s="260"/>
      <c r="S79" s="260"/>
      <c r="T79" s="260"/>
      <c r="U79" s="260"/>
      <c r="V79" s="260"/>
      <c r="W79" s="260"/>
      <c r="X79" s="260"/>
      <c r="Y79" s="260"/>
      <c r="Z79" s="260"/>
      <c r="AA79" s="260"/>
      <c r="AB79" s="260"/>
      <c r="AC79" s="260"/>
      <c r="AD79" s="260"/>
      <c r="AE79" s="260"/>
      <c r="AF79" s="260"/>
      <c r="AG79" s="260"/>
      <c r="AH79" s="260"/>
      <c r="AI79" s="260"/>
      <c r="AJ79" s="260"/>
      <c r="AK79" s="260"/>
      <c r="AL79" s="260"/>
      <c r="AM79" s="260"/>
      <c r="AN79" s="260"/>
      <c r="AO79" s="260"/>
      <c r="AP79" s="260"/>
      <c r="AQ79" s="260"/>
      <c r="AR79" s="260"/>
    </row>
    <row r="80" spans="1:44">
      <c r="A80" s="55"/>
      <c r="B80" s="55"/>
      <c r="C80" s="378"/>
      <c r="D80" s="2523" t="s">
        <v>22740</v>
      </c>
      <c r="E80" s="2524" t="s">
        <v>29767</v>
      </c>
      <c r="F80" s="2524" t="s">
        <v>29768</v>
      </c>
      <c r="G80" s="2524" t="s">
        <v>29769</v>
      </c>
      <c r="H80" s="2524" t="s">
        <v>29770</v>
      </c>
      <c r="I80" s="2524" t="s">
        <v>29771</v>
      </c>
      <c r="J80" s="2524" t="s">
        <v>29772</v>
      </c>
      <c r="K80" s="2524" t="s">
        <v>29773</v>
      </c>
      <c r="L80" s="2524" t="s">
        <v>29774</v>
      </c>
      <c r="M80" s="2524" t="s">
        <v>29775</v>
      </c>
      <c r="N80" s="2524" t="s">
        <v>29776</v>
      </c>
      <c r="O80" s="2524" t="s">
        <v>29777</v>
      </c>
      <c r="P80" s="2524" t="s">
        <v>29778</v>
      </c>
      <c r="Q80" s="2524" t="s">
        <v>29779</v>
      </c>
      <c r="R80" s="2524" t="s">
        <v>29780</v>
      </c>
      <c r="S80" s="2524" t="s">
        <v>29781</v>
      </c>
      <c r="T80" s="2524" t="s">
        <v>29782</v>
      </c>
      <c r="U80" s="2524" t="s">
        <v>29783</v>
      </c>
      <c r="V80" s="2524" t="s">
        <v>29784</v>
      </c>
      <c r="W80" s="2524" t="s">
        <v>29785</v>
      </c>
      <c r="X80" s="2524" t="s">
        <v>29786</v>
      </c>
      <c r="Y80" s="2524" t="s">
        <v>29787</v>
      </c>
      <c r="Z80" s="2524" t="s">
        <v>29788</v>
      </c>
      <c r="AA80" s="2524" t="s">
        <v>29789</v>
      </c>
      <c r="AB80" s="2524" t="s">
        <v>29790</v>
      </c>
      <c r="AC80" s="2524" t="s">
        <v>29791</v>
      </c>
      <c r="AD80" s="2524" t="s">
        <v>29792</v>
      </c>
      <c r="AE80" s="2524" t="s">
        <v>29793</v>
      </c>
      <c r="AF80" s="2524" t="s">
        <v>29794</v>
      </c>
      <c r="AG80" s="2524" t="s">
        <v>29795</v>
      </c>
      <c r="AH80" s="2524" t="s">
        <v>29796</v>
      </c>
      <c r="AI80" s="2524" t="s">
        <v>29797</v>
      </c>
      <c r="AJ80" s="2524" t="s">
        <v>29798</v>
      </c>
      <c r="AK80" s="2524" t="s">
        <v>29799</v>
      </c>
      <c r="AL80" s="2524" t="s">
        <v>29800</v>
      </c>
      <c r="AM80" s="2524" t="s">
        <v>29801</v>
      </c>
      <c r="AN80" s="2524" t="s">
        <v>29802</v>
      </c>
      <c r="AO80" s="2524" t="s">
        <v>30388</v>
      </c>
      <c r="AP80" s="2524" t="s">
        <v>30389</v>
      </c>
      <c r="AQ80" s="2524" t="s">
        <v>30390</v>
      </c>
      <c r="AR80" s="2524" t="s">
        <v>30391</v>
      </c>
    </row>
    <row r="81" spans="1:44">
      <c r="C81" s="2568" t="s">
        <v>22748</v>
      </c>
      <c r="D81" s="2569" t="s">
        <v>22742</v>
      </c>
      <c r="E81" s="2570"/>
      <c r="F81" s="2570"/>
      <c r="G81" s="2570"/>
      <c r="H81" s="2570"/>
      <c r="I81" s="2570"/>
      <c r="J81" s="2570"/>
      <c r="K81" s="2571"/>
      <c r="L81" s="2571"/>
      <c r="M81" s="2571"/>
      <c r="N81" s="2571"/>
      <c r="O81" s="2571"/>
      <c r="P81" s="2571"/>
      <c r="Q81" s="2571"/>
      <c r="R81" s="2571"/>
      <c r="S81" s="2571"/>
      <c r="T81" s="2571"/>
      <c r="U81" s="2571"/>
      <c r="V81" s="2571"/>
      <c r="W81" s="2571"/>
      <c r="X81" s="2571"/>
      <c r="Y81" s="2571"/>
      <c r="Z81" s="2571"/>
      <c r="AA81" s="2571"/>
      <c r="AB81" s="2571"/>
      <c r="AC81" s="2571"/>
      <c r="AD81" s="2571"/>
      <c r="AE81" s="2571"/>
      <c r="AF81" s="2571"/>
      <c r="AG81" s="2571"/>
      <c r="AH81" s="2571"/>
      <c r="AI81" s="2571"/>
      <c r="AJ81" s="2571"/>
      <c r="AK81" s="2571"/>
      <c r="AL81" s="2571"/>
      <c r="AM81" s="2571"/>
      <c r="AN81" s="2571"/>
      <c r="AO81" s="2571"/>
      <c r="AP81" s="2571"/>
      <c r="AQ81" s="2571"/>
      <c r="AR81" s="2571"/>
    </row>
    <row r="82" spans="1:44">
      <c r="C82" s="2504" t="s">
        <v>22749</v>
      </c>
      <c r="D82" s="2505" t="s">
        <v>22742</v>
      </c>
      <c r="E82" s="2525"/>
      <c r="F82" s="2525"/>
      <c r="G82" s="2525"/>
      <c r="H82" s="2525"/>
      <c r="I82" s="2525"/>
      <c r="J82" s="2525"/>
      <c r="K82" s="2572"/>
      <c r="L82" s="2572"/>
      <c r="M82" s="2530"/>
      <c r="N82" s="2572"/>
      <c r="O82" s="2530"/>
      <c r="P82" s="2572"/>
      <c r="Q82" s="2572"/>
      <c r="R82" s="2530"/>
      <c r="S82" s="2572"/>
      <c r="T82" s="2530"/>
      <c r="U82" s="2572"/>
      <c r="V82" s="2530"/>
      <c r="W82" s="2572"/>
      <c r="X82" s="2530"/>
      <c r="Y82" s="2572"/>
      <c r="Z82" s="2530"/>
      <c r="AA82" s="2572"/>
      <c r="AB82" s="2530"/>
      <c r="AC82" s="2530"/>
      <c r="AD82" s="2530"/>
      <c r="AE82" s="2530"/>
      <c r="AF82" s="2530"/>
      <c r="AG82" s="2530"/>
      <c r="AH82" s="2530"/>
      <c r="AI82" s="2530"/>
      <c r="AJ82" s="2530"/>
      <c r="AK82" s="2530"/>
      <c r="AL82" s="2530"/>
      <c r="AM82" s="2530"/>
      <c r="AN82" s="2530"/>
      <c r="AO82" s="2530"/>
      <c r="AP82" s="2530"/>
      <c r="AQ82" s="2530"/>
      <c r="AR82" s="2530"/>
    </row>
    <row r="83" spans="1:44">
      <c r="C83" s="2504" t="s">
        <v>22750</v>
      </c>
      <c r="D83" s="2505" t="s">
        <v>22742</v>
      </c>
      <c r="E83" s="2525"/>
      <c r="F83" s="2525"/>
      <c r="G83" s="2525"/>
      <c r="H83" s="2525"/>
      <c r="I83" s="2525"/>
      <c r="J83" s="2525"/>
      <c r="K83" s="2572"/>
      <c r="L83" s="2572"/>
      <c r="M83" s="2530"/>
      <c r="N83" s="2572"/>
      <c r="O83" s="2530"/>
      <c r="P83" s="2572"/>
      <c r="Q83" s="2572"/>
      <c r="R83" s="2530"/>
      <c r="S83" s="2572"/>
      <c r="T83" s="2530"/>
      <c r="U83" s="2572"/>
      <c r="V83" s="2530"/>
      <c r="W83" s="2572"/>
      <c r="X83" s="2530"/>
      <c r="Y83" s="2572"/>
      <c r="Z83" s="2530"/>
      <c r="AA83" s="2572"/>
      <c r="AB83" s="2530"/>
      <c r="AC83" s="2530"/>
      <c r="AD83" s="2530"/>
      <c r="AE83" s="2530"/>
      <c r="AF83" s="2530"/>
      <c r="AG83" s="2530"/>
      <c r="AH83" s="2530"/>
      <c r="AI83" s="2530"/>
      <c r="AJ83" s="2530"/>
      <c r="AK83" s="2530"/>
      <c r="AL83" s="2530"/>
      <c r="AM83" s="2530"/>
      <c r="AN83" s="2530"/>
      <c r="AO83" s="2530"/>
      <c r="AP83" s="2530"/>
      <c r="AQ83" s="2530"/>
      <c r="AR83" s="2530"/>
    </row>
    <row r="84" spans="1:44">
      <c r="C84" s="2504" t="s">
        <v>22715</v>
      </c>
      <c r="D84" s="2505" t="s">
        <v>22742</v>
      </c>
      <c r="E84" s="2525"/>
      <c r="F84" s="2525"/>
      <c r="G84" s="2525"/>
      <c r="H84" s="2525"/>
      <c r="I84" s="2525"/>
      <c r="J84" s="2525"/>
      <c r="K84" s="2572"/>
      <c r="L84" s="2572"/>
      <c r="M84" s="2530"/>
      <c r="N84" s="2572"/>
      <c r="O84" s="2530"/>
      <c r="P84" s="2572"/>
      <c r="Q84" s="2572"/>
      <c r="R84" s="2530"/>
      <c r="S84" s="2572"/>
      <c r="T84" s="2530"/>
      <c r="U84" s="2572"/>
      <c r="V84" s="2530"/>
      <c r="W84" s="2572"/>
      <c r="X84" s="2530"/>
      <c r="Y84" s="2572"/>
      <c r="Z84" s="2530"/>
      <c r="AA84" s="2572"/>
      <c r="AB84" s="2530"/>
      <c r="AC84" s="2530"/>
      <c r="AD84" s="2530"/>
      <c r="AE84" s="2530"/>
      <c r="AF84" s="2530"/>
      <c r="AG84" s="2530"/>
      <c r="AH84" s="2530"/>
      <c r="AI84" s="2530"/>
      <c r="AJ84" s="2530"/>
      <c r="AK84" s="2530"/>
      <c r="AL84" s="2530"/>
      <c r="AM84" s="2530"/>
      <c r="AN84" s="2530"/>
      <c r="AO84" s="2530"/>
      <c r="AP84" s="2530"/>
      <c r="AQ84" s="2530"/>
      <c r="AR84" s="2530"/>
    </row>
    <row r="85" spans="1:44" ht="15.75">
      <c r="C85" s="2504" t="s">
        <v>22702</v>
      </c>
      <c r="D85" s="2505" t="s">
        <v>22742</v>
      </c>
      <c r="E85" s="2525"/>
      <c r="F85" s="2525"/>
      <c r="G85" s="2525"/>
      <c r="H85" s="2525"/>
      <c r="I85" s="2525"/>
      <c r="J85" s="2525"/>
      <c r="K85" s="2572"/>
      <c r="L85" s="2572"/>
      <c r="M85" s="2530"/>
      <c r="N85" s="2572"/>
      <c r="O85" s="2530"/>
      <c r="P85" s="2572"/>
      <c r="Q85" s="2572"/>
      <c r="R85" s="2530"/>
      <c r="S85" s="2572"/>
      <c r="T85" s="2530"/>
      <c r="U85" s="2572"/>
      <c r="V85" s="2530"/>
      <c r="W85" s="2572"/>
      <c r="X85" s="2530"/>
      <c r="Y85" s="2572"/>
      <c r="Z85" s="2530"/>
      <c r="AA85" s="2572"/>
      <c r="AB85" s="2530"/>
      <c r="AC85" s="2530"/>
      <c r="AD85" s="2530"/>
      <c r="AE85" s="2530"/>
      <c r="AF85" s="2530"/>
      <c r="AG85" s="2530"/>
      <c r="AH85" s="2530"/>
      <c r="AI85" s="2530"/>
      <c r="AJ85" s="2530"/>
      <c r="AK85" s="2530"/>
      <c r="AL85" s="2530"/>
      <c r="AM85" s="2530"/>
      <c r="AN85" s="2530"/>
      <c r="AO85" s="2530"/>
      <c r="AP85" s="2530"/>
      <c r="AQ85" s="2530"/>
      <c r="AR85" s="2530"/>
    </row>
    <row r="86" spans="1:44">
      <c r="C86" s="2504" t="s">
        <v>22751</v>
      </c>
      <c r="D86" s="2505" t="s">
        <v>30</v>
      </c>
      <c r="E86" s="2573"/>
      <c r="F86" s="2573"/>
      <c r="G86" s="2573"/>
      <c r="H86" s="2573"/>
      <c r="I86" s="2573"/>
      <c r="J86" s="2573"/>
      <c r="K86" s="2574"/>
      <c r="L86" s="2574"/>
      <c r="M86" s="2573"/>
      <c r="N86" s="2574"/>
      <c r="O86" s="2573"/>
      <c r="P86" s="2574"/>
      <c r="Q86" s="2574"/>
      <c r="R86" s="2573"/>
      <c r="S86" s="2574"/>
      <c r="T86" s="2573"/>
      <c r="U86" s="2574"/>
      <c r="V86" s="2573"/>
      <c r="W86" s="2574"/>
      <c r="X86" s="2573"/>
      <c r="Y86" s="2574"/>
      <c r="Z86" s="2573"/>
      <c r="AA86" s="2574"/>
      <c r="AB86" s="2573"/>
      <c r="AC86" s="2573"/>
      <c r="AD86" s="2573"/>
      <c r="AE86" s="2573"/>
      <c r="AF86" s="2573"/>
      <c r="AG86" s="2573"/>
      <c r="AH86" s="2573"/>
      <c r="AI86" s="2573"/>
      <c r="AJ86" s="2573"/>
      <c r="AK86" s="2573"/>
      <c r="AL86" s="2573"/>
      <c r="AM86" s="2573"/>
      <c r="AN86" s="2573"/>
      <c r="AO86" s="2573"/>
      <c r="AP86" s="2573"/>
      <c r="AQ86" s="2573"/>
      <c r="AR86" s="2573"/>
    </row>
    <row r="88" spans="1:44" ht="38.25">
      <c r="C88" s="2365" t="s">
        <v>29977</v>
      </c>
      <c r="D88" s="2366"/>
      <c r="E88" s="2366"/>
      <c r="I88" s="255"/>
      <c r="K88" s="255"/>
      <c r="L88" s="255"/>
      <c r="N88" s="255"/>
      <c r="P88" s="255"/>
      <c r="Q88" s="255"/>
      <c r="S88" s="255"/>
      <c r="U88" s="255"/>
      <c r="W88" s="255"/>
      <c r="Y88" s="255"/>
      <c r="AA88" s="255"/>
    </row>
    <row r="89" spans="1:44">
      <c r="A89" s="55"/>
      <c r="B89" s="55"/>
      <c r="C89" s="378"/>
      <c r="D89" s="2523" t="s">
        <v>22740</v>
      </c>
      <c r="E89" s="2524" t="s">
        <v>30187</v>
      </c>
      <c r="G89" s="55"/>
      <c r="H89" s="55"/>
      <c r="I89" s="255"/>
      <c r="K89" s="255"/>
      <c r="L89" s="255"/>
      <c r="N89" s="255"/>
      <c r="P89" s="255"/>
      <c r="Q89" s="255"/>
      <c r="S89" s="255"/>
      <c r="U89" s="255"/>
      <c r="W89" s="255"/>
      <c r="Y89" s="255"/>
      <c r="AA89" s="255"/>
    </row>
    <row r="90" spans="1:44" ht="25.5">
      <c r="B90" s="55"/>
      <c r="C90" s="2544" t="s">
        <v>26483</v>
      </c>
      <c r="D90" s="2505" t="s">
        <v>22742</v>
      </c>
      <c r="E90" s="2525"/>
      <c r="I90" s="255"/>
      <c r="K90" s="255"/>
      <c r="L90" s="255"/>
      <c r="N90" s="255"/>
      <c r="P90" s="255"/>
      <c r="Q90" s="255"/>
      <c r="S90" s="255"/>
      <c r="U90" s="255"/>
      <c r="W90" s="255"/>
      <c r="Y90" s="255"/>
      <c r="AA90" s="255"/>
    </row>
    <row r="91" spans="1:44">
      <c r="B91" s="55"/>
      <c r="C91" s="2504" t="s">
        <v>26484</v>
      </c>
      <c r="D91" s="2505" t="s">
        <v>22742</v>
      </c>
      <c r="E91" s="2525"/>
      <c r="I91" s="255"/>
      <c r="K91" s="255"/>
      <c r="L91" s="255"/>
      <c r="N91" s="255"/>
      <c r="P91" s="255"/>
      <c r="Q91" s="255"/>
      <c r="S91" s="255"/>
      <c r="U91" s="255"/>
      <c r="W91" s="255"/>
      <c r="Y91" s="255"/>
      <c r="AA91" s="255"/>
    </row>
    <row r="92" spans="1:44">
      <c r="B92" s="55"/>
      <c r="C92" s="2504" t="s">
        <v>26485</v>
      </c>
      <c r="D92" s="2505" t="s">
        <v>22742</v>
      </c>
      <c r="E92" s="2525"/>
      <c r="I92" s="255"/>
      <c r="K92" s="255"/>
      <c r="L92" s="255"/>
      <c r="N92" s="255"/>
      <c r="P92" s="255"/>
      <c r="Q92" s="255"/>
      <c r="S92" s="255"/>
      <c r="U92" s="255"/>
      <c r="W92" s="255"/>
      <c r="Y92" s="255"/>
      <c r="AA92" s="255"/>
    </row>
    <row r="93" spans="1:44">
      <c r="B93" s="55"/>
      <c r="C93" s="2504" t="s">
        <v>25444</v>
      </c>
      <c r="D93" s="2505" t="s">
        <v>22742</v>
      </c>
      <c r="E93" s="2525"/>
      <c r="I93" s="255"/>
      <c r="K93" s="255"/>
      <c r="L93" s="255"/>
      <c r="N93" s="255"/>
      <c r="P93" s="255"/>
      <c r="Q93" s="255"/>
      <c r="S93" s="255"/>
      <c r="U93" s="255"/>
      <c r="W93" s="255"/>
      <c r="Y93" s="255"/>
      <c r="AA93" s="255"/>
    </row>
    <row r="94" spans="1:44">
      <c r="B94" s="55"/>
      <c r="C94" s="2504" t="s">
        <v>26486</v>
      </c>
      <c r="D94" s="2505" t="s">
        <v>22742</v>
      </c>
      <c r="E94" s="2525"/>
      <c r="I94" s="255"/>
      <c r="K94" s="255"/>
      <c r="L94" s="255"/>
      <c r="N94" s="255"/>
      <c r="P94" s="255"/>
      <c r="Q94" s="255"/>
      <c r="S94" s="255"/>
      <c r="U94" s="255"/>
      <c r="W94" s="255"/>
      <c r="Y94" s="255"/>
      <c r="AA94" s="255"/>
    </row>
    <row r="95" spans="1:44" ht="25.5">
      <c r="B95" s="55"/>
      <c r="C95" s="2544" t="s">
        <v>26487</v>
      </c>
      <c r="D95" s="2505" t="s">
        <v>22742</v>
      </c>
      <c r="E95" s="2525"/>
      <c r="I95" s="255"/>
      <c r="K95" s="255"/>
      <c r="L95" s="255"/>
      <c r="N95" s="255"/>
      <c r="P95" s="255"/>
      <c r="Q95" s="255"/>
      <c r="S95" s="255"/>
      <c r="U95" s="255"/>
      <c r="W95" s="255"/>
      <c r="Y95" s="255"/>
      <c r="AA95" s="255"/>
    </row>
    <row r="96" spans="1:44">
      <c r="B96" s="55"/>
      <c r="I96" s="255"/>
      <c r="K96" s="255"/>
      <c r="L96" s="255"/>
      <c r="N96" s="255"/>
      <c r="P96" s="255"/>
      <c r="Q96" s="255"/>
      <c r="S96" s="255"/>
      <c r="U96" s="255"/>
      <c r="W96" s="255"/>
      <c r="Y96" s="255"/>
      <c r="AA96" s="255"/>
    </row>
    <row r="97" spans="2:44">
      <c r="B97" s="55"/>
      <c r="C97" s="260" t="s">
        <v>22752</v>
      </c>
      <c r="D97" s="260"/>
      <c r="E97" s="260"/>
      <c r="I97" s="255"/>
      <c r="J97" s="254"/>
      <c r="K97" s="254"/>
      <c r="L97" s="254"/>
      <c r="M97" s="254"/>
      <c r="N97" s="254"/>
      <c r="O97" s="254"/>
      <c r="P97" s="254"/>
      <c r="Q97" s="254"/>
      <c r="R97" s="254"/>
      <c r="S97" s="254"/>
      <c r="T97" s="254"/>
      <c r="U97" s="254"/>
      <c r="V97" s="254"/>
      <c r="W97" s="254"/>
      <c r="X97" s="254"/>
      <c r="Y97" s="254"/>
      <c r="Z97" s="254"/>
      <c r="AA97" s="254"/>
      <c r="AB97" s="254"/>
      <c r="AC97" s="254"/>
      <c r="AD97" s="254"/>
      <c r="AE97" s="254"/>
      <c r="AF97" s="254"/>
      <c r="AG97" s="254"/>
      <c r="AH97" s="254"/>
      <c r="AI97" s="254"/>
      <c r="AJ97" s="254"/>
      <c r="AK97" s="254"/>
      <c r="AL97" s="254"/>
      <c r="AM97" s="254"/>
      <c r="AN97" s="254"/>
      <c r="AO97" s="254"/>
      <c r="AP97" s="254"/>
      <c r="AQ97" s="254"/>
      <c r="AR97" s="254"/>
    </row>
    <row r="98" spans="2:44">
      <c r="B98" s="55"/>
      <c r="C98" s="256"/>
      <c r="D98" s="2502" t="s">
        <v>22740</v>
      </c>
      <c r="E98" s="2503" t="s">
        <v>30528</v>
      </c>
      <c r="J98" s="254"/>
      <c r="K98" s="254"/>
      <c r="L98" s="254"/>
      <c r="M98" s="254"/>
      <c r="N98" s="254"/>
      <c r="O98" s="254"/>
      <c r="P98" s="254"/>
      <c r="Q98" s="254"/>
      <c r="R98" s="254"/>
      <c r="S98" s="254"/>
      <c r="T98" s="254"/>
      <c r="U98" s="254"/>
      <c r="V98" s="254"/>
      <c r="W98" s="254"/>
      <c r="X98" s="254"/>
      <c r="Y98" s="254"/>
      <c r="Z98" s="254"/>
      <c r="AA98" s="254"/>
      <c r="AB98" s="254"/>
      <c r="AC98" s="254"/>
      <c r="AD98" s="254"/>
      <c r="AE98" s="254"/>
      <c r="AF98" s="254"/>
      <c r="AG98" s="254"/>
      <c r="AH98" s="254"/>
      <c r="AI98" s="254"/>
      <c r="AJ98" s="254"/>
      <c r="AK98" s="254"/>
      <c r="AL98" s="254"/>
      <c r="AM98" s="254"/>
      <c r="AN98" s="254"/>
      <c r="AO98" s="254"/>
      <c r="AP98" s="254"/>
      <c r="AQ98" s="254"/>
      <c r="AR98" s="254"/>
    </row>
    <row r="99" spans="2:44" ht="15.75">
      <c r="C99" s="2504" t="s">
        <v>24778</v>
      </c>
      <c r="D99" s="2505" t="s">
        <v>22742</v>
      </c>
      <c r="E99" s="2525"/>
      <c r="J99" s="254"/>
      <c r="K99" s="254"/>
      <c r="L99" s="254"/>
      <c r="M99" s="254"/>
      <c r="N99" s="254"/>
      <c r="O99" s="254"/>
      <c r="P99" s="254"/>
      <c r="Q99" s="254"/>
      <c r="R99" s="254"/>
      <c r="S99" s="254"/>
      <c r="T99" s="254"/>
      <c r="U99" s="254"/>
      <c r="V99" s="254"/>
      <c r="W99" s="254"/>
      <c r="X99" s="254"/>
      <c r="Y99" s="254"/>
      <c r="Z99" s="254"/>
      <c r="AA99" s="254"/>
      <c r="AB99" s="254"/>
      <c r="AC99" s="254"/>
      <c r="AD99" s="254"/>
      <c r="AE99" s="254"/>
      <c r="AF99" s="254"/>
      <c r="AG99" s="254"/>
      <c r="AH99" s="254"/>
      <c r="AI99" s="254"/>
      <c r="AJ99" s="254"/>
      <c r="AK99" s="254"/>
      <c r="AL99" s="254"/>
      <c r="AM99" s="254"/>
      <c r="AN99" s="254"/>
      <c r="AO99" s="254"/>
      <c r="AP99" s="254"/>
      <c r="AQ99" s="254"/>
      <c r="AR99" s="254"/>
    </row>
    <row r="100" spans="2:44" ht="15.75">
      <c r="C100" s="2504" t="s">
        <v>24777</v>
      </c>
      <c r="D100" s="2505" t="s">
        <v>22742</v>
      </c>
      <c r="E100" s="2525"/>
      <c r="J100" s="254"/>
      <c r="K100" s="254"/>
      <c r="L100" s="254"/>
      <c r="M100" s="254"/>
      <c r="N100" s="254"/>
      <c r="O100" s="254"/>
      <c r="P100" s="254"/>
      <c r="Q100" s="254"/>
      <c r="R100" s="254"/>
      <c r="S100" s="254"/>
      <c r="T100" s="254"/>
      <c r="U100" s="254"/>
      <c r="V100" s="254"/>
      <c r="W100" s="254"/>
      <c r="X100" s="254"/>
      <c r="Y100" s="254"/>
      <c r="Z100" s="254"/>
      <c r="AA100" s="254"/>
      <c r="AB100" s="254"/>
      <c r="AC100" s="254"/>
      <c r="AD100" s="254"/>
      <c r="AE100" s="254"/>
      <c r="AF100" s="254"/>
      <c r="AG100" s="254"/>
      <c r="AH100" s="254"/>
      <c r="AI100" s="254"/>
      <c r="AJ100" s="254"/>
      <c r="AK100" s="254"/>
      <c r="AL100" s="254"/>
      <c r="AM100" s="254"/>
      <c r="AN100" s="254"/>
      <c r="AO100" s="254"/>
      <c r="AP100" s="254"/>
      <c r="AQ100" s="254"/>
      <c r="AR100" s="254"/>
    </row>
    <row r="101" spans="2:44" ht="15.75">
      <c r="C101" s="2504" t="s">
        <v>24779</v>
      </c>
      <c r="D101" s="2505" t="s">
        <v>22742</v>
      </c>
      <c r="E101" s="2525"/>
      <c r="J101" s="254"/>
      <c r="K101" s="254"/>
      <c r="L101" s="254"/>
      <c r="M101" s="254"/>
      <c r="N101" s="254"/>
      <c r="O101" s="254"/>
      <c r="P101" s="254"/>
      <c r="Q101" s="254"/>
      <c r="R101" s="254"/>
      <c r="S101" s="254"/>
      <c r="T101" s="254"/>
      <c r="U101" s="254"/>
      <c r="V101" s="254"/>
      <c r="W101" s="254"/>
      <c r="X101" s="254"/>
      <c r="Y101" s="254"/>
      <c r="Z101" s="254"/>
      <c r="AA101" s="254"/>
      <c r="AB101" s="254"/>
      <c r="AC101" s="254"/>
      <c r="AD101" s="254"/>
      <c r="AE101" s="254"/>
      <c r="AF101" s="254"/>
      <c r="AG101" s="254"/>
      <c r="AH101" s="254"/>
      <c r="AI101" s="254"/>
      <c r="AJ101" s="254"/>
      <c r="AK101" s="254"/>
      <c r="AL101" s="254"/>
      <c r="AM101" s="254"/>
      <c r="AN101" s="254"/>
      <c r="AO101" s="254"/>
      <c r="AP101" s="254"/>
      <c r="AQ101" s="254"/>
      <c r="AR101" s="254"/>
    </row>
    <row r="102" spans="2:44" ht="15.75">
      <c r="C102" s="2504" t="s">
        <v>24780</v>
      </c>
      <c r="D102" s="2505" t="s">
        <v>22742</v>
      </c>
      <c r="E102" s="2525"/>
      <c r="J102" s="254"/>
      <c r="K102" s="254"/>
      <c r="L102" s="254"/>
      <c r="M102" s="254"/>
      <c r="N102" s="254"/>
      <c r="O102" s="254"/>
      <c r="P102" s="254"/>
      <c r="Q102" s="254"/>
      <c r="R102" s="254"/>
      <c r="S102" s="254"/>
      <c r="T102" s="254"/>
      <c r="U102" s="254"/>
      <c r="V102" s="254"/>
      <c r="W102" s="254"/>
      <c r="X102" s="254"/>
      <c r="Y102" s="254"/>
      <c r="Z102" s="254"/>
      <c r="AA102" s="254"/>
      <c r="AB102" s="254"/>
      <c r="AC102" s="254"/>
      <c r="AD102" s="254"/>
      <c r="AE102" s="254"/>
      <c r="AF102" s="254"/>
      <c r="AG102" s="254"/>
      <c r="AH102" s="254"/>
      <c r="AI102" s="254"/>
      <c r="AJ102" s="254"/>
      <c r="AK102" s="254"/>
      <c r="AL102" s="254"/>
      <c r="AM102" s="254"/>
      <c r="AN102" s="254"/>
      <c r="AO102" s="254"/>
      <c r="AP102" s="254"/>
      <c r="AQ102" s="254"/>
      <c r="AR102" s="254"/>
    </row>
    <row r="103" spans="2:44">
      <c r="C103" s="2575" t="s">
        <v>203</v>
      </c>
      <c r="D103" s="2505" t="s">
        <v>22742</v>
      </c>
      <c r="E103" s="2525"/>
      <c r="J103" s="254"/>
      <c r="K103" s="254"/>
      <c r="L103" s="254"/>
      <c r="M103" s="254"/>
      <c r="N103" s="254"/>
      <c r="O103" s="254"/>
      <c r="P103" s="254"/>
      <c r="Q103" s="254"/>
      <c r="R103" s="254"/>
      <c r="S103" s="254"/>
      <c r="T103" s="254"/>
      <c r="U103" s="254"/>
      <c r="V103" s="254"/>
      <c r="W103" s="254"/>
      <c r="X103" s="254"/>
      <c r="Y103" s="254"/>
      <c r="Z103" s="254"/>
      <c r="AA103" s="254"/>
      <c r="AB103" s="254"/>
      <c r="AC103" s="254"/>
      <c r="AD103" s="254"/>
      <c r="AE103" s="254"/>
      <c r="AF103" s="254"/>
      <c r="AG103" s="254"/>
      <c r="AH103" s="254"/>
      <c r="AI103" s="254"/>
      <c r="AJ103" s="254"/>
      <c r="AK103" s="254"/>
      <c r="AL103" s="254"/>
      <c r="AM103" s="254"/>
      <c r="AN103" s="254"/>
      <c r="AO103" s="254"/>
      <c r="AP103" s="254"/>
      <c r="AQ103" s="254"/>
      <c r="AR103" s="254"/>
    </row>
    <row r="104" spans="2:44">
      <c r="C104" s="2520" t="s">
        <v>22753</v>
      </c>
      <c r="D104" s="2528" t="s">
        <v>22742</v>
      </c>
      <c r="E104" s="2529"/>
      <c r="J104" s="254"/>
      <c r="K104" s="254"/>
      <c r="L104" s="254"/>
      <c r="M104" s="254"/>
      <c r="N104" s="254"/>
      <c r="O104" s="254"/>
      <c r="P104" s="254"/>
      <c r="Q104" s="254"/>
      <c r="R104" s="254"/>
      <c r="S104" s="254"/>
      <c r="T104" s="254"/>
      <c r="U104" s="254"/>
      <c r="V104" s="254"/>
      <c r="W104" s="254"/>
      <c r="X104" s="254"/>
      <c r="Y104" s="254"/>
      <c r="Z104" s="254"/>
      <c r="AA104" s="254"/>
      <c r="AB104" s="254"/>
      <c r="AC104" s="254"/>
      <c r="AD104" s="254"/>
      <c r="AE104" s="254"/>
      <c r="AF104" s="254"/>
      <c r="AG104" s="254"/>
      <c r="AH104" s="254"/>
      <c r="AI104" s="254"/>
      <c r="AJ104" s="254"/>
      <c r="AK104" s="254"/>
      <c r="AL104" s="254"/>
      <c r="AM104" s="254"/>
      <c r="AN104" s="254"/>
      <c r="AO104" s="254"/>
      <c r="AP104" s="254"/>
      <c r="AQ104" s="254"/>
      <c r="AR104" s="254"/>
    </row>
    <row r="105" spans="2:44">
      <c r="AA105" s="255"/>
    </row>
    <row r="106" spans="2:44">
      <c r="AA106" s="255"/>
    </row>
  </sheetData>
  <sheetProtection algorithmName="SHA-512" hashValue="ctreAx3CMnA/ol//yGuj3Dr1w5LkE0I3rqlN8KZGuleSDY//Gmq4bbWbfl/tA0etgOFoD2npPXQOKA1cvwc3qQ==" saltValue="VvcQE6PLNz1d63xRM3peOQ==" spinCount="100000" sheet="1" objects="1" scenarios="1"/>
  <pageMargins left="0.7" right="0.7" top="0.75" bottom="0.75" header="0.3" footer="0.3"/>
  <pageSetup paperSize="9" orientation="portrait" verticalDpi="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Foglio38">
    <tabColor rgb="FFFFFFE7"/>
  </sheetPr>
  <dimension ref="A1:DA35"/>
  <sheetViews>
    <sheetView showGridLines="0" zoomScale="85" zoomScaleNormal="85" workbookViewId="0"/>
  </sheetViews>
  <sheetFormatPr defaultColWidth="9.42578125" defaultRowHeight="15"/>
  <cols>
    <col min="1" max="1" width="18.28515625" style="10" customWidth="1"/>
    <col min="2" max="7" width="8.85546875" style="10" bestFit="1" customWidth="1"/>
    <col min="8" max="13" width="9.85546875" style="10" bestFit="1" customWidth="1"/>
    <col min="14" max="19" width="10.85546875" style="10" bestFit="1" customWidth="1"/>
    <col min="20" max="24" width="12.7109375" style="10" bestFit="1" customWidth="1"/>
    <col min="25" max="25" width="12.5703125" style="10" bestFit="1" customWidth="1"/>
    <col min="26" max="35" width="13.42578125" style="10" customWidth="1"/>
    <col min="36" max="41" width="8.5703125" style="10" customWidth="1"/>
    <col min="42" max="45" width="9.5703125" style="10" bestFit="1" customWidth="1"/>
    <col min="46" max="47" width="9.5703125" style="10" customWidth="1"/>
    <col min="48" max="81" width="8.5703125" style="10" customWidth="1"/>
    <col min="82" max="82" width="10.5703125" style="10" customWidth="1"/>
    <col min="83" max="94" width="9.5703125" style="10" customWidth="1"/>
    <col min="95" max="97" width="8.5703125"/>
    <col min="98" max="98" width="9.42578125" style="10"/>
    <col min="99" max="100" width="10.5703125" style="10" customWidth="1"/>
    <col min="101" max="101" width="10.42578125" style="10" customWidth="1"/>
    <col min="102" max="103" width="13.42578125" style="10" customWidth="1"/>
    <col min="104" max="105" width="10.5703125" style="10" customWidth="1"/>
    <col min="106" max="16384" width="9.42578125" style="10"/>
  </cols>
  <sheetData>
    <row r="1" spans="1:105" ht="25.35" customHeight="1">
      <c r="A1" s="1630"/>
      <c r="R1" s="111"/>
      <c r="S1" s="111"/>
      <c r="T1" s="111"/>
      <c r="U1" s="111"/>
      <c r="V1" s="111"/>
      <c r="W1" s="111"/>
      <c r="X1" s="111"/>
      <c r="Y1" s="111"/>
      <c r="Z1" s="111"/>
    </row>
    <row r="2" spans="1:105" s="727" customFormat="1" ht="26.85" customHeight="1" thickBot="1">
      <c r="A2" s="1282" t="s">
        <v>30501</v>
      </c>
      <c r="B2" s="734"/>
      <c r="C2" s="726" t="s">
        <v>22833</v>
      </c>
      <c r="S2" s="1085"/>
      <c r="T2" s="1085"/>
      <c r="U2" s="1085"/>
      <c r="V2" s="1085"/>
      <c r="W2" s="1085"/>
      <c r="X2" s="1085"/>
      <c r="Y2" s="1085"/>
      <c r="Z2" s="1085"/>
      <c r="AB2" s="1085"/>
      <c r="AC2" s="1085"/>
      <c r="AG2" s="1085"/>
      <c r="AH2" s="1085"/>
      <c r="AI2" s="1085"/>
      <c r="AN2" s="1085"/>
      <c r="AO2" s="1085"/>
      <c r="AT2" s="1085"/>
      <c r="AU2" s="1085"/>
      <c r="AZ2" s="1085"/>
      <c r="BA2" s="1085"/>
      <c r="BB2" s="1085"/>
      <c r="BC2" s="1085"/>
      <c r="BD2" s="1085"/>
      <c r="BE2" s="1085"/>
      <c r="BF2" s="1085"/>
      <c r="BG2" s="1085"/>
      <c r="BH2" s="1085"/>
      <c r="BI2" s="1085"/>
      <c r="BJ2" s="1085"/>
      <c r="BL2" s="1085"/>
      <c r="BM2" s="1085"/>
      <c r="BR2" s="1085"/>
      <c r="BS2" s="1085"/>
      <c r="BX2" s="1085"/>
      <c r="BY2" s="1085"/>
    </row>
    <row r="3" spans="1:105" ht="15.75" thickTop="1">
      <c r="R3" s="111"/>
      <c r="S3" s="111"/>
      <c r="T3" s="111"/>
      <c r="U3" s="111"/>
      <c r="V3" s="111"/>
      <c r="W3" s="111"/>
      <c r="X3" s="111"/>
      <c r="Y3" s="111"/>
      <c r="Z3" s="111"/>
    </row>
    <row r="4" spans="1:105">
      <c r="DA4" s="28"/>
    </row>
    <row r="5" spans="1:105">
      <c r="AB5" s="1142" t="s">
        <v>30347</v>
      </c>
      <c r="AC5" s="1142" t="s">
        <v>30348</v>
      </c>
      <c r="AD5" s="1142" t="s">
        <v>30349</v>
      </c>
      <c r="AE5" s="1142" t="s">
        <v>30350</v>
      </c>
      <c r="AF5" s="1142" t="s">
        <v>30351</v>
      </c>
      <c r="AG5" s="1142" t="s">
        <v>30352</v>
      </c>
      <c r="AJ5" s="1142" t="s">
        <v>30347</v>
      </c>
      <c r="AK5" s="1142" t="s">
        <v>30348</v>
      </c>
      <c r="AL5" s="1142" t="s">
        <v>30349</v>
      </c>
      <c r="AM5" s="1142" t="s">
        <v>30350</v>
      </c>
      <c r="AN5" s="1142" t="s">
        <v>30351</v>
      </c>
      <c r="AO5" s="1142" t="s">
        <v>30352</v>
      </c>
      <c r="AP5" s="1142" t="s">
        <v>30347</v>
      </c>
      <c r="AQ5" s="1142" t="s">
        <v>30348</v>
      </c>
      <c r="AR5" s="1142" t="s">
        <v>30349</v>
      </c>
      <c r="AS5" s="1142" t="s">
        <v>30350</v>
      </c>
      <c r="AT5" s="1142" t="s">
        <v>30351</v>
      </c>
      <c r="AU5" s="1142" t="s">
        <v>30352</v>
      </c>
      <c r="AV5" s="1142" t="s">
        <v>30347</v>
      </c>
      <c r="AW5" s="1142" t="s">
        <v>30348</v>
      </c>
      <c r="AX5" s="1142" t="s">
        <v>30349</v>
      </c>
      <c r="AY5" s="1142" t="s">
        <v>30350</v>
      </c>
      <c r="AZ5" s="1142" t="s">
        <v>30351</v>
      </c>
      <c r="BA5" s="1142" t="s">
        <v>30352</v>
      </c>
      <c r="BB5" s="1142" t="s">
        <v>30347</v>
      </c>
      <c r="BC5" s="1142" t="s">
        <v>30348</v>
      </c>
      <c r="BD5" s="1142" t="s">
        <v>30349</v>
      </c>
      <c r="BE5" s="1142" t="s">
        <v>30350</v>
      </c>
      <c r="BF5" s="1142" t="s">
        <v>30351</v>
      </c>
      <c r="BG5" s="1142" t="s">
        <v>30352</v>
      </c>
      <c r="BH5" s="1142" t="s">
        <v>30347</v>
      </c>
      <c r="BI5" s="1142" t="s">
        <v>30348</v>
      </c>
      <c r="BJ5" s="1142" t="s">
        <v>30349</v>
      </c>
      <c r="BK5" s="1142" t="s">
        <v>30350</v>
      </c>
      <c r="BL5" s="1142" t="s">
        <v>30351</v>
      </c>
      <c r="BM5" s="1142" t="s">
        <v>30352</v>
      </c>
      <c r="BN5" s="1142" t="s">
        <v>30347</v>
      </c>
      <c r="BO5" s="1142" t="s">
        <v>30348</v>
      </c>
      <c r="BP5" s="1142" t="s">
        <v>30349</v>
      </c>
      <c r="BQ5" s="1142" t="s">
        <v>30350</v>
      </c>
      <c r="BR5" s="1142" t="s">
        <v>30351</v>
      </c>
      <c r="BS5" s="1142" t="s">
        <v>30352</v>
      </c>
      <c r="BT5" s="1142" t="s">
        <v>30347</v>
      </c>
      <c r="BU5" s="1142" t="s">
        <v>30348</v>
      </c>
      <c r="BV5" s="1142" t="s">
        <v>30349</v>
      </c>
      <c r="BW5" s="1142" t="s">
        <v>30350</v>
      </c>
      <c r="BX5" s="1142" t="s">
        <v>30351</v>
      </c>
      <c r="BY5" s="1142" t="s">
        <v>30352</v>
      </c>
      <c r="BZ5" s="1142" t="s">
        <v>30347</v>
      </c>
      <c r="CA5" s="1142" t="s">
        <v>30348</v>
      </c>
      <c r="CB5" s="1142" t="s">
        <v>30349</v>
      </c>
      <c r="CC5" s="1142" t="s">
        <v>30350</v>
      </c>
      <c r="CD5" s="1142" t="s">
        <v>30351</v>
      </c>
      <c r="CE5" s="1142" t="s">
        <v>30352</v>
      </c>
      <c r="CF5"/>
      <c r="CG5"/>
      <c r="CH5"/>
      <c r="CI5"/>
      <c r="CJ5"/>
      <c r="CK5"/>
      <c r="CL5"/>
      <c r="CM5"/>
      <c r="CN5"/>
      <c r="CO5"/>
      <c r="CP5"/>
      <c r="CU5"/>
      <c r="CV5"/>
      <c r="CZ5"/>
      <c r="DA5"/>
    </row>
    <row r="6" spans="1:105" ht="15.75">
      <c r="A6" s="1643" t="s">
        <v>24865</v>
      </c>
      <c r="B6" s="1013" t="s">
        <v>30324</v>
      </c>
      <c r="C6" s="1013" t="s">
        <v>30325</v>
      </c>
      <c r="D6" s="1013" t="s">
        <v>30326</v>
      </c>
      <c r="E6" s="1013" t="s">
        <v>30327</v>
      </c>
      <c r="F6" s="1013" t="s">
        <v>30328</v>
      </c>
      <c r="G6" s="1013" t="s">
        <v>30329</v>
      </c>
      <c r="H6" s="1013" t="s">
        <v>30330</v>
      </c>
      <c r="I6" s="1013" t="s">
        <v>30331</v>
      </c>
      <c r="J6" s="1013" t="s">
        <v>30332</v>
      </c>
      <c r="K6" s="1013" t="s">
        <v>30333</v>
      </c>
      <c r="L6" s="1013" t="s">
        <v>30334</v>
      </c>
      <c r="M6" s="1013" t="s">
        <v>30335</v>
      </c>
      <c r="N6" s="1013" t="s">
        <v>30336</v>
      </c>
      <c r="O6" s="1013" t="s">
        <v>30337</v>
      </c>
      <c r="P6" s="1013" t="s">
        <v>30338</v>
      </c>
      <c r="Q6" s="1013" t="s">
        <v>30339</v>
      </c>
      <c r="R6" s="1013" t="s">
        <v>30340</v>
      </c>
      <c r="S6" s="1013" t="s">
        <v>30341</v>
      </c>
      <c r="T6" s="1013" t="s">
        <v>30342</v>
      </c>
      <c r="U6" s="1013" t="s">
        <v>30343</v>
      </c>
      <c r="V6" s="1013" t="s">
        <v>30344</v>
      </c>
      <c r="W6" s="1013" t="s">
        <v>30345</v>
      </c>
      <c r="X6" s="1013" t="s">
        <v>30346</v>
      </c>
      <c r="Y6"/>
      <c r="Z6"/>
      <c r="AB6" s="707" t="s">
        <v>22831</v>
      </c>
      <c r="AC6" s="707" t="s">
        <v>22831</v>
      </c>
      <c r="AD6" s="707" t="s">
        <v>22831</v>
      </c>
      <c r="AE6" s="707" t="s">
        <v>22831</v>
      </c>
      <c r="AF6" s="707" t="s">
        <v>22831</v>
      </c>
      <c r="AG6" s="707" t="s">
        <v>22831</v>
      </c>
      <c r="AJ6" s="710" t="s">
        <v>22834</v>
      </c>
      <c r="AK6" s="710" t="s">
        <v>22834</v>
      </c>
      <c r="AL6" s="710" t="s">
        <v>22834</v>
      </c>
      <c r="AM6" s="710" t="s">
        <v>22834</v>
      </c>
      <c r="AN6" s="710" t="s">
        <v>22834</v>
      </c>
      <c r="AO6" s="710" t="s">
        <v>22834</v>
      </c>
      <c r="AP6" s="122" t="s">
        <v>22835</v>
      </c>
      <c r="AQ6" s="122" t="s">
        <v>22835</v>
      </c>
      <c r="AR6" s="122" t="s">
        <v>22835</v>
      </c>
      <c r="AS6" s="122" t="s">
        <v>22835</v>
      </c>
      <c r="AT6" s="122" t="s">
        <v>22835</v>
      </c>
      <c r="AU6" s="122" t="s">
        <v>22835</v>
      </c>
      <c r="AV6" s="122" t="s">
        <v>22711</v>
      </c>
      <c r="AW6" s="122" t="s">
        <v>22711</v>
      </c>
      <c r="AX6" s="122" t="s">
        <v>22711</v>
      </c>
      <c r="AY6" s="122" t="s">
        <v>22711</v>
      </c>
      <c r="AZ6" s="122" t="s">
        <v>22711</v>
      </c>
      <c r="BA6" s="122" t="s">
        <v>22711</v>
      </c>
      <c r="BB6" s="122" t="s">
        <v>22836</v>
      </c>
      <c r="BC6" s="122" t="s">
        <v>22836</v>
      </c>
      <c r="BD6" s="122" t="s">
        <v>22836</v>
      </c>
      <c r="BE6" s="122" t="s">
        <v>22836</v>
      </c>
      <c r="BF6" s="122" t="s">
        <v>22836</v>
      </c>
      <c r="BG6" s="122" t="s">
        <v>22836</v>
      </c>
      <c r="BH6" s="710" t="s">
        <v>22837</v>
      </c>
      <c r="BI6" s="710" t="s">
        <v>22837</v>
      </c>
      <c r="BJ6" s="710" t="s">
        <v>22837</v>
      </c>
      <c r="BK6" s="710" t="s">
        <v>22837</v>
      </c>
      <c r="BL6" s="710" t="s">
        <v>22837</v>
      </c>
      <c r="BM6" s="710" t="s">
        <v>22837</v>
      </c>
      <c r="BN6" s="122" t="s">
        <v>22838</v>
      </c>
      <c r="BO6" s="122" t="s">
        <v>22838</v>
      </c>
      <c r="BP6" s="122" t="s">
        <v>22838</v>
      </c>
      <c r="BQ6" s="122" t="s">
        <v>22838</v>
      </c>
      <c r="BR6" s="122" t="s">
        <v>22838</v>
      </c>
      <c r="BS6" s="122" t="s">
        <v>22838</v>
      </c>
      <c r="BT6" s="122" t="s">
        <v>235</v>
      </c>
      <c r="BU6" s="122" t="s">
        <v>235</v>
      </c>
      <c r="BV6" s="122" t="s">
        <v>235</v>
      </c>
      <c r="BW6" s="122" t="s">
        <v>235</v>
      </c>
      <c r="BX6" s="122" t="s">
        <v>235</v>
      </c>
      <c r="BY6" s="122" t="s">
        <v>235</v>
      </c>
      <c r="BZ6" s="122" t="s">
        <v>236</v>
      </c>
      <c r="CA6" s="122" t="s">
        <v>236</v>
      </c>
      <c r="CB6" s="122" t="s">
        <v>236</v>
      </c>
      <c r="CC6" s="122" t="s">
        <v>236</v>
      </c>
      <c r="CD6" s="122" t="s">
        <v>236</v>
      </c>
      <c r="CE6" s="122" t="s">
        <v>236</v>
      </c>
      <c r="CU6"/>
      <c r="CV6"/>
      <c r="CZ6"/>
      <c r="DA6"/>
    </row>
    <row r="7" spans="1:105">
      <c r="A7" s="1644"/>
      <c r="B7" s="1066">
        <v>0</v>
      </c>
      <c r="C7" s="1066">
        <v>0</v>
      </c>
      <c r="D7" s="1066">
        <v>0</v>
      </c>
      <c r="E7" s="1066">
        <v>0</v>
      </c>
      <c r="F7" s="1066">
        <v>0</v>
      </c>
      <c r="G7" s="1066">
        <v>0</v>
      </c>
      <c r="H7" s="1066">
        <v>0</v>
      </c>
      <c r="I7" s="1066">
        <v>0</v>
      </c>
      <c r="J7" s="1066">
        <v>0</v>
      </c>
      <c r="K7" s="1066">
        <v>0</v>
      </c>
      <c r="L7" s="1066">
        <v>0</v>
      </c>
      <c r="M7" s="1066">
        <v>0</v>
      </c>
      <c r="N7" s="1066">
        <v>0</v>
      </c>
      <c r="O7" s="1066">
        <v>0</v>
      </c>
      <c r="P7" s="1066">
        <v>0</v>
      </c>
      <c r="Q7" s="1066">
        <v>0</v>
      </c>
      <c r="R7" s="1066">
        <v>0</v>
      </c>
      <c r="S7" s="1066">
        <v>0</v>
      </c>
      <c r="T7" s="1066">
        <v>0</v>
      </c>
      <c r="U7" s="1066">
        <v>0</v>
      </c>
      <c r="V7" s="1066">
        <v>0</v>
      </c>
      <c r="W7" s="1066">
        <v>0</v>
      </c>
      <c r="X7" s="1066">
        <v>0</v>
      </c>
      <c r="Y7"/>
      <c r="Z7"/>
      <c r="AA7" s="134"/>
      <c r="AB7" s="2730"/>
      <c r="AC7" s="2730"/>
      <c r="AD7" s="709">
        <f t="shared" ref="AD7:AG7" si="0">MAX(0,((BP7+BD7+BJ7)-(BV7+CB7)))</f>
        <v>0</v>
      </c>
      <c r="AE7" s="709">
        <f t="shared" si="0"/>
        <v>0</v>
      </c>
      <c r="AF7" s="709">
        <f t="shared" si="0"/>
        <v>0</v>
      </c>
      <c r="AG7" s="709">
        <f t="shared" si="0"/>
        <v>0</v>
      </c>
      <c r="AH7" s="134"/>
      <c r="AI7" s="134"/>
      <c r="AJ7" s="2730"/>
      <c r="AK7" s="2730"/>
      <c r="AL7" s="711">
        <f t="shared" ref="AL7:AO7" si="1">+IFERROR(D7*1,0)</f>
        <v>0</v>
      </c>
      <c r="AM7" s="711">
        <f t="shared" si="1"/>
        <v>0</v>
      </c>
      <c r="AN7" s="711">
        <f t="shared" si="1"/>
        <v>0</v>
      </c>
      <c r="AO7" s="711">
        <f t="shared" si="1"/>
        <v>0</v>
      </c>
      <c r="AP7" s="2731"/>
      <c r="AQ7" s="2731"/>
      <c r="AR7" s="712">
        <f t="shared" ref="AR7:AU7" si="2">IFERROR(P7/AL7,0)</f>
        <v>0</v>
      </c>
      <c r="AS7" s="712">
        <f t="shared" si="2"/>
        <v>0</v>
      </c>
      <c r="AT7" s="712">
        <f t="shared" si="2"/>
        <v>0</v>
      </c>
      <c r="AU7" s="712">
        <f t="shared" si="2"/>
        <v>0</v>
      </c>
      <c r="AV7" s="2732"/>
      <c r="AW7" s="2732"/>
      <c r="AX7" s="1499">
        <f>((1+((TT_parametri!$BF$36+TT_parametri!$BF$37+1)*(1+TT_parametri!$BF$33)-1)/(1-TT_parametri!$BF$35))/(1+TT_parametri!$BF$33)-1)*(1-AR7)*AL7</f>
        <v>0</v>
      </c>
      <c r="AY7" s="1499">
        <f>((1+((TT_parametri!$BF$36+TT_parametri!$BF$37+1)*(1+TT_parametri!$BF$33)-1)/(1-TT_parametri!$BF$35))/(1+TT_parametri!$BF$33)-1)*(1-AS7)*AM7</f>
        <v>0</v>
      </c>
      <c r="AZ7" s="1499">
        <f>((1+((TT_parametri!$BF$36+TT_parametri!$BF$37+1)*(1+TT_parametri!$BF$33)-1)/(1-TT_parametri!$BF$35))/(1+TT_parametri!$BF$33)-1)*(1-AT7)*AN7</f>
        <v>0</v>
      </c>
      <c r="BA7" s="1499">
        <f>((1+((TT_parametri!$BF$36+TT_parametri!$BF$37+1)*(1+TT_parametri!$BF$33)-1)/(1-TT_parametri!$BF$35))/(1+TT_parametri!$BF$33)-1)*(1-AU7)*AO7</f>
        <v>0</v>
      </c>
      <c r="BB7" s="2733"/>
      <c r="BC7" s="2733"/>
      <c r="BD7" s="708">
        <f>MAX(+(TT_parametri!$BF$36+TT_parametri!$BF$37)*(1-AR7)*AL7,0)</f>
        <v>0</v>
      </c>
      <c r="BE7" s="708">
        <f>MAX(+(TT_parametri!$BF$36+TT_parametri!$BF$37)*(1-AS7)*AM7,0)</f>
        <v>0</v>
      </c>
      <c r="BF7" s="708">
        <f>MAX(+(TT_parametri!$BF$36+TT_parametri!$BF$37)*(1-AT7)*AN7,0)</f>
        <v>0</v>
      </c>
      <c r="BG7" s="708">
        <f>MAX(+(TT_parametri!$BF$36+TT_parametri!$BF$37)*(1-AU7)*AO7,0)</f>
        <v>0</v>
      </c>
      <c r="BH7" s="2733"/>
      <c r="BI7" s="2733"/>
      <c r="BJ7" s="708">
        <f t="shared" ref="BJ7:BM7" si="3">MAX(0.319*AX7,0)</f>
        <v>0</v>
      </c>
      <c r="BK7" s="708">
        <f t="shared" si="3"/>
        <v>0</v>
      </c>
      <c r="BL7" s="708">
        <f t="shared" si="3"/>
        <v>0</v>
      </c>
      <c r="BM7" s="708">
        <f t="shared" si="3"/>
        <v>0</v>
      </c>
      <c r="BN7" s="2733"/>
      <c r="BO7" s="2733"/>
      <c r="BP7" s="708">
        <f t="shared" ref="BP7:BS7" si="4">+IFERROR(J7*1,0)</f>
        <v>0</v>
      </c>
      <c r="BQ7" s="708">
        <f t="shared" si="4"/>
        <v>0</v>
      </c>
      <c r="BR7" s="708">
        <f t="shared" si="4"/>
        <v>0</v>
      </c>
      <c r="BS7" s="708">
        <f t="shared" si="4"/>
        <v>0</v>
      </c>
      <c r="BT7" s="2733"/>
      <c r="BU7" s="2733"/>
      <c r="BV7" s="708">
        <f>+IFERROR(VLOOKUP($A7,Corrispettivi_proprietari!$B:$AJ,COLUMN(Y7)-1,FALSE),0)</f>
        <v>0</v>
      </c>
      <c r="BW7" s="708">
        <f>+IFERROR(VLOOKUP($A7,Corrispettivi_proprietari!$B:$AJ,COLUMN(Z7)-1,FALSE),0)</f>
        <v>0</v>
      </c>
      <c r="BX7" s="708">
        <f>+IFERROR(VLOOKUP($A7,Corrispettivi_proprietari!$B:$AJ,COLUMN(AA7)-1,FALSE),0)</f>
        <v>0</v>
      </c>
      <c r="BY7" s="708">
        <f>+IFERROR(VLOOKUP($A7,Corrispettivi_proprietari!$B:$AJ,COLUMN(AB7)-1,FALSE),0)</f>
        <v>0</v>
      </c>
      <c r="BZ7" s="2733"/>
      <c r="CA7" s="2733"/>
      <c r="CB7" s="708">
        <f>+IFERROR(VLOOKUP($A7,Corrispettivi_proprietari!$B:$AJ,COLUMN(AF7)-1,FALSE),0)</f>
        <v>0</v>
      </c>
      <c r="CC7" s="708">
        <f>+IFERROR(VLOOKUP($A7,Corrispettivi_proprietari!$B:$AJ,COLUMN(AG7)-1,FALSE),0)</f>
        <v>0</v>
      </c>
      <c r="CD7" s="708">
        <f>+IFERROR(VLOOKUP($A7,Corrispettivi_proprietari!$B:$AJ,COLUMN(AH7)-1,FALSE),0)</f>
        <v>0</v>
      </c>
      <c r="CE7" s="708">
        <f>+IFERROR(VLOOKUP($A7,Corrispettivi_proprietari!$B:$AJ,COLUMN(AI7)-1,FALSE),0)</f>
        <v>0</v>
      </c>
      <c r="CU7"/>
      <c r="CV7"/>
      <c r="CZ7"/>
      <c r="DA7"/>
    </row>
    <row r="8" spans="1:105">
      <c r="A8"/>
      <c r="B8"/>
      <c r="C8"/>
      <c r="D8"/>
      <c r="E8"/>
      <c r="F8"/>
      <c r="G8"/>
      <c r="H8"/>
      <c r="I8"/>
      <c r="J8"/>
      <c r="K8"/>
      <c r="L8"/>
      <c r="M8"/>
      <c r="N8"/>
      <c r="O8"/>
      <c r="P8"/>
      <c r="Q8"/>
      <c r="R8"/>
      <c r="S8"/>
      <c r="T8"/>
      <c r="U8"/>
      <c r="V8"/>
      <c r="W8"/>
      <c r="X8"/>
      <c r="Y8"/>
      <c r="Z8"/>
      <c r="AA8" s="134"/>
      <c r="AB8" s="134"/>
      <c r="AC8" s="134"/>
      <c r="AD8"/>
      <c r="AE8"/>
      <c r="AF8"/>
      <c r="AG8"/>
      <c r="AH8"/>
      <c r="AI8"/>
      <c r="AR8"/>
      <c r="AS8"/>
      <c r="AT8"/>
      <c r="AU8"/>
      <c r="AV8"/>
      <c r="AW8"/>
      <c r="AX8"/>
      <c r="AY8"/>
      <c r="AZ8"/>
      <c r="BA8"/>
      <c r="BB8"/>
      <c r="CH8"/>
      <c r="CI8"/>
      <c r="CJ8"/>
      <c r="CK8"/>
      <c r="CL8"/>
      <c r="CM8"/>
      <c r="CN8"/>
      <c r="CU8"/>
      <c r="CV8"/>
      <c r="CZ8"/>
      <c r="DA8"/>
    </row>
    <row r="9" spans="1:105">
      <c r="A9"/>
      <c r="B9"/>
      <c r="C9"/>
      <c r="D9"/>
      <c r="E9"/>
      <c r="F9"/>
      <c r="G9"/>
      <c r="H9"/>
      <c r="I9"/>
      <c r="J9"/>
      <c r="K9"/>
      <c r="L9"/>
      <c r="M9"/>
      <c r="N9"/>
      <c r="O9"/>
      <c r="P9"/>
      <c r="Q9"/>
      <c r="R9"/>
      <c r="S9"/>
      <c r="T9"/>
      <c r="U9"/>
      <c r="V9"/>
      <c r="W9"/>
      <c r="X9"/>
      <c r="Y9"/>
      <c r="Z9"/>
      <c r="AA9" s="134"/>
      <c r="AB9" s="134"/>
      <c r="AC9" s="134"/>
      <c r="AD9"/>
      <c r="AE9"/>
      <c r="AF9"/>
      <c r="AG9"/>
      <c r="AH9"/>
      <c r="AI9"/>
      <c r="AR9"/>
      <c r="AS9"/>
      <c r="AT9"/>
      <c r="AU9"/>
      <c r="AV9"/>
      <c r="AW9"/>
      <c r="AX9"/>
      <c r="AY9"/>
      <c r="AZ9"/>
      <c r="BA9"/>
      <c r="BB9"/>
      <c r="CH9"/>
      <c r="CI9"/>
      <c r="CJ9"/>
      <c r="CK9"/>
      <c r="CL9"/>
      <c r="CM9"/>
      <c r="CN9"/>
      <c r="CU9"/>
      <c r="CV9"/>
      <c r="CZ9"/>
      <c r="DA9"/>
    </row>
    <row r="10" spans="1:105">
      <c r="A10"/>
      <c r="B10"/>
      <c r="C10"/>
      <c r="D10"/>
      <c r="E10"/>
      <c r="F10"/>
      <c r="G10"/>
      <c r="H10"/>
      <c r="I10"/>
      <c r="J10"/>
      <c r="K10"/>
      <c r="L10"/>
      <c r="M10"/>
      <c r="N10"/>
      <c r="O10"/>
      <c r="P10"/>
      <c r="Q10"/>
      <c r="R10"/>
      <c r="S10"/>
      <c r="T10"/>
      <c r="U10"/>
      <c r="V10"/>
      <c r="W10"/>
      <c r="X10"/>
      <c r="Y10"/>
      <c r="Z10"/>
      <c r="AA10" s="134"/>
      <c r="AB10" s="134"/>
      <c r="AC10" s="134"/>
      <c r="AD10"/>
      <c r="AE10"/>
      <c r="AF10"/>
      <c r="AG10"/>
      <c r="AH10"/>
      <c r="AI10"/>
      <c r="AJ10"/>
      <c r="AK10"/>
      <c r="AL10"/>
      <c r="AM10"/>
      <c r="AN10"/>
      <c r="AO10"/>
      <c r="AP10"/>
      <c r="AQ10"/>
      <c r="AR10"/>
      <c r="AS10"/>
      <c r="AT10"/>
      <c r="AU10"/>
      <c r="AV10"/>
      <c r="AW10"/>
      <c r="AX10"/>
      <c r="AY10"/>
      <c r="AZ10"/>
      <c r="BA10"/>
      <c r="BB10"/>
      <c r="BT10"/>
      <c r="BU10"/>
      <c r="BV10"/>
      <c r="BW10"/>
      <c r="BX10"/>
      <c r="BY10"/>
      <c r="BZ10"/>
      <c r="CA10"/>
      <c r="CB10"/>
      <c r="CC10"/>
      <c r="CD10"/>
      <c r="CE10"/>
      <c r="CG10"/>
      <c r="CH10"/>
      <c r="CI10"/>
      <c r="CJ10"/>
      <c r="CK10"/>
      <c r="CL10"/>
      <c r="CM10"/>
      <c r="CN10"/>
      <c r="CU10"/>
      <c r="CV10"/>
      <c r="CZ10"/>
      <c r="DA10"/>
    </row>
    <row r="11" spans="1:105">
      <c r="A11"/>
      <c r="B11"/>
      <c r="C11"/>
      <c r="D11"/>
      <c r="E11"/>
      <c r="F11"/>
      <c r="G11"/>
      <c r="H11"/>
      <c r="I11"/>
      <c r="J11"/>
      <c r="K11"/>
      <c r="L11"/>
      <c r="M11"/>
      <c r="N11"/>
      <c r="O11"/>
      <c r="P11"/>
      <c r="Q11"/>
      <c r="R11"/>
      <c r="S11"/>
      <c r="T11"/>
      <c r="U11"/>
      <c r="V11"/>
      <c r="W11"/>
      <c r="X11"/>
      <c r="Y11"/>
      <c r="Z11"/>
      <c r="AA11" s="134"/>
      <c r="AB11" s="134"/>
      <c r="AC11" s="134"/>
      <c r="AD11"/>
      <c r="AE11"/>
      <c r="AF11"/>
      <c r="AG11"/>
      <c r="AH11"/>
      <c r="AI11"/>
      <c r="AJ11"/>
      <c r="AK11"/>
      <c r="AL11"/>
      <c r="AM11"/>
      <c r="AN11"/>
      <c r="AO11"/>
      <c r="AP11"/>
      <c r="AQ11"/>
      <c r="AR11"/>
      <c r="AS11"/>
      <c r="AT11"/>
      <c r="AU11"/>
      <c r="AV11"/>
      <c r="AW11"/>
      <c r="AX11"/>
      <c r="AY11"/>
      <c r="AZ11"/>
      <c r="BA11"/>
      <c r="BB11"/>
      <c r="BT11"/>
      <c r="BU11"/>
      <c r="BV11"/>
      <c r="BW11"/>
      <c r="BX11"/>
      <c r="BY11"/>
      <c r="BZ11"/>
      <c r="CA11"/>
      <c r="CB11"/>
      <c r="CC11"/>
      <c r="CD11"/>
      <c r="CE11"/>
      <c r="CG11"/>
      <c r="CH11"/>
      <c r="CI11"/>
      <c r="CJ11"/>
      <c r="CK11"/>
      <c r="CL11"/>
      <c r="CM11"/>
      <c r="CN11"/>
      <c r="CT11" s="28"/>
      <c r="CU11"/>
      <c r="CV11"/>
      <c r="CZ11"/>
      <c r="DA11"/>
    </row>
    <row r="12" spans="1:105">
      <c r="A12"/>
      <c r="B12"/>
      <c r="C12"/>
      <c r="D12"/>
      <c r="E12"/>
      <c r="F12"/>
      <c r="G12"/>
      <c r="H12"/>
      <c r="I12"/>
      <c r="J12"/>
      <c r="K12"/>
      <c r="L12"/>
      <c r="M12"/>
      <c r="N12"/>
      <c r="O12"/>
      <c r="P12"/>
      <c r="Q12"/>
      <c r="R12"/>
      <c r="S12"/>
      <c r="T12"/>
      <c r="U12"/>
      <c r="V12"/>
      <c r="W12"/>
      <c r="X12"/>
      <c r="Y12"/>
      <c r="Z12"/>
      <c r="AA12" s="134"/>
      <c r="AB12" s="134"/>
      <c r="AC12" s="134"/>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G12"/>
      <c r="CH12"/>
      <c r="CI12"/>
      <c r="CJ12"/>
      <c r="CK12"/>
      <c r="CL12"/>
      <c r="CM12"/>
      <c r="CN12"/>
      <c r="CU12"/>
      <c r="CV12"/>
      <c r="CZ12"/>
      <c r="DA12"/>
    </row>
    <row r="13" spans="1:105">
      <c r="A13"/>
      <c r="B13"/>
      <c r="C13"/>
      <c r="D13"/>
      <c r="E13"/>
      <c r="F13"/>
      <c r="G13"/>
      <c r="H13"/>
      <c r="I13"/>
      <c r="J13"/>
      <c r="K13"/>
      <c r="L13"/>
      <c r="M13"/>
      <c r="N13"/>
      <c r="O13"/>
      <c r="P13"/>
      <c r="Q13"/>
      <c r="R13"/>
      <c r="S13"/>
      <c r="T13"/>
      <c r="U13"/>
      <c r="V13"/>
      <c r="W13"/>
      <c r="X13"/>
      <c r="Y13"/>
      <c r="Z13"/>
      <c r="AA13" s="134"/>
      <c r="AB13" s="134"/>
      <c r="AC13" s="134"/>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G13"/>
      <c r="CH13"/>
      <c r="CI13"/>
      <c r="CJ13"/>
      <c r="CK13"/>
      <c r="CL13"/>
      <c r="CM13"/>
      <c r="CN13"/>
      <c r="CU13"/>
      <c r="CV13"/>
      <c r="DA13"/>
    </row>
    <row r="14" spans="1:105">
      <c r="A14"/>
      <c r="B14"/>
      <c r="C14"/>
      <c r="D14"/>
      <c r="E14"/>
      <c r="F14"/>
      <c r="G14"/>
      <c r="H14"/>
      <c r="I14"/>
      <c r="J14"/>
      <c r="K14"/>
      <c r="L14"/>
      <c r="M14"/>
      <c r="N14"/>
      <c r="O14"/>
      <c r="P14"/>
      <c r="Q14"/>
      <c r="R14"/>
      <c r="S14"/>
      <c r="T14"/>
      <c r="U14"/>
      <c r="V14"/>
      <c r="W14"/>
      <c r="X14"/>
      <c r="Y14"/>
      <c r="Z14"/>
      <c r="AA14" s="134"/>
      <c r="AB14" s="134"/>
      <c r="AC14" s="13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G14"/>
      <c r="CH14"/>
      <c r="CI14"/>
      <c r="CJ14"/>
      <c r="CK14"/>
      <c r="CL14"/>
      <c r="CM14"/>
      <c r="CN14"/>
      <c r="CU14"/>
      <c r="CV14"/>
      <c r="CZ14"/>
      <c r="DA14"/>
    </row>
    <row r="15" spans="1:105">
      <c r="A15"/>
      <c r="B15"/>
      <c r="C15"/>
      <c r="D15"/>
      <c r="E15"/>
      <c r="F15"/>
      <c r="G15"/>
      <c r="H15"/>
      <c r="I15"/>
      <c r="J15"/>
      <c r="K15"/>
      <c r="L15"/>
      <c r="M15"/>
      <c r="N15"/>
      <c r="O15"/>
      <c r="P15"/>
      <c r="Q15"/>
      <c r="R15"/>
      <c r="S15"/>
      <c r="T15"/>
      <c r="U15"/>
      <c r="V15"/>
      <c r="W15"/>
      <c r="X15"/>
      <c r="Y15"/>
      <c r="Z15"/>
      <c r="AA15" s="134"/>
      <c r="AB15" s="134"/>
      <c r="AC15" s="134"/>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G15"/>
      <c r="CH15"/>
      <c r="CI15"/>
      <c r="CJ15"/>
      <c r="CK15"/>
      <c r="CL15"/>
      <c r="CM15"/>
      <c r="CN15"/>
      <c r="CU15"/>
      <c r="CV15"/>
      <c r="CZ15"/>
      <c r="DA15"/>
    </row>
    <row r="16" spans="1:105">
      <c r="A16"/>
      <c r="B16"/>
      <c r="C16"/>
      <c r="D16"/>
      <c r="E16"/>
      <c r="F16"/>
      <c r="G16"/>
      <c r="H16"/>
      <c r="I16"/>
      <c r="J16"/>
      <c r="K16"/>
      <c r="L16"/>
      <c r="M16"/>
      <c r="N16"/>
      <c r="O16"/>
      <c r="P16"/>
      <c r="Q16"/>
      <c r="R16"/>
      <c r="S16"/>
      <c r="T16"/>
      <c r="U16"/>
      <c r="V16"/>
      <c r="W16"/>
      <c r="X16"/>
      <c r="Y16"/>
      <c r="Z16"/>
      <c r="AA16" s="134"/>
      <c r="AB16" s="134"/>
      <c r="AC16" s="134"/>
      <c r="AD16"/>
      <c r="AE16"/>
      <c r="AF16"/>
      <c r="AG16"/>
      <c r="AH16"/>
      <c r="AI16"/>
      <c r="AJ16"/>
      <c r="AK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G16"/>
      <c r="CH16"/>
      <c r="CI16"/>
      <c r="CJ16"/>
      <c r="CK16"/>
      <c r="CL16"/>
      <c r="CM16"/>
      <c r="CN16"/>
      <c r="CU16"/>
      <c r="CV16"/>
      <c r="CZ16"/>
      <c r="DA16"/>
    </row>
    <row r="17" spans="1:105">
      <c r="A17"/>
      <c r="B17"/>
      <c r="C17"/>
      <c r="D17"/>
      <c r="E17"/>
      <c r="F17"/>
      <c r="G17"/>
      <c r="H17"/>
      <c r="I17"/>
      <c r="J17"/>
      <c r="K17"/>
      <c r="L17"/>
      <c r="M17"/>
      <c r="N17"/>
      <c r="O17"/>
      <c r="P17"/>
      <c r="Q17"/>
      <c r="R17"/>
      <c r="S17"/>
      <c r="T17"/>
      <c r="U17"/>
      <c r="V17"/>
      <c r="W17"/>
      <c r="X17"/>
      <c r="Y17"/>
      <c r="Z17"/>
      <c r="AA17" s="134"/>
      <c r="AB17" s="134"/>
      <c r="AC17" s="134"/>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U17"/>
      <c r="CV17"/>
      <c r="CZ17"/>
      <c r="DA17"/>
    </row>
    <row r="18" spans="1:105">
      <c r="A18"/>
      <c r="B18" s="1013"/>
      <c r="C18" s="1013"/>
      <c r="D18" s="1013"/>
      <c r="E18" s="1013"/>
      <c r="F18" s="1013"/>
      <c r="G18" s="1013"/>
      <c r="H18" s="1013"/>
      <c r="I18" s="1013"/>
      <c r="J18" s="1013"/>
      <c r="K18" s="1013"/>
      <c r="L18" s="1013"/>
      <c r="M18" s="1013"/>
      <c r="N18" s="1013"/>
      <c r="O18" s="1013"/>
      <c r="P18" s="1013"/>
      <c r="Q18" s="1013"/>
      <c r="R18"/>
      <c r="S18"/>
      <c r="T18"/>
      <c r="U18"/>
      <c r="V18"/>
      <c r="W18"/>
      <c r="X18"/>
      <c r="Y18"/>
      <c r="Z18"/>
      <c r="AA18" s="134"/>
      <c r="AB18" s="134"/>
      <c r="AC18" s="134"/>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U18"/>
      <c r="CV18"/>
      <c r="CZ18"/>
      <c r="DA18"/>
    </row>
    <row r="19" spans="1:105">
      <c r="A19"/>
      <c r="B19"/>
      <c r="C19"/>
      <c r="D19"/>
      <c r="E19"/>
      <c r="F19"/>
      <c r="G19"/>
      <c r="H19"/>
      <c r="I19"/>
      <c r="J19"/>
      <c r="K19"/>
      <c r="L19"/>
      <c r="M19"/>
      <c r="N19"/>
      <c r="O19"/>
      <c r="P19"/>
      <c r="Q19"/>
      <c r="R19"/>
      <c r="S19"/>
      <c r="T19"/>
      <c r="U19"/>
      <c r="V19"/>
      <c r="W19"/>
      <c r="X19"/>
      <c r="Y19"/>
      <c r="Z19"/>
      <c r="AA19" s="134"/>
      <c r="AB19" s="134"/>
      <c r="AC19" s="134"/>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U19"/>
      <c r="CV19"/>
      <c r="CZ19"/>
      <c r="DA19"/>
    </row>
    <row r="20" spans="1:105">
      <c r="A20"/>
      <c r="B20"/>
      <c r="C20"/>
      <c r="D20"/>
      <c r="E20"/>
      <c r="F20"/>
      <c r="G20"/>
      <c r="H20"/>
      <c r="I20"/>
      <c r="J20"/>
      <c r="K20"/>
      <c r="L20"/>
      <c r="M20"/>
      <c r="N20"/>
      <c r="O20"/>
      <c r="P20"/>
      <c r="Q20"/>
      <c r="R20"/>
      <c r="S20"/>
      <c r="T20"/>
      <c r="U20"/>
      <c r="V20"/>
      <c r="W20"/>
      <c r="X20"/>
      <c r="Y20"/>
      <c r="Z20"/>
      <c r="AA20" s="134"/>
      <c r="AB20" s="134"/>
      <c r="AC20" s="134"/>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U20"/>
      <c r="CV20"/>
      <c r="CZ20"/>
      <c r="DA20"/>
    </row>
    <row r="21" spans="1:105">
      <c r="A21"/>
      <c r="B21"/>
      <c r="C21"/>
      <c r="D21"/>
      <c r="E21"/>
      <c r="F21"/>
      <c r="G21"/>
      <c r="H21"/>
      <c r="I21"/>
      <c r="J21"/>
      <c r="K21"/>
      <c r="L21"/>
      <c r="M21"/>
      <c r="N21"/>
      <c r="O21"/>
      <c r="P21"/>
      <c r="Q21"/>
      <c r="R21"/>
      <c r="S21"/>
      <c r="T21"/>
      <c r="U21"/>
      <c r="V21"/>
      <c r="W21"/>
      <c r="X21"/>
      <c r="Y21"/>
      <c r="Z21"/>
      <c r="AA21" s="134"/>
      <c r="AB21" s="134"/>
      <c r="AC21" s="134"/>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U21"/>
      <c r="CV21"/>
      <c r="CZ21"/>
      <c r="DA21"/>
    </row>
    <row r="22" spans="1:105">
      <c r="A22"/>
      <c r="B22"/>
      <c r="C22"/>
      <c r="D22"/>
      <c r="E22"/>
      <c r="F22"/>
      <c r="G22"/>
      <c r="H22"/>
      <c r="I22"/>
      <c r="J22"/>
      <c r="K22"/>
      <c r="L22"/>
      <c r="M22"/>
      <c r="N22"/>
      <c r="O22"/>
      <c r="P22"/>
      <c r="Q22"/>
      <c r="R22"/>
      <c r="S22"/>
      <c r="T22"/>
      <c r="U22"/>
      <c r="V22"/>
      <c r="W22"/>
      <c r="X22"/>
      <c r="Y22"/>
      <c r="Z22"/>
      <c r="AA22" s="134"/>
      <c r="AB22" s="134"/>
      <c r="AC22" s="134"/>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U22"/>
      <c r="CV22"/>
      <c r="CZ22"/>
      <c r="DA22"/>
    </row>
    <row r="23" spans="1:105">
      <c r="A23"/>
      <c r="B23"/>
      <c r="C23"/>
      <c r="D23"/>
      <c r="E23"/>
      <c r="F23"/>
      <c r="G23"/>
      <c r="H23"/>
      <c r="I23"/>
      <c r="J23"/>
      <c r="K23"/>
      <c r="L23"/>
      <c r="M23"/>
      <c r="N23"/>
      <c r="O23"/>
      <c r="P23"/>
      <c r="Q23"/>
      <c r="R23"/>
      <c r="S23"/>
      <c r="T23"/>
      <c r="U23"/>
      <c r="V23"/>
      <c r="W23"/>
      <c r="X23"/>
      <c r="Y23"/>
      <c r="Z23"/>
      <c r="AA23" s="134"/>
      <c r="AB23" s="134"/>
      <c r="AC23" s="134"/>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U23"/>
      <c r="CV23"/>
      <c r="CZ23"/>
      <c r="DA23"/>
    </row>
    <row r="24" spans="1:105">
      <c r="A24"/>
      <c r="B24"/>
      <c r="C24"/>
      <c r="D24"/>
      <c r="E24"/>
      <c r="F24"/>
      <c r="G24"/>
      <c r="H24"/>
      <c r="I24"/>
      <c r="J24"/>
      <c r="K24"/>
      <c r="L24"/>
      <c r="M24"/>
      <c r="N24"/>
      <c r="O24"/>
      <c r="P24"/>
      <c r="Q24"/>
      <c r="R24"/>
      <c r="S24"/>
      <c r="T24"/>
      <c r="U24"/>
      <c r="V24"/>
      <c r="W24"/>
      <c r="X24"/>
      <c r="Y24"/>
      <c r="Z24"/>
      <c r="AA24" s="134"/>
      <c r="AB24" s="134"/>
      <c r="AC24" s="13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U24"/>
      <c r="CV24"/>
      <c r="CZ24"/>
      <c r="DA24"/>
    </row>
    <row r="25" spans="1:105">
      <c r="A25"/>
      <c r="B25"/>
      <c r="C25"/>
      <c r="D25"/>
      <c r="E25"/>
      <c r="F25"/>
      <c r="G25"/>
      <c r="H25"/>
      <c r="I25"/>
      <c r="J25"/>
      <c r="K25"/>
      <c r="L25"/>
      <c r="M25"/>
      <c r="N25"/>
      <c r="O25"/>
      <c r="P25"/>
      <c r="Q25"/>
      <c r="R25"/>
      <c r="S25"/>
      <c r="T25"/>
      <c r="U25"/>
      <c r="V25"/>
      <c r="W25"/>
      <c r="X25"/>
      <c r="Y25"/>
      <c r="Z25"/>
      <c r="AA25" s="134"/>
      <c r="AB25" s="134"/>
      <c r="AC25" s="134"/>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U25"/>
      <c r="CV25"/>
      <c r="CZ25"/>
      <c r="DA25"/>
    </row>
    <row r="26" spans="1:105">
      <c r="A26"/>
      <c r="B26"/>
      <c r="C26"/>
      <c r="D26"/>
      <c r="E26"/>
      <c r="F26"/>
      <c r="G26"/>
      <c r="H26"/>
      <c r="I26"/>
      <c r="J26"/>
      <c r="K26"/>
      <c r="L26"/>
      <c r="M26"/>
      <c r="N26"/>
      <c r="O26"/>
      <c r="P26"/>
      <c r="Q26"/>
      <c r="R26"/>
      <c r="S26"/>
      <c r="T26"/>
      <c r="U26"/>
      <c r="V26"/>
      <c r="W26"/>
      <c r="X26"/>
      <c r="Y26"/>
      <c r="Z26"/>
      <c r="AA26" s="134"/>
      <c r="AB26" s="134"/>
      <c r="AC26" s="134"/>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U26"/>
      <c r="CV26"/>
      <c r="CZ26"/>
      <c r="DA26"/>
    </row>
    <row r="27" spans="1:105">
      <c r="A27"/>
      <c r="B27"/>
      <c r="C27"/>
      <c r="D27"/>
      <c r="E27"/>
      <c r="F27"/>
      <c r="G27"/>
      <c r="H27"/>
      <c r="I27"/>
      <c r="J27"/>
      <c r="K27"/>
      <c r="L27"/>
      <c r="M27"/>
      <c r="N27"/>
      <c r="O27"/>
      <c r="P27"/>
      <c r="Q27"/>
      <c r="R27"/>
      <c r="S27"/>
      <c r="T27"/>
      <c r="U27"/>
      <c r="V27"/>
      <c r="W27"/>
      <c r="X27"/>
      <c r="Y27"/>
      <c r="Z27"/>
      <c r="AA27" s="134"/>
      <c r="AB27" s="134"/>
      <c r="AC27" s="134"/>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U27"/>
      <c r="CV27"/>
      <c r="CZ27"/>
      <c r="DA27"/>
    </row>
    <row r="28" spans="1:105">
      <c r="B28"/>
      <c r="C28"/>
      <c r="D28"/>
      <c r="E28"/>
      <c r="F28"/>
      <c r="G28"/>
      <c r="H28"/>
      <c r="I28"/>
      <c r="J28"/>
      <c r="K28"/>
      <c r="L28"/>
      <c r="M28"/>
      <c r="N28"/>
      <c r="O28"/>
      <c r="P28"/>
      <c r="Q28"/>
      <c r="R28"/>
      <c r="S28"/>
      <c r="T28"/>
      <c r="U28"/>
      <c r="V28"/>
      <c r="W28"/>
      <c r="X28"/>
      <c r="Y28"/>
      <c r="Z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U28"/>
      <c r="CV28"/>
      <c r="CZ28"/>
      <c r="DA28"/>
    </row>
    <row r="29" spans="1:105">
      <c r="B29"/>
      <c r="C29"/>
      <c r="D29"/>
      <c r="E29"/>
      <c r="F29"/>
      <c r="G29"/>
      <c r="H29"/>
      <c r="I29"/>
      <c r="J29"/>
      <c r="K29"/>
      <c r="L29"/>
      <c r="M29"/>
      <c r="N29"/>
      <c r="O29"/>
      <c r="P29"/>
      <c r="Q29"/>
      <c r="R29"/>
      <c r="S29"/>
      <c r="T29"/>
      <c r="U29"/>
      <c r="V29"/>
      <c r="W29"/>
      <c r="X29"/>
      <c r="Y29"/>
      <c r="Z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U29"/>
      <c r="CV29"/>
      <c r="CZ29"/>
      <c r="DA29"/>
    </row>
    <row r="30" spans="1:105">
      <c r="B30"/>
      <c r="C30"/>
      <c r="D30"/>
      <c r="E30"/>
      <c r="F30"/>
      <c r="G30"/>
      <c r="H30"/>
      <c r="I30"/>
      <c r="J30"/>
      <c r="K30"/>
      <c r="L30"/>
      <c r="M30"/>
      <c r="N30"/>
      <c r="O30"/>
      <c r="P30"/>
      <c r="Q30"/>
    </row>
    <row r="31" spans="1:105">
      <c r="B31"/>
      <c r="C31"/>
      <c r="D31"/>
      <c r="E31"/>
      <c r="F31"/>
      <c r="G31"/>
      <c r="H31"/>
      <c r="I31"/>
      <c r="J31"/>
      <c r="K31"/>
      <c r="L31"/>
      <c r="M31"/>
      <c r="N31"/>
      <c r="O31"/>
      <c r="P31"/>
      <c r="Q31"/>
    </row>
    <row r="32" spans="1:105">
      <c r="B32"/>
      <c r="C32"/>
      <c r="D32"/>
      <c r="E32"/>
      <c r="F32"/>
      <c r="G32"/>
      <c r="H32"/>
      <c r="I32"/>
      <c r="J32"/>
      <c r="K32"/>
      <c r="L32"/>
      <c r="M32"/>
      <c r="N32"/>
      <c r="O32"/>
      <c r="P32"/>
      <c r="Q32"/>
    </row>
    <row r="33" spans="2:17">
      <c r="B33"/>
      <c r="C33"/>
      <c r="D33"/>
      <c r="E33"/>
      <c r="F33"/>
      <c r="G33"/>
      <c r="H33"/>
      <c r="I33"/>
      <c r="J33"/>
      <c r="K33"/>
      <c r="L33"/>
      <c r="M33"/>
      <c r="N33"/>
      <c r="O33"/>
      <c r="P33"/>
      <c r="Q33"/>
    </row>
    <row r="34" spans="2:17">
      <c r="B34"/>
      <c r="C34"/>
      <c r="D34"/>
      <c r="E34"/>
      <c r="F34"/>
      <c r="G34"/>
      <c r="H34"/>
      <c r="I34"/>
      <c r="J34"/>
      <c r="K34"/>
      <c r="L34"/>
      <c r="M34"/>
      <c r="N34"/>
      <c r="O34"/>
      <c r="P34"/>
      <c r="Q34"/>
    </row>
    <row r="35" spans="2:17">
      <c r="B35"/>
      <c r="C35"/>
      <c r="D35"/>
      <c r="E35"/>
      <c r="F35"/>
      <c r="G35"/>
      <c r="H35"/>
      <c r="I35"/>
      <c r="J35"/>
      <c r="K35"/>
      <c r="L35"/>
      <c r="M35"/>
      <c r="N35"/>
      <c r="O35"/>
      <c r="P35"/>
      <c r="Q35"/>
    </row>
  </sheetData>
  <sheetProtection algorithmName="SHA-512" hashValue="lAplgI/K39lKzR6d6L2IIw/f0u9SW+QHZIoGjeohhP3bINAtvcUPIVd12awMg95idFi+JjxNWBE2HrQy2n5stw==" saltValue="FKRsDDQsOhRtavUiKv6ohQ==" spinCount="100000" sheet="1" objects="1" scenarios="1"/>
  <customSheetViews>
    <customSheetView guid="{849F61E1-F6D3-48F4-A6FF-68F8FE186D80}" scale="85" showGridLines="0">
      <pageMargins left="0.7" right="0.7" top="0.75" bottom="0.75" header="0.3" footer="0.3"/>
      <pageSetup paperSize="9" orientation="portrait" verticalDpi="300" r:id="rId2"/>
    </customSheetView>
    <customSheetView guid="{1E1889AA-9C00-49BF-A07E-295053EABBEF}" scale="85" showGridLines="0">
      <pageMargins left="0.7" right="0.7" top="0.75" bottom="0.75" header="0.3" footer="0.3"/>
      <pageSetup paperSize="9" orientation="portrait" verticalDpi="300" r:id="rId3"/>
    </customSheetView>
    <customSheetView guid="{83029BA9-344F-4783-B8F2-6704FB40A582}" scale="85" showGridLines="0">
      <pageMargins left="0.7" right="0.7" top="0.75" bottom="0.75" header="0.3" footer="0.3"/>
      <pageSetup paperSize="9" orientation="portrait" verticalDpi="300" r:id="rId4"/>
    </customSheetView>
  </customSheetViews>
  <phoneticPr fontId="341" type="noConversion"/>
  <pageMargins left="0.7" right="0.7" top="0.75" bottom="0.75" header="0.3" footer="0.3"/>
  <pageSetup paperSize="9" orientation="portrait" verticalDpi="300" r:id="rId5"/>
  <drawing r:id="rId6"/>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Foglio216">
    <tabColor rgb="FFFFFFE7"/>
  </sheetPr>
  <dimension ref="A1:S2060"/>
  <sheetViews>
    <sheetView showGridLines="0" zoomScale="85" zoomScaleNormal="85" workbookViewId="0">
      <pane ySplit="5" topLeftCell="A6" activePane="bottomLeft" state="frozen"/>
      <selection pane="bottomLeft"/>
    </sheetView>
  </sheetViews>
  <sheetFormatPr defaultColWidth="9.42578125" defaultRowHeight="12.75"/>
  <cols>
    <col min="1" max="4" width="9.42578125" style="1600"/>
    <col min="5" max="5" width="15.5703125" style="1600" customWidth="1"/>
    <col min="6" max="6" width="12" style="1637" customWidth="1"/>
    <col min="7" max="7" width="26.42578125" style="1638" customWidth="1"/>
    <col min="8" max="8" width="9.42578125" style="1637"/>
    <col min="9" max="9" width="19.42578125" style="1638" bestFit="1" customWidth="1"/>
    <col min="10" max="10" width="15.5703125" style="1637" customWidth="1"/>
    <col min="11" max="17" width="15.5703125" style="1639" customWidth="1"/>
    <col min="18" max="18" width="21.42578125" style="1639" bestFit="1" customWidth="1"/>
    <col min="19" max="19" width="28.5703125" style="1631" bestFit="1" customWidth="1"/>
    <col min="20" max="16384" width="9.42578125" style="1047"/>
  </cols>
  <sheetData>
    <row r="1" spans="1:19" ht="25.35" customHeight="1">
      <c r="A1" s="1630"/>
      <c r="E1" s="344"/>
      <c r="F1" s="345"/>
      <c r="G1" s="346"/>
      <c r="H1" s="345"/>
      <c r="I1" s="347"/>
      <c r="J1" s="345"/>
      <c r="K1" s="590"/>
      <c r="L1" s="590"/>
      <c r="M1" s="590"/>
      <c r="N1" s="590"/>
      <c r="O1" s="590"/>
      <c r="P1" s="590"/>
      <c r="Q1" s="590"/>
      <c r="R1" s="590"/>
    </row>
    <row r="2" spans="1:19" s="1013" customFormat="1" ht="13.5" thickBot="1">
      <c r="E2" s="348"/>
      <c r="F2" s="1632"/>
      <c r="G2" s="1633"/>
      <c r="H2" s="1632"/>
      <c r="I2" s="1633"/>
      <c r="J2" s="1632"/>
      <c r="K2" s="1634"/>
      <c r="L2" s="1634"/>
      <c r="M2" s="1634"/>
      <c r="N2" s="1635"/>
      <c r="O2" s="1636"/>
      <c r="P2" s="1636"/>
      <c r="Q2" s="1636"/>
      <c r="R2" s="1634"/>
      <c r="S2" s="1066"/>
    </row>
    <row r="3" spans="1:19" s="1013" customFormat="1" ht="39.75" thickTop="1" thickBot="1">
      <c r="A3" s="351" t="s">
        <v>30537</v>
      </c>
      <c r="B3" s="351"/>
      <c r="C3" s="351"/>
      <c r="D3" s="351"/>
      <c r="E3" s="351"/>
      <c r="F3" s="351"/>
      <c r="G3" s="351"/>
      <c r="H3" s="351"/>
      <c r="I3" s="351"/>
      <c r="J3" s="351"/>
      <c r="K3" s="1069"/>
      <c r="L3" s="1069"/>
      <c r="M3" s="1069"/>
      <c r="N3" s="1069"/>
      <c r="O3" s="1069"/>
      <c r="P3" s="1069"/>
      <c r="Q3" s="1069"/>
      <c r="R3" s="1070"/>
      <c r="S3" s="1076" t="s">
        <v>24992</v>
      </c>
    </row>
    <row r="4" spans="1:19" ht="29.25" customHeight="1" thickTop="1">
      <c r="A4" s="352"/>
      <c r="B4" s="352"/>
      <c r="C4" s="352"/>
      <c r="D4" s="352"/>
      <c r="E4" s="352"/>
      <c r="F4" s="353"/>
      <c r="G4" s="354"/>
      <c r="H4" s="353"/>
      <c r="I4" s="354"/>
      <c r="J4" s="353"/>
      <c r="K4" s="1071"/>
      <c r="L4" s="1071"/>
      <c r="M4" s="1071"/>
      <c r="N4" s="1071"/>
      <c r="O4" s="1071"/>
      <c r="P4" s="1071"/>
      <c r="Q4" s="1071"/>
      <c r="R4" s="1072"/>
      <c r="S4" s="1066"/>
    </row>
    <row r="5" spans="1:19" s="129" customFormat="1" ht="59.25" customHeight="1">
      <c r="A5" s="372" t="s">
        <v>24869</v>
      </c>
      <c r="B5" s="372" t="s">
        <v>24868</v>
      </c>
      <c r="C5" s="372" t="s">
        <v>192</v>
      </c>
      <c r="D5" s="372" t="s">
        <v>193</v>
      </c>
      <c r="E5" s="372" t="s">
        <v>191</v>
      </c>
      <c r="F5" s="373" t="s">
        <v>194</v>
      </c>
      <c r="G5" s="374" t="s">
        <v>195</v>
      </c>
      <c r="H5" s="373" t="s">
        <v>196</v>
      </c>
      <c r="I5" s="374" t="s">
        <v>197</v>
      </c>
      <c r="J5" s="373" t="s">
        <v>198</v>
      </c>
      <c r="K5" s="1073" t="s">
        <v>22698</v>
      </c>
      <c r="L5" s="1073" t="s">
        <v>22699</v>
      </c>
      <c r="M5" s="1073" t="s">
        <v>22700</v>
      </c>
      <c r="N5" s="1074" t="s">
        <v>22701</v>
      </c>
      <c r="O5" s="1074" t="s">
        <v>21</v>
      </c>
      <c r="P5" s="1074" t="s">
        <v>28815</v>
      </c>
      <c r="Q5" s="1074" t="s">
        <v>26592</v>
      </c>
      <c r="R5" s="1075" t="s">
        <v>24799</v>
      </c>
      <c r="S5" s="426" t="s">
        <v>22741</v>
      </c>
    </row>
    <row r="6" spans="1:19" ht="15">
      <c r="A6">
        <v>0</v>
      </c>
      <c r="B6">
        <v>0</v>
      </c>
      <c r="C6" t="s">
        <v>245</v>
      </c>
      <c r="D6">
        <v>0</v>
      </c>
      <c r="E6" t="s">
        <v>22698</v>
      </c>
      <c r="F6">
        <v>0</v>
      </c>
      <c r="G6">
        <v>0</v>
      </c>
      <c r="H6">
        <v>0</v>
      </c>
      <c r="I6">
        <v>0</v>
      </c>
      <c r="J6">
        <v>0</v>
      </c>
      <c r="K6">
        <v>0</v>
      </c>
      <c r="L6">
        <v>0</v>
      </c>
      <c r="M6">
        <v>0</v>
      </c>
      <c r="N6">
        <v>0</v>
      </c>
      <c r="O6">
        <v>0</v>
      </c>
      <c r="P6" t="s">
        <v>30598</v>
      </c>
      <c r="Q6" t="s">
        <v>30598</v>
      </c>
      <c r="R6" t="s">
        <v>22870</v>
      </c>
      <c r="S6">
        <f>+ROW(S6)-ROW($S$5)</f>
        <v>1</v>
      </c>
    </row>
    <row r="7" spans="1:19" ht="15">
      <c r="A7"/>
      <c r="B7"/>
      <c r="C7"/>
      <c r="D7"/>
      <c r="E7"/>
      <c r="F7"/>
      <c r="G7"/>
      <c r="H7"/>
      <c r="I7"/>
      <c r="J7"/>
      <c r="K7"/>
      <c r="L7"/>
      <c r="M7"/>
      <c r="N7"/>
      <c r="O7"/>
      <c r="P7"/>
      <c r="Q7"/>
      <c r="R7"/>
      <c r="S7"/>
    </row>
    <row r="8" spans="1:19" ht="15">
      <c r="A8"/>
      <c r="B8"/>
      <c r="C8"/>
      <c r="D8"/>
      <c r="E8"/>
      <c r="F8"/>
      <c r="G8"/>
      <c r="H8"/>
      <c r="I8"/>
      <c r="J8"/>
      <c r="K8"/>
      <c r="L8"/>
      <c r="M8"/>
      <c r="N8"/>
      <c r="O8"/>
      <c r="P8"/>
      <c r="Q8"/>
      <c r="R8"/>
      <c r="S8"/>
    </row>
    <row r="9" spans="1:19" ht="15">
      <c r="A9"/>
      <c r="B9"/>
      <c r="C9"/>
      <c r="D9"/>
      <c r="E9"/>
      <c r="F9"/>
      <c r="G9"/>
      <c r="H9"/>
      <c r="I9"/>
      <c r="J9"/>
      <c r="K9"/>
      <c r="L9"/>
      <c r="M9"/>
      <c r="N9"/>
      <c r="O9"/>
      <c r="P9"/>
      <c r="Q9"/>
      <c r="R9"/>
      <c r="S9"/>
    </row>
    <row r="10" spans="1:19" ht="15">
      <c r="A10"/>
      <c r="B10"/>
      <c r="C10"/>
      <c r="D10"/>
      <c r="E10"/>
      <c r="F10"/>
      <c r="G10"/>
      <c r="H10"/>
      <c r="I10"/>
      <c r="J10"/>
      <c r="K10"/>
      <c r="L10"/>
      <c r="M10"/>
      <c r="N10"/>
      <c r="O10"/>
      <c r="P10"/>
      <c r="Q10"/>
      <c r="R10"/>
      <c r="S10"/>
    </row>
    <row r="11" spans="1:19" ht="15">
      <c r="A11"/>
      <c r="B11"/>
      <c r="C11"/>
      <c r="D11"/>
      <c r="E11"/>
      <c r="F11"/>
      <c r="G11"/>
      <c r="H11"/>
      <c r="I11"/>
      <c r="J11"/>
      <c r="K11"/>
      <c r="L11"/>
      <c r="M11"/>
      <c r="N11"/>
      <c r="O11"/>
      <c r="P11"/>
      <c r="Q11"/>
      <c r="R11"/>
      <c r="S11"/>
    </row>
    <row r="12" spans="1:19" ht="15">
      <c r="A12"/>
      <c r="B12"/>
      <c r="C12"/>
      <c r="D12"/>
      <c r="E12"/>
      <c r="F12"/>
      <c r="G12"/>
      <c r="H12"/>
      <c r="I12"/>
      <c r="J12"/>
      <c r="K12"/>
      <c r="L12"/>
      <c r="M12"/>
      <c r="N12"/>
      <c r="O12"/>
      <c r="P12"/>
      <c r="Q12"/>
      <c r="R12"/>
      <c r="S12"/>
    </row>
    <row r="13" spans="1:19" ht="15">
      <c r="A13"/>
      <c r="B13"/>
      <c r="C13"/>
      <c r="D13"/>
      <c r="E13"/>
      <c r="F13"/>
      <c r="G13"/>
      <c r="H13"/>
      <c r="I13"/>
      <c r="J13"/>
      <c r="K13"/>
      <c r="L13"/>
      <c r="M13"/>
      <c r="N13"/>
      <c r="O13"/>
      <c r="P13"/>
      <c r="Q13"/>
      <c r="R13"/>
      <c r="S13"/>
    </row>
    <row r="14" spans="1:19" ht="15">
      <c r="A14"/>
      <c r="B14"/>
      <c r="C14"/>
      <c r="D14"/>
      <c r="E14"/>
      <c r="F14"/>
      <c r="G14"/>
      <c r="H14"/>
      <c r="I14"/>
      <c r="J14"/>
      <c r="K14"/>
      <c r="L14"/>
      <c r="M14"/>
      <c r="N14"/>
      <c r="O14"/>
      <c r="P14"/>
      <c r="Q14"/>
      <c r="R14"/>
      <c r="S14"/>
    </row>
    <row r="15" spans="1:19" ht="15">
      <c r="A15"/>
      <c r="B15"/>
      <c r="C15"/>
      <c r="D15"/>
      <c r="E15"/>
      <c r="F15"/>
      <c r="G15"/>
      <c r="H15"/>
      <c r="I15"/>
      <c r="J15"/>
      <c r="K15"/>
      <c r="L15"/>
      <c r="M15"/>
      <c r="N15"/>
      <c r="O15"/>
      <c r="P15"/>
      <c r="Q15"/>
      <c r="R15"/>
      <c r="S15"/>
    </row>
    <row r="16" spans="1:19" ht="15">
      <c r="A16"/>
      <c r="B16"/>
      <c r="C16"/>
      <c r="D16"/>
      <c r="E16"/>
      <c r="F16"/>
      <c r="G16"/>
      <c r="H16"/>
      <c r="I16"/>
      <c r="J16"/>
      <c r="K16"/>
      <c r="L16"/>
      <c r="M16"/>
      <c r="N16"/>
      <c r="O16"/>
      <c r="P16"/>
      <c r="Q16"/>
      <c r="R16"/>
      <c r="S16"/>
    </row>
    <row r="17" spans="1:19" ht="15">
      <c r="A17"/>
      <c r="B17"/>
      <c r="C17"/>
      <c r="D17"/>
      <c r="E17"/>
      <c r="F17"/>
      <c r="G17"/>
      <c r="H17"/>
      <c r="I17"/>
      <c r="J17"/>
      <c r="K17"/>
      <c r="L17"/>
      <c r="M17"/>
      <c r="N17"/>
      <c r="O17"/>
      <c r="P17"/>
      <c r="Q17"/>
      <c r="R17"/>
      <c r="S17"/>
    </row>
    <row r="18" spans="1:19" ht="15">
      <c r="A18"/>
      <c r="B18"/>
      <c r="C18"/>
      <c r="D18"/>
      <c r="E18"/>
      <c r="F18"/>
      <c r="G18"/>
      <c r="H18"/>
      <c r="I18"/>
      <c r="J18"/>
      <c r="K18"/>
      <c r="L18"/>
      <c r="M18"/>
      <c r="N18"/>
      <c r="O18"/>
      <c r="P18"/>
      <c r="Q18"/>
      <c r="R18"/>
      <c r="S18"/>
    </row>
    <row r="19" spans="1:19" ht="15">
      <c r="A19"/>
      <c r="B19"/>
      <c r="C19"/>
      <c r="D19"/>
      <c r="E19"/>
      <c r="F19"/>
      <c r="G19"/>
      <c r="H19"/>
      <c r="I19"/>
      <c r="J19"/>
      <c r="K19"/>
      <c r="L19"/>
      <c r="M19"/>
      <c r="N19"/>
      <c r="O19"/>
      <c r="P19"/>
      <c r="Q19"/>
      <c r="R19"/>
      <c r="S19"/>
    </row>
    <row r="20" spans="1:19" ht="15">
      <c r="A20"/>
      <c r="B20"/>
      <c r="C20"/>
      <c r="D20"/>
      <c r="E20"/>
      <c r="F20"/>
      <c r="G20"/>
      <c r="H20"/>
      <c r="I20"/>
      <c r="J20"/>
      <c r="K20"/>
      <c r="L20"/>
      <c r="M20"/>
      <c r="N20"/>
      <c r="O20"/>
      <c r="P20"/>
      <c r="Q20"/>
      <c r="R20"/>
      <c r="S20"/>
    </row>
    <row r="21" spans="1:19" ht="15">
      <c r="A21"/>
      <c r="B21"/>
      <c r="C21"/>
      <c r="D21"/>
      <c r="E21"/>
      <c r="F21"/>
      <c r="G21"/>
      <c r="H21"/>
      <c r="I21"/>
      <c r="J21"/>
      <c r="K21"/>
      <c r="L21"/>
      <c r="M21"/>
      <c r="N21"/>
      <c r="O21"/>
      <c r="P21"/>
      <c r="Q21"/>
      <c r="R21"/>
      <c r="S21"/>
    </row>
    <row r="22" spans="1:19" ht="15">
      <c r="A22"/>
      <c r="B22"/>
      <c r="C22"/>
      <c r="D22"/>
      <c r="E22"/>
      <c r="F22"/>
      <c r="G22"/>
      <c r="H22"/>
      <c r="I22"/>
      <c r="J22"/>
      <c r="K22"/>
      <c r="L22"/>
      <c r="M22"/>
      <c r="N22"/>
      <c r="O22"/>
      <c r="P22"/>
      <c r="Q22"/>
      <c r="R22"/>
      <c r="S22"/>
    </row>
    <row r="23" spans="1:19" ht="15">
      <c r="A23"/>
      <c r="B23"/>
      <c r="C23"/>
      <c r="D23"/>
      <c r="E23"/>
      <c r="F23"/>
      <c r="G23"/>
      <c r="H23"/>
      <c r="I23"/>
      <c r="J23"/>
      <c r="K23"/>
      <c r="L23"/>
      <c r="M23"/>
      <c r="N23"/>
      <c r="O23"/>
      <c r="P23"/>
      <c r="Q23"/>
      <c r="R23"/>
      <c r="S23"/>
    </row>
    <row r="24" spans="1:19" ht="15">
      <c r="A24"/>
      <c r="B24"/>
      <c r="C24"/>
      <c r="D24"/>
      <c r="E24"/>
      <c r="F24"/>
      <c r="G24"/>
      <c r="H24"/>
      <c r="I24"/>
      <c r="J24"/>
      <c r="K24"/>
      <c r="L24"/>
      <c r="M24"/>
      <c r="N24"/>
      <c r="O24"/>
      <c r="P24"/>
      <c r="Q24"/>
      <c r="R24"/>
      <c r="S24"/>
    </row>
    <row r="25" spans="1:19" ht="15">
      <c r="A25"/>
      <c r="B25"/>
      <c r="C25"/>
      <c r="D25"/>
      <c r="E25"/>
      <c r="F25"/>
      <c r="G25"/>
      <c r="H25"/>
      <c r="I25"/>
      <c r="J25"/>
      <c r="K25"/>
      <c r="L25"/>
      <c r="M25"/>
      <c r="N25"/>
      <c r="O25"/>
      <c r="P25"/>
      <c r="Q25"/>
      <c r="R25"/>
      <c r="S25"/>
    </row>
    <row r="26" spans="1:19" ht="15">
      <c r="A26"/>
      <c r="B26"/>
      <c r="C26"/>
      <c r="D26"/>
      <c r="E26"/>
      <c r="F26"/>
      <c r="G26"/>
      <c r="H26"/>
      <c r="I26"/>
      <c r="J26"/>
      <c r="K26"/>
      <c r="L26"/>
      <c r="M26"/>
      <c r="N26"/>
      <c r="O26"/>
      <c r="P26"/>
      <c r="Q26"/>
      <c r="R26"/>
      <c r="S26"/>
    </row>
    <row r="27" spans="1:19" ht="15">
      <c r="A27"/>
      <c r="B27"/>
      <c r="C27"/>
      <c r="D27"/>
      <c r="E27"/>
      <c r="F27"/>
      <c r="G27"/>
      <c r="H27"/>
      <c r="I27"/>
      <c r="J27"/>
      <c r="K27"/>
      <c r="L27"/>
      <c r="M27"/>
      <c r="N27"/>
      <c r="O27"/>
      <c r="P27"/>
      <c r="Q27"/>
      <c r="R27"/>
      <c r="S27"/>
    </row>
    <row r="28" spans="1:19" ht="15">
      <c r="A28"/>
      <c r="B28"/>
      <c r="C28"/>
      <c r="D28"/>
      <c r="E28"/>
      <c r="F28"/>
      <c r="G28"/>
      <c r="H28"/>
      <c r="I28"/>
      <c r="J28"/>
      <c r="K28"/>
      <c r="L28"/>
      <c r="M28"/>
      <c r="N28"/>
      <c r="O28"/>
      <c r="P28"/>
      <c r="Q28"/>
      <c r="R28"/>
      <c r="S28"/>
    </row>
    <row r="29" spans="1:19" ht="15">
      <c r="A29"/>
      <c r="B29"/>
      <c r="C29"/>
      <c r="D29"/>
      <c r="E29"/>
      <c r="F29"/>
      <c r="G29"/>
      <c r="H29"/>
      <c r="I29"/>
      <c r="J29"/>
      <c r="K29"/>
      <c r="L29"/>
      <c r="M29"/>
      <c r="N29"/>
      <c r="O29"/>
      <c r="P29"/>
      <c r="Q29"/>
      <c r="R29"/>
      <c r="S29"/>
    </row>
    <row r="30" spans="1:19" ht="15">
      <c r="A30"/>
      <c r="B30"/>
      <c r="C30"/>
      <c r="D30"/>
      <c r="E30"/>
      <c r="F30"/>
      <c r="G30"/>
      <c r="H30"/>
      <c r="I30"/>
      <c r="J30"/>
      <c r="K30"/>
      <c r="L30"/>
      <c r="M30"/>
      <c r="N30"/>
      <c r="O30"/>
      <c r="P30"/>
      <c r="Q30"/>
      <c r="R30"/>
      <c r="S30"/>
    </row>
    <row r="31" spans="1:19" ht="15">
      <c r="A31"/>
      <c r="B31"/>
      <c r="C31"/>
      <c r="D31"/>
      <c r="E31"/>
      <c r="F31"/>
      <c r="G31"/>
      <c r="H31"/>
      <c r="I31"/>
      <c r="J31"/>
      <c r="K31"/>
      <c r="L31"/>
      <c r="M31"/>
      <c r="N31"/>
      <c r="O31"/>
      <c r="P31"/>
      <c r="Q31"/>
      <c r="R31"/>
      <c r="S31"/>
    </row>
    <row r="32" spans="1:19" ht="15">
      <c r="A32"/>
      <c r="B32"/>
      <c r="C32"/>
      <c r="D32"/>
      <c r="E32"/>
      <c r="F32"/>
      <c r="G32"/>
      <c r="H32"/>
      <c r="I32"/>
      <c r="J32"/>
      <c r="K32"/>
      <c r="L32"/>
      <c r="M32"/>
      <c r="N32"/>
      <c r="O32"/>
      <c r="P32"/>
      <c r="Q32"/>
      <c r="R32"/>
      <c r="S32"/>
    </row>
    <row r="33" spans="1:19" ht="15">
      <c r="A33"/>
      <c r="B33"/>
      <c r="C33"/>
      <c r="D33"/>
      <c r="E33"/>
      <c r="F33"/>
      <c r="G33"/>
      <c r="H33"/>
      <c r="I33"/>
      <c r="J33"/>
      <c r="K33"/>
      <c r="L33"/>
      <c r="M33"/>
      <c r="N33"/>
      <c r="O33"/>
      <c r="P33"/>
      <c r="Q33"/>
      <c r="R33"/>
      <c r="S33"/>
    </row>
    <row r="34" spans="1:19" ht="15">
      <c r="A34"/>
      <c r="B34"/>
      <c r="C34"/>
      <c r="D34"/>
      <c r="E34"/>
      <c r="F34"/>
      <c r="G34"/>
      <c r="H34"/>
      <c r="I34"/>
      <c r="J34"/>
      <c r="K34"/>
      <c r="L34"/>
      <c r="M34"/>
      <c r="N34"/>
      <c r="O34"/>
      <c r="P34"/>
      <c r="Q34"/>
      <c r="R34"/>
      <c r="S34"/>
    </row>
    <row r="35" spans="1:19" ht="15">
      <c r="A35"/>
      <c r="B35"/>
      <c r="C35"/>
      <c r="D35"/>
      <c r="E35"/>
      <c r="F35"/>
      <c r="G35"/>
      <c r="H35"/>
      <c r="I35"/>
      <c r="J35"/>
      <c r="K35"/>
      <c r="L35"/>
      <c r="M35"/>
      <c r="N35"/>
      <c r="O35"/>
      <c r="P35"/>
      <c r="Q35"/>
      <c r="R35"/>
      <c r="S35"/>
    </row>
    <row r="36" spans="1:19" ht="15">
      <c r="A36"/>
      <c r="B36"/>
      <c r="C36"/>
      <c r="D36"/>
      <c r="E36"/>
      <c r="F36"/>
      <c r="G36"/>
      <c r="H36"/>
      <c r="I36"/>
      <c r="J36"/>
      <c r="K36"/>
      <c r="L36"/>
      <c r="M36"/>
      <c r="N36"/>
      <c r="O36"/>
      <c r="P36"/>
      <c r="Q36"/>
      <c r="R36"/>
      <c r="S36"/>
    </row>
    <row r="37" spans="1:19" ht="15">
      <c r="A37"/>
      <c r="B37"/>
      <c r="C37"/>
      <c r="D37"/>
      <c r="E37"/>
      <c r="F37"/>
      <c r="G37"/>
      <c r="H37"/>
      <c r="I37"/>
      <c r="J37"/>
      <c r="K37"/>
      <c r="L37"/>
      <c r="M37"/>
      <c r="N37"/>
      <c r="O37"/>
      <c r="P37"/>
      <c r="Q37"/>
      <c r="R37"/>
      <c r="S37"/>
    </row>
    <row r="38" spans="1:19" ht="15">
      <c r="A38"/>
      <c r="B38"/>
      <c r="C38"/>
      <c r="D38"/>
      <c r="E38"/>
      <c r="F38"/>
      <c r="G38"/>
      <c r="H38"/>
      <c r="I38"/>
      <c r="J38"/>
      <c r="K38"/>
      <c r="L38"/>
      <c r="M38"/>
      <c r="N38"/>
      <c r="O38"/>
      <c r="P38"/>
      <c r="Q38"/>
      <c r="R38"/>
      <c r="S38"/>
    </row>
    <row r="39" spans="1:19" ht="15">
      <c r="A39"/>
      <c r="B39"/>
      <c r="C39"/>
      <c r="D39"/>
      <c r="E39"/>
      <c r="F39"/>
      <c r="G39"/>
      <c r="H39"/>
      <c r="I39"/>
      <c r="J39"/>
      <c r="K39"/>
      <c r="L39"/>
      <c r="M39"/>
      <c r="N39"/>
      <c r="O39"/>
      <c r="P39"/>
      <c r="Q39"/>
      <c r="R39"/>
      <c r="S39"/>
    </row>
    <row r="40" spans="1:19" ht="15">
      <c r="A40"/>
      <c r="B40"/>
      <c r="C40"/>
      <c r="D40"/>
      <c r="E40"/>
      <c r="F40"/>
      <c r="G40"/>
      <c r="H40"/>
      <c r="I40"/>
      <c r="J40"/>
      <c r="K40"/>
      <c r="L40"/>
      <c r="M40"/>
      <c r="N40"/>
      <c r="O40"/>
      <c r="P40"/>
      <c r="Q40"/>
      <c r="R40"/>
      <c r="S40"/>
    </row>
    <row r="41" spans="1:19" ht="15">
      <c r="A41"/>
      <c r="B41"/>
      <c r="C41"/>
      <c r="D41"/>
      <c r="E41"/>
      <c r="F41"/>
      <c r="G41"/>
      <c r="H41"/>
      <c r="I41"/>
      <c r="J41"/>
      <c r="K41"/>
      <c r="L41"/>
      <c r="M41"/>
      <c r="N41"/>
      <c r="O41"/>
      <c r="P41"/>
      <c r="Q41"/>
      <c r="R41"/>
      <c r="S41"/>
    </row>
    <row r="42" spans="1:19" ht="15">
      <c r="A42"/>
      <c r="B42"/>
      <c r="C42"/>
      <c r="D42"/>
      <c r="E42"/>
      <c r="F42"/>
      <c r="G42"/>
      <c r="H42"/>
      <c r="I42"/>
      <c r="J42"/>
      <c r="K42"/>
      <c r="L42"/>
      <c r="M42"/>
      <c r="N42"/>
      <c r="O42"/>
      <c r="P42"/>
      <c r="Q42"/>
      <c r="R42"/>
      <c r="S42"/>
    </row>
    <row r="43" spans="1:19" ht="15">
      <c r="A43"/>
      <c r="B43"/>
      <c r="C43"/>
      <c r="D43"/>
      <c r="E43"/>
      <c r="F43"/>
      <c r="G43"/>
      <c r="H43"/>
      <c r="I43"/>
      <c r="J43"/>
      <c r="K43"/>
      <c r="L43"/>
      <c r="M43"/>
      <c r="N43"/>
      <c r="O43"/>
      <c r="P43"/>
      <c r="Q43"/>
      <c r="R43"/>
      <c r="S43"/>
    </row>
    <row r="44" spans="1:19" ht="15">
      <c r="A44"/>
      <c r="B44"/>
      <c r="C44"/>
      <c r="D44"/>
      <c r="E44"/>
      <c r="F44"/>
      <c r="G44"/>
      <c r="H44"/>
      <c r="I44"/>
      <c r="J44"/>
      <c r="K44"/>
      <c r="L44"/>
      <c r="M44"/>
      <c r="N44"/>
      <c r="O44"/>
      <c r="P44"/>
      <c r="Q44"/>
      <c r="R44"/>
      <c r="S44"/>
    </row>
    <row r="45" spans="1:19" ht="15">
      <c r="A45"/>
      <c r="B45"/>
      <c r="C45"/>
      <c r="D45"/>
      <c r="E45"/>
      <c r="F45"/>
      <c r="G45"/>
      <c r="H45"/>
      <c r="I45"/>
      <c r="J45"/>
      <c r="K45"/>
      <c r="L45"/>
      <c r="M45"/>
      <c r="N45"/>
      <c r="O45"/>
      <c r="P45"/>
      <c r="Q45"/>
      <c r="R45"/>
      <c r="S45"/>
    </row>
    <row r="46" spans="1:19" ht="15">
      <c r="A46"/>
      <c r="B46"/>
      <c r="C46"/>
      <c r="D46"/>
      <c r="E46"/>
      <c r="F46"/>
      <c r="G46"/>
      <c r="H46"/>
      <c r="I46"/>
      <c r="J46"/>
      <c r="K46"/>
      <c r="L46"/>
      <c r="M46"/>
      <c r="N46"/>
      <c r="O46"/>
      <c r="P46"/>
      <c r="Q46"/>
      <c r="R46"/>
      <c r="S46"/>
    </row>
    <row r="47" spans="1:19" ht="15">
      <c r="A47"/>
      <c r="B47"/>
      <c r="C47"/>
      <c r="D47"/>
      <c r="E47"/>
      <c r="F47"/>
      <c r="G47"/>
      <c r="H47"/>
      <c r="I47"/>
      <c r="J47"/>
      <c r="K47"/>
      <c r="L47"/>
      <c r="M47"/>
      <c r="N47"/>
      <c r="O47"/>
      <c r="P47"/>
      <c r="Q47"/>
      <c r="R47"/>
      <c r="S47"/>
    </row>
    <row r="48" spans="1:19" ht="15">
      <c r="A48"/>
      <c r="B48"/>
      <c r="C48"/>
      <c r="D48"/>
      <c r="E48"/>
      <c r="F48"/>
      <c r="G48"/>
      <c r="H48"/>
      <c r="I48"/>
      <c r="J48"/>
      <c r="K48"/>
      <c r="L48"/>
      <c r="M48"/>
      <c r="N48"/>
      <c r="O48"/>
      <c r="P48"/>
      <c r="Q48"/>
      <c r="R48"/>
      <c r="S48"/>
    </row>
    <row r="49" spans="1:19" ht="15">
      <c r="A49"/>
      <c r="B49"/>
      <c r="C49"/>
      <c r="D49"/>
      <c r="E49"/>
      <c r="F49"/>
      <c r="G49"/>
      <c r="H49"/>
      <c r="I49"/>
      <c r="J49"/>
      <c r="K49"/>
      <c r="L49"/>
      <c r="M49"/>
      <c r="N49"/>
      <c r="O49"/>
      <c r="P49"/>
      <c r="Q49"/>
      <c r="R49"/>
      <c r="S49"/>
    </row>
    <row r="50" spans="1:19" ht="15">
      <c r="A50"/>
      <c r="B50"/>
      <c r="C50"/>
      <c r="D50"/>
      <c r="E50"/>
      <c r="F50"/>
      <c r="G50"/>
      <c r="H50"/>
      <c r="I50"/>
      <c r="J50"/>
      <c r="K50"/>
      <c r="L50"/>
      <c r="M50"/>
      <c r="N50"/>
      <c r="O50"/>
      <c r="P50"/>
      <c r="Q50"/>
      <c r="R50"/>
      <c r="S50"/>
    </row>
    <row r="51" spans="1:19" ht="15">
      <c r="A51"/>
      <c r="B51"/>
      <c r="C51"/>
      <c r="D51"/>
      <c r="E51"/>
      <c r="F51"/>
      <c r="G51"/>
      <c r="H51"/>
      <c r="I51"/>
      <c r="J51"/>
      <c r="K51"/>
      <c r="L51"/>
      <c r="M51"/>
      <c r="N51"/>
      <c r="O51"/>
      <c r="P51"/>
      <c r="Q51"/>
      <c r="R51"/>
      <c r="S51"/>
    </row>
    <row r="52" spans="1:19" ht="15">
      <c r="A52"/>
      <c r="B52"/>
      <c r="C52"/>
      <c r="D52"/>
      <c r="E52"/>
      <c r="F52"/>
      <c r="G52"/>
      <c r="H52"/>
      <c r="I52"/>
      <c r="J52"/>
      <c r="K52"/>
      <c r="L52"/>
      <c r="M52"/>
      <c r="N52"/>
      <c r="O52"/>
      <c r="P52"/>
      <c r="Q52"/>
      <c r="R52"/>
      <c r="S52"/>
    </row>
    <row r="53" spans="1:19" ht="15">
      <c r="A53"/>
      <c r="B53"/>
      <c r="C53"/>
      <c r="D53"/>
      <c r="E53"/>
      <c r="F53"/>
      <c r="G53"/>
      <c r="H53"/>
      <c r="I53"/>
      <c r="J53"/>
      <c r="K53"/>
      <c r="L53"/>
      <c r="M53"/>
      <c r="N53"/>
      <c r="O53"/>
      <c r="P53"/>
      <c r="Q53"/>
      <c r="R53"/>
      <c r="S53"/>
    </row>
    <row r="54" spans="1:19" ht="15">
      <c r="A54"/>
      <c r="B54"/>
      <c r="C54"/>
      <c r="D54"/>
      <c r="E54"/>
      <c r="F54"/>
      <c r="G54"/>
      <c r="H54"/>
      <c r="I54"/>
      <c r="J54"/>
      <c r="K54"/>
      <c r="L54"/>
      <c r="M54"/>
      <c r="N54"/>
      <c r="O54"/>
      <c r="P54"/>
      <c r="Q54"/>
      <c r="R54"/>
      <c r="S54"/>
    </row>
    <row r="55" spans="1:19" ht="15">
      <c r="A55"/>
      <c r="B55"/>
      <c r="C55"/>
      <c r="D55"/>
      <c r="E55"/>
      <c r="F55"/>
      <c r="G55"/>
      <c r="H55"/>
      <c r="I55"/>
      <c r="J55"/>
      <c r="K55"/>
      <c r="L55"/>
      <c r="M55"/>
      <c r="N55"/>
      <c r="O55"/>
      <c r="P55"/>
      <c r="Q55"/>
      <c r="R55"/>
      <c r="S55"/>
    </row>
    <row r="56" spans="1:19" ht="15">
      <c r="A56"/>
      <c r="B56"/>
      <c r="C56"/>
      <c r="D56"/>
      <c r="E56"/>
      <c r="F56"/>
      <c r="G56"/>
      <c r="H56"/>
      <c r="I56"/>
      <c r="J56"/>
      <c r="K56"/>
      <c r="L56"/>
      <c r="M56"/>
      <c r="N56"/>
      <c r="O56"/>
      <c r="P56"/>
      <c r="Q56"/>
      <c r="R56"/>
      <c r="S56"/>
    </row>
    <row r="57" spans="1:19" ht="15">
      <c r="A57"/>
      <c r="B57"/>
      <c r="C57"/>
      <c r="D57"/>
      <c r="E57"/>
      <c r="F57"/>
      <c r="G57"/>
      <c r="H57"/>
      <c r="I57"/>
      <c r="J57"/>
      <c r="K57"/>
      <c r="L57"/>
      <c r="M57"/>
      <c r="N57"/>
      <c r="O57"/>
      <c r="P57"/>
      <c r="Q57"/>
      <c r="R57"/>
      <c r="S57"/>
    </row>
    <row r="58" spans="1:19" ht="15">
      <c r="A58"/>
      <c r="B58"/>
      <c r="C58"/>
      <c r="D58"/>
      <c r="E58"/>
      <c r="F58"/>
      <c r="G58"/>
      <c r="H58"/>
      <c r="I58"/>
      <c r="J58"/>
      <c r="K58"/>
      <c r="L58"/>
      <c r="M58"/>
      <c r="N58"/>
      <c r="O58"/>
      <c r="P58"/>
      <c r="Q58"/>
      <c r="R58"/>
      <c r="S58"/>
    </row>
    <row r="59" spans="1:19" ht="15">
      <c r="A59"/>
      <c r="B59"/>
      <c r="C59"/>
      <c r="D59"/>
      <c r="E59"/>
      <c r="F59"/>
      <c r="G59"/>
      <c r="H59"/>
      <c r="I59"/>
      <c r="J59"/>
      <c r="K59"/>
      <c r="L59"/>
      <c r="M59"/>
      <c r="N59"/>
      <c r="O59"/>
      <c r="P59"/>
      <c r="Q59"/>
      <c r="R59"/>
      <c r="S59"/>
    </row>
    <row r="60" spans="1:19" ht="15">
      <c r="A60"/>
      <c r="B60"/>
      <c r="C60"/>
      <c r="D60"/>
      <c r="E60"/>
      <c r="F60"/>
      <c r="G60"/>
      <c r="H60"/>
      <c r="I60"/>
      <c r="J60"/>
      <c r="K60"/>
      <c r="L60"/>
      <c r="M60"/>
      <c r="N60"/>
      <c r="O60"/>
      <c r="P60"/>
      <c r="Q60"/>
      <c r="R60"/>
      <c r="S60"/>
    </row>
    <row r="61" spans="1:19" ht="15">
      <c r="A61"/>
      <c r="B61"/>
      <c r="C61"/>
      <c r="D61"/>
      <c r="E61"/>
      <c r="F61"/>
      <c r="G61"/>
      <c r="H61"/>
      <c r="I61"/>
      <c r="J61"/>
      <c r="K61"/>
      <c r="L61"/>
      <c r="M61"/>
      <c r="N61"/>
      <c r="O61"/>
      <c r="P61"/>
      <c r="Q61"/>
      <c r="R61"/>
      <c r="S61"/>
    </row>
    <row r="62" spans="1:19" ht="15">
      <c r="A62"/>
      <c r="B62"/>
      <c r="C62"/>
      <c r="D62"/>
      <c r="E62"/>
      <c r="F62"/>
      <c r="G62"/>
      <c r="H62"/>
      <c r="I62"/>
      <c r="J62"/>
      <c r="K62"/>
      <c r="L62"/>
      <c r="M62"/>
      <c r="N62"/>
      <c r="O62"/>
      <c r="P62"/>
      <c r="Q62"/>
      <c r="R62"/>
      <c r="S62"/>
    </row>
    <row r="63" spans="1:19" ht="15">
      <c r="A63"/>
      <c r="B63"/>
      <c r="C63"/>
      <c r="D63"/>
      <c r="E63"/>
      <c r="F63"/>
      <c r="G63"/>
      <c r="H63"/>
      <c r="I63"/>
      <c r="J63"/>
      <c r="K63"/>
      <c r="L63"/>
      <c r="M63"/>
      <c r="N63"/>
      <c r="O63"/>
      <c r="P63"/>
      <c r="Q63"/>
      <c r="R63"/>
      <c r="S63"/>
    </row>
    <row r="64" spans="1:19" ht="15">
      <c r="A64"/>
      <c r="B64"/>
      <c r="C64"/>
      <c r="D64"/>
      <c r="E64"/>
      <c r="F64"/>
      <c r="G64"/>
      <c r="H64"/>
      <c r="I64"/>
      <c r="J64"/>
      <c r="K64"/>
      <c r="L64"/>
      <c r="M64"/>
      <c r="N64"/>
      <c r="O64"/>
      <c r="P64"/>
      <c r="Q64"/>
      <c r="R64"/>
      <c r="S64"/>
    </row>
    <row r="65" spans="1:19" ht="15">
      <c r="A65"/>
      <c r="B65"/>
      <c r="C65"/>
      <c r="D65"/>
      <c r="E65"/>
      <c r="F65"/>
      <c r="G65"/>
      <c r="H65"/>
      <c r="I65"/>
      <c r="J65"/>
      <c r="K65"/>
      <c r="L65"/>
      <c r="M65"/>
      <c r="N65"/>
      <c r="O65"/>
      <c r="P65"/>
      <c r="Q65"/>
      <c r="R65"/>
      <c r="S65"/>
    </row>
    <row r="66" spans="1:19" ht="15">
      <c r="A66"/>
      <c r="B66"/>
      <c r="C66"/>
      <c r="D66"/>
      <c r="E66"/>
      <c r="F66"/>
      <c r="G66"/>
      <c r="H66"/>
      <c r="I66"/>
      <c r="J66"/>
      <c r="K66"/>
      <c r="L66"/>
      <c r="M66"/>
      <c r="N66"/>
      <c r="O66"/>
      <c r="P66"/>
      <c r="Q66"/>
      <c r="R66"/>
      <c r="S66"/>
    </row>
    <row r="67" spans="1:19" ht="15">
      <c r="A67"/>
      <c r="B67"/>
      <c r="C67"/>
      <c r="D67"/>
      <c r="E67"/>
      <c r="F67"/>
      <c r="G67"/>
      <c r="H67"/>
      <c r="I67"/>
      <c r="J67"/>
      <c r="K67"/>
      <c r="L67"/>
      <c r="M67"/>
      <c r="N67"/>
      <c r="O67"/>
      <c r="P67"/>
      <c r="Q67"/>
      <c r="R67"/>
      <c r="S67"/>
    </row>
    <row r="68" spans="1:19" ht="15">
      <c r="A68"/>
      <c r="B68"/>
      <c r="C68"/>
      <c r="D68"/>
      <c r="E68"/>
      <c r="F68"/>
      <c r="G68"/>
      <c r="H68"/>
      <c r="I68"/>
      <c r="J68"/>
      <c r="K68"/>
      <c r="L68"/>
      <c r="M68"/>
      <c r="N68"/>
      <c r="O68"/>
      <c r="P68"/>
      <c r="Q68"/>
      <c r="R68"/>
      <c r="S68"/>
    </row>
    <row r="69" spans="1:19" ht="15">
      <c r="A69"/>
      <c r="B69"/>
      <c r="C69"/>
      <c r="D69"/>
      <c r="E69"/>
      <c r="F69"/>
      <c r="G69"/>
      <c r="H69"/>
      <c r="I69"/>
      <c r="J69"/>
      <c r="K69"/>
      <c r="L69"/>
      <c r="M69"/>
      <c r="N69"/>
      <c r="O69"/>
      <c r="P69"/>
      <c r="Q69"/>
      <c r="R69"/>
      <c r="S69"/>
    </row>
    <row r="70" spans="1:19" ht="15">
      <c r="A70"/>
      <c r="B70"/>
      <c r="C70"/>
      <c r="D70"/>
      <c r="E70"/>
      <c r="F70"/>
      <c r="G70"/>
      <c r="H70"/>
      <c r="I70"/>
      <c r="J70"/>
      <c r="K70"/>
      <c r="L70"/>
      <c r="M70"/>
      <c r="N70"/>
      <c r="O70"/>
      <c r="P70"/>
      <c r="Q70"/>
      <c r="R70"/>
      <c r="S70"/>
    </row>
    <row r="71" spans="1:19" ht="15">
      <c r="A71"/>
      <c r="B71"/>
      <c r="C71"/>
      <c r="D71"/>
      <c r="E71"/>
      <c r="F71"/>
      <c r="G71"/>
      <c r="H71"/>
      <c r="I71"/>
      <c r="J71"/>
      <c r="K71"/>
      <c r="L71"/>
      <c r="M71"/>
      <c r="N71"/>
      <c r="O71"/>
      <c r="P71"/>
      <c r="Q71"/>
      <c r="R71"/>
      <c r="S71"/>
    </row>
    <row r="72" spans="1:19" ht="15">
      <c r="A72"/>
      <c r="B72"/>
      <c r="C72"/>
      <c r="D72"/>
      <c r="E72"/>
      <c r="F72"/>
      <c r="G72"/>
      <c r="H72"/>
      <c r="I72"/>
      <c r="J72"/>
      <c r="K72"/>
      <c r="L72"/>
      <c r="M72"/>
      <c r="N72"/>
      <c r="O72"/>
      <c r="P72"/>
      <c r="Q72"/>
      <c r="R72"/>
      <c r="S72"/>
    </row>
    <row r="73" spans="1:19" ht="15">
      <c r="A73"/>
      <c r="B73"/>
      <c r="C73"/>
      <c r="D73"/>
      <c r="E73"/>
      <c r="F73"/>
      <c r="G73"/>
      <c r="H73"/>
      <c r="I73"/>
      <c r="J73"/>
      <c r="K73"/>
      <c r="L73"/>
      <c r="M73"/>
      <c r="N73"/>
      <c r="O73"/>
      <c r="P73"/>
      <c r="Q73"/>
      <c r="R73"/>
      <c r="S73"/>
    </row>
    <row r="74" spans="1:19" ht="15">
      <c r="A74"/>
      <c r="B74"/>
      <c r="C74"/>
      <c r="D74"/>
      <c r="E74"/>
      <c r="F74"/>
      <c r="G74"/>
      <c r="H74"/>
      <c r="I74"/>
      <c r="J74"/>
      <c r="K74"/>
      <c r="L74"/>
      <c r="M74"/>
      <c r="N74"/>
      <c r="O74"/>
      <c r="P74"/>
      <c r="Q74"/>
      <c r="R74"/>
      <c r="S74"/>
    </row>
    <row r="75" spans="1:19" ht="15">
      <c r="A75"/>
      <c r="B75"/>
      <c r="C75"/>
      <c r="D75"/>
      <c r="E75"/>
      <c r="F75"/>
      <c r="G75"/>
      <c r="H75"/>
      <c r="I75"/>
      <c r="J75"/>
      <c r="K75"/>
      <c r="L75"/>
      <c r="M75"/>
      <c r="N75"/>
      <c r="O75"/>
      <c r="P75"/>
      <c r="Q75"/>
      <c r="R75"/>
      <c r="S75"/>
    </row>
    <row r="76" spans="1:19" ht="15">
      <c r="A76"/>
      <c r="B76"/>
      <c r="C76"/>
      <c r="D76"/>
      <c r="E76"/>
      <c r="F76"/>
      <c r="G76"/>
      <c r="H76"/>
      <c r="I76"/>
      <c r="J76"/>
      <c r="K76"/>
      <c r="L76"/>
      <c r="M76"/>
      <c r="N76"/>
      <c r="O76"/>
      <c r="P76"/>
      <c r="Q76"/>
      <c r="R76"/>
      <c r="S76"/>
    </row>
    <row r="77" spans="1:19" ht="15">
      <c r="A77"/>
      <c r="B77"/>
      <c r="C77"/>
      <c r="D77"/>
      <c r="E77"/>
      <c r="F77"/>
      <c r="G77"/>
      <c r="H77"/>
      <c r="I77"/>
      <c r="J77"/>
      <c r="K77"/>
      <c r="L77"/>
      <c r="M77"/>
      <c r="N77"/>
      <c r="O77"/>
      <c r="P77"/>
      <c r="Q77"/>
      <c r="R77"/>
      <c r="S77"/>
    </row>
    <row r="78" spans="1:19" ht="15">
      <c r="A78"/>
      <c r="B78"/>
      <c r="C78"/>
      <c r="D78"/>
      <c r="E78"/>
      <c r="F78"/>
      <c r="G78"/>
      <c r="H78"/>
      <c r="I78"/>
      <c r="J78"/>
      <c r="K78"/>
      <c r="L78"/>
      <c r="M78"/>
      <c r="N78"/>
      <c r="O78"/>
      <c r="P78"/>
      <c r="Q78"/>
      <c r="R78"/>
      <c r="S78"/>
    </row>
    <row r="79" spans="1:19" ht="15">
      <c r="A79"/>
      <c r="B79"/>
      <c r="C79"/>
      <c r="D79"/>
      <c r="E79"/>
      <c r="F79"/>
      <c r="G79"/>
      <c r="H79"/>
      <c r="I79"/>
      <c r="J79"/>
      <c r="K79"/>
      <c r="L79"/>
      <c r="M79"/>
      <c r="N79"/>
      <c r="O79"/>
      <c r="P79"/>
      <c r="Q79"/>
      <c r="R79"/>
      <c r="S79"/>
    </row>
    <row r="80" spans="1:19" ht="15">
      <c r="A80"/>
      <c r="B80"/>
      <c r="C80"/>
      <c r="D80"/>
      <c r="E80"/>
      <c r="F80"/>
      <c r="G80"/>
      <c r="H80"/>
      <c r="I80"/>
      <c r="J80"/>
      <c r="K80"/>
      <c r="L80"/>
      <c r="M80"/>
      <c r="N80"/>
      <c r="O80"/>
      <c r="P80"/>
      <c r="Q80"/>
      <c r="R80"/>
      <c r="S80"/>
    </row>
    <row r="81" spans="1:19" ht="15">
      <c r="A81"/>
      <c r="B81"/>
      <c r="C81"/>
      <c r="D81"/>
      <c r="E81"/>
      <c r="F81"/>
      <c r="G81"/>
      <c r="H81"/>
      <c r="I81"/>
      <c r="J81"/>
      <c r="K81"/>
      <c r="L81"/>
      <c r="M81"/>
      <c r="N81"/>
      <c r="O81"/>
      <c r="P81"/>
      <c r="Q81"/>
      <c r="R81"/>
      <c r="S81"/>
    </row>
    <row r="82" spans="1:19" ht="15">
      <c r="A82"/>
      <c r="B82"/>
      <c r="C82"/>
      <c r="D82"/>
      <c r="E82"/>
      <c r="F82"/>
      <c r="G82"/>
      <c r="H82"/>
      <c r="I82"/>
      <c r="J82"/>
      <c r="K82"/>
      <c r="L82"/>
      <c r="M82"/>
      <c r="N82"/>
      <c r="O82"/>
      <c r="P82"/>
      <c r="Q82"/>
      <c r="R82"/>
      <c r="S82"/>
    </row>
    <row r="83" spans="1:19" ht="15">
      <c r="A83"/>
      <c r="B83"/>
      <c r="C83"/>
      <c r="D83"/>
      <c r="E83"/>
      <c r="F83"/>
      <c r="G83"/>
      <c r="H83"/>
      <c r="I83"/>
      <c r="J83"/>
      <c r="K83"/>
      <c r="L83"/>
      <c r="M83"/>
      <c r="N83"/>
      <c r="O83"/>
      <c r="P83"/>
      <c r="Q83"/>
      <c r="R83"/>
      <c r="S83"/>
    </row>
    <row r="84" spans="1:19" ht="15">
      <c r="A84"/>
      <c r="B84"/>
      <c r="C84"/>
      <c r="D84"/>
      <c r="E84"/>
      <c r="F84"/>
      <c r="G84"/>
      <c r="H84"/>
      <c r="I84"/>
      <c r="J84"/>
      <c r="K84"/>
      <c r="L84"/>
      <c r="M84"/>
      <c r="N84"/>
      <c r="O84"/>
      <c r="P84"/>
      <c r="Q84"/>
      <c r="R84"/>
      <c r="S84"/>
    </row>
    <row r="85" spans="1:19" ht="15">
      <c r="A85"/>
      <c r="B85"/>
      <c r="C85"/>
      <c r="D85"/>
      <c r="E85"/>
      <c r="F85"/>
      <c r="G85"/>
      <c r="H85"/>
      <c r="I85"/>
      <c r="J85"/>
      <c r="K85"/>
      <c r="L85"/>
      <c r="M85"/>
      <c r="N85"/>
      <c r="O85"/>
      <c r="P85"/>
      <c r="Q85"/>
      <c r="R85"/>
      <c r="S85"/>
    </row>
    <row r="86" spans="1:19" ht="15">
      <c r="A86"/>
      <c r="B86"/>
      <c r="C86"/>
      <c r="D86"/>
      <c r="E86"/>
      <c r="F86"/>
      <c r="G86"/>
      <c r="H86"/>
      <c r="I86"/>
      <c r="J86"/>
      <c r="K86"/>
      <c r="L86"/>
      <c r="M86"/>
      <c r="N86"/>
      <c r="O86"/>
      <c r="P86"/>
      <c r="Q86"/>
      <c r="R86"/>
      <c r="S86"/>
    </row>
    <row r="87" spans="1:19" ht="15">
      <c r="A87"/>
      <c r="B87"/>
      <c r="C87"/>
      <c r="D87"/>
      <c r="E87"/>
      <c r="F87"/>
      <c r="G87"/>
      <c r="H87"/>
      <c r="I87"/>
      <c r="J87"/>
      <c r="K87"/>
      <c r="L87"/>
      <c r="M87"/>
      <c r="N87"/>
      <c r="O87"/>
      <c r="P87"/>
      <c r="Q87"/>
      <c r="R87"/>
      <c r="S87"/>
    </row>
    <row r="88" spans="1:19" ht="15">
      <c r="A88"/>
      <c r="B88"/>
      <c r="C88"/>
      <c r="D88"/>
      <c r="E88"/>
      <c r="F88"/>
      <c r="G88"/>
      <c r="H88"/>
      <c r="I88"/>
      <c r="J88"/>
      <c r="K88"/>
      <c r="L88"/>
      <c r="M88"/>
      <c r="N88"/>
      <c r="O88"/>
      <c r="P88"/>
      <c r="Q88"/>
      <c r="R88"/>
      <c r="S88"/>
    </row>
    <row r="89" spans="1:19" ht="15">
      <c r="A89"/>
      <c r="B89"/>
      <c r="C89"/>
      <c r="D89"/>
      <c r="E89"/>
      <c r="F89"/>
      <c r="G89"/>
      <c r="H89"/>
      <c r="I89"/>
      <c r="J89"/>
      <c r="K89"/>
      <c r="L89"/>
      <c r="M89"/>
      <c r="N89"/>
      <c r="O89"/>
      <c r="P89"/>
      <c r="Q89"/>
      <c r="R89"/>
      <c r="S89"/>
    </row>
    <row r="90" spans="1:19" ht="15">
      <c r="A90"/>
      <c r="B90"/>
      <c r="C90"/>
      <c r="D90"/>
      <c r="E90"/>
      <c r="F90"/>
      <c r="G90"/>
      <c r="H90"/>
      <c r="I90"/>
      <c r="J90"/>
      <c r="K90"/>
      <c r="L90"/>
      <c r="M90"/>
      <c r="N90"/>
      <c r="O90"/>
      <c r="P90"/>
      <c r="Q90"/>
      <c r="R90"/>
      <c r="S90"/>
    </row>
    <row r="91" spans="1:19" ht="15">
      <c r="A91"/>
      <c r="B91"/>
      <c r="C91"/>
      <c r="D91"/>
      <c r="E91"/>
      <c r="F91"/>
      <c r="G91"/>
      <c r="H91"/>
      <c r="I91"/>
      <c r="J91"/>
      <c r="K91"/>
      <c r="L91"/>
      <c r="M91"/>
      <c r="N91"/>
      <c r="O91"/>
      <c r="P91"/>
      <c r="Q91"/>
      <c r="R91"/>
      <c r="S91"/>
    </row>
    <row r="92" spans="1:19" ht="15">
      <c r="A92"/>
      <c r="B92"/>
      <c r="C92"/>
      <c r="D92"/>
      <c r="E92"/>
      <c r="F92"/>
      <c r="G92"/>
      <c r="H92"/>
      <c r="I92"/>
      <c r="J92"/>
      <c r="K92"/>
      <c r="L92"/>
      <c r="M92"/>
      <c r="N92"/>
      <c r="O92"/>
      <c r="P92"/>
      <c r="Q92"/>
      <c r="R92"/>
      <c r="S92"/>
    </row>
    <row r="93" spans="1:19" ht="15">
      <c r="A93"/>
      <c r="B93"/>
      <c r="C93"/>
      <c r="D93"/>
      <c r="E93"/>
      <c r="F93"/>
      <c r="G93"/>
      <c r="H93"/>
      <c r="I93"/>
      <c r="J93"/>
      <c r="K93"/>
      <c r="L93"/>
      <c r="M93"/>
      <c r="N93"/>
      <c r="O93"/>
      <c r="P93"/>
      <c r="Q93"/>
      <c r="R93"/>
      <c r="S93"/>
    </row>
    <row r="94" spans="1:19" ht="15">
      <c r="A94"/>
      <c r="B94"/>
      <c r="C94"/>
      <c r="D94"/>
      <c r="E94"/>
      <c r="F94"/>
      <c r="G94"/>
      <c r="H94"/>
      <c r="I94"/>
      <c r="J94"/>
      <c r="K94"/>
      <c r="L94"/>
      <c r="M94"/>
      <c r="N94"/>
      <c r="O94"/>
      <c r="P94"/>
      <c r="Q94"/>
      <c r="R94"/>
      <c r="S94"/>
    </row>
    <row r="95" spans="1:19" ht="15">
      <c r="A95"/>
      <c r="B95"/>
      <c r="C95"/>
      <c r="D95"/>
      <c r="E95"/>
      <c r="F95"/>
      <c r="G95"/>
      <c r="H95"/>
      <c r="I95"/>
      <c r="J95"/>
      <c r="K95"/>
      <c r="L95"/>
      <c r="M95"/>
      <c r="N95"/>
      <c r="O95"/>
      <c r="P95"/>
      <c r="Q95"/>
      <c r="R95"/>
      <c r="S95"/>
    </row>
    <row r="96" spans="1:19" ht="15">
      <c r="A96"/>
      <c r="B96"/>
      <c r="C96"/>
      <c r="D96"/>
      <c r="E96"/>
      <c r="F96"/>
      <c r="G96"/>
      <c r="H96"/>
      <c r="I96"/>
      <c r="J96"/>
      <c r="K96"/>
      <c r="L96"/>
      <c r="M96"/>
      <c r="N96"/>
      <c r="O96"/>
      <c r="P96"/>
      <c r="Q96"/>
      <c r="R96"/>
      <c r="S96"/>
    </row>
    <row r="97" spans="1:19" ht="15">
      <c r="A97"/>
      <c r="B97"/>
      <c r="C97"/>
      <c r="D97"/>
      <c r="E97"/>
      <c r="F97"/>
      <c r="G97"/>
      <c r="H97"/>
      <c r="I97"/>
      <c r="J97"/>
      <c r="K97"/>
      <c r="L97"/>
      <c r="M97"/>
      <c r="N97"/>
      <c r="O97"/>
      <c r="P97"/>
      <c r="Q97"/>
      <c r="R97"/>
      <c r="S97"/>
    </row>
    <row r="98" spans="1:19" ht="15">
      <c r="A98"/>
      <c r="B98"/>
      <c r="C98"/>
      <c r="D98"/>
      <c r="E98"/>
      <c r="F98"/>
      <c r="G98"/>
      <c r="H98"/>
      <c r="I98"/>
      <c r="J98"/>
      <c r="K98"/>
      <c r="L98"/>
      <c r="M98"/>
      <c r="N98"/>
      <c r="O98"/>
      <c r="P98"/>
      <c r="Q98"/>
      <c r="R98"/>
      <c r="S98"/>
    </row>
    <row r="99" spans="1:19" ht="15">
      <c r="A99"/>
      <c r="B99"/>
      <c r="C99"/>
      <c r="D99"/>
      <c r="E99"/>
      <c r="F99"/>
      <c r="G99"/>
      <c r="H99"/>
      <c r="I99"/>
      <c r="J99"/>
      <c r="K99"/>
      <c r="L99"/>
      <c r="M99"/>
      <c r="N99"/>
      <c r="O99"/>
      <c r="P99"/>
      <c r="Q99"/>
      <c r="R99"/>
      <c r="S99"/>
    </row>
    <row r="100" spans="1:19" ht="15">
      <c r="A100"/>
      <c r="B100"/>
      <c r="C100"/>
      <c r="D100"/>
      <c r="E100"/>
      <c r="F100"/>
      <c r="G100"/>
      <c r="H100"/>
      <c r="I100"/>
      <c r="J100"/>
      <c r="K100"/>
      <c r="L100"/>
      <c r="M100"/>
      <c r="N100"/>
      <c r="O100"/>
      <c r="P100"/>
      <c r="Q100"/>
      <c r="R100"/>
      <c r="S100"/>
    </row>
    <row r="101" spans="1:19" ht="15">
      <c r="A101"/>
      <c r="B101"/>
      <c r="C101"/>
      <c r="D101"/>
      <c r="E101"/>
      <c r="F101"/>
      <c r="G101"/>
      <c r="H101"/>
      <c r="I101"/>
      <c r="J101"/>
      <c r="K101"/>
      <c r="L101"/>
      <c r="M101"/>
      <c r="N101"/>
      <c r="O101"/>
      <c r="P101"/>
      <c r="Q101"/>
      <c r="R101"/>
      <c r="S101"/>
    </row>
    <row r="102" spans="1:19" ht="15">
      <c r="A102"/>
      <c r="B102"/>
      <c r="C102"/>
      <c r="D102"/>
      <c r="E102"/>
      <c r="F102"/>
      <c r="G102"/>
      <c r="H102"/>
      <c r="I102"/>
      <c r="J102"/>
      <c r="K102"/>
      <c r="L102"/>
      <c r="M102"/>
      <c r="N102"/>
      <c r="O102"/>
      <c r="P102"/>
      <c r="Q102"/>
      <c r="R102"/>
      <c r="S102"/>
    </row>
    <row r="103" spans="1:19" ht="15">
      <c r="A103"/>
      <c r="B103"/>
      <c r="C103"/>
      <c r="D103"/>
      <c r="E103"/>
      <c r="F103"/>
      <c r="G103"/>
      <c r="H103"/>
      <c r="I103"/>
      <c r="J103"/>
      <c r="K103"/>
      <c r="L103"/>
      <c r="M103"/>
      <c r="N103"/>
      <c r="O103"/>
      <c r="P103"/>
      <c r="Q103"/>
      <c r="R103"/>
      <c r="S103"/>
    </row>
    <row r="104" spans="1:19" ht="15">
      <c r="A104"/>
      <c r="B104"/>
      <c r="C104"/>
      <c r="D104"/>
      <c r="E104"/>
      <c r="F104"/>
      <c r="G104"/>
      <c r="H104"/>
      <c r="I104"/>
      <c r="J104"/>
      <c r="K104"/>
      <c r="L104"/>
      <c r="M104"/>
      <c r="N104"/>
      <c r="O104"/>
      <c r="P104"/>
      <c r="Q104"/>
      <c r="R104"/>
      <c r="S104"/>
    </row>
    <row r="105" spans="1:19" ht="15">
      <c r="A105"/>
      <c r="B105"/>
      <c r="C105"/>
      <c r="D105"/>
      <c r="E105"/>
      <c r="F105"/>
      <c r="G105"/>
      <c r="H105"/>
      <c r="I105"/>
      <c r="J105"/>
      <c r="K105"/>
      <c r="L105"/>
      <c r="M105"/>
      <c r="N105"/>
      <c r="O105"/>
      <c r="P105"/>
      <c r="Q105"/>
      <c r="R105"/>
      <c r="S105"/>
    </row>
    <row r="106" spans="1:19" ht="15">
      <c r="A106"/>
      <c r="B106"/>
      <c r="C106"/>
      <c r="D106"/>
      <c r="E106"/>
      <c r="F106"/>
      <c r="G106"/>
      <c r="H106"/>
      <c r="I106"/>
      <c r="J106"/>
      <c r="K106"/>
      <c r="L106"/>
      <c r="M106"/>
      <c r="N106"/>
      <c r="O106"/>
      <c r="P106"/>
      <c r="Q106"/>
      <c r="R106"/>
      <c r="S106"/>
    </row>
    <row r="107" spans="1:19" ht="15">
      <c r="A107"/>
      <c r="B107"/>
      <c r="C107"/>
      <c r="D107"/>
      <c r="E107"/>
      <c r="F107"/>
      <c r="G107"/>
      <c r="H107"/>
      <c r="I107"/>
      <c r="J107"/>
      <c r="K107"/>
      <c r="L107"/>
      <c r="M107"/>
      <c r="N107"/>
      <c r="O107"/>
      <c r="P107"/>
      <c r="Q107"/>
      <c r="R107"/>
      <c r="S107"/>
    </row>
    <row r="108" spans="1:19" ht="15">
      <c r="A108"/>
      <c r="B108"/>
      <c r="C108"/>
      <c r="D108"/>
      <c r="E108"/>
      <c r="F108"/>
      <c r="G108"/>
      <c r="H108"/>
      <c r="I108"/>
      <c r="J108"/>
      <c r="K108"/>
      <c r="L108"/>
      <c r="M108"/>
      <c r="N108"/>
      <c r="O108"/>
      <c r="P108"/>
      <c r="Q108"/>
      <c r="R108"/>
      <c r="S108"/>
    </row>
    <row r="109" spans="1:19" ht="15">
      <c r="A109"/>
      <c r="B109"/>
      <c r="C109"/>
      <c r="D109"/>
      <c r="E109"/>
      <c r="F109"/>
      <c r="G109"/>
      <c r="H109"/>
      <c r="I109"/>
      <c r="J109"/>
      <c r="K109"/>
      <c r="L109"/>
      <c r="M109"/>
      <c r="N109"/>
      <c r="O109"/>
      <c r="P109"/>
      <c r="Q109"/>
      <c r="R109"/>
      <c r="S109"/>
    </row>
    <row r="110" spans="1:19" ht="15">
      <c r="A110"/>
      <c r="B110"/>
      <c r="C110"/>
      <c r="D110"/>
      <c r="E110"/>
      <c r="F110"/>
      <c r="G110"/>
      <c r="H110"/>
      <c r="I110"/>
      <c r="J110"/>
      <c r="K110"/>
      <c r="L110"/>
      <c r="M110"/>
      <c r="N110"/>
      <c r="O110"/>
      <c r="P110"/>
      <c r="Q110"/>
      <c r="R110"/>
      <c r="S110"/>
    </row>
    <row r="111" spans="1:19" ht="15">
      <c r="A111"/>
      <c r="B111"/>
      <c r="C111"/>
      <c r="D111"/>
      <c r="E111"/>
      <c r="F111"/>
      <c r="G111"/>
      <c r="H111"/>
      <c r="I111"/>
      <c r="J111"/>
      <c r="K111"/>
      <c r="L111"/>
      <c r="M111"/>
      <c r="N111"/>
      <c r="O111"/>
      <c r="P111"/>
      <c r="Q111"/>
      <c r="R111"/>
      <c r="S111"/>
    </row>
    <row r="112" spans="1:19" ht="15">
      <c r="A112"/>
      <c r="B112"/>
      <c r="C112"/>
      <c r="D112"/>
      <c r="E112"/>
      <c r="F112"/>
      <c r="G112"/>
      <c r="H112"/>
      <c r="I112"/>
      <c r="J112"/>
      <c r="K112"/>
      <c r="L112"/>
      <c r="M112"/>
      <c r="N112"/>
      <c r="O112"/>
      <c r="P112"/>
      <c r="Q112"/>
      <c r="R112"/>
      <c r="S112"/>
    </row>
    <row r="113" spans="1:19" ht="15">
      <c r="A113"/>
      <c r="B113"/>
      <c r="C113"/>
      <c r="D113"/>
      <c r="E113"/>
      <c r="F113"/>
      <c r="G113"/>
      <c r="H113"/>
      <c r="I113"/>
      <c r="J113"/>
      <c r="K113"/>
      <c r="L113"/>
      <c r="M113"/>
      <c r="N113"/>
      <c r="O113"/>
      <c r="P113"/>
      <c r="Q113"/>
      <c r="R113"/>
      <c r="S113"/>
    </row>
    <row r="114" spans="1:19" ht="15">
      <c r="A114"/>
      <c r="B114"/>
      <c r="C114"/>
      <c r="D114"/>
      <c r="E114"/>
      <c r="F114"/>
      <c r="G114"/>
      <c r="H114"/>
      <c r="I114"/>
      <c r="J114"/>
      <c r="K114"/>
      <c r="L114"/>
      <c r="M114"/>
      <c r="N114"/>
      <c r="O114"/>
      <c r="P114"/>
      <c r="Q114"/>
      <c r="R114"/>
      <c r="S114"/>
    </row>
    <row r="115" spans="1:19" ht="15">
      <c r="A115"/>
      <c r="B115"/>
      <c r="C115"/>
      <c r="D115"/>
      <c r="E115"/>
      <c r="F115"/>
      <c r="G115"/>
      <c r="H115"/>
      <c r="I115"/>
      <c r="J115"/>
      <c r="K115"/>
      <c r="L115"/>
      <c r="M115"/>
      <c r="N115"/>
      <c r="O115"/>
      <c r="P115"/>
      <c r="Q115"/>
      <c r="R115"/>
      <c r="S115"/>
    </row>
    <row r="116" spans="1:19" ht="15">
      <c r="A116"/>
      <c r="B116"/>
      <c r="C116"/>
      <c r="D116"/>
      <c r="E116"/>
      <c r="F116"/>
      <c r="G116"/>
      <c r="H116"/>
      <c r="I116"/>
      <c r="J116"/>
      <c r="K116"/>
      <c r="L116"/>
      <c r="M116"/>
      <c r="N116"/>
      <c r="O116"/>
      <c r="P116"/>
      <c r="Q116"/>
      <c r="R116"/>
      <c r="S116"/>
    </row>
    <row r="117" spans="1:19" ht="15">
      <c r="A117"/>
      <c r="B117"/>
      <c r="C117"/>
      <c r="D117"/>
      <c r="E117"/>
      <c r="F117"/>
      <c r="G117"/>
      <c r="H117"/>
      <c r="I117"/>
      <c r="J117"/>
      <c r="K117"/>
      <c r="L117"/>
      <c r="M117"/>
      <c r="N117"/>
      <c r="O117"/>
      <c r="P117"/>
      <c r="Q117"/>
      <c r="R117"/>
      <c r="S117"/>
    </row>
    <row r="118" spans="1:19" ht="15">
      <c r="A118"/>
      <c r="B118"/>
      <c r="C118"/>
      <c r="D118"/>
      <c r="E118"/>
      <c r="F118"/>
      <c r="G118"/>
      <c r="H118"/>
      <c r="I118"/>
      <c r="J118"/>
      <c r="K118"/>
      <c r="L118"/>
      <c r="M118"/>
      <c r="N118"/>
      <c r="O118"/>
      <c r="P118"/>
      <c r="Q118"/>
      <c r="R118"/>
      <c r="S118"/>
    </row>
    <row r="119" spans="1:19" ht="15">
      <c r="A119"/>
      <c r="B119"/>
      <c r="C119"/>
      <c r="D119"/>
      <c r="E119"/>
      <c r="F119"/>
      <c r="G119"/>
      <c r="H119"/>
      <c r="I119"/>
      <c r="J119"/>
      <c r="K119"/>
      <c r="L119"/>
      <c r="M119"/>
      <c r="N119"/>
      <c r="O119"/>
      <c r="P119"/>
      <c r="Q119"/>
      <c r="R119"/>
      <c r="S119"/>
    </row>
    <row r="120" spans="1:19" ht="15">
      <c r="A120"/>
      <c r="B120"/>
      <c r="C120"/>
      <c r="D120"/>
      <c r="E120"/>
      <c r="F120"/>
      <c r="G120"/>
      <c r="H120"/>
      <c r="I120"/>
      <c r="J120"/>
      <c r="K120"/>
      <c r="L120"/>
      <c r="M120"/>
      <c r="N120"/>
      <c r="O120"/>
      <c r="P120"/>
      <c r="Q120"/>
      <c r="R120"/>
      <c r="S120"/>
    </row>
    <row r="121" spans="1:19" ht="15">
      <c r="A121"/>
      <c r="B121"/>
      <c r="C121"/>
      <c r="D121"/>
      <c r="E121"/>
      <c r="F121"/>
      <c r="G121"/>
      <c r="H121"/>
      <c r="I121"/>
      <c r="J121"/>
      <c r="K121"/>
      <c r="L121"/>
      <c r="M121"/>
      <c r="N121"/>
      <c r="O121"/>
      <c r="P121"/>
      <c r="Q121"/>
      <c r="R121"/>
      <c r="S121"/>
    </row>
    <row r="122" spans="1:19" ht="15">
      <c r="A122"/>
      <c r="B122"/>
      <c r="C122"/>
      <c r="D122"/>
      <c r="E122"/>
      <c r="F122"/>
      <c r="G122"/>
      <c r="H122"/>
      <c r="I122"/>
      <c r="J122"/>
      <c r="K122"/>
      <c r="L122"/>
      <c r="M122"/>
      <c r="N122"/>
      <c r="O122"/>
      <c r="P122"/>
      <c r="Q122"/>
      <c r="R122"/>
      <c r="S122"/>
    </row>
    <row r="123" spans="1:19" ht="15">
      <c r="A123"/>
      <c r="B123"/>
      <c r="C123"/>
      <c r="D123"/>
      <c r="E123"/>
      <c r="F123"/>
      <c r="G123"/>
      <c r="H123"/>
      <c r="I123"/>
      <c r="J123"/>
      <c r="K123"/>
      <c r="L123"/>
      <c r="M123"/>
      <c r="N123"/>
      <c r="O123"/>
      <c r="P123"/>
      <c r="Q123"/>
      <c r="R123"/>
      <c r="S123"/>
    </row>
    <row r="124" spans="1:19" ht="15">
      <c r="A124"/>
      <c r="B124"/>
      <c r="C124"/>
      <c r="D124"/>
      <c r="E124"/>
      <c r="F124"/>
      <c r="G124"/>
      <c r="H124"/>
      <c r="I124"/>
      <c r="J124"/>
      <c r="K124"/>
      <c r="L124"/>
      <c r="M124"/>
      <c r="N124"/>
      <c r="O124"/>
      <c r="P124"/>
      <c r="Q124"/>
      <c r="R124"/>
      <c r="S124"/>
    </row>
    <row r="125" spans="1:19" ht="15">
      <c r="A125"/>
      <c r="B125"/>
      <c r="C125"/>
      <c r="D125"/>
      <c r="E125"/>
      <c r="F125"/>
      <c r="G125"/>
      <c r="H125"/>
      <c r="I125"/>
      <c r="J125"/>
      <c r="K125"/>
      <c r="L125"/>
      <c r="M125"/>
      <c r="N125"/>
      <c r="O125"/>
      <c r="P125"/>
      <c r="Q125"/>
      <c r="R125"/>
      <c r="S125"/>
    </row>
    <row r="126" spans="1:19" ht="15">
      <c r="A126"/>
      <c r="B126"/>
      <c r="C126"/>
      <c r="D126"/>
      <c r="E126"/>
      <c r="F126"/>
      <c r="G126"/>
      <c r="H126"/>
      <c r="I126"/>
      <c r="J126"/>
      <c r="K126"/>
      <c r="L126"/>
      <c r="M126"/>
      <c r="N126"/>
      <c r="O126"/>
      <c r="P126"/>
      <c r="Q126"/>
      <c r="R126"/>
      <c r="S126"/>
    </row>
    <row r="127" spans="1:19" ht="15">
      <c r="A127"/>
      <c r="B127"/>
      <c r="C127"/>
      <c r="D127"/>
      <c r="E127"/>
      <c r="F127"/>
      <c r="G127"/>
      <c r="H127"/>
      <c r="I127"/>
      <c r="J127"/>
      <c r="K127"/>
      <c r="L127"/>
      <c r="M127"/>
      <c r="N127"/>
      <c r="O127"/>
      <c r="P127"/>
      <c r="Q127"/>
      <c r="R127"/>
      <c r="S127"/>
    </row>
    <row r="128" spans="1:19" ht="15">
      <c r="A128"/>
      <c r="B128"/>
      <c r="C128"/>
      <c r="D128"/>
      <c r="E128"/>
      <c r="F128"/>
      <c r="G128"/>
      <c r="H128"/>
      <c r="I128"/>
      <c r="J128"/>
      <c r="K128"/>
      <c r="L128"/>
      <c r="M128"/>
      <c r="N128"/>
      <c r="O128"/>
      <c r="P128"/>
      <c r="Q128"/>
      <c r="R128"/>
      <c r="S128"/>
    </row>
    <row r="129" spans="1:19" ht="15">
      <c r="A129"/>
      <c r="B129"/>
      <c r="C129"/>
      <c r="D129"/>
      <c r="E129"/>
      <c r="F129"/>
      <c r="G129"/>
      <c r="H129"/>
      <c r="I129"/>
      <c r="J129"/>
      <c r="K129"/>
      <c r="L129"/>
      <c r="M129"/>
      <c r="N129"/>
      <c r="O129"/>
      <c r="P129"/>
      <c r="Q129"/>
      <c r="R129"/>
      <c r="S129"/>
    </row>
    <row r="130" spans="1:19" ht="15">
      <c r="A130"/>
      <c r="B130"/>
      <c r="C130"/>
      <c r="D130"/>
      <c r="E130"/>
      <c r="F130"/>
      <c r="G130"/>
      <c r="H130"/>
      <c r="I130"/>
      <c r="J130"/>
      <c r="K130"/>
      <c r="L130"/>
      <c r="M130"/>
      <c r="N130"/>
      <c r="O130"/>
      <c r="P130"/>
      <c r="Q130"/>
      <c r="R130"/>
      <c r="S130"/>
    </row>
    <row r="131" spans="1:19" ht="15">
      <c r="A131"/>
      <c r="B131"/>
      <c r="C131"/>
      <c r="D131"/>
      <c r="E131"/>
      <c r="F131"/>
      <c r="G131"/>
      <c r="H131"/>
      <c r="I131"/>
      <c r="J131"/>
      <c r="K131"/>
      <c r="L131"/>
      <c r="M131"/>
      <c r="N131"/>
      <c r="O131"/>
      <c r="P131"/>
      <c r="Q131"/>
      <c r="R131"/>
      <c r="S131"/>
    </row>
    <row r="132" spans="1:19" ht="15">
      <c r="A132"/>
      <c r="B132"/>
      <c r="C132"/>
      <c r="D132"/>
      <c r="E132"/>
      <c r="F132"/>
      <c r="G132"/>
      <c r="H132"/>
      <c r="I132"/>
      <c r="J132"/>
      <c r="K132"/>
      <c r="L132"/>
      <c r="M132"/>
      <c r="N132"/>
      <c r="O132"/>
      <c r="P132"/>
      <c r="Q132"/>
      <c r="R132"/>
      <c r="S132"/>
    </row>
    <row r="133" spans="1:19" ht="15">
      <c r="A133"/>
      <c r="B133"/>
      <c r="C133"/>
      <c r="D133"/>
      <c r="E133"/>
      <c r="F133"/>
      <c r="G133"/>
      <c r="H133"/>
      <c r="I133"/>
      <c r="J133"/>
      <c r="K133"/>
      <c r="L133"/>
      <c r="M133"/>
      <c r="N133"/>
      <c r="O133"/>
      <c r="P133"/>
      <c r="Q133"/>
      <c r="R133"/>
      <c r="S133"/>
    </row>
    <row r="134" spans="1:19" ht="15">
      <c r="A134"/>
      <c r="B134"/>
      <c r="C134"/>
      <c r="D134"/>
      <c r="E134"/>
      <c r="F134"/>
      <c r="G134"/>
      <c r="H134"/>
      <c r="I134"/>
      <c r="J134"/>
      <c r="K134"/>
      <c r="L134"/>
      <c r="M134"/>
      <c r="N134"/>
      <c r="O134"/>
      <c r="P134"/>
      <c r="Q134"/>
      <c r="R134"/>
      <c r="S134"/>
    </row>
    <row r="135" spans="1:19" ht="15">
      <c r="A135"/>
      <c r="B135"/>
      <c r="C135"/>
      <c r="D135"/>
      <c r="E135"/>
      <c r="F135"/>
      <c r="G135"/>
      <c r="H135"/>
      <c r="I135"/>
      <c r="J135"/>
      <c r="K135"/>
      <c r="L135"/>
      <c r="M135"/>
      <c r="N135"/>
      <c r="O135"/>
      <c r="P135"/>
      <c r="Q135"/>
      <c r="R135"/>
      <c r="S135"/>
    </row>
    <row r="136" spans="1:19" ht="15">
      <c r="A136"/>
      <c r="B136"/>
      <c r="C136"/>
      <c r="D136"/>
      <c r="E136"/>
      <c r="F136"/>
      <c r="G136"/>
      <c r="H136"/>
      <c r="I136"/>
      <c r="J136"/>
      <c r="K136"/>
      <c r="L136"/>
      <c r="M136"/>
      <c r="N136"/>
      <c r="O136"/>
      <c r="P136"/>
      <c r="Q136"/>
      <c r="R136"/>
      <c r="S136"/>
    </row>
    <row r="137" spans="1:19" ht="15">
      <c r="A137"/>
      <c r="B137"/>
      <c r="C137"/>
      <c r="D137"/>
      <c r="E137"/>
      <c r="F137"/>
      <c r="G137"/>
      <c r="H137"/>
      <c r="I137"/>
      <c r="J137"/>
      <c r="K137"/>
      <c r="L137"/>
      <c r="M137"/>
      <c r="N137"/>
      <c r="O137"/>
      <c r="P137"/>
      <c r="Q137"/>
      <c r="R137"/>
      <c r="S137"/>
    </row>
    <row r="138" spans="1:19" ht="15">
      <c r="A138"/>
      <c r="B138"/>
      <c r="C138"/>
      <c r="D138"/>
      <c r="E138"/>
      <c r="F138"/>
      <c r="G138"/>
      <c r="H138"/>
      <c r="I138"/>
      <c r="J138"/>
      <c r="K138"/>
      <c r="L138"/>
      <c r="M138"/>
      <c r="N138"/>
      <c r="O138"/>
      <c r="P138"/>
      <c r="Q138"/>
      <c r="R138"/>
      <c r="S138"/>
    </row>
    <row r="139" spans="1:19" ht="15">
      <c r="A139"/>
      <c r="B139"/>
      <c r="C139"/>
      <c r="D139"/>
      <c r="E139"/>
      <c r="F139"/>
      <c r="G139"/>
      <c r="H139"/>
      <c r="I139"/>
      <c r="J139"/>
      <c r="K139"/>
      <c r="L139"/>
      <c r="M139"/>
      <c r="N139"/>
      <c r="O139"/>
      <c r="P139"/>
      <c r="Q139"/>
      <c r="R139"/>
      <c r="S139"/>
    </row>
    <row r="140" spans="1:19" ht="15">
      <c r="A140"/>
      <c r="B140"/>
      <c r="C140"/>
      <c r="D140"/>
      <c r="E140"/>
      <c r="F140"/>
      <c r="G140"/>
      <c r="H140"/>
      <c r="I140"/>
      <c r="J140"/>
      <c r="K140"/>
      <c r="L140"/>
      <c r="M140"/>
      <c r="N140"/>
      <c r="O140"/>
      <c r="P140"/>
      <c r="Q140"/>
      <c r="R140"/>
      <c r="S140"/>
    </row>
    <row r="141" spans="1:19" ht="15">
      <c r="A141"/>
      <c r="B141"/>
      <c r="C141"/>
      <c r="D141"/>
      <c r="E141"/>
      <c r="F141"/>
      <c r="G141"/>
      <c r="H141"/>
      <c r="I141"/>
      <c r="J141"/>
      <c r="K141"/>
      <c r="L141"/>
      <c r="M141"/>
      <c r="N141"/>
      <c r="O141"/>
      <c r="P141"/>
      <c r="Q141"/>
      <c r="R141"/>
      <c r="S141"/>
    </row>
    <row r="142" spans="1:19" ht="15">
      <c r="A142"/>
      <c r="B142"/>
      <c r="C142"/>
      <c r="D142"/>
      <c r="E142"/>
      <c r="F142"/>
      <c r="G142"/>
      <c r="H142"/>
      <c r="I142"/>
      <c r="J142"/>
      <c r="K142"/>
      <c r="L142"/>
      <c r="M142"/>
      <c r="N142"/>
      <c r="O142"/>
      <c r="P142"/>
      <c r="Q142"/>
      <c r="R142"/>
      <c r="S142"/>
    </row>
    <row r="143" spans="1:19" ht="15">
      <c r="A143"/>
      <c r="B143"/>
      <c r="C143"/>
      <c r="D143"/>
      <c r="E143"/>
      <c r="F143"/>
      <c r="G143"/>
      <c r="H143"/>
      <c r="I143"/>
      <c r="J143"/>
      <c r="K143"/>
      <c r="L143"/>
      <c r="M143"/>
      <c r="N143"/>
      <c r="O143"/>
      <c r="P143"/>
      <c r="Q143"/>
      <c r="R143"/>
      <c r="S143"/>
    </row>
    <row r="144" spans="1:19" ht="15">
      <c r="A144"/>
      <c r="B144"/>
      <c r="C144"/>
      <c r="D144"/>
      <c r="E144"/>
      <c r="F144"/>
      <c r="G144"/>
      <c r="H144"/>
      <c r="I144"/>
      <c r="J144"/>
      <c r="K144"/>
      <c r="L144"/>
      <c r="M144"/>
      <c r="N144"/>
      <c r="O144"/>
      <c r="P144"/>
      <c r="Q144"/>
      <c r="R144"/>
      <c r="S144"/>
    </row>
    <row r="145" spans="1:19" ht="15">
      <c r="A145"/>
      <c r="B145"/>
      <c r="C145"/>
      <c r="D145"/>
      <c r="E145"/>
      <c r="F145"/>
      <c r="G145"/>
      <c r="H145"/>
      <c r="I145"/>
      <c r="J145"/>
      <c r="K145"/>
      <c r="L145"/>
      <c r="M145"/>
      <c r="N145"/>
      <c r="O145"/>
      <c r="P145"/>
      <c r="Q145"/>
      <c r="R145"/>
      <c r="S145"/>
    </row>
    <row r="146" spans="1:19" ht="15">
      <c r="A146"/>
      <c r="B146"/>
      <c r="C146"/>
      <c r="D146"/>
      <c r="E146"/>
      <c r="F146"/>
      <c r="G146"/>
      <c r="H146"/>
      <c r="I146"/>
      <c r="J146"/>
      <c r="K146"/>
      <c r="L146"/>
      <c r="M146"/>
      <c r="N146"/>
      <c r="O146"/>
      <c r="P146"/>
      <c r="Q146"/>
      <c r="R146"/>
      <c r="S146"/>
    </row>
    <row r="147" spans="1:19" ht="15">
      <c r="A147"/>
      <c r="B147"/>
      <c r="C147"/>
      <c r="D147"/>
      <c r="E147"/>
      <c r="F147"/>
      <c r="G147"/>
      <c r="H147"/>
      <c r="I147"/>
      <c r="J147"/>
      <c r="K147"/>
      <c r="L147"/>
      <c r="M147"/>
      <c r="N147"/>
      <c r="O147"/>
      <c r="P147"/>
      <c r="Q147"/>
      <c r="R147"/>
      <c r="S147"/>
    </row>
    <row r="148" spans="1:19" ht="15">
      <c r="A148"/>
      <c r="B148"/>
      <c r="C148"/>
      <c r="D148"/>
      <c r="E148"/>
      <c r="F148"/>
      <c r="G148"/>
      <c r="H148"/>
      <c r="I148"/>
      <c r="J148"/>
      <c r="K148"/>
      <c r="L148"/>
      <c r="M148"/>
      <c r="N148"/>
      <c r="O148"/>
      <c r="P148"/>
      <c r="Q148"/>
      <c r="R148"/>
      <c r="S148"/>
    </row>
    <row r="149" spans="1:19" ht="15">
      <c r="A149"/>
      <c r="B149"/>
      <c r="C149"/>
      <c r="D149"/>
      <c r="E149"/>
      <c r="F149"/>
      <c r="G149"/>
      <c r="H149"/>
      <c r="I149"/>
      <c r="J149"/>
      <c r="K149"/>
      <c r="L149"/>
      <c r="M149"/>
      <c r="N149"/>
      <c r="O149"/>
      <c r="P149"/>
      <c r="Q149"/>
      <c r="R149"/>
      <c r="S149"/>
    </row>
    <row r="150" spans="1:19" ht="15">
      <c r="A150"/>
      <c r="B150"/>
      <c r="C150"/>
      <c r="D150"/>
      <c r="E150"/>
      <c r="F150"/>
      <c r="G150"/>
      <c r="H150"/>
      <c r="I150"/>
      <c r="J150"/>
      <c r="K150"/>
      <c r="L150"/>
      <c r="M150"/>
      <c r="N150"/>
      <c r="O150"/>
      <c r="P150"/>
      <c r="Q150"/>
      <c r="R150"/>
      <c r="S150"/>
    </row>
    <row r="151" spans="1:19" ht="15">
      <c r="A151"/>
      <c r="B151"/>
      <c r="C151"/>
      <c r="D151"/>
      <c r="E151"/>
      <c r="F151"/>
      <c r="G151"/>
      <c r="H151"/>
      <c r="I151"/>
      <c r="J151"/>
      <c r="K151"/>
      <c r="L151"/>
      <c r="M151"/>
      <c r="N151"/>
      <c r="O151"/>
      <c r="P151"/>
      <c r="Q151"/>
      <c r="R151"/>
      <c r="S151"/>
    </row>
    <row r="152" spans="1:19" ht="15">
      <c r="A152"/>
      <c r="B152"/>
      <c r="C152"/>
      <c r="D152"/>
      <c r="E152"/>
      <c r="F152"/>
      <c r="G152"/>
      <c r="H152"/>
      <c r="I152"/>
      <c r="J152"/>
      <c r="K152"/>
      <c r="L152"/>
      <c r="M152"/>
      <c r="N152"/>
      <c r="O152"/>
      <c r="P152"/>
      <c r="Q152"/>
      <c r="R152"/>
      <c r="S152"/>
    </row>
    <row r="153" spans="1:19" ht="15">
      <c r="A153"/>
      <c r="B153"/>
      <c r="C153"/>
      <c r="D153"/>
      <c r="E153"/>
      <c r="F153"/>
      <c r="G153"/>
      <c r="H153"/>
      <c r="I153"/>
      <c r="J153"/>
      <c r="K153"/>
      <c r="L153"/>
      <c r="M153"/>
      <c r="N153"/>
      <c r="O153"/>
      <c r="P153"/>
      <c r="Q153"/>
      <c r="R153"/>
      <c r="S153"/>
    </row>
    <row r="154" spans="1:19" ht="15">
      <c r="A154"/>
      <c r="B154"/>
      <c r="C154"/>
      <c r="D154"/>
      <c r="E154"/>
      <c r="F154"/>
      <c r="G154"/>
      <c r="H154"/>
      <c r="I154"/>
      <c r="J154"/>
      <c r="K154"/>
      <c r="L154"/>
      <c r="M154"/>
      <c r="N154"/>
      <c r="O154"/>
      <c r="P154"/>
      <c r="Q154"/>
      <c r="R154"/>
      <c r="S154"/>
    </row>
    <row r="155" spans="1:19" ht="15">
      <c r="A155"/>
      <c r="B155"/>
      <c r="C155"/>
      <c r="D155"/>
      <c r="E155"/>
      <c r="F155"/>
      <c r="G155"/>
      <c r="H155"/>
      <c r="I155"/>
      <c r="J155"/>
      <c r="K155"/>
      <c r="L155"/>
      <c r="M155"/>
      <c r="N155"/>
      <c r="O155"/>
      <c r="P155"/>
      <c r="Q155"/>
      <c r="R155"/>
      <c r="S155"/>
    </row>
    <row r="156" spans="1:19" ht="15">
      <c r="A156"/>
      <c r="B156"/>
      <c r="C156"/>
      <c r="D156"/>
      <c r="E156"/>
      <c r="F156"/>
      <c r="G156"/>
      <c r="H156"/>
      <c r="I156"/>
      <c r="J156"/>
      <c r="K156"/>
      <c r="L156"/>
      <c r="M156"/>
      <c r="N156"/>
      <c r="O156"/>
      <c r="P156"/>
      <c r="Q156"/>
      <c r="R156"/>
      <c r="S156"/>
    </row>
    <row r="157" spans="1:19" ht="15">
      <c r="A157"/>
      <c r="B157"/>
      <c r="C157"/>
      <c r="D157"/>
      <c r="E157"/>
      <c r="F157"/>
      <c r="G157"/>
      <c r="H157"/>
      <c r="I157"/>
      <c r="J157"/>
      <c r="K157"/>
      <c r="L157"/>
      <c r="M157"/>
      <c r="N157"/>
      <c r="O157"/>
      <c r="P157"/>
      <c r="Q157"/>
      <c r="R157"/>
      <c r="S157"/>
    </row>
    <row r="158" spans="1:19" ht="15">
      <c r="A158"/>
      <c r="B158"/>
      <c r="C158"/>
      <c r="D158"/>
      <c r="E158"/>
      <c r="F158"/>
      <c r="G158"/>
      <c r="H158"/>
      <c r="I158"/>
      <c r="J158"/>
      <c r="K158"/>
      <c r="L158"/>
      <c r="M158"/>
      <c r="N158"/>
      <c r="O158"/>
      <c r="P158"/>
      <c r="Q158"/>
      <c r="R158"/>
      <c r="S158"/>
    </row>
    <row r="159" spans="1:19" ht="15">
      <c r="A159"/>
      <c r="B159"/>
      <c r="C159"/>
      <c r="D159"/>
      <c r="E159"/>
      <c r="F159"/>
      <c r="G159"/>
      <c r="H159"/>
      <c r="I159"/>
      <c r="J159"/>
      <c r="K159"/>
      <c r="L159"/>
      <c r="M159"/>
      <c r="N159"/>
      <c r="O159"/>
      <c r="P159"/>
      <c r="Q159"/>
      <c r="R159"/>
      <c r="S159"/>
    </row>
    <row r="160" spans="1:19" ht="15">
      <c r="A160"/>
      <c r="B160"/>
      <c r="C160"/>
      <c r="D160"/>
      <c r="E160"/>
      <c r="F160"/>
      <c r="G160"/>
      <c r="H160"/>
      <c r="I160"/>
      <c r="J160"/>
      <c r="K160"/>
      <c r="L160"/>
      <c r="M160"/>
      <c r="N160"/>
      <c r="O160"/>
      <c r="P160"/>
      <c r="Q160"/>
      <c r="R160"/>
      <c r="S160"/>
    </row>
    <row r="161" spans="1:19" ht="15">
      <c r="A161"/>
      <c r="B161"/>
      <c r="C161"/>
      <c r="D161"/>
      <c r="E161"/>
      <c r="F161"/>
      <c r="G161"/>
      <c r="H161"/>
      <c r="I161"/>
      <c r="J161"/>
      <c r="K161"/>
      <c r="L161"/>
      <c r="M161"/>
      <c r="N161"/>
      <c r="O161"/>
      <c r="P161"/>
      <c r="Q161"/>
      <c r="R161"/>
      <c r="S161"/>
    </row>
    <row r="162" spans="1:19" ht="15">
      <c r="A162"/>
      <c r="B162"/>
      <c r="C162"/>
      <c r="D162"/>
      <c r="E162"/>
      <c r="F162"/>
      <c r="G162"/>
      <c r="H162"/>
      <c r="I162"/>
      <c r="J162"/>
      <c r="K162"/>
      <c r="L162"/>
      <c r="M162"/>
      <c r="N162"/>
      <c r="O162"/>
      <c r="P162"/>
      <c r="Q162"/>
      <c r="R162"/>
      <c r="S162"/>
    </row>
    <row r="163" spans="1:19" ht="15">
      <c r="A163"/>
      <c r="B163"/>
      <c r="C163"/>
      <c r="D163"/>
      <c r="E163"/>
      <c r="F163"/>
      <c r="G163"/>
      <c r="H163"/>
      <c r="I163"/>
      <c r="J163"/>
      <c r="K163"/>
      <c r="L163"/>
      <c r="M163"/>
      <c r="N163"/>
      <c r="O163"/>
      <c r="P163"/>
      <c r="Q163"/>
      <c r="R163"/>
      <c r="S163"/>
    </row>
    <row r="164" spans="1:19" ht="15">
      <c r="A164"/>
      <c r="B164"/>
      <c r="C164"/>
      <c r="D164"/>
      <c r="E164"/>
      <c r="F164"/>
      <c r="G164"/>
      <c r="H164"/>
      <c r="I164"/>
      <c r="J164"/>
      <c r="K164"/>
      <c r="L164"/>
      <c r="M164"/>
      <c r="N164"/>
      <c r="O164"/>
      <c r="P164"/>
      <c r="Q164"/>
      <c r="R164"/>
      <c r="S164"/>
    </row>
    <row r="165" spans="1:19" ht="15">
      <c r="A165"/>
      <c r="B165"/>
      <c r="C165"/>
      <c r="D165"/>
      <c r="E165"/>
      <c r="F165"/>
      <c r="G165"/>
      <c r="H165"/>
      <c r="I165"/>
      <c r="J165"/>
      <c r="K165"/>
      <c r="L165"/>
      <c r="M165"/>
      <c r="N165"/>
      <c r="O165"/>
      <c r="P165"/>
      <c r="Q165"/>
      <c r="R165"/>
      <c r="S165"/>
    </row>
    <row r="166" spans="1:19" ht="15">
      <c r="A166"/>
      <c r="B166"/>
      <c r="C166"/>
      <c r="D166"/>
      <c r="E166"/>
      <c r="F166"/>
      <c r="G166"/>
      <c r="H166"/>
      <c r="I166"/>
      <c r="J166"/>
      <c r="K166"/>
      <c r="L166"/>
      <c r="M166"/>
      <c r="N166"/>
      <c r="O166"/>
      <c r="P166"/>
      <c r="Q166"/>
      <c r="R166"/>
      <c r="S166"/>
    </row>
    <row r="167" spans="1:19" ht="15">
      <c r="A167"/>
      <c r="B167"/>
      <c r="C167"/>
      <c r="D167"/>
      <c r="E167"/>
      <c r="F167"/>
      <c r="G167"/>
      <c r="H167"/>
      <c r="I167"/>
      <c r="J167"/>
      <c r="K167"/>
      <c r="L167"/>
      <c r="M167"/>
      <c r="N167"/>
      <c r="O167"/>
      <c r="P167"/>
      <c r="Q167"/>
      <c r="R167"/>
      <c r="S167"/>
    </row>
    <row r="168" spans="1:19" ht="15">
      <c r="A168"/>
      <c r="B168"/>
      <c r="C168"/>
      <c r="D168"/>
      <c r="E168"/>
      <c r="F168"/>
      <c r="G168"/>
      <c r="H168"/>
      <c r="I168"/>
      <c r="J168"/>
      <c r="K168"/>
      <c r="L168"/>
      <c r="M168"/>
      <c r="N168"/>
      <c r="O168"/>
      <c r="P168"/>
      <c r="Q168"/>
      <c r="R168"/>
      <c r="S168"/>
    </row>
    <row r="169" spans="1:19" ht="15">
      <c r="A169"/>
      <c r="B169"/>
      <c r="C169"/>
      <c r="D169"/>
      <c r="E169"/>
      <c r="F169"/>
      <c r="G169"/>
      <c r="H169"/>
      <c r="I169"/>
      <c r="J169"/>
      <c r="K169"/>
      <c r="L169"/>
      <c r="M169"/>
      <c r="N169"/>
      <c r="O169"/>
      <c r="P169"/>
      <c r="Q169"/>
      <c r="R169"/>
      <c r="S169"/>
    </row>
    <row r="170" spans="1:19" ht="15">
      <c r="A170"/>
      <c r="B170"/>
      <c r="C170"/>
      <c r="D170"/>
      <c r="E170"/>
      <c r="F170"/>
      <c r="G170"/>
      <c r="H170"/>
      <c r="I170"/>
      <c r="J170"/>
      <c r="K170"/>
      <c r="L170"/>
      <c r="M170"/>
      <c r="N170"/>
      <c r="O170"/>
      <c r="P170"/>
      <c r="Q170"/>
      <c r="R170"/>
      <c r="S170"/>
    </row>
    <row r="171" spans="1:19" ht="15">
      <c r="A171"/>
      <c r="B171"/>
      <c r="C171"/>
      <c r="D171"/>
      <c r="E171"/>
      <c r="F171"/>
      <c r="G171"/>
      <c r="H171"/>
      <c r="I171"/>
      <c r="J171"/>
      <c r="K171"/>
      <c r="L171"/>
      <c r="M171"/>
      <c r="N171"/>
      <c r="O171"/>
      <c r="P171"/>
      <c r="Q171"/>
      <c r="R171"/>
      <c r="S171"/>
    </row>
    <row r="172" spans="1:19" ht="15">
      <c r="A172"/>
      <c r="B172"/>
      <c r="C172"/>
      <c r="D172"/>
      <c r="E172"/>
      <c r="F172"/>
      <c r="G172"/>
      <c r="H172"/>
      <c r="I172"/>
      <c r="J172"/>
      <c r="K172"/>
      <c r="L172"/>
      <c r="M172"/>
      <c r="N172"/>
      <c r="O172"/>
      <c r="P172"/>
      <c r="Q172"/>
      <c r="R172"/>
      <c r="S172"/>
    </row>
    <row r="173" spans="1:19" ht="15">
      <c r="A173"/>
      <c r="B173"/>
      <c r="C173"/>
      <c r="D173"/>
      <c r="E173"/>
      <c r="F173"/>
      <c r="G173"/>
      <c r="H173"/>
      <c r="I173"/>
      <c r="J173"/>
      <c r="K173"/>
      <c r="L173"/>
      <c r="M173"/>
      <c r="N173"/>
      <c r="O173"/>
      <c r="P173"/>
      <c r="Q173"/>
      <c r="R173"/>
      <c r="S173"/>
    </row>
    <row r="174" spans="1:19" ht="15">
      <c r="A174"/>
      <c r="B174"/>
      <c r="C174"/>
      <c r="D174"/>
      <c r="E174"/>
      <c r="F174"/>
      <c r="G174"/>
      <c r="H174"/>
      <c r="I174"/>
      <c r="J174"/>
      <c r="K174"/>
      <c r="L174"/>
      <c r="M174"/>
      <c r="N174"/>
      <c r="O174"/>
      <c r="P174"/>
      <c r="Q174"/>
      <c r="R174"/>
      <c r="S174"/>
    </row>
    <row r="175" spans="1:19" ht="15">
      <c r="A175"/>
      <c r="B175"/>
      <c r="C175"/>
      <c r="D175"/>
      <c r="E175"/>
      <c r="F175"/>
      <c r="G175"/>
      <c r="H175"/>
      <c r="I175"/>
      <c r="J175"/>
      <c r="K175"/>
      <c r="L175"/>
      <c r="M175"/>
      <c r="N175"/>
      <c r="O175"/>
      <c r="P175"/>
      <c r="Q175"/>
      <c r="R175"/>
      <c r="S175"/>
    </row>
    <row r="176" spans="1:19" ht="15">
      <c r="A176"/>
      <c r="B176"/>
      <c r="C176"/>
      <c r="D176"/>
      <c r="E176"/>
      <c r="F176"/>
      <c r="G176"/>
      <c r="H176"/>
      <c r="I176"/>
      <c r="J176"/>
      <c r="K176"/>
      <c r="L176"/>
      <c r="M176"/>
      <c r="N176"/>
      <c r="O176"/>
      <c r="P176"/>
      <c r="Q176"/>
      <c r="R176"/>
      <c r="S176"/>
    </row>
    <row r="177" spans="1:19" ht="15">
      <c r="A177"/>
      <c r="B177"/>
      <c r="C177"/>
      <c r="D177"/>
      <c r="E177"/>
      <c r="F177"/>
      <c r="G177"/>
      <c r="H177"/>
      <c r="I177"/>
      <c r="J177"/>
      <c r="K177"/>
      <c r="L177"/>
      <c r="M177"/>
      <c r="N177"/>
      <c r="O177"/>
      <c r="P177"/>
      <c r="Q177"/>
      <c r="R177"/>
      <c r="S177"/>
    </row>
    <row r="178" spans="1:19" ht="15">
      <c r="A178"/>
      <c r="B178"/>
      <c r="C178"/>
      <c r="D178"/>
      <c r="E178"/>
      <c r="F178"/>
      <c r="G178"/>
      <c r="H178"/>
      <c r="I178"/>
      <c r="J178"/>
      <c r="K178"/>
      <c r="L178"/>
      <c r="M178"/>
      <c r="N178"/>
      <c r="O178"/>
      <c r="P178"/>
      <c r="Q178"/>
      <c r="R178"/>
      <c r="S178"/>
    </row>
    <row r="179" spans="1:19" ht="15">
      <c r="A179"/>
      <c r="B179"/>
      <c r="C179"/>
      <c r="D179"/>
      <c r="E179"/>
      <c r="F179"/>
      <c r="G179"/>
      <c r="H179"/>
      <c r="I179"/>
      <c r="J179"/>
      <c r="K179"/>
      <c r="L179"/>
      <c r="M179"/>
      <c r="N179"/>
      <c r="O179"/>
      <c r="P179"/>
      <c r="Q179"/>
      <c r="R179"/>
      <c r="S179"/>
    </row>
    <row r="180" spans="1:19" ht="15">
      <c r="A180"/>
      <c r="B180"/>
      <c r="C180"/>
      <c r="D180"/>
      <c r="E180"/>
      <c r="F180"/>
      <c r="G180"/>
      <c r="H180"/>
      <c r="I180"/>
      <c r="J180"/>
      <c r="K180"/>
      <c r="L180"/>
      <c r="M180"/>
      <c r="N180"/>
      <c r="O180"/>
      <c r="P180"/>
      <c r="Q180"/>
      <c r="R180"/>
      <c r="S180"/>
    </row>
    <row r="181" spans="1:19" ht="15">
      <c r="A181"/>
      <c r="B181"/>
      <c r="C181"/>
      <c r="D181"/>
      <c r="E181"/>
      <c r="F181"/>
      <c r="G181"/>
      <c r="H181"/>
      <c r="I181"/>
      <c r="J181"/>
      <c r="K181"/>
      <c r="L181"/>
      <c r="M181"/>
      <c r="N181"/>
      <c r="O181"/>
      <c r="P181"/>
      <c r="Q181"/>
      <c r="R181"/>
      <c r="S181"/>
    </row>
    <row r="182" spans="1:19" ht="15">
      <c r="A182"/>
      <c r="B182"/>
      <c r="C182"/>
      <c r="D182"/>
      <c r="E182"/>
      <c r="F182"/>
      <c r="G182"/>
      <c r="H182"/>
      <c r="I182"/>
      <c r="J182"/>
      <c r="K182"/>
      <c r="L182"/>
      <c r="M182"/>
      <c r="N182"/>
      <c r="O182"/>
      <c r="P182"/>
      <c r="Q182"/>
      <c r="R182"/>
      <c r="S182"/>
    </row>
    <row r="183" spans="1:19" ht="15">
      <c r="A183"/>
      <c r="B183"/>
      <c r="C183"/>
      <c r="D183"/>
      <c r="E183"/>
      <c r="F183"/>
      <c r="G183"/>
      <c r="H183"/>
      <c r="I183"/>
      <c r="J183"/>
      <c r="K183"/>
      <c r="L183"/>
      <c r="M183"/>
      <c r="N183"/>
      <c r="O183"/>
      <c r="P183"/>
      <c r="Q183"/>
      <c r="R183"/>
      <c r="S183"/>
    </row>
    <row r="184" spans="1:19" ht="15">
      <c r="A184"/>
      <c r="B184"/>
      <c r="C184"/>
      <c r="D184"/>
      <c r="E184"/>
      <c r="F184"/>
      <c r="G184"/>
      <c r="H184"/>
      <c r="I184"/>
      <c r="J184"/>
      <c r="K184"/>
      <c r="L184"/>
      <c r="M184"/>
      <c r="N184"/>
      <c r="O184"/>
      <c r="P184"/>
      <c r="Q184"/>
      <c r="R184"/>
      <c r="S184"/>
    </row>
    <row r="185" spans="1:19" ht="15">
      <c r="A185"/>
      <c r="B185"/>
      <c r="C185"/>
      <c r="D185"/>
      <c r="E185"/>
      <c r="F185"/>
      <c r="G185"/>
      <c r="H185"/>
      <c r="I185"/>
      <c r="J185"/>
      <c r="K185"/>
      <c r="L185"/>
      <c r="M185"/>
      <c r="N185"/>
      <c r="O185"/>
      <c r="P185"/>
      <c r="Q185"/>
      <c r="R185"/>
      <c r="S185"/>
    </row>
    <row r="186" spans="1:19" ht="15">
      <c r="A186"/>
      <c r="B186"/>
      <c r="C186"/>
      <c r="D186"/>
      <c r="E186"/>
      <c r="F186"/>
      <c r="G186"/>
      <c r="H186"/>
      <c r="I186"/>
      <c r="J186"/>
      <c r="K186"/>
      <c r="L186"/>
      <c r="M186"/>
      <c r="N186"/>
      <c r="O186"/>
      <c r="P186"/>
      <c r="Q186"/>
      <c r="R186"/>
      <c r="S186"/>
    </row>
    <row r="187" spans="1:19" ht="15">
      <c r="A187"/>
      <c r="B187"/>
      <c r="C187"/>
      <c r="D187"/>
      <c r="E187"/>
      <c r="F187"/>
      <c r="G187"/>
      <c r="H187"/>
      <c r="I187"/>
      <c r="J187"/>
      <c r="K187"/>
      <c r="L187"/>
      <c r="M187"/>
      <c r="N187"/>
      <c r="O187"/>
      <c r="P187"/>
      <c r="Q187"/>
      <c r="R187"/>
      <c r="S187"/>
    </row>
    <row r="188" spans="1:19" ht="15">
      <c r="A188"/>
      <c r="B188"/>
      <c r="C188"/>
      <c r="D188"/>
      <c r="E188"/>
      <c r="F188"/>
      <c r="G188"/>
      <c r="H188"/>
      <c r="I188"/>
      <c r="J188"/>
      <c r="K188"/>
      <c r="L188"/>
      <c r="M188"/>
      <c r="N188"/>
      <c r="O188"/>
      <c r="P188"/>
      <c r="Q188"/>
      <c r="R188"/>
      <c r="S188"/>
    </row>
    <row r="189" spans="1:19" ht="15">
      <c r="A189"/>
      <c r="B189"/>
      <c r="C189"/>
      <c r="D189"/>
      <c r="E189"/>
      <c r="F189"/>
      <c r="G189"/>
      <c r="H189"/>
      <c r="I189"/>
      <c r="J189"/>
      <c r="K189"/>
      <c r="L189"/>
      <c r="M189"/>
      <c r="N189"/>
      <c r="O189"/>
      <c r="P189"/>
      <c r="Q189"/>
      <c r="R189"/>
      <c r="S189"/>
    </row>
    <row r="190" spans="1:19" ht="15">
      <c r="A190"/>
      <c r="B190"/>
      <c r="C190"/>
      <c r="D190"/>
      <c r="E190"/>
      <c r="F190"/>
      <c r="G190"/>
      <c r="H190"/>
      <c r="I190"/>
      <c r="J190"/>
      <c r="K190"/>
      <c r="L190"/>
      <c r="M190"/>
      <c r="N190"/>
      <c r="O190"/>
      <c r="P190"/>
      <c r="Q190"/>
      <c r="R190"/>
      <c r="S190"/>
    </row>
    <row r="191" spans="1:19" ht="15">
      <c r="A191"/>
      <c r="B191"/>
      <c r="C191"/>
      <c r="D191"/>
      <c r="E191"/>
      <c r="F191"/>
      <c r="G191"/>
      <c r="H191"/>
      <c r="I191"/>
      <c r="J191"/>
      <c r="K191"/>
      <c r="L191"/>
      <c r="M191"/>
      <c r="N191"/>
      <c r="O191"/>
      <c r="P191"/>
      <c r="Q191"/>
      <c r="R191"/>
      <c r="S191"/>
    </row>
    <row r="192" spans="1:19" ht="15">
      <c r="A192"/>
      <c r="B192"/>
      <c r="C192"/>
      <c r="D192"/>
      <c r="E192"/>
      <c r="F192"/>
      <c r="G192"/>
      <c r="H192"/>
      <c r="I192"/>
      <c r="J192"/>
      <c r="K192"/>
      <c r="L192"/>
      <c r="M192"/>
      <c r="N192"/>
      <c r="O192"/>
      <c r="P192"/>
      <c r="Q192"/>
      <c r="R192"/>
      <c r="S192"/>
    </row>
    <row r="193" spans="1:19" ht="15">
      <c r="A193"/>
      <c r="B193"/>
      <c r="C193"/>
      <c r="D193"/>
      <c r="E193"/>
      <c r="F193"/>
      <c r="G193"/>
      <c r="H193"/>
      <c r="I193"/>
      <c r="J193"/>
      <c r="K193"/>
      <c r="L193"/>
      <c r="M193"/>
      <c r="N193"/>
      <c r="O193"/>
      <c r="P193"/>
      <c r="Q193"/>
      <c r="R193"/>
      <c r="S193"/>
    </row>
    <row r="194" spans="1:19" ht="15">
      <c r="A194"/>
      <c r="B194"/>
      <c r="C194"/>
      <c r="D194"/>
      <c r="E194"/>
      <c r="F194"/>
      <c r="G194"/>
      <c r="H194"/>
      <c r="I194"/>
      <c r="J194"/>
      <c r="K194"/>
      <c r="L194"/>
      <c r="M194"/>
      <c r="N194"/>
      <c r="O194"/>
      <c r="P194"/>
      <c r="Q194"/>
      <c r="R194"/>
      <c r="S194"/>
    </row>
    <row r="195" spans="1:19" ht="15">
      <c r="A195"/>
      <c r="B195"/>
      <c r="C195"/>
      <c r="D195"/>
      <c r="E195"/>
      <c r="F195"/>
      <c r="G195"/>
      <c r="H195"/>
      <c r="I195"/>
      <c r="J195"/>
      <c r="K195"/>
      <c r="L195"/>
      <c r="M195"/>
      <c r="N195"/>
      <c r="O195"/>
      <c r="P195"/>
      <c r="Q195"/>
      <c r="R195"/>
      <c r="S195"/>
    </row>
    <row r="196" spans="1:19" ht="15">
      <c r="A196"/>
      <c r="B196"/>
      <c r="C196"/>
      <c r="D196"/>
      <c r="E196"/>
      <c r="F196"/>
      <c r="G196"/>
      <c r="H196"/>
      <c r="I196"/>
      <c r="J196"/>
      <c r="K196"/>
      <c r="L196"/>
      <c r="M196"/>
      <c r="N196"/>
      <c r="O196"/>
      <c r="P196"/>
      <c r="Q196"/>
      <c r="R196"/>
      <c r="S196"/>
    </row>
    <row r="197" spans="1:19" ht="15">
      <c r="A197"/>
      <c r="B197"/>
      <c r="C197"/>
      <c r="D197"/>
      <c r="E197"/>
      <c r="F197"/>
      <c r="G197"/>
      <c r="H197"/>
      <c r="I197"/>
      <c r="J197"/>
      <c r="K197"/>
      <c r="L197"/>
      <c r="M197"/>
      <c r="N197"/>
      <c r="O197"/>
      <c r="P197"/>
      <c r="Q197"/>
      <c r="R197"/>
      <c r="S197"/>
    </row>
    <row r="198" spans="1:19" ht="15">
      <c r="A198"/>
      <c r="B198"/>
      <c r="C198"/>
      <c r="D198"/>
      <c r="E198"/>
      <c r="F198"/>
      <c r="G198"/>
      <c r="H198"/>
      <c r="I198"/>
      <c r="J198"/>
      <c r="K198"/>
      <c r="L198"/>
      <c r="M198"/>
      <c r="N198"/>
      <c r="O198"/>
      <c r="P198"/>
      <c r="Q198"/>
      <c r="R198"/>
      <c r="S198"/>
    </row>
    <row r="199" spans="1:19" ht="15">
      <c r="A199"/>
      <c r="B199"/>
      <c r="C199"/>
      <c r="D199"/>
      <c r="E199"/>
      <c r="F199"/>
      <c r="G199"/>
      <c r="H199"/>
      <c r="I199"/>
      <c r="J199"/>
      <c r="K199"/>
      <c r="L199"/>
      <c r="M199"/>
      <c r="N199"/>
      <c r="O199"/>
      <c r="P199"/>
      <c r="Q199"/>
      <c r="R199"/>
      <c r="S199"/>
    </row>
    <row r="200" spans="1:19" ht="15">
      <c r="A200"/>
      <c r="B200"/>
      <c r="C200"/>
      <c r="D200"/>
      <c r="E200"/>
      <c r="F200"/>
      <c r="G200"/>
      <c r="H200"/>
      <c r="I200"/>
      <c r="J200"/>
      <c r="K200"/>
      <c r="L200"/>
      <c r="M200"/>
      <c r="N200"/>
      <c r="O200"/>
      <c r="P200"/>
      <c r="Q200"/>
      <c r="R200"/>
      <c r="S200"/>
    </row>
    <row r="201" spans="1:19" ht="15">
      <c r="A201"/>
      <c r="B201"/>
      <c r="C201"/>
      <c r="D201"/>
      <c r="E201"/>
      <c r="F201"/>
      <c r="G201"/>
      <c r="H201"/>
      <c r="I201"/>
      <c r="J201"/>
      <c r="K201"/>
      <c r="L201"/>
      <c r="M201"/>
      <c r="N201"/>
      <c r="O201"/>
      <c r="P201"/>
      <c r="Q201"/>
      <c r="R201"/>
      <c r="S201"/>
    </row>
    <row r="202" spans="1:19" ht="15">
      <c r="A202"/>
      <c r="B202"/>
      <c r="C202"/>
      <c r="D202"/>
      <c r="E202"/>
      <c r="F202"/>
      <c r="G202"/>
      <c r="H202"/>
      <c r="I202"/>
      <c r="J202"/>
      <c r="K202"/>
      <c r="L202"/>
      <c r="M202"/>
      <c r="N202"/>
      <c r="O202"/>
      <c r="P202"/>
      <c r="Q202"/>
      <c r="R202"/>
      <c r="S202"/>
    </row>
    <row r="203" spans="1:19" ht="15">
      <c r="A203"/>
      <c r="B203"/>
      <c r="C203"/>
      <c r="D203"/>
      <c r="E203"/>
      <c r="F203"/>
      <c r="G203"/>
      <c r="H203"/>
      <c r="I203"/>
      <c r="J203"/>
      <c r="K203"/>
      <c r="L203"/>
      <c r="M203"/>
      <c r="N203"/>
      <c r="O203"/>
      <c r="P203"/>
      <c r="Q203"/>
      <c r="R203"/>
      <c r="S203"/>
    </row>
    <row r="204" spans="1:19" ht="15">
      <c r="A204"/>
      <c r="B204"/>
      <c r="C204"/>
      <c r="D204"/>
      <c r="E204"/>
      <c r="F204"/>
      <c r="G204"/>
      <c r="H204"/>
      <c r="I204"/>
      <c r="J204"/>
      <c r="K204"/>
      <c r="L204"/>
      <c r="M204"/>
      <c r="N204"/>
      <c r="O204"/>
      <c r="P204"/>
      <c r="Q204"/>
      <c r="R204"/>
      <c r="S204"/>
    </row>
    <row r="205" spans="1:19" ht="15">
      <c r="A205"/>
      <c r="B205"/>
      <c r="C205"/>
      <c r="D205"/>
      <c r="E205"/>
      <c r="F205"/>
      <c r="G205"/>
      <c r="H205"/>
      <c r="I205"/>
      <c r="J205"/>
      <c r="K205"/>
      <c r="L205"/>
      <c r="M205"/>
      <c r="N205"/>
      <c r="O205"/>
      <c r="P205"/>
      <c r="Q205"/>
      <c r="R205"/>
      <c r="S205"/>
    </row>
    <row r="206" spans="1:19" ht="15">
      <c r="A206"/>
      <c r="B206"/>
      <c r="C206"/>
      <c r="D206"/>
      <c r="E206"/>
      <c r="F206"/>
      <c r="G206"/>
      <c r="H206"/>
      <c r="I206"/>
      <c r="J206"/>
      <c r="K206"/>
      <c r="L206"/>
      <c r="M206"/>
      <c r="N206"/>
      <c r="O206"/>
      <c r="P206"/>
      <c r="Q206"/>
      <c r="R206"/>
      <c r="S206"/>
    </row>
    <row r="207" spans="1:19" ht="15">
      <c r="A207"/>
      <c r="B207"/>
      <c r="C207"/>
      <c r="D207"/>
      <c r="E207"/>
      <c r="F207"/>
      <c r="G207"/>
      <c r="H207"/>
      <c r="I207"/>
      <c r="J207"/>
      <c r="K207"/>
      <c r="L207"/>
      <c r="M207"/>
      <c r="N207"/>
      <c r="O207"/>
      <c r="P207"/>
      <c r="Q207"/>
      <c r="R207"/>
      <c r="S207"/>
    </row>
    <row r="208" spans="1:19" ht="15">
      <c r="A208"/>
      <c r="B208"/>
      <c r="C208"/>
      <c r="D208"/>
      <c r="E208"/>
      <c r="F208"/>
      <c r="G208"/>
      <c r="H208"/>
      <c r="I208"/>
      <c r="J208"/>
      <c r="K208"/>
      <c r="L208"/>
      <c r="M208"/>
      <c r="N208"/>
      <c r="O208"/>
      <c r="P208"/>
      <c r="Q208"/>
      <c r="R208"/>
      <c r="S208"/>
    </row>
    <row r="209" spans="1:19" ht="15">
      <c r="A209"/>
      <c r="B209"/>
      <c r="C209"/>
      <c r="D209"/>
      <c r="E209"/>
      <c r="F209"/>
      <c r="G209"/>
      <c r="H209"/>
      <c r="I209"/>
      <c r="J209"/>
      <c r="K209"/>
      <c r="L209"/>
      <c r="M209"/>
      <c r="N209"/>
      <c r="O209"/>
      <c r="P209"/>
      <c r="Q209"/>
      <c r="R209"/>
      <c r="S209"/>
    </row>
    <row r="210" spans="1:19" ht="15">
      <c r="A210"/>
      <c r="B210"/>
      <c r="C210"/>
      <c r="D210"/>
      <c r="E210"/>
      <c r="F210"/>
      <c r="G210"/>
      <c r="H210"/>
      <c r="I210"/>
      <c r="J210"/>
      <c r="K210"/>
      <c r="L210"/>
      <c r="M210"/>
      <c r="N210"/>
      <c r="O210"/>
      <c r="P210"/>
      <c r="Q210"/>
      <c r="R210"/>
      <c r="S210"/>
    </row>
    <row r="211" spans="1:19" ht="15">
      <c r="A211"/>
      <c r="B211"/>
      <c r="C211"/>
      <c r="D211"/>
      <c r="E211"/>
      <c r="F211"/>
      <c r="G211"/>
      <c r="H211"/>
      <c r="I211"/>
      <c r="J211"/>
      <c r="K211"/>
      <c r="L211"/>
      <c r="M211"/>
      <c r="N211"/>
      <c r="O211"/>
      <c r="P211"/>
      <c r="Q211"/>
      <c r="R211"/>
      <c r="S211"/>
    </row>
    <row r="212" spans="1:19" ht="15">
      <c r="A212"/>
      <c r="B212"/>
      <c r="C212"/>
      <c r="D212"/>
      <c r="E212"/>
      <c r="F212"/>
      <c r="G212"/>
      <c r="H212"/>
      <c r="I212"/>
      <c r="J212"/>
      <c r="K212"/>
      <c r="L212"/>
      <c r="M212"/>
      <c r="N212"/>
      <c r="O212"/>
      <c r="P212"/>
      <c r="Q212"/>
      <c r="R212"/>
      <c r="S212"/>
    </row>
    <row r="213" spans="1:19" ht="15">
      <c r="A213"/>
      <c r="B213"/>
      <c r="C213"/>
      <c r="D213"/>
      <c r="E213"/>
      <c r="F213"/>
      <c r="G213"/>
      <c r="H213"/>
      <c r="I213"/>
      <c r="J213"/>
      <c r="K213"/>
      <c r="L213"/>
      <c r="M213"/>
      <c r="N213"/>
      <c r="O213"/>
      <c r="P213"/>
      <c r="Q213"/>
      <c r="R213"/>
      <c r="S213"/>
    </row>
    <row r="214" spans="1:19" ht="15">
      <c r="A214"/>
      <c r="B214"/>
      <c r="C214"/>
      <c r="D214"/>
      <c r="E214"/>
      <c r="F214"/>
      <c r="G214"/>
      <c r="H214"/>
      <c r="I214"/>
      <c r="J214"/>
      <c r="K214"/>
      <c r="L214"/>
      <c r="M214"/>
      <c r="N214"/>
      <c r="O214"/>
      <c r="P214"/>
      <c r="Q214"/>
      <c r="R214"/>
      <c r="S214"/>
    </row>
    <row r="215" spans="1:19" ht="15">
      <c r="A215"/>
      <c r="B215"/>
      <c r="C215"/>
      <c r="D215"/>
      <c r="E215"/>
      <c r="F215"/>
      <c r="G215"/>
      <c r="H215"/>
      <c r="I215"/>
      <c r="J215"/>
      <c r="K215"/>
      <c r="L215"/>
      <c r="M215"/>
      <c r="N215"/>
      <c r="O215"/>
      <c r="P215"/>
      <c r="Q215"/>
      <c r="R215"/>
      <c r="S215"/>
    </row>
    <row r="216" spans="1:19" ht="15">
      <c r="A216"/>
      <c r="B216"/>
      <c r="C216"/>
      <c r="D216"/>
      <c r="E216"/>
      <c r="F216"/>
      <c r="G216"/>
      <c r="H216"/>
      <c r="I216"/>
      <c r="J216"/>
      <c r="K216"/>
      <c r="L216"/>
      <c r="M216"/>
      <c r="N216"/>
      <c r="O216"/>
      <c r="P216"/>
      <c r="Q216"/>
      <c r="R216"/>
      <c r="S216"/>
    </row>
    <row r="217" spans="1:19" ht="15">
      <c r="A217"/>
      <c r="B217"/>
      <c r="C217"/>
      <c r="D217"/>
      <c r="E217"/>
      <c r="F217"/>
      <c r="G217"/>
      <c r="H217"/>
      <c r="I217"/>
      <c r="J217"/>
      <c r="K217"/>
      <c r="L217"/>
      <c r="M217"/>
      <c r="N217"/>
      <c r="O217"/>
      <c r="P217"/>
      <c r="Q217"/>
      <c r="R217"/>
      <c r="S217"/>
    </row>
    <row r="218" spans="1:19" ht="15">
      <c r="A218"/>
      <c r="B218"/>
      <c r="C218"/>
      <c r="D218"/>
      <c r="E218"/>
      <c r="F218"/>
      <c r="G218"/>
      <c r="H218"/>
      <c r="I218"/>
      <c r="J218"/>
      <c r="K218"/>
      <c r="L218"/>
      <c r="M218"/>
      <c r="N218"/>
      <c r="O218"/>
      <c r="P218"/>
      <c r="Q218"/>
      <c r="R218"/>
      <c r="S218"/>
    </row>
    <row r="219" spans="1:19" ht="15">
      <c r="A219"/>
      <c r="B219"/>
      <c r="C219"/>
      <c r="D219"/>
      <c r="E219"/>
      <c r="F219"/>
      <c r="G219"/>
      <c r="H219"/>
      <c r="I219"/>
      <c r="J219"/>
      <c r="K219"/>
      <c r="L219"/>
      <c r="M219"/>
      <c r="N219"/>
      <c r="O219"/>
      <c r="P219"/>
      <c r="Q219"/>
      <c r="R219"/>
      <c r="S219"/>
    </row>
    <row r="220" spans="1:19" ht="15">
      <c r="A220"/>
      <c r="B220"/>
      <c r="C220"/>
      <c r="D220"/>
      <c r="E220"/>
      <c r="F220"/>
      <c r="G220"/>
      <c r="H220"/>
      <c r="I220"/>
      <c r="J220"/>
      <c r="K220"/>
      <c r="L220"/>
      <c r="M220"/>
      <c r="N220"/>
      <c r="O220"/>
      <c r="P220"/>
      <c r="Q220"/>
      <c r="R220"/>
      <c r="S220"/>
    </row>
    <row r="221" spans="1:19" ht="15">
      <c r="A221"/>
      <c r="B221"/>
      <c r="C221"/>
      <c r="D221"/>
      <c r="E221"/>
      <c r="F221"/>
      <c r="G221"/>
      <c r="H221"/>
      <c r="I221"/>
      <c r="J221"/>
      <c r="K221"/>
      <c r="L221"/>
      <c r="M221"/>
      <c r="N221"/>
      <c r="O221"/>
      <c r="P221"/>
      <c r="Q221"/>
      <c r="R221"/>
      <c r="S221"/>
    </row>
    <row r="222" spans="1:19" ht="15">
      <c r="A222"/>
      <c r="B222"/>
      <c r="C222"/>
      <c r="D222"/>
      <c r="E222"/>
      <c r="F222"/>
      <c r="G222"/>
      <c r="H222"/>
      <c r="I222"/>
      <c r="J222"/>
      <c r="K222"/>
      <c r="L222"/>
      <c r="M222"/>
      <c r="N222"/>
      <c r="O222"/>
      <c r="P222"/>
      <c r="Q222"/>
      <c r="R222"/>
      <c r="S222"/>
    </row>
    <row r="223" spans="1:19" ht="15">
      <c r="A223"/>
      <c r="B223"/>
      <c r="C223"/>
      <c r="D223"/>
      <c r="E223"/>
      <c r="F223"/>
      <c r="G223"/>
      <c r="H223"/>
      <c r="I223"/>
      <c r="J223"/>
      <c r="K223"/>
      <c r="L223"/>
      <c r="M223"/>
      <c r="N223"/>
      <c r="O223"/>
      <c r="P223"/>
      <c r="Q223"/>
      <c r="R223"/>
      <c r="S223"/>
    </row>
    <row r="224" spans="1:19" ht="15">
      <c r="A224"/>
      <c r="B224"/>
      <c r="C224"/>
      <c r="D224"/>
      <c r="E224"/>
      <c r="F224"/>
      <c r="G224"/>
      <c r="H224"/>
      <c r="I224"/>
      <c r="J224"/>
      <c r="K224"/>
      <c r="L224"/>
      <c r="M224"/>
      <c r="N224"/>
      <c r="O224"/>
      <c r="P224"/>
      <c r="Q224"/>
      <c r="R224"/>
      <c r="S224"/>
    </row>
    <row r="225" spans="1:19" ht="15">
      <c r="A225"/>
      <c r="B225"/>
      <c r="C225"/>
      <c r="D225"/>
      <c r="E225"/>
      <c r="F225"/>
      <c r="G225"/>
      <c r="H225"/>
      <c r="I225"/>
      <c r="J225"/>
      <c r="K225"/>
      <c r="L225"/>
      <c r="M225"/>
      <c r="N225"/>
      <c r="O225"/>
      <c r="P225"/>
      <c r="Q225"/>
      <c r="R225"/>
      <c r="S225"/>
    </row>
    <row r="226" spans="1:19" ht="15">
      <c r="A226"/>
      <c r="B226"/>
      <c r="C226"/>
      <c r="D226"/>
      <c r="E226"/>
      <c r="F226"/>
      <c r="G226"/>
      <c r="H226"/>
      <c r="I226"/>
      <c r="J226"/>
      <c r="K226"/>
      <c r="L226"/>
      <c r="M226"/>
      <c r="N226"/>
      <c r="O226"/>
      <c r="P226"/>
      <c r="Q226"/>
      <c r="R226"/>
      <c r="S226"/>
    </row>
    <row r="227" spans="1:19" ht="15">
      <c r="A227"/>
      <c r="B227"/>
      <c r="C227"/>
      <c r="D227"/>
      <c r="E227"/>
      <c r="F227"/>
      <c r="G227"/>
      <c r="H227"/>
      <c r="I227"/>
      <c r="J227"/>
      <c r="K227"/>
      <c r="L227"/>
      <c r="M227"/>
      <c r="N227"/>
      <c r="O227"/>
      <c r="P227"/>
      <c r="Q227"/>
      <c r="R227"/>
      <c r="S227"/>
    </row>
    <row r="228" spans="1:19" ht="15">
      <c r="A228"/>
      <c r="B228"/>
      <c r="C228"/>
      <c r="D228"/>
      <c r="E228"/>
      <c r="F228"/>
      <c r="G228"/>
      <c r="H228"/>
      <c r="I228"/>
      <c r="J228"/>
      <c r="K228"/>
      <c r="L228"/>
      <c r="M228"/>
      <c r="N228"/>
      <c r="O228"/>
      <c r="P228"/>
      <c r="Q228"/>
      <c r="R228"/>
      <c r="S228"/>
    </row>
    <row r="229" spans="1:19" ht="15">
      <c r="A229"/>
      <c r="B229"/>
      <c r="C229"/>
      <c r="D229"/>
      <c r="E229"/>
      <c r="F229"/>
      <c r="G229"/>
      <c r="H229"/>
      <c r="I229"/>
      <c r="J229"/>
      <c r="K229"/>
      <c r="L229"/>
      <c r="M229"/>
      <c r="N229"/>
      <c r="O229"/>
      <c r="P229"/>
      <c r="Q229"/>
      <c r="R229"/>
      <c r="S229"/>
    </row>
    <row r="230" spans="1:19" ht="15">
      <c r="A230"/>
      <c r="B230"/>
      <c r="C230"/>
      <c r="D230"/>
      <c r="E230"/>
      <c r="F230"/>
      <c r="G230"/>
      <c r="H230"/>
      <c r="I230"/>
      <c r="J230"/>
      <c r="K230"/>
      <c r="L230"/>
      <c r="M230"/>
      <c r="N230"/>
      <c r="O230"/>
      <c r="P230"/>
      <c r="Q230"/>
      <c r="R230"/>
      <c r="S230"/>
    </row>
    <row r="231" spans="1:19" ht="15">
      <c r="A231"/>
      <c r="B231"/>
      <c r="C231"/>
      <c r="D231"/>
      <c r="E231"/>
      <c r="F231"/>
      <c r="G231"/>
      <c r="H231"/>
      <c r="I231"/>
      <c r="J231"/>
      <c r="K231"/>
      <c r="L231"/>
      <c r="M231"/>
      <c r="N231"/>
      <c r="O231"/>
      <c r="P231"/>
      <c r="Q231"/>
      <c r="R231"/>
      <c r="S231"/>
    </row>
    <row r="232" spans="1:19" ht="15">
      <c r="A232"/>
      <c r="B232"/>
      <c r="C232"/>
      <c r="D232"/>
      <c r="E232"/>
      <c r="F232"/>
      <c r="G232"/>
      <c r="H232"/>
      <c r="I232"/>
      <c r="J232"/>
      <c r="K232"/>
      <c r="L232"/>
      <c r="M232"/>
      <c r="N232"/>
      <c r="O232"/>
      <c r="P232"/>
      <c r="Q232"/>
      <c r="R232"/>
      <c r="S232"/>
    </row>
    <row r="233" spans="1:19" ht="15">
      <c r="A233"/>
      <c r="B233"/>
      <c r="C233"/>
      <c r="D233"/>
      <c r="E233"/>
      <c r="F233"/>
      <c r="G233"/>
      <c r="H233"/>
      <c r="I233"/>
      <c r="J233"/>
      <c r="K233"/>
      <c r="L233"/>
      <c r="M233"/>
      <c r="N233"/>
      <c r="O233"/>
      <c r="P233"/>
      <c r="Q233"/>
      <c r="R233"/>
      <c r="S233"/>
    </row>
    <row r="234" spans="1:19" ht="15">
      <c r="A234"/>
      <c r="B234"/>
      <c r="C234"/>
      <c r="D234"/>
      <c r="E234"/>
      <c r="F234"/>
      <c r="G234"/>
      <c r="H234"/>
      <c r="I234"/>
      <c r="J234"/>
      <c r="K234"/>
      <c r="L234"/>
      <c r="M234"/>
      <c r="N234"/>
      <c r="O234"/>
      <c r="P234"/>
      <c r="Q234"/>
      <c r="R234"/>
      <c r="S234"/>
    </row>
    <row r="235" spans="1:19" ht="15">
      <c r="A235"/>
      <c r="B235"/>
      <c r="C235"/>
      <c r="D235"/>
      <c r="E235"/>
      <c r="F235"/>
      <c r="G235"/>
      <c r="H235"/>
      <c r="I235"/>
      <c r="J235"/>
      <c r="K235"/>
      <c r="L235"/>
      <c r="M235"/>
      <c r="N235"/>
      <c r="O235"/>
      <c r="P235"/>
      <c r="Q235"/>
      <c r="R235"/>
      <c r="S235"/>
    </row>
    <row r="236" spans="1:19" ht="15">
      <c r="A236"/>
      <c r="B236"/>
      <c r="C236"/>
      <c r="D236"/>
      <c r="E236"/>
      <c r="F236"/>
      <c r="G236"/>
      <c r="H236"/>
      <c r="I236"/>
      <c r="J236"/>
      <c r="K236"/>
      <c r="L236"/>
      <c r="M236"/>
      <c r="N236"/>
      <c r="O236"/>
      <c r="P236"/>
      <c r="Q236"/>
      <c r="R236"/>
      <c r="S236"/>
    </row>
    <row r="237" spans="1:19" ht="15">
      <c r="A237"/>
      <c r="B237"/>
      <c r="C237"/>
      <c r="D237"/>
      <c r="E237"/>
      <c r="F237"/>
      <c r="G237"/>
      <c r="H237"/>
      <c r="I237"/>
      <c r="J237"/>
      <c r="K237"/>
      <c r="L237"/>
      <c r="M237"/>
      <c r="N237"/>
      <c r="O237"/>
      <c r="P237"/>
      <c r="Q237"/>
      <c r="R237"/>
      <c r="S237"/>
    </row>
    <row r="238" spans="1:19" ht="15">
      <c r="A238"/>
      <c r="B238"/>
      <c r="C238"/>
      <c r="D238"/>
      <c r="E238"/>
      <c r="F238"/>
      <c r="G238"/>
      <c r="H238"/>
      <c r="I238"/>
      <c r="J238"/>
      <c r="K238"/>
      <c r="L238"/>
      <c r="M238"/>
      <c r="N238"/>
      <c r="O238"/>
      <c r="P238"/>
      <c r="Q238"/>
      <c r="R238"/>
      <c r="S238"/>
    </row>
    <row r="239" spans="1:19" ht="15">
      <c r="A239"/>
      <c r="B239"/>
      <c r="C239"/>
      <c r="D239"/>
      <c r="E239"/>
      <c r="F239"/>
      <c r="G239"/>
      <c r="H239"/>
      <c r="I239"/>
      <c r="J239"/>
      <c r="K239"/>
      <c r="L239"/>
      <c r="M239"/>
      <c r="N239"/>
      <c r="O239"/>
      <c r="P239"/>
      <c r="Q239"/>
      <c r="R239"/>
      <c r="S239"/>
    </row>
    <row r="240" spans="1:19" ht="15">
      <c r="A240"/>
      <c r="B240"/>
      <c r="C240"/>
      <c r="D240"/>
      <c r="E240"/>
      <c r="F240"/>
      <c r="G240"/>
      <c r="H240"/>
      <c r="I240"/>
      <c r="J240"/>
      <c r="K240"/>
      <c r="L240"/>
      <c r="M240"/>
      <c r="N240"/>
      <c r="O240"/>
      <c r="P240"/>
      <c r="Q240"/>
      <c r="R240"/>
      <c r="S240"/>
    </row>
    <row r="241" spans="1:19" ht="15">
      <c r="A241"/>
      <c r="B241"/>
      <c r="C241"/>
      <c r="D241"/>
      <c r="E241"/>
      <c r="F241"/>
      <c r="G241"/>
      <c r="H241"/>
      <c r="I241"/>
      <c r="J241"/>
      <c r="K241"/>
      <c r="L241"/>
      <c r="M241"/>
      <c r="N241"/>
      <c r="O241"/>
      <c r="P241"/>
      <c r="Q241"/>
      <c r="R241"/>
      <c r="S241"/>
    </row>
    <row r="242" spans="1:19" ht="15">
      <c r="A242"/>
      <c r="B242"/>
      <c r="C242"/>
      <c r="D242"/>
      <c r="E242"/>
      <c r="F242"/>
      <c r="G242"/>
      <c r="H242"/>
      <c r="I242"/>
      <c r="J242"/>
      <c r="K242"/>
      <c r="L242"/>
      <c r="M242"/>
      <c r="N242"/>
      <c r="O242"/>
      <c r="P242"/>
      <c r="Q242"/>
      <c r="R242"/>
      <c r="S242"/>
    </row>
    <row r="243" spans="1:19" ht="15">
      <c r="A243"/>
      <c r="B243"/>
      <c r="C243"/>
      <c r="D243"/>
      <c r="E243"/>
      <c r="F243"/>
      <c r="G243"/>
      <c r="H243"/>
      <c r="I243"/>
      <c r="J243"/>
      <c r="K243"/>
      <c r="L243"/>
      <c r="M243"/>
      <c r="N243"/>
      <c r="O243"/>
      <c r="P243"/>
      <c r="Q243"/>
      <c r="R243"/>
      <c r="S243"/>
    </row>
    <row r="244" spans="1:19" ht="15">
      <c r="A244"/>
      <c r="B244"/>
      <c r="C244"/>
      <c r="D244"/>
      <c r="E244"/>
      <c r="F244"/>
      <c r="G244"/>
      <c r="H244"/>
      <c r="I244"/>
      <c r="J244"/>
      <c r="K244"/>
      <c r="L244"/>
      <c r="M244"/>
      <c r="N244"/>
      <c r="O244"/>
      <c r="P244"/>
      <c r="Q244"/>
      <c r="R244"/>
      <c r="S244"/>
    </row>
    <row r="245" spans="1:19" ht="15">
      <c r="A245"/>
      <c r="B245"/>
      <c r="C245"/>
      <c r="D245"/>
      <c r="E245"/>
      <c r="F245"/>
      <c r="G245"/>
      <c r="H245"/>
      <c r="I245"/>
      <c r="J245"/>
      <c r="K245"/>
      <c r="L245"/>
      <c r="M245"/>
      <c r="N245"/>
      <c r="O245"/>
      <c r="P245"/>
      <c r="Q245"/>
      <c r="R245"/>
      <c r="S245"/>
    </row>
    <row r="246" spans="1:19" ht="15">
      <c r="A246"/>
      <c r="B246"/>
      <c r="C246"/>
      <c r="D246"/>
      <c r="E246"/>
      <c r="F246"/>
      <c r="G246"/>
      <c r="H246"/>
      <c r="I246"/>
      <c r="J246"/>
      <c r="K246"/>
      <c r="L246"/>
      <c r="M246"/>
      <c r="N246"/>
      <c r="O246"/>
      <c r="P246"/>
      <c r="Q246"/>
      <c r="R246"/>
      <c r="S246"/>
    </row>
    <row r="247" spans="1:19" ht="15">
      <c r="A247"/>
      <c r="B247"/>
      <c r="C247"/>
      <c r="D247"/>
      <c r="E247"/>
      <c r="F247"/>
      <c r="G247"/>
      <c r="H247"/>
      <c r="I247"/>
      <c r="J247"/>
      <c r="K247"/>
      <c r="L247"/>
      <c r="M247"/>
      <c r="N247"/>
      <c r="O247"/>
      <c r="P247"/>
      <c r="Q247"/>
      <c r="R247"/>
      <c r="S247"/>
    </row>
    <row r="248" spans="1:19" ht="15">
      <c r="A248"/>
      <c r="B248"/>
      <c r="C248"/>
      <c r="D248"/>
      <c r="E248"/>
      <c r="F248"/>
      <c r="G248"/>
      <c r="H248"/>
      <c r="I248"/>
      <c r="J248"/>
      <c r="K248"/>
      <c r="L248"/>
      <c r="M248"/>
      <c r="N248"/>
      <c r="O248"/>
      <c r="P248"/>
      <c r="Q248"/>
      <c r="R248"/>
      <c r="S248"/>
    </row>
    <row r="249" spans="1:19" ht="15">
      <c r="A249"/>
      <c r="B249"/>
      <c r="C249"/>
      <c r="D249"/>
      <c r="E249"/>
      <c r="F249"/>
      <c r="G249"/>
      <c r="H249"/>
      <c r="I249"/>
      <c r="J249"/>
      <c r="K249"/>
      <c r="L249"/>
      <c r="M249"/>
      <c r="N249"/>
      <c r="O249"/>
      <c r="P249"/>
      <c r="Q249"/>
      <c r="R249"/>
      <c r="S249"/>
    </row>
    <row r="250" spans="1:19" ht="15">
      <c r="A250"/>
      <c r="B250"/>
      <c r="C250"/>
      <c r="D250"/>
      <c r="E250"/>
      <c r="F250"/>
      <c r="G250"/>
      <c r="H250"/>
      <c r="I250"/>
      <c r="J250"/>
      <c r="K250"/>
      <c r="L250"/>
      <c r="M250"/>
      <c r="N250"/>
      <c r="O250"/>
      <c r="P250"/>
      <c r="Q250"/>
      <c r="R250"/>
      <c r="S250"/>
    </row>
    <row r="251" spans="1:19" ht="15">
      <c r="A251"/>
      <c r="B251"/>
      <c r="C251"/>
      <c r="D251"/>
      <c r="E251"/>
      <c r="F251"/>
      <c r="G251"/>
      <c r="H251"/>
      <c r="I251"/>
      <c r="J251"/>
      <c r="K251"/>
      <c r="L251"/>
      <c r="M251"/>
      <c r="N251"/>
      <c r="O251"/>
      <c r="P251"/>
      <c r="Q251"/>
      <c r="R251"/>
      <c r="S251"/>
    </row>
    <row r="252" spans="1:19" ht="15">
      <c r="A252"/>
      <c r="B252"/>
      <c r="C252"/>
      <c r="D252"/>
      <c r="E252"/>
      <c r="F252"/>
      <c r="G252"/>
      <c r="H252"/>
      <c r="I252"/>
      <c r="J252"/>
      <c r="K252"/>
      <c r="L252"/>
      <c r="M252"/>
      <c r="N252"/>
      <c r="O252"/>
      <c r="P252"/>
      <c r="Q252"/>
      <c r="R252"/>
      <c r="S252"/>
    </row>
    <row r="253" spans="1:19" ht="15">
      <c r="A253"/>
      <c r="B253"/>
      <c r="C253"/>
      <c r="D253"/>
      <c r="E253"/>
      <c r="F253"/>
      <c r="G253"/>
      <c r="H253"/>
      <c r="I253"/>
      <c r="J253"/>
      <c r="K253"/>
      <c r="L253"/>
      <c r="M253"/>
      <c r="N253"/>
      <c r="O253"/>
      <c r="P253"/>
      <c r="Q253"/>
      <c r="R253"/>
      <c r="S253"/>
    </row>
    <row r="254" spans="1:19" ht="15">
      <c r="A254"/>
      <c r="B254"/>
      <c r="C254"/>
      <c r="D254"/>
      <c r="E254"/>
      <c r="F254"/>
      <c r="G254"/>
      <c r="H254"/>
      <c r="I254"/>
      <c r="J254"/>
      <c r="K254"/>
      <c r="L254"/>
      <c r="M254"/>
      <c r="N254"/>
      <c r="O254"/>
      <c r="P254"/>
      <c r="Q254"/>
      <c r="R254"/>
      <c r="S254"/>
    </row>
    <row r="255" spans="1:19" ht="15">
      <c r="A255"/>
      <c r="B255"/>
      <c r="C255"/>
      <c r="D255"/>
      <c r="E255"/>
      <c r="F255"/>
      <c r="G255"/>
      <c r="H255"/>
      <c r="I255"/>
      <c r="J255"/>
      <c r="K255"/>
      <c r="L255"/>
      <c r="M255"/>
      <c r="N255"/>
      <c r="O255"/>
      <c r="P255"/>
      <c r="Q255"/>
      <c r="R255"/>
      <c r="S255"/>
    </row>
    <row r="256" spans="1:19" ht="15">
      <c r="A256"/>
      <c r="B256"/>
      <c r="C256"/>
      <c r="D256"/>
      <c r="E256"/>
      <c r="F256"/>
      <c r="G256"/>
      <c r="H256"/>
      <c r="I256"/>
      <c r="J256"/>
      <c r="K256"/>
      <c r="L256"/>
      <c r="M256"/>
      <c r="N256"/>
      <c r="O256"/>
      <c r="P256"/>
      <c r="Q256"/>
      <c r="R256"/>
      <c r="S256"/>
    </row>
    <row r="257" spans="1:19" ht="15">
      <c r="A257"/>
      <c r="B257"/>
      <c r="C257"/>
      <c r="D257"/>
      <c r="E257"/>
      <c r="F257"/>
      <c r="G257"/>
      <c r="H257"/>
      <c r="I257"/>
      <c r="J257"/>
      <c r="K257"/>
      <c r="L257"/>
      <c r="M257"/>
      <c r="N257"/>
      <c r="O257"/>
      <c r="P257"/>
      <c r="Q257"/>
      <c r="R257"/>
      <c r="S257"/>
    </row>
    <row r="258" spans="1:19" ht="15">
      <c r="A258"/>
      <c r="B258"/>
      <c r="C258"/>
      <c r="D258"/>
      <c r="E258"/>
      <c r="F258"/>
      <c r="G258"/>
      <c r="H258"/>
      <c r="I258"/>
      <c r="J258"/>
      <c r="K258"/>
      <c r="L258"/>
      <c r="M258"/>
      <c r="N258"/>
      <c r="O258"/>
      <c r="P258"/>
      <c r="Q258"/>
      <c r="R258"/>
      <c r="S258"/>
    </row>
    <row r="259" spans="1:19" ht="15">
      <c r="A259"/>
      <c r="B259"/>
      <c r="C259"/>
      <c r="D259"/>
      <c r="E259"/>
      <c r="F259"/>
      <c r="G259"/>
      <c r="H259"/>
      <c r="I259"/>
      <c r="J259"/>
      <c r="K259"/>
      <c r="L259"/>
      <c r="M259"/>
      <c r="N259"/>
      <c r="O259"/>
      <c r="P259"/>
      <c r="Q259"/>
      <c r="R259"/>
      <c r="S259"/>
    </row>
    <row r="260" spans="1:19" ht="15">
      <c r="A260"/>
      <c r="B260"/>
      <c r="C260"/>
      <c r="D260"/>
      <c r="E260"/>
      <c r="F260"/>
      <c r="G260"/>
      <c r="H260"/>
      <c r="I260"/>
      <c r="J260"/>
      <c r="K260"/>
      <c r="L260"/>
      <c r="M260"/>
      <c r="N260"/>
      <c r="O260"/>
      <c r="P260"/>
      <c r="Q260"/>
      <c r="R260"/>
      <c r="S260"/>
    </row>
    <row r="261" spans="1:19" ht="15">
      <c r="A261"/>
      <c r="B261"/>
      <c r="C261"/>
      <c r="D261"/>
      <c r="E261"/>
      <c r="F261"/>
      <c r="G261"/>
      <c r="H261"/>
      <c r="I261"/>
      <c r="J261"/>
      <c r="K261"/>
      <c r="L261"/>
      <c r="M261"/>
      <c r="N261"/>
      <c r="O261"/>
      <c r="P261"/>
      <c r="Q261"/>
      <c r="R261"/>
      <c r="S261"/>
    </row>
    <row r="262" spans="1:19" ht="15">
      <c r="A262"/>
      <c r="B262"/>
      <c r="C262"/>
      <c r="D262"/>
      <c r="E262"/>
      <c r="F262"/>
      <c r="G262"/>
      <c r="H262"/>
      <c r="I262"/>
      <c r="J262"/>
      <c r="K262"/>
      <c r="L262"/>
      <c r="M262"/>
      <c r="N262"/>
      <c r="O262"/>
      <c r="P262"/>
      <c r="Q262"/>
      <c r="R262"/>
      <c r="S262"/>
    </row>
    <row r="263" spans="1:19" ht="15">
      <c r="A263"/>
      <c r="B263"/>
      <c r="C263"/>
      <c r="D263"/>
      <c r="E263"/>
      <c r="F263"/>
      <c r="G263"/>
      <c r="H263"/>
      <c r="I263"/>
      <c r="J263"/>
      <c r="K263"/>
      <c r="L263"/>
      <c r="M263"/>
      <c r="N263"/>
      <c r="O263"/>
      <c r="P263"/>
      <c r="Q263"/>
      <c r="R263"/>
      <c r="S263"/>
    </row>
    <row r="264" spans="1:19" ht="15">
      <c r="A264"/>
      <c r="B264"/>
      <c r="C264"/>
      <c r="D264"/>
      <c r="E264"/>
      <c r="F264"/>
      <c r="G264"/>
      <c r="H264"/>
      <c r="I264"/>
      <c r="J264"/>
      <c r="K264"/>
      <c r="L264"/>
      <c r="M264"/>
      <c r="N264"/>
      <c r="O264"/>
      <c r="P264"/>
      <c r="Q264"/>
      <c r="R264"/>
      <c r="S264"/>
    </row>
    <row r="265" spans="1:19" ht="15">
      <c r="A265"/>
      <c r="B265"/>
      <c r="C265"/>
      <c r="D265"/>
      <c r="E265"/>
      <c r="F265"/>
      <c r="G265"/>
      <c r="H265"/>
      <c r="I265"/>
      <c r="J265"/>
      <c r="K265"/>
      <c r="L265"/>
      <c r="M265"/>
      <c r="N265"/>
      <c r="O265"/>
      <c r="P265"/>
      <c r="Q265"/>
      <c r="R265"/>
      <c r="S265"/>
    </row>
    <row r="266" spans="1:19" ht="15">
      <c r="A266"/>
      <c r="B266"/>
      <c r="C266"/>
      <c r="D266"/>
      <c r="E266"/>
      <c r="F266"/>
      <c r="G266"/>
      <c r="H266"/>
      <c r="I266"/>
      <c r="J266"/>
      <c r="K266"/>
      <c r="L266"/>
      <c r="M266"/>
      <c r="N266"/>
      <c r="O266"/>
      <c r="P266"/>
      <c r="Q266"/>
      <c r="R266"/>
      <c r="S266"/>
    </row>
    <row r="267" spans="1:19" ht="15">
      <c r="A267"/>
      <c r="B267"/>
      <c r="C267"/>
      <c r="D267"/>
      <c r="E267"/>
      <c r="F267"/>
      <c r="G267"/>
      <c r="H267"/>
      <c r="I267"/>
      <c r="J267"/>
      <c r="K267"/>
      <c r="L267"/>
      <c r="M267"/>
      <c r="N267"/>
      <c r="O267"/>
      <c r="P267"/>
      <c r="Q267"/>
      <c r="R267"/>
      <c r="S267"/>
    </row>
    <row r="268" spans="1:19" ht="15">
      <c r="A268"/>
      <c r="B268"/>
      <c r="C268"/>
      <c r="D268"/>
      <c r="E268"/>
      <c r="F268"/>
      <c r="G268"/>
      <c r="H268"/>
      <c r="I268"/>
      <c r="J268"/>
      <c r="K268"/>
      <c r="L268"/>
      <c r="M268"/>
      <c r="N268"/>
      <c r="O268"/>
      <c r="P268"/>
      <c r="Q268"/>
      <c r="R268"/>
      <c r="S268"/>
    </row>
    <row r="269" spans="1:19" ht="15">
      <c r="A269"/>
      <c r="B269"/>
      <c r="C269"/>
      <c r="D269"/>
      <c r="E269"/>
      <c r="F269"/>
      <c r="G269"/>
      <c r="H269"/>
      <c r="I269"/>
      <c r="J269"/>
      <c r="K269"/>
      <c r="L269"/>
      <c r="M269"/>
      <c r="N269"/>
      <c r="O269"/>
      <c r="P269"/>
      <c r="Q269"/>
      <c r="R269"/>
      <c r="S269"/>
    </row>
    <row r="270" spans="1:19" ht="15">
      <c r="A270"/>
      <c r="B270"/>
      <c r="C270"/>
      <c r="D270"/>
      <c r="E270"/>
      <c r="F270"/>
      <c r="G270"/>
      <c r="H270"/>
      <c r="I270"/>
      <c r="J270"/>
      <c r="K270"/>
      <c r="L270"/>
      <c r="M270"/>
      <c r="N270"/>
      <c r="O270"/>
      <c r="P270"/>
      <c r="Q270"/>
      <c r="R270"/>
      <c r="S270"/>
    </row>
    <row r="271" spans="1:19" ht="15">
      <c r="A271"/>
      <c r="B271"/>
      <c r="C271"/>
      <c r="D271"/>
      <c r="E271"/>
      <c r="F271"/>
      <c r="G271"/>
      <c r="H271"/>
      <c r="I271"/>
      <c r="J271"/>
      <c r="K271"/>
      <c r="L271"/>
      <c r="M271"/>
      <c r="N271"/>
      <c r="O271"/>
      <c r="P271"/>
      <c r="Q271"/>
      <c r="R271"/>
      <c r="S271"/>
    </row>
    <row r="272" spans="1:19" ht="15">
      <c r="A272"/>
      <c r="B272"/>
      <c r="C272"/>
      <c r="D272"/>
      <c r="E272"/>
      <c r="F272"/>
      <c r="G272"/>
      <c r="H272"/>
      <c r="I272"/>
      <c r="J272"/>
      <c r="K272"/>
      <c r="L272"/>
      <c r="M272"/>
      <c r="N272"/>
      <c r="O272"/>
      <c r="P272"/>
      <c r="Q272"/>
      <c r="R272"/>
      <c r="S272"/>
    </row>
    <row r="273" spans="1:19" ht="15">
      <c r="A273"/>
      <c r="B273"/>
      <c r="C273"/>
      <c r="D273"/>
      <c r="E273"/>
      <c r="F273"/>
      <c r="G273"/>
      <c r="H273"/>
      <c r="I273"/>
      <c r="J273"/>
      <c r="K273"/>
      <c r="L273"/>
      <c r="M273"/>
      <c r="N273"/>
      <c r="O273"/>
      <c r="P273"/>
      <c r="Q273"/>
      <c r="R273"/>
      <c r="S273"/>
    </row>
    <row r="274" spans="1:19" ht="15">
      <c r="A274"/>
      <c r="B274"/>
      <c r="C274"/>
      <c r="D274"/>
      <c r="E274"/>
      <c r="F274"/>
      <c r="G274"/>
      <c r="H274"/>
      <c r="I274"/>
      <c r="J274"/>
      <c r="K274"/>
      <c r="L274"/>
      <c r="M274"/>
      <c r="N274"/>
      <c r="O274"/>
      <c r="P274"/>
      <c r="Q274"/>
      <c r="R274"/>
      <c r="S274"/>
    </row>
    <row r="275" spans="1:19" ht="15">
      <c r="A275"/>
      <c r="B275"/>
      <c r="C275"/>
      <c r="D275"/>
      <c r="E275"/>
      <c r="F275"/>
      <c r="G275"/>
      <c r="H275"/>
      <c r="I275"/>
      <c r="J275"/>
      <c r="K275"/>
      <c r="L275"/>
      <c r="M275"/>
      <c r="N275"/>
      <c r="O275"/>
      <c r="P275"/>
      <c r="Q275"/>
      <c r="R275"/>
      <c r="S275"/>
    </row>
    <row r="276" spans="1:19" ht="15">
      <c r="A276"/>
      <c r="B276"/>
      <c r="C276"/>
      <c r="D276"/>
      <c r="E276"/>
      <c r="F276"/>
      <c r="G276"/>
      <c r="H276"/>
      <c r="I276"/>
      <c r="J276"/>
      <c r="K276"/>
      <c r="L276"/>
      <c r="M276"/>
      <c r="N276"/>
      <c r="O276"/>
      <c r="P276"/>
      <c r="Q276"/>
      <c r="R276"/>
      <c r="S276"/>
    </row>
    <row r="277" spans="1:19" ht="15">
      <c r="A277"/>
      <c r="B277"/>
      <c r="C277"/>
      <c r="D277"/>
      <c r="E277"/>
      <c r="F277"/>
      <c r="G277"/>
      <c r="H277"/>
      <c r="I277"/>
      <c r="J277"/>
      <c r="K277"/>
      <c r="L277"/>
      <c r="M277"/>
      <c r="N277"/>
      <c r="O277"/>
      <c r="P277"/>
      <c r="Q277"/>
      <c r="R277"/>
      <c r="S277"/>
    </row>
    <row r="278" spans="1:19" ht="15">
      <c r="A278"/>
      <c r="B278"/>
      <c r="C278"/>
      <c r="D278"/>
      <c r="E278"/>
      <c r="F278"/>
      <c r="G278"/>
      <c r="H278"/>
      <c r="I278"/>
      <c r="J278"/>
      <c r="K278"/>
      <c r="L278"/>
      <c r="M278"/>
      <c r="N278"/>
      <c r="O278"/>
      <c r="P278"/>
      <c r="Q278"/>
      <c r="R278"/>
      <c r="S278"/>
    </row>
    <row r="279" spans="1:19" ht="15">
      <c r="A279"/>
      <c r="B279"/>
      <c r="C279"/>
      <c r="D279"/>
      <c r="E279"/>
      <c r="F279"/>
      <c r="G279"/>
      <c r="H279"/>
      <c r="I279"/>
      <c r="J279"/>
      <c r="K279"/>
      <c r="L279"/>
      <c r="M279"/>
      <c r="N279"/>
      <c r="O279"/>
      <c r="P279"/>
      <c r="Q279"/>
      <c r="R279"/>
      <c r="S279"/>
    </row>
    <row r="280" spans="1:19" ht="15">
      <c r="A280"/>
      <c r="B280"/>
      <c r="C280"/>
      <c r="D280"/>
      <c r="E280"/>
      <c r="F280"/>
      <c r="G280"/>
      <c r="H280"/>
      <c r="I280"/>
      <c r="J280"/>
      <c r="K280"/>
      <c r="L280"/>
      <c r="M280"/>
      <c r="N280"/>
      <c r="O280"/>
      <c r="P280"/>
      <c r="Q280"/>
      <c r="R280"/>
      <c r="S280"/>
    </row>
    <row r="281" spans="1:19" ht="15">
      <c r="A281"/>
      <c r="B281"/>
      <c r="C281"/>
      <c r="D281"/>
      <c r="E281"/>
      <c r="F281"/>
      <c r="G281"/>
      <c r="H281"/>
      <c r="I281"/>
      <c r="J281"/>
      <c r="K281"/>
      <c r="L281"/>
      <c r="M281"/>
      <c r="N281"/>
      <c r="O281"/>
      <c r="P281"/>
      <c r="Q281"/>
      <c r="R281"/>
      <c r="S281"/>
    </row>
    <row r="282" spans="1:19" ht="15">
      <c r="A282"/>
      <c r="B282"/>
      <c r="C282"/>
      <c r="D282"/>
      <c r="E282"/>
      <c r="F282"/>
      <c r="G282"/>
      <c r="H282"/>
      <c r="I282"/>
      <c r="J282"/>
      <c r="K282"/>
      <c r="L282"/>
      <c r="M282"/>
      <c r="N282"/>
      <c r="O282"/>
      <c r="P282"/>
      <c r="Q282"/>
      <c r="R282"/>
      <c r="S282"/>
    </row>
    <row r="283" spans="1:19" ht="15">
      <c r="A283"/>
      <c r="B283"/>
      <c r="C283"/>
      <c r="D283"/>
      <c r="E283"/>
      <c r="F283"/>
      <c r="G283"/>
      <c r="H283"/>
      <c r="I283"/>
      <c r="J283"/>
      <c r="K283"/>
      <c r="L283"/>
      <c r="M283"/>
      <c r="N283"/>
      <c r="O283"/>
      <c r="P283"/>
      <c r="Q283"/>
      <c r="R283"/>
      <c r="S283"/>
    </row>
    <row r="284" spans="1:19" ht="15">
      <c r="A284"/>
      <c r="B284"/>
      <c r="C284"/>
      <c r="D284"/>
      <c r="E284"/>
      <c r="F284"/>
      <c r="G284"/>
      <c r="H284"/>
      <c r="I284"/>
      <c r="J284"/>
      <c r="K284"/>
      <c r="L284"/>
      <c r="M284"/>
      <c r="N284"/>
      <c r="O284"/>
      <c r="P284"/>
      <c r="Q284"/>
      <c r="R284"/>
      <c r="S284"/>
    </row>
    <row r="285" spans="1:19" ht="15">
      <c r="A285"/>
      <c r="B285"/>
      <c r="C285"/>
      <c r="D285"/>
      <c r="E285"/>
      <c r="F285"/>
      <c r="G285"/>
      <c r="H285"/>
      <c r="I285"/>
      <c r="J285"/>
      <c r="K285"/>
      <c r="L285"/>
      <c r="M285"/>
      <c r="N285"/>
      <c r="O285"/>
      <c r="P285"/>
      <c r="Q285"/>
      <c r="R285"/>
      <c r="S285"/>
    </row>
    <row r="286" spans="1:19" ht="15">
      <c r="A286"/>
      <c r="B286"/>
      <c r="C286"/>
      <c r="D286"/>
      <c r="E286"/>
      <c r="F286"/>
      <c r="G286"/>
      <c r="H286"/>
      <c r="I286"/>
      <c r="J286"/>
      <c r="K286"/>
      <c r="L286"/>
      <c r="M286"/>
      <c r="N286"/>
      <c r="O286"/>
      <c r="P286"/>
      <c r="Q286"/>
      <c r="R286"/>
      <c r="S286"/>
    </row>
    <row r="287" spans="1:19" ht="15">
      <c r="A287"/>
      <c r="B287"/>
      <c r="C287"/>
      <c r="D287"/>
      <c r="E287"/>
      <c r="F287"/>
      <c r="G287"/>
      <c r="H287"/>
      <c r="I287"/>
      <c r="J287"/>
      <c r="K287"/>
      <c r="L287"/>
      <c r="M287"/>
      <c r="N287"/>
      <c r="O287"/>
      <c r="P287"/>
      <c r="Q287"/>
      <c r="R287"/>
      <c r="S287"/>
    </row>
    <row r="288" spans="1:19" ht="15">
      <c r="A288"/>
      <c r="B288"/>
      <c r="C288"/>
      <c r="D288"/>
      <c r="E288"/>
      <c r="F288"/>
      <c r="G288"/>
      <c r="H288"/>
      <c r="I288"/>
      <c r="J288"/>
      <c r="K288"/>
      <c r="L288"/>
      <c r="M288"/>
      <c r="N288"/>
      <c r="O288"/>
      <c r="P288"/>
      <c r="Q288"/>
      <c r="R288"/>
      <c r="S288"/>
    </row>
    <row r="289" spans="1:19" ht="15">
      <c r="A289"/>
      <c r="B289"/>
      <c r="C289"/>
      <c r="D289"/>
      <c r="E289"/>
      <c r="F289"/>
      <c r="G289"/>
      <c r="H289"/>
      <c r="I289"/>
      <c r="J289"/>
      <c r="K289"/>
      <c r="L289"/>
      <c r="M289"/>
      <c r="N289"/>
      <c r="O289"/>
      <c r="P289"/>
      <c r="Q289"/>
      <c r="R289"/>
      <c r="S289"/>
    </row>
    <row r="290" spans="1:19" ht="15">
      <c r="A290"/>
      <c r="B290"/>
      <c r="C290"/>
      <c r="D290"/>
      <c r="E290"/>
      <c r="F290"/>
      <c r="G290"/>
      <c r="H290"/>
      <c r="I290"/>
      <c r="J290"/>
      <c r="K290"/>
      <c r="L290"/>
      <c r="M290"/>
      <c r="N290"/>
      <c r="O290"/>
      <c r="P290"/>
      <c r="Q290"/>
      <c r="R290"/>
      <c r="S290"/>
    </row>
    <row r="291" spans="1:19" ht="15">
      <c r="A291"/>
      <c r="B291"/>
      <c r="C291"/>
      <c r="D291"/>
      <c r="E291"/>
      <c r="F291"/>
      <c r="G291"/>
      <c r="H291"/>
      <c r="I291"/>
      <c r="J291"/>
      <c r="K291"/>
      <c r="L291"/>
      <c r="M291"/>
      <c r="N291"/>
      <c r="O291"/>
      <c r="P291"/>
      <c r="Q291"/>
      <c r="R291"/>
      <c r="S291"/>
    </row>
    <row r="292" spans="1:19" ht="15">
      <c r="A292"/>
      <c r="B292"/>
      <c r="C292"/>
      <c r="D292"/>
      <c r="E292"/>
      <c r="F292"/>
      <c r="G292"/>
      <c r="H292"/>
      <c r="I292"/>
      <c r="J292"/>
      <c r="K292"/>
      <c r="L292"/>
      <c r="M292"/>
      <c r="N292"/>
      <c r="O292"/>
      <c r="P292"/>
      <c r="Q292"/>
      <c r="R292"/>
      <c r="S292"/>
    </row>
    <row r="293" spans="1:19" ht="15">
      <c r="A293"/>
      <c r="B293"/>
      <c r="C293"/>
      <c r="D293"/>
      <c r="E293"/>
      <c r="F293"/>
      <c r="G293"/>
      <c r="H293"/>
      <c r="I293"/>
      <c r="J293"/>
      <c r="K293"/>
      <c r="L293"/>
      <c r="M293"/>
      <c r="N293"/>
      <c r="O293"/>
      <c r="P293"/>
      <c r="Q293"/>
      <c r="R293"/>
      <c r="S293"/>
    </row>
    <row r="294" spans="1:19" ht="15">
      <c r="A294"/>
      <c r="B294"/>
      <c r="C294"/>
      <c r="D294"/>
      <c r="E294"/>
      <c r="F294"/>
      <c r="G294"/>
      <c r="H294"/>
      <c r="I294"/>
      <c r="J294"/>
      <c r="K294"/>
      <c r="L294"/>
      <c r="M294"/>
      <c r="N294"/>
      <c r="O294"/>
      <c r="P294"/>
      <c r="Q294"/>
      <c r="R294"/>
      <c r="S294"/>
    </row>
    <row r="295" spans="1:19" ht="15">
      <c r="A295"/>
      <c r="B295"/>
      <c r="C295"/>
      <c r="D295"/>
      <c r="E295"/>
      <c r="F295"/>
      <c r="G295"/>
      <c r="H295"/>
      <c r="I295"/>
      <c r="J295"/>
      <c r="K295"/>
      <c r="L295"/>
      <c r="M295"/>
      <c r="N295"/>
      <c r="O295"/>
      <c r="P295"/>
      <c r="Q295"/>
      <c r="R295"/>
      <c r="S295"/>
    </row>
    <row r="296" spans="1:19" ht="15">
      <c r="A296"/>
      <c r="B296"/>
      <c r="C296"/>
      <c r="D296"/>
      <c r="E296"/>
      <c r="F296"/>
      <c r="G296"/>
      <c r="H296"/>
      <c r="I296"/>
      <c r="J296"/>
      <c r="K296"/>
      <c r="L296"/>
      <c r="M296"/>
      <c r="N296"/>
      <c r="O296"/>
      <c r="P296"/>
      <c r="Q296"/>
      <c r="R296"/>
      <c r="S296"/>
    </row>
    <row r="297" spans="1:19" ht="15">
      <c r="A297"/>
      <c r="B297"/>
      <c r="C297"/>
      <c r="D297"/>
      <c r="E297"/>
      <c r="F297"/>
      <c r="G297"/>
      <c r="H297"/>
      <c r="I297"/>
      <c r="J297"/>
      <c r="K297"/>
      <c r="L297"/>
      <c r="M297"/>
      <c r="N297"/>
      <c r="O297"/>
      <c r="P297"/>
      <c r="Q297"/>
      <c r="R297"/>
      <c r="S297"/>
    </row>
    <row r="298" spans="1:19" ht="15">
      <c r="A298"/>
      <c r="B298"/>
      <c r="C298"/>
      <c r="D298"/>
      <c r="E298"/>
      <c r="F298"/>
      <c r="G298"/>
      <c r="H298"/>
      <c r="I298"/>
      <c r="J298"/>
      <c r="K298"/>
      <c r="L298"/>
      <c r="M298"/>
      <c r="N298"/>
      <c r="O298"/>
      <c r="P298"/>
      <c r="Q298"/>
      <c r="R298"/>
      <c r="S298"/>
    </row>
    <row r="299" spans="1:19" ht="15">
      <c r="A299"/>
      <c r="B299"/>
      <c r="C299"/>
      <c r="D299"/>
      <c r="E299"/>
      <c r="F299"/>
      <c r="G299"/>
      <c r="H299"/>
      <c r="I299"/>
      <c r="J299"/>
      <c r="K299"/>
      <c r="L299"/>
      <c r="M299"/>
      <c r="N299"/>
      <c r="O299"/>
      <c r="P299"/>
      <c r="Q299"/>
      <c r="R299"/>
      <c r="S299"/>
    </row>
    <row r="300" spans="1:19" ht="15">
      <c r="A300"/>
      <c r="B300"/>
      <c r="C300"/>
      <c r="D300"/>
      <c r="E300"/>
      <c r="F300"/>
      <c r="G300"/>
      <c r="H300"/>
      <c r="I300"/>
      <c r="J300"/>
      <c r="K300"/>
      <c r="L300"/>
      <c r="M300"/>
      <c r="N300"/>
      <c r="O300"/>
      <c r="P300"/>
      <c r="Q300"/>
      <c r="R300"/>
      <c r="S300"/>
    </row>
    <row r="301" spans="1:19" ht="15">
      <c r="A301"/>
      <c r="B301"/>
      <c r="C301"/>
      <c r="D301"/>
      <c r="E301"/>
      <c r="F301"/>
      <c r="G301"/>
      <c r="H301"/>
      <c r="I301"/>
      <c r="J301"/>
      <c r="K301"/>
      <c r="L301"/>
      <c r="M301"/>
      <c r="N301"/>
      <c r="O301"/>
      <c r="P301"/>
      <c r="Q301"/>
      <c r="R301"/>
      <c r="S301"/>
    </row>
    <row r="302" spans="1:19" ht="15">
      <c r="A302"/>
      <c r="B302"/>
      <c r="C302"/>
      <c r="D302"/>
      <c r="E302"/>
      <c r="F302"/>
      <c r="G302"/>
      <c r="H302"/>
      <c r="I302"/>
      <c r="J302"/>
      <c r="K302"/>
      <c r="L302"/>
      <c r="M302"/>
      <c r="N302"/>
      <c r="O302"/>
      <c r="P302"/>
      <c r="Q302"/>
      <c r="R302"/>
      <c r="S302"/>
    </row>
    <row r="303" spans="1:19" ht="15">
      <c r="A303"/>
      <c r="B303"/>
      <c r="C303"/>
      <c r="D303"/>
      <c r="E303"/>
      <c r="F303"/>
      <c r="G303"/>
      <c r="H303"/>
      <c r="I303"/>
      <c r="J303"/>
      <c r="K303"/>
      <c r="L303"/>
      <c r="M303"/>
      <c r="N303"/>
      <c r="O303"/>
      <c r="P303"/>
      <c r="Q303"/>
      <c r="R303"/>
      <c r="S303"/>
    </row>
    <row r="304" spans="1:19" ht="15">
      <c r="A304"/>
      <c r="B304"/>
      <c r="C304"/>
      <c r="D304"/>
      <c r="E304"/>
      <c r="F304"/>
      <c r="G304"/>
      <c r="H304"/>
      <c r="I304"/>
      <c r="J304"/>
      <c r="K304"/>
      <c r="L304"/>
      <c r="M304"/>
      <c r="N304"/>
      <c r="O304"/>
      <c r="P304"/>
      <c r="Q304"/>
      <c r="R304"/>
      <c r="S304"/>
    </row>
    <row r="305" spans="1:19" ht="15">
      <c r="A305"/>
      <c r="B305"/>
      <c r="C305"/>
      <c r="D305"/>
      <c r="E305"/>
      <c r="F305"/>
      <c r="G305"/>
      <c r="H305"/>
      <c r="I305"/>
      <c r="J305"/>
      <c r="K305"/>
      <c r="L305"/>
      <c r="M305"/>
      <c r="N305"/>
      <c r="O305"/>
      <c r="P305"/>
      <c r="Q305"/>
      <c r="R305"/>
      <c r="S305"/>
    </row>
    <row r="306" spans="1:19" ht="15">
      <c r="A306"/>
      <c r="B306"/>
      <c r="C306"/>
      <c r="D306"/>
      <c r="E306"/>
      <c r="F306"/>
      <c r="G306"/>
      <c r="H306"/>
      <c r="I306"/>
      <c r="J306"/>
      <c r="K306"/>
      <c r="L306"/>
      <c r="M306"/>
      <c r="N306"/>
      <c r="O306"/>
      <c r="P306"/>
      <c r="Q306"/>
      <c r="R306"/>
      <c r="S306"/>
    </row>
    <row r="307" spans="1:19" ht="15">
      <c r="A307"/>
      <c r="B307"/>
      <c r="C307"/>
      <c r="D307"/>
      <c r="E307"/>
      <c r="F307"/>
      <c r="G307"/>
      <c r="H307"/>
      <c r="I307"/>
      <c r="J307"/>
      <c r="K307"/>
      <c r="L307"/>
      <c r="M307"/>
      <c r="N307"/>
      <c r="O307"/>
      <c r="P307"/>
      <c r="Q307"/>
      <c r="R307"/>
      <c r="S307"/>
    </row>
    <row r="308" spans="1:19" ht="15">
      <c r="A308"/>
      <c r="B308"/>
      <c r="C308"/>
      <c r="D308"/>
      <c r="E308"/>
      <c r="F308"/>
      <c r="G308"/>
      <c r="H308"/>
      <c r="I308"/>
      <c r="J308"/>
      <c r="K308"/>
      <c r="L308"/>
      <c r="M308"/>
      <c r="N308"/>
      <c r="O308"/>
      <c r="P308"/>
      <c r="Q308"/>
      <c r="R308"/>
      <c r="S308"/>
    </row>
    <row r="309" spans="1:19" ht="15">
      <c r="A309"/>
      <c r="B309"/>
      <c r="C309"/>
      <c r="D309"/>
      <c r="E309"/>
      <c r="F309"/>
      <c r="G309"/>
      <c r="H309"/>
      <c r="I309"/>
      <c r="J309"/>
      <c r="K309"/>
      <c r="L309"/>
      <c r="M309"/>
      <c r="N309"/>
      <c r="O309"/>
      <c r="P309"/>
      <c r="Q309"/>
      <c r="R309"/>
      <c r="S309"/>
    </row>
    <row r="310" spans="1:19" ht="15">
      <c r="A310"/>
      <c r="B310"/>
      <c r="C310"/>
      <c r="D310"/>
      <c r="E310"/>
      <c r="F310"/>
      <c r="G310"/>
      <c r="H310"/>
      <c r="I310"/>
      <c r="J310"/>
      <c r="K310"/>
      <c r="L310"/>
      <c r="M310"/>
      <c r="N310"/>
      <c r="O310"/>
      <c r="P310"/>
      <c r="Q310"/>
      <c r="R310"/>
      <c r="S310"/>
    </row>
    <row r="311" spans="1:19" ht="15">
      <c r="A311"/>
      <c r="B311"/>
      <c r="C311"/>
      <c r="D311"/>
      <c r="E311"/>
      <c r="F311"/>
      <c r="G311"/>
      <c r="H311"/>
      <c r="I311"/>
      <c r="J311"/>
      <c r="K311"/>
      <c r="L311"/>
      <c r="M311"/>
      <c r="N311"/>
      <c r="O311"/>
      <c r="P311"/>
      <c r="Q311"/>
      <c r="R311"/>
      <c r="S311"/>
    </row>
    <row r="312" spans="1:19" ht="15">
      <c r="A312"/>
      <c r="B312"/>
      <c r="C312"/>
      <c r="D312"/>
      <c r="E312"/>
      <c r="F312"/>
      <c r="G312"/>
      <c r="H312"/>
      <c r="I312"/>
      <c r="J312"/>
      <c r="K312"/>
      <c r="L312"/>
      <c r="M312"/>
      <c r="N312"/>
      <c r="O312"/>
      <c r="P312"/>
      <c r="Q312"/>
      <c r="R312"/>
      <c r="S312"/>
    </row>
    <row r="313" spans="1:19" ht="15">
      <c r="A313"/>
      <c r="B313"/>
      <c r="C313"/>
      <c r="D313"/>
      <c r="E313"/>
      <c r="F313"/>
      <c r="G313"/>
      <c r="H313"/>
      <c r="I313"/>
      <c r="J313"/>
      <c r="K313"/>
      <c r="L313"/>
      <c r="M313"/>
      <c r="N313"/>
      <c r="O313"/>
      <c r="P313"/>
      <c r="Q313"/>
      <c r="R313"/>
      <c r="S313"/>
    </row>
    <row r="314" spans="1:19" ht="15">
      <c r="A314"/>
      <c r="B314"/>
      <c r="C314"/>
      <c r="D314"/>
      <c r="E314"/>
      <c r="F314"/>
      <c r="G314"/>
      <c r="H314"/>
      <c r="I314"/>
      <c r="J314"/>
      <c r="K314"/>
      <c r="L314"/>
      <c r="M314"/>
      <c r="N314"/>
      <c r="O314"/>
      <c r="P314"/>
      <c r="Q314"/>
      <c r="R314"/>
      <c r="S314"/>
    </row>
    <row r="315" spans="1:19" ht="15">
      <c r="A315"/>
      <c r="B315"/>
      <c r="C315"/>
      <c r="D315"/>
      <c r="E315"/>
      <c r="F315"/>
      <c r="G315"/>
      <c r="H315"/>
      <c r="I315"/>
      <c r="J315"/>
      <c r="K315"/>
      <c r="L315"/>
      <c r="M315"/>
      <c r="N315"/>
      <c r="O315"/>
      <c r="P315"/>
      <c r="Q315"/>
      <c r="R315"/>
      <c r="S315"/>
    </row>
    <row r="316" spans="1:19" ht="15">
      <c r="A316"/>
      <c r="B316"/>
      <c r="C316"/>
      <c r="D316"/>
      <c r="E316"/>
      <c r="F316"/>
      <c r="G316"/>
      <c r="H316"/>
      <c r="I316"/>
      <c r="J316"/>
      <c r="K316"/>
      <c r="L316"/>
      <c r="M316"/>
      <c r="N316"/>
      <c r="O316"/>
      <c r="P316"/>
      <c r="Q316"/>
      <c r="R316"/>
      <c r="S316"/>
    </row>
    <row r="317" spans="1:19" ht="15">
      <c r="A317"/>
      <c r="B317"/>
      <c r="C317"/>
      <c r="D317"/>
      <c r="E317"/>
      <c r="F317"/>
      <c r="G317"/>
      <c r="H317"/>
      <c r="I317"/>
      <c r="J317"/>
      <c r="K317"/>
      <c r="L317"/>
      <c r="M317"/>
      <c r="N317"/>
      <c r="O317"/>
      <c r="P317"/>
      <c r="Q317"/>
      <c r="R317"/>
      <c r="S317"/>
    </row>
    <row r="318" spans="1:19" ht="15">
      <c r="A318"/>
      <c r="B318"/>
      <c r="C318"/>
      <c r="D318"/>
      <c r="E318"/>
      <c r="F318"/>
      <c r="G318"/>
      <c r="H318"/>
      <c r="I318"/>
      <c r="J318"/>
      <c r="K318"/>
      <c r="L318"/>
      <c r="M318"/>
      <c r="N318"/>
      <c r="O318"/>
      <c r="P318"/>
      <c r="Q318"/>
      <c r="R318"/>
      <c r="S318"/>
    </row>
    <row r="319" spans="1:19" ht="15">
      <c r="A319"/>
      <c r="B319"/>
      <c r="C319"/>
      <c r="D319"/>
      <c r="E319"/>
      <c r="F319"/>
      <c r="G319"/>
      <c r="H319"/>
      <c r="I319"/>
      <c r="J319"/>
      <c r="K319"/>
      <c r="L319"/>
      <c r="M319"/>
      <c r="N319"/>
      <c r="O319"/>
      <c r="P319"/>
      <c r="Q319"/>
      <c r="R319"/>
      <c r="S319"/>
    </row>
    <row r="320" spans="1:19" ht="15">
      <c r="A320"/>
      <c r="B320"/>
      <c r="C320"/>
      <c r="D320"/>
      <c r="E320"/>
      <c r="F320"/>
      <c r="G320"/>
      <c r="H320"/>
      <c r="I320"/>
      <c r="J320"/>
      <c r="K320"/>
      <c r="L320"/>
      <c r="M320"/>
      <c r="N320"/>
      <c r="O320"/>
      <c r="P320"/>
      <c r="Q320"/>
      <c r="R320"/>
      <c r="S320"/>
    </row>
    <row r="321" spans="1:19" ht="15">
      <c r="A321"/>
      <c r="B321"/>
      <c r="C321"/>
      <c r="D321"/>
      <c r="E321"/>
      <c r="F321"/>
      <c r="G321"/>
      <c r="H321"/>
      <c r="I321"/>
      <c r="J321"/>
      <c r="K321"/>
      <c r="L321"/>
      <c r="M321"/>
      <c r="N321"/>
      <c r="O321"/>
      <c r="P321"/>
      <c r="Q321"/>
      <c r="R321"/>
      <c r="S321"/>
    </row>
    <row r="322" spans="1:19" ht="15">
      <c r="A322"/>
      <c r="B322"/>
      <c r="C322"/>
      <c r="D322"/>
      <c r="E322"/>
      <c r="F322"/>
      <c r="G322"/>
      <c r="H322"/>
      <c r="I322"/>
      <c r="J322"/>
      <c r="K322"/>
      <c r="L322"/>
      <c r="M322"/>
      <c r="N322"/>
      <c r="O322"/>
      <c r="P322"/>
      <c r="Q322"/>
      <c r="R322"/>
      <c r="S322"/>
    </row>
    <row r="323" spans="1:19" ht="15">
      <c r="A323"/>
      <c r="B323"/>
      <c r="C323"/>
      <c r="D323"/>
      <c r="E323"/>
      <c r="F323"/>
      <c r="G323"/>
      <c r="H323"/>
      <c r="I323"/>
      <c r="J323"/>
      <c r="K323"/>
      <c r="L323"/>
      <c r="M323"/>
      <c r="N323"/>
      <c r="O323"/>
      <c r="P323"/>
      <c r="Q323"/>
      <c r="R323"/>
      <c r="S323"/>
    </row>
    <row r="324" spans="1:19" ht="15">
      <c r="A324"/>
      <c r="B324"/>
      <c r="C324"/>
      <c r="D324"/>
      <c r="E324"/>
      <c r="F324"/>
      <c r="G324"/>
      <c r="H324"/>
      <c r="I324"/>
      <c r="J324"/>
      <c r="K324"/>
      <c r="L324"/>
      <c r="M324"/>
      <c r="N324"/>
      <c r="O324"/>
      <c r="P324"/>
      <c r="Q324"/>
      <c r="R324"/>
      <c r="S324"/>
    </row>
    <row r="325" spans="1:19" ht="15">
      <c r="A325"/>
      <c r="B325"/>
      <c r="C325"/>
      <c r="D325"/>
      <c r="E325"/>
      <c r="F325"/>
      <c r="G325"/>
      <c r="H325"/>
      <c r="I325"/>
      <c r="J325"/>
      <c r="K325"/>
      <c r="L325"/>
      <c r="M325"/>
      <c r="N325"/>
      <c r="O325"/>
      <c r="P325"/>
      <c r="Q325"/>
      <c r="R325"/>
      <c r="S325"/>
    </row>
    <row r="326" spans="1:19" ht="15">
      <c r="A326"/>
      <c r="B326"/>
      <c r="C326"/>
      <c r="D326"/>
      <c r="E326"/>
      <c r="F326"/>
      <c r="G326"/>
      <c r="H326"/>
      <c r="I326"/>
      <c r="J326"/>
      <c r="K326"/>
      <c r="L326"/>
      <c r="M326"/>
      <c r="N326"/>
      <c r="O326"/>
      <c r="P326"/>
      <c r="Q326"/>
      <c r="R326"/>
      <c r="S326"/>
    </row>
    <row r="327" spans="1:19" ht="15">
      <c r="A327"/>
      <c r="B327"/>
      <c r="C327"/>
      <c r="D327"/>
      <c r="E327"/>
      <c r="F327"/>
      <c r="G327"/>
      <c r="H327"/>
      <c r="I327"/>
      <c r="J327"/>
      <c r="K327"/>
      <c r="L327"/>
      <c r="M327"/>
      <c r="N327"/>
      <c r="O327"/>
      <c r="P327"/>
      <c r="Q327"/>
      <c r="R327"/>
      <c r="S327"/>
    </row>
    <row r="328" spans="1:19" ht="15">
      <c r="A328"/>
      <c r="B328"/>
      <c r="C328"/>
      <c r="D328"/>
      <c r="E328"/>
      <c r="F328"/>
      <c r="G328"/>
      <c r="H328"/>
      <c r="I328"/>
      <c r="J328"/>
      <c r="K328"/>
      <c r="L328"/>
      <c r="M328"/>
      <c r="N328"/>
      <c r="O328"/>
      <c r="P328"/>
      <c r="Q328"/>
      <c r="R328"/>
      <c r="S328"/>
    </row>
    <row r="329" spans="1:19" ht="15">
      <c r="A329"/>
      <c r="B329"/>
      <c r="C329"/>
      <c r="D329"/>
      <c r="E329"/>
      <c r="F329"/>
      <c r="G329"/>
      <c r="H329"/>
      <c r="I329"/>
      <c r="J329"/>
      <c r="K329"/>
      <c r="L329"/>
      <c r="M329"/>
      <c r="N329"/>
      <c r="O329"/>
      <c r="P329"/>
      <c r="Q329"/>
      <c r="R329"/>
      <c r="S329"/>
    </row>
    <row r="330" spans="1:19" ht="15">
      <c r="A330"/>
      <c r="B330"/>
      <c r="C330"/>
      <c r="D330"/>
      <c r="E330"/>
      <c r="F330"/>
      <c r="G330"/>
      <c r="H330"/>
      <c r="I330"/>
      <c r="J330"/>
      <c r="K330"/>
      <c r="L330"/>
      <c r="M330"/>
      <c r="N330"/>
      <c r="O330"/>
      <c r="P330"/>
      <c r="Q330"/>
      <c r="R330"/>
      <c r="S330"/>
    </row>
    <row r="331" spans="1:19" ht="15">
      <c r="A331"/>
      <c r="B331"/>
      <c r="C331"/>
      <c r="D331"/>
      <c r="E331"/>
      <c r="F331"/>
      <c r="G331"/>
      <c r="H331"/>
      <c r="I331"/>
      <c r="J331"/>
      <c r="K331"/>
      <c r="L331"/>
      <c r="M331"/>
      <c r="N331"/>
      <c r="O331"/>
      <c r="P331"/>
      <c r="Q331"/>
      <c r="R331"/>
      <c r="S331"/>
    </row>
    <row r="332" spans="1:19" ht="15">
      <c r="A332"/>
      <c r="B332"/>
      <c r="C332"/>
      <c r="D332"/>
      <c r="E332"/>
      <c r="F332"/>
      <c r="G332"/>
      <c r="H332"/>
      <c r="I332"/>
      <c r="J332"/>
      <c r="K332"/>
      <c r="L332"/>
      <c r="M332"/>
      <c r="N332"/>
      <c r="O332"/>
      <c r="P332"/>
      <c r="Q332"/>
      <c r="R332"/>
      <c r="S332"/>
    </row>
    <row r="333" spans="1:19" ht="15">
      <c r="A333"/>
      <c r="B333"/>
      <c r="C333"/>
      <c r="D333"/>
      <c r="E333"/>
      <c r="F333"/>
      <c r="G333"/>
      <c r="H333"/>
      <c r="I333"/>
      <c r="J333"/>
      <c r="K333"/>
      <c r="L333"/>
      <c r="M333"/>
      <c r="N333"/>
      <c r="O333"/>
      <c r="P333"/>
      <c r="Q333"/>
      <c r="R333"/>
      <c r="S333"/>
    </row>
    <row r="334" spans="1:19" ht="15">
      <c r="A334"/>
      <c r="B334"/>
      <c r="C334"/>
      <c r="D334"/>
      <c r="E334"/>
      <c r="F334"/>
      <c r="G334"/>
      <c r="H334"/>
      <c r="I334"/>
      <c r="J334"/>
      <c r="K334"/>
      <c r="L334"/>
      <c r="M334"/>
      <c r="N334"/>
      <c r="O334"/>
      <c r="P334"/>
      <c r="Q334"/>
      <c r="R334"/>
      <c r="S334"/>
    </row>
    <row r="335" spans="1:19" ht="15">
      <c r="A335"/>
      <c r="B335"/>
      <c r="C335"/>
      <c r="D335"/>
      <c r="E335"/>
      <c r="F335"/>
      <c r="G335"/>
      <c r="H335"/>
      <c r="I335"/>
      <c r="J335"/>
      <c r="K335"/>
      <c r="L335"/>
      <c r="M335"/>
      <c r="N335"/>
      <c r="O335"/>
      <c r="P335"/>
      <c r="Q335"/>
      <c r="R335"/>
      <c r="S335"/>
    </row>
    <row r="336" spans="1:19" ht="15">
      <c r="A336"/>
      <c r="B336"/>
      <c r="C336"/>
      <c r="D336"/>
      <c r="E336"/>
      <c r="F336"/>
      <c r="G336"/>
      <c r="H336"/>
      <c r="I336"/>
      <c r="J336"/>
      <c r="K336"/>
      <c r="L336"/>
      <c r="M336"/>
      <c r="N336"/>
      <c r="O336"/>
      <c r="P336"/>
      <c r="Q336"/>
      <c r="R336"/>
      <c r="S336"/>
    </row>
    <row r="337" spans="1:19" ht="15">
      <c r="A337"/>
      <c r="B337"/>
      <c r="C337"/>
      <c r="D337"/>
      <c r="E337"/>
      <c r="F337"/>
      <c r="G337"/>
      <c r="H337"/>
      <c r="I337"/>
      <c r="J337"/>
      <c r="K337"/>
      <c r="L337"/>
      <c r="M337"/>
      <c r="N337"/>
      <c r="O337"/>
      <c r="P337"/>
      <c r="Q337"/>
      <c r="R337"/>
      <c r="S337"/>
    </row>
    <row r="338" spans="1:19" ht="15">
      <c r="A338"/>
      <c r="B338"/>
      <c r="C338"/>
      <c r="D338"/>
      <c r="E338"/>
      <c r="F338"/>
      <c r="G338"/>
      <c r="H338"/>
      <c r="I338"/>
      <c r="J338"/>
      <c r="K338"/>
      <c r="L338"/>
      <c r="M338"/>
      <c r="N338"/>
      <c r="O338"/>
      <c r="P338"/>
      <c r="Q338"/>
      <c r="R338"/>
      <c r="S338"/>
    </row>
    <row r="339" spans="1:19" ht="15">
      <c r="A339"/>
      <c r="B339"/>
      <c r="C339"/>
      <c r="D339"/>
      <c r="E339"/>
      <c r="F339"/>
      <c r="G339"/>
      <c r="H339"/>
      <c r="I339"/>
      <c r="J339"/>
      <c r="K339"/>
      <c r="L339"/>
      <c r="M339"/>
      <c r="N339"/>
      <c r="O339"/>
      <c r="P339"/>
      <c r="Q339"/>
      <c r="R339"/>
      <c r="S339"/>
    </row>
    <row r="340" spans="1:19" ht="15">
      <c r="A340"/>
      <c r="B340"/>
      <c r="C340"/>
      <c r="D340"/>
      <c r="E340"/>
      <c r="F340"/>
      <c r="G340"/>
      <c r="H340"/>
      <c r="I340"/>
      <c r="J340"/>
      <c r="K340"/>
      <c r="L340"/>
      <c r="M340"/>
      <c r="N340"/>
      <c r="O340"/>
      <c r="P340"/>
      <c r="Q340"/>
      <c r="R340"/>
      <c r="S340"/>
    </row>
    <row r="341" spans="1:19" ht="15">
      <c r="A341"/>
      <c r="B341"/>
      <c r="C341"/>
      <c r="D341"/>
      <c r="E341"/>
      <c r="F341"/>
      <c r="G341"/>
      <c r="H341"/>
      <c r="I341"/>
      <c r="J341"/>
      <c r="K341"/>
      <c r="L341"/>
      <c r="M341"/>
      <c r="N341"/>
      <c r="O341"/>
      <c r="P341"/>
      <c r="Q341"/>
      <c r="R341"/>
      <c r="S341"/>
    </row>
    <row r="342" spans="1:19" ht="15">
      <c r="A342"/>
      <c r="B342"/>
      <c r="C342"/>
      <c r="D342"/>
      <c r="E342"/>
      <c r="F342"/>
      <c r="G342"/>
      <c r="H342"/>
      <c r="I342"/>
      <c r="J342"/>
      <c r="K342"/>
      <c r="L342"/>
      <c r="M342"/>
      <c r="N342"/>
      <c r="O342"/>
      <c r="P342"/>
      <c r="Q342"/>
      <c r="R342"/>
      <c r="S342"/>
    </row>
    <row r="343" spans="1:19" ht="15">
      <c r="A343"/>
      <c r="B343"/>
      <c r="C343"/>
      <c r="D343"/>
      <c r="E343"/>
      <c r="F343"/>
      <c r="G343"/>
      <c r="H343"/>
      <c r="I343"/>
      <c r="J343"/>
      <c r="K343"/>
      <c r="L343"/>
      <c r="M343"/>
      <c r="N343"/>
      <c r="O343"/>
      <c r="P343"/>
      <c r="Q343"/>
      <c r="R343"/>
      <c r="S343"/>
    </row>
    <row r="344" spans="1:19" ht="15">
      <c r="A344"/>
      <c r="B344"/>
      <c r="C344"/>
      <c r="D344"/>
      <c r="E344"/>
      <c r="F344"/>
      <c r="G344"/>
      <c r="H344"/>
      <c r="I344"/>
      <c r="J344"/>
      <c r="K344"/>
      <c r="L344"/>
      <c r="M344"/>
      <c r="N344"/>
      <c r="O344"/>
      <c r="P344"/>
      <c r="Q344"/>
      <c r="R344"/>
      <c r="S344"/>
    </row>
    <row r="345" spans="1:19" ht="15">
      <c r="A345"/>
      <c r="B345"/>
      <c r="C345"/>
      <c r="D345"/>
      <c r="E345"/>
      <c r="F345"/>
      <c r="G345"/>
      <c r="H345"/>
      <c r="I345"/>
      <c r="J345"/>
      <c r="K345"/>
      <c r="L345"/>
      <c r="M345"/>
      <c r="N345"/>
      <c r="O345"/>
      <c r="P345"/>
      <c r="Q345"/>
      <c r="R345"/>
      <c r="S345"/>
    </row>
    <row r="346" spans="1:19" ht="15">
      <c r="A346"/>
      <c r="B346"/>
      <c r="C346"/>
      <c r="D346"/>
      <c r="E346"/>
      <c r="F346"/>
      <c r="G346"/>
      <c r="H346"/>
      <c r="I346"/>
      <c r="J346"/>
      <c r="K346"/>
      <c r="L346"/>
      <c r="M346"/>
      <c r="N346"/>
      <c r="O346"/>
      <c r="P346"/>
      <c r="Q346"/>
      <c r="R346"/>
      <c r="S346"/>
    </row>
    <row r="347" spans="1:19" ht="15">
      <c r="A347"/>
      <c r="B347"/>
      <c r="C347"/>
      <c r="D347"/>
      <c r="E347"/>
      <c r="F347"/>
      <c r="G347"/>
      <c r="H347"/>
      <c r="I347"/>
      <c r="J347"/>
      <c r="K347"/>
      <c r="L347"/>
      <c r="M347"/>
      <c r="N347"/>
      <c r="O347"/>
      <c r="P347"/>
      <c r="Q347"/>
      <c r="R347"/>
      <c r="S347"/>
    </row>
    <row r="348" spans="1:19" ht="15">
      <c r="A348"/>
      <c r="B348"/>
      <c r="C348"/>
      <c r="D348"/>
      <c r="E348"/>
      <c r="F348"/>
      <c r="G348"/>
      <c r="H348"/>
      <c r="I348"/>
      <c r="J348"/>
      <c r="K348"/>
      <c r="L348"/>
      <c r="M348"/>
      <c r="N348"/>
      <c r="O348"/>
      <c r="P348"/>
      <c r="Q348"/>
      <c r="R348"/>
      <c r="S348"/>
    </row>
    <row r="349" spans="1:19" ht="15">
      <c r="A349"/>
      <c r="B349"/>
      <c r="C349"/>
      <c r="D349"/>
      <c r="E349"/>
      <c r="F349"/>
      <c r="G349"/>
      <c r="H349"/>
      <c r="I349"/>
      <c r="J349"/>
      <c r="K349"/>
      <c r="L349"/>
      <c r="M349"/>
      <c r="N349"/>
      <c r="O349"/>
      <c r="P349"/>
      <c r="Q349"/>
      <c r="R349"/>
      <c r="S349"/>
    </row>
    <row r="350" spans="1:19" ht="15">
      <c r="A350"/>
      <c r="B350"/>
      <c r="C350"/>
      <c r="D350"/>
      <c r="E350"/>
      <c r="F350"/>
      <c r="G350"/>
      <c r="H350"/>
      <c r="I350"/>
      <c r="J350"/>
      <c r="K350"/>
      <c r="L350"/>
      <c r="M350"/>
      <c r="N350"/>
      <c r="O350"/>
      <c r="P350"/>
      <c r="Q350"/>
      <c r="R350"/>
      <c r="S350"/>
    </row>
    <row r="351" spans="1:19" ht="15">
      <c r="A351"/>
      <c r="B351"/>
      <c r="C351"/>
      <c r="D351"/>
      <c r="E351"/>
      <c r="F351"/>
      <c r="G351"/>
      <c r="H351"/>
      <c r="I351"/>
      <c r="J351"/>
      <c r="K351"/>
      <c r="L351"/>
      <c r="M351"/>
      <c r="N351"/>
      <c r="O351"/>
      <c r="P351"/>
      <c r="Q351"/>
      <c r="R351"/>
      <c r="S351"/>
    </row>
    <row r="352" spans="1:19" ht="15">
      <c r="A352"/>
      <c r="B352"/>
      <c r="C352"/>
      <c r="D352"/>
      <c r="E352"/>
      <c r="F352"/>
      <c r="G352"/>
      <c r="H352"/>
      <c r="I352"/>
      <c r="J352"/>
      <c r="K352"/>
      <c r="L352"/>
      <c r="M352"/>
      <c r="N352"/>
      <c r="O352"/>
      <c r="P352"/>
      <c r="Q352"/>
      <c r="R352"/>
      <c r="S352"/>
    </row>
    <row r="353" spans="1:19" ht="15">
      <c r="A353"/>
      <c r="B353"/>
      <c r="C353"/>
      <c r="D353"/>
      <c r="E353"/>
      <c r="F353"/>
      <c r="G353"/>
      <c r="H353"/>
      <c r="I353"/>
      <c r="J353"/>
      <c r="K353"/>
      <c r="L353"/>
      <c r="M353"/>
      <c r="N353"/>
      <c r="O353"/>
      <c r="P353"/>
      <c r="Q353"/>
      <c r="R353"/>
      <c r="S353"/>
    </row>
    <row r="354" spans="1:19" ht="15">
      <c r="A354"/>
      <c r="B354"/>
      <c r="C354"/>
      <c r="D354"/>
      <c r="E354"/>
      <c r="F354"/>
      <c r="G354"/>
      <c r="H354"/>
      <c r="I354"/>
      <c r="J354"/>
      <c r="K354"/>
      <c r="L354"/>
      <c r="M354"/>
      <c r="N354"/>
      <c r="O354"/>
      <c r="P354"/>
      <c r="Q354"/>
      <c r="R354"/>
      <c r="S354"/>
    </row>
    <row r="355" spans="1:19" ht="15">
      <c r="A355"/>
      <c r="B355"/>
      <c r="C355"/>
      <c r="D355"/>
      <c r="E355"/>
      <c r="F355"/>
      <c r="G355"/>
      <c r="H355"/>
      <c r="I355"/>
      <c r="J355"/>
      <c r="K355"/>
      <c r="L355"/>
      <c r="M355"/>
      <c r="N355"/>
      <c r="O355"/>
      <c r="P355"/>
      <c r="Q355"/>
      <c r="R355"/>
      <c r="S355"/>
    </row>
    <row r="356" spans="1:19" ht="15">
      <c r="A356"/>
      <c r="B356"/>
      <c r="C356"/>
      <c r="D356"/>
      <c r="E356"/>
      <c r="F356"/>
      <c r="G356"/>
      <c r="H356"/>
      <c r="I356"/>
      <c r="J356"/>
      <c r="K356"/>
      <c r="L356"/>
      <c r="M356"/>
      <c r="N356"/>
      <c r="O356"/>
      <c r="P356"/>
      <c r="Q356"/>
      <c r="R356"/>
      <c r="S356"/>
    </row>
    <row r="357" spans="1:19" ht="15">
      <c r="A357"/>
      <c r="B357"/>
      <c r="C357"/>
      <c r="D357"/>
      <c r="E357"/>
      <c r="F357"/>
      <c r="G357"/>
      <c r="H357"/>
      <c r="I357"/>
      <c r="J357"/>
      <c r="K357"/>
      <c r="L357"/>
      <c r="M357"/>
      <c r="N357"/>
      <c r="O357"/>
      <c r="P357"/>
      <c r="Q357"/>
      <c r="R357"/>
      <c r="S357"/>
    </row>
    <row r="358" spans="1:19" ht="15">
      <c r="A358"/>
      <c r="B358"/>
      <c r="C358"/>
      <c r="D358"/>
      <c r="E358"/>
      <c r="F358"/>
      <c r="G358"/>
      <c r="H358"/>
      <c r="I358"/>
      <c r="J358"/>
      <c r="K358"/>
      <c r="L358"/>
      <c r="M358"/>
      <c r="N358"/>
      <c r="O358"/>
      <c r="P358"/>
      <c r="Q358"/>
      <c r="R358"/>
      <c r="S358"/>
    </row>
    <row r="359" spans="1:19" ht="15">
      <c r="A359"/>
      <c r="B359"/>
      <c r="C359"/>
      <c r="D359"/>
      <c r="E359"/>
      <c r="F359"/>
      <c r="G359"/>
      <c r="H359"/>
      <c r="I359"/>
      <c r="J359"/>
      <c r="K359"/>
      <c r="L359"/>
      <c r="M359"/>
      <c r="N359"/>
      <c r="O359"/>
      <c r="P359"/>
      <c r="Q359"/>
      <c r="R359"/>
      <c r="S359"/>
    </row>
    <row r="360" spans="1:19" ht="15">
      <c r="A360"/>
      <c r="B360"/>
      <c r="C360"/>
      <c r="D360"/>
      <c r="E360"/>
      <c r="F360"/>
      <c r="G360"/>
      <c r="H360"/>
      <c r="I360"/>
      <c r="J360"/>
      <c r="K360"/>
      <c r="L360"/>
      <c r="M360"/>
      <c r="N360"/>
      <c r="O360"/>
      <c r="P360"/>
      <c r="Q360"/>
      <c r="R360"/>
      <c r="S360"/>
    </row>
    <row r="361" spans="1:19" ht="15">
      <c r="A361"/>
      <c r="B361"/>
      <c r="C361"/>
      <c r="D361"/>
      <c r="E361"/>
      <c r="F361"/>
      <c r="G361"/>
      <c r="H361"/>
      <c r="I361"/>
      <c r="J361"/>
      <c r="K361"/>
      <c r="L361"/>
      <c r="M361"/>
      <c r="N361"/>
      <c r="O361"/>
      <c r="P361"/>
      <c r="Q361"/>
      <c r="R361"/>
      <c r="S361"/>
    </row>
    <row r="362" spans="1:19" ht="15">
      <c r="A362"/>
      <c r="B362"/>
      <c r="C362"/>
      <c r="D362"/>
      <c r="E362"/>
      <c r="F362"/>
      <c r="G362"/>
      <c r="H362"/>
      <c r="I362"/>
      <c r="J362"/>
      <c r="K362"/>
      <c r="L362"/>
      <c r="M362"/>
      <c r="N362"/>
      <c r="O362"/>
      <c r="P362"/>
      <c r="Q362"/>
      <c r="R362"/>
      <c r="S362"/>
    </row>
    <row r="363" spans="1:19" ht="15">
      <c r="A363"/>
      <c r="B363"/>
      <c r="C363"/>
      <c r="D363"/>
      <c r="E363"/>
      <c r="F363"/>
      <c r="G363"/>
      <c r="H363"/>
      <c r="I363"/>
      <c r="J363"/>
      <c r="K363"/>
      <c r="L363"/>
      <c r="M363"/>
      <c r="N363"/>
      <c r="O363"/>
      <c r="P363"/>
      <c r="Q363"/>
      <c r="R363"/>
      <c r="S363"/>
    </row>
    <row r="364" spans="1:19" ht="15">
      <c r="A364"/>
      <c r="B364"/>
      <c r="C364"/>
      <c r="D364"/>
      <c r="E364"/>
      <c r="F364"/>
      <c r="G364"/>
      <c r="H364"/>
      <c r="I364"/>
      <c r="J364"/>
      <c r="K364"/>
      <c r="L364"/>
      <c r="M364"/>
      <c r="N364"/>
      <c r="O364"/>
      <c r="P364"/>
      <c r="Q364"/>
      <c r="R364"/>
      <c r="S364"/>
    </row>
    <row r="365" spans="1:19" ht="15">
      <c r="A365"/>
      <c r="B365"/>
      <c r="C365"/>
      <c r="D365"/>
      <c r="E365"/>
      <c r="F365"/>
      <c r="G365"/>
      <c r="H365"/>
      <c r="I365"/>
      <c r="J365"/>
      <c r="K365"/>
      <c r="L365"/>
      <c r="M365"/>
      <c r="N365"/>
      <c r="O365"/>
      <c r="P365"/>
      <c r="Q365"/>
      <c r="R365"/>
      <c r="S365"/>
    </row>
    <row r="366" spans="1:19" ht="15">
      <c r="A366"/>
      <c r="B366"/>
      <c r="C366"/>
      <c r="D366"/>
      <c r="E366"/>
      <c r="F366"/>
      <c r="G366"/>
      <c r="H366"/>
      <c r="I366"/>
      <c r="J366"/>
      <c r="K366"/>
      <c r="L366"/>
      <c r="M366"/>
      <c r="N366"/>
      <c r="O366"/>
      <c r="P366"/>
      <c r="Q366"/>
      <c r="R366"/>
      <c r="S366"/>
    </row>
    <row r="367" spans="1:19" ht="15">
      <c r="A367"/>
      <c r="B367"/>
      <c r="C367"/>
      <c r="D367"/>
      <c r="E367"/>
      <c r="F367"/>
      <c r="G367"/>
      <c r="H367"/>
      <c r="I367"/>
      <c r="J367"/>
      <c r="K367"/>
      <c r="L367"/>
      <c r="M367"/>
      <c r="N367"/>
      <c r="O367"/>
      <c r="P367"/>
      <c r="Q367"/>
      <c r="R367"/>
      <c r="S367"/>
    </row>
    <row r="368" spans="1:19" ht="15">
      <c r="A368"/>
      <c r="B368"/>
      <c r="C368"/>
      <c r="D368"/>
      <c r="E368"/>
      <c r="F368"/>
      <c r="G368"/>
      <c r="H368"/>
      <c r="I368"/>
      <c r="J368"/>
      <c r="K368"/>
      <c r="L368"/>
      <c r="M368"/>
      <c r="N368"/>
      <c r="O368"/>
      <c r="P368"/>
      <c r="Q368"/>
      <c r="R368"/>
      <c r="S368"/>
    </row>
    <row r="369" spans="1:19" ht="15">
      <c r="A369"/>
      <c r="B369"/>
      <c r="C369"/>
      <c r="D369"/>
      <c r="E369"/>
      <c r="F369"/>
      <c r="G369"/>
      <c r="H369"/>
      <c r="I369"/>
      <c r="J369"/>
      <c r="K369"/>
      <c r="L369"/>
      <c r="M369"/>
      <c r="N369"/>
      <c r="O369"/>
      <c r="P369"/>
      <c r="Q369"/>
      <c r="R369"/>
      <c r="S369"/>
    </row>
    <row r="370" spans="1:19" ht="15">
      <c r="A370"/>
      <c r="B370"/>
      <c r="C370"/>
      <c r="D370"/>
      <c r="E370"/>
      <c r="F370"/>
      <c r="G370"/>
      <c r="H370"/>
      <c r="I370"/>
      <c r="J370"/>
      <c r="K370"/>
      <c r="L370"/>
      <c r="M370"/>
      <c r="N370"/>
      <c r="O370"/>
      <c r="P370"/>
      <c r="Q370"/>
      <c r="R370"/>
      <c r="S370"/>
    </row>
    <row r="371" spans="1:19" ht="15">
      <c r="A371"/>
      <c r="B371"/>
      <c r="C371"/>
      <c r="D371"/>
      <c r="E371"/>
      <c r="F371"/>
      <c r="G371"/>
      <c r="H371"/>
      <c r="I371"/>
      <c r="J371"/>
      <c r="K371"/>
      <c r="L371"/>
      <c r="M371"/>
      <c r="N371"/>
      <c r="O371"/>
      <c r="P371"/>
      <c r="Q371"/>
      <c r="R371"/>
      <c r="S371"/>
    </row>
    <row r="372" spans="1:19" ht="15">
      <c r="A372"/>
      <c r="B372"/>
      <c r="C372"/>
      <c r="D372"/>
      <c r="E372"/>
      <c r="F372"/>
      <c r="G372"/>
      <c r="H372"/>
      <c r="I372"/>
      <c r="J372"/>
      <c r="K372"/>
      <c r="L372"/>
      <c r="M372"/>
      <c r="N372"/>
      <c r="O372"/>
      <c r="P372"/>
      <c r="Q372"/>
      <c r="R372"/>
      <c r="S372"/>
    </row>
    <row r="373" spans="1:19" ht="15">
      <c r="A373"/>
      <c r="B373"/>
      <c r="C373"/>
      <c r="D373"/>
      <c r="E373"/>
      <c r="F373"/>
      <c r="G373"/>
      <c r="H373"/>
      <c r="I373"/>
      <c r="J373"/>
      <c r="K373"/>
      <c r="L373"/>
      <c r="M373"/>
      <c r="N373"/>
      <c r="O373"/>
      <c r="P373"/>
      <c r="Q373"/>
      <c r="R373"/>
      <c r="S373"/>
    </row>
    <row r="374" spans="1:19" ht="15">
      <c r="A374"/>
      <c r="B374"/>
      <c r="C374"/>
      <c r="D374"/>
      <c r="E374"/>
      <c r="F374"/>
      <c r="G374"/>
      <c r="H374"/>
      <c r="I374"/>
      <c r="J374"/>
      <c r="K374"/>
      <c r="L374"/>
      <c r="M374"/>
      <c r="N374"/>
      <c r="O374"/>
      <c r="P374"/>
      <c r="Q374"/>
      <c r="R374"/>
      <c r="S374"/>
    </row>
    <row r="375" spans="1:19" ht="15">
      <c r="A375"/>
      <c r="B375"/>
      <c r="C375"/>
      <c r="D375"/>
      <c r="E375"/>
      <c r="F375"/>
      <c r="G375"/>
      <c r="H375"/>
      <c r="I375"/>
      <c r="J375"/>
      <c r="K375"/>
      <c r="L375"/>
      <c r="M375"/>
      <c r="N375"/>
      <c r="O375"/>
      <c r="P375"/>
      <c r="Q375"/>
      <c r="R375"/>
      <c r="S375"/>
    </row>
    <row r="376" spans="1:19" ht="15">
      <c r="A376"/>
      <c r="B376"/>
      <c r="C376"/>
      <c r="D376"/>
      <c r="E376"/>
      <c r="F376"/>
      <c r="G376"/>
      <c r="H376"/>
      <c r="I376"/>
      <c r="J376"/>
      <c r="K376"/>
      <c r="L376"/>
      <c r="M376"/>
      <c r="N376"/>
      <c r="O376"/>
      <c r="P376"/>
      <c r="Q376"/>
      <c r="R376"/>
      <c r="S376"/>
    </row>
    <row r="377" spans="1:19" ht="15">
      <c r="A377"/>
      <c r="B377"/>
      <c r="C377"/>
      <c r="D377"/>
      <c r="E377"/>
      <c r="F377"/>
      <c r="G377"/>
      <c r="H377"/>
      <c r="I377"/>
      <c r="J377"/>
      <c r="K377"/>
      <c r="L377"/>
      <c r="M377"/>
      <c r="N377"/>
      <c r="O377"/>
      <c r="P377"/>
      <c r="Q377"/>
      <c r="R377"/>
      <c r="S377"/>
    </row>
    <row r="378" spans="1:19" ht="15">
      <c r="A378"/>
      <c r="B378"/>
      <c r="C378"/>
      <c r="D378"/>
      <c r="E378"/>
      <c r="F378"/>
      <c r="G378"/>
      <c r="H378"/>
      <c r="I378"/>
      <c r="J378"/>
      <c r="K378"/>
      <c r="L378"/>
      <c r="M378"/>
      <c r="N378"/>
      <c r="O378"/>
      <c r="P378"/>
      <c r="Q378"/>
      <c r="R378"/>
      <c r="S378"/>
    </row>
    <row r="379" spans="1:19" ht="15">
      <c r="A379"/>
      <c r="B379"/>
      <c r="C379"/>
      <c r="D379"/>
      <c r="E379"/>
      <c r="F379"/>
      <c r="G379"/>
      <c r="H379"/>
      <c r="I379"/>
      <c r="J379"/>
      <c r="K379"/>
      <c r="L379"/>
      <c r="M379"/>
      <c r="N379"/>
      <c r="O379"/>
      <c r="P379"/>
      <c r="Q379"/>
      <c r="R379"/>
      <c r="S379"/>
    </row>
    <row r="380" spans="1:19" ht="15">
      <c r="A380"/>
      <c r="B380"/>
      <c r="C380"/>
      <c r="D380"/>
      <c r="E380"/>
      <c r="F380"/>
      <c r="G380"/>
      <c r="H380"/>
      <c r="I380"/>
      <c r="J380"/>
      <c r="K380"/>
      <c r="L380"/>
      <c r="M380"/>
      <c r="N380"/>
      <c r="O380"/>
      <c r="P380"/>
      <c r="Q380"/>
      <c r="R380"/>
      <c r="S380"/>
    </row>
    <row r="381" spans="1:19" ht="15">
      <c r="A381"/>
      <c r="B381"/>
      <c r="C381"/>
      <c r="D381"/>
      <c r="E381"/>
      <c r="F381"/>
      <c r="G381"/>
      <c r="H381"/>
      <c r="I381"/>
      <c r="J381"/>
      <c r="K381"/>
      <c r="L381"/>
      <c r="M381"/>
      <c r="N381"/>
      <c r="O381"/>
      <c r="P381"/>
      <c r="Q381"/>
      <c r="R381"/>
      <c r="S381"/>
    </row>
    <row r="382" spans="1:19" ht="15">
      <c r="A382"/>
      <c r="B382"/>
      <c r="C382"/>
      <c r="D382"/>
      <c r="E382"/>
      <c r="F382"/>
      <c r="G382"/>
      <c r="H382"/>
      <c r="I382"/>
      <c r="J382"/>
      <c r="K382"/>
      <c r="L382"/>
      <c r="M382"/>
      <c r="N382"/>
      <c r="O382"/>
      <c r="P382"/>
      <c r="Q382"/>
      <c r="R382"/>
      <c r="S382"/>
    </row>
    <row r="383" spans="1:19" ht="15">
      <c r="A383"/>
      <c r="B383"/>
      <c r="C383"/>
      <c r="D383"/>
      <c r="E383"/>
      <c r="F383"/>
      <c r="G383"/>
      <c r="H383"/>
      <c r="I383"/>
      <c r="J383"/>
      <c r="K383"/>
      <c r="L383"/>
      <c r="M383"/>
      <c r="N383"/>
      <c r="O383"/>
      <c r="P383"/>
      <c r="Q383"/>
      <c r="R383"/>
      <c r="S383"/>
    </row>
    <row r="384" spans="1:19" ht="15">
      <c r="A384"/>
      <c r="B384"/>
      <c r="C384"/>
      <c r="D384"/>
      <c r="E384"/>
      <c r="F384"/>
      <c r="G384"/>
      <c r="H384"/>
      <c r="I384"/>
      <c r="J384"/>
      <c r="K384"/>
      <c r="L384"/>
      <c r="M384"/>
      <c r="N384"/>
      <c r="O384"/>
      <c r="P384"/>
      <c r="Q384"/>
      <c r="R384"/>
      <c r="S384"/>
    </row>
    <row r="385" spans="1:19" ht="15">
      <c r="A385"/>
      <c r="B385"/>
      <c r="C385"/>
      <c r="D385"/>
      <c r="E385"/>
      <c r="F385"/>
      <c r="G385"/>
      <c r="H385"/>
      <c r="I385"/>
      <c r="J385"/>
      <c r="K385"/>
      <c r="L385"/>
      <c r="M385"/>
      <c r="N385"/>
      <c r="O385"/>
      <c r="P385"/>
      <c r="Q385"/>
      <c r="R385"/>
      <c r="S385"/>
    </row>
    <row r="386" spans="1:19" ht="15">
      <c r="A386"/>
      <c r="B386"/>
      <c r="C386"/>
      <c r="D386"/>
      <c r="E386"/>
      <c r="F386"/>
      <c r="G386"/>
      <c r="H386"/>
      <c r="I386"/>
      <c r="J386"/>
      <c r="K386"/>
      <c r="L386"/>
      <c r="M386"/>
      <c r="N386"/>
      <c r="O386"/>
      <c r="P386"/>
      <c r="Q386"/>
      <c r="R386"/>
      <c r="S386"/>
    </row>
    <row r="387" spans="1:19" ht="15">
      <c r="A387"/>
      <c r="B387"/>
      <c r="C387"/>
      <c r="D387"/>
      <c r="E387"/>
      <c r="F387"/>
      <c r="G387"/>
      <c r="H387"/>
      <c r="I387"/>
      <c r="J387"/>
      <c r="K387"/>
      <c r="L387"/>
      <c r="M387"/>
      <c r="N387"/>
      <c r="O387"/>
      <c r="P387"/>
      <c r="Q387"/>
      <c r="R387"/>
      <c r="S387"/>
    </row>
    <row r="388" spans="1:19" ht="15">
      <c r="A388"/>
      <c r="B388"/>
      <c r="C388"/>
      <c r="D388"/>
      <c r="E388"/>
      <c r="F388"/>
      <c r="G388"/>
      <c r="H388"/>
      <c r="I388"/>
      <c r="J388"/>
      <c r="K388"/>
      <c r="L388"/>
      <c r="M388"/>
      <c r="N388"/>
      <c r="O388"/>
      <c r="P388"/>
      <c r="Q388"/>
      <c r="R388"/>
      <c r="S388"/>
    </row>
    <row r="389" spans="1:19" ht="15">
      <c r="A389"/>
      <c r="B389"/>
      <c r="C389"/>
      <c r="D389"/>
      <c r="E389"/>
      <c r="F389"/>
      <c r="G389"/>
      <c r="H389"/>
      <c r="I389"/>
      <c r="J389"/>
      <c r="K389"/>
      <c r="L389"/>
      <c r="M389"/>
      <c r="N389"/>
      <c r="O389"/>
      <c r="P389"/>
      <c r="Q389"/>
      <c r="R389"/>
      <c r="S389"/>
    </row>
    <row r="390" spans="1:19" ht="15">
      <c r="A390"/>
      <c r="B390"/>
      <c r="C390"/>
      <c r="D390"/>
      <c r="E390"/>
      <c r="F390"/>
      <c r="G390"/>
      <c r="H390"/>
      <c r="I390"/>
      <c r="J390"/>
      <c r="K390"/>
      <c r="L390"/>
      <c r="M390"/>
      <c r="N390"/>
      <c r="O390"/>
      <c r="P390"/>
      <c r="Q390"/>
      <c r="R390"/>
      <c r="S390"/>
    </row>
    <row r="391" spans="1:19" ht="15">
      <c r="A391"/>
      <c r="B391"/>
      <c r="C391"/>
      <c r="D391"/>
      <c r="E391"/>
      <c r="F391"/>
      <c r="G391"/>
      <c r="H391"/>
      <c r="I391"/>
      <c r="J391"/>
      <c r="K391"/>
      <c r="L391"/>
      <c r="M391"/>
      <c r="N391"/>
      <c r="O391"/>
      <c r="P391"/>
      <c r="Q391"/>
      <c r="R391"/>
      <c r="S391"/>
    </row>
    <row r="392" spans="1:19" ht="15">
      <c r="A392"/>
      <c r="B392"/>
      <c r="C392"/>
      <c r="D392"/>
      <c r="E392"/>
      <c r="F392"/>
      <c r="G392"/>
      <c r="H392"/>
      <c r="I392"/>
      <c r="J392"/>
      <c r="K392"/>
      <c r="L392"/>
      <c r="M392"/>
      <c r="N392"/>
      <c r="O392"/>
      <c r="P392"/>
      <c r="Q392"/>
      <c r="R392"/>
      <c r="S392"/>
    </row>
    <row r="393" spans="1:19" ht="15">
      <c r="A393"/>
      <c r="B393"/>
      <c r="C393"/>
      <c r="D393"/>
      <c r="E393"/>
      <c r="F393"/>
      <c r="G393"/>
      <c r="H393"/>
      <c r="I393"/>
      <c r="J393"/>
      <c r="K393"/>
      <c r="L393"/>
      <c r="M393"/>
      <c r="N393"/>
      <c r="O393"/>
      <c r="P393"/>
      <c r="Q393"/>
      <c r="R393"/>
      <c r="S393"/>
    </row>
    <row r="394" spans="1:19" ht="15">
      <c r="A394"/>
      <c r="B394"/>
      <c r="C394"/>
      <c r="D394"/>
      <c r="E394"/>
      <c r="F394"/>
      <c r="G394"/>
      <c r="H394"/>
      <c r="I394"/>
      <c r="J394"/>
      <c r="K394"/>
      <c r="L394"/>
      <c r="M394"/>
      <c r="N394"/>
      <c r="O394"/>
      <c r="P394"/>
      <c r="Q394"/>
      <c r="R394"/>
      <c r="S394"/>
    </row>
    <row r="395" spans="1:19" ht="15">
      <c r="A395"/>
      <c r="B395"/>
      <c r="C395"/>
      <c r="D395"/>
      <c r="E395"/>
      <c r="F395"/>
      <c r="G395"/>
      <c r="H395"/>
      <c r="I395"/>
      <c r="J395"/>
      <c r="K395"/>
      <c r="L395"/>
      <c r="M395"/>
      <c r="N395"/>
      <c r="O395"/>
      <c r="P395"/>
      <c r="Q395"/>
      <c r="R395"/>
      <c r="S395"/>
    </row>
    <row r="396" spans="1:19" ht="15">
      <c r="A396"/>
      <c r="B396"/>
      <c r="C396"/>
      <c r="D396"/>
      <c r="E396"/>
      <c r="F396"/>
      <c r="G396"/>
      <c r="H396"/>
      <c r="I396"/>
      <c r="J396"/>
      <c r="K396"/>
      <c r="L396"/>
      <c r="M396"/>
      <c r="N396"/>
      <c r="O396"/>
      <c r="P396"/>
      <c r="Q396"/>
      <c r="R396"/>
      <c r="S396"/>
    </row>
    <row r="397" spans="1:19" ht="15">
      <c r="A397"/>
      <c r="B397"/>
      <c r="C397"/>
      <c r="D397"/>
      <c r="E397"/>
      <c r="F397"/>
      <c r="G397"/>
      <c r="H397"/>
      <c r="I397"/>
      <c r="J397"/>
      <c r="K397"/>
      <c r="L397"/>
      <c r="M397"/>
      <c r="N397"/>
      <c r="O397"/>
      <c r="P397"/>
      <c r="Q397"/>
      <c r="R397"/>
      <c r="S397"/>
    </row>
    <row r="398" spans="1:19" ht="15">
      <c r="A398"/>
      <c r="B398"/>
      <c r="C398"/>
      <c r="D398"/>
      <c r="E398"/>
      <c r="F398"/>
      <c r="G398"/>
      <c r="H398"/>
      <c r="I398"/>
      <c r="J398"/>
      <c r="K398"/>
      <c r="L398"/>
      <c r="M398"/>
      <c r="N398"/>
      <c r="O398"/>
      <c r="P398"/>
      <c r="Q398"/>
      <c r="R398"/>
      <c r="S398"/>
    </row>
    <row r="399" spans="1:19" ht="15">
      <c r="A399"/>
      <c r="B399"/>
      <c r="C399"/>
      <c r="D399"/>
      <c r="E399"/>
      <c r="F399"/>
      <c r="G399"/>
      <c r="H399"/>
      <c r="I399"/>
      <c r="J399"/>
      <c r="K399"/>
      <c r="L399"/>
      <c r="M399"/>
      <c r="N399"/>
      <c r="O399"/>
      <c r="P399"/>
      <c r="Q399"/>
      <c r="R399"/>
      <c r="S399"/>
    </row>
    <row r="400" spans="1:19" ht="15">
      <c r="A400"/>
      <c r="B400"/>
      <c r="C400"/>
      <c r="D400"/>
      <c r="E400"/>
      <c r="F400"/>
      <c r="G400"/>
      <c r="H400"/>
      <c r="I400"/>
      <c r="J400"/>
      <c r="K400"/>
      <c r="L400"/>
      <c r="M400"/>
      <c r="N400"/>
      <c r="O400"/>
      <c r="P400"/>
      <c r="Q400"/>
      <c r="R400"/>
      <c r="S400"/>
    </row>
    <row r="401" spans="1:19" ht="15">
      <c r="A401"/>
      <c r="B401"/>
      <c r="C401"/>
      <c r="D401"/>
      <c r="E401"/>
      <c r="F401"/>
      <c r="G401"/>
      <c r="H401"/>
      <c r="I401"/>
      <c r="J401"/>
      <c r="K401"/>
      <c r="L401"/>
      <c r="M401"/>
      <c r="N401"/>
      <c r="O401"/>
      <c r="P401"/>
      <c r="Q401"/>
      <c r="R401"/>
      <c r="S401"/>
    </row>
    <row r="402" spans="1:19" ht="15">
      <c r="A402"/>
      <c r="B402"/>
      <c r="C402"/>
      <c r="D402"/>
      <c r="E402"/>
      <c r="F402"/>
      <c r="G402"/>
      <c r="H402"/>
      <c r="I402"/>
      <c r="J402"/>
      <c r="K402"/>
      <c r="L402"/>
      <c r="M402"/>
      <c r="N402"/>
      <c r="O402"/>
      <c r="P402"/>
      <c r="Q402"/>
      <c r="R402"/>
      <c r="S402"/>
    </row>
    <row r="403" spans="1:19" ht="15">
      <c r="A403"/>
      <c r="B403"/>
      <c r="C403"/>
      <c r="D403"/>
      <c r="E403"/>
      <c r="F403"/>
      <c r="G403"/>
      <c r="H403"/>
      <c r="I403"/>
      <c r="J403"/>
      <c r="K403"/>
      <c r="L403"/>
      <c r="M403"/>
      <c r="N403"/>
      <c r="O403"/>
      <c r="P403"/>
      <c r="Q403"/>
      <c r="R403"/>
      <c r="S403"/>
    </row>
    <row r="404" spans="1:19" ht="15">
      <c r="A404"/>
      <c r="B404"/>
      <c r="C404"/>
      <c r="D404"/>
      <c r="E404"/>
      <c r="F404"/>
      <c r="G404"/>
      <c r="H404"/>
      <c r="I404"/>
      <c r="J404"/>
      <c r="K404"/>
      <c r="L404"/>
      <c r="M404"/>
      <c r="N404"/>
      <c r="O404"/>
      <c r="P404"/>
      <c r="Q404"/>
      <c r="R404"/>
      <c r="S404"/>
    </row>
    <row r="405" spans="1:19" ht="15">
      <c r="A405"/>
      <c r="B405"/>
      <c r="C405"/>
      <c r="D405"/>
      <c r="E405"/>
      <c r="F405"/>
      <c r="G405"/>
      <c r="H405"/>
      <c r="I405"/>
      <c r="J405"/>
      <c r="K405"/>
      <c r="L405"/>
      <c r="M405"/>
      <c r="N405"/>
      <c r="O405"/>
      <c r="P405"/>
      <c r="Q405"/>
      <c r="R405"/>
      <c r="S405"/>
    </row>
    <row r="406" spans="1:19" ht="15">
      <c r="A406"/>
      <c r="B406"/>
      <c r="C406"/>
      <c r="D406"/>
      <c r="E406"/>
      <c r="F406"/>
      <c r="G406"/>
      <c r="H406"/>
      <c r="I406"/>
      <c r="J406"/>
      <c r="K406"/>
      <c r="L406"/>
      <c r="M406"/>
      <c r="N406"/>
      <c r="O406"/>
      <c r="P406"/>
      <c r="Q406"/>
      <c r="R406"/>
      <c r="S406"/>
    </row>
    <row r="407" spans="1:19" ht="15">
      <c r="A407"/>
      <c r="B407"/>
      <c r="C407"/>
      <c r="D407"/>
      <c r="E407"/>
      <c r="F407"/>
      <c r="G407"/>
      <c r="H407"/>
      <c r="I407"/>
      <c r="J407"/>
      <c r="K407"/>
      <c r="L407"/>
      <c r="M407"/>
      <c r="N407"/>
      <c r="O407"/>
      <c r="P407"/>
      <c r="Q407"/>
      <c r="R407"/>
      <c r="S407"/>
    </row>
    <row r="408" spans="1:19" ht="15">
      <c r="A408"/>
      <c r="B408"/>
      <c r="C408"/>
      <c r="D408"/>
      <c r="E408"/>
      <c r="F408"/>
      <c r="G408"/>
      <c r="H408"/>
      <c r="I408"/>
      <c r="J408"/>
      <c r="K408"/>
      <c r="L408"/>
      <c r="M408"/>
      <c r="N408"/>
      <c r="O408"/>
      <c r="P408"/>
      <c r="Q408"/>
      <c r="R408"/>
      <c r="S408"/>
    </row>
    <row r="409" spans="1:19" ht="15">
      <c r="A409"/>
      <c r="B409"/>
      <c r="C409"/>
      <c r="D409"/>
      <c r="E409"/>
      <c r="F409"/>
      <c r="G409"/>
      <c r="H409"/>
      <c r="I409"/>
      <c r="J409"/>
      <c r="K409"/>
      <c r="L409"/>
      <c r="M409"/>
      <c r="N409"/>
      <c r="O409"/>
      <c r="P409"/>
      <c r="Q409"/>
      <c r="R409"/>
      <c r="S409"/>
    </row>
    <row r="410" spans="1:19" ht="15">
      <c r="A410"/>
      <c r="B410"/>
      <c r="C410"/>
      <c r="D410"/>
      <c r="E410"/>
      <c r="F410"/>
      <c r="G410"/>
      <c r="H410"/>
      <c r="I410"/>
      <c r="J410"/>
      <c r="K410"/>
      <c r="L410"/>
      <c r="M410"/>
      <c r="N410"/>
      <c r="O410"/>
      <c r="P410"/>
      <c r="Q410"/>
      <c r="R410"/>
      <c r="S410"/>
    </row>
    <row r="411" spans="1:19" ht="15">
      <c r="A411"/>
      <c r="B411"/>
      <c r="C411"/>
      <c r="D411"/>
      <c r="E411"/>
      <c r="F411"/>
      <c r="G411"/>
      <c r="H411"/>
      <c r="I411"/>
      <c r="J411"/>
      <c r="K411"/>
      <c r="L411"/>
      <c r="M411"/>
      <c r="N411"/>
      <c r="O411"/>
      <c r="P411"/>
      <c r="Q411"/>
      <c r="R411"/>
      <c r="S411"/>
    </row>
    <row r="412" spans="1:19" ht="15">
      <c r="A412"/>
      <c r="B412"/>
      <c r="C412"/>
      <c r="D412"/>
      <c r="E412"/>
      <c r="F412"/>
      <c r="G412"/>
      <c r="H412"/>
      <c r="I412"/>
      <c r="J412"/>
      <c r="K412"/>
      <c r="L412"/>
      <c r="M412"/>
      <c r="N412"/>
      <c r="O412"/>
      <c r="P412"/>
      <c r="Q412"/>
      <c r="R412"/>
      <c r="S412"/>
    </row>
    <row r="413" spans="1:19" ht="15">
      <c r="A413"/>
      <c r="B413"/>
      <c r="C413"/>
      <c r="D413"/>
      <c r="E413"/>
      <c r="F413"/>
      <c r="G413"/>
      <c r="H413"/>
      <c r="I413"/>
      <c r="J413"/>
      <c r="K413"/>
      <c r="L413"/>
      <c r="M413"/>
      <c r="N413"/>
      <c r="O413"/>
      <c r="P413"/>
      <c r="Q413"/>
      <c r="R413"/>
      <c r="S413"/>
    </row>
    <row r="414" spans="1:19" ht="15">
      <c r="A414"/>
      <c r="B414"/>
      <c r="C414"/>
      <c r="D414"/>
      <c r="E414"/>
      <c r="F414"/>
      <c r="G414"/>
      <c r="H414"/>
      <c r="I414"/>
      <c r="J414"/>
      <c r="K414"/>
      <c r="L414"/>
      <c r="M414"/>
      <c r="N414"/>
      <c r="O414"/>
      <c r="P414"/>
      <c r="Q414"/>
      <c r="R414"/>
      <c r="S414"/>
    </row>
    <row r="415" spans="1:19" ht="15">
      <c r="A415"/>
      <c r="B415"/>
      <c r="C415"/>
      <c r="D415"/>
      <c r="E415"/>
      <c r="F415"/>
      <c r="G415"/>
      <c r="H415"/>
      <c r="I415"/>
      <c r="J415"/>
      <c r="K415"/>
      <c r="L415"/>
      <c r="M415"/>
      <c r="N415"/>
      <c r="O415"/>
      <c r="P415"/>
      <c r="Q415"/>
      <c r="R415"/>
      <c r="S415"/>
    </row>
    <row r="416" spans="1:19" ht="15">
      <c r="A416"/>
      <c r="B416"/>
      <c r="C416"/>
      <c r="D416"/>
      <c r="E416"/>
      <c r="F416"/>
      <c r="G416"/>
      <c r="H416"/>
      <c r="I416"/>
      <c r="J416"/>
      <c r="K416"/>
      <c r="L416"/>
      <c r="M416"/>
      <c r="N416"/>
      <c r="O416"/>
      <c r="P416"/>
      <c r="Q416"/>
      <c r="R416"/>
      <c r="S416"/>
    </row>
    <row r="417" spans="1:19" ht="15">
      <c r="A417"/>
      <c r="B417"/>
      <c r="C417"/>
      <c r="D417"/>
      <c r="E417"/>
      <c r="F417"/>
      <c r="G417"/>
      <c r="H417"/>
      <c r="I417"/>
      <c r="J417"/>
      <c r="K417"/>
      <c r="L417"/>
      <c r="M417"/>
      <c r="N417"/>
      <c r="O417"/>
      <c r="P417"/>
      <c r="Q417"/>
      <c r="R417"/>
      <c r="S417"/>
    </row>
    <row r="418" spans="1:19" ht="15">
      <c r="A418"/>
      <c r="B418"/>
      <c r="C418"/>
      <c r="D418"/>
      <c r="E418"/>
      <c r="F418"/>
      <c r="G418"/>
      <c r="H418"/>
      <c r="I418"/>
      <c r="J418"/>
      <c r="K418"/>
      <c r="L418"/>
      <c r="M418"/>
      <c r="N418"/>
      <c r="O418"/>
      <c r="P418"/>
      <c r="Q418"/>
      <c r="R418"/>
      <c r="S418"/>
    </row>
    <row r="419" spans="1:19" ht="15">
      <c r="A419"/>
      <c r="B419"/>
      <c r="C419"/>
      <c r="D419"/>
      <c r="E419"/>
      <c r="F419"/>
      <c r="G419"/>
      <c r="H419"/>
      <c r="I419"/>
      <c r="J419"/>
      <c r="K419"/>
      <c r="L419"/>
      <c r="M419"/>
      <c r="N419"/>
      <c r="O419"/>
      <c r="P419"/>
      <c r="Q419"/>
      <c r="R419"/>
      <c r="S419"/>
    </row>
    <row r="420" spans="1:19" ht="15">
      <c r="A420"/>
      <c r="B420"/>
      <c r="C420"/>
      <c r="D420"/>
      <c r="E420"/>
      <c r="F420"/>
      <c r="G420"/>
      <c r="H420"/>
      <c r="I420"/>
      <c r="J420"/>
      <c r="K420"/>
      <c r="L420"/>
      <c r="M420"/>
      <c r="N420"/>
      <c r="O420"/>
      <c r="P420"/>
      <c r="Q420"/>
      <c r="R420"/>
      <c r="S420"/>
    </row>
    <row r="421" spans="1:19" ht="15">
      <c r="A421"/>
      <c r="B421"/>
      <c r="C421"/>
      <c r="D421"/>
      <c r="E421"/>
      <c r="F421"/>
      <c r="G421"/>
      <c r="H421"/>
      <c r="I421"/>
      <c r="J421"/>
      <c r="K421"/>
      <c r="L421"/>
      <c r="M421"/>
      <c r="N421"/>
      <c r="O421"/>
      <c r="P421"/>
      <c r="Q421"/>
      <c r="R421"/>
      <c r="S421"/>
    </row>
    <row r="422" spans="1:19" ht="15">
      <c r="A422"/>
      <c r="B422"/>
      <c r="C422"/>
      <c r="D422"/>
      <c r="E422"/>
      <c r="F422"/>
      <c r="G422"/>
      <c r="H422"/>
      <c r="I422"/>
      <c r="J422"/>
      <c r="K422"/>
      <c r="L422"/>
      <c r="M422"/>
      <c r="N422"/>
      <c r="O422"/>
      <c r="P422"/>
      <c r="Q422"/>
      <c r="R422"/>
      <c r="S422"/>
    </row>
    <row r="423" spans="1:19" ht="15">
      <c r="A423"/>
      <c r="B423"/>
      <c r="C423"/>
      <c r="D423"/>
      <c r="E423"/>
      <c r="F423"/>
      <c r="G423"/>
      <c r="H423"/>
      <c r="I423"/>
      <c r="J423"/>
      <c r="K423"/>
      <c r="L423"/>
      <c r="M423"/>
      <c r="N423"/>
      <c r="O423"/>
      <c r="P423"/>
      <c r="Q423"/>
      <c r="R423"/>
      <c r="S423"/>
    </row>
    <row r="424" spans="1:19" ht="15">
      <c r="A424"/>
      <c r="B424"/>
      <c r="C424"/>
      <c r="D424"/>
      <c r="E424"/>
      <c r="F424"/>
      <c r="G424"/>
      <c r="H424"/>
      <c r="I424"/>
      <c r="J424"/>
      <c r="K424"/>
      <c r="L424"/>
      <c r="M424"/>
      <c r="N424"/>
      <c r="O424"/>
      <c r="P424"/>
      <c r="Q424"/>
      <c r="R424"/>
      <c r="S424"/>
    </row>
    <row r="425" spans="1:19" ht="15">
      <c r="A425"/>
      <c r="B425"/>
      <c r="C425"/>
      <c r="D425"/>
      <c r="E425"/>
      <c r="F425"/>
      <c r="G425"/>
      <c r="H425"/>
      <c r="I425"/>
      <c r="J425"/>
      <c r="K425"/>
      <c r="L425"/>
      <c r="M425"/>
      <c r="N425"/>
      <c r="O425"/>
      <c r="P425"/>
      <c r="Q425"/>
      <c r="R425"/>
      <c r="S425"/>
    </row>
    <row r="426" spans="1:19" ht="15">
      <c r="A426"/>
      <c r="B426"/>
      <c r="C426"/>
      <c r="D426"/>
      <c r="E426"/>
      <c r="F426"/>
      <c r="G426"/>
      <c r="H426"/>
      <c r="I426"/>
      <c r="J426"/>
      <c r="K426"/>
      <c r="L426"/>
      <c r="M426"/>
      <c r="N426"/>
      <c r="O426"/>
      <c r="P426"/>
      <c r="Q426"/>
      <c r="R426"/>
      <c r="S426"/>
    </row>
    <row r="427" spans="1:19" ht="15">
      <c r="A427"/>
      <c r="B427"/>
      <c r="C427"/>
      <c r="D427"/>
      <c r="E427"/>
      <c r="F427"/>
      <c r="G427"/>
      <c r="H427"/>
      <c r="I427"/>
      <c r="J427"/>
      <c r="K427"/>
      <c r="L427"/>
      <c r="M427"/>
      <c r="N427"/>
      <c r="O427"/>
      <c r="P427"/>
      <c r="Q427"/>
      <c r="R427"/>
      <c r="S427"/>
    </row>
    <row r="428" spans="1:19" ht="15">
      <c r="A428"/>
      <c r="B428"/>
      <c r="C428"/>
      <c r="D428"/>
      <c r="E428"/>
      <c r="F428"/>
      <c r="G428"/>
      <c r="H428"/>
      <c r="I428"/>
      <c r="J428"/>
      <c r="K428"/>
      <c r="L428"/>
      <c r="M428"/>
      <c r="N428"/>
      <c r="O428"/>
      <c r="P428"/>
      <c r="Q428"/>
      <c r="R428"/>
      <c r="S428"/>
    </row>
    <row r="429" spans="1:19" ht="15">
      <c r="A429"/>
      <c r="B429"/>
      <c r="C429"/>
      <c r="D429"/>
      <c r="E429"/>
      <c r="F429"/>
      <c r="G429"/>
      <c r="H429"/>
      <c r="I429"/>
      <c r="J429"/>
      <c r="K429"/>
      <c r="L429"/>
      <c r="M429"/>
      <c r="N429"/>
      <c r="O429"/>
      <c r="P429"/>
      <c r="Q429"/>
      <c r="R429"/>
      <c r="S429"/>
    </row>
    <row r="430" spans="1:19" ht="15">
      <c r="A430"/>
      <c r="B430"/>
      <c r="C430"/>
      <c r="D430"/>
      <c r="E430"/>
      <c r="F430"/>
      <c r="G430"/>
      <c r="H430"/>
      <c r="I430"/>
      <c r="J430"/>
      <c r="K430"/>
      <c r="L430"/>
      <c r="M430"/>
      <c r="N430"/>
      <c r="O430"/>
      <c r="P430"/>
      <c r="Q430"/>
      <c r="R430"/>
      <c r="S430"/>
    </row>
    <row r="431" spans="1:19" ht="15">
      <c r="A431"/>
      <c r="B431"/>
      <c r="C431"/>
      <c r="D431"/>
      <c r="E431"/>
      <c r="F431"/>
      <c r="G431"/>
      <c r="H431"/>
      <c r="I431"/>
      <c r="J431"/>
      <c r="K431"/>
      <c r="L431"/>
      <c r="M431"/>
      <c r="N431"/>
      <c r="O431"/>
      <c r="P431"/>
      <c r="Q431"/>
      <c r="R431"/>
      <c r="S431"/>
    </row>
    <row r="432" spans="1:19" ht="15">
      <c r="A432"/>
      <c r="B432"/>
      <c r="C432"/>
      <c r="D432"/>
      <c r="E432"/>
      <c r="F432"/>
      <c r="G432"/>
      <c r="H432"/>
      <c r="I432"/>
      <c r="J432"/>
      <c r="K432"/>
      <c r="L432"/>
      <c r="M432"/>
      <c r="N432"/>
      <c r="O432"/>
      <c r="P432"/>
      <c r="Q432"/>
      <c r="R432"/>
      <c r="S432"/>
    </row>
    <row r="433" spans="1:19" ht="15">
      <c r="A433"/>
      <c r="B433"/>
      <c r="C433"/>
      <c r="D433"/>
      <c r="E433"/>
      <c r="F433"/>
      <c r="G433"/>
      <c r="H433"/>
      <c r="I433"/>
      <c r="J433"/>
      <c r="K433"/>
      <c r="L433"/>
      <c r="M433"/>
      <c r="N433"/>
      <c r="O433"/>
      <c r="P433"/>
      <c r="Q433"/>
      <c r="R433"/>
      <c r="S433"/>
    </row>
    <row r="434" spans="1:19" ht="15">
      <c r="A434"/>
      <c r="B434"/>
      <c r="C434"/>
      <c r="D434"/>
      <c r="E434"/>
      <c r="F434"/>
      <c r="G434"/>
      <c r="H434"/>
      <c r="I434"/>
      <c r="J434"/>
      <c r="K434"/>
      <c r="L434"/>
      <c r="M434"/>
      <c r="N434"/>
      <c r="O434"/>
      <c r="P434"/>
      <c r="Q434"/>
      <c r="R434"/>
      <c r="S434"/>
    </row>
    <row r="435" spans="1:19" ht="15">
      <c r="A435"/>
      <c r="B435"/>
      <c r="C435"/>
      <c r="D435"/>
      <c r="E435"/>
      <c r="F435"/>
      <c r="G435"/>
      <c r="H435"/>
      <c r="I435"/>
      <c r="J435"/>
      <c r="K435"/>
      <c r="L435"/>
      <c r="M435"/>
      <c r="N435"/>
      <c r="O435"/>
      <c r="P435"/>
      <c r="Q435"/>
      <c r="R435"/>
      <c r="S435"/>
    </row>
    <row r="436" spans="1:19" ht="15">
      <c r="A436"/>
      <c r="B436"/>
      <c r="C436"/>
      <c r="D436"/>
      <c r="E436"/>
      <c r="F436"/>
      <c r="G436"/>
      <c r="H436"/>
      <c r="I436"/>
      <c r="J436"/>
      <c r="K436"/>
      <c r="L436"/>
      <c r="M436"/>
      <c r="N436"/>
      <c r="O436"/>
      <c r="P436"/>
      <c r="Q436"/>
      <c r="R436"/>
      <c r="S436"/>
    </row>
    <row r="437" spans="1:19" ht="15">
      <c r="A437"/>
      <c r="B437"/>
      <c r="C437"/>
      <c r="D437"/>
      <c r="E437"/>
      <c r="F437"/>
      <c r="G437"/>
      <c r="H437"/>
      <c r="I437"/>
      <c r="J437"/>
      <c r="K437"/>
      <c r="L437"/>
      <c r="M437"/>
      <c r="N437"/>
      <c r="O437"/>
      <c r="P437"/>
      <c r="Q437"/>
      <c r="R437"/>
      <c r="S437"/>
    </row>
    <row r="438" spans="1:19" ht="15">
      <c r="A438"/>
      <c r="B438"/>
      <c r="C438"/>
      <c r="D438"/>
      <c r="E438"/>
      <c r="F438"/>
      <c r="G438"/>
      <c r="H438"/>
      <c r="I438"/>
      <c r="J438"/>
      <c r="K438"/>
      <c r="L438"/>
      <c r="M438"/>
      <c r="N438"/>
      <c r="O438"/>
      <c r="P438"/>
      <c r="Q438"/>
      <c r="R438"/>
      <c r="S438"/>
    </row>
    <row r="439" spans="1:19" ht="15">
      <c r="A439"/>
      <c r="B439"/>
      <c r="C439"/>
      <c r="D439"/>
      <c r="E439"/>
      <c r="F439"/>
      <c r="G439"/>
      <c r="H439"/>
      <c r="I439"/>
      <c r="J439"/>
      <c r="K439"/>
      <c r="L439"/>
      <c r="M439"/>
      <c r="N439"/>
      <c r="O439"/>
      <c r="P439"/>
      <c r="Q439"/>
      <c r="R439"/>
      <c r="S439"/>
    </row>
    <row r="440" spans="1:19" ht="15">
      <c r="A440"/>
      <c r="B440"/>
      <c r="C440"/>
      <c r="D440"/>
      <c r="E440"/>
      <c r="F440"/>
      <c r="G440"/>
      <c r="H440"/>
      <c r="I440"/>
      <c r="J440"/>
      <c r="K440"/>
      <c r="L440"/>
      <c r="M440"/>
      <c r="N440"/>
      <c r="O440"/>
      <c r="P440"/>
      <c r="Q440"/>
      <c r="R440"/>
      <c r="S440"/>
    </row>
    <row r="441" spans="1:19" ht="15">
      <c r="A441"/>
      <c r="B441"/>
      <c r="C441"/>
      <c r="D441"/>
      <c r="E441"/>
      <c r="F441"/>
      <c r="G441"/>
      <c r="H441"/>
      <c r="I441"/>
      <c r="J441"/>
      <c r="K441"/>
      <c r="L441"/>
      <c r="M441"/>
      <c r="N441"/>
      <c r="O441"/>
      <c r="P441"/>
      <c r="Q441"/>
      <c r="R441"/>
      <c r="S441"/>
    </row>
    <row r="442" spans="1:19" ht="15">
      <c r="A442"/>
      <c r="B442"/>
      <c r="C442"/>
      <c r="D442"/>
      <c r="E442"/>
      <c r="F442"/>
      <c r="G442"/>
      <c r="H442"/>
      <c r="I442"/>
      <c r="J442"/>
      <c r="K442"/>
      <c r="L442"/>
      <c r="M442"/>
      <c r="N442"/>
      <c r="O442"/>
      <c r="P442"/>
      <c r="Q442"/>
      <c r="R442"/>
      <c r="S442"/>
    </row>
    <row r="443" spans="1:19" ht="15">
      <c r="A443"/>
      <c r="B443"/>
      <c r="C443"/>
      <c r="D443"/>
      <c r="E443"/>
      <c r="F443"/>
      <c r="G443"/>
      <c r="H443"/>
      <c r="I443"/>
      <c r="J443"/>
      <c r="K443"/>
      <c r="L443"/>
      <c r="M443"/>
      <c r="N443"/>
      <c r="O443"/>
      <c r="P443"/>
      <c r="Q443"/>
      <c r="R443"/>
      <c r="S443"/>
    </row>
    <row r="444" spans="1:19" ht="15">
      <c r="A444"/>
      <c r="B444"/>
      <c r="C444"/>
      <c r="D444"/>
      <c r="E444"/>
      <c r="F444"/>
      <c r="G444"/>
      <c r="H444"/>
      <c r="I444"/>
      <c r="J444"/>
      <c r="K444"/>
      <c r="L444"/>
      <c r="M444"/>
      <c r="N444"/>
      <c r="O444"/>
      <c r="P444"/>
      <c r="Q444"/>
      <c r="R444"/>
      <c r="S444"/>
    </row>
    <row r="445" spans="1:19" ht="15">
      <c r="A445"/>
      <c r="B445"/>
      <c r="C445"/>
      <c r="D445"/>
      <c r="E445"/>
      <c r="F445"/>
      <c r="G445"/>
      <c r="H445"/>
      <c r="I445"/>
      <c r="J445"/>
      <c r="K445"/>
      <c r="L445"/>
      <c r="M445"/>
      <c r="N445"/>
      <c r="O445"/>
      <c r="P445"/>
      <c r="Q445"/>
      <c r="R445"/>
      <c r="S445"/>
    </row>
    <row r="446" spans="1:19" ht="15">
      <c r="A446"/>
      <c r="B446"/>
      <c r="C446"/>
      <c r="D446"/>
      <c r="E446"/>
      <c r="F446"/>
      <c r="G446"/>
      <c r="H446"/>
      <c r="I446"/>
      <c r="J446"/>
      <c r="K446"/>
      <c r="L446"/>
      <c r="M446"/>
      <c r="N446"/>
      <c r="O446"/>
      <c r="P446"/>
      <c r="Q446"/>
      <c r="R446"/>
      <c r="S446"/>
    </row>
    <row r="447" spans="1:19" ht="15">
      <c r="A447"/>
      <c r="B447"/>
      <c r="C447"/>
      <c r="D447"/>
      <c r="E447"/>
      <c r="F447"/>
      <c r="G447"/>
      <c r="H447"/>
      <c r="I447"/>
      <c r="J447"/>
      <c r="K447"/>
      <c r="L447"/>
      <c r="M447"/>
      <c r="N447"/>
      <c r="O447"/>
      <c r="P447"/>
      <c r="Q447"/>
      <c r="R447"/>
      <c r="S447"/>
    </row>
    <row r="448" spans="1:19" ht="15">
      <c r="A448"/>
      <c r="B448"/>
      <c r="C448"/>
      <c r="D448"/>
      <c r="E448"/>
      <c r="F448"/>
      <c r="G448"/>
      <c r="H448"/>
      <c r="I448"/>
      <c r="J448"/>
      <c r="K448"/>
      <c r="L448"/>
      <c r="M448"/>
      <c r="N448"/>
      <c r="O448"/>
      <c r="P448"/>
      <c r="Q448"/>
      <c r="R448"/>
      <c r="S448"/>
    </row>
    <row r="449" spans="1:19" ht="15">
      <c r="A449"/>
      <c r="B449"/>
      <c r="C449"/>
      <c r="D449"/>
      <c r="E449"/>
      <c r="F449"/>
      <c r="G449"/>
      <c r="H449"/>
      <c r="I449"/>
      <c r="J449"/>
      <c r="K449"/>
      <c r="L449"/>
      <c r="M449"/>
      <c r="N449"/>
      <c r="O449"/>
      <c r="P449"/>
      <c r="Q449"/>
      <c r="R449"/>
      <c r="S449"/>
    </row>
    <row r="450" spans="1:19" ht="15">
      <c r="A450"/>
      <c r="B450"/>
      <c r="C450"/>
      <c r="D450"/>
      <c r="E450"/>
      <c r="F450"/>
      <c r="G450"/>
      <c r="H450"/>
      <c r="I450"/>
      <c r="J450"/>
      <c r="K450"/>
      <c r="L450"/>
      <c r="M450"/>
      <c r="N450"/>
      <c r="O450"/>
      <c r="P450"/>
      <c r="Q450"/>
      <c r="R450"/>
      <c r="S450"/>
    </row>
    <row r="451" spans="1:19" ht="15">
      <c r="A451"/>
      <c r="B451"/>
      <c r="C451"/>
      <c r="D451"/>
      <c r="E451"/>
      <c r="F451"/>
      <c r="G451"/>
      <c r="H451"/>
      <c r="I451"/>
      <c r="J451"/>
      <c r="K451"/>
      <c r="L451"/>
      <c r="M451"/>
      <c r="N451"/>
      <c r="O451"/>
      <c r="P451"/>
      <c r="Q451"/>
      <c r="R451"/>
      <c r="S451"/>
    </row>
    <row r="452" spans="1:19" ht="15">
      <c r="A452"/>
      <c r="B452"/>
      <c r="C452"/>
      <c r="D452"/>
      <c r="E452"/>
      <c r="F452"/>
      <c r="G452"/>
      <c r="H452"/>
      <c r="I452"/>
      <c r="J452"/>
      <c r="K452"/>
      <c r="L452"/>
      <c r="M452"/>
      <c r="N452"/>
      <c r="O452"/>
      <c r="P452"/>
      <c r="Q452"/>
      <c r="R452"/>
      <c r="S452"/>
    </row>
    <row r="453" spans="1:19" ht="15">
      <c r="A453"/>
      <c r="B453"/>
      <c r="C453"/>
      <c r="D453"/>
      <c r="E453"/>
      <c r="F453"/>
      <c r="G453"/>
      <c r="H453"/>
      <c r="I453"/>
      <c r="J453"/>
      <c r="K453"/>
      <c r="L453"/>
      <c r="M453"/>
      <c r="N453"/>
      <c r="O453"/>
      <c r="P453"/>
      <c r="Q453"/>
      <c r="R453"/>
      <c r="S453"/>
    </row>
    <row r="454" spans="1:19" ht="15">
      <c r="A454"/>
      <c r="B454"/>
      <c r="C454"/>
      <c r="D454"/>
      <c r="E454"/>
      <c r="F454"/>
      <c r="G454"/>
      <c r="H454"/>
      <c r="I454"/>
      <c r="J454"/>
      <c r="K454"/>
      <c r="L454"/>
      <c r="M454"/>
      <c r="N454"/>
      <c r="O454"/>
      <c r="P454"/>
      <c r="Q454"/>
      <c r="R454"/>
      <c r="S454"/>
    </row>
    <row r="455" spans="1:19" ht="15">
      <c r="A455"/>
      <c r="B455"/>
      <c r="C455"/>
      <c r="D455"/>
      <c r="E455"/>
      <c r="F455"/>
      <c r="G455"/>
      <c r="H455"/>
      <c r="I455"/>
      <c r="J455"/>
      <c r="K455"/>
      <c r="L455"/>
      <c r="M455"/>
      <c r="N455"/>
      <c r="O455"/>
      <c r="P455"/>
      <c r="Q455"/>
      <c r="R455"/>
      <c r="S455"/>
    </row>
    <row r="456" spans="1:19" ht="15">
      <c r="A456"/>
      <c r="B456"/>
      <c r="C456"/>
      <c r="D456"/>
      <c r="E456"/>
      <c r="F456"/>
      <c r="G456"/>
      <c r="H456"/>
      <c r="I456"/>
      <c r="J456"/>
      <c r="K456"/>
      <c r="L456"/>
      <c r="M456"/>
      <c r="N456"/>
      <c r="O456"/>
      <c r="P456"/>
      <c r="Q456"/>
      <c r="R456"/>
      <c r="S456"/>
    </row>
    <row r="457" spans="1:19" ht="15">
      <c r="A457"/>
      <c r="B457"/>
      <c r="C457"/>
      <c r="D457"/>
      <c r="E457"/>
      <c r="F457"/>
      <c r="G457"/>
      <c r="H457"/>
      <c r="I457"/>
      <c r="J457"/>
      <c r="K457"/>
      <c r="L457"/>
      <c r="M457"/>
      <c r="N457"/>
      <c r="O457"/>
      <c r="P457"/>
      <c r="Q457"/>
      <c r="R457"/>
      <c r="S457"/>
    </row>
    <row r="458" spans="1:19" ht="15">
      <c r="A458"/>
      <c r="B458"/>
      <c r="C458"/>
      <c r="D458"/>
      <c r="E458"/>
      <c r="F458"/>
      <c r="G458"/>
      <c r="H458"/>
      <c r="I458"/>
      <c r="J458"/>
      <c r="K458"/>
      <c r="L458"/>
      <c r="M458"/>
      <c r="N458"/>
      <c r="O458"/>
      <c r="P458"/>
      <c r="Q458"/>
      <c r="R458"/>
      <c r="S458"/>
    </row>
    <row r="459" spans="1:19" ht="15">
      <c r="A459"/>
      <c r="B459"/>
      <c r="C459"/>
      <c r="D459"/>
      <c r="E459"/>
      <c r="F459"/>
      <c r="G459"/>
      <c r="H459"/>
      <c r="I459"/>
      <c r="J459"/>
      <c r="K459"/>
      <c r="L459"/>
      <c r="M459"/>
      <c r="N459"/>
      <c r="O459"/>
      <c r="P459"/>
      <c r="Q459"/>
      <c r="R459"/>
      <c r="S459"/>
    </row>
    <row r="460" spans="1:19" ht="15">
      <c r="A460"/>
      <c r="B460"/>
      <c r="C460"/>
      <c r="D460"/>
      <c r="E460"/>
      <c r="F460"/>
      <c r="G460"/>
      <c r="H460"/>
      <c r="I460"/>
      <c r="J460"/>
      <c r="K460"/>
      <c r="L460"/>
      <c r="M460"/>
      <c r="N460"/>
      <c r="O460"/>
      <c r="P460"/>
      <c r="Q460"/>
      <c r="R460"/>
      <c r="S460"/>
    </row>
    <row r="461" spans="1:19" ht="15">
      <c r="A461"/>
      <c r="B461"/>
      <c r="C461"/>
      <c r="D461"/>
      <c r="E461"/>
      <c r="F461"/>
      <c r="G461"/>
      <c r="H461"/>
      <c r="I461"/>
      <c r="J461"/>
      <c r="K461"/>
      <c r="L461"/>
      <c r="M461"/>
      <c r="N461"/>
      <c r="O461"/>
      <c r="P461"/>
      <c r="Q461"/>
      <c r="R461"/>
      <c r="S461"/>
    </row>
    <row r="462" spans="1:19" ht="15">
      <c r="A462"/>
      <c r="B462"/>
      <c r="C462"/>
      <c r="D462"/>
      <c r="E462"/>
      <c r="F462"/>
      <c r="G462"/>
      <c r="H462"/>
      <c r="I462"/>
      <c r="J462"/>
      <c r="K462"/>
      <c r="L462"/>
      <c r="M462"/>
      <c r="N462"/>
      <c r="O462"/>
      <c r="P462"/>
      <c r="Q462"/>
      <c r="R462"/>
      <c r="S462"/>
    </row>
    <row r="463" spans="1:19" ht="15">
      <c r="A463"/>
      <c r="B463"/>
      <c r="C463"/>
      <c r="D463"/>
      <c r="E463"/>
      <c r="F463"/>
      <c r="G463"/>
      <c r="H463"/>
      <c r="I463"/>
      <c r="J463"/>
      <c r="K463"/>
      <c r="L463"/>
      <c r="M463"/>
      <c r="N463"/>
      <c r="O463"/>
      <c r="P463"/>
      <c r="Q463"/>
      <c r="R463"/>
      <c r="S463"/>
    </row>
    <row r="464" spans="1:19" ht="15">
      <c r="A464"/>
      <c r="B464"/>
      <c r="C464"/>
      <c r="D464"/>
      <c r="E464"/>
      <c r="F464"/>
      <c r="G464"/>
      <c r="H464"/>
      <c r="I464"/>
      <c r="J464"/>
      <c r="K464"/>
      <c r="L464"/>
      <c r="M464"/>
      <c r="N464"/>
      <c r="O464"/>
      <c r="P464"/>
      <c r="Q464"/>
      <c r="R464"/>
      <c r="S464"/>
    </row>
    <row r="465" spans="1:19" ht="15">
      <c r="A465"/>
      <c r="B465"/>
      <c r="C465"/>
      <c r="D465"/>
      <c r="E465"/>
      <c r="F465"/>
      <c r="G465"/>
      <c r="H465"/>
      <c r="I465"/>
      <c r="J465"/>
      <c r="K465"/>
      <c r="L465"/>
      <c r="M465"/>
      <c r="N465"/>
      <c r="O465"/>
      <c r="P465"/>
      <c r="Q465"/>
      <c r="R465"/>
      <c r="S465"/>
    </row>
    <row r="466" spans="1:19" ht="15">
      <c r="A466"/>
      <c r="B466"/>
      <c r="C466"/>
      <c r="D466"/>
      <c r="E466"/>
      <c r="F466"/>
      <c r="G466"/>
      <c r="H466"/>
      <c r="I466"/>
      <c r="J466"/>
      <c r="K466"/>
      <c r="L466"/>
      <c r="M466"/>
      <c r="N466"/>
      <c r="O466"/>
      <c r="P466"/>
      <c r="Q466"/>
      <c r="R466"/>
      <c r="S466"/>
    </row>
    <row r="467" spans="1:19" ht="15">
      <c r="A467"/>
      <c r="B467"/>
      <c r="C467"/>
      <c r="D467"/>
      <c r="E467"/>
      <c r="F467"/>
      <c r="G467"/>
      <c r="H467"/>
      <c r="I467"/>
      <c r="J467"/>
      <c r="K467"/>
      <c r="L467"/>
      <c r="M467"/>
      <c r="N467"/>
      <c r="O467"/>
      <c r="P467"/>
      <c r="Q467"/>
      <c r="R467"/>
      <c r="S467"/>
    </row>
    <row r="468" spans="1:19" ht="15">
      <c r="A468"/>
      <c r="B468"/>
      <c r="C468"/>
      <c r="D468"/>
      <c r="E468"/>
      <c r="F468"/>
      <c r="G468"/>
      <c r="H468"/>
      <c r="I468"/>
      <c r="J468"/>
      <c r="K468"/>
      <c r="L468"/>
      <c r="M468"/>
      <c r="N468"/>
      <c r="O468"/>
      <c r="P468"/>
      <c r="Q468"/>
      <c r="R468"/>
      <c r="S468"/>
    </row>
    <row r="469" spans="1:19" ht="15">
      <c r="A469"/>
      <c r="B469"/>
      <c r="C469"/>
      <c r="D469"/>
      <c r="E469"/>
      <c r="F469"/>
      <c r="G469"/>
      <c r="H469"/>
      <c r="I469"/>
      <c r="J469"/>
      <c r="K469"/>
      <c r="L469"/>
      <c r="M469"/>
      <c r="N469"/>
      <c r="O469"/>
      <c r="P469"/>
      <c r="Q469"/>
      <c r="R469"/>
      <c r="S469"/>
    </row>
    <row r="470" spans="1:19" ht="15">
      <c r="A470"/>
      <c r="B470"/>
      <c r="C470"/>
      <c r="D470"/>
      <c r="E470"/>
      <c r="F470"/>
      <c r="G470"/>
      <c r="H470"/>
      <c r="I470"/>
      <c r="J470"/>
      <c r="K470"/>
      <c r="L470"/>
      <c r="M470"/>
      <c r="N470"/>
      <c r="O470"/>
      <c r="P470"/>
      <c r="Q470"/>
      <c r="R470"/>
      <c r="S470"/>
    </row>
    <row r="471" spans="1:19" ht="15">
      <c r="A471"/>
      <c r="B471"/>
      <c r="C471"/>
      <c r="D471"/>
      <c r="E471"/>
      <c r="F471"/>
      <c r="G471"/>
      <c r="H471"/>
      <c r="I471"/>
      <c r="J471"/>
      <c r="K471"/>
      <c r="L471"/>
      <c r="M471"/>
      <c r="N471"/>
      <c r="O471"/>
      <c r="P471"/>
      <c r="Q471"/>
      <c r="R471"/>
      <c r="S471"/>
    </row>
    <row r="472" spans="1:19" ht="15">
      <c r="A472"/>
      <c r="B472"/>
      <c r="C472"/>
      <c r="D472"/>
      <c r="E472"/>
      <c r="F472"/>
      <c r="G472"/>
      <c r="H472"/>
      <c r="I472"/>
      <c r="J472"/>
      <c r="K472"/>
      <c r="L472"/>
      <c r="M472"/>
      <c r="N472"/>
      <c r="O472"/>
      <c r="P472"/>
      <c r="Q472"/>
      <c r="R472"/>
      <c r="S472"/>
    </row>
    <row r="473" spans="1:19" ht="15">
      <c r="A473"/>
      <c r="B473"/>
      <c r="C473"/>
      <c r="D473"/>
      <c r="E473"/>
      <c r="F473"/>
      <c r="G473"/>
      <c r="H473"/>
      <c r="I473"/>
      <c r="J473"/>
      <c r="K473"/>
      <c r="L473"/>
      <c r="M473"/>
      <c r="N473"/>
      <c r="O473"/>
      <c r="P473"/>
      <c r="Q473"/>
      <c r="R473"/>
      <c r="S473"/>
    </row>
    <row r="474" spans="1:19" ht="15">
      <c r="A474"/>
      <c r="B474"/>
      <c r="C474"/>
      <c r="D474"/>
      <c r="E474"/>
      <c r="F474"/>
      <c r="G474"/>
      <c r="H474"/>
      <c r="I474"/>
      <c r="J474"/>
      <c r="K474"/>
      <c r="L474"/>
      <c r="M474"/>
      <c r="N474"/>
      <c r="O474"/>
      <c r="P474"/>
      <c r="Q474"/>
      <c r="R474"/>
      <c r="S474"/>
    </row>
    <row r="475" spans="1:19" ht="15">
      <c r="A475"/>
      <c r="B475"/>
      <c r="C475"/>
      <c r="D475"/>
      <c r="E475"/>
      <c r="F475"/>
      <c r="G475"/>
      <c r="H475"/>
      <c r="I475"/>
      <c r="J475"/>
      <c r="K475"/>
      <c r="L475"/>
      <c r="M475"/>
      <c r="N475"/>
      <c r="O475"/>
      <c r="P475"/>
      <c r="Q475"/>
      <c r="R475"/>
      <c r="S475"/>
    </row>
    <row r="476" spans="1:19" ht="15">
      <c r="A476"/>
      <c r="B476"/>
      <c r="C476"/>
      <c r="D476"/>
      <c r="E476"/>
      <c r="F476"/>
      <c r="G476"/>
      <c r="H476"/>
      <c r="I476"/>
      <c r="J476"/>
      <c r="K476"/>
      <c r="L476"/>
      <c r="M476"/>
      <c r="N476"/>
      <c r="O476"/>
      <c r="P476"/>
      <c r="Q476"/>
      <c r="R476"/>
      <c r="S476"/>
    </row>
    <row r="477" spans="1:19" ht="15">
      <c r="A477"/>
      <c r="B477"/>
      <c r="C477"/>
      <c r="D477"/>
      <c r="E477"/>
      <c r="F477"/>
      <c r="G477"/>
      <c r="H477"/>
      <c r="I477"/>
      <c r="J477"/>
      <c r="K477"/>
      <c r="L477"/>
      <c r="M477"/>
      <c r="N477"/>
      <c r="O477"/>
      <c r="P477"/>
      <c r="Q477"/>
      <c r="R477"/>
      <c r="S477"/>
    </row>
    <row r="478" spans="1:19" ht="15">
      <c r="A478"/>
      <c r="B478"/>
      <c r="C478"/>
      <c r="D478"/>
      <c r="E478"/>
      <c r="F478"/>
      <c r="G478"/>
      <c r="H478"/>
      <c r="I478"/>
      <c r="J478"/>
      <c r="K478"/>
      <c r="L478"/>
      <c r="M478"/>
      <c r="N478"/>
      <c r="O478"/>
      <c r="P478"/>
      <c r="Q478"/>
      <c r="R478"/>
      <c r="S478"/>
    </row>
    <row r="479" spans="1:19" ht="15">
      <c r="A479"/>
      <c r="B479"/>
      <c r="C479"/>
      <c r="D479"/>
      <c r="E479"/>
      <c r="F479"/>
      <c r="G479"/>
      <c r="H479"/>
      <c r="I479"/>
      <c r="J479"/>
      <c r="K479"/>
      <c r="L479"/>
      <c r="M479"/>
      <c r="N479"/>
      <c r="O479"/>
      <c r="P479"/>
      <c r="Q479"/>
      <c r="R479"/>
      <c r="S479"/>
    </row>
    <row r="480" spans="1:19" ht="15">
      <c r="A480"/>
      <c r="B480"/>
      <c r="C480"/>
      <c r="D480"/>
      <c r="E480"/>
      <c r="F480"/>
      <c r="G480"/>
      <c r="H480"/>
      <c r="I480"/>
      <c r="J480"/>
      <c r="K480"/>
      <c r="L480"/>
      <c r="M480"/>
      <c r="N480"/>
      <c r="O480"/>
      <c r="P480"/>
      <c r="Q480"/>
      <c r="R480"/>
      <c r="S480"/>
    </row>
    <row r="481" spans="1:19" ht="15">
      <c r="A481"/>
      <c r="B481"/>
      <c r="C481"/>
      <c r="D481"/>
      <c r="E481"/>
      <c r="F481"/>
      <c r="G481"/>
      <c r="H481"/>
      <c r="I481"/>
      <c r="J481"/>
      <c r="K481"/>
      <c r="L481"/>
      <c r="M481"/>
      <c r="N481"/>
      <c r="O481"/>
      <c r="P481"/>
      <c r="Q481"/>
      <c r="R481"/>
      <c r="S481"/>
    </row>
    <row r="482" spans="1:19" ht="15">
      <c r="A482"/>
      <c r="B482"/>
      <c r="C482"/>
      <c r="D482"/>
      <c r="E482"/>
      <c r="F482"/>
      <c r="G482"/>
      <c r="H482"/>
      <c r="I482"/>
      <c r="J482"/>
      <c r="K482"/>
      <c r="L482"/>
      <c r="M482"/>
      <c r="N482"/>
      <c r="O482"/>
      <c r="P482"/>
      <c r="Q482"/>
      <c r="R482"/>
      <c r="S482"/>
    </row>
    <row r="483" spans="1:19" ht="15">
      <c r="A483"/>
      <c r="B483"/>
      <c r="C483"/>
      <c r="D483"/>
      <c r="E483"/>
      <c r="F483"/>
      <c r="G483"/>
      <c r="H483"/>
      <c r="I483"/>
      <c r="J483"/>
      <c r="K483"/>
      <c r="L483"/>
      <c r="M483"/>
      <c r="N483"/>
      <c r="O483"/>
      <c r="P483"/>
      <c r="Q483"/>
      <c r="R483"/>
      <c r="S483"/>
    </row>
    <row r="484" spans="1:19" ht="15">
      <c r="A484"/>
      <c r="B484"/>
      <c r="C484"/>
      <c r="D484"/>
      <c r="E484"/>
      <c r="F484"/>
      <c r="G484"/>
      <c r="H484"/>
      <c r="I484"/>
      <c r="J484"/>
      <c r="K484"/>
      <c r="L484"/>
      <c r="M484"/>
      <c r="N484"/>
      <c r="O484"/>
      <c r="P484"/>
      <c r="Q484"/>
      <c r="R484"/>
      <c r="S484"/>
    </row>
    <row r="485" spans="1:19" ht="15">
      <c r="A485"/>
      <c r="B485"/>
      <c r="C485"/>
      <c r="D485"/>
      <c r="E485"/>
      <c r="F485"/>
      <c r="G485"/>
      <c r="H485"/>
      <c r="I485"/>
      <c r="J485"/>
      <c r="K485"/>
      <c r="L485"/>
      <c r="M485"/>
      <c r="N485"/>
      <c r="O485"/>
      <c r="P485"/>
      <c r="Q485"/>
      <c r="R485"/>
      <c r="S485"/>
    </row>
    <row r="486" spans="1:19" ht="15">
      <c r="A486"/>
      <c r="B486"/>
      <c r="C486"/>
      <c r="D486"/>
      <c r="E486"/>
      <c r="F486"/>
      <c r="G486"/>
      <c r="H486"/>
      <c r="I486"/>
      <c r="J486"/>
      <c r="K486"/>
      <c r="L486"/>
      <c r="M486"/>
      <c r="N486"/>
      <c r="O486"/>
      <c r="P486"/>
      <c r="Q486"/>
      <c r="R486"/>
      <c r="S486"/>
    </row>
    <row r="487" spans="1:19" ht="15">
      <c r="A487"/>
      <c r="B487"/>
      <c r="C487"/>
      <c r="D487"/>
      <c r="E487"/>
      <c r="F487"/>
      <c r="G487"/>
      <c r="H487"/>
      <c r="I487"/>
      <c r="J487"/>
      <c r="K487"/>
      <c r="L487"/>
      <c r="M487"/>
      <c r="N487"/>
      <c r="O487"/>
      <c r="P487"/>
      <c r="Q487"/>
      <c r="R487"/>
      <c r="S487"/>
    </row>
    <row r="488" spans="1:19" ht="15">
      <c r="A488"/>
      <c r="B488"/>
      <c r="C488"/>
      <c r="D488"/>
      <c r="E488"/>
      <c r="F488"/>
      <c r="G488"/>
      <c r="H488"/>
      <c r="I488"/>
      <c r="J488"/>
      <c r="K488"/>
      <c r="L488"/>
      <c r="M488"/>
      <c r="N488"/>
      <c r="O488"/>
      <c r="P488"/>
      <c r="Q488"/>
      <c r="R488"/>
      <c r="S488"/>
    </row>
    <row r="489" spans="1:19" ht="15">
      <c r="A489"/>
      <c r="B489"/>
      <c r="C489"/>
      <c r="D489"/>
      <c r="E489"/>
      <c r="F489"/>
      <c r="G489"/>
      <c r="H489"/>
      <c r="I489"/>
      <c r="J489"/>
      <c r="K489"/>
      <c r="L489"/>
      <c r="M489"/>
      <c r="N489"/>
      <c r="O489"/>
      <c r="P489"/>
      <c r="Q489"/>
      <c r="R489"/>
      <c r="S489"/>
    </row>
    <row r="490" spans="1:19" ht="15">
      <c r="A490"/>
      <c r="B490"/>
      <c r="C490"/>
      <c r="D490"/>
      <c r="E490"/>
      <c r="F490"/>
      <c r="G490"/>
      <c r="H490"/>
      <c r="I490"/>
      <c r="J490"/>
      <c r="K490"/>
      <c r="L490"/>
      <c r="M490"/>
      <c r="N490"/>
      <c r="O490"/>
      <c r="P490"/>
      <c r="Q490"/>
      <c r="R490"/>
      <c r="S490"/>
    </row>
    <row r="491" spans="1:19" ht="15">
      <c r="A491"/>
      <c r="B491"/>
      <c r="C491"/>
      <c r="D491"/>
      <c r="E491"/>
      <c r="F491"/>
      <c r="G491"/>
      <c r="H491"/>
      <c r="I491"/>
      <c r="J491"/>
      <c r="K491"/>
      <c r="L491"/>
      <c r="M491"/>
      <c r="N491"/>
      <c r="O491"/>
      <c r="P491"/>
      <c r="Q491"/>
      <c r="R491"/>
      <c r="S491"/>
    </row>
    <row r="492" spans="1:19" ht="15">
      <c r="A492"/>
      <c r="B492"/>
      <c r="C492"/>
      <c r="D492"/>
      <c r="E492"/>
      <c r="F492"/>
      <c r="G492"/>
      <c r="H492"/>
      <c r="I492"/>
      <c r="J492"/>
      <c r="K492"/>
      <c r="L492"/>
      <c r="M492"/>
      <c r="N492"/>
      <c r="O492"/>
      <c r="P492"/>
      <c r="Q492"/>
      <c r="R492"/>
      <c r="S492"/>
    </row>
    <row r="493" spans="1:19" ht="15">
      <c r="A493"/>
      <c r="B493"/>
      <c r="C493"/>
      <c r="D493"/>
      <c r="E493"/>
      <c r="F493"/>
      <c r="G493"/>
      <c r="H493"/>
      <c r="I493"/>
      <c r="J493"/>
      <c r="K493"/>
      <c r="L493"/>
      <c r="M493"/>
      <c r="N493"/>
      <c r="O493"/>
      <c r="P493"/>
      <c r="Q493"/>
      <c r="R493"/>
      <c r="S493"/>
    </row>
    <row r="494" spans="1:19" ht="15">
      <c r="A494"/>
      <c r="B494"/>
      <c r="C494"/>
      <c r="D494"/>
      <c r="E494"/>
      <c r="F494"/>
      <c r="G494"/>
      <c r="H494"/>
      <c r="I494"/>
      <c r="J494"/>
      <c r="K494"/>
      <c r="L494"/>
      <c r="M494"/>
      <c r="N494"/>
      <c r="O494"/>
      <c r="P494"/>
      <c r="Q494"/>
      <c r="R494"/>
      <c r="S494"/>
    </row>
    <row r="495" spans="1:19" ht="15">
      <c r="A495"/>
      <c r="B495"/>
      <c r="C495"/>
      <c r="D495"/>
      <c r="E495"/>
      <c r="F495"/>
      <c r="G495"/>
      <c r="H495"/>
      <c r="I495"/>
      <c r="J495"/>
      <c r="K495"/>
      <c r="L495"/>
      <c r="M495"/>
      <c r="N495"/>
      <c r="O495"/>
      <c r="P495"/>
      <c r="Q495"/>
      <c r="R495"/>
      <c r="S495"/>
    </row>
    <row r="496" spans="1:19" ht="15">
      <c r="A496"/>
      <c r="B496"/>
      <c r="C496"/>
      <c r="D496"/>
      <c r="E496"/>
      <c r="F496"/>
      <c r="G496"/>
      <c r="H496"/>
      <c r="I496"/>
      <c r="J496"/>
      <c r="K496"/>
      <c r="L496"/>
      <c r="M496"/>
      <c r="N496"/>
      <c r="O496"/>
      <c r="P496"/>
      <c r="Q496"/>
      <c r="R496"/>
      <c r="S496"/>
    </row>
    <row r="497" spans="1:19" ht="15">
      <c r="A497"/>
      <c r="B497"/>
      <c r="C497"/>
      <c r="D497"/>
      <c r="E497"/>
      <c r="F497"/>
      <c r="G497"/>
      <c r="H497"/>
      <c r="I497"/>
      <c r="J497"/>
      <c r="K497"/>
      <c r="L497"/>
      <c r="M497"/>
      <c r="N497"/>
      <c r="O497"/>
      <c r="P497"/>
      <c r="Q497"/>
      <c r="R497"/>
      <c r="S497"/>
    </row>
    <row r="498" spans="1:19" ht="15">
      <c r="A498"/>
      <c r="B498"/>
      <c r="C498"/>
      <c r="D498"/>
      <c r="E498"/>
      <c r="F498"/>
      <c r="G498"/>
      <c r="H498"/>
      <c r="I498"/>
      <c r="J498"/>
      <c r="K498"/>
      <c r="L498"/>
      <c r="M498"/>
      <c r="N498"/>
      <c r="O498"/>
      <c r="P498"/>
      <c r="Q498"/>
      <c r="R498"/>
      <c r="S498"/>
    </row>
    <row r="499" spans="1:19" ht="15">
      <c r="A499"/>
      <c r="B499"/>
      <c r="C499"/>
      <c r="D499"/>
      <c r="E499"/>
      <c r="F499"/>
      <c r="G499"/>
      <c r="H499"/>
      <c r="I499"/>
      <c r="J499"/>
      <c r="K499"/>
      <c r="L499"/>
      <c r="M499"/>
      <c r="N499"/>
      <c r="O499"/>
      <c r="P499"/>
      <c r="Q499"/>
      <c r="R499"/>
      <c r="S499"/>
    </row>
    <row r="500" spans="1:19" ht="15">
      <c r="A500"/>
      <c r="B500"/>
      <c r="C500"/>
      <c r="D500"/>
      <c r="E500"/>
      <c r="F500"/>
      <c r="G500"/>
      <c r="H500"/>
      <c r="I500"/>
      <c r="J500"/>
      <c r="K500"/>
      <c r="L500"/>
      <c r="M500"/>
      <c r="N500"/>
      <c r="O500"/>
      <c r="P500"/>
      <c r="Q500"/>
      <c r="R500"/>
      <c r="S500"/>
    </row>
    <row r="501" spans="1:19" ht="15">
      <c r="A501"/>
      <c r="B501"/>
      <c r="C501"/>
      <c r="D501"/>
      <c r="E501"/>
      <c r="F501"/>
      <c r="G501"/>
      <c r="H501"/>
      <c r="I501"/>
      <c r="J501"/>
      <c r="K501"/>
      <c r="L501"/>
      <c r="M501"/>
      <c r="N501"/>
      <c r="O501"/>
      <c r="P501"/>
      <c r="Q501"/>
      <c r="R501"/>
      <c r="S501"/>
    </row>
    <row r="502" spans="1:19" ht="15">
      <c r="A502"/>
      <c r="B502"/>
      <c r="C502"/>
      <c r="D502"/>
      <c r="E502"/>
      <c r="F502"/>
      <c r="G502"/>
      <c r="H502"/>
      <c r="I502"/>
      <c r="J502"/>
      <c r="K502"/>
      <c r="L502"/>
      <c r="M502"/>
      <c r="N502"/>
      <c r="O502"/>
      <c r="P502"/>
      <c r="Q502"/>
      <c r="R502"/>
      <c r="S502"/>
    </row>
    <row r="503" spans="1:19" ht="15">
      <c r="A503"/>
      <c r="B503"/>
      <c r="C503"/>
      <c r="D503"/>
      <c r="E503"/>
      <c r="F503"/>
      <c r="G503"/>
      <c r="H503"/>
      <c r="I503"/>
      <c r="J503"/>
      <c r="K503"/>
      <c r="L503"/>
      <c r="M503"/>
      <c r="N503"/>
      <c r="O503"/>
      <c r="P503"/>
      <c r="Q503"/>
      <c r="R503"/>
      <c r="S503"/>
    </row>
    <row r="504" spans="1:19" ht="15">
      <c r="A504"/>
      <c r="B504"/>
      <c r="C504"/>
      <c r="D504"/>
      <c r="E504"/>
      <c r="F504"/>
      <c r="G504"/>
      <c r="H504"/>
      <c r="I504"/>
      <c r="J504"/>
      <c r="K504"/>
      <c r="L504"/>
      <c r="M504"/>
      <c r="N504"/>
      <c r="O504"/>
      <c r="P504"/>
      <c r="Q504"/>
      <c r="R504"/>
      <c r="S504"/>
    </row>
    <row r="505" spans="1:19" ht="15">
      <c r="A505"/>
      <c r="B505"/>
      <c r="C505"/>
      <c r="D505"/>
      <c r="E505"/>
      <c r="F505"/>
      <c r="G505"/>
      <c r="H505"/>
      <c r="I505"/>
      <c r="J505"/>
      <c r="K505"/>
      <c r="L505"/>
      <c r="M505"/>
      <c r="N505"/>
      <c r="O505"/>
      <c r="P505"/>
      <c r="Q505"/>
      <c r="R505"/>
      <c r="S505"/>
    </row>
    <row r="506" spans="1:19" ht="15">
      <c r="A506"/>
      <c r="B506"/>
      <c r="C506"/>
      <c r="D506"/>
      <c r="E506"/>
      <c r="F506"/>
      <c r="G506"/>
      <c r="H506"/>
      <c r="I506"/>
      <c r="J506"/>
      <c r="K506"/>
      <c r="L506"/>
      <c r="M506"/>
      <c r="N506"/>
      <c r="O506"/>
      <c r="P506"/>
      <c r="Q506"/>
      <c r="R506"/>
      <c r="S506"/>
    </row>
    <row r="507" spans="1:19" ht="15">
      <c r="A507"/>
      <c r="B507"/>
      <c r="C507"/>
      <c r="D507"/>
      <c r="E507"/>
      <c r="F507"/>
      <c r="G507"/>
      <c r="H507"/>
      <c r="I507"/>
      <c r="J507"/>
      <c r="K507"/>
      <c r="L507"/>
      <c r="M507"/>
      <c r="N507"/>
      <c r="O507"/>
      <c r="P507"/>
      <c r="Q507"/>
      <c r="R507"/>
      <c r="S507"/>
    </row>
    <row r="508" spans="1:19" ht="15">
      <c r="A508"/>
      <c r="B508"/>
      <c r="C508"/>
      <c r="D508"/>
      <c r="E508"/>
      <c r="F508"/>
      <c r="G508"/>
      <c r="H508"/>
      <c r="I508"/>
      <c r="J508"/>
      <c r="K508"/>
      <c r="L508"/>
      <c r="M508"/>
      <c r="N508"/>
      <c r="O508"/>
      <c r="P508"/>
      <c r="Q508"/>
      <c r="R508"/>
      <c r="S508"/>
    </row>
    <row r="509" spans="1:19" ht="15">
      <c r="A509"/>
      <c r="B509"/>
      <c r="C509"/>
      <c r="D509"/>
      <c r="E509"/>
      <c r="F509"/>
      <c r="G509"/>
      <c r="H509"/>
      <c r="I509"/>
      <c r="J509"/>
      <c r="K509"/>
      <c r="L509"/>
      <c r="M509"/>
      <c r="N509"/>
      <c r="O509"/>
      <c r="P509"/>
      <c r="Q509"/>
      <c r="R509"/>
      <c r="S509"/>
    </row>
    <row r="510" spans="1:19" ht="15">
      <c r="A510"/>
      <c r="B510"/>
      <c r="C510"/>
      <c r="D510"/>
      <c r="E510"/>
      <c r="F510"/>
      <c r="G510"/>
      <c r="H510"/>
      <c r="I510"/>
      <c r="J510"/>
      <c r="K510"/>
      <c r="L510"/>
      <c r="M510"/>
      <c r="N510"/>
      <c r="O510"/>
      <c r="P510"/>
      <c r="Q510"/>
      <c r="R510"/>
      <c r="S510"/>
    </row>
    <row r="511" spans="1:19" ht="15">
      <c r="A511"/>
      <c r="B511"/>
      <c r="C511"/>
      <c r="D511"/>
      <c r="E511"/>
      <c r="F511"/>
      <c r="G511"/>
      <c r="H511"/>
      <c r="I511"/>
      <c r="J511"/>
      <c r="K511"/>
      <c r="L511"/>
      <c r="M511"/>
      <c r="N511"/>
      <c r="O511"/>
      <c r="P511"/>
      <c r="Q511"/>
      <c r="R511"/>
      <c r="S511"/>
    </row>
    <row r="512" spans="1:19" ht="15">
      <c r="A512"/>
      <c r="B512"/>
      <c r="C512"/>
      <c r="D512"/>
      <c r="E512"/>
      <c r="F512"/>
      <c r="G512"/>
      <c r="H512"/>
      <c r="I512"/>
      <c r="J512"/>
      <c r="K512"/>
      <c r="L512"/>
      <c r="M512"/>
      <c r="N512"/>
      <c r="O512"/>
      <c r="P512"/>
      <c r="Q512"/>
      <c r="R512"/>
      <c r="S512"/>
    </row>
    <row r="513" spans="1:19" ht="15">
      <c r="A513"/>
      <c r="B513"/>
      <c r="C513"/>
      <c r="D513"/>
      <c r="E513"/>
      <c r="F513"/>
      <c r="G513"/>
      <c r="H513"/>
      <c r="I513"/>
      <c r="J513"/>
      <c r="K513"/>
      <c r="L513"/>
      <c r="M513"/>
      <c r="N513"/>
      <c r="O513"/>
      <c r="P513"/>
      <c r="Q513"/>
      <c r="R513"/>
      <c r="S513"/>
    </row>
    <row r="514" spans="1:19" ht="15">
      <c r="A514"/>
      <c r="B514"/>
      <c r="C514"/>
      <c r="D514"/>
      <c r="E514"/>
      <c r="F514"/>
      <c r="G514"/>
      <c r="H514"/>
      <c r="I514"/>
      <c r="J514"/>
      <c r="K514"/>
      <c r="L514"/>
      <c r="M514"/>
      <c r="N514"/>
      <c r="O514"/>
      <c r="P514"/>
      <c r="Q514"/>
      <c r="R514"/>
      <c r="S514"/>
    </row>
    <row r="515" spans="1:19" ht="15">
      <c r="A515"/>
      <c r="B515"/>
      <c r="C515"/>
      <c r="D515"/>
      <c r="E515"/>
      <c r="F515"/>
      <c r="G515"/>
      <c r="H515"/>
      <c r="I515"/>
      <c r="J515"/>
      <c r="K515"/>
      <c r="L515"/>
      <c r="M515"/>
      <c r="N515"/>
      <c r="O515"/>
      <c r="P515"/>
      <c r="Q515"/>
      <c r="R515"/>
      <c r="S515"/>
    </row>
    <row r="516" spans="1:19" ht="15">
      <c r="A516"/>
      <c r="B516"/>
      <c r="C516"/>
      <c r="D516"/>
      <c r="E516"/>
      <c r="F516"/>
      <c r="G516"/>
      <c r="H516"/>
      <c r="I516"/>
      <c r="J516"/>
      <c r="K516"/>
      <c r="L516"/>
      <c r="M516"/>
      <c r="N516"/>
      <c r="O516"/>
      <c r="P516"/>
      <c r="Q516"/>
      <c r="R516"/>
      <c r="S516"/>
    </row>
    <row r="517" spans="1:19" ht="15">
      <c r="A517"/>
      <c r="B517"/>
      <c r="C517"/>
      <c r="D517"/>
      <c r="E517"/>
      <c r="F517"/>
      <c r="G517"/>
      <c r="H517"/>
      <c r="I517"/>
      <c r="J517"/>
      <c r="K517"/>
      <c r="L517"/>
      <c r="M517"/>
      <c r="N517"/>
      <c r="O517"/>
      <c r="P517"/>
      <c r="Q517"/>
      <c r="R517"/>
      <c r="S517"/>
    </row>
    <row r="518" spans="1:19" ht="15">
      <c r="A518"/>
      <c r="B518"/>
      <c r="C518"/>
      <c r="D518"/>
      <c r="E518"/>
      <c r="F518"/>
      <c r="G518"/>
      <c r="H518"/>
      <c r="I518"/>
      <c r="J518"/>
      <c r="K518"/>
      <c r="L518"/>
      <c r="M518"/>
      <c r="N518"/>
      <c r="O518"/>
      <c r="P518"/>
      <c r="Q518"/>
      <c r="R518"/>
      <c r="S518"/>
    </row>
    <row r="519" spans="1:19" ht="15">
      <c r="A519"/>
      <c r="B519"/>
      <c r="C519"/>
      <c r="D519"/>
      <c r="E519"/>
      <c r="F519"/>
      <c r="G519"/>
      <c r="H519"/>
      <c r="I519"/>
      <c r="J519"/>
      <c r="K519"/>
      <c r="L519"/>
      <c r="M519"/>
      <c r="N519"/>
      <c r="O519"/>
      <c r="P519"/>
      <c r="Q519"/>
      <c r="R519"/>
      <c r="S519"/>
    </row>
    <row r="520" spans="1:19" ht="15">
      <c r="A520"/>
      <c r="B520"/>
      <c r="C520"/>
      <c r="D520"/>
      <c r="E520"/>
      <c r="F520"/>
      <c r="G520"/>
      <c r="H520"/>
      <c r="I520"/>
      <c r="J520"/>
      <c r="K520"/>
      <c r="L520"/>
      <c r="M520"/>
      <c r="N520"/>
      <c r="O520"/>
      <c r="P520"/>
      <c r="Q520"/>
      <c r="R520"/>
      <c r="S520"/>
    </row>
    <row r="521" spans="1:19" ht="15">
      <c r="A521"/>
      <c r="B521"/>
      <c r="C521"/>
      <c r="D521"/>
      <c r="E521"/>
      <c r="F521"/>
      <c r="G521"/>
      <c r="H521"/>
      <c r="I521"/>
      <c r="J521"/>
      <c r="K521"/>
      <c r="L521"/>
      <c r="M521"/>
      <c r="N521"/>
      <c r="O521"/>
      <c r="P521"/>
      <c r="Q521"/>
      <c r="R521"/>
      <c r="S521"/>
    </row>
    <row r="522" spans="1:19" ht="15">
      <c r="A522"/>
      <c r="B522"/>
      <c r="C522"/>
      <c r="D522"/>
      <c r="E522"/>
      <c r="F522"/>
      <c r="G522"/>
      <c r="H522"/>
      <c r="I522"/>
      <c r="J522"/>
      <c r="K522"/>
      <c r="L522"/>
      <c r="M522"/>
      <c r="N522"/>
      <c r="O522"/>
      <c r="P522"/>
      <c r="Q522"/>
      <c r="R522"/>
      <c r="S522"/>
    </row>
    <row r="523" spans="1:19" ht="15">
      <c r="A523"/>
      <c r="B523"/>
      <c r="C523"/>
      <c r="D523"/>
      <c r="E523"/>
      <c r="F523"/>
      <c r="G523"/>
      <c r="H523"/>
      <c r="I523"/>
      <c r="J523"/>
      <c r="K523"/>
      <c r="L523"/>
      <c r="M523"/>
      <c r="N523"/>
      <c r="O523"/>
      <c r="P523"/>
      <c r="Q523"/>
      <c r="R523"/>
      <c r="S523"/>
    </row>
    <row r="524" spans="1:19" ht="15">
      <c r="A524"/>
      <c r="B524"/>
      <c r="C524"/>
      <c r="D524"/>
      <c r="E524"/>
      <c r="F524"/>
      <c r="G524"/>
      <c r="H524"/>
      <c r="I524"/>
      <c r="J524"/>
      <c r="K524"/>
      <c r="L524"/>
      <c r="M524"/>
      <c r="N524"/>
      <c r="O524"/>
      <c r="P524"/>
      <c r="Q524"/>
      <c r="R524"/>
      <c r="S524"/>
    </row>
    <row r="525" spans="1:19" ht="15">
      <c r="A525"/>
      <c r="B525"/>
      <c r="C525"/>
      <c r="D525"/>
      <c r="E525"/>
      <c r="F525"/>
      <c r="G525"/>
      <c r="H525"/>
      <c r="I525"/>
      <c r="J525"/>
      <c r="K525"/>
      <c r="L525"/>
      <c r="M525"/>
      <c r="N525"/>
      <c r="O525"/>
      <c r="P525"/>
      <c r="Q525"/>
      <c r="R525"/>
      <c r="S525"/>
    </row>
    <row r="526" spans="1:19" ht="15">
      <c r="A526"/>
      <c r="B526"/>
      <c r="C526"/>
      <c r="D526"/>
      <c r="E526"/>
      <c r="F526"/>
      <c r="G526"/>
      <c r="H526"/>
      <c r="I526"/>
      <c r="J526"/>
      <c r="K526"/>
      <c r="L526"/>
      <c r="M526"/>
      <c r="N526"/>
      <c r="O526"/>
      <c r="P526"/>
      <c r="Q526"/>
      <c r="R526"/>
      <c r="S526"/>
    </row>
    <row r="527" spans="1:19" ht="15">
      <c r="A527"/>
      <c r="B527"/>
      <c r="C527"/>
      <c r="D527"/>
      <c r="E527"/>
      <c r="F527"/>
      <c r="G527"/>
      <c r="H527"/>
      <c r="I527"/>
      <c r="J527"/>
      <c r="K527"/>
      <c r="L527"/>
      <c r="M527"/>
      <c r="N527"/>
      <c r="O527"/>
      <c r="P527"/>
      <c r="Q527"/>
      <c r="R527"/>
      <c r="S527"/>
    </row>
    <row r="528" spans="1:19" ht="15">
      <c r="A528"/>
      <c r="B528"/>
      <c r="C528"/>
      <c r="D528"/>
      <c r="E528"/>
      <c r="F528"/>
      <c r="G528"/>
      <c r="H528"/>
      <c r="I528"/>
      <c r="J528"/>
      <c r="K528"/>
      <c r="L528"/>
      <c r="M528"/>
      <c r="N528"/>
      <c r="O528"/>
      <c r="P528"/>
      <c r="Q528"/>
      <c r="R528"/>
      <c r="S528"/>
    </row>
    <row r="529" spans="1:19" ht="15">
      <c r="A529"/>
      <c r="B529"/>
      <c r="C529"/>
      <c r="D529"/>
      <c r="E529"/>
      <c r="F529"/>
      <c r="G529"/>
      <c r="H529"/>
      <c r="I529"/>
      <c r="J529"/>
      <c r="K529"/>
      <c r="L529"/>
      <c r="M529"/>
      <c r="N529"/>
      <c r="O529"/>
      <c r="P529"/>
      <c r="Q529"/>
      <c r="R529"/>
      <c r="S529"/>
    </row>
    <row r="530" spans="1:19" ht="15">
      <c r="A530"/>
      <c r="B530"/>
      <c r="C530"/>
      <c r="D530"/>
      <c r="E530"/>
      <c r="F530"/>
      <c r="G530"/>
      <c r="H530"/>
      <c r="I530"/>
      <c r="J530"/>
      <c r="K530"/>
      <c r="L530"/>
      <c r="M530"/>
      <c r="N530"/>
      <c r="O530"/>
      <c r="P530"/>
      <c r="Q530"/>
      <c r="R530"/>
      <c r="S530"/>
    </row>
    <row r="531" spans="1:19" ht="15">
      <c r="A531"/>
      <c r="B531"/>
      <c r="C531"/>
      <c r="D531"/>
      <c r="E531"/>
      <c r="F531"/>
      <c r="G531"/>
      <c r="H531"/>
      <c r="I531"/>
      <c r="J531"/>
      <c r="K531"/>
      <c r="L531"/>
      <c r="M531"/>
      <c r="N531"/>
      <c r="O531"/>
      <c r="P531"/>
      <c r="Q531"/>
      <c r="R531"/>
      <c r="S531"/>
    </row>
    <row r="532" spans="1:19" ht="15">
      <c r="A532"/>
      <c r="B532"/>
      <c r="C532"/>
      <c r="D532"/>
      <c r="E532"/>
      <c r="F532"/>
      <c r="G532"/>
      <c r="H532"/>
      <c r="I532"/>
      <c r="J532"/>
      <c r="K532"/>
      <c r="L532"/>
      <c r="M532"/>
      <c r="N532"/>
      <c r="O532"/>
      <c r="P532"/>
      <c r="Q532"/>
      <c r="R532"/>
      <c r="S532"/>
    </row>
    <row r="533" spans="1:19" ht="15">
      <c r="A533"/>
      <c r="B533"/>
      <c r="C533"/>
      <c r="D533"/>
      <c r="E533"/>
      <c r="F533"/>
      <c r="G533"/>
      <c r="H533"/>
      <c r="I533"/>
      <c r="J533"/>
      <c r="K533"/>
      <c r="L533"/>
      <c r="M533"/>
      <c r="N533"/>
      <c r="O533"/>
      <c r="P533"/>
      <c r="Q533"/>
      <c r="R533"/>
      <c r="S533"/>
    </row>
    <row r="534" spans="1:19" ht="15">
      <c r="A534"/>
      <c r="B534"/>
      <c r="C534"/>
      <c r="D534"/>
      <c r="E534"/>
      <c r="F534"/>
      <c r="G534"/>
      <c r="H534"/>
      <c r="I534"/>
      <c r="J534"/>
      <c r="K534"/>
      <c r="L534"/>
      <c r="M534"/>
      <c r="N534"/>
      <c r="O534"/>
      <c r="P534"/>
      <c r="Q534"/>
      <c r="R534"/>
      <c r="S534"/>
    </row>
    <row r="535" spans="1:19" ht="15">
      <c r="A535"/>
      <c r="B535"/>
      <c r="C535"/>
      <c r="D535"/>
      <c r="E535"/>
      <c r="F535"/>
      <c r="G535"/>
      <c r="H535"/>
      <c r="I535"/>
      <c r="J535"/>
      <c r="K535"/>
      <c r="L535"/>
      <c r="M535"/>
      <c r="N535"/>
      <c r="O535"/>
      <c r="P535"/>
      <c r="Q535"/>
      <c r="R535"/>
      <c r="S535"/>
    </row>
    <row r="536" spans="1:19" ht="15">
      <c r="A536"/>
      <c r="B536"/>
      <c r="C536"/>
      <c r="D536"/>
      <c r="E536"/>
      <c r="F536"/>
      <c r="G536"/>
      <c r="H536"/>
      <c r="I536"/>
      <c r="J536"/>
      <c r="K536"/>
      <c r="L536"/>
      <c r="M536"/>
      <c r="N536"/>
      <c r="O536"/>
      <c r="P536"/>
      <c r="Q536"/>
      <c r="R536"/>
      <c r="S536"/>
    </row>
    <row r="537" spans="1:19" ht="15">
      <c r="A537"/>
      <c r="B537"/>
      <c r="C537"/>
      <c r="D537"/>
      <c r="E537"/>
      <c r="F537"/>
      <c r="G537"/>
      <c r="H537"/>
      <c r="I537"/>
      <c r="J537"/>
      <c r="K537"/>
      <c r="L537"/>
      <c r="M537"/>
      <c r="N537"/>
      <c r="O537"/>
      <c r="P537"/>
      <c r="Q537"/>
      <c r="R537"/>
      <c r="S537"/>
    </row>
    <row r="538" spans="1:19" ht="15">
      <c r="A538"/>
      <c r="B538"/>
      <c r="C538"/>
      <c r="D538"/>
      <c r="E538"/>
      <c r="F538"/>
      <c r="G538"/>
      <c r="H538"/>
      <c r="I538"/>
      <c r="J538"/>
      <c r="K538"/>
      <c r="L538"/>
      <c r="M538"/>
      <c r="N538"/>
      <c r="O538"/>
      <c r="P538"/>
      <c r="Q538"/>
      <c r="R538"/>
      <c r="S538"/>
    </row>
    <row r="539" spans="1:19" ht="15">
      <c r="A539"/>
      <c r="B539"/>
      <c r="C539"/>
      <c r="D539"/>
      <c r="E539"/>
      <c r="F539"/>
      <c r="G539"/>
      <c r="H539"/>
      <c r="I539"/>
      <c r="J539"/>
      <c r="K539"/>
      <c r="L539"/>
      <c r="M539"/>
      <c r="N539"/>
      <c r="O539"/>
      <c r="P539"/>
      <c r="Q539"/>
      <c r="R539"/>
      <c r="S539"/>
    </row>
    <row r="540" spans="1:19" ht="15">
      <c r="A540"/>
      <c r="B540"/>
      <c r="C540"/>
      <c r="D540"/>
      <c r="E540"/>
      <c r="F540"/>
      <c r="G540"/>
      <c r="H540"/>
      <c r="I540"/>
      <c r="J540"/>
      <c r="K540"/>
      <c r="L540"/>
      <c r="M540"/>
      <c r="N540"/>
      <c r="O540"/>
      <c r="P540"/>
      <c r="Q540"/>
      <c r="R540"/>
      <c r="S540"/>
    </row>
    <row r="541" spans="1:19" ht="15">
      <c r="A541"/>
      <c r="B541"/>
      <c r="C541"/>
      <c r="D541"/>
      <c r="E541"/>
      <c r="F541"/>
      <c r="G541"/>
      <c r="H541"/>
      <c r="I541"/>
      <c r="J541"/>
      <c r="K541"/>
      <c r="L541"/>
      <c r="M541"/>
      <c r="N541"/>
      <c r="O541"/>
      <c r="P541"/>
      <c r="Q541"/>
      <c r="R541"/>
      <c r="S541"/>
    </row>
    <row r="542" spans="1:19" ht="15">
      <c r="A542"/>
      <c r="B542"/>
      <c r="C542"/>
      <c r="D542"/>
      <c r="E542"/>
      <c r="F542"/>
      <c r="G542"/>
      <c r="H542"/>
      <c r="I542"/>
      <c r="J542"/>
      <c r="K542"/>
      <c r="L542"/>
      <c r="M542"/>
      <c r="N542"/>
      <c r="O542"/>
      <c r="P542"/>
      <c r="Q542"/>
      <c r="R542"/>
      <c r="S542"/>
    </row>
    <row r="543" spans="1:19" ht="15">
      <c r="A543"/>
      <c r="B543"/>
      <c r="C543"/>
      <c r="D543"/>
      <c r="E543"/>
      <c r="F543"/>
      <c r="G543"/>
      <c r="H543"/>
      <c r="I543"/>
      <c r="J543"/>
      <c r="K543"/>
      <c r="L543"/>
      <c r="M543"/>
      <c r="N543"/>
      <c r="O543"/>
      <c r="P543"/>
      <c r="Q543"/>
      <c r="R543"/>
      <c r="S543"/>
    </row>
    <row r="544" spans="1:19" ht="15">
      <c r="A544"/>
      <c r="B544"/>
      <c r="C544"/>
      <c r="D544"/>
      <c r="E544"/>
      <c r="F544"/>
      <c r="G544"/>
      <c r="H544"/>
      <c r="I544"/>
      <c r="J544"/>
      <c r="K544"/>
      <c r="L544"/>
      <c r="M544"/>
      <c r="N544"/>
      <c r="O544"/>
      <c r="P544"/>
      <c r="Q544"/>
      <c r="R544"/>
      <c r="S544"/>
    </row>
    <row r="545" spans="1:19" ht="15">
      <c r="A545"/>
      <c r="B545"/>
      <c r="C545"/>
      <c r="D545"/>
      <c r="E545"/>
      <c r="F545"/>
      <c r="G545"/>
      <c r="H545"/>
      <c r="I545"/>
      <c r="J545"/>
      <c r="K545"/>
      <c r="L545"/>
      <c r="M545"/>
      <c r="N545"/>
      <c r="O545"/>
      <c r="P545"/>
      <c r="Q545"/>
      <c r="R545"/>
      <c r="S545"/>
    </row>
    <row r="546" spans="1:19" ht="15">
      <c r="A546"/>
      <c r="B546"/>
      <c r="C546"/>
      <c r="D546"/>
      <c r="E546"/>
      <c r="F546"/>
      <c r="G546"/>
      <c r="H546"/>
      <c r="I546"/>
      <c r="J546"/>
      <c r="K546"/>
      <c r="L546"/>
      <c r="M546"/>
      <c r="N546"/>
      <c r="O546"/>
      <c r="P546"/>
      <c r="Q546"/>
      <c r="R546"/>
      <c r="S546"/>
    </row>
    <row r="547" spans="1:19" ht="15">
      <c r="A547"/>
      <c r="B547"/>
      <c r="C547"/>
      <c r="D547"/>
      <c r="E547"/>
      <c r="F547"/>
      <c r="G547"/>
      <c r="H547"/>
      <c r="I547"/>
      <c r="J547"/>
      <c r="K547"/>
      <c r="L547"/>
      <c r="M547"/>
      <c r="N547"/>
      <c r="O547"/>
      <c r="P547"/>
      <c r="Q547"/>
      <c r="R547"/>
      <c r="S547"/>
    </row>
    <row r="548" spans="1:19" ht="15">
      <c r="A548"/>
      <c r="B548"/>
      <c r="C548"/>
      <c r="D548"/>
      <c r="E548"/>
      <c r="F548"/>
      <c r="G548"/>
      <c r="H548"/>
      <c r="I548"/>
      <c r="J548"/>
      <c r="K548"/>
      <c r="L548"/>
      <c r="M548"/>
      <c r="N548"/>
      <c r="O548"/>
      <c r="P548"/>
      <c r="Q548"/>
      <c r="R548"/>
      <c r="S548"/>
    </row>
    <row r="549" spans="1:19" ht="15">
      <c r="A549"/>
      <c r="B549"/>
      <c r="C549"/>
      <c r="D549"/>
      <c r="E549"/>
      <c r="F549"/>
      <c r="G549"/>
      <c r="H549"/>
      <c r="I549"/>
      <c r="J549"/>
      <c r="K549"/>
      <c r="L549"/>
      <c r="M549"/>
      <c r="N549"/>
      <c r="O549"/>
      <c r="P549"/>
      <c r="Q549"/>
      <c r="R549"/>
      <c r="S549"/>
    </row>
    <row r="550" spans="1:19" ht="15">
      <c r="A550"/>
      <c r="B550"/>
      <c r="C550"/>
      <c r="D550"/>
      <c r="E550"/>
      <c r="F550"/>
      <c r="G550"/>
      <c r="H550"/>
      <c r="I550"/>
      <c r="J550"/>
      <c r="K550"/>
      <c r="L550"/>
      <c r="M550"/>
      <c r="N550"/>
      <c r="O550"/>
      <c r="P550"/>
      <c r="Q550"/>
      <c r="R550"/>
      <c r="S550"/>
    </row>
    <row r="551" spans="1:19" ht="15">
      <c r="A551"/>
      <c r="B551"/>
      <c r="C551"/>
      <c r="D551"/>
      <c r="E551"/>
      <c r="F551"/>
      <c r="G551"/>
      <c r="H551"/>
      <c r="I551"/>
      <c r="J551"/>
      <c r="K551"/>
      <c r="L551"/>
      <c r="M551"/>
      <c r="N551"/>
      <c r="O551"/>
      <c r="P551"/>
      <c r="Q551"/>
      <c r="R551"/>
      <c r="S551"/>
    </row>
    <row r="552" spans="1:19" ht="15">
      <c r="A552"/>
      <c r="B552"/>
      <c r="C552"/>
      <c r="D552"/>
      <c r="E552"/>
      <c r="F552"/>
      <c r="G552"/>
      <c r="H552"/>
      <c r="I552"/>
      <c r="J552"/>
      <c r="K552"/>
      <c r="L552"/>
      <c r="M552"/>
      <c r="N552"/>
      <c r="O552"/>
      <c r="P552"/>
      <c r="Q552"/>
      <c r="R552"/>
      <c r="S552"/>
    </row>
    <row r="553" spans="1:19" ht="15">
      <c r="A553"/>
      <c r="B553"/>
      <c r="C553"/>
      <c r="D553"/>
      <c r="E553"/>
      <c r="F553"/>
      <c r="G553"/>
      <c r="H553"/>
      <c r="I553"/>
      <c r="J553"/>
      <c r="K553"/>
      <c r="L553"/>
      <c r="M553"/>
      <c r="N553"/>
      <c r="O553"/>
      <c r="P553"/>
      <c r="Q553"/>
      <c r="R553"/>
      <c r="S553"/>
    </row>
    <row r="554" spans="1:19" ht="15">
      <c r="A554"/>
      <c r="B554"/>
      <c r="C554"/>
      <c r="D554"/>
      <c r="E554"/>
      <c r="F554"/>
      <c r="G554"/>
      <c r="H554"/>
      <c r="I554"/>
      <c r="J554"/>
      <c r="K554"/>
      <c r="L554"/>
      <c r="M554"/>
      <c r="N554"/>
      <c r="O554"/>
      <c r="P554"/>
      <c r="Q554"/>
      <c r="R554"/>
      <c r="S554"/>
    </row>
    <row r="555" spans="1:19" ht="15">
      <c r="A555"/>
      <c r="B555"/>
      <c r="C555"/>
      <c r="D555"/>
      <c r="E555"/>
      <c r="F555"/>
      <c r="G555"/>
      <c r="H555"/>
      <c r="I555"/>
      <c r="J555"/>
      <c r="K555"/>
      <c r="L555"/>
      <c r="M555"/>
      <c r="N555"/>
      <c r="O555"/>
      <c r="P555"/>
      <c r="Q555"/>
      <c r="R555"/>
      <c r="S555"/>
    </row>
    <row r="556" spans="1:19" ht="15">
      <c r="A556"/>
      <c r="B556"/>
      <c r="C556"/>
      <c r="D556"/>
      <c r="E556"/>
      <c r="F556"/>
      <c r="G556"/>
      <c r="H556"/>
      <c r="I556"/>
      <c r="J556"/>
      <c r="K556"/>
      <c r="L556"/>
      <c r="M556"/>
      <c r="N556"/>
      <c r="O556"/>
      <c r="P556"/>
      <c r="Q556"/>
      <c r="R556"/>
      <c r="S556"/>
    </row>
    <row r="557" spans="1:19" ht="15">
      <c r="A557"/>
      <c r="B557"/>
      <c r="C557"/>
      <c r="D557"/>
      <c r="E557"/>
      <c r="F557"/>
      <c r="G557"/>
      <c r="H557"/>
      <c r="I557"/>
      <c r="J557"/>
      <c r="K557"/>
      <c r="L557"/>
      <c r="M557"/>
      <c r="N557"/>
      <c r="O557"/>
      <c r="P557"/>
      <c r="Q557"/>
      <c r="R557"/>
      <c r="S557"/>
    </row>
    <row r="558" spans="1:19" ht="15">
      <c r="A558"/>
      <c r="B558"/>
      <c r="C558"/>
      <c r="D558"/>
      <c r="E558"/>
      <c r="F558"/>
      <c r="G558"/>
      <c r="H558"/>
      <c r="I558"/>
      <c r="J558"/>
      <c r="K558"/>
      <c r="L558"/>
      <c r="M558"/>
      <c r="N558"/>
      <c r="O558"/>
      <c r="P558"/>
      <c r="Q558"/>
      <c r="R558"/>
      <c r="S558"/>
    </row>
    <row r="559" spans="1:19" ht="15">
      <c r="A559"/>
      <c r="B559"/>
      <c r="C559"/>
      <c r="D559"/>
      <c r="E559"/>
      <c r="F559"/>
      <c r="G559"/>
      <c r="H559"/>
      <c r="I559"/>
      <c r="J559"/>
      <c r="K559"/>
      <c r="L559"/>
      <c r="M559"/>
      <c r="N559"/>
      <c r="O559"/>
      <c r="P559"/>
      <c r="Q559"/>
      <c r="R559"/>
      <c r="S559"/>
    </row>
    <row r="560" spans="1:19" ht="15">
      <c r="A560"/>
      <c r="B560"/>
      <c r="C560"/>
      <c r="D560"/>
      <c r="E560"/>
      <c r="F560"/>
      <c r="G560"/>
      <c r="H560"/>
      <c r="I560"/>
      <c r="J560"/>
      <c r="K560"/>
      <c r="L560"/>
      <c r="M560"/>
      <c r="N560"/>
      <c r="O560"/>
      <c r="P560"/>
      <c r="Q560"/>
      <c r="R560"/>
      <c r="S560"/>
    </row>
    <row r="561" spans="1:19" ht="15">
      <c r="A561"/>
      <c r="B561"/>
      <c r="C561"/>
      <c r="D561"/>
      <c r="E561"/>
      <c r="F561"/>
      <c r="G561"/>
      <c r="H561"/>
      <c r="I561"/>
      <c r="J561"/>
      <c r="K561"/>
      <c r="L561"/>
      <c r="M561"/>
      <c r="N561"/>
      <c r="O561"/>
      <c r="P561"/>
      <c r="Q561"/>
      <c r="R561"/>
      <c r="S561"/>
    </row>
    <row r="562" spans="1:19" ht="15">
      <c r="A562"/>
      <c r="B562"/>
      <c r="C562"/>
      <c r="D562"/>
      <c r="E562"/>
      <c r="F562"/>
      <c r="G562"/>
      <c r="H562"/>
      <c r="I562"/>
      <c r="J562"/>
      <c r="K562"/>
      <c r="L562"/>
      <c r="M562"/>
      <c r="N562"/>
      <c r="O562"/>
      <c r="P562"/>
      <c r="Q562"/>
      <c r="R562"/>
      <c r="S562"/>
    </row>
    <row r="563" spans="1:19" ht="15">
      <c r="A563"/>
      <c r="B563"/>
      <c r="C563"/>
      <c r="D563"/>
      <c r="E563"/>
      <c r="F563"/>
      <c r="G563"/>
      <c r="H563"/>
      <c r="I563"/>
      <c r="J563"/>
      <c r="K563"/>
      <c r="L563"/>
      <c r="M563"/>
      <c r="N563"/>
      <c r="O563"/>
      <c r="P563"/>
      <c r="Q563"/>
      <c r="R563"/>
      <c r="S563"/>
    </row>
    <row r="564" spans="1:19" ht="15">
      <c r="A564"/>
      <c r="B564"/>
      <c r="C564"/>
      <c r="D564"/>
      <c r="E564"/>
      <c r="F564"/>
      <c r="G564"/>
      <c r="H564"/>
      <c r="I564"/>
      <c r="J564"/>
      <c r="K564"/>
      <c r="L564"/>
      <c r="M564"/>
      <c r="N564"/>
      <c r="O564"/>
      <c r="P564"/>
      <c r="Q564"/>
      <c r="R564"/>
      <c r="S564"/>
    </row>
    <row r="565" spans="1:19" ht="15">
      <c r="A565"/>
      <c r="B565"/>
      <c r="C565"/>
      <c r="D565"/>
      <c r="E565"/>
      <c r="F565"/>
      <c r="G565"/>
      <c r="H565"/>
      <c r="I565"/>
      <c r="J565"/>
      <c r="K565"/>
      <c r="L565"/>
      <c r="M565"/>
      <c r="N565"/>
      <c r="O565"/>
      <c r="P565"/>
      <c r="Q565"/>
      <c r="R565"/>
      <c r="S565"/>
    </row>
    <row r="566" spans="1:19" ht="15">
      <c r="A566"/>
      <c r="B566"/>
      <c r="C566"/>
      <c r="D566"/>
      <c r="E566"/>
      <c r="F566"/>
      <c r="G566"/>
      <c r="H566"/>
      <c r="I566"/>
      <c r="J566"/>
      <c r="K566"/>
      <c r="L566"/>
      <c r="M566"/>
      <c r="N566"/>
      <c r="O566"/>
      <c r="P566"/>
      <c r="Q566"/>
      <c r="R566"/>
      <c r="S566"/>
    </row>
    <row r="567" spans="1:19" ht="15">
      <c r="A567"/>
      <c r="B567"/>
      <c r="C567"/>
      <c r="D567"/>
      <c r="E567"/>
      <c r="F567"/>
      <c r="G567"/>
      <c r="H567"/>
      <c r="I567"/>
      <c r="J567"/>
      <c r="K567"/>
      <c r="L567"/>
      <c r="M567"/>
      <c r="N567"/>
      <c r="O567"/>
      <c r="P567"/>
      <c r="Q567"/>
      <c r="R567"/>
      <c r="S567"/>
    </row>
    <row r="568" spans="1:19" ht="15">
      <c r="A568"/>
      <c r="B568"/>
      <c r="C568"/>
      <c r="D568"/>
      <c r="E568"/>
      <c r="F568"/>
      <c r="G568"/>
      <c r="H568"/>
      <c r="I568"/>
      <c r="J568"/>
      <c r="K568"/>
      <c r="L568"/>
      <c r="M568"/>
      <c r="N568"/>
      <c r="O568"/>
      <c r="P568"/>
      <c r="Q568"/>
      <c r="R568"/>
      <c r="S568"/>
    </row>
    <row r="569" spans="1:19" ht="15">
      <c r="A569"/>
      <c r="B569"/>
      <c r="C569"/>
      <c r="D569"/>
      <c r="E569"/>
      <c r="F569"/>
      <c r="G569"/>
      <c r="H569"/>
      <c r="I569"/>
      <c r="J569"/>
      <c r="K569"/>
      <c r="L569"/>
      <c r="M569"/>
      <c r="N569"/>
      <c r="O569"/>
      <c r="P569"/>
      <c r="Q569"/>
      <c r="R569"/>
      <c r="S569"/>
    </row>
    <row r="570" spans="1:19" ht="15">
      <c r="A570"/>
      <c r="B570"/>
      <c r="C570"/>
      <c r="D570"/>
      <c r="E570"/>
      <c r="F570"/>
      <c r="G570"/>
      <c r="H570"/>
      <c r="I570"/>
      <c r="J570"/>
      <c r="K570"/>
      <c r="L570"/>
      <c r="M570"/>
      <c r="N570"/>
      <c r="O570"/>
      <c r="P570"/>
      <c r="Q570"/>
      <c r="R570"/>
      <c r="S570"/>
    </row>
    <row r="571" spans="1:19" ht="15">
      <c r="A571"/>
      <c r="B571"/>
      <c r="C571"/>
      <c r="D571"/>
      <c r="E571"/>
      <c r="F571"/>
      <c r="G571"/>
      <c r="H571"/>
      <c r="I571"/>
      <c r="J571"/>
      <c r="K571"/>
      <c r="L571"/>
      <c r="M571"/>
      <c r="N571"/>
      <c r="O571"/>
      <c r="P571"/>
      <c r="Q571"/>
      <c r="R571"/>
      <c r="S571"/>
    </row>
    <row r="572" spans="1:19" ht="15">
      <c r="A572"/>
      <c r="B572"/>
      <c r="C572"/>
      <c r="D572"/>
      <c r="E572"/>
      <c r="F572"/>
      <c r="G572"/>
      <c r="H572"/>
      <c r="I572"/>
      <c r="J572"/>
      <c r="K572"/>
      <c r="L572"/>
      <c r="M572"/>
      <c r="N572"/>
      <c r="O572"/>
      <c r="P572"/>
      <c r="Q572"/>
      <c r="R572"/>
      <c r="S572"/>
    </row>
    <row r="573" spans="1:19" ht="15">
      <c r="A573"/>
      <c r="B573"/>
      <c r="C573"/>
      <c r="D573"/>
      <c r="E573"/>
      <c r="F573"/>
      <c r="G573"/>
      <c r="H573"/>
      <c r="I573"/>
      <c r="J573"/>
      <c r="K573"/>
      <c r="L573"/>
      <c r="M573"/>
      <c r="N573"/>
      <c r="O573"/>
      <c r="P573"/>
      <c r="Q573"/>
      <c r="R573"/>
      <c r="S573"/>
    </row>
    <row r="574" spans="1:19" ht="15">
      <c r="A574"/>
      <c r="B574"/>
      <c r="C574"/>
      <c r="D574"/>
      <c r="E574"/>
      <c r="F574"/>
      <c r="G574"/>
      <c r="H574"/>
      <c r="I574"/>
      <c r="J574"/>
      <c r="K574"/>
      <c r="L574"/>
      <c r="M574"/>
      <c r="N574"/>
      <c r="O574"/>
      <c r="P574"/>
      <c r="Q574"/>
      <c r="R574"/>
      <c r="S574"/>
    </row>
    <row r="575" spans="1:19" ht="15">
      <c r="A575"/>
      <c r="B575"/>
      <c r="C575"/>
      <c r="D575"/>
      <c r="E575"/>
      <c r="F575"/>
      <c r="G575"/>
      <c r="H575"/>
      <c r="I575"/>
      <c r="J575"/>
      <c r="K575"/>
      <c r="L575"/>
      <c r="M575"/>
      <c r="N575"/>
      <c r="O575"/>
      <c r="P575"/>
      <c r="Q575"/>
      <c r="R575"/>
      <c r="S575"/>
    </row>
    <row r="576" spans="1:19" ht="15">
      <c r="A576"/>
      <c r="B576"/>
      <c r="C576"/>
      <c r="D576"/>
      <c r="E576"/>
      <c r="F576"/>
      <c r="G576"/>
      <c r="H576"/>
      <c r="I576"/>
      <c r="J576"/>
      <c r="K576"/>
      <c r="L576"/>
      <c r="M576"/>
      <c r="N576"/>
      <c r="O576"/>
      <c r="P576"/>
      <c r="Q576"/>
      <c r="R576"/>
      <c r="S576"/>
    </row>
    <row r="577" spans="1:19" ht="15">
      <c r="A577"/>
      <c r="B577"/>
      <c r="C577"/>
      <c r="D577"/>
      <c r="E577"/>
      <c r="F577"/>
      <c r="G577"/>
      <c r="H577"/>
      <c r="I577"/>
      <c r="J577"/>
      <c r="K577"/>
      <c r="L577"/>
      <c r="M577"/>
      <c r="N577"/>
      <c r="O577"/>
      <c r="P577"/>
      <c r="Q577"/>
      <c r="R577"/>
      <c r="S577"/>
    </row>
    <row r="578" spans="1:19" ht="15">
      <c r="A578"/>
      <c r="B578"/>
      <c r="C578"/>
      <c r="D578"/>
      <c r="E578"/>
      <c r="F578"/>
      <c r="G578"/>
      <c r="H578"/>
      <c r="I578"/>
      <c r="J578"/>
      <c r="K578"/>
      <c r="L578"/>
      <c r="M578"/>
      <c r="N578"/>
      <c r="O578"/>
      <c r="P578"/>
      <c r="Q578"/>
      <c r="R578"/>
      <c r="S578"/>
    </row>
    <row r="579" spans="1:19" ht="15">
      <c r="A579"/>
      <c r="B579"/>
      <c r="C579"/>
      <c r="D579"/>
      <c r="E579"/>
      <c r="F579"/>
      <c r="G579"/>
      <c r="H579"/>
      <c r="I579"/>
      <c r="J579"/>
      <c r="K579"/>
      <c r="L579"/>
      <c r="M579"/>
      <c r="N579"/>
      <c r="O579"/>
      <c r="P579"/>
      <c r="Q579"/>
      <c r="R579"/>
      <c r="S579"/>
    </row>
    <row r="580" spans="1:19" ht="15">
      <c r="A580"/>
      <c r="B580"/>
      <c r="C580"/>
      <c r="D580"/>
      <c r="E580"/>
      <c r="F580"/>
      <c r="G580"/>
      <c r="H580"/>
      <c r="I580"/>
      <c r="J580"/>
      <c r="K580"/>
      <c r="L580"/>
      <c r="M580"/>
      <c r="N580"/>
      <c r="O580"/>
      <c r="P580"/>
      <c r="Q580"/>
      <c r="R580"/>
      <c r="S580"/>
    </row>
    <row r="581" spans="1:19" ht="15">
      <c r="A581"/>
      <c r="B581"/>
      <c r="C581"/>
      <c r="D581"/>
      <c r="E581"/>
      <c r="F581"/>
      <c r="G581"/>
      <c r="H581"/>
      <c r="I581"/>
      <c r="J581"/>
      <c r="K581"/>
      <c r="L581"/>
      <c r="M581"/>
      <c r="N581"/>
      <c r="O581"/>
      <c r="P581"/>
      <c r="Q581"/>
      <c r="R581"/>
      <c r="S581"/>
    </row>
    <row r="582" spans="1:19" ht="15">
      <c r="A582"/>
      <c r="B582"/>
      <c r="C582"/>
      <c r="D582"/>
      <c r="E582"/>
      <c r="F582"/>
      <c r="G582"/>
      <c r="H582"/>
      <c r="I582"/>
      <c r="J582"/>
      <c r="K582"/>
      <c r="L582"/>
      <c r="M582"/>
      <c r="N582"/>
      <c r="O582"/>
      <c r="P582"/>
      <c r="Q582"/>
      <c r="R582"/>
      <c r="S582"/>
    </row>
    <row r="583" spans="1:19" ht="15">
      <c r="A583"/>
      <c r="B583"/>
      <c r="C583"/>
      <c r="D583"/>
      <c r="E583"/>
      <c r="F583"/>
      <c r="G583"/>
      <c r="H583"/>
      <c r="I583"/>
      <c r="J583"/>
      <c r="K583"/>
      <c r="L583"/>
      <c r="M583"/>
      <c r="N583"/>
      <c r="O583"/>
      <c r="P583"/>
      <c r="Q583"/>
      <c r="R583"/>
      <c r="S583"/>
    </row>
    <row r="584" spans="1:19" ht="15">
      <c r="A584"/>
      <c r="B584"/>
      <c r="C584"/>
      <c r="D584"/>
      <c r="E584"/>
      <c r="F584"/>
      <c r="G584"/>
      <c r="H584"/>
      <c r="I584"/>
      <c r="J584"/>
      <c r="K584"/>
      <c r="L584"/>
      <c r="M584"/>
      <c r="N584"/>
      <c r="O584"/>
      <c r="P584"/>
      <c r="Q584"/>
      <c r="R584"/>
      <c r="S584"/>
    </row>
    <row r="585" spans="1:19" ht="15">
      <c r="A585"/>
      <c r="B585"/>
      <c r="C585"/>
      <c r="D585"/>
      <c r="E585"/>
      <c r="F585"/>
      <c r="G585"/>
      <c r="H585"/>
      <c r="I585"/>
      <c r="J585"/>
      <c r="K585"/>
      <c r="L585"/>
      <c r="M585"/>
      <c r="N585"/>
      <c r="O585"/>
      <c r="P585"/>
      <c r="Q585"/>
      <c r="R585"/>
      <c r="S585"/>
    </row>
    <row r="586" spans="1:19" ht="15">
      <c r="A586"/>
      <c r="B586"/>
      <c r="C586"/>
      <c r="D586"/>
      <c r="E586"/>
      <c r="F586"/>
      <c r="G586"/>
      <c r="H586"/>
      <c r="I586"/>
      <c r="J586"/>
      <c r="K586"/>
      <c r="L586"/>
      <c r="M586"/>
      <c r="N586"/>
      <c r="O586"/>
      <c r="P586"/>
      <c r="Q586"/>
      <c r="R586"/>
      <c r="S586"/>
    </row>
    <row r="587" spans="1:19" ht="15">
      <c r="A587"/>
      <c r="B587"/>
      <c r="C587"/>
      <c r="D587"/>
      <c r="E587"/>
      <c r="F587"/>
      <c r="G587"/>
      <c r="H587"/>
      <c r="I587"/>
      <c r="J587"/>
      <c r="K587"/>
      <c r="L587"/>
      <c r="M587"/>
      <c r="N587"/>
      <c r="O587"/>
      <c r="P587"/>
      <c r="Q587"/>
      <c r="R587"/>
      <c r="S587"/>
    </row>
    <row r="588" spans="1:19" ht="15">
      <c r="A588"/>
      <c r="B588"/>
      <c r="C588"/>
      <c r="D588"/>
      <c r="E588"/>
      <c r="F588"/>
      <c r="G588"/>
      <c r="H588"/>
      <c r="I588"/>
      <c r="J588"/>
      <c r="K588"/>
      <c r="L588"/>
      <c r="M588"/>
      <c r="N588"/>
      <c r="O588"/>
      <c r="P588"/>
      <c r="Q588"/>
      <c r="R588"/>
      <c r="S588"/>
    </row>
    <row r="589" spans="1:19" ht="15">
      <c r="A589"/>
      <c r="B589"/>
      <c r="C589"/>
      <c r="D589"/>
      <c r="E589"/>
      <c r="F589"/>
      <c r="G589"/>
      <c r="H589"/>
      <c r="I589"/>
      <c r="J589"/>
      <c r="K589"/>
      <c r="L589"/>
      <c r="M589"/>
      <c r="N589"/>
      <c r="O589"/>
      <c r="P589"/>
      <c r="Q589"/>
      <c r="R589"/>
      <c r="S589"/>
    </row>
    <row r="590" spans="1:19" ht="15">
      <c r="A590"/>
      <c r="B590"/>
      <c r="C590"/>
      <c r="D590"/>
      <c r="E590"/>
      <c r="F590"/>
      <c r="G590"/>
      <c r="H590"/>
      <c r="I590"/>
      <c r="J590"/>
      <c r="K590"/>
      <c r="L590"/>
      <c r="M590"/>
      <c r="N590"/>
      <c r="O590"/>
      <c r="P590"/>
      <c r="Q590"/>
      <c r="R590"/>
      <c r="S590"/>
    </row>
    <row r="591" spans="1:19" ht="15">
      <c r="A591"/>
      <c r="B591"/>
      <c r="C591"/>
      <c r="D591"/>
      <c r="E591"/>
      <c r="F591"/>
      <c r="G591"/>
      <c r="H591"/>
      <c r="I591"/>
      <c r="J591"/>
      <c r="K591"/>
      <c r="L591"/>
      <c r="M591"/>
      <c r="N591"/>
      <c r="O591"/>
      <c r="P591"/>
      <c r="Q591"/>
      <c r="R591"/>
      <c r="S591"/>
    </row>
    <row r="592" spans="1:19" ht="15">
      <c r="A592"/>
      <c r="B592"/>
      <c r="C592"/>
      <c r="D592"/>
      <c r="E592"/>
      <c r="F592"/>
      <c r="G592"/>
      <c r="H592"/>
      <c r="I592"/>
      <c r="J592"/>
      <c r="K592"/>
      <c r="L592"/>
      <c r="M592"/>
      <c r="N592"/>
      <c r="O592"/>
      <c r="P592"/>
      <c r="Q592"/>
      <c r="R592"/>
      <c r="S592"/>
    </row>
    <row r="593" spans="1:19" ht="15">
      <c r="A593"/>
      <c r="B593"/>
      <c r="C593"/>
      <c r="D593"/>
      <c r="E593"/>
      <c r="F593"/>
      <c r="G593"/>
      <c r="H593"/>
      <c r="I593"/>
      <c r="J593"/>
      <c r="K593"/>
      <c r="L593"/>
      <c r="M593"/>
      <c r="N593"/>
      <c r="O593"/>
      <c r="P593"/>
      <c r="Q593"/>
      <c r="R593"/>
      <c r="S593"/>
    </row>
    <row r="594" spans="1:19" ht="15">
      <c r="A594"/>
      <c r="B594"/>
      <c r="C594"/>
      <c r="D594"/>
      <c r="E594"/>
      <c r="F594"/>
      <c r="G594"/>
      <c r="H594"/>
      <c r="I594"/>
      <c r="J594"/>
      <c r="K594"/>
      <c r="L594"/>
      <c r="M594"/>
      <c r="N594"/>
      <c r="O594"/>
      <c r="P594"/>
      <c r="Q594"/>
      <c r="R594"/>
      <c r="S594"/>
    </row>
    <row r="595" spans="1:19" ht="15">
      <c r="A595"/>
      <c r="B595"/>
      <c r="C595"/>
      <c r="D595"/>
      <c r="E595"/>
      <c r="F595"/>
      <c r="G595"/>
      <c r="H595"/>
      <c r="I595"/>
      <c r="J595"/>
      <c r="K595"/>
      <c r="L595"/>
      <c r="M595"/>
      <c r="N595"/>
      <c r="O595"/>
      <c r="P595"/>
      <c r="Q595"/>
      <c r="R595"/>
      <c r="S595"/>
    </row>
    <row r="596" spans="1:19" ht="15">
      <c r="A596"/>
      <c r="B596"/>
      <c r="C596"/>
      <c r="D596"/>
      <c r="E596"/>
      <c r="F596"/>
      <c r="G596"/>
      <c r="H596"/>
      <c r="I596"/>
      <c r="J596"/>
      <c r="K596"/>
      <c r="L596"/>
      <c r="M596"/>
      <c r="N596"/>
      <c r="O596"/>
      <c r="P596"/>
      <c r="Q596"/>
      <c r="R596"/>
      <c r="S596"/>
    </row>
    <row r="597" spans="1:19" ht="15">
      <c r="A597"/>
      <c r="B597"/>
      <c r="C597"/>
      <c r="D597"/>
      <c r="E597"/>
      <c r="F597"/>
      <c r="G597"/>
      <c r="H597"/>
      <c r="I597"/>
      <c r="J597"/>
      <c r="K597"/>
      <c r="L597"/>
      <c r="M597"/>
      <c r="N597"/>
      <c r="O597"/>
      <c r="P597"/>
      <c r="Q597"/>
      <c r="R597"/>
      <c r="S597"/>
    </row>
    <row r="598" spans="1:19" ht="15">
      <c r="A598"/>
      <c r="B598"/>
      <c r="C598"/>
      <c r="D598"/>
      <c r="E598"/>
      <c r="F598"/>
      <c r="G598"/>
      <c r="H598"/>
      <c r="I598"/>
      <c r="J598"/>
      <c r="K598"/>
      <c r="L598"/>
      <c r="M598"/>
      <c r="N598"/>
      <c r="O598"/>
      <c r="P598"/>
      <c r="Q598"/>
      <c r="R598"/>
      <c r="S598"/>
    </row>
    <row r="599" spans="1:19" ht="15">
      <c r="A599"/>
      <c r="B599"/>
      <c r="C599"/>
      <c r="D599"/>
      <c r="E599"/>
      <c r="F599"/>
      <c r="G599"/>
      <c r="H599"/>
      <c r="I599"/>
      <c r="J599"/>
      <c r="K599"/>
      <c r="L599"/>
      <c r="M599"/>
      <c r="N599"/>
      <c r="O599"/>
      <c r="P599"/>
      <c r="Q599"/>
      <c r="R599"/>
      <c r="S599"/>
    </row>
    <row r="600" spans="1:19" ht="15">
      <c r="A600"/>
      <c r="B600"/>
      <c r="C600"/>
      <c r="D600"/>
      <c r="E600"/>
      <c r="F600"/>
      <c r="G600"/>
      <c r="H600"/>
      <c r="I600"/>
      <c r="J600"/>
      <c r="K600"/>
      <c r="L600"/>
      <c r="M600"/>
      <c r="N600"/>
      <c r="O600"/>
      <c r="P600"/>
      <c r="Q600"/>
      <c r="R600"/>
      <c r="S600"/>
    </row>
    <row r="601" spans="1:19" ht="15">
      <c r="A601"/>
      <c r="B601"/>
      <c r="C601"/>
      <c r="D601"/>
      <c r="E601"/>
      <c r="F601"/>
      <c r="G601"/>
      <c r="H601"/>
      <c r="I601"/>
      <c r="J601"/>
      <c r="K601"/>
      <c r="L601"/>
      <c r="M601"/>
      <c r="N601"/>
      <c r="O601"/>
      <c r="P601"/>
      <c r="Q601"/>
      <c r="R601"/>
      <c r="S601"/>
    </row>
    <row r="602" spans="1:19" ht="15">
      <c r="A602"/>
      <c r="B602"/>
      <c r="C602"/>
      <c r="D602"/>
      <c r="E602"/>
      <c r="F602"/>
      <c r="G602"/>
      <c r="H602"/>
      <c r="I602"/>
      <c r="J602"/>
      <c r="K602"/>
      <c r="L602"/>
      <c r="M602"/>
      <c r="N602"/>
      <c r="O602"/>
      <c r="P602"/>
      <c r="Q602"/>
      <c r="R602"/>
      <c r="S602"/>
    </row>
    <row r="603" spans="1:19" ht="15">
      <c r="A603"/>
      <c r="B603"/>
      <c r="C603"/>
      <c r="D603"/>
      <c r="E603"/>
      <c r="F603"/>
      <c r="G603"/>
      <c r="H603"/>
      <c r="I603"/>
      <c r="J603"/>
      <c r="K603"/>
      <c r="L603"/>
      <c r="M603"/>
      <c r="N603"/>
      <c r="O603"/>
      <c r="P603"/>
      <c r="Q603"/>
      <c r="R603"/>
      <c r="S603"/>
    </row>
    <row r="604" spans="1:19" ht="15">
      <c r="A604"/>
      <c r="B604"/>
      <c r="C604"/>
      <c r="D604"/>
      <c r="E604"/>
      <c r="F604"/>
      <c r="G604"/>
      <c r="H604"/>
      <c r="I604"/>
      <c r="J604"/>
      <c r="K604"/>
      <c r="L604"/>
      <c r="M604"/>
      <c r="N604"/>
      <c r="O604"/>
      <c r="P604"/>
      <c r="Q604"/>
      <c r="R604"/>
      <c r="S604"/>
    </row>
    <row r="605" spans="1:19" ht="15">
      <c r="A605"/>
      <c r="B605"/>
      <c r="C605"/>
      <c r="D605"/>
      <c r="E605"/>
      <c r="F605"/>
      <c r="G605"/>
      <c r="H605"/>
      <c r="I605"/>
      <c r="J605"/>
      <c r="K605"/>
      <c r="L605"/>
      <c r="M605"/>
      <c r="N605"/>
      <c r="O605"/>
      <c r="P605"/>
      <c r="Q605"/>
      <c r="R605"/>
      <c r="S605"/>
    </row>
    <row r="606" spans="1:19" ht="15">
      <c r="A606"/>
      <c r="B606"/>
      <c r="C606"/>
      <c r="D606"/>
      <c r="E606"/>
      <c r="F606"/>
      <c r="G606"/>
      <c r="H606"/>
      <c r="I606"/>
      <c r="J606"/>
      <c r="K606"/>
      <c r="L606"/>
      <c r="M606"/>
      <c r="N606"/>
      <c r="O606"/>
      <c r="P606"/>
      <c r="Q606"/>
      <c r="R606"/>
      <c r="S606"/>
    </row>
    <row r="607" spans="1:19" ht="15">
      <c r="A607"/>
      <c r="B607"/>
      <c r="C607"/>
      <c r="D607"/>
      <c r="E607"/>
      <c r="F607"/>
      <c r="G607"/>
      <c r="H607"/>
      <c r="I607"/>
      <c r="J607"/>
      <c r="K607"/>
      <c r="L607"/>
      <c r="M607"/>
      <c r="N607"/>
      <c r="O607"/>
      <c r="P607"/>
      <c r="Q607"/>
      <c r="R607"/>
      <c r="S607"/>
    </row>
    <row r="608" spans="1:19" ht="15">
      <c r="A608"/>
      <c r="B608"/>
      <c r="C608"/>
      <c r="D608"/>
      <c r="E608"/>
      <c r="F608"/>
      <c r="G608"/>
      <c r="H608"/>
      <c r="I608"/>
      <c r="J608"/>
      <c r="K608"/>
      <c r="L608"/>
      <c r="M608"/>
      <c r="N608"/>
      <c r="O608"/>
      <c r="P608"/>
      <c r="Q608"/>
      <c r="R608"/>
      <c r="S608"/>
    </row>
    <row r="609" spans="1:19" ht="15">
      <c r="A609"/>
      <c r="B609"/>
      <c r="C609"/>
      <c r="D609"/>
      <c r="E609"/>
      <c r="F609"/>
      <c r="G609"/>
      <c r="H609"/>
      <c r="I609"/>
      <c r="J609"/>
      <c r="K609"/>
      <c r="L609"/>
      <c r="M609"/>
      <c r="N609"/>
      <c r="O609"/>
      <c r="P609"/>
      <c r="Q609"/>
      <c r="R609"/>
      <c r="S609"/>
    </row>
    <row r="610" spans="1:19" ht="15">
      <c r="A610"/>
      <c r="B610"/>
      <c r="C610"/>
      <c r="D610"/>
      <c r="E610"/>
      <c r="F610"/>
      <c r="G610"/>
      <c r="H610"/>
      <c r="I610"/>
      <c r="J610"/>
      <c r="K610"/>
      <c r="L610"/>
      <c r="M610"/>
      <c r="N610"/>
      <c r="O610"/>
      <c r="P610"/>
      <c r="Q610"/>
      <c r="R610"/>
      <c r="S610"/>
    </row>
    <row r="611" spans="1:19" ht="15">
      <c r="A611"/>
      <c r="B611"/>
      <c r="C611"/>
      <c r="D611"/>
      <c r="E611"/>
      <c r="F611"/>
      <c r="G611"/>
      <c r="H611"/>
      <c r="I611"/>
      <c r="J611"/>
      <c r="K611"/>
      <c r="L611"/>
      <c r="M611"/>
      <c r="N611"/>
      <c r="O611"/>
      <c r="P611"/>
      <c r="Q611"/>
      <c r="R611"/>
      <c r="S611"/>
    </row>
    <row r="612" spans="1:19" ht="15">
      <c r="A612"/>
      <c r="B612"/>
      <c r="C612"/>
      <c r="D612"/>
      <c r="E612"/>
      <c r="F612"/>
      <c r="G612"/>
      <c r="H612"/>
      <c r="I612"/>
      <c r="J612"/>
      <c r="K612"/>
      <c r="L612"/>
      <c r="M612"/>
      <c r="N612"/>
      <c r="O612"/>
      <c r="P612"/>
      <c r="Q612"/>
      <c r="R612"/>
      <c r="S612"/>
    </row>
    <row r="613" spans="1:19" ht="15">
      <c r="A613"/>
      <c r="B613"/>
      <c r="C613"/>
      <c r="D613"/>
      <c r="E613"/>
      <c r="F613"/>
      <c r="G613"/>
      <c r="H613"/>
      <c r="I613"/>
      <c r="J613"/>
      <c r="K613"/>
      <c r="L613"/>
      <c r="M613"/>
      <c r="N613"/>
      <c r="O613"/>
      <c r="P613"/>
      <c r="Q613"/>
      <c r="R613"/>
      <c r="S613"/>
    </row>
    <row r="614" spans="1:19" ht="15">
      <c r="A614"/>
      <c r="B614"/>
      <c r="C614"/>
      <c r="D614"/>
      <c r="E614"/>
      <c r="F614"/>
      <c r="G614"/>
      <c r="H614"/>
      <c r="I614"/>
      <c r="J614"/>
      <c r="K614"/>
      <c r="L614"/>
      <c r="M614"/>
      <c r="N614"/>
      <c r="O614"/>
      <c r="P614"/>
      <c r="Q614"/>
      <c r="R614"/>
      <c r="S614"/>
    </row>
    <row r="615" spans="1:19" ht="15">
      <c r="A615"/>
      <c r="B615"/>
      <c r="C615"/>
      <c r="D615"/>
      <c r="E615"/>
      <c r="F615"/>
      <c r="G615"/>
      <c r="H615"/>
      <c r="I615"/>
      <c r="J615"/>
      <c r="K615"/>
      <c r="L615"/>
      <c r="M615"/>
      <c r="N615"/>
      <c r="O615"/>
      <c r="P615"/>
      <c r="Q615"/>
      <c r="R615"/>
      <c r="S615"/>
    </row>
    <row r="616" spans="1:19" ht="15">
      <c r="A616"/>
      <c r="B616"/>
      <c r="C616"/>
      <c r="D616"/>
      <c r="E616"/>
      <c r="F616"/>
      <c r="G616"/>
      <c r="H616"/>
      <c r="I616"/>
      <c r="J616"/>
      <c r="K616"/>
      <c r="L616"/>
      <c r="M616"/>
      <c r="N616"/>
      <c r="O616"/>
      <c r="P616"/>
      <c r="Q616"/>
      <c r="R616"/>
      <c r="S616"/>
    </row>
    <row r="617" spans="1:19" ht="15">
      <c r="A617"/>
      <c r="B617"/>
      <c r="C617"/>
      <c r="D617"/>
      <c r="E617"/>
      <c r="F617"/>
      <c r="G617"/>
      <c r="H617"/>
      <c r="I617"/>
      <c r="J617"/>
      <c r="K617"/>
      <c r="L617"/>
      <c r="M617"/>
      <c r="N617"/>
      <c r="O617"/>
      <c r="P617"/>
      <c r="Q617"/>
      <c r="R617"/>
      <c r="S617"/>
    </row>
    <row r="618" spans="1:19" ht="15">
      <c r="A618"/>
      <c r="B618"/>
      <c r="C618"/>
      <c r="D618"/>
      <c r="E618"/>
      <c r="F618"/>
      <c r="G618"/>
      <c r="H618"/>
      <c r="I618"/>
      <c r="J618"/>
      <c r="K618"/>
      <c r="L618"/>
      <c r="M618"/>
      <c r="N618"/>
      <c r="O618"/>
      <c r="P618"/>
      <c r="Q618"/>
      <c r="R618"/>
      <c r="S618"/>
    </row>
    <row r="619" spans="1:19" ht="15">
      <c r="A619"/>
      <c r="B619"/>
      <c r="C619"/>
      <c r="D619"/>
      <c r="E619"/>
      <c r="F619"/>
      <c r="G619"/>
      <c r="H619"/>
      <c r="I619"/>
      <c r="J619"/>
      <c r="K619"/>
      <c r="L619"/>
      <c r="M619"/>
      <c r="N619"/>
      <c r="O619"/>
      <c r="P619"/>
      <c r="Q619"/>
      <c r="R619"/>
      <c r="S619"/>
    </row>
    <row r="620" spans="1:19" ht="15">
      <c r="A620"/>
      <c r="B620"/>
      <c r="C620"/>
      <c r="D620"/>
      <c r="E620"/>
      <c r="F620"/>
      <c r="G620"/>
      <c r="H620"/>
      <c r="I620"/>
      <c r="J620"/>
      <c r="K620"/>
      <c r="L620"/>
      <c r="M620"/>
      <c r="N620"/>
      <c r="O620"/>
      <c r="P620"/>
      <c r="Q620"/>
      <c r="R620"/>
      <c r="S620"/>
    </row>
    <row r="621" spans="1:19" ht="15">
      <c r="A621"/>
      <c r="B621"/>
      <c r="C621"/>
      <c r="D621"/>
      <c r="E621"/>
      <c r="F621"/>
      <c r="G621"/>
      <c r="H621"/>
      <c r="I621"/>
      <c r="J621"/>
      <c r="K621"/>
      <c r="L621"/>
      <c r="M621"/>
      <c r="N621"/>
      <c r="O621"/>
      <c r="P621"/>
      <c r="Q621"/>
      <c r="R621"/>
      <c r="S621"/>
    </row>
    <row r="622" spans="1:19" ht="15">
      <c r="A622"/>
      <c r="B622"/>
      <c r="C622"/>
      <c r="D622"/>
      <c r="E622"/>
      <c r="F622"/>
      <c r="G622"/>
      <c r="H622"/>
      <c r="I622"/>
      <c r="J622"/>
      <c r="K622"/>
      <c r="L622"/>
      <c r="M622"/>
      <c r="N622"/>
      <c r="O622"/>
      <c r="P622"/>
      <c r="Q622"/>
      <c r="R622"/>
      <c r="S622"/>
    </row>
    <row r="623" spans="1:19" ht="15">
      <c r="A623"/>
      <c r="B623"/>
      <c r="C623"/>
      <c r="D623"/>
      <c r="E623"/>
      <c r="F623"/>
      <c r="G623"/>
      <c r="H623"/>
      <c r="I623"/>
      <c r="J623"/>
      <c r="K623"/>
      <c r="L623"/>
      <c r="M623"/>
      <c r="N623"/>
      <c r="O623"/>
      <c r="P623"/>
      <c r="Q623"/>
      <c r="R623"/>
      <c r="S623"/>
    </row>
    <row r="624" spans="1:19" ht="15">
      <c r="A624"/>
      <c r="B624"/>
      <c r="C624"/>
      <c r="D624"/>
      <c r="E624"/>
      <c r="F624"/>
      <c r="G624"/>
      <c r="H624"/>
      <c r="I624"/>
      <c r="J624"/>
      <c r="K624"/>
      <c r="L624"/>
      <c r="M624"/>
      <c r="N624"/>
      <c r="O624"/>
      <c r="P624"/>
      <c r="Q624"/>
      <c r="R624"/>
      <c r="S624"/>
    </row>
    <row r="625" spans="1:19" ht="15">
      <c r="A625"/>
      <c r="B625"/>
      <c r="C625"/>
      <c r="D625"/>
      <c r="E625"/>
      <c r="F625"/>
      <c r="G625"/>
      <c r="H625"/>
      <c r="I625"/>
      <c r="J625"/>
      <c r="K625"/>
      <c r="L625"/>
      <c r="M625"/>
      <c r="N625"/>
      <c r="O625"/>
      <c r="P625"/>
      <c r="Q625"/>
      <c r="R625"/>
      <c r="S625"/>
    </row>
    <row r="626" spans="1:19" ht="15">
      <c r="A626"/>
      <c r="B626"/>
      <c r="C626"/>
      <c r="D626"/>
      <c r="E626"/>
      <c r="F626"/>
      <c r="G626"/>
      <c r="H626"/>
      <c r="I626"/>
      <c r="J626"/>
      <c r="K626"/>
      <c r="L626"/>
      <c r="M626"/>
      <c r="N626"/>
      <c r="O626"/>
      <c r="P626"/>
      <c r="Q626"/>
      <c r="R626"/>
      <c r="S626"/>
    </row>
    <row r="627" spans="1:19" ht="15">
      <c r="A627"/>
      <c r="B627"/>
      <c r="C627"/>
      <c r="D627"/>
      <c r="E627"/>
      <c r="F627"/>
      <c r="G627"/>
      <c r="H627"/>
      <c r="I627"/>
      <c r="J627"/>
      <c r="K627"/>
      <c r="L627"/>
      <c r="M627"/>
      <c r="N627"/>
      <c r="O627"/>
      <c r="P627"/>
      <c r="Q627"/>
      <c r="R627"/>
      <c r="S627"/>
    </row>
    <row r="628" spans="1:19" ht="15">
      <c r="A628"/>
      <c r="B628"/>
      <c r="C628"/>
      <c r="D628"/>
      <c r="E628"/>
      <c r="F628"/>
      <c r="G628"/>
      <c r="H628"/>
      <c r="I628"/>
      <c r="J628"/>
      <c r="K628"/>
      <c r="L628"/>
      <c r="M628"/>
      <c r="N628"/>
      <c r="O628"/>
      <c r="P628"/>
      <c r="Q628"/>
      <c r="R628"/>
      <c r="S628"/>
    </row>
    <row r="629" spans="1:19" ht="15">
      <c r="A629"/>
      <c r="B629"/>
      <c r="C629"/>
      <c r="D629"/>
      <c r="E629"/>
      <c r="F629"/>
      <c r="G629"/>
      <c r="H629"/>
      <c r="I629"/>
      <c r="J629"/>
      <c r="K629"/>
      <c r="L629"/>
      <c r="M629"/>
      <c r="N629"/>
      <c r="O629"/>
      <c r="P629"/>
      <c r="Q629"/>
      <c r="R629"/>
      <c r="S629"/>
    </row>
    <row r="630" spans="1:19" ht="15">
      <c r="A630"/>
      <c r="B630"/>
      <c r="C630"/>
      <c r="D630"/>
      <c r="E630"/>
      <c r="F630"/>
      <c r="G630"/>
      <c r="H630"/>
      <c r="I630"/>
      <c r="J630"/>
      <c r="K630"/>
      <c r="L630"/>
      <c r="M630"/>
      <c r="N630"/>
      <c r="O630"/>
      <c r="P630"/>
      <c r="Q630"/>
      <c r="R630"/>
      <c r="S630"/>
    </row>
    <row r="631" spans="1:19" ht="15">
      <c r="A631"/>
      <c r="B631"/>
      <c r="C631"/>
      <c r="D631"/>
      <c r="E631"/>
      <c r="F631"/>
      <c r="G631"/>
      <c r="H631"/>
      <c r="I631"/>
      <c r="J631"/>
      <c r="K631"/>
      <c r="L631"/>
      <c r="M631"/>
      <c r="N631"/>
      <c r="O631"/>
      <c r="P631"/>
      <c r="Q631"/>
      <c r="R631"/>
      <c r="S631"/>
    </row>
    <row r="632" spans="1:19" ht="15">
      <c r="A632"/>
      <c r="B632"/>
      <c r="C632"/>
      <c r="D632"/>
      <c r="E632"/>
      <c r="F632"/>
      <c r="G632"/>
      <c r="H632"/>
      <c r="I632"/>
      <c r="J632"/>
      <c r="K632"/>
      <c r="L632"/>
      <c r="M632"/>
      <c r="N632"/>
      <c r="O632"/>
      <c r="P632"/>
      <c r="Q632"/>
      <c r="R632"/>
      <c r="S632"/>
    </row>
    <row r="633" spans="1:19" ht="15">
      <c r="A633"/>
      <c r="B633"/>
      <c r="C633"/>
      <c r="D633"/>
      <c r="E633"/>
      <c r="F633"/>
      <c r="G633"/>
      <c r="H633"/>
      <c r="I633"/>
      <c r="J633"/>
      <c r="K633"/>
      <c r="L633"/>
      <c r="M633"/>
      <c r="N633"/>
      <c r="O633"/>
      <c r="P633"/>
      <c r="Q633"/>
      <c r="R633"/>
      <c r="S633"/>
    </row>
    <row r="634" spans="1:19" ht="15">
      <c r="A634"/>
      <c r="B634"/>
      <c r="C634"/>
      <c r="D634"/>
      <c r="E634"/>
      <c r="F634"/>
      <c r="G634"/>
      <c r="H634"/>
      <c r="I634"/>
      <c r="J634"/>
      <c r="K634"/>
      <c r="L634"/>
      <c r="M634"/>
      <c r="N634"/>
      <c r="O634"/>
      <c r="P634"/>
      <c r="Q634"/>
      <c r="R634"/>
      <c r="S634"/>
    </row>
    <row r="635" spans="1:19" ht="15">
      <c r="A635"/>
      <c r="B635"/>
      <c r="C635"/>
      <c r="D635"/>
      <c r="E635"/>
      <c r="F635"/>
      <c r="G635"/>
      <c r="H635"/>
      <c r="I635"/>
      <c r="J635"/>
      <c r="K635"/>
      <c r="L635"/>
      <c r="M635"/>
      <c r="N635"/>
      <c r="O635"/>
      <c r="P635"/>
      <c r="Q635"/>
      <c r="R635"/>
      <c r="S635"/>
    </row>
    <row r="636" spans="1:19" ht="15">
      <c r="A636"/>
      <c r="B636"/>
      <c r="C636"/>
      <c r="D636"/>
      <c r="E636"/>
      <c r="F636"/>
      <c r="G636"/>
      <c r="H636"/>
      <c r="I636"/>
      <c r="J636"/>
      <c r="K636"/>
      <c r="L636"/>
      <c r="M636"/>
      <c r="N636"/>
      <c r="O636"/>
      <c r="P636"/>
      <c r="Q636"/>
      <c r="R636"/>
      <c r="S636"/>
    </row>
    <row r="637" spans="1:19" ht="15">
      <c r="A637"/>
      <c r="B637"/>
      <c r="C637"/>
      <c r="D637"/>
      <c r="E637"/>
      <c r="F637"/>
      <c r="G637"/>
      <c r="H637"/>
      <c r="I637"/>
      <c r="J637"/>
      <c r="K637"/>
      <c r="L637"/>
      <c r="M637"/>
      <c r="N637"/>
      <c r="O637"/>
      <c r="P637"/>
      <c r="Q637"/>
      <c r="R637"/>
      <c r="S637"/>
    </row>
    <row r="638" spans="1:19" ht="15">
      <c r="A638"/>
      <c r="B638"/>
      <c r="C638"/>
      <c r="D638"/>
      <c r="E638"/>
      <c r="F638"/>
      <c r="G638"/>
      <c r="H638"/>
      <c r="I638"/>
      <c r="J638"/>
      <c r="K638"/>
      <c r="L638"/>
      <c r="M638"/>
      <c r="N638"/>
      <c r="O638"/>
      <c r="P638"/>
      <c r="Q638"/>
      <c r="R638"/>
      <c r="S638"/>
    </row>
    <row r="639" spans="1:19" ht="15">
      <c r="A639"/>
      <c r="B639"/>
      <c r="C639"/>
      <c r="D639"/>
      <c r="E639"/>
      <c r="F639"/>
      <c r="G639"/>
      <c r="H639"/>
      <c r="I639"/>
      <c r="J639"/>
      <c r="K639"/>
      <c r="L639"/>
      <c r="M639"/>
      <c r="N639"/>
      <c r="O639"/>
      <c r="P639"/>
      <c r="Q639"/>
      <c r="R639"/>
      <c r="S639"/>
    </row>
    <row r="640" spans="1:19" ht="15">
      <c r="A640"/>
      <c r="B640"/>
      <c r="C640"/>
      <c r="D640"/>
      <c r="E640"/>
      <c r="F640"/>
      <c r="G640"/>
      <c r="H640"/>
      <c r="I640"/>
      <c r="J640"/>
      <c r="K640"/>
      <c r="L640"/>
      <c r="M640"/>
      <c r="N640"/>
      <c r="O640"/>
      <c r="P640"/>
      <c r="Q640"/>
      <c r="R640"/>
      <c r="S640"/>
    </row>
    <row r="641" spans="1:19" ht="15">
      <c r="A641"/>
      <c r="B641"/>
      <c r="C641"/>
      <c r="D641"/>
      <c r="E641"/>
      <c r="F641"/>
      <c r="G641"/>
      <c r="H641"/>
      <c r="I641"/>
      <c r="J641"/>
      <c r="K641"/>
      <c r="L641"/>
      <c r="M641"/>
      <c r="N641"/>
      <c r="O641"/>
      <c r="P641"/>
      <c r="Q641"/>
      <c r="R641"/>
      <c r="S641"/>
    </row>
    <row r="642" spans="1:19" ht="15">
      <c r="A642"/>
      <c r="B642"/>
      <c r="C642"/>
      <c r="D642"/>
      <c r="E642"/>
      <c r="F642"/>
      <c r="G642"/>
      <c r="H642"/>
      <c r="I642"/>
      <c r="J642"/>
      <c r="K642"/>
      <c r="L642"/>
      <c r="M642"/>
      <c r="N642"/>
      <c r="O642"/>
      <c r="P642"/>
      <c r="Q642"/>
      <c r="R642"/>
      <c r="S642"/>
    </row>
    <row r="643" spans="1:19" ht="15">
      <c r="A643"/>
      <c r="B643"/>
      <c r="C643"/>
      <c r="D643"/>
      <c r="E643"/>
      <c r="F643"/>
      <c r="G643"/>
      <c r="H643"/>
      <c r="I643"/>
      <c r="J643"/>
      <c r="K643"/>
      <c r="L643"/>
      <c r="M643"/>
      <c r="N643"/>
      <c r="O643"/>
      <c r="P643"/>
      <c r="Q643"/>
      <c r="R643"/>
      <c r="S643"/>
    </row>
    <row r="644" spans="1:19" ht="15">
      <c r="A644"/>
      <c r="B644"/>
      <c r="C644"/>
      <c r="D644"/>
      <c r="E644"/>
      <c r="F644"/>
      <c r="G644"/>
      <c r="H644"/>
      <c r="I644"/>
      <c r="J644"/>
      <c r="K644"/>
      <c r="L644"/>
      <c r="M644"/>
      <c r="N644"/>
      <c r="O644"/>
      <c r="P644"/>
      <c r="Q644"/>
      <c r="R644"/>
      <c r="S644"/>
    </row>
    <row r="645" spans="1:19" ht="15">
      <c r="A645"/>
      <c r="B645"/>
      <c r="C645"/>
      <c r="D645"/>
      <c r="E645"/>
      <c r="F645"/>
      <c r="G645"/>
      <c r="H645"/>
      <c r="I645"/>
      <c r="J645"/>
      <c r="K645"/>
      <c r="L645"/>
      <c r="M645"/>
      <c r="N645"/>
      <c r="O645"/>
      <c r="P645"/>
      <c r="Q645"/>
      <c r="R645"/>
      <c r="S645"/>
    </row>
    <row r="646" spans="1:19" ht="15">
      <c r="A646"/>
      <c r="B646"/>
      <c r="C646"/>
      <c r="D646"/>
      <c r="E646"/>
      <c r="F646"/>
      <c r="G646"/>
      <c r="H646"/>
      <c r="I646"/>
      <c r="J646"/>
      <c r="K646"/>
      <c r="L646"/>
      <c r="M646"/>
      <c r="N646"/>
      <c r="O646"/>
      <c r="P646"/>
      <c r="Q646"/>
      <c r="R646"/>
      <c r="S646"/>
    </row>
    <row r="647" spans="1:19" ht="15">
      <c r="A647"/>
      <c r="B647"/>
      <c r="C647"/>
      <c r="D647"/>
      <c r="E647"/>
      <c r="F647"/>
      <c r="G647"/>
      <c r="H647"/>
      <c r="I647"/>
      <c r="J647"/>
      <c r="K647"/>
      <c r="L647"/>
      <c r="M647"/>
      <c r="N647"/>
      <c r="O647"/>
      <c r="P647"/>
      <c r="Q647"/>
      <c r="R647"/>
      <c r="S647"/>
    </row>
    <row r="648" spans="1:19" ht="15">
      <c r="A648"/>
      <c r="B648"/>
      <c r="C648"/>
      <c r="D648"/>
      <c r="E648"/>
      <c r="F648"/>
      <c r="G648"/>
      <c r="H648"/>
      <c r="I648"/>
      <c r="J648"/>
      <c r="K648"/>
      <c r="L648"/>
      <c r="M648"/>
      <c r="N648"/>
      <c r="O648"/>
      <c r="P648"/>
      <c r="Q648"/>
      <c r="R648"/>
      <c r="S648"/>
    </row>
    <row r="649" spans="1:19" ht="15">
      <c r="A649"/>
      <c r="B649"/>
      <c r="C649"/>
      <c r="D649"/>
      <c r="E649"/>
      <c r="F649"/>
      <c r="G649"/>
      <c r="H649"/>
      <c r="I649"/>
      <c r="J649"/>
      <c r="K649"/>
      <c r="L649"/>
      <c r="M649"/>
      <c r="N649"/>
      <c r="O649"/>
      <c r="P649"/>
      <c r="Q649"/>
      <c r="R649"/>
      <c r="S649"/>
    </row>
    <row r="650" spans="1:19" ht="15">
      <c r="A650"/>
      <c r="B650"/>
      <c r="C650"/>
      <c r="D650"/>
      <c r="E650"/>
      <c r="F650"/>
      <c r="G650"/>
      <c r="H650"/>
      <c r="I650"/>
      <c r="J650"/>
      <c r="K650"/>
      <c r="L650"/>
      <c r="M650"/>
      <c r="N650"/>
      <c r="O650"/>
      <c r="P650"/>
      <c r="Q650"/>
      <c r="R650"/>
      <c r="S650"/>
    </row>
    <row r="651" spans="1:19" ht="15">
      <c r="A651"/>
      <c r="B651"/>
      <c r="C651"/>
      <c r="D651"/>
      <c r="E651"/>
      <c r="F651"/>
      <c r="G651"/>
      <c r="H651"/>
      <c r="I651"/>
      <c r="J651"/>
      <c r="K651"/>
      <c r="L651"/>
      <c r="M651"/>
      <c r="N651"/>
      <c r="O651"/>
      <c r="P651"/>
      <c r="Q651"/>
      <c r="R651"/>
      <c r="S651"/>
    </row>
    <row r="652" spans="1:19" ht="15">
      <c r="A652"/>
      <c r="B652"/>
      <c r="C652"/>
      <c r="D652"/>
      <c r="E652"/>
      <c r="F652"/>
      <c r="G652"/>
      <c r="H652"/>
      <c r="I652"/>
      <c r="J652"/>
      <c r="K652"/>
      <c r="L652"/>
      <c r="M652"/>
      <c r="N652"/>
      <c r="O652"/>
      <c r="P652"/>
      <c r="Q652"/>
      <c r="R652"/>
      <c r="S652"/>
    </row>
    <row r="653" spans="1:19" ht="15">
      <c r="A653"/>
      <c r="B653"/>
      <c r="C653"/>
      <c r="D653"/>
      <c r="E653"/>
      <c r="F653"/>
      <c r="G653"/>
      <c r="H653"/>
      <c r="I653"/>
      <c r="J653"/>
      <c r="K653"/>
      <c r="L653"/>
      <c r="M653"/>
      <c r="N653"/>
      <c r="O653"/>
      <c r="P653"/>
      <c r="Q653"/>
      <c r="R653"/>
      <c r="S653"/>
    </row>
    <row r="654" spans="1:19" ht="15">
      <c r="A654"/>
      <c r="B654"/>
      <c r="C654"/>
      <c r="D654"/>
      <c r="E654"/>
      <c r="F654"/>
      <c r="G654"/>
      <c r="H654"/>
      <c r="I654"/>
      <c r="J654"/>
      <c r="K654"/>
      <c r="L654"/>
      <c r="M654"/>
      <c r="N654"/>
      <c r="O654"/>
      <c r="P654"/>
      <c r="Q654"/>
      <c r="R654"/>
      <c r="S654"/>
    </row>
    <row r="655" spans="1:19" ht="15">
      <c r="A655"/>
      <c r="B655"/>
      <c r="C655"/>
      <c r="D655"/>
      <c r="E655"/>
      <c r="F655"/>
      <c r="G655"/>
      <c r="H655"/>
      <c r="I655"/>
      <c r="J655"/>
      <c r="K655"/>
      <c r="L655"/>
      <c r="M655"/>
      <c r="N655"/>
      <c r="O655"/>
      <c r="P655"/>
      <c r="Q655"/>
      <c r="R655"/>
      <c r="S655"/>
    </row>
    <row r="656" spans="1:19" ht="15">
      <c r="A656"/>
      <c r="B656"/>
      <c r="C656"/>
      <c r="D656"/>
      <c r="E656"/>
      <c r="F656"/>
      <c r="G656"/>
      <c r="H656"/>
      <c r="I656"/>
      <c r="J656"/>
      <c r="K656"/>
      <c r="L656"/>
      <c r="M656"/>
      <c r="N656"/>
      <c r="O656"/>
      <c r="P656"/>
      <c r="Q656"/>
      <c r="R656"/>
      <c r="S656"/>
    </row>
    <row r="657" spans="1:19" ht="15">
      <c r="A657"/>
      <c r="B657"/>
      <c r="C657"/>
      <c r="D657"/>
      <c r="E657"/>
      <c r="F657"/>
      <c r="G657"/>
      <c r="H657"/>
      <c r="I657"/>
      <c r="J657"/>
      <c r="K657"/>
      <c r="L657"/>
      <c r="M657"/>
      <c r="N657"/>
      <c r="O657"/>
      <c r="P657"/>
      <c r="Q657"/>
      <c r="R657"/>
      <c r="S657"/>
    </row>
    <row r="658" spans="1:19" ht="15">
      <c r="A658"/>
      <c r="B658"/>
      <c r="C658"/>
      <c r="D658"/>
      <c r="E658"/>
      <c r="F658"/>
      <c r="G658"/>
      <c r="H658"/>
      <c r="I658"/>
      <c r="J658"/>
      <c r="K658"/>
      <c r="L658"/>
      <c r="M658"/>
      <c r="N658"/>
      <c r="O658"/>
      <c r="P658"/>
      <c r="Q658"/>
      <c r="R658"/>
      <c r="S658"/>
    </row>
    <row r="659" spans="1:19" ht="15">
      <c r="A659"/>
      <c r="B659"/>
      <c r="C659"/>
      <c r="D659"/>
      <c r="E659"/>
      <c r="F659"/>
      <c r="G659"/>
      <c r="H659"/>
      <c r="I659"/>
      <c r="J659"/>
      <c r="K659"/>
      <c r="L659"/>
      <c r="M659"/>
      <c r="N659"/>
      <c r="O659"/>
      <c r="P659"/>
      <c r="Q659"/>
      <c r="R659"/>
      <c r="S659"/>
    </row>
    <row r="660" spans="1:19" ht="15">
      <c r="A660"/>
      <c r="B660"/>
      <c r="C660"/>
      <c r="D660"/>
      <c r="E660"/>
      <c r="F660"/>
      <c r="G660"/>
      <c r="H660"/>
      <c r="I660"/>
      <c r="J660"/>
      <c r="K660"/>
      <c r="L660"/>
      <c r="M660"/>
      <c r="N660"/>
      <c r="O660"/>
      <c r="P660"/>
      <c r="Q660"/>
      <c r="R660"/>
      <c r="S660"/>
    </row>
    <row r="661" spans="1:19" ht="15">
      <c r="A661"/>
      <c r="B661"/>
      <c r="C661"/>
      <c r="D661"/>
      <c r="E661"/>
      <c r="F661"/>
      <c r="G661"/>
      <c r="H661"/>
      <c r="I661"/>
      <c r="J661"/>
      <c r="K661"/>
      <c r="L661"/>
      <c r="M661"/>
      <c r="N661"/>
      <c r="O661"/>
      <c r="P661"/>
      <c r="Q661"/>
      <c r="R661"/>
      <c r="S661"/>
    </row>
    <row r="662" spans="1:19" ht="15">
      <c r="A662"/>
      <c r="B662"/>
      <c r="C662"/>
      <c r="D662"/>
      <c r="E662"/>
      <c r="F662"/>
      <c r="G662"/>
      <c r="H662"/>
      <c r="I662"/>
      <c r="J662"/>
      <c r="K662"/>
      <c r="L662"/>
      <c r="M662"/>
      <c r="N662"/>
      <c r="O662"/>
      <c r="P662"/>
      <c r="Q662"/>
      <c r="R662"/>
      <c r="S662"/>
    </row>
    <row r="663" spans="1:19" ht="15">
      <c r="A663"/>
      <c r="B663"/>
      <c r="C663"/>
      <c r="D663"/>
      <c r="E663"/>
      <c r="F663"/>
      <c r="G663"/>
      <c r="H663"/>
      <c r="I663"/>
      <c r="J663"/>
      <c r="K663"/>
      <c r="L663"/>
      <c r="M663"/>
      <c r="N663"/>
      <c r="O663"/>
      <c r="P663"/>
      <c r="Q663"/>
      <c r="R663"/>
      <c r="S663"/>
    </row>
    <row r="664" spans="1:19" ht="15">
      <c r="A664"/>
      <c r="B664"/>
      <c r="C664"/>
      <c r="D664"/>
      <c r="E664"/>
      <c r="F664"/>
      <c r="G664"/>
      <c r="H664"/>
      <c r="I664"/>
      <c r="J664"/>
      <c r="K664"/>
      <c r="L664"/>
      <c r="M664"/>
      <c r="N664"/>
      <c r="O664"/>
      <c r="P664"/>
      <c r="Q664"/>
      <c r="R664"/>
      <c r="S664"/>
    </row>
    <row r="665" spans="1:19" ht="15">
      <c r="A665"/>
      <c r="B665"/>
      <c r="C665"/>
      <c r="D665"/>
      <c r="E665"/>
      <c r="F665"/>
      <c r="G665"/>
      <c r="H665"/>
      <c r="I665"/>
      <c r="J665"/>
      <c r="K665"/>
      <c r="L665"/>
      <c r="M665"/>
      <c r="N665"/>
      <c r="O665"/>
      <c r="P665"/>
      <c r="Q665"/>
      <c r="R665"/>
      <c r="S665"/>
    </row>
    <row r="666" spans="1:19" ht="15">
      <c r="A666"/>
      <c r="B666"/>
      <c r="C666"/>
      <c r="D666"/>
      <c r="E666"/>
      <c r="F666"/>
      <c r="G666"/>
      <c r="H666"/>
      <c r="I666"/>
      <c r="J666"/>
      <c r="K666"/>
      <c r="L666"/>
      <c r="M666"/>
      <c r="N666"/>
      <c r="O666"/>
      <c r="P666"/>
      <c r="Q666"/>
      <c r="R666"/>
      <c r="S666"/>
    </row>
    <row r="667" spans="1:19" ht="15">
      <c r="A667"/>
      <c r="B667"/>
      <c r="C667"/>
      <c r="D667"/>
      <c r="E667"/>
      <c r="F667"/>
      <c r="G667"/>
      <c r="H667"/>
      <c r="I667"/>
      <c r="J667"/>
      <c r="K667"/>
      <c r="L667"/>
      <c r="M667"/>
      <c r="N667"/>
      <c r="O667"/>
      <c r="P667"/>
      <c r="Q667"/>
      <c r="R667"/>
      <c r="S667"/>
    </row>
    <row r="668" spans="1:19" ht="15">
      <c r="A668"/>
      <c r="B668"/>
      <c r="C668"/>
      <c r="D668"/>
      <c r="E668"/>
      <c r="F668"/>
      <c r="G668"/>
      <c r="H668"/>
      <c r="I668"/>
      <c r="J668"/>
      <c r="K668"/>
      <c r="L668"/>
      <c r="M668"/>
      <c r="N668"/>
      <c r="O668"/>
      <c r="P668"/>
      <c r="Q668"/>
      <c r="R668"/>
      <c r="S668"/>
    </row>
    <row r="669" spans="1:19" ht="15">
      <c r="A669"/>
      <c r="B669"/>
      <c r="C669"/>
      <c r="D669"/>
      <c r="E669"/>
      <c r="F669"/>
      <c r="G669"/>
      <c r="H669"/>
      <c r="I669"/>
      <c r="J669"/>
      <c r="K669"/>
      <c r="L669"/>
      <c r="M669"/>
      <c r="N669"/>
      <c r="O669"/>
      <c r="P669"/>
      <c r="Q669"/>
      <c r="R669"/>
      <c r="S669"/>
    </row>
    <row r="670" spans="1:19" ht="15">
      <c r="A670"/>
      <c r="B670"/>
      <c r="C670"/>
      <c r="D670"/>
      <c r="E670"/>
      <c r="F670"/>
      <c r="G670"/>
      <c r="H670"/>
      <c r="I670"/>
      <c r="J670"/>
      <c r="K670"/>
      <c r="L670"/>
      <c r="M670"/>
      <c r="N670"/>
      <c r="O670"/>
      <c r="P670"/>
      <c r="Q670"/>
      <c r="R670"/>
      <c r="S670"/>
    </row>
    <row r="671" spans="1:19" ht="15">
      <c r="A671"/>
      <c r="B671"/>
      <c r="C671"/>
      <c r="D671"/>
      <c r="E671"/>
      <c r="F671"/>
      <c r="G671"/>
      <c r="H671"/>
      <c r="I671"/>
      <c r="J671"/>
      <c r="K671"/>
      <c r="L671"/>
      <c r="M671"/>
      <c r="N671"/>
      <c r="O671"/>
      <c r="P671"/>
      <c r="Q671"/>
      <c r="R671"/>
      <c r="S671"/>
    </row>
    <row r="672" spans="1:19" ht="15">
      <c r="A672"/>
      <c r="B672"/>
      <c r="C672"/>
      <c r="D672"/>
      <c r="E672"/>
      <c r="F672"/>
      <c r="G672"/>
      <c r="H672"/>
      <c r="I672"/>
      <c r="J672"/>
      <c r="K672"/>
      <c r="L672"/>
      <c r="M672"/>
      <c r="N672"/>
      <c r="O672"/>
      <c r="P672"/>
      <c r="Q672"/>
      <c r="R672"/>
      <c r="S672"/>
    </row>
    <row r="673" spans="1:19" ht="15">
      <c r="A673"/>
      <c r="B673"/>
      <c r="C673"/>
      <c r="D673"/>
      <c r="E673"/>
      <c r="F673"/>
      <c r="G673"/>
      <c r="H673"/>
      <c r="I673"/>
      <c r="J673"/>
      <c r="K673"/>
      <c r="L673"/>
      <c r="M673"/>
      <c r="N673"/>
      <c r="O673"/>
      <c r="P673"/>
      <c r="Q673"/>
      <c r="R673"/>
      <c r="S673"/>
    </row>
    <row r="674" spans="1:19" ht="15">
      <c r="A674"/>
      <c r="B674"/>
      <c r="C674"/>
      <c r="D674"/>
      <c r="E674"/>
      <c r="F674"/>
      <c r="G674"/>
      <c r="H674"/>
      <c r="I674"/>
      <c r="J674"/>
      <c r="K674"/>
      <c r="L674"/>
      <c r="M674"/>
      <c r="N674"/>
      <c r="O674"/>
      <c r="P674"/>
      <c r="Q674"/>
      <c r="R674"/>
      <c r="S674"/>
    </row>
    <row r="675" spans="1:19" ht="15">
      <c r="A675"/>
      <c r="B675"/>
      <c r="C675"/>
      <c r="D675"/>
      <c r="E675"/>
      <c r="F675"/>
      <c r="G675"/>
      <c r="H675"/>
      <c r="I675"/>
      <c r="J675"/>
      <c r="K675"/>
      <c r="L675"/>
      <c r="M675"/>
      <c r="N675"/>
      <c r="O675"/>
      <c r="P675"/>
      <c r="Q675"/>
      <c r="R675"/>
      <c r="S675"/>
    </row>
    <row r="676" spans="1:19" ht="15">
      <c r="A676"/>
      <c r="B676"/>
      <c r="C676"/>
      <c r="D676"/>
      <c r="E676"/>
      <c r="F676"/>
      <c r="G676"/>
      <c r="H676"/>
      <c r="I676"/>
      <c r="J676"/>
      <c r="K676"/>
      <c r="L676"/>
      <c r="M676"/>
      <c r="N676"/>
      <c r="O676"/>
      <c r="P676"/>
      <c r="Q676"/>
      <c r="R676"/>
      <c r="S676"/>
    </row>
    <row r="677" spans="1:19" ht="15">
      <c r="A677"/>
      <c r="B677"/>
      <c r="C677"/>
      <c r="D677"/>
      <c r="E677"/>
      <c r="F677"/>
      <c r="G677"/>
      <c r="H677"/>
      <c r="I677"/>
      <c r="J677"/>
      <c r="K677"/>
      <c r="L677"/>
      <c r="M677"/>
      <c r="N677"/>
      <c r="O677"/>
      <c r="P677"/>
      <c r="Q677"/>
      <c r="R677"/>
      <c r="S677"/>
    </row>
    <row r="678" spans="1:19" ht="15">
      <c r="A678"/>
      <c r="B678"/>
      <c r="C678"/>
      <c r="D678"/>
      <c r="E678"/>
      <c r="F678"/>
      <c r="G678"/>
      <c r="H678"/>
      <c r="I678"/>
      <c r="J678"/>
      <c r="K678"/>
      <c r="L678"/>
      <c r="M678"/>
      <c r="N678"/>
      <c r="O678"/>
      <c r="P678"/>
      <c r="Q678"/>
      <c r="R678"/>
      <c r="S678"/>
    </row>
    <row r="679" spans="1:19" ht="15">
      <c r="A679"/>
      <c r="B679"/>
      <c r="C679"/>
      <c r="D679"/>
      <c r="E679"/>
      <c r="F679"/>
      <c r="G679"/>
      <c r="H679"/>
      <c r="I679"/>
      <c r="J679"/>
      <c r="K679"/>
      <c r="L679"/>
      <c r="M679"/>
      <c r="N679"/>
      <c r="O679"/>
      <c r="P679"/>
      <c r="Q679"/>
      <c r="R679"/>
      <c r="S679"/>
    </row>
    <row r="680" spans="1:19" ht="15">
      <c r="A680"/>
      <c r="B680"/>
      <c r="C680"/>
      <c r="D680"/>
      <c r="E680"/>
      <c r="F680"/>
      <c r="G680"/>
      <c r="H680"/>
      <c r="I680"/>
      <c r="J680"/>
      <c r="K680"/>
      <c r="L680"/>
      <c r="M680"/>
      <c r="N680"/>
      <c r="O680"/>
      <c r="P680"/>
      <c r="Q680"/>
      <c r="R680"/>
      <c r="S680"/>
    </row>
    <row r="681" spans="1:19" ht="15">
      <c r="A681"/>
      <c r="B681"/>
      <c r="C681"/>
      <c r="D681"/>
      <c r="E681"/>
      <c r="F681"/>
      <c r="G681"/>
      <c r="H681"/>
      <c r="I681"/>
      <c r="J681"/>
      <c r="K681"/>
      <c r="L681"/>
      <c r="M681"/>
      <c r="N681"/>
      <c r="O681"/>
      <c r="P681"/>
      <c r="Q681"/>
      <c r="R681"/>
      <c r="S681"/>
    </row>
    <row r="682" spans="1:19" ht="15">
      <c r="A682"/>
      <c r="B682"/>
      <c r="C682"/>
      <c r="D682"/>
      <c r="E682"/>
      <c r="F682"/>
      <c r="G682"/>
      <c r="H682"/>
      <c r="I682"/>
      <c r="J682"/>
      <c r="K682"/>
      <c r="L682"/>
      <c r="M682"/>
      <c r="N682"/>
      <c r="O682"/>
      <c r="P682"/>
      <c r="Q682"/>
      <c r="R682"/>
      <c r="S682"/>
    </row>
    <row r="683" spans="1:19" ht="15">
      <c r="A683"/>
      <c r="B683"/>
      <c r="C683"/>
      <c r="D683"/>
      <c r="E683"/>
      <c r="F683"/>
      <c r="G683"/>
      <c r="H683"/>
      <c r="I683"/>
      <c r="J683"/>
      <c r="K683"/>
      <c r="L683"/>
      <c r="M683"/>
      <c r="N683"/>
      <c r="O683"/>
      <c r="P683"/>
      <c r="Q683"/>
      <c r="R683"/>
      <c r="S683"/>
    </row>
    <row r="684" spans="1:19" ht="15">
      <c r="A684"/>
      <c r="B684"/>
      <c r="C684"/>
      <c r="D684"/>
      <c r="E684"/>
      <c r="F684"/>
      <c r="G684"/>
      <c r="H684"/>
      <c r="I684"/>
      <c r="J684"/>
      <c r="K684"/>
      <c r="L684"/>
      <c r="M684"/>
      <c r="N684"/>
      <c r="O684"/>
      <c r="P684"/>
      <c r="Q684"/>
      <c r="R684"/>
      <c r="S684"/>
    </row>
    <row r="685" spans="1:19" ht="15">
      <c r="A685"/>
      <c r="B685"/>
      <c r="C685"/>
      <c r="D685"/>
      <c r="E685"/>
      <c r="F685"/>
      <c r="G685"/>
      <c r="H685"/>
      <c r="I685"/>
      <c r="J685"/>
      <c r="K685"/>
      <c r="L685"/>
      <c r="M685"/>
      <c r="N685"/>
      <c r="O685"/>
      <c r="P685"/>
      <c r="Q685"/>
      <c r="R685"/>
      <c r="S685"/>
    </row>
    <row r="686" spans="1:19" ht="15">
      <c r="A686"/>
      <c r="B686"/>
      <c r="C686"/>
      <c r="D686"/>
      <c r="E686"/>
      <c r="F686"/>
      <c r="G686"/>
      <c r="H686"/>
      <c r="I686"/>
      <c r="J686"/>
      <c r="K686"/>
      <c r="L686"/>
      <c r="M686"/>
      <c r="N686"/>
      <c r="O686"/>
      <c r="P686"/>
      <c r="Q686"/>
      <c r="R686"/>
      <c r="S686"/>
    </row>
    <row r="687" spans="1:19" ht="15">
      <c r="A687"/>
      <c r="B687"/>
      <c r="C687"/>
      <c r="D687"/>
      <c r="E687"/>
      <c r="F687"/>
      <c r="G687"/>
      <c r="H687"/>
      <c r="I687"/>
      <c r="J687"/>
      <c r="K687"/>
      <c r="L687"/>
      <c r="M687"/>
      <c r="N687"/>
      <c r="O687"/>
      <c r="P687"/>
      <c r="Q687"/>
      <c r="R687"/>
      <c r="S687"/>
    </row>
    <row r="688" spans="1:19" ht="15">
      <c r="A688"/>
      <c r="B688"/>
      <c r="C688"/>
      <c r="D688"/>
      <c r="E688"/>
      <c r="F688"/>
      <c r="G688"/>
      <c r="H688"/>
      <c r="I688"/>
      <c r="J688"/>
      <c r="K688"/>
      <c r="L688"/>
      <c r="M688"/>
      <c r="N688"/>
      <c r="O688"/>
      <c r="P688"/>
      <c r="Q688"/>
      <c r="R688"/>
      <c r="S688"/>
    </row>
    <row r="689" spans="1:19" ht="15">
      <c r="A689"/>
      <c r="B689"/>
      <c r="C689"/>
      <c r="D689"/>
      <c r="E689"/>
      <c r="F689"/>
      <c r="G689"/>
      <c r="H689"/>
      <c r="I689"/>
      <c r="J689"/>
      <c r="K689"/>
      <c r="L689"/>
      <c r="M689"/>
      <c r="N689"/>
      <c r="O689"/>
      <c r="P689"/>
      <c r="Q689"/>
      <c r="R689"/>
      <c r="S689"/>
    </row>
    <row r="690" spans="1:19" ht="15">
      <c r="A690"/>
      <c r="B690"/>
      <c r="C690"/>
      <c r="D690"/>
      <c r="E690"/>
      <c r="F690"/>
      <c r="G690"/>
      <c r="H690"/>
      <c r="I690"/>
      <c r="J690"/>
      <c r="K690"/>
      <c r="L690"/>
      <c r="M690"/>
      <c r="N690"/>
      <c r="O690"/>
      <c r="P690"/>
      <c r="Q690"/>
      <c r="R690"/>
      <c r="S690"/>
    </row>
    <row r="691" spans="1:19" ht="15">
      <c r="A691"/>
      <c r="B691"/>
      <c r="C691"/>
      <c r="D691"/>
      <c r="E691"/>
      <c r="F691"/>
      <c r="G691"/>
      <c r="H691"/>
      <c r="I691"/>
      <c r="J691"/>
      <c r="K691"/>
      <c r="L691"/>
      <c r="M691"/>
      <c r="N691"/>
      <c r="O691"/>
      <c r="P691"/>
      <c r="Q691"/>
      <c r="R691"/>
      <c r="S691"/>
    </row>
    <row r="692" spans="1:19" ht="15">
      <c r="A692"/>
      <c r="B692"/>
      <c r="C692"/>
      <c r="D692"/>
      <c r="E692"/>
      <c r="F692"/>
      <c r="G692"/>
      <c r="H692"/>
      <c r="I692"/>
      <c r="J692"/>
      <c r="K692"/>
      <c r="L692"/>
      <c r="M692"/>
      <c r="N692"/>
      <c r="O692"/>
      <c r="P692"/>
      <c r="Q692"/>
      <c r="R692"/>
      <c r="S692"/>
    </row>
    <row r="693" spans="1:19" ht="15">
      <c r="A693"/>
      <c r="B693"/>
      <c r="C693"/>
      <c r="D693"/>
      <c r="E693"/>
      <c r="F693"/>
      <c r="G693"/>
      <c r="H693"/>
      <c r="I693"/>
      <c r="J693"/>
      <c r="K693"/>
      <c r="L693"/>
      <c r="M693"/>
      <c r="N693"/>
      <c r="O693"/>
      <c r="P693"/>
      <c r="Q693"/>
      <c r="R693"/>
      <c r="S693"/>
    </row>
    <row r="694" spans="1:19" ht="15">
      <c r="A694"/>
      <c r="B694"/>
      <c r="C694"/>
      <c r="D694"/>
      <c r="E694"/>
      <c r="F694"/>
      <c r="G694"/>
      <c r="H694"/>
      <c r="I694"/>
      <c r="J694"/>
      <c r="K694"/>
      <c r="L694"/>
      <c r="M694"/>
      <c r="N694"/>
      <c r="O694"/>
      <c r="P694"/>
      <c r="Q694"/>
      <c r="R694"/>
      <c r="S694"/>
    </row>
    <row r="695" spans="1:19" ht="15">
      <c r="A695"/>
      <c r="B695"/>
      <c r="C695"/>
      <c r="D695"/>
      <c r="E695"/>
      <c r="F695"/>
      <c r="G695"/>
      <c r="H695"/>
      <c r="I695"/>
      <c r="J695"/>
      <c r="K695"/>
      <c r="L695"/>
      <c r="M695"/>
      <c r="N695"/>
      <c r="O695"/>
      <c r="P695"/>
      <c r="Q695"/>
      <c r="R695"/>
      <c r="S695"/>
    </row>
    <row r="696" spans="1:19" ht="15">
      <c r="A696"/>
      <c r="B696"/>
      <c r="C696"/>
      <c r="D696"/>
      <c r="E696"/>
      <c r="F696"/>
      <c r="G696"/>
      <c r="H696"/>
      <c r="I696"/>
      <c r="J696"/>
      <c r="K696"/>
      <c r="L696"/>
      <c r="M696"/>
      <c r="N696"/>
      <c r="O696"/>
      <c r="P696"/>
      <c r="Q696"/>
      <c r="R696"/>
      <c r="S696"/>
    </row>
    <row r="697" spans="1:19" ht="15">
      <c r="A697"/>
      <c r="B697"/>
      <c r="C697"/>
      <c r="D697"/>
      <c r="E697"/>
      <c r="F697"/>
      <c r="G697"/>
      <c r="H697"/>
      <c r="I697"/>
      <c r="J697"/>
      <c r="K697"/>
      <c r="L697"/>
      <c r="M697"/>
      <c r="N697"/>
      <c r="O697"/>
      <c r="P697"/>
      <c r="Q697"/>
      <c r="R697"/>
      <c r="S697"/>
    </row>
    <row r="698" spans="1:19" ht="15">
      <c r="A698"/>
      <c r="B698"/>
      <c r="C698"/>
      <c r="D698"/>
      <c r="E698"/>
      <c r="F698"/>
      <c r="G698"/>
      <c r="H698"/>
      <c r="I698"/>
      <c r="J698"/>
      <c r="K698"/>
      <c r="L698"/>
      <c r="M698"/>
      <c r="N698"/>
      <c r="O698"/>
      <c r="P698"/>
      <c r="Q698"/>
      <c r="R698"/>
      <c r="S698"/>
    </row>
    <row r="699" spans="1:19" ht="15">
      <c r="A699"/>
      <c r="B699"/>
      <c r="C699"/>
      <c r="D699"/>
      <c r="E699"/>
      <c r="F699"/>
      <c r="G699"/>
      <c r="H699"/>
      <c r="I699"/>
      <c r="J699"/>
      <c r="K699"/>
      <c r="L699"/>
      <c r="M699"/>
      <c r="N699"/>
      <c r="O699"/>
      <c r="P699"/>
      <c r="Q699"/>
      <c r="R699"/>
      <c r="S699"/>
    </row>
    <row r="700" spans="1:19" ht="15">
      <c r="A700"/>
      <c r="B700"/>
      <c r="C700"/>
      <c r="D700"/>
      <c r="E700"/>
      <c r="F700"/>
      <c r="G700"/>
      <c r="H700"/>
      <c r="I700"/>
      <c r="J700"/>
      <c r="K700"/>
      <c r="L700"/>
      <c r="M700"/>
      <c r="N700"/>
      <c r="O700"/>
      <c r="P700"/>
      <c r="Q700"/>
      <c r="R700"/>
      <c r="S700"/>
    </row>
    <row r="701" spans="1:19" ht="15">
      <c r="A701"/>
      <c r="B701"/>
      <c r="C701"/>
      <c r="D701"/>
      <c r="E701"/>
      <c r="F701"/>
      <c r="G701"/>
      <c r="H701"/>
      <c r="I701"/>
      <c r="J701"/>
      <c r="K701"/>
      <c r="L701"/>
      <c r="M701"/>
      <c r="N701"/>
      <c r="O701"/>
      <c r="P701"/>
      <c r="Q701"/>
      <c r="R701"/>
      <c r="S701"/>
    </row>
    <row r="702" spans="1:19" ht="15">
      <c r="A702"/>
      <c r="B702"/>
      <c r="C702"/>
      <c r="D702"/>
      <c r="E702"/>
      <c r="F702"/>
      <c r="G702"/>
      <c r="H702"/>
      <c r="I702"/>
      <c r="J702"/>
      <c r="K702"/>
      <c r="L702"/>
      <c r="M702"/>
      <c r="N702"/>
      <c r="O702"/>
      <c r="P702"/>
      <c r="Q702"/>
      <c r="R702"/>
      <c r="S702"/>
    </row>
    <row r="703" spans="1:19" ht="15">
      <c r="A703"/>
      <c r="B703"/>
      <c r="C703"/>
      <c r="D703"/>
      <c r="E703"/>
      <c r="F703"/>
      <c r="G703"/>
      <c r="H703"/>
      <c r="I703"/>
      <c r="J703"/>
      <c r="K703"/>
      <c r="L703"/>
      <c r="M703"/>
      <c r="N703"/>
      <c r="O703"/>
      <c r="P703"/>
      <c r="Q703"/>
      <c r="R703"/>
      <c r="S703"/>
    </row>
    <row r="704" spans="1:19" ht="15">
      <c r="A704"/>
      <c r="B704"/>
      <c r="C704"/>
      <c r="D704"/>
      <c r="E704"/>
      <c r="F704"/>
      <c r="G704"/>
      <c r="H704"/>
      <c r="I704"/>
      <c r="J704"/>
      <c r="K704"/>
      <c r="L704"/>
      <c r="M704"/>
      <c r="N704"/>
      <c r="O704"/>
      <c r="P704"/>
      <c r="Q704"/>
      <c r="R704"/>
      <c r="S704"/>
    </row>
    <row r="705" spans="1:19" ht="15">
      <c r="A705"/>
      <c r="B705"/>
      <c r="C705"/>
      <c r="D705"/>
      <c r="E705"/>
      <c r="F705"/>
      <c r="G705"/>
      <c r="H705"/>
      <c r="I705"/>
      <c r="J705"/>
      <c r="K705"/>
      <c r="L705"/>
      <c r="M705"/>
      <c r="N705"/>
      <c r="O705"/>
      <c r="P705"/>
      <c r="Q705"/>
      <c r="R705"/>
      <c r="S705"/>
    </row>
    <row r="706" spans="1:19" ht="15">
      <c r="A706"/>
      <c r="B706"/>
      <c r="C706"/>
      <c r="D706"/>
      <c r="E706"/>
      <c r="F706"/>
      <c r="G706"/>
      <c r="H706"/>
      <c r="I706"/>
      <c r="J706"/>
      <c r="K706"/>
      <c r="L706"/>
      <c r="M706"/>
      <c r="N706"/>
      <c r="O706"/>
      <c r="P706"/>
      <c r="Q706"/>
      <c r="R706"/>
      <c r="S706"/>
    </row>
    <row r="707" spans="1:19" ht="15">
      <c r="A707"/>
      <c r="B707"/>
      <c r="C707"/>
      <c r="D707"/>
      <c r="E707"/>
      <c r="F707"/>
      <c r="G707"/>
      <c r="H707"/>
      <c r="I707"/>
      <c r="J707"/>
      <c r="K707"/>
      <c r="L707"/>
      <c r="M707"/>
      <c r="N707"/>
      <c r="O707"/>
      <c r="P707"/>
      <c r="Q707"/>
      <c r="R707"/>
      <c r="S707"/>
    </row>
    <row r="708" spans="1:19" ht="15">
      <c r="A708"/>
      <c r="B708"/>
      <c r="C708"/>
      <c r="D708"/>
      <c r="E708"/>
      <c r="F708"/>
      <c r="G708"/>
      <c r="H708"/>
      <c r="I708"/>
      <c r="J708"/>
      <c r="K708"/>
      <c r="L708"/>
      <c r="M708"/>
      <c r="N708"/>
      <c r="O708"/>
      <c r="P708"/>
      <c r="Q708"/>
      <c r="R708"/>
      <c r="S708"/>
    </row>
    <row r="709" spans="1:19" ht="15">
      <c r="A709"/>
      <c r="B709"/>
      <c r="C709"/>
      <c r="D709"/>
      <c r="E709"/>
      <c r="F709"/>
      <c r="G709"/>
      <c r="H709"/>
      <c r="I709"/>
      <c r="J709"/>
      <c r="K709"/>
      <c r="L709"/>
      <c r="M709"/>
      <c r="N709"/>
      <c r="O709"/>
      <c r="P709"/>
      <c r="Q709"/>
      <c r="R709"/>
      <c r="S709"/>
    </row>
    <row r="710" spans="1:19" ht="15">
      <c r="A710"/>
      <c r="B710"/>
      <c r="C710"/>
      <c r="D710"/>
      <c r="E710"/>
      <c r="F710"/>
      <c r="G710"/>
      <c r="H710"/>
      <c r="I710"/>
      <c r="J710"/>
      <c r="K710"/>
      <c r="L710"/>
      <c r="M710"/>
      <c r="N710"/>
      <c r="O710"/>
      <c r="P710"/>
      <c r="Q710"/>
      <c r="R710"/>
      <c r="S710"/>
    </row>
    <row r="711" spans="1:19" ht="15">
      <c r="A711"/>
      <c r="B711"/>
      <c r="C711"/>
      <c r="D711"/>
      <c r="E711"/>
      <c r="F711"/>
      <c r="G711"/>
      <c r="H711"/>
      <c r="I711"/>
      <c r="J711"/>
      <c r="K711"/>
      <c r="L711"/>
      <c r="M711"/>
      <c r="N711"/>
      <c r="O711"/>
      <c r="P711"/>
      <c r="Q711"/>
      <c r="R711"/>
      <c r="S711"/>
    </row>
    <row r="712" spans="1:19" ht="15">
      <c r="A712"/>
      <c r="B712"/>
      <c r="C712"/>
      <c r="D712"/>
      <c r="E712"/>
      <c r="F712"/>
      <c r="G712"/>
      <c r="H712"/>
      <c r="I712"/>
      <c r="J712"/>
      <c r="K712"/>
      <c r="L712"/>
      <c r="M712"/>
      <c r="N712"/>
      <c r="O712"/>
      <c r="P712"/>
      <c r="Q712"/>
      <c r="R712"/>
      <c r="S712"/>
    </row>
    <row r="713" spans="1:19" ht="15">
      <c r="A713"/>
      <c r="B713"/>
      <c r="C713"/>
      <c r="D713"/>
      <c r="E713"/>
      <c r="F713"/>
      <c r="G713"/>
      <c r="H713"/>
      <c r="I713"/>
      <c r="J713"/>
      <c r="K713"/>
      <c r="L713"/>
      <c r="M713"/>
      <c r="N713"/>
      <c r="O713"/>
      <c r="P713"/>
      <c r="Q713"/>
      <c r="R713"/>
      <c r="S713"/>
    </row>
    <row r="714" spans="1:19" ht="15">
      <c r="A714"/>
      <c r="B714"/>
      <c r="C714"/>
      <c r="D714"/>
      <c r="E714"/>
      <c r="F714"/>
      <c r="G714"/>
      <c r="H714"/>
      <c r="I714"/>
      <c r="J714"/>
      <c r="K714"/>
      <c r="L714"/>
      <c r="M714"/>
      <c r="N714"/>
      <c r="O714"/>
      <c r="P714"/>
      <c r="Q714"/>
      <c r="R714"/>
      <c r="S714"/>
    </row>
    <row r="715" spans="1:19" ht="15">
      <c r="A715"/>
      <c r="B715"/>
      <c r="C715"/>
      <c r="D715"/>
      <c r="E715"/>
      <c r="F715"/>
      <c r="G715"/>
      <c r="H715"/>
      <c r="I715"/>
      <c r="J715"/>
      <c r="K715"/>
      <c r="L715"/>
      <c r="M715"/>
      <c r="N715"/>
      <c r="O715"/>
      <c r="P715"/>
      <c r="Q715"/>
      <c r="R715"/>
      <c r="S715"/>
    </row>
    <row r="716" spans="1:19" ht="15">
      <c r="A716"/>
      <c r="B716"/>
      <c r="C716"/>
      <c r="D716"/>
      <c r="E716"/>
      <c r="F716"/>
      <c r="G716"/>
      <c r="H716"/>
      <c r="I716"/>
      <c r="J716"/>
      <c r="K716"/>
      <c r="L716"/>
      <c r="M716"/>
      <c r="N716"/>
      <c r="O716"/>
      <c r="P716"/>
      <c r="Q716"/>
      <c r="R716"/>
      <c r="S716"/>
    </row>
    <row r="717" spans="1:19" ht="15">
      <c r="A717"/>
      <c r="B717"/>
      <c r="C717"/>
      <c r="D717"/>
      <c r="E717"/>
      <c r="F717"/>
      <c r="G717"/>
      <c r="H717"/>
      <c r="I717"/>
      <c r="J717"/>
      <c r="K717"/>
      <c r="L717"/>
      <c r="M717"/>
      <c r="N717"/>
      <c r="O717"/>
      <c r="P717"/>
      <c r="Q717"/>
      <c r="R717"/>
      <c r="S717"/>
    </row>
    <row r="718" spans="1:19" ht="15">
      <c r="A718"/>
      <c r="B718"/>
      <c r="C718"/>
      <c r="D718"/>
      <c r="E718"/>
      <c r="F718"/>
      <c r="G718"/>
      <c r="H718"/>
      <c r="I718"/>
      <c r="J718"/>
      <c r="K718"/>
      <c r="L718"/>
      <c r="M718"/>
      <c r="N718"/>
      <c r="O718"/>
      <c r="P718"/>
      <c r="Q718"/>
      <c r="R718"/>
      <c r="S718"/>
    </row>
    <row r="719" spans="1:19" ht="15">
      <c r="A719"/>
      <c r="B719"/>
      <c r="C719"/>
      <c r="D719"/>
      <c r="E719"/>
      <c r="F719"/>
      <c r="G719"/>
      <c r="H719"/>
      <c r="I719"/>
      <c r="J719"/>
      <c r="K719"/>
      <c r="L719"/>
      <c r="M719"/>
      <c r="N719"/>
      <c r="O719"/>
      <c r="P719"/>
      <c r="Q719"/>
      <c r="R719"/>
      <c r="S719"/>
    </row>
    <row r="720" spans="1:19" ht="15">
      <c r="A720"/>
      <c r="B720"/>
      <c r="C720"/>
      <c r="D720"/>
      <c r="E720"/>
      <c r="F720"/>
      <c r="G720"/>
      <c r="H720"/>
      <c r="I720"/>
      <c r="J720"/>
      <c r="K720"/>
      <c r="L720"/>
      <c r="M720"/>
      <c r="N720"/>
      <c r="O720"/>
      <c r="P720"/>
      <c r="Q720"/>
      <c r="R720"/>
      <c r="S720"/>
    </row>
    <row r="721" spans="1:19" ht="15">
      <c r="A721"/>
      <c r="B721"/>
      <c r="C721"/>
      <c r="D721"/>
      <c r="E721"/>
      <c r="F721"/>
      <c r="G721"/>
      <c r="H721"/>
      <c r="I721"/>
      <c r="J721"/>
      <c r="K721"/>
      <c r="L721"/>
      <c r="M721"/>
      <c r="N721"/>
      <c r="O721"/>
      <c r="P721"/>
      <c r="Q721"/>
      <c r="R721"/>
      <c r="S721"/>
    </row>
    <row r="722" spans="1:19" ht="15">
      <c r="A722"/>
      <c r="B722"/>
      <c r="C722"/>
      <c r="D722"/>
      <c r="E722"/>
      <c r="F722"/>
      <c r="G722"/>
      <c r="H722"/>
      <c r="I722"/>
      <c r="J722"/>
      <c r="K722"/>
      <c r="L722"/>
      <c r="M722"/>
      <c r="N722"/>
      <c r="O722"/>
      <c r="P722"/>
      <c r="Q722"/>
      <c r="R722"/>
      <c r="S722"/>
    </row>
    <row r="723" spans="1:19" ht="15">
      <c r="A723"/>
      <c r="B723"/>
      <c r="C723"/>
      <c r="D723"/>
      <c r="E723"/>
      <c r="F723"/>
      <c r="G723"/>
      <c r="H723"/>
      <c r="I723"/>
      <c r="J723"/>
      <c r="K723"/>
      <c r="L723"/>
      <c r="M723"/>
      <c r="N723"/>
      <c r="O723"/>
      <c r="P723"/>
      <c r="Q723"/>
      <c r="R723"/>
      <c r="S723"/>
    </row>
    <row r="724" spans="1:19" ht="15">
      <c r="A724"/>
      <c r="B724"/>
      <c r="C724"/>
      <c r="D724"/>
      <c r="E724"/>
      <c r="F724"/>
      <c r="G724"/>
      <c r="H724"/>
      <c r="I724"/>
      <c r="J724"/>
      <c r="K724"/>
      <c r="L724"/>
      <c r="M724"/>
      <c r="N724"/>
      <c r="O724"/>
      <c r="P724"/>
      <c r="Q724"/>
      <c r="R724"/>
      <c r="S724"/>
    </row>
    <row r="725" spans="1:19" ht="15">
      <c r="A725"/>
      <c r="B725"/>
      <c r="C725"/>
      <c r="D725"/>
      <c r="E725"/>
      <c r="F725"/>
      <c r="G725"/>
      <c r="H725"/>
      <c r="I725"/>
      <c r="J725"/>
      <c r="K725"/>
      <c r="L725"/>
      <c r="M725"/>
      <c r="N725"/>
      <c r="O725"/>
      <c r="P725"/>
      <c r="Q725"/>
      <c r="R725"/>
      <c r="S725"/>
    </row>
    <row r="726" spans="1:19" ht="15">
      <c r="A726"/>
      <c r="B726"/>
      <c r="C726"/>
      <c r="D726"/>
      <c r="E726"/>
      <c r="F726"/>
      <c r="G726"/>
      <c r="H726"/>
      <c r="I726"/>
      <c r="J726"/>
      <c r="K726"/>
      <c r="L726"/>
      <c r="M726"/>
      <c r="N726"/>
      <c r="O726"/>
      <c r="P726"/>
      <c r="Q726"/>
      <c r="R726"/>
      <c r="S726"/>
    </row>
    <row r="727" spans="1:19" ht="15">
      <c r="A727"/>
      <c r="B727"/>
      <c r="C727"/>
      <c r="D727"/>
      <c r="E727"/>
      <c r="F727"/>
      <c r="G727"/>
      <c r="H727"/>
      <c r="I727"/>
      <c r="J727"/>
      <c r="K727"/>
      <c r="L727"/>
      <c r="M727"/>
      <c r="N727"/>
      <c r="O727"/>
      <c r="P727"/>
      <c r="Q727"/>
      <c r="R727"/>
      <c r="S727"/>
    </row>
    <row r="728" spans="1:19" ht="15">
      <c r="A728"/>
      <c r="B728"/>
      <c r="C728"/>
      <c r="D728"/>
      <c r="E728"/>
      <c r="F728"/>
      <c r="G728"/>
      <c r="H728"/>
      <c r="I728"/>
      <c r="J728"/>
      <c r="K728"/>
      <c r="L728"/>
      <c r="M728"/>
      <c r="N728"/>
      <c r="O728"/>
      <c r="P728"/>
      <c r="Q728"/>
      <c r="R728"/>
      <c r="S728"/>
    </row>
    <row r="729" spans="1:19" ht="15">
      <c r="A729"/>
      <c r="B729"/>
      <c r="C729"/>
      <c r="D729"/>
      <c r="E729"/>
      <c r="F729"/>
      <c r="G729"/>
      <c r="H729"/>
      <c r="I729"/>
      <c r="J729"/>
      <c r="K729"/>
      <c r="L729"/>
      <c r="M729"/>
      <c r="N729"/>
      <c r="O729"/>
      <c r="P729"/>
      <c r="Q729"/>
      <c r="R729"/>
      <c r="S729"/>
    </row>
    <row r="730" spans="1:19" ht="15">
      <c r="A730"/>
      <c r="B730"/>
      <c r="C730"/>
      <c r="D730"/>
      <c r="E730"/>
      <c r="F730"/>
      <c r="G730"/>
      <c r="H730"/>
      <c r="I730"/>
      <c r="J730"/>
      <c r="K730"/>
      <c r="L730"/>
      <c r="M730"/>
      <c r="N730"/>
      <c r="O730"/>
      <c r="P730"/>
      <c r="Q730"/>
      <c r="R730"/>
      <c r="S730"/>
    </row>
    <row r="731" spans="1:19" ht="15">
      <c r="A731"/>
      <c r="B731"/>
      <c r="C731"/>
      <c r="D731"/>
      <c r="E731"/>
      <c r="F731"/>
      <c r="G731"/>
      <c r="H731"/>
      <c r="I731"/>
      <c r="J731"/>
      <c r="K731"/>
      <c r="L731"/>
      <c r="M731"/>
      <c r="N731"/>
      <c r="O731"/>
      <c r="P731"/>
      <c r="Q731"/>
      <c r="R731"/>
      <c r="S731"/>
    </row>
    <row r="732" spans="1:19" ht="15">
      <c r="A732"/>
      <c r="B732"/>
      <c r="C732"/>
      <c r="D732"/>
      <c r="E732"/>
      <c r="F732"/>
      <c r="G732"/>
      <c r="H732"/>
      <c r="I732"/>
      <c r="J732"/>
      <c r="K732"/>
      <c r="L732"/>
      <c r="M732"/>
      <c r="N732"/>
      <c r="O732"/>
      <c r="P732"/>
      <c r="Q732"/>
      <c r="R732"/>
      <c r="S732"/>
    </row>
    <row r="733" spans="1:19" ht="15">
      <c r="A733"/>
      <c r="B733"/>
      <c r="C733"/>
      <c r="D733"/>
      <c r="E733"/>
      <c r="F733"/>
      <c r="G733"/>
      <c r="H733"/>
      <c r="I733"/>
      <c r="J733"/>
      <c r="K733"/>
      <c r="L733"/>
      <c r="M733"/>
      <c r="N733"/>
      <c r="O733"/>
      <c r="P733"/>
      <c r="Q733"/>
      <c r="R733"/>
      <c r="S733"/>
    </row>
    <row r="734" spans="1:19" ht="15">
      <c r="A734"/>
      <c r="B734"/>
      <c r="C734"/>
      <c r="D734"/>
      <c r="E734"/>
      <c r="F734"/>
      <c r="G734"/>
      <c r="H734"/>
      <c r="I734"/>
      <c r="J734"/>
      <c r="K734"/>
      <c r="L734"/>
      <c r="M734"/>
      <c r="N734"/>
      <c r="O734"/>
      <c r="P734"/>
      <c r="Q734"/>
      <c r="R734"/>
      <c r="S734"/>
    </row>
    <row r="735" spans="1:19" ht="15">
      <c r="A735"/>
      <c r="B735"/>
      <c r="C735"/>
      <c r="D735"/>
      <c r="E735"/>
      <c r="F735"/>
      <c r="G735"/>
      <c r="H735"/>
      <c r="I735"/>
      <c r="J735"/>
      <c r="K735"/>
      <c r="L735"/>
      <c r="M735"/>
      <c r="N735"/>
      <c r="O735"/>
      <c r="P735"/>
      <c r="Q735"/>
      <c r="R735"/>
      <c r="S735"/>
    </row>
    <row r="736" spans="1:19" ht="15">
      <c r="A736"/>
      <c r="B736"/>
      <c r="C736"/>
      <c r="D736"/>
      <c r="E736"/>
      <c r="F736"/>
      <c r="G736"/>
      <c r="H736"/>
      <c r="I736"/>
      <c r="J736"/>
      <c r="K736"/>
      <c r="L736"/>
      <c r="M736"/>
      <c r="N736"/>
      <c r="O736"/>
      <c r="P736"/>
      <c r="Q736"/>
      <c r="R736"/>
      <c r="S736"/>
    </row>
    <row r="737" spans="1:19" ht="15">
      <c r="A737"/>
      <c r="B737"/>
      <c r="C737"/>
      <c r="D737"/>
      <c r="E737"/>
      <c r="F737"/>
      <c r="G737"/>
      <c r="H737"/>
      <c r="I737"/>
      <c r="J737"/>
      <c r="K737"/>
      <c r="L737"/>
      <c r="M737"/>
      <c r="N737"/>
      <c r="O737"/>
      <c r="P737"/>
      <c r="Q737"/>
      <c r="R737"/>
      <c r="S737"/>
    </row>
    <row r="738" spans="1:19" ht="15">
      <c r="A738"/>
      <c r="B738"/>
      <c r="C738"/>
      <c r="D738"/>
      <c r="E738"/>
      <c r="F738"/>
      <c r="G738"/>
      <c r="H738"/>
      <c r="I738"/>
      <c r="J738"/>
      <c r="K738"/>
      <c r="L738"/>
      <c r="M738"/>
      <c r="N738"/>
      <c r="O738"/>
      <c r="P738"/>
      <c r="Q738"/>
      <c r="R738"/>
      <c r="S738"/>
    </row>
    <row r="739" spans="1:19" ht="15">
      <c r="A739"/>
      <c r="B739"/>
      <c r="C739"/>
      <c r="D739"/>
      <c r="E739"/>
      <c r="F739"/>
      <c r="G739"/>
      <c r="H739"/>
      <c r="I739"/>
      <c r="J739"/>
      <c r="K739"/>
      <c r="L739"/>
      <c r="M739"/>
      <c r="N739"/>
      <c r="O739"/>
      <c r="P739"/>
      <c r="Q739"/>
      <c r="R739"/>
      <c r="S739"/>
    </row>
    <row r="740" spans="1:19" ht="15">
      <c r="A740"/>
      <c r="B740"/>
      <c r="C740"/>
      <c r="D740"/>
      <c r="E740"/>
      <c r="F740"/>
      <c r="G740"/>
      <c r="H740"/>
      <c r="I740"/>
      <c r="J740"/>
      <c r="K740"/>
      <c r="L740"/>
      <c r="M740"/>
      <c r="N740"/>
      <c r="O740"/>
      <c r="P740"/>
      <c r="Q740"/>
      <c r="R740"/>
      <c r="S740"/>
    </row>
    <row r="741" spans="1:19" ht="15">
      <c r="A741"/>
      <c r="B741"/>
      <c r="C741"/>
      <c r="D741"/>
      <c r="E741"/>
      <c r="F741"/>
      <c r="G741"/>
      <c r="H741"/>
      <c r="I741"/>
      <c r="J741"/>
      <c r="K741"/>
      <c r="L741"/>
      <c r="M741"/>
      <c r="N741"/>
      <c r="O741"/>
      <c r="P741"/>
      <c r="Q741"/>
      <c r="R741"/>
      <c r="S741"/>
    </row>
    <row r="742" spans="1:19" ht="15">
      <c r="A742"/>
      <c r="B742"/>
      <c r="C742"/>
      <c r="D742"/>
      <c r="E742"/>
      <c r="F742"/>
      <c r="G742"/>
      <c r="H742"/>
      <c r="I742"/>
      <c r="J742"/>
      <c r="K742"/>
      <c r="L742"/>
      <c r="M742"/>
      <c r="N742"/>
      <c r="O742"/>
      <c r="P742"/>
      <c r="Q742"/>
      <c r="R742"/>
      <c r="S742"/>
    </row>
    <row r="743" spans="1:19" ht="15">
      <c r="A743"/>
      <c r="B743"/>
      <c r="C743"/>
      <c r="D743"/>
      <c r="E743"/>
      <c r="F743"/>
      <c r="G743"/>
      <c r="H743"/>
      <c r="I743"/>
      <c r="J743"/>
      <c r="K743"/>
      <c r="L743"/>
      <c r="M743"/>
      <c r="N743"/>
      <c r="O743"/>
      <c r="P743"/>
      <c r="Q743"/>
      <c r="R743"/>
      <c r="S743"/>
    </row>
    <row r="744" spans="1:19" ht="15">
      <c r="A744"/>
      <c r="B744"/>
      <c r="C744"/>
      <c r="D744"/>
      <c r="E744"/>
      <c r="F744"/>
      <c r="G744"/>
      <c r="H744"/>
      <c r="I744"/>
      <c r="J744"/>
      <c r="K744"/>
      <c r="L744"/>
      <c r="M744"/>
      <c r="N744"/>
      <c r="O744"/>
      <c r="P744"/>
      <c r="Q744"/>
      <c r="R744"/>
      <c r="S744"/>
    </row>
    <row r="745" spans="1:19" ht="15">
      <c r="A745"/>
      <c r="B745"/>
      <c r="C745"/>
      <c r="D745"/>
      <c r="E745"/>
      <c r="F745"/>
      <c r="G745"/>
      <c r="H745"/>
      <c r="I745"/>
      <c r="J745"/>
      <c r="K745"/>
      <c r="L745"/>
      <c r="M745"/>
      <c r="N745"/>
      <c r="O745"/>
      <c r="P745"/>
      <c r="Q745"/>
      <c r="R745"/>
      <c r="S745"/>
    </row>
    <row r="746" spans="1:19" ht="15">
      <c r="A746"/>
      <c r="B746"/>
      <c r="C746"/>
      <c r="D746"/>
      <c r="E746"/>
      <c r="F746"/>
      <c r="G746"/>
      <c r="H746"/>
      <c r="I746"/>
      <c r="J746"/>
      <c r="K746"/>
      <c r="L746"/>
      <c r="M746"/>
      <c r="N746"/>
      <c r="O746"/>
      <c r="P746"/>
      <c r="Q746"/>
      <c r="R746"/>
      <c r="S746"/>
    </row>
    <row r="747" spans="1:19" ht="15">
      <c r="A747"/>
      <c r="B747"/>
      <c r="C747"/>
      <c r="D747"/>
      <c r="E747"/>
      <c r="F747"/>
      <c r="G747"/>
      <c r="H747"/>
      <c r="I747"/>
      <c r="J747"/>
      <c r="K747"/>
      <c r="L747"/>
      <c r="M747"/>
      <c r="N747"/>
      <c r="O747"/>
      <c r="P747"/>
      <c r="Q747"/>
      <c r="R747"/>
      <c r="S747"/>
    </row>
    <row r="748" spans="1:19" ht="15">
      <c r="A748"/>
      <c r="B748"/>
      <c r="C748"/>
      <c r="D748"/>
      <c r="E748"/>
      <c r="F748"/>
      <c r="G748"/>
      <c r="H748"/>
      <c r="I748"/>
      <c r="J748"/>
      <c r="K748"/>
      <c r="L748"/>
      <c r="M748"/>
      <c r="N748"/>
      <c r="O748"/>
      <c r="P748"/>
      <c r="Q748"/>
      <c r="R748"/>
      <c r="S748"/>
    </row>
    <row r="749" spans="1:19" ht="15">
      <c r="A749"/>
      <c r="B749"/>
      <c r="C749"/>
      <c r="D749"/>
      <c r="E749"/>
      <c r="F749"/>
      <c r="G749"/>
      <c r="H749"/>
      <c r="I749"/>
      <c r="J749"/>
      <c r="K749"/>
      <c r="L749"/>
      <c r="M749"/>
      <c r="N749"/>
      <c r="O749"/>
      <c r="P749"/>
      <c r="Q749"/>
      <c r="R749"/>
      <c r="S749"/>
    </row>
    <row r="750" spans="1:19" ht="15">
      <c r="A750"/>
      <c r="B750"/>
      <c r="C750"/>
      <c r="D750"/>
      <c r="E750"/>
      <c r="F750"/>
      <c r="G750"/>
      <c r="H750"/>
      <c r="I750"/>
      <c r="J750"/>
      <c r="K750"/>
      <c r="L750"/>
      <c r="M750"/>
      <c r="N750"/>
      <c r="O750"/>
      <c r="P750"/>
      <c r="Q750"/>
      <c r="R750"/>
      <c r="S750"/>
    </row>
    <row r="751" spans="1:19" ht="15">
      <c r="A751"/>
      <c r="B751"/>
      <c r="C751"/>
      <c r="D751"/>
      <c r="E751"/>
      <c r="F751"/>
      <c r="G751"/>
      <c r="H751"/>
      <c r="I751"/>
      <c r="J751"/>
      <c r="K751"/>
      <c r="L751"/>
      <c r="M751"/>
      <c r="N751"/>
      <c r="O751"/>
      <c r="P751"/>
      <c r="Q751"/>
      <c r="R751"/>
      <c r="S751"/>
    </row>
    <row r="752" spans="1:19" ht="15">
      <c r="A752"/>
      <c r="B752"/>
      <c r="C752"/>
      <c r="D752"/>
      <c r="E752"/>
      <c r="F752"/>
      <c r="G752"/>
      <c r="H752"/>
      <c r="I752"/>
      <c r="J752"/>
      <c r="K752"/>
      <c r="L752"/>
      <c r="M752"/>
      <c r="N752"/>
      <c r="O752"/>
      <c r="P752"/>
      <c r="Q752"/>
      <c r="R752"/>
      <c r="S752"/>
    </row>
    <row r="753" spans="1:19" ht="15">
      <c r="A753"/>
      <c r="B753"/>
      <c r="C753"/>
      <c r="D753"/>
      <c r="E753"/>
      <c r="F753"/>
      <c r="G753"/>
      <c r="H753"/>
      <c r="I753"/>
      <c r="J753"/>
      <c r="K753"/>
      <c r="L753"/>
      <c r="M753"/>
      <c r="N753"/>
      <c r="O753"/>
      <c r="P753"/>
      <c r="Q753"/>
      <c r="R753"/>
      <c r="S753"/>
    </row>
    <row r="754" spans="1:19" ht="15">
      <c r="A754"/>
      <c r="B754"/>
      <c r="C754"/>
      <c r="D754"/>
      <c r="E754"/>
      <c r="F754"/>
      <c r="G754"/>
      <c r="H754"/>
      <c r="I754"/>
      <c r="J754"/>
      <c r="K754"/>
      <c r="L754"/>
      <c r="M754"/>
      <c r="N754"/>
      <c r="O754"/>
      <c r="P754"/>
      <c r="Q754"/>
      <c r="R754"/>
      <c r="S754"/>
    </row>
    <row r="755" spans="1:19" ht="15">
      <c r="A755"/>
      <c r="B755"/>
      <c r="C755"/>
      <c r="D755"/>
      <c r="E755"/>
      <c r="F755"/>
      <c r="G755"/>
      <c r="H755"/>
      <c r="I755"/>
      <c r="J755"/>
      <c r="K755"/>
      <c r="L755"/>
      <c r="M755"/>
      <c r="N755"/>
      <c r="O755"/>
      <c r="P755"/>
      <c r="Q755"/>
      <c r="R755"/>
      <c r="S755"/>
    </row>
    <row r="756" spans="1:19" ht="15">
      <c r="A756"/>
      <c r="B756"/>
      <c r="C756"/>
      <c r="D756"/>
      <c r="E756"/>
      <c r="F756"/>
      <c r="G756"/>
      <c r="H756"/>
      <c r="I756"/>
      <c r="J756"/>
      <c r="K756"/>
      <c r="L756"/>
      <c r="M756"/>
      <c r="N756"/>
      <c r="O756"/>
      <c r="P756"/>
      <c r="Q756"/>
      <c r="R756"/>
      <c r="S756"/>
    </row>
    <row r="757" spans="1:19" ht="15">
      <c r="A757"/>
      <c r="B757"/>
      <c r="C757"/>
      <c r="D757"/>
      <c r="E757"/>
      <c r="F757"/>
      <c r="G757"/>
      <c r="H757"/>
      <c r="I757"/>
      <c r="J757"/>
      <c r="K757"/>
      <c r="L757"/>
      <c r="M757"/>
      <c r="N757"/>
      <c r="O757"/>
      <c r="P757"/>
      <c r="Q757"/>
      <c r="R757"/>
      <c r="S757"/>
    </row>
    <row r="758" spans="1:19" ht="15">
      <c r="A758"/>
      <c r="B758"/>
      <c r="C758"/>
      <c r="D758"/>
      <c r="E758"/>
      <c r="F758"/>
      <c r="G758"/>
      <c r="H758"/>
      <c r="I758"/>
      <c r="J758"/>
      <c r="K758"/>
      <c r="L758"/>
      <c r="M758"/>
      <c r="N758"/>
      <c r="O758"/>
      <c r="P758"/>
      <c r="Q758"/>
      <c r="R758"/>
      <c r="S758"/>
    </row>
    <row r="759" spans="1:19" ht="15">
      <c r="A759"/>
      <c r="B759"/>
      <c r="C759"/>
      <c r="D759"/>
      <c r="E759"/>
      <c r="F759"/>
      <c r="G759"/>
      <c r="H759"/>
      <c r="I759"/>
      <c r="J759"/>
      <c r="K759"/>
      <c r="L759"/>
      <c r="M759"/>
      <c r="N759"/>
      <c r="O759"/>
      <c r="P759"/>
      <c r="Q759"/>
      <c r="R759"/>
      <c r="S759"/>
    </row>
    <row r="760" spans="1:19" ht="15">
      <c r="A760"/>
      <c r="B760"/>
      <c r="C760"/>
      <c r="D760"/>
      <c r="E760"/>
      <c r="F760"/>
      <c r="G760"/>
      <c r="H760"/>
      <c r="I760"/>
      <c r="J760"/>
      <c r="K760"/>
      <c r="L760"/>
      <c r="M760"/>
      <c r="N760"/>
      <c r="O760"/>
      <c r="P760"/>
      <c r="Q760"/>
      <c r="R760"/>
      <c r="S760"/>
    </row>
    <row r="761" spans="1:19" ht="15">
      <c r="A761"/>
      <c r="B761"/>
      <c r="C761"/>
      <c r="D761"/>
      <c r="E761"/>
      <c r="F761"/>
      <c r="G761"/>
      <c r="H761"/>
      <c r="I761"/>
      <c r="J761"/>
      <c r="K761"/>
      <c r="L761"/>
      <c r="M761"/>
      <c r="N761"/>
      <c r="O761"/>
      <c r="P761"/>
      <c r="Q761"/>
      <c r="R761"/>
      <c r="S761"/>
    </row>
    <row r="762" spans="1:19" ht="15">
      <c r="A762"/>
      <c r="B762"/>
      <c r="C762"/>
      <c r="D762"/>
      <c r="E762"/>
      <c r="F762"/>
      <c r="G762"/>
      <c r="H762"/>
      <c r="I762"/>
      <c r="J762"/>
      <c r="K762"/>
      <c r="L762"/>
      <c r="M762"/>
      <c r="N762"/>
      <c r="O762"/>
      <c r="P762"/>
      <c r="Q762"/>
      <c r="R762"/>
      <c r="S762"/>
    </row>
    <row r="763" spans="1:19" ht="15">
      <c r="A763"/>
      <c r="B763"/>
      <c r="C763"/>
      <c r="D763"/>
      <c r="E763"/>
      <c r="F763"/>
      <c r="G763"/>
      <c r="H763"/>
      <c r="I763"/>
      <c r="J763"/>
      <c r="K763"/>
      <c r="L763"/>
      <c r="M763"/>
      <c r="N763"/>
      <c r="O763"/>
      <c r="P763"/>
      <c r="Q763"/>
      <c r="R763"/>
      <c r="S763"/>
    </row>
    <row r="764" spans="1:19" ht="15">
      <c r="A764"/>
      <c r="B764"/>
      <c r="C764"/>
      <c r="D764"/>
      <c r="E764"/>
      <c r="F764"/>
      <c r="G764"/>
      <c r="H764"/>
      <c r="I764"/>
      <c r="J764"/>
      <c r="K764"/>
      <c r="L764"/>
      <c r="M764"/>
      <c r="N764"/>
      <c r="O764"/>
      <c r="P764"/>
      <c r="Q764"/>
      <c r="R764"/>
      <c r="S764"/>
    </row>
    <row r="765" spans="1:19" ht="15">
      <c r="A765"/>
      <c r="B765"/>
      <c r="C765"/>
      <c r="D765"/>
      <c r="E765"/>
      <c r="F765"/>
      <c r="G765"/>
      <c r="H765"/>
      <c r="I765"/>
      <c r="J765"/>
      <c r="K765"/>
      <c r="L765"/>
      <c r="M765"/>
      <c r="N765"/>
      <c r="O765"/>
      <c r="P765"/>
      <c r="Q765"/>
      <c r="R765"/>
      <c r="S765"/>
    </row>
    <row r="766" spans="1:19" ht="15">
      <c r="A766"/>
      <c r="B766"/>
      <c r="C766"/>
      <c r="D766"/>
      <c r="E766"/>
      <c r="F766"/>
      <c r="G766"/>
      <c r="H766"/>
      <c r="I766"/>
      <c r="J766"/>
      <c r="K766"/>
      <c r="L766"/>
      <c r="M766"/>
      <c r="N766"/>
      <c r="O766"/>
      <c r="P766"/>
      <c r="Q766"/>
      <c r="R766"/>
      <c r="S766"/>
    </row>
    <row r="767" spans="1:19" ht="15">
      <c r="A767"/>
      <c r="B767"/>
      <c r="C767"/>
      <c r="D767"/>
      <c r="E767"/>
      <c r="F767"/>
      <c r="G767"/>
      <c r="H767"/>
      <c r="I767"/>
      <c r="J767"/>
      <c r="K767"/>
      <c r="L767"/>
      <c r="M767"/>
      <c r="N767"/>
      <c r="O767"/>
      <c r="P767"/>
      <c r="Q767"/>
      <c r="R767"/>
      <c r="S767"/>
    </row>
    <row r="768" spans="1:19" ht="15">
      <c r="A768"/>
      <c r="B768"/>
      <c r="C768"/>
      <c r="D768"/>
      <c r="E768"/>
      <c r="F768"/>
      <c r="G768"/>
      <c r="H768"/>
      <c r="I768"/>
      <c r="J768"/>
      <c r="K768"/>
      <c r="L768"/>
      <c r="M768"/>
      <c r="N768"/>
      <c r="O768"/>
      <c r="P768"/>
      <c r="Q768"/>
      <c r="R768"/>
      <c r="S768"/>
    </row>
    <row r="769" spans="1:19" ht="15">
      <c r="A769"/>
      <c r="B769"/>
      <c r="C769"/>
      <c r="D769"/>
      <c r="E769"/>
      <c r="F769"/>
      <c r="G769"/>
      <c r="H769"/>
      <c r="I769"/>
      <c r="J769"/>
      <c r="K769"/>
      <c r="L769"/>
      <c r="M769"/>
      <c r="N769"/>
      <c r="O769"/>
      <c r="P769"/>
      <c r="Q769"/>
      <c r="R769"/>
      <c r="S769"/>
    </row>
    <row r="770" spans="1:19" ht="15">
      <c r="A770"/>
      <c r="B770"/>
      <c r="C770"/>
      <c r="D770"/>
      <c r="E770"/>
      <c r="F770"/>
      <c r="G770"/>
      <c r="H770"/>
      <c r="I770"/>
      <c r="J770"/>
      <c r="K770"/>
      <c r="L770"/>
      <c r="M770"/>
      <c r="N770"/>
      <c r="O770"/>
      <c r="P770"/>
      <c r="Q770"/>
      <c r="R770"/>
      <c r="S770"/>
    </row>
    <row r="771" spans="1:19" ht="15">
      <c r="A771"/>
      <c r="B771"/>
      <c r="C771"/>
      <c r="D771"/>
      <c r="E771"/>
      <c r="F771"/>
      <c r="G771"/>
      <c r="H771"/>
      <c r="I771"/>
      <c r="J771"/>
      <c r="K771"/>
      <c r="L771"/>
      <c r="M771"/>
      <c r="N771"/>
      <c r="O771"/>
      <c r="P771"/>
      <c r="Q771"/>
      <c r="R771"/>
      <c r="S771"/>
    </row>
    <row r="772" spans="1:19" ht="15">
      <c r="A772"/>
      <c r="B772"/>
      <c r="C772"/>
      <c r="D772"/>
      <c r="E772"/>
      <c r="F772"/>
      <c r="G772"/>
      <c r="H772"/>
      <c r="I772"/>
      <c r="J772"/>
      <c r="K772"/>
      <c r="L772"/>
      <c r="M772"/>
      <c r="N772"/>
      <c r="O772"/>
      <c r="P772"/>
      <c r="Q772"/>
      <c r="R772"/>
      <c r="S772"/>
    </row>
    <row r="773" spans="1:19" ht="15">
      <c r="A773"/>
      <c r="B773"/>
      <c r="C773"/>
      <c r="D773"/>
      <c r="E773"/>
      <c r="F773"/>
      <c r="G773"/>
      <c r="H773"/>
      <c r="I773"/>
      <c r="J773"/>
      <c r="K773"/>
      <c r="L773"/>
      <c r="M773"/>
      <c r="N773"/>
      <c r="O773"/>
      <c r="P773"/>
      <c r="Q773"/>
      <c r="R773"/>
      <c r="S773"/>
    </row>
    <row r="774" spans="1:19" ht="15">
      <c r="A774"/>
      <c r="B774"/>
      <c r="C774"/>
      <c r="D774"/>
      <c r="E774"/>
      <c r="F774"/>
      <c r="G774"/>
      <c r="H774"/>
      <c r="I774"/>
      <c r="J774"/>
      <c r="K774"/>
      <c r="L774"/>
      <c r="M774"/>
      <c r="N774"/>
      <c r="O774"/>
      <c r="P774"/>
      <c r="Q774"/>
      <c r="R774"/>
      <c r="S774"/>
    </row>
    <row r="775" spans="1:19" ht="15">
      <c r="A775"/>
      <c r="B775"/>
      <c r="C775"/>
      <c r="D775"/>
      <c r="E775"/>
      <c r="F775"/>
      <c r="G775"/>
      <c r="H775"/>
      <c r="I775"/>
      <c r="J775"/>
      <c r="K775"/>
      <c r="L775"/>
      <c r="M775"/>
      <c r="N775"/>
      <c r="O775"/>
      <c r="P775"/>
      <c r="Q775"/>
      <c r="R775"/>
      <c r="S775"/>
    </row>
    <row r="776" spans="1:19" ht="15">
      <c r="A776"/>
      <c r="B776"/>
      <c r="C776"/>
      <c r="D776"/>
      <c r="E776"/>
      <c r="F776"/>
      <c r="G776"/>
      <c r="H776"/>
      <c r="I776"/>
      <c r="J776"/>
      <c r="K776"/>
      <c r="L776"/>
      <c r="M776"/>
      <c r="N776"/>
      <c r="O776"/>
      <c r="P776"/>
      <c r="Q776"/>
      <c r="R776"/>
      <c r="S776"/>
    </row>
    <row r="777" spans="1:19" ht="15">
      <c r="A777"/>
      <c r="B777"/>
      <c r="C777"/>
      <c r="D777"/>
      <c r="E777"/>
      <c r="F777"/>
      <c r="G777"/>
      <c r="H777"/>
      <c r="I777"/>
      <c r="J777"/>
      <c r="K777"/>
      <c r="L777"/>
      <c r="M777"/>
      <c r="N777"/>
      <c r="O777"/>
      <c r="P777"/>
      <c r="Q777"/>
      <c r="R777"/>
      <c r="S777"/>
    </row>
    <row r="778" spans="1:19" ht="15">
      <c r="A778"/>
      <c r="B778"/>
      <c r="C778"/>
      <c r="D778"/>
      <c r="E778"/>
      <c r="F778"/>
      <c r="G778"/>
      <c r="H778"/>
      <c r="I778"/>
      <c r="J778"/>
      <c r="K778"/>
      <c r="L778"/>
      <c r="M778"/>
      <c r="N778"/>
      <c r="O778"/>
      <c r="P778"/>
      <c r="Q778"/>
      <c r="R778"/>
      <c r="S778"/>
    </row>
    <row r="779" spans="1:19" ht="15">
      <c r="A779"/>
      <c r="B779"/>
      <c r="C779"/>
      <c r="D779"/>
      <c r="E779"/>
      <c r="F779"/>
      <c r="G779"/>
      <c r="H779"/>
      <c r="I779"/>
      <c r="J779"/>
      <c r="K779"/>
      <c r="L779"/>
      <c r="M779"/>
      <c r="N779"/>
      <c r="O779"/>
      <c r="P779"/>
      <c r="Q779"/>
      <c r="R779"/>
      <c r="S779"/>
    </row>
    <row r="780" spans="1:19" ht="15">
      <c r="A780"/>
      <c r="B780"/>
      <c r="C780"/>
      <c r="D780"/>
      <c r="E780"/>
      <c r="F780"/>
      <c r="G780"/>
      <c r="H780"/>
      <c r="I780"/>
      <c r="J780"/>
      <c r="K780"/>
      <c r="L780"/>
      <c r="M780"/>
      <c r="N780"/>
      <c r="O780"/>
      <c r="P780"/>
      <c r="Q780"/>
      <c r="R780"/>
      <c r="S780"/>
    </row>
    <row r="781" spans="1:19" ht="15">
      <c r="A781"/>
      <c r="B781"/>
      <c r="C781"/>
      <c r="D781"/>
      <c r="E781"/>
      <c r="F781"/>
      <c r="G781"/>
      <c r="H781"/>
      <c r="I781"/>
      <c r="J781"/>
      <c r="K781"/>
      <c r="L781"/>
      <c r="M781"/>
      <c r="N781"/>
      <c r="O781"/>
      <c r="P781"/>
      <c r="Q781"/>
      <c r="R781"/>
      <c r="S781"/>
    </row>
    <row r="782" spans="1:19" ht="15">
      <c r="A782"/>
      <c r="B782"/>
      <c r="C782"/>
      <c r="D782"/>
      <c r="E782"/>
      <c r="F782"/>
      <c r="G782"/>
      <c r="H782"/>
      <c r="I782"/>
      <c r="J782"/>
      <c r="K782"/>
      <c r="L782"/>
      <c r="M782"/>
      <c r="N782"/>
      <c r="O782"/>
      <c r="P782"/>
      <c r="Q782"/>
      <c r="R782"/>
      <c r="S782"/>
    </row>
    <row r="783" spans="1:19" ht="15">
      <c r="A783"/>
      <c r="B783"/>
      <c r="C783"/>
      <c r="D783"/>
      <c r="E783"/>
      <c r="F783"/>
      <c r="G783"/>
      <c r="H783"/>
      <c r="I783"/>
      <c r="J783"/>
      <c r="K783"/>
      <c r="L783"/>
      <c r="M783"/>
      <c r="N783"/>
      <c r="O783"/>
      <c r="P783"/>
      <c r="Q783"/>
      <c r="R783"/>
      <c r="S783"/>
    </row>
    <row r="784" spans="1:19" ht="15">
      <c r="A784"/>
      <c r="B784"/>
      <c r="C784"/>
      <c r="D784"/>
      <c r="E784"/>
      <c r="F784"/>
      <c r="G784"/>
      <c r="H784"/>
      <c r="I784"/>
      <c r="J784"/>
      <c r="K784"/>
      <c r="L784"/>
      <c r="M784"/>
      <c r="N784"/>
      <c r="O784"/>
      <c r="P784"/>
      <c r="Q784"/>
      <c r="R784"/>
      <c r="S784"/>
    </row>
    <row r="785" spans="1:19" ht="15">
      <c r="A785"/>
      <c r="B785"/>
      <c r="C785"/>
      <c r="D785"/>
      <c r="E785"/>
      <c r="F785"/>
      <c r="G785"/>
      <c r="H785"/>
      <c r="I785"/>
      <c r="J785"/>
      <c r="K785"/>
      <c r="L785"/>
      <c r="M785"/>
      <c r="N785"/>
      <c r="O785"/>
      <c r="P785"/>
      <c r="Q785"/>
      <c r="R785"/>
      <c r="S785"/>
    </row>
    <row r="786" spans="1:19" ht="15">
      <c r="A786"/>
      <c r="B786"/>
      <c r="C786"/>
      <c r="D786"/>
      <c r="E786"/>
      <c r="F786"/>
      <c r="G786"/>
      <c r="H786"/>
      <c r="I786"/>
      <c r="J786"/>
      <c r="K786"/>
      <c r="L786"/>
      <c r="M786"/>
      <c r="N786"/>
      <c r="O786"/>
      <c r="P786"/>
      <c r="Q786"/>
      <c r="R786"/>
      <c r="S786"/>
    </row>
    <row r="787" spans="1:19" ht="15">
      <c r="A787"/>
      <c r="B787"/>
      <c r="C787"/>
      <c r="D787"/>
      <c r="E787"/>
      <c r="F787"/>
      <c r="G787"/>
      <c r="H787"/>
      <c r="I787"/>
      <c r="J787"/>
      <c r="K787"/>
      <c r="L787"/>
      <c r="M787"/>
      <c r="N787"/>
      <c r="O787"/>
      <c r="P787"/>
      <c r="Q787"/>
      <c r="R787"/>
      <c r="S787"/>
    </row>
    <row r="788" spans="1:19" ht="15">
      <c r="A788"/>
      <c r="B788"/>
      <c r="C788"/>
      <c r="D788"/>
      <c r="E788"/>
      <c r="F788"/>
      <c r="G788"/>
      <c r="H788"/>
      <c r="I788"/>
      <c r="J788"/>
      <c r="K788"/>
      <c r="L788"/>
      <c r="M788"/>
      <c r="N788"/>
      <c r="O788"/>
      <c r="P788"/>
      <c r="Q788"/>
      <c r="R788"/>
      <c r="S788"/>
    </row>
    <row r="789" spans="1:19" ht="15">
      <c r="A789"/>
      <c r="B789"/>
      <c r="C789"/>
      <c r="D789"/>
      <c r="E789"/>
      <c r="F789"/>
      <c r="G789"/>
      <c r="H789"/>
      <c r="I789"/>
      <c r="J789"/>
      <c r="K789"/>
      <c r="L789"/>
      <c r="M789"/>
      <c r="N789"/>
      <c r="O789"/>
      <c r="P789"/>
      <c r="Q789"/>
      <c r="R789"/>
      <c r="S789"/>
    </row>
    <row r="790" spans="1:19" ht="15">
      <c r="A790"/>
      <c r="B790"/>
      <c r="C790"/>
      <c r="D790"/>
      <c r="E790"/>
      <c r="F790"/>
      <c r="G790"/>
      <c r="H790"/>
      <c r="I790"/>
      <c r="J790"/>
      <c r="K790"/>
      <c r="L790"/>
      <c r="M790"/>
      <c r="N790"/>
      <c r="O790"/>
      <c r="P790"/>
      <c r="Q790"/>
      <c r="R790"/>
      <c r="S790"/>
    </row>
    <row r="791" spans="1:19" ht="15">
      <c r="A791"/>
      <c r="B791"/>
      <c r="C791"/>
      <c r="D791"/>
      <c r="E791"/>
      <c r="F791"/>
      <c r="G791"/>
      <c r="H791"/>
      <c r="I791"/>
      <c r="J791"/>
      <c r="K791"/>
      <c r="L791"/>
      <c r="M791"/>
      <c r="N791"/>
      <c r="O791"/>
      <c r="P791"/>
      <c r="Q791"/>
      <c r="R791"/>
      <c r="S791"/>
    </row>
    <row r="792" spans="1:19" ht="15">
      <c r="A792"/>
      <c r="B792"/>
      <c r="C792"/>
      <c r="D792"/>
      <c r="E792"/>
      <c r="F792"/>
      <c r="G792"/>
      <c r="H792"/>
      <c r="I792"/>
      <c r="J792"/>
      <c r="K792"/>
      <c r="L792"/>
      <c r="M792"/>
      <c r="N792"/>
      <c r="O792"/>
      <c r="P792"/>
      <c r="Q792"/>
      <c r="R792"/>
      <c r="S792"/>
    </row>
    <row r="793" spans="1:19" ht="15">
      <c r="A793"/>
      <c r="B793"/>
      <c r="C793"/>
      <c r="D793"/>
      <c r="E793"/>
      <c r="F793"/>
      <c r="G793"/>
      <c r="H793"/>
      <c r="I793"/>
      <c r="J793"/>
      <c r="K793"/>
      <c r="L793"/>
      <c r="M793"/>
      <c r="N793"/>
      <c r="O793"/>
      <c r="P793"/>
      <c r="Q793"/>
      <c r="R793"/>
      <c r="S793"/>
    </row>
    <row r="794" spans="1:19" ht="15">
      <c r="A794"/>
      <c r="B794"/>
      <c r="C794"/>
      <c r="D794"/>
      <c r="E794"/>
      <c r="F794"/>
      <c r="G794"/>
      <c r="H794"/>
      <c r="I794"/>
      <c r="J794"/>
      <c r="K794"/>
      <c r="L794"/>
      <c r="M794"/>
      <c r="N794"/>
      <c r="O794"/>
      <c r="P794"/>
      <c r="Q794"/>
      <c r="R794"/>
      <c r="S794"/>
    </row>
    <row r="795" spans="1:19" ht="15">
      <c r="A795"/>
      <c r="B795"/>
      <c r="C795"/>
      <c r="D795"/>
      <c r="E795"/>
      <c r="F795"/>
      <c r="G795"/>
      <c r="H795"/>
      <c r="I795"/>
      <c r="J795"/>
      <c r="K795"/>
      <c r="L795"/>
      <c r="M795"/>
      <c r="N795"/>
      <c r="O795"/>
      <c r="P795"/>
      <c r="Q795"/>
      <c r="R795"/>
      <c r="S795"/>
    </row>
    <row r="796" spans="1:19" ht="15">
      <c r="A796"/>
      <c r="B796"/>
      <c r="C796"/>
      <c r="D796"/>
      <c r="E796"/>
      <c r="F796"/>
      <c r="G796"/>
      <c r="H796"/>
      <c r="I796"/>
      <c r="J796"/>
      <c r="K796"/>
      <c r="L796"/>
      <c r="M796"/>
      <c r="N796"/>
      <c r="O796"/>
      <c r="P796"/>
      <c r="Q796"/>
      <c r="R796"/>
      <c r="S796"/>
    </row>
    <row r="797" spans="1:19" ht="15">
      <c r="A797"/>
      <c r="B797"/>
      <c r="C797"/>
      <c r="D797"/>
      <c r="E797"/>
      <c r="F797"/>
      <c r="G797"/>
      <c r="H797"/>
      <c r="I797"/>
      <c r="J797"/>
      <c r="K797"/>
      <c r="L797"/>
      <c r="M797"/>
      <c r="N797"/>
      <c r="O797"/>
      <c r="P797"/>
      <c r="Q797"/>
      <c r="R797"/>
      <c r="S797"/>
    </row>
    <row r="798" spans="1:19" ht="15">
      <c r="A798"/>
      <c r="B798"/>
      <c r="C798"/>
      <c r="D798"/>
      <c r="E798"/>
      <c r="F798"/>
      <c r="G798"/>
      <c r="H798"/>
      <c r="I798"/>
      <c r="J798"/>
      <c r="K798"/>
      <c r="L798"/>
      <c r="M798"/>
      <c r="N798"/>
      <c r="O798"/>
      <c r="P798"/>
      <c r="Q798"/>
      <c r="R798"/>
      <c r="S798"/>
    </row>
    <row r="799" spans="1:19" ht="15">
      <c r="A799"/>
      <c r="B799"/>
      <c r="C799"/>
      <c r="D799"/>
      <c r="E799"/>
      <c r="F799"/>
      <c r="G799"/>
      <c r="H799"/>
      <c r="I799"/>
      <c r="J799"/>
      <c r="K799"/>
      <c r="L799"/>
      <c r="M799"/>
      <c r="N799"/>
      <c r="O799"/>
      <c r="P799"/>
      <c r="Q799"/>
      <c r="R799"/>
      <c r="S799"/>
    </row>
    <row r="800" spans="1:19" ht="15">
      <c r="A800"/>
      <c r="B800"/>
      <c r="C800"/>
      <c r="D800"/>
      <c r="E800"/>
      <c r="F800"/>
      <c r="G800"/>
      <c r="H800"/>
      <c r="I800"/>
      <c r="J800"/>
      <c r="K800"/>
      <c r="L800"/>
      <c r="M800"/>
      <c r="N800"/>
      <c r="O800"/>
      <c r="P800"/>
      <c r="Q800"/>
      <c r="R800"/>
      <c r="S800"/>
    </row>
    <row r="801" spans="1:19" ht="15">
      <c r="A801"/>
      <c r="B801"/>
      <c r="C801"/>
      <c r="D801"/>
      <c r="E801"/>
      <c r="F801"/>
      <c r="G801"/>
      <c r="H801"/>
      <c r="I801"/>
      <c r="J801"/>
      <c r="K801"/>
      <c r="L801"/>
      <c r="M801"/>
      <c r="N801"/>
      <c r="O801"/>
      <c r="P801"/>
      <c r="Q801"/>
      <c r="R801"/>
      <c r="S801"/>
    </row>
    <row r="802" spans="1:19" ht="15">
      <c r="A802"/>
      <c r="B802"/>
      <c r="C802"/>
      <c r="D802"/>
      <c r="E802"/>
      <c r="F802"/>
      <c r="G802"/>
      <c r="H802"/>
      <c r="I802"/>
      <c r="J802"/>
      <c r="K802"/>
      <c r="L802"/>
      <c r="M802"/>
      <c r="N802"/>
      <c r="O802"/>
      <c r="P802"/>
      <c r="Q802"/>
      <c r="R802"/>
      <c r="S802"/>
    </row>
    <row r="803" spans="1:19" ht="15">
      <c r="A803"/>
      <c r="B803"/>
      <c r="C803"/>
      <c r="D803"/>
      <c r="E803"/>
      <c r="F803"/>
      <c r="G803"/>
      <c r="H803"/>
      <c r="I803"/>
      <c r="J803"/>
      <c r="K803"/>
      <c r="L803"/>
      <c r="M803"/>
      <c r="N803"/>
      <c r="O803"/>
      <c r="P803"/>
      <c r="Q803"/>
      <c r="R803"/>
      <c r="S803"/>
    </row>
    <row r="804" spans="1:19" ht="15">
      <c r="A804"/>
      <c r="B804"/>
      <c r="C804"/>
      <c r="D804"/>
      <c r="E804"/>
      <c r="F804"/>
      <c r="G804"/>
      <c r="H804"/>
      <c r="I804"/>
      <c r="J804"/>
      <c r="K804"/>
      <c r="L804"/>
      <c r="M804"/>
      <c r="N804"/>
      <c r="O804"/>
      <c r="P804"/>
      <c r="Q804"/>
      <c r="R804"/>
      <c r="S804"/>
    </row>
    <row r="805" spans="1:19" ht="15">
      <c r="A805"/>
      <c r="B805"/>
      <c r="C805"/>
      <c r="D805"/>
      <c r="E805"/>
      <c r="F805"/>
      <c r="G805"/>
      <c r="H805"/>
      <c r="I805"/>
      <c r="J805"/>
      <c r="K805"/>
      <c r="L805"/>
      <c r="M805"/>
      <c r="N805"/>
      <c r="O805"/>
      <c r="P805"/>
      <c r="Q805"/>
      <c r="R805"/>
      <c r="S805"/>
    </row>
    <row r="806" spans="1:19" ht="15">
      <c r="A806"/>
      <c r="B806"/>
      <c r="C806"/>
      <c r="D806"/>
      <c r="E806"/>
      <c r="F806"/>
      <c r="G806"/>
      <c r="H806"/>
      <c r="I806"/>
      <c r="J806"/>
      <c r="K806"/>
      <c r="L806"/>
      <c r="M806"/>
      <c r="N806"/>
      <c r="O806"/>
      <c r="P806"/>
      <c r="Q806"/>
      <c r="R806"/>
      <c r="S806"/>
    </row>
    <row r="807" spans="1:19" ht="15">
      <c r="A807"/>
      <c r="B807"/>
      <c r="C807"/>
      <c r="D807"/>
      <c r="E807"/>
      <c r="F807"/>
      <c r="G807"/>
      <c r="H807"/>
      <c r="I807"/>
      <c r="J807"/>
      <c r="K807"/>
      <c r="L807"/>
      <c r="M807"/>
      <c r="N807"/>
      <c r="O807"/>
      <c r="P807"/>
      <c r="Q807"/>
      <c r="R807"/>
      <c r="S807"/>
    </row>
    <row r="808" spans="1:19" ht="15">
      <c r="A808"/>
      <c r="B808"/>
      <c r="C808"/>
      <c r="D808"/>
      <c r="E808"/>
      <c r="F808"/>
      <c r="G808"/>
      <c r="H808"/>
      <c r="I808"/>
      <c r="J808"/>
      <c r="K808"/>
      <c r="L808"/>
      <c r="M808"/>
      <c r="N808"/>
      <c r="O808"/>
      <c r="P808"/>
      <c r="Q808"/>
      <c r="R808"/>
      <c r="S808"/>
    </row>
    <row r="809" spans="1:19" ht="15">
      <c r="A809"/>
      <c r="B809"/>
      <c r="C809"/>
      <c r="D809"/>
      <c r="E809"/>
      <c r="F809"/>
      <c r="G809"/>
      <c r="H809"/>
      <c r="I809"/>
      <c r="J809"/>
      <c r="K809"/>
      <c r="L809"/>
      <c r="M809"/>
      <c r="N809"/>
      <c r="O809"/>
      <c r="P809"/>
      <c r="Q809"/>
      <c r="R809"/>
      <c r="S809"/>
    </row>
    <row r="810" spans="1:19" ht="15">
      <c r="A810"/>
      <c r="B810"/>
      <c r="C810"/>
      <c r="D810"/>
      <c r="E810"/>
      <c r="F810"/>
      <c r="G810"/>
      <c r="H810"/>
      <c r="I810"/>
      <c r="J810"/>
      <c r="K810"/>
      <c r="L810"/>
      <c r="M810"/>
      <c r="N810"/>
      <c r="O810"/>
      <c r="P810"/>
      <c r="Q810"/>
      <c r="R810"/>
      <c r="S810"/>
    </row>
    <row r="811" spans="1:19" ht="15">
      <c r="A811"/>
      <c r="B811"/>
      <c r="C811"/>
      <c r="D811"/>
      <c r="E811"/>
      <c r="F811"/>
      <c r="G811"/>
      <c r="H811"/>
      <c r="I811"/>
      <c r="J811"/>
      <c r="K811"/>
      <c r="L811"/>
      <c r="M811"/>
      <c r="N811"/>
      <c r="O811"/>
      <c r="P811"/>
      <c r="Q811"/>
      <c r="R811"/>
      <c r="S811"/>
    </row>
    <row r="812" spans="1:19" ht="15">
      <c r="A812"/>
      <c r="B812"/>
      <c r="C812"/>
      <c r="D812"/>
      <c r="E812"/>
      <c r="F812"/>
      <c r="G812"/>
      <c r="H812"/>
      <c r="I812"/>
      <c r="J812"/>
      <c r="K812"/>
      <c r="L812"/>
      <c r="M812"/>
      <c r="N812"/>
      <c r="O812"/>
      <c r="P812"/>
      <c r="Q812"/>
      <c r="R812"/>
      <c r="S812"/>
    </row>
    <row r="813" spans="1:19" ht="15">
      <c r="A813"/>
      <c r="B813"/>
      <c r="C813"/>
      <c r="D813"/>
      <c r="E813"/>
      <c r="F813"/>
      <c r="G813"/>
      <c r="H813"/>
      <c r="I813"/>
      <c r="J813"/>
      <c r="K813"/>
      <c r="L813"/>
      <c r="M813"/>
      <c r="N813"/>
      <c r="O813"/>
      <c r="P813"/>
      <c r="Q813"/>
      <c r="R813"/>
      <c r="S813"/>
    </row>
    <row r="814" spans="1:19" ht="15">
      <c r="A814"/>
      <c r="B814"/>
      <c r="C814"/>
      <c r="D814"/>
      <c r="E814"/>
      <c r="F814"/>
      <c r="G814"/>
      <c r="H814"/>
      <c r="I814"/>
      <c r="J814"/>
      <c r="K814"/>
      <c r="L814"/>
      <c r="M814"/>
      <c r="N814"/>
      <c r="O814"/>
      <c r="P814"/>
      <c r="Q814"/>
      <c r="R814"/>
      <c r="S814"/>
    </row>
    <row r="815" spans="1:19" ht="15">
      <c r="A815"/>
      <c r="B815"/>
      <c r="C815"/>
      <c r="D815"/>
      <c r="E815"/>
      <c r="F815"/>
      <c r="G815"/>
      <c r="H815"/>
      <c r="I815"/>
      <c r="J815"/>
      <c r="K815"/>
      <c r="L815"/>
      <c r="M815"/>
      <c r="N815"/>
      <c r="O815"/>
      <c r="P815"/>
      <c r="Q815"/>
      <c r="R815"/>
      <c r="S815"/>
    </row>
    <row r="816" spans="1:19" ht="15">
      <c r="A816"/>
      <c r="B816"/>
      <c r="C816"/>
      <c r="D816"/>
      <c r="E816"/>
      <c r="F816"/>
      <c r="G816"/>
      <c r="H816"/>
      <c r="I816"/>
      <c r="J816"/>
      <c r="K816"/>
      <c r="L816"/>
      <c r="M816"/>
      <c r="N816"/>
      <c r="O816"/>
      <c r="P816"/>
      <c r="Q816"/>
      <c r="R816"/>
      <c r="S816"/>
    </row>
    <row r="817" spans="1:19" ht="15">
      <c r="A817"/>
      <c r="B817"/>
      <c r="C817"/>
      <c r="D817"/>
      <c r="E817"/>
      <c r="F817"/>
      <c r="G817"/>
      <c r="H817"/>
      <c r="I817"/>
      <c r="J817"/>
      <c r="K817"/>
      <c r="L817"/>
      <c r="M817"/>
      <c r="N817"/>
      <c r="O817"/>
      <c r="P817"/>
      <c r="Q817"/>
      <c r="R817"/>
      <c r="S817"/>
    </row>
    <row r="818" spans="1:19" ht="15">
      <c r="A818"/>
      <c r="B818"/>
      <c r="C818"/>
      <c r="D818"/>
      <c r="E818"/>
      <c r="F818"/>
      <c r="G818"/>
      <c r="H818"/>
      <c r="I818"/>
      <c r="J818"/>
      <c r="K818"/>
      <c r="L818"/>
      <c r="M818"/>
      <c r="N818"/>
      <c r="O818"/>
      <c r="P818"/>
      <c r="Q818"/>
      <c r="R818"/>
      <c r="S818"/>
    </row>
    <row r="819" spans="1:19" ht="15">
      <c r="A819"/>
      <c r="B819"/>
      <c r="C819"/>
      <c r="D819"/>
      <c r="E819"/>
      <c r="F819"/>
      <c r="G819"/>
      <c r="H819"/>
      <c r="I819"/>
      <c r="J819"/>
      <c r="K819"/>
      <c r="L819"/>
      <c r="M819"/>
      <c r="N819"/>
      <c r="O819"/>
      <c r="P819"/>
      <c r="Q819"/>
      <c r="R819"/>
      <c r="S819"/>
    </row>
    <row r="820" spans="1:19" ht="15">
      <c r="A820"/>
      <c r="B820"/>
      <c r="C820"/>
      <c r="D820"/>
      <c r="E820"/>
      <c r="F820"/>
      <c r="G820"/>
      <c r="H820"/>
      <c r="I820"/>
      <c r="J820"/>
      <c r="K820"/>
      <c r="L820"/>
      <c r="M820"/>
      <c r="N820"/>
      <c r="O820"/>
      <c r="P820"/>
      <c r="Q820"/>
      <c r="R820"/>
      <c r="S820"/>
    </row>
    <row r="821" spans="1:19" ht="15">
      <c r="A821"/>
      <c r="B821"/>
      <c r="C821"/>
      <c r="D821"/>
      <c r="E821"/>
      <c r="F821"/>
      <c r="G821"/>
      <c r="H821"/>
      <c r="I821"/>
      <c r="J821"/>
      <c r="K821"/>
      <c r="L821"/>
      <c r="M821"/>
      <c r="N821"/>
      <c r="O821"/>
      <c r="P821"/>
      <c r="Q821"/>
      <c r="R821"/>
      <c r="S821"/>
    </row>
    <row r="822" spans="1:19" ht="15">
      <c r="A822"/>
      <c r="B822"/>
      <c r="C822"/>
      <c r="D822"/>
      <c r="E822"/>
      <c r="F822"/>
      <c r="G822"/>
      <c r="H822"/>
      <c r="I822"/>
      <c r="J822"/>
      <c r="K822"/>
      <c r="L822"/>
      <c r="M822"/>
      <c r="N822"/>
      <c r="O822"/>
      <c r="P822"/>
      <c r="Q822"/>
      <c r="R822"/>
      <c r="S822"/>
    </row>
    <row r="823" spans="1:19" ht="15">
      <c r="A823"/>
      <c r="B823"/>
      <c r="C823"/>
      <c r="D823"/>
      <c r="E823"/>
      <c r="F823"/>
      <c r="G823"/>
      <c r="H823"/>
      <c r="I823"/>
      <c r="J823"/>
      <c r="K823"/>
      <c r="L823"/>
      <c r="M823"/>
      <c r="N823"/>
      <c r="O823"/>
      <c r="P823"/>
      <c r="Q823"/>
      <c r="R823"/>
      <c r="S823"/>
    </row>
    <row r="824" spans="1:19" ht="15">
      <c r="A824"/>
      <c r="B824"/>
      <c r="C824"/>
      <c r="D824"/>
      <c r="E824"/>
      <c r="F824"/>
      <c r="G824"/>
      <c r="H824"/>
      <c r="I824"/>
      <c r="J824"/>
      <c r="K824"/>
      <c r="L824"/>
      <c r="M824"/>
      <c r="N824"/>
      <c r="O824"/>
      <c r="P824"/>
      <c r="Q824"/>
      <c r="R824"/>
      <c r="S824"/>
    </row>
    <row r="825" spans="1:19" ht="15">
      <c r="A825"/>
      <c r="B825"/>
      <c r="C825"/>
      <c r="D825"/>
      <c r="E825"/>
      <c r="F825"/>
      <c r="G825"/>
      <c r="H825"/>
      <c r="I825"/>
      <c r="J825"/>
      <c r="K825"/>
      <c r="L825"/>
      <c r="M825"/>
      <c r="N825"/>
      <c r="O825"/>
      <c r="P825"/>
      <c r="Q825"/>
      <c r="R825"/>
      <c r="S825"/>
    </row>
    <row r="826" spans="1:19" ht="15">
      <c r="A826"/>
      <c r="B826"/>
      <c r="C826"/>
      <c r="D826"/>
      <c r="E826"/>
      <c r="F826"/>
      <c r="G826"/>
      <c r="H826"/>
      <c r="I826"/>
      <c r="J826"/>
      <c r="K826"/>
      <c r="L826"/>
      <c r="M826"/>
      <c r="N826"/>
      <c r="O826"/>
      <c r="P826"/>
      <c r="Q826"/>
      <c r="R826"/>
      <c r="S826"/>
    </row>
    <row r="827" spans="1:19" ht="15">
      <c r="A827"/>
      <c r="B827"/>
      <c r="C827"/>
      <c r="D827"/>
      <c r="E827"/>
      <c r="F827"/>
      <c r="G827"/>
      <c r="H827"/>
      <c r="I827"/>
      <c r="J827"/>
      <c r="K827"/>
      <c r="L827"/>
      <c r="M827"/>
      <c r="N827"/>
      <c r="O827"/>
      <c r="P827"/>
      <c r="Q827"/>
      <c r="R827"/>
      <c r="S827"/>
    </row>
    <row r="828" spans="1:19" ht="15">
      <c r="A828"/>
      <c r="B828"/>
      <c r="C828"/>
      <c r="D828"/>
      <c r="E828"/>
      <c r="F828"/>
      <c r="G828"/>
      <c r="H828"/>
      <c r="I828"/>
      <c r="J828"/>
      <c r="K828"/>
      <c r="L828"/>
      <c r="M828"/>
      <c r="N828"/>
      <c r="O828"/>
      <c r="P828"/>
      <c r="Q828"/>
      <c r="R828"/>
      <c r="S828"/>
    </row>
    <row r="829" spans="1:19" ht="15">
      <c r="A829"/>
      <c r="B829"/>
      <c r="C829"/>
      <c r="D829"/>
      <c r="E829"/>
      <c r="F829"/>
      <c r="G829"/>
      <c r="H829"/>
      <c r="I829"/>
      <c r="J829"/>
      <c r="K829"/>
      <c r="L829"/>
      <c r="M829"/>
      <c r="N829"/>
      <c r="O829"/>
      <c r="P829"/>
      <c r="Q829"/>
      <c r="R829"/>
      <c r="S829"/>
    </row>
    <row r="830" spans="1:19" ht="15">
      <c r="A830"/>
      <c r="B830"/>
      <c r="C830"/>
      <c r="D830"/>
      <c r="E830"/>
      <c r="F830"/>
      <c r="G830"/>
      <c r="H830"/>
      <c r="I830"/>
      <c r="J830"/>
      <c r="K830"/>
      <c r="L830"/>
      <c r="M830"/>
      <c r="N830"/>
      <c r="O830"/>
      <c r="P830"/>
      <c r="Q830"/>
      <c r="R830"/>
      <c r="S830"/>
    </row>
    <row r="831" spans="1:19" ht="15">
      <c r="A831"/>
      <c r="B831"/>
      <c r="C831"/>
      <c r="D831"/>
      <c r="E831"/>
      <c r="F831"/>
      <c r="G831"/>
      <c r="H831"/>
      <c r="I831"/>
      <c r="J831"/>
      <c r="K831"/>
      <c r="L831"/>
      <c r="M831"/>
      <c r="N831"/>
      <c r="O831"/>
      <c r="P831"/>
      <c r="Q831"/>
      <c r="R831"/>
      <c r="S831"/>
    </row>
    <row r="832" spans="1:19" ht="15">
      <c r="A832"/>
      <c r="B832"/>
      <c r="C832"/>
      <c r="D832"/>
      <c r="E832"/>
      <c r="F832"/>
      <c r="G832"/>
      <c r="H832"/>
      <c r="I832"/>
      <c r="J832"/>
      <c r="K832"/>
      <c r="L832"/>
      <c r="M832"/>
      <c r="N832"/>
      <c r="O832"/>
      <c r="P832"/>
      <c r="Q832"/>
      <c r="R832"/>
      <c r="S832"/>
    </row>
    <row r="833" spans="1:19" ht="15">
      <c r="A833"/>
      <c r="B833"/>
      <c r="C833"/>
      <c r="D833"/>
      <c r="E833"/>
      <c r="F833"/>
      <c r="G833"/>
      <c r="H833"/>
      <c r="I833"/>
      <c r="J833"/>
      <c r="K833"/>
      <c r="L833"/>
      <c r="M833"/>
      <c r="N833"/>
      <c r="O833"/>
      <c r="P833"/>
      <c r="Q833"/>
      <c r="R833"/>
      <c r="S833"/>
    </row>
    <row r="834" spans="1:19" ht="15">
      <c r="A834"/>
      <c r="B834"/>
      <c r="C834"/>
      <c r="D834"/>
      <c r="E834"/>
      <c r="F834"/>
      <c r="G834"/>
      <c r="H834"/>
      <c r="I834"/>
      <c r="J834"/>
      <c r="K834"/>
      <c r="L834"/>
      <c r="M834"/>
      <c r="N834"/>
      <c r="O834"/>
      <c r="P834"/>
      <c r="Q834"/>
      <c r="R834"/>
      <c r="S834"/>
    </row>
    <row r="835" spans="1:19" ht="15">
      <c r="A835"/>
      <c r="B835"/>
      <c r="C835"/>
      <c r="D835"/>
      <c r="E835"/>
      <c r="F835"/>
      <c r="G835"/>
      <c r="H835"/>
      <c r="I835"/>
      <c r="J835"/>
      <c r="K835"/>
      <c r="L835"/>
      <c r="M835"/>
      <c r="N835"/>
      <c r="O835"/>
      <c r="P835"/>
      <c r="Q835"/>
      <c r="R835"/>
      <c r="S835"/>
    </row>
    <row r="836" spans="1:19" ht="15">
      <c r="A836"/>
      <c r="B836"/>
      <c r="C836"/>
      <c r="D836"/>
      <c r="E836"/>
      <c r="F836"/>
      <c r="G836"/>
      <c r="H836"/>
      <c r="I836"/>
      <c r="J836"/>
      <c r="K836"/>
      <c r="L836"/>
      <c r="M836"/>
      <c r="N836"/>
      <c r="O836"/>
      <c r="P836"/>
      <c r="Q836"/>
      <c r="R836"/>
      <c r="S836"/>
    </row>
    <row r="837" spans="1:19" ht="15">
      <c r="A837"/>
      <c r="B837"/>
      <c r="C837"/>
      <c r="D837"/>
      <c r="E837"/>
      <c r="F837"/>
      <c r="G837"/>
      <c r="H837"/>
      <c r="I837"/>
      <c r="J837"/>
      <c r="K837"/>
      <c r="L837"/>
      <c r="M837"/>
      <c r="N837"/>
      <c r="O837"/>
      <c r="P837"/>
      <c r="Q837"/>
      <c r="R837"/>
      <c r="S837"/>
    </row>
    <row r="838" spans="1:19" ht="15">
      <c r="A838"/>
      <c r="B838"/>
      <c r="C838"/>
      <c r="D838"/>
      <c r="E838"/>
      <c r="F838"/>
      <c r="G838"/>
      <c r="H838"/>
      <c r="I838"/>
      <c r="J838"/>
      <c r="K838"/>
      <c r="L838"/>
      <c r="M838"/>
      <c r="N838"/>
      <c r="O838"/>
      <c r="P838"/>
      <c r="Q838"/>
      <c r="R838"/>
      <c r="S838"/>
    </row>
    <row r="839" spans="1:19" ht="15">
      <c r="A839"/>
      <c r="B839"/>
      <c r="C839"/>
      <c r="D839"/>
      <c r="E839"/>
      <c r="F839"/>
      <c r="G839"/>
      <c r="H839"/>
      <c r="I839"/>
      <c r="J839"/>
      <c r="K839"/>
      <c r="L839"/>
      <c r="M839"/>
      <c r="N839"/>
      <c r="O839"/>
      <c r="P839"/>
      <c r="Q839"/>
      <c r="R839"/>
      <c r="S839"/>
    </row>
    <row r="840" spans="1:19" ht="15">
      <c r="A840"/>
      <c r="B840"/>
      <c r="C840"/>
      <c r="D840"/>
      <c r="E840"/>
      <c r="F840"/>
      <c r="G840"/>
      <c r="H840"/>
      <c r="I840"/>
      <c r="J840"/>
      <c r="K840"/>
      <c r="L840"/>
      <c r="M840"/>
      <c r="N840"/>
      <c r="O840"/>
      <c r="P840"/>
      <c r="Q840"/>
      <c r="R840"/>
      <c r="S840"/>
    </row>
    <row r="841" spans="1:19" ht="15">
      <c r="A841"/>
      <c r="B841"/>
      <c r="C841"/>
      <c r="D841"/>
      <c r="E841"/>
      <c r="F841"/>
      <c r="G841"/>
      <c r="H841"/>
      <c r="I841"/>
      <c r="J841"/>
      <c r="K841"/>
      <c r="L841"/>
      <c r="M841"/>
      <c r="N841"/>
      <c r="O841"/>
      <c r="P841"/>
      <c r="Q841"/>
      <c r="R841"/>
      <c r="S841"/>
    </row>
    <row r="842" spans="1:19" ht="15">
      <c r="A842"/>
      <c r="B842"/>
      <c r="C842"/>
      <c r="D842"/>
      <c r="E842"/>
      <c r="F842"/>
      <c r="G842"/>
      <c r="H842"/>
      <c r="I842"/>
      <c r="J842"/>
      <c r="K842"/>
      <c r="L842"/>
      <c r="M842"/>
      <c r="N842"/>
      <c r="O842"/>
      <c r="P842"/>
      <c r="Q842"/>
      <c r="R842"/>
      <c r="S842"/>
    </row>
    <row r="843" spans="1:19" ht="15">
      <c r="A843"/>
      <c r="B843"/>
      <c r="C843"/>
      <c r="D843"/>
      <c r="E843"/>
      <c r="F843"/>
      <c r="G843"/>
      <c r="H843"/>
      <c r="I843"/>
      <c r="J843"/>
      <c r="K843"/>
      <c r="L843"/>
      <c r="M843"/>
      <c r="N843"/>
      <c r="O843"/>
      <c r="P843"/>
      <c r="Q843"/>
      <c r="R843"/>
      <c r="S843"/>
    </row>
    <row r="844" spans="1:19" ht="15">
      <c r="A844"/>
      <c r="B844"/>
      <c r="C844"/>
      <c r="D844"/>
      <c r="E844"/>
      <c r="F844"/>
      <c r="G844"/>
      <c r="H844"/>
      <c r="I844"/>
      <c r="J844"/>
      <c r="K844"/>
      <c r="L844"/>
      <c r="M844"/>
      <c r="N844"/>
      <c r="O844"/>
      <c r="P844"/>
      <c r="Q844"/>
      <c r="R844"/>
      <c r="S844"/>
    </row>
    <row r="845" spans="1:19" ht="15">
      <c r="A845"/>
      <c r="B845"/>
      <c r="C845"/>
      <c r="D845"/>
      <c r="E845"/>
      <c r="F845"/>
      <c r="G845"/>
      <c r="H845"/>
      <c r="I845"/>
      <c r="J845"/>
      <c r="K845"/>
      <c r="L845"/>
      <c r="M845"/>
      <c r="N845"/>
      <c r="O845"/>
      <c r="P845"/>
      <c r="Q845"/>
      <c r="R845"/>
      <c r="S845"/>
    </row>
    <row r="846" spans="1:19" ht="15">
      <c r="A846"/>
      <c r="B846"/>
      <c r="C846"/>
      <c r="D846"/>
      <c r="E846"/>
      <c r="F846"/>
      <c r="G846"/>
      <c r="H846"/>
      <c r="I846"/>
      <c r="J846"/>
      <c r="K846"/>
      <c r="L846"/>
      <c r="M846"/>
      <c r="N846"/>
      <c r="O846"/>
      <c r="P846"/>
      <c r="Q846"/>
      <c r="R846"/>
      <c r="S846"/>
    </row>
    <row r="847" spans="1:19" ht="15">
      <c r="A847"/>
      <c r="B847"/>
      <c r="C847"/>
      <c r="D847"/>
      <c r="E847"/>
      <c r="F847"/>
      <c r="G847"/>
      <c r="H847"/>
      <c r="I847"/>
      <c r="J847"/>
      <c r="K847"/>
      <c r="L847"/>
      <c r="M847"/>
      <c r="N847"/>
      <c r="O847"/>
      <c r="P847"/>
      <c r="Q847"/>
      <c r="R847"/>
      <c r="S847"/>
    </row>
    <row r="848" spans="1:19" ht="15">
      <c r="A848"/>
      <c r="B848"/>
      <c r="C848"/>
      <c r="D848"/>
      <c r="E848"/>
      <c r="F848"/>
      <c r="G848"/>
      <c r="H848"/>
      <c r="I848"/>
      <c r="J848"/>
      <c r="K848"/>
      <c r="L848"/>
      <c r="M848"/>
      <c r="N848"/>
      <c r="O848"/>
      <c r="P848"/>
      <c r="Q848"/>
      <c r="R848"/>
      <c r="S848"/>
    </row>
    <row r="849" spans="1:19" ht="15">
      <c r="A849"/>
      <c r="B849"/>
      <c r="C849"/>
      <c r="D849"/>
      <c r="E849"/>
      <c r="F849"/>
      <c r="G849"/>
      <c r="H849"/>
      <c r="I849"/>
      <c r="J849"/>
      <c r="K849"/>
      <c r="L849"/>
      <c r="M849"/>
      <c r="N849"/>
      <c r="O849"/>
      <c r="P849"/>
      <c r="Q849"/>
      <c r="R849"/>
      <c r="S849"/>
    </row>
    <row r="850" spans="1:19" ht="15">
      <c r="A850"/>
      <c r="B850"/>
      <c r="C850"/>
      <c r="D850"/>
      <c r="E850"/>
      <c r="F850"/>
      <c r="G850"/>
      <c r="H850"/>
      <c r="I850"/>
      <c r="J850"/>
      <c r="K850"/>
      <c r="L850"/>
      <c r="M850"/>
      <c r="N850"/>
      <c r="O850"/>
      <c r="P850"/>
      <c r="Q850"/>
      <c r="R850"/>
      <c r="S850"/>
    </row>
    <row r="851" spans="1:19" ht="15">
      <c r="A851"/>
      <c r="B851"/>
      <c r="C851"/>
      <c r="D851"/>
      <c r="E851"/>
      <c r="F851"/>
      <c r="G851"/>
      <c r="H851"/>
      <c r="I851"/>
      <c r="J851"/>
      <c r="K851"/>
      <c r="L851"/>
      <c r="M851"/>
      <c r="N851"/>
      <c r="O851"/>
      <c r="P851"/>
      <c r="Q851"/>
      <c r="R851"/>
      <c r="S851"/>
    </row>
    <row r="852" spans="1:19" ht="15">
      <c r="A852"/>
      <c r="B852"/>
      <c r="C852"/>
      <c r="D852"/>
      <c r="E852"/>
      <c r="F852"/>
      <c r="G852"/>
      <c r="H852"/>
      <c r="I852"/>
      <c r="J852"/>
      <c r="K852"/>
      <c r="L852"/>
      <c r="M852"/>
      <c r="N852"/>
      <c r="O852"/>
      <c r="P852"/>
      <c r="Q852"/>
      <c r="R852"/>
      <c r="S852"/>
    </row>
    <row r="853" spans="1:19" ht="15">
      <c r="A853"/>
      <c r="B853"/>
      <c r="C853"/>
      <c r="D853"/>
      <c r="E853"/>
      <c r="F853"/>
      <c r="G853"/>
      <c r="H853"/>
      <c r="I853"/>
      <c r="J853"/>
      <c r="K853"/>
      <c r="L853"/>
      <c r="M853"/>
      <c r="N853"/>
      <c r="O853"/>
      <c r="P853"/>
      <c r="Q853"/>
      <c r="R853"/>
      <c r="S853"/>
    </row>
    <row r="854" spans="1:19" ht="15">
      <c r="A854"/>
      <c r="B854"/>
      <c r="C854"/>
      <c r="D854"/>
      <c r="E854"/>
      <c r="F854"/>
      <c r="G854"/>
      <c r="H854"/>
      <c r="I854"/>
      <c r="J854"/>
      <c r="K854"/>
      <c r="L854"/>
      <c r="M854"/>
      <c r="N854"/>
      <c r="O854"/>
      <c r="P854"/>
      <c r="Q854"/>
      <c r="R854"/>
      <c r="S854"/>
    </row>
    <row r="855" spans="1:19" ht="15">
      <c r="A855"/>
      <c r="B855"/>
      <c r="C855"/>
      <c r="D855"/>
      <c r="E855"/>
      <c r="F855"/>
      <c r="G855"/>
      <c r="H855"/>
      <c r="I855"/>
      <c r="J855"/>
      <c r="K855"/>
      <c r="L855"/>
      <c r="M855"/>
      <c r="N855"/>
      <c r="O855"/>
      <c r="P855"/>
      <c r="Q855"/>
      <c r="R855"/>
      <c r="S855"/>
    </row>
    <row r="856" spans="1:19" ht="15">
      <c r="A856"/>
      <c r="B856"/>
      <c r="C856"/>
      <c r="D856"/>
      <c r="E856"/>
      <c r="F856"/>
      <c r="G856"/>
      <c r="H856"/>
      <c r="I856"/>
      <c r="J856"/>
      <c r="K856"/>
      <c r="L856"/>
      <c r="M856"/>
      <c r="N856"/>
      <c r="O856"/>
      <c r="P856"/>
      <c r="Q856"/>
      <c r="R856"/>
      <c r="S856"/>
    </row>
    <row r="857" spans="1:19" ht="15">
      <c r="A857"/>
      <c r="B857"/>
      <c r="C857"/>
      <c r="D857"/>
      <c r="E857"/>
      <c r="F857"/>
      <c r="G857"/>
      <c r="H857"/>
      <c r="I857"/>
      <c r="J857"/>
      <c r="K857"/>
      <c r="L857"/>
      <c r="M857"/>
      <c r="N857"/>
      <c r="O857"/>
      <c r="P857"/>
      <c r="Q857"/>
      <c r="R857"/>
      <c r="S857"/>
    </row>
    <row r="858" spans="1:19" ht="15">
      <c r="A858"/>
      <c r="B858"/>
      <c r="C858"/>
      <c r="D858"/>
      <c r="E858"/>
      <c r="F858"/>
      <c r="G858"/>
      <c r="H858"/>
      <c r="I858"/>
      <c r="J858"/>
      <c r="K858"/>
      <c r="L858"/>
      <c r="M858"/>
      <c r="N858"/>
      <c r="O858"/>
      <c r="P858"/>
      <c r="Q858"/>
      <c r="R858"/>
      <c r="S858"/>
    </row>
    <row r="859" spans="1:19" ht="15">
      <c r="A859"/>
      <c r="B859"/>
      <c r="C859"/>
      <c r="D859"/>
      <c r="E859"/>
      <c r="F859"/>
      <c r="G859"/>
      <c r="H859"/>
      <c r="I859"/>
      <c r="J859"/>
      <c r="K859"/>
      <c r="L859"/>
      <c r="M859"/>
      <c r="N859"/>
      <c r="O859"/>
      <c r="P859"/>
      <c r="Q859"/>
      <c r="R859"/>
      <c r="S859"/>
    </row>
    <row r="860" spans="1:19" ht="15">
      <c r="A860"/>
      <c r="B860"/>
      <c r="C860"/>
      <c r="D860"/>
      <c r="E860"/>
      <c r="F860"/>
      <c r="G860"/>
      <c r="H860"/>
      <c r="I860"/>
      <c r="J860"/>
      <c r="K860"/>
      <c r="L860"/>
      <c r="M860"/>
      <c r="N860"/>
      <c r="O860"/>
      <c r="P860"/>
      <c r="Q860"/>
      <c r="R860"/>
      <c r="S860"/>
    </row>
    <row r="861" spans="1:19" ht="15">
      <c r="A861"/>
      <c r="B861"/>
      <c r="C861"/>
      <c r="D861"/>
      <c r="E861"/>
      <c r="F861"/>
      <c r="G861"/>
      <c r="H861"/>
      <c r="I861"/>
      <c r="J861"/>
      <c r="K861"/>
      <c r="L861"/>
      <c r="M861"/>
      <c r="N861"/>
      <c r="O861"/>
      <c r="P861"/>
      <c r="Q861"/>
      <c r="R861"/>
      <c r="S861"/>
    </row>
    <row r="862" spans="1:19" ht="15">
      <c r="A862"/>
      <c r="B862"/>
      <c r="C862"/>
      <c r="D862"/>
      <c r="E862"/>
      <c r="F862"/>
      <c r="G862"/>
      <c r="H862"/>
      <c r="I862"/>
      <c r="J862"/>
      <c r="K862"/>
      <c r="L862"/>
      <c r="M862"/>
      <c r="N862"/>
      <c r="O862"/>
      <c r="P862"/>
      <c r="Q862"/>
      <c r="R862"/>
      <c r="S862"/>
    </row>
    <row r="863" spans="1:19" ht="15">
      <c r="A863"/>
      <c r="B863"/>
      <c r="C863"/>
      <c r="D863"/>
      <c r="E863"/>
      <c r="F863"/>
      <c r="G863"/>
      <c r="H863"/>
      <c r="I863"/>
      <c r="J863"/>
      <c r="K863"/>
      <c r="L863"/>
      <c r="M863"/>
      <c r="N863"/>
      <c r="O863"/>
      <c r="P863"/>
      <c r="Q863"/>
      <c r="R863"/>
      <c r="S863"/>
    </row>
    <row r="864" spans="1:19" ht="15">
      <c r="A864"/>
      <c r="B864"/>
      <c r="C864"/>
      <c r="D864"/>
      <c r="E864"/>
      <c r="F864"/>
      <c r="G864"/>
      <c r="H864"/>
      <c r="I864"/>
      <c r="J864"/>
      <c r="K864"/>
      <c r="L864"/>
      <c r="M864"/>
      <c r="N864"/>
      <c r="O864"/>
      <c r="P864"/>
      <c r="Q864"/>
      <c r="R864"/>
      <c r="S864"/>
    </row>
    <row r="865" spans="1:19" ht="15">
      <c r="A865"/>
      <c r="B865"/>
      <c r="C865"/>
      <c r="D865"/>
      <c r="E865"/>
      <c r="F865"/>
      <c r="G865"/>
      <c r="H865"/>
      <c r="I865"/>
      <c r="J865"/>
      <c r="K865"/>
      <c r="L865"/>
      <c r="M865"/>
      <c r="N865"/>
      <c r="O865"/>
      <c r="P865"/>
      <c r="Q865"/>
      <c r="R865"/>
      <c r="S865"/>
    </row>
    <row r="866" spans="1:19" ht="15">
      <c r="A866"/>
      <c r="B866"/>
      <c r="C866"/>
      <c r="D866"/>
      <c r="E866"/>
      <c r="F866"/>
      <c r="G866"/>
      <c r="H866"/>
      <c r="I866"/>
      <c r="J866"/>
      <c r="K866"/>
      <c r="L866"/>
      <c r="M866"/>
      <c r="N866"/>
      <c r="O866"/>
      <c r="P866"/>
      <c r="Q866"/>
      <c r="R866"/>
      <c r="S866"/>
    </row>
    <row r="867" spans="1:19" ht="15">
      <c r="A867"/>
      <c r="B867"/>
      <c r="C867"/>
      <c r="D867"/>
      <c r="E867"/>
      <c r="F867"/>
      <c r="G867"/>
      <c r="H867"/>
      <c r="I867"/>
      <c r="J867"/>
      <c r="K867"/>
      <c r="L867"/>
      <c r="M867"/>
      <c r="N867"/>
      <c r="O867"/>
      <c r="P867"/>
      <c r="Q867"/>
      <c r="R867"/>
      <c r="S867"/>
    </row>
    <row r="868" spans="1:19" ht="15">
      <c r="A868"/>
      <c r="B868"/>
      <c r="C868"/>
      <c r="D868"/>
      <c r="E868"/>
      <c r="F868"/>
      <c r="G868"/>
      <c r="H868"/>
      <c r="I868"/>
      <c r="J868"/>
      <c r="K868"/>
      <c r="L868"/>
      <c r="M868"/>
      <c r="N868"/>
      <c r="O868"/>
      <c r="P868"/>
      <c r="Q868"/>
      <c r="R868"/>
      <c r="S868"/>
    </row>
    <row r="869" spans="1:19" ht="15">
      <c r="A869"/>
      <c r="B869"/>
      <c r="C869"/>
      <c r="D869"/>
      <c r="E869"/>
      <c r="F869"/>
      <c r="G869"/>
      <c r="H869"/>
      <c r="I869"/>
      <c r="J869"/>
      <c r="K869"/>
      <c r="L869"/>
      <c r="M869"/>
      <c r="N869"/>
      <c r="O869"/>
      <c r="P869"/>
      <c r="Q869"/>
      <c r="R869"/>
      <c r="S869"/>
    </row>
    <row r="870" spans="1:19" ht="15">
      <c r="A870"/>
      <c r="B870"/>
      <c r="C870"/>
      <c r="D870"/>
      <c r="E870"/>
      <c r="F870"/>
      <c r="G870"/>
      <c r="H870"/>
      <c r="I870"/>
      <c r="J870"/>
      <c r="K870"/>
      <c r="L870"/>
      <c r="M870"/>
      <c r="N870"/>
      <c r="O870"/>
      <c r="P870"/>
      <c r="Q870"/>
      <c r="R870"/>
      <c r="S870"/>
    </row>
    <row r="871" spans="1:19" ht="15">
      <c r="A871"/>
      <c r="B871"/>
      <c r="C871"/>
      <c r="D871"/>
      <c r="E871"/>
      <c r="F871"/>
      <c r="G871"/>
      <c r="H871"/>
      <c r="I871"/>
      <c r="J871"/>
      <c r="K871"/>
      <c r="L871"/>
      <c r="M871"/>
      <c r="N871"/>
      <c r="O871"/>
      <c r="P871"/>
      <c r="Q871"/>
      <c r="R871"/>
      <c r="S871"/>
    </row>
    <row r="872" spans="1:19" ht="15">
      <c r="A872"/>
      <c r="B872"/>
      <c r="C872"/>
      <c r="D872"/>
      <c r="E872"/>
      <c r="F872"/>
      <c r="G872"/>
      <c r="H872"/>
      <c r="I872"/>
      <c r="J872"/>
      <c r="K872"/>
      <c r="L872"/>
      <c r="M872"/>
      <c r="N872"/>
      <c r="O872"/>
      <c r="P872"/>
      <c r="Q872"/>
      <c r="R872"/>
      <c r="S872"/>
    </row>
    <row r="873" spans="1:19" ht="15">
      <c r="A873"/>
      <c r="B873"/>
      <c r="C873"/>
      <c r="D873"/>
      <c r="E873"/>
      <c r="F873"/>
      <c r="G873"/>
      <c r="H873"/>
      <c r="I873"/>
      <c r="J873"/>
      <c r="K873"/>
      <c r="L873"/>
      <c r="M873"/>
      <c r="N873"/>
      <c r="O873"/>
      <c r="P873"/>
      <c r="Q873"/>
      <c r="R873"/>
      <c r="S873"/>
    </row>
    <row r="874" spans="1:19" ht="15">
      <c r="A874"/>
      <c r="B874"/>
      <c r="C874"/>
      <c r="D874"/>
      <c r="E874"/>
      <c r="F874"/>
      <c r="G874"/>
      <c r="H874"/>
      <c r="I874"/>
      <c r="J874"/>
      <c r="K874"/>
      <c r="L874"/>
      <c r="M874"/>
      <c r="N874"/>
      <c r="O874"/>
      <c r="P874"/>
      <c r="Q874"/>
      <c r="R874"/>
      <c r="S874"/>
    </row>
    <row r="875" spans="1:19" ht="15">
      <c r="A875"/>
      <c r="B875"/>
      <c r="C875"/>
      <c r="D875"/>
      <c r="E875"/>
      <c r="F875"/>
      <c r="G875"/>
      <c r="H875"/>
      <c r="I875"/>
      <c r="J875"/>
      <c r="K875"/>
      <c r="L875"/>
      <c r="M875"/>
      <c r="N875"/>
      <c r="O875"/>
      <c r="P875"/>
      <c r="Q875"/>
      <c r="R875"/>
      <c r="S875"/>
    </row>
    <row r="876" spans="1:19" ht="15">
      <c r="A876"/>
      <c r="B876"/>
      <c r="C876"/>
      <c r="D876"/>
      <c r="E876"/>
      <c r="F876"/>
      <c r="G876"/>
      <c r="H876"/>
      <c r="I876"/>
      <c r="J876"/>
      <c r="K876"/>
      <c r="L876"/>
      <c r="M876"/>
      <c r="N876"/>
      <c r="O876"/>
      <c r="P876"/>
      <c r="Q876"/>
      <c r="R876"/>
      <c r="S876"/>
    </row>
    <row r="877" spans="1:19" ht="15">
      <c r="A877"/>
      <c r="B877"/>
      <c r="C877"/>
      <c r="D877"/>
      <c r="E877"/>
      <c r="F877"/>
      <c r="G877"/>
      <c r="H877"/>
      <c r="I877"/>
      <c r="J877"/>
      <c r="K877"/>
      <c r="L877"/>
      <c r="M877"/>
      <c r="N877"/>
      <c r="O877"/>
      <c r="P877"/>
      <c r="Q877"/>
      <c r="R877"/>
      <c r="S877"/>
    </row>
    <row r="878" spans="1:19" ht="15">
      <c r="A878"/>
      <c r="B878"/>
      <c r="C878"/>
      <c r="D878"/>
      <c r="E878"/>
      <c r="F878"/>
      <c r="G878"/>
      <c r="H878"/>
      <c r="I878"/>
      <c r="J878"/>
      <c r="K878"/>
      <c r="L878"/>
      <c r="M878"/>
      <c r="N878"/>
      <c r="O878"/>
      <c r="P878"/>
      <c r="Q878"/>
      <c r="R878"/>
      <c r="S878"/>
    </row>
    <row r="879" spans="1:19" ht="15">
      <c r="A879"/>
      <c r="B879"/>
      <c r="C879"/>
      <c r="D879"/>
      <c r="E879"/>
      <c r="F879"/>
      <c r="G879"/>
      <c r="H879"/>
      <c r="I879"/>
      <c r="J879"/>
      <c r="K879"/>
      <c r="L879"/>
      <c r="M879"/>
      <c r="N879"/>
      <c r="O879"/>
      <c r="P879"/>
      <c r="Q879"/>
      <c r="R879"/>
      <c r="S879"/>
    </row>
    <row r="880" spans="1:19" ht="15">
      <c r="A880"/>
      <c r="B880"/>
      <c r="C880"/>
      <c r="D880"/>
      <c r="E880"/>
      <c r="F880"/>
      <c r="G880"/>
      <c r="H880"/>
      <c r="I880"/>
      <c r="J880"/>
      <c r="K880"/>
      <c r="L880"/>
      <c r="M880"/>
      <c r="N880"/>
      <c r="O880"/>
      <c r="P880"/>
      <c r="Q880"/>
      <c r="R880"/>
      <c r="S880"/>
    </row>
    <row r="881" spans="1:19" ht="15">
      <c r="A881"/>
      <c r="B881"/>
      <c r="C881"/>
      <c r="D881"/>
      <c r="E881"/>
      <c r="F881"/>
      <c r="G881"/>
      <c r="H881"/>
      <c r="I881"/>
      <c r="J881"/>
      <c r="K881"/>
      <c r="L881"/>
      <c r="M881"/>
      <c r="N881"/>
      <c r="O881"/>
      <c r="P881"/>
      <c r="Q881"/>
      <c r="R881"/>
      <c r="S881"/>
    </row>
    <row r="882" spans="1:19" ht="15">
      <c r="A882"/>
      <c r="B882"/>
      <c r="C882"/>
      <c r="D882"/>
      <c r="E882"/>
      <c r="F882"/>
      <c r="G882"/>
      <c r="H882"/>
      <c r="I882"/>
      <c r="J882"/>
      <c r="K882"/>
      <c r="L882"/>
      <c r="M882"/>
      <c r="N882"/>
      <c r="O882"/>
      <c r="P882"/>
      <c r="Q882"/>
      <c r="R882"/>
      <c r="S882"/>
    </row>
    <row r="883" spans="1:19" ht="15">
      <c r="A883"/>
      <c r="B883"/>
      <c r="C883"/>
      <c r="D883"/>
      <c r="E883"/>
      <c r="F883"/>
      <c r="G883"/>
      <c r="H883"/>
      <c r="I883"/>
      <c r="J883"/>
      <c r="K883"/>
      <c r="L883"/>
      <c r="M883"/>
      <c r="N883"/>
      <c r="O883"/>
      <c r="P883"/>
      <c r="Q883"/>
      <c r="R883"/>
      <c r="S883"/>
    </row>
    <row r="884" spans="1:19" ht="15">
      <c r="A884"/>
      <c r="B884"/>
      <c r="C884"/>
      <c r="D884"/>
      <c r="E884"/>
      <c r="F884"/>
      <c r="G884"/>
      <c r="H884"/>
      <c r="I884"/>
      <c r="J884"/>
      <c r="K884"/>
      <c r="L884"/>
      <c r="M884"/>
      <c r="N884"/>
      <c r="O884"/>
      <c r="P884"/>
      <c r="Q884"/>
      <c r="R884"/>
      <c r="S884"/>
    </row>
    <row r="885" spans="1:19" ht="15">
      <c r="A885"/>
      <c r="B885"/>
      <c r="C885"/>
      <c r="D885"/>
      <c r="E885"/>
      <c r="F885"/>
      <c r="G885"/>
      <c r="H885"/>
      <c r="I885"/>
      <c r="J885"/>
      <c r="K885"/>
      <c r="L885"/>
      <c r="M885"/>
      <c r="N885"/>
      <c r="O885"/>
      <c r="P885"/>
      <c r="Q885"/>
      <c r="R885"/>
      <c r="S885"/>
    </row>
    <row r="886" spans="1:19" ht="15">
      <c r="A886"/>
      <c r="B886"/>
      <c r="C886"/>
      <c r="D886"/>
      <c r="E886"/>
      <c r="F886"/>
      <c r="G886"/>
      <c r="H886"/>
      <c r="I886"/>
      <c r="J886"/>
      <c r="K886"/>
      <c r="L886"/>
      <c r="M886"/>
      <c r="N886"/>
      <c r="O886"/>
      <c r="P886"/>
      <c r="Q886"/>
      <c r="R886"/>
      <c r="S886"/>
    </row>
    <row r="887" spans="1:19" ht="15">
      <c r="A887"/>
      <c r="B887"/>
      <c r="C887"/>
      <c r="D887"/>
      <c r="E887"/>
      <c r="F887"/>
      <c r="G887"/>
      <c r="H887"/>
      <c r="I887"/>
      <c r="J887"/>
      <c r="K887"/>
      <c r="L887"/>
      <c r="M887"/>
      <c r="N887"/>
      <c r="O887"/>
      <c r="P887"/>
      <c r="Q887"/>
      <c r="R887"/>
      <c r="S887"/>
    </row>
    <row r="888" spans="1:19" ht="15">
      <c r="A888"/>
      <c r="B888"/>
      <c r="C888"/>
      <c r="D888"/>
      <c r="E888"/>
      <c r="F888"/>
      <c r="G888"/>
      <c r="H888"/>
      <c r="I888"/>
      <c r="J888"/>
      <c r="K888"/>
      <c r="L888"/>
      <c r="M888"/>
      <c r="N888"/>
      <c r="O888"/>
      <c r="P888"/>
      <c r="Q888"/>
      <c r="R888"/>
      <c r="S888"/>
    </row>
    <row r="889" spans="1:19" ht="15">
      <c r="A889"/>
      <c r="B889"/>
      <c r="C889"/>
      <c r="D889"/>
      <c r="E889"/>
      <c r="F889"/>
      <c r="G889"/>
      <c r="H889"/>
      <c r="I889"/>
      <c r="J889"/>
      <c r="K889"/>
      <c r="L889"/>
      <c r="M889"/>
      <c r="N889"/>
      <c r="O889"/>
      <c r="P889"/>
      <c r="Q889"/>
      <c r="R889"/>
      <c r="S889"/>
    </row>
    <row r="890" spans="1:19" ht="15">
      <c r="A890"/>
      <c r="B890"/>
      <c r="C890"/>
      <c r="D890"/>
      <c r="E890"/>
      <c r="F890"/>
      <c r="G890"/>
      <c r="H890"/>
      <c r="I890"/>
      <c r="J890"/>
      <c r="K890"/>
      <c r="L890"/>
      <c r="M890"/>
      <c r="N890"/>
      <c r="O890"/>
      <c r="P890"/>
      <c r="Q890"/>
      <c r="R890"/>
      <c r="S890"/>
    </row>
    <row r="891" spans="1:19" ht="15">
      <c r="A891"/>
      <c r="B891"/>
      <c r="C891"/>
      <c r="D891"/>
      <c r="E891"/>
      <c r="F891"/>
      <c r="G891"/>
      <c r="H891"/>
      <c r="I891"/>
      <c r="J891"/>
      <c r="K891"/>
      <c r="L891"/>
      <c r="M891"/>
      <c r="N891"/>
      <c r="O891"/>
      <c r="P891"/>
      <c r="Q891"/>
      <c r="R891"/>
      <c r="S891"/>
    </row>
    <row r="892" spans="1:19" ht="15">
      <c r="A892"/>
      <c r="B892"/>
      <c r="C892"/>
      <c r="D892"/>
      <c r="E892"/>
      <c r="F892"/>
      <c r="G892"/>
      <c r="H892"/>
      <c r="I892"/>
      <c r="J892"/>
      <c r="K892"/>
      <c r="L892"/>
      <c r="M892"/>
      <c r="N892"/>
      <c r="O892"/>
      <c r="P892"/>
      <c r="Q892"/>
      <c r="R892"/>
      <c r="S892"/>
    </row>
    <row r="893" spans="1:19" ht="15">
      <c r="A893"/>
      <c r="B893"/>
      <c r="C893"/>
      <c r="D893"/>
      <c r="E893"/>
      <c r="F893"/>
      <c r="G893"/>
      <c r="H893"/>
      <c r="I893"/>
      <c r="J893"/>
      <c r="K893"/>
      <c r="L893"/>
      <c r="M893"/>
      <c r="N893"/>
      <c r="O893"/>
      <c r="P893"/>
      <c r="Q893"/>
      <c r="R893"/>
      <c r="S893"/>
    </row>
    <row r="894" spans="1:19" ht="15">
      <c r="A894"/>
      <c r="B894"/>
      <c r="C894"/>
      <c r="D894"/>
      <c r="E894"/>
      <c r="F894"/>
      <c r="G894"/>
      <c r="H894"/>
      <c r="I894"/>
      <c r="J894"/>
      <c r="K894"/>
      <c r="L894"/>
      <c r="M894"/>
      <c r="N894"/>
      <c r="O894"/>
      <c r="P894"/>
      <c r="Q894"/>
      <c r="R894"/>
      <c r="S894"/>
    </row>
    <row r="895" spans="1:19" ht="15">
      <c r="A895"/>
      <c r="B895"/>
      <c r="C895"/>
      <c r="D895"/>
      <c r="E895"/>
      <c r="F895"/>
      <c r="G895"/>
      <c r="H895"/>
      <c r="I895"/>
      <c r="J895"/>
      <c r="K895"/>
      <c r="L895"/>
      <c r="M895"/>
      <c r="N895"/>
      <c r="O895"/>
      <c r="P895"/>
      <c r="Q895"/>
      <c r="R895"/>
      <c r="S895"/>
    </row>
    <row r="896" spans="1:19" ht="15">
      <c r="A896"/>
      <c r="B896"/>
      <c r="C896"/>
      <c r="D896"/>
      <c r="E896"/>
      <c r="F896"/>
      <c r="G896"/>
      <c r="H896"/>
      <c r="I896"/>
      <c r="J896"/>
      <c r="K896"/>
      <c r="L896"/>
      <c r="M896"/>
      <c r="N896"/>
      <c r="O896"/>
      <c r="P896"/>
      <c r="Q896"/>
      <c r="R896"/>
      <c r="S896"/>
    </row>
    <row r="897" spans="1:19" ht="15">
      <c r="A897"/>
      <c r="B897"/>
      <c r="C897"/>
      <c r="D897"/>
      <c r="E897"/>
      <c r="F897"/>
      <c r="G897"/>
      <c r="H897"/>
      <c r="I897"/>
      <c r="J897"/>
      <c r="K897"/>
      <c r="L897"/>
      <c r="M897"/>
      <c r="N897"/>
      <c r="O897"/>
      <c r="P897"/>
      <c r="Q897"/>
      <c r="R897"/>
      <c r="S897"/>
    </row>
    <row r="898" spans="1:19" ht="15">
      <c r="A898"/>
      <c r="B898"/>
      <c r="C898"/>
      <c r="D898"/>
      <c r="E898"/>
      <c r="F898"/>
      <c r="G898"/>
      <c r="H898"/>
      <c r="I898"/>
      <c r="J898"/>
      <c r="K898"/>
      <c r="L898"/>
      <c r="M898"/>
      <c r="N898"/>
      <c r="O898"/>
      <c r="P898"/>
      <c r="Q898"/>
      <c r="R898"/>
      <c r="S898"/>
    </row>
    <row r="899" spans="1:19" ht="15">
      <c r="A899"/>
      <c r="B899"/>
      <c r="C899"/>
      <c r="D899"/>
      <c r="E899"/>
      <c r="F899"/>
      <c r="G899"/>
      <c r="H899"/>
      <c r="I899"/>
      <c r="J899"/>
      <c r="K899"/>
      <c r="L899"/>
      <c r="M899"/>
      <c r="N899"/>
      <c r="O899"/>
      <c r="P899"/>
      <c r="Q899"/>
      <c r="R899"/>
      <c r="S899"/>
    </row>
    <row r="900" spans="1:19" ht="15">
      <c r="A900"/>
      <c r="B900"/>
      <c r="C900"/>
      <c r="D900"/>
      <c r="E900"/>
      <c r="F900"/>
      <c r="G900"/>
      <c r="H900"/>
      <c r="I900"/>
      <c r="J900"/>
      <c r="K900"/>
      <c r="L900"/>
      <c r="M900"/>
      <c r="N900"/>
      <c r="O900"/>
      <c r="P900"/>
      <c r="Q900"/>
      <c r="R900"/>
      <c r="S900"/>
    </row>
    <row r="901" spans="1:19" ht="15">
      <c r="A901"/>
      <c r="B901"/>
      <c r="C901"/>
      <c r="D901"/>
      <c r="E901"/>
      <c r="F901"/>
      <c r="G901"/>
      <c r="H901"/>
      <c r="I901"/>
      <c r="J901"/>
      <c r="K901"/>
      <c r="L901"/>
      <c r="M901"/>
      <c r="N901"/>
      <c r="O901"/>
      <c r="P901"/>
      <c r="Q901"/>
      <c r="R901"/>
      <c r="S901"/>
    </row>
    <row r="902" spans="1:19" ht="15">
      <c r="A902"/>
      <c r="B902"/>
      <c r="C902"/>
      <c r="D902"/>
      <c r="E902"/>
      <c r="F902"/>
      <c r="G902"/>
      <c r="H902"/>
      <c r="I902"/>
      <c r="J902"/>
      <c r="K902"/>
      <c r="L902"/>
      <c r="M902"/>
      <c r="N902"/>
      <c r="O902"/>
      <c r="P902"/>
      <c r="Q902"/>
      <c r="R902"/>
      <c r="S902"/>
    </row>
    <row r="903" spans="1:19" ht="15">
      <c r="A903"/>
      <c r="B903"/>
      <c r="C903"/>
      <c r="D903"/>
      <c r="E903"/>
      <c r="F903"/>
      <c r="G903"/>
      <c r="H903"/>
      <c r="I903"/>
      <c r="J903"/>
      <c r="K903"/>
      <c r="L903"/>
      <c r="M903"/>
      <c r="N903"/>
      <c r="O903"/>
      <c r="P903"/>
      <c r="Q903"/>
      <c r="R903"/>
      <c r="S903"/>
    </row>
    <row r="904" spans="1:19" ht="15">
      <c r="A904"/>
      <c r="B904"/>
      <c r="C904"/>
      <c r="D904"/>
      <c r="E904"/>
      <c r="F904"/>
      <c r="G904"/>
      <c r="H904"/>
      <c r="I904"/>
      <c r="J904"/>
      <c r="K904"/>
      <c r="L904"/>
      <c r="M904"/>
      <c r="N904"/>
      <c r="O904"/>
      <c r="P904"/>
      <c r="Q904"/>
      <c r="R904"/>
      <c r="S904"/>
    </row>
    <row r="905" spans="1:19" ht="15">
      <c r="A905"/>
      <c r="B905"/>
      <c r="C905"/>
      <c r="D905"/>
      <c r="E905"/>
      <c r="F905"/>
      <c r="G905"/>
      <c r="H905"/>
      <c r="I905"/>
      <c r="J905"/>
      <c r="K905"/>
      <c r="L905"/>
      <c r="M905"/>
      <c r="N905"/>
      <c r="O905"/>
      <c r="P905"/>
      <c r="Q905"/>
      <c r="R905"/>
      <c r="S905"/>
    </row>
    <row r="906" spans="1:19" ht="15">
      <c r="A906"/>
      <c r="B906"/>
      <c r="C906"/>
      <c r="D906"/>
      <c r="E906"/>
      <c r="F906"/>
      <c r="G906"/>
      <c r="H906"/>
      <c r="I906"/>
      <c r="J906"/>
      <c r="K906"/>
      <c r="L906"/>
      <c r="M906"/>
      <c r="N906"/>
      <c r="O906"/>
      <c r="P906"/>
      <c r="Q906"/>
      <c r="R906"/>
      <c r="S906"/>
    </row>
    <row r="907" spans="1:19" ht="15">
      <c r="A907"/>
      <c r="B907"/>
      <c r="C907"/>
      <c r="D907"/>
      <c r="E907"/>
      <c r="F907"/>
      <c r="G907"/>
      <c r="H907"/>
      <c r="I907"/>
      <c r="J907"/>
      <c r="K907"/>
      <c r="L907"/>
      <c r="M907"/>
      <c r="N907"/>
      <c r="O907"/>
      <c r="P907"/>
      <c r="Q907"/>
      <c r="R907"/>
      <c r="S907"/>
    </row>
    <row r="908" spans="1:19" ht="15">
      <c r="A908"/>
      <c r="B908"/>
      <c r="C908"/>
      <c r="D908"/>
      <c r="E908"/>
      <c r="F908"/>
      <c r="G908"/>
      <c r="H908"/>
      <c r="I908"/>
      <c r="J908"/>
      <c r="K908"/>
      <c r="L908"/>
      <c r="M908"/>
      <c r="N908"/>
      <c r="O908"/>
      <c r="P908"/>
      <c r="Q908"/>
      <c r="R908"/>
      <c r="S908"/>
    </row>
    <row r="909" spans="1:19" ht="15">
      <c r="A909"/>
      <c r="B909"/>
      <c r="C909"/>
      <c r="D909"/>
      <c r="E909"/>
      <c r="F909"/>
      <c r="G909"/>
      <c r="H909"/>
      <c r="I909"/>
      <c r="J909"/>
      <c r="K909"/>
      <c r="L909"/>
      <c r="M909"/>
      <c r="N909"/>
      <c r="O909"/>
      <c r="P909"/>
      <c r="Q909"/>
      <c r="R909"/>
      <c r="S909"/>
    </row>
    <row r="910" spans="1:19" ht="15">
      <c r="A910"/>
      <c r="B910"/>
      <c r="C910"/>
      <c r="D910"/>
      <c r="E910"/>
      <c r="F910"/>
      <c r="G910"/>
      <c r="H910"/>
      <c r="I910"/>
      <c r="J910"/>
      <c r="K910"/>
      <c r="L910"/>
      <c r="M910"/>
      <c r="N910"/>
      <c r="O910"/>
      <c r="P910"/>
      <c r="Q910"/>
      <c r="R910"/>
      <c r="S910"/>
    </row>
    <row r="911" spans="1:19" ht="15">
      <c r="A911"/>
      <c r="B911"/>
      <c r="C911"/>
      <c r="D911"/>
      <c r="E911"/>
      <c r="F911"/>
      <c r="G911"/>
      <c r="H911"/>
      <c r="I911"/>
      <c r="J911"/>
      <c r="K911"/>
      <c r="L911"/>
      <c r="M911"/>
      <c r="N911"/>
      <c r="O911"/>
      <c r="P911"/>
      <c r="Q911"/>
      <c r="R911"/>
      <c r="S911"/>
    </row>
    <row r="912" spans="1:19" ht="15">
      <c r="A912"/>
      <c r="B912"/>
      <c r="C912"/>
      <c r="D912"/>
      <c r="E912"/>
      <c r="F912"/>
      <c r="G912"/>
      <c r="H912"/>
      <c r="I912"/>
      <c r="J912"/>
      <c r="K912"/>
      <c r="L912"/>
      <c r="M912"/>
      <c r="N912"/>
      <c r="O912"/>
      <c r="P912"/>
      <c r="Q912"/>
      <c r="R912"/>
      <c r="S912"/>
    </row>
    <row r="913" spans="1:19" ht="15">
      <c r="A913"/>
      <c r="B913"/>
      <c r="C913"/>
      <c r="D913"/>
      <c r="E913"/>
      <c r="F913"/>
      <c r="G913"/>
      <c r="H913"/>
      <c r="I913"/>
      <c r="J913"/>
      <c r="K913"/>
      <c r="L913"/>
      <c r="M913"/>
      <c r="N913"/>
      <c r="O913"/>
      <c r="P913"/>
      <c r="Q913"/>
      <c r="R913"/>
      <c r="S913"/>
    </row>
    <row r="914" spans="1:19" ht="15">
      <c r="A914"/>
      <c r="B914"/>
      <c r="C914"/>
      <c r="D914"/>
      <c r="E914"/>
      <c r="F914"/>
      <c r="G914"/>
      <c r="H914"/>
      <c r="I914"/>
      <c r="J914"/>
      <c r="K914"/>
      <c r="L914"/>
      <c r="M914"/>
      <c r="N914"/>
      <c r="O914"/>
      <c r="P914"/>
      <c r="Q914"/>
      <c r="R914"/>
      <c r="S914"/>
    </row>
    <row r="915" spans="1:19" ht="15">
      <c r="A915"/>
      <c r="B915"/>
      <c r="C915"/>
      <c r="D915"/>
      <c r="E915"/>
      <c r="F915"/>
      <c r="G915"/>
      <c r="H915"/>
      <c r="I915"/>
      <c r="J915"/>
      <c r="K915"/>
      <c r="L915"/>
      <c r="M915"/>
      <c r="N915"/>
      <c r="O915"/>
      <c r="P915"/>
      <c r="Q915"/>
      <c r="R915"/>
      <c r="S915"/>
    </row>
    <row r="916" spans="1:19" ht="15">
      <c r="A916"/>
      <c r="B916"/>
      <c r="C916"/>
      <c r="D916"/>
      <c r="E916"/>
      <c r="F916"/>
      <c r="G916"/>
      <c r="H916"/>
      <c r="I916"/>
      <c r="J916"/>
      <c r="K916"/>
      <c r="L916"/>
      <c r="M916"/>
      <c r="N916"/>
      <c r="O916"/>
      <c r="P916"/>
      <c r="Q916"/>
      <c r="R916"/>
      <c r="S916"/>
    </row>
    <row r="917" spans="1:19" ht="15">
      <c r="A917"/>
      <c r="B917"/>
      <c r="C917"/>
      <c r="D917"/>
      <c r="E917"/>
      <c r="F917"/>
      <c r="G917"/>
      <c r="H917"/>
      <c r="I917"/>
      <c r="J917"/>
      <c r="K917"/>
      <c r="L917"/>
      <c r="M917"/>
      <c r="N917"/>
      <c r="O917"/>
      <c r="P917"/>
      <c r="Q917"/>
      <c r="R917"/>
      <c r="S917"/>
    </row>
    <row r="918" spans="1:19" ht="15">
      <c r="A918"/>
      <c r="B918"/>
      <c r="C918"/>
      <c r="D918"/>
      <c r="E918"/>
      <c r="F918"/>
      <c r="G918"/>
      <c r="H918"/>
      <c r="I918"/>
      <c r="J918"/>
      <c r="K918"/>
      <c r="L918"/>
      <c r="M918"/>
      <c r="N918"/>
      <c r="O918"/>
      <c r="P918"/>
      <c r="Q918"/>
      <c r="R918"/>
      <c r="S918"/>
    </row>
    <row r="919" spans="1:19" ht="15">
      <c r="A919"/>
      <c r="B919"/>
      <c r="C919"/>
      <c r="D919"/>
      <c r="E919"/>
      <c r="F919"/>
      <c r="G919"/>
      <c r="H919"/>
      <c r="I919"/>
      <c r="J919"/>
      <c r="K919"/>
      <c r="L919"/>
      <c r="M919"/>
      <c r="N919"/>
      <c r="O919"/>
      <c r="P919"/>
      <c r="Q919"/>
      <c r="R919"/>
      <c r="S919"/>
    </row>
    <row r="920" spans="1:19" ht="15">
      <c r="A920"/>
      <c r="B920"/>
      <c r="C920"/>
      <c r="D920"/>
      <c r="E920"/>
      <c r="F920"/>
      <c r="G920"/>
      <c r="H920"/>
      <c r="I920"/>
      <c r="J920"/>
      <c r="K920"/>
      <c r="L920"/>
      <c r="M920"/>
      <c r="N920"/>
      <c r="O920"/>
      <c r="P920"/>
      <c r="Q920"/>
      <c r="R920"/>
      <c r="S920"/>
    </row>
    <row r="921" spans="1:19" ht="15">
      <c r="A921"/>
      <c r="B921"/>
      <c r="C921"/>
      <c r="D921"/>
      <c r="E921"/>
      <c r="F921"/>
      <c r="G921"/>
      <c r="H921"/>
      <c r="I921"/>
      <c r="J921"/>
      <c r="K921"/>
      <c r="L921"/>
      <c r="M921"/>
      <c r="N921"/>
      <c r="O921"/>
      <c r="P921"/>
      <c r="Q921"/>
      <c r="R921"/>
      <c r="S921"/>
    </row>
    <row r="922" spans="1:19" ht="15">
      <c r="A922"/>
      <c r="B922"/>
      <c r="C922"/>
      <c r="D922"/>
      <c r="E922"/>
      <c r="F922"/>
      <c r="G922"/>
      <c r="H922"/>
      <c r="I922"/>
      <c r="J922"/>
      <c r="K922"/>
      <c r="L922"/>
      <c r="M922"/>
      <c r="N922"/>
      <c r="O922"/>
      <c r="P922"/>
      <c r="Q922"/>
      <c r="R922"/>
      <c r="S922"/>
    </row>
    <row r="923" spans="1:19" ht="15">
      <c r="A923"/>
      <c r="B923"/>
      <c r="C923"/>
      <c r="D923"/>
      <c r="E923"/>
      <c r="F923"/>
      <c r="G923"/>
      <c r="H923"/>
      <c r="I923"/>
      <c r="J923"/>
      <c r="K923"/>
      <c r="L923"/>
      <c r="M923"/>
      <c r="N923"/>
      <c r="O923"/>
      <c r="P923"/>
      <c r="Q923"/>
      <c r="R923"/>
      <c r="S923"/>
    </row>
    <row r="924" spans="1:19" ht="15">
      <c r="A924"/>
      <c r="B924"/>
      <c r="C924"/>
      <c r="D924"/>
      <c r="E924"/>
      <c r="F924"/>
      <c r="G924"/>
      <c r="H924"/>
      <c r="I924"/>
      <c r="J924"/>
      <c r="K924"/>
      <c r="L924"/>
      <c r="M924"/>
      <c r="N924"/>
      <c r="O924"/>
      <c r="P924"/>
      <c r="Q924"/>
      <c r="R924"/>
      <c r="S924"/>
    </row>
    <row r="925" spans="1:19" ht="15">
      <c r="A925"/>
      <c r="B925"/>
      <c r="C925"/>
      <c r="D925"/>
      <c r="E925"/>
      <c r="F925"/>
      <c r="G925"/>
      <c r="H925"/>
      <c r="I925"/>
      <c r="J925"/>
      <c r="K925"/>
      <c r="L925"/>
      <c r="M925"/>
      <c r="N925"/>
      <c r="O925"/>
      <c r="P925"/>
      <c r="Q925"/>
      <c r="R925"/>
      <c r="S925"/>
    </row>
    <row r="926" spans="1:19" ht="15">
      <c r="A926"/>
      <c r="B926"/>
      <c r="C926"/>
      <c r="D926"/>
      <c r="E926"/>
      <c r="F926"/>
      <c r="G926"/>
      <c r="H926"/>
      <c r="I926"/>
      <c r="J926"/>
      <c r="K926"/>
      <c r="L926"/>
      <c r="M926"/>
      <c r="N926"/>
      <c r="O926"/>
      <c r="P926"/>
      <c r="Q926"/>
      <c r="R926"/>
      <c r="S926"/>
    </row>
    <row r="927" spans="1:19" ht="15">
      <c r="A927"/>
      <c r="B927"/>
      <c r="C927"/>
      <c r="D927"/>
      <c r="E927"/>
      <c r="F927"/>
      <c r="G927"/>
      <c r="H927"/>
      <c r="I927"/>
      <c r="J927"/>
      <c r="K927"/>
      <c r="L927"/>
      <c r="M927"/>
      <c r="N927"/>
      <c r="O927"/>
      <c r="P927"/>
      <c r="Q927"/>
      <c r="R927"/>
      <c r="S927"/>
    </row>
    <row r="928" spans="1:19" ht="15">
      <c r="A928"/>
      <c r="B928"/>
      <c r="C928"/>
      <c r="D928"/>
      <c r="E928"/>
      <c r="F928"/>
      <c r="G928"/>
      <c r="H928"/>
      <c r="I928"/>
      <c r="J928"/>
      <c r="K928"/>
      <c r="L928"/>
      <c r="M928"/>
      <c r="N928"/>
      <c r="O928"/>
      <c r="P928"/>
      <c r="Q928"/>
      <c r="R928"/>
      <c r="S928"/>
    </row>
    <row r="929" spans="1:19" ht="15">
      <c r="A929"/>
      <c r="B929"/>
      <c r="C929"/>
      <c r="D929"/>
      <c r="E929"/>
      <c r="F929"/>
      <c r="G929"/>
      <c r="H929"/>
      <c r="I929"/>
      <c r="J929"/>
      <c r="K929"/>
      <c r="L929"/>
      <c r="M929"/>
      <c r="N929"/>
      <c r="O929"/>
      <c r="P929"/>
      <c r="Q929"/>
      <c r="R929"/>
      <c r="S929"/>
    </row>
    <row r="930" spans="1:19" ht="15">
      <c r="A930"/>
      <c r="B930"/>
      <c r="C930"/>
      <c r="D930"/>
      <c r="E930"/>
      <c r="F930"/>
      <c r="G930"/>
      <c r="H930"/>
      <c r="I930"/>
      <c r="J930"/>
      <c r="K930"/>
      <c r="L930"/>
      <c r="M930"/>
      <c r="N930"/>
      <c r="O930"/>
      <c r="P930"/>
      <c r="Q930"/>
      <c r="R930"/>
      <c r="S930"/>
    </row>
    <row r="931" spans="1:19" ht="15">
      <c r="A931"/>
      <c r="B931"/>
      <c r="C931"/>
      <c r="D931"/>
      <c r="E931"/>
      <c r="F931"/>
      <c r="G931"/>
      <c r="H931"/>
      <c r="I931"/>
      <c r="J931"/>
      <c r="K931"/>
      <c r="L931"/>
      <c r="M931"/>
      <c r="N931"/>
      <c r="O931"/>
      <c r="P931"/>
      <c r="Q931"/>
      <c r="R931"/>
      <c r="S931"/>
    </row>
    <row r="932" spans="1:19" ht="15">
      <c r="A932"/>
      <c r="B932"/>
      <c r="C932"/>
      <c r="D932"/>
      <c r="E932"/>
      <c r="F932"/>
      <c r="G932"/>
      <c r="H932"/>
      <c r="I932"/>
      <c r="J932"/>
      <c r="K932"/>
      <c r="L932"/>
      <c r="M932"/>
      <c r="N932"/>
      <c r="O932"/>
      <c r="P932"/>
      <c r="Q932"/>
      <c r="R932"/>
      <c r="S932"/>
    </row>
    <row r="933" spans="1:19" ht="15">
      <c r="A933"/>
      <c r="B933"/>
      <c r="C933"/>
      <c r="D933"/>
      <c r="E933"/>
      <c r="F933"/>
      <c r="G933"/>
      <c r="H933"/>
      <c r="I933"/>
      <c r="J933"/>
      <c r="K933"/>
      <c r="L933"/>
      <c r="M933"/>
      <c r="N933"/>
      <c r="O933"/>
      <c r="P933"/>
      <c r="Q933"/>
      <c r="R933"/>
      <c r="S933"/>
    </row>
    <row r="934" spans="1:19" ht="15">
      <c r="A934"/>
      <c r="B934"/>
      <c r="C934"/>
      <c r="D934"/>
      <c r="E934"/>
      <c r="F934"/>
      <c r="G934"/>
      <c r="H934"/>
      <c r="I934"/>
      <c r="J934"/>
      <c r="K934"/>
      <c r="L934"/>
      <c r="M934"/>
      <c r="N934"/>
      <c r="O934"/>
      <c r="P934"/>
      <c r="Q934"/>
      <c r="R934"/>
      <c r="S934"/>
    </row>
    <row r="935" spans="1:19" ht="15">
      <c r="A935"/>
      <c r="B935"/>
      <c r="C935"/>
      <c r="D935"/>
      <c r="E935"/>
      <c r="F935"/>
      <c r="G935"/>
      <c r="H935"/>
      <c r="I935"/>
      <c r="J935"/>
      <c r="K935"/>
      <c r="L935"/>
      <c r="M935"/>
      <c r="N935"/>
      <c r="O935"/>
      <c r="P935"/>
      <c r="Q935"/>
      <c r="R935"/>
      <c r="S935"/>
    </row>
    <row r="936" spans="1:19" ht="15">
      <c r="A936"/>
      <c r="B936"/>
      <c r="C936"/>
      <c r="D936"/>
      <c r="E936"/>
      <c r="F936"/>
      <c r="G936"/>
      <c r="H936"/>
      <c r="I936"/>
      <c r="J936"/>
      <c r="K936"/>
      <c r="L936"/>
      <c r="M936"/>
      <c r="N936"/>
      <c r="O936"/>
      <c r="P936"/>
      <c r="Q936"/>
      <c r="R936"/>
      <c r="S936"/>
    </row>
    <row r="937" spans="1:19" ht="15">
      <c r="A937"/>
      <c r="B937"/>
      <c r="C937"/>
      <c r="D937"/>
      <c r="E937"/>
      <c r="F937"/>
      <c r="G937"/>
      <c r="H937"/>
      <c r="I937"/>
      <c r="J937"/>
      <c r="K937"/>
      <c r="L937"/>
      <c r="M937"/>
      <c r="N937"/>
      <c r="O937"/>
      <c r="P937"/>
      <c r="Q937"/>
      <c r="R937"/>
      <c r="S937"/>
    </row>
    <row r="938" spans="1:19" ht="15">
      <c r="A938"/>
      <c r="B938"/>
      <c r="C938"/>
      <c r="D938"/>
      <c r="E938"/>
      <c r="F938"/>
      <c r="G938"/>
      <c r="H938"/>
      <c r="I938"/>
      <c r="J938"/>
      <c r="K938"/>
      <c r="L938"/>
      <c r="M938"/>
      <c r="N938"/>
      <c r="O938"/>
      <c r="P938"/>
      <c r="Q938"/>
      <c r="R938"/>
      <c r="S938"/>
    </row>
    <row r="939" spans="1:19" ht="15">
      <c r="A939"/>
      <c r="B939"/>
      <c r="C939"/>
      <c r="D939"/>
      <c r="E939"/>
      <c r="F939"/>
      <c r="G939"/>
      <c r="H939"/>
      <c r="I939"/>
      <c r="J939"/>
      <c r="K939"/>
      <c r="L939"/>
      <c r="M939"/>
      <c r="N939"/>
      <c r="O939"/>
      <c r="P939"/>
      <c r="Q939"/>
      <c r="R939"/>
      <c r="S939"/>
    </row>
    <row r="940" spans="1:19" ht="15">
      <c r="A940"/>
      <c r="B940"/>
      <c r="C940"/>
      <c r="D940"/>
      <c r="E940"/>
      <c r="F940"/>
      <c r="G940"/>
      <c r="H940"/>
      <c r="I940"/>
      <c r="J940"/>
      <c r="K940"/>
      <c r="L940"/>
      <c r="M940"/>
      <c r="N940"/>
      <c r="O940"/>
      <c r="P940"/>
      <c r="Q940"/>
      <c r="R940"/>
      <c r="S940"/>
    </row>
    <row r="941" spans="1:19" ht="15">
      <c r="A941"/>
      <c r="B941"/>
      <c r="C941"/>
      <c r="D941"/>
      <c r="E941"/>
      <c r="F941"/>
      <c r="G941"/>
      <c r="H941"/>
      <c r="I941"/>
      <c r="J941"/>
      <c r="K941"/>
      <c r="L941"/>
      <c r="M941"/>
      <c r="N941"/>
      <c r="O941"/>
      <c r="P941"/>
      <c r="Q941"/>
      <c r="R941"/>
      <c r="S941"/>
    </row>
    <row r="942" spans="1:19" ht="15">
      <c r="A942"/>
      <c r="B942"/>
      <c r="C942"/>
      <c r="D942"/>
      <c r="E942"/>
      <c r="F942"/>
      <c r="G942"/>
      <c r="H942"/>
      <c r="I942"/>
      <c r="J942"/>
      <c r="K942"/>
      <c r="L942"/>
      <c r="M942"/>
      <c r="N942"/>
      <c r="O942"/>
      <c r="P942"/>
      <c r="Q942"/>
      <c r="R942"/>
      <c r="S942"/>
    </row>
    <row r="943" spans="1:19" ht="15">
      <c r="A943"/>
      <c r="B943"/>
      <c r="C943"/>
      <c r="D943"/>
      <c r="E943"/>
      <c r="F943"/>
      <c r="G943"/>
      <c r="H943"/>
      <c r="I943"/>
      <c r="J943"/>
      <c r="K943"/>
      <c r="L943"/>
      <c r="M943"/>
      <c r="N943"/>
      <c r="O943"/>
      <c r="P943"/>
      <c r="Q943"/>
      <c r="R943"/>
      <c r="S943"/>
    </row>
    <row r="944" spans="1:19" ht="15">
      <c r="A944"/>
      <c r="B944"/>
      <c r="C944"/>
      <c r="D944"/>
      <c r="E944"/>
      <c r="F944"/>
      <c r="G944"/>
      <c r="H944"/>
      <c r="I944"/>
      <c r="J944"/>
      <c r="K944"/>
      <c r="L944"/>
      <c r="M944"/>
      <c r="N944"/>
      <c r="O944"/>
      <c r="P944"/>
      <c r="Q944"/>
      <c r="R944"/>
      <c r="S944"/>
    </row>
    <row r="945" spans="1:19" ht="15">
      <c r="A945"/>
      <c r="B945"/>
      <c r="C945"/>
      <c r="D945"/>
      <c r="E945"/>
      <c r="F945"/>
      <c r="G945"/>
      <c r="H945"/>
      <c r="I945"/>
      <c r="J945"/>
      <c r="K945"/>
      <c r="L945"/>
      <c r="M945"/>
      <c r="N945"/>
      <c r="O945"/>
      <c r="P945"/>
      <c r="Q945"/>
      <c r="R945"/>
      <c r="S945"/>
    </row>
    <row r="946" spans="1:19" ht="15">
      <c r="A946"/>
      <c r="B946"/>
      <c r="C946"/>
      <c r="D946"/>
      <c r="E946"/>
      <c r="F946"/>
      <c r="G946"/>
      <c r="H946"/>
      <c r="I946"/>
      <c r="J946"/>
      <c r="K946"/>
      <c r="L946"/>
      <c r="M946"/>
      <c r="N946"/>
      <c r="O946"/>
      <c r="P946"/>
      <c r="Q946"/>
      <c r="R946"/>
      <c r="S946"/>
    </row>
    <row r="947" spans="1:19" ht="15">
      <c r="A947"/>
      <c r="B947"/>
      <c r="C947"/>
      <c r="D947"/>
      <c r="E947"/>
      <c r="F947"/>
      <c r="G947"/>
      <c r="H947"/>
      <c r="I947"/>
      <c r="J947"/>
      <c r="K947"/>
      <c r="L947"/>
      <c r="M947"/>
      <c r="N947"/>
      <c r="O947"/>
      <c r="P947"/>
      <c r="Q947"/>
      <c r="R947"/>
      <c r="S947"/>
    </row>
    <row r="948" spans="1:19" ht="15">
      <c r="A948"/>
      <c r="B948"/>
      <c r="C948"/>
      <c r="D948"/>
      <c r="E948"/>
      <c r="F948"/>
      <c r="G948"/>
      <c r="H948"/>
      <c r="I948"/>
      <c r="J948"/>
      <c r="K948"/>
      <c r="L948"/>
      <c r="M948"/>
      <c r="N948"/>
      <c r="O948"/>
      <c r="P948"/>
      <c r="Q948"/>
      <c r="R948"/>
      <c r="S948"/>
    </row>
    <row r="949" spans="1:19" ht="15">
      <c r="A949"/>
      <c r="B949"/>
      <c r="C949"/>
      <c r="D949"/>
      <c r="E949"/>
      <c r="F949"/>
      <c r="G949"/>
      <c r="H949"/>
      <c r="I949"/>
      <c r="J949"/>
      <c r="K949"/>
      <c r="L949"/>
      <c r="M949"/>
      <c r="N949"/>
      <c r="O949"/>
      <c r="P949"/>
      <c r="Q949"/>
      <c r="R949"/>
      <c r="S949"/>
    </row>
    <row r="950" spans="1:19" ht="15">
      <c r="A950"/>
      <c r="B950"/>
      <c r="C950"/>
      <c r="D950"/>
      <c r="E950"/>
      <c r="F950"/>
      <c r="G950"/>
      <c r="H950"/>
      <c r="I950"/>
      <c r="J950"/>
      <c r="K950"/>
      <c r="L950"/>
      <c r="M950"/>
      <c r="N950"/>
      <c r="O950"/>
      <c r="P950"/>
      <c r="Q950"/>
      <c r="R950"/>
      <c r="S950"/>
    </row>
    <row r="951" spans="1:19" ht="15">
      <c r="A951"/>
      <c r="B951"/>
      <c r="C951"/>
      <c r="D951"/>
      <c r="E951"/>
      <c r="F951"/>
      <c r="G951"/>
      <c r="H951"/>
      <c r="I951"/>
      <c r="J951"/>
      <c r="K951"/>
      <c r="L951"/>
      <c r="M951"/>
      <c r="N951"/>
      <c r="O951"/>
      <c r="P951"/>
      <c r="Q951"/>
      <c r="R951"/>
      <c r="S951"/>
    </row>
    <row r="952" spans="1:19" ht="15">
      <c r="A952"/>
      <c r="B952"/>
      <c r="C952"/>
      <c r="D952"/>
      <c r="E952"/>
      <c r="F952"/>
      <c r="G952"/>
      <c r="H952"/>
      <c r="I952"/>
      <c r="J952"/>
      <c r="K952"/>
      <c r="L952"/>
      <c r="M952"/>
      <c r="N952"/>
      <c r="O952"/>
      <c r="P952"/>
      <c r="Q952"/>
      <c r="R952"/>
      <c r="S952"/>
    </row>
    <row r="953" spans="1:19" ht="15">
      <c r="A953"/>
      <c r="B953"/>
      <c r="C953"/>
      <c r="D953"/>
      <c r="E953"/>
      <c r="F953"/>
      <c r="G953"/>
      <c r="H953"/>
      <c r="I953"/>
      <c r="J953"/>
      <c r="K953"/>
      <c r="L953"/>
      <c r="M953"/>
      <c r="N953"/>
      <c r="O953"/>
      <c r="P953"/>
      <c r="Q953"/>
      <c r="R953"/>
      <c r="S953"/>
    </row>
    <row r="954" spans="1:19" ht="15">
      <c r="A954"/>
      <c r="B954"/>
      <c r="C954"/>
      <c r="D954"/>
      <c r="E954"/>
      <c r="F954"/>
      <c r="G954"/>
      <c r="H954"/>
      <c r="I954"/>
      <c r="J954"/>
      <c r="K954"/>
      <c r="L954"/>
      <c r="M954"/>
      <c r="N954"/>
      <c r="O954"/>
      <c r="P954"/>
      <c r="Q954"/>
      <c r="R954"/>
      <c r="S954"/>
    </row>
    <row r="955" spans="1:19" ht="15">
      <c r="A955"/>
      <c r="B955"/>
      <c r="C955"/>
      <c r="D955"/>
      <c r="E955"/>
      <c r="F955"/>
      <c r="G955"/>
      <c r="H955"/>
      <c r="I955"/>
      <c r="J955"/>
      <c r="K955"/>
      <c r="L955"/>
      <c r="M955"/>
      <c r="N955"/>
      <c r="O955"/>
      <c r="P955"/>
      <c r="Q955"/>
      <c r="R955"/>
      <c r="S955"/>
    </row>
    <row r="956" spans="1:19" ht="15">
      <c r="A956"/>
      <c r="B956"/>
      <c r="C956"/>
      <c r="D956"/>
      <c r="E956"/>
      <c r="F956"/>
      <c r="G956"/>
      <c r="H956"/>
      <c r="I956"/>
      <c r="J956"/>
      <c r="K956"/>
      <c r="L956"/>
      <c r="M956"/>
      <c r="N956"/>
      <c r="O956"/>
      <c r="P956"/>
      <c r="Q956"/>
      <c r="R956"/>
      <c r="S956"/>
    </row>
    <row r="957" spans="1:19" ht="15">
      <c r="A957"/>
      <c r="B957"/>
      <c r="C957"/>
      <c r="D957"/>
      <c r="E957"/>
      <c r="F957"/>
      <c r="G957"/>
      <c r="H957"/>
      <c r="I957"/>
      <c r="J957"/>
      <c r="K957"/>
      <c r="L957"/>
      <c r="M957"/>
      <c r="N957"/>
      <c r="O957"/>
      <c r="P957"/>
      <c r="Q957"/>
      <c r="R957"/>
      <c r="S957"/>
    </row>
    <row r="958" spans="1:19" ht="15">
      <c r="A958"/>
      <c r="B958"/>
      <c r="C958"/>
      <c r="D958"/>
      <c r="E958"/>
      <c r="F958"/>
      <c r="G958"/>
      <c r="H958"/>
      <c r="I958"/>
      <c r="J958"/>
      <c r="K958"/>
      <c r="L958"/>
      <c r="M958"/>
      <c r="N958"/>
      <c r="O958"/>
      <c r="P958"/>
      <c r="Q958"/>
      <c r="R958"/>
      <c r="S958"/>
    </row>
    <row r="959" spans="1:19" ht="15">
      <c r="A959"/>
      <c r="B959"/>
      <c r="C959"/>
      <c r="D959"/>
      <c r="E959"/>
      <c r="F959"/>
      <c r="G959"/>
      <c r="H959"/>
      <c r="I959"/>
      <c r="J959"/>
      <c r="K959"/>
      <c r="L959"/>
      <c r="M959"/>
      <c r="N959"/>
      <c r="O959"/>
      <c r="P959"/>
      <c r="Q959"/>
      <c r="R959"/>
      <c r="S959"/>
    </row>
    <row r="960" spans="1:19" ht="15">
      <c r="A960"/>
      <c r="B960"/>
      <c r="C960"/>
      <c r="D960"/>
      <c r="E960"/>
      <c r="F960"/>
      <c r="G960"/>
      <c r="H960"/>
      <c r="I960"/>
      <c r="J960"/>
      <c r="K960"/>
      <c r="L960"/>
      <c r="M960"/>
      <c r="N960"/>
      <c r="O960"/>
      <c r="P960"/>
      <c r="Q960"/>
      <c r="R960"/>
      <c r="S960"/>
    </row>
    <row r="961" spans="1:19" ht="15">
      <c r="A961"/>
      <c r="B961"/>
      <c r="C961"/>
      <c r="D961"/>
      <c r="E961"/>
      <c r="F961"/>
      <c r="G961"/>
      <c r="H961"/>
      <c r="I961"/>
      <c r="J961"/>
      <c r="K961"/>
      <c r="L961"/>
      <c r="M961"/>
      <c r="N961"/>
      <c r="O961"/>
      <c r="P961"/>
      <c r="Q961"/>
      <c r="R961"/>
      <c r="S961"/>
    </row>
    <row r="962" spans="1:19" ht="15">
      <c r="A962"/>
      <c r="B962"/>
      <c r="C962"/>
      <c r="D962"/>
      <c r="E962"/>
      <c r="F962"/>
      <c r="G962"/>
      <c r="H962"/>
      <c r="I962"/>
      <c r="J962"/>
      <c r="K962"/>
      <c r="L962"/>
      <c r="M962"/>
      <c r="N962"/>
      <c r="O962"/>
      <c r="P962"/>
      <c r="Q962"/>
      <c r="R962"/>
      <c r="S962"/>
    </row>
    <row r="963" spans="1:19" ht="15">
      <c r="A963"/>
      <c r="B963"/>
      <c r="C963"/>
      <c r="D963"/>
      <c r="E963"/>
      <c r="F963"/>
      <c r="G963"/>
      <c r="H963"/>
      <c r="I963"/>
      <c r="J963"/>
      <c r="K963"/>
      <c r="L963"/>
      <c r="M963"/>
      <c r="N963"/>
      <c r="O963"/>
      <c r="P963"/>
      <c r="Q963"/>
      <c r="R963"/>
      <c r="S963"/>
    </row>
    <row r="964" spans="1:19" ht="15">
      <c r="A964"/>
      <c r="B964"/>
      <c r="C964"/>
      <c r="D964"/>
      <c r="E964"/>
      <c r="F964"/>
      <c r="G964"/>
      <c r="H964"/>
      <c r="I964"/>
      <c r="J964"/>
      <c r="K964"/>
      <c r="L964"/>
      <c r="M964"/>
      <c r="N964"/>
      <c r="O964"/>
      <c r="P964"/>
      <c r="Q964"/>
      <c r="R964"/>
      <c r="S964"/>
    </row>
    <row r="965" spans="1:19" ht="15">
      <c r="A965"/>
      <c r="B965"/>
      <c r="C965"/>
      <c r="D965"/>
      <c r="E965"/>
      <c r="F965"/>
      <c r="G965"/>
      <c r="H965"/>
      <c r="I965"/>
      <c r="J965"/>
      <c r="K965"/>
      <c r="L965"/>
      <c r="M965"/>
      <c r="N965"/>
      <c r="O965"/>
      <c r="P965"/>
      <c r="Q965"/>
      <c r="R965"/>
      <c r="S965"/>
    </row>
    <row r="966" spans="1:19" ht="15">
      <c r="A966"/>
      <c r="B966"/>
      <c r="C966"/>
      <c r="D966"/>
      <c r="E966"/>
      <c r="F966"/>
      <c r="G966"/>
      <c r="H966"/>
      <c r="I966"/>
      <c r="J966"/>
      <c r="K966"/>
      <c r="L966"/>
      <c r="M966"/>
      <c r="N966"/>
      <c r="O966"/>
      <c r="P966"/>
      <c r="Q966"/>
      <c r="R966"/>
      <c r="S966"/>
    </row>
    <row r="967" spans="1:19" ht="15">
      <c r="A967"/>
      <c r="B967"/>
      <c r="C967"/>
      <c r="D967"/>
      <c r="E967"/>
      <c r="F967"/>
      <c r="G967"/>
      <c r="H967"/>
      <c r="I967"/>
      <c r="J967"/>
      <c r="K967"/>
      <c r="L967"/>
      <c r="M967"/>
      <c r="N967"/>
      <c r="O967"/>
      <c r="P967"/>
      <c r="Q967"/>
      <c r="R967"/>
      <c r="S967"/>
    </row>
    <row r="968" spans="1:19" ht="15">
      <c r="A968"/>
      <c r="B968"/>
      <c r="C968"/>
      <c r="D968"/>
      <c r="E968"/>
      <c r="F968"/>
      <c r="G968"/>
      <c r="H968"/>
      <c r="I968"/>
      <c r="J968"/>
      <c r="K968"/>
      <c r="L968"/>
      <c r="M968"/>
      <c r="N968"/>
      <c r="O968"/>
      <c r="P968"/>
      <c r="Q968"/>
      <c r="R968"/>
      <c r="S968"/>
    </row>
    <row r="969" spans="1:19" ht="15">
      <c r="A969"/>
      <c r="B969"/>
      <c r="C969"/>
      <c r="D969"/>
      <c r="E969"/>
      <c r="F969"/>
      <c r="G969"/>
      <c r="H969"/>
      <c r="I969"/>
      <c r="J969"/>
      <c r="K969"/>
      <c r="L969"/>
      <c r="M969"/>
      <c r="N969"/>
      <c r="O969"/>
      <c r="P969"/>
      <c r="Q969"/>
      <c r="R969"/>
      <c r="S969"/>
    </row>
    <row r="970" spans="1:19" ht="15">
      <c r="A970"/>
      <c r="B970"/>
      <c r="C970"/>
      <c r="D970"/>
      <c r="E970"/>
      <c r="F970"/>
      <c r="G970"/>
      <c r="H970"/>
      <c r="I970"/>
      <c r="J970"/>
      <c r="K970"/>
      <c r="L970"/>
      <c r="M970"/>
      <c r="N970"/>
      <c r="O970"/>
      <c r="P970"/>
      <c r="Q970"/>
      <c r="R970"/>
      <c r="S970"/>
    </row>
    <row r="971" spans="1:19" ht="15">
      <c r="A971"/>
      <c r="B971"/>
      <c r="C971"/>
      <c r="D971"/>
      <c r="E971"/>
      <c r="F971"/>
      <c r="G971"/>
      <c r="H971"/>
      <c r="I971"/>
      <c r="J971"/>
      <c r="K971"/>
      <c r="L971"/>
      <c r="M971"/>
      <c r="N971"/>
      <c r="O971"/>
      <c r="P971"/>
      <c r="Q971"/>
      <c r="R971"/>
      <c r="S971"/>
    </row>
    <row r="972" spans="1:19" ht="15">
      <c r="A972"/>
      <c r="B972"/>
      <c r="C972"/>
      <c r="D972"/>
      <c r="E972"/>
      <c r="F972"/>
      <c r="G972"/>
      <c r="H972"/>
      <c r="I972"/>
      <c r="J972"/>
      <c r="K972"/>
      <c r="L972"/>
      <c r="M972"/>
      <c r="N972"/>
      <c r="O972"/>
      <c r="P972"/>
      <c r="Q972"/>
      <c r="R972"/>
      <c r="S972"/>
    </row>
    <row r="973" spans="1:19" ht="15">
      <c r="A973"/>
      <c r="B973"/>
      <c r="C973"/>
      <c r="D973"/>
      <c r="E973"/>
      <c r="F973"/>
      <c r="G973"/>
      <c r="H973"/>
      <c r="I973"/>
      <c r="J973"/>
      <c r="K973"/>
      <c r="L973"/>
      <c r="M973"/>
      <c r="N973"/>
      <c r="O973"/>
      <c r="P973"/>
      <c r="Q973"/>
      <c r="R973"/>
      <c r="S973"/>
    </row>
    <row r="974" spans="1:19" ht="15">
      <c r="A974"/>
      <c r="B974"/>
      <c r="C974"/>
      <c r="D974"/>
      <c r="E974"/>
      <c r="F974"/>
      <c r="G974"/>
      <c r="H974"/>
      <c r="I974"/>
      <c r="J974"/>
      <c r="K974"/>
      <c r="L974"/>
      <c r="M974"/>
      <c r="N974"/>
      <c r="O974"/>
      <c r="P974"/>
      <c r="Q974"/>
      <c r="R974"/>
      <c r="S974"/>
    </row>
    <row r="975" spans="1:19" ht="15">
      <c r="A975"/>
      <c r="B975"/>
      <c r="C975"/>
      <c r="D975"/>
      <c r="E975"/>
      <c r="F975"/>
      <c r="G975"/>
      <c r="H975"/>
      <c r="I975"/>
      <c r="J975"/>
      <c r="K975"/>
      <c r="L975"/>
      <c r="M975"/>
      <c r="N975"/>
      <c r="O975"/>
      <c r="P975"/>
      <c r="Q975"/>
      <c r="R975"/>
      <c r="S975"/>
    </row>
    <row r="976" spans="1:19" ht="15">
      <c r="A976"/>
      <c r="B976"/>
      <c r="C976"/>
      <c r="D976"/>
      <c r="E976"/>
      <c r="F976"/>
      <c r="G976"/>
      <c r="H976"/>
      <c r="I976"/>
      <c r="J976"/>
      <c r="K976"/>
      <c r="L976"/>
      <c r="M976"/>
      <c r="N976"/>
      <c r="O976"/>
      <c r="P976"/>
      <c r="Q976"/>
      <c r="R976"/>
      <c r="S976"/>
    </row>
    <row r="977" spans="1:19" ht="15">
      <c r="A977"/>
      <c r="B977"/>
      <c r="C977"/>
      <c r="D977"/>
      <c r="E977"/>
      <c r="F977"/>
      <c r="G977"/>
      <c r="H977"/>
      <c r="I977"/>
      <c r="J977"/>
      <c r="K977"/>
      <c r="L977"/>
      <c r="M977"/>
      <c r="N977"/>
      <c r="O977"/>
      <c r="P977"/>
      <c r="Q977"/>
      <c r="R977"/>
      <c r="S977"/>
    </row>
    <row r="978" spans="1:19" ht="15">
      <c r="A978"/>
      <c r="B978"/>
      <c r="C978"/>
      <c r="D978"/>
      <c r="E978"/>
      <c r="F978"/>
      <c r="G978"/>
      <c r="H978"/>
      <c r="I978"/>
      <c r="J978"/>
      <c r="K978"/>
      <c r="L978"/>
      <c r="M978"/>
      <c r="N978"/>
      <c r="O978"/>
      <c r="P978"/>
      <c r="Q978"/>
      <c r="R978"/>
      <c r="S978"/>
    </row>
    <row r="979" spans="1:19" ht="15">
      <c r="A979"/>
      <c r="B979"/>
      <c r="C979"/>
      <c r="D979"/>
      <c r="E979"/>
      <c r="F979"/>
      <c r="G979"/>
      <c r="H979"/>
      <c r="I979"/>
      <c r="J979"/>
      <c r="K979"/>
      <c r="L979"/>
      <c r="M979"/>
      <c r="N979"/>
      <c r="O979"/>
      <c r="P979"/>
      <c r="Q979"/>
      <c r="R979"/>
      <c r="S979"/>
    </row>
    <row r="980" spans="1:19" ht="15">
      <c r="A980"/>
      <c r="B980"/>
      <c r="C980"/>
      <c r="D980"/>
      <c r="E980"/>
      <c r="F980"/>
      <c r="G980"/>
      <c r="H980"/>
      <c r="I980"/>
      <c r="J980"/>
      <c r="K980"/>
      <c r="L980"/>
      <c r="M980"/>
      <c r="N980"/>
      <c r="O980"/>
      <c r="P980"/>
      <c r="Q980"/>
      <c r="R980"/>
      <c r="S980"/>
    </row>
    <row r="981" spans="1:19" ht="15">
      <c r="A981"/>
      <c r="B981"/>
      <c r="C981"/>
      <c r="D981"/>
      <c r="E981"/>
      <c r="F981"/>
      <c r="G981"/>
      <c r="H981"/>
      <c r="I981"/>
      <c r="J981"/>
      <c r="K981"/>
      <c r="L981"/>
      <c r="M981"/>
      <c r="N981"/>
      <c r="O981"/>
      <c r="P981"/>
      <c r="Q981"/>
      <c r="R981"/>
      <c r="S981"/>
    </row>
    <row r="982" spans="1:19" ht="15">
      <c r="A982"/>
      <c r="B982"/>
      <c r="C982"/>
      <c r="D982"/>
      <c r="E982"/>
      <c r="F982"/>
      <c r="G982"/>
      <c r="H982"/>
      <c r="I982"/>
      <c r="J982"/>
      <c r="K982"/>
      <c r="L982"/>
      <c r="M982"/>
      <c r="N982"/>
      <c r="O982"/>
      <c r="P982"/>
      <c r="Q982"/>
      <c r="R982"/>
      <c r="S982"/>
    </row>
    <row r="983" spans="1:19" ht="15">
      <c r="A983"/>
      <c r="B983"/>
      <c r="C983"/>
      <c r="D983"/>
      <c r="E983"/>
      <c r="F983"/>
      <c r="G983"/>
      <c r="H983"/>
      <c r="I983"/>
      <c r="J983"/>
      <c r="K983"/>
      <c r="L983"/>
      <c r="M983"/>
      <c r="N983"/>
      <c r="O983"/>
      <c r="P983"/>
      <c r="Q983"/>
      <c r="R983"/>
      <c r="S983"/>
    </row>
    <row r="984" spans="1:19" ht="15">
      <c r="A984"/>
      <c r="B984"/>
      <c r="C984"/>
      <c r="D984"/>
      <c r="E984"/>
      <c r="F984"/>
      <c r="G984"/>
      <c r="H984"/>
      <c r="I984"/>
      <c r="J984"/>
      <c r="K984"/>
      <c r="L984"/>
      <c r="M984"/>
      <c r="N984"/>
      <c r="O984"/>
      <c r="P984"/>
      <c r="Q984"/>
      <c r="R984"/>
      <c r="S984"/>
    </row>
    <row r="985" spans="1:19" ht="15">
      <c r="A985"/>
      <c r="B985"/>
      <c r="C985"/>
      <c r="D985"/>
      <c r="E985"/>
      <c r="F985"/>
      <c r="G985"/>
      <c r="H985"/>
      <c r="I985"/>
      <c r="J985"/>
      <c r="K985"/>
      <c r="L985"/>
      <c r="M985"/>
      <c r="N985"/>
      <c r="O985"/>
      <c r="P985"/>
      <c r="Q985"/>
      <c r="R985"/>
      <c r="S985"/>
    </row>
    <row r="986" spans="1:19" ht="15">
      <c r="A986"/>
      <c r="B986"/>
      <c r="C986"/>
      <c r="D986"/>
      <c r="E986"/>
      <c r="F986"/>
      <c r="G986"/>
      <c r="H986"/>
      <c r="I986"/>
      <c r="J986"/>
      <c r="K986"/>
      <c r="L986"/>
      <c r="M986"/>
      <c r="N986"/>
      <c r="O986"/>
      <c r="P986"/>
      <c r="Q986"/>
      <c r="R986"/>
      <c r="S986"/>
    </row>
    <row r="987" spans="1:19" ht="15">
      <c r="A987"/>
      <c r="B987"/>
      <c r="C987"/>
      <c r="D987"/>
      <c r="E987"/>
      <c r="F987"/>
      <c r="G987"/>
      <c r="H987"/>
      <c r="I987"/>
      <c r="J987"/>
      <c r="K987"/>
      <c r="L987"/>
      <c r="M987"/>
      <c r="N987"/>
      <c r="O987"/>
      <c r="P987"/>
      <c r="Q987"/>
      <c r="R987"/>
      <c r="S987"/>
    </row>
    <row r="988" spans="1:19" ht="15">
      <c r="A988"/>
      <c r="B988"/>
      <c r="C988"/>
      <c r="D988"/>
      <c r="E988"/>
      <c r="F988"/>
      <c r="G988"/>
      <c r="H988"/>
      <c r="I988"/>
      <c r="J988"/>
      <c r="K988"/>
      <c r="L988"/>
      <c r="M988"/>
      <c r="N988"/>
      <c r="O988"/>
      <c r="P988"/>
      <c r="Q988"/>
      <c r="R988"/>
      <c r="S988"/>
    </row>
    <row r="989" spans="1:19" ht="15">
      <c r="A989"/>
      <c r="B989"/>
      <c r="C989"/>
      <c r="D989"/>
      <c r="E989"/>
      <c r="F989"/>
      <c r="G989"/>
      <c r="H989"/>
      <c r="I989"/>
      <c r="J989"/>
      <c r="K989"/>
      <c r="L989"/>
      <c r="M989"/>
      <c r="N989"/>
      <c r="O989"/>
      <c r="P989"/>
      <c r="Q989"/>
      <c r="R989"/>
      <c r="S989"/>
    </row>
    <row r="990" spans="1:19" ht="15">
      <c r="A990"/>
      <c r="B990"/>
      <c r="C990"/>
      <c r="D990"/>
      <c r="E990"/>
      <c r="F990"/>
      <c r="G990"/>
      <c r="H990"/>
      <c r="I990"/>
      <c r="J990"/>
      <c r="K990"/>
      <c r="L990"/>
      <c r="M990"/>
      <c r="N990"/>
      <c r="O990"/>
      <c r="P990"/>
      <c r="Q990"/>
      <c r="R990"/>
      <c r="S990"/>
    </row>
    <row r="991" spans="1:19" ht="15">
      <c r="A991"/>
      <c r="B991"/>
      <c r="C991"/>
      <c r="D991"/>
      <c r="E991"/>
      <c r="F991"/>
      <c r="G991"/>
      <c r="H991"/>
      <c r="I991"/>
      <c r="J991"/>
      <c r="K991"/>
      <c r="L991"/>
      <c r="M991"/>
      <c r="N991"/>
      <c r="O991"/>
      <c r="P991"/>
      <c r="Q991"/>
      <c r="R991"/>
      <c r="S991"/>
    </row>
    <row r="992" spans="1:19" ht="15">
      <c r="A992"/>
      <c r="B992"/>
      <c r="C992"/>
      <c r="D992"/>
      <c r="E992"/>
      <c r="F992"/>
      <c r="G992"/>
      <c r="H992"/>
      <c r="I992"/>
      <c r="J992"/>
      <c r="K992"/>
      <c r="L992"/>
      <c r="M992"/>
      <c r="N992"/>
      <c r="O992"/>
      <c r="P992"/>
      <c r="Q992"/>
      <c r="R992"/>
      <c r="S992"/>
    </row>
    <row r="993" spans="1:19" ht="15">
      <c r="A993"/>
      <c r="B993"/>
      <c r="C993"/>
      <c r="D993"/>
      <c r="E993"/>
      <c r="F993"/>
      <c r="G993"/>
      <c r="H993"/>
      <c r="I993"/>
      <c r="J993"/>
      <c r="K993"/>
      <c r="L993"/>
      <c r="M993"/>
      <c r="N993"/>
      <c r="O993"/>
      <c r="P993"/>
      <c r="Q993"/>
      <c r="R993"/>
      <c r="S993"/>
    </row>
    <row r="994" spans="1:19" ht="15">
      <c r="A994"/>
      <c r="B994"/>
      <c r="C994"/>
      <c r="D994"/>
      <c r="E994"/>
      <c r="F994"/>
      <c r="G994"/>
      <c r="H994"/>
      <c r="I994"/>
      <c r="J994"/>
      <c r="K994"/>
      <c r="L994"/>
      <c r="M994"/>
      <c r="N994"/>
      <c r="O994"/>
      <c r="P994"/>
      <c r="Q994"/>
      <c r="R994"/>
      <c r="S994"/>
    </row>
    <row r="995" spans="1:19" ht="15">
      <c r="A995"/>
      <c r="B995"/>
      <c r="C995"/>
      <c r="D995"/>
      <c r="E995"/>
      <c r="F995"/>
      <c r="G995"/>
      <c r="H995"/>
      <c r="I995"/>
      <c r="J995"/>
      <c r="K995"/>
      <c r="L995"/>
      <c r="M995"/>
      <c r="N995"/>
      <c r="O995"/>
      <c r="P995"/>
      <c r="Q995"/>
      <c r="R995"/>
      <c r="S995"/>
    </row>
    <row r="996" spans="1:19" ht="15">
      <c r="A996"/>
      <c r="B996"/>
      <c r="C996"/>
      <c r="D996"/>
      <c r="E996"/>
      <c r="F996"/>
      <c r="G996"/>
      <c r="H996"/>
      <c r="I996"/>
      <c r="J996"/>
      <c r="K996"/>
      <c r="L996"/>
      <c r="M996"/>
      <c r="N996"/>
      <c r="O996"/>
      <c r="P996"/>
      <c r="Q996"/>
      <c r="R996"/>
      <c r="S996"/>
    </row>
    <row r="997" spans="1:19" ht="15">
      <c r="A997"/>
      <c r="B997"/>
      <c r="C997"/>
      <c r="D997"/>
      <c r="E997"/>
      <c r="F997"/>
      <c r="G997"/>
      <c r="H997"/>
      <c r="I997"/>
      <c r="J997"/>
      <c r="K997"/>
      <c r="L997"/>
      <c r="M997"/>
      <c r="N997"/>
      <c r="O997"/>
      <c r="P997"/>
      <c r="Q997"/>
      <c r="R997"/>
      <c r="S997"/>
    </row>
    <row r="998" spans="1:19" ht="15">
      <c r="A998"/>
      <c r="B998"/>
      <c r="C998"/>
      <c r="D998"/>
      <c r="E998"/>
      <c r="F998"/>
      <c r="G998"/>
      <c r="H998"/>
      <c r="I998"/>
      <c r="J998"/>
      <c r="K998"/>
      <c r="L998"/>
      <c r="M998"/>
      <c r="N998"/>
      <c r="O998"/>
      <c r="P998"/>
      <c r="Q998"/>
      <c r="R998"/>
      <c r="S998"/>
    </row>
    <row r="999" spans="1:19" ht="15">
      <c r="A999"/>
      <c r="B999"/>
      <c r="C999"/>
      <c r="D999"/>
      <c r="E999"/>
      <c r="F999"/>
      <c r="G999"/>
      <c r="H999"/>
      <c r="I999"/>
      <c r="J999"/>
      <c r="K999"/>
      <c r="L999"/>
      <c r="M999"/>
      <c r="N999"/>
      <c r="O999"/>
      <c r="P999"/>
      <c r="Q999"/>
      <c r="R999"/>
      <c r="S999"/>
    </row>
    <row r="1000" spans="1:19" ht="15">
      <c r="A1000"/>
      <c r="B1000"/>
      <c r="C1000"/>
      <c r="D1000"/>
      <c r="E1000"/>
      <c r="F1000"/>
      <c r="G1000"/>
      <c r="H1000"/>
      <c r="I1000"/>
      <c r="J1000"/>
      <c r="K1000"/>
      <c r="L1000"/>
      <c r="M1000"/>
      <c r="N1000"/>
      <c r="O1000"/>
      <c r="P1000"/>
      <c r="Q1000"/>
      <c r="R1000"/>
      <c r="S1000"/>
    </row>
    <row r="1001" spans="1:19" ht="15">
      <c r="A1001"/>
      <c r="B1001"/>
      <c r="C1001"/>
      <c r="D1001"/>
      <c r="E1001"/>
      <c r="F1001"/>
      <c r="G1001"/>
      <c r="H1001"/>
      <c r="I1001"/>
      <c r="J1001"/>
      <c r="K1001"/>
      <c r="L1001"/>
      <c r="M1001"/>
      <c r="N1001"/>
      <c r="O1001"/>
      <c r="P1001"/>
      <c r="Q1001"/>
      <c r="R1001"/>
      <c r="S1001"/>
    </row>
    <row r="1002" spans="1:19" ht="15">
      <c r="A1002"/>
      <c r="B1002"/>
      <c r="C1002"/>
      <c r="D1002"/>
      <c r="E1002"/>
      <c r="F1002"/>
      <c r="G1002"/>
      <c r="H1002"/>
      <c r="I1002"/>
      <c r="J1002"/>
      <c r="K1002"/>
      <c r="L1002"/>
      <c r="M1002"/>
      <c r="N1002"/>
      <c r="O1002"/>
      <c r="P1002"/>
      <c r="Q1002"/>
      <c r="R1002"/>
      <c r="S1002"/>
    </row>
    <row r="1003" spans="1:19" ht="15">
      <c r="A1003"/>
      <c r="B1003"/>
      <c r="C1003"/>
      <c r="D1003"/>
      <c r="E1003"/>
      <c r="F1003"/>
      <c r="G1003"/>
      <c r="H1003"/>
      <c r="I1003"/>
      <c r="J1003"/>
      <c r="K1003"/>
      <c r="L1003"/>
      <c r="M1003"/>
      <c r="N1003"/>
      <c r="O1003"/>
      <c r="P1003"/>
      <c r="Q1003"/>
      <c r="R1003"/>
      <c r="S1003"/>
    </row>
    <row r="1004" spans="1:19" ht="15">
      <c r="A1004"/>
      <c r="B1004"/>
      <c r="C1004"/>
      <c r="D1004"/>
      <c r="E1004"/>
      <c r="F1004"/>
      <c r="G1004"/>
      <c r="H1004"/>
      <c r="I1004"/>
      <c r="J1004"/>
      <c r="K1004"/>
      <c r="L1004"/>
      <c r="M1004"/>
      <c r="N1004"/>
      <c r="O1004"/>
      <c r="P1004"/>
      <c r="Q1004"/>
      <c r="R1004"/>
      <c r="S1004"/>
    </row>
    <row r="1005" spans="1:19" ht="15">
      <c r="A1005"/>
      <c r="B1005"/>
      <c r="C1005"/>
      <c r="D1005"/>
      <c r="E1005"/>
      <c r="F1005"/>
      <c r="G1005"/>
      <c r="H1005"/>
      <c r="I1005"/>
      <c r="J1005"/>
      <c r="K1005"/>
      <c r="L1005"/>
      <c r="M1005"/>
      <c r="N1005"/>
      <c r="O1005"/>
      <c r="P1005"/>
      <c r="Q1005"/>
      <c r="R1005"/>
      <c r="S1005"/>
    </row>
    <row r="1006" spans="1:19" ht="15">
      <c r="A1006"/>
      <c r="B1006"/>
      <c r="C1006"/>
      <c r="D1006"/>
      <c r="E1006"/>
      <c r="F1006"/>
      <c r="G1006"/>
      <c r="H1006"/>
      <c r="I1006"/>
      <c r="J1006"/>
      <c r="K1006"/>
      <c r="L1006"/>
      <c r="M1006"/>
      <c r="N1006"/>
      <c r="O1006"/>
      <c r="P1006"/>
      <c r="Q1006"/>
      <c r="R1006"/>
      <c r="S1006"/>
    </row>
    <row r="1007" spans="1:19" ht="15">
      <c r="A1007"/>
      <c r="B1007"/>
      <c r="C1007"/>
      <c r="D1007"/>
      <c r="E1007"/>
      <c r="F1007"/>
      <c r="G1007"/>
      <c r="H1007"/>
      <c r="I1007"/>
      <c r="J1007"/>
      <c r="K1007"/>
      <c r="L1007"/>
      <c r="M1007"/>
      <c r="N1007"/>
      <c r="O1007"/>
      <c r="P1007"/>
      <c r="Q1007"/>
      <c r="R1007"/>
      <c r="S1007"/>
    </row>
    <row r="1008" spans="1:19" ht="15">
      <c r="A1008"/>
      <c r="B1008"/>
      <c r="C1008"/>
      <c r="D1008"/>
      <c r="E1008"/>
      <c r="F1008"/>
      <c r="G1008"/>
      <c r="H1008"/>
      <c r="I1008"/>
      <c r="J1008"/>
      <c r="K1008"/>
      <c r="L1008"/>
      <c r="M1008"/>
      <c r="N1008"/>
      <c r="O1008"/>
      <c r="P1008"/>
      <c r="Q1008"/>
      <c r="R1008"/>
      <c r="S1008"/>
    </row>
    <row r="1009" spans="1:19" ht="15">
      <c r="A1009"/>
      <c r="B1009"/>
      <c r="C1009"/>
      <c r="D1009"/>
      <c r="E1009"/>
      <c r="F1009"/>
      <c r="G1009"/>
      <c r="H1009"/>
      <c r="I1009"/>
      <c r="J1009"/>
      <c r="K1009"/>
      <c r="L1009"/>
      <c r="M1009"/>
      <c r="N1009"/>
      <c r="O1009"/>
      <c r="P1009"/>
      <c r="Q1009"/>
      <c r="R1009"/>
      <c r="S1009"/>
    </row>
    <row r="1010" spans="1:19" ht="15">
      <c r="A1010"/>
      <c r="B1010"/>
      <c r="C1010"/>
      <c r="D1010"/>
      <c r="E1010"/>
      <c r="F1010"/>
      <c r="G1010"/>
      <c r="H1010"/>
      <c r="I1010"/>
      <c r="J1010"/>
      <c r="K1010"/>
      <c r="L1010"/>
      <c r="M1010"/>
      <c r="N1010"/>
      <c r="O1010"/>
      <c r="P1010"/>
      <c r="Q1010"/>
      <c r="R1010"/>
      <c r="S1010"/>
    </row>
    <row r="1011" spans="1:19" ht="15">
      <c r="A1011"/>
      <c r="B1011"/>
      <c r="C1011"/>
      <c r="D1011"/>
      <c r="E1011"/>
      <c r="F1011"/>
      <c r="G1011"/>
      <c r="H1011"/>
      <c r="I1011"/>
      <c r="J1011"/>
      <c r="K1011"/>
      <c r="L1011"/>
      <c r="M1011"/>
      <c r="N1011"/>
      <c r="O1011"/>
      <c r="P1011"/>
      <c r="Q1011"/>
      <c r="R1011"/>
      <c r="S1011"/>
    </row>
    <row r="1012" spans="1:19" ht="15">
      <c r="A1012"/>
      <c r="B1012"/>
      <c r="C1012"/>
      <c r="D1012"/>
      <c r="E1012"/>
      <c r="F1012"/>
      <c r="G1012"/>
      <c r="H1012"/>
      <c r="I1012"/>
      <c r="J1012"/>
      <c r="K1012"/>
      <c r="L1012"/>
      <c r="M1012"/>
      <c r="N1012"/>
      <c r="O1012"/>
      <c r="P1012"/>
      <c r="Q1012"/>
      <c r="R1012"/>
      <c r="S1012"/>
    </row>
    <row r="1013" spans="1:19" ht="15">
      <c r="A1013"/>
      <c r="B1013"/>
      <c r="C1013"/>
      <c r="D1013"/>
      <c r="E1013"/>
      <c r="F1013"/>
      <c r="G1013"/>
      <c r="H1013"/>
      <c r="I1013"/>
      <c r="J1013"/>
      <c r="K1013"/>
      <c r="L1013"/>
      <c r="M1013"/>
      <c r="N1013"/>
      <c r="O1013"/>
      <c r="P1013"/>
      <c r="Q1013"/>
      <c r="R1013"/>
      <c r="S1013"/>
    </row>
    <row r="1014" spans="1:19" ht="15">
      <c r="A1014"/>
      <c r="B1014"/>
      <c r="C1014"/>
      <c r="D1014"/>
      <c r="E1014"/>
      <c r="F1014"/>
      <c r="G1014"/>
      <c r="H1014"/>
      <c r="I1014"/>
      <c r="J1014"/>
      <c r="K1014"/>
      <c r="L1014"/>
      <c r="M1014"/>
      <c r="N1014"/>
      <c r="O1014"/>
      <c r="P1014"/>
      <c r="Q1014"/>
      <c r="R1014"/>
      <c r="S1014"/>
    </row>
    <row r="1015" spans="1:19" ht="15">
      <c r="A1015"/>
      <c r="B1015"/>
      <c r="C1015"/>
      <c r="D1015"/>
      <c r="E1015"/>
      <c r="F1015"/>
      <c r="G1015"/>
      <c r="H1015"/>
      <c r="I1015"/>
      <c r="J1015"/>
      <c r="K1015"/>
      <c r="L1015"/>
      <c r="M1015"/>
      <c r="N1015"/>
      <c r="O1015"/>
      <c r="P1015"/>
      <c r="Q1015"/>
      <c r="R1015"/>
      <c r="S1015"/>
    </row>
    <row r="1016" spans="1:19" ht="15">
      <c r="A1016"/>
      <c r="B1016"/>
      <c r="C1016"/>
      <c r="D1016"/>
      <c r="E1016"/>
      <c r="F1016"/>
      <c r="G1016"/>
      <c r="H1016"/>
      <c r="I1016"/>
      <c r="J1016"/>
      <c r="K1016"/>
      <c r="L1016"/>
      <c r="M1016"/>
      <c r="N1016"/>
      <c r="O1016"/>
      <c r="P1016"/>
      <c r="Q1016"/>
      <c r="R1016"/>
      <c r="S1016"/>
    </row>
    <row r="1017" spans="1:19" ht="15">
      <c r="A1017"/>
      <c r="B1017"/>
      <c r="C1017"/>
      <c r="D1017"/>
      <c r="E1017"/>
      <c r="F1017"/>
      <c r="G1017"/>
      <c r="H1017"/>
      <c r="I1017"/>
      <c r="J1017"/>
      <c r="K1017"/>
      <c r="L1017"/>
      <c r="M1017"/>
      <c r="N1017"/>
      <c r="O1017"/>
      <c r="P1017"/>
      <c r="Q1017"/>
      <c r="R1017"/>
      <c r="S1017"/>
    </row>
    <row r="1018" spans="1:19" ht="15">
      <c r="A1018"/>
      <c r="B1018"/>
      <c r="C1018"/>
      <c r="D1018"/>
      <c r="E1018"/>
      <c r="F1018"/>
      <c r="G1018"/>
      <c r="H1018"/>
      <c r="I1018"/>
      <c r="J1018"/>
      <c r="K1018"/>
      <c r="L1018"/>
      <c r="M1018"/>
      <c r="N1018"/>
      <c r="O1018"/>
      <c r="P1018"/>
      <c r="Q1018"/>
      <c r="R1018"/>
      <c r="S1018"/>
    </row>
    <row r="1019" spans="1:19" ht="15">
      <c r="A1019"/>
      <c r="B1019"/>
      <c r="C1019"/>
      <c r="D1019"/>
      <c r="E1019"/>
      <c r="F1019"/>
      <c r="G1019"/>
      <c r="H1019"/>
      <c r="I1019"/>
      <c r="J1019"/>
      <c r="K1019"/>
      <c r="L1019"/>
      <c r="M1019"/>
      <c r="N1019"/>
      <c r="O1019"/>
      <c r="P1019"/>
      <c r="Q1019"/>
      <c r="R1019"/>
      <c r="S1019"/>
    </row>
    <row r="1020" spans="1:19" ht="15">
      <c r="A1020"/>
      <c r="B1020"/>
      <c r="C1020"/>
      <c r="D1020"/>
      <c r="E1020"/>
      <c r="F1020"/>
      <c r="G1020"/>
      <c r="H1020"/>
      <c r="I1020"/>
      <c r="J1020"/>
      <c r="K1020"/>
      <c r="L1020"/>
      <c r="M1020"/>
      <c r="N1020"/>
      <c r="O1020"/>
      <c r="P1020"/>
      <c r="Q1020"/>
      <c r="R1020"/>
      <c r="S1020"/>
    </row>
    <row r="1021" spans="1:19" ht="15">
      <c r="A1021"/>
      <c r="B1021"/>
      <c r="C1021"/>
      <c r="D1021"/>
      <c r="E1021"/>
      <c r="F1021"/>
      <c r="G1021"/>
      <c r="H1021"/>
      <c r="I1021"/>
      <c r="J1021"/>
      <c r="K1021"/>
      <c r="L1021"/>
      <c r="M1021"/>
      <c r="N1021"/>
      <c r="O1021"/>
      <c r="P1021"/>
      <c r="Q1021"/>
      <c r="R1021"/>
      <c r="S1021"/>
    </row>
    <row r="1022" spans="1:19" ht="15">
      <c r="A1022"/>
      <c r="B1022"/>
      <c r="C1022"/>
      <c r="D1022"/>
      <c r="E1022"/>
      <c r="F1022"/>
      <c r="G1022"/>
      <c r="H1022"/>
      <c r="I1022"/>
      <c r="J1022"/>
      <c r="K1022"/>
      <c r="L1022"/>
      <c r="M1022"/>
      <c r="N1022"/>
      <c r="O1022"/>
      <c r="P1022"/>
      <c r="Q1022"/>
      <c r="R1022"/>
      <c r="S1022"/>
    </row>
    <row r="1023" spans="1:19" ht="15">
      <c r="A1023"/>
      <c r="B1023"/>
      <c r="C1023"/>
      <c r="D1023"/>
      <c r="E1023"/>
      <c r="F1023"/>
      <c r="G1023"/>
      <c r="H1023"/>
      <c r="I1023"/>
      <c r="J1023"/>
      <c r="K1023"/>
      <c r="L1023"/>
      <c r="M1023"/>
      <c r="N1023"/>
      <c r="O1023"/>
      <c r="P1023"/>
      <c r="Q1023"/>
      <c r="R1023"/>
      <c r="S1023"/>
    </row>
    <row r="1024" spans="1:19" ht="15">
      <c r="A1024"/>
      <c r="B1024"/>
      <c r="C1024"/>
      <c r="D1024"/>
      <c r="E1024"/>
      <c r="F1024"/>
      <c r="G1024"/>
      <c r="H1024"/>
      <c r="I1024"/>
      <c r="J1024"/>
      <c r="K1024"/>
      <c r="L1024"/>
      <c r="M1024"/>
      <c r="N1024"/>
      <c r="O1024"/>
      <c r="P1024"/>
      <c r="Q1024"/>
      <c r="R1024"/>
      <c r="S1024"/>
    </row>
    <row r="1025" spans="1:19" ht="15">
      <c r="A1025"/>
      <c r="B1025"/>
      <c r="C1025"/>
      <c r="D1025"/>
      <c r="E1025"/>
      <c r="F1025"/>
      <c r="G1025"/>
      <c r="H1025"/>
      <c r="I1025"/>
      <c r="J1025"/>
      <c r="K1025"/>
      <c r="L1025"/>
      <c r="M1025"/>
      <c r="N1025"/>
      <c r="O1025"/>
      <c r="P1025"/>
      <c r="Q1025"/>
      <c r="R1025"/>
      <c r="S1025"/>
    </row>
    <row r="1026" spans="1:19" ht="15">
      <c r="A1026"/>
      <c r="B1026"/>
      <c r="C1026"/>
      <c r="D1026"/>
      <c r="E1026"/>
      <c r="F1026"/>
      <c r="G1026"/>
      <c r="H1026"/>
      <c r="I1026"/>
      <c r="J1026"/>
      <c r="K1026"/>
      <c r="L1026"/>
      <c r="M1026"/>
      <c r="N1026"/>
      <c r="O1026"/>
      <c r="P1026"/>
      <c r="Q1026"/>
      <c r="R1026"/>
      <c r="S1026"/>
    </row>
    <row r="1027" spans="1:19" ht="15">
      <c r="A1027"/>
      <c r="B1027"/>
      <c r="C1027"/>
      <c r="D1027"/>
      <c r="E1027"/>
      <c r="F1027"/>
      <c r="G1027"/>
      <c r="H1027"/>
      <c r="I1027"/>
      <c r="J1027"/>
      <c r="K1027"/>
      <c r="L1027"/>
      <c r="M1027"/>
      <c r="N1027"/>
      <c r="O1027"/>
      <c r="P1027"/>
      <c r="Q1027"/>
      <c r="R1027"/>
      <c r="S1027"/>
    </row>
    <row r="1028" spans="1:19" ht="15">
      <c r="A1028"/>
      <c r="B1028"/>
      <c r="C1028"/>
      <c r="D1028"/>
      <c r="E1028"/>
      <c r="F1028"/>
      <c r="G1028"/>
      <c r="H1028"/>
      <c r="I1028"/>
      <c r="J1028"/>
      <c r="K1028"/>
      <c r="L1028"/>
      <c r="M1028"/>
      <c r="N1028"/>
      <c r="O1028"/>
      <c r="P1028"/>
      <c r="Q1028"/>
      <c r="R1028"/>
      <c r="S1028"/>
    </row>
    <row r="1029" spans="1:19" ht="15">
      <c r="A1029"/>
      <c r="B1029"/>
      <c r="C1029"/>
      <c r="D1029"/>
      <c r="E1029"/>
      <c r="F1029"/>
      <c r="G1029"/>
      <c r="H1029"/>
      <c r="I1029"/>
      <c r="J1029"/>
      <c r="K1029"/>
      <c r="L1029"/>
      <c r="M1029"/>
      <c r="N1029"/>
      <c r="O1029"/>
      <c r="P1029"/>
      <c r="Q1029"/>
      <c r="R1029"/>
      <c r="S1029"/>
    </row>
    <row r="1030" spans="1:19" ht="15">
      <c r="A1030"/>
      <c r="B1030"/>
      <c r="C1030"/>
      <c r="D1030"/>
      <c r="E1030"/>
      <c r="F1030"/>
      <c r="G1030"/>
      <c r="H1030"/>
      <c r="I1030"/>
      <c r="J1030"/>
      <c r="K1030"/>
      <c r="L1030"/>
      <c r="M1030"/>
      <c r="N1030"/>
      <c r="O1030"/>
      <c r="P1030"/>
      <c r="Q1030"/>
      <c r="R1030"/>
      <c r="S1030"/>
    </row>
    <row r="1031" spans="1:19" ht="15">
      <c r="A1031"/>
      <c r="B1031"/>
      <c r="C1031"/>
      <c r="D1031"/>
      <c r="E1031"/>
      <c r="F1031"/>
      <c r="G1031"/>
      <c r="H1031"/>
      <c r="I1031"/>
      <c r="J1031"/>
      <c r="K1031"/>
      <c r="L1031"/>
      <c r="M1031"/>
      <c r="N1031"/>
      <c r="O1031"/>
      <c r="P1031"/>
      <c r="Q1031"/>
      <c r="R1031"/>
      <c r="S1031"/>
    </row>
    <row r="1032" spans="1:19" ht="15">
      <c r="A1032"/>
      <c r="B1032"/>
      <c r="C1032"/>
      <c r="D1032"/>
      <c r="E1032"/>
      <c r="F1032"/>
      <c r="G1032"/>
      <c r="H1032"/>
      <c r="I1032"/>
      <c r="J1032"/>
      <c r="K1032"/>
      <c r="L1032"/>
      <c r="M1032"/>
      <c r="N1032"/>
      <c r="O1032"/>
      <c r="P1032"/>
      <c r="Q1032"/>
      <c r="R1032"/>
      <c r="S1032"/>
    </row>
    <row r="1033" spans="1:19" ht="15">
      <c r="A1033"/>
      <c r="B1033"/>
      <c r="C1033"/>
      <c r="D1033"/>
      <c r="E1033"/>
      <c r="F1033"/>
      <c r="G1033"/>
      <c r="H1033"/>
      <c r="I1033"/>
      <c r="J1033"/>
      <c r="K1033"/>
      <c r="L1033"/>
      <c r="M1033"/>
      <c r="N1033"/>
      <c r="O1033"/>
      <c r="P1033"/>
      <c r="Q1033"/>
      <c r="R1033"/>
      <c r="S1033"/>
    </row>
    <row r="1034" spans="1:19" ht="15">
      <c r="A1034"/>
      <c r="B1034"/>
      <c r="C1034"/>
      <c r="D1034"/>
      <c r="E1034"/>
      <c r="F1034"/>
      <c r="G1034"/>
      <c r="H1034"/>
      <c r="I1034"/>
      <c r="J1034"/>
      <c r="K1034"/>
      <c r="L1034"/>
      <c r="M1034"/>
      <c r="N1034"/>
      <c r="O1034"/>
      <c r="P1034"/>
      <c r="Q1034"/>
      <c r="R1034"/>
      <c r="S1034"/>
    </row>
    <row r="1035" spans="1:19" ht="15">
      <c r="A1035"/>
      <c r="B1035"/>
      <c r="C1035"/>
      <c r="D1035"/>
      <c r="E1035"/>
      <c r="F1035"/>
      <c r="G1035"/>
      <c r="H1035"/>
      <c r="I1035"/>
      <c r="J1035"/>
      <c r="K1035"/>
      <c r="L1035"/>
      <c r="M1035"/>
      <c r="N1035"/>
      <c r="O1035"/>
      <c r="P1035"/>
      <c r="Q1035"/>
      <c r="R1035"/>
      <c r="S1035"/>
    </row>
    <row r="1036" spans="1:19" ht="15">
      <c r="A1036"/>
      <c r="B1036"/>
      <c r="C1036"/>
      <c r="D1036"/>
      <c r="E1036"/>
      <c r="F1036"/>
      <c r="G1036"/>
      <c r="H1036"/>
      <c r="I1036"/>
      <c r="J1036"/>
      <c r="K1036"/>
      <c r="L1036"/>
      <c r="M1036"/>
      <c r="N1036"/>
      <c r="O1036"/>
      <c r="P1036"/>
      <c r="Q1036"/>
      <c r="R1036"/>
      <c r="S1036"/>
    </row>
    <row r="1037" spans="1:19" ht="15">
      <c r="A1037"/>
      <c r="B1037"/>
      <c r="C1037"/>
      <c r="D1037"/>
      <c r="E1037"/>
      <c r="F1037"/>
      <c r="G1037"/>
      <c r="H1037"/>
      <c r="I1037"/>
      <c r="J1037"/>
      <c r="K1037"/>
      <c r="L1037"/>
      <c r="M1037"/>
      <c r="N1037"/>
      <c r="O1037"/>
      <c r="P1037"/>
      <c r="Q1037"/>
      <c r="R1037"/>
      <c r="S1037"/>
    </row>
    <row r="1038" spans="1:19" ht="15">
      <c r="A1038"/>
      <c r="B1038"/>
      <c r="C1038"/>
      <c r="D1038"/>
      <c r="E1038"/>
      <c r="F1038"/>
      <c r="G1038"/>
      <c r="H1038"/>
      <c r="I1038"/>
      <c r="J1038"/>
      <c r="K1038"/>
      <c r="L1038"/>
      <c r="M1038"/>
      <c r="N1038"/>
      <c r="O1038"/>
      <c r="P1038"/>
      <c r="Q1038"/>
      <c r="R1038"/>
      <c r="S1038"/>
    </row>
    <row r="1039" spans="1:19" ht="15">
      <c r="A1039"/>
      <c r="B1039"/>
      <c r="C1039"/>
      <c r="D1039"/>
      <c r="E1039"/>
      <c r="F1039"/>
      <c r="G1039"/>
      <c r="H1039"/>
      <c r="I1039"/>
      <c r="J1039"/>
      <c r="K1039"/>
      <c r="L1039"/>
      <c r="M1039"/>
      <c r="N1039"/>
      <c r="O1039"/>
      <c r="P1039"/>
      <c r="Q1039"/>
      <c r="R1039"/>
      <c r="S1039"/>
    </row>
    <row r="1040" spans="1:19" ht="15">
      <c r="A1040"/>
      <c r="B1040"/>
      <c r="C1040"/>
      <c r="D1040"/>
      <c r="E1040"/>
      <c r="F1040"/>
      <c r="G1040"/>
      <c r="H1040"/>
      <c r="I1040"/>
      <c r="J1040"/>
      <c r="K1040"/>
      <c r="L1040"/>
      <c r="M1040"/>
      <c r="N1040"/>
      <c r="O1040"/>
      <c r="P1040"/>
      <c r="Q1040"/>
      <c r="R1040"/>
      <c r="S1040"/>
    </row>
    <row r="1041" spans="1:19" ht="15">
      <c r="A1041"/>
      <c r="B1041"/>
      <c r="C1041"/>
      <c r="D1041"/>
      <c r="E1041"/>
      <c r="F1041"/>
      <c r="G1041"/>
      <c r="H1041"/>
      <c r="I1041"/>
      <c r="J1041"/>
      <c r="K1041"/>
      <c r="L1041"/>
      <c r="M1041"/>
      <c r="N1041"/>
      <c r="O1041"/>
      <c r="P1041"/>
      <c r="Q1041"/>
      <c r="R1041"/>
      <c r="S1041"/>
    </row>
    <row r="1042" spans="1:19" ht="15">
      <c r="A1042"/>
      <c r="B1042"/>
      <c r="C1042"/>
      <c r="D1042"/>
      <c r="E1042"/>
      <c r="F1042"/>
      <c r="G1042"/>
      <c r="H1042"/>
      <c r="I1042"/>
      <c r="J1042"/>
      <c r="K1042"/>
      <c r="L1042"/>
      <c r="M1042"/>
      <c r="N1042"/>
      <c r="O1042"/>
      <c r="P1042"/>
      <c r="Q1042"/>
      <c r="R1042"/>
      <c r="S1042"/>
    </row>
    <row r="1043" spans="1:19" ht="15">
      <c r="A1043"/>
      <c r="B1043"/>
      <c r="C1043"/>
      <c r="D1043"/>
      <c r="E1043"/>
      <c r="F1043"/>
      <c r="G1043"/>
      <c r="H1043"/>
      <c r="I1043"/>
      <c r="J1043"/>
      <c r="K1043"/>
      <c r="L1043"/>
      <c r="M1043"/>
      <c r="N1043"/>
      <c r="O1043"/>
      <c r="P1043"/>
      <c r="Q1043"/>
      <c r="R1043"/>
      <c r="S1043"/>
    </row>
    <row r="1044" spans="1:19" ht="15">
      <c r="A1044"/>
      <c r="B1044"/>
      <c r="C1044"/>
      <c r="D1044"/>
      <c r="E1044"/>
      <c r="F1044"/>
      <c r="G1044"/>
      <c r="H1044"/>
      <c r="I1044"/>
      <c r="J1044"/>
      <c r="K1044"/>
      <c r="L1044"/>
      <c r="M1044"/>
      <c r="N1044"/>
      <c r="O1044"/>
      <c r="P1044"/>
      <c r="Q1044"/>
      <c r="R1044"/>
      <c r="S1044"/>
    </row>
    <row r="1045" spans="1:19" ht="15">
      <c r="A1045"/>
      <c r="B1045"/>
      <c r="C1045"/>
      <c r="D1045"/>
      <c r="E1045"/>
      <c r="F1045"/>
      <c r="G1045"/>
      <c r="H1045"/>
      <c r="I1045"/>
      <c r="J1045"/>
      <c r="K1045"/>
      <c r="L1045"/>
      <c r="M1045"/>
      <c r="N1045"/>
      <c r="O1045"/>
      <c r="P1045"/>
      <c r="Q1045"/>
      <c r="R1045"/>
      <c r="S1045"/>
    </row>
    <row r="1046" spans="1:19" ht="15">
      <c r="A1046"/>
      <c r="B1046"/>
      <c r="C1046"/>
      <c r="D1046"/>
      <c r="E1046"/>
      <c r="F1046"/>
      <c r="G1046"/>
      <c r="H1046"/>
      <c r="I1046"/>
      <c r="J1046"/>
      <c r="K1046"/>
      <c r="L1046"/>
      <c r="M1046"/>
      <c r="N1046"/>
      <c r="O1046"/>
      <c r="P1046"/>
      <c r="Q1046"/>
      <c r="R1046"/>
      <c r="S1046"/>
    </row>
    <row r="1047" spans="1:19" ht="15">
      <c r="A1047"/>
      <c r="B1047"/>
      <c r="C1047"/>
      <c r="D1047"/>
      <c r="E1047"/>
      <c r="F1047"/>
      <c r="G1047"/>
      <c r="H1047"/>
      <c r="I1047"/>
      <c r="J1047"/>
      <c r="K1047"/>
      <c r="L1047"/>
      <c r="M1047"/>
      <c r="N1047"/>
      <c r="O1047"/>
      <c r="P1047"/>
      <c r="Q1047"/>
      <c r="R1047"/>
      <c r="S1047"/>
    </row>
    <row r="1048" spans="1:19" ht="15">
      <c r="A1048"/>
      <c r="B1048"/>
      <c r="C1048"/>
      <c r="D1048"/>
      <c r="E1048"/>
      <c r="F1048"/>
      <c r="G1048"/>
      <c r="H1048"/>
      <c r="I1048"/>
      <c r="J1048"/>
      <c r="K1048"/>
      <c r="L1048"/>
      <c r="M1048"/>
      <c r="N1048"/>
      <c r="O1048"/>
      <c r="P1048"/>
      <c r="Q1048"/>
      <c r="R1048"/>
      <c r="S1048"/>
    </row>
    <row r="1049" spans="1:19" ht="15">
      <c r="A1049"/>
      <c r="B1049"/>
      <c r="C1049"/>
      <c r="D1049"/>
      <c r="E1049"/>
      <c r="F1049"/>
      <c r="G1049"/>
      <c r="H1049"/>
      <c r="I1049"/>
      <c r="J1049"/>
      <c r="K1049"/>
      <c r="L1049"/>
      <c r="M1049"/>
      <c r="N1049"/>
      <c r="O1049"/>
      <c r="P1049"/>
      <c r="Q1049"/>
      <c r="R1049"/>
      <c r="S1049"/>
    </row>
    <row r="1050" spans="1:19" ht="15">
      <c r="A1050"/>
      <c r="B1050"/>
      <c r="C1050"/>
      <c r="D1050"/>
      <c r="E1050"/>
      <c r="F1050"/>
      <c r="G1050"/>
      <c r="H1050"/>
      <c r="I1050"/>
      <c r="J1050"/>
      <c r="K1050"/>
      <c r="L1050"/>
      <c r="M1050"/>
      <c r="N1050"/>
      <c r="O1050"/>
      <c r="P1050"/>
      <c r="Q1050"/>
      <c r="R1050"/>
      <c r="S1050"/>
    </row>
    <row r="1051" spans="1:19" ht="15">
      <c r="A1051"/>
      <c r="B1051"/>
      <c r="C1051"/>
      <c r="D1051"/>
      <c r="E1051"/>
      <c r="F1051"/>
      <c r="G1051"/>
      <c r="H1051"/>
      <c r="I1051"/>
      <c r="J1051"/>
      <c r="K1051"/>
      <c r="L1051"/>
      <c r="M1051"/>
      <c r="N1051"/>
      <c r="O1051"/>
      <c r="P1051"/>
      <c r="Q1051"/>
      <c r="R1051"/>
      <c r="S1051"/>
    </row>
    <row r="1052" spans="1:19" ht="15">
      <c r="A1052"/>
      <c r="B1052"/>
      <c r="C1052"/>
      <c r="D1052"/>
      <c r="E1052"/>
      <c r="F1052"/>
      <c r="G1052"/>
      <c r="H1052"/>
      <c r="I1052"/>
      <c r="J1052"/>
      <c r="K1052"/>
      <c r="L1052"/>
      <c r="M1052"/>
      <c r="N1052"/>
      <c r="O1052"/>
      <c r="P1052"/>
      <c r="Q1052"/>
      <c r="R1052"/>
      <c r="S1052"/>
    </row>
    <row r="1053" spans="1:19" ht="15">
      <c r="A1053"/>
      <c r="B1053"/>
      <c r="C1053"/>
      <c r="D1053"/>
      <c r="E1053"/>
      <c r="F1053"/>
      <c r="G1053"/>
      <c r="H1053"/>
      <c r="I1053"/>
      <c r="J1053"/>
      <c r="K1053"/>
      <c r="L1053"/>
      <c r="M1053"/>
      <c r="N1053"/>
      <c r="O1053"/>
      <c r="P1053"/>
      <c r="Q1053"/>
      <c r="R1053"/>
      <c r="S1053"/>
    </row>
    <row r="1054" spans="1:19" ht="15">
      <c r="A1054"/>
      <c r="B1054"/>
      <c r="C1054"/>
      <c r="D1054"/>
      <c r="E1054"/>
      <c r="F1054"/>
      <c r="G1054"/>
      <c r="H1054"/>
      <c r="I1054"/>
      <c r="J1054"/>
      <c r="K1054"/>
      <c r="L1054"/>
      <c r="M1054"/>
      <c r="N1054"/>
      <c r="O1054"/>
      <c r="P1054"/>
      <c r="Q1054"/>
      <c r="R1054"/>
      <c r="S1054"/>
    </row>
    <row r="1055" spans="1:19" ht="15">
      <c r="A1055"/>
      <c r="B1055"/>
      <c r="C1055"/>
      <c r="D1055"/>
      <c r="E1055"/>
      <c r="F1055"/>
      <c r="G1055"/>
      <c r="H1055"/>
      <c r="I1055"/>
      <c r="J1055"/>
      <c r="K1055"/>
      <c r="L1055"/>
      <c r="M1055"/>
      <c r="N1055"/>
      <c r="O1055"/>
      <c r="P1055"/>
      <c r="Q1055"/>
      <c r="R1055"/>
      <c r="S1055"/>
    </row>
    <row r="1056" spans="1:19" ht="15">
      <c r="A1056"/>
      <c r="B1056"/>
      <c r="C1056"/>
      <c r="D1056"/>
      <c r="E1056"/>
      <c r="F1056"/>
      <c r="G1056"/>
      <c r="H1056"/>
      <c r="I1056"/>
      <c r="J1056"/>
      <c r="K1056"/>
      <c r="L1056"/>
      <c r="M1056"/>
      <c r="N1056"/>
      <c r="O1056"/>
      <c r="P1056"/>
      <c r="Q1056"/>
      <c r="R1056"/>
      <c r="S1056"/>
    </row>
    <row r="1057" spans="1:19" ht="15">
      <c r="A1057"/>
      <c r="B1057"/>
      <c r="C1057"/>
      <c r="D1057"/>
      <c r="E1057"/>
      <c r="F1057"/>
      <c r="G1057"/>
      <c r="H1057"/>
      <c r="I1057"/>
      <c r="J1057"/>
      <c r="K1057"/>
      <c r="L1057"/>
      <c r="M1057"/>
      <c r="N1057"/>
      <c r="O1057"/>
      <c r="P1057"/>
      <c r="Q1057"/>
      <c r="R1057"/>
      <c r="S1057"/>
    </row>
    <row r="1058" spans="1:19" ht="15">
      <c r="A1058"/>
      <c r="B1058"/>
      <c r="C1058"/>
      <c r="D1058"/>
      <c r="E1058"/>
      <c r="F1058"/>
      <c r="G1058"/>
      <c r="H1058"/>
      <c r="I1058"/>
      <c r="J1058"/>
      <c r="K1058"/>
      <c r="L1058"/>
      <c r="M1058"/>
      <c r="N1058"/>
      <c r="O1058"/>
      <c r="P1058"/>
      <c r="Q1058"/>
      <c r="R1058"/>
      <c r="S1058"/>
    </row>
    <row r="1059" spans="1:19" ht="15">
      <c r="A1059"/>
      <c r="B1059"/>
      <c r="C1059"/>
      <c r="D1059"/>
      <c r="E1059"/>
      <c r="F1059"/>
      <c r="G1059"/>
      <c r="H1059"/>
      <c r="I1059"/>
      <c r="J1059"/>
      <c r="K1059"/>
      <c r="L1059"/>
      <c r="M1059"/>
      <c r="N1059"/>
      <c r="O1059"/>
      <c r="P1059"/>
      <c r="Q1059"/>
      <c r="R1059"/>
      <c r="S1059"/>
    </row>
    <row r="1060" spans="1:19" ht="15">
      <c r="A1060"/>
      <c r="B1060"/>
      <c r="C1060"/>
      <c r="D1060"/>
      <c r="E1060"/>
      <c r="F1060"/>
      <c r="G1060"/>
      <c r="H1060"/>
      <c r="I1060"/>
      <c r="J1060"/>
      <c r="K1060"/>
      <c r="L1060"/>
      <c r="M1060"/>
      <c r="N1060"/>
      <c r="O1060"/>
      <c r="P1060"/>
      <c r="Q1060"/>
      <c r="R1060"/>
      <c r="S1060"/>
    </row>
    <row r="1061" spans="1:19" ht="15">
      <c r="A1061"/>
      <c r="B1061"/>
      <c r="C1061"/>
      <c r="D1061"/>
      <c r="E1061"/>
      <c r="F1061"/>
      <c r="G1061"/>
      <c r="H1061"/>
      <c r="I1061"/>
      <c r="J1061"/>
      <c r="K1061"/>
      <c r="L1061"/>
      <c r="M1061"/>
      <c r="N1061"/>
      <c r="O1061"/>
      <c r="P1061"/>
      <c r="Q1061"/>
      <c r="R1061"/>
      <c r="S1061"/>
    </row>
    <row r="1062" spans="1:19" ht="15">
      <c r="A1062"/>
      <c r="B1062"/>
      <c r="C1062"/>
      <c r="D1062"/>
      <c r="E1062"/>
      <c r="F1062"/>
      <c r="G1062"/>
      <c r="H1062"/>
      <c r="I1062"/>
      <c r="J1062"/>
      <c r="K1062"/>
      <c r="L1062"/>
      <c r="M1062"/>
      <c r="N1062"/>
      <c r="O1062"/>
      <c r="P1062"/>
      <c r="Q1062"/>
      <c r="R1062"/>
      <c r="S1062"/>
    </row>
    <row r="1063" spans="1:19" ht="15">
      <c r="A1063"/>
      <c r="B1063"/>
      <c r="C1063"/>
      <c r="D1063"/>
      <c r="E1063"/>
      <c r="F1063"/>
      <c r="G1063"/>
      <c r="H1063"/>
      <c r="I1063"/>
      <c r="J1063"/>
      <c r="K1063"/>
      <c r="L1063"/>
      <c r="M1063"/>
      <c r="N1063"/>
      <c r="O1063"/>
      <c r="P1063"/>
      <c r="Q1063"/>
      <c r="R1063"/>
      <c r="S1063"/>
    </row>
    <row r="1064" spans="1:19" ht="15">
      <c r="A1064"/>
      <c r="B1064"/>
      <c r="C1064"/>
      <c r="D1064"/>
      <c r="E1064"/>
      <c r="F1064"/>
      <c r="G1064"/>
      <c r="H1064"/>
      <c r="I1064"/>
      <c r="J1064"/>
      <c r="K1064"/>
      <c r="L1064"/>
      <c r="M1064"/>
      <c r="N1064"/>
      <c r="O1064"/>
      <c r="P1064"/>
      <c r="Q1064"/>
      <c r="R1064"/>
      <c r="S1064"/>
    </row>
    <row r="1065" spans="1:19" ht="15">
      <c r="A1065"/>
      <c r="B1065"/>
      <c r="C1065"/>
      <c r="D1065"/>
      <c r="E1065"/>
      <c r="F1065"/>
      <c r="G1065"/>
      <c r="H1065"/>
      <c r="I1065"/>
      <c r="J1065"/>
      <c r="K1065"/>
      <c r="L1065"/>
      <c r="M1065"/>
      <c r="N1065"/>
      <c r="O1065"/>
      <c r="P1065"/>
      <c r="Q1065"/>
      <c r="R1065"/>
      <c r="S1065"/>
    </row>
    <row r="1066" spans="1:19" ht="15">
      <c r="A1066"/>
      <c r="B1066"/>
      <c r="C1066"/>
      <c r="D1066"/>
      <c r="E1066"/>
      <c r="F1066"/>
      <c r="G1066"/>
      <c r="H1066"/>
      <c r="I1066"/>
      <c r="J1066"/>
      <c r="K1066"/>
      <c r="L1066"/>
      <c r="M1066"/>
      <c r="N1066"/>
      <c r="O1066"/>
      <c r="P1066"/>
      <c r="Q1066"/>
      <c r="R1066"/>
      <c r="S1066"/>
    </row>
    <row r="1067" spans="1:19" ht="15">
      <c r="A1067"/>
      <c r="B1067"/>
      <c r="C1067"/>
      <c r="D1067"/>
      <c r="E1067"/>
      <c r="F1067"/>
      <c r="G1067"/>
      <c r="H1067"/>
      <c r="I1067"/>
      <c r="J1067"/>
      <c r="K1067"/>
      <c r="L1067"/>
      <c r="M1067"/>
      <c r="N1067"/>
      <c r="O1067"/>
      <c r="P1067"/>
      <c r="Q1067"/>
      <c r="R1067"/>
      <c r="S1067"/>
    </row>
    <row r="1068" spans="1:19" ht="15">
      <c r="A1068"/>
      <c r="B1068"/>
      <c r="C1068"/>
      <c r="D1068"/>
      <c r="E1068"/>
      <c r="F1068"/>
      <c r="G1068"/>
      <c r="H1068"/>
      <c r="I1068"/>
      <c r="J1068"/>
      <c r="K1068"/>
      <c r="L1068"/>
      <c r="M1068"/>
      <c r="N1068"/>
      <c r="O1068"/>
      <c r="P1068"/>
      <c r="Q1068"/>
      <c r="R1068"/>
      <c r="S1068"/>
    </row>
    <row r="1069" spans="1:19" ht="15">
      <c r="A1069"/>
      <c r="B1069"/>
      <c r="C1069"/>
      <c r="D1069"/>
      <c r="E1069"/>
      <c r="F1069"/>
      <c r="G1069"/>
      <c r="H1069"/>
      <c r="I1069"/>
      <c r="J1069"/>
      <c r="K1069"/>
      <c r="L1069"/>
      <c r="M1069"/>
      <c r="N1069"/>
      <c r="O1069"/>
      <c r="P1069"/>
      <c r="Q1069"/>
      <c r="R1069"/>
      <c r="S1069"/>
    </row>
    <row r="1070" spans="1:19" ht="15">
      <c r="A1070"/>
      <c r="B1070"/>
      <c r="C1070"/>
      <c r="D1070"/>
      <c r="E1070"/>
      <c r="F1070"/>
      <c r="G1070"/>
      <c r="H1070"/>
      <c r="I1070"/>
      <c r="J1070"/>
      <c r="K1070"/>
      <c r="L1070"/>
      <c r="M1070"/>
      <c r="N1070"/>
      <c r="O1070"/>
      <c r="P1070"/>
      <c r="Q1070"/>
      <c r="R1070"/>
      <c r="S1070"/>
    </row>
    <row r="1071" spans="1:19" ht="15">
      <c r="A1071"/>
      <c r="B1071"/>
      <c r="C1071"/>
      <c r="D1071"/>
      <c r="E1071"/>
      <c r="F1071"/>
      <c r="G1071"/>
      <c r="H1071"/>
      <c r="I1071"/>
      <c r="J1071"/>
      <c r="K1071"/>
      <c r="L1071"/>
      <c r="M1071"/>
      <c r="N1071"/>
      <c r="O1071"/>
      <c r="P1071"/>
      <c r="Q1071"/>
      <c r="R1071"/>
      <c r="S1071"/>
    </row>
    <row r="1072" spans="1:19" ht="15">
      <c r="A1072"/>
      <c r="B1072"/>
      <c r="C1072"/>
      <c r="D1072"/>
      <c r="E1072"/>
      <c r="F1072"/>
      <c r="G1072"/>
      <c r="H1072"/>
      <c r="I1072"/>
      <c r="J1072"/>
      <c r="K1072"/>
      <c r="L1072"/>
      <c r="M1072"/>
      <c r="N1072"/>
      <c r="O1072"/>
      <c r="P1072"/>
      <c r="Q1072"/>
      <c r="R1072"/>
      <c r="S1072"/>
    </row>
    <row r="1073" spans="1:19" ht="15">
      <c r="A1073"/>
      <c r="B1073"/>
      <c r="C1073"/>
      <c r="D1073"/>
      <c r="E1073"/>
      <c r="F1073"/>
      <c r="G1073"/>
      <c r="H1073"/>
      <c r="I1073"/>
      <c r="J1073"/>
      <c r="K1073"/>
      <c r="L1073"/>
      <c r="M1073"/>
      <c r="N1073"/>
      <c r="O1073"/>
      <c r="P1073"/>
      <c r="Q1073"/>
      <c r="R1073"/>
      <c r="S1073"/>
    </row>
    <row r="1074" spans="1:19" ht="15">
      <c r="A1074"/>
      <c r="B1074"/>
      <c r="C1074"/>
      <c r="D1074"/>
      <c r="E1074"/>
      <c r="F1074"/>
      <c r="G1074"/>
      <c r="H1074"/>
      <c r="I1074"/>
      <c r="J1074"/>
      <c r="K1074"/>
      <c r="L1074"/>
      <c r="M1074"/>
      <c r="N1074"/>
      <c r="O1074"/>
      <c r="P1074"/>
      <c r="Q1074"/>
      <c r="R1074"/>
      <c r="S1074"/>
    </row>
    <row r="1075" spans="1:19" ht="15">
      <c r="A1075"/>
      <c r="B1075"/>
      <c r="C1075"/>
      <c r="D1075"/>
      <c r="E1075"/>
      <c r="F1075"/>
      <c r="G1075"/>
      <c r="H1075"/>
      <c r="I1075"/>
      <c r="J1075"/>
      <c r="K1075"/>
      <c r="L1075"/>
      <c r="M1075"/>
      <c r="N1075"/>
      <c r="O1075"/>
      <c r="P1075"/>
      <c r="Q1075"/>
      <c r="R1075"/>
      <c r="S1075"/>
    </row>
    <row r="1076" spans="1:19" ht="15">
      <c r="A1076"/>
      <c r="B1076"/>
      <c r="C1076"/>
      <c r="D1076"/>
      <c r="E1076"/>
      <c r="F1076"/>
      <c r="G1076"/>
      <c r="H1076"/>
      <c r="I1076"/>
      <c r="J1076"/>
      <c r="K1076"/>
      <c r="L1076"/>
      <c r="M1076"/>
      <c r="N1076"/>
      <c r="O1076"/>
      <c r="P1076"/>
      <c r="Q1076"/>
      <c r="R1076"/>
      <c r="S1076"/>
    </row>
    <row r="1077" spans="1:19" ht="15">
      <c r="A1077"/>
      <c r="B1077"/>
      <c r="C1077"/>
      <c r="D1077"/>
      <c r="E1077"/>
      <c r="F1077"/>
      <c r="G1077"/>
      <c r="H1077"/>
      <c r="I1077"/>
      <c r="J1077"/>
      <c r="K1077"/>
      <c r="L1077"/>
      <c r="M1077"/>
      <c r="N1077"/>
      <c r="O1077"/>
      <c r="P1077"/>
      <c r="Q1077"/>
      <c r="R1077"/>
      <c r="S1077"/>
    </row>
    <row r="1078" spans="1:19" ht="15">
      <c r="A1078"/>
      <c r="B1078"/>
      <c r="C1078"/>
      <c r="D1078"/>
      <c r="E1078"/>
      <c r="F1078"/>
      <c r="G1078"/>
      <c r="H1078"/>
      <c r="I1078"/>
      <c r="J1078"/>
      <c r="K1078"/>
      <c r="L1078"/>
      <c r="M1078"/>
      <c r="N1078"/>
      <c r="O1078"/>
      <c r="P1078"/>
      <c r="Q1078"/>
      <c r="R1078"/>
      <c r="S1078"/>
    </row>
    <row r="1079" spans="1:19" ht="15">
      <c r="A1079"/>
      <c r="B1079"/>
      <c r="C1079"/>
      <c r="D1079"/>
      <c r="E1079"/>
      <c r="F1079"/>
      <c r="G1079"/>
      <c r="H1079"/>
      <c r="I1079"/>
      <c r="J1079"/>
      <c r="K1079"/>
      <c r="L1079"/>
      <c r="M1079"/>
      <c r="N1079"/>
      <c r="O1079"/>
      <c r="P1079"/>
      <c r="Q1079"/>
      <c r="R1079"/>
      <c r="S1079"/>
    </row>
    <row r="1080" spans="1:19" ht="15">
      <c r="A1080"/>
      <c r="B1080"/>
      <c r="C1080"/>
      <c r="D1080"/>
      <c r="E1080"/>
      <c r="F1080"/>
      <c r="G1080"/>
      <c r="H1080"/>
      <c r="I1080"/>
      <c r="J1080"/>
      <c r="K1080"/>
      <c r="L1080"/>
      <c r="M1080"/>
      <c r="N1080"/>
      <c r="O1080"/>
      <c r="P1080"/>
      <c r="Q1080"/>
      <c r="R1080"/>
      <c r="S1080"/>
    </row>
    <row r="1081" spans="1:19" ht="15">
      <c r="A1081"/>
      <c r="B1081"/>
      <c r="C1081"/>
      <c r="D1081"/>
      <c r="E1081"/>
      <c r="F1081"/>
      <c r="G1081"/>
      <c r="H1081"/>
      <c r="I1081"/>
      <c r="J1081"/>
      <c r="K1081"/>
      <c r="L1081"/>
      <c r="M1081"/>
      <c r="N1081"/>
      <c r="O1081"/>
      <c r="P1081"/>
      <c r="Q1081"/>
      <c r="R1081"/>
      <c r="S1081"/>
    </row>
    <row r="1082" spans="1:19" ht="15">
      <c r="A1082"/>
      <c r="B1082"/>
      <c r="C1082"/>
      <c r="D1082"/>
      <c r="E1082"/>
      <c r="F1082"/>
      <c r="G1082"/>
      <c r="H1082"/>
      <c r="I1082"/>
      <c r="J1082"/>
      <c r="K1082"/>
      <c r="L1082"/>
      <c r="M1082"/>
      <c r="N1082"/>
      <c r="O1082"/>
      <c r="P1082"/>
      <c r="Q1082"/>
      <c r="R1082"/>
      <c r="S1082"/>
    </row>
    <row r="1083" spans="1:19" ht="15">
      <c r="A1083"/>
      <c r="B1083"/>
      <c r="C1083"/>
      <c r="D1083"/>
      <c r="E1083"/>
      <c r="F1083"/>
      <c r="G1083"/>
      <c r="H1083"/>
      <c r="I1083"/>
      <c r="J1083"/>
      <c r="K1083"/>
      <c r="L1083"/>
      <c r="M1083"/>
      <c r="N1083"/>
      <c r="O1083"/>
      <c r="P1083"/>
      <c r="Q1083"/>
      <c r="R1083"/>
      <c r="S1083"/>
    </row>
    <row r="1084" spans="1:19" ht="15">
      <c r="A1084"/>
      <c r="B1084"/>
      <c r="C1084"/>
      <c r="D1084"/>
      <c r="E1084"/>
      <c r="F1084"/>
      <c r="G1084"/>
      <c r="H1084"/>
      <c r="I1084"/>
      <c r="J1084"/>
      <c r="K1084"/>
      <c r="L1084"/>
      <c r="M1084"/>
      <c r="N1084"/>
      <c r="O1084"/>
      <c r="P1084"/>
      <c r="Q1084"/>
      <c r="R1084"/>
      <c r="S1084"/>
    </row>
    <row r="1085" spans="1:19" ht="15">
      <c r="A1085"/>
      <c r="B1085"/>
      <c r="C1085"/>
      <c r="D1085"/>
      <c r="E1085"/>
      <c r="F1085"/>
      <c r="G1085"/>
      <c r="H1085"/>
      <c r="I1085"/>
      <c r="J1085"/>
      <c r="K1085"/>
      <c r="L1085"/>
      <c r="M1085"/>
      <c r="N1085"/>
      <c r="O1085"/>
      <c r="P1085"/>
      <c r="Q1085"/>
      <c r="R1085"/>
      <c r="S1085"/>
    </row>
    <row r="1086" spans="1:19" ht="15">
      <c r="A1086"/>
      <c r="B1086"/>
      <c r="C1086"/>
      <c r="D1086"/>
      <c r="E1086"/>
      <c r="F1086"/>
      <c r="G1086"/>
      <c r="H1086"/>
      <c r="I1086"/>
      <c r="J1086"/>
      <c r="K1086"/>
      <c r="L1086"/>
      <c r="M1086"/>
      <c r="N1086"/>
      <c r="O1086"/>
      <c r="P1086"/>
      <c r="Q1086"/>
      <c r="R1086"/>
      <c r="S1086"/>
    </row>
    <row r="1087" spans="1:19" ht="15">
      <c r="A1087"/>
      <c r="B1087"/>
      <c r="C1087"/>
      <c r="D1087"/>
      <c r="E1087"/>
      <c r="F1087"/>
      <c r="G1087"/>
      <c r="H1087"/>
      <c r="I1087"/>
      <c r="J1087"/>
      <c r="K1087"/>
      <c r="L1087"/>
      <c r="M1087"/>
      <c r="N1087"/>
      <c r="O1087"/>
      <c r="P1087"/>
      <c r="Q1087"/>
      <c r="R1087"/>
      <c r="S1087"/>
    </row>
    <row r="1088" spans="1:19" ht="15">
      <c r="A1088"/>
      <c r="B1088"/>
      <c r="C1088"/>
      <c r="D1088"/>
      <c r="E1088"/>
      <c r="F1088"/>
      <c r="G1088"/>
      <c r="H1088"/>
      <c r="I1088"/>
      <c r="J1088"/>
      <c r="K1088"/>
      <c r="L1088"/>
      <c r="M1088"/>
      <c r="N1088"/>
      <c r="O1088"/>
      <c r="P1088"/>
      <c r="Q1088"/>
      <c r="R1088"/>
      <c r="S1088"/>
    </row>
    <row r="1089" spans="1:19" ht="15">
      <c r="A1089"/>
      <c r="B1089"/>
      <c r="C1089"/>
      <c r="D1089"/>
      <c r="E1089"/>
      <c r="F1089"/>
      <c r="G1089"/>
      <c r="H1089"/>
      <c r="I1089"/>
      <c r="J1089"/>
      <c r="K1089"/>
      <c r="L1089"/>
      <c r="M1089"/>
      <c r="N1089"/>
      <c r="O1089"/>
      <c r="P1089"/>
      <c r="Q1089"/>
      <c r="R1089"/>
      <c r="S1089"/>
    </row>
    <row r="1090" spans="1:19" ht="15">
      <c r="A1090"/>
      <c r="B1090"/>
      <c r="C1090"/>
      <c r="D1090"/>
      <c r="E1090"/>
      <c r="F1090"/>
      <c r="G1090"/>
      <c r="H1090"/>
      <c r="I1090"/>
      <c r="J1090"/>
      <c r="K1090"/>
      <c r="L1090"/>
      <c r="M1090"/>
      <c r="N1090"/>
      <c r="O1090"/>
      <c r="P1090"/>
      <c r="Q1090"/>
      <c r="R1090"/>
      <c r="S1090"/>
    </row>
    <row r="1091" spans="1:19" ht="15">
      <c r="A1091"/>
      <c r="B1091"/>
      <c r="C1091"/>
      <c r="D1091"/>
      <c r="E1091"/>
      <c r="F1091"/>
      <c r="G1091"/>
      <c r="H1091"/>
      <c r="I1091"/>
      <c r="J1091"/>
      <c r="K1091"/>
      <c r="L1091"/>
      <c r="M1091"/>
      <c r="N1091"/>
      <c r="O1091"/>
      <c r="P1091"/>
      <c r="Q1091"/>
      <c r="R1091"/>
      <c r="S1091"/>
    </row>
    <row r="1092" spans="1:19" ht="15">
      <c r="A1092"/>
      <c r="B1092"/>
      <c r="C1092"/>
      <c r="D1092"/>
      <c r="E1092"/>
      <c r="F1092"/>
      <c r="G1092"/>
      <c r="H1092"/>
      <c r="I1092"/>
      <c r="J1092"/>
      <c r="K1092"/>
      <c r="L1092"/>
      <c r="M1092"/>
      <c r="N1092"/>
      <c r="O1092"/>
      <c r="P1092"/>
      <c r="Q1092"/>
      <c r="R1092"/>
      <c r="S1092"/>
    </row>
    <row r="1093" spans="1:19" ht="15">
      <c r="A1093"/>
      <c r="B1093"/>
      <c r="C1093"/>
      <c r="D1093"/>
      <c r="E1093"/>
      <c r="F1093"/>
      <c r="G1093"/>
      <c r="H1093"/>
      <c r="I1093"/>
      <c r="J1093"/>
      <c r="K1093"/>
      <c r="L1093"/>
      <c r="M1093"/>
      <c r="N1093"/>
      <c r="O1093"/>
      <c r="P1093"/>
      <c r="Q1093"/>
      <c r="R1093"/>
      <c r="S1093"/>
    </row>
    <row r="1094" spans="1:19" ht="15">
      <c r="A1094"/>
      <c r="B1094"/>
      <c r="C1094"/>
      <c r="D1094"/>
      <c r="E1094"/>
      <c r="F1094"/>
      <c r="G1094"/>
      <c r="H1094"/>
      <c r="I1094"/>
      <c r="J1094"/>
      <c r="K1094"/>
      <c r="L1094"/>
      <c r="M1094"/>
      <c r="N1094"/>
      <c r="O1094"/>
      <c r="P1094"/>
      <c r="Q1094"/>
      <c r="R1094"/>
      <c r="S1094"/>
    </row>
    <row r="1095" spans="1:19" ht="15">
      <c r="A1095"/>
      <c r="B1095"/>
      <c r="C1095"/>
      <c r="D1095"/>
      <c r="E1095"/>
      <c r="F1095"/>
      <c r="G1095"/>
      <c r="H1095"/>
      <c r="I1095"/>
      <c r="J1095"/>
      <c r="K1095"/>
      <c r="L1095"/>
      <c r="M1095"/>
      <c r="N1095"/>
      <c r="O1095"/>
      <c r="P1095"/>
      <c r="Q1095"/>
      <c r="R1095"/>
      <c r="S1095"/>
    </row>
    <row r="1096" spans="1:19" ht="15">
      <c r="A1096"/>
      <c r="B1096"/>
      <c r="C1096"/>
      <c r="D1096"/>
      <c r="E1096"/>
      <c r="F1096"/>
      <c r="G1096"/>
      <c r="H1096"/>
      <c r="I1096"/>
      <c r="J1096"/>
      <c r="K1096"/>
      <c r="L1096"/>
      <c r="M1096"/>
      <c r="N1096"/>
      <c r="O1096"/>
      <c r="P1096"/>
      <c r="Q1096"/>
      <c r="R1096"/>
      <c r="S1096"/>
    </row>
    <row r="1097" spans="1:19" ht="15">
      <c r="A1097"/>
      <c r="B1097"/>
      <c r="C1097"/>
      <c r="D1097"/>
      <c r="E1097"/>
      <c r="F1097"/>
      <c r="G1097"/>
      <c r="H1097"/>
      <c r="I1097"/>
      <c r="J1097"/>
      <c r="K1097"/>
      <c r="L1097"/>
      <c r="M1097"/>
      <c r="N1097"/>
      <c r="O1097"/>
      <c r="P1097"/>
      <c r="Q1097"/>
      <c r="R1097"/>
      <c r="S1097"/>
    </row>
    <row r="1098" spans="1:19" ht="15">
      <c r="A1098"/>
      <c r="B1098"/>
      <c r="C1098"/>
      <c r="D1098"/>
      <c r="E1098"/>
      <c r="F1098"/>
      <c r="G1098"/>
      <c r="H1098"/>
      <c r="I1098"/>
      <c r="J1098"/>
      <c r="K1098"/>
      <c r="L1098"/>
      <c r="M1098"/>
      <c r="N1098"/>
      <c r="O1098"/>
      <c r="P1098"/>
      <c r="Q1098"/>
      <c r="R1098"/>
      <c r="S1098"/>
    </row>
    <row r="1099" spans="1:19" ht="15">
      <c r="A1099"/>
      <c r="B1099"/>
      <c r="C1099"/>
      <c r="D1099"/>
      <c r="E1099"/>
      <c r="F1099"/>
      <c r="G1099"/>
      <c r="H1099"/>
      <c r="I1099"/>
      <c r="J1099"/>
      <c r="K1099"/>
      <c r="L1099"/>
      <c r="M1099"/>
      <c r="N1099"/>
      <c r="O1099"/>
      <c r="P1099"/>
      <c r="Q1099"/>
      <c r="R1099"/>
      <c r="S1099"/>
    </row>
    <row r="1100" spans="1:19" ht="15">
      <c r="A1100"/>
      <c r="B1100"/>
      <c r="C1100"/>
      <c r="D1100"/>
      <c r="E1100"/>
      <c r="F1100"/>
      <c r="G1100"/>
      <c r="H1100"/>
      <c r="I1100"/>
      <c r="J1100"/>
      <c r="K1100"/>
      <c r="L1100"/>
      <c r="M1100"/>
      <c r="N1100"/>
      <c r="O1100"/>
      <c r="P1100"/>
      <c r="Q1100"/>
      <c r="R1100"/>
      <c r="S1100"/>
    </row>
    <row r="1101" spans="1:19" ht="15">
      <c r="A1101"/>
      <c r="B1101"/>
      <c r="C1101"/>
      <c r="D1101"/>
      <c r="E1101"/>
      <c r="F1101"/>
      <c r="G1101"/>
      <c r="H1101"/>
      <c r="I1101"/>
      <c r="J1101"/>
      <c r="K1101"/>
      <c r="L1101"/>
      <c r="M1101"/>
      <c r="N1101"/>
      <c r="O1101"/>
      <c r="P1101"/>
      <c r="Q1101"/>
      <c r="R1101"/>
      <c r="S1101"/>
    </row>
    <row r="1102" spans="1:19" ht="15">
      <c r="A1102"/>
      <c r="B1102"/>
      <c r="C1102"/>
      <c r="D1102"/>
      <c r="E1102"/>
      <c r="F1102"/>
      <c r="G1102"/>
      <c r="H1102"/>
      <c r="I1102"/>
      <c r="J1102"/>
      <c r="K1102"/>
      <c r="L1102"/>
      <c r="M1102"/>
      <c r="N1102"/>
      <c r="O1102"/>
      <c r="P1102"/>
      <c r="Q1102"/>
      <c r="R1102"/>
      <c r="S1102"/>
    </row>
    <row r="1103" spans="1:19" ht="15">
      <c r="A1103"/>
      <c r="B1103"/>
      <c r="C1103"/>
      <c r="D1103"/>
      <c r="E1103"/>
      <c r="F1103"/>
      <c r="G1103"/>
      <c r="H1103"/>
      <c r="I1103"/>
      <c r="J1103"/>
      <c r="K1103"/>
      <c r="L1103"/>
      <c r="M1103"/>
      <c r="N1103"/>
      <c r="O1103"/>
      <c r="P1103"/>
      <c r="Q1103"/>
      <c r="R1103"/>
      <c r="S1103"/>
    </row>
    <row r="1104" spans="1:19" ht="15">
      <c r="A1104"/>
      <c r="B1104"/>
      <c r="C1104"/>
      <c r="D1104"/>
      <c r="E1104"/>
      <c r="F1104"/>
      <c r="G1104"/>
      <c r="H1104"/>
      <c r="I1104"/>
      <c r="J1104"/>
      <c r="K1104"/>
      <c r="L1104"/>
      <c r="M1104"/>
      <c r="N1104"/>
      <c r="O1104"/>
      <c r="P1104"/>
      <c r="Q1104"/>
      <c r="R1104"/>
      <c r="S1104"/>
    </row>
    <row r="1105" spans="1:19" ht="15">
      <c r="A1105"/>
      <c r="B1105"/>
      <c r="C1105"/>
      <c r="D1105"/>
      <c r="E1105"/>
      <c r="F1105"/>
      <c r="G1105"/>
      <c r="H1105"/>
      <c r="I1105"/>
      <c r="J1105"/>
      <c r="K1105"/>
      <c r="L1105"/>
      <c r="M1105"/>
      <c r="N1105"/>
      <c r="O1105"/>
      <c r="P1105"/>
      <c r="Q1105"/>
      <c r="R1105"/>
      <c r="S1105"/>
    </row>
    <row r="1106" spans="1:19" ht="15">
      <c r="A1106"/>
      <c r="B1106"/>
      <c r="C1106"/>
      <c r="D1106"/>
      <c r="E1106"/>
      <c r="F1106"/>
      <c r="G1106"/>
      <c r="H1106"/>
      <c r="I1106"/>
      <c r="J1106"/>
      <c r="K1106"/>
      <c r="L1106"/>
      <c r="M1106"/>
      <c r="N1106"/>
      <c r="O1106"/>
      <c r="P1106"/>
      <c r="Q1106"/>
      <c r="R1106"/>
      <c r="S1106"/>
    </row>
    <row r="1107" spans="1:19" ht="15">
      <c r="A1107"/>
      <c r="B1107"/>
      <c r="C1107"/>
      <c r="D1107"/>
      <c r="E1107"/>
      <c r="F1107"/>
      <c r="G1107"/>
      <c r="H1107"/>
      <c r="I1107"/>
      <c r="J1107"/>
      <c r="K1107"/>
      <c r="L1107"/>
      <c r="M1107"/>
      <c r="N1107"/>
      <c r="O1107"/>
      <c r="P1107"/>
      <c r="Q1107"/>
      <c r="R1107"/>
      <c r="S1107"/>
    </row>
    <row r="1108" spans="1:19" ht="15">
      <c r="A1108"/>
      <c r="B1108"/>
      <c r="C1108"/>
      <c r="D1108"/>
      <c r="E1108"/>
      <c r="F1108"/>
      <c r="G1108"/>
      <c r="H1108"/>
      <c r="I1108"/>
      <c r="J1108"/>
      <c r="K1108"/>
      <c r="L1108"/>
      <c r="M1108"/>
      <c r="N1108"/>
      <c r="O1108"/>
      <c r="P1108"/>
      <c r="Q1108"/>
      <c r="R1108"/>
      <c r="S1108"/>
    </row>
    <row r="1109" spans="1:19" ht="15">
      <c r="A1109"/>
      <c r="B1109"/>
      <c r="C1109"/>
      <c r="D1109"/>
      <c r="E1109"/>
      <c r="F1109"/>
      <c r="G1109"/>
      <c r="H1109"/>
      <c r="I1109"/>
      <c r="J1109"/>
      <c r="K1109"/>
      <c r="L1109"/>
      <c r="M1109"/>
      <c r="N1109"/>
      <c r="O1109"/>
      <c r="P1109"/>
      <c r="Q1109"/>
      <c r="R1109"/>
      <c r="S1109"/>
    </row>
    <row r="1110" spans="1:19" ht="15">
      <c r="A1110"/>
      <c r="B1110"/>
      <c r="C1110"/>
      <c r="D1110"/>
      <c r="E1110"/>
      <c r="F1110"/>
      <c r="G1110"/>
      <c r="H1110"/>
      <c r="I1110"/>
      <c r="J1110"/>
      <c r="K1110"/>
      <c r="L1110"/>
      <c r="M1110"/>
      <c r="N1110"/>
      <c r="O1110"/>
      <c r="P1110"/>
      <c r="Q1110"/>
      <c r="R1110"/>
      <c r="S1110"/>
    </row>
    <row r="1111" spans="1:19" ht="15">
      <c r="A1111"/>
      <c r="B1111"/>
      <c r="C1111"/>
      <c r="D1111"/>
      <c r="E1111"/>
      <c r="F1111"/>
      <c r="G1111"/>
      <c r="H1111"/>
      <c r="I1111"/>
      <c r="J1111"/>
      <c r="K1111"/>
      <c r="L1111"/>
      <c r="M1111"/>
      <c r="N1111"/>
      <c r="O1111"/>
      <c r="P1111"/>
      <c r="Q1111"/>
      <c r="R1111"/>
      <c r="S1111"/>
    </row>
    <row r="1112" spans="1:19" ht="15">
      <c r="A1112"/>
      <c r="B1112"/>
      <c r="C1112"/>
      <c r="D1112"/>
      <c r="E1112"/>
      <c r="F1112"/>
      <c r="G1112"/>
      <c r="H1112"/>
      <c r="I1112"/>
      <c r="J1112"/>
      <c r="K1112"/>
      <c r="L1112"/>
      <c r="M1112"/>
      <c r="N1112"/>
      <c r="O1112"/>
      <c r="P1112"/>
      <c r="Q1112"/>
      <c r="R1112"/>
      <c r="S1112"/>
    </row>
    <row r="1113" spans="1:19" ht="15">
      <c r="A1113"/>
      <c r="B1113"/>
      <c r="C1113"/>
      <c r="D1113"/>
      <c r="E1113"/>
      <c r="F1113"/>
      <c r="G1113"/>
      <c r="H1113"/>
      <c r="I1113"/>
      <c r="J1113"/>
      <c r="K1113"/>
      <c r="L1113"/>
      <c r="M1113"/>
      <c r="N1113"/>
      <c r="O1113"/>
      <c r="P1113"/>
      <c r="Q1113"/>
      <c r="R1113"/>
      <c r="S1113"/>
    </row>
    <row r="1114" spans="1:19" ht="15">
      <c r="A1114"/>
      <c r="B1114"/>
      <c r="C1114"/>
      <c r="D1114"/>
      <c r="E1114"/>
      <c r="F1114"/>
      <c r="G1114"/>
      <c r="H1114"/>
      <c r="I1114"/>
      <c r="J1114"/>
      <c r="K1114"/>
      <c r="L1114"/>
      <c r="M1114"/>
      <c r="N1114"/>
      <c r="O1114"/>
      <c r="P1114"/>
      <c r="Q1114"/>
      <c r="R1114"/>
      <c r="S1114"/>
    </row>
    <row r="1115" spans="1:19" ht="15">
      <c r="A1115"/>
      <c r="B1115"/>
      <c r="C1115"/>
      <c r="D1115"/>
      <c r="E1115"/>
      <c r="F1115"/>
      <c r="G1115"/>
      <c r="H1115"/>
      <c r="I1115"/>
      <c r="J1115"/>
      <c r="K1115"/>
      <c r="L1115"/>
      <c r="M1115"/>
      <c r="N1115"/>
      <c r="O1115"/>
      <c r="P1115"/>
      <c r="Q1115"/>
      <c r="R1115"/>
      <c r="S1115"/>
    </row>
    <row r="1116" spans="1:19" ht="15">
      <c r="A1116"/>
      <c r="B1116"/>
      <c r="C1116"/>
      <c r="D1116"/>
      <c r="E1116"/>
      <c r="F1116"/>
      <c r="G1116"/>
      <c r="H1116"/>
      <c r="I1116"/>
      <c r="J1116"/>
      <c r="K1116"/>
      <c r="L1116"/>
      <c r="M1116"/>
      <c r="N1116"/>
      <c r="O1116"/>
      <c r="P1116"/>
      <c r="Q1116"/>
      <c r="R1116"/>
      <c r="S1116"/>
    </row>
    <row r="1117" spans="1:19" ht="15">
      <c r="A1117"/>
      <c r="B1117"/>
      <c r="C1117"/>
      <c r="D1117"/>
      <c r="E1117"/>
      <c r="F1117"/>
      <c r="G1117"/>
      <c r="H1117"/>
      <c r="I1117"/>
      <c r="J1117"/>
      <c r="K1117"/>
      <c r="L1117"/>
      <c r="M1117"/>
      <c r="N1117"/>
      <c r="O1117"/>
      <c r="P1117"/>
      <c r="Q1117"/>
      <c r="R1117"/>
      <c r="S1117"/>
    </row>
    <row r="1118" spans="1:19" ht="15">
      <c r="A1118"/>
      <c r="B1118"/>
      <c r="C1118"/>
      <c r="D1118"/>
      <c r="E1118"/>
      <c r="F1118"/>
      <c r="G1118"/>
      <c r="H1118"/>
      <c r="I1118"/>
      <c r="J1118"/>
      <c r="K1118"/>
      <c r="L1118"/>
      <c r="M1118"/>
      <c r="N1118"/>
      <c r="O1118"/>
      <c r="P1118"/>
      <c r="Q1118"/>
      <c r="R1118"/>
      <c r="S1118"/>
    </row>
    <row r="1119" spans="1:19" ht="15">
      <c r="A1119"/>
      <c r="B1119"/>
      <c r="C1119"/>
      <c r="D1119"/>
      <c r="E1119"/>
      <c r="F1119"/>
      <c r="G1119"/>
      <c r="H1119"/>
      <c r="I1119"/>
      <c r="J1119"/>
      <c r="K1119"/>
      <c r="L1119"/>
      <c r="M1119"/>
      <c r="N1119"/>
      <c r="O1119"/>
      <c r="P1119"/>
      <c r="Q1119"/>
      <c r="R1119"/>
      <c r="S1119"/>
    </row>
    <row r="1120" spans="1:19" ht="15">
      <c r="A1120"/>
      <c r="B1120"/>
      <c r="C1120"/>
      <c r="D1120"/>
      <c r="E1120"/>
      <c r="F1120"/>
      <c r="G1120"/>
      <c r="H1120"/>
      <c r="I1120"/>
      <c r="J1120"/>
      <c r="K1120"/>
      <c r="L1120"/>
      <c r="M1120"/>
      <c r="N1120"/>
      <c r="O1120"/>
      <c r="P1120"/>
      <c r="Q1120"/>
      <c r="R1120"/>
      <c r="S1120"/>
    </row>
    <row r="1121" spans="1:19" ht="15">
      <c r="A1121"/>
      <c r="B1121"/>
      <c r="C1121"/>
      <c r="D1121"/>
      <c r="E1121"/>
      <c r="F1121"/>
      <c r="G1121"/>
      <c r="H1121"/>
      <c r="I1121"/>
      <c r="J1121"/>
      <c r="K1121"/>
      <c r="L1121"/>
      <c r="M1121"/>
      <c r="N1121"/>
      <c r="O1121"/>
      <c r="P1121"/>
      <c r="Q1121"/>
      <c r="R1121"/>
      <c r="S1121"/>
    </row>
    <row r="1122" spans="1:19" ht="15">
      <c r="A1122"/>
      <c r="B1122"/>
      <c r="C1122"/>
      <c r="D1122"/>
      <c r="E1122"/>
      <c r="F1122"/>
      <c r="G1122"/>
      <c r="H1122"/>
      <c r="I1122"/>
      <c r="J1122"/>
      <c r="K1122"/>
      <c r="L1122"/>
      <c r="M1122"/>
      <c r="N1122"/>
      <c r="O1122"/>
      <c r="P1122"/>
      <c r="Q1122"/>
      <c r="R1122"/>
      <c r="S1122"/>
    </row>
    <row r="1123" spans="1:19" ht="15">
      <c r="A1123"/>
      <c r="B1123"/>
      <c r="C1123"/>
      <c r="D1123"/>
      <c r="E1123"/>
      <c r="F1123"/>
      <c r="G1123"/>
      <c r="H1123"/>
      <c r="I1123"/>
      <c r="J1123"/>
      <c r="K1123"/>
      <c r="L1123"/>
      <c r="M1123"/>
      <c r="N1123"/>
      <c r="O1123"/>
      <c r="P1123"/>
      <c r="Q1123"/>
      <c r="R1123"/>
      <c r="S1123"/>
    </row>
    <row r="1124" spans="1:19" ht="15">
      <c r="A1124"/>
      <c r="B1124"/>
      <c r="C1124"/>
      <c r="D1124"/>
      <c r="E1124"/>
      <c r="F1124"/>
      <c r="G1124"/>
      <c r="H1124"/>
      <c r="I1124"/>
      <c r="J1124"/>
      <c r="K1124"/>
      <c r="L1124"/>
      <c r="M1124"/>
      <c r="N1124"/>
      <c r="O1124"/>
      <c r="P1124"/>
      <c r="Q1124"/>
      <c r="R1124"/>
      <c r="S1124"/>
    </row>
    <row r="1125" spans="1:19" ht="15">
      <c r="A1125"/>
      <c r="B1125"/>
      <c r="C1125"/>
      <c r="D1125"/>
      <c r="E1125"/>
      <c r="F1125"/>
      <c r="G1125"/>
      <c r="H1125"/>
      <c r="I1125"/>
      <c r="J1125"/>
      <c r="K1125"/>
      <c r="L1125"/>
      <c r="M1125"/>
      <c r="N1125"/>
      <c r="O1125"/>
      <c r="P1125"/>
      <c r="Q1125"/>
      <c r="R1125"/>
      <c r="S1125"/>
    </row>
    <row r="1126" spans="1:19" ht="15">
      <c r="A1126"/>
      <c r="B1126"/>
      <c r="C1126"/>
      <c r="D1126"/>
      <c r="E1126"/>
      <c r="F1126"/>
      <c r="G1126"/>
      <c r="H1126"/>
      <c r="I1126"/>
      <c r="J1126"/>
      <c r="K1126"/>
      <c r="L1126"/>
      <c r="M1126"/>
      <c r="N1126"/>
      <c r="O1126"/>
      <c r="P1126"/>
      <c r="Q1126"/>
      <c r="R1126"/>
      <c r="S1126"/>
    </row>
    <row r="1127" spans="1:19" ht="15">
      <c r="A1127"/>
      <c r="B1127"/>
      <c r="C1127"/>
      <c r="D1127"/>
      <c r="E1127"/>
      <c r="F1127"/>
      <c r="G1127"/>
      <c r="H1127"/>
      <c r="I1127"/>
      <c r="J1127"/>
      <c r="K1127"/>
      <c r="L1127"/>
      <c r="M1127"/>
      <c r="N1127"/>
      <c r="O1127"/>
      <c r="P1127"/>
      <c r="Q1127"/>
      <c r="R1127"/>
      <c r="S1127"/>
    </row>
    <row r="1128" spans="1:19" ht="15">
      <c r="A1128"/>
      <c r="B1128"/>
      <c r="C1128"/>
      <c r="D1128"/>
      <c r="E1128"/>
      <c r="F1128"/>
      <c r="G1128"/>
      <c r="H1128"/>
      <c r="I1128"/>
      <c r="J1128"/>
      <c r="K1128"/>
      <c r="L1128"/>
      <c r="M1128"/>
      <c r="N1128"/>
      <c r="O1128"/>
      <c r="P1128"/>
      <c r="Q1128"/>
      <c r="R1128"/>
      <c r="S1128"/>
    </row>
    <row r="1129" spans="1:19" ht="15">
      <c r="A1129"/>
      <c r="B1129"/>
      <c r="C1129"/>
      <c r="D1129"/>
      <c r="E1129"/>
      <c r="F1129"/>
      <c r="G1129"/>
      <c r="H1129"/>
      <c r="I1129"/>
      <c r="J1129"/>
      <c r="K1129"/>
      <c r="L1129"/>
      <c r="M1129"/>
      <c r="N1129"/>
      <c r="O1129"/>
      <c r="P1129"/>
      <c r="Q1129"/>
      <c r="R1129"/>
      <c r="S1129"/>
    </row>
    <row r="1130" spans="1:19" ht="15">
      <c r="A1130"/>
      <c r="B1130"/>
      <c r="C1130"/>
      <c r="D1130"/>
      <c r="E1130"/>
      <c r="F1130"/>
      <c r="G1130"/>
      <c r="H1130"/>
      <c r="I1130"/>
      <c r="J1130"/>
      <c r="K1130"/>
      <c r="L1130"/>
      <c r="M1130"/>
      <c r="N1130"/>
      <c r="O1130"/>
      <c r="P1130"/>
      <c r="Q1130"/>
      <c r="R1130"/>
      <c r="S1130"/>
    </row>
    <row r="1131" spans="1:19" ht="15">
      <c r="A1131"/>
      <c r="B1131"/>
      <c r="C1131"/>
      <c r="D1131"/>
      <c r="E1131"/>
      <c r="F1131"/>
      <c r="G1131"/>
      <c r="H1131"/>
      <c r="I1131"/>
      <c r="J1131"/>
      <c r="K1131"/>
      <c r="L1131"/>
      <c r="M1131"/>
      <c r="N1131"/>
      <c r="O1131"/>
      <c r="P1131"/>
      <c r="Q1131"/>
      <c r="R1131"/>
      <c r="S1131"/>
    </row>
    <row r="1132" spans="1:19" ht="15">
      <c r="A1132"/>
      <c r="B1132"/>
      <c r="C1132"/>
      <c r="D1132"/>
      <c r="E1132"/>
      <c r="F1132"/>
      <c r="G1132"/>
      <c r="H1132"/>
      <c r="I1132"/>
      <c r="J1132"/>
      <c r="K1132"/>
      <c r="L1132"/>
      <c r="M1132"/>
      <c r="N1132"/>
      <c r="O1132"/>
      <c r="P1132"/>
      <c r="Q1132"/>
      <c r="R1132"/>
      <c r="S1132"/>
    </row>
    <row r="1133" spans="1:19" ht="15">
      <c r="A1133"/>
      <c r="B1133"/>
      <c r="C1133"/>
      <c r="D1133"/>
      <c r="E1133"/>
      <c r="F1133"/>
      <c r="G1133"/>
      <c r="H1133"/>
      <c r="I1133"/>
      <c r="J1133"/>
      <c r="K1133"/>
      <c r="L1133"/>
      <c r="M1133"/>
      <c r="N1133"/>
      <c r="O1133"/>
      <c r="P1133"/>
      <c r="Q1133"/>
      <c r="R1133"/>
      <c r="S1133"/>
    </row>
    <row r="1134" spans="1:19" ht="15">
      <c r="A1134"/>
      <c r="B1134"/>
      <c r="C1134"/>
      <c r="D1134"/>
      <c r="E1134"/>
      <c r="F1134"/>
      <c r="G1134"/>
      <c r="H1134"/>
      <c r="I1134"/>
      <c r="J1134"/>
      <c r="K1134"/>
      <c r="L1134"/>
      <c r="M1134"/>
      <c r="N1134"/>
      <c r="O1134"/>
      <c r="P1134"/>
      <c r="Q1134"/>
      <c r="R1134"/>
      <c r="S1134"/>
    </row>
    <row r="1135" spans="1:19" ht="15">
      <c r="A1135"/>
      <c r="B1135"/>
      <c r="C1135"/>
      <c r="D1135"/>
      <c r="E1135"/>
      <c r="F1135"/>
      <c r="G1135"/>
      <c r="H1135"/>
      <c r="I1135"/>
      <c r="J1135"/>
      <c r="K1135"/>
      <c r="L1135"/>
      <c r="M1135"/>
      <c r="N1135"/>
      <c r="O1135"/>
      <c r="P1135"/>
      <c r="Q1135"/>
      <c r="R1135"/>
      <c r="S1135"/>
    </row>
    <row r="1136" spans="1:19" ht="15">
      <c r="A1136"/>
      <c r="B1136"/>
      <c r="C1136"/>
      <c r="D1136"/>
      <c r="E1136"/>
      <c r="F1136"/>
      <c r="G1136"/>
      <c r="H1136"/>
      <c r="I1136"/>
      <c r="J1136"/>
      <c r="K1136"/>
      <c r="L1136"/>
      <c r="M1136"/>
      <c r="N1136"/>
      <c r="O1136"/>
      <c r="P1136"/>
      <c r="Q1136"/>
      <c r="R1136"/>
      <c r="S1136"/>
    </row>
    <row r="1137" spans="1:19" ht="15">
      <c r="A1137"/>
      <c r="B1137"/>
      <c r="C1137"/>
      <c r="D1137"/>
      <c r="E1137"/>
      <c r="F1137"/>
      <c r="G1137"/>
      <c r="H1137"/>
      <c r="I1137"/>
      <c r="J1137"/>
      <c r="K1137"/>
      <c r="L1137"/>
      <c r="M1137"/>
      <c r="N1137"/>
      <c r="O1137"/>
      <c r="P1137"/>
      <c r="Q1137"/>
      <c r="R1137"/>
      <c r="S1137"/>
    </row>
    <row r="1138" spans="1:19" ht="15">
      <c r="A1138"/>
      <c r="B1138"/>
      <c r="C1138"/>
      <c r="D1138"/>
      <c r="E1138"/>
      <c r="F1138"/>
      <c r="G1138"/>
      <c r="H1138"/>
      <c r="I1138"/>
      <c r="J1138"/>
      <c r="K1138"/>
      <c r="L1138"/>
      <c r="M1138"/>
      <c r="N1138"/>
      <c r="O1138"/>
      <c r="P1138"/>
      <c r="Q1138"/>
      <c r="R1138"/>
      <c r="S1138"/>
    </row>
    <row r="1139" spans="1:19" ht="15">
      <c r="A1139"/>
      <c r="B1139"/>
      <c r="C1139"/>
      <c r="D1139"/>
      <c r="E1139"/>
      <c r="F1139"/>
      <c r="G1139"/>
      <c r="H1139"/>
      <c r="I1139"/>
      <c r="J1139"/>
      <c r="K1139"/>
      <c r="L1139"/>
      <c r="M1139"/>
      <c r="N1139"/>
      <c r="O1139"/>
      <c r="P1139"/>
      <c r="Q1139"/>
      <c r="R1139"/>
      <c r="S1139"/>
    </row>
    <row r="1140" spans="1:19" ht="15">
      <c r="A1140"/>
      <c r="B1140"/>
      <c r="C1140"/>
      <c r="D1140"/>
      <c r="E1140"/>
      <c r="F1140"/>
      <c r="G1140"/>
      <c r="H1140"/>
      <c r="I1140"/>
      <c r="J1140"/>
      <c r="K1140"/>
      <c r="L1140"/>
      <c r="M1140"/>
      <c r="N1140"/>
      <c r="O1140"/>
      <c r="P1140"/>
      <c r="Q1140"/>
      <c r="R1140"/>
      <c r="S1140"/>
    </row>
    <row r="1141" spans="1:19" ht="15">
      <c r="A1141"/>
      <c r="B1141"/>
      <c r="C1141"/>
      <c r="D1141"/>
      <c r="E1141"/>
      <c r="F1141"/>
      <c r="G1141"/>
      <c r="H1141"/>
      <c r="I1141"/>
      <c r="J1141"/>
      <c r="K1141"/>
      <c r="L1141"/>
      <c r="M1141"/>
      <c r="N1141"/>
      <c r="O1141"/>
      <c r="P1141"/>
      <c r="Q1141"/>
      <c r="R1141"/>
      <c r="S1141"/>
    </row>
    <row r="1142" spans="1:19" ht="15">
      <c r="A1142"/>
      <c r="B1142"/>
      <c r="C1142"/>
      <c r="D1142"/>
      <c r="E1142"/>
      <c r="F1142"/>
      <c r="G1142"/>
      <c r="H1142"/>
      <c r="I1142"/>
      <c r="J1142"/>
      <c r="K1142"/>
      <c r="L1142"/>
      <c r="M1142"/>
      <c r="N1142"/>
      <c r="O1142"/>
      <c r="P1142"/>
      <c r="Q1142"/>
      <c r="R1142"/>
      <c r="S1142"/>
    </row>
    <row r="1143" spans="1:19" ht="15">
      <c r="A1143"/>
      <c r="B1143"/>
      <c r="C1143"/>
      <c r="D1143"/>
      <c r="E1143"/>
      <c r="F1143"/>
      <c r="G1143"/>
      <c r="H1143"/>
      <c r="I1143"/>
      <c r="J1143"/>
      <c r="K1143"/>
      <c r="L1143"/>
      <c r="M1143"/>
      <c r="N1143"/>
      <c r="O1143"/>
      <c r="P1143"/>
      <c r="Q1143"/>
      <c r="R1143"/>
      <c r="S1143"/>
    </row>
    <row r="1144" spans="1:19" ht="15">
      <c r="A1144"/>
      <c r="B1144"/>
      <c r="C1144"/>
      <c r="D1144"/>
      <c r="E1144"/>
      <c r="F1144"/>
      <c r="G1144"/>
      <c r="H1144"/>
      <c r="I1144"/>
      <c r="J1144"/>
      <c r="K1144"/>
      <c r="L1144"/>
      <c r="M1144"/>
      <c r="N1144"/>
      <c r="O1144"/>
      <c r="P1144"/>
      <c r="Q1144"/>
      <c r="R1144"/>
      <c r="S1144"/>
    </row>
    <row r="1145" spans="1:19" ht="15">
      <c r="A1145"/>
      <c r="B1145"/>
      <c r="C1145"/>
      <c r="D1145"/>
      <c r="E1145"/>
      <c r="F1145"/>
      <c r="G1145"/>
      <c r="H1145"/>
      <c r="I1145"/>
      <c r="J1145"/>
      <c r="K1145"/>
      <c r="L1145"/>
      <c r="M1145"/>
      <c r="N1145"/>
      <c r="O1145"/>
      <c r="P1145"/>
      <c r="Q1145"/>
      <c r="R1145"/>
      <c r="S1145"/>
    </row>
    <row r="1146" spans="1:19" ht="15">
      <c r="A1146"/>
      <c r="B1146"/>
      <c r="C1146"/>
      <c r="D1146"/>
      <c r="E1146"/>
      <c r="F1146"/>
      <c r="G1146"/>
      <c r="H1146"/>
      <c r="I1146"/>
      <c r="J1146"/>
      <c r="K1146"/>
      <c r="L1146"/>
      <c r="M1146"/>
      <c r="N1146"/>
      <c r="O1146"/>
      <c r="P1146"/>
      <c r="Q1146"/>
      <c r="R1146"/>
      <c r="S1146"/>
    </row>
    <row r="1147" spans="1:19" ht="15">
      <c r="A1147"/>
      <c r="B1147"/>
      <c r="C1147"/>
      <c r="D1147"/>
      <c r="E1147"/>
      <c r="F1147"/>
      <c r="G1147"/>
      <c r="H1147"/>
      <c r="I1147"/>
      <c r="J1147"/>
      <c r="K1147"/>
      <c r="L1147"/>
      <c r="M1147"/>
      <c r="N1147"/>
      <c r="O1147"/>
      <c r="P1147"/>
      <c r="Q1147"/>
      <c r="R1147"/>
      <c r="S1147"/>
    </row>
    <row r="1148" spans="1:19" ht="15">
      <c r="A1148"/>
      <c r="B1148"/>
      <c r="C1148"/>
      <c r="D1148"/>
      <c r="E1148"/>
      <c r="F1148"/>
      <c r="G1148"/>
      <c r="H1148"/>
      <c r="I1148"/>
      <c r="J1148"/>
      <c r="K1148"/>
      <c r="L1148"/>
      <c r="M1148"/>
      <c r="N1148"/>
      <c r="O1148"/>
      <c r="P1148"/>
      <c r="Q1148"/>
      <c r="R1148"/>
      <c r="S1148"/>
    </row>
    <row r="1149" spans="1:19" ht="15">
      <c r="A1149"/>
      <c r="B1149"/>
      <c r="C1149"/>
      <c r="D1149"/>
      <c r="E1149"/>
      <c r="F1149"/>
      <c r="G1149"/>
      <c r="H1149"/>
      <c r="I1149"/>
      <c r="J1149"/>
      <c r="K1149"/>
      <c r="L1149"/>
      <c r="M1149"/>
      <c r="N1149"/>
      <c r="O1149"/>
      <c r="P1149"/>
      <c r="Q1149"/>
      <c r="R1149"/>
      <c r="S1149"/>
    </row>
    <row r="1150" spans="1:19" ht="15">
      <c r="A1150"/>
      <c r="B1150"/>
      <c r="C1150"/>
      <c r="D1150"/>
      <c r="E1150"/>
      <c r="F1150"/>
      <c r="G1150"/>
      <c r="H1150"/>
      <c r="I1150"/>
      <c r="J1150"/>
      <c r="K1150"/>
      <c r="L1150"/>
      <c r="M1150"/>
      <c r="N1150"/>
      <c r="O1150"/>
      <c r="P1150"/>
      <c r="Q1150"/>
      <c r="R1150"/>
      <c r="S1150"/>
    </row>
    <row r="1151" spans="1:19" ht="15">
      <c r="A1151"/>
      <c r="B1151"/>
      <c r="C1151"/>
      <c r="D1151"/>
      <c r="E1151"/>
      <c r="F1151"/>
      <c r="G1151"/>
      <c r="H1151"/>
      <c r="I1151"/>
      <c r="J1151"/>
      <c r="K1151"/>
      <c r="L1151"/>
      <c r="M1151"/>
      <c r="N1151"/>
      <c r="O1151"/>
      <c r="P1151"/>
      <c r="Q1151"/>
      <c r="R1151"/>
      <c r="S1151"/>
    </row>
    <row r="1152" spans="1:19" ht="15">
      <c r="A1152"/>
      <c r="B1152"/>
      <c r="C1152"/>
      <c r="D1152"/>
      <c r="E1152"/>
      <c r="F1152"/>
      <c r="G1152"/>
      <c r="H1152"/>
      <c r="I1152"/>
      <c r="J1152"/>
      <c r="K1152"/>
      <c r="L1152"/>
      <c r="M1152"/>
      <c r="N1152"/>
      <c r="O1152"/>
      <c r="P1152"/>
      <c r="Q1152"/>
      <c r="R1152"/>
      <c r="S1152"/>
    </row>
    <row r="1153" spans="1:19" ht="15">
      <c r="A1153"/>
      <c r="B1153"/>
      <c r="C1153"/>
      <c r="D1153"/>
      <c r="E1153"/>
      <c r="F1153"/>
      <c r="G1153"/>
      <c r="H1153"/>
      <c r="I1153"/>
      <c r="J1153"/>
      <c r="K1153"/>
      <c r="L1153"/>
      <c r="M1153"/>
      <c r="N1153"/>
      <c r="O1153"/>
      <c r="P1153"/>
      <c r="Q1153"/>
      <c r="R1153"/>
      <c r="S1153"/>
    </row>
    <row r="1154" spans="1:19" ht="15">
      <c r="A1154"/>
      <c r="B1154"/>
      <c r="C1154"/>
      <c r="D1154"/>
      <c r="E1154"/>
      <c r="F1154"/>
      <c r="G1154"/>
      <c r="H1154"/>
      <c r="I1154"/>
      <c r="J1154"/>
      <c r="K1154"/>
      <c r="L1154"/>
      <c r="M1154"/>
      <c r="N1154"/>
      <c r="O1154"/>
      <c r="P1154"/>
      <c r="Q1154"/>
      <c r="R1154"/>
      <c r="S1154"/>
    </row>
    <row r="1155" spans="1:19" ht="15">
      <c r="A1155"/>
      <c r="B1155"/>
      <c r="C1155"/>
      <c r="D1155"/>
      <c r="E1155"/>
      <c r="F1155"/>
      <c r="G1155"/>
      <c r="H1155"/>
      <c r="I1155"/>
      <c r="J1155"/>
      <c r="K1155"/>
      <c r="L1155"/>
      <c r="M1155"/>
      <c r="N1155"/>
      <c r="O1155"/>
      <c r="P1155"/>
      <c r="Q1155"/>
      <c r="R1155"/>
      <c r="S1155"/>
    </row>
    <row r="1156" spans="1:19" ht="15">
      <c r="A1156"/>
      <c r="B1156"/>
      <c r="C1156"/>
      <c r="D1156"/>
      <c r="E1156"/>
      <c r="F1156"/>
      <c r="G1156"/>
      <c r="H1156"/>
      <c r="I1156"/>
      <c r="J1156"/>
      <c r="K1156"/>
      <c r="L1156"/>
      <c r="M1156"/>
      <c r="N1156"/>
      <c r="O1156"/>
      <c r="P1156"/>
      <c r="Q1156"/>
      <c r="R1156"/>
      <c r="S1156"/>
    </row>
    <row r="1157" spans="1:19" ht="15">
      <c r="A1157"/>
      <c r="B1157"/>
      <c r="C1157"/>
      <c r="D1157"/>
      <c r="E1157"/>
      <c r="F1157"/>
      <c r="G1157"/>
      <c r="H1157"/>
      <c r="I1157"/>
      <c r="J1157"/>
      <c r="K1157"/>
      <c r="L1157"/>
      <c r="M1157"/>
      <c r="N1157"/>
      <c r="O1157"/>
      <c r="P1157"/>
      <c r="Q1157"/>
      <c r="R1157"/>
      <c r="S1157"/>
    </row>
    <row r="1158" spans="1:19" ht="15">
      <c r="A1158"/>
      <c r="B1158"/>
      <c r="C1158"/>
      <c r="D1158"/>
      <c r="E1158"/>
      <c r="F1158"/>
      <c r="G1158"/>
      <c r="H1158"/>
      <c r="I1158"/>
      <c r="J1158"/>
      <c r="K1158"/>
      <c r="L1158"/>
      <c r="M1158"/>
      <c r="N1158"/>
      <c r="O1158"/>
      <c r="P1158"/>
      <c r="Q1158"/>
      <c r="R1158"/>
      <c r="S1158"/>
    </row>
    <row r="1159" spans="1:19" ht="15">
      <c r="A1159"/>
      <c r="B1159"/>
      <c r="C1159"/>
      <c r="D1159"/>
      <c r="E1159"/>
      <c r="F1159"/>
      <c r="G1159"/>
      <c r="H1159"/>
      <c r="I1159"/>
      <c r="J1159"/>
      <c r="K1159"/>
      <c r="L1159"/>
      <c r="M1159"/>
      <c r="N1159"/>
      <c r="O1159"/>
      <c r="P1159"/>
      <c r="Q1159"/>
      <c r="R1159"/>
      <c r="S1159"/>
    </row>
    <row r="1160" spans="1:19" ht="15">
      <c r="A1160"/>
      <c r="B1160"/>
      <c r="C1160"/>
      <c r="D1160"/>
      <c r="E1160"/>
      <c r="F1160"/>
      <c r="G1160"/>
      <c r="H1160"/>
      <c r="I1160"/>
      <c r="J1160"/>
      <c r="K1160"/>
      <c r="L1160"/>
      <c r="M1160"/>
      <c r="N1160"/>
      <c r="O1160"/>
      <c r="P1160"/>
      <c r="Q1160"/>
      <c r="R1160"/>
      <c r="S1160"/>
    </row>
    <row r="1161" spans="1:19" ht="15">
      <c r="A1161"/>
      <c r="B1161"/>
      <c r="C1161"/>
      <c r="D1161"/>
      <c r="E1161"/>
      <c r="F1161"/>
      <c r="G1161"/>
      <c r="H1161"/>
      <c r="I1161"/>
      <c r="J1161"/>
      <c r="K1161"/>
      <c r="L1161"/>
      <c r="M1161"/>
      <c r="N1161"/>
      <c r="O1161"/>
      <c r="P1161"/>
      <c r="Q1161"/>
      <c r="R1161"/>
      <c r="S1161"/>
    </row>
    <row r="1162" spans="1:19" ht="15">
      <c r="A1162"/>
      <c r="B1162"/>
      <c r="C1162"/>
      <c r="D1162"/>
      <c r="E1162"/>
      <c r="F1162"/>
      <c r="G1162"/>
      <c r="H1162"/>
      <c r="I1162"/>
      <c r="J1162"/>
      <c r="K1162"/>
      <c r="L1162"/>
      <c r="M1162"/>
      <c r="N1162"/>
      <c r="O1162"/>
      <c r="P1162"/>
      <c r="Q1162"/>
      <c r="R1162"/>
      <c r="S1162"/>
    </row>
    <row r="1163" spans="1:19" ht="15">
      <c r="A1163"/>
      <c r="B1163"/>
      <c r="C1163"/>
      <c r="D1163"/>
      <c r="E1163"/>
      <c r="F1163"/>
      <c r="G1163"/>
      <c r="H1163"/>
      <c r="I1163"/>
      <c r="J1163"/>
      <c r="K1163"/>
      <c r="L1163"/>
      <c r="M1163"/>
      <c r="N1163"/>
      <c r="O1163"/>
      <c r="P1163"/>
      <c r="Q1163"/>
      <c r="R1163"/>
      <c r="S1163"/>
    </row>
    <row r="1164" spans="1:19" ht="15">
      <c r="A1164"/>
      <c r="B1164"/>
      <c r="C1164"/>
      <c r="D1164"/>
      <c r="E1164"/>
      <c r="F1164"/>
      <c r="G1164"/>
      <c r="H1164"/>
      <c r="I1164"/>
      <c r="J1164"/>
      <c r="K1164"/>
      <c r="L1164"/>
      <c r="M1164"/>
      <c r="N1164"/>
      <c r="O1164"/>
      <c r="P1164"/>
      <c r="Q1164"/>
      <c r="R1164"/>
      <c r="S1164"/>
    </row>
    <row r="1165" spans="1:19" ht="15">
      <c r="A1165"/>
      <c r="B1165"/>
      <c r="C1165"/>
      <c r="D1165"/>
      <c r="E1165"/>
      <c r="F1165"/>
      <c r="G1165"/>
      <c r="H1165"/>
      <c r="I1165"/>
      <c r="J1165"/>
      <c r="K1165"/>
      <c r="L1165"/>
      <c r="M1165"/>
      <c r="N1165"/>
      <c r="O1165"/>
      <c r="P1165"/>
      <c r="Q1165"/>
      <c r="R1165"/>
      <c r="S1165"/>
    </row>
    <row r="1166" spans="1:19" ht="15">
      <c r="A1166"/>
      <c r="B1166"/>
      <c r="C1166"/>
      <c r="D1166"/>
      <c r="E1166"/>
      <c r="F1166"/>
      <c r="G1166"/>
      <c r="H1166"/>
      <c r="I1166"/>
      <c r="J1166"/>
      <c r="K1166"/>
      <c r="L1166"/>
      <c r="M1166"/>
      <c r="N1166"/>
      <c r="O1166"/>
      <c r="P1166"/>
      <c r="Q1166"/>
      <c r="R1166"/>
      <c r="S1166"/>
    </row>
    <row r="1167" spans="1:19" ht="15">
      <c r="A1167"/>
      <c r="B1167"/>
      <c r="C1167"/>
      <c r="D1167"/>
      <c r="E1167"/>
      <c r="F1167"/>
      <c r="G1167"/>
      <c r="H1167"/>
      <c r="I1167"/>
      <c r="J1167"/>
      <c r="K1167"/>
      <c r="L1167"/>
      <c r="M1167"/>
      <c r="N1167"/>
      <c r="O1167"/>
      <c r="P1167"/>
      <c r="Q1167"/>
      <c r="R1167"/>
      <c r="S1167"/>
    </row>
    <row r="1168" spans="1:19" ht="15">
      <c r="A1168"/>
      <c r="B1168"/>
      <c r="C1168"/>
      <c r="D1168"/>
      <c r="E1168"/>
      <c r="F1168"/>
      <c r="G1168"/>
      <c r="H1168"/>
      <c r="I1168"/>
      <c r="J1168"/>
      <c r="K1168"/>
      <c r="L1168"/>
      <c r="M1168"/>
      <c r="N1168"/>
      <c r="O1168"/>
      <c r="P1168"/>
      <c r="Q1168"/>
      <c r="R1168"/>
      <c r="S1168"/>
    </row>
    <row r="1169" spans="1:19" ht="15">
      <c r="A1169"/>
      <c r="B1169"/>
      <c r="C1169"/>
      <c r="D1169"/>
      <c r="E1169"/>
      <c r="F1169"/>
      <c r="G1169"/>
      <c r="H1169"/>
      <c r="I1169"/>
      <c r="J1169"/>
      <c r="K1169"/>
      <c r="L1169"/>
      <c r="M1169"/>
      <c r="N1169"/>
      <c r="O1169"/>
      <c r="P1169"/>
      <c r="Q1169"/>
      <c r="R1169"/>
      <c r="S1169"/>
    </row>
    <row r="1170" spans="1:19" ht="15">
      <c r="A1170"/>
      <c r="B1170"/>
      <c r="C1170"/>
      <c r="D1170"/>
      <c r="E1170"/>
      <c r="F1170"/>
      <c r="G1170"/>
      <c r="H1170"/>
      <c r="I1170"/>
      <c r="J1170"/>
      <c r="K1170"/>
      <c r="L1170"/>
      <c r="M1170"/>
      <c r="N1170"/>
      <c r="O1170"/>
      <c r="P1170"/>
      <c r="Q1170"/>
      <c r="R1170"/>
      <c r="S1170"/>
    </row>
    <row r="1171" spans="1:19" ht="15">
      <c r="A1171"/>
      <c r="B1171"/>
      <c r="C1171"/>
      <c r="D1171"/>
      <c r="E1171"/>
      <c r="F1171"/>
      <c r="G1171"/>
      <c r="H1171"/>
      <c r="I1171"/>
      <c r="J1171"/>
      <c r="K1171"/>
      <c r="L1171"/>
      <c r="M1171"/>
      <c r="N1171"/>
      <c r="O1171"/>
      <c r="P1171"/>
      <c r="Q1171"/>
      <c r="R1171"/>
      <c r="S1171"/>
    </row>
    <row r="1172" spans="1:19" ht="15">
      <c r="A1172"/>
      <c r="B1172"/>
      <c r="C1172"/>
      <c r="D1172"/>
      <c r="E1172"/>
      <c r="F1172"/>
      <c r="G1172"/>
      <c r="H1172"/>
      <c r="I1172"/>
      <c r="J1172"/>
      <c r="K1172"/>
      <c r="L1172"/>
      <c r="M1172"/>
      <c r="N1172"/>
      <c r="O1172"/>
      <c r="P1172"/>
      <c r="Q1172"/>
      <c r="R1172"/>
      <c r="S1172"/>
    </row>
    <row r="1173" spans="1:19" ht="15">
      <c r="A1173"/>
      <c r="B1173"/>
      <c r="C1173"/>
      <c r="D1173"/>
      <c r="E1173"/>
      <c r="F1173"/>
      <c r="G1173"/>
      <c r="H1173"/>
      <c r="I1173"/>
      <c r="J1173"/>
      <c r="K1173"/>
      <c r="L1173"/>
      <c r="M1173"/>
      <c r="N1173"/>
      <c r="O1173"/>
      <c r="P1173"/>
      <c r="Q1173"/>
      <c r="R1173"/>
      <c r="S1173"/>
    </row>
    <row r="1174" spans="1:19" ht="15">
      <c r="A1174"/>
      <c r="B1174"/>
      <c r="C1174"/>
      <c r="D1174"/>
      <c r="E1174"/>
      <c r="F1174"/>
      <c r="G1174"/>
      <c r="H1174"/>
      <c r="I1174"/>
      <c r="J1174"/>
      <c r="K1174"/>
      <c r="L1174"/>
      <c r="M1174"/>
      <c r="N1174"/>
      <c r="O1174"/>
      <c r="P1174"/>
      <c r="Q1174"/>
      <c r="R1174"/>
      <c r="S1174"/>
    </row>
    <row r="1175" spans="1:19" ht="15">
      <c r="A1175"/>
      <c r="B1175"/>
      <c r="C1175"/>
      <c r="D1175"/>
      <c r="E1175"/>
      <c r="F1175"/>
      <c r="G1175"/>
      <c r="H1175"/>
      <c r="I1175"/>
      <c r="J1175"/>
      <c r="K1175"/>
      <c r="L1175"/>
      <c r="M1175"/>
      <c r="N1175"/>
      <c r="O1175"/>
      <c r="P1175"/>
      <c r="Q1175"/>
      <c r="R1175"/>
      <c r="S1175"/>
    </row>
    <row r="1176" spans="1:19" ht="15">
      <c r="A1176"/>
      <c r="B1176"/>
      <c r="C1176"/>
      <c r="D1176"/>
      <c r="E1176"/>
      <c r="F1176"/>
      <c r="G1176"/>
      <c r="H1176"/>
      <c r="I1176"/>
      <c r="J1176"/>
      <c r="K1176"/>
      <c r="L1176"/>
      <c r="M1176"/>
      <c r="N1176"/>
      <c r="O1176"/>
      <c r="P1176"/>
      <c r="Q1176"/>
      <c r="R1176"/>
      <c r="S1176"/>
    </row>
    <row r="1177" spans="1:19" ht="15">
      <c r="A1177"/>
      <c r="B1177"/>
      <c r="C1177"/>
      <c r="D1177"/>
      <c r="E1177"/>
      <c r="F1177"/>
      <c r="G1177"/>
      <c r="H1177"/>
      <c r="I1177"/>
      <c r="J1177"/>
      <c r="K1177"/>
      <c r="L1177"/>
      <c r="M1177"/>
      <c r="N1177"/>
      <c r="O1177"/>
      <c r="P1177"/>
      <c r="Q1177"/>
      <c r="R1177"/>
      <c r="S1177"/>
    </row>
    <row r="1178" spans="1:19" ht="15">
      <c r="A1178"/>
      <c r="B1178"/>
      <c r="C1178"/>
      <c r="D1178"/>
      <c r="E1178"/>
      <c r="F1178"/>
      <c r="G1178"/>
      <c r="H1178"/>
      <c r="I1178"/>
      <c r="J1178"/>
      <c r="K1178"/>
      <c r="L1178"/>
      <c r="M1178"/>
      <c r="N1178"/>
      <c r="O1178"/>
      <c r="P1178"/>
      <c r="Q1178"/>
      <c r="R1178"/>
      <c r="S1178"/>
    </row>
    <row r="1179" spans="1:19" ht="15">
      <c r="A1179"/>
      <c r="B1179"/>
      <c r="C1179"/>
      <c r="D1179"/>
      <c r="E1179"/>
      <c r="F1179"/>
      <c r="G1179"/>
      <c r="H1179"/>
      <c r="I1179"/>
      <c r="J1179"/>
      <c r="K1179"/>
      <c r="L1179"/>
      <c r="M1179"/>
      <c r="N1179"/>
      <c r="O1179"/>
      <c r="P1179"/>
      <c r="Q1179"/>
      <c r="R1179"/>
      <c r="S1179"/>
    </row>
    <row r="1180" spans="1:19" ht="15">
      <c r="A1180"/>
      <c r="B1180"/>
      <c r="C1180"/>
      <c r="D1180"/>
      <c r="E1180"/>
      <c r="F1180"/>
      <c r="G1180"/>
      <c r="H1180"/>
      <c r="I1180"/>
      <c r="J1180"/>
      <c r="K1180"/>
      <c r="L1180"/>
      <c r="M1180"/>
      <c r="N1180"/>
      <c r="O1180"/>
      <c r="P1180"/>
      <c r="Q1180"/>
      <c r="R1180"/>
      <c r="S1180"/>
    </row>
    <row r="1181" spans="1:19" ht="15">
      <c r="A1181"/>
      <c r="B1181"/>
      <c r="C1181"/>
      <c r="D1181"/>
      <c r="E1181"/>
      <c r="F1181"/>
      <c r="G1181"/>
      <c r="H1181"/>
      <c r="I1181"/>
      <c r="J1181"/>
      <c r="K1181"/>
      <c r="L1181"/>
      <c r="M1181"/>
      <c r="N1181"/>
      <c r="O1181"/>
      <c r="P1181"/>
      <c r="Q1181"/>
      <c r="R1181"/>
      <c r="S1181"/>
    </row>
    <row r="1182" spans="1:19" ht="15">
      <c r="A1182"/>
      <c r="B1182"/>
      <c r="C1182"/>
      <c r="D1182"/>
      <c r="E1182"/>
      <c r="F1182"/>
      <c r="G1182"/>
      <c r="H1182"/>
      <c r="I1182"/>
      <c r="J1182"/>
      <c r="K1182"/>
      <c r="L1182"/>
      <c r="M1182"/>
      <c r="N1182"/>
      <c r="O1182"/>
      <c r="P1182"/>
      <c r="Q1182"/>
      <c r="R1182"/>
      <c r="S1182"/>
    </row>
    <row r="1183" spans="1:19" ht="15">
      <c r="A1183"/>
      <c r="B1183"/>
      <c r="C1183"/>
      <c r="D1183"/>
      <c r="E1183"/>
      <c r="F1183"/>
      <c r="G1183"/>
      <c r="H1183"/>
      <c r="I1183"/>
      <c r="J1183"/>
      <c r="K1183"/>
      <c r="L1183"/>
      <c r="M1183"/>
      <c r="N1183"/>
      <c r="O1183"/>
      <c r="P1183"/>
      <c r="Q1183"/>
      <c r="R1183"/>
      <c r="S1183"/>
    </row>
    <row r="1184" spans="1:19" ht="15">
      <c r="A1184"/>
      <c r="B1184"/>
      <c r="C1184"/>
      <c r="D1184"/>
      <c r="E1184"/>
      <c r="F1184"/>
      <c r="G1184"/>
      <c r="H1184"/>
      <c r="I1184"/>
      <c r="J1184"/>
      <c r="K1184"/>
      <c r="L1184"/>
      <c r="M1184"/>
      <c r="N1184"/>
      <c r="O1184"/>
      <c r="P1184"/>
      <c r="Q1184"/>
      <c r="R1184"/>
      <c r="S1184"/>
    </row>
    <row r="1185" spans="1:19" ht="15">
      <c r="A1185"/>
      <c r="B1185"/>
      <c r="C1185"/>
      <c r="D1185"/>
      <c r="E1185"/>
      <c r="F1185"/>
      <c r="G1185"/>
      <c r="H1185"/>
      <c r="I1185"/>
      <c r="J1185"/>
      <c r="K1185"/>
      <c r="L1185"/>
      <c r="M1185"/>
      <c r="N1185"/>
      <c r="O1185"/>
      <c r="P1185"/>
      <c r="Q1185"/>
      <c r="R1185"/>
      <c r="S1185"/>
    </row>
    <row r="1186" spans="1:19" ht="15">
      <c r="A1186"/>
      <c r="B1186"/>
      <c r="C1186"/>
      <c r="D1186"/>
      <c r="E1186"/>
      <c r="F1186"/>
      <c r="G1186"/>
      <c r="H1186"/>
      <c r="I1186"/>
      <c r="J1186"/>
      <c r="K1186"/>
      <c r="L1186"/>
      <c r="M1186"/>
      <c r="N1186"/>
      <c r="O1186"/>
      <c r="P1186"/>
      <c r="Q1186"/>
      <c r="R1186"/>
      <c r="S1186"/>
    </row>
    <row r="1187" spans="1:19" ht="15">
      <c r="A1187"/>
      <c r="B1187"/>
      <c r="C1187"/>
      <c r="D1187"/>
      <c r="E1187"/>
      <c r="F1187"/>
      <c r="G1187"/>
      <c r="H1187"/>
      <c r="I1187"/>
      <c r="J1187"/>
      <c r="K1187"/>
      <c r="L1187"/>
      <c r="M1187"/>
      <c r="N1187"/>
      <c r="O1187"/>
      <c r="P1187"/>
      <c r="Q1187"/>
      <c r="R1187"/>
      <c r="S1187"/>
    </row>
    <row r="1188" spans="1:19" ht="15">
      <c r="A1188"/>
      <c r="B1188"/>
      <c r="C1188"/>
      <c r="D1188"/>
      <c r="E1188"/>
      <c r="F1188"/>
      <c r="G1188"/>
      <c r="H1188"/>
      <c r="I1188"/>
      <c r="J1188"/>
      <c r="K1188"/>
      <c r="L1188"/>
      <c r="M1188"/>
      <c r="N1188"/>
      <c r="O1188"/>
      <c r="P1188"/>
      <c r="Q1188"/>
      <c r="R1188"/>
      <c r="S1188"/>
    </row>
    <row r="1189" spans="1:19" ht="15">
      <c r="A1189"/>
      <c r="B1189"/>
      <c r="C1189"/>
      <c r="D1189"/>
      <c r="E1189"/>
      <c r="F1189"/>
      <c r="G1189"/>
      <c r="H1189"/>
      <c r="I1189"/>
      <c r="J1189"/>
      <c r="K1189"/>
      <c r="L1189"/>
      <c r="M1189"/>
      <c r="N1189"/>
      <c r="O1189"/>
      <c r="P1189"/>
      <c r="Q1189"/>
      <c r="R1189"/>
      <c r="S1189"/>
    </row>
    <row r="1190" spans="1:19" ht="15">
      <c r="A1190"/>
      <c r="B1190"/>
      <c r="C1190"/>
      <c r="D1190"/>
      <c r="E1190"/>
      <c r="F1190"/>
      <c r="G1190"/>
      <c r="H1190"/>
      <c r="I1190"/>
      <c r="J1190"/>
      <c r="K1190"/>
      <c r="L1190"/>
      <c r="M1190"/>
      <c r="N1190"/>
      <c r="O1190"/>
      <c r="P1190"/>
      <c r="Q1190"/>
      <c r="R1190"/>
      <c r="S1190"/>
    </row>
    <row r="1191" spans="1:19" ht="15">
      <c r="A1191"/>
      <c r="B1191"/>
      <c r="C1191"/>
      <c r="D1191"/>
      <c r="E1191"/>
      <c r="F1191"/>
      <c r="G1191"/>
      <c r="H1191"/>
      <c r="I1191"/>
      <c r="J1191"/>
      <c r="K1191"/>
      <c r="L1191"/>
      <c r="M1191"/>
      <c r="N1191"/>
      <c r="O1191"/>
      <c r="P1191"/>
      <c r="Q1191"/>
      <c r="R1191"/>
      <c r="S1191"/>
    </row>
    <row r="1192" spans="1:19" ht="15">
      <c r="A1192"/>
      <c r="B1192"/>
      <c r="C1192"/>
      <c r="D1192"/>
      <c r="E1192"/>
      <c r="F1192"/>
      <c r="G1192"/>
      <c r="H1192"/>
      <c r="I1192"/>
      <c r="J1192"/>
      <c r="K1192"/>
      <c r="L1192"/>
      <c r="M1192"/>
      <c r="N1192"/>
      <c r="O1192"/>
      <c r="P1192"/>
      <c r="Q1192"/>
      <c r="R1192"/>
      <c r="S1192"/>
    </row>
    <row r="1193" spans="1:19" ht="15">
      <c r="A1193"/>
      <c r="B1193"/>
      <c r="C1193"/>
      <c r="D1193"/>
      <c r="E1193"/>
      <c r="F1193"/>
      <c r="G1193"/>
      <c r="H1193"/>
      <c r="I1193"/>
      <c r="J1193"/>
      <c r="K1193"/>
      <c r="L1193"/>
      <c r="M1193"/>
      <c r="N1193"/>
      <c r="O1193"/>
      <c r="P1193"/>
      <c r="Q1193"/>
      <c r="R1193"/>
      <c r="S1193"/>
    </row>
    <row r="1194" spans="1:19" ht="15">
      <c r="A1194"/>
      <c r="B1194"/>
      <c r="C1194"/>
      <c r="D1194"/>
      <c r="E1194"/>
      <c r="F1194"/>
      <c r="G1194"/>
      <c r="H1194"/>
      <c r="I1194"/>
      <c r="J1194"/>
      <c r="K1194"/>
      <c r="L1194"/>
      <c r="M1194"/>
      <c r="N1194"/>
      <c r="O1194"/>
      <c r="P1194"/>
      <c r="Q1194"/>
      <c r="R1194"/>
      <c r="S1194"/>
    </row>
    <row r="1195" spans="1:19" ht="15">
      <c r="A1195"/>
      <c r="B1195"/>
      <c r="C1195"/>
      <c r="D1195"/>
      <c r="E1195"/>
      <c r="F1195"/>
      <c r="G1195"/>
      <c r="H1195"/>
      <c r="I1195"/>
      <c r="J1195"/>
      <c r="K1195"/>
      <c r="L1195"/>
      <c r="M1195"/>
      <c r="N1195"/>
      <c r="O1195"/>
      <c r="P1195"/>
      <c r="Q1195"/>
      <c r="R1195"/>
      <c r="S1195"/>
    </row>
    <row r="1196" spans="1:19" ht="15">
      <c r="A1196"/>
      <c r="B1196"/>
      <c r="C1196"/>
      <c r="D1196"/>
      <c r="E1196"/>
      <c r="F1196"/>
      <c r="G1196"/>
      <c r="H1196"/>
      <c r="I1196"/>
      <c r="J1196"/>
      <c r="K1196"/>
      <c r="L1196"/>
      <c r="M1196"/>
      <c r="N1196"/>
      <c r="O1196"/>
      <c r="P1196"/>
      <c r="Q1196"/>
      <c r="R1196"/>
      <c r="S1196"/>
    </row>
    <row r="1197" spans="1:19" ht="15">
      <c r="A1197"/>
      <c r="B1197"/>
      <c r="C1197"/>
      <c r="D1197"/>
      <c r="E1197"/>
      <c r="F1197"/>
      <c r="G1197"/>
      <c r="H1197"/>
      <c r="I1197"/>
      <c r="J1197"/>
      <c r="K1197"/>
      <c r="L1197"/>
      <c r="M1197"/>
      <c r="N1197"/>
      <c r="O1197"/>
      <c r="P1197"/>
      <c r="Q1197"/>
      <c r="R1197"/>
      <c r="S1197"/>
    </row>
    <row r="1198" spans="1:19" ht="15">
      <c r="A1198"/>
      <c r="B1198"/>
      <c r="C1198"/>
      <c r="D1198"/>
      <c r="E1198"/>
      <c r="F1198"/>
      <c r="G1198"/>
      <c r="H1198"/>
      <c r="I1198"/>
      <c r="J1198"/>
      <c r="K1198"/>
      <c r="L1198"/>
      <c r="M1198"/>
      <c r="N1198"/>
      <c r="O1198"/>
      <c r="P1198"/>
      <c r="Q1198"/>
      <c r="R1198"/>
      <c r="S1198"/>
    </row>
    <row r="1199" spans="1:19" ht="15">
      <c r="A1199"/>
      <c r="B1199"/>
      <c r="C1199"/>
      <c r="D1199"/>
      <c r="E1199"/>
      <c r="F1199"/>
      <c r="G1199"/>
      <c r="H1199"/>
      <c r="I1199"/>
      <c r="J1199"/>
      <c r="K1199"/>
      <c r="L1199"/>
      <c r="M1199"/>
      <c r="N1199"/>
      <c r="O1199"/>
      <c r="P1199"/>
      <c r="Q1199"/>
      <c r="R1199"/>
      <c r="S1199"/>
    </row>
    <row r="1200" spans="1:19" ht="15">
      <c r="A1200"/>
      <c r="B1200"/>
      <c r="C1200"/>
      <c r="D1200"/>
      <c r="E1200"/>
      <c r="F1200"/>
      <c r="G1200"/>
      <c r="H1200"/>
      <c r="I1200"/>
      <c r="J1200"/>
      <c r="K1200"/>
      <c r="L1200"/>
      <c r="M1200"/>
      <c r="N1200"/>
      <c r="O1200"/>
      <c r="P1200"/>
      <c r="Q1200"/>
      <c r="R1200"/>
      <c r="S1200"/>
    </row>
    <row r="1201" spans="1:19" ht="15">
      <c r="A1201"/>
      <c r="B1201"/>
      <c r="C1201"/>
      <c r="D1201"/>
      <c r="E1201"/>
      <c r="F1201"/>
      <c r="G1201"/>
      <c r="H1201"/>
      <c r="I1201"/>
      <c r="J1201"/>
      <c r="K1201"/>
      <c r="L1201"/>
      <c r="M1201"/>
      <c r="N1201"/>
      <c r="O1201"/>
      <c r="P1201"/>
      <c r="Q1201"/>
      <c r="R1201"/>
      <c r="S1201"/>
    </row>
    <row r="1202" spans="1:19" ht="15">
      <c r="A1202"/>
      <c r="B1202"/>
      <c r="C1202"/>
      <c r="D1202"/>
      <c r="E1202"/>
      <c r="F1202"/>
      <c r="G1202"/>
      <c r="H1202"/>
      <c r="I1202"/>
      <c r="J1202"/>
      <c r="K1202"/>
      <c r="L1202"/>
      <c r="M1202"/>
      <c r="N1202"/>
      <c r="O1202"/>
      <c r="P1202"/>
      <c r="Q1202"/>
      <c r="R1202"/>
      <c r="S1202"/>
    </row>
    <row r="1203" spans="1:19" ht="15">
      <c r="A1203"/>
      <c r="B1203"/>
      <c r="C1203"/>
      <c r="D1203"/>
      <c r="E1203"/>
      <c r="F1203"/>
      <c r="G1203"/>
      <c r="H1203"/>
      <c r="I1203"/>
      <c r="J1203"/>
      <c r="K1203"/>
      <c r="L1203"/>
      <c r="M1203"/>
      <c r="N1203"/>
      <c r="O1203"/>
      <c r="P1203"/>
      <c r="Q1203"/>
      <c r="R1203"/>
      <c r="S1203"/>
    </row>
    <row r="1204" spans="1:19" ht="15">
      <c r="A1204"/>
      <c r="B1204"/>
      <c r="C1204"/>
      <c r="D1204"/>
      <c r="E1204"/>
      <c r="F1204"/>
      <c r="G1204"/>
      <c r="H1204"/>
      <c r="I1204"/>
      <c r="J1204"/>
      <c r="K1204"/>
      <c r="L1204"/>
      <c r="M1204"/>
      <c r="N1204"/>
      <c r="O1204"/>
      <c r="P1204"/>
      <c r="Q1204"/>
      <c r="R1204"/>
      <c r="S1204"/>
    </row>
    <row r="1205" spans="1:19" ht="15">
      <c r="A1205"/>
      <c r="B1205"/>
      <c r="C1205"/>
      <c r="D1205"/>
      <c r="E1205"/>
      <c r="F1205"/>
      <c r="G1205"/>
      <c r="H1205"/>
      <c r="I1205"/>
      <c r="J1205"/>
      <c r="K1205"/>
      <c r="L1205"/>
      <c r="M1205"/>
      <c r="N1205"/>
      <c r="O1205"/>
      <c r="P1205"/>
      <c r="Q1205"/>
      <c r="R1205"/>
      <c r="S1205"/>
    </row>
    <row r="1206" spans="1:19" ht="15">
      <c r="A1206"/>
      <c r="B1206"/>
      <c r="C1206"/>
      <c r="D1206"/>
      <c r="E1206"/>
      <c r="F1206"/>
      <c r="G1206"/>
      <c r="H1206"/>
      <c r="I1206"/>
      <c r="J1206"/>
      <c r="K1206"/>
      <c r="L1206"/>
      <c r="M1206"/>
      <c r="N1206"/>
      <c r="O1206"/>
      <c r="P1206"/>
      <c r="Q1206"/>
      <c r="R1206"/>
      <c r="S1206"/>
    </row>
    <row r="1207" spans="1:19" ht="15">
      <c r="A1207"/>
      <c r="B1207"/>
      <c r="C1207"/>
      <c r="D1207"/>
      <c r="E1207"/>
      <c r="F1207"/>
      <c r="G1207"/>
      <c r="H1207"/>
      <c r="I1207"/>
      <c r="J1207"/>
      <c r="K1207"/>
      <c r="L1207"/>
      <c r="M1207"/>
      <c r="N1207"/>
      <c r="O1207"/>
      <c r="P1207"/>
      <c r="Q1207"/>
      <c r="R1207"/>
      <c r="S1207"/>
    </row>
    <row r="1208" spans="1:19" ht="15">
      <c r="A1208"/>
      <c r="B1208"/>
      <c r="C1208"/>
      <c r="D1208"/>
      <c r="E1208"/>
      <c r="F1208"/>
      <c r="G1208"/>
      <c r="H1208"/>
      <c r="I1208"/>
      <c r="J1208"/>
      <c r="K1208"/>
      <c r="L1208"/>
      <c r="M1208"/>
      <c r="N1208"/>
      <c r="O1208"/>
      <c r="P1208"/>
      <c r="Q1208"/>
      <c r="R1208"/>
      <c r="S1208"/>
    </row>
    <row r="1209" spans="1:19" ht="15">
      <c r="A1209"/>
      <c r="B1209"/>
      <c r="C1209"/>
      <c r="D1209"/>
      <c r="E1209"/>
      <c r="F1209"/>
      <c r="G1209"/>
      <c r="H1209"/>
      <c r="I1209"/>
      <c r="J1209"/>
      <c r="K1209"/>
      <c r="L1209"/>
      <c r="M1209"/>
      <c r="N1209"/>
      <c r="O1209"/>
      <c r="P1209"/>
      <c r="Q1209"/>
      <c r="R1209"/>
      <c r="S1209"/>
    </row>
    <row r="1210" spans="1:19" ht="15">
      <c r="A1210"/>
      <c r="B1210"/>
      <c r="C1210"/>
      <c r="D1210"/>
      <c r="E1210"/>
      <c r="F1210"/>
      <c r="G1210"/>
      <c r="H1210"/>
      <c r="I1210"/>
      <c r="J1210"/>
      <c r="K1210"/>
      <c r="L1210"/>
      <c r="M1210"/>
      <c r="N1210"/>
      <c r="O1210"/>
      <c r="P1210"/>
      <c r="Q1210"/>
      <c r="R1210"/>
      <c r="S1210"/>
    </row>
    <row r="1211" spans="1:19" ht="15">
      <c r="A1211"/>
      <c r="B1211"/>
      <c r="C1211"/>
      <c r="D1211"/>
      <c r="E1211"/>
      <c r="F1211"/>
      <c r="G1211"/>
      <c r="H1211"/>
      <c r="I1211"/>
      <c r="J1211"/>
      <c r="K1211"/>
      <c r="L1211"/>
      <c r="M1211"/>
      <c r="N1211"/>
      <c r="O1211"/>
      <c r="P1211"/>
      <c r="Q1211"/>
      <c r="R1211"/>
      <c r="S1211"/>
    </row>
    <row r="1212" spans="1:19" ht="15">
      <c r="A1212"/>
      <c r="B1212"/>
      <c r="C1212"/>
      <c r="D1212"/>
      <c r="E1212"/>
      <c r="F1212"/>
      <c r="G1212"/>
      <c r="H1212"/>
      <c r="I1212"/>
      <c r="J1212"/>
      <c r="K1212"/>
      <c r="L1212"/>
      <c r="M1212"/>
      <c r="N1212"/>
      <c r="O1212"/>
      <c r="P1212"/>
      <c r="Q1212"/>
      <c r="R1212"/>
      <c r="S1212"/>
    </row>
    <row r="1213" spans="1:19" ht="15">
      <c r="A1213"/>
      <c r="B1213"/>
      <c r="C1213"/>
      <c r="D1213"/>
      <c r="E1213"/>
      <c r="F1213"/>
      <c r="G1213"/>
      <c r="H1213"/>
      <c r="I1213"/>
      <c r="J1213"/>
      <c r="K1213"/>
      <c r="L1213"/>
      <c r="M1213"/>
      <c r="N1213"/>
      <c r="O1213"/>
      <c r="P1213"/>
      <c r="Q1213"/>
      <c r="R1213"/>
      <c r="S1213"/>
    </row>
    <row r="1214" spans="1:19" ht="15">
      <c r="A1214"/>
      <c r="B1214"/>
      <c r="C1214"/>
      <c r="D1214"/>
      <c r="E1214"/>
      <c r="F1214"/>
      <c r="G1214"/>
      <c r="H1214"/>
      <c r="I1214"/>
      <c r="J1214"/>
      <c r="K1214"/>
      <c r="L1214"/>
      <c r="M1214"/>
      <c r="N1214"/>
      <c r="O1214"/>
      <c r="P1214"/>
      <c r="Q1214"/>
      <c r="R1214"/>
      <c r="S1214"/>
    </row>
    <row r="1215" spans="1:19" ht="15">
      <c r="A1215"/>
      <c r="B1215"/>
      <c r="C1215"/>
      <c r="D1215"/>
      <c r="E1215"/>
      <c r="F1215"/>
      <c r="G1215"/>
      <c r="H1215"/>
      <c r="I1215"/>
      <c r="J1215"/>
      <c r="K1215"/>
      <c r="L1215"/>
      <c r="M1215"/>
      <c r="N1215"/>
      <c r="O1215"/>
      <c r="P1215"/>
      <c r="Q1215"/>
      <c r="R1215"/>
      <c r="S1215"/>
    </row>
    <row r="1216" spans="1:19" ht="15">
      <c r="A1216"/>
      <c r="B1216"/>
      <c r="C1216"/>
      <c r="D1216"/>
      <c r="E1216"/>
      <c r="F1216"/>
      <c r="G1216"/>
      <c r="H1216"/>
      <c r="I1216"/>
      <c r="J1216"/>
      <c r="K1216"/>
      <c r="L1216"/>
      <c r="M1216"/>
      <c r="N1216"/>
      <c r="O1216"/>
      <c r="P1216"/>
      <c r="Q1216"/>
      <c r="R1216"/>
      <c r="S1216"/>
    </row>
    <row r="1217" spans="1:19" ht="15">
      <c r="A1217"/>
      <c r="B1217"/>
      <c r="C1217"/>
      <c r="D1217"/>
      <c r="E1217"/>
      <c r="F1217"/>
      <c r="G1217"/>
      <c r="H1217"/>
      <c r="I1217"/>
      <c r="J1217"/>
      <c r="K1217"/>
      <c r="L1217"/>
      <c r="M1217"/>
      <c r="N1217"/>
      <c r="O1217"/>
      <c r="P1217"/>
      <c r="Q1217"/>
      <c r="R1217"/>
      <c r="S1217"/>
    </row>
    <row r="1218" spans="1:19" ht="15">
      <c r="A1218"/>
      <c r="B1218"/>
      <c r="C1218"/>
      <c r="D1218"/>
      <c r="E1218"/>
      <c r="F1218"/>
      <c r="G1218"/>
      <c r="H1218"/>
      <c r="I1218"/>
      <c r="J1218"/>
      <c r="K1218"/>
      <c r="L1218"/>
      <c r="M1218"/>
      <c r="N1218"/>
      <c r="O1218"/>
      <c r="P1218"/>
      <c r="Q1218"/>
      <c r="R1218"/>
      <c r="S1218"/>
    </row>
    <row r="1219" spans="1:19" ht="15">
      <c r="A1219"/>
      <c r="B1219"/>
      <c r="C1219"/>
      <c r="D1219"/>
      <c r="E1219"/>
      <c r="F1219"/>
      <c r="G1219"/>
      <c r="H1219"/>
      <c r="I1219"/>
      <c r="J1219"/>
      <c r="K1219"/>
      <c r="L1219"/>
      <c r="M1219"/>
      <c r="N1219"/>
      <c r="O1219"/>
      <c r="P1219"/>
      <c r="Q1219"/>
      <c r="R1219"/>
      <c r="S1219"/>
    </row>
    <row r="1220" spans="1:19" ht="15">
      <c r="A1220"/>
      <c r="B1220"/>
      <c r="C1220"/>
      <c r="D1220"/>
      <c r="E1220"/>
      <c r="F1220"/>
      <c r="G1220"/>
      <c r="H1220"/>
      <c r="I1220"/>
      <c r="J1220"/>
      <c r="K1220"/>
      <c r="L1220"/>
      <c r="M1220"/>
      <c r="N1220"/>
      <c r="O1220"/>
      <c r="P1220"/>
      <c r="Q1220"/>
      <c r="R1220"/>
      <c r="S1220"/>
    </row>
    <row r="1221" spans="1:19" ht="15">
      <c r="A1221"/>
      <c r="B1221"/>
      <c r="C1221"/>
      <c r="D1221"/>
      <c r="E1221"/>
      <c r="F1221"/>
      <c r="G1221"/>
      <c r="H1221"/>
      <c r="I1221"/>
      <c r="J1221"/>
      <c r="K1221"/>
      <c r="L1221"/>
      <c r="M1221"/>
      <c r="N1221"/>
      <c r="O1221"/>
      <c r="P1221"/>
      <c r="Q1221"/>
      <c r="R1221"/>
      <c r="S1221"/>
    </row>
    <row r="1222" spans="1:19" ht="15">
      <c r="A1222"/>
      <c r="B1222"/>
      <c r="C1222"/>
      <c r="D1222"/>
      <c r="E1222"/>
      <c r="F1222"/>
      <c r="G1222"/>
      <c r="H1222"/>
      <c r="I1222"/>
      <c r="J1222"/>
      <c r="K1222"/>
      <c r="L1222"/>
      <c r="M1222"/>
      <c r="N1222"/>
      <c r="O1222"/>
      <c r="P1222"/>
      <c r="Q1222"/>
      <c r="R1222"/>
      <c r="S1222"/>
    </row>
    <row r="1223" spans="1:19" ht="15">
      <c r="A1223"/>
      <c r="B1223"/>
      <c r="C1223"/>
      <c r="D1223"/>
      <c r="E1223"/>
      <c r="F1223"/>
      <c r="G1223"/>
      <c r="H1223"/>
      <c r="I1223"/>
      <c r="J1223"/>
      <c r="K1223"/>
      <c r="L1223"/>
      <c r="M1223"/>
      <c r="N1223"/>
      <c r="O1223"/>
      <c r="P1223"/>
      <c r="Q1223"/>
      <c r="R1223"/>
      <c r="S1223"/>
    </row>
    <row r="1224" spans="1:19" ht="15">
      <c r="A1224"/>
      <c r="B1224"/>
      <c r="C1224"/>
      <c r="D1224"/>
      <c r="E1224"/>
      <c r="F1224"/>
      <c r="G1224"/>
      <c r="H1224"/>
      <c r="I1224"/>
      <c r="J1224"/>
      <c r="K1224"/>
      <c r="L1224"/>
      <c r="M1224"/>
      <c r="N1224"/>
      <c r="O1224"/>
      <c r="P1224"/>
      <c r="Q1224"/>
      <c r="R1224"/>
      <c r="S1224"/>
    </row>
    <row r="1225" spans="1:19" ht="15">
      <c r="A1225"/>
      <c r="B1225"/>
      <c r="C1225"/>
      <c r="D1225"/>
      <c r="E1225"/>
      <c r="F1225"/>
      <c r="G1225"/>
      <c r="H1225"/>
      <c r="I1225"/>
      <c r="J1225"/>
      <c r="K1225"/>
      <c r="L1225"/>
      <c r="M1225"/>
      <c r="N1225"/>
      <c r="O1225"/>
      <c r="P1225"/>
      <c r="Q1225"/>
      <c r="R1225"/>
      <c r="S1225"/>
    </row>
    <row r="1226" spans="1:19" ht="15">
      <c r="A1226"/>
      <c r="B1226"/>
      <c r="C1226"/>
      <c r="D1226"/>
      <c r="E1226"/>
      <c r="F1226"/>
      <c r="G1226"/>
      <c r="H1226"/>
      <c r="I1226"/>
      <c r="J1226"/>
      <c r="K1226"/>
      <c r="L1226"/>
      <c r="M1226"/>
      <c r="N1226"/>
      <c r="O1226"/>
      <c r="P1226"/>
      <c r="Q1226"/>
      <c r="R1226"/>
      <c r="S1226"/>
    </row>
    <row r="1227" spans="1:19" ht="15">
      <c r="A1227"/>
      <c r="B1227"/>
      <c r="C1227"/>
      <c r="D1227"/>
      <c r="E1227"/>
      <c r="F1227"/>
      <c r="G1227"/>
      <c r="H1227"/>
      <c r="I1227"/>
      <c r="J1227"/>
      <c r="K1227"/>
      <c r="L1227"/>
      <c r="M1227"/>
      <c r="N1227"/>
      <c r="O1227"/>
      <c r="P1227"/>
      <c r="Q1227"/>
      <c r="R1227"/>
      <c r="S1227"/>
    </row>
    <row r="1228" spans="1:19" ht="15">
      <c r="A1228"/>
      <c r="B1228"/>
      <c r="C1228"/>
      <c r="D1228"/>
      <c r="E1228"/>
      <c r="F1228"/>
      <c r="G1228"/>
      <c r="H1228"/>
      <c r="I1228"/>
      <c r="J1228"/>
      <c r="K1228"/>
      <c r="L1228"/>
      <c r="M1228"/>
      <c r="N1228"/>
      <c r="O1228"/>
      <c r="P1228"/>
      <c r="Q1228"/>
      <c r="R1228"/>
      <c r="S1228"/>
    </row>
    <row r="1229" spans="1:19" ht="15">
      <c r="A1229"/>
      <c r="B1229"/>
      <c r="C1229"/>
      <c r="D1229"/>
      <c r="E1229"/>
      <c r="F1229"/>
      <c r="G1229"/>
      <c r="H1229"/>
      <c r="I1229"/>
      <c r="J1229"/>
      <c r="K1229"/>
      <c r="L1229"/>
      <c r="M1229"/>
      <c r="N1229"/>
      <c r="O1229"/>
      <c r="P1229"/>
      <c r="Q1229"/>
      <c r="R1229"/>
      <c r="S1229"/>
    </row>
    <row r="1230" spans="1:19" ht="15">
      <c r="A1230"/>
      <c r="B1230"/>
      <c r="C1230"/>
      <c r="D1230"/>
      <c r="E1230"/>
      <c r="F1230"/>
      <c r="G1230"/>
      <c r="H1230"/>
      <c r="I1230"/>
      <c r="J1230"/>
      <c r="K1230"/>
      <c r="L1230"/>
      <c r="M1230"/>
      <c r="N1230"/>
      <c r="O1230"/>
      <c r="P1230"/>
      <c r="Q1230"/>
      <c r="R1230"/>
      <c r="S1230"/>
    </row>
    <row r="1231" spans="1:19" ht="15">
      <c r="A1231"/>
      <c r="B1231"/>
      <c r="C1231"/>
      <c r="D1231"/>
      <c r="E1231"/>
      <c r="F1231"/>
      <c r="G1231"/>
      <c r="H1231"/>
      <c r="I1231"/>
      <c r="J1231"/>
      <c r="K1231"/>
      <c r="L1231"/>
      <c r="M1231"/>
      <c r="N1231"/>
      <c r="O1231"/>
      <c r="P1231"/>
      <c r="Q1231"/>
      <c r="R1231"/>
      <c r="S1231"/>
    </row>
    <row r="1232" spans="1:19" ht="15">
      <c r="A1232"/>
      <c r="B1232"/>
      <c r="C1232"/>
      <c r="D1232"/>
      <c r="E1232"/>
      <c r="F1232"/>
      <c r="G1232"/>
      <c r="H1232"/>
      <c r="I1232"/>
      <c r="J1232"/>
      <c r="K1232"/>
      <c r="L1232"/>
      <c r="M1232"/>
      <c r="N1232"/>
      <c r="O1232"/>
      <c r="P1232"/>
      <c r="Q1232"/>
      <c r="R1232"/>
      <c r="S1232"/>
    </row>
    <row r="1233" spans="1:19" ht="15">
      <c r="A1233"/>
      <c r="B1233"/>
      <c r="C1233"/>
      <c r="D1233"/>
      <c r="E1233"/>
      <c r="F1233"/>
      <c r="G1233"/>
      <c r="H1233"/>
      <c r="I1233"/>
      <c r="J1233"/>
      <c r="K1233"/>
      <c r="L1233"/>
      <c r="M1233"/>
      <c r="N1233"/>
      <c r="O1233"/>
      <c r="P1233"/>
      <c r="Q1233"/>
      <c r="R1233"/>
      <c r="S1233"/>
    </row>
    <row r="1234" spans="1:19" ht="15">
      <c r="A1234"/>
      <c r="B1234"/>
      <c r="C1234"/>
      <c r="D1234"/>
      <c r="E1234"/>
      <c r="F1234"/>
      <c r="G1234"/>
      <c r="H1234"/>
      <c r="I1234"/>
      <c r="J1234"/>
      <c r="K1234"/>
      <c r="L1234"/>
      <c r="M1234"/>
      <c r="N1234"/>
      <c r="O1234"/>
      <c r="P1234"/>
      <c r="Q1234"/>
      <c r="R1234"/>
      <c r="S1234"/>
    </row>
    <row r="1235" spans="1:19" ht="15">
      <c r="A1235"/>
      <c r="B1235"/>
      <c r="C1235"/>
      <c r="D1235"/>
      <c r="E1235"/>
      <c r="F1235"/>
      <c r="G1235"/>
      <c r="H1235"/>
      <c r="I1235"/>
      <c r="J1235"/>
      <c r="K1235"/>
      <c r="L1235"/>
      <c r="M1235"/>
      <c r="N1235"/>
      <c r="O1235"/>
      <c r="P1235"/>
      <c r="Q1235"/>
      <c r="R1235"/>
      <c r="S1235"/>
    </row>
    <row r="1236" spans="1:19" ht="15">
      <c r="A1236"/>
      <c r="B1236"/>
      <c r="C1236"/>
      <c r="D1236"/>
      <c r="E1236"/>
      <c r="F1236"/>
      <c r="G1236"/>
      <c r="H1236"/>
      <c r="I1236"/>
      <c r="J1236"/>
      <c r="K1236"/>
      <c r="L1236"/>
      <c r="M1236"/>
      <c r="N1236"/>
      <c r="O1236"/>
      <c r="P1236"/>
      <c r="Q1236"/>
      <c r="R1236"/>
      <c r="S1236"/>
    </row>
    <row r="1237" spans="1:19" ht="15">
      <c r="A1237"/>
      <c r="B1237"/>
      <c r="C1237"/>
      <c r="D1237"/>
      <c r="E1237"/>
      <c r="F1237"/>
      <c r="G1237"/>
      <c r="H1237"/>
      <c r="I1237"/>
      <c r="J1237"/>
      <c r="K1237"/>
      <c r="L1237"/>
      <c r="M1237"/>
      <c r="N1237"/>
      <c r="O1237"/>
      <c r="P1237"/>
      <c r="Q1237"/>
      <c r="R1237"/>
      <c r="S1237"/>
    </row>
    <row r="1238" spans="1:19" ht="15">
      <c r="A1238"/>
      <c r="B1238"/>
      <c r="C1238"/>
      <c r="D1238"/>
      <c r="E1238"/>
      <c r="F1238"/>
      <c r="G1238"/>
      <c r="H1238"/>
      <c r="I1238"/>
      <c r="J1238"/>
      <c r="K1238"/>
      <c r="L1238"/>
      <c r="M1238"/>
      <c r="N1238"/>
      <c r="O1238"/>
      <c r="P1238"/>
      <c r="Q1238"/>
      <c r="R1238"/>
      <c r="S1238"/>
    </row>
    <row r="1239" spans="1:19" ht="15">
      <c r="A1239"/>
      <c r="B1239"/>
      <c r="C1239"/>
      <c r="D1239"/>
      <c r="E1239"/>
      <c r="F1239"/>
      <c r="G1239"/>
      <c r="H1239"/>
      <c r="I1239"/>
      <c r="J1239"/>
      <c r="K1239"/>
      <c r="L1239"/>
      <c r="M1239"/>
      <c r="N1239"/>
      <c r="O1239"/>
      <c r="P1239"/>
      <c r="Q1239"/>
      <c r="R1239"/>
      <c r="S1239"/>
    </row>
    <row r="1240" spans="1:19" ht="15">
      <c r="A1240"/>
      <c r="B1240"/>
      <c r="C1240"/>
      <c r="D1240"/>
      <c r="E1240"/>
      <c r="F1240"/>
      <c r="G1240"/>
      <c r="H1240"/>
      <c r="I1240"/>
      <c r="J1240"/>
      <c r="K1240"/>
      <c r="L1240"/>
      <c r="M1240"/>
      <c r="N1240"/>
      <c r="O1240"/>
      <c r="P1240"/>
      <c r="Q1240"/>
      <c r="R1240"/>
      <c r="S1240"/>
    </row>
    <row r="1241" spans="1:19" ht="15">
      <c r="A1241"/>
      <c r="B1241"/>
      <c r="C1241"/>
      <c r="D1241"/>
      <c r="E1241"/>
      <c r="F1241"/>
      <c r="G1241"/>
      <c r="H1241"/>
      <c r="I1241"/>
      <c r="J1241"/>
      <c r="K1241"/>
      <c r="L1241"/>
      <c r="M1241"/>
      <c r="N1241"/>
      <c r="O1241"/>
      <c r="P1241"/>
      <c r="Q1241"/>
      <c r="R1241"/>
      <c r="S1241"/>
    </row>
    <row r="1242" spans="1:19" ht="15">
      <c r="A1242"/>
      <c r="B1242"/>
      <c r="C1242"/>
      <c r="D1242"/>
      <c r="E1242"/>
      <c r="F1242"/>
      <c r="G1242"/>
      <c r="H1242"/>
      <c r="I1242"/>
      <c r="J1242"/>
      <c r="K1242"/>
      <c r="L1242"/>
      <c r="M1242"/>
      <c r="N1242"/>
      <c r="O1242"/>
      <c r="P1242"/>
      <c r="Q1242"/>
      <c r="R1242"/>
      <c r="S1242"/>
    </row>
    <row r="1243" spans="1:19" ht="15">
      <c r="A1243"/>
      <c r="B1243"/>
      <c r="C1243"/>
      <c r="D1243"/>
      <c r="E1243"/>
      <c r="F1243"/>
      <c r="G1243"/>
      <c r="H1243"/>
      <c r="I1243"/>
      <c r="J1243"/>
      <c r="K1243"/>
      <c r="L1243"/>
      <c r="M1243"/>
      <c r="N1243"/>
      <c r="O1243"/>
      <c r="P1243"/>
      <c r="Q1243"/>
      <c r="R1243"/>
      <c r="S1243"/>
    </row>
    <row r="1244" spans="1:19" ht="15">
      <c r="A1244"/>
      <c r="B1244"/>
      <c r="C1244"/>
      <c r="D1244"/>
      <c r="E1244"/>
      <c r="F1244"/>
      <c r="G1244"/>
      <c r="H1244"/>
      <c r="I1244"/>
      <c r="J1244"/>
      <c r="K1244"/>
      <c r="L1244"/>
      <c r="M1244"/>
      <c r="N1244"/>
      <c r="O1244"/>
      <c r="P1244"/>
      <c r="Q1244"/>
      <c r="R1244"/>
      <c r="S1244"/>
    </row>
    <row r="1245" spans="1:19" ht="15">
      <c r="A1245"/>
      <c r="B1245"/>
      <c r="C1245"/>
      <c r="D1245"/>
      <c r="E1245"/>
      <c r="F1245"/>
      <c r="G1245"/>
      <c r="H1245"/>
      <c r="I1245"/>
      <c r="J1245"/>
      <c r="K1245"/>
      <c r="L1245"/>
      <c r="M1245"/>
      <c r="N1245"/>
      <c r="O1245"/>
      <c r="P1245"/>
      <c r="Q1245"/>
      <c r="R1245"/>
      <c r="S1245"/>
    </row>
    <row r="1246" spans="1:19" ht="15">
      <c r="A1246"/>
      <c r="B1246"/>
      <c r="C1246"/>
      <c r="D1246"/>
      <c r="E1246"/>
      <c r="F1246"/>
      <c r="G1246"/>
      <c r="H1246"/>
      <c r="I1246"/>
      <c r="J1246"/>
      <c r="K1246"/>
      <c r="L1246"/>
      <c r="M1246"/>
      <c r="N1246"/>
      <c r="O1246"/>
      <c r="P1246"/>
      <c r="Q1246"/>
      <c r="R1246"/>
      <c r="S1246"/>
    </row>
    <row r="1247" spans="1:19" ht="15">
      <c r="A1247"/>
      <c r="B1247"/>
      <c r="C1247"/>
      <c r="D1247"/>
      <c r="E1247"/>
      <c r="F1247"/>
      <c r="G1247"/>
      <c r="H1247"/>
      <c r="I1247"/>
      <c r="J1247"/>
      <c r="K1247"/>
      <c r="L1247"/>
      <c r="M1247"/>
      <c r="N1247"/>
      <c r="O1247"/>
      <c r="P1247"/>
      <c r="Q1247"/>
      <c r="R1247"/>
      <c r="S1247"/>
    </row>
    <row r="1248" spans="1:19" ht="15">
      <c r="A1248"/>
      <c r="B1248"/>
      <c r="C1248"/>
      <c r="D1248"/>
      <c r="E1248"/>
      <c r="F1248"/>
      <c r="G1248"/>
      <c r="H1248"/>
      <c r="I1248"/>
      <c r="J1248"/>
      <c r="K1248"/>
      <c r="L1248"/>
      <c r="M1248"/>
      <c r="N1248"/>
      <c r="O1248"/>
      <c r="P1248"/>
      <c r="Q1248"/>
      <c r="R1248"/>
      <c r="S1248"/>
    </row>
    <row r="1249" spans="1:19" ht="15">
      <c r="A1249"/>
      <c r="B1249"/>
      <c r="C1249"/>
      <c r="D1249"/>
      <c r="E1249"/>
      <c r="F1249"/>
      <c r="G1249"/>
      <c r="H1249"/>
      <c r="I1249"/>
      <c r="J1249"/>
      <c r="K1249"/>
      <c r="L1249"/>
      <c r="M1249"/>
      <c r="N1249"/>
      <c r="O1249"/>
      <c r="P1249"/>
      <c r="Q1249"/>
      <c r="R1249"/>
      <c r="S1249"/>
    </row>
    <row r="1250" spans="1:19" ht="15">
      <c r="A1250"/>
      <c r="B1250"/>
      <c r="C1250"/>
      <c r="D1250"/>
      <c r="E1250"/>
      <c r="F1250"/>
      <c r="G1250"/>
      <c r="H1250"/>
      <c r="I1250"/>
      <c r="J1250"/>
      <c r="K1250"/>
      <c r="L1250"/>
      <c r="M1250"/>
      <c r="N1250"/>
      <c r="O1250"/>
      <c r="P1250"/>
      <c r="Q1250"/>
      <c r="R1250"/>
      <c r="S1250"/>
    </row>
    <row r="1251" spans="1:19" ht="15">
      <c r="A1251"/>
      <c r="B1251"/>
      <c r="C1251"/>
      <c r="D1251"/>
      <c r="E1251"/>
      <c r="F1251"/>
      <c r="G1251"/>
      <c r="H1251"/>
      <c r="I1251"/>
      <c r="J1251"/>
      <c r="K1251"/>
      <c r="L1251"/>
      <c r="M1251"/>
      <c r="N1251"/>
      <c r="O1251"/>
      <c r="P1251"/>
      <c r="Q1251"/>
      <c r="R1251"/>
      <c r="S1251"/>
    </row>
    <row r="1252" spans="1:19" ht="15">
      <c r="A1252"/>
      <c r="B1252"/>
      <c r="C1252"/>
      <c r="D1252"/>
      <c r="E1252"/>
      <c r="F1252"/>
      <c r="G1252"/>
      <c r="H1252"/>
      <c r="I1252"/>
      <c r="J1252"/>
      <c r="K1252"/>
      <c r="L1252"/>
      <c r="M1252"/>
      <c r="N1252"/>
      <c r="O1252"/>
      <c r="P1252"/>
      <c r="Q1252"/>
      <c r="R1252"/>
      <c r="S1252"/>
    </row>
    <row r="1253" spans="1:19" ht="15">
      <c r="A1253"/>
      <c r="B1253"/>
      <c r="C1253"/>
      <c r="D1253"/>
      <c r="E1253"/>
      <c r="F1253"/>
      <c r="G1253"/>
      <c r="H1253"/>
      <c r="I1253"/>
      <c r="J1253"/>
      <c r="K1253"/>
      <c r="L1253"/>
      <c r="M1253"/>
      <c r="N1253"/>
      <c r="O1253"/>
      <c r="P1253"/>
      <c r="Q1253"/>
      <c r="R1253"/>
      <c r="S1253"/>
    </row>
    <row r="1254" spans="1:19" ht="15">
      <c r="A1254"/>
      <c r="B1254"/>
      <c r="C1254"/>
      <c r="D1254"/>
      <c r="E1254"/>
      <c r="F1254"/>
      <c r="G1254"/>
      <c r="H1254"/>
      <c r="I1254"/>
      <c r="J1254"/>
      <c r="K1254"/>
      <c r="L1254"/>
      <c r="M1254"/>
      <c r="N1254"/>
      <c r="O1254"/>
      <c r="P1254"/>
      <c r="Q1254"/>
      <c r="R1254"/>
      <c r="S1254"/>
    </row>
    <row r="1255" spans="1:19" ht="15">
      <c r="A1255"/>
      <c r="B1255"/>
      <c r="C1255"/>
      <c r="D1255"/>
      <c r="E1255"/>
      <c r="F1255"/>
      <c r="G1255"/>
      <c r="H1255"/>
      <c r="I1255"/>
      <c r="J1255"/>
      <c r="K1255"/>
      <c r="L1255"/>
      <c r="M1255"/>
      <c r="N1255"/>
      <c r="O1255"/>
      <c r="P1255"/>
      <c r="Q1255"/>
      <c r="R1255"/>
      <c r="S1255"/>
    </row>
    <row r="1256" spans="1:19" ht="15">
      <c r="A1256"/>
      <c r="B1256"/>
      <c r="C1256"/>
      <c r="D1256"/>
      <c r="E1256"/>
      <c r="F1256"/>
      <c r="G1256"/>
      <c r="H1256"/>
      <c r="I1256"/>
      <c r="J1256"/>
      <c r="K1256"/>
      <c r="L1256"/>
      <c r="M1256"/>
      <c r="N1256"/>
      <c r="O1256"/>
      <c r="P1256"/>
      <c r="Q1256"/>
      <c r="R1256"/>
      <c r="S1256"/>
    </row>
    <row r="1257" spans="1:19" ht="15">
      <c r="A1257"/>
      <c r="B1257"/>
      <c r="C1257"/>
      <c r="D1257"/>
      <c r="E1257"/>
      <c r="F1257"/>
      <c r="G1257"/>
      <c r="H1257"/>
      <c r="I1257"/>
      <c r="J1257"/>
      <c r="K1257"/>
      <c r="L1257"/>
      <c r="M1257"/>
      <c r="N1257"/>
      <c r="O1257"/>
      <c r="P1257"/>
      <c r="Q1257"/>
      <c r="R1257"/>
      <c r="S1257"/>
    </row>
    <row r="1258" spans="1:19" ht="15">
      <c r="A1258"/>
      <c r="B1258"/>
      <c r="C1258"/>
      <c r="D1258"/>
      <c r="E1258"/>
      <c r="F1258"/>
      <c r="G1258"/>
      <c r="H1258"/>
      <c r="I1258"/>
      <c r="J1258"/>
      <c r="K1258"/>
      <c r="L1258"/>
      <c r="M1258"/>
      <c r="N1258"/>
      <c r="O1258"/>
      <c r="P1258"/>
      <c r="Q1258"/>
      <c r="R1258"/>
      <c r="S1258"/>
    </row>
    <row r="1259" spans="1:19" ht="15">
      <c r="A1259"/>
      <c r="B1259"/>
      <c r="C1259"/>
      <c r="D1259"/>
      <c r="E1259"/>
      <c r="F1259"/>
      <c r="G1259"/>
      <c r="H1259"/>
      <c r="I1259"/>
      <c r="J1259"/>
      <c r="K1259"/>
      <c r="L1259"/>
      <c r="M1259"/>
      <c r="N1259"/>
      <c r="O1259"/>
      <c r="P1259"/>
      <c r="Q1259"/>
      <c r="R1259"/>
      <c r="S1259"/>
    </row>
    <row r="1260" spans="1:19" ht="15">
      <c r="A1260"/>
      <c r="B1260"/>
      <c r="C1260"/>
      <c r="D1260"/>
      <c r="E1260"/>
      <c r="F1260"/>
      <c r="G1260"/>
      <c r="H1260"/>
      <c r="I1260"/>
      <c r="J1260"/>
      <c r="K1260"/>
      <c r="L1260"/>
      <c r="M1260"/>
      <c r="N1260"/>
      <c r="O1260"/>
      <c r="P1260"/>
      <c r="Q1260"/>
      <c r="R1260"/>
      <c r="S1260"/>
    </row>
    <row r="1261" spans="1:19" ht="15">
      <c r="A1261"/>
      <c r="B1261"/>
      <c r="C1261"/>
      <c r="D1261"/>
      <c r="E1261"/>
      <c r="F1261"/>
      <c r="G1261"/>
      <c r="H1261"/>
      <c r="I1261"/>
      <c r="J1261"/>
      <c r="K1261"/>
      <c r="L1261"/>
      <c r="M1261"/>
      <c r="N1261"/>
      <c r="O1261"/>
      <c r="P1261"/>
      <c r="Q1261"/>
      <c r="R1261"/>
      <c r="S1261"/>
    </row>
    <row r="1262" spans="1:19" ht="15">
      <c r="A1262"/>
      <c r="B1262"/>
      <c r="C1262"/>
      <c r="D1262"/>
      <c r="E1262"/>
      <c r="F1262"/>
      <c r="G1262"/>
      <c r="H1262"/>
      <c r="I1262"/>
      <c r="J1262"/>
      <c r="K1262"/>
      <c r="L1262"/>
      <c r="M1262"/>
      <c r="N1262"/>
      <c r="O1262"/>
      <c r="P1262"/>
      <c r="Q1262"/>
      <c r="R1262"/>
      <c r="S1262"/>
    </row>
    <row r="1263" spans="1:19" ht="15">
      <c r="A1263"/>
      <c r="B1263"/>
      <c r="C1263"/>
      <c r="D1263"/>
      <c r="E1263"/>
      <c r="F1263"/>
      <c r="G1263"/>
      <c r="H1263"/>
      <c r="I1263"/>
      <c r="J1263"/>
      <c r="K1263"/>
      <c r="L1263"/>
      <c r="M1263"/>
      <c r="N1263"/>
      <c r="O1263"/>
      <c r="P1263"/>
      <c r="Q1263"/>
      <c r="R1263"/>
      <c r="S1263"/>
    </row>
    <row r="1264" spans="1:19" ht="15">
      <c r="A1264"/>
      <c r="B1264"/>
      <c r="C1264"/>
      <c r="D1264"/>
      <c r="E1264"/>
      <c r="F1264"/>
      <c r="G1264"/>
      <c r="H1264"/>
      <c r="I1264"/>
      <c r="J1264"/>
      <c r="K1264"/>
      <c r="L1264"/>
      <c r="M1264"/>
      <c r="N1264"/>
      <c r="O1264"/>
      <c r="P1264"/>
      <c r="Q1264"/>
      <c r="R1264"/>
      <c r="S1264"/>
    </row>
    <row r="1265" spans="1:19" ht="15">
      <c r="A1265"/>
      <c r="B1265"/>
      <c r="C1265"/>
      <c r="D1265"/>
      <c r="E1265"/>
      <c r="F1265"/>
      <c r="G1265"/>
      <c r="H1265"/>
      <c r="I1265"/>
      <c r="J1265"/>
      <c r="K1265"/>
      <c r="L1265"/>
      <c r="M1265"/>
      <c r="N1265"/>
      <c r="O1265"/>
      <c r="P1265"/>
      <c r="Q1265"/>
      <c r="R1265"/>
      <c r="S1265"/>
    </row>
    <row r="1266" spans="1:19" ht="15">
      <c r="A1266"/>
      <c r="B1266"/>
      <c r="C1266"/>
      <c r="D1266"/>
      <c r="E1266"/>
      <c r="F1266"/>
      <c r="G1266"/>
      <c r="H1266"/>
      <c r="I1266"/>
      <c r="J1266"/>
      <c r="K1266"/>
      <c r="L1266"/>
      <c r="M1266"/>
      <c r="N1266"/>
      <c r="O1266"/>
      <c r="P1266"/>
      <c r="Q1266"/>
      <c r="R1266"/>
      <c r="S1266"/>
    </row>
    <row r="1267" spans="1:19" ht="15">
      <c r="A1267"/>
      <c r="B1267"/>
      <c r="C1267"/>
      <c r="D1267"/>
      <c r="E1267"/>
      <c r="F1267"/>
      <c r="G1267"/>
      <c r="H1267"/>
      <c r="I1267"/>
      <c r="J1267"/>
      <c r="K1267"/>
      <c r="L1267"/>
      <c r="M1267"/>
      <c r="N1267"/>
      <c r="O1267"/>
      <c r="P1267"/>
      <c r="Q1267"/>
      <c r="R1267"/>
      <c r="S1267"/>
    </row>
    <row r="1268" spans="1:19" ht="15">
      <c r="A1268"/>
      <c r="B1268"/>
      <c r="C1268"/>
      <c r="D1268"/>
      <c r="E1268"/>
      <c r="F1268"/>
      <c r="G1268"/>
      <c r="H1268"/>
      <c r="I1268"/>
      <c r="J1268"/>
      <c r="K1268"/>
      <c r="L1268"/>
      <c r="M1268"/>
      <c r="N1268"/>
      <c r="O1268"/>
      <c r="P1268"/>
      <c r="Q1268"/>
      <c r="R1268"/>
      <c r="S1268"/>
    </row>
    <row r="1269" spans="1:19" ht="15">
      <c r="A1269"/>
      <c r="B1269"/>
      <c r="C1269"/>
      <c r="D1269"/>
      <c r="E1269"/>
      <c r="F1269"/>
      <c r="G1269"/>
      <c r="H1269"/>
      <c r="I1269"/>
      <c r="J1269"/>
      <c r="K1269"/>
      <c r="L1269"/>
      <c r="M1269"/>
      <c r="N1269"/>
      <c r="O1269"/>
      <c r="P1269"/>
      <c r="Q1269"/>
      <c r="R1269"/>
      <c r="S1269"/>
    </row>
    <row r="1270" spans="1:19" ht="15">
      <c r="A1270"/>
      <c r="B1270"/>
      <c r="C1270"/>
      <c r="D1270"/>
      <c r="E1270"/>
      <c r="F1270"/>
      <c r="G1270"/>
      <c r="H1270"/>
      <c r="I1270"/>
      <c r="J1270"/>
      <c r="K1270"/>
      <c r="L1270"/>
      <c r="M1270"/>
      <c r="N1270"/>
      <c r="O1270"/>
      <c r="P1270"/>
      <c r="Q1270"/>
      <c r="R1270"/>
      <c r="S1270"/>
    </row>
    <row r="1271" spans="1:19" ht="15">
      <c r="A1271"/>
      <c r="B1271"/>
      <c r="C1271"/>
      <c r="D1271"/>
      <c r="E1271"/>
      <c r="F1271"/>
      <c r="G1271"/>
      <c r="H1271"/>
      <c r="I1271"/>
      <c r="J1271"/>
      <c r="K1271"/>
      <c r="L1271"/>
      <c r="M1271"/>
      <c r="N1271"/>
      <c r="O1271"/>
      <c r="P1271"/>
      <c r="Q1271"/>
      <c r="R1271"/>
      <c r="S1271"/>
    </row>
    <row r="1272" spans="1:19" ht="15">
      <c r="A1272"/>
      <c r="B1272"/>
      <c r="C1272"/>
      <c r="D1272"/>
      <c r="E1272"/>
      <c r="F1272"/>
      <c r="G1272"/>
      <c r="H1272"/>
      <c r="I1272"/>
      <c r="J1272"/>
      <c r="K1272"/>
      <c r="L1272"/>
      <c r="M1272"/>
      <c r="N1272"/>
      <c r="O1272"/>
      <c r="P1272"/>
      <c r="Q1272"/>
      <c r="R1272"/>
      <c r="S1272"/>
    </row>
    <row r="1273" spans="1:19" ht="15">
      <c r="A1273"/>
      <c r="B1273"/>
      <c r="C1273"/>
      <c r="D1273"/>
      <c r="E1273"/>
      <c r="F1273"/>
      <c r="G1273"/>
      <c r="H1273"/>
      <c r="I1273"/>
      <c r="J1273"/>
      <c r="K1273"/>
      <c r="L1273"/>
      <c r="M1273"/>
      <c r="N1273"/>
      <c r="O1273"/>
      <c r="P1273"/>
      <c r="Q1273"/>
      <c r="R1273"/>
      <c r="S1273"/>
    </row>
    <row r="1274" spans="1:19" ht="15">
      <c r="A1274"/>
      <c r="B1274"/>
      <c r="C1274"/>
      <c r="D1274"/>
      <c r="E1274"/>
      <c r="F1274"/>
      <c r="G1274"/>
      <c r="H1274"/>
      <c r="I1274"/>
      <c r="J1274"/>
      <c r="K1274"/>
      <c r="L1274"/>
      <c r="M1274"/>
      <c r="N1274"/>
      <c r="O1274"/>
      <c r="P1274"/>
      <c r="Q1274"/>
      <c r="R1274"/>
      <c r="S1274"/>
    </row>
    <row r="1275" spans="1:19" ht="15">
      <c r="A1275"/>
      <c r="B1275"/>
      <c r="C1275"/>
      <c r="D1275"/>
      <c r="E1275"/>
      <c r="F1275"/>
      <c r="G1275"/>
      <c r="H1275"/>
      <c r="I1275"/>
      <c r="J1275"/>
      <c r="K1275"/>
      <c r="L1275"/>
      <c r="M1275"/>
      <c r="N1275"/>
      <c r="O1275"/>
      <c r="P1275"/>
      <c r="Q1275"/>
      <c r="R1275"/>
      <c r="S1275"/>
    </row>
    <row r="1276" spans="1:19" ht="15">
      <c r="A1276"/>
      <c r="B1276"/>
      <c r="C1276"/>
      <c r="D1276"/>
      <c r="E1276"/>
      <c r="F1276"/>
      <c r="G1276"/>
      <c r="H1276"/>
      <c r="I1276"/>
      <c r="J1276"/>
      <c r="K1276"/>
      <c r="L1276"/>
      <c r="M1276"/>
      <c r="N1276"/>
      <c r="O1276"/>
      <c r="P1276"/>
      <c r="Q1276"/>
      <c r="R1276"/>
      <c r="S1276"/>
    </row>
    <row r="1277" spans="1:19" ht="15">
      <c r="A1277"/>
      <c r="B1277"/>
      <c r="C1277"/>
      <c r="D1277"/>
      <c r="E1277"/>
      <c r="F1277"/>
      <c r="G1277"/>
      <c r="H1277"/>
      <c r="I1277"/>
      <c r="J1277"/>
      <c r="K1277"/>
      <c r="L1277"/>
      <c r="M1277"/>
      <c r="N1277"/>
      <c r="O1277"/>
      <c r="P1277"/>
      <c r="Q1277"/>
      <c r="R1277"/>
      <c r="S1277"/>
    </row>
    <row r="1278" spans="1:19" ht="15">
      <c r="A1278"/>
      <c r="B1278"/>
      <c r="C1278"/>
      <c r="D1278"/>
      <c r="E1278"/>
      <c r="F1278"/>
      <c r="G1278"/>
      <c r="H1278"/>
      <c r="I1278"/>
      <c r="J1278"/>
      <c r="K1278"/>
      <c r="L1278"/>
      <c r="M1278"/>
      <c r="N1278"/>
      <c r="O1278"/>
      <c r="P1278"/>
      <c r="Q1278"/>
      <c r="R1278"/>
      <c r="S1278"/>
    </row>
    <row r="1279" spans="1:19" ht="15">
      <c r="A1279"/>
      <c r="B1279"/>
      <c r="C1279"/>
      <c r="D1279"/>
      <c r="E1279"/>
      <c r="F1279"/>
      <c r="G1279"/>
      <c r="H1279"/>
      <c r="I1279"/>
      <c r="J1279"/>
      <c r="K1279"/>
      <c r="L1279"/>
      <c r="M1279"/>
      <c r="N1279"/>
      <c r="O1279"/>
      <c r="P1279"/>
      <c r="Q1279"/>
      <c r="R1279"/>
      <c r="S1279"/>
    </row>
    <row r="1280" spans="1:19" ht="15">
      <c r="A1280"/>
      <c r="B1280"/>
      <c r="C1280"/>
      <c r="D1280"/>
      <c r="E1280"/>
      <c r="F1280"/>
      <c r="G1280"/>
      <c r="H1280"/>
      <c r="I1280"/>
      <c r="J1280"/>
      <c r="K1280"/>
      <c r="L1280"/>
      <c r="M1280"/>
      <c r="N1280"/>
      <c r="O1280"/>
      <c r="P1280"/>
      <c r="Q1280"/>
      <c r="R1280"/>
      <c r="S1280"/>
    </row>
    <row r="1281" spans="1:19" ht="15">
      <c r="A1281"/>
      <c r="B1281"/>
      <c r="C1281"/>
      <c r="D1281"/>
      <c r="E1281"/>
      <c r="F1281"/>
      <c r="G1281"/>
      <c r="H1281"/>
      <c r="I1281"/>
      <c r="J1281"/>
      <c r="K1281"/>
      <c r="L1281"/>
      <c r="M1281"/>
      <c r="N1281"/>
      <c r="O1281"/>
      <c r="P1281"/>
      <c r="Q1281"/>
      <c r="R1281"/>
      <c r="S1281"/>
    </row>
    <row r="1282" spans="1:19" ht="15">
      <c r="A1282"/>
      <c r="B1282"/>
      <c r="C1282"/>
      <c r="D1282"/>
      <c r="E1282"/>
      <c r="F1282"/>
      <c r="G1282"/>
      <c r="H1282"/>
      <c r="I1282"/>
      <c r="J1282"/>
      <c r="K1282"/>
      <c r="L1282"/>
      <c r="M1282"/>
      <c r="N1282"/>
      <c r="O1282"/>
      <c r="P1282"/>
      <c r="Q1282"/>
      <c r="R1282"/>
      <c r="S1282"/>
    </row>
    <row r="1283" spans="1:19" ht="15">
      <c r="A1283"/>
      <c r="B1283"/>
      <c r="C1283"/>
      <c r="D1283"/>
      <c r="E1283"/>
      <c r="F1283"/>
      <c r="G1283"/>
      <c r="H1283"/>
      <c r="I1283"/>
      <c r="J1283"/>
      <c r="K1283"/>
      <c r="L1283"/>
      <c r="M1283"/>
      <c r="N1283"/>
      <c r="O1283"/>
      <c r="P1283"/>
      <c r="Q1283"/>
      <c r="R1283"/>
      <c r="S1283"/>
    </row>
    <row r="1284" spans="1:19" ht="15">
      <c r="A1284"/>
      <c r="B1284"/>
      <c r="C1284"/>
      <c r="D1284"/>
      <c r="E1284"/>
      <c r="F1284"/>
      <c r="G1284"/>
      <c r="H1284"/>
      <c r="I1284"/>
      <c r="J1284"/>
      <c r="K1284"/>
      <c r="L1284"/>
      <c r="M1284"/>
      <c r="N1284"/>
      <c r="O1284"/>
      <c r="P1284"/>
      <c r="Q1284"/>
      <c r="R1284"/>
      <c r="S1284"/>
    </row>
    <row r="1285" spans="1:19" ht="15">
      <c r="A1285"/>
      <c r="B1285"/>
      <c r="C1285"/>
      <c r="D1285"/>
      <c r="E1285"/>
      <c r="F1285"/>
      <c r="G1285"/>
      <c r="H1285"/>
      <c r="I1285"/>
      <c r="J1285"/>
      <c r="K1285"/>
      <c r="L1285"/>
      <c r="M1285"/>
      <c r="N1285"/>
      <c r="O1285"/>
      <c r="P1285"/>
      <c r="Q1285"/>
      <c r="R1285"/>
      <c r="S1285"/>
    </row>
    <row r="1286" spans="1:19" ht="15">
      <c r="A1286"/>
      <c r="B1286"/>
      <c r="C1286"/>
      <c r="D1286"/>
      <c r="E1286"/>
      <c r="F1286"/>
      <c r="G1286"/>
      <c r="H1286"/>
      <c r="I1286"/>
      <c r="J1286"/>
      <c r="K1286"/>
      <c r="L1286"/>
      <c r="M1286"/>
      <c r="N1286"/>
      <c r="O1286"/>
      <c r="P1286"/>
      <c r="Q1286"/>
      <c r="R1286"/>
      <c r="S1286"/>
    </row>
    <row r="1287" spans="1:19" ht="15">
      <c r="A1287"/>
      <c r="B1287"/>
      <c r="C1287"/>
      <c r="D1287"/>
      <c r="E1287"/>
      <c r="F1287"/>
      <c r="G1287"/>
      <c r="H1287"/>
      <c r="I1287"/>
      <c r="J1287"/>
      <c r="K1287"/>
      <c r="L1287"/>
      <c r="M1287"/>
      <c r="N1287"/>
      <c r="O1287"/>
      <c r="P1287"/>
      <c r="Q1287"/>
      <c r="R1287"/>
      <c r="S1287"/>
    </row>
    <row r="1288" spans="1:19" ht="15">
      <c r="A1288"/>
      <c r="B1288"/>
      <c r="C1288"/>
      <c r="D1288"/>
      <c r="E1288"/>
      <c r="F1288"/>
      <c r="G1288"/>
      <c r="H1288"/>
      <c r="I1288"/>
      <c r="J1288"/>
      <c r="K1288"/>
      <c r="L1288"/>
      <c r="M1288"/>
      <c r="N1288"/>
      <c r="O1288"/>
      <c r="P1288"/>
      <c r="Q1288"/>
      <c r="R1288"/>
      <c r="S1288"/>
    </row>
    <row r="1289" spans="1:19" ht="15">
      <c r="A1289"/>
      <c r="B1289"/>
      <c r="C1289"/>
      <c r="D1289"/>
      <c r="E1289"/>
      <c r="F1289"/>
      <c r="G1289"/>
      <c r="H1289"/>
      <c r="I1289"/>
      <c r="J1289"/>
      <c r="K1289"/>
      <c r="L1289"/>
      <c r="M1289"/>
      <c r="N1289"/>
      <c r="O1289"/>
      <c r="P1289"/>
      <c r="Q1289"/>
      <c r="R1289"/>
      <c r="S1289"/>
    </row>
    <row r="1290" spans="1:19" ht="15">
      <c r="A1290"/>
      <c r="B1290"/>
      <c r="C1290"/>
      <c r="D1290"/>
      <c r="E1290"/>
      <c r="F1290"/>
      <c r="G1290"/>
      <c r="H1290"/>
      <c r="I1290"/>
      <c r="J1290"/>
      <c r="K1290"/>
      <c r="L1290"/>
      <c r="M1290"/>
      <c r="N1290"/>
      <c r="O1290"/>
      <c r="P1290"/>
      <c r="Q1290"/>
      <c r="R1290"/>
      <c r="S1290"/>
    </row>
    <row r="1291" spans="1:19" ht="15">
      <c r="A1291"/>
      <c r="B1291"/>
      <c r="C1291"/>
      <c r="D1291"/>
      <c r="E1291"/>
      <c r="F1291"/>
      <c r="G1291"/>
      <c r="H1291"/>
      <c r="I1291"/>
      <c r="J1291"/>
      <c r="K1291"/>
      <c r="L1291"/>
      <c r="M1291"/>
      <c r="N1291"/>
      <c r="O1291"/>
      <c r="P1291"/>
      <c r="Q1291"/>
      <c r="R1291"/>
      <c r="S1291"/>
    </row>
    <row r="1292" spans="1:19" ht="15">
      <c r="A1292"/>
      <c r="B1292"/>
      <c r="C1292"/>
      <c r="D1292"/>
      <c r="E1292"/>
      <c r="F1292"/>
      <c r="G1292"/>
      <c r="H1292"/>
      <c r="I1292"/>
      <c r="J1292"/>
      <c r="K1292"/>
      <c r="L1292"/>
      <c r="M1292"/>
      <c r="N1292"/>
      <c r="O1292"/>
      <c r="P1292"/>
      <c r="Q1292"/>
      <c r="R1292"/>
      <c r="S1292"/>
    </row>
    <row r="1293" spans="1:19" ht="15">
      <c r="A1293"/>
      <c r="B1293"/>
      <c r="C1293"/>
      <c r="D1293"/>
      <c r="E1293"/>
      <c r="F1293"/>
      <c r="G1293"/>
      <c r="H1293"/>
      <c r="I1293"/>
      <c r="J1293"/>
      <c r="K1293"/>
      <c r="L1293"/>
      <c r="M1293"/>
      <c r="N1293"/>
      <c r="O1293"/>
      <c r="P1293"/>
      <c r="Q1293"/>
      <c r="R1293"/>
      <c r="S1293"/>
    </row>
    <row r="1294" spans="1:19" ht="15">
      <c r="A1294"/>
      <c r="B1294"/>
      <c r="C1294"/>
      <c r="D1294"/>
      <c r="E1294"/>
      <c r="F1294"/>
      <c r="G1294"/>
      <c r="H1294"/>
      <c r="I1294"/>
      <c r="J1294"/>
      <c r="K1294"/>
      <c r="L1294"/>
      <c r="M1294"/>
      <c r="N1294"/>
      <c r="O1294"/>
      <c r="P1294"/>
      <c r="Q1294"/>
      <c r="R1294"/>
      <c r="S1294"/>
    </row>
    <row r="1295" spans="1:19" ht="15">
      <c r="A1295"/>
      <c r="B1295"/>
      <c r="C1295"/>
      <c r="D1295"/>
      <c r="E1295"/>
      <c r="F1295"/>
      <c r="G1295"/>
      <c r="H1295"/>
      <c r="I1295"/>
      <c r="J1295"/>
      <c r="K1295"/>
      <c r="L1295"/>
      <c r="M1295"/>
      <c r="N1295"/>
      <c r="O1295"/>
      <c r="P1295"/>
      <c r="Q1295"/>
      <c r="R1295"/>
      <c r="S1295"/>
    </row>
    <row r="1296" spans="1:19" ht="15">
      <c r="A1296"/>
      <c r="B1296"/>
      <c r="C1296"/>
      <c r="D1296"/>
      <c r="E1296"/>
      <c r="F1296"/>
      <c r="G1296"/>
      <c r="H1296"/>
      <c r="I1296"/>
      <c r="J1296"/>
      <c r="K1296"/>
      <c r="L1296"/>
      <c r="M1296"/>
      <c r="N1296"/>
      <c r="O1296"/>
      <c r="P1296"/>
      <c r="Q1296"/>
      <c r="R1296"/>
      <c r="S1296"/>
    </row>
    <row r="1297" spans="1:19" ht="15">
      <c r="A1297"/>
      <c r="B1297"/>
      <c r="C1297"/>
      <c r="D1297"/>
      <c r="E1297"/>
      <c r="F1297"/>
      <c r="G1297"/>
      <c r="H1297"/>
      <c r="I1297"/>
      <c r="J1297"/>
      <c r="K1297"/>
      <c r="L1297"/>
      <c r="M1297"/>
      <c r="N1297"/>
      <c r="O1297"/>
      <c r="P1297"/>
      <c r="Q1297"/>
      <c r="R1297"/>
      <c r="S1297"/>
    </row>
    <row r="1298" spans="1:19" ht="15">
      <c r="A1298"/>
      <c r="B1298"/>
      <c r="C1298"/>
      <c r="D1298"/>
      <c r="E1298"/>
      <c r="F1298"/>
      <c r="G1298"/>
      <c r="H1298"/>
      <c r="I1298"/>
      <c r="J1298"/>
      <c r="K1298"/>
      <c r="L1298"/>
      <c r="M1298"/>
      <c r="N1298"/>
      <c r="O1298"/>
      <c r="P1298"/>
      <c r="Q1298"/>
      <c r="R1298"/>
      <c r="S1298"/>
    </row>
    <row r="1299" spans="1:19" ht="15">
      <c r="A1299"/>
      <c r="B1299"/>
      <c r="C1299"/>
      <c r="D1299"/>
      <c r="E1299"/>
      <c r="F1299"/>
      <c r="G1299"/>
      <c r="H1299"/>
      <c r="I1299"/>
      <c r="J1299"/>
      <c r="K1299"/>
      <c r="L1299"/>
      <c r="M1299"/>
      <c r="N1299"/>
      <c r="O1299"/>
      <c r="P1299"/>
      <c r="Q1299"/>
      <c r="R1299"/>
      <c r="S1299"/>
    </row>
    <row r="1300" spans="1:19" ht="15">
      <c r="A1300"/>
      <c r="B1300"/>
      <c r="C1300"/>
      <c r="D1300"/>
      <c r="E1300"/>
      <c r="F1300"/>
      <c r="G1300"/>
      <c r="H1300"/>
      <c r="I1300"/>
      <c r="J1300"/>
      <c r="K1300"/>
      <c r="L1300"/>
      <c r="M1300"/>
      <c r="N1300"/>
      <c r="O1300"/>
      <c r="P1300"/>
      <c r="Q1300"/>
      <c r="R1300"/>
      <c r="S1300"/>
    </row>
    <row r="1301" spans="1:19" ht="15">
      <c r="A1301"/>
      <c r="B1301"/>
      <c r="C1301"/>
      <c r="D1301"/>
      <c r="E1301"/>
      <c r="F1301"/>
      <c r="G1301"/>
      <c r="H1301"/>
      <c r="I1301"/>
      <c r="J1301"/>
      <c r="K1301"/>
      <c r="L1301"/>
      <c r="M1301"/>
      <c r="N1301"/>
      <c r="O1301"/>
      <c r="P1301"/>
      <c r="Q1301"/>
      <c r="R1301"/>
      <c r="S1301"/>
    </row>
    <row r="1302" spans="1:19" ht="15">
      <c r="A1302"/>
      <c r="B1302"/>
      <c r="C1302"/>
      <c r="D1302"/>
      <c r="E1302"/>
      <c r="F1302"/>
      <c r="G1302"/>
      <c r="H1302"/>
      <c r="I1302"/>
      <c r="J1302"/>
      <c r="K1302"/>
      <c r="L1302"/>
      <c r="M1302"/>
      <c r="N1302"/>
      <c r="O1302"/>
      <c r="P1302"/>
      <c r="Q1302"/>
      <c r="R1302"/>
      <c r="S1302"/>
    </row>
    <row r="1303" spans="1:19" ht="15">
      <c r="A1303"/>
      <c r="B1303"/>
      <c r="C1303"/>
      <c r="D1303"/>
      <c r="E1303"/>
      <c r="F1303"/>
      <c r="G1303"/>
      <c r="H1303"/>
      <c r="I1303"/>
      <c r="J1303"/>
      <c r="K1303"/>
      <c r="L1303"/>
      <c r="M1303"/>
      <c r="N1303"/>
      <c r="O1303"/>
      <c r="P1303"/>
      <c r="Q1303"/>
      <c r="R1303"/>
      <c r="S1303"/>
    </row>
    <row r="1304" spans="1:19" ht="15">
      <c r="A1304"/>
      <c r="B1304"/>
      <c r="C1304"/>
      <c r="D1304"/>
      <c r="E1304"/>
      <c r="F1304"/>
      <c r="G1304"/>
      <c r="H1304"/>
      <c r="I1304"/>
      <c r="J1304"/>
      <c r="K1304"/>
      <c r="L1304"/>
      <c r="M1304"/>
      <c r="N1304"/>
      <c r="O1304"/>
      <c r="P1304"/>
      <c r="Q1304"/>
      <c r="R1304"/>
      <c r="S1304"/>
    </row>
    <row r="1305" spans="1:19" ht="15">
      <c r="A1305"/>
      <c r="B1305"/>
      <c r="C1305"/>
      <c r="D1305"/>
      <c r="E1305"/>
      <c r="F1305"/>
      <c r="G1305"/>
      <c r="H1305"/>
      <c r="I1305"/>
      <c r="J1305"/>
      <c r="K1305"/>
      <c r="L1305"/>
      <c r="M1305"/>
      <c r="N1305"/>
      <c r="O1305"/>
      <c r="P1305"/>
      <c r="Q1305"/>
      <c r="R1305"/>
      <c r="S1305"/>
    </row>
    <row r="1306" spans="1:19" ht="15">
      <c r="A1306"/>
      <c r="B1306"/>
      <c r="C1306"/>
      <c r="D1306"/>
      <c r="E1306"/>
      <c r="F1306"/>
      <c r="G1306"/>
      <c r="H1306"/>
      <c r="I1306"/>
      <c r="J1306"/>
      <c r="K1306"/>
      <c r="L1306"/>
      <c r="M1306"/>
      <c r="N1306"/>
      <c r="O1306"/>
      <c r="P1306"/>
      <c r="Q1306"/>
      <c r="R1306"/>
      <c r="S1306"/>
    </row>
    <row r="1307" spans="1:19" ht="15">
      <c r="A1307"/>
      <c r="B1307"/>
      <c r="C1307"/>
      <c r="D1307"/>
      <c r="E1307"/>
      <c r="F1307"/>
      <c r="G1307"/>
      <c r="H1307"/>
      <c r="I1307"/>
      <c r="J1307"/>
      <c r="K1307"/>
      <c r="L1307"/>
      <c r="M1307"/>
      <c r="N1307"/>
      <c r="O1307"/>
      <c r="P1307"/>
      <c r="Q1307"/>
      <c r="R1307"/>
      <c r="S1307"/>
    </row>
    <row r="1308" spans="1:19" ht="15">
      <c r="A1308"/>
      <c r="B1308"/>
      <c r="C1308"/>
      <c r="D1308"/>
      <c r="E1308"/>
      <c r="F1308"/>
      <c r="G1308"/>
      <c r="H1308"/>
      <c r="I1308"/>
      <c r="J1308"/>
      <c r="K1308"/>
      <c r="L1308"/>
      <c r="M1308"/>
      <c r="N1308"/>
      <c r="O1308"/>
      <c r="P1308"/>
      <c r="Q1308"/>
      <c r="R1308"/>
      <c r="S1308"/>
    </row>
    <row r="1309" spans="1:19" ht="15">
      <c r="A1309"/>
      <c r="B1309"/>
      <c r="C1309"/>
      <c r="D1309"/>
      <c r="E1309"/>
      <c r="F1309"/>
      <c r="G1309"/>
      <c r="H1309"/>
      <c r="I1309"/>
      <c r="J1309"/>
      <c r="K1309"/>
      <c r="L1309"/>
      <c r="M1309"/>
      <c r="N1309"/>
      <c r="O1309"/>
      <c r="P1309"/>
      <c r="Q1309"/>
      <c r="R1309"/>
      <c r="S1309"/>
    </row>
    <row r="1310" spans="1:19" ht="15">
      <c r="A1310"/>
      <c r="B1310"/>
      <c r="C1310"/>
      <c r="D1310"/>
      <c r="E1310"/>
      <c r="F1310"/>
      <c r="G1310"/>
      <c r="H1310"/>
      <c r="I1310"/>
      <c r="J1310"/>
      <c r="K1310"/>
      <c r="L1310"/>
      <c r="M1310"/>
      <c r="N1310"/>
      <c r="O1310"/>
      <c r="P1310"/>
      <c r="Q1310"/>
      <c r="R1310"/>
      <c r="S1310"/>
    </row>
    <row r="1311" spans="1:19" ht="15">
      <c r="A1311"/>
      <c r="B1311"/>
      <c r="C1311"/>
      <c r="D1311"/>
      <c r="E1311"/>
      <c r="F1311"/>
      <c r="G1311"/>
      <c r="H1311"/>
      <c r="I1311"/>
      <c r="J1311"/>
      <c r="K1311"/>
      <c r="L1311"/>
      <c r="M1311"/>
      <c r="N1311"/>
      <c r="O1311"/>
      <c r="P1311"/>
      <c r="Q1311"/>
      <c r="R1311"/>
      <c r="S1311"/>
    </row>
    <row r="1312" spans="1:19" ht="15">
      <c r="A1312"/>
      <c r="B1312"/>
      <c r="C1312"/>
      <c r="D1312"/>
      <c r="E1312"/>
      <c r="F1312"/>
      <c r="G1312"/>
      <c r="H1312"/>
      <c r="I1312"/>
      <c r="J1312"/>
      <c r="K1312"/>
      <c r="L1312"/>
      <c r="M1312"/>
      <c r="N1312"/>
      <c r="O1312"/>
      <c r="P1312"/>
      <c r="Q1312"/>
      <c r="R1312"/>
      <c r="S1312"/>
    </row>
    <row r="1313" spans="1:19" ht="15">
      <c r="A1313"/>
      <c r="B1313"/>
      <c r="C1313"/>
      <c r="D1313"/>
      <c r="E1313"/>
      <c r="F1313"/>
      <c r="G1313"/>
      <c r="H1313"/>
      <c r="I1313"/>
      <c r="J1313"/>
      <c r="K1313"/>
      <c r="L1313"/>
      <c r="M1313"/>
      <c r="N1313"/>
      <c r="O1313"/>
      <c r="P1313"/>
      <c r="Q1313"/>
      <c r="R1313"/>
      <c r="S1313"/>
    </row>
    <row r="1314" spans="1:19" ht="15">
      <c r="A1314"/>
      <c r="B1314"/>
      <c r="C1314"/>
      <c r="D1314"/>
      <c r="E1314"/>
      <c r="F1314"/>
      <c r="G1314"/>
      <c r="H1314"/>
      <c r="I1314"/>
      <c r="J1314"/>
      <c r="K1314"/>
      <c r="L1314"/>
      <c r="M1314"/>
      <c r="N1314"/>
      <c r="O1314"/>
      <c r="P1314"/>
      <c r="Q1314"/>
      <c r="R1314"/>
      <c r="S1314"/>
    </row>
    <row r="1315" spans="1:19" ht="15">
      <c r="A1315"/>
      <c r="B1315"/>
      <c r="C1315"/>
      <c r="D1315"/>
      <c r="E1315"/>
      <c r="F1315"/>
      <c r="G1315"/>
      <c r="H1315"/>
      <c r="I1315"/>
      <c r="J1315"/>
      <c r="K1315"/>
      <c r="L1315"/>
      <c r="M1315"/>
      <c r="N1315"/>
      <c r="O1315"/>
      <c r="P1315"/>
      <c r="Q1315"/>
      <c r="R1315"/>
      <c r="S1315"/>
    </row>
    <row r="1316" spans="1:19" ht="15">
      <c r="A1316"/>
      <c r="B1316"/>
      <c r="C1316"/>
      <c r="D1316"/>
      <c r="E1316"/>
      <c r="F1316"/>
      <c r="G1316"/>
      <c r="H1316"/>
      <c r="I1316"/>
      <c r="J1316"/>
      <c r="K1316"/>
      <c r="L1316"/>
      <c r="M1316"/>
      <c r="N1316"/>
      <c r="O1316"/>
      <c r="P1316"/>
      <c r="Q1316"/>
      <c r="R1316"/>
      <c r="S1316"/>
    </row>
    <row r="1317" spans="1:19" ht="15">
      <c r="A1317"/>
      <c r="B1317"/>
      <c r="C1317"/>
      <c r="D1317"/>
      <c r="E1317"/>
      <c r="F1317"/>
      <c r="G1317"/>
      <c r="H1317"/>
      <c r="I1317"/>
      <c r="J1317"/>
      <c r="K1317"/>
      <c r="L1317"/>
      <c r="M1317"/>
      <c r="N1317"/>
      <c r="O1317"/>
      <c r="P1317"/>
      <c r="Q1317"/>
      <c r="R1317"/>
      <c r="S1317"/>
    </row>
    <row r="1318" spans="1:19" ht="15">
      <c r="A1318"/>
      <c r="B1318"/>
      <c r="C1318"/>
      <c r="D1318"/>
      <c r="E1318"/>
      <c r="F1318"/>
      <c r="G1318"/>
      <c r="H1318"/>
      <c r="I1318"/>
      <c r="J1318"/>
      <c r="K1318"/>
      <c r="L1318"/>
      <c r="M1318"/>
      <c r="N1318"/>
      <c r="O1318"/>
      <c r="P1318"/>
      <c r="Q1318"/>
      <c r="R1318"/>
      <c r="S1318"/>
    </row>
    <row r="1319" spans="1:19" ht="15">
      <c r="A1319"/>
      <c r="B1319"/>
      <c r="C1319"/>
      <c r="D1319"/>
      <c r="E1319"/>
      <c r="F1319"/>
      <c r="G1319"/>
      <c r="H1319"/>
      <c r="I1319"/>
      <c r="J1319"/>
      <c r="K1319"/>
      <c r="L1319"/>
      <c r="M1319"/>
      <c r="N1319"/>
      <c r="O1319"/>
      <c r="P1319"/>
      <c r="Q1319"/>
      <c r="R1319"/>
      <c r="S1319"/>
    </row>
    <row r="1320" spans="1:19" ht="15">
      <c r="A1320"/>
      <c r="B1320"/>
      <c r="C1320"/>
      <c r="D1320"/>
      <c r="E1320"/>
      <c r="F1320"/>
      <c r="G1320"/>
      <c r="H1320"/>
      <c r="I1320"/>
      <c r="J1320"/>
      <c r="K1320"/>
      <c r="L1320"/>
      <c r="M1320"/>
      <c r="N1320"/>
      <c r="O1320"/>
      <c r="P1320"/>
      <c r="Q1320"/>
      <c r="R1320"/>
      <c r="S1320"/>
    </row>
    <row r="1321" spans="1:19" ht="15">
      <c r="A1321"/>
      <c r="B1321"/>
      <c r="C1321"/>
      <c r="D1321"/>
      <c r="E1321"/>
      <c r="F1321"/>
      <c r="G1321"/>
      <c r="H1321"/>
      <c r="I1321"/>
      <c r="J1321"/>
      <c r="K1321"/>
      <c r="L1321"/>
      <c r="M1321"/>
      <c r="N1321"/>
      <c r="O1321"/>
      <c r="P1321"/>
      <c r="Q1321"/>
      <c r="R1321"/>
      <c r="S1321"/>
    </row>
    <row r="1322" spans="1:19" ht="15">
      <c r="A1322"/>
      <c r="B1322"/>
      <c r="C1322"/>
      <c r="D1322"/>
      <c r="E1322"/>
      <c r="F1322"/>
      <c r="G1322"/>
      <c r="H1322"/>
      <c r="I1322"/>
      <c r="J1322"/>
      <c r="K1322"/>
      <c r="L1322"/>
      <c r="M1322"/>
      <c r="N1322"/>
      <c r="O1322"/>
      <c r="P1322"/>
      <c r="Q1322"/>
      <c r="R1322"/>
      <c r="S1322"/>
    </row>
    <row r="1323" spans="1:19" ht="15">
      <c r="A1323"/>
      <c r="B1323"/>
      <c r="C1323"/>
      <c r="D1323"/>
      <c r="E1323"/>
      <c r="F1323"/>
      <c r="G1323"/>
      <c r="H1323"/>
      <c r="I1323"/>
      <c r="J1323"/>
      <c r="K1323"/>
      <c r="L1323"/>
      <c r="M1323"/>
      <c r="N1323"/>
      <c r="O1323"/>
      <c r="P1323"/>
      <c r="Q1323"/>
      <c r="R1323"/>
      <c r="S1323"/>
    </row>
    <row r="1324" spans="1:19" ht="15">
      <c r="A1324"/>
      <c r="B1324"/>
      <c r="C1324"/>
      <c r="D1324"/>
      <c r="E1324"/>
      <c r="F1324"/>
      <c r="G1324"/>
      <c r="H1324"/>
      <c r="I1324"/>
      <c r="J1324"/>
      <c r="K1324"/>
      <c r="L1324"/>
      <c r="M1324"/>
      <c r="N1324"/>
      <c r="O1324"/>
      <c r="P1324"/>
      <c r="Q1324"/>
      <c r="R1324"/>
      <c r="S1324"/>
    </row>
    <row r="1325" spans="1:19" ht="15">
      <c r="A1325"/>
      <c r="B1325"/>
      <c r="C1325"/>
      <c r="D1325"/>
      <c r="E1325"/>
      <c r="F1325"/>
      <c r="G1325"/>
      <c r="H1325"/>
      <c r="I1325"/>
      <c r="J1325"/>
      <c r="K1325"/>
      <c r="L1325"/>
      <c r="M1325"/>
      <c r="N1325"/>
      <c r="O1325"/>
      <c r="P1325"/>
      <c r="Q1325"/>
      <c r="R1325"/>
      <c r="S1325"/>
    </row>
    <row r="1326" spans="1:19" ht="15">
      <c r="A1326"/>
      <c r="B1326"/>
      <c r="C1326"/>
      <c r="D1326"/>
      <c r="E1326"/>
      <c r="F1326"/>
      <c r="G1326"/>
      <c r="H1326"/>
      <c r="I1326"/>
      <c r="J1326"/>
      <c r="K1326"/>
      <c r="L1326"/>
      <c r="M1326"/>
      <c r="N1326"/>
      <c r="O1326"/>
      <c r="P1326"/>
      <c r="Q1326"/>
      <c r="R1326"/>
      <c r="S1326"/>
    </row>
    <row r="1327" spans="1:19" ht="15">
      <c r="A1327"/>
      <c r="B1327"/>
      <c r="C1327"/>
      <c r="D1327"/>
      <c r="E1327"/>
      <c r="F1327"/>
      <c r="G1327"/>
      <c r="H1327"/>
      <c r="I1327"/>
      <c r="J1327"/>
      <c r="K1327"/>
      <c r="L1327"/>
      <c r="M1327"/>
      <c r="N1327"/>
      <c r="O1327"/>
      <c r="P1327"/>
      <c r="Q1327"/>
      <c r="R1327"/>
      <c r="S1327"/>
    </row>
    <row r="1328" spans="1:19" ht="15">
      <c r="A1328"/>
      <c r="B1328"/>
      <c r="C1328"/>
      <c r="D1328"/>
      <c r="E1328"/>
      <c r="F1328"/>
      <c r="G1328"/>
      <c r="H1328"/>
      <c r="I1328"/>
      <c r="J1328"/>
      <c r="K1328"/>
      <c r="L1328"/>
      <c r="M1328"/>
      <c r="N1328"/>
      <c r="O1328"/>
      <c r="P1328"/>
      <c r="Q1328"/>
      <c r="R1328"/>
      <c r="S1328"/>
    </row>
    <row r="1329" spans="1:19" ht="15">
      <c r="A1329"/>
      <c r="B1329"/>
      <c r="C1329"/>
      <c r="D1329"/>
      <c r="E1329"/>
      <c r="F1329"/>
      <c r="G1329"/>
      <c r="H1329"/>
      <c r="I1329"/>
      <c r="J1329"/>
      <c r="K1329"/>
      <c r="L1329"/>
      <c r="M1329"/>
      <c r="N1329"/>
      <c r="O1329"/>
      <c r="P1329"/>
      <c r="Q1329"/>
      <c r="R1329"/>
      <c r="S1329"/>
    </row>
    <row r="1330" spans="1:19" ht="15">
      <c r="A1330"/>
      <c r="B1330"/>
      <c r="C1330"/>
      <c r="D1330"/>
      <c r="E1330"/>
      <c r="F1330"/>
      <c r="G1330"/>
      <c r="H1330"/>
      <c r="I1330"/>
      <c r="J1330"/>
      <c r="K1330"/>
      <c r="L1330"/>
      <c r="M1330"/>
      <c r="N1330"/>
      <c r="O1330"/>
      <c r="P1330"/>
      <c r="Q1330"/>
      <c r="R1330"/>
      <c r="S1330"/>
    </row>
    <row r="1331" spans="1:19" ht="15">
      <c r="A1331"/>
      <c r="B1331"/>
      <c r="C1331"/>
      <c r="D1331"/>
      <c r="E1331"/>
      <c r="F1331"/>
      <c r="G1331"/>
      <c r="H1331"/>
      <c r="I1331"/>
      <c r="J1331"/>
      <c r="K1331"/>
      <c r="L1331"/>
      <c r="M1331"/>
      <c r="N1331"/>
      <c r="O1331"/>
      <c r="P1331"/>
      <c r="Q1331"/>
      <c r="R1331"/>
      <c r="S1331"/>
    </row>
    <row r="1332" spans="1:19" ht="15">
      <c r="A1332"/>
      <c r="B1332"/>
      <c r="C1332"/>
      <c r="D1332"/>
      <c r="E1332"/>
      <c r="F1332"/>
      <c r="G1332"/>
      <c r="H1332"/>
      <c r="I1332"/>
      <c r="J1332"/>
      <c r="K1332"/>
      <c r="L1332"/>
      <c r="M1332"/>
      <c r="N1332"/>
      <c r="O1332"/>
      <c r="P1332"/>
      <c r="Q1332"/>
      <c r="R1332"/>
      <c r="S1332"/>
    </row>
    <row r="1333" spans="1:19" ht="15">
      <c r="A1333"/>
      <c r="B1333"/>
      <c r="C1333"/>
      <c r="D1333"/>
      <c r="E1333"/>
      <c r="F1333"/>
      <c r="G1333"/>
      <c r="H1333"/>
      <c r="I1333"/>
      <c r="J1333"/>
      <c r="K1333"/>
      <c r="L1333"/>
      <c r="M1333"/>
      <c r="N1333"/>
      <c r="O1333"/>
      <c r="P1333"/>
      <c r="Q1333"/>
      <c r="R1333"/>
      <c r="S1333"/>
    </row>
    <row r="1334" spans="1:19" ht="15">
      <c r="A1334"/>
      <c r="B1334"/>
      <c r="C1334"/>
      <c r="D1334"/>
      <c r="E1334"/>
      <c r="F1334"/>
      <c r="G1334"/>
      <c r="H1334"/>
      <c r="I1334"/>
      <c r="J1334"/>
      <c r="K1334"/>
      <c r="L1334"/>
      <c r="M1334"/>
      <c r="N1334"/>
      <c r="O1334"/>
      <c r="P1334"/>
      <c r="Q1334"/>
      <c r="R1334"/>
      <c r="S1334"/>
    </row>
    <row r="1335" spans="1:19" ht="15">
      <c r="A1335"/>
      <c r="B1335"/>
      <c r="C1335"/>
      <c r="D1335"/>
      <c r="E1335"/>
      <c r="F1335"/>
      <c r="G1335"/>
      <c r="H1335"/>
      <c r="I1335"/>
      <c r="J1335"/>
      <c r="K1335"/>
      <c r="L1335"/>
      <c r="M1335"/>
      <c r="N1335"/>
      <c r="O1335"/>
      <c r="P1335"/>
      <c r="Q1335"/>
      <c r="R1335"/>
      <c r="S1335"/>
    </row>
    <row r="1336" spans="1:19" ht="15">
      <c r="A1336"/>
      <c r="B1336"/>
      <c r="C1336"/>
      <c r="D1336"/>
      <c r="E1336"/>
      <c r="F1336"/>
      <c r="G1336"/>
      <c r="H1336"/>
      <c r="I1336"/>
      <c r="J1336"/>
      <c r="K1336"/>
      <c r="L1336"/>
      <c r="M1336"/>
      <c r="N1336"/>
      <c r="O1336"/>
      <c r="P1336"/>
      <c r="Q1336"/>
      <c r="R1336"/>
      <c r="S1336"/>
    </row>
    <row r="1337" spans="1:19" ht="15">
      <c r="A1337"/>
      <c r="B1337"/>
      <c r="C1337"/>
      <c r="D1337"/>
      <c r="E1337"/>
      <c r="F1337"/>
      <c r="G1337"/>
      <c r="H1337"/>
      <c r="I1337"/>
      <c r="J1337"/>
      <c r="K1337"/>
      <c r="L1337"/>
      <c r="M1337"/>
      <c r="N1337"/>
      <c r="O1337"/>
      <c r="P1337"/>
      <c r="Q1337"/>
      <c r="R1337"/>
      <c r="S1337"/>
    </row>
    <row r="1338" spans="1:19" ht="15">
      <c r="A1338"/>
      <c r="B1338"/>
      <c r="C1338"/>
      <c r="D1338"/>
      <c r="E1338"/>
      <c r="F1338"/>
      <c r="G1338"/>
      <c r="H1338"/>
      <c r="I1338"/>
      <c r="J1338"/>
      <c r="K1338"/>
      <c r="L1338"/>
      <c r="M1338"/>
      <c r="N1338"/>
      <c r="O1338"/>
      <c r="P1338"/>
      <c r="Q1338"/>
      <c r="R1338"/>
      <c r="S1338"/>
    </row>
    <row r="1339" spans="1:19" ht="15">
      <c r="A1339"/>
      <c r="B1339"/>
      <c r="C1339"/>
      <c r="D1339"/>
      <c r="E1339"/>
      <c r="F1339"/>
      <c r="G1339"/>
      <c r="H1339"/>
      <c r="I1339"/>
      <c r="J1339"/>
      <c r="K1339"/>
      <c r="L1339"/>
      <c r="M1339"/>
      <c r="N1339"/>
      <c r="O1339"/>
      <c r="P1339"/>
      <c r="Q1339"/>
      <c r="R1339"/>
      <c r="S1339"/>
    </row>
    <row r="1340" spans="1:19" ht="15">
      <c r="A1340"/>
      <c r="B1340"/>
      <c r="C1340"/>
      <c r="D1340"/>
      <c r="E1340"/>
      <c r="F1340"/>
      <c r="G1340"/>
      <c r="H1340"/>
      <c r="I1340"/>
      <c r="J1340"/>
      <c r="K1340"/>
      <c r="L1340"/>
      <c r="M1340"/>
      <c r="N1340"/>
      <c r="O1340"/>
      <c r="P1340"/>
      <c r="Q1340"/>
      <c r="R1340"/>
      <c r="S1340"/>
    </row>
    <row r="1341" spans="1:19" ht="15">
      <c r="A1341"/>
      <c r="B1341"/>
      <c r="C1341"/>
      <c r="D1341"/>
      <c r="E1341"/>
      <c r="F1341"/>
      <c r="G1341"/>
      <c r="H1341"/>
      <c r="I1341"/>
      <c r="J1341"/>
      <c r="K1341"/>
      <c r="L1341"/>
      <c r="M1341"/>
      <c r="N1341"/>
      <c r="O1341"/>
      <c r="P1341"/>
      <c r="Q1341"/>
      <c r="R1341"/>
      <c r="S1341"/>
    </row>
    <row r="1342" spans="1:19" ht="15">
      <c r="A1342"/>
      <c r="B1342"/>
      <c r="C1342"/>
      <c r="D1342"/>
      <c r="E1342"/>
      <c r="F1342"/>
      <c r="G1342"/>
      <c r="H1342"/>
      <c r="I1342"/>
      <c r="J1342"/>
      <c r="K1342"/>
      <c r="L1342"/>
      <c r="M1342"/>
      <c r="N1342"/>
      <c r="O1342"/>
      <c r="P1342"/>
      <c r="Q1342"/>
      <c r="R1342"/>
      <c r="S1342"/>
    </row>
    <row r="1343" spans="1:19" ht="15">
      <c r="A1343"/>
      <c r="B1343"/>
      <c r="C1343"/>
      <c r="D1343"/>
      <c r="E1343"/>
      <c r="F1343"/>
      <c r="G1343"/>
      <c r="H1343"/>
      <c r="I1343"/>
      <c r="J1343"/>
      <c r="K1343"/>
      <c r="L1343"/>
      <c r="M1343"/>
      <c r="N1343"/>
      <c r="O1343"/>
      <c r="P1343"/>
      <c r="Q1343"/>
      <c r="R1343"/>
      <c r="S1343"/>
    </row>
    <row r="1344" spans="1:19" ht="15">
      <c r="A1344"/>
      <c r="B1344"/>
      <c r="C1344"/>
      <c r="D1344"/>
      <c r="E1344"/>
      <c r="F1344"/>
      <c r="G1344"/>
      <c r="H1344"/>
      <c r="I1344"/>
      <c r="J1344"/>
      <c r="K1344"/>
      <c r="L1344"/>
      <c r="M1344"/>
      <c r="N1344"/>
      <c r="O1344"/>
      <c r="P1344"/>
      <c r="Q1344"/>
      <c r="R1344"/>
      <c r="S1344"/>
    </row>
    <row r="1345" spans="1:19" ht="15">
      <c r="A1345"/>
      <c r="B1345"/>
      <c r="C1345"/>
      <c r="D1345"/>
      <c r="E1345"/>
      <c r="F1345"/>
      <c r="G1345"/>
      <c r="H1345"/>
      <c r="I1345"/>
      <c r="J1345"/>
      <c r="K1345"/>
      <c r="L1345"/>
      <c r="M1345"/>
      <c r="N1345"/>
      <c r="O1345"/>
      <c r="P1345"/>
      <c r="Q1345"/>
      <c r="R1345"/>
      <c r="S1345"/>
    </row>
    <row r="1346" spans="1:19" ht="15">
      <c r="A1346"/>
      <c r="B1346"/>
      <c r="C1346"/>
      <c r="D1346"/>
      <c r="E1346"/>
      <c r="F1346"/>
      <c r="G1346"/>
      <c r="H1346"/>
      <c r="I1346"/>
      <c r="J1346"/>
      <c r="K1346"/>
      <c r="L1346"/>
      <c r="M1346"/>
      <c r="N1346"/>
      <c r="O1346"/>
      <c r="P1346"/>
      <c r="Q1346"/>
      <c r="R1346"/>
      <c r="S1346"/>
    </row>
    <row r="1347" spans="1:19" ht="15">
      <c r="A1347"/>
      <c r="B1347"/>
      <c r="C1347"/>
      <c r="D1347"/>
      <c r="E1347"/>
      <c r="F1347"/>
      <c r="G1347"/>
      <c r="H1347"/>
      <c r="I1347"/>
      <c r="J1347"/>
      <c r="K1347"/>
      <c r="L1347"/>
      <c r="M1347"/>
      <c r="N1347"/>
      <c r="O1347"/>
      <c r="P1347"/>
      <c r="Q1347"/>
      <c r="R1347"/>
      <c r="S1347"/>
    </row>
    <row r="1348" spans="1:19" ht="15">
      <c r="A1348"/>
      <c r="B1348"/>
      <c r="C1348"/>
      <c r="D1348"/>
      <c r="E1348"/>
      <c r="F1348"/>
      <c r="G1348"/>
      <c r="H1348"/>
      <c r="I1348"/>
      <c r="J1348"/>
      <c r="K1348"/>
      <c r="L1348"/>
      <c r="M1348"/>
      <c r="N1348"/>
      <c r="O1348"/>
      <c r="P1348"/>
      <c r="Q1348"/>
      <c r="R1348"/>
      <c r="S1348"/>
    </row>
    <row r="1349" spans="1:19" ht="15">
      <c r="A1349"/>
      <c r="B1349"/>
      <c r="C1349"/>
      <c r="D1349"/>
      <c r="E1349"/>
      <c r="F1349"/>
      <c r="G1349"/>
      <c r="H1349"/>
      <c r="I1349"/>
      <c r="J1349"/>
      <c r="K1349"/>
      <c r="L1349"/>
      <c r="M1349"/>
      <c r="N1349"/>
      <c r="O1349"/>
      <c r="P1349"/>
      <c r="Q1349"/>
      <c r="R1349"/>
      <c r="S1349"/>
    </row>
    <row r="1350" spans="1:19" ht="15">
      <c r="A1350"/>
      <c r="B1350"/>
      <c r="C1350"/>
      <c r="D1350"/>
      <c r="E1350"/>
      <c r="F1350"/>
      <c r="G1350"/>
      <c r="H1350"/>
      <c r="I1350"/>
      <c r="J1350"/>
      <c r="K1350"/>
      <c r="L1350"/>
      <c r="M1350"/>
      <c r="N1350"/>
      <c r="O1350"/>
      <c r="P1350"/>
      <c r="Q1350"/>
      <c r="R1350"/>
      <c r="S1350"/>
    </row>
    <row r="1351" spans="1:19" ht="15">
      <c r="A1351"/>
      <c r="B1351"/>
      <c r="C1351"/>
      <c r="D1351"/>
      <c r="E1351"/>
      <c r="F1351"/>
      <c r="G1351"/>
      <c r="H1351"/>
      <c r="I1351"/>
      <c r="J1351"/>
      <c r="K1351"/>
      <c r="L1351"/>
      <c r="M1351"/>
      <c r="N1351"/>
      <c r="O1351"/>
      <c r="P1351"/>
      <c r="Q1351"/>
      <c r="R1351"/>
      <c r="S1351"/>
    </row>
    <row r="1352" spans="1:19" ht="15">
      <c r="A1352"/>
      <c r="B1352"/>
      <c r="C1352"/>
      <c r="D1352"/>
      <c r="E1352"/>
      <c r="F1352"/>
      <c r="G1352"/>
      <c r="H1352"/>
      <c r="I1352"/>
      <c r="J1352"/>
      <c r="K1352"/>
      <c r="L1352"/>
      <c r="M1352"/>
      <c r="N1352"/>
      <c r="O1352"/>
      <c r="P1352"/>
      <c r="Q1352"/>
      <c r="R1352"/>
      <c r="S1352"/>
    </row>
    <row r="1353" spans="1:19" ht="15">
      <c r="A1353"/>
      <c r="B1353"/>
      <c r="C1353"/>
      <c r="D1353"/>
      <c r="E1353"/>
      <c r="F1353"/>
      <c r="G1353"/>
      <c r="H1353"/>
      <c r="I1353"/>
      <c r="J1353"/>
      <c r="K1353"/>
      <c r="L1353"/>
      <c r="M1353"/>
      <c r="N1353"/>
      <c r="O1353"/>
      <c r="P1353"/>
      <c r="Q1353"/>
      <c r="R1353"/>
      <c r="S1353"/>
    </row>
    <row r="1354" spans="1:19" ht="15">
      <c r="A1354"/>
      <c r="B1354"/>
      <c r="C1354"/>
      <c r="D1354"/>
      <c r="E1354"/>
      <c r="F1354"/>
      <c r="G1354"/>
      <c r="H1354"/>
      <c r="I1354"/>
      <c r="J1354"/>
      <c r="K1354"/>
      <c r="L1354"/>
      <c r="M1354"/>
      <c r="N1354"/>
      <c r="O1354"/>
      <c r="P1354"/>
      <c r="Q1354"/>
      <c r="R1354"/>
      <c r="S1354"/>
    </row>
    <row r="1355" spans="1:19" ht="15">
      <c r="A1355"/>
      <c r="B1355"/>
      <c r="C1355"/>
      <c r="D1355"/>
      <c r="E1355"/>
      <c r="F1355"/>
      <c r="G1355"/>
      <c r="H1355"/>
      <c r="I1355"/>
      <c r="J1355"/>
      <c r="K1355"/>
      <c r="L1355"/>
      <c r="M1355"/>
      <c r="N1355"/>
      <c r="O1355"/>
      <c r="P1355"/>
      <c r="Q1355"/>
      <c r="R1355"/>
      <c r="S1355"/>
    </row>
    <row r="1356" spans="1:19" ht="15">
      <c r="A1356"/>
      <c r="B1356"/>
      <c r="C1356"/>
      <c r="D1356"/>
      <c r="E1356"/>
      <c r="F1356"/>
      <c r="G1356"/>
      <c r="H1356"/>
      <c r="I1356"/>
      <c r="J1356"/>
      <c r="K1356"/>
      <c r="L1356"/>
      <c r="M1356"/>
      <c r="N1356"/>
      <c r="O1356"/>
      <c r="P1356"/>
      <c r="Q1356"/>
      <c r="R1356"/>
      <c r="S1356"/>
    </row>
    <row r="1357" spans="1:19" ht="15">
      <c r="A1357"/>
      <c r="B1357"/>
      <c r="C1357"/>
      <c r="D1357"/>
      <c r="E1357"/>
      <c r="F1357"/>
      <c r="G1357"/>
      <c r="H1357"/>
      <c r="I1357"/>
      <c r="J1357"/>
      <c r="K1357"/>
      <c r="L1357"/>
      <c r="M1357"/>
      <c r="N1357"/>
      <c r="O1357"/>
      <c r="P1357"/>
      <c r="Q1357"/>
      <c r="R1357"/>
      <c r="S1357"/>
    </row>
    <row r="1358" spans="1:19" ht="15">
      <c r="A1358"/>
      <c r="B1358"/>
      <c r="C1358"/>
      <c r="D1358"/>
      <c r="E1358"/>
      <c r="F1358"/>
      <c r="G1358"/>
      <c r="H1358"/>
      <c r="I1358"/>
      <c r="J1358"/>
      <c r="K1358"/>
      <c r="L1358"/>
      <c r="M1358"/>
      <c r="N1358"/>
      <c r="O1358"/>
      <c r="P1358"/>
      <c r="Q1358"/>
      <c r="R1358"/>
      <c r="S1358"/>
    </row>
    <row r="1359" spans="1:19" ht="15">
      <c r="A1359"/>
      <c r="B1359"/>
      <c r="C1359"/>
      <c r="D1359"/>
      <c r="E1359"/>
      <c r="F1359"/>
      <c r="G1359"/>
      <c r="H1359"/>
      <c r="I1359"/>
      <c r="J1359"/>
      <c r="K1359"/>
      <c r="L1359"/>
      <c r="M1359"/>
      <c r="N1359"/>
      <c r="O1359"/>
      <c r="P1359"/>
      <c r="Q1359"/>
      <c r="R1359"/>
      <c r="S1359"/>
    </row>
    <row r="1360" spans="1:19" ht="15">
      <c r="A1360"/>
      <c r="B1360"/>
      <c r="C1360"/>
      <c r="D1360"/>
      <c r="E1360"/>
      <c r="F1360"/>
      <c r="G1360"/>
      <c r="H1360"/>
      <c r="I1360"/>
      <c r="J1360"/>
      <c r="K1360"/>
      <c r="L1360"/>
      <c r="M1360"/>
      <c r="N1360"/>
      <c r="O1360"/>
      <c r="P1360"/>
      <c r="Q1360"/>
      <c r="R1360"/>
      <c r="S1360"/>
    </row>
    <row r="1361" spans="1:19" ht="15">
      <c r="A1361"/>
      <c r="B1361"/>
      <c r="C1361"/>
      <c r="D1361"/>
      <c r="E1361"/>
      <c r="F1361"/>
      <c r="G1361"/>
      <c r="H1361"/>
      <c r="I1361"/>
      <c r="J1361"/>
      <c r="K1361"/>
      <c r="L1361"/>
      <c r="M1361"/>
      <c r="N1361"/>
      <c r="O1361"/>
      <c r="P1361"/>
      <c r="Q1361"/>
      <c r="R1361"/>
      <c r="S1361"/>
    </row>
    <row r="1362" spans="1:19" ht="15">
      <c r="A1362"/>
      <c r="B1362"/>
      <c r="C1362"/>
      <c r="D1362"/>
      <c r="E1362"/>
      <c r="F1362"/>
      <c r="G1362"/>
      <c r="H1362"/>
      <c r="I1362"/>
      <c r="J1362"/>
      <c r="K1362"/>
      <c r="L1362"/>
      <c r="M1362"/>
      <c r="N1362"/>
      <c r="O1362"/>
      <c r="P1362"/>
      <c r="Q1362"/>
      <c r="R1362"/>
      <c r="S1362"/>
    </row>
    <row r="1363" spans="1:19" ht="15">
      <c r="A1363"/>
      <c r="B1363"/>
      <c r="C1363"/>
      <c r="D1363"/>
      <c r="E1363"/>
      <c r="F1363"/>
      <c r="G1363"/>
      <c r="H1363"/>
      <c r="I1363"/>
      <c r="J1363"/>
      <c r="K1363"/>
      <c r="L1363"/>
      <c r="M1363"/>
      <c r="N1363"/>
      <c r="O1363"/>
      <c r="P1363"/>
      <c r="Q1363"/>
      <c r="R1363"/>
      <c r="S1363"/>
    </row>
    <row r="1364" spans="1:19" ht="15">
      <c r="A1364"/>
      <c r="B1364"/>
      <c r="C1364"/>
      <c r="D1364"/>
      <c r="E1364"/>
      <c r="F1364"/>
      <c r="G1364"/>
      <c r="H1364"/>
      <c r="I1364"/>
      <c r="J1364"/>
      <c r="K1364"/>
      <c r="L1364"/>
      <c r="M1364"/>
      <c r="N1364"/>
      <c r="O1364"/>
      <c r="P1364"/>
      <c r="Q1364"/>
      <c r="R1364"/>
      <c r="S1364"/>
    </row>
    <row r="1365" spans="1:19" ht="15">
      <c r="A1365"/>
      <c r="B1365"/>
      <c r="C1365"/>
      <c r="D1365"/>
      <c r="E1365"/>
      <c r="F1365"/>
      <c r="G1365"/>
      <c r="H1365"/>
      <c r="I1365"/>
      <c r="J1365"/>
      <c r="K1365"/>
      <c r="L1365"/>
      <c r="M1365"/>
      <c r="N1365"/>
      <c r="O1365"/>
      <c r="P1365"/>
      <c r="Q1365"/>
      <c r="R1365"/>
      <c r="S1365"/>
    </row>
    <row r="1366" spans="1:19" ht="15">
      <c r="A1366"/>
      <c r="B1366"/>
      <c r="C1366"/>
      <c r="D1366"/>
      <c r="E1366"/>
      <c r="F1366"/>
      <c r="G1366"/>
      <c r="H1366"/>
      <c r="I1366"/>
      <c r="J1366"/>
      <c r="K1366"/>
      <c r="L1366"/>
      <c r="M1366"/>
      <c r="N1366"/>
      <c r="O1366"/>
      <c r="P1366"/>
      <c r="Q1366"/>
      <c r="R1366"/>
      <c r="S1366"/>
    </row>
    <row r="1367" spans="1:19" ht="15">
      <c r="A1367"/>
      <c r="B1367"/>
      <c r="C1367"/>
      <c r="D1367"/>
      <c r="E1367"/>
      <c r="F1367"/>
      <c r="G1367"/>
      <c r="H1367"/>
      <c r="I1367"/>
      <c r="J1367"/>
      <c r="K1367"/>
      <c r="L1367"/>
      <c r="M1367"/>
      <c r="N1367"/>
      <c r="O1367"/>
      <c r="P1367"/>
      <c r="Q1367"/>
      <c r="R1367"/>
      <c r="S1367"/>
    </row>
    <row r="1368" spans="1:19" ht="15">
      <c r="A1368"/>
      <c r="B1368"/>
      <c r="C1368"/>
      <c r="D1368"/>
      <c r="E1368"/>
      <c r="F1368"/>
      <c r="G1368"/>
      <c r="H1368"/>
      <c r="I1368"/>
      <c r="J1368"/>
      <c r="K1368"/>
      <c r="L1368"/>
      <c r="M1368"/>
      <c r="N1368"/>
      <c r="O1368"/>
      <c r="P1368"/>
      <c r="Q1368"/>
      <c r="R1368"/>
      <c r="S1368"/>
    </row>
    <row r="1369" spans="1:19" ht="15">
      <c r="A1369"/>
      <c r="B1369"/>
      <c r="C1369"/>
      <c r="D1369"/>
      <c r="E1369"/>
      <c r="F1369"/>
      <c r="G1369"/>
      <c r="H1369"/>
      <c r="I1369"/>
      <c r="J1369"/>
      <c r="K1369"/>
      <c r="L1369"/>
      <c r="M1369"/>
      <c r="N1369"/>
      <c r="O1369"/>
      <c r="P1369"/>
      <c r="Q1369"/>
      <c r="R1369"/>
      <c r="S1369"/>
    </row>
    <row r="1370" spans="1:19" ht="15">
      <c r="A1370"/>
      <c r="B1370"/>
      <c r="C1370"/>
      <c r="D1370"/>
      <c r="E1370"/>
      <c r="F1370"/>
      <c r="G1370"/>
      <c r="H1370"/>
      <c r="I1370"/>
      <c r="J1370"/>
      <c r="K1370"/>
      <c r="L1370"/>
      <c r="M1370"/>
      <c r="N1370"/>
      <c r="O1370"/>
      <c r="P1370"/>
      <c r="Q1370"/>
      <c r="R1370"/>
      <c r="S1370"/>
    </row>
    <row r="1371" spans="1:19" ht="15">
      <c r="A1371"/>
      <c r="B1371"/>
      <c r="C1371"/>
      <c r="D1371"/>
      <c r="E1371"/>
      <c r="F1371"/>
      <c r="G1371"/>
      <c r="H1371"/>
      <c r="I1371"/>
      <c r="J1371"/>
      <c r="K1371"/>
      <c r="L1371"/>
      <c r="M1371"/>
      <c r="N1371"/>
      <c r="O1371"/>
      <c r="P1371"/>
      <c r="Q1371"/>
      <c r="R1371"/>
      <c r="S1371"/>
    </row>
    <row r="1372" spans="1:19" ht="15">
      <c r="A1372"/>
      <c r="B1372"/>
      <c r="C1372"/>
      <c r="D1372"/>
      <c r="E1372"/>
      <c r="F1372"/>
      <c r="G1372"/>
      <c r="H1372"/>
      <c r="I1372"/>
      <c r="J1372"/>
      <c r="K1372"/>
      <c r="L1372"/>
      <c r="M1372"/>
      <c r="N1372"/>
      <c r="O1372"/>
      <c r="P1372"/>
      <c r="Q1372"/>
      <c r="R1372"/>
      <c r="S1372"/>
    </row>
    <row r="1373" spans="1:19" ht="15">
      <c r="A1373"/>
      <c r="B1373"/>
      <c r="C1373"/>
      <c r="D1373"/>
      <c r="E1373"/>
      <c r="F1373"/>
      <c r="G1373"/>
      <c r="H1373"/>
      <c r="I1373"/>
      <c r="J1373"/>
      <c r="K1373"/>
      <c r="L1373"/>
      <c r="M1373"/>
      <c r="N1373"/>
      <c r="O1373"/>
      <c r="P1373"/>
      <c r="Q1373"/>
      <c r="R1373"/>
      <c r="S1373"/>
    </row>
    <row r="1374" spans="1:19" ht="15">
      <c r="A1374"/>
      <c r="B1374"/>
      <c r="C1374"/>
      <c r="D1374"/>
      <c r="E1374"/>
      <c r="F1374"/>
      <c r="G1374"/>
      <c r="H1374"/>
      <c r="I1374"/>
      <c r="J1374"/>
      <c r="K1374"/>
      <c r="L1374"/>
      <c r="M1374"/>
      <c r="N1374"/>
      <c r="O1374"/>
      <c r="P1374"/>
      <c r="Q1374"/>
      <c r="R1374"/>
      <c r="S1374"/>
    </row>
    <row r="1375" spans="1:19" ht="15">
      <c r="A1375"/>
      <c r="B1375"/>
      <c r="C1375"/>
      <c r="D1375"/>
      <c r="E1375"/>
      <c r="F1375"/>
      <c r="G1375"/>
      <c r="H1375"/>
      <c r="I1375"/>
      <c r="J1375"/>
      <c r="K1375"/>
      <c r="L1375"/>
      <c r="M1375"/>
      <c r="N1375"/>
      <c r="O1375"/>
      <c r="P1375"/>
      <c r="Q1375"/>
      <c r="R1375"/>
      <c r="S1375"/>
    </row>
    <row r="1376" spans="1:19" ht="15">
      <c r="A1376"/>
      <c r="B1376"/>
      <c r="C1376"/>
      <c r="D1376"/>
      <c r="E1376"/>
      <c r="F1376"/>
      <c r="G1376"/>
      <c r="H1376"/>
      <c r="I1376"/>
      <c r="J1376"/>
      <c r="K1376"/>
      <c r="L1376"/>
      <c r="M1376"/>
      <c r="N1376"/>
      <c r="O1376"/>
      <c r="P1376"/>
      <c r="Q1376"/>
      <c r="R1376"/>
      <c r="S1376"/>
    </row>
    <row r="1377" spans="1:19" ht="15">
      <c r="A1377"/>
      <c r="B1377"/>
      <c r="C1377"/>
      <c r="D1377"/>
      <c r="E1377"/>
      <c r="F1377"/>
      <c r="G1377"/>
      <c r="H1377"/>
      <c r="I1377"/>
      <c r="J1377"/>
      <c r="K1377"/>
      <c r="L1377"/>
      <c r="M1377"/>
      <c r="N1377"/>
      <c r="O1377"/>
      <c r="P1377"/>
      <c r="Q1377"/>
      <c r="R1377"/>
      <c r="S1377"/>
    </row>
    <row r="1378" spans="1:19" ht="15">
      <c r="A1378"/>
      <c r="B1378"/>
      <c r="C1378"/>
      <c r="D1378"/>
      <c r="E1378"/>
      <c r="F1378"/>
      <c r="G1378"/>
      <c r="H1378"/>
      <c r="I1378"/>
      <c r="J1378"/>
      <c r="K1378"/>
      <c r="L1378"/>
      <c r="M1378"/>
      <c r="N1378"/>
      <c r="O1378"/>
      <c r="P1378"/>
      <c r="Q1378"/>
      <c r="R1378"/>
      <c r="S1378"/>
    </row>
    <row r="1379" spans="1:19" ht="15">
      <c r="A1379"/>
      <c r="B1379"/>
      <c r="C1379"/>
      <c r="D1379"/>
      <c r="E1379"/>
      <c r="F1379"/>
      <c r="G1379"/>
      <c r="H1379"/>
      <c r="I1379"/>
      <c r="J1379"/>
      <c r="K1379"/>
      <c r="L1379"/>
      <c r="M1379"/>
      <c r="N1379"/>
      <c r="O1379"/>
      <c r="P1379"/>
      <c r="Q1379"/>
      <c r="R1379"/>
      <c r="S1379"/>
    </row>
    <row r="1380" spans="1:19" ht="15">
      <c r="A1380"/>
      <c r="B1380"/>
      <c r="C1380"/>
      <c r="D1380"/>
      <c r="E1380"/>
      <c r="F1380"/>
      <c r="G1380"/>
      <c r="H1380"/>
      <c r="I1380"/>
      <c r="J1380"/>
      <c r="K1380"/>
      <c r="L1380"/>
      <c r="M1380"/>
      <c r="N1380"/>
      <c r="O1380"/>
      <c r="P1380"/>
      <c r="Q1380"/>
      <c r="R1380"/>
      <c r="S1380"/>
    </row>
    <row r="1381" spans="1:19" ht="15">
      <c r="A1381"/>
      <c r="B1381"/>
      <c r="C1381"/>
      <c r="D1381"/>
      <c r="E1381"/>
      <c r="F1381"/>
      <c r="G1381"/>
      <c r="H1381"/>
      <c r="I1381"/>
      <c r="J1381"/>
      <c r="K1381"/>
      <c r="L1381"/>
      <c r="M1381"/>
      <c r="N1381"/>
      <c r="O1381"/>
      <c r="P1381"/>
      <c r="Q1381"/>
      <c r="R1381"/>
      <c r="S1381"/>
    </row>
    <row r="1382" spans="1:19" ht="15">
      <c r="A1382"/>
      <c r="B1382"/>
      <c r="C1382"/>
      <c r="D1382"/>
      <c r="E1382"/>
      <c r="F1382"/>
      <c r="G1382"/>
      <c r="H1382"/>
      <c r="I1382"/>
      <c r="J1382"/>
      <c r="K1382"/>
      <c r="L1382"/>
      <c r="M1382"/>
      <c r="N1382"/>
      <c r="O1382"/>
      <c r="P1382"/>
      <c r="Q1382"/>
      <c r="R1382"/>
      <c r="S1382"/>
    </row>
    <row r="1383" spans="1:19" ht="15">
      <c r="A1383"/>
      <c r="B1383"/>
      <c r="C1383"/>
      <c r="D1383"/>
      <c r="E1383"/>
      <c r="F1383"/>
      <c r="G1383"/>
      <c r="H1383"/>
      <c r="I1383"/>
      <c r="J1383"/>
      <c r="K1383"/>
      <c r="L1383"/>
      <c r="M1383"/>
      <c r="N1383"/>
      <c r="O1383"/>
      <c r="P1383"/>
      <c r="Q1383"/>
      <c r="R1383"/>
      <c r="S1383"/>
    </row>
    <row r="1384" spans="1:19" ht="15">
      <c r="A1384"/>
      <c r="B1384"/>
      <c r="C1384"/>
      <c r="D1384"/>
      <c r="E1384"/>
      <c r="F1384"/>
      <c r="G1384"/>
      <c r="H1384"/>
      <c r="I1384"/>
      <c r="J1384"/>
      <c r="K1384"/>
      <c r="L1384"/>
      <c r="M1384"/>
      <c r="N1384"/>
      <c r="O1384"/>
      <c r="P1384"/>
      <c r="Q1384"/>
      <c r="R1384"/>
      <c r="S1384"/>
    </row>
    <row r="1385" spans="1:19" ht="15">
      <c r="A1385"/>
      <c r="B1385"/>
      <c r="C1385"/>
      <c r="D1385"/>
      <c r="E1385"/>
      <c r="F1385"/>
      <c r="G1385"/>
      <c r="H1385"/>
      <c r="I1385"/>
      <c r="J1385"/>
      <c r="K1385"/>
      <c r="L1385"/>
      <c r="M1385"/>
      <c r="N1385"/>
      <c r="O1385"/>
      <c r="P1385"/>
      <c r="Q1385"/>
      <c r="R1385"/>
      <c r="S1385"/>
    </row>
    <row r="1386" spans="1:19" ht="15">
      <c r="A1386"/>
      <c r="B1386"/>
      <c r="C1386"/>
      <c r="D1386"/>
      <c r="E1386"/>
      <c r="F1386"/>
      <c r="G1386"/>
      <c r="H1386"/>
      <c r="I1386"/>
      <c r="J1386"/>
      <c r="K1386"/>
      <c r="L1386"/>
      <c r="M1386"/>
      <c r="N1386"/>
      <c r="O1386"/>
      <c r="P1386"/>
      <c r="Q1386"/>
      <c r="R1386"/>
      <c r="S1386"/>
    </row>
    <row r="1387" spans="1:19" ht="15">
      <c r="A1387"/>
      <c r="B1387"/>
      <c r="C1387"/>
      <c r="D1387"/>
      <c r="E1387"/>
      <c r="F1387"/>
      <c r="G1387"/>
      <c r="H1387"/>
      <c r="I1387"/>
      <c r="J1387"/>
      <c r="K1387"/>
      <c r="L1387"/>
      <c r="M1387"/>
      <c r="N1387"/>
      <c r="O1387"/>
      <c r="P1387"/>
      <c r="Q1387"/>
      <c r="R1387"/>
      <c r="S1387"/>
    </row>
    <row r="1388" spans="1:19" ht="15">
      <c r="A1388"/>
      <c r="B1388"/>
      <c r="C1388"/>
      <c r="D1388"/>
      <c r="E1388"/>
      <c r="F1388"/>
      <c r="G1388"/>
      <c r="H1388"/>
      <c r="I1388"/>
      <c r="J1388"/>
      <c r="K1388"/>
      <c r="L1388"/>
      <c r="M1388"/>
      <c r="N1388"/>
      <c r="O1388"/>
      <c r="P1388"/>
      <c r="Q1388"/>
      <c r="R1388"/>
      <c r="S1388"/>
    </row>
    <row r="1389" spans="1:19" ht="15">
      <c r="A1389"/>
      <c r="B1389"/>
      <c r="C1389"/>
      <c r="D1389"/>
      <c r="E1389"/>
      <c r="F1389"/>
      <c r="G1389"/>
      <c r="H1389"/>
      <c r="I1389"/>
      <c r="J1389"/>
      <c r="K1389"/>
      <c r="L1389"/>
      <c r="M1389"/>
      <c r="N1389"/>
      <c r="O1389"/>
      <c r="P1389"/>
      <c r="Q1389"/>
      <c r="R1389"/>
      <c r="S1389"/>
    </row>
    <row r="1390" spans="1:19" ht="15">
      <c r="A1390"/>
      <c r="B1390"/>
      <c r="C1390"/>
      <c r="D1390"/>
      <c r="E1390"/>
      <c r="F1390"/>
      <c r="G1390"/>
      <c r="H1390"/>
      <c r="I1390"/>
      <c r="J1390"/>
      <c r="K1390"/>
      <c r="L1390"/>
      <c r="M1390"/>
      <c r="N1390"/>
      <c r="O1390"/>
      <c r="P1390"/>
      <c r="Q1390"/>
      <c r="R1390"/>
      <c r="S1390"/>
    </row>
    <row r="1391" spans="1:19" ht="15">
      <c r="A1391"/>
      <c r="B1391"/>
      <c r="C1391"/>
      <c r="D1391"/>
      <c r="E1391"/>
      <c r="F1391"/>
      <c r="G1391"/>
      <c r="H1391"/>
      <c r="I1391"/>
      <c r="J1391"/>
      <c r="K1391"/>
      <c r="L1391"/>
      <c r="M1391"/>
      <c r="N1391"/>
      <c r="O1391"/>
      <c r="P1391"/>
      <c r="Q1391"/>
      <c r="R1391"/>
      <c r="S1391"/>
    </row>
    <row r="1392" spans="1:19" ht="15">
      <c r="A1392"/>
      <c r="B1392"/>
      <c r="C1392"/>
      <c r="D1392"/>
      <c r="E1392"/>
      <c r="F1392"/>
      <c r="G1392"/>
      <c r="H1392"/>
      <c r="I1392"/>
      <c r="J1392"/>
      <c r="K1392"/>
      <c r="L1392"/>
      <c r="M1392"/>
      <c r="N1392"/>
      <c r="O1392"/>
      <c r="P1392"/>
      <c r="Q1392"/>
      <c r="R1392"/>
      <c r="S1392"/>
    </row>
    <row r="1393" spans="1:19" ht="15">
      <c r="A1393"/>
      <c r="B1393"/>
      <c r="C1393"/>
      <c r="D1393"/>
      <c r="E1393"/>
      <c r="F1393"/>
      <c r="G1393"/>
      <c r="H1393"/>
      <c r="I1393"/>
      <c r="J1393"/>
      <c r="K1393"/>
      <c r="L1393"/>
      <c r="M1393"/>
      <c r="N1393"/>
      <c r="O1393"/>
      <c r="P1393"/>
      <c r="Q1393"/>
      <c r="R1393"/>
      <c r="S1393"/>
    </row>
    <row r="1394" spans="1:19" ht="15">
      <c r="A1394"/>
      <c r="B1394"/>
      <c r="C1394"/>
      <c r="D1394"/>
      <c r="E1394"/>
      <c r="F1394"/>
      <c r="G1394"/>
      <c r="H1394"/>
      <c r="I1394"/>
      <c r="J1394"/>
      <c r="K1394"/>
      <c r="L1394"/>
      <c r="M1394"/>
      <c r="N1394"/>
      <c r="O1394"/>
      <c r="P1394"/>
      <c r="Q1394"/>
      <c r="R1394"/>
      <c r="S1394"/>
    </row>
    <row r="1395" spans="1:19" ht="15">
      <c r="A1395"/>
      <c r="B1395"/>
      <c r="C1395"/>
      <c r="D1395"/>
      <c r="E1395"/>
      <c r="F1395"/>
      <c r="G1395"/>
      <c r="H1395"/>
      <c r="I1395"/>
      <c r="J1395"/>
      <c r="K1395"/>
      <c r="L1395"/>
      <c r="M1395"/>
      <c r="N1395"/>
      <c r="O1395"/>
      <c r="P1395"/>
      <c r="Q1395"/>
      <c r="R1395"/>
      <c r="S1395"/>
    </row>
    <row r="1396" spans="1:19" ht="15">
      <c r="A1396"/>
      <c r="B1396"/>
      <c r="C1396"/>
      <c r="D1396"/>
      <c r="E1396"/>
      <c r="F1396"/>
      <c r="G1396"/>
      <c r="H1396"/>
      <c r="I1396"/>
      <c r="J1396"/>
      <c r="K1396"/>
      <c r="L1396"/>
      <c r="M1396"/>
      <c r="N1396"/>
      <c r="O1396"/>
      <c r="P1396"/>
      <c r="Q1396"/>
      <c r="R1396"/>
      <c r="S1396"/>
    </row>
    <row r="1397" spans="1:19" ht="15">
      <c r="A1397"/>
      <c r="B1397"/>
      <c r="C1397"/>
      <c r="D1397"/>
      <c r="E1397"/>
      <c r="F1397"/>
      <c r="G1397"/>
      <c r="H1397"/>
      <c r="I1397"/>
      <c r="J1397"/>
      <c r="K1397"/>
      <c r="L1397"/>
      <c r="M1397"/>
      <c r="N1397"/>
      <c r="O1397"/>
      <c r="P1397"/>
      <c r="Q1397"/>
      <c r="R1397"/>
      <c r="S1397"/>
    </row>
    <row r="1398" spans="1:19" ht="15">
      <c r="A1398"/>
      <c r="B1398"/>
      <c r="C1398"/>
      <c r="D1398"/>
      <c r="E1398"/>
      <c r="F1398"/>
      <c r="G1398"/>
      <c r="H1398"/>
      <c r="I1398"/>
      <c r="J1398"/>
      <c r="K1398"/>
      <c r="L1398"/>
      <c r="M1398"/>
      <c r="N1398"/>
      <c r="O1398"/>
      <c r="P1398"/>
      <c r="Q1398"/>
      <c r="R1398"/>
      <c r="S1398"/>
    </row>
    <row r="1399" spans="1:19" ht="15">
      <c r="A1399"/>
      <c r="B1399"/>
      <c r="C1399"/>
      <c r="D1399"/>
      <c r="E1399"/>
      <c r="F1399"/>
      <c r="G1399"/>
      <c r="H1399"/>
      <c r="I1399"/>
      <c r="J1399"/>
      <c r="K1399"/>
      <c r="L1399"/>
      <c r="M1399"/>
      <c r="N1399"/>
      <c r="O1399"/>
      <c r="P1399"/>
      <c r="Q1399"/>
      <c r="R1399"/>
      <c r="S1399"/>
    </row>
    <row r="1400" spans="1:19" ht="15">
      <c r="A1400"/>
      <c r="B1400"/>
      <c r="C1400"/>
      <c r="D1400"/>
      <c r="E1400"/>
      <c r="F1400"/>
      <c r="G1400"/>
      <c r="H1400"/>
      <c r="I1400"/>
      <c r="J1400"/>
      <c r="K1400"/>
      <c r="L1400"/>
      <c r="M1400"/>
      <c r="N1400"/>
      <c r="O1400"/>
      <c r="P1400"/>
      <c r="Q1400"/>
      <c r="R1400"/>
      <c r="S1400"/>
    </row>
    <row r="1401" spans="1:19" ht="15">
      <c r="A1401"/>
      <c r="B1401"/>
      <c r="C1401"/>
      <c r="D1401"/>
      <c r="E1401"/>
      <c r="F1401"/>
      <c r="G1401"/>
      <c r="H1401"/>
      <c r="I1401"/>
      <c r="J1401"/>
      <c r="K1401"/>
      <c r="L1401"/>
      <c r="M1401"/>
      <c r="N1401"/>
      <c r="O1401"/>
      <c r="P1401"/>
      <c r="Q1401"/>
      <c r="R1401"/>
      <c r="S1401"/>
    </row>
    <row r="1402" spans="1:19" ht="15">
      <c r="A1402"/>
      <c r="B1402"/>
      <c r="C1402"/>
      <c r="D1402"/>
      <c r="E1402"/>
      <c r="F1402"/>
      <c r="G1402"/>
      <c r="H1402"/>
      <c r="I1402"/>
      <c r="J1402"/>
      <c r="K1402"/>
      <c r="L1402"/>
      <c r="M1402"/>
      <c r="N1402"/>
      <c r="O1402"/>
      <c r="P1402"/>
      <c r="Q1402"/>
      <c r="R1402"/>
      <c r="S1402"/>
    </row>
    <row r="1403" spans="1:19" ht="15">
      <c r="A1403"/>
      <c r="B1403"/>
      <c r="C1403"/>
      <c r="D1403"/>
      <c r="E1403"/>
      <c r="F1403"/>
      <c r="G1403"/>
      <c r="H1403"/>
      <c r="I1403"/>
      <c r="J1403"/>
      <c r="K1403"/>
      <c r="L1403"/>
      <c r="M1403"/>
      <c r="N1403"/>
      <c r="O1403"/>
      <c r="P1403"/>
      <c r="Q1403"/>
      <c r="R1403"/>
      <c r="S1403"/>
    </row>
    <row r="1404" spans="1:19" ht="15">
      <c r="A1404"/>
      <c r="B1404"/>
      <c r="C1404"/>
      <c r="D1404"/>
      <c r="E1404"/>
      <c r="F1404"/>
      <c r="G1404"/>
      <c r="H1404"/>
      <c r="I1404"/>
      <c r="J1404"/>
      <c r="K1404"/>
      <c r="L1404"/>
      <c r="M1404"/>
      <c r="N1404"/>
      <c r="O1404"/>
      <c r="P1404"/>
      <c r="Q1404"/>
      <c r="R1404"/>
      <c r="S1404"/>
    </row>
    <row r="1405" spans="1:19" ht="15">
      <c r="A1405"/>
      <c r="B1405"/>
      <c r="C1405"/>
      <c r="D1405"/>
      <c r="E1405"/>
      <c r="F1405"/>
      <c r="G1405"/>
      <c r="H1405"/>
      <c r="I1405"/>
      <c r="J1405"/>
      <c r="K1405"/>
      <c r="L1405"/>
      <c r="M1405"/>
      <c r="N1405"/>
      <c r="O1405"/>
      <c r="P1405"/>
      <c r="Q1405"/>
      <c r="R1405"/>
      <c r="S1405"/>
    </row>
    <row r="1406" spans="1:19" ht="15">
      <c r="A1406"/>
      <c r="B1406"/>
      <c r="C1406"/>
      <c r="D1406"/>
      <c r="E1406"/>
      <c r="F1406"/>
      <c r="G1406"/>
      <c r="H1406"/>
      <c r="I1406"/>
      <c r="J1406"/>
      <c r="K1406"/>
      <c r="L1406"/>
      <c r="M1406"/>
      <c r="N1406"/>
      <c r="O1406"/>
      <c r="P1406"/>
      <c r="Q1406"/>
      <c r="R1406"/>
      <c r="S1406"/>
    </row>
    <row r="1407" spans="1:19" ht="15">
      <c r="A1407"/>
      <c r="B1407"/>
      <c r="C1407"/>
      <c r="D1407"/>
      <c r="E1407"/>
      <c r="F1407"/>
      <c r="G1407"/>
      <c r="H1407"/>
      <c r="I1407"/>
      <c r="J1407"/>
      <c r="K1407"/>
      <c r="L1407"/>
      <c r="M1407"/>
      <c r="N1407"/>
      <c r="O1407"/>
      <c r="P1407"/>
      <c r="Q1407"/>
      <c r="R1407"/>
      <c r="S1407"/>
    </row>
    <row r="1408" spans="1:19" ht="15">
      <c r="A1408"/>
      <c r="B1408"/>
      <c r="C1408"/>
      <c r="D1408"/>
      <c r="E1408"/>
      <c r="F1408"/>
      <c r="G1408"/>
      <c r="H1408"/>
      <c r="I1408"/>
      <c r="J1408"/>
      <c r="K1408"/>
      <c r="L1408"/>
      <c r="M1408"/>
      <c r="N1408"/>
      <c r="O1408"/>
      <c r="P1408"/>
      <c r="Q1408"/>
      <c r="R1408"/>
      <c r="S1408"/>
    </row>
    <row r="1409" spans="1:19" ht="15">
      <c r="A1409"/>
      <c r="B1409"/>
      <c r="C1409"/>
      <c r="D1409"/>
      <c r="E1409"/>
      <c r="F1409"/>
      <c r="G1409"/>
      <c r="H1409"/>
      <c r="I1409"/>
      <c r="J1409"/>
      <c r="K1409"/>
      <c r="L1409"/>
      <c r="M1409"/>
      <c r="N1409"/>
      <c r="O1409"/>
      <c r="P1409"/>
      <c r="Q1409"/>
      <c r="R1409"/>
      <c r="S1409"/>
    </row>
    <row r="1410" spans="1:19" ht="15">
      <c r="A1410"/>
      <c r="B1410"/>
      <c r="C1410"/>
      <c r="D1410"/>
      <c r="E1410"/>
      <c r="F1410"/>
      <c r="G1410"/>
      <c r="H1410"/>
      <c r="I1410"/>
      <c r="J1410"/>
      <c r="K1410"/>
      <c r="L1410"/>
      <c r="M1410"/>
      <c r="N1410"/>
      <c r="O1410"/>
      <c r="P1410"/>
      <c r="Q1410"/>
      <c r="R1410"/>
      <c r="S1410"/>
    </row>
    <row r="1411" spans="1:19" ht="15">
      <c r="A1411"/>
      <c r="B1411"/>
      <c r="C1411"/>
      <c r="D1411"/>
      <c r="E1411"/>
      <c r="F1411"/>
      <c r="G1411"/>
      <c r="H1411"/>
      <c r="I1411"/>
      <c r="J1411"/>
      <c r="K1411"/>
      <c r="L1411"/>
      <c r="M1411"/>
      <c r="N1411"/>
      <c r="O1411"/>
      <c r="P1411"/>
      <c r="Q1411"/>
      <c r="R1411"/>
      <c r="S1411"/>
    </row>
    <row r="1412" spans="1:19" ht="15">
      <c r="A1412"/>
      <c r="B1412"/>
      <c r="C1412"/>
      <c r="D1412"/>
      <c r="E1412"/>
      <c r="F1412"/>
      <c r="G1412"/>
      <c r="H1412"/>
      <c r="I1412"/>
      <c r="J1412"/>
      <c r="K1412"/>
      <c r="L1412"/>
      <c r="M1412"/>
      <c r="N1412"/>
      <c r="O1412"/>
      <c r="P1412"/>
      <c r="Q1412"/>
      <c r="R1412"/>
      <c r="S1412"/>
    </row>
    <row r="1413" spans="1:19" ht="15">
      <c r="A1413"/>
      <c r="B1413"/>
      <c r="C1413"/>
      <c r="D1413"/>
      <c r="E1413"/>
      <c r="F1413"/>
      <c r="G1413"/>
      <c r="H1413"/>
      <c r="I1413"/>
      <c r="J1413"/>
      <c r="K1413"/>
      <c r="L1413"/>
      <c r="M1413"/>
      <c r="N1413"/>
      <c r="O1413"/>
      <c r="P1413"/>
      <c r="Q1413"/>
      <c r="R1413"/>
      <c r="S1413"/>
    </row>
    <row r="1414" spans="1:19" ht="15">
      <c r="A1414"/>
      <c r="B1414"/>
      <c r="C1414"/>
      <c r="D1414"/>
      <c r="E1414"/>
      <c r="F1414"/>
      <c r="G1414"/>
      <c r="H1414"/>
      <c r="I1414"/>
      <c r="J1414"/>
      <c r="K1414"/>
      <c r="L1414"/>
      <c r="M1414"/>
      <c r="N1414"/>
      <c r="O1414"/>
      <c r="P1414"/>
      <c r="Q1414"/>
      <c r="R1414"/>
      <c r="S1414"/>
    </row>
    <row r="1415" spans="1:19" ht="15">
      <c r="A1415"/>
      <c r="B1415"/>
      <c r="C1415"/>
      <c r="D1415"/>
      <c r="E1415"/>
      <c r="F1415"/>
      <c r="G1415"/>
      <c r="H1415"/>
      <c r="I1415"/>
      <c r="J1415"/>
      <c r="K1415"/>
      <c r="L1415"/>
      <c r="M1415"/>
      <c r="N1415"/>
      <c r="O1415"/>
      <c r="P1415"/>
      <c r="Q1415"/>
      <c r="R1415"/>
      <c r="S1415"/>
    </row>
    <row r="1416" spans="1:19" ht="15">
      <c r="A1416"/>
      <c r="B1416"/>
      <c r="C1416"/>
      <c r="D1416"/>
      <c r="E1416"/>
      <c r="F1416"/>
      <c r="G1416"/>
      <c r="H1416"/>
      <c r="I1416"/>
      <c r="J1416"/>
      <c r="K1416"/>
      <c r="L1416"/>
      <c r="M1416"/>
      <c r="N1416"/>
      <c r="O1416"/>
      <c r="P1416"/>
      <c r="Q1416"/>
      <c r="R1416"/>
      <c r="S1416"/>
    </row>
    <row r="1417" spans="1:19" ht="15">
      <c r="A1417"/>
      <c r="B1417"/>
      <c r="C1417"/>
      <c r="D1417"/>
      <c r="E1417"/>
      <c r="F1417"/>
      <c r="G1417"/>
      <c r="H1417"/>
      <c r="I1417"/>
      <c r="J1417"/>
      <c r="K1417"/>
      <c r="L1417"/>
      <c r="M1417"/>
      <c r="N1417"/>
      <c r="O1417"/>
      <c r="P1417"/>
      <c r="Q1417"/>
      <c r="R1417"/>
      <c r="S1417"/>
    </row>
    <row r="1418" spans="1:19" ht="15">
      <c r="A1418"/>
      <c r="B1418"/>
      <c r="C1418"/>
      <c r="D1418"/>
      <c r="E1418"/>
      <c r="F1418"/>
      <c r="G1418"/>
      <c r="H1418"/>
      <c r="I1418"/>
      <c r="J1418"/>
      <c r="K1418"/>
      <c r="L1418"/>
      <c r="M1418"/>
      <c r="N1418"/>
      <c r="O1418"/>
      <c r="P1418"/>
      <c r="Q1418"/>
      <c r="R1418"/>
      <c r="S1418"/>
    </row>
    <row r="1419" spans="1:19" ht="15">
      <c r="A1419"/>
      <c r="B1419"/>
      <c r="C1419"/>
      <c r="D1419"/>
      <c r="E1419"/>
      <c r="F1419"/>
      <c r="G1419"/>
      <c r="H1419"/>
      <c r="I1419"/>
      <c r="J1419"/>
      <c r="K1419"/>
      <c r="L1419"/>
      <c r="M1419"/>
      <c r="N1419"/>
      <c r="O1419"/>
      <c r="P1419"/>
      <c r="Q1419"/>
      <c r="R1419"/>
      <c r="S1419"/>
    </row>
    <row r="1420" spans="1:19" ht="15">
      <c r="A1420"/>
      <c r="B1420"/>
      <c r="C1420"/>
      <c r="D1420"/>
      <c r="E1420"/>
      <c r="F1420"/>
      <c r="G1420"/>
      <c r="H1420"/>
      <c r="I1420"/>
      <c r="J1420"/>
      <c r="K1420"/>
      <c r="L1420"/>
      <c r="M1420"/>
      <c r="N1420"/>
      <c r="O1420"/>
      <c r="P1420"/>
      <c r="Q1420"/>
      <c r="R1420"/>
      <c r="S1420"/>
    </row>
    <row r="1421" spans="1:19" ht="15">
      <c r="A1421"/>
      <c r="B1421"/>
      <c r="C1421"/>
      <c r="D1421"/>
      <c r="E1421"/>
      <c r="F1421"/>
      <c r="G1421"/>
      <c r="H1421"/>
      <c r="I1421"/>
      <c r="J1421"/>
      <c r="K1421"/>
      <c r="L1421"/>
      <c r="M1421"/>
      <c r="N1421"/>
      <c r="O1421"/>
      <c r="P1421"/>
      <c r="Q1421"/>
      <c r="R1421"/>
      <c r="S1421"/>
    </row>
    <row r="1422" spans="1:19" ht="15">
      <c r="A1422"/>
      <c r="B1422"/>
      <c r="C1422"/>
      <c r="D1422"/>
      <c r="E1422"/>
      <c r="F1422"/>
      <c r="G1422"/>
      <c r="H1422"/>
      <c r="I1422"/>
      <c r="J1422"/>
      <c r="K1422"/>
      <c r="L1422"/>
      <c r="M1422"/>
      <c r="N1422"/>
      <c r="O1422"/>
      <c r="P1422"/>
      <c r="Q1422"/>
      <c r="R1422"/>
      <c r="S1422"/>
    </row>
    <row r="1423" spans="1:19" ht="15">
      <c r="A1423"/>
      <c r="B1423"/>
      <c r="C1423"/>
      <c r="D1423"/>
      <c r="E1423"/>
      <c r="F1423"/>
      <c r="G1423"/>
      <c r="H1423"/>
      <c r="I1423"/>
      <c r="J1423"/>
      <c r="K1423"/>
      <c r="L1423"/>
      <c r="M1423"/>
      <c r="N1423"/>
      <c r="O1423"/>
      <c r="P1423"/>
      <c r="Q1423"/>
      <c r="R1423"/>
      <c r="S1423"/>
    </row>
    <row r="1424" spans="1:19" ht="15">
      <c r="A1424"/>
      <c r="B1424"/>
      <c r="C1424"/>
      <c r="D1424"/>
      <c r="E1424"/>
      <c r="F1424"/>
      <c r="G1424"/>
      <c r="H1424"/>
      <c r="I1424"/>
      <c r="J1424"/>
      <c r="K1424"/>
      <c r="L1424"/>
      <c r="M1424"/>
      <c r="N1424"/>
      <c r="O1424"/>
      <c r="P1424"/>
      <c r="Q1424"/>
      <c r="R1424"/>
      <c r="S1424"/>
    </row>
    <row r="1425" spans="1:19" ht="15">
      <c r="A1425"/>
      <c r="B1425"/>
      <c r="C1425"/>
      <c r="D1425"/>
      <c r="E1425"/>
      <c r="F1425"/>
      <c r="G1425"/>
      <c r="H1425"/>
      <c r="I1425"/>
      <c r="J1425"/>
      <c r="K1425"/>
      <c r="L1425"/>
      <c r="M1425"/>
      <c r="N1425"/>
      <c r="O1425"/>
      <c r="P1425"/>
      <c r="Q1425"/>
      <c r="R1425"/>
      <c r="S1425"/>
    </row>
    <row r="1426" spans="1:19" ht="15">
      <c r="A1426"/>
      <c r="B1426"/>
      <c r="C1426"/>
      <c r="D1426"/>
      <c r="E1426"/>
      <c r="F1426"/>
      <c r="G1426"/>
      <c r="H1426"/>
      <c r="I1426"/>
      <c r="J1426"/>
      <c r="K1426"/>
      <c r="L1426"/>
      <c r="M1426"/>
      <c r="N1426"/>
      <c r="O1426"/>
      <c r="P1426"/>
      <c r="Q1426"/>
      <c r="R1426"/>
      <c r="S1426"/>
    </row>
    <row r="1427" spans="1:19" ht="15">
      <c r="A1427"/>
      <c r="B1427"/>
      <c r="C1427"/>
      <c r="D1427"/>
      <c r="E1427"/>
      <c r="F1427"/>
      <c r="G1427"/>
      <c r="H1427"/>
      <c r="I1427"/>
      <c r="J1427"/>
      <c r="K1427"/>
      <c r="L1427"/>
      <c r="M1427"/>
      <c r="N1427"/>
      <c r="O1427"/>
      <c r="P1427"/>
      <c r="Q1427"/>
      <c r="R1427"/>
      <c r="S1427"/>
    </row>
    <row r="1428" spans="1:19" ht="15">
      <c r="A1428"/>
      <c r="B1428"/>
      <c r="C1428"/>
      <c r="D1428"/>
      <c r="E1428"/>
      <c r="F1428"/>
      <c r="G1428"/>
      <c r="H1428"/>
      <c r="I1428"/>
      <c r="J1428"/>
      <c r="K1428"/>
      <c r="L1428"/>
      <c r="M1428"/>
      <c r="N1428"/>
      <c r="O1428"/>
      <c r="P1428"/>
      <c r="Q1428"/>
      <c r="R1428"/>
      <c r="S1428"/>
    </row>
    <row r="1429" spans="1:19" ht="15">
      <c r="A1429"/>
      <c r="B1429"/>
      <c r="C1429"/>
      <c r="D1429"/>
      <c r="E1429"/>
      <c r="F1429"/>
      <c r="G1429"/>
      <c r="H1429"/>
      <c r="I1429"/>
      <c r="J1429"/>
      <c r="K1429"/>
      <c r="L1429"/>
      <c r="M1429"/>
      <c r="N1429"/>
      <c r="O1429"/>
      <c r="P1429"/>
      <c r="Q1429"/>
      <c r="R1429"/>
      <c r="S1429"/>
    </row>
    <row r="1430" spans="1:19" ht="15">
      <c r="A1430"/>
      <c r="B1430"/>
      <c r="C1430"/>
      <c r="D1430"/>
      <c r="E1430"/>
      <c r="F1430"/>
      <c r="G1430"/>
      <c r="H1430"/>
      <c r="I1430"/>
      <c r="J1430"/>
      <c r="K1430"/>
      <c r="L1430"/>
      <c r="M1430"/>
      <c r="N1430"/>
      <c r="O1430"/>
      <c r="P1430"/>
      <c r="Q1430"/>
      <c r="R1430"/>
      <c r="S1430"/>
    </row>
    <row r="1431" spans="1:19" ht="15">
      <c r="A1431"/>
      <c r="B1431"/>
      <c r="C1431"/>
      <c r="D1431"/>
      <c r="E1431"/>
      <c r="F1431"/>
      <c r="G1431"/>
      <c r="H1431"/>
      <c r="I1431"/>
      <c r="J1431"/>
      <c r="K1431"/>
      <c r="L1431"/>
      <c r="M1431"/>
      <c r="N1431"/>
      <c r="O1431"/>
      <c r="P1431"/>
      <c r="Q1431"/>
      <c r="R1431"/>
      <c r="S1431"/>
    </row>
    <row r="1432" spans="1:19" ht="15">
      <c r="A1432"/>
      <c r="B1432"/>
      <c r="C1432"/>
      <c r="D1432"/>
      <c r="E1432"/>
      <c r="F1432"/>
      <c r="G1432"/>
      <c r="H1432"/>
      <c r="I1432"/>
      <c r="J1432"/>
      <c r="K1432"/>
      <c r="L1432"/>
      <c r="M1432"/>
      <c r="N1432"/>
      <c r="O1432"/>
      <c r="P1432"/>
      <c r="Q1432"/>
      <c r="R1432"/>
      <c r="S1432"/>
    </row>
    <row r="1433" spans="1:19" ht="15">
      <c r="A1433"/>
      <c r="B1433"/>
      <c r="C1433"/>
      <c r="D1433"/>
      <c r="E1433"/>
      <c r="F1433"/>
      <c r="G1433"/>
      <c r="H1433"/>
      <c r="I1433"/>
      <c r="J1433"/>
      <c r="K1433"/>
      <c r="L1433"/>
      <c r="M1433"/>
      <c r="N1433"/>
      <c r="O1433"/>
      <c r="P1433"/>
      <c r="Q1433"/>
      <c r="R1433"/>
      <c r="S1433"/>
    </row>
    <row r="1434" spans="1:19" ht="15">
      <c r="A1434"/>
      <c r="B1434"/>
      <c r="C1434"/>
      <c r="D1434"/>
      <c r="E1434"/>
      <c r="F1434"/>
      <c r="G1434"/>
      <c r="H1434"/>
      <c r="I1434"/>
      <c r="J1434"/>
      <c r="K1434"/>
      <c r="L1434"/>
      <c r="M1434"/>
      <c r="N1434"/>
      <c r="O1434"/>
      <c r="P1434"/>
      <c r="Q1434"/>
      <c r="R1434"/>
      <c r="S1434"/>
    </row>
    <row r="1435" spans="1:19" ht="15">
      <c r="A1435"/>
      <c r="B1435"/>
      <c r="C1435"/>
      <c r="D1435"/>
      <c r="E1435"/>
      <c r="F1435"/>
      <c r="G1435"/>
      <c r="H1435"/>
      <c r="I1435"/>
      <c r="J1435"/>
      <c r="K1435"/>
      <c r="L1435"/>
      <c r="M1435"/>
      <c r="N1435"/>
      <c r="O1435"/>
      <c r="P1435"/>
      <c r="Q1435"/>
      <c r="R1435"/>
      <c r="S1435"/>
    </row>
    <row r="1436" spans="1:19" ht="15">
      <c r="A1436"/>
      <c r="B1436"/>
      <c r="C1436"/>
      <c r="D1436"/>
      <c r="E1436"/>
      <c r="F1436"/>
      <c r="G1436"/>
      <c r="H1436"/>
      <c r="I1436"/>
      <c r="J1436"/>
      <c r="K1436"/>
      <c r="L1436"/>
      <c r="M1436"/>
      <c r="N1436"/>
      <c r="O1436"/>
      <c r="P1436"/>
      <c r="Q1436"/>
      <c r="R1436"/>
      <c r="S1436"/>
    </row>
    <row r="1437" spans="1:19" ht="15">
      <c r="A1437"/>
      <c r="B1437"/>
      <c r="C1437"/>
      <c r="D1437"/>
      <c r="E1437"/>
      <c r="F1437"/>
      <c r="G1437"/>
      <c r="H1437"/>
      <c r="I1437"/>
      <c r="J1437"/>
      <c r="K1437"/>
      <c r="L1437"/>
      <c r="M1437"/>
      <c r="N1437"/>
      <c r="O1437"/>
      <c r="P1437"/>
      <c r="Q1437"/>
      <c r="R1437"/>
      <c r="S1437"/>
    </row>
    <row r="1438" spans="1:19" ht="15">
      <c r="A1438"/>
      <c r="B1438"/>
      <c r="C1438"/>
      <c r="D1438"/>
      <c r="E1438"/>
      <c r="F1438"/>
      <c r="G1438"/>
      <c r="H1438"/>
      <c r="I1438"/>
      <c r="J1438"/>
      <c r="K1438"/>
      <c r="L1438"/>
      <c r="M1438"/>
      <c r="N1438"/>
      <c r="O1438"/>
      <c r="P1438"/>
      <c r="Q1438"/>
      <c r="R1438"/>
      <c r="S1438"/>
    </row>
    <row r="1439" spans="1:19" ht="15">
      <c r="A1439"/>
      <c r="B1439"/>
      <c r="C1439"/>
      <c r="D1439"/>
      <c r="E1439"/>
      <c r="F1439"/>
      <c r="G1439"/>
      <c r="H1439"/>
      <c r="I1439"/>
      <c r="J1439"/>
      <c r="K1439"/>
      <c r="L1439"/>
      <c r="M1439"/>
      <c r="N1439"/>
      <c r="O1439"/>
      <c r="P1439"/>
      <c r="Q1439"/>
      <c r="R1439"/>
      <c r="S1439"/>
    </row>
    <row r="1440" spans="1:19" ht="15">
      <c r="A1440"/>
      <c r="B1440"/>
      <c r="C1440"/>
      <c r="D1440"/>
      <c r="E1440"/>
      <c r="F1440"/>
      <c r="G1440"/>
      <c r="H1440"/>
      <c r="I1440"/>
      <c r="J1440"/>
      <c r="K1440"/>
      <c r="L1440"/>
      <c r="M1440"/>
      <c r="N1440"/>
      <c r="O1440"/>
      <c r="P1440"/>
      <c r="Q1440"/>
      <c r="R1440"/>
      <c r="S1440"/>
    </row>
    <row r="1441" spans="1:19" ht="15">
      <c r="A1441"/>
      <c r="B1441"/>
      <c r="C1441"/>
      <c r="D1441"/>
      <c r="E1441"/>
      <c r="F1441"/>
      <c r="G1441"/>
      <c r="H1441"/>
      <c r="I1441"/>
      <c r="J1441"/>
      <c r="K1441"/>
      <c r="L1441"/>
      <c r="M1441"/>
      <c r="N1441"/>
      <c r="O1441"/>
      <c r="P1441"/>
      <c r="Q1441"/>
      <c r="R1441"/>
      <c r="S1441"/>
    </row>
    <row r="1442" spans="1:19" ht="15">
      <c r="A1442"/>
      <c r="B1442"/>
      <c r="C1442"/>
      <c r="D1442"/>
      <c r="E1442"/>
      <c r="F1442"/>
      <c r="G1442"/>
      <c r="H1442"/>
      <c r="I1442"/>
      <c r="J1442"/>
      <c r="K1442"/>
      <c r="L1442"/>
      <c r="M1442"/>
      <c r="N1442"/>
      <c r="O1442"/>
      <c r="P1442"/>
      <c r="Q1442"/>
      <c r="R1442"/>
      <c r="S1442"/>
    </row>
    <row r="1443" spans="1:19" ht="15">
      <c r="A1443"/>
      <c r="B1443"/>
      <c r="C1443"/>
      <c r="D1443"/>
      <c r="E1443"/>
      <c r="F1443"/>
      <c r="G1443"/>
      <c r="H1443"/>
      <c r="I1443"/>
      <c r="J1443"/>
      <c r="K1443"/>
      <c r="L1443"/>
      <c r="M1443"/>
      <c r="N1443"/>
      <c r="O1443"/>
      <c r="P1443"/>
      <c r="Q1443"/>
      <c r="R1443"/>
      <c r="S1443"/>
    </row>
    <row r="1444" spans="1:19" ht="15">
      <c r="A1444"/>
      <c r="B1444"/>
      <c r="C1444"/>
      <c r="D1444"/>
      <c r="E1444"/>
      <c r="F1444"/>
      <c r="G1444"/>
      <c r="H1444"/>
      <c r="I1444"/>
      <c r="J1444"/>
      <c r="K1444"/>
      <c r="L1444"/>
      <c r="M1444"/>
      <c r="N1444"/>
      <c r="O1444"/>
      <c r="P1444"/>
      <c r="Q1444"/>
      <c r="R1444"/>
      <c r="S1444"/>
    </row>
    <row r="1445" spans="1:19" ht="15">
      <c r="A1445"/>
      <c r="B1445"/>
      <c r="C1445"/>
      <c r="D1445"/>
      <c r="E1445"/>
      <c r="F1445"/>
      <c r="G1445"/>
      <c r="H1445"/>
      <c r="I1445"/>
      <c r="J1445"/>
      <c r="K1445"/>
      <c r="L1445"/>
      <c r="M1445"/>
      <c r="N1445"/>
      <c r="O1445"/>
      <c r="P1445"/>
      <c r="Q1445"/>
      <c r="R1445"/>
      <c r="S1445"/>
    </row>
    <row r="1446" spans="1:19" ht="15">
      <c r="A1446"/>
      <c r="B1446"/>
      <c r="C1446"/>
      <c r="D1446"/>
      <c r="E1446"/>
      <c r="F1446"/>
      <c r="G1446"/>
      <c r="H1446"/>
      <c r="I1446"/>
      <c r="J1446"/>
      <c r="K1446"/>
      <c r="L1446"/>
      <c r="M1446"/>
      <c r="N1446"/>
      <c r="O1446"/>
      <c r="P1446"/>
      <c r="Q1446"/>
      <c r="R1446"/>
      <c r="S1446"/>
    </row>
    <row r="1447" spans="1:19" ht="15">
      <c r="A1447"/>
      <c r="B1447"/>
      <c r="C1447"/>
      <c r="D1447"/>
      <c r="E1447"/>
      <c r="F1447"/>
      <c r="G1447"/>
      <c r="H1447"/>
      <c r="I1447"/>
      <c r="J1447"/>
      <c r="K1447"/>
      <c r="L1447"/>
      <c r="M1447"/>
      <c r="N1447"/>
      <c r="O1447"/>
      <c r="P1447"/>
      <c r="Q1447"/>
      <c r="R1447"/>
      <c r="S1447"/>
    </row>
    <row r="1448" spans="1:19" ht="15">
      <c r="A1448"/>
      <c r="B1448"/>
      <c r="C1448"/>
      <c r="D1448"/>
      <c r="E1448"/>
      <c r="F1448"/>
      <c r="G1448"/>
      <c r="H1448"/>
      <c r="I1448"/>
      <c r="J1448"/>
      <c r="K1448"/>
      <c r="L1448"/>
      <c r="M1448"/>
      <c r="N1448"/>
      <c r="O1448"/>
      <c r="P1448"/>
      <c r="Q1448"/>
      <c r="R1448"/>
      <c r="S1448"/>
    </row>
    <row r="1449" spans="1:19" ht="15">
      <c r="A1449"/>
      <c r="B1449"/>
      <c r="C1449"/>
      <c r="D1449"/>
      <c r="E1449"/>
      <c r="F1449"/>
      <c r="G1449"/>
      <c r="H1449"/>
      <c r="I1449"/>
      <c r="J1449"/>
      <c r="K1449"/>
      <c r="L1449"/>
      <c r="M1449"/>
      <c r="N1449"/>
      <c r="O1449"/>
      <c r="P1449"/>
      <c r="Q1449"/>
      <c r="R1449"/>
      <c r="S1449"/>
    </row>
    <row r="1450" spans="1:19" ht="15">
      <c r="A1450"/>
      <c r="B1450"/>
      <c r="C1450"/>
      <c r="D1450"/>
      <c r="E1450"/>
      <c r="F1450"/>
      <c r="G1450"/>
      <c r="H1450"/>
      <c r="I1450"/>
      <c r="J1450"/>
      <c r="K1450"/>
      <c r="L1450"/>
      <c r="M1450"/>
      <c r="N1450"/>
      <c r="O1450"/>
      <c r="P1450"/>
      <c r="Q1450"/>
      <c r="R1450"/>
      <c r="S1450"/>
    </row>
    <row r="1451" spans="1:19" ht="15">
      <c r="A1451"/>
      <c r="B1451"/>
      <c r="C1451"/>
      <c r="D1451"/>
      <c r="E1451"/>
      <c r="F1451"/>
      <c r="G1451"/>
      <c r="H1451"/>
      <c r="I1451"/>
      <c r="J1451"/>
      <c r="K1451"/>
      <c r="L1451"/>
      <c r="M1451"/>
      <c r="N1451"/>
      <c r="O1451"/>
      <c r="P1451"/>
      <c r="Q1451"/>
      <c r="R1451"/>
      <c r="S1451"/>
    </row>
    <row r="1452" spans="1:19" ht="15">
      <c r="A1452"/>
      <c r="B1452"/>
      <c r="C1452"/>
      <c r="D1452"/>
      <c r="E1452"/>
      <c r="F1452"/>
      <c r="G1452"/>
      <c r="H1452"/>
      <c r="I1452"/>
      <c r="J1452"/>
      <c r="K1452"/>
      <c r="L1452"/>
      <c r="M1452"/>
      <c r="N1452"/>
      <c r="O1452"/>
      <c r="P1452"/>
      <c r="Q1452"/>
      <c r="R1452"/>
      <c r="S1452"/>
    </row>
    <row r="1453" spans="1:19" ht="15">
      <c r="A1453"/>
      <c r="B1453"/>
      <c r="C1453"/>
      <c r="D1453"/>
      <c r="E1453"/>
      <c r="F1453"/>
      <c r="G1453"/>
      <c r="H1453"/>
      <c r="I1453"/>
      <c r="J1453"/>
      <c r="K1453"/>
      <c r="L1453"/>
      <c r="M1453"/>
      <c r="N1453"/>
      <c r="O1453"/>
      <c r="P1453"/>
      <c r="Q1453"/>
      <c r="R1453"/>
      <c r="S1453"/>
    </row>
    <row r="1454" spans="1:19" ht="15">
      <c r="A1454"/>
      <c r="B1454"/>
      <c r="C1454"/>
      <c r="D1454"/>
      <c r="E1454"/>
      <c r="F1454"/>
      <c r="G1454"/>
      <c r="H1454"/>
      <c r="I1454"/>
      <c r="J1454"/>
      <c r="K1454"/>
      <c r="L1454"/>
      <c r="M1454"/>
      <c r="N1454"/>
      <c r="O1454"/>
      <c r="P1454"/>
      <c r="Q1454"/>
      <c r="R1454"/>
      <c r="S1454"/>
    </row>
    <row r="1455" spans="1:19" ht="15">
      <c r="A1455"/>
      <c r="B1455"/>
      <c r="C1455"/>
      <c r="D1455"/>
      <c r="E1455"/>
      <c r="F1455"/>
      <c r="G1455"/>
      <c r="H1455"/>
      <c r="I1455"/>
      <c r="J1455"/>
      <c r="K1455"/>
      <c r="L1455"/>
      <c r="M1455"/>
      <c r="N1455"/>
      <c r="O1455"/>
      <c r="P1455"/>
      <c r="Q1455"/>
      <c r="R1455"/>
      <c r="S1455"/>
    </row>
    <row r="1456" spans="1:19" ht="15">
      <c r="A1456"/>
      <c r="B1456"/>
      <c r="C1456"/>
      <c r="D1456"/>
      <c r="E1456"/>
      <c r="F1456"/>
      <c r="G1456"/>
      <c r="H1456"/>
      <c r="I1456"/>
      <c r="J1456"/>
      <c r="K1456"/>
      <c r="L1456"/>
      <c r="M1456"/>
      <c r="N1456"/>
      <c r="O1456"/>
      <c r="P1456"/>
      <c r="Q1456"/>
      <c r="R1456"/>
      <c r="S1456"/>
    </row>
    <row r="1457" spans="1:19" ht="15">
      <c r="A1457"/>
      <c r="B1457"/>
      <c r="C1457"/>
      <c r="D1457"/>
      <c r="E1457"/>
      <c r="F1457"/>
      <c r="G1457"/>
      <c r="H1457"/>
      <c r="I1457"/>
      <c r="J1457"/>
      <c r="K1457"/>
      <c r="L1457"/>
      <c r="M1457"/>
      <c r="N1457"/>
      <c r="O1457"/>
      <c r="P1457"/>
      <c r="Q1457"/>
      <c r="R1457"/>
      <c r="S1457"/>
    </row>
    <row r="1458" spans="1:19" ht="15">
      <c r="A1458"/>
      <c r="B1458"/>
      <c r="C1458"/>
      <c r="D1458"/>
      <c r="E1458"/>
      <c r="F1458"/>
      <c r="G1458"/>
      <c r="H1458"/>
      <c r="I1458"/>
      <c r="J1458"/>
      <c r="K1458"/>
      <c r="L1458"/>
      <c r="M1458"/>
      <c r="N1458"/>
      <c r="O1458"/>
      <c r="P1458"/>
      <c r="Q1458"/>
      <c r="R1458"/>
      <c r="S1458"/>
    </row>
    <row r="1459" spans="1:19" ht="15">
      <c r="A1459"/>
      <c r="B1459"/>
      <c r="C1459"/>
      <c r="D1459"/>
      <c r="E1459"/>
      <c r="F1459"/>
      <c r="G1459"/>
      <c r="H1459"/>
      <c r="I1459"/>
      <c r="J1459"/>
      <c r="K1459"/>
      <c r="L1459"/>
      <c r="M1459"/>
      <c r="N1459"/>
      <c r="O1459"/>
      <c r="P1459"/>
      <c r="Q1459"/>
      <c r="R1459"/>
      <c r="S1459"/>
    </row>
    <row r="1460" spans="1:19" ht="15">
      <c r="A1460"/>
      <c r="B1460"/>
      <c r="C1460"/>
      <c r="D1460"/>
      <c r="E1460"/>
      <c r="F1460"/>
      <c r="G1460"/>
      <c r="H1460"/>
      <c r="I1460"/>
      <c r="J1460"/>
      <c r="K1460"/>
      <c r="L1460"/>
      <c r="M1460"/>
      <c r="N1460"/>
      <c r="O1460"/>
      <c r="P1460"/>
      <c r="Q1460"/>
      <c r="R1460"/>
      <c r="S1460"/>
    </row>
    <row r="1461" spans="1:19" ht="15">
      <c r="A1461"/>
      <c r="B1461"/>
      <c r="C1461"/>
      <c r="D1461"/>
      <c r="E1461"/>
      <c r="F1461"/>
      <c r="G1461"/>
      <c r="H1461"/>
      <c r="I1461"/>
      <c r="J1461"/>
      <c r="K1461"/>
      <c r="L1461"/>
      <c r="M1461"/>
      <c r="N1461"/>
      <c r="O1461"/>
      <c r="P1461"/>
      <c r="Q1461"/>
      <c r="R1461"/>
      <c r="S1461"/>
    </row>
    <row r="1462" spans="1:19" ht="15">
      <c r="A1462"/>
      <c r="B1462"/>
      <c r="C1462"/>
      <c r="D1462"/>
      <c r="E1462"/>
      <c r="F1462"/>
      <c r="G1462"/>
      <c r="H1462"/>
      <c r="I1462"/>
      <c r="J1462"/>
      <c r="K1462"/>
      <c r="L1462"/>
      <c r="M1462"/>
      <c r="N1462"/>
      <c r="O1462"/>
      <c r="P1462"/>
      <c r="Q1462"/>
      <c r="R1462"/>
      <c r="S1462"/>
    </row>
    <row r="1463" spans="1:19" ht="15">
      <c r="A1463"/>
      <c r="B1463"/>
      <c r="C1463"/>
      <c r="D1463"/>
      <c r="E1463"/>
      <c r="F1463"/>
      <c r="G1463"/>
      <c r="H1463"/>
      <c r="I1463"/>
      <c r="J1463"/>
      <c r="K1463"/>
      <c r="L1463"/>
      <c r="M1463"/>
      <c r="N1463"/>
      <c r="O1463"/>
      <c r="P1463"/>
      <c r="Q1463"/>
      <c r="R1463"/>
      <c r="S1463"/>
    </row>
    <row r="1464" spans="1:19" ht="15">
      <c r="A1464"/>
      <c r="B1464"/>
      <c r="C1464"/>
      <c r="D1464"/>
      <c r="E1464"/>
      <c r="F1464"/>
      <c r="G1464"/>
      <c r="H1464"/>
      <c r="I1464"/>
      <c r="J1464"/>
      <c r="K1464"/>
      <c r="L1464"/>
      <c r="M1464"/>
      <c r="N1464"/>
      <c r="O1464"/>
      <c r="P1464"/>
      <c r="Q1464"/>
      <c r="R1464"/>
      <c r="S1464"/>
    </row>
    <row r="1465" spans="1:19" ht="15">
      <c r="A1465"/>
      <c r="B1465"/>
      <c r="C1465"/>
      <c r="D1465"/>
      <c r="E1465"/>
      <c r="F1465"/>
      <c r="G1465"/>
      <c r="H1465"/>
      <c r="I1465"/>
      <c r="J1465"/>
      <c r="K1465"/>
      <c r="L1465"/>
      <c r="M1465"/>
      <c r="N1465"/>
      <c r="O1465"/>
      <c r="P1465"/>
      <c r="Q1465"/>
      <c r="R1465"/>
      <c r="S1465"/>
    </row>
    <row r="1466" spans="1:19" ht="15">
      <c r="A1466"/>
      <c r="B1466"/>
      <c r="C1466"/>
      <c r="D1466"/>
      <c r="E1466"/>
      <c r="F1466"/>
      <c r="G1466"/>
      <c r="H1466"/>
      <c r="I1466"/>
      <c r="J1466"/>
      <c r="K1466"/>
      <c r="L1466"/>
      <c r="M1466"/>
      <c r="N1466"/>
      <c r="O1466"/>
      <c r="P1466"/>
      <c r="Q1466"/>
      <c r="R1466"/>
      <c r="S1466"/>
    </row>
    <row r="1467" spans="1:19" ht="15">
      <c r="A1467"/>
      <c r="B1467"/>
      <c r="C1467"/>
      <c r="D1467"/>
      <c r="E1467"/>
      <c r="F1467"/>
      <c r="G1467"/>
      <c r="H1467"/>
      <c r="I1467"/>
      <c r="J1467"/>
      <c r="K1467"/>
      <c r="L1467"/>
      <c r="M1467"/>
      <c r="N1467"/>
      <c r="O1467"/>
      <c r="P1467"/>
      <c r="Q1467"/>
      <c r="R1467"/>
      <c r="S1467"/>
    </row>
    <row r="1468" spans="1:19" ht="15">
      <c r="A1468"/>
      <c r="B1468"/>
      <c r="C1468"/>
      <c r="D1468"/>
      <c r="E1468"/>
      <c r="F1468"/>
      <c r="G1468"/>
      <c r="H1468"/>
      <c r="I1468"/>
      <c r="J1468"/>
      <c r="K1468"/>
      <c r="L1468"/>
      <c r="M1468"/>
      <c r="N1468"/>
      <c r="O1468"/>
      <c r="P1468"/>
      <c r="Q1468"/>
      <c r="R1468"/>
      <c r="S1468"/>
    </row>
    <row r="1469" spans="1:19" ht="15">
      <c r="A1469"/>
      <c r="B1469"/>
      <c r="C1469"/>
      <c r="D1469"/>
      <c r="E1469"/>
      <c r="F1469"/>
      <c r="G1469"/>
      <c r="H1469"/>
      <c r="I1469"/>
      <c r="J1469"/>
      <c r="K1469"/>
      <c r="L1469"/>
      <c r="M1469"/>
      <c r="N1469"/>
      <c r="O1469"/>
      <c r="P1469"/>
      <c r="Q1469"/>
      <c r="R1469"/>
      <c r="S1469"/>
    </row>
    <row r="1470" spans="1:19" ht="15">
      <c r="A1470"/>
      <c r="B1470"/>
      <c r="C1470"/>
      <c r="D1470"/>
      <c r="E1470"/>
      <c r="F1470"/>
      <c r="G1470"/>
      <c r="H1470"/>
      <c r="I1470"/>
      <c r="J1470"/>
      <c r="K1470"/>
      <c r="L1470"/>
      <c r="M1470"/>
      <c r="N1470"/>
      <c r="O1470"/>
      <c r="P1470"/>
      <c r="Q1470"/>
      <c r="R1470"/>
      <c r="S1470"/>
    </row>
    <row r="1471" spans="1:19" ht="15">
      <c r="A1471"/>
      <c r="B1471"/>
      <c r="C1471"/>
      <c r="D1471"/>
      <c r="E1471"/>
      <c r="F1471"/>
      <c r="G1471"/>
      <c r="H1471"/>
      <c r="I1471"/>
      <c r="J1471"/>
      <c r="K1471"/>
      <c r="L1471"/>
      <c r="M1471"/>
      <c r="N1471"/>
      <c r="O1471"/>
      <c r="P1471"/>
      <c r="Q1471"/>
      <c r="R1471"/>
      <c r="S1471"/>
    </row>
    <row r="1472" spans="1:19" ht="15">
      <c r="A1472"/>
      <c r="B1472"/>
      <c r="C1472"/>
      <c r="D1472"/>
      <c r="E1472"/>
      <c r="F1472"/>
      <c r="G1472"/>
      <c r="H1472"/>
      <c r="I1472"/>
      <c r="J1472"/>
      <c r="K1472"/>
      <c r="L1472"/>
      <c r="M1472"/>
      <c r="N1472"/>
      <c r="O1472"/>
      <c r="P1472"/>
      <c r="Q1472"/>
      <c r="R1472"/>
      <c r="S1472"/>
    </row>
    <row r="1473" spans="1:19" ht="15">
      <c r="A1473"/>
      <c r="B1473"/>
      <c r="C1473"/>
      <c r="D1473"/>
      <c r="E1473"/>
      <c r="F1473"/>
      <c r="G1473"/>
      <c r="H1473"/>
      <c r="I1473"/>
      <c r="J1473"/>
      <c r="K1473"/>
      <c r="L1473"/>
      <c r="M1473"/>
      <c r="N1473"/>
      <c r="O1473"/>
      <c r="P1473"/>
      <c r="Q1473"/>
      <c r="R1473"/>
      <c r="S1473"/>
    </row>
    <row r="1474" spans="1:19" ht="15">
      <c r="A1474"/>
      <c r="B1474"/>
      <c r="C1474"/>
      <c r="D1474"/>
      <c r="E1474"/>
      <c r="F1474"/>
      <c r="G1474"/>
      <c r="H1474"/>
      <c r="I1474"/>
      <c r="J1474"/>
      <c r="K1474"/>
      <c r="L1474"/>
      <c r="M1474"/>
      <c r="N1474"/>
      <c r="O1474"/>
      <c r="P1474"/>
      <c r="Q1474"/>
      <c r="R1474"/>
      <c r="S1474"/>
    </row>
    <row r="1475" spans="1:19" ht="15">
      <c r="A1475"/>
      <c r="B1475"/>
      <c r="C1475"/>
      <c r="D1475"/>
      <c r="E1475"/>
      <c r="F1475"/>
      <c r="G1475"/>
      <c r="H1475"/>
      <c r="I1475"/>
      <c r="J1475"/>
      <c r="K1475"/>
      <c r="L1475"/>
      <c r="M1475"/>
      <c r="N1475"/>
      <c r="O1475"/>
      <c r="P1475"/>
      <c r="Q1475"/>
      <c r="R1475"/>
      <c r="S1475"/>
    </row>
    <row r="1476" spans="1:19" ht="15">
      <c r="A1476"/>
      <c r="B1476"/>
      <c r="C1476"/>
      <c r="D1476"/>
      <c r="E1476"/>
      <c r="F1476"/>
      <c r="G1476"/>
      <c r="H1476"/>
      <c r="I1476"/>
      <c r="J1476"/>
      <c r="K1476"/>
      <c r="L1476"/>
      <c r="M1476"/>
      <c r="N1476"/>
      <c r="O1476"/>
      <c r="P1476"/>
      <c r="Q1476"/>
      <c r="R1476"/>
      <c r="S1476"/>
    </row>
    <row r="1477" spans="1:19" ht="15">
      <c r="A1477"/>
      <c r="B1477"/>
      <c r="C1477"/>
      <c r="D1477"/>
      <c r="E1477"/>
      <c r="F1477"/>
      <c r="G1477"/>
      <c r="H1477"/>
      <c r="I1477"/>
      <c r="J1477"/>
      <c r="K1477"/>
      <c r="L1477"/>
      <c r="M1477"/>
      <c r="N1477"/>
      <c r="O1477"/>
      <c r="P1477"/>
      <c r="Q1477"/>
      <c r="R1477"/>
      <c r="S1477"/>
    </row>
    <row r="1478" spans="1:19" ht="15">
      <c r="A1478"/>
      <c r="B1478"/>
      <c r="C1478"/>
      <c r="D1478"/>
      <c r="E1478"/>
      <c r="F1478"/>
      <c r="G1478"/>
      <c r="H1478"/>
      <c r="I1478"/>
      <c r="J1478"/>
      <c r="K1478"/>
      <c r="L1478"/>
      <c r="M1478"/>
      <c r="N1478"/>
      <c r="O1478"/>
      <c r="P1478"/>
      <c r="Q1478"/>
      <c r="R1478"/>
      <c r="S1478"/>
    </row>
    <row r="1479" spans="1:19" ht="15">
      <c r="A1479"/>
      <c r="B1479"/>
      <c r="C1479"/>
      <c r="D1479"/>
      <c r="E1479"/>
      <c r="F1479"/>
      <c r="G1479"/>
      <c r="H1479"/>
      <c r="I1479"/>
      <c r="J1479"/>
      <c r="K1479"/>
      <c r="L1479"/>
      <c r="M1479"/>
      <c r="N1479"/>
      <c r="O1479"/>
      <c r="P1479"/>
      <c r="Q1479"/>
      <c r="R1479"/>
      <c r="S1479"/>
    </row>
    <row r="1480" spans="1:19" ht="15">
      <c r="A1480"/>
      <c r="B1480"/>
      <c r="C1480"/>
      <c r="D1480"/>
      <c r="E1480"/>
      <c r="F1480"/>
      <c r="G1480"/>
      <c r="H1480"/>
      <c r="I1480"/>
      <c r="J1480"/>
      <c r="K1480"/>
      <c r="L1480"/>
      <c r="M1480"/>
      <c r="N1480"/>
      <c r="O1480"/>
      <c r="P1480"/>
      <c r="Q1480"/>
      <c r="R1480"/>
      <c r="S1480"/>
    </row>
    <row r="1481" spans="1:19" ht="15">
      <c r="A1481"/>
      <c r="B1481"/>
      <c r="C1481"/>
      <c r="D1481"/>
      <c r="E1481"/>
      <c r="F1481"/>
      <c r="G1481"/>
      <c r="H1481"/>
      <c r="I1481"/>
      <c r="J1481"/>
      <c r="K1481"/>
      <c r="L1481"/>
      <c r="M1481"/>
      <c r="N1481"/>
      <c r="O1481"/>
      <c r="P1481"/>
      <c r="Q1481"/>
      <c r="R1481"/>
      <c r="S1481"/>
    </row>
    <row r="1482" spans="1:19" ht="15">
      <c r="A1482"/>
      <c r="B1482"/>
      <c r="C1482"/>
      <c r="D1482"/>
      <c r="E1482"/>
      <c r="F1482"/>
      <c r="G1482"/>
      <c r="H1482"/>
      <c r="I1482"/>
      <c r="J1482"/>
      <c r="K1482"/>
      <c r="L1482"/>
      <c r="M1482"/>
      <c r="N1482"/>
      <c r="O1482"/>
      <c r="P1482"/>
      <c r="Q1482"/>
      <c r="R1482"/>
      <c r="S1482"/>
    </row>
    <row r="1483" spans="1:19" ht="15">
      <c r="A1483"/>
      <c r="B1483"/>
      <c r="C1483"/>
      <c r="D1483"/>
      <c r="E1483"/>
      <c r="F1483"/>
      <c r="G1483"/>
      <c r="H1483"/>
      <c r="I1483"/>
      <c r="J1483"/>
      <c r="K1483"/>
      <c r="L1483"/>
      <c r="M1483"/>
      <c r="N1483"/>
      <c r="O1483"/>
      <c r="P1483"/>
      <c r="Q1483"/>
      <c r="R1483"/>
      <c r="S1483"/>
    </row>
    <row r="1484" spans="1:19" ht="15">
      <c r="A1484"/>
      <c r="B1484"/>
      <c r="C1484"/>
      <c r="D1484"/>
      <c r="E1484"/>
      <c r="F1484"/>
      <c r="G1484"/>
      <c r="H1484"/>
      <c r="I1484"/>
      <c r="J1484"/>
      <c r="K1484"/>
      <c r="L1484"/>
      <c r="M1484"/>
      <c r="N1484"/>
      <c r="O1484"/>
      <c r="P1484"/>
      <c r="Q1484"/>
      <c r="R1484"/>
      <c r="S1484"/>
    </row>
    <row r="1485" spans="1:19" ht="15">
      <c r="A1485"/>
      <c r="B1485"/>
      <c r="C1485"/>
      <c r="D1485"/>
      <c r="E1485"/>
      <c r="F1485"/>
      <c r="G1485"/>
      <c r="H1485"/>
      <c r="I1485"/>
      <c r="J1485"/>
      <c r="K1485"/>
      <c r="L1485"/>
      <c r="M1485"/>
      <c r="N1485"/>
      <c r="O1485"/>
      <c r="P1485"/>
      <c r="Q1485"/>
      <c r="R1485"/>
      <c r="S1485"/>
    </row>
    <row r="1486" spans="1:19" ht="15">
      <c r="A1486"/>
      <c r="B1486"/>
      <c r="C1486"/>
      <c r="D1486"/>
      <c r="E1486"/>
      <c r="F1486"/>
      <c r="G1486"/>
      <c r="H1486"/>
      <c r="I1486"/>
      <c r="J1486"/>
      <c r="K1486"/>
      <c r="L1486"/>
      <c r="M1486"/>
      <c r="N1486"/>
      <c r="O1486"/>
      <c r="P1486"/>
      <c r="Q1486"/>
      <c r="R1486"/>
      <c r="S1486"/>
    </row>
    <row r="1487" spans="1:19" ht="15">
      <c r="A1487"/>
      <c r="B1487"/>
      <c r="C1487"/>
      <c r="D1487"/>
      <c r="E1487"/>
      <c r="F1487"/>
      <c r="G1487"/>
      <c r="H1487"/>
      <c r="I1487"/>
      <c r="J1487"/>
      <c r="K1487"/>
      <c r="L1487"/>
      <c r="M1487"/>
      <c r="N1487"/>
      <c r="O1487"/>
      <c r="P1487"/>
      <c r="Q1487"/>
      <c r="R1487"/>
      <c r="S1487"/>
    </row>
    <row r="1488" spans="1:19" ht="15">
      <c r="A1488"/>
      <c r="B1488"/>
      <c r="C1488"/>
      <c r="D1488"/>
      <c r="E1488"/>
      <c r="F1488"/>
      <c r="G1488"/>
      <c r="H1488"/>
      <c r="I1488"/>
      <c r="J1488"/>
      <c r="K1488"/>
      <c r="L1488"/>
      <c r="M1488"/>
      <c r="N1488"/>
      <c r="O1488"/>
      <c r="P1488"/>
      <c r="Q1488"/>
      <c r="R1488"/>
      <c r="S1488"/>
    </row>
    <row r="1489" spans="1:19" ht="15">
      <c r="A1489"/>
      <c r="B1489"/>
      <c r="C1489"/>
      <c r="D1489"/>
      <c r="E1489"/>
      <c r="F1489"/>
      <c r="G1489"/>
      <c r="H1489"/>
      <c r="I1489"/>
      <c r="J1489"/>
      <c r="K1489"/>
      <c r="L1489"/>
      <c r="M1489"/>
      <c r="N1489"/>
      <c r="O1489"/>
      <c r="P1489"/>
      <c r="Q1489"/>
      <c r="R1489"/>
      <c r="S1489"/>
    </row>
    <row r="1490" spans="1:19" ht="15">
      <c r="A1490"/>
      <c r="B1490"/>
      <c r="C1490"/>
      <c r="D1490"/>
      <c r="E1490"/>
      <c r="F1490"/>
      <c r="G1490"/>
      <c r="H1490"/>
      <c r="I1490"/>
      <c r="J1490"/>
      <c r="K1490"/>
      <c r="L1490"/>
      <c r="M1490"/>
      <c r="N1490"/>
      <c r="O1490"/>
      <c r="P1490"/>
      <c r="Q1490"/>
      <c r="R1490"/>
      <c r="S1490"/>
    </row>
    <row r="1491" spans="1:19" ht="15">
      <c r="A1491"/>
      <c r="B1491"/>
      <c r="C1491"/>
      <c r="D1491"/>
      <c r="E1491"/>
      <c r="F1491"/>
      <c r="G1491"/>
      <c r="H1491"/>
      <c r="I1491"/>
      <c r="J1491"/>
      <c r="K1491"/>
      <c r="L1491"/>
      <c r="M1491"/>
      <c r="N1491"/>
      <c r="O1491"/>
      <c r="P1491"/>
      <c r="Q1491"/>
      <c r="R1491"/>
      <c r="S1491"/>
    </row>
    <row r="1492" spans="1:19" ht="15">
      <c r="A1492"/>
      <c r="B1492"/>
      <c r="C1492"/>
      <c r="D1492"/>
      <c r="E1492"/>
      <c r="F1492"/>
      <c r="G1492"/>
      <c r="H1492"/>
      <c r="I1492"/>
      <c r="J1492"/>
      <c r="K1492"/>
      <c r="L1492"/>
      <c r="M1492"/>
      <c r="N1492"/>
      <c r="O1492"/>
      <c r="P1492"/>
      <c r="Q1492"/>
      <c r="R1492"/>
      <c r="S1492"/>
    </row>
    <row r="1493" spans="1:19" ht="15">
      <c r="A1493"/>
      <c r="B1493"/>
      <c r="C1493"/>
      <c r="D1493"/>
      <c r="E1493"/>
      <c r="F1493"/>
      <c r="G1493"/>
      <c r="H1493"/>
      <c r="I1493"/>
      <c r="J1493"/>
      <c r="K1493"/>
      <c r="L1493"/>
      <c r="M1493"/>
      <c r="N1493"/>
      <c r="O1493"/>
      <c r="P1493"/>
      <c r="Q1493"/>
      <c r="R1493"/>
      <c r="S1493"/>
    </row>
    <row r="1494" spans="1:19" ht="15">
      <c r="A1494"/>
      <c r="B1494"/>
      <c r="C1494"/>
      <c r="D1494"/>
      <c r="E1494"/>
      <c r="F1494"/>
      <c r="G1494"/>
      <c r="H1494"/>
      <c r="I1494"/>
      <c r="J1494"/>
      <c r="K1494"/>
      <c r="L1494"/>
      <c r="M1494"/>
      <c r="N1494"/>
      <c r="O1494"/>
      <c r="P1494"/>
      <c r="Q1494"/>
      <c r="R1494"/>
      <c r="S1494"/>
    </row>
    <row r="1495" spans="1:19" ht="15">
      <c r="A1495"/>
      <c r="B1495"/>
      <c r="C1495"/>
      <c r="D1495"/>
      <c r="E1495"/>
      <c r="F1495"/>
      <c r="G1495"/>
      <c r="H1495"/>
      <c r="I1495"/>
      <c r="J1495"/>
      <c r="K1495"/>
      <c r="L1495"/>
      <c r="M1495"/>
      <c r="N1495"/>
      <c r="O1495"/>
      <c r="P1495"/>
      <c r="Q1495"/>
      <c r="R1495"/>
      <c r="S1495"/>
    </row>
    <row r="1496" spans="1:19" ht="15">
      <c r="A1496"/>
      <c r="B1496"/>
      <c r="C1496"/>
      <c r="D1496"/>
      <c r="E1496"/>
      <c r="F1496"/>
      <c r="G1496"/>
      <c r="H1496"/>
      <c r="I1496"/>
      <c r="J1496"/>
      <c r="K1496"/>
      <c r="L1496"/>
      <c r="M1496"/>
      <c r="N1496"/>
      <c r="O1496"/>
      <c r="P1496"/>
      <c r="Q1496"/>
      <c r="R1496"/>
      <c r="S1496"/>
    </row>
    <row r="1497" spans="1:19" ht="15">
      <c r="A1497"/>
      <c r="B1497"/>
      <c r="C1497"/>
      <c r="D1497"/>
      <c r="E1497"/>
      <c r="F1497"/>
      <c r="G1497"/>
      <c r="H1497"/>
      <c r="I1497"/>
      <c r="J1497"/>
      <c r="K1497"/>
      <c r="L1497"/>
      <c r="M1497"/>
      <c r="N1497"/>
      <c r="O1497"/>
      <c r="P1497"/>
      <c r="Q1497"/>
      <c r="R1497"/>
      <c r="S1497"/>
    </row>
    <row r="1498" spans="1:19" ht="15">
      <c r="A1498"/>
      <c r="B1498"/>
      <c r="C1498"/>
      <c r="D1498"/>
      <c r="E1498"/>
      <c r="F1498"/>
      <c r="G1498"/>
      <c r="H1498"/>
      <c r="I1498"/>
      <c r="J1498"/>
      <c r="K1498"/>
      <c r="L1498"/>
      <c r="M1498"/>
      <c r="N1498"/>
      <c r="O1498"/>
      <c r="P1498"/>
      <c r="Q1498"/>
      <c r="R1498"/>
      <c r="S1498"/>
    </row>
    <row r="1499" spans="1:19" ht="15">
      <c r="A1499"/>
      <c r="B1499"/>
      <c r="C1499"/>
      <c r="D1499"/>
      <c r="E1499"/>
      <c r="F1499"/>
      <c r="G1499"/>
      <c r="H1499"/>
      <c r="I1499"/>
      <c r="J1499"/>
      <c r="K1499"/>
      <c r="L1499"/>
      <c r="M1499"/>
      <c r="N1499"/>
      <c r="O1499"/>
      <c r="P1499"/>
      <c r="Q1499"/>
      <c r="R1499"/>
      <c r="S1499"/>
    </row>
    <row r="1500" spans="1:19" ht="15">
      <c r="A1500"/>
      <c r="B1500"/>
      <c r="C1500"/>
      <c r="D1500"/>
      <c r="E1500"/>
      <c r="F1500"/>
      <c r="G1500"/>
      <c r="H1500"/>
      <c r="I1500"/>
      <c r="J1500"/>
      <c r="K1500"/>
      <c r="L1500"/>
      <c r="M1500"/>
      <c r="N1500"/>
      <c r="O1500"/>
      <c r="P1500"/>
      <c r="Q1500"/>
      <c r="R1500"/>
      <c r="S1500"/>
    </row>
    <row r="1501" spans="1:19" ht="15">
      <c r="A1501"/>
      <c r="B1501"/>
      <c r="C1501"/>
      <c r="D1501"/>
      <c r="E1501"/>
      <c r="F1501"/>
      <c r="G1501"/>
      <c r="H1501"/>
      <c r="I1501"/>
      <c r="J1501"/>
      <c r="K1501"/>
      <c r="L1501"/>
      <c r="M1501"/>
      <c r="N1501"/>
      <c r="O1501"/>
      <c r="P1501"/>
      <c r="Q1501"/>
      <c r="R1501"/>
      <c r="S1501"/>
    </row>
    <row r="1502" spans="1:19" ht="15">
      <c r="A1502"/>
      <c r="B1502"/>
      <c r="C1502"/>
      <c r="D1502"/>
      <c r="E1502"/>
      <c r="F1502"/>
      <c r="G1502"/>
      <c r="H1502"/>
      <c r="I1502"/>
      <c r="J1502"/>
      <c r="K1502"/>
      <c r="L1502"/>
      <c r="M1502"/>
      <c r="N1502"/>
      <c r="O1502"/>
      <c r="P1502"/>
      <c r="Q1502"/>
      <c r="R1502"/>
      <c r="S1502"/>
    </row>
    <row r="1503" spans="1:19" ht="15">
      <c r="A1503"/>
      <c r="B1503"/>
      <c r="C1503"/>
      <c r="D1503"/>
      <c r="E1503"/>
      <c r="F1503"/>
      <c r="G1503"/>
      <c r="H1503"/>
      <c r="I1503"/>
      <c r="J1503"/>
      <c r="K1503"/>
      <c r="L1503"/>
      <c r="M1503"/>
      <c r="N1503"/>
      <c r="O1503"/>
      <c r="P1503"/>
      <c r="Q1503"/>
      <c r="R1503"/>
      <c r="S1503"/>
    </row>
    <row r="1504" spans="1:19" ht="15">
      <c r="A1504"/>
      <c r="B1504"/>
      <c r="C1504"/>
      <c r="D1504"/>
      <c r="E1504"/>
      <c r="F1504"/>
      <c r="G1504"/>
      <c r="H1504"/>
      <c r="I1504"/>
      <c r="J1504"/>
      <c r="K1504"/>
      <c r="L1504"/>
      <c r="M1504"/>
      <c r="N1504"/>
      <c r="O1504"/>
      <c r="P1504"/>
      <c r="Q1504"/>
      <c r="R1504"/>
      <c r="S1504"/>
    </row>
    <row r="1505" spans="1:19" ht="15">
      <c r="A1505"/>
      <c r="B1505"/>
      <c r="C1505"/>
      <c r="D1505"/>
      <c r="E1505"/>
      <c r="F1505"/>
      <c r="G1505"/>
      <c r="H1505"/>
      <c r="I1505"/>
      <c r="J1505"/>
      <c r="K1505"/>
      <c r="L1505"/>
      <c r="M1505"/>
      <c r="N1505"/>
      <c r="O1505"/>
      <c r="P1505"/>
      <c r="Q1505"/>
      <c r="R1505"/>
      <c r="S1505"/>
    </row>
    <row r="1506" spans="1:19" ht="15">
      <c r="A1506"/>
      <c r="B1506"/>
      <c r="C1506"/>
      <c r="D1506"/>
      <c r="E1506"/>
      <c r="F1506"/>
      <c r="G1506"/>
      <c r="H1506"/>
      <c r="I1506"/>
      <c r="J1506"/>
      <c r="K1506"/>
      <c r="L1506"/>
      <c r="M1506"/>
      <c r="N1506"/>
      <c r="O1506"/>
      <c r="P1506"/>
      <c r="Q1506"/>
      <c r="R1506"/>
      <c r="S1506"/>
    </row>
    <row r="1507" spans="1:19" ht="15">
      <c r="A1507"/>
      <c r="B1507"/>
      <c r="C1507"/>
      <c r="D1507"/>
      <c r="E1507"/>
      <c r="F1507"/>
      <c r="G1507"/>
      <c r="H1507"/>
      <c r="I1507"/>
      <c r="J1507"/>
      <c r="K1507"/>
      <c r="L1507"/>
      <c r="M1507"/>
      <c r="N1507"/>
      <c r="O1507"/>
      <c r="P1507"/>
      <c r="Q1507"/>
      <c r="R1507"/>
      <c r="S1507"/>
    </row>
    <row r="1508" spans="1:19" ht="15">
      <c r="A1508"/>
      <c r="B1508"/>
      <c r="C1508"/>
      <c r="D1508"/>
      <c r="E1508"/>
      <c r="F1508"/>
      <c r="G1508"/>
      <c r="H1508"/>
      <c r="I1508"/>
      <c r="J1508"/>
      <c r="K1508"/>
      <c r="L1508"/>
      <c r="M1508"/>
      <c r="N1508"/>
      <c r="O1508"/>
      <c r="P1508"/>
      <c r="Q1508"/>
      <c r="R1508"/>
      <c r="S1508"/>
    </row>
    <row r="1509" spans="1:19" ht="15">
      <c r="A1509"/>
      <c r="B1509"/>
      <c r="C1509"/>
      <c r="D1509"/>
      <c r="E1509"/>
      <c r="F1509"/>
      <c r="G1509"/>
      <c r="H1509"/>
      <c r="I1509"/>
      <c r="J1509"/>
      <c r="K1509"/>
      <c r="L1509"/>
      <c r="M1509"/>
      <c r="N1509"/>
      <c r="O1509"/>
      <c r="P1509"/>
      <c r="Q1509"/>
      <c r="R1509"/>
      <c r="S1509"/>
    </row>
    <row r="1510" spans="1:19" ht="15">
      <c r="A1510"/>
      <c r="B1510"/>
      <c r="C1510"/>
      <c r="D1510"/>
      <c r="E1510"/>
      <c r="F1510"/>
      <c r="G1510"/>
      <c r="H1510"/>
      <c r="I1510"/>
      <c r="J1510"/>
      <c r="K1510"/>
      <c r="L1510"/>
      <c r="M1510"/>
      <c r="N1510"/>
      <c r="O1510"/>
      <c r="P1510"/>
      <c r="Q1510"/>
      <c r="R1510"/>
      <c r="S1510"/>
    </row>
    <row r="1511" spans="1:19" ht="15">
      <c r="A1511"/>
      <c r="B1511"/>
      <c r="C1511"/>
      <c r="D1511"/>
      <c r="E1511"/>
      <c r="F1511"/>
      <c r="G1511"/>
      <c r="H1511"/>
      <c r="I1511"/>
      <c r="J1511"/>
      <c r="K1511"/>
      <c r="L1511"/>
      <c r="M1511"/>
      <c r="N1511"/>
      <c r="O1511"/>
      <c r="P1511"/>
      <c r="Q1511"/>
      <c r="R1511"/>
      <c r="S1511"/>
    </row>
    <row r="1512" spans="1:19" ht="15">
      <c r="A1512"/>
      <c r="B1512"/>
      <c r="C1512"/>
      <c r="D1512"/>
      <c r="E1512"/>
      <c r="F1512"/>
      <c r="G1512"/>
      <c r="H1512"/>
      <c r="I1512"/>
      <c r="J1512"/>
      <c r="K1512"/>
      <c r="L1512"/>
      <c r="M1512"/>
      <c r="N1512"/>
      <c r="O1512"/>
      <c r="P1512"/>
      <c r="Q1512"/>
      <c r="R1512"/>
      <c r="S1512"/>
    </row>
    <row r="1513" spans="1:19" ht="15">
      <c r="A1513"/>
      <c r="B1513"/>
      <c r="C1513"/>
      <c r="D1513"/>
      <c r="E1513"/>
      <c r="F1513"/>
      <c r="G1513"/>
      <c r="H1513"/>
      <c r="I1513"/>
      <c r="J1513"/>
      <c r="K1513"/>
      <c r="L1513"/>
      <c r="M1513"/>
      <c r="N1513"/>
      <c r="O1513"/>
      <c r="P1513"/>
      <c r="Q1513"/>
      <c r="R1513"/>
      <c r="S1513"/>
    </row>
    <row r="1514" spans="1:19" ht="15">
      <c r="A1514"/>
      <c r="B1514"/>
      <c r="C1514"/>
      <c r="D1514"/>
      <c r="E1514"/>
      <c r="F1514"/>
      <c r="G1514"/>
      <c r="H1514"/>
      <c r="I1514"/>
      <c r="J1514"/>
      <c r="K1514"/>
      <c r="L1514"/>
      <c r="M1514"/>
      <c r="N1514"/>
      <c r="O1514"/>
      <c r="P1514"/>
      <c r="Q1514"/>
      <c r="R1514"/>
      <c r="S1514"/>
    </row>
    <row r="1515" spans="1:19" ht="15">
      <c r="A1515"/>
      <c r="B1515"/>
      <c r="C1515"/>
      <c r="D1515"/>
      <c r="E1515"/>
      <c r="F1515"/>
      <c r="G1515"/>
      <c r="H1515"/>
      <c r="I1515"/>
      <c r="J1515"/>
      <c r="K1515"/>
      <c r="L1515"/>
      <c r="M1515"/>
      <c r="N1515"/>
      <c r="O1515"/>
      <c r="P1515"/>
      <c r="Q1515"/>
      <c r="R1515"/>
      <c r="S1515"/>
    </row>
    <row r="1516" spans="1:19" ht="15">
      <c r="A1516"/>
      <c r="B1516"/>
      <c r="C1516"/>
      <c r="D1516"/>
      <c r="E1516"/>
      <c r="F1516"/>
      <c r="G1516"/>
      <c r="H1516"/>
      <c r="I1516"/>
      <c r="J1516"/>
      <c r="K1516"/>
      <c r="L1516"/>
      <c r="M1516"/>
      <c r="N1516"/>
      <c r="O1516"/>
      <c r="P1516"/>
      <c r="Q1516"/>
      <c r="R1516"/>
      <c r="S1516"/>
    </row>
    <row r="1517" spans="1:19" ht="15">
      <c r="A1517"/>
      <c r="B1517"/>
      <c r="C1517"/>
      <c r="D1517"/>
      <c r="E1517"/>
      <c r="F1517"/>
      <c r="G1517"/>
      <c r="H1517"/>
      <c r="I1517"/>
      <c r="J1517"/>
      <c r="K1517"/>
      <c r="L1517"/>
      <c r="M1517"/>
      <c r="N1517"/>
      <c r="O1517"/>
      <c r="P1517"/>
      <c r="Q1517"/>
      <c r="R1517"/>
      <c r="S1517"/>
    </row>
    <row r="1518" spans="1:19" ht="15">
      <c r="A1518"/>
      <c r="B1518"/>
      <c r="C1518"/>
      <c r="D1518"/>
      <c r="E1518"/>
      <c r="F1518"/>
      <c r="G1518"/>
      <c r="H1518"/>
      <c r="I1518"/>
      <c r="J1518"/>
      <c r="K1518"/>
      <c r="L1518"/>
      <c r="M1518"/>
      <c r="N1518"/>
      <c r="O1518"/>
      <c r="P1518"/>
      <c r="Q1518"/>
      <c r="R1518"/>
      <c r="S1518"/>
    </row>
    <row r="1519" spans="1:19" ht="15">
      <c r="A1519"/>
      <c r="B1519"/>
      <c r="C1519"/>
      <c r="D1519"/>
      <c r="E1519"/>
      <c r="F1519"/>
      <c r="G1519"/>
      <c r="H1519"/>
      <c r="I1519"/>
      <c r="J1519"/>
      <c r="K1519"/>
      <c r="L1519"/>
      <c r="M1519"/>
      <c r="N1519"/>
      <c r="O1519"/>
      <c r="P1519"/>
      <c r="Q1519"/>
      <c r="R1519"/>
      <c r="S1519"/>
    </row>
    <row r="1520" spans="1:19" ht="15">
      <c r="A1520"/>
      <c r="B1520"/>
      <c r="C1520"/>
      <c r="D1520"/>
      <c r="E1520"/>
      <c r="F1520"/>
      <c r="G1520"/>
      <c r="H1520"/>
      <c r="I1520"/>
      <c r="J1520"/>
      <c r="K1520"/>
      <c r="L1520"/>
      <c r="M1520"/>
      <c r="N1520"/>
      <c r="O1520"/>
      <c r="P1520"/>
      <c r="Q1520"/>
      <c r="R1520"/>
      <c r="S1520"/>
    </row>
    <row r="1521" spans="1:19" ht="15">
      <c r="A1521"/>
      <c r="B1521"/>
      <c r="C1521"/>
      <c r="D1521"/>
      <c r="E1521"/>
      <c r="F1521"/>
      <c r="G1521"/>
      <c r="H1521"/>
      <c r="I1521"/>
      <c r="J1521"/>
      <c r="K1521"/>
      <c r="L1521"/>
      <c r="M1521"/>
      <c r="N1521"/>
      <c r="O1521"/>
      <c r="P1521"/>
      <c r="Q1521"/>
      <c r="R1521"/>
      <c r="S1521"/>
    </row>
    <row r="1522" spans="1:19" ht="15">
      <c r="A1522"/>
      <c r="B1522"/>
      <c r="C1522"/>
      <c r="D1522"/>
      <c r="E1522"/>
      <c r="F1522"/>
      <c r="G1522"/>
      <c r="H1522"/>
      <c r="I1522"/>
      <c r="J1522"/>
      <c r="K1522"/>
      <c r="L1522"/>
      <c r="M1522"/>
      <c r="N1522"/>
      <c r="O1522"/>
      <c r="P1522"/>
      <c r="Q1522"/>
      <c r="R1522"/>
      <c r="S1522"/>
    </row>
    <row r="1523" spans="1:19" ht="15">
      <c r="A1523"/>
      <c r="B1523"/>
      <c r="C1523"/>
      <c r="D1523"/>
      <c r="E1523"/>
      <c r="F1523"/>
      <c r="G1523"/>
      <c r="H1523"/>
      <c r="I1523"/>
      <c r="J1523"/>
      <c r="K1523"/>
      <c r="L1523"/>
      <c r="M1523"/>
      <c r="N1523"/>
      <c r="O1523"/>
      <c r="P1523"/>
      <c r="Q1523"/>
      <c r="R1523"/>
      <c r="S1523"/>
    </row>
    <row r="1524" spans="1:19" ht="15">
      <c r="A1524"/>
      <c r="B1524"/>
      <c r="C1524"/>
      <c r="D1524"/>
      <c r="E1524"/>
      <c r="F1524"/>
      <c r="G1524"/>
      <c r="H1524"/>
      <c r="I1524"/>
      <c r="J1524"/>
      <c r="K1524"/>
      <c r="L1524"/>
      <c r="M1524"/>
      <c r="N1524"/>
      <c r="O1524"/>
      <c r="P1524"/>
      <c r="Q1524"/>
      <c r="R1524"/>
      <c r="S1524"/>
    </row>
    <row r="1525" spans="1:19" ht="15">
      <c r="A1525"/>
      <c r="B1525"/>
      <c r="C1525"/>
      <c r="D1525"/>
      <c r="E1525"/>
      <c r="F1525"/>
      <c r="G1525"/>
      <c r="H1525"/>
      <c r="I1525"/>
      <c r="J1525"/>
      <c r="K1525"/>
      <c r="L1525"/>
      <c r="M1525"/>
      <c r="N1525"/>
      <c r="O1525"/>
      <c r="P1525"/>
      <c r="Q1525"/>
      <c r="R1525"/>
      <c r="S1525"/>
    </row>
    <row r="1526" spans="1:19" ht="15">
      <c r="A1526"/>
      <c r="B1526"/>
      <c r="C1526"/>
      <c r="D1526"/>
      <c r="E1526"/>
      <c r="F1526"/>
      <c r="G1526"/>
      <c r="H1526"/>
      <c r="I1526"/>
      <c r="J1526"/>
      <c r="K1526"/>
      <c r="L1526"/>
      <c r="M1526"/>
      <c r="N1526"/>
      <c r="O1526"/>
      <c r="P1526"/>
      <c r="Q1526"/>
      <c r="R1526"/>
      <c r="S1526"/>
    </row>
    <row r="1527" spans="1:19" ht="15">
      <c r="A1527"/>
      <c r="B1527"/>
      <c r="C1527"/>
      <c r="D1527"/>
      <c r="E1527"/>
      <c r="F1527"/>
      <c r="G1527"/>
      <c r="H1527"/>
      <c r="I1527"/>
      <c r="J1527"/>
      <c r="K1527"/>
      <c r="L1527"/>
      <c r="M1527"/>
      <c r="N1527"/>
      <c r="O1527"/>
      <c r="P1527"/>
      <c r="Q1527"/>
      <c r="R1527"/>
      <c r="S1527"/>
    </row>
    <row r="1528" spans="1:19" ht="15">
      <c r="A1528"/>
      <c r="B1528"/>
      <c r="C1528"/>
      <c r="D1528"/>
      <c r="E1528"/>
      <c r="F1528"/>
      <c r="G1528"/>
      <c r="H1528"/>
      <c r="I1528"/>
      <c r="J1528"/>
      <c r="K1528"/>
      <c r="L1528"/>
      <c r="M1528"/>
      <c r="N1528"/>
      <c r="O1528"/>
      <c r="P1528"/>
      <c r="Q1528"/>
      <c r="R1528"/>
      <c r="S1528"/>
    </row>
    <row r="1529" spans="1:19" ht="15">
      <c r="A1529"/>
      <c r="B1529"/>
      <c r="C1529"/>
      <c r="D1529"/>
      <c r="E1529"/>
      <c r="F1529"/>
      <c r="G1529"/>
      <c r="H1529"/>
      <c r="I1529"/>
      <c r="J1529"/>
      <c r="K1529"/>
      <c r="L1529"/>
      <c r="M1529"/>
      <c r="N1529"/>
      <c r="O1529"/>
      <c r="P1529"/>
      <c r="Q1529"/>
      <c r="R1529"/>
      <c r="S1529"/>
    </row>
    <row r="1530" spans="1:19" ht="15">
      <c r="A1530"/>
      <c r="B1530"/>
      <c r="C1530"/>
      <c r="D1530"/>
      <c r="E1530"/>
      <c r="F1530"/>
      <c r="G1530"/>
      <c r="H1530"/>
      <c r="I1530"/>
      <c r="J1530"/>
      <c r="K1530"/>
      <c r="L1530"/>
      <c r="M1530"/>
      <c r="N1530"/>
      <c r="O1530"/>
      <c r="P1530"/>
      <c r="Q1530"/>
      <c r="R1530"/>
      <c r="S1530"/>
    </row>
    <row r="1531" spans="1:19" ht="15">
      <c r="A1531"/>
      <c r="B1531"/>
      <c r="C1531"/>
      <c r="D1531"/>
      <c r="E1531"/>
      <c r="F1531"/>
      <c r="G1531"/>
      <c r="H1531"/>
      <c r="I1531"/>
      <c r="J1531"/>
      <c r="K1531"/>
      <c r="L1531"/>
      <c r="M1531"/>
      <c r="N1531"/>
      <c r="O1531"/>
      <c r="P1531"/>
      <c r="Q1531"/>
      <c r="R1531"/>
      <c r="S1531"/>
    </row>
    <row r="1532" spans="1:19" ht="15">
      <c r="A1532"/>
      <c r="B1532"/>
      <c r="C1532"/>
      <c r="D1532"/>
      <c r="E1532"/>
      <c r="F1532"/>
      <c r="G1532"/>
      <c r="H1532"/>
      <c r="I1532"/>
      <c r="J1532"/>
      <c r="K1532"/>
      <c r="L1532"/>
      <c r="M1532"/>
      <c r="N1532"/>
      <c r="O1532"/>
      <c r="P1532"/>
      <c r="Q1532"/>
      <c r="R1532"/>
      <c r="S1532"/>
    </row>
    <row r="1533" spans="1:19" ht="15">
      <c r="A1533"/>
      <c r="B1533"/>
      <c r="C1533"/>
      <c r="D1533"/>
      <c r="E1533"/>
      <c r="F1533"/>
      <c r="G1533"/>
      <c r="H1533"/>
      <c r="I1533"/>
      <c r="J1533"/>
      <c r="K1533"/>
      <c r="L1533"/>
      <c r="M1533"/>
      <c r="N1533"/>
      <c r="O1533"/>
      <c r="P1533"/>
      <c r="Q1533"/>
      <c r="R1533"/>
      <c r="S1533"/>
    </row>
    <row r="1534" spans="1:19" ht="15">
      <c r="A1534"/>
      <c r="B1534"/>
      <c r="C1534"/>
      <c r="D1534"/>
      <c r="E1534"/>
      <c r="F1534"/>
      <c r="G1534"/>
      <c r="H1534"/>
      <c r="I1534"/>
      <c r="J1534"/>
      <c r="K1534"/>
      <c r="L1534"/>
      <c r="M1534"/>
      <c r="N1534"/>
      <c r="O1534"/>
      <c r="P1534"/>
      <c r="Q1534"/>
      <c r="R1534"/>
      <c r="S1534"/>
    </row>
    <row r="1535" spans="1:19" ht="15">
      <c r="A1535"/>
      <c r="B1535"/>
      <c r="C1535"/>
      <c r="D1535"/>
      <c r="E1535"/>
      <c r="F1535"/>
      <c r="G1535"/>
      <c r="H1535"/>
      <c r="I1535"/>
      <c r="J1535"/>
      <c r="K1535"/>
      <c r="L1535"/>
      <c r="M1535"/>
      <c r="N1535"/>
      <c r="O1535"/>
      <c r="P1535"/>
      <c r="Q1535"/>
      <c r="R1535"/>
      <c r="S1535"/>
    </row>
    <row r="1536" spans="1:19" ht="15">
      <c r="A1536"/>
      <c r="B1536"/>
      <c r="C1536"/>
      <c r="D1536"/>
      <c r="E1536"/>
      <c r="F1536"/>
      <c r="G1536"/>
      <c r="H1536"/>
      <c r="I1536"/>
      <c r="J1536"/>
      <c r="K1536"/>
      <c r="L1536"/>
      <c r="M1536"/>
      <c r="N1536"/>
      <c r="O1536"/>
      <c r="P1536"/>
      <c r="Q1536"/>
      <c r="R1536"/>
      <c r="S1536"/>
    </row>
    <row r="1537" spans="1:19" ht="15">
      <c r="A1537"/>
      <c r="B1537"/>
      <c r="C1537"/>
      <c r="D1537"/>
      <c r="E1537"/>
      <c r="F1537"/>
      <c r="G1537"/>
      <c r="H1537"/>
      <c r="I1537"/>
      <c r="J1537"/>
      <c r="K1537"/>
      <c r="L1537"/>
      <c r="M1537"/>
      <c r="N1537"/>
      <c r="O1537"/>
      <c r="P1537"/>
      <c r="Q1537"/>
      <c r="R1537"/>
      <c r="S1537"/>
    </row>
    <row r="1538" spans="1:19" ht="15">
      <c r="A1538"/>
      <c r="B1538"/>
      <c r="C1538"/>
      <c r="D1538"/>
      <c r="E1538"/>
      <c r="F1538"/>
      <c r="G1538"/>
      <c r="H1538"/>
      <c r="I1538"/>
      <c r="J1538"/>
      <c r="K1538"/>
      <c r="L1538"/>
      <c r="M1538"/>
      <c r="N1538"/>
      <c r="O1538"/>
      <c r="P1538"/>
      <c r="Q1538"/>
      <c r="R1538"/>
      <c r="S1538"/>
    </row>
    <row r="1539" spans="1:19" ht="15">
      <c r="A1539"/>
      <c r="B1539"/>
      <c r="C1539"/>
      <c r="D1539"/>
      <c r="E1539"/>
      <c r="F1539"/>
      <c r="G1539"/>
      <c r="H1539"/>
      <c r="I1539"/>
      <c r="J1539"/>
      <c r="K1539"/>
      <c r="L1539"/>
      <c r="M1539"/>
      <c r="N1539"/>
      <c r="O1539"/>
      <c r="P1539"/>
      <c r="Q1539"/>
      <c r="R1539"/>
      <c r="S1539"/>
    </row>
    <row r="1540" spans="1:19" ht="15">
      <c r="A1540"/>
      <c r="B1540"/>
      <c r="C1540"/>
      <c r="D1540"/>
      <c r="E1540"/>
      <c r="F1540"/>
      <c r="G1540"/>
      <c r="H1540"/>
      <c r="I1540"/>
      <c r="J1540"/>
      <c r="K1540"/>
      <c r="L1540"/>
      <c r="M1540"/>
      <c r="N1540"/>
      <c r="O1540"/>
      <c r="P1540"/>
      <c r="Q1540"/>
      <c r="R1540"/>
      <c r="S1540"/>
    </row>
    <row r="1541" spans="1:19" ht="15">
      <c r="A1541"/>
      <c r="B1541"/>
      <c r="C1541"/>
      <c r="D1541"/>
      <c r="E1541"/>
      <c r="F1541"/>
      <c r="G1541"/>
      <c r="H1541"/>
      <c r="I1541"/>
      <c r="J1541"/>
      <c r="K1541"/>
      <c r="L1541"/>
      <c r="M1541"/>
      <c r="N1541"/>
      <c r="O1541"/>
      <c r="P1541"/>
      <c r="Q1541"/>
      <c r="R1541"/>
      <c r="S1541"/>
    </row>
    <row r="1542" spans="1:19" ht="15">
      <c r="A1542"/>
      <c r="B1542"/>
      <c r="C1542"/>
      <c r="D1542"/>
      <c r="E1542"/>
      <c r="F1542"/>
      <c r="G1542"/>
      <c r="H1542"/>
      <c r="I1542"/>
      <c r="J1542"/>
      <c r="K1542"/>
      <c r="L1542"/>
      <c r="M1542"/>
      <c r="N1542"/>
      <c r="O1542"/>
      <c r="P1542"/>
      <c r="Q1542"/>
      <c r="R1542"/>
      <c r="S1542"/>
    </row>
    <row r="1543" spans="1:19" ht="15">
      <c r="A1543"/>
      <c r="B1543"/>
      <c r="C1543"/>
      <c r="D1543"/>
      <c r="E1543"/>
      <c r="F1543"/>
      <c r="G1543"/>
      <c r="H1543"/>
      <c r="I1543"/>
      <c r="J1543"/>
      <c r="K1543"/>
      <c r="L1543"/>
      <c r="M1543"/>
      <c r="N1543"/>
      <c r="O1543"/>
      <c r="P1543"/>
      <c r="Q1543"/>
      <c r="R1543"/>
      <c r="S1543"/>
    </row>
    <row r="1544" spans="1:19" ht="15">
      <c r="A1544"/>
      <c r="B1544"/>
      <c r="C1544"/>
      <c r="D1544"/>
      <c r="E1544"/>
      <c r="F1544"/>
      <c r="G1544"/>
      <c r="H1544"/>
      <c r="I1544"/>
      <c r="J1544"/>
      <c r="K1544"/>
      <c r="L1544"/>
      <c r="M1544"/>
      <c r="N1544"/>
      <c r="O1544"/>
      <c r="P1544"/>
      <c r="Q1544"/>
      <c r="R1544"/>
      <c r="S1544"/>
    </row>
    <row r="1545" spans="1:19" ht="15">
      <c r="A1545"/>
      <c r="B1545"/>
      <c r="C1545"/>
      <c r="D1545"/>
      <c r="E1545"/>
      <c r="F1545"/>
      <c r="G1545"/>
      <c r="H1545"/>
      <c r="I1545"/>
      <c r="J1545"/>
      <c r="K1545"/>
      <c r="L1545"/>
      <c r="M1545"/>
      <c r="N1545"/>
      <c r="O1545"/>
      <c r="P1545"/>
      <c r="Q1545"/>
      <c r="R1545"/>
      <c r="S1545"/>
    </row>
    <row r="1546" spans="1:19" ht="15">
      <c r="A1546"/>
      <c r="B1546"/>
      <c r="C1546"/>
      <c r="D1546"/>
      <c r="E1546"/>
      <c r="F1546"/>
      <c r="G1546"/>
      <c r="H1546"/>
      <c r="I1546"/>
      <c r="J1546"/>
      <c r="K1546"/>
      <c r="L1546"/>
      <c r="M1546"/>
      <c r="N1546"/>
      <c r="O1546"/>
      <c r="P1546"/>
      <c r="Q1546"/>
      <c r="R1546"/>
      <c r="S1546"/>
    </row>
    <row r="1547" spans="1:19" ht="15">
      <c r="A1547"/>
      <c r="B1547"/>
      <c r="C1547"/>
      <c r="D1547"/>
      <c r="E1547"/>
      <c r="F1547"/>
      <c r="G1547"/>
      <c r="H1547"/>
      <c r="I1547"/>
      <c r="J1547"/>
      <c r="K1547"/>
      <c r="L1547"/>
      <c r="M1547"/>
      <c r="N1547"/>
      <c r="O1547"/>
      <c r="P1547"/>
      <c r="Q1547"/>
      <c r="R1547"/>
      <c r="S1547"/>
    </row>
    <row r="1548" spans="1:19" ht="15">
      <c r="A1548"/>
      <c r="B1548"/>
      <c r="C1548"/>
      <c r="D1548"/>
      <c r="E1548"/>
      <c r="F1548"/>
      <c r="G1548"/>
      <c r="H1548"/>
      <c r="I1548"/>
      <c r="J1548"/>
      <c r="K1548"/>
      <c r="L1548"/>
      <c r="M1548"/>
      <c r="N1548"/>
      <c r="O1548"/>
      <c r="P1548"/>
      <c r="Q1548"/>
      <c r="R1548"/>
      <c r="S1548"/>
    </row>
    <row r="1549" spans="1:19" ht="15">
      <c r="A1549"/>
      <c r="B1549"/>
      <c r="C1549"/>
      <c r="D1549"/>
      <c r="E1549"/>
      <c r="F1549"/>
      <c r="G1549"/>
      <c r="H1549"/>
      <c r="I1549"/>
      <c r="J1549"/>
      <c r="K1549"/>
      <c r="L1549"/>
      <c r="M1549"/>
      <c r="N1549"/>
      <c r="O1549"/>
      <c r="P1549"/>
      <c r="Q1549"/>
      <c r="R1549"/>
      <c r="S1549"/>
    </row>
    <row r="1550" spans="1:19" ht="15">
      <c r="A1550"/>
      <c r="B1550"/>
      <c r="C1550"/>
      <c r="D1550"/>
      <c r="E1550"/>
      <c r="F1550"/>
      <c r="G1550"/>
      <c r="H1550"/>
      <c r="I1550"/>
      <c r="J1550"/>
      <c r="K1550"/>
      <c r="L1550"/>
      <c r="M1550"/>
      <c r="N1550"/>
      <c r="O1550"/>
      <c r="P1550"/>
      <c r="Q1550"/>
      <c r="R1550"/>
      <c r="S1550"/>
    </row>
    <row r="1551" spans="1:19" ht="15">
      <c r="A1551"/>
      <c r="B1551"/>
      <c r="C1551"/>
      <c r="D1551"/>
      <c r="E1551"/>
      <c r="F1551"/>
      <c r="G1551"/>
      <c r="H1551"/>
      <c r="I1551"/>
      <c r="J1551"/>
      <c r="K1551"/>
      <c r="L1551"/>
      <c r="M1551"/>
      <c r="N1551"/>
      <c r="O1551"/>
      <c r="P1551"/>
      <c r="Q1551"/>
      <c r="R1551"/>
      <c r="S1551"/>
    </row>
    <row r="1552" spans="1:19" ht="15">
      <c r="A1552"/>
      <c r="B1552"/>
      <c r="C1552"/>
      <c r="D1552"/>
      <c r="E1552"/>
      <c r="F1552"/>
      <c r="G1552"/>
      <c r="H1552"/>
      <c r="I1552"/>
      <c r="J1552"/>
      <c r="K1552"/>
      <c r="L1552"/>
      <c r="M1552"/>
      <c r="N1552"/>
      <c r="O1552"/>
      <c r="P1552"/>
      <c r="Q1552"/>
      <c r="R1552"/>
      <c r="S1552"/>
    </row>
    <row r="1553" spans="1:19" ht="15">
      <c r="A1553"/>
      <c r="B1553"/>
      <c r="C1553"/>
      <c r="D1553"/>
      <c r="E1553"/>
      <c r="F1553"/>
      <c r="G1553"/>
      <c r="H1553"/>
      <c r="I1553"/>
      <c r="J1553"/>
      <c r="K1553"/>
      <c r="L1553"/>
      <c r="M1553"/>
      <c r="N1553"/>
      <c r="O1553"/>
      <c r="P1553"/>
      <c r="Q1553"/>
      <c r="R1553"/>
      <c r="S1553"/>
    </row>
    <row r="1554" spans="1:19" ht="15">
      <c r="A1554"/>
      <c r="B1554"/>
      <c r="C1554"/>
      <c r="D1554"/>
      <c r="E1554"/>
      <c r="F1554"/>
      <c r="G1554"/>
      <c r="H1554"/>
      <c r="I1554"/>
      <c r="J1554"/>
      <c r="K1554"/>
      <c r="L1554"/>
      <c r="M1554"/>
      <c r="N1554"/>
      <c r="O1554"/>
      <c r="P1554"/>
      <c r="Q1554"/>
      <c r="R1554"/>
      <c r="S1554"/>
    </row>
    <row r="1555" spans="1:19" ht="15">
      <c r="A1555"/>
      <c r="B1555"/>
      <c r="C1555"/>
      <c r="D1555"/>
      <c r="E1555"/>
      <c r="F1555"/>
      <c r="G1555"/>
      <c r="H1555"/>
      <c r="I1555"/>
      <c r="J1555"/>
      <c r="K1555"/>
      <c r="L1555"/>
      <c r="M1555"/>
      <c r="N1555"/>
      <c r="O1555"/>
      <c r="P1555"/>
      <c r="Q1555"/>
      <c r="R1555"/>
      <c r="S1555"/>
    </row>
    <row r="1556" spans="1:19" ht="15">
      <c r="A1556"/>
      <c r="B1556"/>
      <c r="C1556"/>
      <c r="D1556"/>
      <c r="E1556"/>
      <c r="F1556"/>
      <c r="G1556"/>
      <c r="H1556"/>
      <c r="I1556"/>
      <c r="J1556"/>
      <c r="K1556"/>
      <c r="L1556"/>
      <c r="M1556"/>
      <c r="N1556"/>
      <c r="O1556"/>
      <c r="P1556"/>
      <c r="Q1556"/>
      <c r="R1556"/>
      <c r="S1556"/>
    </row>
    <row r="1557" spans="1:19" ht="15">
      <c r="A1557"/>
      <c r="B1557"/>
      <c r="C1557"/>
      <c r="D1557"/>
      <c r="E1557"/>
      <c r="F1557"/>
      <c r="G1557"/>
      <c r="H1557"/>
      <c r="I1557"/>
      <c r="J1557"/>
      <c r="K1557"/>
      <c r="L1557"/>
      <c r="M1557"/>
      <c r="N1557"/>
      <c r="O1557"/>
      <c r="P1557"/>
      <c r="Q1557"/>
      <c r="R1557"/>
      <c r="S1557"/>
    </row>
    <row r="1558" spans="1:19" ht="15">
      <c r="A1558"/>
      <c r="B1558"/>
      <c r="C1558"/>
      <c r="D1558"/>
      <c r="E1558"/>
      <c r="F1558"/>
      <c r="G1558"/>
      <c r="H1558"/>
      <c r="I1558"/>
      <c r="J1558"/>
      <c r="K1558"/>
      <c r="L1558"/>
      <c r="M1558"/>
      <c r="N1558"/>
      <c r="O1558"/>
      <c r="P1558"/>
      <c r="Q1558"/>
      <c r="R1558"/>
      <c r="S1558"/>
    </row>
    <row r="1559" spans="1:19" ht="15">
      <c r="A1559"/>
      <c r="B1559"/>
      <c r="C1559"/>
      <c r="D1559"/>
      <c r="E1559"/>
      <c r="F1559"/>
      <c r="G1559"/>
      <c r="H1559"/>
      <c r="I1559"/>
      <c r="J1559"/>
      <c r="K1559"/>
      <c r="L1559"/>
      <c r="M1559"/>
      <c r="N1559"/>
      <c r="O1559"/>
      <c r="P1559"/>
      <c r="Q1559"/>
      <c r="R1559"/>
      <c r="S1559"/>
    </row>
    <row r="1560" spans="1:19" ht="15">
      <c r="A1560"/>
      <c r="B1560"/>
      <c r="C1560"/>
      <c r="D1560"/>
      <c r="E1560"/>
      <c r="F1560"/>
      <c r="G1560"/>
      <c r="H1560"/>
      <c r="I1560"/>
      <c r="J1560"/>
      <c r="K1560"/>
      <c r="L1560"/>
      <c r="M1560"/>
      <c r="N1560"/>
      <c r="O1560"/>
      <c r="P1560"/>
      <c r="Q1560"/>
      <c r="R1560"/>
      <c r="S1560"/>
    </row>
    <row r="1561" spans="1:19" ht="15">
      <c r="A1561"/>
      <c r="B1561"/>
      <c r="C1561"/>
      <c r="D1561"/>
      <c r="E1561"/>
      <c r="F1561"/>
      <c r="G1561"/>
      <c r="H1561"/>
      <c r="I1561"/>
      <c r="J1561"/>
      <c r="K1561"/>
      <c r="L1561"/>
      <c r="M1561"/>
      <c r="N1561"/>
      <c r="O1561"/>
      <c r="P1561"/>
      <c r="Q1561"/>
      <c r="R1561"/>
      <c r="S1561"/>
    </row>
    <row r="1562" spans="1:19" ht="15">
      <c r="A1562"/>
      <c r="B1562"/>
      <c r="C1562"/>
      <c r="D1562"/>
      <c r="E1562"/>
      <c r="F1562"/>
      <c r="G1562"/>
      <c r="H1562"/>
      <c r="I1562"/>
      <c r="J1562"/>
      <c r="K1562"/>
      <c r="L1562"/>
      <c r="M1562"/>
      <c r="N1562"/>
      <c r="O1562"/>
      <c r="P1562"/>
      <c r="Q1562"/>
      <c r="R1562"/>
      <c r="S1562"/>
    </row>
    <row r="1563" spans="1:19" ht="15">
      <c r="A1563"/>
      <c r="B1563"/>
      <c r="C1563"/>
      <c r="D1563"/>
      <c r="E1563"/>
      <c r="F1563"/>
      <c r="G1563"/>
      <c r="H1563"/>
      <c r="I1563"/>
      <c r="J1563"/>
      <c r="K1563"/>
      <c r="L1563"/>
      <c r="M1563"/>
      <c r="N1563"/>
      <c r="O1563"/>
      <c r="P1563"/>
      <c r="Q1563"/>
      <c r="R1563"/>
      <c r="S1563"/>
    </row>
    <row r="1564" spans="1:19" ht="15">
      <c r="A1564"/>
      <c r="B1564"/>
      <c r="C1564"/>
      <c r="D1564"/>
      <c r="E1564"/>
      <c r="F1564"/>
      <c r="G1564"/>
      <c r="H1564"/>
      <c r="I1564"/>
      <c r="J1564"/>
      <c r="K1564"/>
      <c r="L1564"/>
      <c r="M1564"/>
      <c r="N1564"/>
      <c r="O1564"/>
      <c r="P1564"/>
      <c r="Q1564"/>
      <c r="R1564"/>
      <c r="S1564"/>
    </row>
    <row r="1565" spans="1:19" ht="15">
      <c r="A1565"/>
      <c r="B1565"/>
      <c r="C1565"/>
      <c r="D1565"/>
      <c r="E1565"/>
      <c r="F1565"/>
      <c r="G1565"/>
      <c r="H1565"/>
      <c r="I1565"/>
      <c r="J1565"/>
      <c r="K1565"/>
      <c r="L1565"/>
      <c r="M1565"/>
      <c r="N1565"/>
      <c r="O1565"/>
      <c r="P1565"/>
      <c r="Q1565"/>
      <c r="R1565"/>
      <c r="S1565"/>
    </row>
    <row r="1566" spans="1:19" ht="15">
      <c r="A1566"/>
      <c r="B1566"/>
      <c r="C1566"/>
      <c r="D1566"/>
      <c r="E1566"/>
      <c r="F1566"/>
      <c r="G1566"/>
      <c r="H1566"/>
      <c r="I1566"/>
      <c r="J1566"/>
      <c r="K1566"/>
      <c r="L1566"/>
      <c r="M1566"/>
      <c r="N1566"/>
      <c r="O1566"/>
      <c r="P1566"/>
      <c r="Q1566"/>
      <c r="R1566"/>
      <c r="S1566"/>
    </row>
    <row r="1567" spans="1:19" ht="15">
      <c r="A1567"/>
      <c r="B1567"/>
      <c r="C1567"/>
      <c r="D1567"/>
      <c r="E1567"/>
      <c r="F1567"/>
      <c r="G1567"/>
      <c r="H1567"/>
      <c r="I1567"/>
      <c r="J1567"/>
      <c r="K1567"/>
      <c r="L1567"/>
      <c r="M1567"/>
      <c r="N1567"/>
      <c r="O1567"/>
      <c r="P1567"/>
      <c r="Q1567"/>
      <c r="R1567"/>
      <c r="S1567"/>
    </row>
    <row r="1568" spans="1:19" ht="15">
      <c r="A1568"/>
      <c r="B1568"/>
      <c r="C1568"/>
      <c r="D1568"/>
      <c r="E1568"/>
      <c r="F1568"/>
      <c r="G1568"/>
      <c r="H1568"/>
      <c r="I1568"/>
      <c r="J1568"/>
      <c r="K1568"/>
      <c r="L1568"/>
      <c r="M1568"/>
      <c r="N1568"/>
      <c r="O1568"/>
      <c r="P1568"/>
      <c r="Q1568"/>
      <c r="R1568"/>
      <c r="S1568"/>
    </row>
    <row r="1569" spans="1:19" ht="15">
      <c r="A1569"/>
      <c r="B1569"/>
      <c r="C1569"/>
      <c r="D1569"/>
      <c r="E1569"/>
      <c r="F1569"/>
      <c r="G1569"/>
      <c r="H1569"/>
      <c r="I1569"/>
      <c r="J1569"/>
      <c r="K1569"/>
      <c r="L1569"/>
      <c r="M1569"/>
      <c r="N1569"/>
      <c r="O1569"/>
      <c r="P1569"/>
      <c r="Q1569"/>
      <c r="R1569"/>
      <c r="S1569"/>
    </row>
    <row r="1570" spans="1:19" ht="15">
      <c r="A1570"/>
      <c r="B1570"/>
      <c r="C1570"/>
      <c r="D1570"/>
      <c r="E1570"/>
      <c r="F1570"/>
      <c r="G1570"/>
      <c r="H1570"/>
      <c r="I1570"/>
      <c r="J1570"/>
      <c r="K1570"/>
      <c r="L1570"/>
      <c r="M1570"/>
      <c r="N1570"/>
      <c r="O1570"/>
      <c r="P1570"/>
      <c r="Q1570"/>
      <c r="R1570"/>
      <c r="S1570"/>
    </row>
    <row r="1571" spans="1:19" ht="15">
      <c r="A1571"/>
      <c r="B1571"/>
      <c r="C1571"/>
      <c r="D1571"/>
      <c r="E1571"/>
      <c r="F1571"/>
      <c r="G1571"/>
      <c r="H1571"/>
      <c r="I1571"/>
      <c r="J1571"/>
      <c r="K1571"/>
      <c r="L1571"/>
      <c r="M1571"/>
      <c r="N1571"/>
      <c r="O1571"/>
      <c r="P1571"/>
      <c r="Q1571"/>
      <c r="R1571"/>
      <c r="S1571"/>
    </row>
    <row r="1572" spans="1:19" ht="15">
      <c r="A1572"/>
      <c r="B1572"/>
      <c r="C1572"/>
      <c r="D1572"/>
      <c r="E1572"/>
      <c r="F1572"/>
      <c r="G1572"/>
      <c r="H1572"/>
      <c r="I1572"/>
      <c r="J1572"/>
      <c r="K1572"/>
      <c r="L1572"/>
      <c r="M1572"/>
      <c r="N1572"/>
      <c r="O1572"/>
      <c r="P1572"/>
      <c r="Q1572"/>
      <c r="R1572"/>
      <c r="S1572"/>
    </row>
    <row r="1573" spans="1:19" ht="15">
      <c r="A1573"/>
      <c r="B1573"/>
      <c r="C1573"/>
      <c r="D1573"/>
      <c r="E1573"/>
      <c r="F1573"/>
      <c r="G1573"/>
      <c r="H1573"/>
      <c r="I1573"/>
      <c r="J1573"/>
      <c r="K1573"/>
      <c r="L1573"/>
      <c r="M1573"/>
      <c r="N1573"/>
      <c r="O1573"/>
      <c r="P1573"/>
      <c r="Q1573"/>
      <c r="R1573"/>
      <c r="S1573"/>
    </row>
    <row r="1574" spans="1:19" ht="15">
      <c r="A1574"/>
      <c r="B1574"/>
      <c r="C1574"/>
      <c r="D1574"/>
      <c r="E1574"/>
      <c r="F1574"/>
      <c r="G1574"/>
      <c r="H1574"/>
      <c r="I1574"/>
      <c r="J1574"/>
      <c r="K1574"/>
      <c r="L1574"/>
      <c r="M1574"/>
      <c r="N1574"/>
      <c r="O1574"/>
      <c r="P1574"/>
      <c r="Q1574"/>
      <c r="R1574"/>
      <c r="S1574"/>
    </row>
    <row r="1575" spans="1:19" ht="15">
      <c r="A1575"/>
      <c r="B1575"/>
      <c r="C1575"/>
      <c r="D1575"/>
      <c r="E1575"/>
      <c r="F1575"/>
      <c r="G1575"/>
      <c r="H1575"/>
      <c r="I1575"/>
      <c r="J1575"/>
      <c r="K1575"/>
      <c r="L1575"/>
      <c r="M1575"/>
      <c r="N1575"/>
      <c r="O1575"/>
      <c r="P1575"/>
      <c r="Q1575"/>
      <c r="R1575"/>
      <c r="S1575"/>
    </row>
    <row r="1576" spans="1:19" ht="15">
      <c r="A1576"/>
      <c r="B1576"/>
      <c r="C1576"/>
      <c r="D1576"/>
      <c r="E1576"/>
      <c r="F1576"/>
      <c r="G1576"/>
      <c r="H1576"/>
      <c r="I1576"/>
      <c r="J1576"/>
      <c r="K1576"/>
      <c r="L1576"/>
      <c r="M1576"/>
      <c r="N1576"/>
      <c r="O1576"/>
      <c r="P1576"/>
      <c r="Q1576"/>
      <c r="R1576"/>
      <c r="S1576"/>
    </row>
    <row r="1577" spans="1:19" ht="15">
      <c r="A1577"/>
      <c r="B1577"/>
      <c r="C1577"/>
      <c r="D1577"/>
      <c r="E1577"/>
      <c r="F1577"/>
      <c r="G1577"/>
      <c r="H1577"/>
      <c r="I1577"/>
      <c r="J1577"/>
      <c r="K1577"/>
      <c r="L1577"/>
      <c r="M1577"/>
      <c r="N1577"/>
      <c r="O1577"/>
      <c r="P1577"/>
      <c r="Q1577"/>
      <c r="R1577"/>
      <c r="S1577"/>
    </row>
    <row r="1578" spans="1:19" ht="15">
      <c r="A1578"/>
      <c r="B1578"/>
      <c r="C1578"/>
      <c r="D1578"/>
      <c r="E1578"/>
      <c r="F1578"/>
      <c r="G1578"/>
      <c r="H1578"/>
      <c r="I1578"/>
      <c r="J1578"/>
      <c r="K1578"/>
      <c r="L1578"/>
      <c r="M1578"/>
      <c r="N1578"/>
      <c r="O1578"/>
      <c r="P1578"/>
      <c r="Q1578"/>
      <c r="R1578"/>
      <c r="S1578"/>
    </row>
    <row r="1579" spans="1:19" ht="15">
      <c r="A1579"/>
      <c r="B1579"/>
      <c r="C1579"/>
      <c r="D1579"/>
      <c r="E1579"/>
      <c r="F1579"/>
      <c r="G1579"/>
      <c r="H1579"/>
      <c r="I1579"/>
      <c r="J1579"/>
      <c r="K1579"/>
      <c r="L1579"/>
      <c r="M1579"/>
      <c r="N1579"/>
      <c r="O1579"/>
      <c r="P1579"/>
      <c r="Q1579"/>
      <c r="R1579"/>
      <c r="S1579"/>
    </row>
    <row r="1580" spans="1:19" ht="15">
      <c r="A1580"/>
      <c r="B1580"/>
      <c r="C1580"/>
      <c r="D1580"/>
      <c r="E1580"/>
      <c r="F1580"/>
      <c r="G1580"/>
      <c r="H1580"/>
      <c r="I1580"/>
      <c r="J1580"/>
      <c r="K1580"/>
      <c r="L1580"/>
      <c r="M1580"/>
      <c r="N1580"/>
      <c r="O1580"/>
      <c r="P1580"/>
      <c r="Q1580"/>
      <c r="R1580"/>
      <c r="S1580"/>
    </row>
    <row r="1581" spans="1:19" ht="15">
      <c r="A1581"/>
      <c r="B1581"/>
      <c r="C1581"/>
      <c r="D1581"/>
      <c r="E1581"/>
      <c r="F1581"/>
      <c r="G1581"/>
      <c r="H1581"/>
      <c r="I1581"/>
      <c r="J1581"/>
      <c r="K1581"/>
      <c r="L1581"/>
      <c r="M1581"/>
      <c r="N1581"/>
      <c r="O1581"/>
      <c r="P1581"/>
      <c r="Q1581"/>
      <c r="R1581"/>
      <c r="S1581"/>
    </row>
    <row r="1582" spans="1:19" ht="15">
      <c r="A1582"/>
      <c r="B1582"/>
      <c r="C1582"/>
      <c r="D1582"/>
      <c r="E1582"/>
      <c r="F1582"/>
      <c r="G1582"/>
      <c r="H1582"/>
      <c r="I1582"/>
      <c r="J1582"/>
      <c r="K1582"/>
      <c r="L1582"/>
      <c r="M1582"/>
      <c r="N1582"/>
      <c r="O1582"/>
      <c r="P1582"/>
      <c r="Q1582"/>
      <c r="R1582"/>
      <c r="S1582"/>
    </row>
    <row r="1583" spans="1:19" ht="15">
      <c r="A1583"/>
      <c r="B1583"/>
      <c r="C1583"/>
      <c r="D1583"/>
      <c r="E1583"/>
      <c r="F1583"/>
      <c r="G1583"/>
      <c r="H1583"/>
      <c r="I1583"/>
      <c r="J1583"/>
      <c r="K1583"/>
      <c r="L1583"/>
      <c r="M1583"/>
      <c r="N1583"/>
      <c r="O1583"/>
      <c r="P1583"/>
      <c r="Q1583"/>
      <c r="R1583"/>
      <c r="S1583"/>
    </row>
    <row r="1584" spans="1:19" ht="15">
      <c r="A1584"/>
      <c r="B1584"/>
      <c r="C1584"/>
      <c r="D1584"/>
      <c r="E1584"/>
      <c r="F1584"/>
      <c r="G1584"/>
      <c r="H1584"/>
      <c r="I1584"/>
      <c r="J1584"/>
      <c r="K1584"/>
      <c r="L1584"/>
      <c r="M1584"/>
      <c r="N1584"/>
      <c r="O1584"/>
      <c r="P1584"/>
      <c r="Q1584"/>
      <c r="R1584"/>
      <c r="S1584"/>
    </row>
    <row r="1585" spans="1:19" ht="15">
      <c r="A1585"/>
      <c r="B1585"/>
      <c r="C1585"/>
      <c r="D1585"/>
      <c r="E1585"/>
      <c r="F1585"/>
      <c r="G1585"/>
      <c r="H1585"/>
      <c r="I1585"/>
      <c r="J1585"/>
      <c r="K1585"/>
      <c r="L1585"/>
      <c r="M1585"/>
      <c r="N1585"/>
      <c r="O1585"/>
      <c r="P1585"/>
      <c r="Q1585"/>
      <c r="R1585"/>
      <c r="S1585"/>
    </row>
    <row r="1586" spans="1:19" ht="15">
      <c r="A1586"/>
      <c r="B1586"/>
      <c r="C1586"/>
      <c r="D1586"/>
      <c r="E1586"/>
      <c r="F1586"/>
      <c r="G1586"/>
      <c r="H1586"/>
      <c r="I1586"/>
      <c r="J1586"/>
      <c r="K1586"/>
      <c r="L1586"/>
      <c r="M1586"/>
      <c r="N1586"/>
      <c r="O1586"/>
      <c r="P1586"/>
      <c r="Q1586"/>
      <c r="R1586"/>
      <c r="S1586"/>
    </row>
    <row r="1587" spans="1:19" ht="15">
      <c r="A1587"/>
      <c r="B1587"/>
      <c r="C1587"/>
      <c r="D1587"/>
      <c r="E1587"/>
      <c r="F1587"/>
      <c r="G1587"/>
      <c r="H1587"/>
      <c r="I1587"/>
      <c r="J1587"/>
      <c r="K1587"/>
      <c r="L1587"/>
      <c r="M1587"/>
      <c r="N1587"/>
      <c r="O1587"/>
      <c r="P1587"/>
      <c r="Q1587"/>
      <c r="R1587"/>
      <c r="S1587"/>
    </row>
    <row r="1588" spans="1:19" ht="15">
      <c r="A1588"/>
      <c r="B1588"/>
      <c r="C1588"/>
      <c r="D1588"/>
      <c r="E1588"/>
      <c r="F1588"/>
      <c r="G1588"/>
      <c r="H1588"/>
      <c r="I1588"/>
      <c r="J1588"/>
      <c r="K1588"/>
      <c r="L1588"/>
      <c r="M1588"/>
      <c r="N1588"/>
      <c r="O1588"/>
      <c r="P1588"/>
      <c r="Q1588"/>
      <c r="R1588"/>
      <c r="S1588"/>
    </row>
    <row r="1589" spans="1:19" ht="15">
      <c r="A1589"/>
      <c r="B1589"/>
      <c r="C1589"/>
      <c r="D1589"/>
      <c r="E1589"/>
      <c r="F1589"/>
      <c r="G1589"/>
      <c r="H1589"/>
      <c r="I1589"/>
      <c r="J1589"/>
      <c r="K1589"/>
      <c r="L1589"/>
      <c r="M1589"/>
      <c r="N1589"/>
      <c r="O1589"/>
      <c r="P1589"/>
      <c r="Q1589"/>
      <c r="R1589"/>
      <c r="S1589"/>
    </row>
    <row r="1590" spans="1:19" ht="15">
      <c r="A1590"/>
      <c r="B1590"/>
      <c r="C1590"/>
      <c r="D1590"/>
      <c r="E1590"/>
      <c r="F1590"/>
      <c r="G1590"/>
      <c r="H1590"/>
      <c r="I1590"/>
      <c r="J1590"/>
      <c r="K1590"/>
      <c r="L1590"/>
      <c r="M1590"/>
      <c r="N1590"/>
      <c r="O1590"/>
      <c r="P1590"/>
      <c r="Q1590"/>
      <c r="R1590"/>
      <c r="S1590"/>
    </row>
    <row r="1591" spans="1:19" ht="15">
      <c r="A1591"/>
      <c r="B1591"/>
      <c r="C1591"/>
      <c r="D1591"/>
      <c r="E1591"/>
      <c r="F1591"/>
      <c r="G1591"/>
      <c r="H1591"/>
      <c r="I1591"/>
      <c r="J1591"/>
      <c r="K1591"/>
      <c r="L1591"/>
      <c r="M1591"/>
      <c r="N1591"/>
      <c r="O1591"/>
      <c r="P1591"/>
      <c r="Q1591"/>
      <c r="R1591"/>
      <c r="S1591"/>
    </row>
    <row r="1592" spans="1:19" ht="15">
      <c r="A1592"/>
      <c r="B1592"/>
      <c r="C1592"/>
      <c r="D1592"/>
      <c r="E1592"/>
      <c r="F1592"/>
      <c r="G1592"/>
      <c r="H1592"/>
      <c r="I1592"/>
      <c r="J1592"/>
      <c r="K1592"/>
      <c r="L1592"/>
      <c r="M1592"/>
      <c r="N1592"/>
      <c r="O1592"/>
      <c r="P1592"/>
      <c r="Q1592"/>
      <c r="R1592"/>
      <c r="S1592"/>
    </row>
    <row r="1593" spans="1:19" ht="15">
      <c r="A1593"/>
      <c r="B1593"/>
      <c r="C1593"/>
      <c r="D1593"/>
      <c r="E1593"/>
      <c r="F1593"/>
      <c r="G1593"/>
      <c r="H1593"/>
      <c r="I1593"/>
      <c r="J1593"/>
      <c r="K1593"/>
      <c r="L1593"/>
      <c r="M1593"/>
      <c r="N1593"/>
      <c r="O1593"/>
      <c r="P1593"/>
      <c r="Q1593"/>
      <c r="R1593"/>
      <c r="S1593"/>
    </row>
    <row r="1594" spans="1:19" ht="15">
      <c r="A1594"/>
      <c r="B1594"/>
      <c r="C1594"/>
      <c r="D1594"/>
      <c r="E1594"/>
      <c r="F1594"/>
      <c r="G1594"/>
      <c r="H1594"/>
      <c r="I1594"/>
      <c r="J1594"/>
      <c r="K1594"/>
      <c r="L1594"/>
      <c r="M1594"/>
      <c r="N1594"/>
      <c r="O1594"/>
      <c r="P1594"/>
      <c r="Q1594"/>
      <c r="R1594"/>
      <c r="S1594"/>
    </row>
    <row r="1595" spans="1:19" ht="15">
      <c r="A1595"/>
      <c r="B1595"/>
      <c r="C1595"/>
      <c r="D1595"/>
      <c r="E1595"/>
      <c r="F1595"/>
      <c r="G1595"/>
      <c r="H1595"/>
      <c r="I1595"/>
      <c r="J1595"/>
      <c r="K1595"/>
      <c r="L1595"/>
      <c r="M1595"/>
      <c r="N1595"/>
      <c r="O1595"/>
      <c r="P1595"/>
      <c r="Q1595"/>
      <c r="R1595"/>
      <c r="S1595"/>
    </row>
    <row r="1596" spans="1:19" ht="15">
      <c r="A1596"/>
      <c r="B1596"/>
      <c r="C1596"/>
      <c r="D1596"/>
      <c r="E1596"/>
      <c r="F1596"/>
      <c r="G1596"/>
      <c r="H1596"/>
      <c r="I1596"/>
      <c r="J1596"/>
      <c r="K1596"/>
      <c r="L1596"/>
      <c r="M1596"/>
      <c r="N1596"/>
      <c r="O1596"/>
      <c r="P1596"/>
      <c r="Q1596"/>
      <c r="R1596"/>
      <c r="S1596"/>
    </row>
    <row r="1597" spans="1:19" ht="15">
      <c r="A1597"/>
      <c r="B1597"/>
      <c r="C1597"/>
      <c r="D1597"/>
      <c r="E1597"/>
      <c r="F1597"/>
      <c r="G1597"/>
      <c r="H1597"/>
      <c r="I1597"/>
      <c r="J1597"/>
      <c r="K1597"/>
      <c r="L1597"/>
      <c r="M1597"/>
      <c r="N1597"/>
      <c r="O1597"/>
      <c r="P1597"/>
      <c r="Q1597"/>
      <c r="R1597"/>
      <c r="S1597"/>
    </row>
    <row r="1598" spans="1:19" ht="15">
      <c r="A1598"/>
      <c r="B1598"/>
      <c r="C1598"/>
      <c r="D1598"/>
      <c r="E1598"/>
      <c r="F1598"/>
      <c r="G1598"/>
      <c r="H1598"/>
      <c r="I1598"/>
      <c r="J1598"/>
      <c r="K1598"/>
      <c r="L1598"/>
      <c r="M1598"/>
      <c r="N1598"/>
      <c r="O1598"/>
      <c r="P1598"/>
      <c r="Q1598"/>
      <c r="R1598"/>
      <c r="S1598"/>
    </row>
    <row r="1599" spans="1:19" ht="15">
      <c r="A1599"/>
      <c r="B1599"/>
      <c r="C1599"/>
      <c r="D1599"/>
      <c r="E1599"/>
      <c r="F1599"/>
      <c r="G1599"/>
      <c r="H1599"/>
      <c r="I1599"/>
      <c r="J1599"/>
      <c r="K1599"/>
      <c r="L1599"/>
      <c r="M1599"/>
      <c r="N1599"/>
      <c r="O1599"/>
      <c r="P1599"/>
      <c r="Q1599"/>
      <c r="R1599"/>
      <c r="S1599"/>
    </row>
    <row r="1600" spans="1:19" ht="15">
      <c r="A1600"/>
      <c r="B1600"/>
      <c r="C1600"/>
      <c r="D1600"/>
      <c r="E1600"/>
      <c r="F1600"/>
      <c r="G1600"/>
      <c r="H1600"/>
      <c r="I1600"/>
      <c r="J1600"/>
      <c r="K1600"/>
      <c r="L1600"/>
      <c r="M1600"/>
      <c r="N1600"/>
      <c r="O1600"/>
      <c r="P1600"/>
      <c r="Q1600"/>
      <c r="R1600"/>
      <c r="S1600"/>
    </row>
    <row r="1601" spans="1:19" ht="15">
      <c r="A1601"/>
      <c r="B1601"/>
      <c r="C1601"/>
      <c r="D1601"/>
      <c r="E1601"/>
      <c r="F1601"/>
      <c r="G1601"/>
      <c r="H1601"/>
      <c r="I1601"/>
      <c r="J1601"/>
      <c r="K1601"/>
      <c r="L1601"/>
      <c r="M1601"/>
      <c r="N1601"/>
      <c r="O1601"/>
      <c r="P1601"/>
      <c r="Q1601"/>
      <c r="R1601"/>
      <c r="S1601"/>
    </row>
    <row r="1602" spans="1:19" ht="15">
      <c r="A1602"/>
      <c r="B1602"/>
      <c r="C1602"/>
      <c r="D1602"/>
      <c r="E1602"/>
      <c r="F1602"/>
      <c r="G1602"/>
      <c r="H1602"/>
      <c r="I1602"/>
      <c r="J1602"/>
      <c r="K1602"/>
      <c r="L1602"/>
      <c r="M1602"/>
      <c r="N1602"/>
      <c r="O1602"/>
      <c r="P1602"/>
      <c r="Q1602"/>
      <c r="R1602"/>
      <c r="S1602"/>
    </row>
    <row r="1603" spans="1:19" ht="15">
      <c r="A1603"/>
      <c r="B1603"/>
      <c r="C1603"/>
      <c r="D1603"/>
      <c r="E1603"/>
      <c r="F1603"/>
      <c r="G1603"/>
      <c r="H1603"/>
      <c r="I1603"/>
      <c r="J1603"/>
      <c r="K1603"/>
      <c r="L1603"/>
      <c r="M1603"/>
      <c r="N1603"/>
      <c r="O1603"/>
      <c r="P1603"/>
      <c r="Q1603"/>
      <c r="R1603"/>
      <c r="S1603"/>
    </row>
    <row r="1604" spans="1:19" ht="15">
      <c r="A1604"/>
      <c r="B1604"/>
      <c r="C1604"/>
      <c r="D1604"/>
      <c r="E1604"/>
      <c r="F1604"/>
      <c r="G1604"/>
      <c r="H1604"/>
      <c r="I1604"/>
      <c r="J1604"/>
      <c r="K1604"/>
      <c r="L1604"/>
      <c r="M1604"/>
      <c r="N1604"/>
      <c r="O1604"/>
      <c r="P1604"/>
      <c r="Q1604"/>
      <c r="R1604"/>
      <c r="S1604"/>
    </row>
    <row r="1605" spans="1:19" ht="15">
      <c r="A1605"/>
      <c r="B1605"/>
      <c r="C1605"/>
      <c r="D1605"/>
      <c r="E1605"/>
      <c r="F1605"/>
      <c r="G1605"/>
      <c r="H1605"/>
      <c r="I1605"/>
      <c r="J1605"/>
      <c r="K1605"/>
      <c r="L1605"/>
      <c r="M1605"/>
      <c r="N1605"/>
      <c r="O1605"/>
      <c r="P1605"/>
      <c r="Q1605"/>
      <c r="R1605"/>
      <c r="S1605"/>
    </row>
    <row r="1606" spans="1:19" ht="15">
      <c r="A1606"/>
      <c r="B1606"/>
      <c r="C1606"/>
      <c r="D1606"/>
      <c r="E1606"/>
      <c r="F1606"/>
      <c r="G1606"/>
      <c r="H1606"/>
      <c r="I1606"/>
      <c r="J1606"/>
      <c r="K1606"/>
      <c r="L1606"/>
      <c r="M1606"/>
      <c r="N1606"/>
      <c r="O1606"/>
      <c r="P1606"/>
      <c r="Q1606"/>
      <c r="R1606"/>
      <c r="S1606"/>
    </row>
    <row r="1607" spans="1:19" ht="15">
      <c r="A1607"/>
      <c r="B1607"/>
      <c r="C1607"/>
      <c r="D1607"/>
      <c r="E1607"/>
      <c r="F1607"/>
      <c r="G1607"/>
      <c r="H1607"/>
      <c r="I1607"/>
      <c r="J1607"/>
      <c r="K1607"/>
      <c r="L1607"/>
      <c r="M1607"/>
      <c r="N1607"/>
      <c r="O1607"/>
      <c r="P1607"/>
      <c r="Q1607"/>
      <c r="R1607"/>
      <c r="S1607"/>
    </row>
    <row r="1608" spans="1:19" ht="15">
      <c r="A1608"/>
      <c r="B1608"/>
      <c r="C1608"/>
      <c r="D1608"/>
      <c r="E1608"/>
      <c r="F1608"/>
      <c r="G1608"/>
      <c r="H1608"/>
      <c r="I1608"/>
      <c r="J1608"/>
      <c r="K1608"/>
      <c r="L1608"/>
      <c r="M1608"/>
      <c r="N1608"/>
      <c r="O1608"/>
      <c r="P1608"/>
      <c r="Q1608"/>
      <c r="R1608"/>
      <c r="S1608"/>
    </row>
    <row r="1609" spans="1:19" ht="15">
      <c r="A1609"/>
      <c r="B1609"/>
      <c r="C1609"/>
      <c r="D1609"/>
      <c r="E1609"/>
      <c r="F1609"/>
      <c r="G1609"/>
      <c r="H1609"/>
      <c r="I1609"/>
      <c r="J1609"/>
      <c r="K1609"/>
      <c r="L1609"/>
      <c r="M1609"/>
      <c r="N1609"/>
      <c r="O1609"/>
      <c r="P1609"/>
      <c r="Q1609"/>
      <c r="R1609"/>
      <c r="S1609"/>
    </row>
    <row r="1610" spans="1:19" ht="15">
      <c r="A1610"/>
      <c r="B1610"/>
      <c r="C1610"/>
      <c r="D1610"/>
      <c r="E1610"/>
      <c r="F1610"/>
      <c r="G1610"/>
      <c r="H1610"/>
      <c r="I1610"/>
      <c r="J1610"/>
      <c r="K1610"/>
      <c r="L1610"/>
      <c r="M1610"/>
      <c r="N1610"/>
      <c r="O1610"/>
      <c r="P1610"/>
      <c r="Q1610"/>
      <c r="R1610"/>
      <c r="S1610"/>
    </row>
    <row r="1611" spans="1:19" ht="15">
      <c r="A1611"/>
      <c r="B1611"/>
      <c r="C1611"/>
      <c r="D1611"/>
      <c r="E1611"/>
      <c r="F1611"/>
      <c r="G1611"/>
      <c r="H1611"/>
      <c r="I1611"/>
      <c r="J1611"/>
      <c r="K1611"/>
      <c r="L1611"/>
      <c r="M1611"/>
      <c r="N1611"/>
      <c r="O1611"/>
      <c r="P1611"/>
      <c r="Q1611"/>
      <c r="R1611"/>
      <c r="S1611"/>
    </row>
    <row r="1612" spans="1:19" ht="15">
      <c r="A1612"/>
      <c r="B1612"/>
      <c r="C1612"/>
      <c r="D1612"/>
      <c r="E1612"/>
      <c r="F1612"/>
      <c r="G1612"/>
      <c r="H1612"/>
      <c r="I1612"/>
      <c r="J1612"/>
      <c r="K1612"/>
      <c r="L1612"/>
      <c r="M1612"/>
      <c r="N1612"/>
      <c r="O1612"/>
      <c r="P1612"/>
      <c r="Q1612"/>
      <c r="R1612"/>
      <c r="S1612"/>
    </row>
    <row r="1613" spans="1:19" ht="15">
      <c r="A1613"/>
      <c r="B1613"/>
      <c r="C1613"/>
      <c r="D1613"/>
      <c r="E1613"/>
      <c r="F1613"/>
      <c r="G1613"/>
      <c r="H1613"/>
      <c r="I1613"/>
      <c r="J1613"/>
      <c r="K1613"/>
      <c r="L1613"/>
      <c r="M1613"/>
      <c r="N1613"/>
      <c r="O1613"/>
      <c r="P1613"/>
      <c r="Q1613"/>
      <c r="R1613"/>
      <c r="S1613"/>
    </row>
    <row r="1614" spans="1:19" ht="15">
      <c r="A1614"/>
      <c r="B1614"/>
      <c r="C1614"/>
      <c r="D1614"/>
      <c r="E1614"/>
      <c r="F1614"/>
      <c r="G1614"/>
      <c r="H1614"/>
      <c r="I1614"/>
      <c r="J1614"/>
      <c r="K1614"/>
      <c r="L1614"/>
      <c r="M1614"/>
      <c r="N1614"/>
      <c r="O1614"/>
      <c r="P1614"/>
      <c r="Q1614"/>
      <c r="R1614"/>
      <c r="S1614"/>
    </row>
    <row r="1615" spans="1:19" ht="15">
      <c r="A1615"/>
      <c r="B1615"/>
      <c r="C1615"/>
      <c r="D1615"/>
      <c r="E1615"/>
      <c r="F1615"/>
      <c r="G1615"/>
      <c r="H1615"/>
      <c r="I1615"/>
      <c r="J1615"/>
      <c r="K1615"/>
      <c r="L1615"/>
      <c r="M1615"/>
      <c r="N1615"/>
      <c r="O1615"/>
      <c r="P1615"/>
      <c r="Q1615"/>
      <c r="R1615"/>
      <c r="S1615"/>
    </row>
    <row r="1616" spans="1:19" ht="15">
      <c r="A1616"/>
      <c r="B1616"/>
      <c r="C1616"/>
      <c r="D1616"/>
      <c r="E1616"/>
      <c r="F1616"/>
      <c r="G1616"/>
      <c r="H1616"/>
      <c r="I1616"/>
      <c r="J1616"/>
      <c r="K1616"/>
      <c r="L1616"/>
      <c r="M1616"/>
      <c r="N1616"/>
      <c r="O1616"/>
      <c r="P1616"/>
      <c r="Q1616"/>
      <c r="R1616"/>
      <c r="S1616"/>
    </row>
    <row r="1617" spans="1:19" ht="15">
      <c r="A1617"/>
      <c r="B1617"/>
      <c r="C1617"/>
      <c r="D1617"/>
      <c r="E1617"/>
      <c r="F1617"/>
      <c r="G1617"/>
      <c r="H1617"/>
      <c r="I1617"/>
      <c r="J1617"/>
      <c r="K1617"/>
      <c r="L1617"/>
      <c r="M1617"/>
      <c r="N1617"/>
      <c r="O1617"/>
      <c r="P1617"/>
      <c r="Q1617"/>
      <c r="R1617"/>
      <c r="S1617"/>
    </row>
    <row r="1618" spans="1:19" ht="15">
      <c r="A1618"/>
      <c r="B1618"/>
      <c r="C1618"/>
      <c r="D1618"/>
      <c r="E1618"/>
      <c r="F1618"/>
      <c r="G1618"/>
      <c r="H1618"/>
      <c r="I1618"/>
      <c r="J1618"/>
      <c r="K1618"/>
      <c r="L1618"/>
      <c r="M1618"/>
      <c r="N1618"/>
      <c r="O1618"/>
      <c r="P1618"/>
      <c r="Q1618"/>
      <c r="R1618"/>
      <c r="S1618"/>
    </row>
    <row r="1619" spans="1:19" ht="15">
      <c r="A1619"/>
      <c r="B1619"/>
      <c r="C1619"/>
      <c r="D1619"/>
      <c r="E1619"/>
      <c r="F1619"/>
      <c r="G1619"/>
      <c r="H1619"/>
      <c r="I1619"/>
      <c r="J1619"/>
      <c r="K1619"/>
      <c r="L1619"/>
      <c r="M1619"/>
      <c r="N1619"/>
      <c r="O1619"/>
      <c r="P1619"/>
      <c r="Q1619"/>
      <c r="R1619"/>
      <c r="S1619"/>
    </row>
    <row r="1620" spans="1:19" ht="15">
      <c r="A1620"/>
      <c r="B1620"/>
      <c r="C1620"/>
      <c r="D1620"/>
      <c r="E1620"/>
      <c r="F1620"/>
      <c r="G1620"/>
      <c r="H1620"/>
      <c r="I1620"/>
      <c r="J1620"/>
      <c r="K1620"/>
      <c r="L1620"/>
      <c r="M1620"/>
      <c r="N1620"/>
      <c r="O1620"/>
      <c r="P1620"/>
      <c r="Q1620"/>
      <c r="R1620"/>
      <c r="S1620"/>
    </row>
    <row r="1621" spans="1:19" ht="15">
      <c r="A1621"/>
      <c r="B1621"/>
      <c r="C1621"/>
      <c r="D1621"/>
      <c r="E1621"/>
      <c r="F1621"/>
      <c r="G1621"/>
      <c r="H1621"/>
      <c r="I1621"/>
      <c r="J1621"/>
      <c r="K1621"/>
      <c r="L1621"/>
      <c r="M1621"/>
      <c r="N1621"/>
      <c r="O1621"/>
      <c r="P1621"/>
      <c r="Q1621"/>
      <c r="R1621"/>
      <c r="S1621"/>
    </row>
    <row r="1622" spans="1:19" ht="15">
      <c r="A1622"/>
      <c r="B1622"/>
      <c r="C1622"/>
      <c r="D1622"/>
      <c r="E1622"/>
      <c r="F1622"/>
      <c r="G1622"/>
      <c r="H1622"/>
      <c r="I1622"/>
      <c r="J1622"/>
      <c r="K1622"/>
      <c r="L1622"/>
      <c r="M1622"/>
      <c r="N1622"/>
      <c r="O1622"/>
      <c r="P1622"/>
      <c r="Q1622"/>
      <c r="R1622"/>
      <c r="S1622"/>
    </row>
    <row r="1623" spans="1:19" ht="15">
      <c r="A1623"/>
      <c r="B1623"/>
      <c r="C1623"/>
      <c r="D1623"/>
      <c r="E1623"/>
      <c r="F1623"/>
      <c r="G1623"/>
      <c r="H1623"/>
      <c r="I1623"/>
      <c r="J1623"/>
      <c r="K1623"/>
      <c r="L1623"/>
      <c r="M1623"/>
      <c r="N1623"/>
      <c r="O1623"/>
      <c r="P1623"/>
      <c r="Q1623"/>
      <c r="R1623"/>
      <c r="S1623"/>
    </row>
    <row r="1624" spans="1:19" ht="15">
      <c r="A1624"/>
      <c r="B1624"/>
      <c r="C1624"/>
      <c r="D1624"/>
      <c r="E1624"/>
      <c r="F1624"/>
      <c r="G1624"/>
      <c r="H1624"/>
      <c r="I1624"/>
      <c r="J1624"/>
      <c r="K1624"/>
      <c r="L1624"/>
      <c r="M1624"/>
      <c r="N1624"/>
      <c r="O1624"/>
      <c r="P1624"/>
      <c r="Q1624"/>
      <c r="R1624"/>
      <c r="S1624"/>
    </row>
    <row r="1625" spans="1:19" ht="15">
      <c r="A1625"/>
      <c r="B1625"/>
      <c r="C1625"/>
      <c r="D1625"/>
      <c r="E1625"/>
      <c r="F1625"/>
      <c r="G1625"/>
      <c r="H1625"/>
      <c r="I1625"/>
      <c r="J1625"/>
      <c r="K1625"/>
      <c r="L1625"/>
      <c r="M1625"/>
      <c r="N1625"/>
      <c r="O1625"/>
      <c r="P1625"/>
      <c r="Q1625"/>
      <c r="R1625"/>
      <c r="S1625"/>
    </row>
    <row r="1626" spans="1:19" ht="15">
      <c r="A1626"/>
      <c r="B1626"/>
      <c r="C1626"/>
      <c r="D1626"/>
      <c r="E1626"/>
      <c r="F1626"/>
      <c r="G1626"/>
      <c r="H1626"/>
      <c r="I1626"/>
      <c r="J1626"/>
      <c r="K1626"/>
      <c r="L1626"/>
      <c r="M1626"/>
      <c r="N1626"/>
      <c r="O1626"/>
      <c r="P1626"/>
      <c r="Q1626"/>
      <c r="R1626"/>
      <c r="S1626"/>
    </row>
    <row r="1627" spans="1:19" ht="15">
      <c r="A1627"/>
      <c r="B1627"/>
      <c r="C1627"/>
      <c r="D1627"/>
      <c r="E1627"/>
      <c r="F1627"/>
      <c r="G1627"/>
      <c r="H1627"/>
      <c r="I1627"/>
      <c r="J1627"/>
      <c r="K1627"/>
      <c r="L1627"/>
      <c r="M1627"/>
      <c r="N1627"/>
      <c r="O1627"/>
      <c r="P1627"/>
      <c r="Q1627"/>
      <c r="R1627"/>
      <c r="S1627"/>
    </row>
    <row r="1628" spans="1:19" ht="15">
      <c r="A1628"/>
      <c r="B1628"/>
      <c r="C1628"/>
      <c r="D1628"/>
      <c r="E1628"/>
      <c r="F1628"/>
      <c r="G1628"/>
      <c r="H1628"/>
      <c r="I1628"/>
      <c r="J1628"/>
      <c r="K1628"/>
      <c r="L1628"/>
      <c r="M1628"/>
      <c r="N1628"/>
      <c r="O1628"/>
      <c r="P1628"/>
      <c r="Q1628"/>
      <c r="R1628"/>
      <c r="S1628"/>
    </row>
    <row r="1629" spans="1:19" ht="15">
      <c r="A1629"/>
      <c r="B1629"/>
      <c r="C1629"/>
      <c r="D1629"/>
      <c r="E1629"/>
      <c r="F1629"/>
      <c r="G1629"/>
      <c r="H1629"/>
      <c r="I1629"/>
      <c r="J1629"/>
      <c r="K1629"/>
      <c r="L1629"/>
      <c r="M1629"/>
      <c r="N1629"/>
      <c r="O1629"/>
      <c r="P1629"/>
      <c r="Q1629"/>
      <c r="R1629"/>
      <c r="S1629"/>
    </row>
    <row r="1630" spans="1:19" ht="15">
      <c r="A1630"/>
      <c r="B1630"/>
      <c r="C1630"/>
      <c r="D1630"/>
      <c r="E1630"/>
      <c r="F1630"/>
      <c r="G1630"/>
      <c r="H1630"/>
      <c r="I1630"/>
      <c r="J1630"/>
      <c r="K1630"/>
      <c r="L1630"/>
      <c r="M1630"/>
      <c r="N1630"/>
      <c r="O1630"/>
      <c r="P1630"/>
      <c r="Q1630"/>
      <c r="R1630"/>
      <c r="S1630"/>
    </row>
    <row r="1631" spans="1:19" ht="15">
      <c r="A1631"/>
      <c r="B1631"/>
      <c r="C1631"/>
      <c r="D1631"/>
      <c r="E1631"/>
      <c r="F1631"/>
      <c r="G1631"/>
      <c r="H1631"/>
      <c r="I1631"/>
      <c r="J1631"/>
      <c r="K1631"/>
      <c r="L1631"/>
      <c r="M1631"/>
      <c r="N1631"/>
      <c r="O1631"/>
      <c r="P1631"/>
      <c r="Q1631"/>
      <c r="R1631"/>
      <c r="S1631"/>
    </row>
    <row r="1632" spans="1:19" ht="15">
      <c r="A1632"/>
      <c r="B1632"/>
      <c r="C1632"/>
      <c r="D1632"/>
      <c r="E1632"/>
      <c r="F1632"/>
      <c r="G1632"/>
      <c r="H1632"/>
      <c r="I1632"/>
      <c r="J1632"/>
      <c r="K1632"/>
      <c r="L1632"/>
      <c r="M1632"/>
      <c r="N1632"/>
      <c r="O1632"/>
      <c r="P1632"/>
      <c r="Q1632"/>
      <c r="R1632"/>
      <c r="S1632"/>
    </row>
    <row r="1633" spans="1:19" ht="15">
      <c r="A1633"/>
      <c r="B1633"/>
      <c r="C1633"/>
      <c r="D1633"/>
      <c r="E1633"/>
      <c r="F1633"/>
      <c r="G1633"/>
      <c r="H1633"/>
      <c r="I1633"/>
      <c r="J1633"/>
      <c r="K1633"/>
      <c r="L1633"/>
      <c r="M1633"/>
      <c r="N1633"/>
      <c r="O1633"/>
      <c r="P1633"/>
      <c r="Q1633"/>
      <c r="R1633"/>
      <c r="S1633"/>
    </row>
    <row r="1634" spans="1:19" ht="15">
      <c r="A1634"/>
      <c r="B1634"/>
      <c r="C1634"/>
      <c r="D1634"/>
      <c r="E1634"/>
      <c r="F1634"/>
      <c r="G1634"/>
      <c r="H1634"/>
      <c r="I1634"/>
      <c r="J1634"/>
      <c r="K1634"/>
      <c r="L1634"/>
      <c r="M1634"/>
      <c r="N1634"/>
      <c r="O1634"/>
      <c r="P1634"/>
      <c r="Q1634"/>
      <c r="R1634"/>
      <c r="S1634"/>
    </row>
    <row r="1635" spans="1:19" ht="15">
      <c r="A1635"/>
      <c r="B1635"/>
      <c r="C1635"/>
      <c r="D1635"/>
      <c r="E1635"/>
      <c r="F1635"/>
      <c r="G1635"/>
      <c r="H1635"/>
      <c r="I1635"/>
      <c r="J1635"/>
      <c r="K1635"/>
      <c r="L1635"/>
      <c r="M1635"/>
      <c r="N1635"/>
      <c r="O1635"/>
      <c r="P1635"/>
      <c r="Q1635"/>
      <c r="R1635"/>
      <c r="S1635"/>
    </row>
    <row r="1636" spans="1:19" ht="15">
      <c r="A1636"/>
      <c r="B1636"/>
      <c r="C1636"/>
      <c r="D1636"/>
      <c r="E1636"/>
      <c r="F1636"/>
      <c r="G1636"/>
      <c r="H1636"/>
      <c r="I1636"/>
      <c r="J1636"/>
      <c r="K1636"/>
      <c r="L1636"/>
      <c r="M1636"/>
      <c r="N1636"/>
      <c r="O1636"/>
      <c r="P1636"/>
      <c r="Q1636"/>
      <c r="R1636"/>
      <c r="S1636"/>
    </row>
    <row r="1637" spans="1:19" ht="15">
      <c r="A1637"/>
      <c r="B1637"/>
      <c r="C1637"/>
      <c r="D1637"/>
      <c r="E1637"/>
      <c r="F1637"/>
      <c r="G1637"/>
      <c r="H1637"/>
      <c r="I1637"/>
      <c r="J1637"/>
      <c r="K1637"/>
      <c r="L1637"/>
      <c r="M1637"/>
      <c r="N1637"/>
      <c r="O1637"/>
      <c r="P1637"/>
      <c r="Q1637"/>
      <c r="R1637"/>
      <c r="S1637"/>
    </row>
    <row r="1638" spans="1:19" ht="15">
      <c r="A1638"/>
      <c r="B1638"/>
      <c r="C1638"/>
      <c r="D1638"/>
      <c r="E1638"/>
      <c r="F1638"/>
      <c r="G1638"/>
      <c r="H1638"/>
      <c r="I1638"/>
      <c r="J1638"/>
      <c r="K1638"/>
      <c r="L1638"/>
      <c r="M1638"/>
      <c r="N1638"/>
      <c r="O1638"/>
      <c r="P1638"/>
      <c r="Q1638"/>
      <c r="R1638"/>
      <c r="S1638"/>
    </row>
    <row r="1639" spans="1:19" ht="15">
      <c r="A1639"/>
      <c r="B1639"/>
      <c r="C1639"/>
      <c r="D1639"/>
      <c r="E1639"/>
      <c r="F1639"/>
      <c r="G1639"/>
      <c r="H1639"/>
      <c r="I1639"/>
      <c r="J1639"/>
      <c r="K1639"/>
      <c r="L1639"/>
      <c r="M1639"/>
      <c r="N1639"/>
      <c r="O1639"/>
      <c r="P1639"/>
      <c r="Q1639"/>
      <c r="R1639"/>
      <c r="S1639"/>
    </row>
    <row r="1640" spans="1:19" ht="15">
      <c r="A1640"/>
      <c r="B1640"/>
      <c r="C1640"/>
      <c r="D1640"/>
      <c r="E1640"/>
      <c r="F1640"/>
      <c r="G1640"/>
      <c r="H1640"/>
      <c r="I1640"/>
      <c r="J1640"/>
      <c r="K1640"/>
      <c r="L1640"/>
      <c r="M1640"/>
      <c r="N1640"/>
      <c r="O1640"/>
      <c r="P1640"/>
      <c r="Q1640"/>
      <c r="R1640"/>
      <c r="S1640"/>
    </row>
    <row r="1641" spans="1:19" ht="15">
      <c r="A1641"/>
      <c r="B1641"/>
      <c r="C1641"/>
      <c r="D1641"/>
      <c r="E1641"/>
      <c r="F1641"/>
      <c r="G1641"/>
      <c r="H1641"/>
      <c r="I1641"/>
      <c r="J1641"/>
      <c r="K1641"/>
      <c r="L1641"/>
      <c r="M1641"/>
      <c r="N1641"/>
      <c r="O1641"/>
      <c r="P1641"/>
      <c r="Q1641"/>
      <c r="R1641"/>
      <c r="S1641"/>
    </row>
    <row r="1642" spans="1:19" ht="15">
      <c r="A1642"/>
      <c r="B1642"/>
      <c r="C1642"/>
      <c r="D1642"/>
      <c r="E1642"/>
      <c r="F1642"/>
      <c r="G1642"/>
      <c r="H1642"/>
      <c r="I1642"/>
      <c r="J1642"/>
      <c r="K1642"/>
      <c r="L1642"/>
      <c r="M1642"/>
      <c r="N1642"/>
      <c r="O1642"/>
      <c r="P1642"/>
      <c r="Q1642"/>
      <c r="R1642"/>
      <c r="S1642"/>
    </row>
    <row r="1643" spans="1:19" ht="15">
      <c r="A1643"/>
      <c r="B1643"/>
      <c r="C1643"/>
      <c r="D1643"/>
      <c r="E1643"/>
      <c r="F1643"/>
      <c r="G1643"/>
      <c r="H1643"/>
      <c r="I1643"/>
      <c r="J1643"/>
      <c r="K1643"/>
      <c r="L1643"/>
      <c r="M1643"/>
      <c r="N1643"/>
      <c r="O1643"/>
      <c r="P1643"/>
      <c r="Q1643"/>
      <c r="R1643"/>
      <c r="S1643"/>
    </row>
    <row r="1644" spans="1:19" ht="15">
      <c r="A1644"/>
      <c r="B1644"/>
      <c r="C1644"/>
      <c r="D1644"/>
      <c r="E1644"/>
      <c r="F1644"/>
      <c r="G1644"/>
      <c r="H1644"/>
      <c r="I1644"/>
      <c r="J1644"/>
      <c r="K1644"/>
      <c r="L1644"/>
      <c r="M1644"/>
      <c r="N1644"/>
      <c r="O1644"/>
      <c r="P1644"/>
      <c r="Q1644"/>
      <c r="R1644"/>
      <c r="S1644"/>
    </row>
    <row r="1645" spans="1:19" ht="15">
      <c r="A1645"/>
      <c r="B1645"/>
      <c r="C1645"/>
      <c r="D1645"/>
      <c r="E1645"/>
      <c r="F1645"/>
      <c r="G1645"/>
      <c r="H1645"/>
      <c r="I1645"/>
      <c r="J1645"/>
      <c r="K1645"/>
      <c r="L1645"/>
      <c r="M1645"/>
      <c r="N1645"/>
      <c r="O1645"/>
      <c r="P1645"/>
      <c r="Q1645"/>
      <c r="R1645"/>
      <c r="S1645"/>
    </row>
    <row r="1646" spans="1:19" ht="15">
      <c r="A1646"/>
      <c r="B1646"/>
      <c r="C1646"/>
      <c r="D1646"/>
      <c r="E1646"/>
      <c r="F1646"/>
      <c r="G1646"/>
      <c r="H1646"/>
      <c r="I1646"/>
      <c r="J1646"/>
      <c r="K1646"/>
      <c r="L1646"/>
      <c r="M1646"/>
      <c r="N1646"/>
      <c r="O1646"/>
      <c r="P1646"/>
      <c r="Q1646"/>
      <c r="R1646"/>
      <c r="S1646"/>
    </row>
    <row r="1647" spans="1:19" ht="15">
      <c r="A1647"/>
      <c r="B1647"/>
      <c r="C1647"/>
      <c r="D1647"/>
      <c r="E1647"/>
      <c r="F1647"/>
      <c r="G1647"/>
      <c r="H1647"/>
      <c r="I1647"/>
      <c r="J1647"/>
      <c r="K1647"/>
      <c r="L1647"/>
      <c r="M1647"/>
      <c r="N1647"/>
      <c r="O1647"/>
      <c r="P1647"/>
      <c r="Q1647"/>
      <c r="R1647"/>
      <c r="S1647"/>
    </row>
    <row r="1648" spans="1:19" ht="15">
      <c r="A1648"/>
      <c r="B1648"/>
      <c r="C1648"/>
      <c r="D1648"/>
      <c r="E1648"/>
      <c r="F1648"/>
      <c r="G1648"/>
      <c r="H1648"/>
      <c r="I1648"/>
      <c r="J1648"/>
      <c r="K1648"/>
      <c r="L1648"/>
      <c r="M1648"/>
      <c r="N1648"/>
      <c r="O1648"/>
      <c r="P1648"/>
      <c r="Q1648"/>
      <c r="R1648"/>
      <c r="S1648"/>
    </row>
    <row r="1649" spans="1:19" ht="15">
      <c r="A1649"/>
      <c r="B1649"/>
      <c r="C1649"/>
      <c r="D1649"/>
      <c r="E1649"/>
      <c r="F1649"/>
      <c r="G1649"/>
      <c r="H1649"/>
      <c r="I1649"/>
      <c r="J1649"/>
      <c r="K1649"/>
      <c r="L1649"/>
      <c r="M1649"/>
      <c r="N1649"/>
      <c r="O1649"/>
      <c r="P1649"/>
      <c r="Q1649"/>
      <c r="R1649"/>
      <c r="S1649"/>
    </row>
    <row r="1650" spans="1:19" ht="15">
      <c r="A1650"/>
      <c r="B1650"/>
      <c r="C1650"/>
      <c r="D1650"/>
      <c r="E1650"/>
      <c r="F1650"/>
      <c r="G1650"/>
      <c r="H1650"/>
      <c r="I1650"/>
      <c r="J1650"/>
      <c r="K1650"/>
      <c r="L1650"/>
      <c r="M1650"/>
      <c r="N1650"/>
      <c r="O1650"/>
      <c r="P1650"/>
      <c r="Q1650"/>
      <c r="R1650"/>
      <c r="S1650"/>
    </row>
    <row r="1651" spans="1:19" ht="15">
      <c r="A1651"/>
      <c r="B1651"/>
      <c r="C1651"/>
      <c r="D1651"/>
      <c r="E1651"/>
      <c r="F1651"/>
      <c r="G1651"/>
      <c r="H1651"/>
      <c r="I1651"/>
      <c r="J1651"/>
      <c r="K1651"/>
      <c r="L1651"/>
      <c r="M1651"/>
      <c r="N1651"/>
      <c r="O1651"/>
      <c r="P1651"/>
      <c r="Q1651"/>
      <c r="R1651"/>
      <c r="S1651"/>
    </row>
    <row r="1652" spans="1:19" ht="15">
      <c r="A1652"/>
      <c r="B1652"/>
      <c r="C1652"/>
      <c r="D1652"/>
      <c r="E1652"/>
      <c r="F1652"/>
      <c r="G1652"/>
      <c r="H1652"/>
      <c r="I1652"/>
      <c r="J1652"/>
      <c r="K1652"/>
      <c r="L1652"/>
      <c r="M1652"/>
      <c r="N1652"/>
      <c r="O1652"/>
      <c r="P1652"/>
      <c r="Q1652"/>
      <c r="R1652"/>
      <c r="S1652"/>
    </row>
    <row r="1653" spans="1:19" ht="15">
      <c r="A1653"/>
      <c r="B1653"/>
      <c r="C1653"/>
      <c r="D1653"/>
      <c r="E1653"/>
      <c r="F1653"/>
      <c r="G1653"/>
      <c r="H1653"/>
      <c r="I1653"/>
      <c r="J1653"/>
      <c r="K1653"/>
      <c r="L1653"/>
      <c r="M1653"/>
      <c r="N1653"/>
      <c r="O1653"/>
      <c r="P1653"/>
      <c r="Q1653"/>
      <c r="R1653"/>
      <c r="S1653"/>
    </row>
    <row r="1654" spans="1:19" ht="15">
      <c r="A1654"/>
      <c r="B1654"/>
      <c r="C1654"/>
      <c r="D1654"/>
      <c r="E1654"/>
      <c r="F1654"/>
      <c r="G1654"/>
      <c r="H1654"/>
      <c r="I1654"/>
      <c r="J1654"/>
      <c r="K1654"/>
      <c r="L1654"/>
      <c r="M1654"/>
      <c r="N1654"/>
      <c r="O1654"/>
      <c r="P1654"/>
      <c r="Q1654"/>
      <c r="R1654"/>
      <c r="S1654"/>
    </row>
    <row r="1655" spans="1:19" ht="15">
      <c r="A1655"/>
      <c r="B1655"/>
      <c r="C1655"/>
      <c r="D1655"/>
      <c r="E1655"/>
      <c r="F1655"/>
      <c r="G1655"/>
      <c r="H1655"/>
      <c r="I1655"/>
      <c r="J1655"/>
      <c r="K1655"/>
      <c r="L1655"/>
      <c r="M1655"/>
      <c r="N1655"/>
      <c r="O1655"/>
      <c r="P1655"/>
      <c r="Q1655"/>
      <c r="R1655"/>
      <c r="S1655"/>
    </row>
    <row r="1656" spans="1:19" ht="15">
      <c r="A1656"/>
      <c r="B1656"/>
      <c r="C1656"/>
      <c r="D1656"/>
      <c r="E1656"/>
      <c r="F1656"/>
      <c r="G1656"/>
      <c r="H1656"/>
      <c r="I1656"/>
      <c r="J1656"/>
      <c r="K1656"/>
      <c r="L1656"/>
      <c r="M1656"/>
      <c r="N1656"/>
      <c r="O1656"/>
      <c r="P1656"/>
      <c r="Q1656"/>
      <c r="R1656"/>
      <c r="S1656"/>
    </row>
    <row r="1657" spans="1:19" ht="15">
      <c r="A1657"/>
      <c r="B1657"/>
      <c r="C1657"/>
      <c r="D1657"/>
      <c r="E1657"/>
      <c r="F1657"/>
      <c r="G1657"/>
      <c r="H1657"/>
      <c r="I1657"/>
      <c r="J1657"/>
      <c r="K1657"/>
      <c r="L1657"/>
      <c r="M1657"/>
      <c r="N1657"/>
      <c r="O1657"/>
      <c r="P1657"/>
      <c r="Q1657"/>
      <c r="R1657"/>
      <c r="S1657"/>
    </row>
    <row r="1658" spans="1:19" ht="15">
      <c r="A1658"/>
      <c r="B1658"/>
      <c r="C1658"/>
      <c r="D1658"/>
      <c r="E1658"/>
      <c r="F1658"/>
      <c r="G1658"/>
      <c r="H1658"/>
      <c r="I1658"/>
      <c r="J1658"/>
      <c r="K1658"/>
      <c r="L1658"/>
      <c r="M1658"/>
      <c r="N1658"/>
      <c r="O1658"/>
      <c r="P1658"/>
      <c r="Q1658"/>
      <c r="R1658"/>
      <c r="S1658"/>
    </row>
    <row r="1659" spans="1:19" ht="15">
      <c r="A1659"/>
      <c r="B1659"/>
      <c r="C1659"/>
      <c r="D1659"/>
      <c r="E1659"/>
      <c r="F1659"/>
      <c r="G1659"/>
      <c r="H1659"/>
      <c r="I1659"/>
      <c r="J1659"/>
      <c r="K1659"/>
      <c r="L1659"/>
      <c r="M1659"/>
      <c r="N1659"/>
      <c r="O1659"/>
      <c r="P1659"/>
      <c r="Q1659"/>
      <c r="R1659"/>
      <c r="S1659"/>
    </row>
    <row r="1660" spans="1:19" ht="15">
      <c r="A1660"/>
      <c r="B1660"/>
      <c r="C1660"/>
      <c r="D1660"/>
      <c r="E1660"/>
      <c r="F1660"/>
      <c r="G1660"/>
      <c r="H1660"/>
      <c r="I1660"/>
      <c r="J1660"/>
      <c r="K1660"/>
      <c r="L1660"/>
      <c r="M1660"/>
      <c r="N1660"/>
      <c r="O1660"/>
      <c r="P1660"/>
      <c r="Q1660"/>
      <c r="R1660"/>
      <c r="S1660"/>
    </row>
    <row r="1661" spans="1:19" ht="15">
      <c r="A1661"/>
      <c r="B1661"/>
      <c r="C1661"/>
      <c r="D1661"/>
      <c r="E1661"/>
      <c r="F1661"/>
      <c r="G1661"/>
      <c r="H1661"/>
      <c r="I1661"/>
      <c r="J1661"/>
      <c r="K1661"/>
      <c r="L1661"/>
      <c r="M1661"/>
      <c r="N1661"/>
      <c r="O1661"/>
      <c r="P1661"/>
      <c r="Q1661"/>
      <c r="R1661"/>
      <c r="S1661"/>
    </row>
    <row r="1662" spans="1:19" ht="15">
      <c r="A1662"/>
      <c r="B1662"/>
      <c r="C1662"/>
      <c r="D1662"/>
      <c r="E1662"/>
      <c r="F1662"/>
      <c r="G1662"/>
      <c r="H1662"/>
      <c r="I1662"/>
      <c r="J1662"/>
      <c r="K1662"/>
      <c r="L1662"/>
      <c r="M1662"/>
      <c r="N1662"/>
      <c r="O1662"/>
      <c r="P1662"/>
      <c r="Q1662"/>
      <c r="R1662"/>
      <c r="S1662"/>
    </row>
    <row r="1663" spans="1:19" ht="15">
      <c r="A1663"/>
      <c r="B1663"/>
      <c r="C1663"/>
      <c r="D1663"/>
      <c r="E1663"/>
      <c r="F1663"/>
      <c r="G1663"/>
      <c r="H1663"/>
      <c r="I1663"/>
      <c r="J1663"/>
      <c r="K1663"/>
      <c r="L1663"/>
      <c r="M1663"/>
      <c r="N1663"/>
      <c r="O1663"/>
      <c r="P1663"/>
      <c r="Q1663"/>
      <c r="R1663"/>
      <c r="S1663"/>
    </row>
    <row r="1664" spans="1:19" ht="15">
      <c r="A1664"/>
      <c r="B1664"/>
      <c r="C1664"/>
      <c r="D1664"/>
      <c r="E1664"/>
      <c r="F1664"/>
      <c r="G1664"/>
      <c r="H1664"/>
      <c r="I1664"/>
      <c r="J1664"/>
      <c r="K1664"/>
      <c r="L1664"/>
      <c r="M1664"/>
      <c r="N1664"/>
      <c r="O1664"/>
      <c r="P1664"/>
      <c r="Q1664"/>
      <c r="R1664"/>
      <c r="S1664"/>
    </row>
    <row r="1665" spans="1:19" ht="15">
      <c r="A1665"/>
      <c r="B1665"/>
      <c r="C1665"/>
      <c r="D1665"/>
      <c r="E1665"/>
      <c r="F1665"/>
      <c r="G1665"/>
      <c r="H1665"/>
      <c r="I1665"/>
      <c r="J1665"/>
      <c r="K1665"/>
      <c r="L1665"/>
      <c r="M1665"/>
      <c r="N1665"/>
      <c r="O1665"/>
      <c r="P1665"/>
      <c r="Q1665"/>
      <c r="R1665"/>
      <c r="S1665"/>
    </row>
    <row r="1666" spans="1:19" ht="15">
      <c r="A1666"/>
      <c r="B1666"/>
      <c r="C1666"/>
      <c r="D1666"/>
      <c r="E1666"/>
      <c r="F1666"/>
      <c r="G1666"/>
      <c r="H1666"/>
      <c r="I1666"/>
      <c r="J1666"/>
      <c r="K1666"/>
      <c r="L1666"/>
      <c r="M1666"/>
      <c r="N1666"/>
      <c r="O1666"/>
      <c r="P1666"/>
      <c r="Q1666"/>
      <c r="R1666"/>
      <c r="S1666"/>
    </row>
    <row r="1667" spans="1:19" ht="15">
      <c r="A1667"/>
      <c r="B1667"/>
      <c r="C1667"/>
      <c r="D1667"/>
      <c r="E1667"/>
      <c r="F1667"/>
      <c r="G1667"/>
      <c r="H1667"/>
      <c r="I1667"/>
      <c r="J1667"/>
      <c r="K1667"/>
      <c r="L1667"/>
      <c r="M1667"/>
      <c r="N1667"/>
      <c r="O1667"/>
      <c r="P1667"/>
      <c r="Q1667"/>
      <c r="R1667"/>
      <c r="S1667"/>
    </row>
    <row r="1668" spans="1:19" ht="15">
      <c r="A1668"/>
      <c r="B1668"/>
      <c r="C1668"/>
      <c r="D1668"/>
      <c r="E1668"/>
      <c r="F1668"/>
      <c r="G1668"/>
      <c r="H1668"/>
      <c r="I1668"/>
      <c r="J1668"/>
      <c r="K1668"/>
      <c r="L1668"/>
      <c r="M1668"/>
      <c r="N1668"/>
      <c r="O1668"/>
      <c r="P1668"/>
      <c r="Q1668"/>
      <c r="R1668"/>
      <c r="S1668"/>
    </row>
    <row r="1669" spans="1:19" ht="15">
      <c r="A1669"/>
      <c r="B1669"/>
      <c r="C1669"/>
      <c r="D1669"/>
      <c r="E1669"/>
      <c r="F1669"/>
      <c r="G1669"/>
      <c r="H1669"/>
      <c r="I1669"/>
      <c r="J1669"/>
      <c r="K1669"/>
      <c r="L1669"/>
      <c r="M1669"/>
      <c r="N1669"/>
      <c r="O1669"/>
      <c r="P1669"/>
      <c r="Q1669"/>
      <c r="R1669"/>
      <c r="S1669"/>
    </row>
    <row r="1670" spans="1:19" ht="15">
      <c r="A1670"/>
      <c r="B1670"/>
      <c r="C1670"/>
      <c r="D1670"/>
      <c r="E1670"/>
      <c r="F1670"/>
      <c r="G1670"/>
      <c r="H1670"/>
      <c r="I1670"/>
      <c r="J1670"/>
      <c r="K1670"/>
      <c r="L1670"/>
      <c r="M1670"/>
      <c r="N1670"/>
      <c r="O1670"/>
      <c r="P1670"/>
      <c r="Q1670"/>
      <c r="R1670"/>
      <c r="S1670"/>
    </row>
    <row r="1671" spans="1:19" ht="15">
      <c r="A1671"/>
      <c r="B1671"/>
      <c r="C1671"/>
      <c r="D1671"/>
      <c r="E1671"/>
      <c r="F1671"/>
      <c r="G1671"/>
      <c r="H1671"/>
      <c r="I1671"/>
      <c r="J1671"/>
      <c r="K1671"/>
      <c r="L1671"/>
      <c r="M1671"/>
      <c r="N1671"/>
      <c r="O1671"/>
      <c r="P1671"/>
      <c r="Q1671"/>
      <c r="R1671"/>
      <c r="S1671"/>
    </row>
    <row r="1672" spans="1:19" ht="15">
      <c r="A1672"/>
      <c r="B1672"/>
      <c r="C1672"/>
      <c r="D1672"/>
      <c r="E1672"/>
      <c r="F1672"/>
      <c r="G1672"/>
      <c r="H1672"/>
      <c r="I1672"/>
      <c r="J1672"/>
      <c r="K1672"/>
      <c r="L1672"/>
      <c r="M1672"/>
      <c r="N1672"/>
      <c r="O1672"/>
      <c r="P1672"/>
      <c r="Q1672"/>
      <c r="R1672"/>
      <c r="S1672"/>
    </row>
    <row r="1673" spans="1:19" ht="15">
      <c r="A1673"/>
      <c r="B1673"/>
      <c r="C1673"/>
      <c r="D1673"/>
      <c r="E1673"/>
      <c r="F1673"/>
      <c r="G1673"/>
      <c r="H1673"/>
      <c r="I1673"/>
      <c r="J1673"/>
      <c r="K1673"/>
      <c r="L1673"/>
      <c r="M1673"/>
      <c r="N1673"/>
      <c r="O1673"/>
      <c r="P1673"/>
      <c r="Q1673"/>
      <c r="R1673"/>
      <c r="S1673"/>
    </row>
    <row r="1674" spans="1:19" ht="15">
      <c r="A1674"/>
      <c r="B1674"/>
      <c r="C1674"/>
      <c r="D1674"/>
      <c r="E1674"/>
      <c r="F1674"/>
      <c r="G1674"/>
      <c r="H1674"/>
      <c r="I1674"/>
      <c r="J1674"/>
      <c r="K1674"/>
      <c r="L1674"/>
      <c r="M1674"/>
      <c r="N1674"/>
      <c r="O1674"/>
      <c r="P1674"/>
      <c r="Q1674"/>
      <c r="R1674"/>
      <c r="S1674"/>
    </row>
    <row r="1675" spans="1:19" ht="15">
      <c r="A1675"/>
      <c r="B1675"/>
      <c r="C1675"/>
      <c r="D1675"/>
      <c r="E1675"/>
      <c r="F1675"/>
      <c r="G1675"/>
      <c r="H1675"/>
      <c r="I1675"/>
      <c r="J1675"/>
      <c r="K1675"/>
      <c r="L1675"/>
      <c r="M1675"/>
      <c r="N1675"/>
      <c r="O1675"/>
      <c r="P1675"/>
      <c r="Q1675"/>
      <c r="R1675"/>
      <c r="S1675"/>
    </row>
    <row r="1676" spans="1:19" ht="15">
      <c r="A1676"/>
      <c r="B1676"/>
      <c r="C1676"/>
      <c r="D1676"/>
      <c r="E1676"/>
      <c r="F1676"/>
      <c r="G1676"/>
      <c r="H1676"/>
      <c r="I1676"/>
      <c r="J1676"/>
      <c r="K1676"/>
      <c r="L1676"/>
      <c r="M1676"/>
      <c r="N1676"/>
      <c r="O1676"/>
      <c r="P1676"/>
      <c r="Q1676"/>
      <c r="R1676"/>
      <c r="S1676"/>
    </row>
    <row r="1677" spans="1:19" ht="15">
      <c r="A1677"/>
      <c r="B1677"/>
      <c r="C1677"/>
      <c r="D1677"/>
      <c r="E1677"/>
      <c r="F1677"/>
      <c r="G1677"/>
      <c r="H1677"/>
      <c r="I1677"/>
      <c r="J1677"/>
      <c r="K1677"/>
      <c r="L1677"/>
      <c r="M1677"/>
      <c r="N1677"/>
      <c r="O1677"/>
      <c r="P1677"/>
      <c r="Q1677"/>
      <c r="R1677"/>
      <c r="S1677"/>
    </row>
    <row r="1678" spans="1:19" ht="15">
      <c r="A1678"/>
      <c r="B1678"/>
      <c r="C1678"/>
      <c r="D1678"/>
      <c r="E1678"/>
      <c r="F1678"/>
      <c r="G1678"/>
      <c r="H1678"/>
      <c r="I1678"/>
      <c r="J1678"/>
      <c r="K1678"/>
      <c r="L1678"/>
      <c r="M1678"/>
      <c r="N1678"/>
      <c r="O1678"/>
      <c r="P1678"/>
      <c r="Q1678"/>
      <c r="R1678"/>
      <c r="S1678"/>
    </row>
    <row r="1679" spans="1:19" ht="15">
      <c r="A1679"/>
      <c r="B1679"/>
      <c r="C1679"/>
      <c r="D1679"/>
      <c r="E1679"/>
      <c r="F1679"/>
      <c r="G1679"/>
      <c r="H1679"/>
      <c r="I1679"/>
      <c r="J1679"/>
      <c r="K1679"/>
      <c r="L1679"/>
      <c r="M1679"/>
      <c r="N1679"/>
      <c r="O1679"/>
      <c r="P1679"/>
      <c r="Q1679"/>
      <c r="R1679"/>
      <c r="S1679"/>
    </row>
    <row r="1680" spans="1:19" ht="15">
      <c r="A1680"/>
      <c r="B1680"/>
      <c r="C1680"/>
      <c r="D1680"/>
      <c r="E1680"/>
      <c r="F1680"/>
      <c r="G1680"/>
      <c r="H1680"/>
      <c r="I1680"/>
      <c r="J1680"/>
      <c r="K1680"/>
      <c r="L1680"/>
      <c r="M1680"/>
      <c r="N1680"/>
      <c r="O1680"/>
      <c r="P1680"/>
      <c r="Q1680"/>
      <c r="R1680"/>
      <c r="S1680"/>
    </row>
    <row r="1681" spans="1:19" ht="15">
      <c r="A1681"/>
      <c r="B1681"/>
      <c r="C1681"/>
      <c r="D1681"/>
      <c r="E1681"/>
      <c r="F1681"/>
      <c r="G1681"/>
      <c r="H1681"/>
      <c r="I1681"/>
      <c r="J1681"/>
      <c r="K1681"/>
      <c r="L1681"/>
      <c r="M1681"/>
      <c r="N1681"/>
      <c r="O1681"/>
      <c r="P1681"/>
      <c r="Q1681"/>
      <c r="R1681"/>
      <c r="S1681"/>
    </row>
    <row r="1682" spans="1:19" ht="15">
      <c r="A1682"/>
      <c r="B1682"/>
      <c r="C1682"/>
      <c r="D1682"/>
      <c r="E1682"/>
      <c r="F1682"/>
      <c r="G1682"/>
      <c r="H1682"/>
      <c r="I1682"/>
      <c r="J1682"/>
      <c r="K1682"/>
      <c r="L1682"/>
      <c r="M1682"/>
      <c r="N1682"/>
      <c r="O1682"/>
      <c r="P1682"/>
      <c r="Q1682"/>
      <c r="R1682"/>
      <c r="S1682"/>
    </row>
    <row r="1683" spans="1:19" ht="15">
      <c r="A1683"/>
      <c r="B1683"/>
      <c r="C1683"/>
      <c r="D1683"/>
      <c r="E1683"/>
      <c r="F1683"/>
      <c r="G1683"/>
      <c r="H1683"/>
      <c r="I1683"/>
      <c r="J1683"/>
      <c r="K1683"/>
      <c r="L1683"/>
      <c r="M1683"/>
      <c r="N1683"/>
      <c r="O1683"/>
      <c r="P1683"/>
      <c r="Q1683"/>
      <c r="R1683"/>
      <c r="S1683"/>
    </row>
    <row r="1684" spans="1:19" ht="15">
      <c r="A1684"/>
      <c r="B1684"/>
      <c r="C1684"/>
      <c r="D1684"/>
      <c r="E1684"/>
      <c r="F1684"/>
      <c r="G1684"/>
      <c r="H1684"/>
      <c r="I1684"/>
      <c r="J1684"/>
      <c r="K1684"/>
      <c r="L1684"/>
      <c r="M1684"/>
      <c r="N1684"/>
      <c r="O1684"/>
      <c r="P1684"/>
      <c r="Q1684"/>
      <c r="R1684"/>
      <c r="S1684"/>
    </row>
    <row r="1685" spans="1:19" ht="15">
      <c r="A1685"/>
      <c r="B1685"/>
      <c r="C1685"/>
      <c r="D1685"/>
      <c r="E1685"/>
      <c r="F1685"/>
      <c r="G1685"/>
      <c r="H1685"/>
      <c r="I1685"/>
      <c r="J1685"/>
      <c r="K1685"/>
      <c r="L1685"/>
      <c r="M1685"/>
      <c r="N1685"/>
      <c r="O1685"/>
      <c r="P1685"/>
      <c r="Q1685"/>
      <c r="R1685"/>
      <c r="S1685"/>
    </row>
    <row r="1686" spans="1:19" ht="15">
      <c r="A1686"/>
      <c r="B1686"/>
      <c r="C1686"/>
      <c r="D1686"/>
      <c r="E1686"/>
      <c r="F1686"/>
      <c r="G1686"/>
      <c r="H1686"/>
      <c r="I1686"/>
      <c r="J1686"/>
      <c r="K1686"/>
      <c r="L1686"/>
      <c r="M1686"/>
      <c r="N1686"/>
      <c r="O1686"/>
      <c r="P1686"/>
      <c r="Q1686"/>
      <c r="R1686"/>
      <c r="S1686"/>
    </row>
    <row r="1687" spans="1:19" ht="15">
      <c r="A1687"/>
      <c r="B1687"/>
      <c r="C1687"/>
      <c r="D1687"/>
      <c r="E1687"/>
      <c r="F1687"/>
      <c r="G1687"/>
      <c r="H1687"/>
      <c r="I1687"/>
      <c r="J1687"/>
      <c r="K1687"/>
      <c r="L1687"/>
      <c r="M1687"/>
      <c r="N1687"/>
      <c r="O1687"/>
      <c r="P1687"/>
      <c r="Q1687"/>
      <c r="R1687"/>
      <c r="S1687"/>
    </row>
    <row r="1688" spans="1:19" ht="15">
      <c r="A1688"/>
      <c r="B1688"/>
      <c r="C1688"/>
      <c r="D1688"/>
      <c r="E1688"/>
      <c r="F1688"/>
      <c r="G1688"/>
      <c r="H1688"/>
      <c r="I1688"/>
      <c r="J1688"/>
      <c r="K1688"/>
      <c r="L1688"/>
      <c r="M1688"/>
      <c r="N1688"/>
      <c r="O1688"/>
      <c r="P1688"/>
      <c r="Q1688"/>
      <c r="R1688"/>
      <c r="S1688"/>
    </row>
    <row r="1689" spans="1:19" ht="15">
      <c r="A1689"/>
      <c r="B1689"/>
      <c r="C1689"/>
      <c r="D1689"/>
      <c r="E1689"/>
      <c r="F1689"/>
      <c r="G1689"/>
      <c r="H1689"/>
      <c r="I1689"/>
      <c r="J1689"/>
      <c r="K1689"/>
      <c r="L1689"/>
      <c r="M1689"/>
      <c r="N1689"/>
      <c r="O1689"/>
      <c r="P1689"/>
      <c r="Q1689"/>
      <c r="R1689"/>
      <c r="S1689"/>
    </row>
    <row r="1690" spans="1:19" ht="15">
      <c r="A1690"/>
      <c r="B1690"/>
      <c r="C1690"/>
      <c r="D1690"/>
      <c r="E1690"/>
      <c r="F1690"/>
      <c r="G1690"/>
      <c r="H1690"/>
      <c r="I1690"/>
      <c r="J1690"/>
      <c r="K1690"/>
      <c r="L1690"/>
      <c r="M1690"/>
      <c r="N1690"/>
      <c r="O1690"/>
      <c r="P1690"/>
      <c r="Q1690"/>
      <c r="R1690"/>
      <c r="S1690"/>
    </row>
    <row r="1691" spans="1:19" ht="15">
      <c r="A1691"/>
      <c r="B1691"/>
      <c r="C1691"/>
      <c r="D1691"/>
      <c r="E1691"/>
      <c r="F1691"/>
      <c r="G1691"/>
      <c r="H1691"/>
      <c r="I1691"/>
      <c r="J1691"/>
      <c r="K1691"/>
      <c r="L1691"/>
      <c r="M1691"/>
      <c r="N1691"/>
      <c r="O1691"/>
      <c r="P1691"/>
      <c r="Q1691"/>
      <c r="R1691"/>
      <c r="S1691"/>
    </row>
    <row r="1692" spans="1:19" ht="15">
      <c r="A1692"/>
      <c r="B1692"/>
      <c r="C1692"/>
      <c r="D1692"/>
      <c r="E1692"/>
      <c r="F1692"/>
      <c r="G1692"/>
      <c r="H1692"/>
      <c r="I1692"/>
      <c r="J1692"/>
      <c r="K1692"/>
      <c r="L1692"/>
      <c r="M1692"/>
      <c r="N1692"/>
      <c r="O1692"/>
      <c r="P1692"/>
      <c r="Q1692"/>
      <c r="R1692"/>
      <c r="S1692"/>
    </row>
    <row r="1693" spans="1:19" ht="15">
      <c r="A1693"/>
      <c r="B1693"/>
      <c r="C1693"/>
      <c r="D1693"/>
      <c r="E1693"/>
      <c r="F1693"/>
      <c r="G1693"/>
      <c r="H1693"/>
      <c r="I1693"/>
      <c r="J1693"/>
      <c r="K1693"/>
      <c r="L1693"/>
      <c r="M1693"/>
      <c r="N1693"/>
      <c r="O1693"/>
      <c r="P1693"/>
      <c r="Q1693"/>
      <c r="R1693"/>
      <c r="S1693"/>
    </row>
    <row r="1694" spans="1:19" ht="15">
      <c r="A1694"/>
      <c r="B1694"/>
      <c r="C1694"/>
      <c r="D1694"/>
      <c r="E1694"/>
      <c r="F1694"/>
      <c r="G1694"/>
      <c r="H1694"/>
      <c r="I1694"/>
      <c r="J1694"/>
      <c r="K1694"/>
      <c r="L1694"/>
      <c r="M1694"/>
      <c r="N1694"/>
      <c r="O1694"/>
      <c r="P1694"/>
      <c r="Q1694"/>
      <c r="R1694"/>
      <c r="S1694"/>
    </row>
    <row r="1695" spans="1:19" ht="15">
      <c r="A1695"/>
      <c r="B1695"/>
      <c r="C1695"/>
      <c r="D1695"/>
      <c r="E1695"/>
      <c r="F1695"/>
      <c r="G1695"/>
      <c r="H1695"/>
      <c r="I1695"/>
      <c r="J1695"/>
      <c r="K1695"/>
      <c r="L1695"/>
      <c r="M1695"/>
      <c r="N1695"/>
      <c r="O1695"/>
      <c r="P1695"/>
      <c r="Q1695"/>
      <c r="R1695"/>
      <c r="S1695"/>
    </row>
    <row r="1696" spans="1:19" ht="15">
      <c r="A1696"/>
      <c r="B1696"/>
      <c r="C1696"/>
      <c r="D1696"/>
      <c r="E1696"/>
      <c r="F1696"/>
      <c r="G1696"/>
      <c r="H1696"/>
      <c r="I1696"/>
      <c r="J1696"/>
      <c r="K1696"/>
      <c r="L1696"/>
      <c r="M1696"/>
      <c r="N1696"/>
      <c r="O1696"/>
      <c r="P1696"/>
      <c r="Q1696"/>
      <c r="R1696"/>
      <c r="S1696"/>
    </row>
    <row r="1697" spans="1:19" ht="15">
      <c r="A1697"/>
      <c r="B1697"/>
      <c r="C1697"/>
      <c r="D1697"/>
      <c r="E1697"/>
      <c r="F1697"/>
      <c r="G1697"/>
      <c r="H1697"/>
      <c r="I1697"/>
      <c r="J1697"/>
      <c r="K1697"/>
      <c r="L1697"/>
      <c r="M1697"/>
      <c r="N1697"/>
      <c r="O1697"/>
      <c r="P1697"/>
      <c r="Q1697"/>
      <c r="R1697"/>
      <c r="S1697"/>
    </row>
    <row r="1698" spans="1:19" ht="15">
      <c r="A1698"/>
      <c r="B1698"/>
      <c r="C1698"/>
      <c r="D1698"/>
      <c r="E1698"/>
      <c r="F1698"/>
      <c r="G1698"/>
      <c r="H1698"/>
      <c r="I1698"/>
      <c r="J1698"/>
      <c r="K1698"/>
      <c r="L1698"/>
      <c r="M1698"/>
      <c r="N1698"/>
      <c r="O1698"/>
      <c r="P1698"/>
      <c r="Q1698"/>
      <c r="R1698"/>
      <c r="S1698"/>
    </row>
    <row r="1699" spans="1:19" ht="15">
      <c r="A1699"/>
      <c r="B1699"/>
      <c r="C1699"/>
      <c r="D1699"/>
      <c r="E1699"/>
      <c r="F1699"/>
      <c r="G1699"/>
      <c r="H1699"/>
      <c r="I1699"/>
      <c r="J1699"/>
      <c r="K1699"/>
      <c r="L1699"/>
      <c r="M1699"/>
      <c r="N1699"/>
      <c r="O1699"/>
      <c r="P1699"/>
      <c r="Q1699"/>
      <c r="R1699"/>
      <c r="S1699"/>
    </row>
    <row r="1700" spans="1:19" ht="15">
      <c r="A1700"/>
      <c r="B1700"/>
      <c r="C1700"/>
      <c r="D1700"/>
      <c r="E1700"/>
      <c r="F1700"/>
      <c r="G1700"/>
      <c r="H1700"/>
      <c r="I1700"/>
      <c r="J1700"/>
      <c r="K1700"/>
      <c r="L1700"/>
      <c r="M1700"/>
      <c r="N1700"/>
      <c r="O1700"/>
      <c r="P1700"/>
      <c r="Q1700"/>
      <c r="R1700"/>
      <c r="S1700"/>
    </row>
    <row r="1701" spans="1:19" ht="15">
      <c r="A1701"/>
      <c r="B1701"/>
      <c r="C1701"/>
      <c r="D1701"/>
      <c r="E1701"/>
      <c r="F1701"/>
      <c r="G1701"/>
      <c r="H1701"/>
      <c r="I1701"/>
      <c r="J1701"/>
      <c r="K1701"/>
      <c r="L1701"/>
      <c r="M1701"/>
      <c r="N1701"/>
      <c r="O1701"/>
      <c r="P1701"/>
      <c r="Q1701"/>
      <c r="R1701"/>
      <c r="S1701"/>
    </row>
    <row r="1702" spans="1:19" ht="15">
      <c r="A1702"/>
      <c r="B1702"/>
      <c r="C1702"/>
      <c r="D1702"/>
      <c r="E1702"/>
      <c r="F1702"/>
      <c r="G1702"/>
      <c r="H1702"/>
      <c r="I1702"/>
      <c r="J1702"/>
      <c r="K1702"/>
      <c r="L1702"/>
      <c r="M1702"/>
      <c r="N1702"/>
      <c r="O1702"/>
      <c r="P1702"/>
      <c r="Q1702"/>
      <c r="R1702"/>
      <c r="S1702"/>
    </row>
    <row r="1703" spans="1:19" ht="15">
      <c r="A1703"/>
      <c r="B1703"/>
      <c r="C1703"/>
      <c r="D1703"/>
      <c r="E1703"/>
      <c r="F1703"/>
      <c r="G1703"/>
      <c r="H1703"/>
      <c r="I1703"/>
      <c r="J1703"/>
      <c r="K1703"/>
      <c r="L1703"/>
      <c r="M1703"/>
      <c r="N1703"/>
      <c r="O1703"/>
      <c r="P1703"/>
      <c r="Q1703"/>
      <c r="R1703"/>
      <c r="S1703"/>
    </row>
    <row r="1704" spans="1:19" ht="15">
      <c r="A1704"/>
      <c r="B1704"/>
      <c r="C1704"/>
      <c r="D1704"/>
      <c r="E1704"/>
      <c r="F1704"/>
      <c r="G1704"/>
      <c r="H1704"/>
      <c r="I1704"/>
      <c r="J1704"/>
      <c r="K1704"/>
      <c r="L1704"/>
      <c r="M1704"/>
      <c r="N1704"/>
      <c r="O1704"/>
      <c r="P1704"/>
      <c r="Q1704"/>
      <c r="R1704"/>
      <c r="S1704"/>
    </row>
    <row r="1705" spans="1:19" ht="15">
      <c r="A1705"/>
      <c r="B1705"/>
      <c r="C1705"/>
      <c r="D1705"/>
      <c r="E1705"/>
      <c r="F1705"/>
      <c r="G1705"/>
      <c r="H1705"/>
      <c r="I1705"/>
      <c r="J1705"/>
      <c r="K1705"/>
      <c r="L1705"/>
      <c r="M1705"/>
      <c r="N1705"/>
      <c r="O1705"/>
      <c r="P1705"/>
      <c r="Q1705"/>
      <c r="R1705"/>
      <c r="S1705"/>
    </row>
    <row r="1706" spans="1:19" ht="15">
      <c r="A1706"/>
      <c r="B1706"/>
      <c r="C1706"/>
      <c r="D1706"/>
      <c r="E1706"/>
      <c r="F1706"/>
      <c r="G1706"/>
      <c r="H1706"/>
      <c r="I1706"/>
      <c r="J1706"/>
      <c r="K1706"/>
      <c r="L1706"/>
      <c r="M1706"/>
      <c r="N1706"/>
      <c r="O1706"/>
      <c r="P1706"/>
      <c r="Q1706"/>
      <c r="R1706"/>
      <c r="S1706"/>
    </row>
    <row r="1707" spans="1:19" ht="15">
      <c r="A1707"/>
      <c r="B1707"/>
      <c r="C1707"/>
      <c r="D1707"/>
      <c r="E1707"/>
      <c r="F1707"/>
      <c r="G1707"/>
      <c r="H1707"/>
      <c r="I1707"/>
      <c r="J1707"/>
      <c r="K1707"/>
      <c r="L1707"/>
      <c r="M1707"/>
      <c r="N1707"/>
      <c r="O1707"/>
      <c r="P1707"/>
      <c r="Q1707"/>
      <c r="R1707"/>
      <c r="S1707"/>
    </row>
    <row r="1708" spans="1:19" ht="15">
      <c r="A1708"/>
      <c r="B1708"/>
      <c r="C1708"/>
      <c r="D1708"/>
      <c r="E1708"/>
      <c r="F1708"/>
      <c r="G1708"/>
      <c r="H1708"/>
      <c r="I1708"/>
      <c r="J1708"/>
      <c r="K1708"/>
      <c r="L1708"/>
      <c r="M1708"/>
      <c r="N1708"/>
      <c r="O1708"/>
      <c r="P1708"/>
      <c r="Q1708"/>
      <c r="R1708"/>
      <c r="S1708"/>
    </row>
    <row r="1709" spans="1:19" ht="15">
      <c r="A1709"/>
      <c r="B1709"/>
      <c r="C1709"/>
      <c r="D1709"/>
      <c r="E1709"/>
      <c r="F1709"/>
      <c r="G1709"/>
      <c r="H1709"/>
      <c r="I1709"/>
      <c r="J1709"/>
      <c r="K1709"/>
      <c r="L1709"/>
      <c r="M1709"/>
      <c r="N1709"/>
      <c r="O1709"/>
      <c r="P1709"/>
      <c r="Q1709"/>
      <c r="R1709"/>
      <c r="S1709"/>
    </row>
    <row r="1710" spans="1:19" ht="15">
      <c r="A1710"/>
      <c r="B1710"/>
      <c r="C1710"/>
      <c r="D1710"/>
      <c r="E1710"/>
      <c r="F1710"/>
      <c r="G1710"/>
      <c r="H1710"/>
      <c r="I1710"/>
      <c r="J1710"/>
      <c r="K1710"/>
      <c r="L1710"/>
      <c r="M1710"/>
      <c r="N1710"/>
      <c r="O1710"/>
      <c r="P1710"/>
      <c r="Q1710"/>
      <c r="R1710"/>
      <c r="S1710"/>
    </row>
    <row r="1711" spans="1:19" ht="15">
      <c r="A1711"/>
      <c r="B1711"/>
      <c r="C1711"/>
      <c r="D1711"/>
      <c r="E1711"/>
      <c r="F1711"/>
      <c r="G1711"/>
      <c r="H1711"/>
      <c r="I1711"/>
      <c r="J1711"/>
      <c r="K1711"/>
      <c r="L1711"/>
      <c r="M1711"/>
      <c r="N1711"/>
      <c r="O1711"/>
      <c r="P1711"/>
      <c r="Q1711"/>
      <c r="R1711"/>
      <c r="S1711"/>
    </row>
    <row r="1712" spans="1:19" ht="15">
      <c r="A1712"/>
      <c r="B1712"/>
      <c r="C1712"/>
      <c r="D1712"/>
      <c r="E1712"/>
      <c r="F1712"/>
      <c r="G1712"/>
      <c r="H1712"/>
      <c r="I1712"/>
      <c r="J1712"/>
      <c r="K1712"/>
      <c r="L1712"/>
      <c r="M1712"/>
      <c r="N1712"/>
      <c r="O1712"/>
      <c r="P1712"/>
      <c r="Q1712"/>
      <c r="R1712"/>
      <c r="S1712"/>
    </row>
    <row r="1713" spans="1:19" ht="15">
      <c r="A1713"/>
      <c r="B1713"/>
      <c r="C1713"/>
      <c r="D1713"/>
      <c r="E1713"/>
      <c r="F1713"/>
      <c r="G1713"/>
      <c r="H1713"/>
      <c r="I1713"/>
      <c r="J1713"/>
      <c r="K1713"/>
      <c r="L1713"/>
      <c r="M1713"/>
      <c r="N1713"/>
      <c r="O1713"/>
      <c r="P1713"/>
      <c r="Q1713"/>
      <c r="R1713"/>
      <c r="S1713"/>
    </row>
    <row r="1714" spans="1:19" ht="15">
      <c r="A1714"/>
      <c r="B1714"/>
      <c r="C1714"/>
      <c r="D1714"/>
      <c r="E1714"/>
      <c r="F1714"/>
      <c r="G1714"/>
      <c r="H1714"/>
      <c r="I1714"/>
      <c r="J1714"/>
      <c r="K1714"/>
      <c r="L1714"/>
      <c r="M1714"/>
      <c r="N1714"/>
      <c r="O1714"/>
      <c r="P1714"/>
      <c r="Q1714"/>
      <c r="R1714"/>
      <c r="S1714"/>
    </row>
    <row r="1715" spans="1:19" ht="15">
      <c r="A1715"/>
      <c r="B1715"/>
      <c r="C1715"/>
      <c r="D1715"/>
      <c r="E1715"/>
      <c r="F1715"/>
      <c r="G1715"/>
      <c r="H1715"/>
      <c r="I1715"/>
      <c r="J1715"/>
      <c r="K1715"/>
      <c r="L1715"/>
      <c r="M1715"/>
      <c r="N1715"/>
      <c r="O1715"/>
      <c r="P1715"/>
      <c r="Q1715"/>
      <c r="R1715"/>
      <c r="S1715"/>
    </row>
    <row r="1716" spans="1:19" ht="15">
      <c r="A1716"/>
      <c r="B1716"/>
      <c r="C1716"/>
      <c r="D1716"/>
      <c r="E1716"/>
      <c r="F1716"/>
      <c r="G1716"/>
      <c r="H1716"/>
      <c r="I1716"/>
      <c r="J1716"/>
      <c r="K1716"/>
      <c r="L1716"/>
      <c r="M1716"/>
      <c r="N1716"/>
      <c r="O1716"/>
      <c r="P1716"/>
      <c r="Q1716"/>
      <c r="R1716"/>
      <c r="S1716"/>
    </row>
    <row r="1717" spans="1:19" ht="15">
      <c r="A1717"/>
      <c r="B1717"/>
      <c r="C1717"/>
      <c r="D1717"/>
      <c r="E1717"/>
      <c r="F1717"/>
      <c r="G1717"/>
      <c r="H1717"/>
      <c r="I1717"/>
      <c r="J1717"/>
      <c r="K1717"/>
      <c r="L1717"/>
      <c r="M1717"/>
      <c r="N1717"/>
      <c r="O1717"/>
      <c r="P1717"/>
      <c r="Q1717"/>
      <c r="R1717"/>
      <c r="S1717"/>
    </row>
    <row r="1718" spans="1:19" ht="15">
      <c r="A1718"/>
      <c r="B1718"/>
      <c r="C1718"/>
      <c r="D1718"/>
      <c r="E1718"/>
      <c r="F1718"/>
      <c r="G1718"/>
      <c r="H1718"/>
      <c r="I1718"/>
      <c r="J1718"/>
      <c r="K1718"/>
      <c r="L1718"/>
      <c r="M1718"/>
      <c r="N1718"/>
      <c r="O1718"/>
      <c r="P1718"/>
      <c r="Q1718"/>
      <c r="R1718"/>
      <c r="S1718"/>
    </row>
    <row r="1719" spans="1:19" ht="15">
      <c r="A1719"/>
      <c r="B1719"/>
      <c r="C1719"/>
      <c r="D1719"/>
      <c r="E1719"/>
      <c r="F1719"/>
      <c r="G1719"/>
      <c r="H1719"/>
      <c r="I1719"/>
      <c r="J1719"/>
      <c r="K1719"/>
      <c r="L1719"/>
      <c r="M1719"/>
      <c r="N1719"/>
      <c r="O1719"/>
      <c r="P1719"/>
      <c r="Q1719"/>
      <c r="R1719"/>
      <c r="S1719"/>
    </row>
    <row r="1720" spans="1:19" ht="15">
      <c r="A1720"/>
      <c r="B1720"/>
      <c r="C1720"/>
      <c r="D1720"/>
      <c r="E1720"/>
      <c r="F1720"/>
      <c r="G1720"/>
      <c r="H1720"/>
      <c r="I1720"/>
      <c r="J1720"/>
      <c r="K1720"/>
      <c r="L1720"/>
      <c r="M1720"/>
      <c r="N1720"/>
      <c r="O1720"/>
      <c r="P1720"/>
      <c r="Q1720"/>
      <c r="R1720"/>
      <c r="S1720"/>
    </row>
    <row r="1721" spans="1:19" ht="15">
      <c r="A1721"/>
      <c r="B1721"/>
      <c r="C1721"/>
      <c r="D1721"/>
      <c r="E1721"/>
      <c r="F1721"/>
      <c r="G1721"/>
      <c r="H1721"/>
      <c r="I1721"/>
      <c r="J1721"/>
      <c r="K1721"/>
      <c r="L1721"/>
      <c r="M1721"/>
      <c r="N1721"/>
      <c r="O1721"/>
      <c r="P1721"/>
      <c r="Q1721"/>
      <c r="R1721"/>
      <c r="S1721"/>
    </row>
    <row r="1722" spans="1:19" ht="15">
      <c r="A1722"/>
      <c r="B1722"/>
      <c r="C1722"/>
      <c r="D1722"/>
      <c r="E1722"/>
      <c r="F1722"/>
      <c r="G1722"/>
      <c r="H1722"/>
      <c r="I1722"/>
      <c r="J1722"/>
      <c r="K1722"/>
      <c r="L1722"/>
      <c r="M1722"/>
      <c r="N1722"/>
      <c r="O1722"/>
      <c r="P1722"/>
      <c r="Q1722"/>
      <c r="R1722"/>
      <c r="S1722"/>
    </row>
    <row r="1723" spans="1:19" ht="15">
      <c r="A1723"/>
      <c r="B1723"/>
      <c r="C1723"/>
      <c r="D1723"/>
      <c r="E1723"/>
      <c r="F1723"/>
      <c r="G1723"/>
      <c r="H1723"/>
      <c r="I1723"/>
      <c r="J1723"/>
      <c r="K1723"/>
      <c r="L1723"/>
      <c r="M1723"/>
      <c r="N1723"/>
      <c r="O1723"/>
      <c r="P1723"/>
      <c r="Q1723"/>
      <c r="R1723"/>
      <c r="S1723"/>
    </row>
    <row r="1724" spans="1:19" ht="15">
      <c r="A1724"/>
      <c r="B1724"/>
      <c r="C1724"/>
      <c r="D1724"/>
      <c r="E1724"/>
      <c r="F1724"/>
      <c r="G1724"/>
      <c r="H1724"/>
      <c r="I1724"/>
      <c r="J1724"/>
      <c r="K1724"/>
      <c r="L1724"/>
      <c r="M1724"/>
      <c r="N1724"/>
      <c r="O1724"/>
      <c r="P1724"/>
      <c r="Q1724"/>
      <c r="R1724"/>
      <c r="S1724"/>
    </row>
    <row r="1725" spans="1:19" ht="15">
      <c r="A1725"/>
      <c r="B1725"/>
      <c r="C1725"/>
      <c r="D1725"/>
      <c r="E1725"/>
      <c r="F1725"/>
      <c r="G1725"/>
      <c r="H1725"/>
      <c r="I1725"/>
      <c r="J1725"/>
      <c r="K1725"/>
      <c r="L1725"/>
      <c r="M1725"/>
      <c r="N1725"/>
      <c r="O1725"/>
      <c r="P1725"/>
      <c r="Q1725"/>
      <c r="R1725"/>
      <c r="S1725"/>
    </row>
    <row r="1726" spans="1:19" ht="15">
      <c r="A1726"/>
      <c r="B1726"/>
      <c r="C1726"/>
      <c r="D1726"/>
      <c r="E1726"/>
      <c r="F1726"/>
      <c r="G1726"/>
      <c r="H1726"/>
      <c r="I1726"/>
      <c r="J1726"/>
      <c r="K1726"/>
      <c r="L1726"/>
      <c r="M1726"/>
      <c r="N1726"/>
      <c r="O1726"/>
      <c r="P1726"/>
      <c r="Q1726"/>
      <c r="R1726"/>
      <c r="S1726"/>
    </row>
    <row r="1727" spans="1:19" ht="15">
      <c r="A1727"/>
      <c r="B1727"/>
      <c r="C1727"/>
      <c r="D1727"/>
      <c r="E1727"/>
      <c r="F1727"/>
      <c r="G1727"/>
      <c r="H1727"/>
      <c r="I1727"/>
      <c r="J1727"/>
      <c r="K1727"/>
      <c r="L1727"/>
      <c r="M1727"/>
      <c r="N1727"/>
      <c r="O1727"/>
      <c r="P1727"/>
      <c r="Q1727"/>
      <c r="R1727"/>
      <c r="S1727"/>
    </row>
    <row r="1728" spans="1:19" ht="15">
      <c r="A1728"/>
      <c r="B1728"/>
      <c r="C1728"/>
      <c r="D1728"/>
      <c r="E1728"/>
      <c r="F1728"/>
      <c r="G1728"/>
      <c r="H1728"/>
      <c r="I1728"/>
      <c r="J1728"/>
      <c r="K1728"/>
      <c r="L1728"/>
      <c r="M1728"/>
      <c r="N1728"/>
      <c r="O1728"/>
      <c r="P1728"/>
      <c r="Q1728"/>
      <c r="R1728"/>
      <c r="S1728"/>
    </row>
    <row r="1729" spans="1:19" ht="15">
      <c r="A1729"/>
      <c r="B1729"/>
      <c r="C1729"/>
      <c r="D1729"/>
      <c r="E1729"/>
      <c r="F1729"/>
      <c r="G1729"/>
      <c r="H1729"/>
      <c r="I1729"/>
      <c r="J1729"/>
      <c r="K1729"/>
      <c r="L1729"/>
      <c r="M1729"/>
      <c r="N1729"/>
      <c r="O1729"/>
      <c r="P1729"/>
      <c r="Q1729"/>
      <c r="R1729"/>
      <c r="S1729"/>
    </row>
    <row r="1730" spans="1:19" ht="15">
      <c r="A1730"/>
      <c r="B1730"/>
      <c r="C1730"/>
      <c r="D1730"/>
      <c r="E1730"/>
      <c r="F1730"/>
      <c r="G1730"/>
      <c r="H1730"/>
      <c r="I1730"/>
      <c r="J1730"/>
      <c r="K1730"/>
      <c r="L1730"/>
      <c r="M1730"/>
      <c r="N1730"/>
      <c r="O1730"/>
      <c r="P1730"/>
      <c r="Q1730"/>
      <c r="R1730"/>
      <c r="S1730"/>
    </row>
    <row r="1731" spans="1:19" ht="15">
      <c r="A1731"/>
      <c r="B1731"/>
      <c r="C1731"/>
      <c r="D1731"/>
      <c r="E1731"/>
      <c r="F1731"/>
      <c r="G1731"/>
      <c r="H1731"/>
      <c r="I1731"/>
      <c r="J1731"/>
      <c r="K1731"/>
      <c r="L1731"/>
      <c r="M1731"/>
      <c r="N1731"/>
      <c r="O1731"/>
      <c r="P1731"/>
      <c r="Q1731"/>
      <c r="R1731"/>
      <c r="S1731"/>
    </row>
    <row r="1732" spans="1:19" ht="15">
      <c r="A1732"/>
      <c r="B1732"/>
      <c r="C1732"/>
      <c r="D1732"/>
      <c r="E1732"/>
      <c r="F1732"/>
      <c r="G1732"/>
      <c r="H1732"/>
      <c r="I1732"/>
      <c r="J1732"/>
      <c r="K1732"/>
      <c r="L1732"/>
      <c r="M1732"/>
      <c r="N1732"/>
      <c r="O1732"/>
      <c r="P1732"/>
      <c r="Q1732"/>
      <c r="R1732"/>
      <c r="S1732"/>
    </row>
    <row r="1733" spans="1:19" ht="15">
      <c r="A1733"/>
      <c r="B1733"/>
      <c r="C1733"/>
      <c r="D1733"/>
      <c r="E1733"/>
      <c r="F1733"/>
      <c r="G1733"/>
      <c r="H1733"/>
      <c r="I1733"/>
      <c r="J1733"/>
      <c r="K1733"/>
      <c r="L1733"/>
      <c r="M1733"/>
      <c r="N1733"/>
      <c r="O1733"/>
      <c r="P1733"/>
      <c r="Q1733"/>
      <c r="R1733"/>
      <c r="S1733"/>
    </row>
    <row r="1734" spans="1:19" ht="15">
      <c r="A1734"/>
      <c r="B1734"/>
      <c r="C1734"/>
      <c r="D1734"/>
      <c r="E1734"/>
      <c r="F1734"/>
      <c r="G1734"/>
      <c r="H1734"/>
      <c r="I1734"/>
      <c r="J1734"/>
      <c r="K1734"/>
      <c r="L1734"/>
      <c r="M1734"/>
      <c r="N1734"/>
      <c r="O1734"/>
      <c r="P1734"/>
      <c r="Q1734"/>
      <c r="R1734"/>
      <c r="S1734"/>
    </row>
    <row r="1735" spans="1:19" ht="15">
      <c r="A1735"/>
      <c r="B1735"/>
      <c r="C1735"/>
      <c r="D1735"/>
      <c r="E1735"/>
      <c r="F1735"/>
      <c r="G1735"/>
      <c r="H1735"/>
      <c r="I1735"/>
      <c r="J1735"/>
      <c r="K1735"/>
      <c r="L1735"/>
      <c r="M1735"/>
      <c r="N1735"/>
      <c r="O1735"/>
      <c r="P1735"/>
      <c r="Q1735"/>
      <c r="R1735"/>
      <c r="S1735"/>
    </row>
    <row r="1736" spans="1:19" ht="15">
      <c r="A1736"/>
      <c r="B1736"/>
      <c r="C1736"/>
      <c r="D1736"/>
      <c r="E1736"/>
      <c r="F1736"/>
      <c r="G1736"/>
      <c r="H1736"/>
      <c r="I1736"/>
      <c r="J1736"/>
      <c r="K1736"/>
      <c r="L1736"/>
      <c r="M1736"/>
      <c r="N1736"/>
      <c r="O1736"/>
      <c r="P1736"/>
      <c r="Q1736"/>
      <c r="R1736"/>
      <c r="S1736"/>
    </row>
    <row r="1737" spans="1:19" ht="15">
      <c r="A1737"/>
      <c r="B1737"/>
      <c r="C1737"/>
      <c r="D1737"/>
      <c r="E1737"/>
      <c r="F1737"/>
      <c r="G1737"/>
      <c r="H1737"/>
      <c r="I1737"/>
      <c r="J1737"/>
      <c r="K1737"/>
      <c r="L1737"/>
      <c r="M1737"/>
      <c r="N1737"/>
      <c r="O1737"/>
      <c r="P1737"/>
      <c r="Q1737"/>
      <c r="R1737"/>
      <c r="S1737"/>
    </row>
    <row r="1738" spans="1:19" ht="15">
      <c r="A1738"/>
      <c r="B1738"/>
      <c r="C1738"/>
      <c r="D1738"/>
      <c r="E1738"/>
      <c r="F1738"/>
      <c r="G1738"/>
      <c r="H1738"/>
      <c r="I1738"/>
      <c r="J1738"/>
      <c r="K1738"/>
      <c r="L1738"/>
      <c r="M1738"/>
      <c r="N1738"/>
      <c r="O1738"/>
      <c r="P1738"/>
      <c r="Q1738"/>
      <c r="R1738"/>
      <c r="S1738"/>
    </row>
    <row r="1739" spans="1:19" ht="15">
      <c r="A1739"/>
      <c r="B1739"/>
      <c r="C1739"/>
      <c r="D1739"/>
      <c r="E1739"/>
      <c r="F1739"/>
      <c r="G1739"/>
      <c r="H1739"/>
      <c r="I1739"/>
      <c r="J1739"/>
      <c r="K1739"/>
      <c r="L1739"/>
      <c r="M1739"/>
      <c r="N1739"/>
      <c r="O1739"/>
      <c r="P1739"/>
      <c r="Q1739"/>
      <c r="R1739"/>
      <c r="S1739"/>
    </row>
    <row r="1740" spans="1:19" ht="15">
      <c r="A1740"/>
      <c r="B1740"/>
      <c r="C1740"/>
      <c r="D1740"/>
      <c r="E1740"/>
      <c r="F1740"/>
      <c r="G1740"/>
      <c r="H1740"/>
      <c r="I1740"/>
      <c r="J1740"/>
      <c r="K1740"/>
      <c r="L1740"/>
      <c r="M1740"/>
      <c r="N1740"/>
      <c r="O1740"/>
      <c r="P1740"/>
      <c r="Q1740"/>
      <c r="R1740"/>
      <c r="S1740"/>
    </row>
    <row r="1741" spans="1:19" ht="15">
      <c r="A1741"/>
      <c r="B1741"/>
      <c r="C1741"/>
      <c r="D1741"/>
      <c r="E1741"/>
      <c r="F1741"/>
      <c r="G1741"/>
      <c r="H1741"/>
      <c r="I1741"/>
      <c r="J1741"/>
      <c r="K1741"/>
      <c r="L1741"/>
      <c r="M1741"/>
      <c r="N1741"/>
      <c r="O1741"/>
      <c r="P1741"/>
      <c r="Q1741"/>
      <c r="R1741"/>
      <c r="S1741"/>
    </row>
    <row r="1742" spans="1:19" ht="15">
      <c r="A1742"/>
      <c r="B1742"/>
      <c r="C1742"/>
      <c r="D1742"/>
      <c r="E1742"/>
      <c r="F1742"/>
      <c r="G1742"/>
      <c r="H1742"/>
      <c r="I1742"/>
      <c r="J1742"/>
      <c r="K1742"/>
      <c r="L1742"/>
      <c r="M1742"/>
      <c r="N1742"/>
      <c r="O1742"/>
      <c r="P1742"/>
      <c r="Q1742"/>
      <c r="R1742"/>
      <c r="S1742"/>
    </row>
    <row r="1743" spans="1:19" ht="15">
      <c r="A1743"/>
      <c r="B1743"/>
      <c r="C1743"/>
      <c r="D1743"/>
      <c r="E1743"/>
      <c r="F1743"/>
      <c r="G1743"/>
      <c r="H1743"/>
      <c r="I1743"/>
      <c r="J1743"/>
      <c r="K1743"/>
      <c r="L1743"/>
      <c r="M1743"/>
      <c r="N1743"/>
      <c r="O1743"/>
      <c r="P1743"/>
      <c r="Q1743"/>
      <c r="R1743"/>
      <c r="S1743"/>
    </row>
    <row r="1744" spans="1:19" ht="15">
      <c r="A1744"/>
      <c r="B1744"/>
      <c r="C1744"/>
      <c r="D1744"/>
      <c r="E1744"/>
      <c r="F1744"/>
      <c r="G1744"/>
      <c r="H1744"/>
      <c r="I1744"/>
      <c r="J1744"/>
      <c r="K1744"/>
      <c r="L1744"/>
      <c r="M1744"/>
      <c r="N1744"/>
      <c r="O1744"/>
      <c r="P1744"/>
      <c r="Q1744"/>
      <c r="R1744"/>
      <c r="S1744"/>
    </row>
    <row r="1745" spans="1:19" ht="15">
      <c r="A1745"/>
      <c r="B1745"/>
      <c r="C1745"/>
      <c r="D1745"/>
      <c r="E1745"/>
      <c r="F1745"/>
      <c r="G1745"/>
      <c r="H1745"/>
      <c r="I1745"/>
      <c r="J1745"/>
      <c r="K1745"/>
      <c r="L1745"/>
      <c r="M1745"/>
      <c r="N1745"/>
      <c r="O1745"/>
      <c r="P1745"/>
      <c r="Q1745"/>
      <c r="R1745"/>
      <c r="S1745"/>
    </row>
    <row r="1746" spans="1:19" ht="15">
      <c r="A1746"/>
      <c r="B1746"/>
      <c r="C1746"/>
      <c r="D1746"/>
      <c r="E1746"/>
      <c r="F1746"/>
      <c r="G1746"/>
      <c r="H1746"/>
      <c r="I1746"/>
      <c r="J1746"/>
      <c r="K1746"/>
      <c r="L1746"/>
      <c r="M1746"/>
      <c r="N1746"/>
      <c r="O1746"/>
      <c r="P1746"/>
      <c r="Q1746"/>
      <c r="R1746"/>
      <c r="S1746"/>
    </row>
    <row r="1747" spans="1:19" ht="15">
      <c r="A1747"/>
      <c r="B1747"/>
      <c r="C1747"/>
      <c r="D1747"/>
      <c r="E1747"/>
      <c r="F1747"/>
      <c r="G1747"/>
      <c r="H1747"/>
      <c r="I1747"/>
      <c r="J1747"/>
      <c r="K1747"/>
      <c r="L1747"/>
      <c r="M1747"/>
      <c r="N1747"/>
      <c r="O1747"/>
      <c r="P1747"/>
      <c r="Q1747"/>
      <c r="R1747"/>
      <c r="S1747"/>
    </row>
    <row r="1748" spans="1:19" ht="15">
      <c r="A1748"/>
      <c r="B1748"/>
      <c r="C1748"/>
      <c r="D1748"/>
      <c r="E1748"/>
      <c r="F1748"/>
      <c r="G1748"/>
      <c r="H1748"/>
      <c r="I1748"/>
      <c r="J1748"/>
      <c r="K1748"/>
      <c r="L1748"/>
      <c r="M1748"/>
      <c r="N1748"/>
      <c r="O1748"/>
      <c r="P1748"/>
      <c r="Q1748"/>
      <c r="R1748"/>
      <c r="S1748"/>
    </row>
    <row r="1749" spans="1:19" ht="15">
      <c r="A1749"/>
      <c r="B1749"/>
      <c r="C1749"/>
      <c r="D1749"/>
      <c r="E1749"/>
      <c r="F1749"/>
      <c r="G1749"/>
      <c r="H1749"/>
      <c r="I1749"/>
      <c r="J1749"/>
      <c r="K1749"/>
      <c r="L1749"/>
      <c r="M1749"/>
      <c r="N1749"/>
      <c r="O1749"/>
      <c r="P1749"/>
      <c r="Q1749"/>
      <c r="R1749"/>
      <c r="S1749"/>
    </row>
    <row r="1750" spans="1:19" ht="15">
      <c r="A1750"/>
      <c r="B1750"/>
      <c r="C1750"/>
      <c r="D1750"/>
      <c r="E1750"/>
      <c r="F1750"/>
      <c r="G1750"/>
      <c r="H1750"/>
      <c r="I1750"/>
      <c r="J1750"/>
      <c r="K1750"/>
      <c r="L1750"/>
      <c r="M1750"/>
      <c r="N1750"/>
      <c r="O1750"/>
      <c r="P1750"/>
      <c r="Q1750"/>
      <c r="R1750"/>
      <c r="S1750"/>
    </row>
    <row r="1751" spans="1:19" ht="15">
      <c r="A1751"/>
      <c r="B1751"/>
      <c r="C1751"/>
      <c r="D1751"/>
      <c r="E1751"/>
      <c r="F1751"/>
      <c r="G1751"/>
      <c r="H1751"/>
      <c r="I1751"/>
      <c r="J1751"/>
      <c r="K1751"/>
      <c r="L1751"/>
      <c r="M1751"/>
      <c r="N1751"/>
      <c r="O1751"/>
      <c r="P1751"/>
      <c r="Q1751"/>
      <c r="R1751"/>
      <c r="S1751"/>
    </row>
    <row r="1752" spans="1:19" ht="15">
      <c r="A1752"/>
      <c r="B1752"/>
      <c r="C1752"/>
      <c r="D1752"/>
      <c r="E1752"/>
      <c r="F1752"/>
      <c r="G1752"/>
      <c r="H1752"/>
      <c r="I1752"/>
      <c r="J1752"/>
      <c r="K1752"/>
      <c r="L1752"/>
      <c r="M1752"/>
      <c r="N1752"/>
      <c r="O1752"/>
      <c r="P1752"/>
      <c r="Q1752"/>
      <c r="R1752"/>
      <c r="S1752"/>
    </row>
    <row r="1753" spans="1:19" ht="15">
      <c r="A1753"/>
      <c r="B1753"/>
      <c r="C1753"/>
      <c r="D1753"/>
      <c r="E1753"/>
      <c r="F1753"/>
      <c r="G1753"/>
      <c r="H1753"/>
      <c r="I1753"/>
      <c r="J1753"/>
      <c r="K1753"/>
      <c r="L1753"/>
      <c r="M1753"/>
      <c r="N1753"/>
      <c r="O1753"/>
      <c r="P1753"/>
      <c r="Q1753"/>
      <c r="R1753"/>
      <c r="S1753"/>
    </row>
    <row r="1754" spans="1:19" ht="15">
      <c r="A1754"/>
      <c r="B1754"/>
      <c r="C1754"/>
      <c r="D1754"/>
      <c r="E1754"/>
      <c r="F1754"/>
      <c r="G1754"/>
      <c r="H1754"/>
      <c r="I1754"/>
      <c r="J1754"/>
      <c r="K1754"/>
      <c r="L1754"/>
      <c r="M1754"/>
      <c r="N1754"/>
      <c r="O1754"/>
      <c r="P1754"/>
      <c r="Q1754"/>
      <c r="R1754"/>
      <c r="S1754"/>
    </row>
    <row r="1755" spans="1:19" ht="15">
      <c r="A1755"/>
      <c r="B1755"/>
      <c r="C1755"/>
      <c r="D1755"/>
      <c r="E1755"/>
      <c r="F1755"/>
      <c r="G1755"/>
      <c r="H1755"/>
      <c r="I1755"/>
      <c r="J1755"/>
      <c r="K1755"/>
      <c r="L1755"/>
      <c r="M1755"/>
      <c r="N1755"/>
      <c r="O1755"/>
      <c r="P1755"/>
      <c r="Q1755"/>
      <c r="R1755"/>
      <c r="S1755"/>
    </row>
    <row r="1756" spans="1:19" ht="15">
      <c r="A1756"/>
      <c r="B1756"/>
      <c r="C1756"/>
      <c r="D1756"/>
      <c r="E1756"/>
      <c r="F1756"/>
      <c r="G1756"/>
      <c r="H1756"/>
      <c r="I1756"/>
      <c r="J1756"/>
      <c r="K1756"/>
      <c r="L1756"/>
      <c r="M1756"/>
      <c r="N1756"/>
      <c r="O1756"/>
      <c r="P1756"/>
      <c r="Q1756"/>
      <c r="R1756"/>
      <c r="S1756"/>
    </row>
    <row r="1757" spans="1:19" ht="15">
      <c r="A1757"/>
      <c r="B1757"/>
      <c r="C1757"/>
      <c r="D1757"/>
      <c r="E1757"/>
      <c r="F1757"/>
      <c r="G1757"/>
      <c r="H1757"/>
      <c r="I1757"/>
      <c r="J1757"/>
      <c r="K1757"/>
      <c r="L1757"/>
      <c r="M1757"/>
      <c r="N1757"/>
      <c r="O1757"/>
      <c r="P1757"/>
      <c r="Q1757"/>
      <c r="R1757"/>
      <c r="S1757"/>
    </row>
    <row r="1758" spans="1:19" ht="15">
      <c r="A1758"/>
      <c r="B1758"/>
      <c r="C1758"/>
      <c r="D1758"/>
      <c r="E1758"/>
      <c r="F1758"/>
      <c r="G1758"/>
      <c r="H1758"/>
      <c r="I1758"/>
      <c r="J1758"/>
      <c r="K1758"/>
      <c r="L1758"/>
      <c r="M1758"/>
      <c r="N1758"/>
      <c r="O1758"/>
      <c r="P1758"/>
      <c r="Q1758"/>
      <c r="R1758"/>
      <c r="S1758"/>
    </row>
    <row r="1759" spans="1:19" ht="15">
      <c r="A1759"/>
      <c r="B1759"/>
      <c r="C1759"/>
      <c r="D1759"/>
      <c r="E1759"/>
      <c r="F1759"/>
      <c r="G1759"/>
      <c r="H1759"/>
      <c r="I1759"/>
      <c r="J1759"/>
      <c r="K1759"/>
      <c r="L1759"/>
      <c r="M1759"/>
      <c r="N1759"/>
      <c r="O1759"/>
      <c r="P1759"/>
      <c r="Q1759"/>
      <c r="R1759"/>
      <c r="S1759"/>
    </row>
    <row r="1760" spans="1:19" ht="15">
      <c r="A1760"/>
      <c r="B1760"/>
      <c r="C1760"/>
      <c r="D1760"/>
      <c r="E1760"/>
      <c r="F1760"/>
      <c r="G1760"/>
      <c r="H1760"/>
      <c r="I1760"/>
      <c r="J1760"/>
      <c r="K1760"/>
      <c r="L1760"/>
      <c r="M1760"/>
      <c r="N1760"/>
      <c r="O1760"/>
      <c r="P1760"/>
      <c r="Q1760"/>
      <c r="R1760"/>
      <c r="S1760"/>
    </row>
    <row r="1761" spans="1:19" ht="15">
      <c r="A1761"/>
      <c r="B1761"/>
      <c r="C1761"/>
      <c r="D1761"/>
      <c r="E1761"/>
      <c r="F1761"/>
      <c r="G1761"/>
      <c r="H1761"/>
      <c r="I1761"/>
      <c r="J1761"/>
      <c r="K1761"/>
      <c r="L1761"/>
      <c r="M1761"/>
      <c r="N1761"/>
      <c r="O1761"/>
      <c r="P1761"/>
      <c r="Q1761"/>
      <c r="R1761"/>
      <c r="S1761"/>
    </row>
    <row r="1762" spans="1:19" ht="15">
      <c r="A1762"/>
      <c r="B1762"/>
      <c r="C1762"/>
      <c r="D1762"/>
      <c r="E1762"/>
      <c r="F1762"/>
      <c r="G1762"/>
      <c r="H1762"/>
      <c r="I1762"/>
      <c r="J1762"/>
      <c r="K1762"/>
      <c r="L1762"/>
      <c r="M1762"/>
      <c r="N1762"/>
      <c r="O1762"/>
      <c r="P1762"/>
      <c r="Q1762"/>
      <c r="R1762"/>
      <c r="S1762"/>
    </row>
    <row r="1763" spans="1:19" ht="15">
      <c r="A1763"/>
      <c r="B1763"/>
      <c r="C1763"/>
      <c r="D1763"/>
      <c r="E1763"/>
      <c r="F1763"/>
      <c r="G1763"/>
      <c r="H1763"/>
      <c r="I1763"/>
      <c r="J1763"/>
      <c r="K1763"/>
      <c r="L1763"/>
      <c r="M1763"/>
      <c r="N1763"/>
      <c r="O1763"/>
      <c r="P1763"/>
      <c r="Q1763"/>
      <c r="R1763"/>
      <c r="S1763"/>
    </row>
    <row r="1764" spans="1:19" ht="15">
      <c r="A1764"/>
      <c r="B1764"/>
      <c r="C1764"/>
      <c r="D1764"/>
      <c r="E1764"/>
      <c r="F1764"/>
      <c r="G1764"/>
      <c r="H1764"/>
      <c r="I1764"/>
      <c r="J1764"/>
      <c r="K1764"/>
      <c r="L1764"/>
      <c r="M1764"/>
      <c r="N1764"/>
      <c r="O1764"/>
      <c r="P1764"/>
      <c r="Q1764"/>
      <c r="R1764"/>
      <c r="S1764"/>
    </row>
    <row r="1765" spans="1:19" ht="15">
      <c r="A1765"/>
      <c r="B1765"/>
      <c r="C1765"/>
      <c r="D1765"/>
      <c r="E1765"/>
      <c r="F1765"/>
      <c r="G1765"/>
      <c r="H1765"/>
      <c r="I1765"/>
      <c r="J1765"/>
      <c r="K1765"/>
      <c r="L1765"/>
      <c r="M1765"/>
      <c r="N1765"/>
      <c r="O1765"/>
      <c r="P1765"/>
      <c r="Q1765"/>
      <c r="R1765"/>
      <c r="S1765"/>
    </row>
    <row r="1766" spans="1:19" ht="15">
      <c r="A1766"/>
      <c r="B1766"/>
      <c r="C1766"/>
      <c r="D1766"/>
      <c r="E1766"/>
      <c r="F1766"/>
      <c r="G1766"/>
      <c r="H1766"/>
      <c r="I1766"/>
      <c r="J1766"/>
      <c r="K1766"/>
      <c r="L1766"/>
      <c r="M1766"/>
      <c r="N1766"/>
      <c r="O1766"/>
      <c r="P1766"/>
      <c r="Q1766"/>
      <c r="R1766"/>
      <c r="S1766"/>
    </row>
    <row r="1767" spans="1:19" ht="15">
      <c r="A1767"/>
      <c r="B1767"/>
      <c r="C1767"/>
      <c r="D1767"/>
      <c r="E1767"/>
      <c r="F1767"/>
      <c r="G1767"/>
      <c r="H1767"/>
      <c r="I1767"/>
      <c r="J1767"/>
      <c r="K1767"/>
      <c r="L1767"/>
      <c r="M1767"/>
      <c r="N1767"/>
      <c r="O1767"/>
      <c r="P1767"/>
      <c r="Q1767"/>
      <c r="R1767"/>
      <c r="S1767"/>
    </row>
    <row r="1768" spans="1:19" ht="15">
      <c r="A1768"/>
      <c r="B1768"/>
      <c r="C1768"/>
      <c r="D1768"/>
      <c r="E1768"/>
      <c r="F1768"/>
      <c r="G1768"/>
      <c r="H1768"/>
      <c r="I1768"/>
      <c r="J1768"/>
      <c r="K1768"/>
      <c r="L1768"/>
      <c r="M1768"/>
      <c r="N1768"/>
      <c r="O1768"/>
      <c r="P1768"/>
      <c r="Q1768"/>
      <c r="R1768"/>
      <c r="S1768"/>
    </row>
    <row r="1769" spans="1:19" ht="15">
      <c r="A1769"/>
      <c r="B1769"/>
      <c r="C1769"/>
      <c r="D1769"/>
      <c r="E1769"/>
      <c r="F1769"/>
      <c r="G1769"/>
      <c r="H1769"/>
      <c r="I1769"/>
      <c r="J1769"/>
      <c r="K1769"/>
      <c r="L1769"/>
      <c r="M1769"/>
      <c r="N1769"/>
      <c r="O1769"/>
      <c r="P1769"/>
      <c r="Q1769"/>
      <c r="R1769"/>
      <c r="S1769"/>
    </row>
    <row r="1770" spans="1:19" ht="15">
      <c r="A1770"/>
      <c r="B1770"/>
      <c r="C1770"/>
      <c r="D1770"/>
      <c r="E1770"/>
      <c r="F1770"/>
      <c r="G1770"/>
      <c r="H1770"/>
      <c r="I1770"/>
      <c r="J1770"/>
      <c r="K1770"/>
      <c r="L1770"/>
      <c r="M1770"/>
      <c r="N1770"/>
      <c r="O1770"/>
      <c r="P1770"/>
      <c r="Q1770"/>
      <c r="R1770"/>
      <c r="S1770"/>
    </row>
    <row r="1771" spans="1:19" ht="15">
      <c r="A1771"/>
      <c r="B1771"/>
      <c r="C1771"/>
      <c r="D1771"/>
      <c r="E1771"/>
      <c r="F1771"/>
      <c r="G1771"/>
      <c r="H1771"/>
      <c r="I1771"/>
      <c r="J1771"/>
      <c r="K1771"/>
      <c r="L1771"/>
      <c r="M1771"/>
      <c r="N1771"/>
      <c r="O1771"/>
      <c r="P1771"/>
      <c r="Q1771"/>
      <c r="R1771"/>
      <c r="S1771"/>
    </row>
    <row r="1772" spans="1:19" ht="15">
      <c r="A1772"/>
      <c r="B1772"/>
      <c r="C1772"/>
      <c r="D1772"/>
      <c r="E1772"/>
      <c r="F1772"/>
      <c r="G1772"/>
      <c r="H1772"/>
      <c r="I1772"/>
      <c r="J1772"/>
      <c r="K1772"/>
      <c r="L1772"/>
      <c r="M1772"/>
      <c r="N1772"/>
      <c r="O1772"/>
      <c r="P1772"/>
      <c r="Q1772"/>
      <c r="R1772"/>
      <c r="S1772"/>
    </row>
    <row r="1773" spans="1:19" ht="15">
      <c r="A1773"/>
      <c r="B1773"/>
      <c r="C1773"/>
      <c r="D1773"/>
      <c r="E1773"/>
      <c r="F1773"/>
      <c r="G1773"/>
      <c r="H1773"/>
      <c r="I1773"/>
      <c r="J1773"/>
      <c r="K1773"/>
      <c r="L1773"/>
      <c r="M1773"/>
      <c r="N1773"/>
      <c r="O1773"/>
      <c r="P1773"/>
      <c r="Q1773"/>
      <c r="R1773"/>
      <c r="S1773"/>
    </row>
    <row r="1774" spans="1:19" ht="15">
      <c r="A1774"/>
      <c r="B1774"/>
      <c r="C1774"/>
      <c r="D1774"/>
      <c r="E1774"/>
      <c r="F1774"/>
      <c r="G1774"/>
      <c r="H1774"/>
      <c r="I1774"/>
      <c r="J1774"/>
      <c r="K1774"/>
      <c r="L1774"/>
      <c r="M1774"/>
      <c r="N1774"/>
      <c r="O1774"/>
      <c r="P1774"/>
      <c r="Q1774"/>
      <c r="R1774"/>
      <c r="S1774"/>
    </row>
    <row r="1775" spans="1:19" ht="15">
      <c r="A1775"/>
      <c r="B1775"/>
      <c r="C1775"/>
      <c r="D1775"/>
      <c r="E1775"/>
      <c r="F1775"/>
      <c r="G1775"/>
      <c r="H1775"/>
      <c r="I1775"/>
      <c r="J1775"/>
      <c r="K1775"/>
      <c r="L1775"/>
      <c r="M1775"/>
      <c r="N1775"/>
      <c r="O1775"/>
      <c r="P1775"/>
      <c r="Q1775"/>
      <c r="R1775"/>
      <c r="S1775"/>
    </row>
    <row r="1776" spans="1:19" ht="15">
      <c r="A1776"/>
      <c r="B1776"/>
      <c r="C1776"/>
      <c r="D1776"/>
      <c r="E1776"/>
      <c r="F1776"/>
      <c r="G1776"/>
      <c r="H1776"/>
      <c r="I1776"/>
      <c r="J1776"/>
      <c r="K1776"/>
      <c r="L1776"/>
      <c r="M1776"/>
      <c r="N1776"/>
      <c r="O1776"/>
      <c r="P1776"/>
      <c r="Q1776"/>
      <c r="R1776"/>
      <c r="S1776"/>
    </row>
    <row r="1777" spans="1:19" ht="15">
      <c r="A1777"/>
      <c r="B1777"/>
      <c r="C1777"/>
      <c r="D1777"/>
      <c r="E1777"/>
      <c r="F1777"/>
      <c r="G1777"/>
      <c r="H1777"/>
      <c r="I1777"/>
      <c r="J1777"/>
      <c r="K1777"/>
      <c r="L1777"/>
      <c r="M1777"/>
      <c r="N1777"/>
      <c r="O1777"/>
      <c r="P1777"/>
      <c r="Q1777"/>
      <c r="R1777"/>
      <c r="S1777"/>
    </row>
    <row r="1778" spans="1:19" ht="15">
      <c r="A1778"/>
      <c r="B1778"/>
      <c r="C1778"/>
      <c r="D1778"/>
      <c r="E1778"/>
      <c r="F1778"/>
      <c r="G1778"/>
      <c r="H1778"/>
      <c r="I1778"/>
      <c r="J1778"/>
      <c r="K1778"/>
      <c r="L1778"/>
      <c r="M1778"/>
      <c r="N1778"/>
      <c r="O1778"/>
      <c r="P1778"/>
      <c r="Q1778"/>
      <c r="R1778"/>
      <c r="S1778"/>
    </row>
    <row r="1779" spans="1:19" ht="15">
      <c r="A1779"/>
      <c r="B1779"/>
      <c r="C1779"/>
      <c r="D1779"/>
      <c r="E1779"/>
      <c r="F1779"/>
      <c r="G1779"/>
      <c r="H1779"/>
      <c r="I1779"/>
      <c r="J1779"/>
      <c r="K1779"/>
      <c r="L1779"/>
      <c r="M1779"/>
      <c r="N1779"/>
      <c r="O1779"/>
      <c r="P1779"/>
      <c r="Q1779"/>
      <c r="R1779"/>
      <c r="S1779"/>
    </row>
    <row r="1780" spans="1:19" ht="15">
      <c r="A1780"/>
      <c r="B1780"/>
      <c r="C1780"/>
      <c r="D1780"/>
      <c r="E1780"/>
      <c r="F1780"/>
      <c r="G1780"/>
      <c r="H1780"/>
      <c r="I1780"/>
      <c r="J1780"/>
      <c r="K1780"/>
      <c r="L1780"/>
      <c r="M1780"/>
      <c r="N1780"/>
      <c r="O1780"/>
      <c r="P1780"/>
      <c r="Q1780"/>
      <c r="R1780"/>
      <c r="S1780"/>
    </row>
    <row r="1781" spans="1:19" ht="15">
      <c r="A1781"/>
      <c r="B1781"/>
      <c r="C1781"/>
      <c r="D1781"/>
      <c r="E1781"/>
      <c r="F1781"/>
      <c r="G1781"/>
      <c r="H1781"/>
      <c r="I1781"/>
      <c r="J1781"/>
      <c r="K1781"/>
      <c r="L1781"/>
      <c r="M1781"/>
      <c r="N1781"/>
      <c r="O1781"/>
      <c r="P1781"/>
      <c r="Q1781"/>
      <c r="R1781"/>
      <c r="S1781"/>
    </row>
    <row r="1782" spans="1:19" ht="15">
      <c r="A1782"/>
      <c r="B1782"/>
      <c r="C1782"/>
      <c r="D1782"/>
      <c r="E1782"/>
      <c r="F1782"/>
      <c r="G1782"/>
      <c r="H1782"/>
      <c r="I1782"/>
      <c r="J1782"/>
      <c r="K1782"/>
      <c r="L1782"/>
      <c r="M1782"/>
      <c r="N1782"/>
      <c r="O1782"/>
      <c r="P1782"/>
      <c r="Q1782"/>
      <c r="R1782"/>
      <c r="S1782"/>
    </row>
    <row r="1783" spans="1:19" ht="15">
      <c r="A1783"/>
      <c r="B1783"/>
      <c r="C1783"/>
      <c r="D1783"/>
      <c r="E1783"/>
      <c r="F1783"/>
      <c r="G1783"/>
      <c r="H1783"/>
      <c r="I1783"/>
      <c r="J1783"/>
      <c r="K1783"/>
      <c r="L1783"/>
      <c r="M1783"/>
      <c r="N1783"/>
      <c r="O1783"/>
      <c r="P1783"/>
      <c r="Q1783"/>
      <c r="R1783"/>
      <c r="S1783"/>
    </row>
    <row r="1784" spans="1:19" ht="15">
      <c r="A1784"/>
      <c r="B1784"/>
      <c r="C1784"/>
      <c r="D1784"/>
      <c r="E1784"/>
      <c r="F1784"/>
      <c r="G1784"/>
      <c r="H1784"/>
      <c r="I1784"/>
      <c r="J1784"/>
      <c r="K1784"/>
      <c r="L1784"/>
      <c r="M1784"/>
      <c r="N1784"/>
      <c r="O1784"/>
      <c r="P1784"/>
      <c r="Q1784"/>
      <c r="R1784"/>
      <c r="S1784"/>
    </row>
    <row r="1785" spans="1:19" ht="15">
      <c r="A1785"/>
      <c r="B1785"/>
      <c r="C1785"/>
      <c r="D1785"/>
      <c r="E1785"/>
      <c r="F1785"/>
      <c r="G1785"/>
      <c r="H1785"/>
      <c r="I1785"/>
      <c r="J1785"/>
      <c r="K1785"/>
      <c r="L1785"/>
      <c r="M1785"/>
      <c r="N1785"/>
      <c r="O1785"/>
      <c r="P1785"/>
      <c r="Q1785"/>
      <c r="R1785"/>
      <c r="S1785"/>
    </row>
    <row r="1786" spans="1:19" ht="15">
      <c r="A1786"/>
      <c r="B1786"/>
      <c r="C1786"/>
      <c r="D1786"/>
      <c r="E1786"/>
      <c r="F1786"/>
      <c r="G1786"/>
      <c r="H1786"/>
      <c r="I1786"/>
      <c r="J1786"/>
      <c r="K1786"/>
      <c r="L1786"/>
      <c r="M1786"/>
      <c r="N1786"/>
      <c r="O1786"/>
      <c r="P1786"/>
      <c r="Q1786"/>
      <c r="R1786"/>
      <c r="S1786"/>
    </row>
    <row r="1787" spans="1:19" ht="15">
      <c r="A1787"/>
      <c r="B1787"/>
      <c r="C1787"/>
      <c r="D1787"/>
      <c r="E1787"/>
      <c r="F1787"/>
      <c r="G1787"/>
      <c r="H1787"/>
      <c r="I1787"/>
      <c r="J1787"/>
      <c r="K1787"/>
      <c r="L1787"/>
      <c r="M1787"/>
      <c r="N1787"/>
      <c r="O1787"/>
      <c r="P1787"/>
      <c r="Q1787"/>
      <c r="R1787"/>
      <c r="S1787"/>
    </row>
    <row r="1788" spans="1:19" ht="15">
      <c r="A1788"/>
      <c r="B1788"/>
      <c r="C1788"/>
      <c r="D1788"/>
      <c r="E1788"/>
      <c r="F1788"/>
      <c r="G1788"/>
      <c r="H1788"/>
      <c r="I1788"/>
      <c r="J1788"/>
      <c r="K1788"/>
      <c r="L1788"/>
      <c r="M1788"/>
      <c r="N1788"/>
      <c r="O1788"/>
      <c r="P1788"/>
      <c r="Q1788"/>
      <c r="R1788"/>
      <c r="S1788"/>
    </row>
    <row r="1789" spans="1:19" ht="15">
      <c r="A1789"/>
      <c r="B1789"/>
      <c r="C1789"/>
      <c r="D1789"/>
      <c r="E1789"/>
      <c r="F1789"/>
      <c r="G1789"/>
      <c r="H1789"/>
      <c r="I1789"/>
      <c r="J1789"/>
      <c r="K1789"/>
      <c r="L1789"/>
      <c r="M1789"/>
      <c r="N1789"/>
      <c r="O1789"/>
      <c r="P1789"/>
      <c r="Q1789"/>
      <c r="R1789"/>
      <c r="S1789"/>
    </row>
    <row r="1790" spans="1:19" ht="15">
      <c r="A1790"/>
      <c r="B1790"/>
      <c r="C1790"/>
      <c r="D1790"/>
      <c r="E1790"/>
      <c r="F1790"/>
      <c r="G1790"/>
      <c r="H1790"/>
      <c r="I1790"/>
      <c r="J1790"/>
      <c r="K1790"/>
      <c r="L1790"/>
      <c r="M1790"/>
      <c r="N1790"/>
      <c r="O1790"/>
      <c r="P1790"/>
      <c r="Q1790"/>
      <c r="R1790"/>
      <c r="S1790"/>
    </row>
    <row r="1791" spans="1:19" ht="15">
      <c r="A1791"/>
      <c r="B1791"/>
      <c r="C1791"/>
      <c r="D1791"/>
      <c r="E1791"/>
      <c r="F1791"/>
      <c r="G1791"/>
      <c r="H1791"/>
      <c r="I1791"/>
      <c r="J1791"/>
      <c r="K1791"/>
      <c r="L1791"/>
      <c r="M1791"/>
      <c r="N1791"/>
      <c r="O1791"/>
      <c r="P1791"/>
      <c r="Q1791"/>
      <c r="R1791"/>
      <c r="S1791"/>
    </row>
    <row r="1792" spans="1:19" ht="15">
      <c r="A1792"/>
      <c r="B1792"/>
      <c r="C1792"/>
      <c r="D1792"/>
      <c r="E1792"/>
      <c r="F1792"/>
      <c r="G1792"/>
      <c r="H1792"/>
      <c r="I1792"/>
      <c r="J1792"/>
      <c r="K1792"/>
      <c r="L1792"/>
      <c r="M1792"/>
      <c r="N1792"/>
      <c r="O1792"/>
      <c r="P1792"/>
      <c r="Q1792"/>
      <c r="R1792"/>
      <c r="S1792"/>
    </row>
    <row r="1793" spans="1:19" ht="15">
      <c r="A1793"/>
      <c r="B1793"/>
      <c r="C1793"/>
      <c r="D1793"/>
      <c r="E1793"/>
      <c r="F1793"/>
      <c r="G1793"/>
      <c r="H1793"/>
      <c r="I1793"/>
      <c r="J1793"/>
      <c r="K1793"/>
      <c r="L1793"/>
      <c r="M1793"/>
      <c r="N1793"/>
      <c r="O1793"/>
      <c r="P1793"/>
      <c r="Q1793"/>
      <c r="R1793"/>
      <c r="S1793"/>
    </row>
    <row r="1794" spans="1:19" ht="15">
      <c r="A1794"/>
      <c r="B1794"/>
      <c r="C1794"/>
      <c r="D1794"/>
      <c r="E1794"/>
      <c r="F1794"/>
      <c r="G1794"/>
      <c r="H1794"/>
      <c r="I1794"/>
      <c r="J1794"/>
      <c r="K1794"/>
      <c r="L1794"/>
      <c r="M1794"/>
      <c r="N1794"/>
      <c r="O1794"/>
      <c r="P1794"/>
      <c r="Q1794"/>
      <c r="R1794"/>
      <c r="S1794"/>
    </row>
    <row r="1795" spans="1:19" ht="15">
      <c r="A1795"/>
      <c r="B1795"/>
      <c r="C1795"/>
      <c r="D1795"/>
      <c r="E1795"/>
      <c r="F1795"/>
      <c r="G1795"/>
      <c r="H1795"/>
      <c r="I1795"/>
      <c r="J1795"/>
      <c r="K1795"/>
      <c r="L1795"/>
      <c r="M1795"/>
      <c r="N1795"/>
      <c r="O1795"/>
      <c r="P1795"/>
      <c r="Q1795"/>
      <c r="R1795"/>
      <c r="S1795"/>
    </row>
    <row r="1796" spans="1:19" ht="15">
      <c r="A1796"/>
      <c r="B1796"/>
      <c r="C1796"/>
      <c r="D1796"/>
      <c r="E1796"/>
      <c r="F1796"/>
      <c r="G1796"/>
      <c r="H1796"/>
      <c r="I1796"/>
      <c r="J1796"/>
      <c r="K1796"/>
      <c r="L1796"/>
      <c r="M1796"/>
      <c r="N1796"/>
      <c r="O1796"/>
      <c r="P1796"/>
      <c r="Q1796"/>
      <c r="R1796"/>
      <c r="S1796"/>
    </row>
    <row r="1797" spans="1:19" ht="15">
      <c r="A1797"/>
      <c r="B1797"/>
      <c r="C1797"/>
      <c r="D1797"/>
      <c r="E1797"/>
      <c r="F1797"/>
      <c r="G1797"/>
      <c r="H1797"/>
      <c r="I1797"/>
      <c r="J1797"/>
      <c r="K1797"/>
      <c r="L1797"/>
      <c r="M1797"/>
      <c r="N1797"/>
      <c r="O1797"/>
      <c r="P1797"/>
      <c r="Q1797"/>
      <c r="R1797"/>
      <c r="S1797"/>
    </row>
    <row r="1798" spans="1:19" ht="15">
      <c r="A1798"/>
      <c r="B1798"/>
      <c r="C1798"/>
      <c r="D1798"/>
      <c r="E1798"/>
      <c r="F1798"/>
      <c r="G1798"/>
      <c r="H1798"/>
      <c r="I1798"/>
      <c r="J1798"/>
      <c r="K1798"/>
      <c r="L1798"/>
      <c r="M1798"/>
      <c r="N1798"/>
      <c r="O1798"/>
      <c r="P1798"/>
      <c r="Q1798"/>
      <c r="R1798"/>
      <c r="S1798"/>
    </row>
    <row r="1799" spans="1:19" ht="15">
      <c r="A1799"/>
      <c r="B1799"/>
      <c r="C1799"/>
      <c r="D1799"/>
      <c r="E1799"/>
      <c r="F1799"/>
      <c r="G1799"/>
      <c r="H1799"/>
      <c r="I1799"/>
      <c r="J1799"/>
      <c r="K1799"/>
      <c r="L1799"/>
      <c r="M1799"/>
      <c r="N1799"/>
      <c r="O1799"/>
      <c r="P1799"/>
      <c r="Q1799"/>
      <c r="R1799"/>
      <c r="S1799"/>
    </row>
    <row r="1800" spans="1:19" ht="15">
      <c r="A1800"/>
      <c r="B1800"/>
      <c r="C1800"/>
      <c r="D1800"/>
      <c r="E1800"/>
      <c r="F1800"/>
      <c r="G1800"/>
      <c r="H1800"/>
      <c r="I1800"/>
      <c r="J1800"/>
      <c r="K1800"/>
      <c r="L1800"/>
      <c r="M1800"/>
      <c r="N1800"/>
      <c r="O1800"/>
      <c r="P1800"/>
      <c r="Q1800"/>
      <c r="R1800"/>
      <c r="S1800"/>
    </row>
    <row r="1801" spans="1:19" ht="15">
      <c r="A1801"/>
      <c r="B1801"/>
      <c r="C1801"/>
      <c r="D1801"/>
      <c r="E1801"/>
      <c r="F1801"/>
      <c r="G1801"/>
      <c r="H1801"/>
      <c r="I1801"/>
      <c r="J1801"/>
      <c r="K1801"/>
      <c r="L1801"/>
      <c r="M1801"/>
      <c r="N1801"/>
      <c r="O1801"/>
      <c r="P1801"/>
      <c r="Q1801"/>
      <c r="R1801"/>
      <c r="S1801"/>
    </row>
    <row r="1802" spans="1:19" ht="15">
      <c r="A1802"/>
      <c r="B1802"/>
      <c r="C1802"/>
      <c r="D1802"/>
      <c r="E1802"/>
      <c r="F1802"/>
      <c r="G1802"/>
      <c r="H1802"/>
      <c r="I1802"/>
      <c r="J1802"/>
      <c r="K1802"/>
      <c r="L1802"/>
      <c r="M1802"/>
      <c r="N1802"/>
      <c r="O1802"/>
      <c r="P1802"/>
      <c r="Q1802"/>
      <c r="R1802"/>
      <c r="S1802"/>
    </row>
    <row r="1803" spans="1:19" ht="15">
      <c r="A1803"/>
      <c r="B1803"/>
      <c r="C1803"/>
      <c r="D1803"/>
      <c r="E1803"/>
      <c r="F1803"/>
      <c r="G1803"/>
      <c r="H1803"/>
      <c r="I1803"/>
      <c r="J1803"/>
      <c r="K1803"/>
      <c r="L1803"/>
      <c r="M1803"/>
      <c r="N1803"/>
      <c r="O1803"/>
      <c r="P1803"/>
      <c r="Q1803"/>
      <c r="R1803"/>
      <c r="S1803"/>
    </row>
    <row r="1804" spans="1:19" ht="15">
      <c r="A1804"/>
      <c r="B1804"/>
      <c r="C1804"/>
      <c r="D1804"/>
      <c r="E1804"/>
      <c r="F1804"/>
      <c r="G1804"/>
      <c r="H1804"/>
      <c r="I1804"/>
      <c r="J1804"/>
      <c r="K1804"/>
      <c r="L1804"/>
      <c r="M1804"/>
      <c r="N1804"/>
      <c r="O1804"/>
      <c r="P1804"/>
      <c r="Q1804"/>
      <c r="R1804"/>
      <c r="S1804"/>
    </row>
    <row r="1805" spans="1:19" ht="15">
      <c r="A1805"/>
      <c r="B1805"/>
      <c r="C1805"/>
      <c r="D1805"/>
      <c r="E1805"/>
      <c r="F1805"/>
      <c r="G1805"/>
      <c r="H1805"/>
      <c r="I1805"/>
      <c r="J1805"/>
      <c r="K1805"/>
      <c r="L1805"/>
      <c r="M1805"/>
      <c r="N1805"/>
      <c r="O1805"/>
      <c r="P1805"/>
      <c r="Q1805"/>
      <c r="R1805"/>
      <c r="S1805"/>
    </row>
    <row r="1806" spans="1:19" ht="15">
      <c r="A1806"/>
      <c r="B1806"/>
      <c r="C1806"/>
      <c r="D1806"/>
      <c r="E1806"/>
      <c r="F1806"/>
      <c r="G1806"/>
      <c r="H1806"/>
      <c r="I1806"/>
      <c r="J1806"/>
      <c r="K1806"/>
      <c r="L1806"/>
      <c r="M1806"/>
      <c r="N1806"/>
      <c r="O1806"/>
      <c r="P1806"/>
      <c r="Q1806"/>
      <c r="R1806"/>
      <c r="S1806"/>
    </row>
    <row r="1807" spans="1:19" ht="15">
      <c r="A1807"/>
      <c r="B1807"/>
      <c r="C1807"/>
      <c r="D1807"/>
      <c r="E1807"/>
      <c r="F1807"/>
      <c r="G1807"/>
      <c r="H1807"/>
      <c r="I1807"/>
      <c r="J1807"/>
      <c r="K1807"/>
      <c r="L1807"/>
      <c r="M1807"/>
      <c r="N1807"/>
      <c r="O1807"/>
      <c r="P1807"/>
      <c r="Q1807"/>
      <c r="R1807"/>
      <c r="S1807"/>
    </row>
    <row r="1808" spans="1:19" ht="15">
      <c r="A1808"/>
      <c r="B1808"/>
      <c r="C1808"/>
      <c r="D1808"/>
      <c r="E1808"/>
      <c r="F1808"/>
      <c r="G1808"/>
      <c r="H1808"/>
      <c r="I1808"/>
      <c r="J1808"/>
      <c r="K1808"/>
      <c r="L1808"/>
      <c r="M1808"/>
      <c r="N1808"/>
      <c r="O1808"/>
      <c r="P1808"/>
      <c r="Q1808"/>
      <c r="R1808"/>
      <c r="S1808"/>
    </row>
    <row r="1809" spans="1:19" ht="15">
      <c r="A1809"/>
      <c r="B1809"/>
      <c r="C1809"/>
      <c r="D1809"/>
      <c r="E1809"/>
      <c r="F1809"/>
      <c r="G1809"/>
      <c r="H1809"/>
      <c r="I1809"/>
      <c r="J1809"/>
      <c r="K1809"/>
      <c r="L1809"/>
      <c r="M1809"/>
      <c r="N1809"/>
      <c r="O1809"/>
      <c r="P1809"/>
      <c r="Q1809"/>
      <c r="R1809"/>
      <c r="S1809"/>
    </row>
    <row r="1810" spans="1:19" ht="15">
      <c r="A1810"/>
      <c r="B1810"/>
      <c r="C1810"/>
      <c r="D1810"/>
      <c r="E1810"/>
      <c r="F1810"/>
      <c r="G1810"/>
      <c r="H1810"/>
      <c r="I1810"/>
      <c r="J1810"/>
      <c r="K1810"/>
      <c r="L1810"/>
      <c r="M1810"/>
      <c r="N1810"/>
      <c r="O1810"/>
      <c r="P1810"/>
      <c r="Q1810"/>
      <c r="R1810"/>
      <c r="S1810"/>
    </row>
    <row r="1811" spans="1:19" ht="15">
      <c r="A1811"/>
      <c r="B1811"/>
      <c r="C1811"/>
      <c r="D1811"/>
      <c r="E1811"/>
      <c r="F1811"/>
      <c r="G1811"/>
      <c r="H1811"/>
      <c r="I1811"/>
      <c r="J1811"/>
      <c r="K1811"/>
      <c r="L1811"/>
      <c r="M1811"/>
      <c r="N1811"/>
      <c r="O1811"/>
      <c r="P1811"/>
      <c r="Q1811"/>
      <c r="R1811"/>
      <c r="S1811"/>
    </row>
    <row r="1812" spans="1:19" ht="15">
      <c r="A1812"/>
      <c r="B1812"/>
      <c r="C1812"/>
      <c r="D1812"/>
      <c r="E1812"/>
      <c r="F1812"/>
      <c r="G1812"/>
      <c r="H1812"/>
      <c r="I1812"/>
      <c r="J1812"/>
      <c r="K1812"/>
      <c r="L1812"/>
      <c r="M1812"/>
      <c r="N1812"/>
      <c r="O1812"/>
      <c r="P1812"/>
      <c r="Q1812"/>
      <c r="R1812"/>
      <c r="S1812"/>
    </row>
    <row r="1813" spans="1:19" ht="15">
      <c r="A1813"/>
      <c r="B1813"/>
      <c r="C1813"/>
      <c r="D1813"/>
      <c r="E1813"/>
      <c r="F1813"/>
      <c r="G1813"/>
      <c r="H1813"/>
      <c r="I1813"/>
      <c r="J1813"/>
      <c r="K1813"/>
      <c r="L1813"/>
      <c r="M1813"/>
      <c r="N1813"/>
      <c r="O1813"/>
      <c r="P1813"/>
      <c r="Q1813"/>
      <c r="R1813"/>
      <c r="S1813"/>
    </row>
    <row r="1814" spans="1:19" ht="15">
      <c r="A1814"/>
      <c r="B1814"/>
      <c r="C1814"/>
      <c r="D1814"/>
      <c r="E1814"/>
      <c r="F1814"/>
      <c r="G1814"/>
      <c r="H1814"/>
      <c r="I1814"/>
      <c r="J1814"/>
      <c r="K1814"/>
      <c r="L1814"/>
      <c r="M1814"/>
      <c r="N1814"/>
      <c r="O1814"/>
      <c r="P1814"/>
      <c r="Q1814"/>
      <c r="R1814"/>
      <c r="S1814"/>
    </row>
    <row r="1815" spans="1:19" ht="15">
      <c r="A1815"/>
      <c r="B1815"/>
      <c r="C1815"/>
      <c r="D1815"/>
      <c r="E1815"/>
      <c r="F1815"/>
      <c r="G1815"/>
      <c r="H1815"/>
      <c r="I1815"/>
      <c r="J1815"/>
      <c r="K1815"/>
      <c r="L1815"/>
      <c r="M1815"/>
      <c r="N1815"/>
      <c r="O1815"/>
      <c r="P1815"/>
      <c r="Q1815"/>
      <c r="R1815"/>
      <c r="S1815"/>
    </row>
    <row r="1816" spans="1:19" ht="15">
      <c r="A1816"/>
      <c r="B1816"/>
      <c r="C1816"/>
      <c r="D1816"/>
      <c r="E1816"/>
      <c r="F1816"/>
      <c r="G1816"/>
      <c r="H1816"/>
      <c r="I1816"/>
      <c r="J1816"/>
      <c r="K1816"/>
      <c r="L1816"/>
      <c r="M1816"/>
      <c r="N1816"/>
      <c r="O1816"/>
      <c r="P1816"/>
      <c r="Q1816"/>
      <c r="R1816"/>
      <c r="S1816"/>
    </row>
    <row r="1817" spans="1:19" ht="15">
      <c r="A1817"/>
      <c r="B1817"/>
      <c r="C1817"/>
      <c r="D1817"/>
      <c r="E1817"/>
      <c r="F1817"/>
      <c r="G1817"/>
      <c r="H1817"/>
      <c r="I1817"/>
      <c r="J1817"/>
      <c r="K1817"/>
      <c r="L1817"/>
      <c r="M1817"/>
      <c r="N1817"/>
      <c r="O1817"/>
      <c r="P1817"/>
      <c r="Q1817"/>
      <c r="R1817"/>
      <c r="S1817"/>
    </row>
    <row r="1818" spans="1:19" ht="15">
      <c r="A1818"/>
      <c r="B1818"/>
      <c r="C1818"/>
      <c r="D1818"/>
      <c r="E1818"/>
      <c r="F1818"/>
      <c r="G1818"/>
      <c r="H1818"/>
      <c r="I1818"/>
      <c r="J1818"/>
      <c r="K1818"/>
      <c r="L1818"/>
      <c r="M1818"/>
      <c r="N1818"/>
      <c r="O1818"/>
      <c r="P1818"/>
      <c r="Q1818"/>
      <c r="R1818"/>
      <c r="S1818"/>
    </row>
    <row r="1819" spans="1:19" ht="15">
      <c r="A1819"/>
      <c r="B1819"/>
      <c r="C1819"/>
      <c r="D1819"/>
      <c r="E1819"/>
      <c r="F1819"/>
      <c r="G1819"/>
      <c r="H1819"/>
      <c r="I1819"/>
      <c r="J1819"/>
      <c r="K1819"/>
      <c r="L1819"/>
      <c r="M1819"/>
      <c r="N1819"/>
      <c r="O1819"/>
      <c r="P1819"/>
      <c r="Q1819"/>
      <c r="R1819"/>
      <c r="S1819"/>
    </row>
    <row r="1820" spans="1:19" ht="15">
      <c r="A1820"/>
      <c r="B1820"/>
      <c r="C1820"/>
      <c r="D1820"/>
      <c r="E1820"/>
      <c r="F1820"/>
      <c r="G1820"/>
      <c r="H1820"/>
      <c r="I1820"/>
      <c r="J1820"/>
      <c r="K1820"/>
      <c r="L1820"/>
      <c r="M1820"/>
      <c r="N1820"/>
      <c r="O1820"/>
      <c r="P1820"/>
      <c r="Q1820"/>
      <c r="R1820"/>
      <c r="S1820"/>
    </row>
    <row r="1821" spans="1:19" ht="15">
      <c r="A1821"/>
      <c r="B1821"/>
      <c r="C1821"/>
      <c r="D1821"/>
      <c r="E1821"/>
      <c r="F1821"/>
      <c r="G1821"/>
      <c r="H1821"/>
      <c r="I1821"/>
      <c r="J1821"/>
      <c r="K1821"/>
      <c r="L1821"/>
      <c r="M1821"/>
      <c r="N1821"/>
      <c r="O1821"/>
      <c r="P1821"/>
      <c r="Q1821"/>
      <c r="R1821"/>
      <c r="S1821"/>
    </row>
    <row r="1822" spans="1:19" ht="15">
      <c r="A1822"/>
      <c r="B1822"/>
      <c r="C1822"/>
      <c r="D1822"/>
      <c r="E1822"/>
      <c r="F1822"/>
      <c r="G1822"/>
      <c r="H1822"/>
      <c r="I1822"/>
      <c r="J1822"/>
      <c r="K1822"/>
      <c r="L1822"/>
      <c r="M1822"/>
      <c r="N1822"/>
      <c r="O1822"/>
      <c r="P1822"/>
      <c r="Q1822"/>
      <c r="R1822"/>
      <c r="S1822"/>
    </row>
    <row r="1823" spans="1:19" ht="15">
      <c r="A1823"/>
      <c r="B1823"/>
      <c r="C1823"/>
      <c r="D1823"/>
      <c r="E1823"/>
      <c r="F1823"/>
      <c r="G1823"/>
      <c r="H1823"/>
      <c r="I1823"/>
      <c r="J1823"/>
      <c r="K1823"/>
      <c r="L1823"/>
      <c r="M1823"/>
      <c r="N1823"/>
      <c r="O1823"/>
      <c r="P1823"/>
      <c r="Q1823"/>
      <c r="R1823"/>
      <c r="S1823"/>
    </row>
    <row r="1824" spans="1:19" ht="15">
      <c r="A1824"/>
      <c r="B1824"/>
      <c r="C1824"/>
      <c r="D1824"/>
      <c r="E1824"/>
      <c r="F1824"/>
      <c r="G1824"/>
      <c r="H1824"/>
      <c r="I1824"/>
      <c r="J1824"/>
      <c r="K1824"/>
      <c r="L1824"/>
      <c r="M1824"/>
      <c r="N1824"/>
      <c r="O1824"/>
      <c r="P1824"/>
      <c r="Q1824"/>
      <c r="R1824"/>
      <c r="S1824"/>
    </row>
    <row r="1825" spans="1:19" ht="15">
      <c r="A1825"/>
      <c r="B1825"/>
      <c r="C1825"/>
      <c r="D1825"/>
      <c r="E1825"/>
      <c r="F1825"/>
      <c r="G1825"/>
      <c r="H1825"/>
      <c r="I1825"/>
      <c r="J1825"/>
      <c r="K1825"/>
      <c r="L1825"/>
      <c r="M1825"/>
      <c r="N1825"/>
      <c r="O1825"/>
      <c r="P1825"/>
      <c r="Q1825"/>
      <c r="R1825"/>
      <c r="S1825"/>
    </row>
    <row r="1826" spans="1:19" ht="15">
      <c r="A1826"/>
      <c r="B1826"/>
      <c r="C1826"/>
      <c r="D1826"/>
      <c r="E1826"/>
      <c r="F1826"/>
      <c r="G1826"/>
      <c r="H1826"/>
      <c r="I1826"/>
      <c r="J1826"/>
      <c r="K1826"/>
      <c r="L1826"/>
      <c r="M1826"/>
      <c r="N1826"/>
      <c r="O1826"/>
      <c r="P1826"/>
      <c r="Q1826"/>
      <c r="R1826"/>
      <c r="S1826"/>
    </row>
    <row r="1827" spans="1:19" ht="15">
      <c r="A1827"/>
      <c r="B1827"/>
      <c r="C1827"/>
      <c r="D1827"/>
      <c r="E1827"/>
      <c r="F1827"/>
      <c r="G1827"/>
      <c r="H1827"/>
      <c r="I1827"/>
      <c r="J1827"/>
      <c r="K1827"/>
      <c r="L1827"/>
      <c r="M1827"/>
      <c r="N1827"/>
      <c r="O1827"/>
      <c r="P1827"/>
      <c r="Q1827"/>
      <c r="R1827"/>
      <c r="S1827"/>
    </row>
    <row r="1828" spans="1:19" ht="15">
      <c r="A1828"/>
      <c r="B1828"/>
      <c r="C1828"/>
      <c r="D1828"/>
      <c r="E1828"/>
      <c r="F1828"/>
      <c r="G1828"/>
      <c r="H1828"/>
      <c r="I1828"/>
      <c r="J1828"/>
      <c r="K1828"/>
      <c r="L1828"/>
      <c r="M1828"/>
      <c r="N1828"/>
      <c r="O1828"/>
      <c r="P1828"/>
      <c r="Q1828"/>
      <c r="R1828"/>
      <c r="S1828"/>
    </row>
    <row r="1829" spans="1:19" ht="15">
      <c r="A1829"/>
      <c r="B1829"/>
      <c r="C1829"/>
      <c r="D1829"/>
      <c r="E1829"/>
      <c r="F1829"/>
      <c r="G1829"/>
      <c r="H1829"/>
      <c r="I1829"/>
      <c r="J1829"/>
      <c r="K1829"/>
      <c r="L1829"/>
      <c r="M1829"/>
      <c r="N1829"/>
      <c r="O1829"/>
      <c r="P1829"/>
      <c r="Q1829"/>
      <c r="R1829"/>
      <c r="S1829"/>
    </row>
    <row r="1830" spans="1:19" ht="15">
      <c r="A1830"/>
      <c r="B1830"/>
      <c r="C1830"/>
      <c r="D1830"/>
      <c r="E1830"/>
      <c r="F1830"/>
      <c r="G1830"/>
      <c r="H1830"/>
      <c r="I1830"/>
      <c r="J1830"/>
      <c r="K1830"/>
      <c r="L1830"/>
      <c r="M1830"/>
      <c r="N1830"/>
      <c r="O1830"/>
      <c r="P1830"/>
      <c r="Q1830"/>
      <c r="R1830"/>
      <c r="S1830"/>
    </row>
    <row r="1831" spans="1:19" ht="15">
      <c r="A1831"/>
      <c r="B1831"/>
      <c r="C1831"/>
      <c r="D1831"/>
      <c r="E1831"/>
      <c r="F1831"/>
      <c r="G1831"/>
      <c r="H1831"/>
      <c r="I1831"/>
      <c r="J1831"/>
      <c r="K1831"/>
      <c r="L1831"/>
      <c r="M1831"/>
      <c r="N1831"/>
      <c r="O1831"/>
      <c r="P1831"/>
      <c r="Q1831"/>
      <c r="R1831"/>
      <c r="S1831"/>
    </row>
    <row r="1832" spans="1:19" ht="15">
      <c r="A1832"/>
      <c r="B1832"/>
      <c r="C1832"/>
      <c r="D1832"/>
      <c r="E1832"/>
      <c r="F1832"/>
      <c r="G1832"/>
      <c r="H1832"/>
      <c r="I1832"/>
      <c r="J1832"/>
      <c r="K1832"/>
      <c r="L1832"/>
      <c r="M1832"/>
      <c r="N1832"/>
      <c r="O1832"/>
      <c r="P1832"/>
      <c r="Q1832"/>
      <c r="R1832"/>
      <c r="S1832"/>
    </row>
    <row r="1833" spans="1:19" ht="15">
      <c r="A1833"/>
      <c r="B1833"/>
      <c r="C1833"/>
      <c r="D1833"/>
      <c r="E1833"/>
      <c r="F1833"/>
      <c r="G1833"/>
      <c r="H1833"/>
      <c r="I1833"/>
      <c r="J1833"/>
      <c r="K1833"/>
      <c r="L1833"/>
      <c r="M1833"/>
      <c r="N1833"/>
      <c r="O1833"/>
      <c r="P1833"/>
      <c r="Q1833"/>
      <c r="R1833"/>
      <c r="S1833"/>
    </row>
    <row r="1834" spans="1:19" ht="15">
      <c r="A1834"/>
      <c r="B1834"/>
      <c r="C1834"/>
      <c r="D1834"/>
      <c r="E1834"/>
      <c r="F1834"/>
      <c r="G1834"/>
      <c r="H1834"/>
      <c r="I1834"/>
      <c r="J1834"/>
      <c r="K1834"/>
      <c r="L1834"/>
      <c r="M1834"/>
      <c r="N1834"/>
      <c r="O1834"/>
      <c r="P1834"/>
      <c r="Q1834"/>
      <c r="R1834"/>
      <c r="S1834"/>
    </row>
    <row r="1835" spans="1:19" ht="15">
      <c r="A1835"/>
      <c r="B1835"/>
      <c r="C1835"/>
      <c r="D1835"/>
      <c r="E1835"/>
      <c r="F1835"/>
      <c r="G1835"/>
      <c r="H1835"/>
      <c r="I1835"/>
      <c r="J1835"/>
      <c r="K1835"/>
      <c r="L1835"/>
      <c r="M1835"/>
      <c r="N1835"/>
      <c r="O1835"/>
      <c r="P1835"/>
      <c r="Q1835"/>
      <c r="R1835"/>
      <c r="S1835"/>
    </row>
    <row r="1836" spans="1:19" ht="15">
      <c r="A1836"/>
      <c r="B1836"/>
      <c r="C1836"/>
      <c r="D1836"/>
      <c r="E1836"/>
      <c r="F1836"/>
      <c r="G1836"/>
      <c r="H1836"/>
      <c r="I1836"/>
      <c r="J1836"/>
      <c r="K1836"/>
      <c r="L1836"/>
      <c r="M1836"/>
      <c r="N1836"/>
      <c r="O1836"/>
      <c r="P1836"/>
      <c r="Q1836"/>
      <c r="R1836"/>
      <c r="S1836"/>
    </row>
    <row r="1837" spans="1:19" ht="15">
      <c r="A1837"/>
      <c r="B1837"/>
      <c r="C1837"/>
      <c r="D1837"/>
      <c r="E1837"/>
      <c r="F1837"/>
      <c r="G1837"/>
      <c r="H1837"/>
      <c r="I1837"/>
      <c r="J1837"/>
      <c r="K1837"/>
      <c r="L1837"/>
      <c r="M1837"/>
      <c r="N1837"/>
      <c r="O1837"/>
      <c r="P1837"/>
      <c r="Q1837"/>
      <c r="R1837"/>
      <c r="S1837"/>
    </row>
    <row r="1838" spans="1:19" ht="15">
      <c r="A1838"/>
      <c r="B1838"/>
      <c r="C1838"/>
      <c r="D1838"/>
      <c r="E1838"/>
      <c r="F1838"/>
      <c r="G1838"/>
      <c r="H1838"/>
      <c r="I1838"/>
      <c r="J1838"/>
      <c r="K1838"/>
      <c r="L1838"/>
      <c r="M1838"/>
      <c r="N1838"/>
      <c r="O1838"/>
      <c r="P1838"/>
      <c r="Q1838"/>
      <c r="R1838"/>
      <c r="S1838"/>
    </row>
    <row r="1839" spans="1:19" ht="15">
      <c r="A1839"/>
      <c r="B1839"/>
      <c r="C1839"/>
      <c r="D1839"/>
      <c r="E1839"/>
      <c r="F1839"/>
      <c r="G1839"/>
      <c r="H1839"/>
      <c r="I1839"/>
      <c r="J1839"/>
      <c r="K1839"/>
      <c r="L1839"/>
      <c r="M1839"/>
      <c r="N1839"/>
      <c r="O1839"/>
      <c r="P1839"/>
      <c r="Q1839"/>
      <c r="R1839"/>
      <c r="S1839"/>
    </row>
    <row r="1840" spans="1:19" ht="15">
      <c r="A1840"/>
      <c r="B1840"/>
      <c r="C1840"/>
      <c r="D1840"/>
      <c r="E1840"/>
      <c r="F1840"/>
      <c r="G1840"/>
      <c r="H1840"/>
      <c r="I1840"/>
      <c r="J1840"/>
      <c r="K1840"/>
      <c r="L1840"/>
      <c r="M1840"/>
      <c r="N1840"/>
      <c r="O1840"/>
      <c r="P1840"/>
      <c r="Q1840"/>
      <c r="R1840"/>
      <c r="S1840"/>
    </row>
    <row r="1841" spans="1:19" ht="15">
      <c r="A1841"/>
      <c r="B1841"/>
      <c r="C1841"/>
      <c r="D1841"/>
      <c r="E1841"/>
      <c r="F1841"/>
      <c r="G1841"/>
      <c r="H1841"/>
      <c r="I1841"/>
      <c r="J1841"/>
      <c r="K1841"/>
      <c r="L1841"/>
      <c r="M1841"/>
      <c r="N1841"/>
      <c r="O1841"/>
      <c r="P1841"/>
      <c r="Q1841"/>
      <c r="R1841"/>
      <c r="S1841"/>
    </row>
    <row r="1842" spans="1:19" ht="15">
      <c r="A1842"/>
      <c r="B1842"/>
      <c r="C1842"/>
      <c r="D1842"/>
      <c r="E1842"/>
      <c r="F1842"/>
      <c r="G1842"/>
      <c r="H1842"/>
      <c r="I1842"/>
      <c r="J1842"/>
      <c r="K1842"/>
      <c r="L1842"/>
      <c r="M1842"/>
      <c r="N1842"/>
      <c r="O1842"/>
      <c r="P1842"/>
      <c r="Q1842"/>
      <c r="R1842"/>
      <c r="S1842"/>
    </row>
    <row r="1843" spans="1:19" ht="15">
      <c r="A1843"/>
      <c r="B1843"/>
      <c r="C1843"/>
      <c r="D1843"/>
      <c r="E1843"/>
      <c r="F1843"/>
      <c r="G1843"/>
      <c r="H1843"/>
      <c r="I1843"/>
      <c r="J1843"/>
      <c r="K1843"/>
      <c r="L1843"/>
      <c r="M1843"/>
      <c r="N1843"/>
      <c r="O1843"/>
      <c r="P1843"/>
      <c r="Q1843"/>
      <c r="R1843"/>
      <c r="S1843"/>
    </row>
    <row r="1844" spans="1:19" ht="15">
      <c r="A1844"/>
      <c r="B1844"/>
      <c r="C1844"/>
      <c r="D1844"/>
      <c r="E1844"/>
      <c r="F1844"/>
      <c r="G1844"/>
      <c r="H1844"/>
      <c r="I1844"/>
      <c r="J1844"/>
      <c r="K1844"/>
      <c r="L1844"/>
      <c r="M1844"/>
      <c r="N1844"/>
      <c r="O1844"/>
      <c r="P1844"/>
      <c r="Q1844"/>
      <c r="R1844"/>
      <c r="S1844"/>
    </row>
    <row r="1845" spans="1:19" ht="15">
      <c r="A1845"/>
      <c r="B1845"/>
      <c r="C1845"/>
      <c r="D1845"/>
      <c r="E1845"/>
      <c r="F1845"/>
      <c r="G1845"/>
      <c r="H1845"/>
      <c r="I1845"/>
      <c r="J1845"/>
      <c r="K1845"/>
      <c r="L1845"/>
      <c r="M1845"/>
      <c r="N1845"/>
      <c r="O1845"/>
      <c r="P1845"/>
      <c r="Q1845"/>
      <c r="R1845"/>
      <c r="S1845"/>
    </row>
    <row r="1846" spans="1:19" ht="15">
      <c r="A1846"/>
      <c r="B1846"/>
      <c r="C1846"/>
      <c r="D1846"/>
      <c r="E1846"/>
      <c r="F1846"/>
      <c r="G1846"/>
      <c r="H1846"/>
      <c r="I1846"/>
      <c r="J1846"/>
      <c r="K1846"/>
      <c r="L1846"/>
      <c r="M1846"/>
      <c r="N1846"/>
      <c r="O1846"/>
      <c r="P1846"/>
      <c r="Q1846"/>
      <c r="R1846"/>
      <c r="S1846"/>
    </row>
    <row r="1847" spans="1:19" ht="15">
      <c r="A1847"/>
      <c r="B1847"/>
      <c r="C1847"/>
      <c r="D1847"/>
      <c r="E1847"/>
      <c r="F1847"/>
      <c r="G1847"/>
      <c r="H1847"/>
      <c r="I1847"/>
      <c r="J1847"/>
      <c r="K1847"/>
      <c r="L1847"/>
      <c r="M1847"/>
      <c r="N1847"/>
      <c r="O1847"/>
      <c r="P1847"/>
      <c r="Q1847"/>
      <c r="R1847"/>
      <c r="S1847"/>
    </row>
    <row r="1848" spans="1:19" ht="15">
      <c r="A1848"/>
      <c r="B1848"/>
      <c r="C1848"/>
      <c r="D1848"/>
      <c r="E1848"/>
      <c r="F1848"/>
      <c r="G1848"/>
      <c r="H1848"/>
      <c r="I1848"/>
      <c r="J1848"/>
      <c r="K1848"/>
      <c r="L1848"/>
      <c r="M1848"/>
      <c r="N1848"/>
      <c r="O1848"/>
      <c r="P1848"/>
      <c r="Q1848"/>
      <c r="R1848"/>
      <c r="S1848"/>
    </row>
    <row r="1849" spans="1:19" ht="15">
      <c r="A1849"/>
      <c r="B1849"/>
      <c r="C1849"/>
      <c r="D1849"/>
      <c r="E1849"/>
      <c r="F1849"/>
      <c r="G1849"/>
      <c r="H1849"/>
      <c r="I1849"/>
      <c r="J1849"/>
      <c r="K1849"/>
      <c r="L1849"/>
      <c r="M1849"/>
      <c r="N1849"/>
      <c r="O1849"/>
      <c r="P1849"/>
      <c r="Q1849"/>
      <c r="R1849"/>
      <c r="S1849"/>
    </row>
    <row r="1850" spans="1:19" ht="15">
      <c r="A1850"/>
      <c r="B1850"/>
      <c r="C1850"/>
      <c r="D1850"/>
      <c r="E1850"/>
      <c r="F1850"/>
      <c r="G1850"/>
      <c r="H1850"/>
      <c r="I1850"/>
      <c r="J1850"/>
      <c r="K1850"/>
      <c r="L1850"/>
      <c r="M1850"/>
      <c r="N1850"/>
      <c r="O1850"/>
      <c r="P1850"/>
      <c r="Q1850"/>
      <c r="R1850"/>
      <c r="S1850"/>
    </row>
    <row r="1851" spans="1:19" ht="15">
      <c r="A1851"/>
      <c r="B1851"/>
      <c r="C1851"/>
      <c r="D1851"/>
      <c r="E1851"/>
      <c r="F1851"/>
      <c r="G1851"/>
      <c r="H1851"/>
      <c r="I1851"/>
      <c r="J1851"/>
      <c r="K1851"/>
      <c r="L1851"/>
      <c r="M1851"/>
      <c r="N1851"/>
      <c r="O1851"/>
      <c r="P1851"/>
      <c r="Q1851"/>
      <c r="R1851"/>
      <c r="S1851"/>
    </row>
    <row r="1852" spans="1:19" ht="15">
      <c r="A1852"/>
      <c r="B1852"/>
      <c r="C1852"/>
      <c r="D1852"/>
      <c r="E1852"/>
      <c r="F1852"/>
      <c r="G1852"/>
      <c r="H1852"/>
      <c r="I1852"/>
      <c r="J1852"/>
      <c r="K1852"/>
      <c r="L1852"/>
      <c r="M1852"/>
      <c r="N1852"/>
      <c r="O1852"/>
      <c r="P1852"/>
      <c r="Q1852"/>
      <c r="R1852"/>
      <c r="S1852"/>
    </row>
    <row r="1853" spans="1:19" ht="15">
      <c r="A1853"/>
      <c r="B1853"/>
      <c r="C1853"/>
      <c r="D1853"/>
      <c r="E1853"/>
      <c r="F1853"/>
      <c r="G1853"/>
      <c r="H1853"/>
      <c r="I1853"/>
      <c r="J1853"/>
      <c r="K1853"/>
      <c r="L1853"/>
      <c r="M1853"/>
      <c r="N1853"/>
      <c r="O1853"/>
      <c r="P1853"/>
      <c r="Q1853"/>
      <c r="R1853"/>
      <c r="S1853"/>
    </row>
    <row r="1854" spans="1:19" ht="15">
      <c r="A1854"/>
      <c r="B1854"/>
      <c r="C1854"/>
      <c r="D1854"/>
      <c r="E1854"/>
      <c r="F1854"/>
      <c r="G1854"/>
      <c r="H1854"/>
      <c r="I1854"/>
      <c r="J1854"/>
      <c r="K1854"/>
      <c r="L1854"/>
      <c r="M1854"/>
      <c r="N1854"/>
      <c r="O1854"/>
      <c r="P1854"/>
      <c r="Q1854"/>
      <c r="R1854"/>
      <c r="S1854"/>
    </row>
    <row r="1855" spans="1:19" ht="15">
      <c r="A1855"/>
      <c r="B1855"/>
      <c r="C1855"/>
      <c r="D1855"/>
      <c r="E1855"/>
      <c r="F1855"/>
      <c r="G1855"/>
      <c r="H1855"/>
      <c r="I1855"/>
      <c r="J1855"/>
      <c r="K1855"/>
      <c r="L1855"/>
      <c r="M1855"/>
      <c r="N1855"/>
      <c r="O1855"/>
      <c r="P1855"/>
      <c r="Q1855"/>
      <c r="R1855"/>
      <c r="S1855"/>
    </row>
    <row r="1856" spans="1:19" ht="15">
      <c r="A1856"/>
      <c r="B1856"/>
      <c r="C1856"/>
      <c r="D1856"/>
      <c r="E1856"/>
      <c r="F1856"/>
      <c r="G1856"/>
      <c r="H1856"/>
      <c r="I1856"/>
      <c r="J1856"/>
      <c r="K1856"/>
      <c r="L1856"/>
      <c r="M1856"/>
      <c r="N1856"/>
      <c r="O1856"/>
      <c r="P1856"/>
      <c r="Q1856"/>
      <c r="R1856"/>
      <c r="S1856"/>
    </row>
    <row r="1857" spans="1:19" ht="15">
      <c r="A1857"/>
      <c r="B1857"/>
      <c r="C1857"/>
      <c r="D1857"/>
      <c r="E1857"/>
      <c r="F1857"/>
      <c r="G1857"/>
      <c r="H1857"/>
      <c r="I1857"/>
      <c r="J1857"/>
      <c r="K1857"/>
      <c r="L1857"/>
      <c r="M1857"/>
      <c r="N1857"/>
      <c r="O1857"/>
      <c r="P1857"/>
      <c r="Q1857"/>
      <c r="R1857"/>
      <c r="S1857"/>
    </row>
    <row r="1858" spans="1:19" ht="15">
      <c r="A1858"/>
      <c r="B1858"/>
      <c r="C1858"/>
      <c r="D1858"/>
      <c r="E1858"/>
      <c r="F1858"/>
      <c r="G1858"/>
      <c r="H1858"/>
      <c r="I1858"/>
      <c r="J1858"/>
      <c r="K1858"/>
      <c r="L1858"/>
      <c r="M1858"/>
      <c r="N1858"/>
      <c r="O1858"/>
      <c r="P1858"/>
      <c r="Q1858"/>
      <c r="R1858"/>
      <c r="S1858"/>
    </row>
    <row r="1859" spans="1:19" ht="15">
      <c r="A1859"/>
      <c r="B1859"/>
      <c r="C1859"/>
      <c r="D1859"/>
      <c r="E1859"/>
      <c r="F1859"/>
      <c r="G1859"/>
      <c r="H1859"/>
      <c r="I1859"/>
      <c r="J1859"/>
      <c r="K1859"/>
      <c r="L1859"/>
      <c r="M1859"/>
      <c r="N1859"/>
      <c r="O1859"/>
      <c r="P1859"/>
      <c r="Q1859"/>
      <c r="R1859"/>
      <c r="S1859"/>
    </row>
    <row r="1860" spans="1:19" ht="15">
      <c r="A1860"/>
      <c r="B1860"/>
      <c r="C1860"/>
      <c r="D1860"/>
      <c r="E1860"/>
      <c r="F1860"/>
      <c r="G1860"/>
      <c r="H1860"/>
      <c r="I1860"/>
      <c r="J1860"/>
      <c r="K1860"/>
      <c r="L1860"/>
      <c r="M1860"/>
      <c r="N1860"/>
      <c r="O1860"/>
      <c r="P1860"/>
      <c r="Q1860"/>
      <c r="R1860"/>
      <c r="S1860"/>
    </row>
    <row r="1861" spans="1:19" ht="15">
      <c r="A1861"/>
      <c r="B1861"/>
      <c r="C1861"/>
      <c r="D1861"/>
      <c r="E1861"/>
      <c r="F1861"/>
      <c r="G1861"/>
      <c r="H1861"/>
      <c r="I1861"/>
      <c r="J1861"/>
      <c r="K1861"/>
      <c r="L1861"/>
      <c r="M1861"/>
      <c r="N1861"/>
      <c r="O1861"/>
      <c r="P1861"/>
      <c r="Q1861"/>
      <c r="R1861"/>
      <c r="S1861"/>
    </row>
    <row r="1862" spans="1:19" ht="15">
      <c r="A1862"/>
      <c r="B1862"/>
      <c r="C1862"/>
      <c r="D1862"/>
      <c r="E1862"/>
      <c r="F1862"/>
      <c r="G1862"/>
      <c r="H1862"/>
      <c r="I1862"/>
      <c r="J1862"/>
      <c r="K1862"/>
      <c r="L1862"/>
      <c r="M1862"/>
      <c r="N1862"/>
      <c r="O1862"/>
      <c r="P1862"/>
      <c r="Q1862"/>
      <c r="R1862"/>
      <c r="S1862"/>
    </row>
    <row r="1863" spans="1:19" ht="15">
      <c r="A1863"/>
      <c r="B1863"/>
      <c r="C1863"/>
      <c r="D1863"/>
      <c r="E1863"/>
      <c r="F1863"/>
      <c r="G1863"/>
      <c r="H1863"/>
      <c r="I1863"/>
      <c r="J1863"/>
      <c r="K1863"/>
      <c r="L1863"/>
      <c r="M1863"/>
      <c r="N1863"/>
      <c r="O1863"/>
      <c r="P1863"/>
      <c r="Q1863"/>
      <c r="R1863"/>
      <c r="S1863"/>
    </row>
    <row r="1864" spans="1:19" ht="15">
      <c r="A1864"/>
      <c r="B1864"/>
      <c r="C1864"/>
      <c r="D1864"/>
      <c r="E1864"/>
      <c r="F1864"/>
      <c r="G1864"/>
      <c r="H1864"/>
      <c r="I1864"/>
      <c r="J1864"/>
      <c r="K1864"/>
      <c r="L1864"/>
      <c r="M1864"/>
      <c r="N1864"/>
      <c r="O1864"/>
      <c r="P1864"/>
      <c r="Q1864"/>
      <c r="R1864"/>
      <c r="S1864"/>
    </row>
    <row r="1865" spans="1:19" ht="15">
      <c r="A1865"/>
      <c r="B1865"/>
      <c r="C1865"/>
      <c r="D1865"/>
      <c r="E1865"/>
      <c r="F1865"/>
      <c r="G1865"/>
      <c r="H1865"/>
      <c r="I1865"/>
      <c r="J1865"/>
      <c r="K1865"/>
      <c r="L1865"/>
      <c r="M1865"/>
      <c r="N1865"/>
      <c r="O1865"/>
      <c r="P1865"/>
      <c r="Q1865"/>
      <c r="R1865"/>
      <c r="S1865"/>
    </row>
    <row r="1866" spans="1:19" ht="15">
      <c r="A1866"/>
      <c r="B1866"/>
      <c r="C1866"/>
      <c r="D1866"/>
      <c r="E1866"/>
      <c r="F1866"/>
      <c r="G1866"/>
      <c r="H1866"/>
      <c r="I1866"/>
      <c r="J1866"/>
      <c r="K1866"/>
      <c r="L1866"/>
      <c r="M1866"/>
      <c r="N1866"/>
      <c r="O1866"/>
      <c r="P1866"/>
      <c r="Q1866"/>
      <c r="R1866"/>
      <c r="S1866"/>
    </row>
    <row r="1867" spans="1:19" ht="15">
      <c r="A1867"/>
      <c r="B1867"/>
      <c r="C1867"/>
      <c r="D1867"/>
      <c r="E1867"/>
      <c r="F1867"/>
      <c r="G1867"/>
      <c r="H1867"/>
      <c r="I1867"/>
      <c r="J1867"/>
      <c r="K1867"/>
      <c r="L1867"/>
      <c r="M1867"/>
      <c r="N1867"/>
      <c r="O1867"/>
      <c r="P1867"/>
      <c r="Q1867"/>
      <c r="R1867"/>
      <c r="S1867"/>
    </row>
    <row r="1868" spans="1:19" ht="15">
      <c r="A1868"/>
      <c r="B1868"/>
      <c r="C1868"/>
      <c r="D1868"/>
      <c r="E1868"/>
      <c r="F1868"/>
      <c r="G1868"/>
      <c r="H1868"/>
      <c r="I1868"/>
      <c r="J1868"/>
      <c r="K1868"/>
      <c r="L1868"/>
      <c r="M1868"/>
      <c r="N1868"/>
      <c r="O1868"/>
      <c r="P1868"/>
      <c r="Q1868"/>
      <c r="R1868"/>
      <c r="S1868"/>
    </row>
    <row r="1869" spans="1:19" ht="15">
      <c r="A1869"/>
      <c r="B1869"/>
      <c r="C1869"/>
      <c r="D1869"/>
      <c r="E1869"/>
      <c r="F1869"/>
      <c r="G1869"/>
      <c r="H1869"/>
      <c r="I1869"/>
      <c r="J1869"/>
      <c r="K1869"/>
      <c r="L1869"/>
      <c r="M1869"/>
      <c r="N1869"/>
      <c r="O1869"/>
      <c r="P1869"/>
      <c r="Q1869"/>
      <c r="R1869"/>
      <c r="S1869"/>
    </row>
    <row r="1870" spans="1:19" ht="15">
      <c r="A1870"/>
      <c r="B1870"/>
      <c r="C1870"/>
      <c r="D1870"/>
      <c r="E1870"/>
      <c r="F1870"/>
      <c r="G1870"/>
      <c r="H1870"/>
      <c r="I1870"/>
      <c r="J1870"/>
      <c r="K1870"/>
      <c r="L1870"/>
      <c r="M1870"/>
      <c r="N1870"/>
      <c r="O1870"/>
      <c r="P1870"/>
      <c r="Q1870"/>
      <c r="R1870"/>
      <c r="S1870"/>
    </row>
    <row r="1871" spans="1:19" ht="15">
      <c r="A1871"/>
      <c r="B1871"/>
      <c r="C1871"/>
      <c r="D1871"/>
      <c r="E1871"/>
      <c r="F1871"/>
      <c r="G1871"/>
      <c r="H1871"/>
      <c r="I1871"/>
      <c r="J1871"/>
      <c r="K1871"/>
      <c r="L1871"/>
      <c r="M1871"/>
      <c r="N1871"/>
      <c r="O1871"/>
      <c r="P1871"/>
      <c r="Q1871"/>
      <c r="R1871"/>
      <c r="S1871"/>
    </row>
    <row r="1872" spans="1:19" ht="15">
      <c r="A1872"/>
      <c r="B1872"/>
      <c r="C1872"/>
      <c r="D1872"/>
      <c r="E1872"/>
      <c r="F1872"/>
      <c r="G1872"/>
      <c r="H1872"/>
      <c r="I1872"/>
      <c r="J1872"/>
      <c r="K1872"/>
      <c r="L1872"/>
      <c r="M1872"/>
      <c r="N1872"/>
      <c r="O1872"/>
      <c r="P1872"/>
      <c r="Q1872"/>
      <c r="R1872"/>
      <c r="S1872"/>
    </row>
    <row r="1873" spans="1:19" ht="15">
      <c r="A1873"/>
      <c r="B1873"/>
      <c r="C1873"/>
      <c r="D1873"/>
      <c r="E1873"/>
      <c r="F1873"/>
      <c r="G1873"/>
      <c r="H1873"/>
      <c r="I1873"/>
      <c r="J1873"/>
      <c r="K1873"/>
      <c r="L1873"/>
      <c r="M1873"/>
      <c r="N1873"/>
      <c r="O1873"/>
      <c r="P1873"/>
      <c r="Q1873"/>
      <c r="R1873"/>
      <c r="S1873"/>
    </row>
    <row r="1874" spans="1:19" ht="15">
      <c r="A1874"/>
      <c r="B1874"/>
      <c r="C1874"/>
      <c r="D1874"/>
      <c r="E1874"/>
      <c r="F1874"/>
      <c r="G1874"/>
      <c r="H1874"/>
      <c r="I1874"/>
      <c r="J1874"/>
      <c r="K1874"/>
      <c r="L1874"/>
      <c r="M1874"/>
      <c r="N1874"/>
      <c r="O1874"/>
      <c r="P1874"/>
      <c r="Q1874"/>
      <c r="R1874"/>
      <c r="S1874"/>
    </row>
    <row r="1875" spans="1:19" ht="15">
      <c r="A1875"/>
      <c r="B1875"/>
      <c r="C1875"/>
      <c r="D1875"/>
      <c r="E1875"/>
      <c r="F1875"/>
      <c r="G1875"/>
      <c r="H1875"/>
      <c r="I1875"/>
      <c r="J1875"/>
      <c r="K1875"/>
      <c r="L1875"/>
      <c r="M1875"/>
      <c r="N1875"/>
      <c r="O1875"/>
      <c r="P1875"/>
      <c r="Q1875"/>
      <c r="R1875"/>
      <c r="S1875"/>
    </row>
    <row r="1876" spans="1:19" ht="15">
      <c r="A1876"/>
      <c r="B1876"/>
      <c r="C1876"/>
      <c r="D1876"/>
      <c r="E1876"/>
      <c r="F1876"/>
      <c r="G1876"/>
      <c r="H1876"/>
      <c r="I1876"/>
      <c r="J1876"/>
      <c r="K1876"/>
      <c r="L1876"/>
      <c r="M1876"/>
      <c r="N1876"/>
      <c r="O1876"/>
      <c r="P1876"/>
      <c r="Q1876"/>
      <c r="R1876"/>
      <c r="S1876"/>
    </row>
    <row r="1877" spans="1:19" ht="15">
      <c r="A1877"/>
      <c r="B1877"/>
      <c r="C1877"/>
      <c r="D1877"/>
      <c r="E1877"/>
      <c r="F1877"/>
      <c r="G1877"/>
      <c r="H1877"/>
      <c r="I1877"/>
      <c r="J1877"/>
      <c r="K1877"/>
      <c r="L1877"/>
      <c r="M1877"/>
      <c r="N1877"/>
      <c r="O1877"/>
      <c r="P1877"/>
      <c r="Q1877"/>
      <c r="R1877"/>
      <c r="S1877"/>
    </row>
    <row r="1878" spans="1:19" ht="15">
      <c r="A1878"/>
      <c r="B1878"/>
      <c r="C1878"/>
      <c r="D1878"/>
      <c r="E1878"/>
      <c r="F1878"/>
      <c r="G1878"/>
      <c r="H1878"/>
      <c r="I1878"/>
      <c r="J1878"/>
      <c r="K1878"/>
      <c r="L1878"/>
      <c r="M1878"/>
      <c r="N1878"/>
      <c r="O1878"/>
      <c r="P1878"/>
      <c r="Q1878"/>
      <c r="R1878"/>
      <c r="S1878"/>
    </row>
    <row r="1879" spans="1:19" ht="15">
      <c r="A1879"/>
      <c r="B1879"/>
      <c r="C1879"/>
      <c r="D1879"/>
      <c r="E1879"/>
      <c r="F1879"/>
      <c r="G1879"/>
      <c r="H1879"/>
      <c r="I1879"/>
      <c r="J1879"/>
      <c r="K1879"/>
      <c r="L1879"/>
      <c r="M1879"/>
      <c r="N1879"/>
      <c r="O1879"/>
      <c r="P1879"/>
      <c r="Q1879"/>
      <c r="R1879"/>
      <c r="S1879"/>
    </row>
    <row r="1880" spans="1:19" ht="15">
      <c r="A1880"/>
      <c r="B1880"/>
      <c r="C1880"/>
      <c r="D1880"/>
      <c r="E1880"/>
      <c r="F1880"/>
      <c r="G1880"/>
      <c r="H1880"/>
      <c r="I1880"/>
      <c r="J1880"/>
      <c r="K1880"/>
      <c r="L1880"/>
      <c r="M1880"/>
      <c r="N1880"/>
      <c r="O1880"/>
      <c r="P1880"/>
      <c r="Q1880"/>
      <c r="R1880"/>
      <c r="S1880"/>
    </row>
    <row r="1881" spans="1:19" ht="15">
      <c r="A1881"/>
      <c r="B1881"/>
      <c r="C1881"/>
      <c r="D1881"/>
      <c r="E1881"/>
      <c r="F1881"/>
      <c r="G1881"/>
      <c r="H1881"/>
      <c r="I1881"/>
      <c r="J1881"/>
      <c r="K1881"/>
      <c r="L1881"/>
      <c r="M1881"/>
      <c r="N1881"/>
      <c r="O1881"/>
      <c r="P1881"/>
      <c r="Q1881"/>
      <c r="R1881"/>
      <c r="S1881"/>
    </row>
    <row r="1882" spans="1:19" ht="15">
      <c r="A1882"/>
      <c r="B1882"/>
      <c r="C1882"/>
      <c r="D1882"/>
      <c r="E1882"/>
      <c r="F1882"/>
      <c r="G1882"/>
      <c r="H1882"/>
      <c r="I1882"/>
      <c r="J1882"/>
      <c r="K1882"/>
      <c r="L1882"/>
      <c r="M1882"/>
      <c r="N1882"/>
      <c r="O1882"/>
      <c r="P1882"/>
      <c r="Q1882"/>
      <c r="R1882"/>
      <c r="S1882"/>
    </row>
    <row r="1883" spans="1:19" ht="15">
      <c r="A1883"/>
      <c r="B1883"/>
      <c r="C1883"/>
      <c r="D1883"/>
      <c r="E1883"/>
      <c r="F1883"/>
      <c r="G1883"/>
      <c r="H1883"/>
      <c r="I1883"/>
      <c r="J1883"/>
      <c r="K1883"/>
      <c r="L1883"/>
      <c r="M1883"/>
      <c r="N1883"/>
      <c r="O1883"/>
      <c r="P1883"/>
      <c r="Q1883"/>
      <c r="R1883"/>
      <c r="S1883"/>
    </row>
    <row r="1884" spans="1:19" ht="15">
      <c r="A1884"/>
      <c r="B1884"/>
      <c r="C1884"/>
      <c r="D1884"/>
      <c r="E1884"/>
      <c r="F1884"/>
      <c r="G1884"/>
      <c r="H1884"/>
      <c r="I1884"/>
      <c r="J1884"/>
      <c r="K1884"/>
      <c r="L1884"/>
      <c r="M1884"/>
      <c r="N1884"/>
      <c r="O1884"/>
      <c r="P1884"/>
      <c r="Q1884"/>
      <c r="R1884"/>
      <c r="S1884"/>
    </row>
    <row r="1885" spans="1:19" ht="15">
      <c r="A1885"/>
      <c r="B1885"/>
      <c r="C1885"/>
      <c r="D1885"/>
      <c r="E1885"/>
      <c r="F1885"/>
      <c r="G1885"/>
      <c r="H1885"/>
      <c r="I1885"/>
      <c r="J1885"/>
      <c r="K1885"/>
      <c r="L1885"/>
      <c r="M1885"/>
      <c r="N1885"/>
      <c r="O1885"/>
      <c r="P1885"/>
      <c r="Q1885"/>
      <c r="R1885"/>
      <c r="S1885"/>
    </row>
    <row r="1886" spans="1:19" ht="15">
      <c r="A1886"/>
      <c r="B1886"/>
      <c r="C1886"/>
      <c r="D1886"/>
      <c r="E1886"/>
      <c r="F1886"/>
      <c r="G1886"/>
      <c r="H1886"/>
      <c r="I1886"/>
      <c r="J1886"/>
      <c r="K1886"/>
      <c r="L1886"/>
      <c r="M1886"/>
      <c r="N1886"/>
      <c r="O1886"/>
      <c r="P1886"/>
      <c r="Q1886"/>
      <c r="R1886"/>
      <c r="S1886"/>
    </row>
    <row r="1887" spans="1:19" ht="15">
      <c r="A1887"/>
      <c r="B1887"/>
      <c r="C1887"/>
      <c r="D1887"/>
      <c r="E1887"/>
      <c r="F1887"/>
      <c r="G1887"/>
      <c r="H1887"/>
      <c r="I1887"/>
      <c r="J1887"/>
      <c r="K1887"/>
      <c r="L1887"/>
      <c r="M1887"/>
      <c r="N1887"/>
      <c r="O1887"/>
      <c r="P1887"/>
      <c r="Q1887"/>
      <c r="R1887"/>
      <c r="S1887"/>
    </row>
    <row r="1888" spans="1:19" ht="15">
      <c r="A1888"/>
      <c r="B1888"/>
      <c r="C1888"/>
      <c r="D1888"/>
      <c r="E1888"/>
      <c r="F1888"/>
      <c r="G1888"/>
      <c r="H1888"/>
      <c r="I1888"/>
      <c r="J1888"/>
      <c r="K1888"/>
      <c r="L1888"/>
      <c r="M1888"/>
      <c r="N1888"/>
      <c r="O1888"/>
      <c r="P1888"/>
      <c r="Q1888"/>
      <c r="R1888"/>
      <c r="S1888"/>
    </row>
    <row r="1889" spans="1:19" ht="15">
      <c r="A1889"/>
      <c r="B1889"/>
      <c r="C1889"/>
      <c r="D1889"/>
      <c r="E1889"/>
      <c r="F1889"/>
      <c r="G1889"/>
      <c r="H1889"/>
      <c r="I1889"/>
      <c r="J1889"/>
      <c r="K1889"/>
      <c r="L1889"/>
      <c r="M1889"/>
      <c r="N1889"/>
      <c r="O1889"/>
      <c r="P1889"/>
      <c r="Q1889"/>
      <c r="R1889"/>
      <c r="S1889"/>
    </row>
    <row r="1890" spans="1:19" ht="15">
      <c r="A1890"/>
      <c r="B1890"/>
      <c r="C1890"/>
      <c r="D1890"/>
      <c r="E1890"/>
      <c r="F1890"/>
      <c r="G1890"/>
      <c r="H1890"/>
      <c r="I1890"/>
      <c r="J1890"/>
      <c r="K1890"/>
      <c r="L1890"/>
      <c r="M1890"/>
      <c r="N1890"/>
      <c r="O1890"/>
      <c r="P1890"/>
      <c r="Q1890"/>
      <c r="R1890"/>
      <c r="S1890"/>
    </row>
    <row r="1891" spans="1:19" ht="15">
      <c r="A1891"/>
      <c r="B1891"/>
      <c r="C1891"/>
      <c r="D1891"/>
      <c r="E1891"/>
      <c r="F1891"/>
      <c r="G1891"/>
      <c r="H1891"/>
      <c r="I1891"/>
      <c r="J1891"/>
      <c r="K1891"/>
      <c r="L1891"/>
      <c r="M1891"/>
      <c r="N1891"/>
      <c r="O1891"/>
      <c r="P1891"/>
      <c r="Q1891"/>
      <c r="R1891"/>
      <c r="S1891"/>
    </row>
    <row r="1892" spans="1:19" ht="15">
      <c r="A1892"/>
      <c r="B1892"/>
      <c r="C1892"/>
      <c r="D1892"/>
      <c r="E1892"/>
      <c r="F1892"/>
      <c r="G1892"/>
      <c r="H1892"/>
      <c r="I1892"/>
      <c r="J1892"/>
      <c r="K1892"/>
      <c r="L1892"/>
      <c r="M1892"/>
      <c r="N1892"/>
      <c r="O1892"/>
      <c r="P1892"/>
      <c r="Q1892"/>
      <c r="R1892"/>
      <c r="S1892"/>
    </row>
    <row r="1893" spans="1:19" ht="15">
      <c r="A1893"/>
      <c r="B1893"/>
      <c r="C1893"/>
      <c r="D1893"/>
      <c r="E1893"/>
      <c r="F1893"/>
      <c r="G1893"/>
      <c r="H1893"/>
      <c r="I1893"/>
      <c r="J1893"/>
      <c r="K1893"/>
      <c r="L1893"/>
      <c r="M1893"/>
      <c r="N1893"/>
      <c r="O1893"/>
      <c r="P1893"/>
      <c r="Q1893"/>
      <c r="R1893"/>
      <c r="S1893"/>
    </row>
    <row r="1894" spans="1:19" ht="15">
      <c r="A1894"/>
      <c r="B1894"/>
      <c r="C1894"/>
      <c r="D1894"/>
      <c r="E1894"/>
      <c r="F1894"/>
      <c r="G1894"/>
      <c r="H1894"/>
      <c r="I1894"/>
      <c r="J1894"/>
      <c r="K1894"/>
      <c r="L1894"/>
      <c r="M1894"/>
      <c r="N1894"/>
      <c r="O1894"/>
      <c r="P1894"/>
      <c r="Q1894"/>
      <c r="R1894"/>
      <c r="S1894"/>
    </row>
    <row r="1895" spans="1:19" ht="15">
      <c r="A1895"/>
      <c r="B1895"/>
      <c r="C1895"/>
      <c r="D1895"/>
      <c r="E1895"/>
      <c r="F1895"/>
      <c r="G1895"/>
      <c r="H1895"/>
      <c r="I1895"/>
      <c r="J1895"/>
      <c r="K1895"/>
      <c r="L1895"/>
      <c r="M1895"/>
      <c r="N1895"/>
      <c r="O1895"/>
      <c r="P1895"/>
      <c r="Q1895"/>
      <c r="R1895"/>
      <c r="S1895"/>
    </row>
    <row r="1896" spans="1:19" ht="15">
      <c r="A1896"/>
      <c r="B1896"/>
      <c r="C1896"/>
      <c r="D1896"/>
      <c r="E1896"/>
      <c r="F1896"/>
      <c r="G1896"/>
      <c r="H1896"/>
      <c r="I1896"/>
      <c r="J1896"/>
      <c r="K1896"/>
      <c r="L1896"/>
      <c r="M1896"/>
      <c r="N1896"/>
      <c r="O1896"/>
      <c r="P1896"/>
      <c r="Q1896"/>
      <c r="R1896"/>
      <c r="S1896"/>
    </row>
    <row r="1897" spans="1:19" ht="15">
      <c r="A1897"/>
      <c r="B1897"/>
      <c r="C1897"/>
      <c r="D1897"/>
      <c r="E1897"/>
      <c r="F1897"/>
      <c r="G1897"/>
      <c r="H1897"/>
      <c r="I1897"/>
      <c r="J1897"/>
      <c r="K1897"/>
      <c r="L1897"/>
      <c r="M1897"/>
      <c r="N1897"/>
      <c r="O1897"/>
      <c r="P1897"/>
      <c r="Q1897"/>
      <c r="R1897"/>
      <c r="S1897"/>
    </row>
    <row r="1898" spans="1:19" ht="15">
      <c r="A1898"/>
      <c r="B1898"/>
      <c r="C1898"/>
      <c r="D1898"/>
      <c r="E1898"/>
      <c r="F1898"/>
      <c r="G1898"/>
      <c r="H1898"/>
      <c r="I1898"/>
      <c r="J1898"/>
      <c r="K1898"/>
      <c r="L1898"/>
      <c r="M1898"/>
      <c r="N1898"/>
      <c r="O1898"/>
      <c r="P1898"/>
      <c r="Q1898"/>
      <c r="R1898"/>
      <c r="S1898"/>
    </row>
    <row r="1899" spans="1:19" ht="15">
      <c r="A1899"/>
      <c r="B1899"/>
      <c r="C1899"/>
      <c r="D1899"/>
      <c r="E1899"/>
      <c r="F1899"/>
      <c r="G1899"/>
      <c r="H1899"/>
      <c r="I1899"/>
      <c r="J1899"/>
      <c r="K1899"/>
      <c r="L1899"/>
      <c r="M1899"/>
      <c r="N1899"/>
      <c r="O1899"/>
      <c r="P1899"/>
      <c r="Q1899"/>
      <c r="R1899"/>
      <c r="S1899"/>
    </row>
    <row r="1900" spans="1:19" ht="15">
      <c r="A1900"/>
      <c r="B1900"/>
      <c r="C1900"/>
      <c r="D1900"/>
      <c r="E1900"/>
      <c r="F1900"/>
      <c r="G1900"/>
      <c r="H1900"/>
      <c r="I1900"/>
      <c r="J1900"/>
      <c r="K1900"/>
      <c r="L1900"/>
      <c r="M1900"/>
      <c r="N1900"/>
      <c r="O1900"/>
      <c r="P1900"/>
      <c r="Q1900"/>
      <c r="R1900"/>
      <c r="S1900"/>
    </row>
    <row r="1901" spans="1:19" ht="15">
      <c r="A1901"/>
      <c r="B1901"/>
      <c r="C1901"/>
      <c r="D1901"/>
      <c r="E1901"/>
      <c r="F1901"/>
      <c r="G1901"/>
      <c r="H1901"/>
      <c r="I1901"/>
      <c r="J1901"/>
      <c r="K1901"/>
      <c r="L1901"/>
      <c r="M1901"/>
      <c r="N1901"/>
      <c r="O1901"/>
      <c r="P1901"/>
      <c r="Q1901"/>
      <c r="R1901"/>
      <c r="S1901"/>
    </row>
    <row r="1902" spans="1:19" ht="15">
      <c r="A1902"/>
      <c r="B1902"/>
      <c r="C1902"/>
      <c r="D1902"/>
      <c r="E1902"/>
      <c r="F1902"/>
      <c r="G1902"/>
      <c r="H1902"/>
      <c r="I1902"/>
      <c r="J1902"/>
      <c r="K1902"/>
      <c r="L1902"/>
      <c r="M1902"/>
      <c r="N1902"/>
      <c r="O1902"/>
      <c r="P1902"/>
      <c r="Q1902"/>
      <c r="R1902"/>
      <c r="S1902"/>
    </row>
    <row r="1903" spans="1:19" ht="15">
      <c r="A1903"/>
      <c r="B1903"/>
      <c r="C1903"/>
      <c r="D1903"/>
      <c r="E1903"/>
      <c r="F1903"/>
      <c r="G1903"/>
      <c r="H1903"/>
      <c r="I1903"/>
      <c r="J1903"/>
      <c r="K1903"/>
      <c r="L1903"/>
      <c r="M1903"/>
      <c r="N1903"/>
      <c r="O1903"/>
      <c r="P1903"/>
      <c r="Q1903"/>
      <c r="R1903"/>
      <c r="S1903"/>
    </row>
    <row r="1904" spans="1:19" ht="15">
      <c r="A1904"/>
      <c r="B1904"/>
      <c r="C1904"/>
      <c r="D1904"/>
      <c r="E1904"/>
      <c r="F1904"/>
      <c r="G1904"/>
      <c r="H1904"/>
      <c r="I1904"/>
      <c r="J1904"/>
      <c r="K1904"/>
      <c r="L1904"/>
      <c r="M1904"/>
      <c r="N1904"/>
      <c r="O1904"/>
      <c r="P1904"/>
      <c r="Q1904"/>
      <c r="R1904"/>
      <c r="S1904"/>
    </row>
    <row r="1905" spans="1:19" ht="15">
      <c r="A1905"/>
      <c r="B1905"/>
      <c r="C1905"/>
      <c r="D1905"/>
      <c r="E1905"/>
      <c r="F1905"/>
      <c r="G1905"/>
      <c r="H1905"/>
      <c r="I1905"/>
      <c r="J1905"/>
      <c r="K1905"/>
      <c r="L1905"/>
      <c r="M1905"/>
      <c r="N1905"/>
      <c r="O1905"/>
      <c r="P1905"/>
      <c r="Q1905"/>
      <c r="R1905"/>
      <c r="S1905"/>
    </row>
    <row r="1906" spans="1:19" ht="15">
      <c r="A1906"/>
      <c r="B1906"/>
      <c r="C1906"/>
      <c r="D1906"/>
      <c r="E1906"/>
      <c r="F1906"/>
      <c r="G1906"/>
      <c r="H1906"/>
      <c r="I1906"/>
      <c r="J1906"/>
      <c r="K1906"/>
      <c r="L1906"/>
      <c r="M1906"/>
      <c r="N1906"/>
      <c r="O1906"/>
      <c r="P1906"/>
      <c r="Q1906"/>
      <c r="R1906"/>
      <c r="S1906"/>
    </row>
    <row r="1907" spans="1:19" ht="15">
      <c r="A1907"/>
      <c r="B1907"/>
      <c r="C1907"/>
      <c r="D1907"/>
      <c r="E1907"/>
      <c r="F1907"/>
      <c r="G1907"/>
      <c r="H1907"/>
      <c r="I1907"/>
      <c r="J1907"/>
      <c r="K1907"/>
      <c r="L1907"/>
      <c r="M1907"/>
      <c r="N1907"/>
      <c r="O1907"/>
      <c r="P1907"/>
      <c r="Q1907"/>
      <c r="R1907"/>
      <c r="S1907"/>
    </row>
    <row r="1908" spans="1:19" ht="15">
      <c r="A1908"/>
      <c r="B1908"/>
      <c r="C1908"/>
      <c r="D1908"/>
      <c r="E1908"/>
      <c r="F1908"/>
      <c r="G1908"/>
      <c r="H1908"/>
      <c r="I1908"/>
      <c r="J1908"/>
      <c r="K1908"/>
      <c r="L1908"/>
      <c r="M1908"/>
      <c r="N1908"/>
      <c r="O1908"/>
      <c r="P1908"/>
      <c r="Q1908"/>
      <c r="R1908"/>
      <c r="S1908"/>
    </row>
    <row r="1909" spans="1:19" ht="15">
      <c r="A1909"/>
      <c r="B1909"/>
      <c r="C1909"/>
      <c r="D1909"/>
      <c r="E1909"/>
      <c r="F1909"/>
      <c r="G1909"/>
      <c r="H1909"/>
      <c r="I1909"/>
      <c r="J1909"/>
      <c r="K1909"/>
      <c r="L1909"/>
      <c r="M1909"/>
      <c r="N1909"/>
      <c r="O1909"/>
      <c r="P1909"/>
      <c r="Q1909"/>
      <c r="R1909"/>
      <c r="S1909"/>
    </row>
    <row r="1910" spans="1:19" ht="15">
      <c r="A1910"/>
      <c r="B1910"/>
      <c r="C1910"/>
      <c r="D1910"/>
      <c r="E1910"/>
      <c r="F1910"/>
      <c r="G1910"/>
      <c r="H1910"/>
      <c r="I1910"/>
      <c r="J1910"/>
      <c r="K1910"/>
      <c r="L1910"/>
      <c r="M1910"/>
      <c r="N1910"/>
      <c r="O1910"/>
      <c r="P1910"/>
      <c r="Q1910"/>
      <c r="R1910"/>
      <c r="S1910"/>
    </row>
    <row r="1911" spans="1:19" ht="15">
      <c r="A1911"/>
      <c r="B1911"/>
      <c r="C1911"/>
      <c r="D1911"/>
      <c r="E1911"/>
      <c r="F1911"/>
      <c r="G1911"/>
      <c r="H1911"/>
      <c r="I1911"/>
      <c r="J1911"/>
      <c r="K1911"/>
      <c r="L1911"/>
      <c r="M1911"/>
      <c r="N1911"/>
      <c r="O1911"/>
      <c r="P1911"/>
      <c r="Q1911"/>
      <c r="R1911"/>
      <c r="S1911"/>
    </row>
    <row r="1912" spans="1:19" ht="15">
      <c r="A1912"/>
      <c r="B1912"/>
      <c r="C1912"/>
      <c r="D1912"/>
      <c r="E1912"/>
      <c r="F1912"/>
      <c r="G1912"/>
      <c r="H1912"/>
      <c r="I1912"/>
      <c r="J1912"/>
      <c r="K1912"/>
      <c r="L1912"/>
      <c r="M1912"/>
      <c r="N1912"/>
      <c r="O1912"/>
      <c r="P1912"/>
      <c r="Q1912"/>
      <c r="R1912"/>
      <c r="S1912"/>
    </row>
    <row r="1913" spans="1:19" ht="15">
      <c r="A1913"/>
      <c r="B1913"/>
      <c r="C1913"/>
      <c r="D1913"/>
      <c r="E1913"/>
      <c r="F1913"/>
      <c r="G1913"/>
      <c r="H1913"/>
      <c r="I1913"/>
      <c r="J1913"/>
      <c r="K1913"/>
      <c r="L1913"/>
      <c r="M1913"/>
      <c r="N1913"/>
      <c r="O1913"/>
      <c r="P1913"/>
      <c r="Q1913"/>
      <c r="R1913"/>
      <c r="S1913"/>
    </row>
    <row r="1914" spans="1:19" ht="15">
      <c r="A1914"/>
      <c r="B1914"/>
      <c r="C1914"/>
      <c r="D1914"/>
      <c r="E1914"/>
      <c r="F1914"/>
      <c r="G1914"/>
      <c r="H1914"/>
      <c r="I1914"/>
      <c r="J1914"/>
      <c r="K1914"/>
      <c r="L1914"/>
      <c r="M1914"/>
      <c r="N1914"/>
      <c r="O1914"/>
      <c r="P1914"/>
      <c r="Q1914"/>
      <c r="R1914"/>
      <c r="S1914"/>
    </row>
    <row r="1915" spans="1:19" ht="15">
      <c r="A1915"/>
      <c r="B1915"/>
      <c r="C1915"/>
      <c r="D1915"/>
      <c r="E1915"/>
      <c r="F1915"/>
      <c r="G1915"/>
      <c r="H1915"/>
      <c r="I1915"/>
      <c r="J1915"/>
      <c r="K1915"/>
      <c r="L1915"/>
      <c r="M1915"/>
      <c r="N1915"/>
      <c r="O1915"/>
      <c r="P1915"/>
      <c r="Q1915"/>
      <c r="R1915"/>
      <c r="S1915"/>
    </row>
    <row r="1916" spans="1:19" ht="15">
      <c r="A1916"/>
      <c r="B1916"/>
      <c r="C1916"/>
      <c r="D1916"/>
      <c r="E1916"/>
      <c r="F1916"/>
      <c r="G1916"/>
      <c r="H1916"/>
      <c r="I1916"/>
      <c r="J1916"/>
      <c r="K1916"/>
      <c r="L1916"/>
      <c r="M1916"/>
      <c r="N1916"/>
      <c r="O1916"/>
      <c r="P1916"/>
      <c r="Q1916"/>
      <c r="R1916"/>
      <c r="S1916"/>
    </row>
    <row r="1917" spans="1:19" ht="15">
      <c r="A1917"/>
      <c r="B1917"/>
      <c r="C1917"/>
      <c r="D1917"/>
      <c r="E1917"/>
      <c r="F1917"/>
      <c r="G1917"/>
      <c r="H1917"/>
      <c r="I1917"/>
      <c r="J1917"/>
      <c r="K1917"/>
      <c r="L1917"/>
      <c r="M1917"/>
      <c r="N1917"/>
      <c r="O1917"/>
      <c r="P1917"/>
      <c r="Q1917"/>
      <c r="R1917"/>
      <c r="S1917"/>
    </row>
    <row r="1918" spans="1:19" ht="15">
      <c r="A1918"/>
      <c r="B1918"/>
      <c r="C1918"/>
      <c r="D1918"/>
      <c r="E1918"/>
      <c r="F1918"/>
      <c r="G1918"/>
      <c r="H1918"/>
      <c r="I1918"/>
      <c r="J1918"/>
      <c r="K1918"/>
      <c r="L1918"/>
      <c r="M1918"/>
      <c r="N1918"/>
      <c r="O1918"/>
      <c r="P1918"/>
      <c r="Q1918"/>
      <c r="R1918"/>
      <c r="S1918"/>
    </row>
    <row r="1919" spans="1:19" ht="15">
      <c r="A1919"/>
      <c r="B1919"/>
      <c r="C1919"/>
      <c r="D1919"/>
      <c r="E1919"/>
      <c r="F1919"/>
      <c r="G1919"/>
      <c r="H1919"/>
      <c r="I1919"/>
      <c r="J1919"/>
      <c r="K1919"/>
      <c r="L1919"/>
      <c r="M1919"/>
      <c r="N1919"/>
      <c r="O1919"/>
      <c r="P1919"/>
      <c r="Q1919"/>
      <c r="R1919"/>
      <c r="S1919"/>
    </row>
    <row r="1920" spans="1:19" ht="15">
      <c r="A1920"/>
      <c r="B1920"/>
      <c r="C1920"/>
      <c r="D1920"/>
      <c r="E1920"/>
      <c r="F1920"/>
      <c r="G1920"/>
      <c r="H1920"/>
      <c r="I1920"/>
      <c r="J1920"/>
      <c r="K1920"/>
      <c r="L1920"/>
      <c r="M1920"/>
      <c r="N1920"/>
      <c r="O1920"/>
      <c r="P1920"/>
      <c r="Q1920"/>
      <c r="R1920"/>
      <c r="S1920"/>
    </row>
    <row r="1921" spans="1:19" ht="15">
      <c r="A1921"/>
      <c r="B1921"/>
      <c r="C1921"/>
      <c r="D1921"/>
      <c r="E1921"/>
      <c r="F1921"/>
      <c r="G1921"/>
      <c r="H1921"/>
      <c r="I1921"/>
      <c r="J1921"/>
      <c r="K1921"/>
      <c r="L1921"/>
      <c r="M1921"/>
      <c r="N1921"/>
      <c r="O1921"/>
      <c r="P1921"/>
      <c r="Q1921"/>
      <c r="R1921"/>
      <c r="S1921"/>
    </row>
    <row r="1922" spans="1:19" ht="15">
      <c r="A1922"/>
      <c r="B1922"/>
      <c r="C1922"/>
      <c r="D1922"/>
      <c r="E1922"/>
      <c r="F1922"/>
      <c r="G1922"/>
      <c r="H1922"/>
      <c r="I1922"/>
      <c r="J1922"/>
      <c r="K1922"/>
      <c r="L1922"/>
      <c r="M1922"/>
      <c r="N1922"/>
      <c r="O1922"/>
      <c r="P1922"/>
      <c r="Q1922"/>
      <c r="R1922"/>
      <c r="S1922"/>
    </row>
    <row r="1923" spans="1:19" ht="15">
      <c r="A1923"/>
      <c r="B1923"/>
      <c r="C1923"/>
      <c r="D1923"/>
      <c r="E1923"/>
      <c r="F1923"/>
      <c r="G1923"/>
      <c r="H1923"/>
      <c r="I1923"/>
      <c r="J1923"/>
      <c r="K1923"/>
      <c r="L1923"/>
      <c r="M1923"/>
      <c r="N1923"/>
      <c r="O1923"/>
      <c r="P1923"/>
      <c r="Q1923"/>
      <c r="R1923"/>
      <c r="S1923"/>
    </row>
    <row r="1924" spans="1:19" ht="15">
      <c r="A1924"/>
      <c r="B1924"/>
      <c r="C1924"/>
      <c r="D1924"/>
      <c r="E1924"/>
      <c r="F1924"/>
      <c r="G1924"/>
      <c r="H1924"/>
      <c r="I1924"/>
      <c r="J1924"/>
      <c r="K1924"/>
      <c r="L1924"/>
      <c r="M1924"/>
      <c r="N1924"/>
      <c r="O1924"/>
      <c r="P1924"/>
      <c r="Q1924"/>
      <c r="R1924"/>
      <c r="S1924"/>
    </row>
    <row r="1925" spans="1:19" ht="15">
      <c r="A1925"/>
      <c r="B1925"/>
      <c r="C1925"/>
      <c r="D1925"/>
      <c r="E1925"/>
      <c r="F1925"/>
      <c r="G1925"/>
      <c r="H1925"/>
      <c r="I1925"/>
      <c r="J1925"/>
      <c r="K1925"/>
      <c r="L1925"/>
      <c r="M1925"/>
      <c r="N1925"/>
      <c r="O1925"/>
      <c r="P1925"/>
      <c r="Q1925"/>
      <c r="R1925"/>
      <c r="S1925"/>
    </row>
    <row r="1926" spans="1:19" ht="15">
      <c r="A1926"/>
      <c r="B1926"/>
      <c r="C1926"/>
      <c r="D1926"/>
      <c r="E1926"/>
      <c r="F1926"/>
      <c r="G1926"/>
      <c r="H1926"/>
      <c r="I1926"/>
      <c r="J1926"/>
      <c r="K1926"/>
      <c r="L1926"/>
      <c r="M1926"/>
      <c r="N1926"/>
      <c r="O1926"/>
      <c r="P1926"/>
      <c r="Q1926"/>
      <c r="R1926"/>
      <c r="S1926"/>
    </row>
    <row r="1927" spans="1:19" ht="15">
      <c r="A1927"/>
      <c r="B1927"/>
      <c r="C1927"/>
      <c r="D1927"/>
      <c r="E1927"/>
      <c r="F1927"/>
      <c r="G1927"/>
      <c r="H1927"/>
      <c r="I1927"/>
      <c r="J1927"/>
      <c r="K1927"/>
      <c r="L1927"/>
      <c r="M1927"/>
      <c r="N1927"/>
      <c r="O1927"/>
      <c r="P1927"/>
      <c r="Q1927"/>
      <c r="R1927"/>
      <c r="S1927"/>
    </row>
    <row r="1928" spans="1:19" ht="15">
      <c r="A1928"/>
      <c r="B1928"/>
      <c r="C1928"/>
      <c r="D1928"/>
      <c r="E1928"/>
      <c r="F1928"/>
      <c r="G1928"/>
      <c r="H1928"/>
      <c r="I1928"/>
      <c r="J1928"/>
      <c r="K1928"/>
      <c r="L1928"/>
      <c r="M1928"/>
      <c r="N1928"/>
      <c r="O1928"/>
      <c r="P1928"/>
      <c r="Q1928"/>
      <c r="R1928"/>
      <c r="S1928"/>
    </row>
    <row r="1929" spans="1:19" ht="15">
      <c r="A1929"/>
      <c r="B1929"/>
      <c r="C1929"/>
      <c r="D1929"/>
      <c r="E1929"/>
      <c r="F1929"/>
      <c r="G1929"/>
      <c r="H1929"/>
      <c r="I1929"/>
      <c r="J1929"/>
      <c r="K1929"/>
      <c r="L1929"/>
      <c r="M1929"/>
      <c r="N1929"/>
      <c r="O1929"/>
      <c r="P1929"/>
      <c r="Q1929"/>
      <c r="R1929"/>
      <c r="S1929"/>
    </row>
    <row r="1930" spans="1:19" ht="15">
      <c r="A1930"/>
      <c r="B1930"/>
      <c r="C1930"/>
      <c r="D1930"/>
      <c r="E1930"/>
      <c r="F1930"/>
      <c r="G1930"/>
      <c r="H1930"/>
      <c r="I1930"/>
      <c r="J1930"/>
      <c r="K1930"/>
      <c r="L1930"/>
      <c r="M1930"/>
      <c r="N1930"/>
      <c r="O1930"/>
      <c r="P1930"/>
      <c r="Q1930"/>
      <c r="R1930"/>
      <c r="S1930"/>
    </row>
    <row r="1931" spans="1:19" ht="15">
      <c r="A1931"/>
      <c r="B1931"/>
      <c r="C1931"/>
      <c r="D1931"/>
      <c r="E1931"/>
      <c r="F1931"/>
      <c r="G1931"/>
      <c r="H1931"/>
      <c r="I1931"/>
      <c r="J1931"/>
      <c r="K1931"/>
      <c r="L1931"/>
      <c r="M1931"/>
      <c r="N1931"/>
      <c r="O1931"/>
      <c r="P1931"/>
      <c r="Q1931"/>
      <c r="R1931"/>
      <c r="S1931"/>
    </row>
    <row r="1932" spans="1:19" ht="15">
      <c r="A1932"/>
      <c r="B1932"/>
      <c r="C1932"/>
      <c r="D1932"/>
      <c r="E1932"/>
      <c r="F1932"/>
      <c r="G1932"/>
      <c r="H1932"/>
      <c r="I1932"/>
      <c r="J1932"/>
      <c r="K1932"/>
      <c r="L1932"/>
      <c r="M1932"/>
      <c r="N1932"/>
      <c r="O1932"/>
      <c r="P1932"/>
      <c r="Q1932"/>
      <c r="R1932"/>
      <c r="S1932"/>
    </row>
    <row r="1933" spans="1:19" ht="15">
      <c r="A1933"/>
      <c r="B1933"/>
      <c r="C1933"/>
      <c r="D1933"/>
      <c r="E1933"/>
      <c r="F1933"/>
      <c r="G1933"/>
      <c r="H1933"/>
      <c r="I1933"/>
      <c r="J1933"/>
      <c r="K1933"/>
      <c r="L1933"/>
      <c r="M1933"/>
      <c r="N1933"/>
      <c r="O1933"/>
      <c r="P1933"/>
      <c r="Q1933"/>
      <c r="R1933"/>
      <c r="S1933"/>
    </row>
    <row r="1934" spans="1:19" ht="15">
      <c r="A1934"/>
      <c r="B1934"/>
      <c r="C1934"/>
      <c r="D1934"/>
      <c r="E1934"/>
      <c r="F1934"/>
      <c r="G1934"/>
      <c r="H1934"/>
      <c r="I1934"/>
      <c r="J1934"/>
      <c r="K1934"/>
      <c r="L1934"/>
      <c r="M1934"/>
      <c r="N1934"/>
      <c r="O1934"/>
      <c r="P1934"/>
      <c r="Q1934"/>
      <c r="R1934"/>
      <c r="S1934"/>
    </row>
    <row r="1935" spans="1:19" ht="15">
      <c r="A1935"/>
      <c r="B1935"/>
      <c r="C1935"/>
      <c r="D1935"/>
      <c r="E1935"/>
      <c r="F1935"/>
      <c r="G1935"/>
      <c r="H1935"/>
      <c r="I1935"/>
      <c r="J1935"/>
      <c r="K1935"/>
      <c r="L1935"/>
      <c r="M1935"/>
      <c r="N1935"/>
      <c r="O1935"/>
      <c r="P1935"/>
      <c r="Q1935"/>
      <c r="R1935"/>
      <c r="S1935"/>
    </row>
    <row r="1936" spans="1:19" ht="15">
      <c r="A1936"/>
      <c r="B1936"/>
      <c r="C1936"/>
      <c r="D1936"/>
      <c r="E1936"/>
      <c r="F1936"/>
      <c r="G1936"/>
      <c r="H1936"/>
      <c r="I1936"/>
      <c r="J1936"/>
      <c r="K1936"/>
      <c r="L1936"/>
      <c r="M1936"/>
      <c r="N1936"/>
      <c r="O1936"/>
      <c r="P1936"/>
      <c r="Q1936"/>
      <c r="R1936"/>
      <c r="S1936"/>
    </row>
    <row r="1937" spans="1:19" ht="15">
      <c r="A1937"/>
      <c r="B1937"/>
      <c r="C1937"/>
      <c r="D1937"/>
      <c r="E1937"/>
      <c r="F1937"/>
      <c r="G1937"/>
      <c r="H1937"/>
      <c r="I1937"/>
      <c r="J1937"/>
      <c r="K1937"/>
      <c r="L1937"/>
      <c r="M1937"/>
      <c r="N1937"/>
      <c r="O1937"/>
      <c r="P1937"/>
      <c r="Q1937"/>
      <c r="R1937"/>
      <c r="S1937"/>
    </row>
    <row r="1938" spans="1:19" ht="15">
      <c r="A1938"/>
      <c r="B1938"/>
      <c r="C1938"/>
      <c r="D1938"/>
      <c r="E1938"/>
      <c r="F1938"/>
      <c r="G1938"/>
      <c r="H1938"/>
      <c r="I1938"/>
      <c r="J1938"/>
      <c r="K1938"/>
      <c r="L1938"/>
      <c r="M1938"/>
      <c r="N1938"/>
      <c r="O1938"/>
      <c r="P1938"/>
      <c r="Q1938"/>
      <c r="R1938"/>
      <c r="S1938"/>
    </row>
    <row r="1939" spans="1:19" ht="15">
      <c r="A1939"/>
      <c r="B1939"/>
      <c r="C1939"/>
      <c r="D1939"/>
      <c r="E1939"/>
      <c r="F1939"/>
      <c r="G1939"/>
      <c r="H1939"/>
      <c r="I1939"/>
      <c r="J1939"/>
      <c r="K1939"/>
      <c r="L1939"/>
      <c r="M1939"/>
      <c r="N1939"/>
      <c r="O1939"/>
      <c r="P1939"/>
      <c r="Q1939"/>
      <c r="R1939"/>
      <c r="S1939"/>
    </row>
    <row r="1940" spans="1:19" ht="15">
      <c r="A1940"/>
      <c r="B1940"/>
      <c r="C1940"/>
      <c r="D1940"/>
      <c r="E1940"/>
      <c r="F1940"/>
      <c r="G1940"/>
      <c r="H1940"/>
      <c r="I1940"/>
      <c r="J1940"/>
      <c r="K1940"/>
      <c r="L1940"/>
      <c r="M1940"/>
      <c r="N1940"/>
      <c r="O1940"/>
      <c r="P1940"/>
      <c r="Q1940"/>
      <c r="R1940"/>
      <c r="S1940"/>
    </row>
    <row r="1941" spans="1:19" ht="15">
      <c r="A1941"/>
      <c r="B1941"/>
      <c r="C1941"/>
      <c r="D1941"/>
      <c r="E1941"/>
      <c r="F1941"/>
      <c r="G1941"/>
      <c r="H1941"/>
      <c r="I1941"/>
      <c r="J1941"/>
      <c r="K1941"/>
      <c r="L1941"/>
      <c r="M1941"/>
      <c r="N1941"/>
      <c r="O1941"/>
      <c r="P1941"/>
      <c r="Q1941"/>
      <c r="R1941"/>
      <c r="S1941"/>
    </row>
    <row r="1942" spans="1:19" ht="15">
      <c r="A1942"/>
      <c r="B1942"/>
      <c r="C1942"/>
      <c r="D1942"/>
      <c r="E1942"/>
      <c r="F1942"/>
      <c r="G1942"/>
      <c r="H1942"/>
      <c r="I1942"/>
      <c r="J1942"/>
      <c r="K1942"/>
      <c r="L1942"/>
      <c r="M1942"/>
      <c r="N1942"/>
      <c r="O1942"/>
      <c r="P1942"/>
      <c r="Q1942"/>
      <c r="R1942"/>
      <c r="S1942"/>
    </row>
    <row r="1943" spans="1:19" ht="15">
      <c r="A1943"/>
      <c r="B1943"/>
      <c r="C1943"/>
      <c r="D1943"/>
      <c r="E1943"/>
      <c r="F1943"/>
      <c r="G1943"/>
      <c r="H1943"/>
      <c r="I1943"/>
      <c r="J1943"/>
      <c r="K1943"/>
      <c r="L1943"/>
      <c r="M1943"/>
      <c r="N1943"/>
      <c r="O1943"/>
      <c r="P1943"/>
      <c r="Q1943"/>
      <c r="R1943"/>
      <c r="S1943"/>
    </row>
    <row r="1944" spans="1:19" ht="15">
      <c r="A1944"/>
      <c r="B1944"/>
      <c r="C1944"/>
      <c r="D1944"/>
      <c r="E1944"/>
      <c r="F1944"/>
      <c r="G1944"/>
      <c r="H1944"/>
      <c r="I1944"/>
      <c r="J1944"/>
      <c r="K1944"/>
      <c r="L1944"/>
      <c r="M1944"/>
      <c r="N1944"/>
      <c r="O1944"/>
      <c r="P1944"/>
      <c r="Q1944"/>
      <c r="R1944"/>
      <c r="S1944"/>
    </row>
    <row r="1945" spans="1:19" ht="15">
      <c r="A1945"/>
      <c r="B1945"/>
      <c r="C1945"/>
      <c r="D1945"/>
      <c r="E1945"/>
      <c r="F1945"/>
      <c r="G1945"/>
      <c r="H1945"/>
      <c r="I1945"/>
      <c r="J1945"/>
      <c r="K1945"/>
      <c r="L1945"/>
      <c r="M1945"/>
      <c r="N1945"/>
      <c r="O1945"/>
      <c r="P1945"/>
      <c r="Q1945"/>
      <c r="R1945"/>
      <c r="S1945"/>
    </row>
    <row r="1946" spans="1:19" ht="15">
      <c r="A1946"/>
      <c r="B1946"/>
      <c r="C1946"/>
      <c r="D1946"/>
      <c r="E1946"/>
      <c r="F1946"/>
      <c r="G1946"/>
      <c r="H1946"/>
      <c r="I1946"/>
      <c r="J1946"/>
      <c r="K1946"/>
      <c r="L1946"/>
      <c r="M1946"/>
      <c r="N1946"/>
      <c r="O1946"/>
      <c r="P1946"/>
      <c r="Q1946"/>
      <c r="R1946"/>
      <c r="S1946"/>
    </row>
    <row r="1947" spans="1:19" ht="15">
      <c r="A1947"/>
      <c r="B1947"/>
      <c r="C1947"/>
      <c r="D1947"/>
      <c r="E1947"/>
      <c r="F1947"/>
      <c r="G1947"/>
      <c r="H1947"/>
      <c r="I1947"/>
      <c r="J1947"/>
      <c r="K1947"/>
      <c r="L1947"/>
      <c r="M1947"/>
      <c r="N1947"/>
      <c r="O1947"/>
      <c r="P1947"/>
      <c r="Q1947"/>
      <c r="R1947"/>
      <c r="S1947"/>
    </row>
    <row r="1948" spans="1:19" ht="15">
      <c r="A1948"/>
      <c r="B1948"/>
      <c r="C1948"/>
      <c r="D1948"/>
      <c r="E1948"/>
      <c r="F1948"/>
      <c r="G1948"/>
      <c r="H1948"/>
      <c r="I1948"/>
      <c r="J1948"/>
      <c r="K1948"/>
      <c r="L1948"/>
      <c r="M1948"/>
      <c r="N1948"/>
      <c r="O1948"/>
      <c r="P1948"/>
      <c r="Q1948"/>
      <c r="R1948"/>
      <c r="S1948"/>
    </row>
    <row r="1949" spans="1:19" ht="15">
      <c r="A1949"/>
      <c r="B1949"/>
      <c r="C1949"/>
      <c r="D1949"/>
      <c r="E1949"/>
      <c r="F1949"/>
      <c r="G1949"/>
      <c r="H1949"/>
      <c r="I1949"/>
      <c r="J1949"/>
      <c r="K1949"/>
      <c r="L1949"/>
      <c r="M1949"/>
      <c r="N1949"/>
      <c r="O1949"/>
      <c r="P1949"/>
      <c r="Q1949"/>
      <c r="R1949"/>
      <c r="S1949"/>
    </row>
    <row r="1950" spans="1:19" ht="15">
      <c r="A1950"/>
      <c r="B1950"/>
      <c r="C1950"/>
      <c r="D1950"/>
      <c r="E1950"/>
      <c r="F1950"/>
      <c r="G1950"/>
      <c r="H1950"/>
      <c r="I1950"/>
      <c r="J1950"/>
      <c r="K1950"/>
      <c r="L1950"/>
      <c r="M1950"/>
      <c r="N1950"/>
      <c r="O1950"/>
      <c r="P1950"/>
      <c r="Q1950"/>
      <c r="R1950"/>
      <c r="S1950"/>
    </row>
    <row r="1951" spans="1:19" ht="15">
      <c r="A1951"/>
      <c r="B1951"/>
      <c r="C1951"/>
      <c r="D1951"/>
      <c r="E1951"/>
      <c r="F1951"/>
      <c r="G1951"/>
      <c r="H1951"/>
      <c r="I1951"/>
      <c r="J1951"/>
      <c r="K1951"/>
      <c r="L1951"/>
      <c r="M1951"/>
      <c r="N1951"/>
      <c r="O1951"/>
      <c r="P1951"/>
      <c r="Q1951"/>
      <c r="R1951"/>
      <c r="S1951"/>
    </row>
    <row r="1952" spans="1:19" ht="15">
      <c r="A1952"/>
      <c r="B1952"/>
      <c r="C1952"/>
      <c r="D1952"/>
      <c r="E1952"/>
      <c r="F1952"/>
      <c r="G1952"/>
      <c r="H1952"/>
      <c r="I1952"/>
      <c r="J1952"/>
      <c r="K1952"/>
      <c r="L1952"/>
      <c r="M1952"/>
      <c r="N1952"/>
      <c r="O1952"/>
      <c r="P1952"/>
      <c r="Q1952"/>
      <c r="R1952"/>
      <c r="S1952"/>
    </row>
    <row r="1953" spans="1:19" ht="15">
      <c r="A1953"/>
      <c r="B1953"/>
      <c r="C1953"/>
      <c r="D1953"/>
      <c r="E1953"/>
      <c r="F1953"/>
      <c r="G1953"/>
      <c r="H1953"/>
      <c r="I1953"/>
      <c r="J1953"/>
      <c r="K1953"/>
      <c r="L1953"/>
      <c r="M1953"/>
      <c r="N1953"/>
      <c r="O1953"/>
      <c r="P1953"/>
      <c r="Q1953"/>
      <c r="R1953"/>
      <c r="S1953"/>
    </row>
    <row r="1954" spans="1:19" ht="15">
      <c r="A1954"/>
      <c r="B1954"/>
      <c r="C1954"/>
      <c r="D1954"/>
      <c r="E1954"/>
      <c r="F1954"/>
      <c r="G1954"/>
      <c r="H1954"/>
      <c r="I1954"/>
      <c r="J1954"/>
      <c r="K1954"/>
      <c r="L1954"/>
      <c r="M1954"/>
      <c r="N1954"/>
      <c r="O1954"/>
      <c r="P1954"/>
      <c r="Q1954"/>
      <c r="R1954"/>
      <c r="S1954"/>
    </row>
    <row r="1955" spans="1:19" ht="15">
      <c r="A1955"/>
      <c r="B1955"/>
      <c r="C1955"/>
      <c r="D1955"/>
      <c r="E1955"/>
      <c r="F1955"/>
      <c r="G1955"/>
      <c r="H1955"/>
      <c r="I1955"/>
      <c r="J1955"/>
      <c r="K1955"/>
      <c r="L1955"/>
      <c r="M1955"/>
      <c r="N1955"/>
      <c r="O1955"/>
      <c r="P1955"/>
      <c r="Q1955"/>
      <c r="R1955"/>
      <c r="S1955"/>
    </row>
    <row r="1956" spans="1:19" ht="15">
      <c r="A1956"/>
      <c r="B1956"/>
      <c r="C1956"/>
      <c r="D1956"/>
      <c r="E1956"/>
      <c r="F1956"/>
      <c r="G1956"/>
      <c r="H1956"/>
      <c r="I1956"/>
      <c r="J1956"/>
      <c r="K1956"/>
      <c r="L1956"/>
      <c r="M1956"/>
      <c r="N1956"/>
      <c r="O1956"/>
      <c r="P1956"/>
      <c r="Q1956"/>
      <c r="R1956"/>
      <c r="S1956"/>
    </row>
    <row r="1957" spans="1:19" ht="15">
      <c r="A1957"/>
      <c r="B1957"/>
      <c r="C1957"/>
      <c r="D1957"/>
      <c r="E1957"/>
      <c r="F1957"/>
      <c r="G1957"/>
      <c r="H1957"/>
      <c r="I1957"/>
      <c r="J1957"/>
      <c r="K1957"/>
      <c r="L1957"/>
      <c r="M1957"/>
      <c r="N1957"/>
      <c r="O1957"/>
      <c r="P1957"/>
      <c r="Q1957"/>
      <c r="R1957"/>
      <c r="S1957"/>
    </row>
    <row r="1958" spans="1:19" ht="15">
      <c r="A1958"/>
      <c r="B1958"/>
      <c r="C1958"/>
      <c r="D1958"/>
      <c r="E1958"/>
      <c r="F1958"/>
      <c r="G1958"/>
      <c r="H1958"/>
      <c r="I1958"/>
      <c r="J1958"/>
      <c r="K1958"/>
      <c r="L1958"/>
      <c r="M1958"/>
      <c r="N1958"/>
      <c r="O1958"/>
      <c r="P1958"/>
      <c r="Q1958"/>
      <c r="R1958"/>
      <c r="S1958"/>
    </row>
    <row r="1959" spans="1:19" ht="15">
      <c r="A1959"/>
      <c r="B1959"/>
      <c r="C1959"/>
      <c r="D1959"/>
      <c r="E1959"/>
      <c r="F1959"/>
      <c r="G1959"/>
      <c r="H1959"/>
      <c r="I1959"/>
      <c r="J1959"/>
      <c r="K1959"/>
      <c r="L1959"/>
      <c r="M1959"/>
      <c r="N1959"/>
      <c r="O1959"/>
      <c r="P1959"/>
      <c r="Q1959"/>
      <c r="R1959"/>
      <c r="S1959"/>
    </row>
    <row r="1960" spans="1:19" ht="15">
      <c r="A1960"/>
      <c r="B1960"/>
      <c r="C1960"/>
      <c r="D1960"/>
      <c r="E1960"/>
      <c r="F1960"/>
      <c r="G1960"/>
      <c r="H1960"/>
      <c r="I1960"/>
      <c r="J1960"/>
      <c r="K1960"/>
      <c r="L1960"/>
      <c r="M1960"/>
      <c r="N1960"/>
      <c r="O1960"/>
      <c r="P1960"/>
      <c r="Q1960"/>
      <c r="R1960"/>
      <c r="S1960"/>
    </row>
    <row r="1961" spans="1:19" ht="15">
      <c r="A1961"/>
      <c r="B1961"/>
      <c r="C1961"/>
      <c r="D1961"/>
      <c r="E1961"/>
      <c r="F1961"/>
      <c r="G1961"/>
      <c r="H1961"/>
      <c r="I1961"/>
      <c r="J1961"/>
      <c r="K1961"/>
      <c r="L1961"/>
      <c r="M1961"/>
      <c r="N1961"/>
      <c r="O1961"/>
      <c r="P1961"/>
      <c r="Q1961"/>
      <c r="R1961"/>
      <c r="S1961"/>
    </row>
    <row r="1962" spans="1:19" ht="15">
      <c r="A1962"/>
      <c r="B1962"/>
      <c r="C1962"/>
      <c r="D1962"/>
      <c r="E1962"/>
      <c r="F1962"/>
      <c r="G1962"/>
      <c r="H1962"/>
      <c r="I1962"/>
      <c r="J1962"/>
      <c r="K1962"/>
      <c r="L1962"/>
      <c r="M1962"/>
      <c r="N1962"/>
      <c r="O1962"/>
      <c r="P1962"/>
      <c r="Q1962"/>
      <c r="R1962"/>
      <c r="S1962"/>
    </row>
    <row r="1963" spans="1:19" ht="15">
      <c r="A1963"/>
      <c r="B1963"/>
      <c r="C1963"/>
      <c r="D1963"/>
      <c r="E1963"/>
      <c r="F1963"/>
      <c r="G1963"/>
      <c r="H1963"/>
      <c r="I1963"/>
      <c r="J1963"/>
      <c r="K1963"/>
      <c r="L1963"/>
      <c r="M1963"/>
      <c r="N1963"/>
      <c r="O1963"/>
      <c r="P1963"/>
      <c r="Q1963"/>
      <c r="R1963"/>
      <c r="S1963"/>
    </row>
    <row r="1964" spans="1:19" ht="15">
      <c r="A1964"/>
      <c r="B1964"/>
      <c r="C1964"/>
      <c r="D1964"/>
      <c r="E1964"/>
      <c r="F1964"/>
      <c r="G1964"/>
      <c r="H1964"/>
      <c r="I1964"/>
      <c r="J1964"/>
      <c r="K1964"/>
      <c r="L1964"/>
      <c r="M1964"/>
      <c r="N1964"/>
      <c r="O1964"/>
      <c r="P1964"/>
      <c r="Q1964"/>
      <c r="R1964"/>
      <c r="S1964"/>
    </row>
    <row r="1965" spans="1:19" ht="15">
      <c r="A1965"/>
      <c r="B1965"/>
      <c r="C1965"/>
      <c r="D1965"/>
      <c r="E1965"/>
      <c r="F1965"/>
      <c r="G1965"/>
      <c r="H1965"/>
      <c r="I1965"/>
      <c r="J1965"/>
      <c r="K1965"/>
      <c r="L1965"/>
      <c r="M1965"/>
      <c r="N1965"/>
      <c r="O1965"/>
      <c r="P1965"/>
      <c r="Q1965"/>
      <c r="R1965"/>
      <c r="S1965"/>
    </row>
    <row r="1966" spans="1:19" ht="15">
      <c r="A1966"/>
      <c r="B1966"/>
      <c r="C1966"/>
      <c r="D1966"/>
      <c r="E1966"/>
      <c r="F1966"/>
      <c r="G1966"/>
      <c r="H1966"/>
      <c r="I1966"/>
      <c r="J1966"/>
      <c r="K1966"/>
      <c r="L1966"/>
      <c r="M1966"/>
      <c r="N1966"/>
      <c r="O1966"/>
      <c r="P1966"/>
      <c r="Q1966"/>
      <c r="R1966"/>
      <c r="S1966"/>
    </row>
    <row r="1967" spans="1:19" ht="15">
      <c r="A1967"/>
      <c r="B1967"/>
      <c r="C1967"/>
      <c r="D1967"/>
      <c r="E1967"/>
      <c r="F1967"/>
      <c r="G1967"/>
      <c r="H1967"/>
      <c r="I1967"/>
      <c r="J1967"/>
      <c r="K1967"/>
      <c r="L1967"/>
      <c r="M1967"/>
      <c r="N1967"/>
      <c r="O1967"/>
      <c r="P1967"/>
      <c r="Q1967"/>
      <c r="R1967"/>
      <c r="S1967"/>
    </row>
    <row r="1968" spans="1:19" ht="15">
      <c r="A1968"/>
      <c r="B1968"/>
      <c r="C1968"/>
      <c r="D1968"/>
      <c r="E1968"/>
      <c r="F1968"/>
      <c r="G1968"/>
      <c r="H1968"/>
      <c r="I1968"/>
      <c r="J1968"/>
      <c r="K1968"/>
      <c r="L1968"/>
      <c r="M1968"/>
      <c r="N1968"/>
      <c r="O1968"/>
      <c r="P1968"/>
      <c r="Q1968"/>
      <c r="R1968"/>
      <c r="S1968"/>
    </row>
    <row r="1969" spans="1:19" ht="15">
      <c r="A1969"/>
      <c r="B1969"/>
      <c r="C1969"/>
      <c r="D1969"/>
      <c r="E1969"/>
      <c r="F1969"/>
      <c r="G1969"/>
      <c r="H1969"/>
      <c r="I1969"/>
      <c r="J1969"/>
      <c r="K1969"/>
      <c r="L1969"/>
      <c r="M1969"/>
      <c r="N1969"/>
      <c r="O1969"/>
      <c r="P1969"/>
      <c r="Q1969"/>
      <c r="R1969"/>
      <c r="S1969"/>
    </row>
    <row r="1970" spans="1:19" ht="15">
      <c r="A1970"/>
      <c r="B1970"/>
      <c r="C1970"/>
      <c r="D1970"/>
      <c r="E1970"/>
      <c r="F1970"/>
      <c r="G1970"/>
      <c r="H1970"/>
      <c r="I1970"/>
      <c r="J1970"/>
      <c r="K1970"/>
      <c r="L1970"/>
      <c r="M1970"/>
      <c r="N1970"/>
      <c r="O1970"/>
      <c r="P1970"/>
      <c r="Q1970"/>
      <c r="R1970"/>
      <c r="S1970"/>
    </row>
    <row r="1971" spans="1:19" ht="15">
      <c r="A1971"/>
      <c r="B1971"/>
      <c r="C1971"/>
      <c r="D1971"/>
      <c r="E1971"/>
      <c r="F1971"/>
      <c r="G1971"/>
      <c r="H1971"/>
      <c r="I1971"/>
      <c r="J1971"/>
      <c r="K1971"/>
      <c r="L1971"/>
      <c r="M1971"/>
      <c r="N1971"/>
      <c r="O1971"/>
      <c r="P1971"/>
      <c r="Q1971"/>
      <c r="R1971"/>
      <c r="S1971"/>
    </row>
    <row r="1972" spans="1:19" ht="15">
      <c r="A1972"/>
      <c r="B1972"/>
      <c r="C1972"/>
      <c r="D1972"/>
      <c r="E1972"/>
      <c r="F1972"/>
      <c r="G1972"/>
      <c r="H1972"/>
      <c r="I1972"/>
      <c r="J1972"/>
      <c r="K1972"/>
      <c r="L1972"/>
      <c r="M1972"/>
      <c r="N1972"/>
      <c r="O1972"/>
      <c r="P1972"/>
      <c r="Q1972"/>
      <c r="R1972"/>
      <c r="S1972"/>
    </row>
    <row r="1973" spans="1:19" ht="15">
      <c r="A1973"/>
      <c r="B1973"/>
      <c r="C1973"/>
      <c r="D1973"/>
      <c r="E1973"/>
      <c r="F1973"/>
      <c r="G1973"/>
      <c r="H1973"/>
      <c r="I1973"/>
      <c r="J1973"/>
      <c r="K1973"/>
      <c r="L1973"/>
      <c r="M1973"/>
      <c r="N1973"/>
      <c r="O1973"/>
      <c r="P1973"/>
      <c r="Q1973"/>
      <c r="R1973"/>
      <c r="S1973"/>
    </row>
    <row r="1974" spans="1:19" ht="15">
      <c r="A1974"/>
      <c r="B1974"/>
      <c r="C1974"/>
      <c r="D1974"/>
      <c r="E1974"/>
      <c r="F1974"/>
      <c r="G1974"/>
      <c r="H1974"/>
      <c r="I1974"/>
      <c r="J1974"/>
      <c r="K1974"/>
      <c r="L1974"/>
      <c r="M1974"/>
      <c r="N1974"/>
      <c r="O1974"/>
      <c r="P1974"/>
      <c r="Q1974"/>
      <c r="R1974"/>
      <c r="S1974"/>
    </row>
    <row r="1975" spans="1:19" ht="15">
      <c r="A1975"/>
      <c r="B1975"/>
      <c r="C1975"/>
      <c r="D1975"/>
      <c r="E1975"/>
      <c r="F1975"/>
      <c r="G1975"/>
      <c r="H1975"/>
      <c r="I1975"/>
      <c r="J1975"/>
      <c r="K1975"/>
      <c r="L1975"/>
      <c r="M1975"/>
      <c r="N1975"/>
      <c r="O1975"/>
      <c r="P1975"/>
      <c r="Q1975"/>
      <c r="R1975"/>
      <c r="S1975"/>
    </row>
    <row r="1976" spans="1:19" ht="15">
      <c r="A1976"/>
      <c r="B1976"/>
      <c r="C1976"/>
      <c r="D1976"/>
      <c r="E1976"/>
      <c r="F1976"/>
      <c r="G1976"/>
      <c r="H1976"/>
      <c r="I1976"/>
      <c r="J1976"/>
      <c r="K1976"/>
      <c r="L1976"/>
      <c r="M1976"/>
      <c r="N1976"/>
      <c r="O1976"/>
      <c r="P1976"/>
      <c r="Q1976"/>
      <c r="R1976"/>
      <c r="S1976"/>
    </row>
    <row r="1977" spans="1:19" ht="15">
      <c r="A1977"/>
      <c r="B1977"/>
      <c r="C1977"/>
      <c r="D1977"/>
      <c r="E1977"/>
      <c r="F1977"/>
      <c r="G1977"/>
      <c r="H1977"/>
      <c r="I1977"/>
      <c r="J1977"/>
      <c r="K1977"/>
      <c r="L1977"/>
      <c r="M1977"/>
      <c r="N1977"/>
      <c r="O1977"/>
      <c r="P1977"/>
      <c r="Q1977"/>
      <c r="R1977"/>
      <c r="S1977"/>
    </row>
    <row r="1978" spans="1:19" ht="15">
      <c r="A1978"/>
      <c r="B1978"/>
      <c r="C1978"/>
      <c r="D1978"/>
      <c r="E1978"/>
      <c r="F1978"/>
      <c r="G1978"/>
      <c r="H1978"/>
      <c r="I1978"/>
      <c r="J1978"/>
      <c r="K1978"/>
      <c r="L1978"/>
      <c r="M1978"/>
      <c r="N1978"/>
      <c r="O1978"/>
      <c r="P1978"/>
      <c r="Q1978"/>
      <c r="R1978"/>
      <c r="S1978"/>
    </row>
    <row r="1979" spans="1:19" ht="15">
      <c r="A1979"/>
      <c r="B1979"/>
      <c r="C1979"/>
      <c r="D1979"/>
      <c r="E1979"/>
      <c r="F1979"/>
      <c r="G1979"/>
      <c r="H1979"/>
      <c r="I1979"/>
      <c r="J1979"/>
      <c r="K1979"/>
      <c r="L1979"/>
      <c r="M1979"/>
      <c r="N1979"/>
      <c r="O1979"/>
      <c r="P1979"/>
      <c r="Q1979"/>
      <c r="R1979"/>
      <c r="S1979"/>
    </row>
    <row r="1980" spans="1:19" ht="15">
      <c r="A1980"/>
      <c r="B1980"/>
      <c r="C1980"/>
      <c r="D1980"/>
      <c r="E1980"/>
      <c r="F1980"/>
      <c r="G1980"/>
      <c r="H1980"/>
      <c r="I1980"/>
      <c r="J1980"/>
      <c r="K1980"/>
      <c r="L1980"/>
      <c r="M1980"/>
      <c r="N1980"/>
      <c r="O1980"/>
      <c r="P1980"/>
      <c r="Q1980"/>
      <c r="R1980"/>
      <c r="S1980"/>
    </row>
    <row r="1981" spans="1:19" ht="15">
      <c r="A1981"/>
      <c r="B1981"/>
      <c r="C1981"/>
      <c r="D1981"/>
      <c r="E1981"/>
      <c r="F1981"/>
      <c r="G1981"/>
      <c r="H1981"/>
      <c r="I1981"/>
      <c r="J1981"/>
      <c r="K1981"/>
      <c r="L1981"/>
      <c r="M1981"/>
      <c r="N1981"/>
      <c r="O1981"/>
      <c r="P1981"/>
      <c r="Q1981"/>
      <c r="R1981"/>
      <c r="S1981"/>
    </row>
    <row r="1982" spans="1:19" ht="15">
      <c r="A1982"/>
      <c r="B1982"/>
      <c r="C1982"/>
      <c r="D1982"/>
      <c r="E1982"/>
      <c r="F1982"/>
      <c r="G1982"/>
      <c r="H1982"/>
      <c r="I1982"/>
      <c r="J1982"/>
      <c r="K1982"/>
      <c r="L1982"/>
      <c r="M1982"/>
      <c r="N1982"/>
      <c r="O1982"/>
      <c r="P1982"/>
      <c r="Q1982"/>
      <c r="R1982"/>
      <c r="S1982"/>
    </row>
    <row r="1983" spans="1:19" ht="15">
      <c r="A1983"/>
      <c r="B1983"/>
      <c r="C1983"/>
      <c r="D1983"/>
      <c r="E1983"/>
      <c r="F1983"/>
      <c r="G1983"/>
      <c r="H1983"/>
      <c r="I1983"/>
      <c r="J1983"/>
      <c r="K1983"/>
      <c r="L1983"/>
      <c r="M1983"/>
      <c r="N1983"/>
      <c r="O1983"/>
      <c r="P1983"/>
      <c r="Q1983"/>
      <c r="R1983"/>
      <c r="S1983"/>
    </row>
    <row r="1984" spans="1:19" ht="15">
      <c r="A1984"/>
      <c r="B1984"/>
      <c r="C1984"/>
      <c r="D1984"/>
      <c r="E1984"/>
      <c r="F1984"/>
      <c r="G1984"/>
      <c r="H1984"/>
      <c r="I1984"/>
      <c r="J1984"/>
      <c r="K1984"/>
      <c r="L1984"/>
      <c r="M1984"/>
      <c r="N1984"/>
      <c r="O1984"/>
      <c r="P1984"/>
      <c r="Q1984"/>
      <c r="R1984"/>
      <c r="S1984"/>
    </row>
    <row r="1985" spans="1:19" ht="15">
      <c r="A1985"/>
      <c r="B1985"/>
      <c r="C1985"/>
      <c r="D1985"/>
      <c r="E1985"/>
      <c r="F1985"/>
      <c r="G1985"/>
      <c r="H1985"/>
      <c r="I1985"/>
      <c r="J1985"/>
      <c r="K1985"/>
      <c r="L1985"/>
      <c r="M1985"/>
      <c r="N1985"/>
      <c r="O1985"/>
      <c r="P1985"/>
      <c r="Q1985"/>
      <c r="R1985"/>
      <c r="S1985"/>
    </row>
    <row r="1986" spans="1:19" ht="15">
      <c r="A1986"/>
      <c r="B1986"/>
      <c r="C1986"/>
      <c r="D1986"/>
      <c r="E1986"/>
      <c r="F1986"/>
      <c r="G1986"/>
      <c r="H1986"/>
      <c r="I1986"/>
      <c r="J1986"/>
      <c r="K1986"/>
      <c r="L1986"/>
      <c r="M1986"/>
      <c r="N1986"/>
      <c r="O1986"/>
      <c r="P1986"/>
      <c r="Q1986"/>
      <c r="R1986"/>
      <c r="S1986"/>
    </row>
    <row r="1987" spans="1:19" ht="15">
      <c r="A1987"/>
      <c r="B1987"/>
      <c r="C1987"/>
      <c r="D1987"/>
      <c r="E1987"/>
      <c r="F1987"/>
      <c r="G1987"/>
      <c r="H1987"/>
      <c r="I1987"/>
      <c r="J1987"/>
      <c r="K1987"/>
      <c r="L1987"/>
      <c r="M1987"/>
      <c r="N1987"/>
      <c r="O1987"/>
      <c r="P1987"/>
      <c r="Q1987"/>
      <c r="R1987"/>
      <c r="S1987"/>
    </row>
    <row r="1988" spans="1:19" ht="15">
      <c r="A1988"/>
      <c r="B1988"/>
      <c r="C1988"/>
      <c r="D1988"/>
      <c r="E1988"/>
      <c r="F1988"/>
      <c r="G1988"/>
      <c r="H1988"/>
      <c r="I1988"/>
      <c r="J1988"/>
      <c r="K1988"/>
      <c r="L1988"/>
      <c r="M1988"/>
      <c r="N1988"/>
      <c r="O1988"/>
      <c r="P1988"/>
      <c r="Q1988"/>
      <c r="R1988"/>
      <c r="S1988"/>
    </row>
    <row r="1989" spans="1:19" ht="15">
      <c r="A1989"/>
      <c r="B1989"/>
      <c r="C1989"/>
      <c r="D1989"/>
      <c r="E1989"/>
      <c r="F1989"/>
      <c r="G1989"/>
      <c r="H1989"/>
      <c r="I1989"/>
      <c r="J1989"/>
      <c r="K1989"/>
      <c r="L1989"/>
      <c r="M1989"/>
      <c r="N1989"/>
      <c r="O1989"/>
      <c r="P1989"/>
      <c r="Q1989"/>
      <c r="R1989"/>
      <c r="S1989"/>
    </row>
    <row r="1990" spans="1:19" ht="15">
      <c r="A1990"/>
      <c r="B1990"/>
      <c r="C1990"/>
      <c r="D1990"/>
      <c r="E1990"/>
      <c r="F1990"/>
      <c r="G1990"/>
      <c r="H1990"/>
      <c r="I1990"/>
      <c r="J1990"/>
      <c r="K1990"/>
      <c r="L1990"/>
      <c r="M1990"/>
      <c r="N1990"/>
      <c r="O1990"/>
      <c r="P1990"/>
      <c r="Q1990"/>
      <c r="R1990"/>
      <c r="S1990"/>
    </row>
    <row r="1991" spans="1:19" ht="15">
      <c r="A1991"/>
      <c r="B1991"/>
      <c r="C1991"/>
      <c r="D1991"/>
      <c r="E1991"/>
      <c r="F1991"/>
      <c r="G1991"/>
      <c r="H1991"/>
      <c r="I1991"/>
      <c r="J1991"/>
      <c r="K1991"/>
      <c r="L1991"/>
      <c r="M1991"/>
      <c r="N1991"/>
      <c r="O1991"/>
      <c r="P1991"/>
      <c r="Q1991"/>
      <c r="R1991"/>
      <c r="S1991"/>
    </row>
    <row r="1992" spans="1:19" ht="15">
      <c r="A1992"/>
      <c r="B1992"/>
      <c r="C1992"/>
      <c r="D1992"/>
      <c r="E1992"/>
      <c r="F1992"/>
      <c r="G1992"/>
      <c r="H1992"/>
      <c r="I1992"/>
      <c r="J1992"/>
      <c r="K1992"/>
      <c r="L1992"/>
      <c r="M1992"/>
      <c r="N1992"/>
      <c r="O1992"/>
      <c r="P1992"/>
      <c r="Q1992"/>
      <c r="R1992"/>
      <c r="S1992"/>
    </row>
    <row r="1993" spans="1:19" ht="15">
      <c r="A1993"/>
      <c r="B1993"/>
      <c r="C1993"/>
      <c r="D1993"/>
      <c r="E1993"/>
      <c r="F1993"/>
      <c r="G1993"/>
      <c r="H1993"/>
      <c r="I1993"/>
      <c r="J1993"/>
      <c r="K1993"/>
      <c r="L1993"/>
      <c r="M1993"/>
      <c r="N1993"/>
      <c r="O1993"/>
      <c r="P1993"/>
      <c r="Q1993"/>
      <c r="R1993"/>
      <c r="S1993"/>
    </row>
    <row r="1994" spans="1:19" ht="15">
      <c r="A1994"/>
      <c r="B1994"/>
      <c r="C1994"/>
      <c r="D1994"/>
      <c r="E1994"/>
      <c r="F1994"/>
      <c r="G1994"/>
      <c r="H1994"/>
      <c r="I1994"/>
      <c r="J1994"/>
      <c r="K1994"/>
      <c r="L1994"/>
      <c r="M1994"/>
      <c r="N1994"/>
      <c r="O1994"/>
      <c r="P1994"/>
      <c r="Q1994"/>
      <c r="R1994"/>
      <c r="S1994"/>
    </row>
    <row r="1995" spans="1:19" ht="15">
      <c r="A1995"/>
      <c r="B1995"/>
      <c r="C1995"/>
      <c r="D1995"/>
      <c r="E1995"/>
      <c r="F1995"/>
      <c r="G1995"/>
      <c r="H1995"/>
      <c r="I1995"/>
      <c r="J1995"/>
      <c r="K1995"/>
      <c r="L1995"/>
      <c r="M1995"/>
      <c r="N1995"/>
      <c r="O1995"/>
      <c r="P1995"/>
      <c r="Q1995"/>
      <c r="R1995"/>
      <c r="S1995"/>
    </row>
    <row r="1996" spans="1:19" ht="15">
      <c r="A1996"/>
      <c r="B1996"/>
      <c r="C1996"/>
      <c r="D1996"/>
      <c r="E1996"/>
      <c r="F1996"/>
      <c r="G1996"/>
      <c r="H1996"/>
      <c r="I1996"/>
      <c r="J1996"/>
      <c r="K1996"/>
      <c r="L1996"/>
      <c r="M1996"/>
      <c r="N1996"/>
      <c r="O1996"/>
      <c r="P1996"/>
      <c r="Q1996"/>
      <c r="R1996"/>
      <c r="S1996"/>
    </row>
    <row r="1997" spans="1:19" ht="15">
      <c r="A1997"/>
      <c r="B1997"/>
      <c r="C1997"/>
      <c r="D1997"/>
      <c r="E1997"/>
      <c r="F1997"/>
      <c r="G1997"/>
      <c r="H1997"/>
      <c r="I1997"/>
      <c r="J1997"/>
      <c r="K1997"/>
      <c r="L1997"/>
      <c r="M1997"/>
      <c r="N1997"/>
      <c r="O1997"/>
      <c r="P1997"/>
      <c r="Q1997"/>
      <c r="R1997"/>
      <c r="S1997"/>
    </row>
    <row r="1998" spans="1:19" ht="15">
      <c r="A1998"/>
      <c r="B1998"/>
      <c r="C1998"/>
      <c r="D1998"/>
      <c r="E1998"/>
      <c r="F1998"/>
      <c r="G1998"/>
      <c r="H1998"/>
      <c r="I1998"/>
      <c r="J1998"/>
      <c r="K1998"/>
      <c r="L1998"/>
      <c r="M1998"/>
      <c r="N1998"/>
      <c r="O1998"/>
      <c r="P1998"/>
      <c r="Q1998"/>
      <c r="R1998"/>
      <c r="S1998"/>
    </row>
    <row r="1999" spans="1:19" ht="15">
      <c r="A1999"/>
      <c r="B1999"/>
      <c r="C1999"/>
      <c r="D1999"/>
      <c r="E1999"/>
      <c r="F1999"/>
      <c r="G1999"/>
      <c r="H1999"/>
      <c r="I1999"/>
      <c r="J1999"/>
      <c r="K1999"/>
      <c r="L1999"/>
      <c r="M1999"/>
      <c r="N1999"/>
      <c r="O1999"/>
      <c r="P1999"/>
      <c r="Q1999"/>
      <c r="R1999"/>
      <c r="S1999"/>
    </row>
    <row r="2000" spans="1:19" ht="15">
      <c r="A2000"/>
      <c r="B2000"/>
      <c r="C2000"/>
      <c r="D2000"/>
      <c r="E2000"/>
      <c r="F2000"/>
      <c r="G2000"/>
      <c r="H2000"/>
      <c r="I2000"/>
      <c r="J2000"/>
      <c r="K2000"/>
      <c r="L2000"/>
      <c r="M2000"/>
      <c r="N2000"/>
      <c r="O2000"/>
      <c r="P2000"/>
      <c r="Q2000"/>
      <c r="R2000"/>
      <c r="S2000"/>
    </row>
    <row r="2001" spans="1:19" ht="15">
      <c r="A2001"/>
      <c r="B2001"/>
      <c r="C2001"/>
      <c r="D2001"/>
      <c r="E2001"/>
      <c r="F2001"/>
      <c r="G2001"/>
      <c r="H2001"/>
      <c r="I2001"/>
      <c r="J2001"/>
      <c r="K2001"/>
      <c r="L2001"/>
      <c r="M2001"/>
      <c r="N2001"/>
      <c r="O2001"/>
      <c r="P2001"/>
      <c r="Q2001"/>
      <c r="R2001"/>
      <c r="S2001"/>
    </row>
    <row r="2002" spans="1:19" ht="15">
      <c r="A2002"/>
      <c r="B2002"/>
      <c r="C2002"/>
      <c r="D2002"/>
      <c r="E2002"/>
      <c r="F2002"/>
      <c r="G2002"/>
      <c r="H2002"/>
      <c r="I2002"/>
      <c r="J2002"/>
      <c r="K2002"/>
      <c r="L2002"/>
      <c r="M2002"/>
      <c r="N2002"/>
      <c r="O2002"/>
      <c r="P2002"/>
      <c r="Q2002"/>
      <c r="R2002"/>
      <c r="S2002"/>
    </row>
    <row r="2003" spans="1:19" ht="15">
      <c r="A2003"/>
      <c r="B2003"/>
      <c r="C2003"/>
      <c r="D2003"/>
      <c r="E2003"/>
      <c r="F2003"/>
      <c r="G2003"/>
      <c r="H2003"/>
      <c r="I2003"/>
      <c r="J2003"/>
      <c r="K2003"/>
      <c r="L2003"/>
      <c r="M2003"/>
      <c r="N2003"/>
      <c r="O2003"/>
      <c r="P2003"/>
      <c r="Q2003"/>
      <c r="R2003"/>
      <c r="S2003"/>
    </row>
    <row r="2004" spans="1:19" ht="15">
      <c r="A2004"/>
      <c r="B2004"/>
      <c r="C2004"/>
      <c r="D2004"/>
      <c r="E2004"/>
      <c r="F2004"/>
      <c r="G2004"/>
      <c r="H2004"/>
      <c r="I2004"/>
      <c r="J2004"/>
      <c r="K2004"/>
      <c r="L2004"/>
      <c r="M2004"/>
      <c r="N2004"/>
      <c r="O2004"/>
      <c r="P2004"/>
      <c r="Q2004"/>
      <c r="R2004"/>
      <c r="S2004"/>
    </row>
    <row r="2005" spans="1:19" ht="15">
      <c r="A2005"/>
      <c r="B2005"/>
      <c r="C2005"/>
      <c r="D2005"/>
      <c r="E2005"/>
      <c r="F2005"/>
      <c r="G2005"/>
      <c r="H2005"/>
      <c r="I2005"/>
      <c r="J2005"/>
      <c r="K2005"/>
      <c r="L2005"/>
      <c r="M2005"/>
      <c r="N2005"/>
      <c r="O2005"/>
      <c r="P2005"/>
      <c r="Q2005"/>
      <c r="R2005"/>
      <c r="S2005"/>
    </row>
    <row r="2006" spans="1:19" ht="15">
      <c r="A2006"/>
      <c r="B2006"/>
      <c r="C2006"/>
      <c r="D2006"/>
      <c r="E2006"/>
      <c r="F2006"/>
      <c r="G2006"/>
      <c r="H2006"/>
      <c r="I2006"/>
      <c r="J2006"/>
      <c r="K2006"/>
      <c r="L2006"/>
      <c r="M2006"/>
      <c r="N2006"/>
      <c r="O2006"/>
      <c r="P2006"/>
      <c r="Q2006"/>
      <c r="R2006"/>
      <c r="S2006"/>
    </row>
    <row r="2007" spans="1:19" ht="15">
      <c r="A2007"/>
      <c r="B2007"/>
      <c r="C2007"/>
      <c r="D2007"/>
      <c r="E2007"/>
      <c r="F2007"/>
      <c r="G2007"/>
      <c r="H2007"/>
      <c r="I2007"/>
      <c r="J2007"/>
      <c r="K2007"/>
      <c r="L2007"/>
      <c r="M2007"/>
      <c r="N2007"/>
      <c r="O2007"/>
      <c r="P2007"/>
      <c r="Q2007"/>
      <c r="R2007"/>
      <c r="S2007"/>
    </row>
    <row r="2008" spans="1:19" ht="15">
      <c r="A2008"/>
      <c r="B2008"/>
      <c r="C2008"/>
      <c r="D2008"/>
      <c r="E2008"/>
      <c r="F2008"/>
      <c r="G2008"/>
      <c r="H2008"/>
      <c r="I2008"/>
      <c r="J2008"/>
      <c r="K2008"/>
      <c r="L2008"/>
      <c r="M2008"/>
      <c r="N2008"/>
      <c r="O2008"/>
      <c r="P2008"/>
      <c r="Q2008"/>
      <c r="R2008"/>
      <c r="S2008"/>
    </row>
    <row r="2009" spans="1:19" ht="15">
      <c r="A2009"/>
      <c r="B2009"/>
      <c r="C2009"/>
      <c r="D2009"/>
      <c r="E2009"/>
      <c r="F2009"/>
      <c r="G2009"/>
      <c r="H2009"/>
      <c r="I2009"/>
      <c r="J2009"/>
      <c r="K2009"/>
      <c r="L2009"/>
      <c r="M2009"/>
      <c r="N2009"/>
      <c r="O2009"/>
      <c r="P2009"/>
      <c r="Q2009"/>
      <c r="R2009"/>
      <c r="S2009"/>
    </row>
    <row r="2010" spans="1:19" ht="15">
      <c r="A2010"/>
      <c r="B2010"/>
      <c r="C2010"/>
      <c r="D2010"/>
      <c r="E2010"/>
      <c r="F2010"/>
      <c r="G2010"/>
      <c r="H2010"/>
      <c r="I2010"/>
      <c r="J2010"/>
      <c r="K2010"/>
      <c r="L2010"/>
      <c r="M2010"/>
      <c r="N2010"/>
      <c r="O2010"/>
      <c r="P2010"/>
      <c r="Q2010"/>
      <c r="R2010"/>
      <c r="S2010"/>
    </row>
    <row r="2011" spans="1:19" ht="15">
      <c r="A2011"/>
      <c r="B2011"/>
      <c r="C2011"/>
      <c r="D2011"/>
      <c r="E2011"/>
      <c r="F2011"/>
      <c r="G2011"/>
      <c r="H2011"/>
      <c r="I2011"/>
      <c r="J2011"/>
      <c r="K2011"/>
      <c r="L2011"/>
      <c r="M2011"/>
      <c r="N2011"/>
      <c r="O2011"/>
      <c r="P2011"/>
      <c r="Q2011"/>
      <c r="R2011"/>
      <c r="S2011"/>
    </row>
    <row r="2012" spans="1:19" ht="15">
      <c r="A2012"/>
      <c r="B2012"/>
      <c r="C2012"/>
      <c r="D2012"/>
      <c r="E2012"/>
      <c r="F2012"/>
      <c r="G2012"/>
      <c r="H2012"/>
      <c r="I2012"/>
      <c r="J2012"/>
      <c r="K2012"/>
      <c r="L2012"/>
      <c r="M2012"/>
      <c r="N2012"/>
      <c r="O2012"/>
      <c r="P2012"/>
      <c r="Q2012"/>
      <c r="R2012"/>
      <c r="S2012"/>
    </row>
    <row r="2013" spans="1:19" ht="15">
      <c r="A2013"/>
      <c r="B2013"/>
      <c r="C2013"/>
      <c r="D2013"/>
      <c r="E2013"/>
      <c r="F2013"/>
      <c r="G2013"/>
      <c r="H2013"/>
      <c r="I2013"/>
      <c r="J2013"/>
      <c r="K2013"/>
      <c r="L2013"/>
      <c r="M2013"/>
      <c r="N2013"/>
      <c r="O2013"/>
      <c r="P2013"/>
      <c r="Q2013"/>
      <c r="R2013"/>
      <c r="S2013"/>
    </row>
    <row r="2014" spans="1:19" ht="15">
      <c r="A2014"/>
      <c r="B2014"/>
      <c r="C2014"/>
      <c r="D2014"/>
      <c r="E2014"/>
      <c r="F2014"/>
      <c r="G2014"/>
      <c r="H2014"/>
      <c r="I2014"/>
      <c r="J2014"/>
      <c r="K2014"/>
      <c r="L2014"/>
      <c r="M2014"/>
      <c r="N2014"/>
      <c r="O2014"/>
      <c r="P2014"/>
      <c r="Q2014"/>
      <c r="R2014"/>
      <c r="S2014"/>
    </row>
    <row r="2015" spans="1:19" ht="15">
      <c r="A2015"/>
      <c r="B2015"/>
      <c r="C2015"/>
      <c r="D2015"/>
      <c r="E2015"/>
      <c r="F2015"/>
      <c r="G2015"/>
      <c r="H2015"/>
      <c r="I2015"/>
      <c r="J2015"/>
      <c r="K2015"/>
      <c r="L2015"/>
      <c r="M2015"/>
      <c r="N2015"/>
      <c r="O2015"/>
      <c r="P2015"/>
      <c r="Q2015"/>
      <c r="R2015"/>
      <c r="S2015"/>
    </row>
    <row r="2016" spans="1:19" ht="15">
      <c r="A2016"/>
      <c r="B2016"/>
      <c r="C2016"/>
      <c r="D2016"/>
      <c r="E2016"/>
      <c r="F2016"/>
      <c r="G2016"/>
      <c r="H2016"/>
      <c r="I2016"/>
      <c r="J2016"/>
      <c r="K2016"/>
      <c r="L2016"/>
      <c r="M2016"/>
      <c r="N2016"/>
      <c r="O2016"/>
      <c r="P2016"/>
      <c r="Q2016"/>
      <c r="R2016"/>
      <c r="S2016"/>
    </row>
    <row r="2017" spans="1:19" ht="15">
      <c r="A2017"/>
      <c r="B2017"/>
      <c r="C2017"/>
      <c r="D2017"/>
      <c r="E2017"/>
      <c r="F2017"/>
      <c r="G2017"/>
      <c r="H2017"/>
      <c r="I2017"/>
      <c r="J2017"/>
      <c r="K2017"/>
      <c r="L2017"/>
      <c r="M2017"/>
      <c r="N2017"/>
      <c r="O2017"/>
      <c r="P2017"/>
      <c r="Q2017"/>
      <c r="R2017"/>
      <c r="S2017"/>
    </row>
    <row r="2018" spans="1:19" ht="15">
      <c r="A2018"/>
      <c r="B2018"/>
      <c r="C2018"/>
      <c r="D2018"/>
      <c r="E2018"/>
      <c r="F2018"/>
      <c r="G2018"/>
      <c r="H2018"/>
      <c r="I2018"/>
      <c r="J2018"/>
      <c r="K2018"/>
      <c r="L2018"/>
      <c r="M2018"/>
      <c r="N2018"/>
      <c r="O2018"/>
      <c r="P2018"/>
      <c r="Q2018"/>
      <c r="R2018"/>
      <c r="S2018"/>
    </row>
    <row r="2019" spans="1:19" ht="15">
      <c r="A2019"/>
      <c r="B2019"/>
      <c r="C2019"/>
      <c r="D2019"/>
      <c r="E2019"/>
      <c r="F2019"/>
      <c r="G2019"/>
      <c r="H2019"/>
      <c r="I2019"/>
      <c r="J2019"/>
      <c r="K2019"/>
      <c r="L2019"/>
      <c r="M2019"/>
      <c r="N2019"/>
      <c r="O2019"/>
      <c r="P2019"/>
      <c r="Q2019"/>
      <c r="R2019"/>
      <c r="S2019"/>
    </row>
    <row r="2020" spans="1:19" ht="15">
      <c r="A2020"/>
      <c r="B2020"/>
      <c r="C2020"/>
      <c r="D2020"/>
      <c r="E2020"/>
      <c r="F2020"/>
      <c r="G2020"/>
      <c r="H2020"/>
      <c r="I2020"/>
      <c r="J2020"/>
      <c r="K2020"/>
      <c r="L2020"/>
      <c r="M2020"/>
      <c r="N2020"/>
      <c r="O2020"/>
      <c r="P2020"/>
      <c r="Q2020"/>
      <c r="R2020"/>
      <c r="S2020"/>
    </row>
    <row r="2021" spans="1:19" ht="15">
      <c r="A2021"/>
      <c r="B2021"/>
      <c r="C2021"/>
      <c r="D2021"/>
      <c r="E2021"/>
      <c r="F2021"/>
      <c r="G2021"/>
      <c r="H2021"/>
      <c r="I2021"/>
      <c r="J2021"/>
      <c r="K2021"/>
      <c r="L2021"/>
      <c r="M2021"/>
      <c r="N2021"/>
      <c r="O2021"/>
      <c r="P2021"/>
      <c r="Q2021"/>
      <c r="R2021"/>
      <c r="S2021"/>
    </row>
    <row r="2022" spans="1:19" ht="15">
      <c r="A2022"/>
      <c r="B2022"/>
      <c r="C2022"/>
      <c r="D2022"/>
      <c r="E2022"/>
      <c r="F2022"/>
      <c r="G2022"/>
      <c r="H2022"/>
      <c r="I2022"/>
      <c r="J2022"/>
      <c r="K2022"/>
      <c r="L2022"/>
      <c r="M2022"/>
      <c r="N2022"/>
      <c r="O2022"/>
      <c r="P2022"/>
      <c r="Q2022"/>
      <c r="R2022"/>
      <c r="S2022"/>
    </row>
    <row r="2023" spans="1:19" ht="15">
      <c r="A2023"/>
      <c r="B2023"/>
      <c r="C2023"/>
      <c r="D2023"/>
      <c r="E2023"/>
      <c r="F2023"/>
      <c r="G2023"/>
      <c r="H2023"/>
      <c r="I2023"/>
      <c r="J2023"/>
      <c r="K2023"/>
      <c r="L2023"/>
      <c r="M2023"/>
      <c r="N2023"/>
      <c r="O2023"/>
      <c r="P2023"/>
      <c r="Q2023"/>
      <c r="R2023"/>
      <c r="S2023"/>
    </row>
    <row r="2024" spans="1:19" ht="15">
      <c r="A2024"/>
      <c r="B2024"/>
      <c r="C2024"/>
      <c r="D2024"/>
      <c r="E2024"/>
      <c r="F2024"/>
      <c r="G2024"/>
      <c r="H2024"/>
      <c r="I2024"/>
      <c r="J2024"/>
      <c r="K2024"/>
      <c r="L2024"/>
      <c r="M2024"/>
      <c r="N2024"/>
      <c r="O2024"/>
      <c r="P2024"/>
      <c r="Q2024"/>
      <c r="R2024"/>
      <c r="S2024"/>
    </row>
    <row r="2025" spans="1:19" ht="15">
      <c r="A2025"/>
      <c r="B2025"/>
      <c r="C2025"/>
      <c r="D2025"/>
      <c r="E2025"/>
      <c r="F2025"/>
      <c r="G2025"/>
      <c r="H2025"/>
      <c r="I2025"/>
      <c r="J2025"/>
      <c r="K2025"/>
      <c r="L2025"/>
      <c r="M2025"/>
      <c r="N2025"/>
      <c r="O2025"/>
      <c r="P2025"/>
      <c r="Q2025"/>
      <c r="R2025"/>
      <c r="S2025"/>
    </row>
    <row r="2026" spans="1:19" ht="15">
      <c r="A2026"/>
      <c r="B2026"/>
      <c r="C2026"/>
      <c r="D2026"/>
      <c r="E2026"/>
      <c r="F2026"/>
      <c r="G2026"/>
      <c r="H2026"/>
      <c r="I2026"/>
      <c r="J2026"/>
      <c r="K2026"/>
      <c r="L2026"/>
      <c r="M2026"/>
      <c r="N2026"/>
      <c r="O2026"/>
      <c r="P2026"/>
      <c r="Q2026"/>
      <c r="R2026"/>
      <c r="S2026"/>
    </row>
    <row r="2027" spans="1:19" ht="15">
      <c r="A2027"/>
      <c r="B2027"/>
      <c r="C2027"/>
      <c r="D2027"/>
      <c r="E2027"/>
      <c r="F2027"/>
      <c r="G2027"/>
      <c r="H2027"/>
      <c r="I2027"/>
      <c r="J2027"/>
      <c r="K2027"/>
      <c r="L2027"/>
      <c r="M2027"/>
      <c r="N2027"/>
      <c r="O2027"/>
      <c r="P2027"/>
      <c r="Q2027"/>
      <c r="R2027"/>
      <c r="S2027"/>
    </row>
    <row r="2028" spans="1:19" ht="15">
      <c r="A2028"/>
      <c r="B2028"/>
      <c r="C2028"/>
      <c r="D2028"/>
      <c r="E2028"/>
      <c r="F2028"/>
      <c r="G2028"/>
      <c r="H2028"/>
      <c r="I2028"/>
      <c r="J2028"/>
      <c r="K2028"/>
      <c r="L2028"/>
      <c r="M2028"/>
      <c r="N2028"/>
      <c r="O2028"/>
      <c r="P2028"/>
      <c r="Q2028"/>
      <c r="R2028"/>
      <c r="S2028"/>
    </row>
    <row r="2029" spans="1:19" ht="15">
      <c r="A2029"/>
      <c r="B2029"/>
      <c r="C2029"/>
      <c r="D2029"/>
      <c r="E2029"/>
      <c r="F2029"/>
      <c r="G2029"/>
      <c r="H2029"/>
      <c r="I2029"/>
      <c r="J2029"/>
      <c r="K2029"/>
      <c r="L2029"/>
      <c r="M2029"/>
      <c r="N2029"/>
      <c r="O2029"/>
      <c r="P2029"/>
      <c r="Q2029"/>
      <c r="R2029"/>
      <c r="S2029"/>
    </row>
    <row r="2030" spans="1:19" ht="15">
      <c r="A2030"/>
      <c r="B2030"/>
      <c r="C2030"/>
      <c r="D2030"/>
      <c r="E2030"/>
      <c r="F2030"/>
      <c r="G2030"/>
      <c r="H2030"/>
      <c r="I2030"/>
      <c r="J2030"/>
      <c r="K2030"/>
      <c r="L2030"/>
      <c r="M2030"/>
      <c r="N2030"/>
      <c r="O2030"/>
      <c r="P2030"/>
      <c r="Q2030"/>
      <c r="R2030"/>
      <c r="S2030"/>
    </row>
    <row r="2031" spans="1:19" ht="15">
      <c r="A2031"/>
      <c r="B2031"/>
      <c r="C2031"/>
      <c r="D2031"/>
      <c r="E2031"/>
      <c r="F2031"/>
      <c r="G2031"/>
      <c r="H2031"/>
      <c r="I2031"/>
      <c r="J2031"/>
      <c r="K2031"/>
      <c r="L2031"/>
      <c r="M2031"/>
      <c r="N2031"/>
      <c r="O2031"/>
      <c r="P2031"/>
      <c r="Q2031"/>
      <c r="R2031"/>
      <c r="S2031"/>
    </row>
    <row r="2032" spans="1:19" ht="15">
      <c r="A2032"/>
      <c r="B2032"/>
      <c r="C2032"/>
      <c r="D2032"/>
      <c r="E2032"/>
      <c r="F2032"/>
      <c r="G2032"/>
      <c r="H2032"/>
      <c r="I2032"/>
      <c r="J2032"/>
      <c r="K2032"/>
      <c r="L2032"/>
      <c r="M2032"/>
      <c r="N2032"/>
      <c r="O2032"/>
      <c r="P2032"/>
      <c r="Q2032"/>
      <c r="R2032"/>
      <c r="S2032"/>
    </row>
    <row r="2033" spans="1:19" ht="15">
      <c r="A2033"/>
      <c r="B2033"/>
      <c r="C2033"/>
      <c r="D2033"/>
      <c r="E2033"/>
      <c r="F2033"/>
      <c r="G2033"/>
      <c r="H2033"/>
      <c r="I2033"/>
      <c r="J2033"/>
      <c r="K2033"/>
      <c r="L2033"/>
      <c r="M2033"/>
      <c r="N2033"/>
      <c r="O2033"/>
      <c r="P2033"/>
      <c r="Q2033"/>
      <c r="R2033"/>
      <c r="S2033"/>
    </row>
    <row r="2034" spans="1:19" ht="15">
      <c r="A2034"/>
      <c r="B2034"/>
      <c r="C2034"/>
      <c r="D2034"/>
      <c r="E2034"/>
      <c r="F2034"/>
      <c r="G2034"/>
      <c r="H2034"/>
      <c r="I2034"/>
      <c r="J2034"/>
      <c r="K2034"/>
      <c r="L2034"/>
      <c r="M2034"/>
      <c r="N2034"/>
      <c r="O2034"/>
      <c r="P2034"/>
      <c r="Q2034"/>
      <c r="R2034"/>
      <c r="S2034"/>
    </row>
    <row r="2035" spans="1:19" ht="15">
      <c r="A2035"/>
      <c r="B2035"/>
      <c r="C2035"/>
      <c r="D2035"/>
      <c r="E2035"/>
      <c r="F2035"/>
      <c r="G2035"/>
      <c r="H2035"/>
      <c r="I2035"/>
      <c r="J2035"/>
      <c r="K2035"/>
      <c r="L2035"/>
      <c r="M2035"/>
      <c r="N2035"/>
      <c r="O2035"/>
      <c r="P2035"/>
      <c r="Q2035"/>
      <c r="R2035"/>
      <c r="S2035"/>
    </row>
    <row r="2036" spans="1:19" ht="15">
      <c r="A2036"/>
      <c r="B2036"/>
      <c r="C2036"/>
      <c r="D2036"/>
      <c r="E2036"/>
      <c r="F2036"/>
      <c r="G2036"/>
      <c r="H2036"/>
      <c r="I2036"/>
      <c r="J2036"/>
      <c r="K2036"/>
      <c r="L2036"/>
      <c r="M2036"/>
      <c r="N2036"/>
      <c r="O2036"/>
      <c r="P2036"/>
      <c r="Q2036"/>
      <c r="R2036"/>
      <c r="S2036"/>
    </row>
    <row r="2037" spans="1:19" ht="15">
      <c r="A2037"/>
      <c r="B2037"/>
      <c r="C2037"/>
      <c r="D2037"/>
      <c r="E2037"/>
      <c r="F2037"/>
      <c r="G2037"/>
      <c r="H2037"/>
      <c r="I2037"/>
      <c r="J2037"/>
      <c r="K2037"/>
      <c r="L2037"/>
      <c r="M2037"/>
      <c r="N2037"/>
      <c r="O2037"/>
      <c r="P2037"/>
      <c r="Q2037"/>
      <c r="R2037"/>
      <c r="S2037"/>
    </row>
    <row r="2038" spans="1:19" ht="15">
      <c r="A2038"/>
      <c r="B2038"/>
      <c r="C2038"/>
      <c r="D2038"/>
      <c r="E2038"/>
      <c r="F2038"/>
      <c r="G2038"/>
      <c r="H2038"/>
      <c r="I2038"/>
      <c r="J2038"/>
      <c r="K2038"/>
      <c r="L2038"/>
      <c r="M2038"/>
      <c r="N2038"/>
      <c r="O2038"/>
      <c r="P2038"/>
      <c r="Q2038"/>
      <c r="R2038"/>
      <c r="S2038"/>
    </row>
    <row r="2039" spans="1:19" ht="15">
      <c r="A2039"/>
      <c r="B2039"/>
      <c r="C2039"/>
      <c r="D2039"/>
      <c r="E2039"/>
      <c r="F2039"/>
      <c r="G2039"/>
      <c r="H2039"/>
      <c r="I2039"/>
      <c r="J2039"/>
      <c r="K2039"/>
      <c r="L2039"/>
      <c r="M2039"/>
      <c r="N2039"/>
      <c r="O2039"/>
      <c r="P2039"/>
      <c r="Q2039"/>
      <c r="R2039"/>
      <c r="S2039"/>
    </row>
    <row r="2040" spans="1:19" ht="15">
      <c r="A2040"/>
      <c r="B2040"/>
      <c r="C2040"/>
      <c r="D2040"/>
      <c r="E2040"/>
      <c r="F2040"/>
      <c r="G2040"/>
      <c r="H2040"/>
      <c r="I2040"/>
      <c r="J2040"/>
      <c r="K2040"/>
      <c r="L2040"/>
      <c r="M2040"/>
      <c r="N2040"/>
      <c r="O2040"/>
      <c r="P2040"/>
      <c r="Q2040"/>
      <c r="R2040"/>
      <c r="S2040"/>
    </row>
    <row r="2041" spans="1:19" ht="15">
      <c r="A2041"/>
      <c r="B2041"/>
      <c r="C2041"/>
      <c r="D2041"/>
      <c r="E2041"/>
      <c r="F2041"/>
      <c r="G2041"/>
      <c r="H2041"/>
      <c r="I2041"/>
      <c r="J2041"/>
      <c r="K2041"/>
      <c r="L2041"/>
      <c r="M2041"/>
      <c r="N2041"/>
      <c r="O2041"/>
      <c r="P2041"/>
      <c r="Q2041"/>
      <c r="R2041"/>
      <c r="S2041"/>
    </row>
    <row r="2042" spans="1:19" ht="15">
      <c r="A2042"/>
      <c r="B2042"/>
      <c r="C2042"/>
      <c r="D2042"/>
      <c r="E2042"/>
      <c r="F2042"/>
      <c r="G2042"/>
      <c r="H2042"/>
      <c r="I2042"/>
      <c r="J2042"/>
      <c r="K2042"/>
      <c r="L2042"/>
      <c r="M2042"/>
      <c r="N2042"/>
      <c r="O2042"/>
      <c r="P2042"/>
      <c r="Q2042"/>
      <c r="R2042"/>
      <c r="S2042"/>
    </row>
    <row r="2043" spans="1:19" ht="15">
      <c r="A2043"/>
      <c r="B2043"/>
      <c r="C2043"/>
      <c r="D2043"/>
      <c r="E2043"/>
      <c r="F2043"/>
      <c r="G2043"/>
      <c r="H2043"/>
      <c r="I2043"/>
      <c r="J2043"/>
      <c r="K2043"/>
      <c r="L2043"/>
      <c r="M2043"/>
      <c r="N2043"/>
      <c r="O2043"/>
      <c r="P2043"/>
      <c r="Q2043"/>
      <c r="R2043"/>
      <c r="S2043"/>
    </row>
    <row r="2044" spans="1:19" ht="15">
      <c r="A2044"/>
      <c r="B2044"/>
      <c r="C2044"/>
      <c r="D2044"/>
      <c r="E2044"/>
      <c r="F2044"/>
      <c r="G2044"/>
      <c r="H2044"/>
      <c r="I2044"/>
      <c r="J2044"/>
      <c r="K2044"/>
      <c r="L2044"/>
      <c r="M2044"/>
      <c r="N2044"/>
      <c r="O2044"/>
      <c r="P2044"/>
      <c r="Q2044"/>
      <c r="R2044"/>
      <c r="S2044"/>
    </row>
    <row r="2045" spans="1:19" ht="15">
      <c r="A2045"/>
      <c r="B2045"/>
      <c r="C2045"/>
      <c r="D2045"/>
      <c r="E2045"/>
      <c r="F2045"/>
      <c r="G2045"/>
      <c r="H2045"/>
      <c r="I2045"/>
      <c r="J2045"/>
      <c r="K2045"/>
      <c r="L2045"/>
      <c r="M2045"/>
      <c r="N2045"/>
      <c r="O2045"/>
      <c r="P2045"/>
      <c r="Q2045"/>
      <c r="R2045"/>
      <c r="S2045"/>
    </row>
    <row r="2046" spans="1:19" ht="15">
      <c r="A2046"/>
      <c r="B2046"/>
      <c r="C2046"/>
      <c r="D2046"/>
      <c r="E2046"/>
      <c r="F2046"/>
      <c r="G2046"/>
      <c r="H2046"/>
      <c r="I2046"/>
      <c r="J2046"/>
      <c r="K2046"/>
      <c r="L2046"/>
      <c r="M2046"/>
      <c r="N2046"/>
      <c r="O2046"/>
      <c r="P2046"/>
      <c r="Q2046"/>
      <c r="R2046"/>
      <c r="S2046"/>
    </row>
    <row r="2047" spans="1:19" ht="15">
      <c r="A2047"/>
      <c r="B2047"/>
      <c r="C2047"/>
      <c r="D2047"/>
      <c r="E2047"/>
      <c r="F2047"/>
      <c r="G2047"/>
      <c r="H2047"/>
      <c r="I2047"/>
      <c r="J2047"/>
      <c r="K2047"/>
      <c r="L2047"/>
      <c r="M2047"/>
      <c r="N2047"/>
      <c r="O2047"/>
      <c r="P2047"/>
      <c r="Q2047"/>
      <c r="R2047"/>
      <c r="S2047"/>
    </row>
    <row r="2048" spans="1:19" ht="15">
      <c r="A2048"/>
      <c r="B2048"/>
      <c r="C2048"/>
      <c r="D2048"/>
      <c r="E2048"/>
      <c r="F2048"/>
      <c r="G2048"/>
      <c r="H2048"/>
      <c r="I2048"/>
      <c r="J2048"/>
      <c r="K2048"/>
      <c r="L2048"/>
      <c r="M2048"/>
      <c r="N2048"/>
      <c r="O2048"/>
      <c r="P2048"/>
      <c r="Q2048"/>
      <c r="R2048"/>
      <c r="S2048"/>
    </row>
    <row r="2049" spans="1:19" ht="15">
      <c r="A2049"/>
      <c r="B2049"/>
      <c r="C2049"/>
      <c r="D2049"/>
      <c r="E2049"/>
      <c r="F2049"/>
      <c r="G2049"/>
      <c r="H2049"/>
      <c r="I2049"/>
      <c r="J2049"/>
      <c r="K2049"/>
      <c r="L2049"/>
      <c r="M2049"/>
      <c r="N2049"/>
      <c r="O2049"/>
      <c r="P2049"/>
      <c r="Q2049"/>
      <c r="R2049"/>
      <c r="S2049"/>
    </row>
    <row r="2050" spans="1:19" ht="15">
      <c r="A2050"/>
      <c r="B2050"/>
      <c r="C2050"/>
      <c r="D2050"/>
      <c r="E2050"/>
      <c r="F2050"/>
      <c r="G2050"/>
      <c r="H2050"/>
      <c r="I2050"/>
      <c r="J2050"/>
      <c r="K2050"/>
      <c r="L2050"/>
      <c r="M2050"/>
      <c r="N2050"/>
      <c r="O2050"/>
      <c r="P2050"/>
      <c r="Q2050"/>
      <c r="R2050"/>
      <c r="S2050"/>
    </row>
    <row r="2051" spans="1:19" ht="15">
      <c r="A2051"/>
      <c r="B2051"/>
      <c r="C2051"/>
      <c r="D2051"/>
      <c r="E2051"/>
      <c r="F2051"/>
      <c r="G2051"/>
      <c r="H2051"/>
      <c r="I2051"/>
      <c r="J2051"/>
      <c r="K2051"/>
      <c r="L2051"/>
      <c r="M2051"/>
      <c r="N2051"/>
      <c r="O2051"/>
      <c r="P2051"/>
      <c r="Q2051"/>
      <c r="R2051"/>
      <c r="S2051"/>
    </row>
    <row r="2052" spans="1:19" ht="15">
      <c r="A2052"/>
      <c r="B2052"/>
      <c r="C2052"/>
      <c r="D2052"/>
      <c r="E2052"/>
      <c r="F2052"/>
      <c r="G2052"/>
      <c r="H2052"/>
      <c r="I2052"/>
      <c r="J2052"/>
      <c r="K2052"/>
      <c r="L2052"/>
      <c r="M2052"/>
      <c r="N2052"/>
      <c r="O2052"/>
      <c r="P2052"/>
      <c r="Q2052"/>
      <c r="R2052"/>
      <c r="S2052"/>
    </row>
    <row r="2053" spans="1:19" ht="15">
      <c r="A2053"/>
      <c r="B2053"/>
      <c r="C2053"/>
      <c r="D2053"/>
      <c r="E2053"/>
      <c r="F2053"/>
      <c r="G2053"/>
      <c r="H2053"/>
      <c r="I2053"/>
      <c r="J2053"/>
      <c r="K2053"/>
      <c r="L2053"/>
      <c r="M2053"/>
      <c r="N2053"/>
      <c r="O2053"/>
      <c r="P2053"/>
      <c r="Q2053"/>
      <c r="R2053"/>
      <c r="S2053"/>
    </row>
    <row r="2054" spans="1:19" ht="15">
      <c r="A2054"/>
      <c r="B2054"/>
      <c r="C2054"/>
      <c r="D2054"/>
      <c r="E2054"/>
      <c r="F2054"/>
      <c r="G2054"/>
      <c r="H2054"/>
      <c r="I2054"/>
      <c r="J2054"/>
      <c r="K2054"/>
      <c r="L2054"/>
      <c r="M2054"/>
      <c r="N2054"/>
      <c r="O2054"/>
      <c r="P2054"/>
      <c r="Q2054"/>
      <c r="R2054"/>
      <c r="S2054"/>
    </row>
    <row r="2055" spans="1:19" ht="15">
      <c r="A2055"/>
      <c r="B2055"/>
      <c r="C2055"/>
      <c r="D2055"/>
      <c r="E2055"/>
      <c r="F2055"/>
      <c r="G2055"/>
      <c r="H2055"/>
      <c r="I2055"/>
      <c r="J2055"/>
      <c r="K2055"/>
      <c r="L2055"/>
      <c r="M2055"/>
      <c r="N2055"/>
      <c r="O2055"/>
      <c r="P2055"/>
      <c r="Q2055"/>
      <c r="R2055"/>
      <c r="S2055"/>
    </row>
    <row r="2056" spans="1:19" ht="15">
      <c r="A2056"/>
      <c r="B2056"/>
      <c r="C2056"/>
      <c r="D2056"/>
      <c r="E2056"/>
      <c r="F2056"/>
      <c r="G2056"/>
      <c r="H2056"/>
      <c r="I2056"/>
      <c r="J2056"/>
      <c r="K2056"/>
      <c r="L2056"/>
      <c r="M2056"/>
      <c r="N2056"/>
      <c r="O2056"/>
      <c r="P2056"/>
      <c r="Q2056"/>
      <c r="R2056"/>
      <c r="S2056"/>
    </row>
    <row r="2057" spans="1:19" ht="15">
      <c r="A2057"/>
      <c r="B2057"/>
      <c r="C2057"/>
      <c r="D2057"/>
      <c r="E2057"/>
      <c r="F2057"/>
      <c r="G2057"/>
      <c r="H2057"/>
      <c r="I2057"/>
      <c r="J2057"/>
      <c r="K2057"/>
      <c r="L2057"/>
      <c r="M2057"/>
      <c r="N2057"/>
      <c r="O2057"/>
      <c r="P2057"/>
      <c r="Q2057"/>
      <c r="R2057"/>
      <c r="S2057"/>
    </row>
    <row r="2058" spans="1:19" ht="15">
      <c r="A2058"/>
      <c r="B2058"/>
      <c r="C2058"/>
      <c r="D2058"/>
      <c r="E2058"/>
      <c r="F2058"/>
      <c r="G2058"/>
      <c r="H2058"/>
      <c r="I2058"/>
      <c r="J2058"/>
      <c r="K2058"/>
      <c r="L2058"/>
      <c r="M2058"/>
      <c r="N2058"/>
      <c r="O2058"/>
      <c r="P2058"/>
      <c r="Q2058"/>
      <c r="R2058"/>
      <c r="S2058"/>
    </row>
    <row r="2059" spans="1:19" ht="15">
      <c r="A2059"/>
      <c r="B2059"/>
      <c r="C2059"/>
      <c r="D2059"/>
      <c r="E2059"/>
      <c r="F2059"/>
      <c r="G2059"/>
      <c r="H2059"/>
      <c r="I2059"/>
      <c r="J2059"/>
      <c r="K2059"/>
      <c r="L2059"/>
      <c r="M2059"/>
      <c r="N2059"/>
      <c r="O2059"/>
      <c r="P2059"/>
      <c r="Q2059"/>
      <c r="R2059"/>
      <c r="S2059"/>
    </row>
    <row r="2060" spans="1:19" ht="15">
      <c r="A2060"/>
      <c r="B2060"/>
      <c r="C2060"/>
      <c r="D2060"/>
      <c r="E2060"/>
      <c r="F2060"/>
      <c r="G2060"/>
      <c r="H2060"/>
      <c r="I2060"/>
      <c r="J2060"/>
      <c r="K2060"/>
      <c r="L2060"/>
      <c r="M2060"/>
      <c r="N2060"/>
      <c r="O2060"/>
      <c r="P2060"/>
      <c r="Q2060"/>
      <c r="R2060"/>
      <c r="S2060"/>
    </row>
  </sheetData>
  <sheetProtection algorithmName="SHA-512" hashValue="uTZSJFfADznUayJgyrOhkshHRosJ9VY9BJUVqgJDow74EM56WmqhcCSVFT0+5YiiZ0omJJBHDlagzLsCx1/vog==" saltValue="99e0Rofu1nQMDt4N0R4rlA==" spinCount="100000" sheet="1" objects="1" scenarios="1"/>
  <autoFilter ref="A5:R2059" xr:uid="{00000000-0009-0000-0000-00001E000000}"/>
  <customSheetViews>
    <customSheetView guid="{849F61E1-F6D3-48F4-A6FF-68F8FE186D80}" scale="85" showGridLines="0" showAutoFilter="1">
      <pane ySplit="5" topLeftCell="A6" activePane="bottomLeft" state="frozen"/>
      <selection pane="bottomLeft"/>
      <pageMargins left="0.7" right="0.7" top="0.75" bottom="0.75" header="0.3" footer="0.3"/>
      <pageSetup paperSize="9" orientation="portrait" r:id="rId1"/>
      <autoFilter ref="A5:O6" xr:uid="{99D47291-6341-488F-BE9F-15E1461C7E3A}"/>
    </customSheetView>
    <customSheetView guid="{83029BA9-344F-4783-B8F2-6704FB40A582}" scale="85" showGridLines="0" showAutoFilter="1">
      <pane ySplit="5" topLeftCell="A6" activePane="bottomLeft" state="frozen"/>
      <selection pane="bottomLeft"/>
      <pageMargins left="0.7" right="0.7" top="0.75" bottom="0.75" header="0.3" footer="0.3"/>
      <pageSetup paperSize="9" orientation="portrait" r:id="rId2"/>
      <autoFilter ref="A5:O5" xr:uid="{84B28404-B469-443C-8989-F96705F4CFB4}"/>
    </customSheetView>
  </customSheetViews>
  <pageMargins left="0.7" right="0.7" top="0.75" bottom="0.75" header="0.3" footer="0.3"/>
  <pageSetup paperSize="9" orientation="portrait"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Foglio211">
    <tabColor rgb="FFFFFFE7"/>
  </sheetPr>
  <dimension ref="A1:CA2054"/>
  <sheetViews>
    <sheetView showGridLines="0" zoomScale="85" zoomScaleNormal="85" workbookViewId="0"/>
  </sheetViews>
  <sheetFormatPr defaultColWidth="9.42578125" defaultRowHeight="12.75"/>
  <cols>
    <col min="1" max="1" width="12.42578125" style="1012" customWidth="1"/>
    <col min="2" max="2" width="18.42578125" style="1012" bestFit="1" customWidth="1"/>
    <col min="3" max="3" width="14.5703125" style="1012" customWidth="1"/>
    <col min="4" max="4" width="19.5703125" style="1012" bestFit="1" customWidth="1"/>
    <col min="5" max="5" width="9.5703125" style="1012" customWidth="1"/>
    <col min="6" max="6" width="21.5703125" style="1012" customWidth="1"/>
    <col min="7" max="12" width="13.5703125" style="1012" customWidth="1"/>
    <col min="13" max="13" width="17.42578125" style="621" customWidth="1"/>
    <col min="14" max="14" width="2.5703125" style="621" customWidth="1"/>
    <col min="15" max="24" width="15.5703125" style="1080" customWidth="1"/>
    <col min="25" max="25" width="2.5703125" style="1080" customWidth="1"/>
    <col min="26" max="35" width="15.5703125" style="1080" customWidth="1"/>
    <col min="36" max="36" width="2.5703125" style="1080" customWidth="1"/>
    <col min="37" max="46" width="15.5703125" style="1080" customWidth="1"/>
    <col min="47" max="47" width="2.5703125" style="1080" customWidth="1"/>
    <col min="48" max="57" width="15.5703125" style="1080" customWidth="1"/>
    <col min="58" max="58" width="2.5703125" style="1080" customWidth="1"/>
    <col min="59" max="68" width="15.5703125" style="1080" customWidth="1"/>
    <col min="69" max="69" width="2.5703125" style="1080" customWidth="1"/>
    <col min="70" max="79" width="15.5703125" style="1080" customWidth="1"/>
    <col min="80" max="16384" width="9.42578125" style="621"/>
  </cols>
  <sheetData>
    <row r="1" spans="1:79" s="622" customFormat="1" ht="25.35" customHeight="1">
      <c r="A1" s="1124" t="s">
        <v>190</v>
      </c>
      <c r="B1" s="1006"/>
      <c r="C1" s="1007"/>
      <c r="D1" s="1004"/>
      <c r="E1" s="994"/>
      <c r="F1" s="999"/>
      <c r="G1" s="994"/>
      <c r="H1" s="1005"/>
      <c r="I1" s="1005"/>
      <c r="J1" s="1005"/>
      <c r="K1" s="1005"/>
      <c r="L1" s="1005"/>
      <c r="M1" s="125"/>
      <c r="N1" s="125"/>
      <c r="O1" s="1079"/>
      <c r="P1" s="1079"/>
      <c r="Q1" s="1079"/>
      <c r="R1" s="1079"/>
      <c r="S1" s="1079"/>
      <c r="T1" s="586"/>
      <c r="U1" s="586"/>
      <c r="V1" s="586"/>
      <c r="W1" s="586"/>
      <c r="X1" s="586"/>
      <c r="Y1" s="586"/>
      <c r="Z1" s="586"/>
      <c r="AA1" s="586"/>
      <c r="AB1" s="586"/>
      <c r="AC1" s="586"/>
      <c r="AD1" s="586"/>
      <c r="AE1" s="586"/>
      <c r="AF1" s="586"/>
      <c r="AG1" s="586"/>
      <c r="AH1" s="586"/>
      <c r="AI1" s="1079"/>
      <c r="AJ1" s="1079"/>
      <c r="AK1" s="1079"/>
      <c r="AL1" s="1079"/>
      <c r="AM1" s="586"/>
      <c r="AN1" s="586"/>
      <c r="AO1" s="586"/>
      <c r="AP1" s="586"/>
      <c r="AQ1" s="586"/>
      <c r="AR1" s="586"/>
      <c r="AS1" s="586"/>
      <c r="AT1" s="586"/>
      <c r="AU1" s="586"/>
      <c r="AV1" s="586"/>
      <c r="AW1" s="586"/>
      <c r="AX1" s="586"/>
      <c r="AY1" s="586"/>
      <c r="AZ1" s="586"/>
      <c r="BA1" s="586"/>
      <c r="BB1" s="1079"/>
      <c r="BC1" s="1079"/>
      <c r="BD1" s="1079"/>
      <c r="BE1" s="586"/>
      <c r="BF1" s="586"/>
      <c r="BG1" s="586"/>
      <c r="BH1" s="586"/>
      <c r="BI1" s="586"/>
      <c r="BJ1" s="586"/>
      <c r="BK1" s="586"/>
      <c r="BL1" s="586"/>
      <c r="BM1" s="1079"/>
      <c r="BN1" s="1079"/>
      <c r="BO1" s="1079"/>
      <c r="BP1" s="586"/>
      <c r="BQ1" s="586"/>
      <c r="BR1" s="586"/>
      <c r="BS1" s="586"/>
      <c r="BT1" s="586"/>
      <c r="BU1" s="586"/>
      <c r="BV1" s="586"/>
      <c r="BW1" s="586"/>
      <c r="BX1" s="1079"/>
      <c r="BY1" s="1079"/>
      <c r="BZ1" s="1079"/>
      <c r="CA1" s="586"/>
    </row>
    <row r="2" spans="1:79" ht="16.5" thickBot="1">
      <c r="A2" s="1008"/>
      <c r="B2" s="1009"/>
      <c r="C2" s="1009"/>
      <c r="D2" s="1010" t="s">
        <v>26504</v>
      </c>
      <c r="E2" s="1011"/>
      <c r="F2" s="1011"/>
      <c r="G2" s="1011"/>
      <c r="H2" s="1009"/>
      <c r="I2" s="1009"/>
      <c r="J2" s="1009"/>
      <c r="K2" s="1006"/>
      <c r="L2" s="1006"/>
    </row>
    <row r="3" spans="1:79" customFormat="1" ht="15.75" thickTop="1">
      <c r="A3" s="732"/>
      <c r="B3" s="732"/>
      <c r="C3" s="732"/>
      <c r="D3" s="732"/>
      <c r="E3" s="732"/>
      <c r="F3" s="732"/>
      <c r="G3" s="732"/>
      <c r="H3" s="732"/>
      <c r="I3" s="732"/>
      <c r="J3" s="732"/>
      <c r="K3" s="732"/>
      <c r="L3" s="732"/>
      <c r="O3" s="1081"/>
      <c r="P3" s="1081"/>
      <c r="Q3" s="1081"/>
      <c r="R3" s="1081"/>
      <c r="S3" s="1081"/>
      <c r="T3" s="1081"/>
      <c r="U3" s="1081"/>
      <c r="V3" s="1081"/>
      <c r="W3" s="1081"/>
      <c r="X3" s="1081"/>
      <c r="Y3" s="1081"/>
      <c r="Z3" s="1081"/>
      <c r="AA3" s="1081"/>
      <c r="AB3" s="1081"/>
      <c r="AC3" s="1081"/>
      <c r="AD3" s="1081"/>
      <c r="AE3" s="1081"/>
      <c r="AF3" s="1081"/>
      <c r="AG3" s="1081"/>
      <c r="AH3" s="1081"/>
      <c r="AI3" s="1081"/>
      <c r="AJ3" s="1081"/>
      <c r="AK3" s="1081"/>
      <c r="AL3" s="1081"/>
      <c r="AM3" s="1081"/>
      <c r="AN3" s="1081"/>
      <c r="AO3" s="1081"/>
      <c r="AP3" s="1081"/>
      <c r="AQ3" s="1081"/>
      <c r="AR3" s="1081"/>
      <c r="AS3" s="1081"/>
      <c r="AT3" s="1081"/>
      <c r="AU3" s="1081"/>
      <c r="AV3" s="1081"/>
      <c r="AW3" s="1081"/>
      <c r="AX3" s="1081"/>
      <c r="AY3" s="1081"/>
      <c r="AZ3" s="1081"/>
      <c r="BA3" s="1081"/>
      <c r="BB3" s="1081"/>
      <c r="BC3" s="1081"/>
      <c r="BD3" s="1081"/>
      <c r="BE3" s="1081"/>
      <c r="BF3" s="1081"/>
      <c r="BG3" s="1081"/>
      <c r="BH3" s="1081"/>
      <c r="BI3" s="1081"/>
      <c r="BJ3" s="1081"/>
      <c r="BK3" s="1081"/>
      <c r="BL3" s="1081"/>
      <c r="BM3" s="1081"/>
      <c r="BN3" s="1081"/>
      <c r="BO3" s="1081"/>
      <c r="BP3" s="1081"/>
      <c r="BQ3" s="1081"/>
      <c r="BR3" s="1081"/>
      <c r="BS3" s="1081"/>
      <c r="BT3" s="1081"/>
      <c r="BU3" s="1081"/>
      <c r="BV3" s="1081"/>
      <c r="BW3" s="1081"/>
      <c r="BX3" s="1081"/>
      <c r="BY3" s="1081"/>
      <c r="BZ3" s="1081"/>
      <c r="CA3" s="1081"/>
    </row>
    <row r="4" spans="1:79" customFormat="1" ht="15">
      <c r="A4" s="732"/>
      <c r="B4" s="732"/>
      <c r="C4" s="732"/>
      <c r="D4" s="732"/>
      <c r="E4" s="732"/>
      <c r="F4" s="732"/>
      <c r="G4" s="732"/>
      <c r="H4" s="732"/>
      <c r="I4" s="732"/>
      <c r="J4" s="732"/>
      <c r="K4" s="732"/>
      <c r="L4" s="732"/>
      <c r="O4" s="1081"/>
      <c r="P4" s="1081"/>
      <c r="Q4" s="1081"/>
      <c r="R4" s="1081"/>
      <c r="S4" s="1081"/>
      <c r="T4" s="1081"/>
      <c r="U4" s="1081"/>
      <c r="V4" s="1081"/>
      <c r="W4" s="1081"/>
      <c r="X4" s="1081"/>
      <c r="Y4" s="1081"/>
      <c r="Z4" s="1081"/>
      <c r="AA4" s="1081"/>
      <c r="AB4" s="1081"/>
      <c r="AC4" s="1081"/>
      <c r="AD4" s="1081"/>
      <c r="AE4" s="1081"/>
      <c r="AF4" s="1081"/>
      <c r="AG4" s="1081"/>
      <c r="AH4" s="1081"/>
      <c r="AI4" s="1081"/>
      <c r="AJ4" s="1081"/>
      <c r="AK4" s="1081"/>
      <c r="AL4" s="1081"/>
      <c r="AM4" s="1081"/>
      <c r="AN4" s="1081"/>
      <c r="AO4" s="1081"/>
      <c r="AP4" s="1081"/>
      <c r="AQ4" s="1081"/>
      <c r="AR4" s="1081"/>
      <c r="AS4" s="1081"/>
      <c r="AT4" s="1081"/>
      <c r="AU4" s="1081"/>
      <c r="AV4" s="1081"/>
      <c r="AW4" s="1081"/>
      <c r="AX4" s="1081"/>
      <c r="AY4" s="1081"/>
      <c r="AZ4" s="1081"/>
      <c r="BA4" s="1081"/>
      <c r="BB4" s="1081"/>
      <c r="BC4" s="1081"/>
      <c r="BD4" s="1081"/>
      <c r="BE4" s="1081"/>
      <c r="BF4" s="1081"/>
      <c r="BG4" s="1081"/>
      <c r="BH4" s="1081"/>
      <c r="BI4" s="1081"/>
      <c r="BJ4" s="1081"/>
      <c r="BK4" s="1081"/>
      <c r="BL4" s="1081"/>
      <c r="BM4" s="1081"/>
      <c r="BN4" s="1081"/>
      <c r="BO4" s="1081"/>
      <c r="BP4" s="1081"/>
      <c r="BQ4" s="1081"/>
      <c r="BR4" s="1081"/>
      <c r="BS4" s="1081"/>
      <c r="BT4" s="1081"/>
      <c r="BU4" s="1081"/>
      <c r="BV4" s="1081"/>
      <c r="BW4" s="1081"/>
      <c r="BX4" s="1081"/>
      <c r="BY4" s="1081"/>
      <c r="BZ4" s="1081"/>
      <c r="CA4" s="1081"/>
    </row>
    <row r="5" spans="1:79" s="133" customFormat="1" ht="51">
      <c r="A5" s="1627" t="s">
        <v>25402</v>
      </c>
      <c r="B5" s="1627" t="s">
        <v>25403</v>
      </c>
      <c r="C5" s="1627" t="s">
        <v>25404</v>
      </c>
      <c r="D5" s="1627" t="s">
        <v>197</v>
      </c>
      <c r="E5" s="1627" t="s">
        <v>135</v>
      </c>
      <c r="F5" s="1627" t="s">
        <v>31218</v>
      </c>
      <c r="G5" s="1627" t="s">
        <v>28815</v>
      </c>
      <c r="H5" s="1627" t="s">
        <v>26592</v>
      </c>
      <c r="I5" s="1627" t="s">
        <v>24799</v>
      </c>
      <c r="J5" s="1628" t="s">
        <v>22867</v>
      </c>
      <c r="K5" s="1628" t="s">
        <v>22868</v>
      </c>
      <c r="L5" s="1628" t="s">
        <v>22869</v>
      </c>
      <c r="M5" s="1628" t="s">
        <v>25133</v>
      </c>
      <c r="N5" s="1628"/>
      <c r="O5" s="587" t="s">
        <v>30270</v>
      </c>
      <c r="P5" s="587" t="s">
        <v>30271</v>
      </c>
      <c r="Q5" s="587" t="s">
        <v>30272</v>
      </c>
      <c r="R5" s="587" t="s">
        <v>30273</v>
      </c>
      <c r="S5" s="587" t="s">
        <v>30274</v>
      </c>
      <c r="T5" s="587" t="s">
        <v>30380</v>
      </c>
      <c r="U5" s="587" t="s">
        <v>30275</v>
      </c>
      <c r="V5" s="587" t="s">
        <v>30276</v>
      </c>
      <c r="W5" s="587" t="s">
        <v>30277</v>
      </c>
      <c r="X5" s="587" t="s">
        <v>30278</v>
      </c>
      <c r="Y5" s="588" t="s">
        <v>22733</v>
      </c>
      <c r="Z5" s="589" t="s">
        <v>30279</v>
      </c>
      <c r="AA5" s="589" t="s">
        <v>30280</v>
      </c>
      <c r="AB5" s="589" t="s">
        <v>30281</v>
      </c>
      <c r="AC5" s="589" t="s">
        <v>30282</v>
      </c>
      <c r="AD5" s="589" t="s">
        <v>30283</v>
      </c>
      <c r="AE5" s="589" t="s">
        <v>30381</v>
      </c>
      <c r="AF5" s="589" t="s">
        <v>30284</v>
      </c>
      <c r="AG5" s="589" t="s">
        <v>30285</v>
      </c>
      <c r="AH5" s="589" t="s">
        <v>30286</v>
      </c>
      <c r="AI5" s="589" t="s">
        <v>30287</v>
      </c>
      <c r="AJ5" s="588" t="s">
        <v>22732</v>
      </c>
      <c r="AK5" s="1770" t="s">
        <v>30288</v>
      </c>
      <c r="AL5" s="1770" t="s">
        <v>30289</v>
      </c>
      <c r="AM5" s="1770" t="s">
        <v>30290</v>
      </c>
      <c r="AN5" s="1770" t="s">
        <v>30291</v>
      </c>
      <c r="AO5" s="1770" t="s">
        <v>30292</v>
      </c>
      <c r="AP5" s="1770" t="s">
        <v>30382</v>
      </c>
      <c r="AQ5" s="1770" t="s">
        <v>30293</v>
      </c>
      <c r="AR5" s="1770" t="s">
        <v>30294</v>
      </c>
      <c r="AS5" s="1770" t="s">
        <v>30295</v>
      </c>
      <c r="AT5" s="1770" t="s">
        <v>30296</v>
      </c>
      <c r="AU5" s="588" t="s">
        <v>22731</v>
      </c>
      <c r="AV5" s="1770" t="s">
        <v>30297</v>
      </c>
      <c r="AW5" s="1770" t="s">
        <v>30298</v>
      </c>
      <c r="AX5" s="1770" t="s">
        <v>30299</v>
      </c>
      <c r="AY5" s="1770" t="s">
        <v>30300</v>
      </c>
      <c r="AZ5" s="1770" t="s">
        <v>30301</v>
      </c>
      <c r="BA5" s="1770" t="s">
        <v>30383</v>
      </c>
      <c r="BB5" s="1770" t="s">
        <v>30302</v>
      </c>
      <c r="BC5" s="1770" t="s">
        <v>30303</v>
      </c>
      <c r="BD5" s="1770" t="s">
        <v>30304</v>
      </c>
      <c r="BE5" s="1770" t="s">
        <v>30305</v>
      </c>
      <c r="BF5" s="588" t="s">
        <v>22731</v>
      </c>
      <c r="BG5" s="1770" t="s">
        <v>30306</v>
      </c>
      <c r="BH5" s="1770" t="s">
        <v>30307</v>
      </c>
      <c r="BI5" s="1770" t="s">
        <v>30308</v>
      </c>
      <c r="BJ5" s="1770" t="s">
        <v>30309</v>
      </c>
      <c r="BK5" s="1770" t="s">
        <v>30310</v>
      </c>
      <c r="BL5" s="1770" t="s">
        <v>30384</v>
      </c>
      <c r="BM5" s="1770" t="s">
        <v>30311</v>
      </c>
      <c r="BN5" s="1770" t="s">
        <v>30312</v>
      </c>
      <c r="BO5" s="1770" t="s">
        <v>30313</v>
      </c>
      <c r="BP5" s="1770" t="s">
        <v>30314</v>
      </c>
      <c r="BQ5" s="588" t="s">
        <v>22731</v>
      </c>
      <c r="BR5" s="1770" t="s">
        <v>30315</v>
      </c>
      <c r="BS5" s="1770" t="s">
        <v>30316</v>
      </c>
      <c r="BT5" s="1770" t="s">
        <v>30317</v>
      </c>
      <c r="BU5" s="1770" t="s">
        <v>30318</v>
      </c>
      <c r="BV5" s="1770" t="s">
        <v>30319</v>
      </c>
      <c r="BW5" s="1770" t="s">
        <v>30385</v>
      </c>
      <c r="BX5" s="1770" t="s">
        <v>30320</v>
      </c>
      <c r="BY5" s="1770" t="s">
        <v>30321</v>
      </c>
      <c r="BZ5" s="1770" t="s">
        <v>30322</v>
      </c>
      <c r="CA5" s="1770" t="s">
        <v>30323</v>
      </c>
    </row>
    <row r="6" spans="1:79" s="622" customFormat="1">
      <c r="A6" s="1628">
        <v>0</v>
      </c>
      <c r="B6" s="1628">
        <v>0</v>
      </c>
      <c r="C6" s="1628">
        <v>0</v>
      </c>
      <c r="D6" s="1628">
        <v>0</v>
      </c>
      <c r="E6" s="1628">
        <v>0</v>
      </c>
      <c r="F6" s="1628">
        <v>0</v>
      </c>
      <c r="G6" s="1628"/>
      <c r="H6" s="1628"/>
      <c r="I6" s="1628" t="s">
        <v>22870</v>
      </c>
      <c r="J6" s="1629">
        <v>0</v>
      </c>
      <c r="K6" s="1629">
        <v>0</v>
      </c>
      <c r="L6" s="1629">
        <v>0</v>
      </c>
      <c r="M6" s="1629">
        <v>0</v>
      </c>
      <c r="N6" s="1629"/>
      <c r="O6" s="1082" t="str">
        <f>+IFERROR(P6/ROUNDDOWN(S6,0),"-")</f>
        <v>-</v>
      </c>
      <c r="P6" s="1082" cm="1">
        <f t="array" ref="P6">IF($I6="Dismissioni",IFERROR(DISM(ABS($J6),$A6,$C6,$E6,VALUE(RIGHT(P$5,4)),ifl),0)*-1,IFERROR(IP(ABS($J6),$A6,$C6,$E6,VALUE(RIGHT(P$5,4)),ifl),0))</f>
        <v>0</v>
      </c>
      <c r="Q6" s="1082" cm="1">
        <f t="array" ref="Q6">IF($I6="Dismissioni",IFERROR(FondoAmm_dism(ABS($J6),ABS($K6),$E6,$A6,$C6,VALUE(RIGHT(Q$5,4)),IF($F6&gt;=2020,vite_regolatorie_new,vite_regolatorie),ifl),0)*-1,IFERROR(FondoAmm(ABS($J6),ABS($K6),$E6,$A6,$C6,VALUE(RIGHT(Q$5,4)),IF($E6&gt;=2020,vite_regolatorie_new,vite_regolatorie),ifl),0))</f>
        <v>0</v>
      </c>
      <c r="R6" s="1082">
        <f t="shared" ref="R6" si="0">+P6-Q6</f>
        <v>0</v>
      </c>
      <c r="S6" s="1083">
        <f>IF($I6="Dismissioni",IFERROR(QA_DISM(ABS($J6),ABS($K6),$E6,$A6,$C6,VALUE(RIGHT(S$5,4)),IF($F6&gt;=2020,vite_regolatorie_new,vite_regolatorie),ifl),0)*-1,IFERROR(QA(ABS($J6),ABS($K6),$E6,$A6,$C6,VALUE(RIGHT(S$5,4)),IF($E6&gt;=2020,vite_regolatorie_new,vite_regolatorie),ifl),0))</f>
        <v>0</v>
      </c>
      <c r="T6" s="1082">
        <f t="shared" ref="T6" si="1">+S6-X6</f>
        <v>0</v>
      </c>
      <c r="U6" s="1082">
        <f>IF($I6="Dismissioni",IFERROR(CFP_DISM_A(ABS($L6),$A6,$E6,$C6,VALUE(RIGHT(U$5,4)),ifl)*-1,0),IFERROR(CFP_A(ABS($L6),$A6,$C6,$E6,VALUE(RIGHT(U$5,4)),ifl),0))</f>
        <v>0</v>
      </c>
      <c r="V6" s="1082">
        <f>IF($I6="Dismissioni",IFERROR(FACFP_DISM(ABS($L6),ABS($M6),$E6,$A6,$C6,VALUE(RIGHT(V$5,4)),IF($F6&gt;=2020,vite_regolatorie_new,vite_regolatorie),ifl)*-1,0),IFERROR(FACFP(ABS($L6),ABS($M6),$E6,$A6,$C6,VALUE(RIGHT(V$5,4)),IF($E6&gt;=2020,vite_regolatorie_new,vite_regolatorie),ifl),0))</f>
        <v>0</v>
      </c>
      <c r="W6" s="1082">
        <f t="shared" ref="W6" si="2">+U6-V6</f>
        <v>0</v>
      </c>
      <c r="X6" s="1083">
        <f>IF($I6="Dismissioni",IFERROR(QA_CFP_DISM(ABS($L6),ABS($M6),$E6,$A6,$C6,VALUE(RIGHT(X$5,4)),IF($F6&gt;=2020,vite_regolatorie_new,vite_regolatorie),ifl)*-1,0),IFERROR(QA_CFP(ABS($L6),ABS($M6),$E6,$C6,$A6,VALUE(RIGHT(X$5,4)),IF($E6&gt;=2020,vite_regolatorie_new,vite_regolatorie),ifl),0))</f>
        <v>0</v>
      </c>
      <c r="Y6" s="1084"/>
      <c r="Z6" s="1082" t="str">
        <f>+IFERROR(AA6/ROUNDDOWN(AD6,0),"-")</f>
        <v>-</v>
      </c>
      <c r="AA6" s="1082" cm="1">
        <f t="array" ref="AA6">IF($I6="Dismissioni",IFERROR(DISM(ABS($J6),$A6,$C6,$E6,VALUE(RIGHT(AA$5,4)),ifl),0)*-1,IFERROR(IP(ABS($J6),$A6,$C6,$E6,VALUE(RIGHT(AA$5,4)),ifl),0))</f>
        <v>0</v>
      </c>
      <c r="AB6" s="1082" cm="1">
        <f t="array" ref="AB6">IF($I6="Dismissioni",IFERROR(FondoAmm_dism(ABS($J6),ABS($K6),$E6,$A6,$C6,VALUE(RIGHT(AB$5,4)),IF($F6&gt;=2020,vite_regolatorie_new,vite_regolatorie),ifl),0)*-1,IFERROR(FondoAmm(ABS($J6),ABS($K6),$E6,$A6,$C6,VALUE(RIGHT(AB$5,4)),IF($E6&gt;=2020,vite_regolatorie_new,vite_regolatorie),ifl),0))</f>
        <v>0</v>
      </c>
      <c r="AC6" s="1082">
        <f t="shared" ref="AC6" si="3">+AA6-AB6</f>
        <v>0</v>
      </c>
      <c r="AD6" s="1083">
        <f>IF($I6="Dismissioni",IFERROR(QA_DISM(ABS($J6),ABS($K6),$E6,$A6,$C6,VALUE(RIGHT(AD$5,4)),IF($F6&gt;=2020,vite_regolatorie_new,vite_regolatorie),ifl),0)*-1,IFERROR(QA(ABS($J6),ABS($K6),$E6,$A6,$C6,VALUE(RIGHT(AD$5,4)),IF($E6&gt;=2020,vite_regolatorie_new,vite_regolatorie),ifl),0))</f>
        <v>0</v>
      </c>
      <c r="AE6" s="1082">
        <f t="shared" ref="AE6" si="4">+AD6-AI6</f>
        <v>0</v>
      </c>
      <c r="AF6" s="1082">
        <f>IF($I6="Dismissioni",IFERROR(CFP_DISM_A(ABS($L6),$A6,$E6,$C6,VALUE(RIGHT(AF$5,4)),ifl)*-1,0),IFERROR(CFP_A(ABS($L6),$A6,$C6,$E6,VALUE(RIGHT(AF$5,4)),ifl),0))</f>
        <v>0</v>
      </c>
      <c r="AG6" s="1082">
        <f>IF($I6="Dismissioni",IFERROR(FACFP_DISM(ABS($L6),ABS($M6),$E6,$A6,$C6,VALUE(RIGHT(AG$5,4)),IF($F6&gt;=2020,vite_regolatorie_new,vite_regolatorie),ifl)*-1,0),IFERROR(FACFP(ABS($L6),ABS($M6),$E6,$A6,$C6,VALUE(RIGHT(AG$5,4)),IF($E6&gt;=2020,vite_regolatorie_new,vite_regolatorie),ifl),0))</f>
        <v>0</v>
      </c>
      <c r="AH6" s="1082">
        <f t="shared" ref="AH6" si="5">+AF6-AG6</f>
        <v>0</v>
      </c>
      <c r="AI6" s="1083">
        <f>IF($I6="Dismissioni",IFERROR(QA_CFP_DISM(ABS($L6),ABS($M6),$E6,$A6,$C6,VALUE(RIGHT(AI$5,4)),IF($F6&gt;=2020,vite_regolatorie_new,vite_regolatorie),ifl)*-1,0),IFERROR(QA_CFP(ABS($L6),ABS($M6),$E6,$C6,$A6,VALUE(RIGHT(AI$5,4)),IF($E6&gt;=2020,vite_regolatorie_new,vite_regolatorie),ifl),0))</f>
        <v>0</v>
      </c>
      <c r="AJ6" s="1084"/>
      <c r="AK6" s="1082" t="str">
        <f>+IFERROR(AL6/ROUNDDOWN(AO6,0),"-")</f>
        <v>-</v>
      </c>
      <c r="AL6" s="1082" cm="1">
        <f t="array" ref="AL6">IF($I6="Dismissioni",IFERROR(DISM(ABS($J6),$A6,$C6,$E6,VALUE(RIGHT(AL$5,4)),ifl),0)*-1,IFERROR(IP(ABS($J6),$A6,$C6,$E6,VALUE(RIGHT(AL$5,4)),ifl),0))</f>
        <v>0</v>
      </c>
      <c r="AM6" s="1082" cm="1">
        <f t="array" ref="AM6">IF($I6="Dismissioni",IFERROR(FondoAmm_dism(ABS($J6),ABS($K6),$E6,$A6,$C6,VALUE(RIGHT(AM$5,4)),IF($F6&gt;=2020,vite_regolatorie_new,vite_regolatorie),ifl),0)*-1,IFERROR(FondoAmm(ABS($J6),ABS($K6),$E6,$A6,$C6,VALUE(RIGHT(AM$5,4)),IF($E6&gt;=2020,vite_regolatorie_new,vite_regolatorie),ifl),0))</f>
        <v>0</v>
      </c>
      <c r="AN6" s="1082">
        <f t="shared" ref="AN6" si="6">+AL6-AM6</f>
        <v>0</v>
      </c>
      <c r="AO6" s="1083">
        <f>IF($I6="Dismissioni",IFERROR(QA_DISM(ABS($J6),ABS($K6),$E6,$A6,$C6,VALUE(RIGHT(AO$5,4)),IF($F6&gt;=2020,vite_regolatorie_new,vite_regolatorie),ifl),0)*-1,IFERROR(QA(ABS($J6),ABS($K6),$E6,$A6,$C6,VALUE(RIGHT(AO$5,4)),IF($E6&gt;=2020,vite_regolatorie_new,vite_regolatorie),ifl),0))</f>
        <v>0</v>
      </c>
      <c r="AP6" s="1082">
        <f t="shared" ref="AP6" si="7">+AO6-AT6</f>
        <v>0</v>
      </c>
      <c r="AQ6" s="1082">
        <f>IF($I6="Dismissioni",IFERROR(CFP_DISM_A(ABS($L6),$A6,$E6,$C6,VALUE(RIGHT(AQ$5,4)),ifl)*-1,0),IFERROR(CFP_A(ABS($L6),$A6,$C6,$E6,VALUE(RIGHT(AQ$5,4)),ifl),0))</f>
        <v>0</v>
      </c>
      <c r="AR6" s="1082">
        <f>IF($I6="Dismissioni",IFERROR(FACFP_DISM(ABS($L6),ABS($M6),$E6,$A6,$C6,VALUE(RIGHT(AR$5,4)),IF($F6&gt;=2020,vite_regolatorie_new,vite_regolatorie),ifl)*-1,0),IFERROR(FACFP(ABS($L6),ABS($M6),$E6,$A6,$C6,VALUE(RIGHT(AR$5,4)),IF($E6&gt;=2020,vite_regolatorie_new,vite_regolatorie),ifl),0))</f>
        <v>0</v>
      </c>
      <c r="AS6" s="1082">
        <f t="shared" ref="AS6" si="8">+AQ6-AR6</f>
        <v>0</v>
      </c>
      <c r="AT6" s="1083">
        <f>IF($I6="Dismissioni",IFERROR(QA_CFP_DISM(ABS($L6),ABS($M6),$E6,$A6,$C6,VALUE(RIGHT(AT$5,4)),IF($F6&gt;=2020,vite_regolatorie_new,vite_regolatorie),ifl)*-1,0),IFERROR(QA_CFP(ABS($L6),ABS($M6),$E6,$C6,$A6,VALUE(RIGHT(AT$5,4)),IF($E6&gt;=2020,vite_regolatorie_new,vite_regolatorie),ifl),0))</f>
        <v>0</v>
      </c>
      <c r="AU6" s="1084"/>
      <c r="AV6" s="1082" t="str">
        <f>+IFERROR(AW6/ROUNDDOWN(AZ6,0),"-")</f>
        <v>-</v>
      </c>
      <c r="AW6" s="1082" cm="1">
        <f t="array" ref="AW6">IF($I6="Dismissioni",IFERROR(DISM(ABS($J6),$A6,$C6,$E6,VALUE(RIGHT(AW$5,4)),ifl),0)*-1,IFERROR(IP(ABS($J6),$A6,$C6,$E6,VALUE(RIGHT(AW$5,4)),ifl),0))</f>
        <v>0</v>
      </c>
      <c r="AX6" s="1082" cm="1">
        <f t="array" ref="AX6">IF($I6="Dismissioni",IFERROR(FondoAmm_dism(ABS($J6),ABS($K6),$E6,$A6,$C6,VALUE(RIGHT(AX$5,4)),IF($F6&gt;=2020,vite_regolatorie_new,vite_regolatorie),ifl),0)*-1,IFERROR(FondoAmm(ABS($J6),ABS($K6),$E6,$A6,$C6,VALUE(RIGHT(AX$5,4)),IF($E6&gt;=2020,vite_regolatorie_new,vite_regolatorie),ifl),0))</f>
        <v>0</v>
      </c>
      <c r="AY6" s="1082">
        <f t="shared" ref="AY6" si="9">+AW6-AX6</f>
        <v>0</v>
      </c>
      <c r="AZ6" s="1083">
        <f>IF($I6="Dismissioni",IFERROR(QA_DISM(ABS($J6),ABS($K6),$E6,$A6,$C6,VALUE(RIGHT(AZ$5,4)),IF($F6&gt;=2020,vite_regolatorie_new,vite_regolatorie),ifl),0)*-1,IFERROR(QA(ABS($J6),ABS($K6),$E6,$A6,$C6,VALUE(RIGHT(AZ$5,4)),IF($E6&gt;=2020,vite_regolatorie_new,vite_regolatorie),ifl),0))</f>
        <v>0</v>
      </c>
      <c r="BA6" s="1082">
        <f t="shared" ref="BA6" si="10">+AZ6-BE6</f>
        <v>0</v>
      </c>
      <c r="BB6" s="1082">
        <f>IF($I6="Dismissioni",IFERROR(CFP_DISM_A(ABS($L6),$A6,$E6,$C6,VALUE(RIGHT(BB$5,4)),ifl)*-1,0),IFERROR(CFP_A(ABS($L6),$A6,$C6,$E6,VALUE(RIGHT(BB$5,4)),ifl),0))</f>
        <v>0</v>
      </c>
      <c r="BC6" s="1082">
        <f>IF($I6="Dismissioni",IFERROR(FACFP_DISM(ABS($L6),ABS($M6),$E6,$A6,$C6,VALUE(RIGHT(BC$5,4)),IF($F6&gt;=2020,vite_regolatorie_new,vite_regolatorie),ifl)*-1,0),IFERROR(FACFP(ABS($L6),ABS($M6),$E6,$A6,$C6,VALUE(RIGHT(BC$5,4)),IF($E6&gt;=2020,vite_regolatorie_new,vite_regolatorie),ifl),0))</f>
        <v>0</v>
      </c>
      <c r="BD6" s="1082">
        <f t="shared" ref="BD6" si="11">+BB6-BC6</f>
        <v>0</v>
      </c>
      <c r="BE6" s="1083">
        <f>IF($I6="Dismissioni",IFERROR(QA_CFP_DISM(ABS($L6),ABS($M6),$E6,$A6,$C6,VALUE(RIGHT(BE$5,4)),IF($F6&gt;=2020,vite_regolatorie_new,vite_regolatorie),ifl)*-1,0),IFERROR(QA_CFP(ABS($L6),ABS($M6),$E6,$C6,$A6,VALUE(RIGHT(BE$5,4)),IF($E6&gt;=2020,vite_regolatorie_new,vite_regolatorie),ifl),0))</f>
        <v>0</v>
      </c>
      <c r="BF6" s="1084"/>
      <c r="BG6" s="1082" t="str">
        <f>+IFERROR(BH6/ROUNDDOWN(BK6,0),"-")</f>
        <v>-</v>
      </c>
      <c r="BH6" s="1082" cm="1">
        <f t="array" ref="BH6">IF($I6="Dismissioni",IFERROR(DISM(ABS($J6),$A6,$C6,$E6,VALUE(RIGHT(BH$5,4)),ifl),0)*-1,IFERROR(IP(ABS($J6),$A6,$C6,$E6,VALUE(RIGHT(BH$5,4)),ifl),0))</f>
        <v>0</v>
      </c>
      <c r="BI6" s="1082" cm="1">
        <f t="array" ref="BI6">IF($I6="Dismissioni",IFERROR(FondoAmm_dism(ABS($J6),ABS($K6),$E6,$A6,$C6,VALUE(RIGHT(BI$5,4)),IF($F6&gt;=2020,vite_regolatorie_new,vite_regolatorie),ifl),0)*-1,IFERROR(FondoAmm(ABS($J6),ABS($K6),$E6,$A6,$C6,VALUE(RIGHT(BI$5,4)),IF($E6&gt;=2020,vite_regolatorie_new,vite_regolatorie),ifl),0))</f>
        <v>0</v>
      </c>
      <c r="BJ6" s="1082">
        <f t="shared" ref="BJ6" si="12">+BH6-BI6</f>
        <v>0</v>
      </c>
      <c r="BK6" s="1083">
        <f>IF($I6="Dismissioni",IFERROR(QA_DISM(ABS($J6),ABS($K6),$E6,$A6,$C6,VALUE(RIGHT(BK$5,4)),IF($F6&gt;=2020,vite_regolatorie_new,vite_regolatorie),ifl),0)*-1,IFERROR(QA(ABS($J6),ABS($K6),$E6,$A6,$C6,VALUE(RIGHT(BK$5,4)),IF($E6&gt;=2020,vite_regolatorie_new,vite_regolatorie),ifl),0))</f>
        <v>0</v>
      </c>
      <c r="BL6" s="1082">
        <f t="shared" ref="BL6" si="13">+BK6-BP6</f>
        <v>0</v>
      </c>
      <c r="BM6" s="1082">
        <f>IF($I6="Dismissioni",IFERROR(CFP_DISM_A(ABS($L6),$A6,$E6,$C6,VALUE(RIGHT(BM$5,4)),ifl)*-1,0),IFERROR(CFP_A(ABS($L6),$A6,$C6,$E6,VALUE(RIGHT(BM$5,4)),ifl),0))</f>
        <v>0</v>
      </c>
      <c r="BN6" s="1082">
        <f>IF($I6="Dismissioni",IFERROR(FACFP_DISM(ABS($L6),ABS($M6),$E6,$A6,$C6,VALUE(RIGHT(BN$5,4)),IF($F6&gt;=2020,vite_regolatorie_new,vite_regolatorie),ifl)*-1,0),IFERROR(FACFP(ABS($L6),ABS($M6),$E6,$A6,$C6,VALUE(RIGHT(BN$5,4)),IF($E6&gt;=2020,vite_regolatorie_new,vite_regolatorie),ifl),0))</f>
        <v>0</v>
      </c>
      <c r="BO6" s="1082">
        <f t="shared" ref="BO6" si="14">+BM6-BN6</f>
        <v>0</v>
      </c>
      <c r="BP6" s="1083">
        <f>IF($I6="Dismissioni",IFERROR(QA_CFP_DISM(ABS($L6),ABS($M6),$E6,$A6,$C6,VALUE(RIGHT(BP$5,4)),IF($F6&gt;=2020,vite_regolatorie_new,vite_regolatorie),ifl)*-1,0),IFERROR(QA_CFP(ABS($L6),ABS($M6),$E6,$C6,$A6,VALUE(RIGHT(BP$5,4)),IF($E6&gt;=2020,vite_regolatorie_new,vite_regolatorie),ifl),0))</f>
        <v>0</v>
      </c>
      <c r="BQ6" s="1084"/>
      <c r="BR6" s="1082" t="str">
        <f>+IFERROR(BS6/ROUNDDOWN(BV6,0),"-")</f>
        <v>-</v>
      </c>
      <c r="BS6" s="1082" cm="1">
        <f t="array" ref="BS6">IF($I6="Dismissioni",IFERROR(DISM(ABS($J6),$A6,$C6,$E6,VALUE(RIGHT(BS$5,4)),ifl),0)*-1,IFERROR(IP(ABS($J6),$A6,$C6,$E6,VALUE(RIGHT(BS$5,4)),ifl),0))</f>
        <v>0</v>
      </c>
      <c r="BT6" s="1082" cm="1">
        <f t="array" ref="BT6">IF($I6="Dismissioni",IFERROR(FondoAmm_dism(ABS($J6),ABS($K6),$E6,$A6,$C6,VALUE(RIGHT(BT$5,4)),IF($F6&gt;=2020,vite_regolatorie_new,vite_regolatorie),ifl),0)*-1,IFERROR(FondoAmm(ABS($J6),ABS($K6),$E6,$A6,$C6,VALUE(RIGHT(BT$5,4)),IF($E6&gt;=2020,vite_regolatorie_new,vite_regolatorie),ifl),0))</f>
        <v>0</v>
      </c>
      <c r="BU6" s="1082">
        <f t="shared" ref="BU6" si="15">+BS6-BT6</f>
        <v>0</v>
      </c>
      <c r="BV6" s="1083">
        <f>IF($I6="Dismissioni",IFERROR(QA_DISM(ABS($J6),ABS($K6),$E6,$A6,$C6,VALUE(RIGHT(BV$5,4)),IF($F6&gt;=2020,vite_regolatorie_new,vite_regolatorie),ifl),0)*-1,IFERROR(QA(ABS($J6),ABS($K6),$E6,$A6,$C6,VALUE(RIGHT(BV$5,4)),IF($E6&gt;=2020,vite_regolatorie_new,vite_regolatorie),ifl),0))</f>
        <v>0</v>
      </c>
      <c r="BW6" s="1082">
        <f t="shared" ref="BW6" si="16">+BV6-CA6</f>
        <v>0</v>
      </c>
      <c r="BX6" s="1082">
        <f>IF($I6="Dismissioni",IFERROR(CFP_DISM_A(ABS($L6),$A6,$E6,$C6,VALUE(RIGHT(BX$5,4)),ifl)*-1,0),IFERROR(CFP_A(ABS($L6),$A6,$C6,$E6,VALUE(RIGHT(BX$5,4)),ifl),0))</f>
        <v>0</v>
      </c>
      <c r="BY6" s="1082">
        <f>IF($I6="Dismissioni",IFERROR(FACFP_DISM(ABS($L6),ABS($M6),$E6,$A6,$C6,VALUE(RIGHT(BY$5,4)),IF($F6&gt;=2020,vite_regolatorie_new,vite_regolatorie),ifl)*-1,0),IFERROR(FACFP(ABS($L6),ABS($M6),$E6,$A6,$C6,VALUE(RIGHT(BY$5,4)),IF($E6&gt;=2020,vite_regolatorie_new,vite_regolatorie),ifl),0))</f>
        <v>0</v>
      </c>
      <c r="BZ6" s="1082">
        <f t="shared" ref="BZ6" si="17">+BX6-BY6</f>
        <v>0</v>
      </c>
      <c r="CA6" s="1083">
        <f>IF($I6="Dismissioni",IFERROR(QA_CFP_DISM(ABS($L6),ABS($M6),$E6,$A6,$C6,VALUE(RIGHT(CA$5,4)),IF($F6&gt;=2020,vite_regolatorie_new,vite_regolatorie),ifl)*-1,0),IFERROR(QA_CFP(ABS($L6),ABS($M6),$E6,$C6,$A6,VALUE(RIGHT(CA$5,4)),IF($E6&gt;=2020,vite_regolatorie_new,vite_regolatorie),ifl),0))</f>
        <v>0</v>
      </c>
    </row>
    <row r="7" spans="1:79" ht="15">
      <c r="A7"/>
      <c r="B7"/>
      <c r="C7"/>
      <c r="D7"/>
      <c r="E7"/>
      <c r="F7"/>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row>
    <row r="8" spans="1:79" ht="15">
      <c r="A8"/>
      <c r="B8"/>
      <c r="C8"/>
      <c r="D8"/>
      <c r="E8"/>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row>
    <row r="9" spans="1:79" ht="15">
      <c r="A9"/>
      <c r="B9"/>
      <c r="C9"/>
      <c r="D9"/>
      <c r="E9"/>
      <c r="F9"/>
      <c r="G9"/>
      <c r="H9"/>
      <c r="I9"/>
      <c r="J9"/>
      <c r="K9"/>
      <c r="L9"/>
      <c r="M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row>
    <row r="10" spans="1:79" ht="15">
      <c r="A10"/>
      <c r="B10"/>
      <c r="C10"/>
      <c r="D10"/>
      <c r="E10"/>
      <c r="F10"/>
      <c r="G10"/>
      <c r="H10"/>
      <c r="I10"/>
      <c r="J10"/>
      <c r="K10"/>
      <c r="L10"/>
      <c r="M10"/>
      <c r="O10"/>
      <c r="P10" s="621"/>
      <c r="Q10" s="621"/>
      <c r="S10" s="621"/>
      <c r="T10" s="621"/>
      <c r="U10" s="621"/>
      <c r="V10" s="621"/>
      <c r="W10" s="621"/>
      <c r="X10" s="621"/>
      <c r="Y10" s="621"/>
      <c r="Z10" s="621"/>
      <c r="AA10" s="621"/>
      <c r="AB10" s="621"/>
      <c r="AC10" s="621"/>
      <c r="AD10" s="621"/>
      <c r="AE10" s="621"/>
      <c r="AF10" s="621"/>
      <c r="AG10" s="621"/>
      <c r="AH10" s="621"/>
      <c r="AI10" s="621"/>
      <c r="AJ10" s="621"/>
      <c r="AK10" s="621"/>
      <c r="AL10" s="621"/>
      <c r="AM10" s="621"/>
      <c r="AN10" s="621"/>
      <c r="AO10" s="621"/>
      <c r="AP10" s="621"/>
      <c r="AQ10" s="621"/>
      <c r="AR10" s="621"/>
      <c r="AS10" s="621"/>
      <c r="AT10" s="621"/>
      <c r="AU10" s="621"/>
      <c r="AV10" s="621"/>
      <c r="AW10" s="621"/>
      <c r="AX10" s="621"/>
      <c r="AY10" s="621"/>
      <c r="AZ10" s="621"/>
      <c r="BA10" s="621"/>
      <c r="BB10" s="621"/>
      <c r="BC10" s="621"/>
      <c r="BD10" s="621"/>
      <c r="BE10" s="621"/>
      <c r="BF10" s="621"/>
      <c r="BG10" s="621"/>
      <c r="BH10" s="621"/>
      <c r="BI10" s="621"/>
      <c r="BJ10" s="621"/>
      <c r="BK10" s="621"/>
      <c r="BL10" s="621"/>
      <c r="BM10" s="621"/>
      <c r="BN10" s="621"/>
      <c r="BO10" s="621"/>
      <c r="BP10" s="621"/>
      <c r="BQ10" s="621"/>
      <c r="BS10" s="621"/>
      <c r="BT10" s="2376"/>
      <c r="BU10" s="621"/>
      <c r="BV10" s="621"/>
      <c r="BW10" s="621"/>
      <c r="BX10" s="621"/>
      <c r="BY10" s="621"/>
      <c r="BZ10" s="621"/>
      <c r="CA10" s="621"/>
    </row>
    <row r="11" spans="1:79" ht="15">
      <c r="A11"/>
      <c r="B11"/>
      <c r="C11"/>
      <c r="D11"/>
      <c r="E11"/>
      <c r="F11"/>
      <c r="G11"/>
      <c r="H11"/>
      <c r="I11"/>
      <c r="J11"/>
      <c r="K11"/>
      <c r="L11"/>
      <c r="M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row>
    <row r="12" spans="1:79" ht="15">
      <c r="A12"/>
      <c r="B12"/>
      <c r="C12"/>
      <c r="D12"/>
      <c r="E12"/>
      <c r="F12"/>
      <c r="G12"/>
      <c r="H12"/>
      <c r="I12"/>
      <c r="J12"/>
      <c r="K12"/>
      <c r="L12"/>
      <c r="M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row>
    <row r="13" spans="1:79" ht="15">
      <c r="A13"/>
      <c r="B13"/>
      <c r="C13"/>
      <c r="D13"/>
      <c r="E13"/>
      <c r="F13"/>
      <c r="G13"/>
      <c r="H13"/>
      <c r="I13"/>
      <c r="J13"/>
      <c r="K13"/>
      <c r="L13"/>
      <c r="M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row>
    <row r="14" spans="1:79" ht="15">
      <c r="A14"/>
      <c r="B14"/>
      <c r="C14"/>
      <c r="D14"/>
      <c r="E14"/>
      <c r="F14"/>
      <c r="G14"/>
      <c r="H14"/>
      <c r="I14"/>
      <c r="J14"/>
      <c r="K14"/>
      <c r="L14"/>
      <c r="M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row>
    <row r="15" spans="1:79" ht="15">
      <c r="A15"/>
      <c r="B15"/>
      <c r="C15"/>
      <c r="D15"/>
      <c r="E15"/>
      <c r="F15"/>
      <c r="G15"/>
      <c r="H15"/>
      <c r="I15"/>
      <c r="J15"/>
      <c r="K15"/>
      <c r="L15"/>
      <c r="M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row>
    <row r="16" spans="1:79" ht="15">
      <c r="A16"/>
      <c r="B16"/>
      <c r="C16"/>
      <c r="D16"/>
      <c r="E16"/>
      <c r="F16"/>
      <c r="G16"/>
      <c r="H16"/>
      <c r="I16"/>
      <c r="J16"/>
      <c r="K16"/>
      <c r="L16"/>
      <c r="M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row>
    <row r="17" spans="1:79" ht="15">
      <c r="A17"/>
      <c r="B17"/>
      <c r="C17"/>
      <c r="D17"/>
      <c r="E17"/>
      <c r="F17"/>
      <c r="G17"/>
      <c r="H17"/>
      <c r="I17"/>
      <c r="J17"/>
      <c r="K17"/>
      <c r="L17"/>
      <c r="M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row>
    <row r="18" spans="1:79" ht="15">
      <c r="A18"/>
      <c r="B18"/>
      <c r="C18"/>
      <c r="D18"/>
      <c r="E18"/>
      <c r="F18"/>
      <c r="G18"/>
      <c r="H18"/>
      <c r="I18"/>
      <c r="J18"/>
      <c r="K18"/>
      <c r="L18"/>
      <c r="M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row>
    <row r="19" spans="1:79" ht="15">
      <c r="A19"/>
      <c r="B19"/>
      <c r="C19"/>
      <c r="D19"/>
      <c r="E19"/>
      <c r="F19"/>
      <c r="G19"/>
      <c r="H19"/>
      <c r="I19"/>
      <c r="J19"/>
      <c r="K19"/>
      <c r="L19"/>
      <c r="M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row>
    <row r="20" spans="1:79" ht="15">
      <c r="A20"/>
      <c r="B20"/>
      <c r="C20"/>
      <c r="D20"/>
      <c r="E20"/>
      <c r="F20"/>
      <c r="G20"/>
      <c r="H20"/>
      <c r="I20"/>
      <c r="J20"/>
      <c r="K20"/>
      <c r="L20"/>
      <c r="M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row>
    <row r="21" spans="1:79" ht="15">
      <c r="A21"/>
      <c r="B21"/>
      <c r="C21"/>
      <c r="D21"/>
      <c r="E21"/>
      <c r="F21"/>
      <c r="G21"/>
      <c r="H21"/>
      <c r="I21"/>
      <c r="J21"/>
      <c r="K21"/>
      <c r="L21"/>
      <c r="M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row>
    <row r="22" spans="1:79" ht="15">
      <c r="A22"/>
      <c r="B22"/>
      <c r="C22"/>
      <c r="D22"/>
      <c r="E22"/>
      <c r="F22"/>
      <c r="G22"/>
      <c r="H22"/>
      <c r="I22"/>
      <c r="J22"/>
      <c r="K22"/>
      <c r="L22"/>
      <c r="M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row>
    <row r="23" spans="1:79" ht="15">
      <c r="A23"/>
      <c r="B23"/>
      <c r="C23"/>
      <c r="D23"/>
      <c r="E23"/>
      <c r="F23"/>
      <c r="G23"/>
      <c r="H23"/>
      <c r="I23"/>
      <c r="J23"/>
      <c r="K23"/>
      <c r="L23"/>
      <c r="M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row>
    <row r="24" spans="1:79" ht="15">
      <c r="A24"/>
      <c r="B24"/>
      <c r="C24"/>
      <c r="D24"/>
      <c r="E24"/>
      <c r="F24"/>
      <c r="G24"/>
      <c r="H24"/>
      <c r="I24"/>
      <c r="J24"/>
      <c r="K24"/>
      <c r="L24"/>
      <c r="M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row>
    <row r="25" spans="1:79" ht="15">
      <c r="A25"/>
      <c r="B25"/>
      <c r="C25"/>
      <c r="D25"/>
      <c r="E25"/>
      <c r="F25"/>
      <c r="G25"/>
      <c r="H25"/>
      <c r="I25"/>
      <c r="J25"/>
      <c r="K25"/>
      <c r="L25"/>
      <c r="M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row>
    <row r="26" spans="1:79" ht="15">
      <c r="A26"/>
      <c r="B26"/>
      <c r="C26"/>
      <c r="D26"/>
      <c r="E26"/>
      <c r="F26"/>
      <c r="G26"/>
      <c r="H26"/>
      <c r="I26"/>
      <c r="J26"/>
      <c r="K26"/>
      <c r="L26"/>
      <c r="M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row>
    <row r="27" spans="1:79" ht="15">
      <c r="A27"/>
      <c r="B27"/>
      <c r="C27"/>
      <c r="D27"/>
      <c r="E27"/>
      <c r="F27"/>
      <c r="G27"/>
      <c r="H27"/>
      <c r="I27"/>
      <c r="J27"/>
      <c r="K27"/>
      <c r="L27"/>
      <c r="M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row>
    <row r="28" spans="1:79" ht="15">
      <c r="A28"/>
      <c r="B28"/>
      <c r="C28"/>
      <c r="D28"/>
      <c r="E28"/>
      <c r="F28"/>
      <c r="G28"/>
      <c r="H28"/>
      <c r="I28"/>
      <c r="J28"/>
      <c r="K28"/>
      <c r="L28"/>
      <c r="M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row>
    <row r="29" spans="1:79" ht="15">
      <c r="A29"/>
      <c r="B29"/>
      <c r="C29"/>
      <c r="D29"/>
      <c r="E29"/>
      <c r="F29"/>
      <c r="G29"/>
      <c r="H29"/>
      <c r="I29"/>
      <c r="J29"/>
      <c r="K29"/>
      <c r="L29"/>
      <c r="M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row>
    <row r="30" spans="1:79" ht="15">
      <c r="A30"/>
      <c r="B30"/>
      <c r="C30"/>
      <c r="D30"/>
      <c r="E30"/>
      <c r="F30"/>
      <c r="G30"/>
      <c r="H30"/>
      <c r="I30"/>
      <c r="J30"/>
      <c r="K30"/>
      <c r="L30"/>
      <c r="M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row>
    <row r="31" spans="1:79" ht="15">
      <c r="A31"/>
      <c r="B31"/>
      <c r="C31"/>
      <c r="D31"/>
      <c r="E31"/>
      <c r="F31"/>
      <c r="G31"/>
      <c r="H31"/>
      <c r="I31"/>
      <c r="J31"/>
      <c r="K31"/>
      <c r="L31"/>
      <c r="M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row>
    <row r="32" spans="1:79" ht="15">
      <c r="A32"/>
      <c r="B32"/>
      <c r="C32"/>
      <c r="D32"/>
      <c r="E32"/>
      <c r="F32"/>
      <c r="G32"/>
      <c r="H32"/>
      <c r="I32"/>
      <c r="J32"/>
      <c r="K32"/>
      <c r="L32"/>
      <c r="M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row>
    <row r="33" spans="1:79" ht="15">
      <c r="A33"/>
      <c r="B33"/>
      <c r="C33"/>
      <c r="D33"/>
      <c r="E33"/>
      <c r="F33"/>
      <c r="G33"/>
      <c r="H33"/>
      <c r="I33"/>
      <c r="J33"/>
      <c r="K33"/>
      <c r="L33"/>
      <c r="M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row>
    <row r="34" spans="1:79" ht="15">
      <c r="A34"/>
      <c r="B34"/>
      <c r="C34"/>
      <c r="D34"/>
      <c r="E34"/>
      <c r="F34"/>
      <c r="G34"/>
      <c r="H34"/>
      <c r="I34"/>
      <c r="J34"/>
      <c r="K34"/>
      <c r="L34"/>
      <c r="M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row>
    <row r="35" spans="1:79" ht="15">
      <c r="A35"/>
      <c r="B35"/>
      <c r="C35"/>
      <c r="D35"/>
      <c r="E35"/>
      <c r="F35"/>
      <c r="G35"/>
      <c r="H35"/>
      <c r="I35"/>
      <c r="J35"/>
      <c r="K35"/>
      <c r="L35"/>
      <c r="M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row>
    <row r="36" spans="1:79" ht="15">
      <c r="A36"/>
      <c r="B36"/>
      <c r="C36"/>
      <c r="D36"/>
      <c r="E36"/>
      <c r="F36"/>
      <c r="G36"/>
      <c r="H36"/>
      <c r="I36"/>
      <c r="J36"/>
      <c r="K36"/>
      <c r="L36"/>
      <c r="M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row>
    <row r="37" spans="1:79" ht="15">
      <c r="A37"/>
      <c r="B37"/>
      <c r="C37"/>
      <c r="D37"/>
      <c r="E37"/>
      <c r="F37"/>
      <c r="G37"/>
      <c r="H37"/>
      <c r="I37"/>
      <c r="J37"/>
      <c r="K37"/>
      <c r="L37"/>
      <c r="M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row>
    <row r="38" spans="1:79" ht="15">
      <c r="A38"/>
      <c r="B38"/>
      <c r="C38"/>
      <c r="D38"/>
      <c r="E38"/>
      <c r="F38"/>
      <c r="G38"/>
      <c r="H38"/>
      <c r="I38"/>
      <c r="J38"/>
      <c r="K38"/>
      <c r="L38"/>
      <c r="M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row>
    <row r="39" spans="1:79" ht="15">
      <c r="A39"/>
      <c r="B39"/>
      <c r="C39"/>
      <c r="D39"/>
      <c r="E39"/>
      <c r="F39"/>
      <c r="G39"/>
      <c r="H39"/>
      <c r="I39"/>
      <c r="J39"/>
      <c r="K39"/>
      <c r="L39"/>
      <c r="M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row>
    <row r="40" spans="1:79" ht="15">
      <c r="A40"/>
      <c r="B40"/>
      <c r="C40"/>
      <c r="D40"/>
      <c r="E40"/>
      <c r="F40"/>
      <c r="G40"/>
      <c r="H40"/>
      <c r="I40"/>
      <c r="J40"/>
      <c r="K40"/>
      <c r="L40"/>
      <c r="M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row>
    <row r="41" spans="1:79" ht="15">
      <c r="A41"/>
      <c r="B41"/>
      <c r="C41"/>
      <c r="D41"/>
      <c r="E41"/>
      <c r="F41"/>
      <c r="G41"/>
      <c r="H41"/>
      <c r="I41"/>
      <c r="J41"/>
      <c r="K41"/>
      <c r="L41"/>
      <c r="M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row>
    <row r="42" spans="1:79" ht="15">
      <c r="A42"/>
      <c r="B42"/>
      <c r="C42"/>
      <c r="D42"/>
      <c r="E42"/>
      <c r="F42"/>
      <c r="G42"/>
      <c r="H42"/>
      <c r="I42"/>
      <c r="J42"/>
      <c r="K42"/>
      <c r="L42"/>
      <c r="M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row>
    <row r="43" spans="1:79" ht="15">
      <c r="A43"/>
      <c r="B43"/>
      <c r="C43"/>
      <c r="D43"/>
      <c r="E43"/>
      <c r="F43"/>
      <c r="G43"/>
      <c r="H43"/>
      <c r="I43"/>
      <c r="J43"/>
      <c r="K43"/>
      <c r="L43"/>
      <c r="M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row>
    <row r="44" spans="1:79" ht="15">
      <c r="A44"/>
      <c r="B44"/>
      <c r="C44"/>
      <c r="D44"/>
      <c r="E44"/>
      <c r="F44"/>
      <c r="G44"/>
      <c r="H44"/>
      <c r="I44"/>
      <c r="J44"/>
      <c r="K44"/>
      <c r="L44"/>
      <c r="M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row>
    <row r="45" spans="1:79" ht="15">
      <c r="A45"/>
      <c r="B45"/>
      <c r="C45"/>
      <c r="D45"/>
      <c r="E45"/>
      <c r="F45"/>
      <c r="G45"/>
      <c r="H45"/>
      <c r="I45"/>
      <c r="J45"/>
      <c r="K45"/>
      <c r="L45"/>
      <c r="M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row>
    <row r="46" spans="1:79" ht="15">
      <c r="A46"/>
      <c r="B46"/>
      <c r="C46"/>
      <c r="D46"/>
      <c r="E46"/>
      <c r="F46"/>
      <c r="G46"/>
      <c r="H46"/>
      <c r="I46"/>
      <c r="J46"/>
      <c r="K46"/>
      <c r="L46"/>
      <c r="M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row>
    <row r="47" spans="1:79" ht="15">
      <c r="A47"/>
      <c r="B47"/>
      <c r="C47"/>
      <c r="D47"/>
      <c r="E47"/>
      <c r="F47"/>
      <c r="G47"/>
      <c r="H47"/>
      <c r="I47"/>
      <c r="J47"/>
      <c r="K47"/>
      <c r="L47"/>
      <c r="M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row>
    <row r="48" spans="1:79" ht="15">
      <c r="A48"/>
      <c r="B48"/>
      <c r="C48"/>
      <c r="D48"/>
      <c r="E48"/>
      <c r="F48"/>
      <c r="G48"/>
      <c r="H48"/>
      <c r="I48"/>
      <c r="J48"/>
      <c r="K48"/>
      <c r="L48"/>
      <c r="M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row>
    <row r="49" spans="1:79" ht="15">
      <c r="A49"/>
      <c r="B49"/>
      <c r="C49"/>
      <c r="D49"/>
      <c r="E49"/>
      <c r="F49"/>
      <c r="G49"/>
      <c r="H49"/>
      <c r="I49"/>
      <c r="J49"/>
      <c r="K49"/>
      <c r="L49"/>
      <c r="M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row>
    <row r="50" spans="1:79" ht="15">
      <c r="A50"/>
      <c r="B50"/>
      <c r="C50"/>
      <c r="D50"/>
      <c r="E50"/>
      <c r="F50"/>
      <c r="G50"/>
      <c r="H50"/>
      <c r="I50"/>
      <c r="J50"/>
      <c r="K50"/>
      <c r="L50"/>
      <c r="M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row>
    <row r="51" spans="1:79" ht="15">
      <c r="A51"/>
      <c r="B51"/>
      <c r="C51"/>
      <c r="D51"/>
      <c r="E51"/>
      <c r="F51"/>
      <c r="G51"/>
      <c r="H51"/>
      <c r="I51"/>
      <c r="J51"/>
      <c r="K51"/>
      <c r="L51"/>
      <c r="M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row>
    <row r="52" spans="1:79" ht="15">
      <c r="A52"/>
      <c r="B52"/>
      <c r="C52"/>
      <c r="D52"/>
      <c r="E52"/>
      <c r="F52"/>
      <c r="G52"/>
      <c r="H52"/>
      <c r="I52"/>
      <c r="J52"/>
      <c r="K52"/>
      <c r="L52"/>
      <c r="M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row>
    <row r="53" spans="1:79" ht="15">
      <c r="A53"/>
      <c r="B53"/>
      <c r="C53"/>
      <c r="D53"/>
      <c r="E53"/>
      <c r="F53"/>
      <c r="G53"/>
      <c r="H53"/>
      <c r="I53"/>
      <c r="J53"/>
      <c r="K53"/>
      <c r="L53"/>
      <c r="M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row>
    <row r="54" spans="1:79" ht="15">
      <c r="A54"/>
      <c r="B54"/>
      <c r="C54"/>
      <c r="D54"/>
      <c r="E54"/>
      <c r="F54"/>
      <c r="G54"/>
      <c r="H54"/>
      <c r="I54"/>
      <c r="J54"/>
      <c r="K54"/>
      <c r="L54"/>
      <c r="M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row>
    <row r="55" spans="1:79" ht="15">
      <c r="A55"/>
      <c r="B55"/>
      <c r="C55"/>
      <c r="D55"/>
      <c r="E55"/>
      <c r="F55"/>
      <c r="G55"/>
      <c r="H55"/>
      <c r="I55"/>
      <c r="J55"/>
      <c r="K55"/>
      <c r="L55"/>
      <c r="M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row>
    <row r="56" spans="1:79" ht="15">
      <c r="A56"/>
      <c r="B56"/>
      <c r="C56"/>
      <c r="D56"/>
      <c r="E56"/>
      <c r="F56"/>
      <c r="G56"/>
      <c r="H56"/>
      <c r="I56"/>
      <c r="J56"/>
      <c r="K56"/>
      <c r="L56"/>
      <c r="M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row>
    <row r="57" spans="1:79" ht="15">
      <c r="A57"/>
      <c r="B57"/>
      <c r="C57"/>
      <c r="D57"/>
      <c r="E57"/>
      <c r="F57"/>
      <c r="G57"/>
      <c r="H57"/>
      <c r="I57"/>
      <c r="J57"/>
      <c r="K57"/>
      <c r="L57"/>
      <c r="M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row>
    <row r="58" spans="1:79" ht="15">
      <c r="A58"/>
      <c r="B58"/>
      <c r="C58"/>
      <c r="D58"/>
      <c r="E58"/>
      <c r="F58"/>
      <c r="G58"/>
      <c r="H58"/>
      <c r="I58"/>
      <c r="J58"/>
      <c r="K58"/>
      <c r="L58"/>
      <c r="M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row>
    <row r="59" spans="1:79" ht="15">
      <c r="A59"/>
      <c r="B59"/>
      <c r="C59"/>
      <c r="D59"/>
      <c r="E59"/>
      <c r="F59"/>
      <c r="G59"/>
      <c r="H59"/>
      <c r="I59"/>
      <c r="J59"/>
      <c r="K59"/>
      <c r="L59"/>
      <c r="M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row>
    <row r="60" spans="1:79" ht="15">
      <c r="A60"/>
      <c r="B60"/>
      <c r="C60"/>
      <c r="D60"/>
      <c r="E60"/>
      <c r="F60"/>
      <c r="G60"/>
      <c r="H60"/>
      <c r="I60"/>
      <c r="J60"/>
      <c r="K60"/>
      <c r="L60"/>
      <c r="M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row>
    <row r="61" spans="1:79" ht="15">
      <c r="A61"/>
      <c r="B61"/>
      <c r="C61"/>
      <c r="D61"/>
      <c r="E61"/>
      <c r="F61"/>
      <c r="G61"/>
      <c r="H61"/>
      <c r="I61"/>
      <c r="J61"/>
      <c r="K61"/>
      <c r="L61"/>
      <c r="M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row>
    <row r="62" spans="1:79" ht="15">
      <c r="A62"/>
      <c r="B62"/>
      <c r="C62"/>
      <c r="D62"/>
      <c r="E62"/>
      <c r="F62"/>
      <c r="G62"/>
      <c r="H62"/>
      <c r="I62"/>
      <c r="J62"/>
      <c r="K62"/>
      <c r="L62"/>
      <c r="M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row>
    <row r="63" spans="1:79" ht="15">
      <c r="A63"/>
      <c r="B63"/>
      <c r="C63"/>
      <c r="D63"/>
      <c r="E63"/>
      <c r="F63"/>
      <c r="G63"/>
      <c r="H63"/>
      <c r="I63"/>
      <c r="J63"/>
      <c r="K63"/>
      <c r="L63"/>
      <c r="M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row>
    <row r="64" spans="1:79" ht="15">
      <c r="A64"/>
      <c r="B64"/>
      <c r="C64"/>
      <c r="D64"/>
      <c r="E64"/>
      <c r="F64"/>
      <c r="G64"/>
      <c r="H64"/>
      <c r="I64"/>
      <c r="J64"/>
      <c r="K64"/>
      <c r="L64"/>
      <c r="M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row>
    <row r="65" spans="1:79" ht="15">
      <c r="A65"/>
      <c r="B65"/>
      <c r="C65"/>
      <c r="D65"/>
      <c r="E65"/>
      <c r="F65"/>
      <c r="G65"/>
      <c r="H65"/>
      <c r="I65"/>
      <c r="J65"/>
      <c r="K65"/>
      <c r="L65"/>
      <c r="M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row>
    <row r="66" spans="1:79" ht="15">
      <c r="A66"/>
      <c r="B66"/>
      <c r="C66"/>
      <c r="D66"/>
      <c r="E66"/>
      <c r="F66"/>
      <c r="G66"/>
      <c r="H66"/>
      <c r="I66"/>
      <c r="J66"/>
      <c r="K66"/>
      <c r="L66"/>
      <c r="M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79" ht="15">
      <c r="A67"/>
      <c r="B67"/>
      <c r="C67"/>
      <c r="D67"/>
      <c r="E67"/>
      <c r="F67"/>
      <c r="G67"/>
      <c r="H67"/>
      <c r="I67"/>
      <c r="J67"/>
      <c r="K67"/>
      <c r="L67"/>
      <c r="M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79" ht="15">
      <c r="A68"/>
      <c r="B68"/>
      <c r="C68"/>
      <c r="D68"/>
      <c r="E68"/>
      <c r="F68"/>
      <c r="G68"/>
      <c r="H68"/>
      <c r="I68"/>
      <c r="J68"/>
      <c r="K68"/>
      <c r="L68"/>
      <c r="M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79" ht="15">
      <c r="A69"/>
      <c r="B69"/>
      <c r="C69"/>
      <c r="D69"/>
      <c r="E69"/>
      <c r="F69"/>
      <c r="G69"/>
      <c r="H69"/>
      <c r="I69"/>
      <c r="J69"/>
      <c r="K69"/>
      <c r="L69"/>
      <c r="M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79" ht="15">
      <c r="A70"/>
      <c r="B70"/>
      <c r="C70"/>
      <c r="D70"/>
      <c r="E70"/>
      <c r="F70"/>
      <c r="G70"/>
      <c r="H70"/>
      <c r="I70"/>
      <c r="J70"/>
      <c r="K70"/>
      <c r="L70"/>
      <c r="M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79" ht="15">
      <c r="A71"/>
      <c r="B71"/>
      <c r="C71"/>
      <c r="D71"/>
      <c r="E71"/>
      <c r="F71"/>
      <c r="G71"/>
      <c r="H71"/>
      <c r="I71"/>
      <c r="J71"/>
      <c r="K71"/>
      <c r="L71"/>
      <c r="M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79" ht="15">
      <c r="A72"/>
      <c r="B72"/>
      <c r="C72"/>
      <c r="D72"/>
      <c r="E72"/>
      <c r="F72"/>
      <c r="G72"/>
      <c r="H72"/>
      <c r="I72"/>
      <c r="J72"/>
      <c r="K72"/>
      <c r="L72"/>
      <c r="M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79" ht="15">
      <c r="A73"/>
      <c r="B73"/>
      <c r="C73"/>
      <c r="D73"/>
      <c r="E73"/>
      <c r="F73"/>
      <c r="G73"/>
      <c r="H73"/>
      <c r="I73"/>
      <c r="J73"/>
      <c r="K73"/>
      <c r="L73"/>
      <c r="M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79" ht="15">
      <c r="A74"/>
      <c r="B74"/>
      <c r="C74"/>
      <c r="D74"/>
      <c r="E74"/>
      <c r="F74"/>
      <c r="G74"/>
      <c r="H74"/>
      <c r="I74"/>
      <c r="J74"/>
      <c r="K74"/>
      <c r="L74"/>
      <c r="M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79" ht="15">
      <c r="A75"/>
      <c r="B75"/>
      <c r="C75"/>
      <c r="D75"/>
      <c r="E75"/>
      <c r="F75"/>
      <c r="G75"/>
      <c r="H75"/>
      <c r="I75"/>
      <c r="J75"/>
      <c r="K75"/>
      <c r="L75"/>
      <c r="M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79" ht="15">
      <c r="A76"/>
      <c r="B76"/>
      <c r="C76"/>
      <c r="D76"/>
      <c r="E76"/>
      <c r="F76"/>
      <c r="G76"/>
      <c r="H76"/>
      <c r="I76"/>
      <c r="J76"/>
      <c r="K76"/>
      <c r="L76"/>
      <c r="M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79" ht="15">
      <c r="A77"/>
      <c r="B77"/>
      <c r="C77"/>
      <c r="D77"/>
      <c r="E77"/>
      <c r="F77"/>
      <c r="G77"/>
      <c r="H77"/>
      <c r="I77"/>
      <c r="J77"/>
      <c r="K77"/>
      <c r="L77"/>
      <c r="M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79" ht="15">
      <c r="A78"/>
      <c r="B78"/>
      <c r="C78"/>
      <c r="D78"/>
      <c r="E78"/>
      <c r="F78"/>
      <c r="G78"/>
      <c r="H78"/>
      <c r="I78"/>
      <c r="J78"/>
      <c r="K78"/>
      <c r="L78"/>
      <c r="M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79" ht="15">
      <c r="A79"/>
      <c r="B79"/>
      <c r="C79"/>
      <c r="D79"/>
      <c r="E79"/>
      <c r="F79"/>
      <c r="G79"/>
      <c r="H79"/>
      <c r="I79"/>
      <c r="J79"/>
      <c r="K79"/>
      <c r="L79"/>
      <c r="M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79" ht="15">
      <c r="A80"/>
      <c r="B80"/>
      <c r="C80"/>
      <c r="D80"/>
      <c r="E80"/>
      <c r="F80"/>
      <c r="G80"/>
      <c r="H80"/>
      <c r="I80"/>
      <c r="J80"/>
      <c r="K80"/>
      <c r="L80"/>
      <c r="M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ht="15">
      <c r="A81"/>
      <c r="B81"/>
      <c r="C81"/>
      <c r="D81"/>
      <c r="E81"/>
      <c r="F81"/>
      <c r="G81"/>
      <c r="H81"/>
      <c r="I81"/>
      <c r="J81"/>
      <c r="K81"/>
      <c r="L81"/>
      <c r="M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ht="15">
      <c r="A82"/>
      <c r="B82"/>
      <c r="C82"/>
      <c r="D82"/>
      <c r="E82"/>
      <c r="F82"/>
      <c r="G82"/>
      <c r="H82"/>
      <c r="I82"/>
      <c r="J82"/>
      <c r="K82"/>
      <c r="L82"/>
      <c r="M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c r="B83"/>
      <c r="C83"/>
      <c r="D83"/>
      <c r="E83"/>
      <c r="F83"/>
      <c r="G83"/>
      <c r="H83"/>
      <c r="I83"/>
      <c r="J83"/>
      <c r="K83"/>
      <c r="L83"/>
      <c r="M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A84"/>
      <c r="B84"/>
      <c r="C84"/>
      <c r="D84"/>
      <c r="E84"/>
      <c r="F84"/>
      <c r="G84"/>
      <c r="H84"/>
      <c r="I84"/>
      <c r="J84"/>
      <c r="K84"/>
      <c r="L84"/>
      <c r="M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A85"/>
      <c r="B85"/>
      <c r="C85"/>
      <c r="D85"/>
      <c r="E85"/>
      <c r="F85"/>
      <c r="G85"/>
      <c r="H85"/>
      <c r="I85"/>
      <c r="J85"/>
      <c r="K85"/>
      <c r="L85"/>
      <c r="M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ht="15">
      <c r="A86"/>
      <c r="B86"/>
      <c r="C86"/>
      <c r="D86"/>
      <c r="E86"/>
      <c r="F86"/>
      <c r="G86"/>
      <c r="H86"/>
      <c r="I86"/>
      <c r="J86"/>
      <c r="K86"/>
      <c r="L86"/>
      <c r="M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ht="15">
      <c r="A87"/>
      <c r="B87"/>
      <c r="C87"/>
      <c r="D87"/>
      <c r="E87"/>
      <c r="F87"/>
      <c r="G87"/>
      <c r="H87"/>
      <c r="I87"/>
      <c r="J87"/>
      <c r="K87"/>
      <c r="L87"/>
      <c r="M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ht="15">
      <c r="A88"/>
      <c r="B88"/>
      <c r="C88"/>
      <c r="D88"/>
      <c r="E88"/>
      <c r="F88"/>
      <c r="G88"/>
      <c r="H88"/>
      <c r="I88"/>
      <c r="J88"/>
      <c r="K88"/>
      <c r="L88"/>
      <c r="M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ht="15">
      <c r="A89"/>
      <c r="B89"/>
      <c r="C89"/>
      <c r="D89"/>
      <c r="E89"/>
      <c r="F89"/>
      <c r="G89"/>
      <c r="H89"/>
      <c r="I89"/>
      <c r="J89"/>
      <c r="K89"/>
      <c r="L89"/>
      <c r="M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ht="15">
      <c r="A90"/>
      <c r="B90"/>
      <c r="C90"/>
      <c r="D90"/>
      <c r="E90"/>
      <c r="F90"/>
      <c r="G90"/>
      <c r="H90"/>
      <c r="I90"/>
      <c r="J90"/>
      <c r="K90"/>
      <c r="L90"/>
      <c r="M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ht="15">
      <c r="A91"/>
      <c r="B91"/>
      <c r="C91"/>
      <c r="D91"/>
      <c r="E91"/>
      <c r="F91"/>
      <c r="G91"/>
      <c r="H91"/>
      <c r="I91"/>
      <c r="J91"/>
      <c r="K91"/>
      <c r="L91"/>
      <c r="M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ht="15">
      <c r="A92"/>
      <c r="B92"/>
      <c r="C92"/>
      <c r="D92"/>
      <c r="E92"/>
      <c r="F92"/>
      <c r="G92"/>
      <c r="H92"/>
      <c r="I92"/>
      <c r="J92"/>
      <c r="K92"/>
      <c r="L92"/>
      <c r="M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ht="15">
      <c r="A93"/>
      <c r="B93"/>
      <c r="C93"/>
      <c r="D93"/>
      <c r="E93"/>
      <c r="F93"/>
      <c r="G93"/>
      <c r="H93"/>
      <c r="I93"/>
      <c r="J93"/>
      <c r="K93"/>
      <c r="L93"/>
      <c r="M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ht="15">
      <c r="A94"/>
      <c r="B94"/>
      <c r="C94"/>
      <c r="D94"/>
      <c r="E94"/>
      <c r="F94"/>
      <c r="G94"/>
      <c r="H94"/>
      <c r="I94"/>
      <c r="J94"/>
      <c r="K94"/>
      <c r="L94"/>
      <c r="M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ht="15">
      <c r="A95"/>
      <c r="B95"/>
      <c r="C95"/>
      <c r="D95"/>
      <c r="E95"/>
      <c r="F95"/>
      <c r="G95"/>
      <c r="H95"/>
      <c r="I95"/>
      <c r="J95"/>
      <c r="K95"/>
      <c r="L95"/>
      <c r="M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ht="15">
      <c r="A96"/>
      <c r="B96"/>
      <c r="C96"/>
      <c r="D96"/>
      <c r="E96"/>
      <c r="F96"/>
      <c r="G96"/>
      <c r="H96"/>
      <c r="I96"/>
      <c r="J96"/>
      <c r="K96"/>
      <c r="L96"/>
      <c r="M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1:79" ht="15">
      <c r="A97"/>
      <c r="B97"/>
      <c r="C97"/>
      <c r="D97"/>
      <c r="E97"/>
      <c r="F97"/>
      <c r="G97"/>
      <c r="H97"/>
      <c r="I97"/>
      <c r="J97"/>
      <c r="K97"/>
      <c r="L97"/>
      <c r="M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1:79" ht="15">
      <c r="A98"/>
      <c r="B98"/>
      <c r="C98"/>
      <c r="D98"/>
      <c r="E98"/>
      <c r="F98"/>
      <c r="G98"/>
      <c r="H98"/>
      <c r="I98"/>
      <c r="J98"/>
      <c r="K98"/>
      <c r="L98"/>
      <c r="M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1:79" ht="15">
      <c r="A99"/>
      <c r="B99"/>
      <c r="C99"/>
      <c r="D99"/>
      <c r="E99"/>
      <c r="F99"/>
      <c r="G99"/>
      <c r="H99"/>
      <c r="I99"/>
      <c r="J99"/>
      <c r="K99"/>
      <c r="L99"/>
      <c r="M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1:79" ht="15">
      <c r="A100"/>
      <c r="B100"/>
      <c r="C100"/>
      <c r="D100"/>
      <c r="E100"/>
      <c r="F100"/>
      <c r="G100"/>
      <c r="H100"/>
      <c r="I100"/>
      <c r="J100"/>
      <c r="K100"/>
      <c r="L100"/>
      <c r="M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1:79" ht="15">
      <c r="A101"/>
      <c r="B101"/>
      <c r="C101"/>
      <c r="D101"/>
      <c r="E101"/>
      <c r="F101"/>
      <c r="G101"/>
      <c r="H101"/>
      <c r="I101"/>
      <c r="J101"/>
      <c r="K101"/>
      <c r="L101"/>
      <c r="M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1:79" ht="15">
      <c r="A102"/>
      <c r="B102"/>
      <c r="C102"/>
      <c r="D102"/>
      <c r="E102"/>
      <c r="F102"/>
      <c r="G102"/>
      <c r="H102"/>
      <c r="I102"/>
      <c r="J102"/>
      <c r="K102"/>
      <c r="L102"/>
      <c r="M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1:79" ht="15">
      <c r="A103"/>
      <c r="B103"/>
      <c r="C103"/>
      <c r="D103"/>
      <c r="E103"/>
      <c r="F103"/>
      <c r="G103"/>
      <c r="H103"/>
      <c r="I103"/>
      <c r="J103"/>
      <c r="K103"/>
      <c r="L103"/>
      <c r="M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1:79" ht="15">
      <c r="A104"/>
      <c r="B104"/>
      <c r="C104"/>
      <c r="D104"/>
      <c r="E104"/>
      <c r="F104"/>
      <c r="G104"/>
      <c r="H104"/>
      <c r="I104"/>
      <c r="J104"/>
      <c r="K104"/>
      <c r="L104"/>
      <c r="M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1:79" ht="15">
      <c r="A105"/>
      <c r="B105"/>
      <c r="C105"/>
      <c r="D105"/>
      <c r="E105"/>
      <c r="F105"/>
      <c r="G105"/>
      <c r="H105"/>
      <c r="I105"/>
      <c r="J105"/>
      <c r="K105"/>
      <c r="L105"/>
      <c r="M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1:79" ht="15">
      <c r="A106"/>
      <c r="B106"/>
      <c r="C106"/>
      <c r="D106"/>
      <c r="E106"/>
      <c r="F106"/>
      <c r="G106"/>
      <c r="H106"/>
      <c r="I106"/>
      <c r="J106"/>
      <c r="K106"/>
      <c r="L106"/>
      <c r="M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1:79" ht="15">
      <c r="A107"/>
      <c r="B107"/>
      <c r="C107"/>
      <c r="D107"/>
      <c r="E107"/>
      <c r="F107"/>
      <c r="G107"/>
      <c r="H107"/>
      <c r="I107"/>
      <c r="J107"/>
      <c r="K107"/>
      <c r="L107"/>
      <c r="M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1:79" ht="15">
      <c r="A108"/>
      <c r="B108"/>
      <c r="C108"/>
      <c r="D108"/>
      <c r="E108"/>
      <c r="F108"/>
      <c r="G108"/>
      <c r="H108"/>
      <c r="I108"/>
      <c r="J108"/>
      <c r="K108"/>
      <c r="L108"/>
      <c r="M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1:79" ht="15">
      <c r="A109"/>
      <c r="B109"/>
      <c r="C109"/>
      <c r="D109"/>
      <c r="E109"/>
      <c r="F109"/>
      <c r="G109"/>
      <c r="H109"/>
      <c r="I109"/>
      <c r="J109"/>
      <c r="K109"/>
      <c r="L109"/>
      <c r="M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1:79" ht="15">
      <c r="A110"/>
      <c r="B110"/>
      <c r="C110"/>
      <c r="D110"/>
      <c r="E110"/>
      <c r="F110"/>
      <c r="G110"/>
      <c r="H110"/>
      <c r="I110"/>
      <c r="J110"/>
      <c r="K110"/>
      <c r="L110"/>
      <c r="M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1:79" ht="15">
      <c r="A111"/>
      <c r="B111"/>
      <c r="C111"/>
      <c r="D111"/>
      <c r="E111"/>
      <c r="F111"/>
      <c r="G111"/>
      <c r="H111"/>
      <c r="I111"/>
      <c r="J111"/>
      <c r="K111"/>
      <c r="L111"/>
      <c r="M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1:79" ht="15">
      <c r="A112"/>
      <c r="B112"/>
      <c r="C112"/>
      <c r="D112"/>
      <c r="E112"/>
      <c r="F112"/>
      <c r="G112"/>
      <c r="H112"/>
      <c r="I112"/>
      <c r="J112"/>
      <c r="K112"/>
      <c r="L112"/>
      <c r="M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ht="15">
      <c r="A113"/>
      <c r="B113"/>
      <c r="C113"/>
      <c r="D113"/>
      <c r="E113"/>
      <c r="F113"/>
      <c r="G113"/>
      <c r="H113"/>
      <c r="I113"/>
      <c r="J113"/>
      <c r="K113"/>
      <c r="L113"/>
      <c r="M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ht="15">
      <c r="A114"/>
      <c r="B114"/>
      <c r="C114"/>
      <c r="D114"/>
      <c r="E114"/>
      <c r="F114"/>
      <c r="G114"/>
      <c r="H114"/>
      <c r="I114"/>
      <c r="J114"/>
      <c r="K114"/>
      <c r="L114"/>
      <c r="M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ht="15">
      <c r="A115"/>
      <c r="B115"/>
      <c r="C115"/>
      <c r="D115"/>
      <c r="E115"/>
      <c r="F115"/>
      <c r="G115"/>
      <c r="H115"/>
      <c r="I115"/>
      <c r="J115"/>
      <c r="K115"/>
      <c r="L115"/>
      <c r="M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ht="15">
      <c r="A116"/>
      <c r="B116"/>
      <c r="C116"/>
      <c r="D116"/>
      <c r="E116"/>
      <c r="F116"/>
      <c r="G116"/>
      <c r="H116"/>
      <c r="I116"/>
      <c r="J116"/>
      <c r="K116"/>
      <c r="L116"/>
      <c r="M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ht="15">
      <c r="A117"/>
      <c r="B117"/>
      <c r="C117"/>
      <c r="D117"/>
      <c r="E117"/>
      <c r="F117"/>
      <c r="G117"/>
      <c r="H117"/>
      <c r="I117"/>
      <c r="J117"/>
      <c r="K117"/>
      <c r="L117"/>
      <c r="M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ht="15">
      <c r="A118"/>
      <c r="B118"/>
      <c r="C118"/>
      <c r="D118"/>
      <c r="E118"/>
      <c r="F118"/>
      <c r="G118"/>
      <c r="H118"/>
      <c r="I118"/>
      <c r="J118"/>
      <c r="K118"/>
      <c r="L118"/>
      <c r="M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ht="15">
      <c r="A119"/>
      <c r="B119"/>
      <c r="C119"/>
      <c r="D119"/>
      <c r="E119"/>
      <c r="F119"/>
      <c r="G119"/>
      <c r="H119"/>
      <c r="I119"/>
      <c r="J119"/>
      <c r="K119"/>
      <c r="L119"/>
      <c r="M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c r="B120"/>
      <c r="C120"/>
      <c r="D120"/>
      <c r="E120"/>
      <c r="F120"/>
      <c r="G120"/>
      <c r="H120"/>
      <c r="I120"/>
      <c r="J120"/>
      <c r="K120"/>
      <c r="L120"/>
      <c r="M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A121"/>
      <c r="B121"/>
      <c r="C121"/>
      <c r="D121"/>
      <c r="E121"/>
      <c r="F121"/>
      <c r="G121"/>
      <c r="H121"/>
      <c r="I121"/>
      <c r="J121"/>
      <c r="K121"/>
      <c r="L121"/>
      <c r="M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A122"/>
      <c r="B122"/>
      <c r="C122"/>
      <c r="D122"/>
      <c r="E122"/>
      <c r="F122"/>
      <c r="G122"/>
      <c r="H122"/>
      <c r="I122"/>
      <c r="J122"/>
      <c r="K122"/>
      <c r="L122"/>
      <c r="M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ht="15">
      <c r="A123"/>
      <c r="B123"/>
      <c r="C123"/>
      <c r="D123"/>
      <c r="E123"/>
      <c r="F123"/>
      <c r="G123"/>
      <c r="H123"/>
      <c r="I123"/>
      <c r="J123"/>
      <c r="K123"/>
      <c r="L123"/>
      <c r="M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ht="15">
      <c r="A124"/>
      <c r="B124"/>
      <c r="C124"/>
      <c r="D124"/>
      <c r="E124"/>
      <c r="F124"/>
      <c r="G124"/>
      <c r="H124"/>
      <c r="I124"/>
      <c r="J124"/>
      <c r="K124"/>
      <c r="L124"/>
      <c r="M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ht="15">
      <c r="A125"/>
      <c r="B125"/>
      <c r="C125"/>
      <c r="D125"/>
      <c r="E125"/>
      <c r="F125"/>
      <c r="G125"/>
      <c r="H125"/>
      <c r="I125"/>
      <c r="J125"/>
      <c r="K125"/>
      <c r="L125"/>
      <c r="M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ht="15">
      <c r="A126"/>
      <c r="B126"/>
      <c r="C126"/>
      <c r="D126"/>
      <c r="E126"/>
      <c r="F126"/>
      <c r="G126"/>
      <c r="H126"/>
      <c r="I126"/>
      <c r="J126"/>
      <c r="K126"/>
      <c r="L126"/>
      <c r="M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ht="15">
      <c r="A127"/>
      <c r="B127"/>
      <c r="C127"/>
      <c r="D127"/>
      <c r="E127"/>
      <c r="F127"/>
      <c r="G127"/>
      <c r="H127"/>
      <c r="I127"/>
      <c r="J127"/>
      <c r="K127"/>
      <c r="L127"/>
      <c r="M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ht="15">
      <c r="A128"/>
      <c r="B128"/>
      <c r="C128"/>
      <c r="D128"/>
      <c r="E128"/>
      <c r="F128"/>
      <c r="G128"/>
      <c r="H128"/>
      <c r="I128"/>
      <c r="J128"/>
      <c r="K128"/>
      <c r="L128"/>
      <c r="M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1:79" ht="15">
      <c r="A129"/>
      <c r="B129"/>
      <c r="C129"/>
      <c r="D129"/>
      <c r="E129"/>
      <c r="F129"/>
      <c r="G129"/>
      <c r="H129"/>
      <c r="I129"/>
      <c r="J129"/>
      <c r="K129"/>
      <c r="L129"/>
      <c r="M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1:79" ht="15">
      <c r="A130"/>
      <c r="B130"/>
      <c r="C130"/>
      <c r="D130"/>
      <c r="E130"/>
      <c r="F130"/>
      <c r="G130"/>
      <c r="H130"/>
      <c r="I130"/>
      <c r="J130"/>
      <c r="K130"/>
      <c r="L130"/>
      <c r="M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1:79" ht="15">
      <c r="A131"/>
      <c r="B131"/>
      <c r="C131"/>
      <c r="D131"/>
      <c r="E131"/>
      <c r="F131"/>
      <c r="G131"/>
      <c r="H131"/>
      <c r="I131"/>
      <c r="J131"/>
      <c r="K131"/>
      <c r="L131"/>
      <c r="M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1:79" ht="15">
      <c r="A132"/>
      <c r="B132"/>
      <c r="C132"/>
      <c r="D132"/>
      <c r="E132"/>
      <c r="F132"/>
      <c r="G132"/>
      <c r="H132"/>
      <c r="I132"/>
      <c r="J132"/>
      <c r="K132"/>
      <c r="L132"/>
      <c r="M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1:79" ht="15">
      <c r="A133"/>
      <c r="B133"/>
      <c r="C133"/>
      <c r="D133"/>
      <c r="E133"/>
      <c r="F133"/>
      <c r="G133"/>
      <c r="H133"/>
      <c r="I133"/>
      <c r="J133"/>
      <c r="K133"/>
      <c r="L133"/>
      <c r="M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1:79" ht="15">
      <c r="A134"/>
      <c r="B134"/>
      <c r="C134"/>
      <c r="D134"/>
      <c r="E134"/>
      <c r="F134"/>
      <c r="G134"/>
      <c r="H134"/>
      <c r="I134"/>
      <c r="J134"/>
      <c r="K134"/>
      <c r="L134"/>
      <c r="M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1:79" ht="15">
      <c r="A135"/>
      <c r="B135"/>
      <c r="C135"/>
      <c r="D135"/>
      <c r="E135"/>
      <c r="F135"/>
      <c r="G135"/>
      <c r="H135"/>
      <c r="I135"/>
      <c r="J135"/>
      <c r="K135"/>
      <c r="L135"/>
      <c r="M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1:79" ht="15">
      <c r="A136"/>
      <c r="B136"/>
      <c r="C136"/>
      <c r="D136"/>
      <c r="E136"/>
      <c r="F136"/>
      <c r="G136"/>
      <c r="H136"/>
      <c r="I136"/>
      <c r="J136"/>
      <c r="K136"/>
      <c r="L136"/>
      <c r="M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1:79" ht="15">
      <c r="A137"/>
      <c r="B137"/>
      <c r="C137"/>
      <c r="D137"/>
      <c r="E137"/>
      <c r="F137"/>
      <c r="G137"/>
      <c r="H137"/>
      <c r="I137"/>
      <c r="J137"/>
      <c r="K137"/>
      <c r="L137"/>
      <c r="M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1:79" ht="15">
      <c r="A138"/>
      <c r="B138"/>
      <c r="C138"/>
      <c r="D138"/>
      <c r="E138"/>
      <c r="F138"/>
      <c r="G138"/>
      <c r="H138"/>
      <c r="I138"/>
      <c r="J138"/>
      <c r="K138"/>
      <c r="L138"/>
      <c r="M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1:79" ht="15">
      <c r="A139"/>
      <c r="B139"/>
      <c r="C139"/>
      <c r="D139"/>
      <c r="E139"/>
      <c r="F139"/>
      <c r="G139"/>
      <c r="H139"/>
      <c r="I139"/>
      <c r="J139"/>
      <c r="K139"/>
      <c r="L139"/>
      <c r="M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1:79" ht="15">
      <c r="A140"/>
      <c r="B140"/>
      <c r="C140"/>
      <c r="D140"/>
      <c r="E140"/>
      <c r="F140"/>
      <c r="G140"/>
      <c r="H140"/>
      <c r="I140"/>
      <c r="J140"/>
      <c r="K140"/>
      <c r="L140"/>
      <c r="M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1:79" ht="15">
      <c r="A141"/>
      <c r="B141"/>
      <c r="C141"/>
      <c r="D141"/>
      <c r="E141"/>
      <c r="F141"/>
      <c r="G141"/>
      <c r="H141"/>
      <c r="I141"/>
      <c r="J141"/>
      <c r="K141"/>
      <c r="L141"/>
      <c r="M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1:79" ht="15">
      <c r="A142"/>
      <c r="B142"/>
      <c r="C142"/>
      <c r="D142"/>
      <c r="E142"/>
      <c r="F142"/>
      <c r="G142"/>
      <c r="H142"/>
      <c r="I142"/>
      <c r="J142"/>
      <c r="K142"/>
      <c r="L142"/>
      <c r="M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1:79" ht="15">
      <c r="A143"/>
      <c r="B143"/>
      <c r="C143"/>
      <c r="D143"/>
      <c r="E143"/>
      <c r="F143"/>
      <c r="G143"/>
      <c r="H143"/>
      <c r="I143"/>
      <c r="J143"/>
      <c r="K143"/>
      <c r="L143"/>
      <c r="M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1:79" ht="15">
      <c r="A144"/>
      <c r="B144"/>
      <c r="C144"/>
      <c r="D144"/>
      <c r="E144"/>
      <c r="F144"/>
      <c r="G144"/>
      <c r="H144"/>
      <c r="I144"/>
      <c r="J144"/>
      <c r="K144"/>
      <c r="L144"/>
      <c r="M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1:79" ht="15">
      <c r="A145"/>
      <c r="B145"/>
      <c r="C145"/>
      <c r="D145"/>
      <c r="E145"/>
      <c r="F145"/>
      <c r="G145"/>
      <c r="H145"/>
      <c r="I145"/>
      <c r="J145"/>
      <c r="K145"/>
      <c r="L145"/>
      <c r="M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1:79" ht="15">
      <c r="A146"/>
      <c r="B146"/>
      <c r="C146"/>
      <c r="D146"/>
      <c r="E146"/>
      <c r="F146"/>
      <c r="G146"/>
      <c r="H146"/>
      <c r="I146"/>
      <c r="J146"/>
      <c r="K146"/>
      <c r="L146"/>
      <c r="M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1:79" ht="15">
      <c r="A147"/>
      <c r="B147"/>
      <c r="C147"/>
      <c r="D147"/>
      <c r="E147"/>
      <c r="F147"/>
      <c r="G147"/>
      <c r="H147"/>
      <c r="I147"/>
      <c r="J147"/>
      <c r="K147"/>
      <c r="L147"/>
      <c r="M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1:79" ht="15">
      <c r="A148"/>
      <c r="B148"/>
      <c r="C148"/>
      <c r="D148"/>
      <c r="E148"/>
      <c r="F148"/>
      <c r="G148"/>
      <c r="H148"/>
      <c r="I148"/>
      <c r="J148"/>
      <c r="K148"/>
      <c r="L148"/>
      <c r="M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1:79" ht="15">
      <c r="A149"/>
      <c r="B149"/>
      <c r="C149"/>
      <c r="D149"/>
      <c r="E149"/>
      <c r="F149"/>
      <c r="G149"/>
      <c r="H149"/>
      <c r="I149"/>
      <c r="J149"/>
      <c r="K149"/>
      <c r="L149"/>
      <c r="M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1:79" ht="15">
      <c r="A150"/>
      <c r="B150"/>
      <c r="C150"/>
      <c r="D150"/>
      <c r="E150"/>
      <c r="F150"/>
      <c r="G150"/>
      <c r="H150"/>
      <c r="I150"/>
      <c r="J150"/>
      <c r="K150"/>
      <c r="L150"/>
      <c r="M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row>
    <row r="151" spans="1:79" ht="15">
      <c r="A151"/>
      <c r="B151"/>
      <c r="C151"/>
      <c r="D151"/>
      <c r="E151"/>
      <c r="F151"/>
      <c r="G151"/>
      <c r="H151"/>
      <c r="I151"/>
      <c r="J151"/>
      <c r="K151"/>
      <c r="L151"/>
      <c r="M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row>
    <row r="152" spans="1:79" ht="15">
      <c r="A152"/>
      <c r="B152"/>
      <c r="C152"/>
      <c r="D152"/>
      <c r="E152"/>
      <c r="F152"/>
      <c r="G152"/>
      <c r="H152"/>
      <c r="I152"/>
      <c r="J152"/>
      <c r="K152"/>
      <c r="L152"/>
      <c r="M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row>
    <row r="153" spans="1:79" ht="15">
      <c r="A153"/>
      <c r="B153"/>
      <c r="C153"/>
      <c r="D153"/>
      <c r="E153"/>
      <c r="F153"/>
      <c r="G153"/>
      <c r="H153"/>
      <c r="I153"/>
      <c r="J153"/>
      <c r="K153"/>
      <c r="L153"/>
      <c r="M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row>
    <row r="154" spans="1:79" ht="15">
      <c r="A154"/>
      <c r="B154"/>
      <c r="C154"/>
      <c r="D154"/>
      <c r="E154"/>
      <c r="F154"/>
      <c r="G154"/>
      <c r="H154"/>
      <c r="I154"/>
      <c r="J154"/>
      <c r="K154"/>
      <c r="L154"/>
      <c r="M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row>
    <row r="155" spans="1:79" ht="15">
      <c r="A155"/>
      <c r="B155"/>
      <c r="C155"/>
      <c r="D155"/>
      <c r="E155"/>
      <c r="F155"/>
      <c r="G155"/>
      <c r="H155"/>
      <c r="I155"/>
      <c r="J155"/>
      <c r="K155"/>
      <c r="L155"/>
      <c r="M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row>
    <row r="156" spans="1:79" ht="15">
      <c r="A156"/>
      <c r="B156"/>
      <c r="C156"/>
      <c r="D156"/>
      <c r="E156"/>
      <c r="F156"/>
      <c r="G156"/>
      <c r="H156"/>
      <c r="I156"/>
      <c r="J156"/>
      <c r="K156"/>
      <c r="L156"/>
      <c r="M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row>
    <row r="157" spans="1:79" ht="15">
      <c r="A157"/>
      <c r="B157"/>
      <c r="C157"/>
      <c r="D157"/>
      <c r="E157"/>
      <c r="F157"/>
      <c r="G157"/>
      <c r="H157"/>
      <c r="I157"/>
      <c r="J157"/>
      <c r="K157"/>
      <c r="L157"/>
      <c r="M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row>
    <row r="158" spans="1:79" ht="15">
      <c r="A158"/>
      <c r="B158"/>
      <c r="C158"/>
      <c r="D158"/>
      <c r="E158"/>
      <c r="F158"/>
      <c r="G158"/>
      <c r="H158"/>
      <c r="I158"/>
      <c r="J158"/>
      <c r="K158"/>
      <c r="L158"/>
      <c r="M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row>
    <row r="159" spans="1:79" ht="15">
      <c r="A159"/>
      <c r="B159"/>
      <c r="C159"/>
      <c r="D159"/>
      <c r="E159"/>
      <c r="F159"/>
      <c r="G159"/>
      <c r="H159"/>
      <c r="I159"/>
      <c r="J159"/>
      <c r="K159"/>
      <c r="L159"/>
      <c r="M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row>
    <row r="160" spans="1:79" ht="15">
      <c r="A160"/>
      <c r="B160"/>
      <c r="C160"/>
      <c r="D160"/>
      <c r="E160"/>
      <c r="F160"/>
      <c r="G160"/>
      <c r="H160"/>
      <c r="I160"/>
      <c r="J160"/>
      <c r="K160"/>
      <c r="L160"/>
      <c r="M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row>
    <row r="161" spans="1:79" ht="15">
      <c r="A161"/>
      <c r="B161"/>
      <c r="C161"/>
      <c r="D161"/>
      <c r="E161"/>
      <c r="F161"/>
      <c r="G161"/>
      <c r="H161"/>
      <c r="I161"/>
      <c r="J161"/>
      <c r="K161"/>
      <c r="L161"/>
      <c r="M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row>
    <row r="162" spans="1:79" ht="15">
      <c r="A162"/>
      <c r="B162"/>
      <c r="C162"/>
      <c r="D162"/>
      <c r="E162"/>
      <c r="F162"/>
      <c r="G162"/>
      <c r="H162"/>
      <c r="I162"/>
      <c r="J162"/>
      <c r="K162"/>
      <c r="L162"/>
      <c r="M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row>
    <row r="163" spans="1:79" ht="15">
      <c r="A163"/>
      <c r="B163"/>
      <c r="C163"/>
      <c r="D163"/>
      <c r="E163"/>
      <c r="F163"/>
      <c r="G163"/>
      <c r="H163"/>
      <c r="I163"/>
      <c r="J163"/>
      <c r="K163"/>
      <c r="L163"/>
      <c r="M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row>
    <row r="164" spans="1:79" ht="15">
      <c r="A164"/>
      <c r="B164"/>
      <c r="C164"/>
      <c r="D164"/>
      <c r="E164"/>
      <c r="F164"/>
      <c r="G164"/>
      <c r="H164"/>
      <c r="I164"/>
      <c r="J164"/>
      <c r="K164"/>
      <c r="L164"/>
      <c r="M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row>
    <row r="165" spans="1:79" ht="15">
      <c r="A165"/>
      <c r="B165"/>
      <c r="C165"/>
      <c r="D165"/>
      <c r="E165"/>
      <c r="F165"/>
      <c r="G165"/>
      <c r="H165"/>
      <c r="I165"/>
      <c r="J165"/>
      <c r="K165"/>
      <c r="L165"/>
      <c r="M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row>
    <row r="166" spans="1:79" ht="15">
      <c r="A166"/>
      <c r="B166"/>
      <c r="C166"/>
      <c r="D166"/>
      <c r="E166"/>
      <c r="F166"/>
      <c r="G166"/>
      <c r="H166"/>
      <c r="I166"/>
      <c r="J166"/>
      <c r="K166"/>
      <c r="L166"/>
      <c r="M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row>
    <row r="167" spans="1:79" ht="15">
      <c r="A167"/>
      <c r="B167"/>
      <c r="C167"/>
      <c r="D167"/>
      <c r="E167"/>
      <c r="F167"/>
      <c r="G167"/>
      <c r="H167"/>
      <c r="I167"/>
      <c r="J167"/>
      <c r="K167"/>
      <c r="L167"/>
      <c r="M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row>
    <row r="168" spans="1:79" ht="15">
      <c r="A168"/>
      <c r="B168"/>
      <c r="C168"/>
      <c r="D168"/>
      <c r="E168"/>
      <c r="F168"/>
      <c r="G168"/>
      <c r="H168"/>
      <c r="I168"/>
      <c r="J168"/>
      <c r="K168"/>
      <c r="L168"/>
      <c r="M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row>
    <row r="169" spans="1:79" ht="15">
      <c r="A169"/>
      <c r="B169"/>
      <c r="C169"/>
      <c r="D169"/>
      <c r="E169"/>
      <c r="F169"/>
      <c r="G169"/>
      <c r="H169"/>
      <c r="I169"/>
      <c r="J169"/>
      <c r="K169"/>
      <c r="L169"/>
      <c r="M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row>
    <row r="170" spans="1:79" ht="15">
      <c r="A170"/>
      <c r="B170"/>
      <c r="C170"/>
      <c r="D170"/>
      <c r="E170"/>
      <c r="F170"/>
      <c r="G170"/>
      <c r="H170"/>
      <c r="I170"/>
      <c r="J170"/>
      <c r="K170"/>
      <c r="L170"/>
      <c r="M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row>
    <row r="171" spans="1:79" ht="15">
      <c r="A171"/>
      <c r="B171"/>
      <c r="C171"/>
      <c r="D171"/>
      <c r="E171"/>
      <c r="F171"/>
      <c r="G171"/>
      <c r="H171"/>
      <c r="I171"/>
      <c r="J171"/>
      <c r="K171"/>
      <c r="L171"/>
      <c r="M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row>
    <row r="172" spans="1:79" ht="15">
      <c r="A172"/>
      <c r="B172"/>
      <c r="C172"/>
      <c r="D172"/>
      <c r="E172"/>
      <c r="F172"/>
      <c r="G172"/>
      <c r="H172"/>
      <c r="I172"/>
      <c r="J172"/>
      <c r="K172"/>
      <c r="L172"/>
      <c r="M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row>
    <row r="173" spans="1:79" ht="15">
      <c r="A173"/>
      <c r="B173"/>
      <c r="C173"/>
      <c r="D173"/>
      <c r="E173"/>
      <c r="F173"/>
      <c r="G173"/>
      <c r="H173"/>
      <c r="I173"/>
      <c r="J173"/>
      <c r="K173"/>
      <c r="L173"/>
      <c r="M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row>
    <row r="174" spans="1:79" ht="15">
      <c r="A174"/>
      <c r="B174"/>
      <c r="C174"/>
      <c r="D174"/>
      <c r="E174"/>
      <c r="F174"/>
      <c r="G174"/>
      <c r="H174"/>
      <c r="I174"/>
      <c r="J174"/>
      <c r="K174"/>
      <c r="L174"/>
      <c r="M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row>
    <row r="175" spans="1:79" ht="15">
      <c r="A175"/>
      <c r="B175"/>
      <c r="C175"/>
      <c r="D175"/>
      <c r="E175"/>
      <c r="F175"/>
      <c r="G175"/>
      <c r="H175"/>
      <c r="I175"/>
      <c r="J175"/>
      <c r="K175"/>
      <c r="L175"/>
      <c r="M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row>
    <row r="176" spans="1:79" ht="15">
      <c r="A176"/>
      <c r="B176"/>
      <c r="C176"/>
      <c r="D176"/>
      <c r="E176"/>
      <c r="F176"/>
      <c r="G176"/>
      <c r="H176"/>
      <c r="I176"/>
      <c r="J176"/>
      <c r="K176"/>
      <c r="L176"/>
      <c r="M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row>
    <row r="177" spans="1:79" ht="15">
      <c r="A177"/>
      <c r="B177"/>
      <c r="C177"/>
      <c r="D177"/>
      <c r="E177"/>
      <c r="F177"/>
      <c r="G177"/>
      <c r="H177"/>
      <c r="I177"/>
      <c r="J177"/>
      <c r="K177"/>
      <c r="L177"/>
      <c r="M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row>
    <row r="178" spans="1:79" ht="15">
      <c r="A178"/>
      <c r="B178"/>
      <c r="C178"/>
      <c r="D178"/>
      <c r="E178"/>
      <c r="F178"/>
      <c r="G178"/>
      <c r="H178"/>
      <c r="I178"/>
      <c r="J178"/>
      <c r="K178"/>
      <c r="L178"/>
      <c r="M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row>
    <row r="179" spans="1:79" ht="15">
      <c r="A179"/>
      <c r="B179"/>
      <c r="C179"/>
      <c r="D179"/>
      <c r="E179"/>
      <c r="F179"/>
      <c r="G179"/>
      <c r="H179"/>
      <c r="I179"/>
      <c r="J179"/>
      <c r="K179"/>
      <c r="L179"/>
      <c r="M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row>
    <row r="180" spans="1:79" ht="15">
      <c r="A180"/>
      <c r="B180"/>
      <c r="C180"/>
      <c r="D180"/>
      <c r="E180"/>
      <c r="F180"/>
      <c r="G180"/>
      <c r="H180"/>
      <c r="I180"/>
      <c r="J180"/>
      <c r="K180"/>
      <c r="L180"/>
      <c r="M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row>
    <row r="181" spans="1:79" ht="15">
      <c r="A181"/>
      <c r="B181"/>
      <c r="C181"/>
      <c r="D181"/>
      <c r="E181"/>
      <c r="F181"/>
      <c r="G181"/>
      <c r="H181"/>
      <c r="I181"/>
      <c r="J181"/>
      <c r="K181"/>
      <c r="L181"/>
      <c r="M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row>
    <row r="182" spans="1:79" ht="15">
      <c r="A182"/>
      <c r="B182"/>
      <c r="C182"/>
      <c r="D182"/>
      <c r="E182"/>
      <c r="F182"/>
      <c r="G182"/>
      <c r="H182"/>
      <c r="I182"/>
      <c r="J182"/>
      <c r="K182"/>
      <c r="L182"/>
      <c r="M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row>
    <row r="183" spans="1:79" ht="15">
      <c r="A183"/>
      <c r="B183"/>
      <c r="C183"/>
      <c r="D183"/>
      <c r="E183"/>
      <c r="F183"/>
      <c r="G183"/>
      <c r="H183"/>
      <c r="I183"/>
      <c r="J183"/>
      <c r="K183"/>
      <c r="L183"/>
      <c r="M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row>
    <row r="184" spans="1:79" ht="15">
      <c r="A184"/>
      <c r="B184"/>
      <c r="C184"/>
      <c r="D184"/>
      <c r="E184"/>
      <c r="F184"/>
      <c r="G184"/>
      <c r="H184"/>
      <c r="I184"/>
      <c r="J184"/>
      <c r="K184"/>
      <c r="L184"/>
      <c r="M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row>
    <row r="185" spans="1:79" ht="15">
      <c r="A185"/>
      <c r="B185"/>
      <c r="C185"/>
      <c r="D185"/>
      <c r="E185"/>
      <c r="F185"/>
      <c r="G185"/>
      <c r="H185"/>
      <c r="I185"/>
      <c r="J185"/>
      <c r="K185"/>
      <c r="L185"/>
      <c r="M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row>
    <row r="186" spans="1:79" ht="15">
      <c r="A186"/>
      <c r="B186"/>
      <c r="C186"/>
      <c r="D186"/>
      <c r="E186"/>
      <c r="F186"/>
      <c r="G186"/>
      <c r="H186"/>
      <c r="I186"/>
      <c r="J186"/>
      <c r="K186"/>
      <c r="L186"/>
      <c r="M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row>
    <row r="187" spans="1:79" ht="15">
      <c r="A187"/>
      <c r="B187"/>
      <c r="C187"/>
      <c r="D187"/>
      <c r="E187"/>
      <c r="F187"/>
      <c r="G187"/>
      <c r="H187"/>
      <c r="I187"/>
      <c r="J187"/>
      <c r="K187"/>
      <c r="L187"/>
      <c r="M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row>
    <row r="188" spans="1:79" ht="15">
      <c r="A188"/>
      <c r="B188"/>
      <c r="C188"/>
      <c r="D188"/>
      <c r="E188"/>
      <c r="F188"/>
      <c r="G188"/>
      <c r="H188"/>
      <c r="I188"/>
      <c r="J188"/>
      <c r="K188"/>
      <c r="L188"/>
      <c r="M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row>
    <row r="189" spans="1:79" ht="15">
      <c r="A189"/>
      <c r="B189"/>
      <c r="C189"/>
      <c r="D189"/>
      <c r="E189"/>
      <c r="F189"/>
      <c r="G189"/>
      <c r="H189"/>
      <c r="I189"/>
      <c r="J189"/>
      <c r="K189"/>
      <c r="L189"/>
      <c r="M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row>
    <row r="190" spans="1:79" ht="15">
      <c r="A190"/>
      <c r="B190"/>
      <c r="C190"/>
      <c r="D190"/>
      <c r="E190"/>
      <c r="F190"/>
      <c r="G190"/>
      <c r="H190"/>
      <c r="I190"/>
      <c r="J190"/>
      <c r="K190"/>
      <c r="L190"/>
      <c r="M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row>
    <row r="191" spans="1:79" ht="15">
      <c r="A191"/>
      <c r="B191"/>
      <c r="C191"/>
      <c r="D191"/>
      <c r="E191"/>
      <c r="F191"/>
      <c r="G191"/>
      <c r="H191"/>
      <c r="I191"/>
      <c r="J191"/>
      <c r="K191"/>
      <c r="L191"/>
      <c r="M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row>
    <row r="192" spans="1:79" ht="15">
      <c r="A192"/>
      <c r="B192"/>
      <c r="C192"/>
      <c r="D192"/>
      <c r="E192"/>
      <c r="F192"/>
      <c r="G192"/>
      <c r="H192"/>
      <c r="I192"/>
      <c r="J192"/>
      <c r="K192"/>
      <c r="L192"/>
      <c r="M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row>
    <row r="193" spans="1:79" ht="15">
      <c r="A193"/>
      <c r="B193"/>
      <c r="C193"/>
      <c r="D193"/>
      <c r="E193"/>
      <c r="F193"/>
      <c r="G193"/>
      <c r="H193"/>
      <c r="I193"/>
      <c r="J193"/>
      <c r="K193"/>
      <c r="L193"/>
      <c r="M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row>
    <row r="194" spans="1:79" ht="15">
      <c r="A194"/>
      <c r="B194"/>
      <c r="C194"/>
      <c r="D194"/>
      <c r="E194"/>
      <c r="F194"/>
      <c r="G194"/>
      <c r="H194"/>
      <c r="I194"/>
      <c r="J194"/>
      <c r="K194"/>
      <c r="L194"/>
      <c r="M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row>
    <row r="195" spans="1:79" ht="15">
      <c r="A195"/>
      <c r="B195"/>
      <c r="C195"/>
      <c r="D195"/>
      <c r="E195"/>
      <c r="F195"/>
      <c r="G195"/>
      <c r="H195"/>
      <c r="I195"/>
      <c r="J195"/>
      <c r="K195"/>
      <c r="L195"/>
      <c r="M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row>
    <row r="196" spans="1:79" ht="15">
      <c r="A196"/>
      <c r="B196"/>
      <c r="C196"/>
      <c r="D196"/>
      <c r="E196"/>
      <c r="F196"/>
      <c r="G196"/>
      <c r="H196"/>
      <c r="I196"/>
      <c r="J196"/>
      <c r="K196"/>
      <c r="L196"/>
      <c r="M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row>
    <row r="197" spans="1:79" ht="15">
      <c r="A197"/>
      <c r="B197"/>
      <c r="C197"/>
      <c r="D197"/>
      <c r="E197"/>
      <c r="F197"/>
      <c r="G197"/>
      <c r="H197"/>
      <c r="I197"/>
      <c r="J197"/>
      <c r="K197"/>
      <c r="L197"/>
      <c r="M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row>
    <row r="198" spans="1:79" ht="15">
      <c r="A198"/>
      <c r="B198"/>
      <c r="C198"/>
      <c r="D198"/>
      <c r="E198"/>
      <c r="F198"/>
      <c r="G198"/>
      <c r="H198"/>
      <c r="I198"/>
      <c r="J198"/>
      <c r="K198"/>
      <c r="L198"/>
      <c r="M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row>
    <row r="199" spans="1:79" ht="15">
      <c r="A199"/>
      <c r="B199"/>
      <c r="C199"/>
      <c r="D199"/>
      <c r="E199"/>
      <c r="F199"/>
      <c r="G199"/>
      <c r="H199"/>
      <c r="I199"/>
      <c r="J199"/>
      <c r="K199"/>
      <c r="L199"/>
      <c r="M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row>
    <row r="200" spans="1:79" ht="15">
      <c r="A200"/>
      <c r="B200"/>
      <c r="C200"/>
      <c r="D200"/>
      <c r="E200"/>
      <c r="F200"/>
      <c r="G200"/>
      <c r="H200"/>
      <c r="I200"/>
      <c r="J200"/>
      <c r="K200"/>
      <c r="L200"/>
      <c r="M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row>
    <row r="201" spans="1:79" ht="15">
      <c r="A201"/>
      <c r="B201"/>
      <c r="C201"/>
      <c r="D201"/>
      <c r="E201"/>
      <c r="F201"/>
      <c r="G201"/>
      <c r="H201"/>
      <c r="I201"/>
      <c r="J201"/>
      <c r="K201"/>
      <c r="L201"/>
      <c r="M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row>
    <row r="202" spans="1:79" ht="15">
      <c r="A202"/>
      <c r="B202"/>
      <c r="C202"/>
      <c r="D202"/>
      <c r="E202"/>
      <c r="F202"/>
      <c r="G202"/>
      <c r="H202"/>
      <c r="I202"/>
      <c r="J202"/>
      <c r="K202"/>
      <c r="L202"/>
      <c r="M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row>
    <row r="203" spans="1:79" ht="15">
      <c r="A203"/>
      <c r="B203"/>
      <c r="C203"/>
      <c r="D203"/>
      <c r="E203"/>
      <c r="F203"/>
      <c r="G203"/>
      <c r="H203"/>
      <c r="I203"/>
      <c r="J203"/>
      <c r="K203"/>
      <c r="L203"/>
      <c r="M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row>
    <row r="204" spans="1:79" ht="15">
      <c r="A204"/>
      <c r="B204"/>
      <c r="C204"/>
      <c r="D204"/>
      <c r="E204"/>
      <c r="F204"/>
      <c r="G204"/>
      <c r="H204"/>
      <c r="I204"/>
      <c r="J204"/>
      <c r="K204"/>
      <c r="L204"/>
      <c r="M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row>
    <row r="205" spans="1:79" ht="15">
      <c r="A205"/>
      <c r="B205"/>
      <c r="C205"/>
      <c r="D205"/>
      <c r="E205"/>
      <c r="F205"/>
      <c r="G205"/>
      <c r="H205"/>
      <c r="I205"/>
      <c r="J205"/>
      <c r="K205"/>
      <c r="L205"/>
      <c r="M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row>
    <row r="206" spans="1:79" ht="15">
      <c r="A206"/>
      <c r="B206"/>
      <c r="C206"/>
      <c r="D206"/>
      <c r="E206"/>
      <c r="F206"/>
      <c r="G206"/>
      <c r="H206"/>
      <c r="I206"/>
      <c r="J206"/>
      <c r="K206"/>
      <c r="L206"/>
      <c r="M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row>
    <row r="207" spans="1:79" ht="15">
      <c r="A207"/>
      <c r="B207"/>
      <c r="C207"/>
      <c r="D207"/>
      <c r="E207"/>
      <c r="F207"/>
      <c r="G207"/>
      <c r="H207"/>
      <c r="I207"/>
      <c r="J207"/>
      <c r="K207"/>
      <c r="L207"/>
      <c r="M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row>
    <row r="208" spans="1:79" ht="15">
      <c r="A208"/>
      <c r="B208"/>
      <c r="C208"/>
      <c r="D208"/>
      <c r="E208"/>
      <c r="F208"/>
      <c r="G208"/>
      <c r="H208"/>
      <c r="I208"/>
      <c r="J208"/>
      <c r="K208"/>
      <c r="L208"/>
      <c r="M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row>
    <row r="209" spans="1:79" ht="15">
      <c r="A209"/>
      <c r="B209"/>
      <c r="C209"/>
      <c r="D209"/>
      <c r="E209"/>
      <c r="F209"/>
      <c r="G209"/>
      <c r="H209"/>
      <c r="I209"/>
      <c r="J209"/>
      <c r="K209"/>
      <c r="L209"/>
      <c r="M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row>
    <row r="210" spans="1:79" ht="15">
      <c r="A210"/>
      <c r="B210"/>
      <c r="C210"/>
      <c r="D210"/>
      <c r="E210"/>
      <c r="F210"/>
      <c r="G210"/>
      <c r="H210"/>
      <c r="I210"/>
      <c r="J210"/>
      <c r="K210"/>
      <c r="L210"/>
      <c r="M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row>
    <row r="211" spans="1:79" ht="15">
      <c r="A211"/>
      <c r="B211"/>
      <c r="C211"/>
      <c r="D211"/>
      <c r="E211"/>
      <c r="F211"/>
      <c r="G211"/>
      <c r="H211"/>
      <c r="I211"/>
      <c r="J211"/>
      <c r="K211"/>
      <c r="L211"/>
      <c r="M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row>
    <row r="212" spans="1:79" ht="15">
      <c r="A212"/>
      <c r="B212"/>
      <c r="C212"/>
      <c r="D212"/>
      <c r="E212"/>
      <c r="F212"/>
      <c r="G212"/>
      <c r="H212"/>
      <c r="I212"/>
      <c r="J212"/>
      <c r="K212"/>
      <c r="L212"/>
      <c r="M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row>
    <row r="213" spans="1:79" ht="15">
      <c r="A213"/>
      <c r="B213"/>
      <c r="C213"/>
      <c r="D213"/>
      <c r="E213"/>
      <c r="F213"/>
      <c r="G213"/>
      <c r="H213"/>
      <c r="I213"/>
      <c r="J213"/>
      <c r="K213"/>
      <c r="L213"/>
      <c r="M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row>
    <row r="214" spans="1:79" ht="15">
      <c r="A214"/>
      <c r="B214"/>
      <c r="C214"/>
      <c r="D214"/>
      <c r="E214"/>
      <c r="F214"/>
      <c r="G214"/>
      <c r="H214"/>
      <c r="I214"/>
      <c r="J214"/>
      <c r="K214"/>
      <c r="L214"/>
      <c r="M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row>
    <row r="215" spans="1:79" ht="15">
      <c r="A215"/>
      <c r="B215"/>
      <c r="C215"/>
      <c r="D215"/>
      <c r="E215"/>
      <c r="F215"/>
      <c r="G215"/>
      <c r="H215"/>
      <c r="I215"/>
      <c r="J215"/>
      <c r="K215"/>
      <c r="L215"/>
      <c r="M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row>
    <row r="216" spans="1:79" ht="15">
      <c r="A216"/>
      <c r="B216"/>
      <c r="C216"/>
      <c r="D216"/>
      <c r="E216"/>
      <c r="F216"/>
      <c r="G216"/>
      <c r="H216"/>
      <c r="I216"/>
      <c r="J216"/>
      <c r="K216"/>
      <c r="L216"/>
      <c r="M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row>
    <row r="217" spans="1:79" ht="15">
      <c r="A217"/>
      <c r="B217"/>
      <c r="C217"/>
      <c r="D217"/>
      <c r="E217"/>
      <c r="F217"/>
      <c r="G217"/>
      <c r="H217"/>
      <c r="I217"/>
      <c r="J217"/>
      <c r="K217"/>
      <c r="L217"/>
      <c r="M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row>
    <row r="218" spans="1:79" ht="15">
      <c r="A218"/>
      <c r="B218"/>
      <c r="C218"/>
      <c r="D218"/>
      <c r="E218"/>
      <c r="F218"/>
      <c r="G218"/>
      <c r="H218"/>
      <c r="I218"/>
      <c r="J218"/>
      <c r="K218"/>
      <c r="L218"/>
      <c r="M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row>
    <row r="219" spans="1:79" ht="15">
      <c r="A219"/>
      <c r="B219"/>
      <c r="C219"/>
      <c r="D219"/>
      <c r="E219"/>
      <c r="F219"/>
      <c r="G219"/>
      <c r="H219"/>
      <c r="I219"/>
      <c r="J219"/>
      <c r="K219"/>
      <c r="L219"/>
      <c r="M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row>
    <row r="220" spans="1:79" ht="15">
      <c r="A220"/>
      <c r="B220"/>
      <c r="C220"/>
      <c r="D220"/>
      <c r="E220"/>
      <c r="F220"/>
      <c r="G220"/>
      <c r="H220"/>
      <c r="I220"/>
      <c r="J220"/>
      <c r="K220"/>
      <c r="L220"/>
      <c r="M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row>
    <row r="221" spans="1:79" ht="15">
      <c r="A221"/>
      <c r="B221"/>
      <c r="C221"/>
      <c r="D221"/>
      <c r="E221"/>
      <c r="F221"/>
      <c r="G221"/>
      <c r="H221"/>
      <c r="I221"/>
      <c r="J221"/>
      <c r="K221"/>
      <c r="L221"/>
      <c r="M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row>
    <row r="222" spans="1:79" ht="15">
      <c r="A222"/>
      <c r="B222"/>
      <c r="C222"/>
      <c r="D222"/>
      <c r="E222"/>
      <c r="F222"/>
      <c r="G222"/>
      <c r="H222"/>
      <c r="I222"/>
      <c r="J222"/>
      <c r="K222"/>
      <c r="L222"/>
      <c r="M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row>
    <row r="223" spans="1:79" ht="15">
      <c r="A223"/>
      <c r="B223"/>
      <c r="C223"/>
      <c r="D223"/>
      <c r="E223"/>
      <c r="F223"/>
      <c r="G223"/>
      <c r="H223"/>
      <c r="I223"/>
      <c r="J223"/>
      <c r="K223"/>
      <c r="L223"/>
      <c r="M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row>
    <row r="224" spans="1:79" ht="15">
      <c r="A224"/>
      <c r="B224"/>
      <c r="C224"/>
      <c r="D224"/>
      <c r="E224"/>
      <c r="F224"/>
      <c r="G224"/>
      <c r="H224"/>
      <c r="I224"/>
      <c r="J224"/>
      <c r="K224"/>
      <c r="L224"/>
      <c r="M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row>
    <row r="225" spans="1:79" ht="15">
      <c r="A225"/>
      <c r="B225"/>
      <c r="C225"/>
      <c r="D225"/>
      <c r="E225"/>
      <c r="F225"/>
      <c r="G225"/>
      <c r="H225"/>
      <c r="I225"/>
      <c r="J225"/>
      <c r="K225"/>
      <c r="L225"/>
      <c r="M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row>
    <row r="226" spans="1:79" ht="15">
      <c r="A226"/>
      <c r="B226"/>
      <c r="C226"/>
      <c r="D226"/>
      <c r="E226"/>
      <c r="F226"/>
      <c r="G226"/>
      <c r="H226"/>
      <c r="I226"/>
      <c r="J226"/>
      <c r="K226"/>
      <c r="L226"/>
      <c r="M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row>
    <row r="227" spans="1:79" ht="15">
      <c r="A227"/>
      <c r="B227"/>
      <c r="C227"/>
      <c r="D227"/>
      <c r="E227"/>
      <c r="F227"/>
      <c r="G227"/>
      <c r="H227"/>
      <c r="I227"/>
      <c r="J227"/>
      <c r="K227"/>
      <c r="L227"/>
      <c r="M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row>
    <row r="228" spans="1:79" ht="15">
      <c r="A228"/>
      <c r="B228"/>
      <c r="C228"/>
      <c r="D228"/>
      <c r="E228"/>
      <c r="F228"/>
      <c r="G228"/>
      <c r="H228"/>
      <c r="I228"/>
      <c r="J228"/>
      <c r="K228"/>
      <c r="L228"/>
      <c r="M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row>
    <row r="229" spans="1:79" ht="15">
      <c r="A229"/>
      <c r="B229"/>
      <c r="C229"/>
      <c r="D229"/>
      <c r="E229"/>
      <c r="F229"/>
      <c r="G229"/>
      <c r="H229"/>
      <c r="I229"/>
      <c r="J229"/>
      <c r="K229"/>
      <c r="L229"/>
      <c r="M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row>
    <row r="230" spans="1:79" ht="15">
      <c r="A230"/>
      <c r="B230"/>
      <c r="C230"/>
      <c r="D230"/>
      <c r="E230"/>
      <c r="F230"/>
      <c r="G230"/>
      <c r="H230"/>
      <c r="I230"/>
      <c r="J230"/>
      <c r="K230"/>
      <c r="L230"/>
      <c r="M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row>
    <row r="231" spans="1:79" ht="15">
      <c r="A231"/>
      <c r="B231"/>
      <c r="C231"/>
      <c r="D231"/>
      <c r="E231"/>
      <c r="F231"/>
      <c r="G231"/>
      <c r="H231"/>
      <c r="I231"/>
      <c r="J231"/>
      <c r="K231"/>
      <c r="L231"/>
      <c r="M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row>
    <row r="232" spans="1:79" ht="15">
      <c r="A232"/>
      <c r="B232"/>
      <c r="C232"/>
      <c r="D232"/>
      <c r="E232"/>
      <c r="F232"/>
      <c r="G232"/>
      <c r="H232"/>
      <c r="I232"/>
      <c r="J232"/>
      <c r="K232"/>
      <c r="L232"/>
      <c r="M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row>
    <row r="233" spans="1:79" ht="15">
      <c r="A233"/>
      <c r="B233"/>
      <c r="C233"/>
      <c r="D233"/>
      <c r="E233"/>
      <c r="F233"/>
      <c r="G233"/>
      <c r="H233"/>
      <c r="I233"/>
      <c r="J233"/>
      <c r="K233"/>
      <c r="L233"/>
      <c r="M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row>
    <row r="234" spans="1:79" ht="15">
      <c r="A234"/>
      <c r="B234"/>
      <c r="C234"/>
      <c r="D234"/>
      <c r="E234"/>
      <c r="F234"/>
      <c r="G234"/>
      <c r="H234"/>
      <c r="I234"/>
      <c r="J234"/>
      <c r="K234"/>
      <c r="L234"/>
      <c r="M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row>
    <row r="235" spans="1:79" ht="15">
      <c r="A235"/>
      <c r="B235"/>
      <c r="C235"/>
      <c r="D235"/>
      <c r="E235"/>
      <c r="F235"/>
      <c r="G235"/>
      <c r="H235"/>
      <c r="I235"/>
      <c r="J235"/>
      <c r="K235"/>
      <c r="L235"/>
      <c r="M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row>
    <row r="236" spans="1:79" ht="15">
      <c r="A236"/>
      <c r="B236"/>
      <c r="C236"/>
      <c r="D236"/>
      <c r="E236"/>
      <c r="F236"/>
      <c r="G236"/>
      <c r="H236"/>
      <c r="I236"/>
      <c r="J236"/>
      <c r="K236"/>
      <c r="L236"/>
      <c r="M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row>
    <row r="237" spans="1:79" ht="15">
      <c r="A237"/>
      <c r="B237"/>
      <c r="C237"/>
      <c r="D237"/>
      <c r="E237"/>
      <c r="F237"/>
      <c r="G237"/>
      <c r="H237"/>
      <c r="I237"/>
      <c r="J237"/>
      <c r="K237"/>
      <c r="L237"/>
      <c r="M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row>
    <row r="238" spans="1:79" ht="15">
      <c r="A238"/>
      <c r="B238"/>
      <c r="C238"/>
      <c r="D238"/>
      <c r="E238"/>
      <c r="F238"/>
      <c r="G238"/>
      <c r="H238"/>
      <c r="I238"/>
      <c r="J238"/>
      <c r="K238"/>
      <c r="L238"/>
      <c r="M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row>
    <row r="239" spans="1:79" ht="15">
      <c r="A239"/>
      <c r="B239"/>
      <c r="C239"/>
      <c r="D239"/>
      <c r="E239"/>
      <c r="F239"/>
      <c r="G239"/>
      <c r="H239"/>
      <c r="I239"/>
      <c r="J239"/>
      <c r="K239"/>
      <c r="L239"/>
      <c r="M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row>
    <row r="240" spans="1:79" ht="15">
      <c r="A240"/>
      <c r="B240"/>
      <c r="C240"/>
      <c r="D240"/>
      <c r="E240"/>
      <c r="F240"/>
      <c r="G240"/>
      <c r="H240"/>
      <c r="I240"/>
      <c r="J240"/>
      <c r="K240"/>
      <c r="L240"/>
      <c r="M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row>
    <row r="241" spans="1:79" ht="15">
      <c r="A241"/>
      <c r="B241"/>
      <c r="C241"/>
      <c r="D241"/>
      <c r="E241"/>
      <c r="F241"/>
      <c r="G241"/>
      <c r="H241"/>
      <c r="I241"/>
      <c r="J241"/>
      <c r="K241"/>
      <c r="L241"/>
      <c r="M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row>
    <row r="242" spans="1:79" ht="15">
      <c r="A242"/>
      <c r="B242"/>
      <c r="C242"/>
      <c r="D242"/>
      <c r="E242"/>
      <c r="F242"/>
      <c r="G242"/>
      <c r="H242"/>
      <c r="I242"/>
      <c r="J242"/>
      <c r="K242"/>
      <c r="L242"/>
      <c r="M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row>
    <row r="243" spans="1:79" ht="15">
      <c r="A243"/>
      <c r="B243"/>
      <c r="C243"/>
      <c r="D243"/>
      <c r="E243"/>
      <c r="F243"/>
      <c r="G243"/>
      <c r="H243"/>
      <c r="I243"/>
      <c r="J243"/>
      <c r="K243"/>
      <c r="L243"/>
      <c r="M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row>
    <row r="244" spans="1:79" ht="15">
      <c r="A244"/>
      <c r="B244"/>
      <c r="C244"/>
      <c r="D244"/>
      <c r="E244"/>
      <c r="F244"/>
      <c r="G244"/>
      <c r="H244"/>
      <c r="I244"/>
      <c r="J244"/>
      <c r="K244"/>
      <c r="L244"/>
      <c r="M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row>
    <row r="245" spans="1:79" ht="15">
      <c r="A245"/>
      <c r="B245"/>
      <c r="C245"/>
      <c r="D245"/>
      <c r="E245"/>
      <c r="F245"/>
      <c r="G245"/>
      <c r="H245"/>
      <c r="I245"/>
      <c r="J245"/>
      <c r="K245"/>
      <c r="L245"/>
      <c r="M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row>
    <row r="246" spans="1:79" ht="15">
      <c r="A246"/>
      <c r="B246"/>
      <c r="C246"/>
      <c r="D246"/>
      <c r="E246"/>
      <c r="F246"/>
      <c r="G246"/>
      <c r="H246"/>
      <c r="I246"/>
      <c r="J246"/>
      <c r="K246"/>
      <c r="L246"/>
      <c r="M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row>
    <row r="247" spans="1:79" ht="15">
      <c r="A247"/>
      <c r="B247"/>
      <c r="C247"/>
      <c r="D247"/>
      <c r="E247"/>
      <c r="F247"/>
      <c r="G247"/>
      <c r="H247"/>
      <c r="I247"/>
      <c r="J247"/>
      <c r="K247"/>
      <c r="L247"/>
      <c r="M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row>
    <row r="248" spans="1:79" ht="15">
      <c r="A248"/>
      <c r="B248"/>
      <c r="C248"/>
      <c r="D248"/>
      <c r="E248"/>
      <c r="F248"/>
      <c r="G248"/>
      <c r="H248"/>
      <c r="I248"/>
      <c r="J248"/>
      <c r="K248"/>
      <c r="L248"/>
      <c r="M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row>
    <row r="249" spans="1:79" ht="15">
      <c r="A249"/>
      <c r="B249"/>
      <c r="C249"/>
      <c r="D249"/>
      <c r="E249"/>
      <c r="F249"/>
      <c r="G249"/>
      <c r="H249"/>
      <c r="I249"/>
      <c r="J249"/>
      <c r="K249"/>
      <c r="L249"/>
      <c r="M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row>
    <row r="250" spans="1:79" ht="15">
      <c r="A250"/>
      <c r="B250"/>
      <c r="C250"/>
      <c r="D250"/>
      <c r="E250"/>
      <c r="F250"/>
      <c r="G250"/>
      <c r="H250"/>
      <c r="I250"/>
      <c r="J250"/>
      <c r="K250"/>
      <c r="L250"/>
      <c r="M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row>
    <row r="251" spans="1:79" ht="15">
      <c r="A251"/>
      <c r="B251"/>
      <c r="C251"/>
      <c r="D251"/>
      <c r="E251"/>
      <c r="F251"/>
      <c r="G251"/>
      <c r="H251"/>
      <c r="I251"/>
      <c r="J251"/>
      <c r="K251"/>
      <c r="L251"/>
      <c r="M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row>
    <row r="252" spans="1:79" ht="15">
      <c r="A252"/>
      <c r="B252"/>
      <c r="C252"/>
      <c r="D252"/>
      <c r="E252"/>
      <c r="F252"/>
      <c r="G252"/>
      <c r="H252"/>
      <c r="I252"/>
      <c r="J252"/>
      <c r="K252"/>
      <c r="L252"/>
      <c r="M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row>
    <row r="253" spans="1:79" ht="15">
      <c r="A253"/>
      <c r="B253"/>
      <c r="C253"/>
      <c r="D253"/>
      <c r="E253"/>
      <c r="F253"/>
      <c r="G253"/>
      <c r="H253"/>
      <c r="I253"/>
      <c r="J253"/>
      <c r="K253"/>
      <c r="L253"/>
      <c r="M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row>
    <row r="254" spans="1:79" ht="15">
      <c r="A254"/>
      <c r="B254"/>
      <c r="C254"/>
      <c r="D254"/>
      <c r="E254"/>
      <c r="F254"/>
      <c r="G254"/>
      <c r="H254"/>
      <c r="I254"/>
      <c r="J254"/>
      <c r="K254"/>
      <c r="L254"/>
      <c r="M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row>
    <row r="255" spans="1:79" ht="15">
      <c r="A255"/>
      <c r="B255"/>
      <c r="C255"/>
      <c r="D255"/>
      <c r="E255"/>
      <c r="F255"/>
      <c r="G255"/>
      <c r="H255"/>
      <c r="I255"/>
      <c r="J255"/>
      <c r="K255"/>
      <c r="L255"/>
      <c r="M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row>
    <row r="256" spans="1:79" ht="15">
      <c r="A256"/>
      <c r="B256"/>
      <c r="C256"/>
      <c r="D256"/>
      <c r="E256"/>
      <c r="F256"/>
      <c r="G256"/>
      <c r="H256"/>
      <c r="I256"/>
      <c r="J256"/>
      <c r="K256"/>
      <c r="L256"/>
      <c r="M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row>
    <row r="257" spans="1:79" ht="15">
      <c r="A257"/>
      <c r="B257"/>
      <c r="C257"/>
      <c r="D257"/>
      <c r="E257"/>
      <c r="F257"/>
      <c r="G257"/>
      <c r="H257"/>
      <c r="I257"/>
      <c r="J257"/>
      <c r="K257"/>
      <c r="L257"/>
      <c r="M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row>
    <row r="258" spans="1:79" ht="15">
      <c r="A258"/>
      <c r="B258"/>
      <c r="C258"/>
      <c r="D258"/>
      <c r="E258"/>
      <c r="F258"/>
      <c r="G258"/>
      <c r="H258"/>
      <c r="I258"/>
      <c r="J258"/>
      <c r="K258"/>
      <c r="L258"/>
      <c r="M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row>
    <row r="259" spans="1:79" ht="15">
      <c r="A259"/>
      <c r="B259"/>
      <c r="C259"/>
      <c r="D259"/>
      <c r="E259"/>
      <c r="F259"/>
      <c r="G259"/>
      <c r="H259"/>
      <c r="I259"/>
      <c r="J259"/>
      <c r="K259"/>
      <c r="L259"/>
      <c r="M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row>
    <row r="260" spans="1:79" ht="15">
      <c r="A260"/>
      <c r="B260"/>
      <c r="C260"/>
      <c r="D260"/>
      <c r="E260"/>
      <c r="F260"/>
      <c r="G260"/>
      <c r="H260"/>
      <c r="I260"/>
      <c r="J260"/>
      <c r="K260"/>
      <c r="L260"/>
      <c r="M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row>
    <row r="261" spans="1:79" ht="15">
      <c r="A261"/>
      <c r="B261"/>
      <c r="C261"/>
      <c r="D261"/>
      <c r="E261"/>
      <c r="F261"/>
      <c r="G261"/>
      <c r="H261"/>
      <c r="I261"/>
      <c r="J261"/>
      <c r="K261"/>
      <c r="L261"/>
      <c r="M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row>
    <row r="262" spans="1:79" ht="15">
      <c r="A262"/>
      <c r="B262"/>
      <c r="C262"/>
      <c r="D262"/>
      <c r="E262"/>
      <c r="F262"/>
      <c r="G262"/>
      <c r="H262"/>
      <c r="I262"/>
      <c r="J262"/>
      <c r="K262"/>
      <c r="L262"/>
      <c r="M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row>
    <row r="263" spans="1:79" ht="15">
      <c r="A263"/>
      <c r="B263"/>
      <c r="C263"/>
      <c r="D263"/>
      <c r="E263"/>
      <c r="F263"/>
      <c r="G263"/>
      <c r="H263"/>
      <c r="I263"/>
      <c r="J263"/>
      <c r="K263"/>
      <c r="L263"/>
      <c r="M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row>
    <row r="264" spans="1:79" ht="15">
      <c r="A264"/>
      <c r="B264"/>
      <c r="C264"/>
      <c r="D264"/>
      <c r="E264"/>
      <c r="F264"/>
      <c r="G264"/>
      <c r="H264"/>
      <c r="I264"/>
      <c r="J264"/>
      <c r="K264"/>
      <c r="L264"/>
      <c r="M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row>
    <row r="265" spans="1:79" ht="15">
      <c r="A265"/>
      <c r="B265"/>
      <c r="C265"/>
      <c r="D265"/>
      <c r="E265"/>
      <c r="F265"/>
      <c r="G265"/>
      <c r="H265"/>
      <c r="I265"/>
      <c r="J265"/>
      <c r="K265"/>
      <c r="L265"/>
      <c r="M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row>
    <row r="266" spans="1:79" ht="15">
      <c r="A266"/>
      <c r="B266"/>
      <c r="C266"/>
      <c r="D266"/>
      <c r="E266"/>
      <c r="F266"/>
      <c r="G266"/>
      <c r="H266"/>
      <c r="I266"/>
      <c r="J266"/>
      <c r="K266"/>
      <c r="L266"/>
      <c r="M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row>
    <row r="267" spans="1:79" ht="15">
      <c r="A267"/>
      <c r="B267"/>
      <c r="C267"/>
      <c r="D267"/>
      <c r="E267"/>
      <c r="F267"/>
      <c r="G267"/>
      <c r="H267"/>
      <c r="I267"/>
      <c r="J267"/>
      <c r="K267"/>
      <c r="L267"/>
      <c r="M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row>
    <row r="268" spans="1:79" ht="15">
      <c r="A268"/>
      <c r="B268"/>
      <c r="C268"/>
      <c r="D268"/>
      <c r="E268"/>
      <c r="F268"/>
      <c r="G268"/>
      <c r="H268"/>
      <c r="I268"/>
      <c r="J268"/>
      <c r="K268"/>
      <c r="L268"/>
      <c r="M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row>
    <row r="269" spans="1:79" ht="15">
      <c r="A269"/>
      <c r="B269"/>
      <c r="C269"/>
      <c r="D269"/>
      <c r="E269"/>
      <c r="F269"/>
      <c r="G269"/>
      <c r="H269"/>
      <c r="I269"/>
      <c r="J269"/>
      <c r="K269"/>
      <c r="L269"/>
      <c r="M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row>
    <row r="270" spans="1:79" ht="15">
      <c r="A270"/>
      <c r="B270"/>
      <c r="C270"/>
      <c r="D270"/>
      <c r="E270"/>
      <c r="F270"/>
      <c r="G270"/>
      <c r="H270"/>
      <c r="I270"/>
      <c r="J270"/>
      <c r="K270"/>
      <c r="L270"/>
      <c r="M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row>
    <row r="271" spans="1:79" ht="15">
      <c r="A271"/>
      <c r="B271"/>
      <c r="C271"/>
      <c r="D271"/>
      <c r="E271"/>
      <c r="F271"/>
      <c r="G271"/>
      <c r="H271"/>
      <c r="I271"/>
      <c r="J271"/>
      <c r="K271"/>
      <c r="L271"/>
      <c r="M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row>
    <row r="272" spans="1:79" ht="15">
      <c r="A272"/>
      <c r="B272"/>
      <c r="C272"/>
      <c r="D272"/>
      <c r="E272"/>
      <c r="F272"/>
      <c r="G272"/>
      <c r="H272"/>
      <c r="I272"/>
      <c r="J272"/>
      <c r="K272"/>
      <c r="L272"/>
      <c r="M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row>
    <row r="273" spans="1:79" ht="15">
      <c r="A273"/>
      <c r="B273"/>
      <c r="C273"/>
      <c r="D273"/>
      <c r="E273"/>
      <c r="F273"/>
      <c r="G273"/>
      <c r="H273"/>
      <c r="I273"/>
      <c r="J273"/>
      <c r="K273"/>
      <c r="L273"/>
      <c r="M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row>
    <row r="274" spans="1:79" ht="15">
      <c r="A274"/>
      <c r="B274"/>
      <c r="C274"/>
      <c r="D274"/>
      <c r="E274"/>
      <c r="F274"/>
      <c r="G274"/>
      <c r="H274"/>
      <c r="I274"/>
      <c r="J274"/>
      <c r="K274"/>
      <c r="L274"/>
      <c r="M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row>
    <row r="275" spans="1:79" ht="15">
      <c r="A275"/>
      <c r="B275"/>
      <c r="C275"/>
      <c r="D275"/>
      <c r="E275"/>
      <c r="F275"/>
      <c r="G275"/>
      <c r="H275"/>
      <c r="I275"/>
      <c r="J275"/>
      <c r="K275"/>
      <c r="L275"/>
      <c r="M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row>
    <row r="276" spans="1:79" ht="15">
      <c r="A276"/>
      <c r="B276"/>
      <c r="C276"/>
      <c r="D276"/>
      <c r="E276"/>
      <c r="F276"/>
      <c r="G276"/>
      <c r="H276"/>
      <c r="I276"/>
      <c r="J276"/>
      <c r="K276"/>
      <c r="L276"/>
      <c r="M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row>
    <row r="277" spans="1:79" ht="15">
      <c r="A277"/>
      <c r="B277"/>
      <c r="C277"/>
      <c r="D277"/>
      <c r="E277"/>
      <c r="F277"/>
      <c r="G277"/>
      <c r="H277"/>
      <c r="I277"/>
      <c r="J277"/>
      <c r="K277"/>
      <c r="L277"/>
      <c r="M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row>
    <row r="278" spans="1:79" ht="15">
      <c r="A278"/>
      <c r="B278"/>
      <c r="C278"/>
      <c r="D278"/>
      <c r="E278"/>
      <c r="F278"/>
      <c r="G278"/>
      <c r="H278"/>
      <c r="I278"/>
      <c r="J278"/>
      <c r="K278"/>
      <c r="L278"/>
      <c r="M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row>
    <row r="279" spans="1:79" ht="15">
      <c r="A279"/>
      <c r="B279"/>
      <c r="C279"/>
      <c r="D279"/>
      <c r="E279"/>
      <c r="F279"/>
      <c r="G279"/>
      <c r="H279"/>
      <c r="I279"/>
      <c r="J279"/>
      <c r="K279"/>
      <c r="L279"/>
      <c r="M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row>
    <row r="280" spans="1:79" ht="15">
      <c r="A280"/>
      <c r="B280"/>
      <c r="C280"/>
      <c r="D280"/>
      <c r="E280"/>
      <c r="F280"/>
      <c r="G280"/>
      <c r="H280"/>
      <c r="I280"/>
      <c r="J280"/>
      <c r="K280"/>
      <c r="L280"/>
      <c r="M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row>
    <row r="281" spans="1:79" ht="15">
      <c r="A281"/>
      <c r="B281"/>
      <c r="C281"/>
      <c r="D281"/>
      <c r="E281"/>
      <c r="F281"/>
      <c r="G281"/>
      <c r="H281"/>
      <c r="I281"/>
      <c r="J281"/>
      <c r="K281"/>
      <c r="L281"/>
      <c r="M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row>
    <row r="282" spans="1:79" ht="15">
      <c r="A282"/>
      <c r="B282"/>
      <c r="C282"/>
      <c r="D282"/>
      <c r="E282"/>
      <c r="F282"/>
      <c r="G282"/>
      <c r="H282"/>
      <c r="I282"/>
      <c r="J282"/>
      <c r="K282"/>
      <c r="L282"/>
      <c r="M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row>
    <row r="283" spans="1:79" ht="15">
      <c r="A283"/>
      <c r="B283"/>
      <c r="C283"/>
      <c r="D283"/>
      <c r="E283"/>
      <c r="F283"/>
      <c r="G283"/>
      <c r="H283"/>
      <c r="I283"/>
      <c r="J283"/>
      <c r="K283"/>
      <c r="L283"/>
      <c r="M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row>
    <row r="284" spans="1:79" ht="15">
      <c r="A284"/>
      <c r="B284"/>
      <c r="C284"/>
      <c r="D284"/>
      <c r="E284"/>
      <c r="F284"/>
      <c r="G284"/>
      <c r="H284"/>
      <c r="I284"/>
      <c r="J284"/>
      <c r="K284"/>
      <c r="L284"/>
      <c r="M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row>
    <row r="285" spans="1:79" ht="15">
      <c r="A285"/>
      <c r="B285"/>
      <c r="C285"/>
      <c r="D285"/>
      <c r="E285"/>
      <c r="F285"/>
      <c r="G285"/>
      <c r="H285"/>
      <c r="I285"/>
      <c r="J285"/>
      <c r="K285"/>
      <c r="L285"/>
      <c r="M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row>
    <row r="286" spans="1:79" ht="15">
      <c r="A286"/>
      <c r="B286"/>
      <c r="C286"/>
      <c r="D286"/>
      <c r="E286"/>
      <c r="F286"/>
      <c r="G286"/>
      <c r="H286"/>
      <c r="I286"/>
      <c r="J286"/>
      <c r="K286"/>
      <c r="L286"/>
      <c r="M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row>
    <row r="287" spans="1:79" ht="15">
      <c r="A287"/>
      <c r="B287"/>
      <c r="C287"/>
      <c r="D287"/>
      <c r="E287"/>
      <c r="F287"/>
      <c r="G287"/>
      <c r="H287"/>
      <c r="I287"/>
      <c r="J287"/>
      <c r="K287"/>
      <c r="L287"/>
      <c r="M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row>
    <row r="288" spans="1:79" ht="15">
      <c r="A288"/>
      <c r="B288"/>
      <c r="C288"/>
      <c r="D288"/>
      <c r="E288"/>
      <c r="F288"/>
      <c r="G288"/>
      <c r="H288"/>
      <c r="I288"/>
      <c r="J288"/>
      <c r="K288"/>
      <c r="L288"/>
      <c r="M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row>
    <row r="289" spans="1:79" ht="15">
      <c r="A289"/>
      <c r="B289"/>
      <c r="C289"/>
      <c r="D289"/>
      <c r="E289"/>
      <c r="F289"/>
      <c r="G289"/>
      <c r="H289"/>
      <c r="I289"/>
      <c r="J289"/>
      <c r="K289"/>
      <c r="L289"/>
      <c r="M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row>
    <row r="290" spans="1:79" ht="15">
      <c r="A290"/>
      <c r="B290"/>
      <c r="C290"/>
      <c r="D290"/>
      <c r="E290"/>
      <c r="F290"/>
      <c r="G290"/>
      <c r="H290"/>
      <c r="I290"/>
      <c r="J290"/>
      <c r="K290"/>
      <c r="L290"/>
      <c r="M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row>
    <row r="291" spans="1:79" ht="15">
      <c r="A291"/>
      <c r="B291"/>
      <c r="C291"/>
      <c r="D291"/>
      <c r="E291"/>
      <c r="F291"/>
      <c r="G291"/>
      <c r="H291"/>
      <c r="I291"/>
      <c r="J291"/>
      <c r="K291"/>
      <c r="L291"/>
      <c r="M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row>
    <row r="292" spans="1:79" ht="15">
      <c r="A292"/>
      <c r="B292"/>
      <c r="C292"/>
      <c r="D292"/>
      <c r="E292"/>
      <c r="F292"/>
      <c r="G292"/>
      <c r="H292"/>
      <c r="I292"/>
      <c r="J292"/>
      <c r="K292"/>
      <c r="L292"/>
      <c r="M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row>
    <row r="293" spans="1:79" ht="15">
      <c r="A293"/>
      <c r="B293"/>
      <c r="C293"/>
      <c r="D293"/>
      <c r="E293"/>
      <c r="F293"/>
      <c r="G293"/>
      <c r="H293"/>
      <c r="I293"/>
      <c r="J293"/>
      <c r="K293"/>
      <c r="L293"/>
      <c r="M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row>
    <row r="294" spans="1:79" ht="15">
      <c r="A294"/>
      <c r="B294"/>
      <c r="C294"/>
      <c r="D294"/>
      <c r="E294"/>
      <c r="F294"/>
      <c r="G294"/>
      <c r="H294"/>
      <c r="I294"/>
      <c r="J294"/>
      <c r="K294"/>
      <c r="L294"/>
      <c r="M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row>
    <row r="295" spans="1:79" ht="15">
      <c r="A295"/>
      <c r="B295"/>
      <c r="C295"/>
      <c r="D295"/>
      <c r="E295"/>
      <c r="F295"/>
      <c r="G295"/>
      <c r="H295"/>
      <c r="I295"/>
      <c r="J295"/>
      <c r="K295"/>
      <c r="L295"/>
      <c r="M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row>
    <row r="296" spans="1:79" ht="15">
      <c r="A296"/>
      <c r="B296"/>
      <c r="C296"/>
      <c r="D296"/>
      <c r="E296"/>
      <c r="F296"/>
      <c r="G296"/>
      <c r="H296"/>
      <c r="I296"/>
      <c r="J296"/>
      <c r="K296"/>
      <c r="L296"/>
      <c r="M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row>
    <row r="297" spans="1:79" ht="15">
      <c r="A297"/>
      <c r="B297"/>
      <c r="C297"/>
      <c r="D297"/>
      <c r="E297"/>
      <c r="F297"/>
      <c r="G297"/>
      <c r="H297"/>
      <c r="I297"/>
      <c r="J297"/>
      <c r="K297"/>
      <c r="L297"/>
      <c r="M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row>
    <row r="298" spans="1:79" ht="15">
      <c r="A298"/>
      <c r="B298"/>
      <c r="C298"/>
      <c r="D298"/>
      <c r="E298"/>
      <c r="F298"/>
      <c r="G298"/>
      <c r="H298"/>
      <c r="I298"/>
      <c r="J298"/>
      <c r="K298"/>
      <c r="L298"/>
      <c r="M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row>
    <row r="299" spans="1:79" ht="15">
      <c r="A299"/>
      <c r="B299"/>
      <c r="C299"/>
      <c r="D299"/>
      <c r="E299"/>
      <c r="F299"/>
      <c r="G299"/>
      <c r="H299"/>
      <c r="I299"/>
      <c r="J299"/>
      <c r="K299"/>
      <c r="L299"/>
      <c r="M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row>
    <row r="300" spans="1:79" ht="15">
      <c r="A300"/>
      <c r="B300"/>
      <c r="C300"/>
      <c r="D300"/>
      <c r="E300"/>
      <c r="F300"/>
      <c r="G300"/>
      <c r="H300"/>
      <c r="I300"/>
      <c r="J300"/>
      <c r="K300"/>
      <c r="L300"/>
      <c r="M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row>
    <row r="301" spans="1:79" ht="15">
      <c r="A301"/>
      <c r="B301"/>
      <c r="C301"/>
      <c r="D301"/>
      <c r="E301"/>
      <c r="F301"/>
      <c r="G301"/>
      <c r="H301"/>
      <c r="I301"/>
      <c r="J301"/>
      <c r="K301"/>
      <c r="L301"/>
      <c r="M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row>
    <row r="302" spans="1:79" ht="15">
      <c r="A302"/>
      <c r="B302"/>
      <c r="C302"/>
      <c r="D302"/>
      <c r="E302"/>
      <c r="F302"/>
      <c r="G302"/>
      <c r="H302"/>
      <c r="I302"/>
      <c r="J302"/>
      <c r="K302"/>
      <c r="L302"/>
      <c r="M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row>
    <row r="303" spans="1:79" ht="15">
      <c r="A303"/>
      <c r="B303"/>
      <c r="C303"/>
      <c r="D303"/>
      <c r="E303"/>
      <c r="F303"/>
      <c r="G303"/>
      <c r="H303"/>
      <c r="I303"/>
      <c r="J303"/>
      <c r="K303"/>
      <c r="L303"/>
      <c r="M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row>
    <row r="304" spans="1:79" ht="15">
      <c r="A304"/>
      <c r="B304"/>
      <c r="C304"/>
      <c r="D304"/>
      <c r="E304"/>
      <c r="F304"/>
      <c r="G304"/>
      <c r="H304"/>
      <c r="I304"/>
      <c r="J304"/>
      <c r="K304"/>
      <c r="L304"/>
      <c r="M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row>
    <row r="305" spans="1:79" ht="15">
      <c r="A305"/>
      <c r="B305"/>
      <c r="C305"/>
      <c r="D305"/>
      <c r="E305"/>
      <c r="F305"/>
      <c r="G305"/>
      <c r="H305"/>
      <c r="I305"/>
      <c r="J305"/>
      <c r="K305"/>
      <c r="L305"/>
      <c r="M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row>
    <row r="306" spans="1:79" ht="15">
      <c r="A306"/>
      <c r="B306"/>
      <c r="C306"/>
      <c r="D306"/>
      <c r="E306"/>
      <c r="F306"/>
      <c r="G306"/>
      <c r="H306"/>
      <c r="I306"/>
      <c r="J306"/>
      <c r="K306"/>
      <c r="L306"/>
      <c r="M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row>
    <row r="307" spans="1:79" ht="15">
      <c r="A307"/>
      <c r="B307"/>
      <c r="C307"/>
      <c r="D307"/>
      <c r="E307"/>
      <c r="F307"/>
      <c r="G307"/>
      <c r="H307"/>
      <c r="I307"/>
      <c r="J307"/>
      <c r="K307"/>
      <c r="L307"/>
      <c r="M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row>
    <row r="308" spans="1:79" ht="15">
      <c r="A308"/>
      <c r="B308"/>
      <c r="C308"/>
      <c r="D308"/>
      <c r="E308"/>
      <c r="F308"/>
      <c r="G308"/>
      <c r="H308"/>
      <c r="I308"/>
      <c r="J308"/>
      <c r="K308"/>
      <c r="L308"/>
      <c r="M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row>
    <row r="309" spans="1:79" ht="15">
      <c r="A309"/>
      <c r="B309"/>
      <c r="C309"/>
      <c r="D309"/>
      <c r="E309"/>
      <c r="F309"/>
      <c r="G309"/>
      <c r="H309"/>
      <c r="I309"/>
      <c r="J309"/>
      <c r="K309"/>
      <c r="L309"/>
      <c r="M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row>
    <row r="310" spans="1:79" ht="15">
      <c r="A310"/>
      <c r="B310"/>
      <c r="C310"/>
      <c r="D310"/>
      <c r="E310"/>
      <c r="F310"/>
      <c r="G310"/>
      <c r="H310"/>
      <c r="I310"/>
      <c r="J310"/>
      <c r="K310"/>
      <c r="L310"/>
      <c r="M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row>
    <row r="311" spans="1:79" ht="15">
      <c r="A311"/>
      <c r="B311"/>
      <c r="C311"/>
      <c r="D311"/>
      <c r="E311"/>
      <c r="F311"/>
      <c r="G311"/>
      <c r="H311"/>
      <c r="I311"/>
      <c r="J311"/>
      <c r="K311"/>
      <c r="L311"/>
      <c r="M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row>
    <row r="312" spans="1:79" ht="15">
      <c r="A312"/>
      <c r="B312"/>
      <c r="C312"/>
      <c r="D312"/>
      <c r="E312"/>
      <c r="F312"/>
      <c r="G312"/>
      <c r="H312"/>
      <c r="I312"/>
      <c r="J312"/>
      <c r="K312"/>
      <c r="L312"/>
      <c r="M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row>
    <row r="313" spans="1:79" ht="15">
      <c r="A313"/>
      <c r="B313"/>
      <c r="C313"/>
      <c r="D313"/>
      <c r="E313"/>
      <c r="F313"/>
      <c r="G313"/>
      <c r="H313"/>
      <c r="I313"/>
      <c r="J313"/>
      <c r="K313"/>
      <c r="L313"/>
      <c r="M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row>
    <row r="314" spans="1:79" ht="15">
      <c r="A314"/>
      <c r="B314"/>
      <c r="C314"/>
      <c r="D314"/>
      <c r="E314"/>
      <c r="F314"/>
      <c r="G314"/>
      <c r="H314"/>
      <c r="I314"/>
      <c r="J314"/>
      <c r="K314"/>
      <c r="L314"/>
      <c r="M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row>
    <row r="315" spans="1:79" ht="15">
      <c r="A315"/>
      <c r="B315"/>
      <c r="C315"/>
      <c r="D315"/>
      <c r="E315"/>
      <c r="F315"/>
      <c r="G315"/>
      <c r="H315"/>
      <c r="I315"/>
      <c r="J315"/>
      <c r="K315"/>
      <c r="L315"/>
      <c r="M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row>
    <row r="316" spans="1:79" ht="15">
      <c r="A316"/>
      <c r="B316"/>
      <c r="C316"/>
      <c r="D316"/>
      <c r="E316"/>
      <c r="F316"/>
      <c r="G316"/>
      <c r="H316"/>
      <c r="I316"/>
      <c r="J316"/>
      <c r="K316"/>
      <c r="L316"/>
      <c r="M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row>
    <row r="317" spans="1:79" ht="15">
      <c r="A317"/>
      <c r="B317"/>
      <c r="C317"/>
      <c r="D317"/>
      <c r="E317"/>
      <c r="F317"/>
      <c r="G317"/>
      <c r="H317"/>
      <c r="I317"/>
      <c r="J317"/>
      <c r="K317"/>
      <c r="L317"/>
      <c r="M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row>
    <row r="318" spans="1:79" ht="15">
      <c r="A318"/>
      <c r="B318"/>
      <c r="C318"/>
      <c r="D318"/>
      <c r="E318"/>
      <c r="F318"/>
      <c r="G318"/>
      <c r="H318"/>
      <c r="I318"/>
      <c r="J318"/>
      <c r="K318"/>
      <c r="L318"/>
      <c r="M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row>
    <row r="319" spans="1:79" ht="15">
      <c r="A319"/>
      <c r="B319"/>
      <c r="C319"/>
      <c r="D319"/>
      <c r="E319"/>
      <c r="F319"/>
      <c r="G319"/>
      <c r="H319"/>
      <c r="I319"/>
      <c r="J319"/>
      <c r="K319"/>
      <c r="L319"/>
      <c r="M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row>
    <row r="320" spans="1:79" ht="15">
      <c r="A320"/>
      <c r="B320"/>
      <c r="C320"/>
      <c r="D320"/>
      <c r="E320"/>
      <c r="F320"/>
      <c r="G320"/>
      <c r="H320"/>
      <c r="I320"/>
      <c r="J320"/>
      <c r="K320"/>
      <c r="L320"/>
      <c r="M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row>
    <row r="321" spans="1:79" ht="15">
      <c r="A321"/>
      <c r="B321"/>
      <c r="C321"/>
      <c r="D321"/>
      <c r="E321"/>
      <c r="F321"/>
      <c r="G321"/>
      <c r="H321"/>
      <c r="I321"/>
      <c r="J321"/>
      <c r="K321"/>
      <c r="L321"/>
      <c r="M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row>
    <row r="322" spans="1:79" ht="15">
      <c r="A322"/>
      <c r="B322"/>
      <c r="C322"/>
      <c r="D322"/>
      <c r="E322"/>
      <c r="F322"/>
      <c r="G322"/>
      <c r="H322"/>
      <c r="I322"/>
      <c r="J322"/>
      <c r="K322"/>
      <c r="L322"/>
      <c r="M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row>
    <row r="323" spans="1:79" ht="15">
      <c r="A323"/>
      <c r="B323"/>
      <c r="C323"/>
      <c r="D323"/>
      <c r="E323"/>
      <c r="F323"/>
      <c r="G323"/>
      <c r="H323"/>
      <c r="I323"/>
      <c r="J323"/>
      <c r="K323"/>
      <c r="L323"/>
      <c r="M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row>
    <row r="324" spans="1:79" ht="15">
      <c r="A324"/>
      <c r="B324"/>
      <c r="C324"/>
      <c r="D324"/>
      <c r="E324"/>
      <c r="F324"/>
      <c r="G324"/>
      <c r="H324"/>
      <c r="I324"/>
      <c r="J324"/>
      <c r="K324"/>
      <c r="L324"/>
      <c r="M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row>
    <row r="325" spans="1:79" ht="15">
      <c r="A325"/>
      <c r="B325"/>
      <c r="C325"/>
      <c r="D325"/>
      <c r="E325"/>
      <c r="F325"/>
      <c r="G325"/>
      <c r="H325"/>
      <c r="I325"/>
      <c r="J325"/>
      <c r="K325"/>
      <c r="L325"/>
      <c r="M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row>
    <row r="326" spans="1:79" ht="15">
      <c r="A326"/>
      <c r="B326"/>
      <c r="C326"/>
      <c r="D326"/>
      <c r="E326"/>
      <c r="F326"/>
      <c r="G326"/>
      <c r="H326"/>
      <c r="I326"/>
      <c r="J326"/>
      <c r="K326"/>
      <c r="L326"/>
      <c r="M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row>
    <row r="327" spans="1:79" ht="15">
      <c r="A327"/>
      <c r="B327"/>
      <c r="C327"/>
      <c r="D327"/>
      <c r="E327"/>
      <c r="F327"/>
      <c r="G327"/>
      <c r="H327"/>
      <c r="I327"/>
      <c r="J327"/>
      <c r="K327"/>
      <c r="L327"/>
      <c r="M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row>
    <row r="328" spans="1:79" ht="15">
      <c r="A328"/>
      <c r="B328"/>
      <c r="C328"/>
      <c r="D328"/>
      <c r="E328"/>
      <c r="F328"/>
      <c r="G328"/>
      <c r="H328"/>
      <c r="I328"/>
      <c r="J328"/>
      <c r="K328"/>
      <c r="L328"/>
      <c r="M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row>
    <row r="329" spans="1:79" ht="15">
      <c r="A329"/>
      <c r="B329"/>
      <c r="C329"/>
      <c r="D329"/>
      <c r="E329"/>
      <c r="F329"/>
      <c r="G329"/>
      <c r="H329"/>
      <c r="I329"/>
      <c r="J329"/>
      <c r="K329"/>
      <c r="L329"/>
      <c r="M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row>
    <row r="330" spans="1:79" ht="15">
      <c r="A330"/>
      <c r="B330"/>
      <c r="C330"/>
      <c r="D330"/>
      <c r="E330"/>
      <c r="F330"/>
      <c r="G330"/>
      <c r="H330"/>
      <c r="I330"/>
      <c r="J330"/>
      <c r="K330"/>
      <c r="L330"/>
      <c r="M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row>
    <row r="331" spans="1:79" ht="15">
      <c r="A331"/>
      <c r="B331"/>
      <c r="C331"/>
      <c r="D331"/>
      <c r="E331"/>
      <c r="F331"/>
      <c r="G331"/>
      <c r="H331"/>
      <c r="I331"/>
      <c r="J331"/>
      <c r="K331"/>
      <c r="L331"/>
      <c r="M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row>
    <row r="332" spans="1:79" ht="15">
      <c r="A332"/>
      <c r="B332"/>
      <c r="C332"/>
      <c r="D332"/>
      <c r="E332"/>
      <c r="F332"/>
      <c r="G332"/>
      <c r="H332"/>
      <c r="I332"/>
      <c r="J332"/>
      <c r="K332"/>
      <c r="L332"/>
      <c r="M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row>
    <row r="333" spans="1:79" ht="15">
      <c r="A333"/>
      <c r="B333"/>
      <c r="C333"/>
      <c r="D333"/>
      <c r="E333"/>
      <c r="F333"/>
      <c r="G333"/>
      <c r="H333"/>
      <c r="I333"/>
      <c r="J333"/>
      <c r="K333"/>
      <c r="L333"/>
      <c r="M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row>
    <row r="334" spans="1:79" ht="15">
      <c r="A334"/>
      <c r="B334"/>
      <c r="C334"/>
      <c r="D334"/>
      <c r="E334"/>
      <c r="F334"/>
      <c r="G334"/>
      <c r="H334"/>
      <c r="I334"/>
      <c r="J334"/>
      <c r="K334"/>
      <c r="L334"/>
      <c r="M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row>
    <row r="335" spans="1:79" ht="15">
      <c r="A335"/>
      <c r="B335"/>
      <c r="C335"/>
      <c r="D335"/>
      <c r="E335"/>
      <c r="F335"/>
      <c r="G335"/>
      <c r="H335"/>
      <c r="I335"/>
      <c r="J335"/>
      <c r="K335"/>
      <c r="L335"/>
      <c r="M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row>
    <row r="336" spans="1:79" ht="15">
      <c r="A336"/>
      <c r="B336"/>
      <c r="C336"/>
      <c r="D336"/>
      <c r="E336"/>
      <c r="F336"/>
      <c r="G336"/>
      <c r="H336"/>
      <c r="I336"/>
      <c r="J336"/>
      <c r="K336"/>
      <c r="L336"/>
      <c r="M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row>
    <row r="337" spans="1:79" ht="15">
      <c r="A337"/>
      <c r="B337"/>
      <c r="C337"/>
      <c r="D337"/>
      <c r="E337"/>
      <c r="F337"/>
      <c r="G337"/>
      <c r="H337"/>
      <c r="I337"/>
      <c r="J337"/>
      <c r="K337"/>
      <c r="L337"/>
      <c r="M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row>
    <row r="338" spans="1:79" ht="15">
      <c r="A338"/>
      <c r="B338"/>
      <c r="C338"/>
      <c r="D338"/>
      <c r="E338"/>
      <c r="F338"/>
      <c r="G338"/>
      <c r="H338"/>
      <c r="I338"/>
      <c r="J338"/>
      <c r="K338"/>
      <c r="L338"/>
      <c r="M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row>
    <row r="339" spans="1:79" ht="15">
      <c r="A339"/>
      <c r="B339"/>
      <c r="C339"/>
      <c r="D339"/>
      <c r="E339"/>
      <c r="F339"/>
      <c r="G339"/>
      <c r="H339"/>
      <c r="I339"/>
      <c r="J339"/>
      <c r="K339"/>
      <c r="L339"/>
      <c r="M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row>
    <row r="340" spans="1:79" ht="15">
      <c r="A340"/>
      <c r="B340"/>
      <c r="C340"/>
      <c r="D340"/>
      <c r="E340"/>
      <c r="F340"/>
      <c r="G340"/>
      <c r="H340"/>
      <c r="I340"/>
      <c r="J340"/>
      <c r="K340"/>
      <c r="L340"/>
      <c r="M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row>
    <row r="341" spans="1:79" ht="15">
      <c r="A341"/>
      <c r="B341"/>
      <c r="C341"/>
      <c r="D341"/>
      <c r="E341"/>
      <c r="F341"/>
      <c r="G341"/>
      <c r="H341"/>
      <c r="I341"/>
      <c r="J341"/>
      <c r="K341"/>
      <c r="L341"/>
      <c r="M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row>
    <row r="342" spans="1:79" ht="15">
      <c r="A342"/>
      <c r="B342"/>
      <c r="C342"/>
      <c r="D342"/>
      <c r="E342"/>
      <c r="F342"/>
      <c r="G342"/>
      <c r="H342"/>
      <c r="I342"/>
      <c r="J342"/>
      <c r="K342"/>
      <c r="L342"/>
      <c r="M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row>
    <row r="343" spans="1:79" ht="15">
      <c r="A343"/>
      <c r="B343"/>
      <c r="C343"/>
      <c r="D343"/>
      <c r="E343"/>
      <c r="F343"/>
      <c r="G343"/>
      <c r="H343"/>
      <c r="I343"/>
      <c r="J343"/>
      <c r="K343"/>
      <c r="L343"/>
      <c r="M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row>
    <row r="344" spans="1:79" ht="15">
      <c r="A344"/>
      <c r="B344"/>
      <c r="C344"/>
      <c r="D344"/>
      <c r="E344"/>
      <c r="F344"/>
      <c r="G344"/>
      <c r="H344"/>
      <c r="I344"/>
      <c r="J344"/>
      <c r="K344"/>
      <c r="L344"/>
      <c r="M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row>
    <row r="345" spans="1:79" ht="15">
      <c r="A345"/>
      <c r="B345"/>
      <c r="C345"/>
      <c r="D345"/>
      <c r="E345"/>
      <c r="F345"/>
      <c r="G345"/>
      <c r="H345"/>
      <c r="I345"/>
      <c r="J345"/>
      <c r="K345"/>
      <c r="L345"/>
      <c r="M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row>
    <row r="346" spans="1:79" ht="15">
      <c r="A346"/>
      <c r="B346"/>
      <c r="C346"/>
      <c r="D346"/>
      <c r="E346"/>
      <c r="F346"/>
      <c r="G346"/>
      <c r="H346"/>
      <c r="I346"/>
      <c r="J346"/>
      <c r="K346"/>
      <c r="L346"/>
      <c r="M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row>
    <row r="347" spans="1:79" ht="15">
      <c r="A347"/>
      <c r="B347"/>
      <c r="C347"/>
      <c r="D347"/>
      <c r="E347"/>
      <c r="F347"/>
      <c r="G347"/>
      <c r="H347"/>
      <c r="I347"/>
      <c r="J347"/>
      <c r="K347"/>
      <c r="L347"/>
      <c r="M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row>
    <row r="348" spans="1:79" ht="15">
      <c r="A348"/>
      <c r="B348"/>
      <c r="C348"/>
      <c r="D348"/>
      <c r="E348"/>
      <c r="F348"/>
      <c r="G348"/>
      <c r="H348"/>
      <c r="I348"/>
      <c r="J348"/>
      <c r="K348"/>
      <c r="L348"/>
      <c r="M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row>
    <row r="349" spans="1:79" ht="15">
      <c r="A349"/>
      <c r="B349"/>
      <c r="C349"/>
      <c r="D349"/>
      <c r="E349"/>
      <c r="F349"/>
      <c r="G349"/>
      <c r="H349"/>
      <c r="I349"/>
      <c r="J349"/>
      <c r="K349"/>
      <c r="L349"/>
      <c r="M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row>
    <row r="350" spans="1:79" ht="15">
      <c r="A350"/>
      <c r="B350"/>
      <c r="C350"/>
      <c r="D350"/>
      <c r="E350"/>
      <c r="F350"/>
      <c r="G350"/>
      <c r="H350"/>
      <c r="I350"/>
      <c r="J350"/>
      <c r="K350"/>
      <c r="L350"/>
      <c r="M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row>
    <row r="351" spans="1:79" ht="15">
      <c r="A351"/>
      <c r="B351"/>
      <c r="C351"/>
      <c r="D351"/>
      <c r="E351"/>
      <c r="F351"/>
      <c r="G351"/>
      <c r="H351"/>
      <c r="I351"/>
      <c r="J351"/>
      <c r="K351"/>
      <c r="L351"/>
      <c r="M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row>
    <row r="352" spans="1:79" ht="15">
      <c r="A352"/>
      <c r="B352"/>
      <c r="C352"/>
      <c r="D352"/>
      <c r="E352"/>
      <c r="F352"/>
      <c r="G352"/>
      <c r="H352"/>
      <c r="I352"/>
      <c r="J352"/>
      <c r="K352"/>
      <c r="L352"/>
      <c r="M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row>
    <row r="353" spans="1:79" ht="15">
      <c r="A353"/>
      <c r="B353"/>
      <c r="C353"/>
      <c r="D353"/>
      <c r="E353"/>
      <c r="F353"/>
      <c r="G353"/>
      <c r="H353"/>
      <c r="I353"/>
      <c r="J353"/>
      <c r="K353"/>
      <c r="L353"/>
      <c r="M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row>
    <row r="354" spans="1:79" ht="15">
      <c r="A354"/>
      <c r="B354"/>
      <c r="C354"/>
      <c r="D354"/>
      <c r="E354"/>
      <c r="F354"/>
      <c r="G354"/>
      <c r="H354"/>
      <c r="I354"/>
      <c r="J354"/>
      <c r="K354"/>
      <c r="L354"/>
      <c r="M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row>
    <row r="355" spans="1:79" ht="15">
      <c r="A355"/>
      <c r="B355"/>
      <c r="C355"/>
      <c r="D355"/>
      <c r="E355"/>
      <c r="F355"/>
      <c r="G355"/>
      <c r="H355"/>
      <c r="I355"/>
      <c r="J355"/>
      <c r="K355"/>
      <c r="L355"/>
      <c r="M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row>
    <row r="356" spans="1:79" ht="15">
      <c r="A356"/>
      <c r="B356"/>
      <c r="C356"/>
      <c r="D356"/>
      <c r="E356"/>
      <c r="F356"/>
      <c r="G356"/>
      <c r="H356"/>
      <c r="I356"/>
      <c r="J356"/>
      <c r="K356"/>
      <c r="L356"/>
      <c r="M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row>
    <row r="357" spans="1:79" ht="15">
      <c r="A357"/>
      <c r="B357"/>
      <c r="C357"/>
      <c r="D357"/>
      <c r="E357"/>
      <c r="F357"/>
      <c r="G357"/>
      <c r="H357"/>
      <c r="I357"/>
      <c r="J357"/>
      <c r="K357"/>
      <c r="L357"/>
      <c r="M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row>
    <row r="358" spans="1:79" ht="15">
      <c r="A358"/>
      <c r="B358"/>
      <c r="C358"/>
      <c r="D358"/>
      <c r="E358"/>
      <c r="F358"/>
      <c r="G358"/>
      <c r="H358"/>
      <c r="I358"/>
      <c r="J358"/>
      <c r="K358"/>
      <c r="L358"/>
      <c r="M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row>
    <row r="359" spans="1:79" ht="15">
      <c r="A359"/>
      <c r="B359"/>
      <c r="C359"/>
      <c r="D359"/>
      <c r="E359"/>
      <c r="F359"/>
      <c r="G359"/>
      <c r="H359"/>
      <c r="I359"/>
      <c r="J359"/>
      <c r="K359"/>
      <c r="L359"/>
      <c r="M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row>
    <row r="360" spans="1:79" ht="15">
      <c r="A360"/>
      <c r="B360"/>
      <c r="C360"/>
      <c r="D360"/>
      <c r="E360"/>
      <c r="F360"/>
      <c r="G360"/>
      <c r="H360"/>
      <c r="I360"/>
      <c r="J360"/>
      <c r="K360"/>
      <c r="L360"/>
      <c r="M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row>
    <row r="361" spans="1:79" ht="15">
      <c r="A361"/>
      <c r="B361"/>
      <c r="C361"/>
      <c r="D361"/>
      <c r="E361"/>
      <c r="F361"/>
      <c r="G361"/>
      <c r="H361"/>
      <c r="I361"/>
      <c r="J361"/>
      <c r="K361"/>
      <c r="L361"/>
      <c r="M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row>
    <row r="362" spans="1:79" ht="15">
      <c r="A362"/>
      <c r="B362"/>
      <c r="C362"/>
      <c r="D362"/>
      <c r="E362"/>
      <c r="F362"/>
      <c r="G362"/>
      <c r="H362"/>
      <c r="I362"/>
      <c r="J362"/>
      <c r="K362"/>
      <c r="L362"/>
      <c r="M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row>
    <row r="363" spans="1:79" ht="15">
      <c r="A363"/>
      <c r="B363"/>
      <c r="C363"/>
      <c r="D363"/>
      <c r="E363"/>
      <c r="F363"/>
      <c r="G363"/>
      <c r="H363"/>
      <c r="I363"/>
      <c r="J363"/>
      <c r="K363"/>
      <c r="L363"/>
      <c r="M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row>
    <row r="364" spans="1:79" ht="15">
      <c r="A364"/>
      <c r="B364"/>
      <c r="C364"/>
      <c r="D364"/>
      <c r="E364"/>
      <c r="F364"/>
      <c r="G364"/>
      <c r="H364"/>
      <c r="I364"/>
      <c r="J364"/>
      <c r="K364"/>
      <c r="L364"/>
      <c r="M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row>
    <row r="365" spans="1:79" ht="15">
      <c r="A365"/>
      <c r="B365"/>
      <c r="C365"/>
      <c r="D365"/>
      <c r="E365"/>
      <c r="F365"/>
      <c r="G365"/>
      <c r="H365"/>
      <c r="I365"/>
      <c r="J365"/>
      <c r="K365"/>
      <c r="L365"/>
      <c r="M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row>
    <row r="366" spans="1:79" ht="15">
      <c r="A366"/>
      <c r="B366"/>
      <c r="C366"/>
      <c r="D366"/>
      <c r="E366"/>
      <c r="F366"/>
      <c r="G366"/>
      <c r="H366"/>
      <c r="I366"/>
      <c r="J366"/>
      <c r="K366"/>
      <c r="L366"/>
      <c r="M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row>
    <row r="367" spans="1:79" ht="15">
      <c r="A367"/>
      <c r="B367"/>
      <c r="C367"/>
      <c r="D367"/>
      <c r="E367"/>
      <c r="F367"/>
      <c r="G367"/>
      <c r="H367"/>
      <c r="I367"/>
      <c r="J367"/>
      <c r="K367"/>
      <c r="L367"/>
      <c r="M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row>
    <row r="368" spans="1:79" ht="15">
      <c r="A368"/>
      <c r="B368"/>
      <c r="C368"/>
      <c r="D368"/>
      <c r="E368"/>
      <c r="F368"/>
      <c r="G368"/>
      <c r="H368"/>
      <c r="I368"/>
      <c r="J368"/>
      <c r="K368"/>
      <c r="L368"/>
      <c r="M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row>
    <row r="369" spans="1:79" ht="15">
      <c r="A369"/>
      <c r="B369"/>
      <c r="C369"/>
      <c r="D369"/>
      <c r="E369"/>
      <c r="F369"/>
      <c r="G369"/>
      <c r="H369"/>
      <c r="I369"/>
      <c r="J369"/>
      <c r="K369"/>
      <c r="L369"/>
      <c r="M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row>
    <row r="370" spans="1:79" ht="15">
      <c r="A370"/>
      <c r="B370"/>
      <c r="C370"/>
      <c r="D370"/>
      <c r="E370"/>
      <c r="F370"/>
      <c r="G370"/>
      <c r="H370"/>
      <c r="I370"/>
      <c r="J370"/>
      <c r="K370"/>
      <c r="L370"/>
      <c r="M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row>
    <row r="371" spans="1:79" ht="15">
      <c r="A371"/>
      <c r="B371"/>
      <c r="C371"/>
      <c r="D371"/>
      <c r="E371"/>
      <c r="F371"/>
      <c r="G371"/>
      <c r="H371"/>
      <c r="I371"/>
      <c r="J371"/>
      <c r="K371"/>
      <c r="L371"/>
      <c r="M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row>
    <row r="372" spans="1:79" ht="15">
      <c r="A372"/>
      <c r="B372"/>
      <c r="C372"/>
      <c r="D372"/>
      <c r="E372"/>
      <c r="F372"/>
      <c r="G372"/>
      <c r="H372"/>
      <c r="I372"/>
      <c r="J372"/>
      <c r="K372"/>
      <c r="L372"/>
      <c r="M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row>
    <row r="373" spans="1:79" ht="15">
      <c r="A373"/>
      <c r="B373"/>
      <c r="C373"/>
      <c r="D373"/>
      <c r="E373"/>
      <c r="F373"/>
      <c r="G373"/>
      <c r="H373"/>
      <c r="I373"/>
      <c r="J373"/>
      <c r="K373"/>
      <c r="L373"/>
      <c r="M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row>
    <row r="374" spans="1:79" ht="15">
      <c r="A374"/>
      <c r="B374"/>
      <c r="C374"/>
      <c r="D374"/>
      <c r="E374"/>
      <c r="F374"/>
      <c r="G374"/>
      <c r="H374"/>
      <c r="I374"/>
      <c r="J374"/>
      <c r="K374"/>
      <c r="L374"/>
      <c r="M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row>
    <row r="375" spans="1:79" ht="15">
      <c r="A375"/>
      <c r="B375"/>
      <c r="C375"/>
      <c r="D375"/>
      <c r="E375"/>
      <c r="F375"/>
      <c r="G375"/>
      <c r="H375"/>
      <c r="I375"/>
      <c r="J375"/>
      <c r="K375"/>
      <c r="L375"/>
      <c r="M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row>
    <row r="376" spans="1:79" ht="15">
      <c r="A376"/>
      <c r="B376"/>
      <c r="C376"/>
      <c r="D376"/>
      <c r="E376"/>
      <c r="F376"/>
      <c r="G376"/>
      <c r="H376"/>
      <c r="I376"/>
      <c r="J376"/>
      <c r="K376"/>
      <c r="L376"/>
      <c r="M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row>
    <row r="377" spans="1:79" ht="15">
      <c r="A377"/>
      <c r="B377"/>
      <c r="C377"/>
      <c r="D377"/>
      <c r="E377"/>
      <c r="F377"/>
      <c r="G377"/>
      <c r="H377"/>
      <c r="I377"/>
      <c r="J377"/>
      <c r="K377"/>
      <c r="L377"/>
      <c r="M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row>
    <row r="378" spans="1:79" ht="15">
      <c r="A378"/>
      <c r="B378"/>
      <c r="C378"/>
      <c r="D378"/>
      <c r="E378"/>
      <c r="F378"/>
      <c r="G378"/>
      <c r="H378"/>
      <c r="I378"/>
      <c r="J378"/>
      <c r="K378"/>
      <c r="L378"/>
      <c r="M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row>
    <row r="379" spans="1:79" ht="15">
      <c r="A379"/>
      <c r="B379"/>
      <c r="C379"/>
      <c r="D379"/>
      <c r="E379"/>
      <c r="F379"/>
      <c r="G379"/>
      <c r="H379"/>
      <c r="I379"/>
      <c r="J379"/>
      <c r="K379"/>
      <c r="L379"/>
      <c r="M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row>
    <row r="380" spans="1:79" ht="15">
      <c r="A380"/>
      <c r="B380"/>
      <c r="C380"/>
      <c r="D380"/>
      <c r="E380"/>
      <c r="F380"/>
      <c r="G380"/>
      <c r="H380"/>
      <c r="I380"/>
      <c r="J380"/>
      <c r="K380"/>
      <c r="L380"/>
      <c r="M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row>
    <row r="381" spans="1:79" ht="15">
      <c r="A381"/>
      <c r="B381"/>
      <c r="C381"/>
      <c r="D381"/>
      <c r="E381"/>
      <c r="F381"/>
      <c r="G381"/>
      <c r="H381"/>
      <c r="I381"/>
      <c r="J381"/>
      <c r="K381"/>
      <c r="L381"/>
      <c r="M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row>
    <row r="382" spans="1:79" ht="15">
      <c r="A382"/>
      <c r="B382"/>
      <c r="C382"/>
      <c r="D382"/>
      <c r="E382"/>
      <c r="F382"/>
      <c r="G382"/>
      <c r="H382"/>
      <c r="I382"/>
      <c r="J382"/>
      <c r="K382"/>
      <c r="L382"/>
      <c r="M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row>
    <row r="383" spans="1:79" ht="15">
      <c r="A383"/>
      <c r="B383"/>
      <c r="C383"/>
      <c r="D383"/>
      <c r="E383"/>
      <c r="F383"/>
      <c r="G383"/>
      <c r="H383"/>
      <c r="I383"/>
      <c r="J383"/>
      <c r="K383"/>
      <c r="L383"/>
      <c r="M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row>
    <row r="384" spans="1:79" ht="15">
      <c r="A384"/>
      <c r="B384"/>
      <c r="C384"/>
      <c r="D384"/>
      <c r="E384"/>
      <c r="F384"/>
      <c r="G384"/>
      <c r="H384"/>
      <c r="I384"/>
      <c r="J384"/>
      <c r="K384"/>
      <c r="L384"/>
      <c r="M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row>
    <row r="385" spans="1:79" ht="15">
      <c r="A385"/>
      <c r="B385"/>
      <c r="C385"/>
      <c r="D385"/>
      <c r="E385"/>
      <c r="F385"/>
      <c r="G385"/>
      <c r="H385"/>
      <c r="I385"/>
      <c r="J385"/>
      <c r="K385"/>
      <c r="L385"/>
      <c r="M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row>
    <row r="386" spans="1:79" ht="15">
      <c r="A386"/>
      <c r="B386"/>
      <c r="C386"/>
      <c r="D386"/>
      <c r="E386"/>
      <c r="F386"/>
      <c r="G386"/>
      <c r="H386"/>
      <c r="I386"/>
      <c r="J386"/>
      <c r="K386"/>
      <c r="L386"/>
      <c r="M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row>
    <row r="387" spans="1:79" ht="15">
      <c r="A387"/>
      <c r="B387"/>
      <c r="C387"/>
      <c r="D387"/>
      <c r="E387"/>
      <c r="F387"/>
      <c r="G387"/>
      <c r="H387"/>
      <c r="I387"/>
      <c r="J387"/>
      <c r="K387"/>
      <c r="L387"/>
      <c r="M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row>
    <row r="388" spans="1:79" ht="15">
      <c r="A388"/>
      <c r="B388"/>
      <c r="C388"/>
      <c r="D388"/>
      <c r="E388"/>
      <c r="F388"/>
      <c r="G388"/>
      <c r="H388"/>
      <c r="I388"/>
      <c r="J388"/>
      <c r="K388"/>
      <c r="L388"/>
      <c r="M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row>
    <row r="389" spans="1:79" ht="15">
      <c r="A389"/>
      <c r="B389"/>
      <c r="C389"/>
      <c r="D389"/>
      <c r="E389"/>
      <c r="F389"/>
      <c r="G389"/>
      <c r="H389"/>
      <c r="I389"/>
      <c r="J389"/>
      <c r="K389"/>
      <c r="L389"/>
      <c r="M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row>
    <row r="390" spans="1:79" ht="15">
      <c r="A390"/>
      <c r="B390"/>
      <c r="C390"/>
      <c r="D390"/>
      <c r="E390"/>
      <c r="F390"/>
      <c r="G390"/>
      <c r="H390"/>
      <c r="I390"/>
      <c r="J390"/>
      <c r="K390"/>
      <c r="L390"/>
      <c r="M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row>
    <row r="391" spans="1:79" ht="15">
      <c r="A391"/>
      <c r="B391"/>
      <c r="C391"/>
      <c r="D391"/>
      <c r="E391"/>
      <c r="F391"/>
      <c r="G391"/>
      <c r="H391"/>
      <c r="I391"/>
      <c r="J391"/>
      <c r="K391"/>
      <c r="L391"/>
      <c r="M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row>
    <row r="392" spans="1:79" ht="15">
      <c r="A392"/>
      <c r="B392"/>
      <c r="C392"/>
      <c r="D392"/>
      <c r="E392"/>
      <c r="F392"/>
      <c r="G392"/>
      <c r="H392"/>
      <c r="I392"/>
      <c r="J392"/>
      <c r="K392"/>
      <c r="L392"/>
      <c r="M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row>
    <row r="393" spans="1:79" ht="15">
      <c r="A393"/>
      <c r="B393"/>
      <c r="C393"/>
      <c r="D393"/>
      <c r="E393"/>
      <c r="F393"/>
      <c r="G393"/>
      <c r="H393"/>
      <c r="I393"/>
      <c r="J393"/>
      <c r="K393"/>
      <c r="L393"/>
      <c r="M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row>
    <row r="394" spans="1:79" ht="15">
      <c r="A394"/>
      <c r="B394"/>
      <c r="C394"/>
      <c r="D394"/>
      <c r="E394"/>
      <c r="F394"/>
      <c r="G394"/>
      <c r="H394"/>
      <c r="I394"/>
      <c r="J394"/>
      <c r="K394"/>
      <c r="L394"/>
      <c r="M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row>
    <row r="395" spans="1:79" ht="15">
      <c r="A395"/>
      <c r="B395"/>
      <c r="C395"/>
      <c r="D395"/>
      <c r="E395"/>
      <c r="F395"/>
      <c r="G395"/>
      <c r="H395"/>
      <c r="I395"/>
      <c r="J395"/>
      <c r="K395"/>
      <c r="L395"/>
      <c r="M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row>
    <row r="396" spans="1:79" ht="15">
      <c r="A396"/>
      <c r="B396"/>
      <c r="C396"/>
      <c r="D396"/>
      <c r="E396"/>
      <c r="F396"/>
      <c r="G396"/>
      <c r="H396"/>
      <c r="I396"/>
      <c r="J396"/>
      <c r="K396"/>
      <c r="L396"/>
      <c r="M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row>
    <row r="397" spans="1:79" ht="15">
      <c r="A397"/>
      <c r="B397"/>
      <c r="C397"/>
      <c r="D397"/>
      <c r="E397"/>
      <c r="F397"/>
      <c r="G397"/>
      <c r="H397"/>
      <c r="I397"/>
      <c r="J397"/>
      <c r="K397"/>
      <c r="L397"/>
      <c r="M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row>
    <row r="398" spans="1:79" ht="15">
      <c r="A398"/>
      <c r="B398"/>
      <c r="C398"/>
      <c r="D398"/>
      <c r="E398"/>
      <c r="F398"/>
      <c r="G398"/>
      <c r="H398"/>
      <c r="I398"/>
      <c r="J398"/>
      <c r="K398"/>
      <c r="L398"/>
      <c r="M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row>
    <row r="399" spans="1:79" ht="15">
      <c r="A399"/>
      <c r="B399"/>
      <c r="C399"/>
      <c r="D399"/>
      <c r="E399"/>
      <c r="F399"/>
      <c r="G399"/>
      <c r="H399"/>
      <c r="I399"/>
      <c r="J399"/>
      <c r="K399"/>
      <c r="L399"/>
      <c r="M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row>
    <row r="400" spans="1:79" ht="15">
      <c r="A400"/>
      <c r="B400"/>
      <c r="C400"/>
      <c r="D400"/>
      <c r="E400"/>
      <c r="F400"/>
      <c r="G400"/>
      <c r="H400"/>
      <c r="I400"/>
      <c r="J400"/>
      <c r="K400"/>
      <c r="L400"/>
      <c r="M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row>
    <row r="401" spans="1:79" ht="15">
      <c r="A401"/>
      <c r="B401"/>
      <c r="C401"/>
      <c r="D401"/>
      <c r="E401"/>
      <c r="F401"/>
      <c r="G401"/>
      <c r="H401"/>
      <c r="I401"/>
      <c r="J401"/>
      <c r="K401"/>
      <c r="L401"/>
      <c r="M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row>
    <row r="402" spans="1:79" ht="15">
      <c r="A402"/>
      <c r="B402"/>
      <c r="C402"/>
      <c r="D402"/>
      <c r="E402"/>
      <c r="F402"/>
      <c r="G402"/>
      <c r="H402"/>
      <c r="I402"/>
      <c r="J402"/>
      <c r="K402"/>
      <c r="L402"/>
      <c r="M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row>
    <row r="403" spans="1:79" ht="15">
      <c r="A403"/>
      <c r="B403"/>
      <c r="C403"/>
      <c r="D403"/>
      <c r="E403"/>
      <c r="F403"/>
      <c r="G403"/>
      <c r="H403"/>
      <c r="I403"/>
      <c r="J403"/>
      <c r="K403"/>
      <c r="L403"/>
      <c r="M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row>
    <row r="404" spans="1:79" ht="15">
      <c r="A404"/>
      <c r="B404"/>
      <c r="C404"/>
      <c r="D404"/>
      <c r="E404"/>
      <c r="F404"/>
      <c r="G404"/>
      <c r="H404"/>
      <c r="I404"/>
      <c r="J404"/>
      <c r="K404"/>
      <c r="L404"/>
      <c r="M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row>
    <row r="405" spans="1:79" ht="15">
      <c r="A405"/>
      <c r="B405"/>
      <c r="C405"/>
      <c r="D405"/>
      <c r="E405"/>
      <c r="F405"/>
      <c r="G405"/>
      <c r="H405"/>
      <c r="I405"/>
      <c r="J405"/>
      <c r="K405"/>
      <c r="L405"/>
      <c r="M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row>
    <row r="406" spans="1:79" ht="15">
      <c r="A406"/>
      <c r="B406"/>
      <c r="C406"/>
      <c r="D406"/>
      <c r="E406"/>
      <c r="F406"/>
      <c r="G406"/>
      <c r="H406"/>
      <c r="I406"/>
      <c r="J406"/>
      <c r="K406"/>
      <c r="L406"/>
      <c r="M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row>
    <row r="407" spans="1:79" ht="15">
      <c r="A407"/>
      <c r="B407"/>
      <c r="C407"/>
      <c r="D407"/>
      <c r="E407"/>
      <c r="F407"/>
      <c r="G407"/>
      <c r="H407"/>
      <c r="I407"/>
      <c r="J407"/>
      <c r="K407"/>
      <c r="L407"/>
      <c r="M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row>
    <row r="408" spans="1:79" ht="15">
      <c r="A408"/>
      <c r="B408"/>
      <c r="C408"/>
      <c r="D408"/>
      <c r="E408"/>
      <c r="F408"/>
      <c r="G408"/>
      <c r="H408"/>
      <c r="I408"/>
      <c r="J408"/>
      <c r="K408"/>
      <c r="L408"/>
      <c r="M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row>
    <row r="409" spans="1:79" ht="15">
      <c r="A409"/>
      <c r="B409"/>
      <c r="C409"/>
      <c r="D409"/>
      <c r="E409"/>
      <c r="F409"/>
      <c r="G409"/>
      <c r="H409"/>
      <c r="I409"/>
      <c r="J409"/>
      <c r="K409"/>
      <c r="L409"/>
      <c r="M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row>
    <row r="410" spans="1:79" ht="15">
      <c r="A410"/>
      <c r="B410"/>
      <c r="C410"/>
      <c r="D410"/>
      <c r="E410"/>
      <c r="F410"/>
      <c r="G410"/>
      <c r="H410"/>
      <c r="I410"/>
      <c r="J410"/>
      <c r="K410"/>
      <c r="L410"/>
      <c r="M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row>
    <row r="411" spans="1:79" ht="15">
      <c r="A411"/>
      <c r="B411"/>
      <c r="C411"/>
      <c r="D411"/>
      <c r="E411"/>
      <c r="F411"/>
      <c r="G411"/>
      <c r="H411"/>
      <c r="I411"/>
      <c r="J411"/>
      <c r="K411"/>
      <c r="L411"/>
      <c r="M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row>
    <row r="412" spans="1:79" ht="15">
      <c r="A412"/>
      <c r="B412"/>
      <c r="C412"/>
      <c r="D412"/>
      <c r="E412"/>
      <c r="F412"/>
      <c r="G412"/>
      <c r="H412"/>
      <c r="I412"/>
      <c r="J412"/>
      <c r="K412"/>
      <c r="L412"/>
      <c r="M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row>
    <row r="413" spans="1:79" ht="15">
      <c r="A413"/>
      <c r="B413"/>
      <c r="C413"/>
      <c r="D413"/>
      <c r="E413"/>
      <c r="F413"/>
      <c r="G413"/>
      <c r="H413"/>
      <c r="I413"/>
      <c r="J413"/>
      <c r="K413"/>
      <c r="L413"/>
      <c r="M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row>
    <row r="414" spans="1:79" ht="15">
      <c r="A414"/>
      <c r="B414"/>
      <c r="C414"/>
      <c r="D414"/>
      <c r="E414"/>
      <c r="F414"/>
      <c r="G414"/>
      <c r="H414"/>
      <c r="I414"/>
      <c r="J414"/>
      <c r="K414"/>
      <c r="L414"/>
      <c r="M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row>
    <row r="415" spans="1:79" ht="15">
      <c r="A415"/>
      <c r="B415"/>
      <c r="C415"/>
      <c r="D415"/>
      <c r="E415"/>
      <c r="F415"/>
      <c r="G415"/>
      <c r="H415"/>
      <c r="I415"/>
      <c r="J415"/>
      <c r="K415"/>
      <c r="L415"/>
      <c r="M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row>
    <row r="416" spans="1:79" ht="15">
      <c r="A416"/>
      <c r="B416"/>
      <c r="C416"/>
      <c r="D416"/>
      <c r="E416"/>
      <c r="F416"/>
      <c r="G416"/>
      <c r="H416"/>
      <c r="I416"/>
      <c r="J416"/>
      <c r="K416"/>
      <c r="L416"/>
      <c r="M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row>
    <row r="417" spans="1:79" ht="15">
      <c r="A417"/>
      <c r="B417"/>
      <c r="C417"/>
      <c r="D417"/>
      <c r="E417"/>
      <c r="F417"/>
      <c r="G417"/>
      <c r="H417"/>
      <c r="I417"/>
      <c r="J417"/>
      <c r="K417"/>
      <c r="L417"/>
      <c r="M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row>
    <row r="418" spans="1:79" ht="15">
      <c r="A418"/>
      <c r="B418"/>
      <c r="C418"/>
      <c r="D418"/>
      <c r="E418"/>
      <c r="F418"/>
      <c r="G418"/>
      <c r="H418"/>
      <c r="I418"/>
      <c r="J418"/>
      <c r="K418"/>
      <c r="L418"/>
      <c r="M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row>
    <row r="419" spans="1:79" ht="15">
      <c r="A419"/>
      <c r="B419"/>
      <c r="C419"/>
      <c r="D419"/>
      <c r="E419"/>
      <c r="F419"/>
      <c r="G419"/>
      <c r="H419"/>
      <c r="I419"/>
      <c r="J419"/>
      <c r="K419"/>
      <c r="L419"/>
      <c r="M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row>
    <row r="420" spans="1:79" ht="15">
      <c r="A420"/>
      <c r="B420"/>
      <c r="C420"/>
      <c r="D420"/>
      <c r="E420"/>
      <c r="F420"/>
      <c r="G420"/>
      <c r="H420"/>
      <c r="I420"/>
      <c r="J420"/>
      <c r="K420"/>
      <c r="L420"/>
      <c r="M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row>
    <row r="421" spans="1:79" ht="15">
      <c r="A421"/>
      <c r="B421"/>
      <c r="C421"/>
      <c r="D421"/>
      <c r="E421"/>
      <c r="F421"/>
      <c r="G421"/>
      <c r="H421"/>
      <c r="I421"/>
      <c r="J421"/>
      <c r="K421"/>
      <c r="L421"/>
      <c r="M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row>
    <row r="422" spans="1:79" ht="15">
      <c r="A422"/>
      <c r="B422"/>
      <c r="C422"/>
      <c r="D422"/>
      <c r="E422"/>
      <c r="F422"/>
      <c r="G422"/>
      <c r="H422"/>
      <c r="I422"/>
      <c r="J422"/>
      <c r="K422"/>
      <c r="L422"/>
      <c r="M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row>
    <row r="423" spans="1:79" ht="15">
      <c r="A423"/>
      <c r="B423"/>
      <c r="C423"/>
      <c r="D423"/>
      <c r="E423"/>
      <c r="F423"/>
      <c r="G423"/>
      <c r="H423"/>
      <c r="I423"/>
      <c r="J423"/>
      <c r="K423"/>
      <c r="L423"/>
      <c r="M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row>
    <row r="424" spans="1:79" ht="15">
      <c r="A424"/>
      <c r="B424"/>
      <c r="C424"/>
      <c r="D424"/>
      <c r="E424"/>
      <c r="F424"/>
      <c r="G424"/>
      <c r="H424"/>
      <c r="I424"/>
      <c r="J424"/>
      <c r="K424"/>
      <c r="L424"/>
      <c r="M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row>
    <row r="425" spans="1:79" ht="15">
      <c r="A425"/>
      <c r="B425"/>
      <c r="C425"/>
      <c r="D425"/>
      <c r="E425"/>
      <c r="F425"/>
      <c r="G425"/>
      <c r="H425"/>
      <c r="I425"/>
      <c r="J425"/>
      <c r="K425"/>
      <c r="L425"/>
      <c r="M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row>
    <row r="426" spans="1:79" ht="15">
      <c r="A426"/>
      <c r="B426"/>
      <c r="C426"/>
      <c r="D426"/>
      <c r="E426"/>
      <c r="F426"/>
      <c r="G426"/>
      <c r="H426"/>
      <c r="I426"/>
      <c r="J426"/>
      <c r="K426"/>
      <c r="L426"/>
      <c r="M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row>
    <row r="427" spans="1:79" ht="15">
      <c r="A427"/>
      <c r="B427"/>
      <c r="C427"/>
      <c r="D427"/>
      <c r="E427"/>
      <c r="F427"/>
      <c r="G427"/>
      <c r="H427"/>
      <c r="I427"/>
      <c r="J427"/>
      <c r="K427"/>
      <c r="L427"/>
      <c r="M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row>
    <row r="428" spans="1:79" ht="15">
      <c r="A428"/>
      <c r="B428"/>
      <c r="C428"/>
      <c r="D428"/>
      <c r="E428"/>
      <c r="F428"/>
      <c r="G428"/>
      <c r="H428"/>
      <c r="I428"/>
      <c r="J428"/>
      <c r="K428"/>
      <c r="L428"/>
      <c r="M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row>
    <row r="429" spans="1:79" ht="15">
      <c r="A429"/>
      <c r="B429"/>
      <c r="C429"/>
      <c r="D429"/>
      <c r="E429"/>
      <c r="F429"/>
      <c r="G429"/>
      <c r="H429"/>
      <c r="I429"/>
      <c r="J429"/>
      <c r="K429"/>
      <c r="L429"/>
      <c r="M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row>
    <row r="430" spans="1:79" ht="15">
      <c r="A430"/>
      <c r="B430"/>
      <c r="C430"/>
      <c r="D430"/>
      <c r="E430"/>
      <c r="F430"/>
      <c r="G430"/>
      <c r="H430"/>
      <c r="I430"/>
      <c r="J430"/>
      <c r="K430"/>
      <c r="L430"/>
      <c r="M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row>
    <row r="431" spans="1:79" ht="15">
      <c r="A431"/>
      <c r="B431"/>
      <c r="C431"/>
      <c r="D431"/>
      <c r="E431"/>
      <c r="F431"/>
      <c r="G431"/>
      <c r="H431"/>
      <c r="I431"/>
      <c r="J431"/>
      <c r="K431"/>
      <c r="L431"/>
      <c r="M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row>
    <row r="432" spans="1:79" ht="15">
      <c r="A432"/>
      <c r="B432"/>
      <c r="C432"/>
      <c r="D432"/>
      <c r="E432"/>
      <c r="F432"/>
      <c r="G432"/>
      <c r="H432"/>
      <c r="I432"/>
      <c r="J432"/>
      <c r="K432"/>
      <c r="L432"/>
      <c r="M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row>
    <row r="433" spans="1:79" ht="15">
      <c r="A433"/>
      <c r="B433"/>
      <c r="C433"/>
      <c r="D433"/>
      <c r="E433"/>
      <c r="F433"/>
      <c r="G433"/>
      <c r="H433"/>
      <c r="I433"/>
      <c r="J433"/>
      <c r="K433"/>
      <c r="L433"/>
      <c r="M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row>
    <row r="434" spans="1:79" ht="15">
      <c r="A434"/>
      <c r="B434"/>
      <c r="C434"/>
      <c r="D434"/>
      <c r="E434"/>
      <c r="F434"/>
      <c r="G434"/>
      <c r="H434"/>
      <c r="I434"/>
      <c r="J434"/>
      <c r="K434"/>
      <c r="L434"/>
      <c r="M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row>
    <row r="435" spans="1:79" ht="15">
      <c r="A435"/>
      <c r="B435"/>
      <c r="C435"/>
      <c r="D435"/>
      <c r="E435"/>
      <c r="F435"/>
      <c r="G435"/>
      <c r="H435"/>
      <c r="I435"/>
      <c r="J435"/>
      <c r="K435"/>
      <c r="L435"/>
      <c r="M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row>
    <row r="436" spans="1:79" ht="15">
      <c r="A436"/>
      <c r="B436"/>
      <c r="C436"/>
      <c r="D436"/>
      <c r="E436"/>
      <c r="F436"/>
      <c r="G436"/>
      <c r="H436"/>
      <c r="I436"/>
      <c r="J436"/>
      <c r="K436"/>
      <c r="L436"/>
      <c r="M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row>
    <row r="437" spans="1:79" ht="15">
      <c r="A437"/>
      <c r="B437"/>
      <c r="C437"/>
      <c r="D437"/>
      <c r="E437"/>
      <c r="F437"/>
      <c r="G437"/>
      <c r="H437"/>
      <c r="I437"/>
      <c r="J437"/>
      <c r="K437"/>
      <c r="L437"/>
      <c r="M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row>
    <row r="438" spans="1:79" ht="15">
      <c r="A438"/>
      <c r="B438"/>
      <c r="C438"/>
      <c r="D438"/>
      <c r="E438"/>
      <c r="F438"/>
      <c r="G438"/>
      <c r="H438"/>
      <c r="I438"/>
      <c r="J438"/>
      <c r="K438"/>
      <c r="L438"/>
      <c r="M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row>
    <row r="439" spans="1:79" ht="15">
      <c r="A439"/>
      <c r="B439"/>
      <c r="C439"/>
      <c r="D439"/>
      <c r="E439"/>
      <c r="F439"/>
      <c r="G439"/>
      <c r="H439"/>
      <c r="I439"/>
      <c r="J439"/>
      <c r="K439"/>
      <c r="L439"/>
      <c r="M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row>
    <row r="440" spans="1:79" ht="15">
      <c r="A440"/>
      <c r="B440"/>
      <c r="C440"/>
      <c r="D440"/>
      <c r="E440"/>
      <c r="F440"/>
      <c r="G440"/>
      <c r="H440"/>
      <c r="I440"/>
      <c r="J440"/>
      <c r="K440"/>
      <c r="L440"/>
      <c r="M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row>
    <row r="441" spans="1:79" ht="15">
      <c r="A441"/>
      <c r="B441"/>
      <c r="C441"/>
      <c r="D441"/>
      <c r="E441"/>
      <c r="F441"/>
      <c r="G441"/>
      <c r="H441"/>
      <c r="I441"/>
      <c r="J441"/>
      <c r="K441"/>
      <c r="L441"/>
      <c r="M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row>
    <row r="442" spans="1:79" ht="15">
      <c r="A442"/>
      <c r="B442"/>
      <c r="C442"/>
      <c r="D442"/>
      <c r="E442"/>
      <c r="F442"/>
      <c r="G442"/>
      <c r="H442"/>
      <c r="I442"/>
      <c r="J442"/>
      <c r="K442"/>
      <c r="L442"/>
      <c r="M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row>
    <row r="443" spans="1:79" ht="15">
      <c r="A443"/>
      <c r="B443"/>
      <c r="C443"/>
      <c r="D443"/>
      <c r="E443"/>
      <c r="F443"/>
      <c r="G443"/>
      <c r="H443"/>
      <c r="I443"/>
      <c r="J443"/>
      <c r="K443"/>
      <c r="L443"/>
      <c r="M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row>
    <row r="444" spans="1:79" ht="15">
      <c r="A444"/>
      <c r="B444"/>
      <c r="C444"/>
      <c r="D444"/>
      <c r="E444"/>
      <c r="F444"/>
      <c r="G444"/>
      <c r="H444"/>
      <c r="I444"/>
      <c r="J444"/>
      <c r="K444"/>
      <c r="L444"/>
      <c r="M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row>
    <row r="445" spans="1:79" ht="15">
      <c r="A445"/>
      <c r="B445"/>
      <c r="C445"/>
      <c r="D445"/>
      <c r="E445"/>
      <c r="F445"/>
      <c r="G445"/>
      <c r="H445"/>
      <c r="I445"/>
      <c r="J445"/>
      <c r="K445"/>
      <c r="L445"/>
      <c r="M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row>
    <row r="446" spans="1:79" ht="15">
      <c r="A446"/>
      <c r="B446"/>
      <c r="C446"/>
      <c r="D446"/>
      <c r="E446"/>
      <c r="F446"/>
      <c r="G446"/>
      <c r="H446"/>
      <c r="I446"/>
      <c r="J446"/>
      <c r="K446"/>
      <c r="L446"/>
      <c r="M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row>
    <row r="447" spans="1:79" ht="15">
      <c r="A447"/>
      <c r="B447"/>
      <c r="C447"/>
      <c r="D447"/>
      <c r="E447"/>
      <c r="F447"/>
      <c r="G447"/>
      <c r="H447"/>
      <c r="I447"/>
      <c r="J447"/>
      <c r="K447"/>
      <c r="L447"/>
      <c r="M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row>
    <row r="448" spans="1:79" ht="15">
      <c r="A448"/>
      <c r="B448"/>
      <c r="C448"/>
      <c r="D448"/>
      <c r="E448"/>
      <c r="F448"/>
      <c r="G448"/>
      <c r="H448"/>
      <c r="I448"/>
      <c r="J448"/>
      <c r="K448"/>
      <c r="L448"/>
      <c r="M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row>
    <row r="449" spans="1:79" ht="15">
      <c r="A449"/>
      <c r="B449"/>
      <c r="C449"/>
      <c r="D449"/>
      <c r="E449"/>
      <c r="F449"/>
      <c r="G449"/>
      <c r="H449"/>
      <c r="I449"/>
      <c r="J449"/>
      <c r="K449"/>
      <c r="L449"/>
      <c r="M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row>
    <row r="450" spans="1:79" ht="15">
      <c r="A450"/>
      <c r="B450"/>
      <c r="C450"/>
      <c r="D450"/>
      <c r="E450"/>
      <c r="F450"/>
      <c r="G450"/>
      <c r="H450"/>
      <c r="I450"/>
      <c r="J450"/>
      <c r="K450"/>
      <c r="L450"/>
      <c r="M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row>
    <row r="451" spans="1:79" ht="15">
      <c r="A451"/>
      <c r="B451"/>
      <c r="C451"/>
      <c r="D451"/>
      <c r="E451"/>
      <c r="F451"/>
      <c r="G451"/>
      <c r="H451"/>
      <c r="I451"/>
      <c r="J451"/>
      <c r="K451"/>
      <c r="L451"/>
      <c r="M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row>
    <row r="452" spans="1:79" ht="15">
      <c r="A452"/>
      <c r="B452"/>
      <c r="C452"/>
      <c r="D452"/>
      <c r="E452"/>
      <c r="F452"/>
      <c r="G452"/>
      <c r="H452"/>
      <c r="I452"/>
      <c r="J452"/>
      <c r="K452"/>
      <c r="L452"/>
      <c r="M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row>
    <row r="453" spans="1:79" ht="15">
      <c r="A453"/>
      <c r="B453"/>
      <c r="C453"/>
      <c r="D453"/>
      <c r="E453"/>
      <c r="F453"/>
      <c r="G453"/>
      <c r="H453"/>
      <c r="I453"/>
      <c r="J453"/>
      <c r="K453"/>
      <c r="L453"/>
      <c r="M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row>
    <row r="454" spans="1:79" ht="15">
      <c r="A454"/>
      <c r="B454"/>
      <c r="C454"/>
      <c r="D454"/>
      <c r="E454"/>
      <c r="F454"/>
      <c r="G454"/>
      <c r="H454"/>
      <c r="I454"/>
      <c r="J454"/>
      <c r="K454"/>
      <c r="L454"/>
      <c r="M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row>
    <row r="455" spans="1:79" ht="15">
      <c r="A455"/>
      <c r="B455"/>
      <c r="C455"/>
      <c r="D455"/>
      <c r="E455"/>
      <c r="F455"/>
      <c r="G455"/>
      <c r="H455"/>
      <c r="I455"/>
      <c r="J455"/>
      <c r="K455"/>
      <c r="L455"/>
      <c r="M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row>
    <row r="456" spans="1:79" ht="15">
      <c r="A456"/>
      <c r="B456"/>
      <c r="C456"/>
      <c r="D456"/>
      <c r="E456"/>
      <c r="F456"/>
      <c r="G456"/>
      <c r="H456"/>
      <c r="I456"/>
      <c r="J456"/>
      <c r="K456"/>
      <c r="L456"/>
      <c r="M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row>
    <row r="457" spans="1:79" ht="15">
      <c r="A457"/>
      <c r="B457"/>
      <c r="C457"/>
      <c r="D457"/>
      <c r="E457"/>
      <c r="F457"/>
      <c r="G457"/>
      <c r="H457"/>
      <c r="I457"/>
      <c r="J457"/>
      <c r="K457"/>
      <c r="L457"/>
      <c r="M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row>
    <row r="458" spans="1:79" ht="15">
      <c r="A458"/>
      <c r="B458"/>
      <c r="C458"/>
      <c r="D458"/>
      <c r="E458"/>
      <c r="F458"/>
      <c r="G458"/>
      <c r="H458"/>
      <c r="I458"/>
      <c r="J458"/>
      <c r="K458"/>
      <c r="L458"/>
      <c r="M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row>
    <row r="459" spans="1:79" ht="15">
      <c r="A459"/>
      <c r="B459"/>
      <c r="C459"/>
      <c r="D459"/>
      <c r="E459"/>
      <c r="F459"/>
      <c r="G459"/>
      <c r="H459"/>
      <c r="I459"/>
      <c r="J459"/>
      <c r="K459"/>
      <c r="L459"/>
      <c r="M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row>
    <row r="460" spans="1:79" ht="15">
      <c r="A460"/>
      <c r="B460"/>
      <c r="C460"/>
      <c r="D460"/>
      <c r="E460"/>
      <c r="F460"/>
      <c r="G460"/>
      <c r="H460"/>
      <c r="I460"/>
      <c r="J460"/>
      <c r="K460"/>
      <c r="L460"/>
      <c r="M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row>
    <row r="461" spans="1:79" ht="15">
      <c r="A461"/>
      <c r="B461"/>
      <c r="C461"/>
      <c r="D461"/>
      <c r="E461"/>
      <c r="F461"/>
      <c r="G461"/>
      <c r="H461"/>
      <c r="I461"/>
      <c r="J461"/>
      <c r="K461"/>
      <c r="L461"/>
      <c r="M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row>
    <row r="462" spans="1:79" ht="15">
      <c r="A462"/>
      <c r="B462"/>
      <c r="C462"/>
      <c r="D462"/>
      <c r="E462"/>
      <c r="F462"/>
      <c r="G462"/>
      <c r="H462"/>
      <c r="I462"/>
      <c r="J462"/>
      <c r="K462"/>
      <c r="L462"/>
      <c r="M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row>
    <row r="463" spans="1:79" ht="15">
      <c r="A463"/>
      <c r="B463"/>
      <c r="C463"/>
      <c r="D463"/>
      <c r="E463"/>
      <c r="F463"/>
      <c r="G463"/>
      <c r="H463"/>
      <c r="I463"/>
      <c r="J463"/>
      <c r="K463"/>
      <c r="L463"/>
      <c r="M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row>
    <row r="464" spans="1:79" ht="15">
      <c r="A464"/>
      <c r="B464"/>
      <c r="C464"/>
      <c r="D464"/>
      <c r="E464"/>
      <c r="F464"/>
      <c r="G464"/>
      <c r="H464"/>
      <c r="I464"/>
      <c r="J464"/>
      <c r="K464"/>
      <c r="L464"/>
      <c r="M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row>
    <row r="465" spans="1:79" ht="15">
      <c r="A465"/>
      <c r="B465"/>
      <c r="C465"/>
      <c r="D465"/>
      <c r="E465"/>
      <c r="F465"/>
      <c r="G465"/>
      <c r="H465"/>
      <c r="I465"/>
      <c r="J465"/>
      <c r="K465"/>
      <c r="L465"/>
      <c r="M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row>
    <row r="466" spans="1:79" ht="15">
      <c r="A466"/>
      <c r="B466"/>
      <c r="C466"/>
      <c r="D466"/>
      <c r="E466"/>
      <c r="F466"/>
      <c r="G466"/>
      <c r="H466"/>
      <c r="I466"/>
      <c r="J466"/>
      <c r="K466"/>
      <c r="L466"/>
      <c r="M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row>
    <row r="467" spans="1:79" ht="15">
      <c r="A467"/>
      <c r="B467"/>
      <c r="C467"/>
      <c r="D467"/>
      <c r="E467"/>
      <c r="F467"/>
      <c r="G467"/>
      <c r="H467"/>
      <c r="I467"/>
      <c r="J467"/>
      <c r="K467"/>
      <c r="L467"/>
      <c r="M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row>
    <row r="468" spans="1:79" ht="15">
      <c r="A468"/>
      <c r="B468"/>
      <c r="C468"/>
      <c r="D468"/>
      <c r="E468"/>
      <c r="F468"/>
      <c r="G468"/>
      <c r="H468"/>
      <c r="I468"/>
      <c r="J468"/>
      <c r="K468"/>
      <c r="L468"/>
      <c r="M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row>
    <row r="469" spans="1:79" ht="15">
      <c r="A469"/>
      <c r="B469"/>
      <c r="C469"/>
      <c r="D469"/>
      <c r="E469"/>
      <c r="F469"/>
      <c r="G469"/>
      <c r="H469"/>
      <c r="I469"/>
      <c r="J469"/>
      <c r="K469"/>
      <c r="L469"/>
      <c r="M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row>
    <row r="470" spans="1:79" ht="15">
      <c r="A470"/>
      <c r="B470"/>
      <c r="C470"/>
      <c r="D470"/>
      <c r="E470"/>
      <c r="F470"/>
      <c r="G470"/>
      <c r="H470"/>
      <c r="I470"/>
      <c r="J470"/>
      <c r="K470"/>
      <c r="L470"/>
      <c r="M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row>
    <row r="471" spans="1:79" ht="15">
      <c r="A471"/>
      <c r="B471"/>
      <c r="C471"/>
      <c r="D471"/>
      <c r="E471"/>
      <c r="F471"/>
      <c r="G471"/>
      <c r="H471"/>
      <c r="I471"/>
      <c r="J471"/>
      <c r="K471"/>
      <c r="L471"/>
      <c r="M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row>
    <row r="472" spans="1:79" ht="15">
      <c r="A472"/>
      <c r="B472"/>
      <c r="C472"/>
      <c r="D472"/>
      <c r="E472"/>
      <c r="F472"/>
      <c r="G472"/>
      <c r="H472"/>
      <c r="I472"/>
      <c r="J472"/>
      <c r="K472"/>
      <c r="L472"/>
      <c r="M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row>
    <row r="473" spans="1:79" ht="15">
      <c r="A473"/>
      <c r="B473"/>
      <c r="C473"/>
      <c r="D473"/>
      <c r="E473"/>
      <c r="F473"/>
      <c r="G473"/>
      <c r="H473"/>
      <c r="I473"/>
      <c r="J473"/>
      <c r="K473"/>
      <c r="L473"/>
      <c r="M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row>
    <row r="474" spans="1:79" ht="15">
      <c r="A474"/>
      <c r="B474"/>
      <c r="C474"/>
      <c r="D474"/>
      <c r="E474"/>
      <c r="F474"/>
      <c r="G474"/>
      <c r="H474"/>
      <c r="I474"/>
      <c r="J474"/>
      <c r="K474"/>
      <c r="L474"/>
      <c r="M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row>
    <row r="475" spans="1:79" ht="15">
      <c r="A475"/>
      <c r="B475"/>
      <c r="C475"/>
      <c r="D475"/>
      <c r="E475"/>
      <c r="F475"/>
      <c r="G475"/>
      <c r="H475"/>
      <c r="I475"/>
      <c r="J475"/>
      <c r="K475"/>
      <c r="L475"/>
      <c r="M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row>
    <row r="476" spans="1:79" ht="15">
      <c r="A476"/>
      <c r="B476"/>
      <c r="C476"/>
      <c r="D476"/>
      <c r="E476"/>
      <c r="F476"/>
      <c r="G476"/>
      <c r="H476"/>
      <c r="I476"/>
      <c r="J476"/>
      <c r="K476"/>
      <c r="L476"/>
      <c r="M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row>
    <row r="477" spans="1:79" ht="15">
      <c r="A477"/>
      <c r="B477"/>
      <c r="C477"/>
      <c r="D477"/>
      <c r="E477"/>
      <c r="F477"/>
      <c r="G477"/>
      <c r="H477"/>
      <c r="I477"/>
      <c r="J477"/>
      <c r="K477"/>
      <c r="L477"/>
      <c r="M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row>
    <row r="478" spans="1:79" ht="15">
      <c r="A478"/>
      <c r="B478"/>
      <c r="C478"/>
      <c r="D478"/>
      <c r="E478"/>
      <c r="F478"/>
      <c r="G478"/>
      <c r="H478"/>
      <c r="I478"/>
      <c r="J478"/>
      <c r="K478"/>
      <c r="L478"/>
      <c r="M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row>
    <row r="479" spans="1:79" ht="15">
      <c r="A479"/>
      <c r="B479"/>
      <c r="C479"/>
      <c r="D479"/>
      <c r="E479"/>
      <c r="F479"/>
      <c r="G479"/>
      <c r="H479"/>
      <c r="I479"/>
      <c r="J479"/>
      <c r="K479"/>
      <c r="L479"/>
      <c r="M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row>
    <row r="480" spans="1:79" ht="15">
      <c r="A480"/>
      <c r="B480"/>
      <c r="C480"/>
      <c r="D480"/>
      <c r="E480"/>
      <c r="F480"/>
      <c r="G480"/>
      <c r="H480"/>
      <c r="I480"/>
      <c r="J480"/>
      <c r="K480"/>
      <c r="L480"/>
      <c r="M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row>
    <row r="481" spans="1:79" ht="15">
      <c r="A481"/>
      <c r="B481"/>
      <c r="C481"/>
      <c r="D481"/>
      <c r="E481"/>
      <c r="F481"/>
      <c r="G481"/>
      <c r="H481"/>
      <c r="I481"/>
      <c r="J481"/>
      <c r="K481"/>
      <c r="L481"/>
      <c r="M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row>
    <row r="482" spans="1:79" ht="15">
      <c r="A482"/>
      <c r="B482"/>
      <c r="C482"/>
      <c r="D482"/>
      <c r="E482"/>
      <c r="F482"/>
      <c r="G482"/>
      <c r="H482"/>
      <c r="I482"/>
      <c r="J482"/>
      <c r="K482"/>
      <c r="L482"/>
      <c r="M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row>
    <row r="483" spans="1:79" ht="15">
      <c r="A483"/>
      <c r="B483"/>
      <c r="C483"/>
      <c r="D483"/>
      <c r="E483"/>
      <c r="F483"/>
      <c r="G483"/>
      <c r="H483"/>
      <c r="I483"/>
      <c r="J483"/>
      <c r="K483"/>
      <c r="L483"/>
      <c r="M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row>
    <row r="484" spans="1:79" ht="15">
      <c r="A484"/>
      <c r="B484"/>
      <c r="C484"/>
      <c r="D484"/>
      <c r="E484"/>
      <c r="F484"/>
      <c r="G484"/>
      <c r="H484"/>
      <c r="I484"/>
      <c r="J484"/>
      <c r="K484"/>
      <c r="L484"/>
      <c r="M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row>
    <row r="485" spans="1:79" ht="15">
      <c r="A485"/>
      <c r="B485"/>
      <c r="C485"/>
      <c r="D485"/>
      <c r="E485"/>
      <c r="F485"/>
      <c r="G485"/>
      <c r="H485"/>
      <c r="I485"/>
      <c r="J485"/>
      <c r="K485"/>
      <c r="L485"/>
      <c r="M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row>
    <row r="486" spans="1:79" ht="15">
      <c r="A486"/>
      <c r="B486"/>
      <c r="C486"/>
      <c r="D486"/>
      <c r="E486"/>
      <c r="F486"/>
      <c r="G486"/>
      <c r="H486"/>
      <c r="I486"/>
      <c r="J486"/>
      <c r="K486"/>
      <c r="L486"/>
      <c r="M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row>
    <row r="487" spans="1:79" ht="15">
      <c r="A487"/>
      <c r="B487"/>
      <c r="C487"/>
      <c r="D487"/>
      <c r="E487"/>
      <c r="F487"/>
      <c r="G487"/>
      <c r="H487"/>
      <c r="I487"/>
      <c r="J487"/>
      <c r="K487"/>
      <c r="L487"/>
      <c r="M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row>
    <row r="488" spans="1:79" ht="15">
      <c r="A488"/>
      <c r="B488"/>
      <c r="C488"/>
      <c r="D488"/>
      <c r="E488"/>
      <c r="F488"/>
      <c r="G488"/>
      <c r="H488"/>
      <c r="I488"/>
      <c r="J488"/>
      <c r="K488"/>
      <c r="L488"/>
      <c r="M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row>
    <row r="489" spans="1:79" ht="15">
      <c r="A489"/>
      <c r="B489"/>
      <c r="C489"/>
      <c r="D489"/>
      <c r="E489"/>
      <c r="F489"/>
      <c r="G489"/>
      <c r="H489"/>
      <c r="I489"/>
      <c r="J489"/>
      <c r="K489"/>
      <c r="L489"/>
      <c r="M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row>
    <row r="490" spans="1:79" ht="15">
      <c r="A490"/>
      <c r="B490"/>
      <c r="C490"/>
      <c r="D490"/>
      <c r="E490"/>
      <c r="F490"/>
      <c r="G490"/>
      <c r="H490"/>
      <c r="I490"/>
      <c r="J490"/>
      <c r="K490"/>
      <c r="L490"/>
      <c r="M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row>
    <row r="491" spans="1:79" ht="15">
      <c r="A491"/>
      <c r="B491"/>
      <c r="C491"/>
      <c r="D491"/>
      <c r="E491"/>
      <c r="F491"/>
      <c r="G491"/>
      <c r="H491"/>
      <c r="I491"/>
      <c r="J491"/>
      <c r="K491"/>
      <c r="L491"/>
      <c r="M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row>
    <row r="492" spans="1:79" ht="15">
      <c r="A492"/>
      <c r="B492"/>
      <c r="C492"/>
      <c r="D492"/>
      <c r="E492"/>
      <c r="F492"/>
      <c r="G492"/>
      <c r="H492"/>
      <c r="I492"/>
      <c r="J492"/>
      <c r="K492"/>
      <c r="L492"/>
      <c r="M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row>
    <row r="493" spans="1:79" ht="15">
      <c r="A493"/>
      <c r="B493"/>
      <c r="C493"/>
      <c r="D493"/>
      <c r="E493"/>
      <c r="F493"/>
      <c r="G493"/>
      <c r="H493"/>
      <c r="I493"/>
      <c r="J493"/>
      <c r="K493"/>
      <c r="L493"/>
      <c r="M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row>
    <row r="494" spans="1:79" ht="15">
      <c r="A494"/>
      <c r="B494"/>
      <c r="C494"/>
      <c r="D494"/>
      <c r="E494"/>
      <c r="F494"/>
      <c r="G494"/>
      <c r="H494"/>
      <c r="I494"/>
      <c r="J494"/>
      <c r="K494"/>
      <c r="L494"/>
      <c r="M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row>
    <row r="495" spans="1:79" ht="15">
      <c r="A495"/>
      <c r="B495"/>
      <c r="C495"/>
      <c r="D495"/>
      <c r="E495"/>
      <c r="F495"/>
      <c r="G495"/>
      <c r="H495"/>
      <c r="I495"/>
      <c r="J495"/>
      <c r="K495"/>
      <c r="L495"/>
      <c r="M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row>
    <row r="496" spans="1:79" ht="15">
      <c r="A496"/>
      <c r="B496"/>
      <c r="C496"/>
      <c r="D496"/>
      <c r="E496"/>
      <c r="F496"/>
      <c r="G496"/>
      <c r="H496"/>
      <c r="I496"/>
      <c r="J496"/>
      <c r="K496"/>
      <c r="L496"/>
      <c r="M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row>
    <row r="497" spans="1:79" ht="15">
      <c r="A497"/>
      <c r="B497"/>
      <c r="C497"/>
      <c r="D497"/>
      <c r="E497"/>
      <c r="F497"/>
      <c r="G497"/>
      <c r="H497"/>
      <c r="I497"/>
      <c r="J497"/>
      <c r="K497"/>
      <c r="L497"/>
      <c r="M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row>
    <row r="498" spans="1:79" ht="15">
      <c r="A498"/>
      <c r="B498"/>
      <c r="C498"/>
      <c r="D498"/>
      <c r="E498"/>
      <c r="F498"/>
      <c r="G498"/>
      <c r="H498"/>
      <c r="I498"/>
      <c r="J498"/>
      <c r="K498"/>
      <c r="L498"/>
      <c r="M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row>
    <row r="499" spans="1:79" ht="15">
      <c r="A499"/>
      <c r="B499"/>
      <c r="C499"/>
      <c r="D499"/>
      <c r="E499"/>
      <c r="F499"/>
      <c r="G499"/>
      <c r="H499"/>
      <c r="I499"/>
      <c r="J499"/>
      <c r="K499"/>
      <c r="L499"/>
      <c r="M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row>
    <row r="500" spans="1:79" ht="15">
      <c r="A500"/>
      <c r="B500"/>
      <c r="C500"/>
      <c r="D500"/>
      <c r="E500"/>
      <c r="F500"/>
      <c r="G500"/>
      <c r="H500"/>
      <c r="I500"/>
      <c r="J500"/>
      <c r="K500"/>
      <c r="L500"/>
      <c r="M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row>
    <row r="501" spans="1:79" ht="15">
      <c r="A501"/>
      <c r="B501"/>
      <c r="C501"/>
      <c r="D501"/>
      <c r="E501"/>
      <c r="F501"/>
      <c r="G501"/>
      <c r="H501"/>
      <c r="I501"/>
      <c r="J501"/>
      <c r="K501"/>
      <c r="L501"/>
      <c r="M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row>
    <row r="502" spans="1:79" ht="15">
      <c r="A502"/>
      <c r="B502"/>
      <c r="C502"/>
      <c r="D502"/>
      <c r="E502"/>
      <c r="F502"/>
      <c r="G502"/>
      <c r="H502"/>
      <c r="I502"/>
      <c r="J502"/>
      <c r="K502"/>
      <c r="L502"/>
      <c r="M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row>
    <row r="503" spans="1:79" ht="15">
      <c r="A503"/>
      <c r="B503"/>
      <c r="C503"/>
      <c r="D503"/>
      <c r="E503"/>
      <c r="F503"/>
      <c r="G503"/>
      <c r="H503"/>
      <c r="I503"/>
      <c r="J503"/>
      <c r="K503"/>
      <c r="L503"/>
      <c r="M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row>
    <row r="504" spans="1:79" ht="15">
      <c r="A504"/>
      <c r="B504"/>
      <c r="C504"/>
      <c r="D504"/>
      <c r="E504"/>
      <c r="F504"/>
      <c r="G504"/>
      <c r="H504"/>
      <c r="I504"/>
      <c r="J504"/>
      <c r="K504"/>
      <c r="L504"/>
      <c r="M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row>
    <row r="505" spans="1:79" ht="15">
      <c r="A505"/>
      <c r="B505"/>
      <c r="C505"/>
      <c r="D505"/>
      <c r="E505"/>
      <c r="F505"/>
      <c r="G505"/>
      <c r="H505"/>
      <c r="I505"/>
      <c r="J505"/>
      <c r="K505"/>
      <c r="L505"/>
      <c r="M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row>
    <row r="506" spans="1:79" ht="15">
      <c r="A506"/>
      <c r="B506"/>
      <c r="C506"/>
      <c r="D506"/>
      <c r="E506"/>
      <c r="F506"/>
      <c r="G506"/>
      <c r="H506"/>
      <c r="I506"/>
      <c r="J506"/>
      <c r="K506"/>
      <c r="L506"/>
      <c r="M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row>
    <row r="507" spans="1:79" ht="15">
      <c r="A507"/>
      <c r="B507"/>
      <c r="C507"/>
      <c r="D507"/>
      <c r="E507"/>
      <c r="F507"/>
      <c r="G507"/>
      <c r="H507"/>
      <c r="I507"/>
      <c r="J507"/>
      <c r="K507"/>
      <c r="L507"/>
      <c r="M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row>
    <row r="508" spans="1:79" ht="15">
      <c r="A508"/>
      <c r="B508"/>
      <c r="C508"/>
      <c r="D508"/>
      <c r="E508"/>
      <c r="F508"/>
      <c r="G508"/>
      <c r="H508"/>
      <c r="I508"/>
      <c r="J508"/>
      <c r="K508"/>
      <c r="L508"/>
      <c r="M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row>
    <row r="509" spans="1:79" ht="15">
      <c r="A509"/>
      <c r="B509"/>
      <c r="C509"/>
      <c r="D509"/>
      <c r="E509"/>
      <c r="F509"/>
      <c r="G509"/>
      <c r="H509"/>
      <c r="I509"/>
      <c r="J509"/>
      <c r="K509"/>
      <c r="L509"/>
      <c r="M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row>
    <row r="510" spans="1:79" ht="15">
      <c r="A510"/>
      <c r="B510"/>
      <c r="C510"/>
      <c r="D510"/>
      <c r="E510"/>
      <c r="F510"/>
      <c r="G510"/>
      <c r="H510"/>
      <c r="I510"/>
      <c r="J510"/>
      <c r="K510"/>
      <c r="L510"/>
      <c r="M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row>
    <row r="511" spans="1:79" ht="15">
      <c r="A511"/>
      <c r="B511"/>
      <c r="C511"/>
      <c r="D511"/>
      <c r="E511"/>
      <c r="F511"/>
      <c r="G511"/>
      <c r="H511"/>
      <c r="I511"/>
      <c r="J511"/>
      <c r="K511"/>
      <c r="L511"/>
      <c r="M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row>
    <row r="512" spans="1:79" ht="15">
      <c r="A512"/>
      <c r="B512"/>
      <c r="C512"/>
      <c r="D512"/>
      <c r="E512"/>
      <c r="F512"/>
      <c r="G512"/>
      <c r="H512"/>
      <c r="I512"/>
      <c r="J512"/>
      <c r="K512"/>
      <c r="L512"/>
      <c r="M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row>
    <row r="513" spans="1:79" ht="15">
      <c r="A513"/>
      <c r="B513"/>
      <c r="C513"/>
      <c r="D513"/>
      <c r="E513"/>
      <c r="F513"/>
      <c r="G513"/>
      <c r="H513"/>
      <c r="I513"/>
      <c r="J513"/>
      <c r="K513"/>
      <c r="L513"/>
      <c r="M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row>
    <row r="514" spans="1:79" ht="15">
      <c r="A514"/>
      <c r="B514"/>
      <c r="C514"/>
      <c r="D514"/>
      <c r="E514"/>
      <c r="F514"/>
      <c r="G514"/>
      <c r="H514"/>
      <c r="I514"/>
      <c r="J514"/>
      <c r="K514"/>
      <c r="L514"/>
      <c r="M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row>
    <row r="515" spans="1:79" ht="15">
      <c r="A515"/>
      <c r="B515"/>
      <c r="C515"/>
      <c r="D515"/>
      <c r="E515"/>
      <c r="F515"/>
      <c r="G515"/>
      <c r="H515"/>
      <c r="I515"/>
      <c r="J515"/>
      <c r="K515"/>
      <c r="L515"/>
      <c r="M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row>
    <row r="516" spans="1:79" ht="15">
      <c r="A516"/>
      <c r="B516"/>
      <c r="C516"/>
      <c r="D516"/>
      <c r="E516"/>
      <c r="F516"/>
      <c r="G516"/>
      <c r="H516"/>
      <c r="I516"/>
      <c r="J516"/>
      <c r="K516"/>
      <c r="L516"/>
      <c r="M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row>
    <row r="517" spans="1:79" ht="15">
      <c r="A517"/>
      <c r="B517"/>
      <c r="C517"/>
      <c r="D517"/>
      <c r="E517"/>
      <c r="F517"/>
      <c r="G517"/>
      <c r="H517"/>
      <c r="I517"/>
      <c r="J517"/>
      <c r="K517"/>
      <c r="L517"/>
      <c r="M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row>
    <row r="518" spans="1:79" ht="15">
      <c r="A518"/>
      <c r="B518"/>
      <c r="C518"/>
      <c r="D518"/>
      <c r="E518"/>
      <c r="F518"/>
      <c r="G518"/>
      <c r="H518"/>
      <c r="I518"/>
      <c r="J518"/>
      <c r="K518"/>
      <c r="L518"/>
      <c r="M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row>
    <row r="519" spans="1:79" ht="15">
      <c r="A519"/>
      <c r="B519"/>
      <c r="C519"/>
      <c r="D519"/>
      <c r="E519"/>
      <c r="F519"/>
      <c r="G519"/>
      <c r="H519"/>
      <c r="I519"/>
      <c r="J519"/>
      <c r="K519"/>
      <c r="L519"/>
      <c r="M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row>
    <row r="520" spans="1:79" ht="15">
      <c r="A520"/>
      <c r="B520"/>
      <c r="C520"/>
      <c r="D520"/>
      <c r="E520"/>
      <c r="F520"/>
      <c r="G520"/>
      <c r="H520"/>
      <c r="I520"/>
      <c r="J520"/>
      <c r="K520"/>
      <c r="L520"/>
      <c r="M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row>
    <row r="521" spans="1:79" ht="15">
      <c r="A521"/>
      <c r="B521"/>
      <c r="C521"/>
      <c r="D521"/>
      <c r="E521"/>
      <c r="F521"/>
      <c r="G521"/>
      <c r="H521"/>
      <c r="I521"/>
      <c r="J521"/>
      <c r="K521"/>
      <c r="L521"/>
      <c r="M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row>
    <row r="522" spans="1:79" ht="15">
      <c r="A522"/>
      <c r="B522"/>
      <c r="C522"/>
      <c r="D522"/>
      <c r="E522"/>
      <c r="F522"/>
      <c r="G522"/>
      <c r="H522"/>
      <c r="I522"/>
      <c r="J522"/>
      <c r="K522"/>
      <c r="L522"/>
      <c r="M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row>
    <row r="523" spans="1:79" ht="15">
      <c r="A523"/>
      <c r="B523"/>
      <c r="C523"/>
      <c r="D523"/>
      <c r="E523"/>
      <c r="F523"/>
      <c r="G523"/>
      <c r="H523"/>
      <c r="I523"/>
      <c r="J523"/>
      <c r="K523"/>
      <c r="L523"/>
      <c r="M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row>
    <row r="524" spans="1:79" ht="15">
      <c r="A524"/>
      <c r="B524"/>
      <c r="C524"/>
      <c r="D524"/>
      <c r="E524"/>
      <c r="F524"/>
      <c r="G524"/>
      <c r="H524"/>
      <c r="I524"/>
      <c r="J524"/>
      <c r="K524"/>
      <c r="L524"/>
      <c r="M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row>
    <row r="525" spans="1:79" ht="15">
      <c r="A525"/>
      <c r="B525"/>
      <c r="C525"/>
      <c r="D525"/>
      <c r="E525"/>
      <c r="F525"/>
      <c r="G525"/>
      <c r="H525"/>
      <c r="I525"/>
      <c r="J525"/>
      <c r="K525"/>
      <c r="L525"/>
      <c r="M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row>
    <row r="526" spans="1:79" ht="15">
      <c r="A526"/>
      <c r="B526"/>
      <c r="C526"/>
      <c r="D526"/>
      <c r="E526"/>
      <c r="F526"/>
      <c r="G526"/>
      <c r="H526"/>
      <c r="I526"/>
      <c r="J526"/>
      <c r="K526"/>
      <c r="L526"/>
      <c r="M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row>
    <row r="527" spans="1:79" ht="15">
      <c r="A527"/>
      <c r="B527"/>
      <c r="C527"/>
      <c r="D527"/>
      <c r="E527"/>
      <c r="F527"/>
      <c r="G527"/>
      <c r="H527"/>
      <c r="I527"/>
      <c r="J527"/>
      <c r="K527"/>
      <c r="L527"/>
      <c r="M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row>
    <row r="528" spans="1:79" ht="15">
      <c r="A528"/>
      <c r="B528"/>
      <c r="C528"/>
      <c r="D528"/>
      <c r="E528"/>
      <c r="F528"/>
      <c r="G528"/>
      <c r="H528"/>
      <c r="I528"/>
      <c r="J528"/>
      <c r="K528"/>
      <c r="L528"/>
      <c r="M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row>
    <row r="529" spans="1:79" ht="15">
      <c r="A529"/>
      <c r="B529"/>
      <c r="C529"/>
      <c r="D529"/>
      <c r="E529"/>
      <c r="F529"/>
      <c r="G529"/>
      <c r="H529"/>
      <c r="I529"/>
      <c r="J529"/>
      <c r="K529"/>
      <c r="L529"/>
      <c r="M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row>
    <row r="530" spans="1:79" ht="15">
      <c r="A530"/>
      <c r="B530"/>
      <c r="C530"/>
      <c r="D530"/>
      <c r="E530"/>
      <c r="F530"/>
      <c r="G530"/>
      <c r="H530"/>
      <c r="I530"/>
      <c r="J530"/>
      <c r="K530"/>
      <c r="L530"/>
      <c r="M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row>
    <row r="531" spans="1:79" ht="15">
      <c r="A531"/>
      <c r="B531"/>
      <c r="C531"/>
      <c r="D531"/>
      <c r="E531"/>
      <c r="F531"/>
      <c r="G531"/>
      <c r="H531"/>
      <c r="I531"/>
      <c r="J531"/>
      <c r="K531"/>
      <c r="L531"/>
      <c r="M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row>
    <row r="532" spans="1:79" ht="15">
      <c r="A532"/>
      <c r="B532"/>
      <c r="C532"/>
      <c r="D532"/>
      <c r="E532"/>
      <c r="F532"/>
      <c r="G532"/>
      <c r="H532"/>
      <c r="I532"/>
      <c r="J532"/>
      <c r="K532"/>
      <c r="L532"/>
      <c r="M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row>
    <row r="533" spans="1:79" ht="15">
      <c r="A533"/>
      <c r="B533"/>
      <c r="C533"/>
      <c r="D533"/>
      <c r="E533"/>
      <c r="F533"/>
      <c r="G533"/>
      <c r="H533"/>
      <c r="I533"/>
      <c r="J533"/>
      <c r="K533"/>
      <c r="L533"/>
      <c r="M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row>
    <row r="534" spans="1:79" ht="15">
      <c r="A534"/>
      <c r="B534"/>
      <c r="C534"/>
      <c r="D534"/>
      <c r="E534"/>
      <c r="F534"/>
      <c r="G534"/>
      <c r="H534"/>
      <c r="I534"/>
      <c r="J534"/>
      <c r="K534"/>
      <c r="L534"/>
      <c r="M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row>
    <row r="535" spans="1:79" ht="15">
      <c r="A535"/>
      <c r="B535"/>
      <c r="C535"/>
      <c r="D535"/>
      <c r="E535"/>
      <c r="F535"/>
      <c r="G535"/>
      <c r="H535"/>
      <c r="I535"/>
      <c r="J535"/>
      <c r="K535"/>
      <c r="L535"/>
      <c r="M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row>
    <row r="536" spans="1:79" ht="15">
      <c r="A536"/>
      <c r="B536"/>
      <c r="C536"/>
      <c r="D536"/>
      <c r="E536"/>
      <c r="F536"/>
      <c r="G536"/>
      <c r="H536"/>
      <c r="I536"/>
      <c r="J536"/>
      <c r="K536"/>
      <c r="L536"/>
      <c r="M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row>
    <row r="537" spans="1:79" ht="15">
      <c r="A537"/>
      <c r="B537"/>
      <c r="C537"/>
      <c r="D537"/>
      <c r="E537"/>
      <c r="F537"/>
      <c r="G537"/>
      <c r="H537"/>
      <c r="I537"/>
      <c r="J537"/>
      <c r="K537"/>
      <c r="L537"/>
      <c r="M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row>
    <row r="538" spans="1:79" ht="15">
      <c r="A538"/>
      <c r="B538"/>
      <c r="C538"/>
      <c r="D538"/>
      <c r="E538"/>
      <c r="F538"/>
      <c r="G538"/>
      <c r="H538"/>
      <c r="I538"/>
      <c r="J538"/>
      <c r="K538"/>
      <c r="L538"/>
      <c r="M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row>
    <row r="539" spans="1:79" ht="15">
      <c r="A539"/>
      <c r="B539"/>
      <c r="C539"/>
      <c r="D539"/>
      <c r="E539"/>
      <c r="F539"/>
      <c r="G539"/>
      <c r="H539"/>
      <c r="I539"/>
      <c r="J539"/>
      <c r="K539"/>
      <c r="L539"/>
      <c r="M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row>
    <row r="540" spans="1:79" ht="15">
      <c r="A540"/>
      <c r="B540"/>
      <c r="C540"/>
      <c r="D540"/>
      <c r="E540"/>
      <c r="F540"/>
      <c r="G540"/>
      <c r="H540"/>
      <c r="I540"/>
      <c r="J540"/>
      <c r="K540"/>
      <c r="L540"/>
      <c r="M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row>
    <row r="541" spans="1:79" ht="15">
      <c r="A541"/>
      <c r="B541"/>
      <c r="C541"/>
      <c r="D541"/>
      <c r="E541"/>
      <c r="F541"/>
      <c r="G541"/>
      <c r="H541"/>
      <c r="I541"/>
      <c r="J541"/>
      <c r="K541"/>
      <c r="L541"/>
      <c r="M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row>
    <row r="542" spans="1:79" ht="15">
      <c r="A542"/>
      <c r="B542"/>
      <c r="C542"/>
      <c r="D542"/>
      <c r="E542"/>
      <c r="F542"/>
      <c r="G542"/>
      <c r="H542"/>
      <c r="I542"/>
      <c r="J542"/>
      <c r="K542"/>
      <c r="L542"/>
      <c r="M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row>
    <row r="543" spans="1:79" ht="15">
      <c r="A543"/>
      <c r="B543"/>
      <c r="C543"/>
      <c r="D543"/>
      <c r="E543"/>
      <c r="F543"/>
      <c r="G543"/>
      <c r="H543"/>
      <c r="I543"/>
      <c r="J543"/>
      <c r="K543"/>
      <c r="L543"/>
      <c r="M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row>
    <row r="544" spans="1:79" ht="15">
      <c r="A544"/>
      <c r="B544"/>
      <c r="C544"/>
      <c r="D544"/>
      <c r="E544"/>
      <c r="F544"/>
      <c r="G544"/>
      <c r="H544"/>
      <c r="I544"/>
      <c r="J544"/>
      <c r="K544"/>
      <c r="L544"/>
      <c r="M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row>
    <row r="545" spans="1:79" ht="15">
      <c r="A545"/>
      <c r="B545"/>
      <c r="C545"/>
      <c r="D545"/>
      <c r="E545"/>
      <c r="F545"/>
      <c r="G545"/>
      <c r="H545"/>
      <c r="I545"/>
      <c r="J545"/>
      <c r="K545"/>
      <c r="L545"/>
      <c r="M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row>
    <row r="546" spans="1:79" ht="15">
      <c r="A546"/>
      <c r="B546"/>
      <c r="C546"/>
      <c r="D546"/>
      <c r="E546"/>
      <c r="F546"/>
      <c r="G546"/>
      <c r="H546"/>
      <c r="I546"/>
      <c r="J546"/>
      <c r="K546"/>
      <c r="L546"/>
      <c r="M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row>
    <row r="547" spans="1:79" ht="15">
      <c r="A547"/>
      <c r="B547"/>
      <c r="C547"/>
      <c r="D547"/>
      <c r="E547"/>
      <c r="F547"/>
      <c r="G547"/>
      <c r="H547"/>
      <c r="I547"/>
      <c r="J547"/>
      <c r="K547"/>
      <c r="L547"/>
      <c r="M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row>
    <row r="548" spans="1:79" ht="15">
      <c r="A548"/>
      <c r="B548"/>
      <c r="C548"/>
      <c r="D548"/>
      <c r="E548"/>
      <c r="F548"/>
      <c r="G548"/>
      <c r="H548"/>
      <c r="I548"/>
      <c r="J548"/>
      <c r="K548"/>
      <c r="L548"/>
      <c r="M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row>
    <row r="549" spans="1:79" ht="15">
      <c r="A549"/>
      <c r="B549"/>
      <c r="C549"/>
      <c r="D549"/>
      <c r="E549"/>
      <c r="F549"/>
      <c r="G549"/>
      <c r="H549"/>
      <c r="I549"/>
      <c r="J549"/>
      <c r="K549"/>
      <c r="L549"/>
      <c r="M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row>
    <row r="550" spans="1:79" ht="15">
      <c r="A550"/>
      <c r="B550"/>
      <c r="C550"/>
      <c r="D550"/>
      <c r="E550"/>
      <c r="F550"/>
      <c r="G550"/>
      <c r="H550"/>
      <c r="I550"/>
      <c r="J550"/>
      <c r="K550"/>
      <c r="L550"/>
      <c r="M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row>
    <row r="551" spans="1:79" ht="15">
      <c r="A551"/>
      <c r="B551"/>
      <c r="C551"/>
      <c r="D551"/>
      <c r="E551"/>
      <c r="F551"/>
      <c r="G551"/>
      <c r="H551"/>
      <c r="I551"/>
      <c r="J551"/>
      <c r="K551"/>
      <c r="L551"/>
      <c r="M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row>
    <row r="552" spans="1:79" ht="15">
      <c r="A552"/>
      <c r="B552"/>
      <c r="C552"/>
      <c r="D552"/>
      <c r="E552"/>
      <c r="F552"/>
      <c r="G552"/>
      <c r="H552"/>
      <c r="I552"/>
      <c r="J552"/>
      <c r="K552"/>
      <c r="L552"/>
      <c r="M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row>
    <row r="553" spans="1:79" ht="15">
      <c r="A553"/>
      <c r="B553"/>
      <c r="C553"/>
      <c r="D553"/>
      <c r="E553"/>
      <c r="F553"/>
      <c r="G553"/>
      <c r="H553"/>
      <c r="I553"/>
      <c r="J553"/>
      <c r="K553"/>
      <c r="L553"/>
      <c r="M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row>
    <row r="554" spans="1:79" ht="15">
      <c r="A554"/>
      <c r="B554"/>
      <c r="C554"/>
      <c r="D554"/>
      <c r="E554"/>
      <c r="F554"/>
      <c r="G554"/>
      <c r="H554"/>
      <c r="I554"/>
      <c r="J554"/>
      <c r="K554"/>
      <c r="L554"/>
      <c r="M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row>
    <row r="555" spans="1:79" ht="15">
      <c r="A555"/>
      <c r="B555"/>
      <c r="C555"/>
      <c r="D555"/>
      <c r="E555"/>
      <c r="F555"/>
      <c r="G555"/>
      <c r="H555"/>
      <c r="I555"/>
      <c r="J555"/>
      <c r="K555"/>
      <c r="L555"/>
      <c r="M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row>
    <row r="556" spans="1:79" ht="15">
      <c r="A556"/>
      <c r="B556"/>
      <c r="C556"/>
      <c r="D556"/>
      <c r="E556"/>
      <c r="F556"/>
      <c r="G556"/>
      <c r="H556"/>
      <c r="I556"/>
      <c r="J556"/>
      <c r="K556"/>
      <c r="L556"/>
      <c r="M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row>
    <row r="557" spans="1:79" ht="15">
      <c r="A557"/>
      <c r="B557"/>
      <c r="C557"/>
      <c r="D557"/>
      <c r="E557"/>
      <c r="F557"/>
      <c r="G557"/>
      <c r="H557"/>
      <c r="I557"/>
      <c r="J557"/>
      <c r="K557"/>
      <c r="L557"/>
      <c r="M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row>
    <row r="558" spans="1:79" ht="15">
      <c r="A558"/>
      <c r="B558"/>
      <c r="C558"/>
      <c r="D558"/>
      <c r="E558"/>
      <c r="F558"/>
      <c r="G558"/>
      <c r="H558"/>
      <c r="I558"/>
      <c r="J558"/>
      <c r="K558"/>
      <c r="L558"/>
      <c r="M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row>
    <row r="559" spans="1:79" ht="15">
      <c r="A559"/>
      <c r="B559"/>
      <c r="C559"/>
      <c r="D559"/>
      <c r="E559"/>
      <c r="F559"/>
      <c r="G559"/>
      <c r="H559"/>
      <c r="I559"/>
      <c r="J559"/>
      <c r="K559"/>
      <c r="L559"/>
      <c r="M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row>
    <row r="560" spans="1:79" ht="15">
      <c r="A560"/>
      <c r="B560"/>
      <c r="C560"/>
      <c r="D560"/>
      <c r="E560"/>
      <c r="F560"/>
      <c r="G560"/>
      <c r="H560"/>
      <c r="I560"/>
      <c r="J560"/>
      <c r="K560"/>
      <c r="L560"/>
      <c r="M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row>
    <row r="561" spans="1:79" ht="15">
      <c r="A561"/>
      <c r="B561"/>
      <c r="C561"/>
      <c r="D561"/>
      <c r="E561"/>
      <c r="F561"/>
      <c r="G561"/>
      <c r="H561"/>
      <c r="I561"/>
      <c r="J561"/>
      <c r="K561"/>
      <c r="L561"/>
      <c r="M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row>
    <row r="562" spans="1:79" ht="15">
      <c r="A562"/>
      <c r="B562"/>
      <c r="C562"/>
      <c r="D562"/>
      <c r="E562"/>
      <c r="F562"/>
      <c r="G562"/>
      <c r="H562"/>
      <c r="I562"/>
      <c r="J562"/>
      <c r="K562"/>
      <c r="L562"/>
      <c r="M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row>
    <row r="563" spans="1:79" ht="15">
      <c r="A563"/>
      <c r="B563"/>
      <c r="C563"/>
      <c r="D563"/>
      <c r="E563"/>
      <c r="F563"/>
      <c r="G563"/>
      <c r="H563"/>
      <c r="I563"/>
      <c r="J563"/>
      <c r="K563"/>
      <c r="L563"/>
      <c r="M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row>
    <row r="564" spans="1:79" ht="15">
      <c r="A564"/>
      <c r="B564"/>
      <c r="C564"/>
      <c r="D564"/>
      <c r="E564"/>
      <c r="F564"/>
      <c r="G564"/>
      <c r="H564"/>
      <c r="I564"/>
      <c r="J564"/>
      <c r="K564"/>
      <c r="L564"/>
      <c r="M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row>
    <row r="565" spans="1:79" ht="15">
      <c r="A565"/>
      <c r="B565"/>
      <c r="C565"/>
      <c r="D565"/>
      <c r="E565"/>
      <c r="F565"/>
      <c r="G565"/>
      <c r="H565"/>
      <c r="I565"/>
      <c r="J565"/>
      <c r="K565"/>
      <c r="L565"/>
      <c r="M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row>
    <row r="566" spans="1:79" ht="15">
      <c r="A566"/>
      <c r="B566"/>
      <c r="C566"/>
      <c r="D566"/>
      <c r="E566"/>
      <c r="F566"/>
      <c r="G566"/>
      <c r="H566"/>
      <c r="I566"/>
      <c r="J566"/>
      <c r="K566"/>
      <c r="L566"/>
      <c r="M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row>
    <row r="567" spans="1:79" ht="15">
      <c r="A567"/>
      <c r="B567"/>
      <c r="C567"/>
      <c r="D567"/>
      <c r="E567"/>
      <c r="F567"/>
      <c r="G567"/>
      <c r="H567"/>
      <c r="I567"/>
      <c r="J567"/>
      <c r="K567"/>
      <c r="L567"/>
      <c r="M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row>
    <row r="568" spans="1:79" ht="15">
      <c r="A568"/>
      <c r="B568"/>
      <c r="C568"/>
      <c r="D568"/>
      <c r="E568"/>
      <c r="F568"/>
      <c r="G568"/>
      <c r="H568"/>
      <c r="I568"/>
      <c r="J568"/>
      <c r="K568"/>
      <c r="L568"/>
      <c r="M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row>
    <row r="569" spans="1:79" ht="15">
      <c r="A569"/>
      <c r="B569"/>
      <c r="C569"/>
      <c r="D569"/>
      <c r="E569"/>
      <c r="F569"/>
      <c r="G569"/>
      <c r="H569"/>
      <c r="I569"/>
      <c r="J569"/>
      <c r="K569"/>
      <c r="L569"/>
      <c r="M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row>
    <row r="570" spans="1:79" ht="15">
      <c r="A570"/>
      <c r="B570"/>
      <c r="C570"/>
      <c r="D570"/>
      <c r="E570"/>
      <c r="F570"/>
      <c r="G570"/>
      <c r="H570"/>
      <c r="I570"/>
      <c r="J570"/>
      <c r="K570"/>
      <c r="L570"/>
      <c r="M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row>
    <row r="571" spans="1:79" ht="15">
      <c r="A571"/>
      <c r="B571"/>
      <c r="C571"/>
      <c r="D571"/>
      <c r="E571"/>
      <c r="F571"/>
      <c r="G571"/>
      <c r="H571"/>
      <c r="I571"/>
      <c r="J571"/>
      <c r="K571"/>
      <c r="L571"/>
      <c r="M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row>
    <row r="572" spans="1:79" ht="15">
      <c r="A572"/>
      <c r="B572"/>
      <c r="C572"/>
      <c r="D572"/>
      <c r="E572"/>
      <c r="F572"/>
      <c r="G572"/>
      <c r="H572"/>
      <c r="I572"/>
      <c r="J572"/>
      <c r="K572"/>
      <c r="L572"/>
      <c r="M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row>
    <row r="573" spans="1:79" ht="15">
      <c r="A573"/>
      <c r="B573"/>
      <c r="C573"/>
      <c r="D573"/>
      <c r="E573"/>
      <c r="F573"/>
      <c r="G573"/>
      <c r="H573"/>
      <c r="I573"/>
      <c r="J573"/>
      <c r="K573"/>
      <c r="L573"/>
      <c r="M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row>
    <row r="574" spans="1:79" ht="15">
      <c r="A574"/>
      <c r="B574"/>
      <c r="C574"/>
      <c r="D574"/>
      <c r="E574"/>
      <c r="F574"/>
      <c r="G574"/>
      <c r="H574"/>
      <c r="I574"/>
      <c r="J574"/>
      <c r="K574"/>
      <c r="L574"/>
      <c r="M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row>
    <row r="575" spans="1:79" ht="15">
      <c r="A575"/>
      <c r="B575"/>
      <c r="C575"/>
      <c r="D575"/>
      <c r="E575"/>
      <c r="F575"/>
      <c r="G575"/>
      <c r="H575"/>
      <c r="I575"/>
      <c r="J575"/>
      <c r="K575"/>
      <c r="L575"/>
      <c r="M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row>
    <row r="576" spans="1:79" ht="15">
      <c r="A576"/>
      <c r="B576"/>
      <c r="C576"/>
      <c r="D576"/>
      <c r="E576"/>
      <c r="F576"/>
      <c r="G576"/>
      <c r="H576"/>
      <c r="I576"/>
      <c r="J576"/>
      <c r="K576"/>
      <c r="L576"/>
      <c r="M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row>
    <row r="577" spans="1:79" ht="15">
      <c r="A577"/>
      <c r="B577"/>
      <c r="C577"/>
      <c r="D577"/>
      <c r="E577"/>
      <c r="F577"/>
      <c r="G577"/>
      <c r="H577"/>
      <c r="I577"/>
      <c r="J577"/>
      <c r="K577"/>
      <c r="L577"/>
      <c r="M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row>
    <row r="578" spans="1:79" ht="15">
      <c r="A578"/>
      <c r="B578"/>
      <c r="C578"/>
      <c r="D578"/>
      <c r="E578"/>
      <c r="F578"/>
      <c r="G578"/>
      <c r="H578"/>
      <c r="I578"/>
      <c r="J578"/>
      <c r="K578"/>
      <c r="L578"/>
      <c r="M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row>
    <row r="579" spans="1:79" ht="15">
      <c r="A579"/>
      <c r="B579"/>
      <c r="C579"/>
      <c r="D579"/>
      <c r="E579"/>
      <c r="F579"/>
      <c r="G579"/>
      <c r="H579"/>
      <c r="I579"/>
      <c r="J579"/>
      <c r="K579"/>
      <c r="L579"/>
      <c r="M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row>
    <row r="580" spans="1:79" ht="15">
      <c r="A580"/>
      <c r="B580"/>
      <c r="C580"/>
      <c r="D580"/>
      <c r="E580"/>
      <c r="F580"/>
      <c r="G580"/>
      <c r="H580"/>
      <c r="I580"/>
      <c r="J580"/>
      <c r="K580"/>
      <c r="L580"/>
      <c r="M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row>
    <row r="581" spans="1:79" ht="15">
      <c r="A581"/>
      <c r="B581"/>
      <c r="C581"/>
      <c r="D581"/>
      <c r="E581"/>
      <c r="F581"/>
      <c r="G581"/>
      <c r="H581"/>
      <c r="I581"/>
      <c r="J581"/>
      <c r="K581"/>
      <c r="L581"/>
      <c r="M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row>
    <row r="582" spans="1:79" ht="15">
      <c r="A582"/>
      <c r="B582"/>
      <c r="C582"/>
      <c r="D582"/>
      <c r="E582"/>
      <c r="F582"/>
      <c r="G582"/>
      <c r="H582"/>
      <c r="I582"/>
      <c r="J582"/>
      <c r="K582"/>
      <c r="L582"/>
      <c r="M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row>
    <row r="583" spans="1:79" ht="15">
      <c r="A583"/>
      <c r="B583"/>
      <c r="C583"/>
      <c r="D583"/>
      <c r="E583"/>
      <c r="F583"/>
      <c r="G583"/>
      <c r="H583"/>
      <c r="I583"/>
      <c r="J583"/>
      <c r="K583"/>
      <c r="L583"/>
      <c r="M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row>
    <row r="584" spans="1:79" ht="15">
      <c r="A584"/>
      <c r="B584"/>
      <c r="C584"/>
      <c r="D584"/>
      <c r="E584"/>
      <c r="F584"/>
      <c r="G584"/>
      <c r="H584"/>
      <c r="I584"/>
      <c r="J584"/>
      <c r="K584"/>
      <c r="L584"/>
      <c r="M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row>
    <row r="585" spans="1:79" ht="15">
      <c r="A585"/>
      <c r="B585"/>
      <c r="C585"/>
      <c r="D585"/>
      <c r="E585"/>
      <c r="F585"/>
      <c r="G585"/>
      <c r="H585"/>
      <c r="I585"/>
      <c r="J585"/>
      <c r="K585"/>
      <c r="L585"/>
      <c r="M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row>
    <row r="586" spans="1:79" ht="15">
      <c r="A586"/>
      <c r="B586"/>
      <c r="C586"/>
      <c r="D586"/>
      <c r="E586"/>
      <c r="F586"/>
      <c r="G586"/>
      <c r="H586"/>
      <c r="I586"/>
      <c r="J586"/>
      <c r="K586"/>
      <c r="L586"/>
      <c r="M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row>
    <row r="587" spans="1:79" ht="15">
      <c r="A587"/>
      <c r="B587"/>
      <c r="C587"/>
      <c r="D587"/>
      <c r="E587"/>
      <c r="F587"/>
      <c r="G587"/>
      <c r="H587"/>
      <c r="I587"/>
      <c r="J587"/>
      <c r="K587"/>
      <c r="L587"/>
      <c r="M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row>
    <row r="588" spans="1:79" ht="15">
      <c r="A588"/>
      <c r="B588"/>
      <c r="C588"/>
      <c r="D588"/>
      <c r="E588"/>
      <c r="F588"/>
      <c r="G588"/>
      <c r="H588"/>
      <c r="I588"/>
      <c r="J588"/>
      <c r="K588"/>
      <c r="L588"/>
      <c r="M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row>
    <row r="589" spans="1:79" ht="15">
      <c r="A589"/>
      <c r="B589"/>
      <c r="C589"/>
      <c r="D589"/>
      <c r="E589"/>
      <c r="F589"/>
      <c r="G589"/>
      <c r="H589"/>
      <c r="I589"/>
      <c r="J589"/>
      <c r="K589"/>
      <c r="L589"/>
      <c r="M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row>
    <row r="590" spans="1:79" ht="15">
      <c r="A590"/>
      <c r="B590"/>
      <c r="C590"/>
      <c r="D590"/>
      <c r="E590"/>
      <c r="F590"/>
      <c r="G590"/>
      <c r="H590"/>
      <c r="I590"/>
      <c r="J590"/>
      <c r="K590"/>
      <c r="L590"/>
      <c r="M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row>
    <row r="591" spans="1:79" ht="15">
      <c r="A591"/>
      <c r="B591"/>
      <c r="C591"/>
      <c r="D591"/>
      <c r="E591"/>
      <c r="F591"/>
      <c r="G591"/>
      <c r="H591"/>
      <c r="I591"/>
      <c r="J591"/>
      <c r="K591"/>
      <c r="L591"/>
      <c r="M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row>
    <row r="592" spans="1:79" ht="15">
      <c r="A592"/>
      <c r="B592"/>
      <c r="C592"/>
      <c r="D592"/>
      <c r="E592"/>
      <c r="F592"/>
      <c r="G592"/>
      <c r="H592"/>
      <c r="I592"/>
      <c r="J592"/>
      <c r="K592"/>
      <c r="L592"/>
      <c r="M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row>
    <row r="593" spans="1:79" ht="15">
      <c r="A593"/>
      <c r="B593"/>
      <c r="C593"/>
      <c r="D593"/>
      <c r="E593"/>
      <c r="F593"/>
      <c r="G593"/>
      <c r="H593"/>
      <c r="I593"/>
      <c r="J593"/>
      <c r="K593"/>
      <c r="L593"/>
      <c r="M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row>
    <row r="594" spans="1:79" ht="15">
      <c r="A594"/>
      <c r="B594"/>
      <c r="C594"/>
      <c r="D594"/>
      <c r="E594"/>
      <c r="F594"/>
      <c r="G594"/>
      <c r="H594"/>
      <c r="I594"/>
      <c r="J594"/>
      <c r="K594"/>
      <c r="L594"/>
      <c r="M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row>
    <row r="595" spans="1:79" ht="15">
      <c r="A595"/>
      <c r="B595"/>
      <c r="C595"/>
      <c r="D595"/>
      <c r="E595"/>
      <c r="F595"/>
      <c r="G595"/>
      <c r="H595"/>
      <c r="I595"/>
      <c r="J595"/>
      <c r="K595"/>
      <c r="L595"/>
      <c r="M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row>
    <row r="596" spans="1:79" ht="15">
      <c r="A596"/>
      <c r="B596"/>
      <c r="C596"/>
      <c r="D596"/>
      <c r="E596"/>
      <c r="F596"/>
      <c r="G596"/>
      <c r="H596"/>
      <c r="I596"/>
      <c r="J596"/>
      <c r="K596"/>
      <c r="L596"/>
      <c r="M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row>
    <row r="597" spans="1:79" ht="15">
      <c r="A597"/>
      <c r="B597"/>
      <c r="C597"/>
      <c r="D597"/>
      <c r="E597"/>
      <c r="F597"/>
      <c r="G597"/>
      <c r="H597"/>
      <c r="I597"/>
      <c r="J597"/>
      <c r="K597"/>
      <c r="L597"/>
      <c r="M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row>
    <row r="598" spans="1:79" ht="15">
      <c r="A598"/>
      <c r="B598"/>
      <c r="C598"/>
      <c r="D598"/>
      <c r="E598"/>
      <c r="F598"/>
      <c r="G598"/>
      <c r="H598"/>
      <c r="I598"/>
      <c r="J598"/>
      <c r="K598"/>
      <c r="L598"/>
      <c r="M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row>
    <row r="599" spans="1:79" ht="15">
      <c r="A599"/>
      <c r="B599"/>
      <c r="C599"/>
      <c r="D599"/>
      <c r="E599"/>
      <c r="F599"/>
      <c r="G599"/>
      <c r="H599"/>
      <c r="I599"/>
      <c r="J599"/>
      <c r="K599"/>
      <c r="L599"/>
      <c r="M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row>
    <row r="600" spans="1:79" ht="15">
      <c r="A600"/>
      <c r="B600"/>
      <c r="C600"/>
      <c r="D600"/>
      <c r="E600"/>
      <c r="F600"/>
      <c r="G600"/>
      <c r="H600"/>
      <c r="I600"/>
      <c r="J600"/>
      <c r="K600"/>
      <c r="L600"/>
      <c r="M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row>
    <row r="601" spans="1:79" ht="15">
      <c r="A601"/>
      <c r="B601"/>
      <c r="C601"/>
      <c r="D601"/>
      <c r="E601"/>
      <c r="F601"/>
      <c r="G601"/>
      <c r="H601"/>
      <c r="I601"/>
      <c r="J601"/>
      <c r="K601"/>
      <c r="L601"/>
      <c r="M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row>
    <row r="602" spans="1:79" ht="15">
      <c r="A602"/>
      <c r="B602"/>
      <c r="C602"/>
      <c r="D602"/>
      <c r="E602"/>
      <c r="F602"/>
      <c r="G602"/>
      <c r="H602"/>
      <c r="I602"/>
      <c r="J602"/>
      <c r="K602"/>
      <c r="L602"/>
      <c r="M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row>
    <row r="603" spans="1:79" ht="15">
      <c r="A603"/>
      <c r="B603"/>
      <c r="C603"/>
      <c r="D603"/>
      <c r="E603"/>
      <c r="F603"/>
      <c r="G603"/>
      <c r="H603"/>
      <c r="I603"/>
      <c r="J603"/>
      <c r="K603"/>
      <c r="L603"/>
      <c r="M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row>
    <row r="604" spans="1:79" ht="15">
      <c r="A604"/>
      <c r="B604"/>
      <c r="C604"/>
      <c r="D604"/>
      <c r="E604"/>
      <c r="F604"/>
      <c r="G604"/>
      <c r="H604"/>
      <c r="I604"/>
      <c r="J604"/>
      <c r="K604"/>
      <c r="L604"/>
      <c r="M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row>
    <row r="605" spans="1:79" ht="15">
      <c r="A605"/>
      <c r="B605"/>
      <c r="C605"/>
      <c r="D605"/>
      <c r="E605"/>
      <c r="F605"/>
      <c r="G605"/>
      <c r="H605"/>
      <c r="I605"/>
      <c r="J605"/>
      <c r="K605"/>
      <c r="L605"/>
      <c r="M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row>
    <row r="606" spans="1:79" ht="15">
      <c r="A606"/>
      <c r="B606"/>
      <c r="C606"/>
      <c r="D606"/>
      <c r="E606"/>
      <c r="F606"/>
      <c r="G606"/>
      <c r="H606"/>
      <c r="I606"/>
      <c r="J606"/>
      <c r="K606"/>
      <c r="L606"/>
      <c r="M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row>
    <row r="607" spans="1:79" ht="15">
      <c r="A607"/>
      <c r="B607"/>
      <c r="C607"/>
      <c r="D607"/>
      <c r="E607"/>
      <c r="F607"/>
      <c r="G607"/>
      <c r="H607"/>
      <c r="I607"/>
      <c r="J607"/>
      <c r="K607"/>
      <c r="L607"/>
      <c r="M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row>
    <row r="608" spans="1:79" ht="15">
      <c r="A608"/>
      <c r="B608"/>
      <c r="C608"/>
      <c r="D608"/>
      <c r="E608"/>
      <c r="F608"/>
      <c r="G608"/>
      <c r="H608"/>
      <c r="I608"/>
      <c r="J608"/>
      <c r="K608"/>
      <c r="L608"/>
      <c r="M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row>
    <row r="609" spans="1:79" ht="15">
      <c r="A609"/>
      <c r="B609"/>
      <c r="C609"/>
      <c r="D609"/>
      <c r="E609"/>
      <c r="F609"/>
      <c r="G609"/>
      <c r="H609"/>
      <c r="I609"/>
      <c r="J609"/>
      <c r="K609"/>
      <c r="L609"/>
      <c r="M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row>
    <row r="610" spans="1:79" ht="15">
      <c r="A610"/>
      <c r="B610"/>
      <c r="C610"/>
      <c r="D610"/>
      <c r="E610"/>
      <c r="F610"/>
      <c r="G610"/>
      <c r="H610"/>
      <c r="I610"/>
      <c r="J610"/>
      <c r="K610"/>
      <c r="L610"/>
      <c r="M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row>
    <row r="611" spans="1:79" ht="15">
      <c r="A611"/>
      <c r="B611"/>
      <c r="C611"/>
      <c r="D611"/>
      <c r="E611"/>
      <c r="F611"/>
      <c r="G611"/>
      <c r="H611"/>
      <c r="I611"/>
      <c r="J611"/>
      <c r="K611"/>
      <c r="L611"/>
      <c r="M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row>
    <row r="612" spans="1:79" ht="15">
      <c r="A612"/>
      <c r="B612"/>
      <c r="C612"/>
      <c r="D612"/>
      <c r="E612"/>
      <c r="F612"/>
      <c r="G612"/>
      <c r="H612"/>
      <c r="I612"/>
      <c r="J612"/>
      <c r="K612"/>
      <c r="L612"/>
      <c r="M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row>
    <row r="613" spans="1:79" ht="15">
      <c r="A613"/>
      <c r="B613"/>
      <c r="C613"/>
      <c r="D613"/>
      <c r="E613"/>
      <c r="F613"/>
      <c r="G613"/>
      <c r="H613"/>
      <c r="I613"/>
      <c r="J613"/>
      <c r="K613"/>
      <c r="L613"/>
      <c r="M613"/>
    </row>
    <row r="614" spans="1:79" ht="15">
      <c r="A614"/>
      <c r="B614"/>
      <c r="C614"/>
      <c r="D614"/>
      <c r="E614"/>
      <c r="F614"/>
      <c r="G614"/>
      <c r="H614"/>
      <c r="I614"/>
      <c r="J614"/>
      <c r="K614"/>
      <c r="L614"/>
      <c r="M614"/>
    </row>
    <row r="615" spans="1:79" ht="15">
      <c r="A615"/>
      <c r="B615"/>
      <c r="C615"/>
      <c r="D615"/>
      <c r="E615"/>
      <c r="F615"/>
      <c r="G615"/>
      <c r="H615"/>
      <c r="I615"/>
      <c r="J615"/>
      <c r="K615"/>
      <c r="L615"/>
      <c r="M615"/>
    </row>
    <row r="616" spans="1:79" ht="15">
      <c r="A616"/>
      <c r="B616"/>
      <c r="C616"/>
      <c r="D616"/>
      <c r="E616"/>
      <c r="F616"/>
      <c r="G616"/>
      <c r="H616"/>
      <c r="I616"/>
      <c r="J616"/>
      <c r="K616"/>
      <c r="L616"/>
      <c r="M616"/>
    </row>
    <row r="617" spans="1:79" ht="15">
      <c r="A617"/>
      <c r="B617"/>
      <c r="C617"/>
      <c r="D617"/>
      <c r="E617"/>
      <c r="F617"/>
      <c r="G617"/>
      <c r="H617"/>
      <c r="I617"/>
      <c r="J617"/>
      <c r="K617"/>
      <c r="L617"/>
      <c r="M617"/>
    </row>
    <row r="618" spans="1:79" ht="15">
      <c r="A618"/>
      <c r="B618"/>
      <c r="C618"/>
      <c r="D618"/>
      <c r="E618"/>
      <c r="F618"/>
      <c r="G618"/>
      <c r="H618"/>
      <c r="I618"/>
      <c r="J618"/>
      <c r="K618"/>
      <c r="L618"/>
      <c r="M618"/>
    </row>
    <row r="619" spans="1:79" ht="15">
      <c r="A619"/>
      <c r="B619"/>
      <c r="C619"/>
      <c r="D619"/>
      <c r="E619"/>
      <c r="F619"/>
      <c r="G619"/>
      <c r="H619"/>
      <c r="I619"/>
      <c r="J619"/>
      <c r="K619"/>
      <c r="L619"/>
      <c r="M619"/>
    </row>
    <row r="620" spans="1:79" ht="15">
      <c r="A620"/>
      <c r="B620"/>
      <c r="C620"/>
      <c r="D620"/>
      <c r="E620"/>
      <c r="F620"/>
      <c r="G620"/>
      <c r="H620"/>
      <c r="I620"/>
      <c r="J620"/>
      <c r="K620"/>
      <c r="L620"/>
      <c r="M620"/>
    </row>
    <row r="621" spans="1:79" ht="15">
      <c r="A621"/>
      <c r="B621"/>
      <c r="C621"/>
      <c r="D621"/>
      <c r="E621"/>
      <c r="F621"/>
      <c r="G621"/>
      <c r="H621"/>
      <c r="I621"/>
      <c r="J621"/>
      <c r="K621"/>
      <c r="L621"/>
      <c r="M621"/>
    </row>
    <row r="622" spans="1:79" ht="15">
      <c r="A622"/>
      <c r="B622"/>
      <c r="C622"/>
      <c r="D622"/>
      <c r="E622"/>
      <c r="F622"/>
      <c r="G622"/>
      <c r="H622"/>
      <c r="I622"/>
      <c r="J622"/>
      <c r="K622"/>
      <c r="L622"/>
      <c r="M622"/>
    </row>
    <row r="623" spans="1:79" ht="15">
      <c r="A623"/>
      <c r="B623"/>
      <c r="C623"/>
      <c r="D623"/>
      <c r="E623"/>
      <c r="F623"/>
      <c r="G623"/>
      <c r="H623"/>
      <c r="I623"/>
      <c r="J623"/>
      <c r="K623"/>
      <c r="L623"/>
      <c r="M623"/>
    </row>
    <row r="624" spans="1:79" ht="15">
      <c r="A624"/>
      <c r="B624"/>
      <c r="C624"/>
      <c r="D624"/>
      <c r="E624"/>
      <c r="F624"/>
      <c r="G624"/>
      <c r="H624"/>
      <c r="I624"/>
      <c r="J624"/>
      <c r="K624"/>
      <c r="L624"/>
      <c r="M624"/>
    </row>
    <row r="625" spans="1:13" ht="15">
      <c r="A625"/>
      <c r="B625"/>
      <c r="C625"/>
      <c r="D625"/>
      <c r="E625"/>
      <c r="F625"/>
      <c r="G625"/>
      <c r="H625"/>
      <c r="I625"/>
      <c r="J625"/>
      <c r="K625"/>
      <c r="L625"/>
      <c r="M625"/>
    </row>
    <row r="626" spans="1:13" ht="15">
      <c r="A626"/>
      <c r="B626"/>
      <c r="C626"/>
      <c r="D626"/>
      <c r="E626"/>
      <c r="F626"/>
      <c r="G626"/>
      <c r="H626"/>
      <c r="I626"/>
      <c r="J626"/>
      <c r="K626"/>
      <c r="L626"/>
      <c r="M626"/>
    </row>
    <row r="627" spans="1:13" ht="15">
      <c r="A627"/>
      <c r="B627"/>
      <c r="C627"/>
      <c r="D627"/>
      <c r="E627"/>
      <c r="F627"/>
      <c r="G627"/>
      <c r="H627"/>
      <c r="I627"/>
      <c r="J627"/>
      <c r="K627"/>
      <c r="L627"/>
      <c r="M627"/>
    </row>
    <row r="628" spans="1:13" ht="15">
      <c r="A628"/>
      <c r="B628"/>
      <c r="C628"/>
      <c r="D628"/>
      <c r="E628"/>
      <c r="F628"/>
      <c r="G628"/>
      <c r="H628"/>
      <c r="I628"/>
      <c r="J628"/>
      <c r="K628"/>
      <c r="L628"/>
      <c r="M628"/>
    </row>
    <row r="629" spans="1:13" ht="15">
      <c r="A629"/>
      <c r="B629"/>
      <c r="C629"/>
      <c r="D629"/>
      <c r="E629"/>
      <c r="F629"/>
      <c r="G629"/>
      <c r="H629"/>
      <c r="I629"/>
      <c r="J629"/>
      <c r="K629"/>
      <c r="L629"/>
      <c r="M629"/>
    </row>
    <row r="630" spans="1:13" ht="15">
      <c r="A630"/>
      <c r="B630"/>
      <c r="C630"/>
      <c r="D630"/>
      <c r="E630"/>
      <c r="F630"/>
      <c r="G630"/>
      <c r="H630"/>
      <c r="I630"/>
      <c r="J630"/>
      <c r="K630"/>
      <c r="L630"/>
      <c r="M630"/>
    </row>
    <row r="631" spans="1:13" ht="15">
      <c r="A631"/>
      <c r="B631"/>
      <c r="C631"/>
      <c r="D631"/>
      <c r="E631"/>
      <c r="F631"/>
      <c r="G631"/>
      <c r="H631"/>
      <c r="I631"/>
      <c r="J631"/>
      <c r="K631"/>
      <c r="L631"/>
      <c r="M631"/>
    </row>
    <row r="632" spans="1:13" ht="15">
      <c r="A632"/>
      <c r="B632"/>
      <c r="C632"/>
      <c r="D632"/>
      <c r="E632"/>
      <c r="F632"/>
      <c r="G632"/>
      <c r="H632"/>
      <c r="I632"/>
      <c r="J632"/>
      <c r="K632"/>
      <c r="L632"/>
      <c r="M632"/>
    </row>
    <row r="633" spans="1:13" ht="15">
      <c r="A633"/>
      <c r="B633"/>
      <c r="C633"/>
      <c r="D633"/>
      <c r="E633"/>
      <c r="F633"/>
      <c r="G633"/>
      <c r="H633"/>
      <c r="I633"/>
      <c r="J633"/>
      <c r="K633"/>
      <c r="L633"/>
      <c r="M633"/>
    </row>
    <row r="634" spans="1:13" ht="15">
      <c r="A634"/>
      <c r="B634"/>
      <c r="C634"/>
      <c r="D634"/>
      <c r="E634"/>
      <c r="F634"/>
      <c r="G634"/>
      <c r="H634"/>
      <c r="I634"/>
      <c r="J634"/>
      <c r="K634"/>
      <c r="L634"/>
      <c r="M634"/>
    </row>
    <row r="635" spans="1:13" ht="15">
      <c r="A635"/>
      <c r="B635"/>
      <c r="C635"/>
      <c r="D635"/>
      <c r="E635"/>
      <c r="F635"/>
      <c r="G635"/>
      <c r="H635"/>
      <c r="I635"/>
      <c r="J635"/>
      <c r="K635"/>
      <c r="L635"/>
      <c r="M635"/>
    </row>
    <row r="636" spans="1:13" ht="15">
      <c r="A636"/>
      <c r="B636"/>
      <c r="C636"/>
      <c r="D636"/>
      <c r="E636"/>
      <c r="F636"/>
      <c r="G636"/>
      <c r="H636"/>
      <c r="I636"/>
      <c r="J636"/>
      <c r="K636"/>
      <c r="L636"/>
      <c r="M636"/>
    </row>
    <row r="637" spans="1:13" ht="15">
      <c r="A637"/>
      <c r="B637"/>
      <c r="C637"/>
      <c r="D637"/>
      <c r="E637"/>
      <c r="F637"/>
      <c r="G637"/>
      <c r="H637"/>
      <c r="I637"/>
      <c r="J637"/>
      <c r="K637"/>
      <c r="L637"/>
      <c r="M637"/>
    </row>
    <row r="638" spans="1:13" ht="15">
      <c r="A638"/>
      <c r="B638"/>
      <c r="C638"/>
      <c r="D638"/>
      <c r="E638"/>
      <c r="F638"/>
      <c r="G638"/>
      <c r="H638"/>
      <c r="I638"/>
      <c r="J638"/>
      <c r="K638"/>
      <c r="L638"/>
      <c r="M638"/>
    </row>
    <row r="639" spans="1:13" ht="15">
      <c r="A639"/>
      <c r="B639"/>
      <c r="C639"/>
      <c r="D639"/>
      <c r="E639"/>
      <c r="F639"/>
      <c r="G639"/>
      <c r="H639"/>
      <c r="I639"/>
      <c r="J639"/>
      <c r="K639"/>
      <c r="L639"/>
      <c r="M639"/>
    </row>
    <row r="640" spans="1:13" ht="15">
      <c r="A640"/>
      <c r="B640"/>
      <c r="C640"/>
      <c r="D640"/>
      <c r="E640"/>
      <c r="F640"/>
      <c r="G640"/>
      <c r="H640"/>
      <c r="I640"/>
      <c r="J640"/>
      <c r="K640"/>
      <c r="L640"/>
      <c r="M640"/>
    </row>
    <row r="641" spans="1:13" ht="15">
      <c r="A641"/>
      <c r="B641"/>
      <c r="C641"/>
      <c r="D641"/>
      <c r="E641"/>
      <c r="F641"/>
      <c r="G641"/>
      <c r="H641"/>
      <c r="I641"/>
      <c r="J641"/>
      <c r="K641"/>
      <c r="L641"/>
      <c r="M641"/>
    </row>
    <row r="642" spans="1:13" ht="15">
      <c r="A642"/>
      <c r="B642"/>
      <c r="C642"/>
      <c r="D642"/>
      <c r="E642"/>
      <c r="F642"/>
      <c r="G642"/>
      <c r="H642"/>
      <c r="I642"/>
      <c r="J642"/>
      <c r="K642"/>
      <c r="L642"/>
      <c r="M642"/>
    </row>
    <row r="643" spans="1:13" ht="15">
      <c r="A643"/>
      <c r="B643"/>
      <c r="C643"/>
      <c r="D643"/>
      <c r="E643"/>
      <c r="F643"/>
      <c r="G643"/>
      <c r="H643"/>
      <c r="I643"/>
      <c r="J643"/>
      <c r="K643"/>
      <c r="L643"/>
      <c r="M643"/>
    </row>
    <row r="644" spans="1:13" ht="15">
      <c r="A644"/>
      <c r="B644"/>
      <c r="C644"/>
      <c r="D644"/>
      <c r="E644"/>
      <c r="F644"/>
      <c r="G644"/>
      <c r="H644"/>
      <c r="I644"/>
      <c r="J644"/>
      <c r="K644"/>
      <c r="L644"/>
      <c r="M644"/>
    </row>
    <row r="645" spans="1:13" ht="15">
      <c r="A645"/>
      <c r="B645"/>
      <c r="C645"/>
      <c r="D645"/>
      <c r="E645"/>
      <c r="F645"/>
      <c r="G645"/>
      <c r="H645"/>
      <c r="I645"/>
      <c r="J645"/>
      <c r="K645"/>
      <c r="L645"/>
      <c r="M645"/>
    </row>
    <row r="646" spans="1:13" ht="15">
      <c r="A646"/>
      <c r="B646"/>
      <c r="C646"/>
      <c r="D646"/>
      <c r="E646"/>
      <c r="F646"/>
      <c r="G646"/>
      <c r="H646"/>
      <c r="I646"/>
      <c r="J646"/>
      <c r="K646"/>
      <c r="L646"/>
      <c r="M646"/>
    </row>
    <row r="647" spans="1:13" ht="15">
      <c r="A647"/>
      <c r="B647"/>
      <c r="C647"/>
      <c r="D647"/>
      <c r="E647"/>
      <c r="F647"/>
      <c r="G647"/>
      <c r="H647"/>
      <c r="I647"/>
      <c r="J647"/>
      <c r="K647"/>
      <c r="L647"/>
      <c r="M647"/>
    </row>
    <row r="648" spans="1:13" ht="15">
      <c r="A648"/>
      <c r="B648"/>
      <c r="C648"/>
      <c r="D648"/>
      <c r="E648"/>
      <c r="F648"/>
      <c r="G648"/>
      <c r="H648"/>
      <c r="I648"/>
      <c r="J648"/>
      <c r="K648"/>
      <c r="L648"/>
      <c r="M648"/>
    </row>
    <row r="649" spans="1:13" ht="15">
      <c r="A649"/>
      <c r="B649"/>
      <c r="C649"/>
      <c r="D649"/>
      <c r="E649"/>
      <c r="F649"/>
      <c r="G649"/>
      <c r="H649"/>
      <c r="I649"/>
      <c r="J649"/>
      <c r="K649"/>
      <c r="L649"/>
      <c r="M649"/>
    </row>
    <row r="650" spans="1:13" ht="15">
      <c r="A650"/>
      <c r="B650"/>
      <c r="C650"/>
      <c r="D650"/>
      <c r="E650"/>
      <c r="F650"/>
      <c r="G650"/>
      <c r="H650"/>
      <c r="I650"/>
      <c r="J650"/>
      <c r="K650"/>
      <c r="L650"/>
      <c r="M650"/>
    </row>
    <row r="651" spans="1:13" ht="15">
      <c r="A651"/>
      <c r="B651"/>
      <c r="C651"/>
      <c r="D651"/>
      <c r="E651"/>
      <c r="F651"/>
      <c r="G651"/>
      <c r="H651"/>
      <c r="I651"/>
      <c r="J651"/>
      <c r="K651"/>
      <c r="L651"/>
      <c r="M651"/>
    </row>
    <row r="652" spans="1:13" ht="15">
      <c r="A652"/>
      <c r="B652"/>
      <c r="C652"/>
      <c r="D652"/>
      <c r="E652"/>
      <c r="F652"/>
      <c r="G652"/>
      <c r="H652"/>
      <c r="I652"/>
      <c r="J652"/>
      <c r="K652"/>
      <c r="L652"/>
      <c r="M652"/>
    </row>
    <row r="653" spans="1:13" ht="15">
      <c r="A653"/>
      <c r="B653"/>
      <c r="C653"/>
      <c r="D653"/>
      <c r="E653"/>
      <c r="F653"/>
      <c r="G653"/>
      <c r="H653"/>
      <c r="I653"/>
      <c r="J653"/>
      <c r="K653"/>
      <c r="L653"/>
      <c r="M653"/>
    </row>
    <row r="654" spans="1:13" ht="15">
      <c r="A654"/>
      <c r="B654"/>
      <c r="C654"/>
      <c r="D654"/>
      <c r="E654"/>
      <c r="F654"/>
      <c r="G654"/>
      <c r="H654"/>
      <c r="I654"/>
      <c r="J654"/>
      <c r="K654"/>
      <c r="L654"/>
      <c r="M654"/>
    </row>
    <row r="655" spans="1:13" ht="15">
      <c r="A655"/>
      <c r="B655"/>
      <c r="C655"/>
      <c r="D655"/>
      <c r="E655"/>
      <c r="F655"/>
      <c r="G655"/>
      <c r="H655"/>
      <c r="I655"/>
      <c r="J655"/>
      <c r="K655"/>
      <c r="L655"/>
      <c r="M655"/>
    </row>
    <row r="656" spans="1:13" ht="15">
      <c r="A656"/>
      <c r="B656"/>
      <c r="C656"/>
      <c r="D656"/>
      <c r="E656"/>
      <c r="F656"/>
      <c r="G656"/>
      <c r="H656"/>
      <c r="I656"/>
      <c r="J656"/>
      <c r="K656"/>
      <c r="L656"/>
      <c r="M656"/>
    </row>
    <row r="657" spans="1:13" ht="15">
      <c r="A657"/>
      <c r="B657"/>
      <c r="C657"/>
      <c r="D657"/>
      <c r="E657"/>
      <c r="F657"/>
      <c r="G657"/>
      <c r="H657"/>
      <c r="I657"/>
      <c r="J657"/>
      <c r="K657"/>
      <c r="L657"/>
      <c r="M657"/>
    </row>
    <row r="658" spans="1:13" ht="15">
      <c r="A658"/>
      <c r="B658"/>
      <c r="C658"/>
      <c r="D658"/>
      <c r="E658"/>
      <c r="F658"/>
      <c r="G658"/>
      <c r="H658"/>
      <c r="I658"/>
      <c r="J658"/>
      <c r="K658"/>
      <c r="L658"/>
      <c r="M658"/>
    </row>
    <row r="659" spans="1:13" ht="15">
      <c r="A659"/>
      <c r="B659"/>
      <c r="C659"/>
      <c r="D659"/>
      <c r="E659"/>
      <c r="F659"/>
      <c r="G659"/>
      <c r="H659"/>
      <c r="I659"/>
      <c r="J659"/>
      <c r="K659"/>
      <c r="L659"/>
      <c r="M659"/>
    </row>
    <row r="660" spans="1:13" ht="15">
      <c r="A660"/>
      <c r="B660"/>
      <c r="C660"/>
      <c r="D660"/>
      <c r="E660"/>
      <c r="F660"/>
      <c r="G660"/>
      <c r="H660"/>
      <c r="I660"/>
      <c r="J660"/>
      <c r="K660"/>
      <c r="L660"/>
      <c r="M660"/>
    </row>
    <row r="661" spans="1:13" ht="15">
      <c r="A661"/>
      <c r="B661"/>
      <c r="C661"/>
      <c r="D661"/>
      <c r="E661"/>
      <c r="F661"/>
      <c r="G661"/>
      <c r="H661"/>
      <c r="I661"/>
      <c r="J661"/>
      <c r="K661"/>
      <c r="L661"/>
      <c r="M661"/>
    </row>
    <row r="662" spans="1:13" ht="15">
      <c r="A662"/>
      <c r="B662"/>
      <c r="C662"/>
      <c r="D662"/>
      <c r="E662"/>
      <c r="F662"/>
      <c r="G662"/>
      <c r="H662"/>
      <c r="I662"/>
      <c r="J662"/>
      <c r="K662"/>
      <c r="L662"/>
      <c r="M662"/>
    </row>
    <row r="663" spans="1:13" ht="15">
      <c r="A663"/>
      <c r="B663"/>
      <c r="C663"/>
      <c r="D663"/>
      <c r="E663"/>
      <c r="F663"/>
      <c r="G663"/>
      <c r="H663"/>
      <c r="I663"/>
      <c r="J663"/>
      <c r="K663"/>
      <c r="L663"/>
      <c r="M663"/>
    </row>
    <row r="664" spans="1:13" ht="15">
      <c r="A664"/>
      <c r="B664"/>
      <c r="C664"/>
      <c r="D664"/>
      <c r="E664"/>
      <c r="F664"/>
      <c r="G664"/>
      <c r="H664"/>
      <c r="I664"/>
      <c r="J664"/>
      <c r="K664"/>
      <c r="L664"/>
      <c r="M664"/>
    </row>
    <row r="665" spans="1:13" ht="15">
      <c r="A665"/>
      <c r="B665"/>
      <c r="C665"/>
      <c r="D665"/>
      <c r="E665"/>
      <c r="F665"/>
      <c r="G665"/>
      <c r="H665"/>
      <c r="I665"/>
      <c r="J665"/>
      <c r="K665"/>
      <c r="L665"/>
      <c r="M665"/>
    </row>
    <row r="666" spans="1:13" ht="15">
      <c r="A666"/>
      <c r="B666"/>
      <c r="C666"/>
      <c r="D666"/>
      <c r="E666"/>
      <c r="F666"/>
      <c r="G666"/>
      <c r="H666"/>
      <c r="I666"/>
      <c r="J666"/>
      <c r="K666"/>
      <c r="L666"/>
      <c r="M666"/>
    </row>
    <row r="667" spans="1:13" ht="15">
      <c r="A667"/>
      <c r="B667"/>
      <c r="C667"/>
      <c r="D667"/>
      <c r="E667"/>
      <c r="F667"/>
      <c r="G667"/>
      <c r="H667"/>
      <c r="I667"/>
      <c r="J667"/>
      <c r="K667"/>
      <c r="L667"/>
      <c r="M667"/>
    </row>
    <row r="668" spans="1:13" ht="15">
      <c r="A668"/>
      <c r="B668"/>
      <c r="C668"/>
      <c r="D668"/>
      <c r="E668"/>
      <c r="F668"/>
      <c r="G668"/>
      <c r="H668"/>
      <c r="I668"/>
      <c r="J668"/>
      <c r="K668"/>
      <c r="L668"/>
      <c r="M668"/>
    </row>
    <row r="669" spans="1:13" ht="15">
      <c r="A669"/>
      <c r="B669"/>
      <c r="C669"/>
      <c r="D669"/>
      <c r="E669"/>
      <c r="F669"/>
      <c r="G669"/>
      <c r="H669"/>
      <c r="I669"/>
      <c r="J669"/>
      <c r="K669"/>
      <c r="L669"/>
      <c r="M669"/>
    </row>
    <row r="670" spans="1:13" ht="15">
      <c r="A670"/>
      <c r="B670"/>
      <c r="C670"/>
      <c r="D670"/>
      <c r="E670"/>
      <c r="F670"/>
      <c r="G670"/>
      <c r="H670"/>
      <c r="I670"/>
      <c r="J670"/>
      <c r="K670"/>
      <c r="L670"/>
      <c r="M670"/>
    </row>
    <row r="671" spans="1:13" ht="15">
      <c r="A671"/>
      <c r="B671"/>
      <c r="C671"/>
      <c r="D671"/>
      <c r="E671"/>
      <c r="F671"/>
      <c r="G671"/>
      <c r="H671"/>
      <c r="I671"/>
      <c r="J671"/>
      <c r="K671"/>
      <c r="L671"/>
      <c r="M671"/>
    </row>
    <row r="672" spans="1:13" ht="15">
      <c r="A672"/>
      <c r="B672"/>
      <c r="C672"/>
      <c r="D672"/>
      <c r="E672"/>
      <c r="F672"/>
      <c r="G672"/>
      <c r="H672"/>
      <c r="I672"/>
      <c r="J672"/>
      <c r="K672"/>
      <c r="L672"/>
      <c r="M672"/>
    </row>
    <row r="673" spans="1:13" ht="15">
      <c r="A673"/>
      <c r="B673"/>
      <c r="C673"/>
      <c r="D673"/>
      <c r="E673"/>
      <c r="F673"/>
      <c r="G673"/>
      <c r="H673"/>
      <c r="I673"/>
      <c r="J673"/>
      <c r="K673"/>
      <c r="L673"/>
      <c r="M673"/>
    </row>
    <row r="674" spans="1:13" ht="15">
      <c r="A674"/>
      <c r="B674"/>
      <c r="C674"/>
      <c r="D674"/>
      <c r="E674"/>
      <c r="F674"/>
      <c r="G674"/>
      <c r="H674"/>
      <c r="I674"/>
      <c r="J674"/>
      <c r="K674"/>
      <c r="L674"/>
      <c r="M674"/>
    </row>
    <row r="675" spans="1:13" ht="15">
      <c r="A675"/>
      <c r="B675"/>
      <c r="C675"/>
      <c r="D675"/>
      <c r="E675"/>
      <c r="F675"/>
      <c r="G675"/>
      <c r="H675"/>
      <c r="I675"/>
      <c r="J675"/>
      <c r="K675"/>
      <c r="L675"/>
      <c r="M675"/>
    </row>
    <row r="676" spans="1:13" ht="15">
      <c r="A676"/>
      <c r="B676"/>
      <c r="C676"/>
      <c r="D676"/>
      <c r="E676"/>
      <c r="F676"/>
      <c r="G676"/>
      <c r="H676"/>
      <c r="I676"/>
      <c r="J676"/>
      <c r="K676"/>
      <c r="L676"/>
      <c r="M676"/>
    </row>
    <row r="677" spans="1:13" ht="15">
      <c r="A677"/>
      <c r="B677"/>
      <c r="C677"/>
      <c r="D677"/>
      <c r="E677"/>
      <c r="F677"/>
      <c r="G677"/>
      <c r="H677"/>
      <c r="I677"/>
      <c r="J677"/>
      <c r="K677"/>
      <c r="L677"/>
      <c r="M677"/>
    </row>
    <row r="678" spans="1:13" ht="15">
      <c r="A678"/>
      <c r="B678"/>
      <c r="C678"/>
      <c r="D678"/>
      <c r="E678"/>
      <c r="F678"/>
      <c r="G678"/>
      <c r="H678"/>
      <c r="I678"/>
      <c r="J678"/>
      <c r="K678"/>
      <c r="L678"/>
      <c r="M678"/>
    </row>
    <row r="679" spans="1:13" ht="15">
      <c r="A679"/>
      <c r="B679"/>
      <c r="C679"/>
      <c r="D679"/>
      <c r="E679"/>
      <c r="F679"/>
      <c r="G679"/>
      <c r="H679"/>
      <c r="I679"/>
      <c r="J679"/>
      <c r="K679"/>
      <c r="L679"/>
      <c r="M679"/>
    </row>
    <row r="680" spans="1:13" ht="15">
      <c r="A680"/>
      <c r="B680"/>
      <c r="C680"/>
      <c r="D680"/>
      <c r="E680"/>
      <c r="F680"/>
      <c r="G680"/>
      <c r="H680"/>
      <c r="I680"/>
      <c r="J680"/>
      <c r="K680"/>
      <c r="L680"/>
      <c r="M680"/>
    </row>
    <row r="681" spans="1:13" ht="15">
      <c r="A681"/>
      <c r="B681"/>
      <c r="C681"/>
      <c r="D681"/>
      <c r="E681"/>
      <c r="F681"/>
      <c r="G681"/>
      <c r="H681"/>
      <c r="I681"/>
      <c r="J681"/>
      <c r="K681"/>
      <c r="L681"/>
      <c r="M681"/>
    </row>
    <row r="682" spans="1:13" ht="15">
      <c r="A682"/>
      <c r="B682"/>
      <c r="C682"/>
      <c r="D682"/>
      <c r="E682"/>
      <c r="F682"/>
      <c r="G682"/>
      <c r="H682"/>
      <c r="I682"/>
      <c r="J682"/>
      <c r="K682"/>
      <c r="L682"/>
      <c r="M682"/>
    </row>
    <row r="683" spans="1:13" ht="15">
      <c r="A683"/>
      <c r="B683"/>
      <c r="C683"/>
      <c r="D683"/>
      <c r="E683"/>
      <c r="F683"/>
      <c r="G683"/>
      <c r="H683"/>
      <c r="I683"/>
      <c r="J683"/>
      <c r="K683"/>
      <c r="L683"/>
      <c r="M683"/>
    </row>
    <row r="684" spans="1:13" ht="15">
      <c r="A684"/>
      <c r="B684"/>
      <c r="C684"/>
      <c r="D684"/>
      <c r="E684"/>
      <c r="F684"/>
      <c r="G684"/>
      <c r="H684"/>
      <c r="I684"/>
      <c r="J684"/>
      <c r="K684"/>
      <c r="L684"/>
      <c r="M684"/>
    </row>
    <row r="685" spans="1:13" ht="15">
      <c r="A685"/>
      <c r="B685"/>
      <c r="C685"/>
      <c r="D685"/>
      <c r="E685"/>
      <c r="F685"/>
      <c r="G685"/>
      <c r="H685"/>
      <c r="I685"/>
      <c r="J685"/>
      <c r="K685"/>
      <c r="L685"/>
      <c r="M685"/>
    </row>
    <row r="686" spans="1:13" ht="15">
      <c r="A686"/>
      <c r="B686"/>
      <c r="C686"/>
      <c r="D686"/>
      <c r="E686"/>
      <c r="F686"/>
      <c r="G686"/>
      <c r="H686"/>
      <c r="I686"/>
      <c r="J686"/>
      <c r="K686"/>
      <c r="L686"/>
      <c r="M686"/>
    </row>
    <row r="687" spans="1:13" ht="15">
      <c r="A687"/>
      <c r="B687"/>
      <c r="C687"/>
      <c r="D687"/>
      <c r="E687"/>
      <c r="F687"/>
      <c r="G687"/>
      <c r="H687"/>
      <c r="I687"/>
      <c r="J687"/>
      <c r="K687"/>
      <c r="L687"/>
      <c r="M687"/>
    </row>
    <row r="688" spans="1:13" ht="15">
      <c r="A688"/>
      <c r="B688"/>
      <c r="C688"/>
      <c r="D688"/>
      <c r="E688"/>
      <c r="F688"/>
      <c r="G688"/>
      <c r="H688"/>
      <c r="I688"/>
      <c r="J688"/>
      <c r="K688"/>
      <c r="L688"/>
      <c r="M688"/>
    </row>
    <row r="689" spans="1:13" ht="15">
      <c r="A689"/>
      <c r="B689"/>
      <c r="C689"/>
      <c r="D689"/>
      <c r="E689"/>
      <c r="F689"/>
      <c r="G689"/>
      <c r="H689"/>
      <c r="I689"/>
      <c r="J689"/>
      <c r="K689"/>
      <c r="L689"/>
      <c r="M689"/>
    </row>
    <row r="690" spans="1:13" ht="15">
      <c r="A690"/>
      <c r="B690"/>
      <c r="C690"/>
      <c r="D690"/>
      <c r="E690"/>
      <c r="F690"/>
      <c r="G690"/>
      <c r="H690"/>
      <c r="I690"/>
      <c r="J690"/>
      <c r="K690"/>
      <c r="L690"/>
      <c r="M690"/>
    </row>
    <row r="691" spans="1:13" ht="15">
      <c r="A691"/>
      <c r="B691"/>
      <c r="C691"/>
      <c r="D691"/>
      <c r="E691"/>
      <c r="F691"/>
      <c r="G691"/>
      <c r="H691"/>
      <c r="I691"/>
      <c r="J691"/>
      <c r="K691"/>
      <c r="L691"/>
      <c r="M691"/>
    </row>
    <row r="692" spans="1:13" ht="15">
      <c r="A692"/>
      <c r="B692"/>
      <c r="C692"/>
      <c r="D692"/>
      <c r="E692"/>
      <c r="F692"/>
      <c r="G692"/>
      <c r="H692"/>
      <c r="I692"/>
      <c r="J692"/>
      <c r="K692"/>
      <c r="L692"/>
      <c r="M692"/>
    </row>
    <row r="693" spans="1:13" ht="15">
      <c r="A693"/>
      <c r="B693"/>
      <c r="C693"/>
      <c r="D693"/>
      <c r="E693"/>
      <c r="F693"/>
      <c r="G693"/>
      <c r="H693"/>
      <c r="I693"/>
      <c r="J693"/>
      <c r="K693"/>
      <c r="L693"/>
      <c r="M693"/>
    </row>
    <row r="694" spans="1:13" ht="15">
      <c r="A694"/>
      <c r="B694"/>
      <c r="C694"/>
      <c r="D694"/>
      <c r="E694"/>
      <c r="F694"/>
      <c r="G694"/>
      <c r="H694"/>
      <c r="I694"/>
      <c r="J694"/>
      <c r="K694"/>
      <c r="L694"/>
      <c r="M694"/>
    </row>
    <row r="695" spans="1:13" ht="15">
      <c r="A695"/>
      <c r="B695"/>
      <c r="C695"/>
      <c r="D695"/>
      <c r="E695"/>
      <c r="F695"/>
      <c r="G695"/>
      <c r="H695"/>
      <c r="I695"/>
      <c r="J695"/>
      <c r="K695"/>
      <c r="L695"/>
      <c r="M695"/>
    </row>
    <row r="696" spans="1:13" ht="15">
      <c r="A696"/>
      <c r="B696"/>
      <c r="C696"/>
      <c r="D696"/>
      <c r="E696"/>
      <c r="F696"/>
      <c r="G696"/>
      <c r="H696"/>
      <c r="I696"/>
      <c r="J696"/>
      <c r="K696"/>
      <c r="L696"/>
      <c r="M696"/>
    </row>
    <row r="697" spans="1:13" ht="15">
      <c r="A697"/>
      <c r="B697"/>
      <c r="C697"/>
      <c r="D697"/>
      <c r="E697"/>
      <c r="F697"/>
      <c r="G697"/>
      <c r="H697"/>
      <c r="I697"/>
      <c r="J697"/>
      <c r="K697"/>
      <c r="L697"/>
      <c r="M697"/>
    </row>
    <row r="698" spans="1:13" ht="15">
      <c r="A698"/>
      <c r="B698"/>
      <c r="C698"/>
      <c r="D698"/>
      <c r="E698"/>
      <c r="F698"/>
      <c r="G698"/>
      <c r="H698"/>
      <c r="I698"/>
      <c r="J698"/>
      <c r="K698"/>
      <c r="L698"/>
      <c r="M698"/>
    </row>
    <row r="699" spans="1:13" ht="15">
      <c r="A699"/>
      <c r="B699"/>
      <c r="C699"/>
      <c r="D699"/>
      <c r="E699"/>
      <c r="F699"/>
      <c r="G699"/>
      <c r="H699"/>
      <c r="I699"/>
      <c r="J699"/>
      <c r="K699"/>
      <c r="L699"/>
      <c r="M699"/>
    </row>
    <row r="700" spans="1:13" ht="15">
      <c r="A700"/>
      <c r="B700"/>
      <c r="C700"/>
      <c r="D700"/>
      <c r="E700"/>
      <c r="F700"/>
      <c r="G700"/>
      <c r="H700"/>
      <c r="I700"/>
      <c r="J700"/>
      <c r="K700"/>
      <c r="L700"/>
      <c r="M700"/>
    </row>
    <row r="701" spans="1:13" ht="15">
      <c r="A701"/>
      <c r="B701"/>
      <c r="C701"/>
      <c r="D701"/>
      <c r="E701"/>
      <c r="F701"/>
      <c r="G701"/>
      <c r="H701"/>
      <c r="I701"/>
      <c r="J701"/>
      <c r="K701"/>
      <c r="L701"/>
      <c r="M701"/>
    </row>
    <row r="702" spans="1:13" ht="15">
      <c r="A702"/>
      <c r="B702"/>
      <c r="C702"/>
      <c r="D702"/>
      <c r="E702"/>
      <c r="F702"/>
      <c r="G702"/>
      <c r="H702"/>
      <c r="I702"/>
      <c r="J702"/>
      <c r="K702"/>
      <c r="L702"/>
      <c r="M702"/>
    </row>
    <row r="703" spans="1:13" ht="15">
      <c r="A703"/>
      <c r="B703"/>
      <c r="C703"/>
      <c r="D703"/>
      <c r="E703"/>
      <c r="F703"/>
      <c r="G703"/>
      <c r="H703"/>
      <c r="I703"/>
      <c r="J703"/>
      <c r="K703"/>
      <c r="L703"/>
      <c r="M703"/>
    </row>
    <row r="704" spans="1:13" ht="15">
      <c r="A704"/>
      <c r="B704"/>
      <c r="C704"/>
      <c r="D704"/>
      <c r="E704"/>
      <c r="F704"/>
      <c r="G704"/>
      <c r="H704"/>
      <c r="I704"/>
      <c r="J704"/>
      <c r="K704"/>
      <c r="L704"/>
      <c r="M704"/>
    </row>
    <row r="705" spans="1:13" ht="15">
      <c r="A705"/>
      <c r="B705"/>
      <c r="C705"/>
      <c r="D705"/>
      <c r="E705"/>
      <c r="F705"/>
      <c r="G705"/>
      <c r="H705"/>
      <c r="I705"/>
      <c r="J705"/>
      <c r="K705"/>
      <c r="L705"/>
      <c r="M705"/>
    </row>
    <row r="706" spans="1:13" ht="15">
      <c r="A706"/>
      <c r="B706"/>
      <c r="C706"/>
      <c r="D706"/>
      <c r="E706"/>
      <c r="F706"/>
      <c r="G706"/>
      <c r="H706"/>
      <c r="I706"/>
      <c r="J706"/>
      <c r="K706"/>
      <c r="L706"/>
      <c r="M706"/>
    </row>
    <row r="707" spans="1:13" ht="15">
      <c r="A707"/>
      <c r="B707"/>
      <c r="C707"/>
      <c r="D707"/>
      <c r="E707"/>
      <c r="F707"/>
      <c r="G707"/>
      <c r="H707"/>
      <c r="I707"/>
      <c r="J707"/>
      <c r="K707"/>
      <c r="L707"/>
      <c r="M707"/>
    </row>
    <row r="708" spans="1:13" ht="15">
      <c r="A708"/>
      <c r="B708"/>
      <c r="C708"/>
      <c r="D708"/>
      <c r="E708"/>
      <c r="F708"/>
      <c r="G708"/>
      <c r="H708"/>
      <c r="I708"/>
      <c r="J708"/>
      <c r="K708"/>
      <c r="L708"/>
      <c r="M708"/>
    </row>
    <row r="709" spans="1:13" ht="15">
      <c r="A709"/>
      <c r="B709"/>
      <c r="C709"/>
      <c r="D709"/>
      <c r="E709"/>
      <c r="F709"/>
      <c r="G709"/>
      <c r="H709"/>
      <c r="I709"/>
      <c r="J709"/>
      <c r="K709"/>
      <c r="L709"/>
      <c r="M709"/>
    </row>
    <row r="710" spans="1:13" ht="15">
      <c r="A710"/>
      <c r="B710"/>
      <c r="C710"/>
      <c r="D710"/>
      <c r="E710"/>
      <c r="F710"/>
      <c r="G710"/>
      <c r="H710"/>
      <c r="I710"/>
      <c r="J710"/>
      <c r="K710"/>
      <c r="L710"/>
      <c r="M710"/>
    </row>
    <row r="711" spans="1:13" ht="15">
      <c r="A711"/>
      <c r="B711"/>
      <c r="C711"/>
      <c r="D711"/>
      <c r="E711"/>
      <c r="F711"/>
      <c r="G711"/>
      <c r="H711"/>
      <c r="I711"/>
      <c r="J711"/>
      <c r="K711"/>
      <c r="L711"/>
      <c r="M711"/>
    </row>
    <row r="712" spans="1:13" ht="15">
      <c r="A712"/>
      <c r="B712"/>
      <c r="C712"/>
      <c r="D712"/>
      <c r="E712"/>
      <c r="F712"/>
      <c r="G712"/>
      <c r="H712"/>
      <c r="I712"/>
      <c r="J712"/>
      <c r="K712"/>
      <c r="L712"/>
      <c r="M712"/>
    </row>
    <row r="713" spans="1:13" ht="15">
      <c r="A713"/>
      <c r="B713"/>
      <c r="C713"/>
      <c r="D713"/>
      <c r="E713"/>
      <c r="F713"/>
      <c r="G713"/>
      <c r="H713"/>
      <c r="I713"/>
      <c r="J713"/>
      <c r="K713"/>
      <c r="L713"/>
      <c r="M713"/>
    </row>
    <row r="714" spans="1:13" ht="15">
      <c r="A714"/>
      <c r="B714"/>
      <c r="C714"/>
      <c r="D714"/>
      <c r="E714"/>
      <c r="F714"/>
      <c r="G714"/>
      <c r="H714"/>
      <c r="I714"/>
      <c r="J714"/>
      <c r="K714"/>
      <c r="L714"/>
      <c r="M714"/>
    </row>
    <row r="715" spans="1:13" ht="15">
      <c r="A715"/>
      <c r="B715"/>
      <c r="C715"/>
      <c r="D715"/>
      <c r="E715"/>
      <c r="F715"/>
      <c r="G715"/>
      <c r="H715"/>
      <c r="I715"/>
      <c r="J715"/>
      <c r="K715"/>
      <c r="L715"/>
      <c r="M715"/>
    </row>
    <row r="716" spans="1:13" ht="15">
      <c r="A716"/>
      <c r="B716"/>
      <c r="C716"/>
      <c r="D716"/>
      <c r="E716"/>
      <c r="F716"/>
      <c r="G716"/>
      <c r="H716"/>
      <c r="I716"/>
      <c r="J716"/>
      <c r="K716"/>
      <c r="L716"/>
      <c r="M716"/>
    </row>
    <row r="717" spans="1:13" ht="15">
      <c r="A717"/>
      <c r="B717"/>
      <c r="C717"/>
      <c r="D717"/>
      <c r="E717"/>
      <c r="F717"/>
      <c r="G717"/>
      <c r="H717"/>
      <c r="I717"/>
      <c r="J717"/>
      <c r="K717"/>
      <c r="L717"/>
      <c r="M717"/>
    </row>
    <row r="718" spans="1:13" ht="15">
      <c r="A718"/>
      <c r="B718"/>
      <c r="C718"/>
      <c r="D718"/>
      <c r="E718"/>
      <c r="F718"/>
      <c r="G718"/>
      <c r="H718"/>
      <c r="I718"/>
      <c r="J718"/>
      <c r="K718"/>
      <c r="L718"/>
      <c r="M718"/>
    </row>
    <row r="719" spans="1:13" ht="15">
      <c r="A719"/>
      <c r="B719"/>
      <c r="C719"/>
      <c r="D719"/>
      <c r="E719"/>
      <c r="F719"/>
      <c r="G719"/>
      <c r="H719"/>
      <c r="I719"/>
      <c r="J719"/>
      <c r="K719"/>
      <c r="L719"/>
      <c r="M719"/>
    </row>
    <row r="720" spans="1:13" ht="15">
      <c r="A720"/>
      <c r="B720"/>
      <c r="C720"/>
      <c r="D720"/>
      <c r="E720"/>
      <c r="F720"/>
      <c r="G720"/>
      <c r="H720"/>
      <c r="I720"/>
      <c r="J720"/>
      <c r="K720"/>
      <c r="L720"/>
      <c r="M720"/>
    </row>
    <row r="721" spans="1:13" ht="15">
      <c r="A721"/>
      <c r="B721"/>
      <c r="C721"/>
      <c r="D721"/>
      <c r="E721"/>
      <c r="F721"/>
      <c r="G721"/>
      <c r="H721"/>
      <c r="I721"/>
      <c r="J721"/>
      <c r="K721"/>
      <c r="L721"/>
      <c r="M721"/>
    </row>
    <row r="722" spans="1:13" ht="15">
      <c r="A722"/>
      <c r="B722"/>
      <c r="C722"/>
      <c r="D722"/>
      <c r="E722"/>
      <c r="F722"/>
      <c r="G722"/>
      <c r="H722"/>
      <c r="I722"/>
      <c r="J722"/>
      <c r="K722"/>
      <c r="L722"/>
      <c r="M722"/>
    </row>
    <row r="723" spans="1:13" ht="15">
      <c r="A723"/>
      <c r="B723"/>
      <c r="C723"/>
      <c r="D723"/>
      <c r="E723"/>
      <c r="F723"/>
      <c r="G723"/>
      <c r="H723"/>
      <c r="I723"/>
      <c r="J723"/>
      <c r="K723"/>
      <c r="L723"/>
      <c r="M723"/>
    </row>
    <row r="724" spans="1:13" ht="15">
      <c r="A724"/>
      <c r="B724"/>
      <c r="C724"/>
      <c r="D724"/>
      <c r="E724"/>
      <c r="F724"/>
      <c r="G724"/>
      <c r="H724"/>
      <c r="I724"/>
      <c r="J724"/>
      <c r="K724"/>
      <c r="L724"/>
      <c r="M724"/>
    </row>
    <row r="725" spans="1:13" ht="15">
      <c r="A725"/>
      <c r="B725"/>
      <c r="C725"/>
      <c r="D725"/>
      <c r="E725"/>
      <c r="F725"/>
      <c r="G725"/>
      <c r="H725"/>
      <c r="I725"/>
      <c r="J725"/>
      <c r="K725"/>
      <c r="L725"/>
      <c r="M725"/>
    </row>
    <row r="726" spans="1:13" ht="15">
      <c r="A726"/>
      <c r="B726"/>
      <c r="C726"/>
      <c r="D726"/>
      <c r="E726"/>
      <c r="F726"/>
      <c r="G726"/>
      <c r="H726"/>
      <c r="I726"/>
      <c r="J726"/>
      <c r="K726"/>
      <c r="L726"/>
      <c r="M726"/>
    </row>
    <row r="727" spans="1:13" ht="15">
      <c r="A727"/>
      <c r="B727"/>
      <c r="C727"/>
      <c r="D727"/>
      <c r="E727"/>
      <c r="F727"/>
      <c r="G727"/>
      <c r="H727"/>
      <c r="I727"/>
      <c r="J727"/>
      <c r="K727"/>
      <c r="L727"/>
      <c r="M727"/>
    </row>
    <row r="728" spans="1:13" ht="15">
      <c r="A728"/>
      <c r="B728"/>
      <c r="C728"/>
      <c r="D728"/>
      <c r="E728"/>
      <c r="F728"/>
      <c r="G728"/>
      <c r="H728"/>
      <c r="I728"/>
      <c r="J728"/>
      <c r="K728"/>
      <c r="L728"/>
      <c r="M728"/>
    </row>
    <row r="729" spans="1:13" ht="15">
      <c r="A729"/>
      <c r="B729"/>
      <c r="C729"/>
      <c r="D729"/>
      <c r="E729"/>
      <c r="F729"/>
      <c r="G729"/>
      <c r="H729"/>
      <c r="I729"/>
      <c r="J729"/>
      <c r="K729"/>
      <c r="L729"/>
      <c r="M729"/>
    </row>
    <row r="730" spans="1:13" ht="15">
      <c r="A730"/>
      <c r="B730"/>
      <c r="C730"/>
      <c r="D730"/>
      <c r="E730"/>
      <c r="F730"/>
      <c r="G730"/>
      <c r="H730"/>
      <c r="I730"/>
      <c r="J730"/>
      <c r="K730"/>
      <c r="L730"/>
      <c r="M730"/>
    </row>
    <row r="731" spans="1:13" ht="15">
      <c r="A731"/>
      <c r="B731"/>
      <c r="C731"/>
      <c r="D731"/>
      <c r="E731"/>
      <c r="F731"/>
      <c r="G731"/>
      <c r="H731"/>
      <c r="I731"/>
      <c r="J731"/>
      <c r="K731"/>
      <c r="L731"/>
      <c r="M731"/>
    </row>
    <row r="732" spans="1:13" ht="15">
      <c r="A732"/>
      <c r="B732"/>
      <c r="C732"/>
      <c r="D732"/>
      <c r="E732"/>
      <c r="F732"/>
      <c r="G732"/>
      <c r="H732"/>
      <c r="I732"/>
      <c r="J732"/>
      <c r="K732"/>
      <c r="L732"/>
      <c r="M732"/>
    </row>
    <row r="733" spans="1:13" ht="15">
      <c r="A733"/>
      <c r="B733"/>
      <c r="C733"/>
      <c r="D733"/>
      <c r="E733"/>
      <c r="F733"/>
      <c r="G733"/>
      <c r="H733"/>
      <c r="I733"/>
      <c r="J733"/>
      <c r="K733"/>
      <c r="L733"/>
      <c r="M733"/>
    </row>
    <row r="734" spans="1:13" ht="15">
      <c r="A734"/>
      <c r="B734"/>
      <c r="C734"/>
      <c r="D734"/>
      <c r="E734"/>
      <c r="F734"/>
      <c r="G734"/>
      <c r="H734"/>
      <c r="I734"/>
      <c r="J734"/>
      <c r="K734"/>
      <c r="L734"/>
      <c r="M734"/>
    </row>
    <row r="735" spans="1:13" ht="15">
      <c r="A735"/>
      <c r="B735"/>
      <c r="C735"/>
      <c r="D735"/>
      <c r="E735"/>
      <c r="F735"/>
      <c r="G735"/>
      <c r="H735"/>
      <c r="I735"/>
      <c r="J735"/>
      <c r="K735"/>
      <c r="L735"/>
      <c r="M735"/>
    </row>
    <row r="736" spans="1:13" ht="15">
      <c r="A736"/>
      <c r="B736"/>
      <c r="C736"/>
      <c r="D736"/>
      <c r="E736"/>
      <c r="F736"/>
      <c r="G736"/>
      <c r="H736"/>
      <c r="I736"/>
      <c r="J736"/>
      <c r="K736"/>
      <c r="L736"/>
      <c r="M736"/>
    </row>
    <row r="737" spans="1:13" ht="15">
      <c r="A737"/>
      <c r="B737"/>
      <c r="C737"/>
      <c r="D737"/>
      <c r="E737"/>
      <c r="F737"/>
      <c r="G737"/>
      <c r="H737"/>
      <c r="I737"/>
      <c r="J737"/>
      <c r="K737"/>
      <c r="L737"/>
      <c r="M737"/>
    </row>
    <row r="738" spans="1:13" ht="15">
      <c r="A738"/>
      <c r="B738"/>
      <c r="C738"/>
      <c r="D738"/>
      <c r="E738"/>
      <c r="F738"/>
      <c r="G738"/>
      <c r="H738"/>
      <c r="I738"/>
      <c r="J738"/>
      <c r="K738"/>
      <c r="L738"/>
      <c r="M738"/>
    </row>
    <row r="739" spans="1:13" ht="15">
      <c r="A739"/>
      <c r="B739"/>
      <c r="C739"/>
      <c r="D739"/>
      <c r="E739"/>
      <c r="F739"/>
      <c r="G739"/>
      <c r="H739"/>
      <c r="I739"/>
      <c r="J739"/>
      <c r="K739"/>
      <c r="L739"/>
      <c r="M739"/>
    </row>
    <row r="740" spans="1:13" ht="15">
      <c r="A740"/>
      <c r="B740"/>
      <c r="C740"/>
      <c r="D740"/>
      <c r="E740"/>
      <c r="F740"/>
      <c r="G740"/>
      <c r="H740"/>
      <c r="I740"/>
      <c r="J740"/>
      <c r="K740"/>
      <c r="L740"/>
      <c r="M740"/>
    </row>
    <row r="741" spans="1:13" ht="15">
      <c r="A741"/>
      <c r="B741"/>
      <c r="C741"/>
      <c r="D741"/>
      <c r="E741"/>
      <c r="F741"/>
      <c r="G741"/>
      <c r="H741"/>
      <c r="I741"/>
      <c r="J741"/>
      <c r="K741"/>
      <c r="L741"/>
      <c r="M741"/>
    </row>
    <row r="742" spans="1:13" ht="15">
      <c r="A742"/>
      <c r="B742"/>
      <c r="C742"/>
      <c r="D742"/>
      <c r="E742"/>
      <c r="F742"/>
      <c r="G742"/>
      <c r="H742"/>
      <c r="I742"/>
      <c r="J742"/>
      <c r="K742"/>
      <c r="L742"/>
      <c r="M742"/>
    </row>
    <row r="743" spans="1:13" ht="15">
      <c r="A743"/>
      <c r="B743"/>
      <c r="C743"/>
      <c r="D743"/>
      <c r="E743"/>
      <c r="F743"/>
      <c r="G743"/>
      <c r="H743"/>
      <c r="I743"/>
      <c r="J743"/>
      <c r="K743"/>
      <c r="L743"/>
      <c r="M743"/>
    </row>
    <row r="744" spans="1:13" ht="15">
      <c r="A744"/>
      <c r="B744"/>
      <c r="C744"/>
      <c r="D744"/>
      <c r="E744"/>
      <c r="F744"/>
      <c r="G744"/>
      <c r="H744"/>
      <c r="I744"/>
      <c r="J744"/>
      <c r="K744"/>
      <c r="L744"/>
      <c r="M744"/>
    </row>
    <row r="745" spans="1:13" ht="15">
      <c r="A745"/>
      <c r="B745"/>
      <c r="C745"/>
      <c r="D745"/>
      <c r="E745"/>
      <c r="F745"/>
      <c r="G745"/>
      <c r="H745"/>
      <c r="I745"/>
      <c r="J745"/>
      <c r="K745"/>
      <c r="L745"/>
      <c r="M745"/>
    </row>
    <row r="746" spans="1:13" ht="15">
      <c r="A746"/>
      <c r="B746"/>
      <c r="C746"/>
      <c r="D746"/>
      <c r="E746"/>
      <c r="F746"/>
      <c r="G746"/>
      <c r="H746"/>
      <c r="I746"/>
      <c r="J746"/>
      <c r="K746"/>
      <c r="L746"/>
      <c r="M746"/>
    </row>
    <row r="747" spans="1:13" ht="15">
      <c r="A747"/>
      <c r="B747"/>
      <c r="C747"/>
      <c r="D747"/>
      <c r="E747"/>
      <c r="F747"/>
      <c r="G747"/>
      <c r="H747"/>
      <c r="I747"/>
      <c r="J747"/>
      <c r="K747"/>
      <c r="L747"/>
      <c r="M747"/>
    </row>
    <row r="748" spans="1:13" ht="15">
      <c r="A748"/>
      <c r="B748"/>
      <c r="C748"/>
      <c r="D748"/>
      <c r="E748"/>
      <c r="F748"/>
      <c r="G748"/>
      <c r="H748"/>
      <c r="I748"/>
      <c r="J748"/>
      <c r="K748"/>
      <c r="L748"/>
      <c r="M748"/>
    </row>
    <row r="749" spans="1:13" ht="15">
      <c r="A749"/>
      <c r="B749"/>
      <c r="C749"/>
      <c r="D749"/>
      <c r="E749"/>
      <c r="F749"/>
      <c r="G749"/>
      <c r="H749"/>
      <c r="I749"/>
      <c r="J749"/>
      <c r="K749"/>
      <c r="L749"/>
      <c r="M749"/>
    </row>
    <row r="750" spans="1:13" ht="15">
      <c r="A750"/>
      <c r="B750"/>
      <c r="C750"/>
      <c r="D750"/>
      <c r="E750"/>
      <c r="F750"/>
      <c r="G750"/>
      <c r="H750"/>
      <c r="I750"/>
      <c r="J750"/>
      <c r="K750"/>
      <c r="L750"/>
      <c r="M750"/>
    </row>
    <row r="751" spans="1:13" ht="15">
      <c r="A751"/>
      <c r="B751"/>
      <c r="C751"/>
      <c r="D751"/>
      <c r="E751"/>
      <c r="F751"/>
      <c r="G751"/>
      <c r="H751"/>
      <c r="I751"/>
      <c r="J751"/>
      <c r="K751"/>
      <c r="L751"/>
      <c r="M751"/>
    </row>
    <row r="752" spans="1:13" ht="15">
      <c r="A752"/>
      <c r="B752"/>
      <c r="C752"/>
      <c r="D752"/>
      <c r="E752"/>
      <c r="F752"/>
      <c r="G752"/>
      <c r="H752"/>
      <c r="I752"/>
      <c r="J752"/>
      <c r="K752"/>
      <c r="L752"/>
      <c r="M752"/>
    </row>
    <row r="753" spans="1:13" ht="15">
      <c r="A753"/>
      <c r="B753"/>
      <c r="C753"/>
      <c r="D753"/>
      <c r="E753"/>
      <c r="F753"/>
      <c r="G753"/>
      <c r="H753"/>
      <c r="I753"/>
      <c r="J753"/>
      <c r="K753"/>
      <c r="L753"/>
      <c r="M753"/>
    </row>
    <row r="754" spans="1:13" ht="15">
      <c r="A754"/>
      <c r="B754"/>
      <c r="C754"/>
      <c r="D754"/>
      <c r="E754"/>
      <c r="F754"/>
      <c r="G754"/>
      <c r="H754"/>
      <c r="I754"/>
      <c r="J754"/>
      <c r="K754"/>
      <c r="L754"/>
      <c r="M754"/>
    </row>
    <row r="755" spans="1:13" ht="15">
      <c r="A755"/>
      <c r="B755"/>
      <c r="C755"/>
      <c r="D755"/>
      <c r="E755"/>
      <c r="F755"/>
      <c r="G755"/>
      <c r="H755"/>
      <c r="I755"/>
      <c r="J755"/>
      <c r="K755"/>
      <c r="L755"/>
      <c r="M755"/>
    </row>
    <row r="756" spans="1:13" ht="15">
      <c r="A756"/>
      <c r="B756"/>
      <c r="C756"/>
      <c r="D756"/>
      <c r="E756"/>
      <c r="F756"/>
      <c r="G756"/>
      <c r="H756"/>
      <c r="I756"/>
      <c r="J756"/>
      <c r="K756"/>
      <c r="L756"/>
      <c r="M756"/>
    </row>
    <row r="757" spans="1:13" ht="15">
      <c r="A757"/>
      <c r="B757"/>
      <c r="C757"/>
      <c r="D757"/>
      <c r="E757"/>
      <c r="F757"/>
      <c r="G757"/>
      <c r="H757"/>
      <c r="I757"/>
      <c r="J757"/>
      <c r="K757"/>
      <c r="L757"/>
      <c r="M757"/>
    </row>
    <row r="758" spans="1:13" ht="15">
      <c r="A758"/>
      <c r="B758"/>
      <c r="C758"/>
      <c r="D758"/>
      <c r="E758"/>
      <c r="F758"/>
      <c r="G758"/>
      <c r="H758"/>
      <c r="I758"/>
      <c r="J758"/>
      <c r="K758"/>
      <c r="L758"/>
      <c r="M758"/>
    </row>
    <row r="759" spans="1:13" ht="15">
      <c r="A759"/>
      <c r="B759"/>
      <c r="C759"/>
      <c r="D759"/>
      <c r="E759"/>
      <c r="F759"/>
      <c r="G759"/>
      <c r="H759"/>
      <c r="I759"/>
      <c r="J759"/>
      <c r="K759"/>
      <c r="L759"/>
      <c r="M759"/>
    </row>
    <row r="760" spans="1:13" ht="15">
      <c r="A760"/>
      <c r="B760"/>
      <c r="C760"/>
      <c r="D760"/>
      <c r="E760"/>
      <c r="F760"/>
      <c r="G760"/>
      <c r="H760"/>
      <c r="I760"/>
      <c r="J760"/>
      <c r="K760"/>
      <c r="L760"/>
      <c r="M760"/>
    </row>
    <row r="761" spans="1:13" ht="15">
      <c r="A761"/>
      <c r="B761"/>
      <c r="C761"/>
      <c r="D761"/>
      <c r="E761"/>
      <c r="F761"/>
      <c r="G761"/>
      <c r="H761"/>
      <c r="I761"/>
      <c r="J761"/>
      <c r="K761"/>
      <c r="L761"/>
      <c r="M761"/>
    </row>
    <row r="762" spans="1:13" ht="15">
      <c r="A762"/>
      <c r="B762"/>
      <c r="C762"/>
      <c r="D762"/>
      <c r="E762"/>
      <c r="F762"/>
      <c r="G762"/>
      <c r="H762"/>
      <c r="I762"/>
      <c r="J762"/>
      <c r="K762"/>
      <c r="L762"/>
      <c r="M762"/>
    </row>
    <row r="763" spans="1:13" ht="15">
      <c r="A763"/>
      <c r="B763"/>
      <c r="C763"/>
      <c r="D763"/>
      <c r="E763"/>
      <c r="F763"/>
      <c r="G763"/>
      <c r="H763"/>
      <c r="I763"/>
      <c r="J763"/>
      <c r="K763"/>
      <c r="L763"/>
      <c r="M763"/>
    </row>
    <row r="764" spans="1:13" ht="15">
      <c r="A764"/>
      <c r="B764"/>
      <c r="C764"/>
      <c r="D764"/>
      <c r="E764"/>
      <c r="F764"/>
      <c r="G764"/>
      <c r="H764"/>
      <c r="I764"/>
      <c r="J764"/>
      <c r="K764"/>
      <c r="L764"/>
      <c r="M764"/>
    </row>
    <row r="765" spans="1:13" ht="15">
      <c r="A765"/>
      <c r="B765"/>
      <c r="C765"/>
      <c r="D765"/>
      <c r="E765"/>
      <c r="F765"/>
      <c r="G765"/>
      <c r="H765"/>
      <c r="I765"/>
      <c r="J765"/>
      <c r="K765"/>
      <c r="L765"/>
      <c r="M765"/>
    </row>
    <row r="766" spans="1:13" ht="15">
      <c r="A766"/>
      <c r="B766"/>
      <c r="C766"/>
      <c r="D766"/>
      <c r="E766"/>
      <c r="F766"/>
      <c r="G766"/>
      <c r="H766"/>
      <c r="I766"/>
      <c r="J766"/>
      <c r="K766"/>
      <c r="L766"/>
      <c r="M766"/>
    </row>
    <row r="767" spans="1:13" ht="15">
      <c r="A767"/>
      <c r="B767"/>
      <c r="C767"/>
      <c r="D767"/>
      <c r="E767"/>
      <c r="F767"/>
      <c r="G767"/>
      <c r="H767"/>
      <c r="I767"/>
      <c r="J767"/>
      <c r="K767"/>
      <c r="L767"/>
      <c r="M767"/>
    </row>
    <row r="768" spans="1:13" ht="15">
      <c r="A768"/>
      <c r="B768"/>
      <c r="C768"/>
      <c r="D768"/>
      <c r="E768"/>
      <c r="F768"/>
      <c r="G768"/>
      <c r="H768"/>
      <c r="I768"/>
      <c r="J768"/>
      <c r="K768"/>
      <c r="L768"/>
      <c r="M768"/>
    </row>
    <row r="769" spans="1:13" ht="15">
      <c r="A769"/>
      <c r="B769"/>
      <c r="C769"/>
      <c r="D769"/>
      <c r="E769"/>
      <c r="F769"/>
      <c r="G769"/>
      <c r="H769"/>
      <c r="I769"/>
      <c r="J769"/>
      <c r="K769"/>
      <c r="L769"/>
      <c r="M769"/>
    </row>
    <row r="770" spans="1:13" ht="15">
      <c r="A770"/>
      <c r="B770"/>
      <c r="C770"/>
      <c r="D770"/>
      <c r="E770"/>
      <c r="F770"/>
      <c r="G770"/>
      <c r="H770"/>
      <c r="I770"/>
      <c r="J770"/>
      <c r="K770"/>
      <c r="L770"/>
      <c r="M770"/>
    </row>
    <row r="771" spans="1:13" ht="15">
      <c r="A771"/>
      <c r="B771"/>
      <c r="C771"/>
      <c r="D771"/>
      <c r="E771"/>
      <c r="F771"/>
      <c r="G771"/>
      <c r="H771"/>
      <c r="I771"/>
      <c r="J771"/>
      <c r="K771"/>
      <c r="L771"/>
      <c r="M771"/>
    </row>
    <row r="772" spans="1:13" ht="15">
      <c r="A772"/>
      <c r="B772"/>
      <c r="C772"/>
      <c r="D772"/>
      <c r="E772"/>
      <c r="F772"/>
      <c r="G772"/>
      <c r="H772"/>
      <c r="I772"/>
      <c r="J772"/>
      <c r="K772"/>
      <c r="L772"/>
      <c r="M772"/>
    </row>
    <row r="773" spans="1:13" ht="15">
      <c r="A773"/>
      <c r="B773"/>
      <c r="C773"/>
      <c r="D773"/>
      <c r="E773"/>
      <c r="F773"/>
      <c r="G773"/>
      <c r="H773"/>
      <c r="I773"/>
      <c r="J773"/>
      <c r="K773"/>
      <c r="L773"/>
      <c r="M773"/>
    </row>
    <row r="774" spans="1:13" ht="15">
      <c r="A774"/>
      <c r="B774"/>
      <c r="C774"/>
      <c r="D774"/>
      <c r="E774"/>
      <c r="F774"/>
      <c r="G774"/>
      <c r="H774"/>
      <c r="I774"/>
      <c r="J774"/>
      <c r="K774"/>
      <c r="L774"/>
      <c r="M774"/>
    </row>
    <row r="775" spans="1:13" ht="15">
      <c r="A775"/>
      <c r="B775"/>
      <c r="C775"/>
      <c r="D775"/>
      <c r="E775"/>
      <c r="F775"/>
      <c r="G775"/>
      <c r="H775"/>
      <c r="I775"/>
      <c r="J775"/>
      <c r="K775"/>
      <c r="L775"/>
      <c r="M775"/>
    </row>
    <row r="776" spans="1:13" ht="15">
      <c r="A776"/>
      <c r="B776"/>
      <c r="C776"/>
      <c r="D776"/>
      <c r="E776"/>
      <c r="F776"/>
      <c r="G776"/>
      <c r="H776"/>
      <c r="I776"/>
      <c r="J776"/>
      <c r="K776"/>
      <c r="L776"/>
      <c r="M776"/>
    </row>
    <row r="777" spans="1:13" ht="15">
      <c r="A777"/>
      <c r="B777"/>
      <c r="C777"/>
      <c r="D777"/>
      <c r="E777"/>
      <c r="F777"/>
      <c r="G777"/>
      <c r="H777"/>
      <c r="I777"/>
      <c r="J777"/>
      <c r="K777"/>
      <c r="L777"/>
      <c r="M777"/>
    </row>
    <row r="778" spans="1:13" ht="15">
      <c r="A778"/>
      <c r="B778"/>
      <c r="C778"/>
      <c r="D778"/>
      <c r="E778"/>
      <c r="F778"/>
      <c r="G778"/>
      <c r="H778"/>
      <c r="I778"/>
      <c r="J778"/>
      <c r="K778"/>
      <c r="L778"/>
      <c r="M778"/>
    </row>
    <row r="779" spans="1:13" ht="15">
      <c r="A779"/>
      <c r="B779"/>
      <c r="C779"/>
      <c r="D779"/>
      <c r="E779"/>
      <c r="F779"/>
      <c r="G779"/>
      <c r="H779"/>
      <c r="I779"/>
      <c r="J779"/>
      <c r="K779"/>
      <c r="L779"/>
      <c r="M779"/>
    </row>
    <row r="780" spans="1:13" ht="15">
      <c r="A780"/>
      <c r="B780"/>
      <c r="C780"/>
      <c r="D780"/>
      <c r="E780"/>
      <c r="F780"/>
      <c r="G780"/>
      <c r="H780"/>
      <c r="I780"/>
      <c r="J780"/>
      <c r="K780"/>
      <c r="L780"/>
      <c r="M780"/>
    </row>
    <row r="781" spans="1:13" ht="15">
      <c r="A781"/>
      <c r="B781"/>
      <c r="C781"/>
      <c r="D781"/>
      <c r="E781"/>
      <c r="F781"/>
      <c r="G781"/>
      <c r="H781"/>
      <c r="I781"/>
      <c r="J781"/>
      <c r="K781"/>
      <c r="L781"/>
      <c r="M781"/>
    </row>
    <row r="782" spans="1:13" ht="15">
      <c r="A782"/>
      <c r="B782"/>
      <c r="C782"/>
      <c r="D782"/>
      <c r="E782"/>
      <c r="F782"/>
      <c r="G782"/>
      <c r="H782"/>
      <c r="I782"/>
      <c r="J782"/>
      <c r="K782"/>
      <c r="L782"/>
      <c r="M782"/>
    </row>
    <row r="783" spans="1:13" ht="15">
      <c r="A783"/>
      <c r="B783"/>
      <c r="C783"/>
      <c r="D783"/>
      <c r="E783"/>
      <c r="F783"/>
      <c r="G783"/>
      <c r="H783"/>
      <c r="I783"/>
      <c r="J783"/>
      <c r="K783"/>
      <c r="L783"/>
      <c r="M783"/>
    </row>
    <row r="784" spans="1:13" ht="15">
      <c r="A784"/>
      <c r="B784"/>
      <c r="C784"/>
      <c r="D784"/>
      <c r="E784"/>
      <c r="F784"/>
      <c r="G784"/>
      <c r="H784"/>
      <c r="I784"/>
      <c r="J784"/>
      <c r="K784"/>
      <c r="L784"/>
      <c r="M784"/>
    </row>
    <row r="785" spans="1:13" ht="15">
      <c r="A785"/>
      <c r="B785"/>
      <c r="C785"/>
      <c r="D785"/>
      <c r="E785"/>
      <c r="F785"/>
      <c r="G785"/>
      <c r="H785"/>
      <c r="I785"/>
      <c r="J785"/>
      <c r="K785"/>
      <c r="L785"/>
      <c r="M785"/>
    </row>
    <row r="786" spans="1:13" ht="15">
      <c r="A786"/>
      <c r="B786"/>
      <c r="C786"/>
      <c r="D786"/>
      <c r="E786"/>
      <c r="F786"/>
      <c r="G786"/>
      <c r="H786"/>
      <c r="I786"/>
      <c r="J786"/>
      <c r="K786"/>
      <c r="L786"/>
      <c r="M786"/>
    </row>
    <row r="787" spans="1:13" ht="15">
      <c r="A787"/>
      <c r="B787"/>
      <c r="C787"/>
      <c r="D787"/>
      <c r="E787"/>
      <c r="F787"/>
      <c r="G787"/>
      <c r="H787"/>
      <c r="I787"/>
      <c r="J787"/>
      <c r="K787"/>
      <c r="L787"/>
      <c r="M787"/>
    </row>
    <row r="788" spans="1:13" ht="15">
      <c r="A788"/>
      <c r="B788"/>
      <c r="C788"/>
      <c r="D788"/>
      <c r="E788"/>
      <c r="F788"/>
      <c r="G788"/>
      <c r="H788"/>
      <c r="I788"/>
      <c r="J788"/>
      <c r="K788"/>
      <c r="L788"/>
      <c r="M788"/>
    </row>
    <row r="789" spans="1:13" ht="15">
      <c r="A789"/>
      <c r="B789"/>
      <c r="C789"/>
      <c r="D789"/>
      <c r="E789"/>
      <c r="F789"/>
      <c r="G789"/>
      <c r="H789"/>
      <c r="I789"/>
      <c r="J789"/>
      <c r="K789"/>
      <c r="L789"/>
      <c r="M789"/>
    </row>
    <row r="790" spans="1:13" ht="15">
      <c r="A790"/>
      <c r="B790"/>
      <c r="C790"/>
      <c r="D790"/>
      <c r="E790"/>
      <c r="F790"/>
      <c r="G790"/>
      <c r="H790"/>
      <c r="I790"/>
      <c r="J790"/>
      <c r="K790"/>
      <c r="L790"/>
      <c r="M790"/>
    </row>
    <row r="791" spans="1:13" ht="15">
      <c r="A791"/>
      <c r="B791"/>
      <c r="C791"/>
      <c r="D791"/>
      <c r="E791"/>
      <c r="F791"/>
      <c r="G791"/>
      <c r="H791"/>
      <c r="I791"/>
      <c r="J791"/>
      <c r="K791"/>
      <c r="L791"/>
      <c r="M791"/>
    </row>
    <row r="792" spans="1:13" ht="15">
      <c r="A792"/>
      <c r="B792"/>
      <c r="C792"/>
      <c r="D792"/>
      <c r="E792"/>
      <c r="F792"/>
      <c r="G792"/>
      <c r="H792"/>
      <c r="I792"/>
      <c r="J792"/>
      <c r="K792"/>
      <c r="L792"/>
      <c r="M792"/>
    </row>
    <row r="793" spans="1:13" ht="15">
      <c r="A793"/>
      <c r="B793"/>
      <c r="C793"/>
      <c r="D793"/>
      <c r="E793"/>
      <c r="F793"/>
      <c r="G793"/>
      <c r="H793"/>
      <c r="I793"/>
      <c r="J793"/>
      <c r="K793"/>
      <c r="L793"/>
      <c r="M793"/>
    </row>
    <row r="794" spans="1:13" ht="15">
      <c r="A794"/>
      <c r="B794"/>
      <c r="C794"/>
      <c r="D794"/>
      <c r="E794"/>
      <c r="F794"/>
      <c r="G794"/>
      <c r="H794"/>
      <c r="I794"/>
      <c r="J794"/>
      <c r="K794"/>
      <c r="L794"/>
      <c r="M794"/>
    </row>
    <row r="795" spans="1:13" ht="15">
      <c r="A795"/>
      <c r="B795"/>
      <c r="C795"/>
      <c r="D795"/>
      <c r="E795"/>
      <c r="F795"/>
      <c r="G795"/>
      <c r="H795"/>
      <c r="I795"/>
      <c r="J795"/>
      <c r="K795"/>
      <c r="L795"/>
      <c r="M795"/>
    </row>
    <row r="796" spans="1:13" ht="15">
      <c r="A796"/>
      <c r="B796"/>
      <c r="C796"/>
      <c r="D796"/>
      <c r="E796"/>
      <c r="F796"/>
      <c r="G796"/>
      <c r="H796"/>
      <c r="I796"/>
      <c r="J796"/>
      <c r="K796"/>
      <c r="L796"/>
      <c r="M796"/>
    </row>
    <row r="797" spans="1:13" ht="15">
      <c r="A797"/>
      <c r="B797"/>
      <c r="C797"/>
      <c r="D797"/>
      <c r="E797"/>
      <c r="F797"/>
      <c r="G797"/>
      <c r="H797"/>
      <c r="I797"/>
      <c r="J797"/>
      <c r="K797"/>
      <c r="L797"/>
      <c r="M797"/>
    </row>
    <row r="798" spans="1:13" ht="15">
      <c r="A798"/>
      <c r="B798"/>
      <c r="C798"/>
      <c r="D798"/>
      <c r="E798"/>
      <c r="F798"/>
      <c r="G798"/>
      <c r="H798"/>
      <c r="I798"/>
      <c r="J798"/>
      <c r="K798"/>
      <c r="L798"/>
      <c r="M798"/>
    </row>
    <row r="799" spans="1:13" ht="15">
      <c r="A799"/>
      <c r="B799"/>
      <c r="C799"/>
      <c r="D799"/>
      <c r="E799"/>
      <c r="F799"/>
      <c r="G799"/>
      <c r="H799"/>
      <c r="I799"/>
      <c r="J799"/>
      <c r="K799"/>
      <c r="L799"/>
      <c r="M799"/>
    </row>
    <row r="800" spans="1:13" ht="15">
      <c r="A800"/>
      <c r="B800"/>
      <c r="C800"/>
      <c r="D800"/>
      <c r="E800"/>
      <c r="F800"/>
      <c r="G800"/>
      <c r="H800"/>
      <c r="I800"/>
      <c r="J800"/>
      <c r="K800"/>
      <c r="L800"/>
      <c r="M800"/>
    </row>
    <row r="801" spans="1:13" ht="15">
      <c r="A801"/>
      <c r="B801"/>
      <c r="C801"/>
      <c r="D801"/>
      <c r="E801"/>
      <c r="F801"/>
      <c r="G801"/>
      <c r="H801"/>
      <c r="I801"/>
      <c r="J801"/>
      <c r="K801"/>
      <c r="L801"/>
      <c r="M801"/>
    </row>
    <row r="802" spans="1:13" ht="15">
      <c r="A802"/>
      <c r="B802"/>
      <c r="C802"/>
      <c r="D802"/>
      <c r="E802"/>
      <c r="F802"/>
      <c r="G802"/>
      <c r="H802"/>
      <c r="I802"/>
      <c r="J802"/>
      <c r="K802"/>
      <c r="L802"/>
      <c r="M802"/>
    </row>
    <row r="803" spans="1:13" ht="15">
      <c r="A803"/>
      <c r="B803"/>
      <c r="C803"/>
      <c r="D803"/>
      <c r="E803"/>
      <c r="F803"/>
      <c r="G803"/>
      <c r="H803"/>
      <c r="I803"/>
      <c r="J803"/>
      <c r="K803"/>
      <c r="L803"/>
      <c r="M803"/>
    </row>
    <row r="804" spans="1:13" ht="15">
      <c r="A804"/>
      <c r="B804"/>
      <c r="C804"/>
      <c r="D804"/>
      <c r="E804"/>
      <c r="F804"/>
      <c r="G804"/>
      <c r="H804"/>
      <c r="I804"/>
      <c r="J804"/>
      <c r="K804"/>
      <c r="L804"/>
      <c r="M804"/>
    </row>
    <row r="805" spans="1:13" ht="15">
      <c r="A805"/>
      <c r="B805"/>
      <c r="C805"/>
      <c r="D805"/>
      <c r="E805"/>
      <c r="F805"/>
      <c r="G805"/>
      <c r="H805"/>
      <c r="I805"/>
      <c r="J805"/>
      <c r="K805"/>
      <c r="L805"/>
      <c r="M805"/>
    </row>
    <row r="806" spans="1:13" ht="15">
      <c r="A806"/>
      <c r="B806"/>
      <c r="C806"/>
      <c r="D806"/>
      <c r="E806"/>
      <c r="F806"/>
      <c r="G806"/>
      <c r="H806"/>
      <c r="I806"/>
      <c r="J806"/>
      <c r="K806"/>
      <c r="L806"/>
      <c r="M806"/>
    </row>
    <row r="807" spans="1:13" ht="15">
      <c r="A807"/>
      <c r="B807"/>
      <c r="C807"/>
      <c r="D807"/>
      <c r="E807"/>
      <c r="F807"/>
      <c r="G807"/>
      <c r="H807"/>
      <c r="I807"/>
      <c r="J807"/>
      <c r="K807"/>
      <c r="L807"/>
      <c r="M807"/>
    </row>
    <row r="808" spans="1:13" ht="15">
      <c r="A808"/>
      <c r="B808"/>
      <c r="C808"/>
      <c r="D808"/>
      <c r="E808"/>
      <c r="F808"/>
      <c r="G808"/>
      <c r="H808"/>
      <c r="I808"/>
      <c r="J808"/>
      <c r="K808"/>
      <c r="L808"/>
      <c r="M808"/>
    </row>
    <row r="809" spans="1:13" ht="15">
      <c r="A809"/>
      <c r="B809"/>
      <c r="C809"/>
      <c r="D809"/>
      <c r="E809"/>
      <c r="F809"/>
      <c r="G809"/>
      <c r="H809"/>
      <c r="I809"/>
      <c r="J809"/>
      <c r="K809"/>
      <c r="L809"/>
      <c r="M809"/>
    </row>
    <row r="810" spans="1:13" ht="15">
      <c r="A810"/>
      <c r="B810"/>
      <c r="C810"/>
      <c r="D810"/>
      <c r="E810"/>
      <c r="F810"/>
      <c r="G810"/>
      <c r="H810"/>
      <c r="I810"/>
      <c r="J810"/>
      <c r="K810"/>
      <c r="L810"/>
      <c r="M810"/>
    </row>
    <row r="811" spans="1:13" ht="15">
      <c r="A811"/>
      <c r="B811"/>
      <c r="C811"/>
      <c r="D811"/>
      <c r="E811"/>
      <c r="F811"/>
      <c r="G811"/>
      <c r="H811"/>
      <c r="I811"/>
      <c r="J811"/>
      <c r="K811"/>
      <c r="L811"/>
      <c r="M811"/>
    </row>
    <row r="812" spans="1:13" ht="15">
      <c r="A812"/>
      <c r="B812"/>
      <c r="C812"/>
      <c r="D812"/>
      <c r="E812"/>
      <c r="F812"/>
      <c r="G812"/>
      <c r="H812"/>
      <c r="I812"/>
      <c r="J812"/>
      <c r="K812"/>
      <c r="L812"/>
      <c r="M812"/>
    </row>
    <row r="813" spans="1:13" ht="15">
      <c r="A813"/>
      <c r="B813"/>
      <c r="C813"/>
      <c r="D813"/>
      <c r="E813"/>
      <c r="F813"/>
      <c r="G813"/>
      <c r="H813"/>
      <c r="I813"/>
      <c r="J813"/>
      <c r="K813"/>
      <c r="L813"/>
      <c r="M813"/>
    </row>
    <row r="814" spans="1:13" ht="15">
      <c r="A814"/>
      <c r="B814"/>
      <c r="C814"/>
      <c r="D814"/>
      <c r="E814"/>
      <c r="F814"/>
      <c r="G814"/>
      <c r="H814"/>
      <c r="I814"/>
      <c r="J814"/>
      <c r="K814"/>
      <c r="L814"/>
      <c r="M814"/>
    </row>
    <row r="815" spans="1:13" ht="15">
      <c r="A815"/>
      <c r="B815"/>
      <c r="C815"/>
      <c r="D815"/>
      <c r="E815"/>
      <c r="F815"/>
      <c r="G815"/>
      <c r="H815"/>
      <c r="I815"/>
      <c r="J815"/>
      <c r="K815"/>
      <c r="L815"/>
      <c r="M815"/>
    </row>
    <row r="816" spans="1:13" ht="15">
      <c r="A816"/>
      <c r="B816"/>
      <c r="C816"/>
      <c r="D816"/>
      <c r="E816"/>
      <c r="F816"/>
      <c r="G816"/>
      <c r="H816"/>
      <c r="I816"/>
      <c r="J816"/>
      <c r="K816"/>
      <c r="L816"/>
      <c r="M816"/>
    </row>
    <row r="817" spans="1:13" ht="15">
      <c r="A817"/>
      <c r="B817"/>
      <c r="C817"/>
      <c r="D817"/>
      <c r="E817"/>
      <c r="F817"/>
      <c r="G817"/>
      <c r="H817"/>
      <c r="I817"/>
      <c r="J817"/>
      <c r="K817"/>
      <c r="L817"/>
      <c r="M817"/>
    </row>
    <row r="818" spans="1:13" ht="15">
      <c r="A818"/>
      <c r="B818"/>
      <c r="C818"/>
      <c r="D818"/>
      <c r="E818"/>
      <c r="F818"/>
      <c r="G818"/>
      <c r="H818"/>
      <c r="I818"/>
      <c r="J818"/>
      <c r="K818"/>
      <c r="L818"/>
      <c r="M818"/>
    </row>
    <row r="819" spans="1:13" ht="15">
      <c r="A819"/>
      <c r="B819"/>
      <c r="C819"/>
      <c r="D819"/>
      <c r="E819"/>
      <c r="F819"/>
      <c r="G819"/>
      <c r="H819"/>
      <c r="I819"/>
      <c r="J819"/>
      <c r="K819"/>
      <c r="L819"/>
      <c r="M819"/>
    </row>
    <row r="820" spans="1:13" ht="15">
      <c r="A820"/>
      <c r="B820"/>
      <c r="C820"/>
      <c r="D820"/>
      <c r="E820"/>
      <c r="F820"/>
      <c r="G820"/>
      <c r="H820"/>
      <c r="I820"/>
      <c r="J820"/>
      <c r="K820"/>
      <c r="L820"/>
      <c r="M820"/>
    </row>
    <row r="821" spans="1:13" ht="15">
      <c r="A821"/>
      <c r="B821"/>
      <c r="C821"/>
      <c r="D821"/>
      <c r="E821"/>
      <c r="F821"/>
      <c r="G821"/>
      <c r="H821"/>
      <c r="I821"/>
      <c r="J821"/>
      <c r="K821"/>
      <c r="L821"/>
      <c r="M821"/>
    </row>
    <row r="822" spans="1:13" ht="15">
      <c r="A822"/>
      <c r="B822"/>
      <c r="C822"/>
      <c r="D822"/>
      <c r="E822"/>
      <c r="F822"/>
      <c r="G822"/>
      <c r="H822"/>
      <c r="I822"/>
      <c r="J822"/>
      <c r="K822"/>
      <c r="L822"/>
      <c r="M822"/>
    </row>
    <row r="823" spans="1:13" ht="15">
      <c r="A823"/>
      <c r="B823"/>
      <c r="C823"/>
      <c r="D823"/>
      <c r="E823"/>
      <c r="F823"/>
      <c r="G823"/>
      <c r="H823"/>
      <c r="I823"/>
      <c r="J823"/>
      <c r="K823"/>
      <c r="L823"/>
      <c r="M823"/>
    </row>
    <row r="824" spans="1:13" ht="15">
      <c r="A824"/>
      <c r="B824"/>
      <c r="C824"/>
      <c r="D824"/>
      <c r="E824"/>
      <c r="F824"/>
      <c r="G824"/>
      <c r="H824"/>
      <c r="I824"/>
      <c r="J824"/>
      <c r="K824"/>
      <c r="L824"/>
      <c r="M824"/>
    </row>
    <row r="825" spans="1:13" ht="15">
      <c r="A825"/>
      <c r="B825"/>
      <c r="C825"/>
      <c r="D825"/>
      <c r="E825"/>
      <c r="F825"/>
      <c r="G825"/>
      <c r="H825"/>
      <c r="I825"/>
      <c r="J825"/>
      <c r="K825"/>
      <c r="L825"/>
      <c r="M825"/>
    </row>
    <row r="826" spans="1:13" ht="15">
      <c r="A826"/>
      <c r="B826"/>
      <c r="C826"/>
      <c r="D826"/>
      <c r="E826"/>
      <c r="F826"/>
      <c r="G826"/>
      <c r="H826"/>
      <c r="I826"/>
      <c r="J826"/>
      <c r="K826"/>
      <c r="L826"/>
      <c r="M826"/>
    </row>
    <row r="827" spans="1:13" ht="15">
      <c r="A827"/>
      <c r="B827"/>
      <c r="C827"/>
      <c r="D827"/>
      <c r="E827"/>
      <c r="F827"/>
      <c r="G827"/>
      <c r="H827"/>
      <c r="I827"/>
      <c r="J827"/>
      <c r="K827"/>
      <c r="L827"/>
      <c r="M827"/>
    </row>
    <row r="828" spans="1:13" ht="15">
      <c r="A828"/>
      <c r="B828"/>
      <c r="C828"/>
      <c r="D828"/>
      <c r="E828"/>
      <c r="F828"/>
      <c r="G828"/>
      <c r="H828"/>
      <c r="I828"/>
      <c r="J828"/>
      <c r="K828"/>
      <c r="L828"/>
      <c r="M828"/>
    </row>
    <row r="829" spans="1:13" ht="15">
      <c r="A829"/>
      <c r="B829"/>
      <c r="C829"/>
      <c r="D829"/>
      <c r="E829"/>
      <c r="F829"/>
      <c r="G829"/>
      <c r="H829"/>
      <c r="I829"/>
      <c r="J829"/>
      <c r="K829"/>
      <c r="L829"/>
      <c r="M829"/>
    </row>
    <row r="830" spans="1:13" ht="15">
      <c r="A830"/>
      <c r="B830"/>
      <c r="C830"/>
      <c r="D830"/>
      <c r="E830"/>
      <c r="F830"/>
      <c r="G830"/>
      <c r="H830"/>
      <c r="I830"/>
      <c r="J830"/>
      <c r="K830"/>
      <c r="L830"/>
      <c r="M830"/>
    </row>
    <row r="831" spans="1:13" ht="15">
      <c r="A831"/>
      <c r="B831"/>
      <c r="C831"/>
      <c r="D831"/>
      <c r="E831"/>
      <c r="F831"/>
      <c r="G831"/>
      <c r="H831"/>
      <c r="I831"/>
      <c r="J831"/>
      <c r="K831"/>
      <c r="L831"/>
      <c r="M831"/>
    </row>
    <row r="832" spans="1:13" ht="15">
      <c r="A832"/>
      <c r="B832"/>
      <c r="C832"/>
      <c r="D832"/>
      <c r="E832"/>
      <c r="F832"/>
      <c r="G832"/>
      <c r="H832"/>
      <c r="I832"/>
      <c r="J832"/>
      <c r="K832"/>
      <c r="L832"/>
      <c r="M832"/>
    </row>
    <row r="833" spans="1:13" ht="15">
      <c r="A833"/>
      <c r="B833"/>
      <c r="C833"/>
      <c r="D833"/>
      <c r="E833"/>
      <c r="F833"/>
      <c r="G833"/>
      <c r="H833"/>
      <c r="I833"/>
      <c r="J833"/>
      <c r="K833"/>
      <c r="L833"/>
      <c r="M833"/>
    </row>
    <row r="834" spans="1:13" ht="15">
      <c r="A834"/>
      <c r="B834"/>
      <c r="C834"/>
      <c r="D834"/>
      <c r="E834"/>
      <c r="F834"/>
      <c r="G834"/>
      <c r="H834"/>
      <c r="I834"/>
      <c r="J834"/>
      <c r="K834"/>
      <c r="L834"/>
      <c r="M834"/>
    </row>
    <row r="835" spans="1:13" ht="15">
      <c r="A835"/>
      <c r="B835"/>
      <c r="C835"/>
      <c r="D835"/>
      <c r="E835"/>
      <c r="F835"/>
      <c r="G835"/>
      <c r="H835"/>
      <c r="I835"/>
      <c r="J835"/>
      <c r="K835"/>
      <c r="L835"/>
      <c r="M835"/>
    </row>
    <row r="836" spans="1:13" ht="15">
      <c r="A836"/>
      <c r="B836"/>
      <c r="C836"/>
      <c r="D836"/>
      <c r="E836"/>
      <c r="F836"/>
      <c r="G836"/>
      <c r="H836"/>
      <c r="I836"/>
      <c r="J836"/>
      <c r="K836"/>
      <c r="L836"/>
      <c r="M836"/>
    </row>
    <row r="837" spans="1:13" ht="15">
      <c r="A837"/>
      <c r="B837"/>
      <c r="C837"/>
      <c r="D837"/>
      <c r="E837"/>
      <c r="F837"/>
      <c r="G837"/>
      <c r="H837"/>
      <c r="I837"/>
      <c r="J837"/>
      <c r="K837"/>
      <c r="L837"/>
      <c r="M837"/>
    </row>
    <row r="838" spans="1:13" ht="15">
      <c r="A838"/>
      <c r="B838"/>
      <c r="C838"/>
      <c r="D838"/>
      <c r="E838"/>
      <c r="F838"/>
      <c r="G838"/>
      <c r="H838"/>
      <c r="I838"/>
      <c r="J838"/>
      <c r="K838"/>
      <c r="L838"/>
      <c r="M838"/>
    </row>
    <row r="839" spans="1:13" ht="15">
      <c r="A839"/>
      <c r="B839"/>
      <c r="C839"/>
      <c r="D839"/>
      <c r="E839"/>
      <c r="F839"/>
      <c r="G839"/>
      <c r="H839"/>
      <c r="I839"/>
      <c r="J839"/>
      <c r="K839"/>
      <c r="L839"/>
      <c r="M839"/>
    </row>
    <row r="840" spans="1:13" ht="15">
      <c r="A840"/>
      <c r="B840"/>
      <c r="C840"/>
      <c r="D840"/>
      <c r="E840"/>
      <c r="F840"/>
      <c r="G840"/>
      <c r="H840"/>
      <c r="I840"/>
      <c r="J840"/>
      <c r="K840"/>
      <c r="L840"/>
      <c r="M840"/>
    </row>
    <row r="841" spans="1:13" ht="15">
      <c r="A841"/>
      <c r="B841"/>
      <c r="C841"/>
      <c r="D841"/>
      <c r="E841"/>
      <c r="F841"/>
      <c r="G841"/>
      <c r="H841"/>
      <c r="I841"/>
      <c r="J841"/>
      <c r="K841"/>
      <c r="L841"/>
      <c r="M841"/>
    </row>
    <row r="842" spans="1:13" ht="15">
      <c r="A842"/>
      <c r="B842"/>
      <c r="C842"/>
      <c r="D842"/>
      <c r="E842"/>
      <c r="F842"/>
      <c r="G842"/>
      <c r="H842"/>
      <c r="I842"/>
      <c r="J842"/>
      <c r="K842"/>
      <c r="L842"/>
      <c r="M842"/>
    </row>
    <row r="843" spans="1:13" ht="15">
      <c r="A843"/>
      <c r="B843"/>
      <c r="C843"/>
      <c r="D843"/>
      <c r="E843"/>
      <c r="F843"/>
      <c r="G843"/>
      <c r="H843"/>
      <c r="I843"/>
      <c r="J843"/>
      <c r="K843"/>
      <c r="L843"/>
      <c r="M843"/>
    </row>
    <row r="844" spans="1:13" ht="15">
      <c r="A844"/>
      <c r="B844"/>
      <c r="C844"/>
      <c r="D844"/>
      <c r="E844"/>
      <c r="F844"/>
      <c r="G844"/>
      <c r="H844"/>
      <c r="I844"/>
      <c r="J844"/>
      <c r="K844"/>
      <c r="L844"/>
      <c r="M844"/>
    </row>
    <row r="845" spans="1:13" ht="15">
      <c r="A845"/>
      <c r="B845"/>
      <c r="C845"/>
      <c r="D845"/>
      <c r="E845"/>
      <c r="F845"/>
      <c r="G845"/>
      <c r="H845"/>
      <c r="I845"/>
      <c r="J845"/>
      <c r="K845"/>
      <c r="L845"/>
      <c r="M845"/>
    </row>
    <row r="846" spans="1:13" ht="15">
      <c r="A846"/>
      <c r="B846"/>
      <c r="C846"/>
      <c r="D846"/>
      <c r="E846"/>
      <c r="F846"/>
      <c r="G846"/>
      <c r="H846"/>
      <c r="I846"/>
      <c r="J846"/>
      <c r="K846"/>
      <c r="L846"/>
      <c r="M846"/>
    </row>
    <row r="847" spans="1:13" ht="15">
      <c r="A847"/>
      <c r="B847"/>
      <c r="C847"/>
      <c r="D847"/>
      <c r="E847"/>
      <c r="F847"/>
      <c r="G847"/>
      <c r="H847"/>
      <c r="I847"/>
      <c r="J847"/>
      <c r="K847"/>
      <c r="L847"/>
      <c r="M847"/>
    </row>
    <row r="848" spans="1:13" ht="15">
      <c r="A848"/>
      <c r="B848"/>
      <c r="C848"/>
      <c r="D848"/>
      <c r="E848"/>
      <c r="F848"/>
      <c r="G848"/>
      <c r="H848"/>
      <c r="I848"/>
      <c r="J848"/>
      <c r="K848"/>
      <c r="L848"/>
      <c r="M848"/>
    </row>
    <row r="849" spans="1:13" ht="15">
      <c r="A849"/>
      <c r="B849"/>
      <c r="C849"/>
      <c r="D849"/>
      <c r="E849"/>
      <c r="F849"/>
      <c r="G849"/>
      <c r="H849"/>
      <c r="I849"/>
      <c r="J849"/>
      <c r="K849"/>
      <c r="L849"/>
      <c r="M849"/>
    </row>
    <row r="850" spans="1:13" ht="15">
      <c r="A850"/>
      <c r="B850"/>
      <c r="C850"/>
      <c r="D850"/>
      <c r="E850"/>
      <c r="F850"/>
      <c r="G850"/>
      <c r="H850"/>
      <c r="I850"/>
      <c r="J850"/>
      <c r="K850"/>
      <c r="L850"/>
      <c r="M850"/>
    </row>
    <row r="851" spans="1:13" ht="15">
      <c r="A851"/>
      <c r="B851"/>
      <c r="C851"/>
      <c r="D851"/>
      <c r="E851"/>
      <c r="F851"/>
      <c r="G851"/>
      <c r="H851"/>
      <c r="I851"/>
      <c r="J851"/>
      <c r="K851"/>
      <c r="L851"/>
      <c r="M851"/>
    </row>
    <row r="852" spans="1:13" ht="15">
      <c r="A852"/>
      <c r="B852"/>
      <c r="C852"/>
      <c r="D852"/>
      <c r="E852"/>
      <c r="F852"/>
      <c r="G852"/>
      <c r="H852"/>
      <c r="I852"/>
      <c r="J852"/>
      <c r="K852"/>
      <c r="L852"/>
      <c r="M852"/>
    </row>
    <row r="853" spans="1:13" ht="15">
      <c r="A853"/>
      <c r="B853"/>
      <c r="C853"/>
      <c r="D853"/>
      <c r="E853"/>
      <c r="F853"/>
      <c r="G853"/>
      <c r="H853"/>
      <c r="I853"/>
      <c r="J853"/>
      <c r="K853"/>
      <c r="L853"/>
      <c r="M853"/>
    </row>
    <row r="854" spans="1:13" ht="15">
      <c r="A854"/>
      <c r="B854"/>
      <c r="C854"/>
      <c r="D854"/>
      <c r="E854"/>
      <c r="F854"/>
      <c r="G854"/>
      <c r="H854"/>
      <c r="I854"/>
      <c r="J854"/>
      <c r="K854"/>
      <c r="L854"/>
      <c r="M854"/>
    </row>
    <row r="855" spans="1:13" ht="15">
      <c r="A855"/>
      <c r="B855"/>
      <c r="C855"/>
      <c r="D855"/>
      <c r="E855"/>
      <c r="F855"/>
      <c r="G855"/>
      <c r="H855"/>
      <c r="I855"/>
      <c r="J855"/>
      <c r="K855"/>
      <c r="L855"/>
      <c r="M855"/>
    </row>
    <row r="856" spans="1:13" ht="15">
      <c r="A856"/>
      <c r="B856"/>
      <c r="C856"/>
      <c r="D856"/>
      <c r="E856"/>
      <c r="F856"/>
      <c r="G856"/>
      <c r="H856"/>
      <c r="I856"/>
      <c r="J856"/>
      <c r="K856"/>
      <c r="L856"/>
      <c r="M856"/>
    </row>
    <row r="857" spans="1:13" ht="15">
      <c r="A857"/>
      <c r="B857"/>
      <c r="C857"/>
      <c r="D857"/>
      <c r="E857"/>
      <c r="F857"/>
      <c r="G857"/>
      <c r="H857"/>
      <c r="I857"/>
      <c r="J857"/>
      <c r="K857"/>
      <c r="L857"/>
      <c r="M857"/>
    </row>
    <row r="858" spans="1:13" ht="15">
      <c r="A858"/>
      <c r="B858"/>
      <c r="C858"/>
      <c r="D858"/>
      <c r="E858"/>
      <c r="F858"/>
      <c r="G858"/>
      <c r="H858"/>
      <c r="I858"/>
      <c r="J858"/>
      <c r="K858"/>
      <c r="L858"/>
      <c r="M858"/>
    </row>
    <row r="859" spans="1:13" ht="15">
      <c r="A859"/>
      <c r="B859"/>
      <c r="C859"/>
      <c r="D859"/>
      <c r="E859"/>
      <c r="F859"/>
      <c r="G859"/>
      <c r="H859"/>
      <c r="I859"/>
      <c r="J859"/>
      <c r="K859"/>
      <c r="L859"/>
      <c r="M859"/>
    </row>
    <row r="860" spans="1:13" ht="15">
      <c r="A860"/>
      <c r="B860"/>
      <c r="C860"/>
      <c r="D860"/>
      <c r="E860"/>
      <c r="F860"/>
      <c r="G860"/>
      <c r="H860"/>
      <c r="I860"/>
      <c r="J860"/>
      <c r="K860"/>
      <c r="L860"/>
      <c r="M860"/>
    </row>
    <row r="861" spans="1:13" ht="15">
      <c r="A861"/>
      <c r="B861"/>
      <c r="C861"/>
      <c r="D861"/>
      <c r="E861"/>
      <c r="F861"/>
      <c r="G861"/>
      <c r="H861"/>
      <c r="I861"/>
      <c r="J861"/>
      <c r="K861"/>
      <c r="L861"/>
      <c r="M861"/>
    </row>
    <row r="862" spans="1:13" ht="15">
      <c r="A862"/>
      <c r="B862"/>
      <c r="C862"/>
      <c r="D862"/>
      <c r="E862"/>
      <c r="F862"/>
      <c r="G862"/>
      <c r="H862"/>
      <c r="I862"/>
      <c r="J862"/>
      <c r="K862"/>
      <c r="L862"/>
      <c r="M862"/>
    </row>
    <row r="863" spans="1:13" ht="15">
      <c r="A863"/>
      <c r="B863"/>
      <c r="C863"/>
      <c r="D863"/>
      <c r="E863"/>
      <c r="F863"/>
      <c r="G863"/>
      <c r="H863"/>
      <c r="I863"/>
      <c r="J863"/>
      <c r="K863"/>
      <c r="L863"/>
      <c r="M863"/>
    </row>
    <row r="864" spans="1:13" ht="15">
      <c r="A864"/>
      <c r="B864"/>
      <c r="C864"/>
      <c r="D864"/>
      <c r="E864"/>
      <c r="F864"/>
      <c r="G864"/>
      <c r="H864"/>
      <c r="I864"/>
      <c r="J864"/>
      <c r="K864"/>
      <c r="L864"/>
      <c r="M864"/>
    </row>
    <row r="865" spans="1:13" ht="15">
      <c r="A865"/>
      <c r="B865"/>
      <c r="C865"/>
      <c r="D865"/>
      <c r="E865"/>
      <c r="F865"/>
      <c r="G865"/>
      <c r="H865"/>
      <c r="I865"/>
      <c r="J865"/>
      <c r="K865"/>
      <c r="L865"/>
      <c r="M865"/>
    </row>
    <row r="866" spans="1:13" ht="15">
      <c r="A866"/>
      <c r="B866"/>
      <c r="C866"/>
      <c r="D866"/>
      <c r="E866"/>
      <c r="F866"/>
      <c r="G866"/>
      <c r="H866"/>
      <c r="I866"/>
      <c r="J866"/>
      <c r="K866"/>
      <c r="L866"/>
      <c r="M866"/>
    </row>
    <row r="867" spans="1:13" ht="15">
      <c r="A867"/>
      <c r="B867"/>
      <c r="C867"/>
      <c r="D867"/>
      <c r="E867"/>
      <c r="F867"/>
      <c r="G867"/>
      <c r="H867"/>
      <c r="I867"/>
      <c r="J867"/>
      <c r="K867"/>
      <c r="L867"/>
      <c r="M867"/>
    </row>
    <row r="868" spans="1:13" ht="15">
      <c r="A868"/>
      <c r="B868"/>
      <c r="C868"/>
      <c r="D868"/>
      <c r="E868"/>
      <c r="F868"/>
      <c r="G868"/>
      <c r="H868"/>
      <c r="I868"/>
      <c r="J868"/>
      <c r="K868"/>
      <c r="L868"/>
      <c r="M868"/>
    </row>
    <row r="869" spans="1:13" ht="15">
      <c r="A869"/>
      <c r="B869"/>
      <c r="C869"/>
      <c r="D869"/>
      <c r="E869"/>
      <c r="F869"/>
      <c r="G869"/>
      <c r="H869"/>
      <c r="I869"/>
      <c r="J869"/>
      <c r="K869"/>
      <c r="L869"/>
      <c r="M869"/>
    </row>
    <row r="870" spans="1:13" ht="15">
      <c r="A870"/>
      <c r="B870"/>
      <c r="C870"/>
      <c r="D870"/>
      <c r="E870"/>
      <c r="F870"/>
      <c r="G870"/>
      <c r="H870"/>
      <c r="I870"/>
      <c r="J870"/>
      <c r="K870"/>
      <c r="L870"/>
      <c r="M870"/>
    </row>
    <row r="871" spans="1:13" ht="15">
      <c r="A871"/>
      <c r="B871"/>
      <c r="C871"/>
      <c r="D871"/>
      <c r="E871"/>
      <c r="F871"/>
      <c r="G871"/>
      <c r="H871"/>
      <c r="I871"/>
      <c r="J871"/>
      <c r="K871"/>
      <c r="L871"/>
      <c r="M871"/>
    </row>
    <row r="872" spans="1:13" ht="15">
      <c r="A872"/>
      <c r="B872"/>
      <c r="C872"/>
      <c r="D872"/>
      <c r="E872"/>
      <c r="F872"/>
      <c r="G872"/>
      <c r="H872"/>
      <c r="I872"/>
      <c r="J872"/>
      <c r="K872"/>
      <c r="L872"/>
      <c r="M872"/>
    </row>
    <row r="873" spans="1:13" ht="15">
      <c r="A873"/>
      <c r="B873"/>
      <c r="C873"/>
      <c r="D873"/>
      <c r="E873"/>
      <c r="F873"/>
      <c r="G873"/>
      <c r="H873"/>
      <c r="I873"/>
      <c r="J873"/>
      <c r="K873"/>
      <c r="L873"/>
      <c r="M873"/>
    </row>
    <row r="874" spans="1:13" ht="15">
      <c r="A874"/>
      <c r="B874"/>
      <c r="C874"/>
      <c r="D874"/>
      <c r="E874"/>
      <c r="F874"/>
      <c r="G874"/>
      <c r="H874"/>
      <c r="I874"/>
      <c r="J874"/>
      <c r="K874"/>
      <c r="L874"/>
      <c r="M874"/>
    </row>
    <row r="875" spans="1:13" ht="15">
      <c r="A875"/>
      <c r="B875"/>
      <c r="C875"/>
      <c r="D875"/>
      <c r="E875"/>
      <c r="F875"/>
      <c r="G875"/>
      <c r="H875"/>
      <c r="I875"/>
      <c r="J875"/>
      <c r="K875"/>
      <c r="L875"/>
      <c r="M875"/>
    </row>
    <row r="876" spans="1:13" ht="15">
      <c r="A876"/>
      <c r="B876"/>
      <c r="C876"/>
      <c r="D876"/>
      <c r="E876"/>
      <c r="F876"/>
      <c r="G876"/>
      <c r="H876"/>
      <c r="I876"/>
      <c r="J876"/>
      <c r="K876"/>
      <c r="L876"/>
      <c r="M876"/>
    </row>
    <row r="877" spans="1:13" ht="15">
      <c r="A877"/>
      <c r="B877"/>
      <c r="C877"/>
      <c r="D877"/>
      <c r="E877"/>
      <c r="F877"/>
      <c r="G877"/>
      <c r="H877"/>
      <c r="I877"/>
      <c r="J877"/>
      <c r="K877"/>
      <c r="L877"/>
      <c r="M877"/>
    </row>
    <row r="878" spans="1:13" ht="15">
      <c r="A878"/>
      <c r="B878"/>
      <c r="C878"/>
      <c r="D878"/>
      <c r="E878"/>
      <c r="F878"/>
      <c r="G878"/>
      <c r="H878"/>
      <c r="I878"/>
      <c r="J878"/>
      <c r="K878"/>
      <c r="L878"/>
      <c r="M878"/>
    </row>
    <row r="879" spans="1:13" ht="15">
      <c r="A879"/>
      <c r="B879"/>
      <c r="C879"/>
      <c r="D879"/>
      <c r="E879"/>
      <c r="F879"/>
      <c r="G879"/>
      <c r="H879"/>
      <c r="I879"/>
      <c r="J879"/>
      <c r="K879"/>
      <c r="L879"/>
      <c r="M879"/>
    </row>
    <row r="880" spans="1:13" ht="15">
      <c r="A880"/>
      <c r="B880"/>
      <c r="C880"/>
      <c r="D880"/>
      <c r="E880"/>
      <c r="F880"/>
      <c r="G880"/>
      <c r="H880"/>
      <c r="I880"/>
      <c r="J880"/>
      <c r="K880"/>
      <c r="L880"/>
      <c r="M880"/>
    </row>
    <row r="881" spans="1:13" ht="15">
      <c r="A881"/>
      <c r="B881"/>
      <c r="C881"/>
      <c r="D881"/>
      <c r="E881"/>
      <c r="F881"/>
      <c r="G881"/>
      <c r="H881"/>
      <c r="I881"/>
      <c r="J881"/>
      <c r="K881"/>
      <c r="L881"/>
      <c r="M881"/>
    </row>
    <row r="882" spans="1:13" ht="15">
      <c r="A882"/>
      <c r="B882"/>
      <c r="C882"/>
      <c r="D882"/>
      <c r="E882"/>
      <c r="F882"/>
      <c r="G882"/>
      <c r="H882"/>
      <c r="I882"/>
      <c r="J882"/>
      <c r="K882"/>
      <c r="L882"/>
      <c r="M882"/>
    </row>
    <row r="883" spans="1:13" ht="15">
      <c r="A883"/>
      <c r="B883"/>
      <c r="C883"/>
      <c r="D883"/>
      <c r="E883"/>
      <c r="F883"/>
      <c r="G883"/>
      <c r="H883"/>
      <c r="I883"/>
      <c r="J883"/>
      <c r="K883"/>
      <c r="L883"/>
      <c r="M883"/>
    </row>
    <row r="884" spans="1:13" ht="15">
      <c r="A884"/>
      <c r="B884"/>
      <c r="C884"/>
      <c r="D884"/>
      <c r="E884"/>
      <c r="F884"/>
      <c r="G884"/>
      <c r="H884"/>
      <c r="I884"/>
      <c r="J884"/>
      <c r="K884"/>
      <c r="L884"/>
      <c r="M884"/>
    </row>
    <row r="885" spans="1:13" ht="15">
      <c r="A885"/>
      <c r="B885"/>
      <c r="C885"/>
      <c r="D885"/>
      <c r="E885"/>
      <c r="F885"/>
      <c r="G885"/>
      <c r="H885"/>
      <c r="I885"/>
      <c r="J885"/>
      <c r="K885"/>
      <c r="L885"/>
      <c r="M885"/>
    </row>
    <row r="886" spans="1:13" ht="15">
      <c r="A886"/>
      <c r="B886"/>
      <c r="C886"/>
      <c r="D886"/>
      <c r="E886"/>
      <c r="F886"/>
      <c r="G886"/>
      <c r="H886"/>
      <c r="I886"/>
      <c r="J886"/>
      <c r="K886"/>
      <c r="L886"/>
      <c r="M886"/>
    </row>
    <row r="887" spans="1:13" ht="15">
      <c r="A887"/>
      <c r="B887"/>
      <c r="C887"/>
      <c r="D887"/>
      <c r="E887"/>
      <c r="F887"/>
      <c r="G887"/>
      <c r="H887"/>
      <c r="I887"/>
      <c r="J887"/>
      <c r="K887"/>
      <c r="L887"/>
      <c r="M887"/>
    </row>
    <row r="888" spans="1:13" ht="15">
      <c r="A888"/>
      <c r="B888"/>
      <c r="C888"/>
      <c r="D888"/>
      <c r="E888"/>
      <c r="F888"/>
      <c r="G888"/>
      <c r="H888"/>
      <c r="I888"/>
      <c r="J888"/>
      <c r="K888"/>
      <c r="L888"/>
      <c r="M888"/>
    </row>
    <row r="889" spans="1:13" ht="15">
      <c r="A889"/>
      <c r="B889"/>
      <c r="C889"/>
      <c r="D889"/>
      <c r="E889"/>
      <c r="F889"/>
      <c r="G889"/>
      <c r="H889"/>
      <c r="I889"/>
      <c r="J889"/>
      <c r="K889"/>
      <c r="L889"/>
      <c r="M889"/>
    </row>
    <row r="890" spans="1:13" ht="15">
      <c r="A890"/>
      <c r="B890"/>
      <c r="C890"/>
      <c r="D890"/>
      <c r="E890"/>
      <c r="F890"/>
      <c r="G890"/>
      <c r="H890"/>
      <c r="I890"/>
      <c r="J890"/>
      <c r="K890"/>
      <c r="L890"/>
      <c r="M890"/>
    </row>
    <row r="891" spans="1:13" ht="15">
      <c r="A891"/>
      <c r="B891"/>
      <c r="C891"/>
      <c r="D891"/>
      <c r="E891"/>
      <c r="F891"/>
      <c r="G891"/>
      <c r="H891"/>
      <c r="I891"/>
      <c r="J891"/>
      <c r="K891"/>
      <c r="L891"/>
      <c r="M891"/>
    </row>
    <row r="892" spans="1:13" ht="15">
      <c r="A892"/>
      <c r="B892"/>
      <c r="C892"/>
      <c r="D892"/>
      <c r="E892"/>
      <c r="F892"/>
      <c r="G892"/>
      <c r="H892"/>
      <c r="I892"/>
      <c r="J892"/>
      <c r="K892"/>
      <c r="L892"/>
      <c r="M892"/>
    </row>
    <row r="893" spans="1:13" ht="15">
      <c r="A893"/>
      <c r="B893"/>
      <c r="C893"/>
      <c r="D893"/>
      <c r="E893"/>
      <c r="F893"/>
      <c r="G893"/>
      <c r="H893"/>
      <c r="I893"/>
      <c r="J893"/>
      <c r="K893"/>
      <c r="L893"/>
      <c r="M893"/>
    </row>
    <row r="894" spans="1:13" ht="15">
      <c r="A894"/>
      <c r="B894"/>
      <c r="C894"/>
      <c r="D894"/>
      <c r="E894"/>
      <c r="F894"/>
      <c r="G894"/>
      <c r="H894"/>
      <c r="I894"/>
      <c r="J894"/>
      <c r="K894"/>
      <c r="L894"/>
      <c r="M894"/>
    </row>
    <row r="895" spans="1:13" ht="15">
      <c r="A895"/>
      <c r="B895"/>
      <c r="C895"/>
      <c r="D895"/>
      <c r="E895"/>
      <c r="F895"/>
      <c r="G895"/>
      <c r="H895"/>
      <c r="I895"/>
      <c r="J895"/>
      <c r="K895"/>
      <c r="L895"/>
      <c r="M895"/>
    </row>
    <row r="896" spans="1:13" ht="15">
      <c r="A896"/>
      <c r="B896"/>
      <c r="C896"/>
      <c r="D896"/>
      <c r="E896"/>
      <c r="F896"/>
      <c r="G896"/>
      <c r="H896"/>
      <c r="I896"/>
      <c r="J896"/>
      <c r="K896"/>
      <c r="L896"/>
      <c r="M896"/>
    </row>
    <row r="897" spans="1:13" ht="15">
      <c r="A897"/>
      <c r="B897"/>
      <c r="C897"/>
      <c r="D897"/>
      <c r="E897"/>
      <c r="F897"/>
      <c r="G897"/>
      <c r="H897"/>
      <c r="I897"/>
      <c r="J897"/>
      <c r="K897"/>
      <c r="L897"/>
      <c r="M897"/>
    </row>
    <row r="898" spans="1:13" ht="15">
      <c r="A898"/>
      <c r="B898"/>
      <c r="C898"/>
      <c r="D898"/>
      <c r="E898"/>
      <c r="F898"/>
      <c r="G898"/>
      <c r="H898"/>
      <c r="I898"/>
      <c r="J898"/>
      <c r="K898"/>
      <c r="L898"/>
      <c r="M898"/>
    </row>
    <row r="899" spans="1:13" ht="15">
      <c r="A899"/>
      <c r="B899"/>
      <c r="C899"/>
      <c r="D899"/>
      <c r="E899"/>
      <c r="F899"/>
      <c r="G899"/>
      <c r="H899"/>
      <c r="I899"/>
      <c r="J899"/>
      <c r="K899"/>
      <c r="L899"/>
      <c r="M899"/>
    </row>
    <row r="900" spans="1:13" ht="15">
      <c r="A900"/>
      <c r="B900"/>
      <c r="C900"/>
      <c r="D900"/>
      <c r="E900"/>
      <c r="F900"/>
      <c r="G900"/>
      <c r="H900"/>
      <c r="I900"/>
      <c r="J900"/>
      <c r="K900"/>
      <c r="L900"/>
      <c r="M900"/>
    </row>
    <row r="901" spans="1:13" ht="15">
      <c r="A901"/>
      <c r="B901"/>
      <c r="C901"/>
      <c r="D901"/>
      <c r="E901"/>
      <c r="F901"/>
      <c r="G901"/>
      <c r="H901"/>
      <c r="I901"/>
      <c r="J901"/>
      <c r="K901"/>
      <c r="L901"/>
      <c r="M901"/>
    </row>
    <row r="902" spans="1:13" ht="15">
      <c r="A902"/>
      <c r="B902"/>
      <c r="C902"/>
      <c r="D902"/>
      <c r="E902"/>
      <c r="F902"/>
      <c r="G902"/>
      <c r="H902"/>
      <c r="I902"/>
      <c r="J902"/>
      <c r="K902"/>
      <c r="L902"/>
      <c r="M902"/>
    </row>
    <row r="903" spans="1:13" ht="15">
      <c r="A903"/>
      <c r="B903"/>
      <c r="C903"/>
      <c r="D903"/>
      <c r="E903"/>
      <c r="F903"/>
      <c r="G903"/>
      <c r="H903"/>
      <c r="I903"/>
      <c r="J903"/>
      <c r="K903"/>
      <c r="L903"/>
      <c r="M903"/>
    </row>
    <row r="904" spans="1:13" ht="15">
      <c r="A904"/>
      <c r="B904"/>
      <c r="C904"/>
      <c r="D904"/>
      <c r="E904"/>
      <c r="F904"/>
      <c r="G904"/>
      <c r="H904"/>
      <c r="I904"/>
      <c r="J904"/>
      <c r="K904"/>
      <c r="L904"/>
      <c r="M904"/>
    </row>
    <row r="905" spans="1:13" ht="15">
      <c r="A905"/>
      <c r="B905"/>
      <c r="C905"/>
      <c r="D905"/>
      <c r="E905"/>
      <c r="F905"/>
      <c r="G905"/>
      <c r="H905"/>
      <c r="I905"/>
      <c r="J905"/>
      <c r="K905"/>
      <c r="L905"/>
      <c r="M905"/>
    </row>
    <row r="906" spans="1:13" ht="15">
      <c r="A906"/>
      <c r="B906"/>
      <c r="C906"/>
      <c r="D906"/>
      <c r="E906"/>
      <c r="F906"/>
      <c r="G906"/>
      <c r="H906"/>
      <c r="I906"/>
      <c r="J906"/>
      <c r="K906"/>
      <c r="L906"/>
      <c r="M906"/>
    </row>
    <row r="907" spans="1:13" ht="15">
      <c r="A907"/>
      <c r="B907"/>
      <c r="C907"/>
      <c r="D907"/>
      <c r="E907"/>
      <c r="F907"/>
      <c r="G907"/>
      <c r="H907"/>
      <c r="I907"/>
      <c r="J907"/>
      <c r="K907"/>
      <c r="L907"/>
      <c r="M907"/>
    </row>
    <row r="908" spans="1:13" ht="15">
      <c r="A908"/>
      <c r="B908"/>
      <c r="C908"/>
      <c r="D908"/>
      <c r="E908"/>
      <c r="F908"/>
      <c r="G908"/>
      <c r="H908"/>
      <c r="I908"/>
      <c r="J908"/>
      <c r="K908"/>
      <c r="L908"/>
      <c r="M908"/>
    </row>
    <row r="909" spans="1:13" ht="15">
      <c r="A909"/>
      <c r="B909"/>
      <c r="C909"/>
      <c r="D909"/>
      <c r="E909"/>
      <c r="F909"/>
      <c r="G909"/>
      <c r="H909"/>
      <c r="I909"/>
      <c r="J909"/>
      <c r="K909"/>
      <c r="L909"/>
      <c r="M909"/>
    </row>
    <row r="910" spans="1:13" ht="15">
      <c r="A910"/>
      <c r="B910"/>
      <c r="C910"/>
      <c r="D910"/>
      <c r="E910"/>
      <c r="F910"/>
      <c r="G910"/>
      <c r="H910"/>
      <c r="I910"/>
      <c r="J910"/>
      <c r="K910"/>
      <c r="L910"/>
      <c r="M910"/>
    </row>
    <row r="911" spans="1:13" ht="15">
      <c r="A911"/>
      <c r="B911"/>
      <c r="C911"/>
      <c r="D911"/>
      <c r="E911"/>
      <c r="F911"/>
      <c r="G911"/>
      <c r="H911"/>
      <c r="I911"/>
      <c r="J911"/>
      <c r="K911"/>
      <c r="L911"/>
      <c r="M911"/>
    </row>
    <row r="912" spans="1:13" ht="15">
      <c r="A912"/>
      <c r="B912"/>
      <c r="C912"/>
      <c r="D912"/>
      <c r="E912"/>
      <c r="F912"/>
      <c r="G912"/>
      <c r="H912"/>
      <c r="I912"/>
      <c r="J912"/>
      <c r="K912"/>
      <c r="L912"/>
      <c r="M912"/>
    </row>
    <row r="913" spans="1:13" ht="15">
      <c r="A913"/>
      <c r="B913"/>
      <c r="C913"/>
      <c r="D913"/>
      <c r="E913"/>
      <c r="F913"/>
      <c r="G913"/>
      <c r="H913"/>
      <c r="I913"/>
      <c r="J913"/>
      <c r="K913"/>
      <c r="L913"/>
      <c r="M913"/>
    </row>
    <row r="914" spans="1:13" ht="15">
      <c r="A914"/>
      <c r="B914"/>
      <c r="C914"/>
      <c r="D914"/>
      <c r="E914"/>
      <c r="F914"/>
      <c r="G914"/>
      <c r="H914"/>
      <c r="I914"/>
      <c r="J914"/>
      <c r="K914"/>
      <c r="L914"/>
      <c r="M914"/>
    </row>
    <row r="915" spans="1:13" ht="15">
      <c r="A915"/>
      <c r="B915"/>
      <c r="C915"/>
      <c r="D915"/>
      <c r="E915"/>
      <c r="F915"/>
      <c r="G915"/>
      <c r="H915"/>
      <c r="I915"/>
      <c r="J915"/>
      <c r="K915"/>
      <c r="L915"/>
      <c r="M915"/>
    </row>
    <row r="916" spans="1:13" ht="15">
      <c r="A916"/>
      <c r="B916"/>
      <c r="C916"/>
      <c r="D916"/>
      <c r="E916"/>
      <c r="F916"/>
      <c r="G916"/>
      <c r="H916"/>
      <c r="I916"/>
      <c r="J916"/>
      <c r="K916"/>
      <c r="L916"/>
      <c r="M916"/>
    </row>
    <row r="917" spans="1:13" ht="15">
      <c r="A917"/>
      <c r="B917"/>
      <c r="C917"/>
      <c r="D917"/>
      <c r="E917"/>
      <c r="F917"/>
      <c r="G917"/>
      <c r="H917"/>
      <c r="I917"/>
      <c r="J917"/>
      <c r="K917"/>
      <c r="L917"/>
      <c r="M917"/>
    </row>
    <row r="918" spans="1:13" ht="15">
      <c r="A918"/>
      <c r="B918"/>
      <c r="C918"/>
      <c r="D918"/>
      <c r="E918"/>
      <c r="F918"/>
      <c r="G918"/>
      <c r="H918"/>
      <c r="I918"/>
      <c r="J918"/>
      <c r="K918"/>
      <c r="L918"/>
      <c r="M918"/>
    </row>
    <row r="919" spans="1:13" ht="15">
      <c r="A919"/>
      <c r="B919"/>
      <c r="C919"/>
      <c r="D919"/>
      <c r="E919"/>
      <c r="F919"/>
      <c r="G919"/>
      <c r="H919"/>
      <c r="I919"/>
      <c r="J919"/>
      <c r="K919"/>
      <c r="L919"/>
      <c r="M919"/>
    </row>
    <row r="920" spans="1:13" ht="15">
      <c r="A920"/>
      <c r="B920"/>
      <c r="C920"/>
      <c r="D920"/>
      <c r="E920"/>
      <c r="F920"/>
      <c r="G920"/>
      <c r="H920"/>
      <c r="I920"/>
      <c r="J920"/>
      <c r="K920"/>
      <c r="L920"/>
      <c r="M920"/>
    </row>
    <row r="921" spans="1:13" ht="15">
      <c r="A921"/>
      <c r="B921"/>
      <c r="C921"/>
      <c r="D921"/>
      <c r="E921"/>
      <c r="F921"/>
      <c r="G921"/>
      <c r="H921"/>
      <c r="I921"/>
      <c r="J921"/>
      <c r="K921"/>
      <c r="L921"/>
      <c r="M921"/>
    </row>
    <row r="922" spans="1:13" ht="15">
      <c r="A922"/>
      <c r="B922"/>
      <c r="C922"/>
      <c r="D922"/>
      <c r="E922"/>
      <c r="F922"/>
      <c r="G922"/>
      <c r="H922"/>
      <c r="I922"/>
      <c r="J922"/>
      <c r="K922"/>
      <c r="L922"/>
      <c r="M922"/>
    </row>
    <row r="923" spans="1:13" ht="15">
      <c r="A923"/>
      <c r="B923"/>
      <c r="C923"/>
      <c r="D923"/>
      <c r="E923"/>
      <c r="F923"/>
      <c r="G923"/>
      <c r="H923"/>
      <c r="I923"/>
      <c r="J923"/>
      <c r="K923"/>
      <c r="L923"/>
      <c r="M923"/>
    </row>
    <row r="924" spans="1:13" ht="15">
      <c r="A924"/>
      <c r="B924"/>
      <c r="C924"/>
      <c r="D924"/>
      <c r="E924"/>
      <c r="F924"/>
      <c r="G924"/>
      <c r="H924"/>
      <c r="I924"/>
      <c r="J924"/>
      <c r="K924"/>
      <c r="L924"/>
      <c r="M924"/>
    </row>
    <row r="925" spans="1:13" ht="15">
      <c r="A925"/>
      <c r="B925"/>
      <c r="C925"/>
      <c r="D925"/>
      <c r="E925"/>
      <c r="F925"/>
      <c r="G925"/>
      <c r="H925"/>
      <c r="I925"/>
      <c r="J925"/>
      <c r="K925"/>
      <c r="L925"/>
      <c r="M925"/>
    </row>
    <row r="926" spans="1:13" ht="15">
      <c r="A926"/>
      <c r="B926"/>
      <c r="C926"/>
      <c r="D926"/>
      <c r="E926"/>
      <c r="F926"/>
      <c r="G926"/>
      <c r="H926"/>
      <c r="I926"/>
      <c r="J926"/>
      <c r="K926"/>
      <c r="L926"/>
      <c r="M926"/>
    </row>
    <row r="927" spans="1:13" ht="15">
      <c r="A927"/>
      <c r="B927"/>
      <c r="C927"/>
      <c r="D927"/>
      <c r="E927"/>
      <c r="F927"/>
      <c r="G927"/>
      <c r="H927"/>
      <c r="I927"/>
      <c r="J927"/>
      <c r="K927"/>
      <c r="L927"/>
      <c r="M927"/>
    </row>
    <row r="928" spans="1:13" ht="15">
      <c r="A928"/>
      <c r="B928"/>
      <c r="C928"/>
      <c r="D928"/>
      <c r="E928"/>
      <c r="F928"/>
      <c r="G928"/>
      <c r="H928"/>
      <c r="I928"/>
      <c r="J928"/>
      <c r="K928"/>
      <c r="L928"/>
      <c r="M928"/>
    </row>
    <row r="929" spans="1:13" ht="15">
      <c r="A929"/>
      <c r="B929"/>
      <c r="C929"/>
      <c r="D929"/>
      <c r="E929"/>
      <c r="F929"/>
      <c r="G929"/>
      <c r="H929"/>
      <c r="I929"/>
      <c r="J929"/>
      <c r="K929"/>
      <c r="L929"/>
      <c r="M929"/>
    </row>
    <row r="930" spans="1:13" ht="15">
      <c r="A930"/>
      <c r="B930"/>
      <c r="C930"/>
      <c r="D930"/>
      <c r="E930"/>
      <c r="F930"/>
      <c r="G930"/>
      <c r="H930"/>
      <c r="I930"/>
      <c r="J930"/>
      <c r="K930"/>
      <c r="L930"/>
      <c r="M930"/>
    </row>
    <row r="931" spans="1:13" ht="15">
      <c r="A931"/>
      <c r="B931"/>
      <c r="C931"/>
      <c r="D931"/>
      <c r="E931"/>
      <c r="F931"/>
      <c r="G931"/>
      <c r="H931"/>
      <c r="I931"/>
      <c r="J931"/>
      <c r="K931"/>
      <c r="L931"/>
      <c r="M931"/>
    </row>
    <row r="932" spans="1:13" ht="15">
      <c r="A932"/>
      <c r="B932"/>
      <c r="C932"/>
      <c r="D932"/>
      <c r="E932"/>
      <c r="F932"/>
      <c r="G932"/>
      <c r="H932"/>
      <c r="I932"/>
      <c r="J932"/>
      <c r="K932"/>
      <c r="L932"/>
      <c r="M932"/>
    </row>
    <row r="933" spans="1:13" ht="15">
      <c r="A933"/>
      <c r="B933"/>
      <c r="C933"/>
      <c r="D933"/>
      <c r="E933"/>
      <c r="F933"/>
      <c r="G933"/>
      <c r="H933"/>
      <c r="I933"/>
      <c r="J933"/>
      <c r="K933"/>
      <c r="L933"/>
      <c r="M933"/>
    </row>
    <row r="934" spans="1:13" ht="15">
      <c r="A934"/>
      <c r="B934"/>
      <c r="C934"/>
      <c r="D934"/>
      <c r="E934"/>
      <c r="F934"/>
      <c r="G934"/>
      <c r="H934"/>
      <c r="I934"/>
      <c r="J934"/>
      <c r="K934"/>
      <c r="L934"/>
      <c r="M934"/>
    </row>
    <row r="935" spans="1:13" ht="15">
      <c r="A935"/>
      <c r="B935"/>
      <c r="C935"/>
      <c r="D935"/>
      <c r="E935"/>
      <c r="F935"/>
      <c r="G935"/>
      <c r="H935"/>
      <c r="I935"/>
      <c r="J935"/>
      <c r="K935"/>
      <c r="L935"/>
      <c r="M935"/>
    </row>
    <row r="936" spans="1:13" ht="15">
      <c r="A936"/>
      <c r="B936"/>
      <c r="C936"/>
      <c r="D936"/>
      <c r="E936"/>
      <c r="F936"/>
      <c r="G936"/>
      <c r="H936"/>
      <c r="I936"/>
      <c r="J936"/>
      <c r="K936"/>
      <c r="L936"/>
      <c r="M936"/>
    </row>
    <row r="937" spans="1:13" ht="15">
      <c r="A937"/>
      <c r="B937"/>
      <c r="C937"/>
      <c r="D937"/>
      <c r="E937"/>
      <c r="F937"/>
      <c r="G937"/>
      <c r="H937"/>
      <c r="I937"/>
      <c r="J937"/>
      <c r="K937"/>
      <c r="L937"/>
      <c r="M937"/>
    </row>
    <row r="938" spans="1:13" ht="15">
      <c r="A938"/>
      <c r="B938"/>
      <c r="C938"/>
      <c r="D938"/>
      <c r="E938"/>
      <c r="F938"/>
      <c r="G938"/>
      <c r="H938"/>
      <c r="I938"/>
      <c r="J938"/>
      <c r="K938"/>
      <c r="L938"/>
      <c r="M938"/>
    </row>
    <row r="939" spans="1:13" ht="15">
      <c r="A939"/>
      <c r="B939"/>
      <c r="C939"/>
      <c r="D939"/>
      <c r="E939"/>
      <c r="F939"/>
      <c r="G939"/>
      <c r="H939"/>
      <c r="I939"/>
      <c r="J939"/>
      <c r="K939"/>
      <c r="L939"/>
      <c r="M939"/>
    </row>
    <row r="940" spans="1:13" ht="15">
      <c r="A940"/>
      <c r="B940"/>
      <c r="C940"/>
      <c r="D940"/>
      <c r="E940"/>
      <c r="F940"/>
      <c r="G940"/>
      <c r="H940"/>
      <c r="I940"/>
      <c r="J940"/>
      <c r="K940"/>
      <c r="L940"/>
      <c r="M940"/>
    </row>
    <row r="941" spans="1:13" ht="15">
      <c r="A941"/>
      <c r="B941"/>
      <c r="C941"/>
      <c r="D941"/>
      <c r="E941"/>
      <c r="F941"/>
      <c r="G941"/>
      <c r="H941"/>
      <c r="I941"/>
      <c r="J941"/>
      <c r="K941"/>
      <c r="L941"/>
      <c r="M941"/>
    </row>
    <row r="942" spans="1:13" ht="15">
      <c r="A942"/>
      <c r="B942"/>
      <c r="C942"/>
      <c r="D942"/>
      <c r="E942"/>
      <c r="F942"/>
      <c r="G942"/>
      <c r="H942"/>
      <c r="I942"/>
      <c r="J942"/>
      <c r="K942"/>
      <c r="L942"/>
      <c r="M942"/>
    </row>
    <row r="943" spans="1:13" ht="15">
      <c r="A943"/>
      <c r="B943"/>
      <c r="C943"/>
      <c r="D943"/>
      <c r="E943"/>
      <c r="F943"/>
      <c r="G943"/>
      <c r="H943"/>
      <c r="I943"/>
      <c r="J943"/>
      <c r="K943"/>
      <c r="L943"/>
      <c r="M943"/>
    </row>
    <row r="944" spans="1:13" ht="15">
      <c r="A944"/>
      <c r="B944"/>
      <c r="C944"/>
      <c r="D944"/>
      <c r="E944"/>
      <c r="F944"/>
      <c r="G944"/>
      <c r="H944"/>
      <c r="I944"/>
      <c r="J944"/>
      <c r="K944"/>
      <c r="L944"/>
      <c r="M944"/>
    </row>
    <row r="945" spans="1:13" ht="15">
      <c r="A945"/>
      <c r="B945"/>
      <c r="C945"/>
      <c r="D945"/>
      <c r="E945"/>
      <c r="F945"/>
      <c r="G945"/>
      <c r="H945"/>
      <c r="I945"/>
      <c r="J945"/>
      <c r="K945"/>
      <c r="L945"/>
      <c r="M945"/>
    </row>
    <row r="946" spans="1:13" ht="15">
      <c r="A946"/>
      <c r="B946"/>
      <c r="C946"/>
      <c r="D946"/>
      <c r="E946"/>
      <c r="F946"/>
      <c r="G946"/>
      <c r="H946"/>
      <c r="I946"/>
      <c r="J946"/>
      <c r="K946"/>
      <c r="L946"/>
      <c r="M946"/>
    </row>
    <row r="947" spans="1:13" ht="15">
      <c r="A947"/>
      <c r="B947"/>
      <c r="C947"/>
      <c r="D947"/>
      <c r="E947"/>
      <c r="F947"/>
      <c r="G947"/>
      <c r="H947"/>
      <c r="I947"/>
      <c r="J947"/>
      <c r="K947"/>
      <c r="L947"/>
      <c r="M947"/>
    </row>
    <row r="948" spans="1:13" ht="15">
      <c r="A948"/>
      <c r="B948"/>
      <c r="C948"/>
      <c r="D948"/>
      <c r="E948"/>
      <c r="F948"/>
      <c r="G948"/>
      <c r="H948"/>
      <c r="I948"/>
      <c r="J948"/>
      <c r="K948"/>
      <c r="L948"/>
      <c r="M948"/>
    </row>
    <row r="949" spans="1:13" ht="15">
      <c r="A949"/>
      <c r="B949"/>
      <c r="C949"/>
      <c r="D949"/>
      <c r="E949"/>
      <c r="F949"/>
      <c r="G949"/>
      <c r="H949"/>
      <c r="I949"/>
      <c r="J949"/>
      <c r="K949"/>
      <c r="L949"/>
      <c r="M949"/>
    </row>
    <row r="950" spans="1:13" ht="15">
      <c r="A950"/>
      <c r="B950"/>
      <c r="C950"/>
      <c r="D950"/>
      <c r="E950"/>
      <c r="F950"/>
      <c r="G950"/>
      <c r="H950"/>
      <c r="I950"/>
      <c r="J950"/>
      <c r="K950"/>
      <c r="L950"/>
      <c r="M950"/>
    </row>
    <row r="951" spans="1:13" ht="15">
      <c r="A951"/>
      <c r="B951"/>
      <c r="C951"/>
      <c r="D951"/>
      <c r="E951"/>
      <c r="F951"/>
      <c r="G951"/>
      <c r="H951"/>
      <c r="I951"/>
      <c r="J951"/>
      <c r="K951"/>
      <c r="L951"/>
      <c r="M951"/>
    </row>
    <row r="952" spans="1:13" ht="15">
      <c r="A952"/>
      <c r="B952"/>
      <c r="C952"/>
      <c r="D952"/>
      <c r="E952"/>
      <c r="F952"/>
      <c r="G952"/>
      <c r="H952"/>
      <c r="I952"/>
      <c r="J952"/>
      <c r="K952"/>
      <c r="L952"/>
      <c r="M952"/>
    </row>
    <row r="953" spans="1:13" ht="15">
      <c r="A953"/>
      <c r="B953"/>
      <c r="C953"/>
      <c r="D953"/>
      <c r="E953"/>
      <c r="F953"/>
      <c r="G953"/>
      <c r="H953"/>
      <c r="I953"/>
      <c r="J953"/>
      <c r="K953"/>
      <c r="L953"/>
      <c r="M953"/>
    </row>
    <row r="954" spans="1:13" ht="15">
      <c r="A954"/>
      <c r="B954"/>
      <c r="C954"/>
      <c r="D954"/>
      <c r="E954"/>
      <c r="F954"/>
      <c r="G954"/>
      <c r="H954"/>
      <c r="I954"/>
      <c r="J954"/>
      <c r="K954"/>
      <c r="L954"/>
      <c r="M954"/>
    </row>
    <row r="955" spans="1:13" ht="15">
      <c r="A955"/>
      <c r="B955"/>
      <c r="C955"/>
      <c r="D955"/>
      <c r="E955"/>
      <c r="F955"/>
      <c r="G955"/>
      <c r="H955"/>
      <c r="I955"/>
      <c r="J955"/>
      <c r="K955"/>
      <c r="L955"/>
      <c r="M955"/>
    </row>
    <row r="956" spans="1:13" ht="15">
      <c r="A956"/>
      <c r="B956"/>
      <c r="C956"/>
      <c r="D956"/>
      <c r="E956"/>
      <c r="F956"/>
      <c r="G956"/>
      <c r="H956"/>
      <c r="I956"/>
      <c r="J956"/>
      <c r="K956"/>
      <c r="L956"/>
      <c r="M956"/>
    </row>
    <row r="957" spans="1:13" ht="15">
      <c r="A957"/>
      <c r="B957"/>
      <c r="C957"/>
      <c r="D957"/>
      <c r="E957"/>
      <c r="F957"/>
      <c r="G957"/>
      <c r="H957"/>
      <c r="I957"/>
      <c r="J957"/>
      <c r="K957"/>
      <c r="L957"/>
      <c r="M957"/>
    </row>
    <row r="958" spans="1:13" ht="15">
      <c r="A958"/>
      <c r="B958"/>
      <c r="C958"/>
      <c r="D958"/>
      <c r="E958"/>
      <c r="F958"/>
      <c r="G958"/>
      <c r="H958"/>
      <c r="I958"/>
      <c r="J958"/>
      <c r="K958"/>
      <c r="L958"/>
      <c r="M958"/>
    </row>
    <row r="959" spans="1:13" ht="15">
      <c r="A959"/>
      <c r="B959"/>
      <c r="C959"/>
      <c r="D959"/>
      <c r="E959"/>
      <c r="F959"/>
      <c r="G959"/>
      <c r="H959"/>
      <c r="I959"/>
      <c r="J959"/>
      <c r="K959"/>
      <c r="L959"/>
      <c r="M959"/>
    </row>
    <row r="960" spans="1:13" ht="15">
      <c r="A960"/>
      <c r="B960"/>
      <c r="C960"/>
      <c r="D960"/>
      <c r="E960"/>
      <c r="F960"/>
      <c r="G960"/>
      <c r="H960"/>
      <c r="I960"/>
      <c r="J960"/>
      <c r="K960"/>
      <c r="L960"/>
      <c r="M960"/>
    </row>
    <row r="961" spans="1:13" ht="15">
      <c r="A961"/>
      <c r="B961"/>
      <c r="C961"/>
      <c r="D961"/>
      <c r="E961"/>
      <c r="F961"/>
      <c r="G961"/>
      <c r="H961"/>
      <c r="I961"/>
      <c r="J961"/>
      <c r="K961"/>
      <c r="L961"/>
      <c r="M961"/>
    </row>
    <row r="962" spans="1:13" ht="15">
      <c r="A962"/>
      <c r="B962"/>
      <c r="C962"/>
      <c r="D962"/>
      <c r="E962"/>
      <c r="F962"/>
      <c r="G962"/>
      <c r="H962"/>
      <c r="I962"/>
      <c r="J962"/>
      <c r="K962"/>
      <c r="L962"/>
      <c r="M962"/>
    </row>
    <row r="963" spans="1:13" ht="15">
      <c r="A963"/>
      <c r="B963"/>
      <c r="C963"/>
      <c r="D963"/>
      <c r="E963"/>
      <c r="F963"/>
      <c r="G963"/>
      <c r="H963"/>
      <c r="I963"/>
      <c r="J963"/>
      <c r="K963"/>
      <c r="L963"/>
      <c r="M963"/>
    </row>
    <row r="964" spans="1:13" ht="15">
      <c r="A964"/>
      <c r="B964"/>
      <c r="C964"/>
      <c r="D964"/>
      <c r="E964"/>
      <c r="F964"/>
      <c r="G964"/>
      <c r="H964"/>
      <c r="I964"/>
      <c r="J964"/>
      <c r="K964"/>
      <c r="L964"/>
      <c r="M964"/>
    </row>
    <row r="965" spans="1:13" ht="15">
      <c r="A965"/>
      <c r="B965"/>
      <c r="C965"/>
      <c r="D965"/>
      <c r="E965"/>
      <c r="F965"/>
      <c r="G965"/>
      <c r="H965"/>
      <c r="I965"/>
      <c r="J965"/>
      <c r="K965"/>
      <c r="L965"/>
      <c r="M965"/>
    </row>
    <row r="966" spans="1:13" ht="15">
      <c r="A966"/>
      <c r="B966"/>
      <c r="C966"/>
      <c r="D966"/>
      <c r="E966"/>
      <c r="F966"/>
      <c r="G966"/>
      <c r="H966"/>
      <c r="I966"/>
      <c r="J966"/>
      <c r="K966"/>
      <c r="L966"/>
      <c r="M966"/>
    </row>
    <row r="967" spans="1:13" ht="15">
      <c r="A967"/>
      <c r="B967"/>
      <c r="C967"/>
      <c r="D967"/>
      <c r="E967"/>
      <c r="F967"/>
      <c r="G967"/>
      <c r="H967"/>
      <c r="I967"/>
      <c r="J967"/>
      <c r="K967"/>
      <c r="L967"/>
      <c r="M967"/>
    </row>
    <row r="968" spans="1:13" ht="15">
      <c r="A968"/>
      <c r="B968"/>
      <c r="C968"/>
      <c r="D968"/>
      <c r="E968"/>
      <c r="F968"/>
      <c r="G968"/>
      <c r="H968"/>
      <c r="I968"/>
      <c r="J968"/>
      <c r="K968"/>
      <c r="L968"/>
      <c r="M968"/>
    </row>
    <row r="969" spans="1:13" ht="15">
      <c r="A969"/>
      <c r="B969"/>
      <c r="C969"/>
      <c r="D969"/>
      <c r="E969"/>
      <c r="F969"/>
      <c r="G969"/>
      <c r="H969"/>
      <c r="I969"/>
      <c r="J969"/>
      <c r="K969"/>
      <c r="L969"/>
      <c r="M969"/>
    </row>
    <row r="970" spans="1:13" ht="15">
      <c r="A970"/>
      <c r="B970"/>
      <c r="C970"/>
      <c r="D970"/>
      <c r="E970"/>
      <c r="F970"/>
      <c r="G970"/>
      <c r="H970"/>
      <c r="I970"/>
      <c r="J970"/>
      <c r="K970"/>
      <c r="L970"/>
      <c r="M970"/>
    </row>
    <row r="971" spans="1:13" ht="15">
      <c r="A971"/>
      <c r="B971"/>
      <c r="C971"/>
      <c r="D971"/>
      <c r="E971"/>
      <c r="F971"/>
      <c r="G971"/>
      <c r="H971"/>
      <c r="I971"/>
      <c r="J971"/>
      <c r="K971"/>
      <c r="L971"/>
      <c r="M971"/>
    </row>
    <row r="972" spans="1:13" ht="15">
      <c r="A972"/>
      <c r="B972"/>
      <c r="C972"/>
      <c r="D972"/>
      <c r="E972"/>
      <c r="F972"/>
      <c r="G972"/>
      <c r="H972"/>
      <c r="I972"/>
      <c r="J972"/>
      <c r="K972"/>
      <c r="L972"/>
      <c r="M972"/>
    </row>
    <row r="973" spans="1:13" ht="15">
      <c r="A973"/>
      <c r="B973"/>
      <c r="C973"/>
      <c r="D973"/>
      <c r="E973"/>
      <c r="F973"/>
      <c r="G973"/>
      <c r="H973"/>
      <c r="I973"/>
      <c r="J973"/>
      <c r="K973"/>
      <c r="L973"/>
      <c r="M973"/>
    </row>
    <row r="974" spans="1:13" ht="15">
      <c r="A974"/>
      <c r="B974"/>
      <c r="C974"/>
      <c r="D974"/>
      <c r="E974"/>
      <c r="F974"/>
      <c r="G974"/>
      <c r="H974"/>
      <c r="I974"/>
      <c r="J974"/>
      <c r="K974"/>
      <c r="L974"/>
      <c r="M974"/>
    </row>
    <row r="975" spans="1:13" ht="15">
      <c r="A975"/>
      <c r="B975"/>
      <c r="C975"/>
      <c r="D975"/>
      <c r="E975"/>
      <c r="F975"/>
      <c r="G975"/>
      <c r="H975"/>
      <c r="I975"/>
      <c r="J975"/>
      <c r="K975"/>
      <c r="L975"/>
      <c r="M975"/>
    </row>
    <row r="976" spans="1:13" ht="15">
      <c r="A976"/>
      <c r="B976"/>
      <c r="C976"/>
      <c r="D976"/>
      <c r="E976"/>
      <c r="F976"/>
      <c r="G976"/>
      <c r="H976"/>
      <c r="I976"/>
      <c r="J976"/>
      <c r="K976"/>
      <c r="L976"/>
      <c r="M976"/>
    </row>
    <row r="977" spans="1:13" ht="15">
      <c r="A977"/>
      <c r="B977"/>
      <c r="C977"/>
      <c r="D977"/>
      <c r="E977"/>
      <c r="F977"/>
      <c r="G977"/>
      <c r="H977"/>
      <c r="I977"/>
      <c r="J977"/>
      <c r="K977"/>
      <c r="L977"/>
      <c r="M977"/>
    </row>
    <row r="978" spans="1:13" ht="15">
      <c r="A978"/>
      <c r="B978"/>
      <c r="C978"/>
      <c r="D978"/>
      <c r="E978"/>
      <c r="F978"/>
      <c r="G978"/>
      <c r="H978"/>
      <c r="I978"/>
      <c r="J978"/>
      <c r="K978"/>
      <c r="L978"/>
      <c r="M978"/>
    </row>
    <row r="979" spans="1:13" ht="15">
      <c r="A979"/>
      <c r="B979"/>
      <c r="C979"/>
      <c r="D979"/>
      <c r="E979"/>
      <c r="F979"/>
      <c r="G979"/>
      <c r="H979"/>
      <c r="I979"/>
      <c r="J979"/>
      <c r="K979"/>
      <c r="L979"/>
      <c r="M979"/>
    </row>
    <row r="980" spans="1:13" ht="15">
      <c r="A980"/>
      <c r="B980"/>
      <c r="C980"/>
      <c r="D980"/>
      <c r="E980"/>
      <c r="F980"/>
      <c r="G980"/>
      <c r="H980"/>
      <c r="I980"/>
      <c r="J980"/>
      <c r="K980"/>
      <c r="L980"/>
      <c r="M980"/>
    </row>
    <row r="981" spans="1:13" ht="15">
      <c r="A981"/>
      <c r="B981"/>
      <c r="C981"/>
      <c r="D981"/>
      <c r="E981"/>
      <c r="F981"/>
      <c r="G981"/>
      <c r="H981"/>
      <c r="I981"/>
      <c r="J981"/>
      <c r="K981"/>
      <c r="L981"/>
      <c r="M981"/>
    </row>
    <row r="982" spans="1:13" ht="15">
      <c r="A982"/>
      <c r="B982"/>
      <c r="C982"/>
      <c r="D982"/>
      <c r="E982"/>
      <c r="F982"/>
      <c r="G982"/>
      <c r="H982"/>
      <c r="I982"/>
      <c r="J982"/>
      <c r="K982"/>
      <c r="L982"/>
      <c r="M982"/>
    </row>
    <row r="983" spans="1:13" ht="15">
      <c r="A983"/>
      <c r="B983"/>
      <c r="C983"/>
      <c r="D983"/>
      <c r="E983"/>
      <c r="F983"/>
      <c r="G983"/>
      <c r="H983"/>
      <c r="I983"/>
      <c r="J983"/>
      <c r="K983"/>
      <c r="L983"/>
      <c r="M983"/>
    </row>
    <row r="984" spans="1:13" ht="15">
      <c r="A984"/>
      <c r="B984"/>
      <c r="C984"/>
      <c r="D984"/>
      <c r="E984"/>
      <c r="F984"/>
      <c r="G984"/>
      <c r="H984"/>
      <c r="I984"/>
      <c r="J984"/>
      <c r="K984"/>
      <c r="L984"/>
      <c r="M984"/>
    </row>
    <row r="985" spans="1:13" ht="15">
      <c r="A985"/>
      <c r="B985"/>
      <c r="C985"/>
      <c r="D985"/>
      <c r="E985"/>
      <c r="F985"/>
      <c r="G985"/>
      <c r="H985"/>
      <c r="I985"/>
      <c r="J985"/>
      <c r="K985"/>
      <c r="L985"/>
      <c r="M985"/>
    </row>
    <row r="986" spans="1:13" ht="15">
      <c r="A986"/>
      <c r="B986"/>
      <c r="C986"/>
      <c r="D986"/>
      <c r="E986"/>
      <c r="F986"/>
      <c r="G986"/>
      <c r="H986"/>
      <c r="I986"/>
      <c r="J986"/>
      <c r="K986"/>
      <c r="L986"/>
      <c r="M986"/>
    </row>
    <row r="987" spans="1:13" ht="15">
      <c r="A987"/>
      <c r="B987"/>
      <c r="C987"/>
      <c r="D987"/>
      <c r="E987"/>
      <c r="F987"/>
      <c r="G987"/>
      <c r="H987"/>
      <c r="I987"/>
      <c r="J987"/>
      <c r="K987"/>
      <c r="L987"/>
      <c r="M987"/>
    </row>
    <row r="988" spans="1:13" ht="15">
      <c r="A988"/>
      <c r="B988"/>
      <c r="C988"/>
      <c r="D988"/>
      <c r="E988"/>
      <c r="F988"/>
      <c r="G988"/>
      <c r="H988"/>
      <c r="I988"/>
      <c r="J988"/>
      <c r="K988"/>
      <c r="L988"/>
      <c r="M988"/>
    </row>
    <row r="989" spans="1:13" ht="15">
      <c r="A989"/>
      <c r="B989"/>
      <c r="C989"/>
      <c r="D989"/>
      <c r="E989"/>
      <c r="F989"/>
      <c r="G989"/>
      <c r="H989"/>
      <c r="I989"/>
      <c r="J989"/>
      <c r="K989"/>
      <c r="L989"/>
      <c r="M989"/>
    </row>
    <row r="990" spans="1:13" ht="15">
      <c r="A990"/>
      <c r="B990"/>
      <c r="C990"/>
      <c r="D990"/>
      <c r="E990"/>
      <c r="F990"/>
      <c r="G990"/>
      <c r="H990"/>
      <c r="I990"/>
      <c r="J990"/>
      <c r="K990"/>
      <c r="L990"/>
      <c r="M990"/>
    </row>
    <row r="991" spans="1:13" ht="15">
      <c r="A991"/>
      <c r="B991"/>
      <c r="C991"/>
      <c r="D991"/>
      <c r="E991"/>
      <c r="F991"/>
      <c r="G991"/>
      <c r="H991"/>
      <c r="I991"/>
      <c r="J991"/>
      <c r="K991"/>
      <c r="L991"/>
      <c r="M991"/>
    </row>
    <row r="992" spans="1:13" ht="15">
      <c r="A992"/>
      <c r="B992"/>
      <c r="C992"/>
      <c r="D992"/>
      <c r="E992"/>
      <c r="F992"/>
      <c r="G992"/>
      <c r="H992"/>
      <c r="I992"/>
      <c r="J992"/>
      <c r="K992"/>
      <c r="L992"/>
      <c r="M992"/>
    </row>
    <row r="993" spans="1:13" ht="15">
      <c r="A993"/>
      <c r="B993"/>
      <c r="C993"/>
      <c r="D993"/>
      <c r="E993"/>
      <c r="F993"/>
      <c r="G993"/>
      <c r="H993"/>
      <c r="I993"/>
      <c r="J993"/>
      <c r="K993"/>
      <c r="L993"/>
      <c r="M993"/>
    </row>
    <row r="994" spans="1:13" ht="15">
      <c r="A994"/>
      <c r="B994"/>
      <c r="C994"/>
      <c r="D994"/>
      <c r="E994"/>
      <c r="F994"/>
      <c r="G994"/>
      <c r="H994"/>
      <c r="I994"/>
      <c r="J994"/>
      <c r="K994"/>
      <c r="L994"/>
      <c r="M994"/>
    </row>
    <row r="995" spans="1:13" ht="15">
      <c r="A995"/>
      <c r="B995"/>
      <c r="C995"/>
      <c r="D995"/>
      <c r="E995"/>
      <c r="F995"/>
      <c r="G995"/>
      <c r="H995"/>
      <c r="I995"/>
      <c r="J995"/>
      <c r="K995"/>
      <c r="L995"/>
      <c r="M995"/>
    </row>
    <row r="996" spans="1:13" ht="15">
      <c r="A996"/>
      <c r="B996"/>
      <c r="C996"/>
      <c r="D996"/>
      <c r="E996"/>
      <c r="F996"/>
      <c r="G996"/>
      <c r="H996"/>
      <c r="I996"/>
      <c r="J996"/>
      <c r="K996"/>
      <c r="L996"/>
      <c r="M996"/>
    </row>
    <row r="997" spans="1:13" ht="15">
      <c r="A997"/>
      <c r="B997"/>
      <c r="C997"/>
      <c r="D997"/>
      <c r="E997"/>
      <c r="F997"/>
      <c r="G997"/>
      <c r="H997"/>
      <c r="I997"/>
      <c r="J997"/>
      <c r="K997"/>
      <c r="L997"/>
      <c r="M997"/>
    </row>
    <row r="998" spans="1:13" ht="15">
      <c r="A998"/>
      <c r="B998"/>
      <c r="C998"/>
      <c r="D998"/>
      <c r="E998"/>
      <c r="F998"/>
      <c r="G998"/>
      <c r="H998"/>
      <c r="I998"/>
      <c r="J998"/>
      <c r="K998"/>
      <c r="L998"/>
      <c r="M998"/>
    </row>
    <row r="999" spans="1:13" ht="15">
      <c r="A999"/>
      <c r="B999"/>
      <c r="C999"/>
      <c r="D999"/>
      <c r="E999"/>
      <c r="F999"/>
      <c r="G999"/>
      <c r="H999"/>
      <c r="I999"/>
      <c r="J999"/>
      <c r="K999"/>
      <c r="L999"/>
      <c r="M999"/>
    </row>
    <row r="1000" spans="1:13" ht="15">
      <c r="A1000"/>
      <c r="B1000"/>
      <c r="C1000"/>
      <c r="D1000"/>
      <c r="E1000"/>
      <c r="F1000"/>
      <c r="G1000"/>
      <c r="H1000"/>
      <c r="I1000"/>
      <c r="J1000"/>
      <c r="K1000"/>
      <c r="L1000"/>
      <c r="M1000"/>
    </row>
    <row r="1001" spans="1:13" ht="15">
      <c r="A1001"/>
      <c r="B1001"/>
      <c r="C1001"/>
      <c r="D1001"/>
      <c r="E1001"/>
      <c r="F1001"/>
      <c r="G1001"/>
      <c r="H1001"/>
      <c r="I1001"/>
      <c r="J1001"/>
      <c r="K1001"/>
      <c r="L1001"/>
      <c r="M1001"/>
    </row>
    <row r="1002" spans="1:13" ht="15">
      <c r="A1002"/>
      <c r="B1002"/>
      <c r="C1002"/>
      <c r="D1002"/>
      <c r="E1002"/>
      <c r="F1002"/>
      <c r="G1002"/>
      <c r="H1002"/>
      <c r="I1002"/>
      <c r="J1002"/>
      <c r="K1002"/>
      <c r="L1002"/>
      <c r="M1002"/>
    </row>
    <row r="1003" spans="1:13" ht="15">
      <c r="A1003"/>
      <c r="B1003"/>
      <c r="C1003"/>
      <c r="D1003"/>
      <c r="E1003"/>
      <c r="F1003"/>
      <c r="G1003"/>
      <c r="H1003"/>
      <c r="I1003"/>
      <c r="J1003"/>
      <c r="K1003"/>
      <c r="L1003"/>
      <c r="M1003"/>
    </row>
    <row r="1004" spans="1:13" ht="15">
      <c r="A1004"/>
      <c r="B1004"/>
      <c r="C1004"/>
      <c r="D1004"/>
      <c r="E1004"/>
      <c r="F1004"/>
      <c r="G1004"/>
      <c r="H1004"/>
      <c r="I1004"/>
      <c r="J1004"/>
      <c r="K1004"/>
      <c r="L1004"/>
      <c r="M1004"/>
    </row>
    <row r="1005" spans="1:13" ht="15">
      <c r="A1005"/>
      <c r="B1005"/>
      <c r="C1005"/>
      <c r="D1005"/>
      <c r="E1005"/>
      <c r="F1005"/>
      <c r="G1005"/>
      <c r="H1005"/>
      <c r="I1005"/>
      <c r="J1005"/>
      <c r="K1005"/>
      <c r="L1005"/>
      <c r="M1005"/>
    </row>
    <row r="1006" spans="1:13" ht="15">
      <c r="A1006"/>
      <c r="B1006"/>
      <c r="C1006"/>
      <c r="D1006"/>
      <c r="E1006"/>
      <c r="F1006"/>
      <c r="G1006"/>
      <c r="H1006"/>
      <c r="I1006"/>
      <c r="J1006"/>
      <c r="K1006"/>
      <c r="L1006"/>
      <c r="M1006"/>
    </row>
    <row r="1007" spans="1:13" ht="15">
      <c r="A1007"/>
      <c r="B1007"/>
      <c r="C1007"/>
      <c r="D1007"/>
      <c r="E1007"/>
      <c r="F1007"/>
      <c r="G1007"/>
      <c r="H1007"/>
      <c r="I1007"/>
      <c r="J1007"/>
      <c r="K1007"/>
      <c r="L1007"/>
      <c r="M1007"/>
    </row>
    <row r="1008" spans="1:13" ht="15">
      <c r="A1008"/>
      <c r="B1008"/>
      <c r="C1008"/>
      <c r="D1008"/>
      <c r="E1008"/>
      <c r="F1008"/>
      <c r="G1008"/>
      <c r="H1008"/>
      <c r="I1008"/>
      <c r="J1008"/>
      <c r="K1008"/>
      <c r="L1008"/>
      <c r="M1008"/>
    </row>
    <row r="1009" spans="1:13" ht="15">
      <c r="A1009"/>
      <c r="B1009"/>
      <c r="C1009"/>
      <c r="D1009"/>
      <c r="E1009"/>
      <c r="F1009"/>
      <c r="G1009"/>
      <c r="H1009"/>
      <c r="I1009"/>
      <c r="J1009"/>
      <c r="K1009"/>
      <c r="L1009"/>
      <c r="M1009"/>
    </row>
    <row r="1010" spans="1:13" ht="15">
      <c r="A1010"/>
      <c r="B1010"/>
      <c r="C1010"/>
      <c r="D1010"/>
      <c r="E1010"/>
      <c r="F1010"/>
      <c r="G1010"/>
      <c r="H1010"/>
      <c r="I1010"/>
      <c r="J1010"/>
      <c r="K1010"/>
      <c r="L1010"/>
      <c r="M1010"/>
    </row>
    <row r="1011" spans="1:13" ht="15">
      <c r="A1011"/>
      <c r="B1011"/>
      <c r="C1011"/>
      <c r="D1011"/>
      <c r="E1011"/>
      <c r="F1011"/>
      <c r="G1011"/>
      <c r="H1011"/>
      <c r="I1011"/>
      <c r="J1011"/>
      <c r="K1011"/>
      <c r="L1011"/>
      <c r="M1011"/>
    </row>
    <row r="1012" spans="1:13" ht="15">
      <c r="A1012"/>
      <c r="B1012"/>
      <c r="C1012"/>
      <c r="D1012"/>
      <c r="E1012"/>
      <c r="F1012"/>
      <c r="G1012"/>
      <c r="H1012"/>
      <c r="I1012"/>
      <c r="J1012"/>
      <c r="K1012"/>
      <c r="L1012"/>
      <c r="M1012"/>
    </row>
    <row r="1013" spans="1:13" ht="15">
      <c r="A1013"/>
      <c r="B1013"/>
      <c r="C1013"/>
      <c r="D1013"/>
      <c r="E1013"/>
      <c r="F1013"/>
      <c r="G1013"/>
      <c r="H1013"/>
      <c r="I1013"/>
      <c r="J1013"/>
      <c r="K1013"/>
      <c r="L1013"/>
      <c r="M1013"/>
    </row>
    <row r="1014" spans="1:13" ht="15">
      <c r="A1014"/>
      <c r="B1014"/>
      <c r="C1014"/>
      <c r="D1014"/>
      <c r="E1014"/>
      <c r="F1014"/>
      <c r="G1014"/>
      <c r="H1014"/>
      <c r="I1014"/>
      <c r="J1014"/>
      <c r="K1014"/>
      <c r="L1014"/>
      <c r="M1014"/>
    </row>
    <row r="1015" spans="1:13" ht="15">
      <c r="A1015"/>
      <c r="B1015"/>
      <c r="C1015"/>
      <c r="D1015"/>
      <c r="E1015"/>
      <c r="F1015"/>
      <c r="G1015"/>
      <c r="H1015"/>
      <c r="I1015"/>
      <c r="J1015"/>
      <c r="K1015"/>
      <c r="L1015"/>
      <c r="M1015"/>
    </row>
    <row r="1016" spans="1:13" ht="15">
      <c r="A1016"/>
      <c r="B1016"/>
      <c r="C1016"/>
      <c r="D1016"/>
      <c r="E1016"/>
      <c r="F1016"/>
      <c r="G1016"/>
      <c r="H1016"/>
      <c r="I1016"/>
      <c r="J1016"/>
      <c r="K1016"/>
      <c r="L1016"/>
      <c r="M1016"/>
    </row>
    <row r="1017" spans="1:13" ht="15">
      <c r="A1017"/>
      <c r="B1017"/>
      <c r="C1017"/>
      <c r="D1017"/>
      <c r="E1017"/>
      <c r="F1017"/>
      <c r="G1017"/>
      <c r="H1017"/>
      <c r="I1017"/>
      <c r="J1017"/>
      <c r="K1017"/>
      <c r="L1017"/>
      <c r="M1017"/>
    </row>
    <row r="1018" spans="1:13" ht="15">
      <c r="A1018"/>
      <c r="B1018"/>
      <c r="C1018"/>
      <c r="D1018"/>
      <c r="E1018"/>
      <c r="F1018"/>
      <c r="G1018"/>
      <c r="H1018"/>
      <c r="I1018"/>
      <c r="J1018"/>
      <c r="K1018"/>
      <c r="L1018"/>
      <c r="M1018"/>
    </row>
    <row r="1019" spans="1:13" ht="15">
      <c r="A1019"/>
      <c r="B1019"/>
      <c r="C1019"/>
      <c r="D1019"/>
      <c r="E1019"/>
      <c r="F1019"/>
      <c r="G1019"/>
      <c r="H1019"/>
      <c r="I1019"/>
      <c r="J1019"/>
      <c r="K1019"/>
      <c r="L1019"/>
      <c r="M1019"/>
    </row>
    <row r="1020" spans="1:13" ht="15">
      <c r="A1020"/>
      <c r="B1020"/>
      <c r="C1020"/>
      <c r="D1020"/>
      <c r="E1020"/>
      <c r="F1020"/>
      <c r="G1020"/>
      <c r="H1020"/>
      <c r="I1020"/>
      <c r="J1020"/>
      <c r="K1020"/>
      <c r="L1020"/>
      <c r="M1020"/>
    </row>
    <row r="1021" spans="1:13" ht="15">
      <c r="A1021"/>
      <c r="B1021"/>
      <c r="C1021"/>
      <c r="D1021"/>
      <c r="E1021"/>
      <c r="F1021"/>
      <c r="G1021"/>
      <c r="H1021"/>
      <c r="I1021"/>
      <c r="J1021"/>
      <c r="K1021"/>
      <c r="L1021"/>
      <c r="M1021"/>
    </row>
    <row r="1022" spans="1:13" ht="15">
      <c r="A1022"/>
      <c r="B1022"/>
      <c r="C1022"/>
      <c r="D1022"/>
      <c r="E1022"/>
      <c r="F1022"/>
      <c r="G1022"/>
      <c r="H1022"/>
      <c r="I1022"/>
      <c r="J1022"/>
      <c r="K1022"/>
      <c r="L1022"/>
      <c r="M1022"/>
    </row>
    <row r="1023" spans="1:13" ht="15">
      <c r="A1023"/>
      <c r="B1023"/>
      <c r="C1023"/>
      <c r="D1023"/>
      <c r="E1023"/>
      <c r="F1023"/>
      <c r="G1023"/>
      <c r="H1023"/>
      <c r="I1023"/>
      <c r="J1023"/>
      <c r="K1023"/>
      <c r="L1023"/>
      <c r="M1023"/>
    </row>
    <row r="1024" spans="1:13" ht="15">
      <c r="A1024"/>
      <c r="B1024"/>
      <c r="C1024"/>
      <c r="D1024"/>
      <c r="E1024"/>
      <c r="F1024"/>
      <c r="G1024"/>
      <c r="H1024"/>
      <c r="I1024"/>
      <c r="J1024"/>
      <c r="K1024"/>
      <c r="L1024"/>
      <c r="M1024"/>
    </row>
    <row r="1025" spans="1:13" ht="15">
      <c r="A1025"/>
      <c r="B1025"/>
      <c r="C1025"/>
      <c r="D1025"/>
      <c r="E1025"/>
      <c r="F1025"/>
      <c r="G1025"/>
      <c r="H1025"/>
      <c r="I1025"/>
      <c r="J1025"/>
      <c r="K1025"/>
      <c r="L1025"/>
      <c r="M1025"/>
    </row>
    <row r="1026" spans="1:13" ht="15">
      <c r="A1026"/>
      <c r="B1026"/>
      <c r="C1026"/>
      <c r="D1026"/>
      <c r="E1026"/>
      <c r="F1026"/>
      <c r="G1026"/>
      <c r="H1026"/>
      <c r="I1026"/>
      <c r="J1026"/>
      <c r="K1026"/>
      <c r="L1026"/>
      <c r="M1026"/>
    </row>
    <row r="1027" spans="1:13" ht="15">
      <c r="A1027"/>
      <c r="B1027"/>
      <c r="C1027"/>
      <c r="D1027"/>
      <c r="E1027"/>
      <c r="F1027"/>
      <c r="G1027"/>
      <c r="H1027"/>
      <c r="I1027"/>
      <c r="J1027"/>
      <c r="K1027"/>
      <c r="L1027"/>
      <c r="M1027"/>
    </row>
    <row r="1028" spans="1:13" ht="15">
      <c r="A1028"/>
      <c r="B1028"/>
      <c r="C1028"/>
      <c r="D1028"/>
      <c r="E1028"/>
      <c r="F1028"/>
      <c r="G1028"/>
      <c r="H1028"/>
      <c r="I1028"/>
      <c r="J1028"/>
      <c r="K1028"/>
      <c r="L1028"/>
      <c r="M1028"/>
    </row>
    <row r="1029" spans="1:13" ht="15">
      <c r="A1029"/>
      <c r="B1029"/>
      <c r="C1029"/>
      <c r="D1029"/>
      <c r="E1029"/>
      <c r="F1029"/>
      <c r="G1029"/>
      <c r="H1029"/>
      <c r="I1029"/>
      <c r="J1029"/>
      <c r="K1029"/>
      <c r="L1029"/>
      <c r="M1029"/>
    </row>
    <row r="1030" spans="1:13" ht="15">
      <c r="A1030"/>
      <c r="B1030"/>
      <c r="C1030"/>
      <c r="D1030"/>
      <c r="E1030"/>
      <c r="F1030"/>
      <c r="G1030"/>
      <c r="H1030"/>
      <c r="I1030"/>
      <c r="J1030"/>
      <c r="K1030"/>
      <c r="L1030"/>
      <c r="M1030"/>
    </row>
    <row r="1031" spans="1:13" ht="15">
      <c r="A1031"/>
      <c r="B1031"/>
      <c r="C1031"/>
      <c r="D1031"/>
      <c r="E1031"/>
      <c r="F1031"/>
      <c r="G1031"/>
      <c r="H1031"/>
      <c r="I1031"/>
      <c r="J1031"/>
      <c r="K1031"/>
      <c r="L1031"/>
      <c r="M1031"/>
    </row>
    <row r="1032" spans="1:13" ht="15">
      <c r="A1032"/>
      <c r="B1032"/>
      <c r="C1032"/>
      <c r="D1032"/>
      <c r="E1032"/>
      <c r="F1032"/>
      <c r="G1032"/>
      <c r="H1032"/>
      <c r="I1032"/>
      <c r="J1032"/>
      <c r="K1032"/>
      <c r="L1032"/>
      <c r="M1032"/>
    </row>
    <row r="1033" spans="1:13" ht="15">
      <c r="A1033"/>
      <c r="B1033"/>
      <c r="C1033"/>
      <c r="D1033"/>
      <c r="E1033"/>
      <c r="F1033"/>
      <c r="G1033"/>
      <c r="H1033"/>
      <c r="I1033"/>
      <c r="J1033"/>
      <c r="K1033"/>
      <c r="L1033"/>
      <c r="M1033"/>
    </row>
    <row r="1034" spans="1:13" ht="15">
      <c r="A1034"/>
      <c r="B1034"/>
      <c r="C1034"/>
      <c r="D1034"/>
      <c r="E1034"/>
      <c r="F1034"/>
      <c r="G1034"/>
      <c r="H1034"/>
      <c r="I1034"/>
      <c r="J1034"/>
      <c r="K1034"/>
      <c r="L1034"/>
      <c r="M1034"/>
    </row>
    <row r="1035" spans="1:13" ht="15">
      <c r="A1035"/>
      <c r="B1035"/>
      <c r="C1035"/>
      <c r="D1035"/>
      <c r="E1035"/>
      <c r="F1035"/>
      <c r="G1035"/>
      <c r="H1035"/>
      <c r="I1035"/>
      <c r="J1035"/>
      <c r="K1035"/>
      <c r="L1035"/>
      <c r="M1035"/>
    </row>
    <row r="1036" spans="1:13" ht="15">
      <c r="A1036"/>
      <c r="B1036"/>
      <c r="C1036"/>
      <c r="D1036"/>
      <c r="E1036"/>
      <c r="F1036"/>
      <c r="G1036"/>
      <c r="H1036"/>
      <c r="I1036"/>
      <c r="J1036"/>
      <c r="K1036"/>
      <c r="L1036"/>
      <c r="M1036"/>
    </row>
    <row r="1037" spans="1:13" ht="15">
      <c r="A1037"/>
      <c r="B1037"/>
      <c r="C1037"/>
      <c r="D1037"/>
      <c r="E1037"/>
      <c r="F1037"/>
      <c r="G1037"/>
      <c r="H1037"/>
      <c r="I1037"/>
      <c r="J1037"/>
      <c r="K1037"/>
      <c r="L1037"/>
      <c r="M1037"/>
    </row>
    <row r="1038" spans="1:13" ht="15">
      <c r="A1038"/>
      <c r="B1038"/>
      <c r="C1038"/>
      <c r="D1038"/>
      <c r="E1038"/>
      <c r="F1038"/>
      <c r="G1038"/>
      <c r="H1038"/>
      <c r="I1038"/>
      <c r="J1038"/>
      <c r="K1038"/>
      <c r="L1038"/>
      <c r="M1038"/>
    </row>
    <row r="1039" spans="1:13" ht="15">
      <c r="A1039"/>
      <c r="B1039"/>
      <c r="C1039"/>
      <c r="D1039"/>
      <c r="E1039"/>
      <c r="F1039"/>
      <c r="G1039"/>
      <c r="H1039"/>
      <c r="I1039"/>
      <c r="J1039"/>
      <c r="K1039"/>
      <c r="L1039"/>
      <c r="M1039"/>
    </row>
    <row r="1040" spans="1:13" ht="15">
      <c r="A1040"/>
      <c r="B1040"/>
      <c r="C1040"/>
      <c r="D1040"/>
      <c r="E1040"/>
      <c r="F1040"/>
      <c r="G1040"/>
      <c r="H1040"/>
      <c r="I1040"/>
      <c r="J1040"/>
      <c r="K1040"/>
      <c r="L1040"/>
      <c r="M1040"/>
    </row>
    <row r="1041" spans="1:13" ht="15">
      <c r="A1041"/>
      <c r="B1041"/>
      <c r="C1041"/>
      <c r="D1041"/>
      <c r="E1041"/>
      <c r="F1041"/>
      <c r="G1041"/>
      <c r="H1041"/>
      <c r="I1041"/>
      <c r="J1041"/>
      <c r="K1041"/>
      <c r="L1041"/>
      <c r="M1041"/>
    </row>
    <row r="1042" spans="1:13" ht="15">
      <c r="A1042"/>
      <c r="B1042"/>
      <c r="C1042"/>
      <c r="D1042"/>
      <c r="E1042"/>
      <c r="F1042"/>
      <c r="G1042"/>
      <c r="H1042"/>
      <c r="I1042"/>
      <c r="J1042"/>
      <c r="K1042"/>
      <c r="L1042"/>
      <c r="M1042"/>
    </row>
    <row r="1043" spans="1:13" ht="15">
      <c r="A1043"/>
      <c r="B1043"/>
      <c r="C1043"/>
      <c r="D1043"/>
      <c r="E1043"/>
      <c r="F1043"/>
      <c r="G1043"/>
      <c r="H1043"/>
      <c r="I1043"/>
      <c r="J1043"/>
      <c r="K1043"/>
      <c r="L1043"/>
      <c r="M1043"/>
    </row>
    <row r="1044" spans="1:13" ht="15">
      <c r="A1044"/>
      <c r="B1044"/>
      <c r="C1044"/>
      <c r="D1044"/>
      <c r="E1044"/>
      <c r="F1044"/>
      <c r="G1044"/>
      <c r="H1044"/>
      <c r="I1044"/>
      <c r="J1044"/>
      <c r="K1044"/>
      <c r="L1044"/>
      <c r="M1044"/>
    </row>
    <row r="1045" spans="1:13" ht="15">
      <c r="A1045"/>
      <c r="B1045"/>
      <c r="C1045"/>
      <c r="D1045"/>
      <c r="E1045"/>
      <c r="F1045"/>
      <c r="G1045"/>
      <c r="H1045"/>
      <c r="I1045"/>
      <c r="J1045"/>
      <c r="K1045"/>
      <c r="L1045"/>
      <c r="M1045"/>
    </row>
    <row r="1046" spans="1:13" ht="15">
      <c r="A1046"/>
      <c r="B1046"/>
      <c r="C1046"/>
      <c r="D1046"/>
      <c r="E1046"/>
      <c r="F1046"/>
      <c r="G1046"/>
      <c r="H1046"/>
      <c r="I1046"/>
      <c r="J1046"/>
      <c r="K1046"/>
      <c r="L1046"/>
      <c r="M1046"/>
    </row>
    <row r="1047" spans="1:13" ht="15">
      <c r="A1047"/>
      <c r="B1047"/>
      <c r="C1047"/>
      <c r="D1047"/>
      <c r="E1047"/>
      <c r="F1047"/>
      <c r="G1047"/>
      <c r="H1047"/>
      <c r="I1047"/>
      <c r="J1047"/>
      <c r="K1047"/>
      <c r="L1047"/>
      <c r="M1047"/>
    </row>
    <row r="1048" spans="1:13" ht="15">
      <c r="A1048"/>
      <c r="B1048"/>
      <c r="C1048"/>
      <c r="D1048"/>
      <c r="E1048"/>
      <c r="F1048"/>
      <c r="G1048"/>
      <c r="H1048"/>
      <c r="I1048"/>
      <c r="J1048"/>
      <c r="K1048"/>
      <c r="L1048"/>
      <c r="M1048"/>
    </row>
    <row r="1049" spans="1:13" ht="15">
      <c r="A1049"/>
      <c r="B1049"/>
      <c r="C1049"/>
      <c r="D1049"/>
      <c r="E1049"/>
      <c r="F1049"/>
      <c r="G1049"/>
      <c r="H1049"/>
      <c r="I1049"/>
      <c r="J1049"/>
      <c r="K1049"/>
      <c r="L1049"/>
      <c r="M1049"/>
    </row>
    <row r="1050" spans="1:13" ht="15">
      <c r="A1050"/>
      <c r="B1050"/>
      <c r="C1050"/>
      <c r="D1050"/>
      <c r="E1050"/>
      <c r="F1050"/>
      <c r="G1050"/>
      <c r="H1050"/>
      <c r="I1050"/>
      <c r="J1050"/>
      <c r="K1050"/>
      <c r="L1050"/>
      <c r="M1050"/>
    </row>
    <row r="1051" spans="1:13" ht="15">
      <c r="A1051"/>
      <c r="B1051"/>
      <c r="C1051"/>
      <c r="D1051"/>
      <c r="E1051"/>
      <c r="F1051"/>
      <c r="G1051"/>
      <c r="H1051"/>
      <c r="I1051"/>
      <c r="J1051"/>
      <c r="K1051"/>
      <c r="L1051"/>
      <c r="M1051"/>
    </row>
    <row r="1052" spans="1:13" ht="15">
      <c r="A1052"/>
      <c r="B1052"/>
      <c r="C1052"/>
      <c r="D1052"/>
      <c r="E1052"/>
      <c r="F1052"/>
      <c r="G1052"/>
      <c r="H1052"/>
      <c r="I1052"/>
      <c r="J1052"/>
      <c r="K1052"/>
      <c r="L1052"/>
      <c r="M1052"/>
    </row>
    <row r="1053" spans="1:13" ht="15">
      <c r="A1053"/>
      <c r="B1053"/>
      <c r="C1053"/>
      <c r="D1053"/>
      <c r="E1053"/>
      <c r="F1053"/>
      <c r="G1053"/>
      <c r="H1053"/>
      <c r="I1053"/>
      <c r="J1053"/>
      <c r="K1053"/>
      <c r="L1053"/>
      <c r="M1053"/>
    </row>
    <row r="1054" spans="1:13" ht="15">
      <c r="A1054"/>
      <c r="B1054"/>
      <c r="C1054"/>
      <c r="D1054"/>
      <c r="E1054"/>
      <c r="F1054"/>
      <c r="G1054"/>
      <c r="H1054"/>
      <c r="I1054"/>
      <c r="J1054"/>
      <c r="K1054"/>
      <c r="L1054"/>
      <c r="M1054"/>
    </row>
    <row r="1055" spans="1:13" ht="15">
      <c r="A1055"/>
      <c r="B1055"/>
      <c r="C1055"/>
      <c r="D1055"/>
      <c r="E1055"/>
      <c r="F1055"/>
      <c r="G1055"/>
      <c r="H1055"/>
      <c r="I1055"/>
      <c r="J1055"/>
      <c r="K1055"/>
      <c r="L1055"/>
      <c r="M1055"/>
    </row>
    <row r="1056" spans="1:13" ht="15">
      <c r="A1056"/>
      <c r="B1056"/>
      <c r="C1056"/>
      <c r="D1056"/>
      <c r="E1056"/>
      <c r="F1056"/>
      <c r="G1056"/>
      <c r="H1056"/>
      <c r="I1056"/>
      <c r="J1056"/>
      <c r="K1056"/>
      <c r="L1056"/>
      <c r="M1056"/>
    </row>
    <row r="1057" spans="1:13" ht="15">
      <c r="A1057"/>
      <c r="B1057"/>
      <c r="C1057"/>
      <c r="D1057"/>
      <c r="E1057"/>
      <c r="F1057"/>
      <c r="G1057"/>
      <c r="H1057"/>
      <c r="I1057"/>
      <c r="J1057"/>
      <c r="K1057"/>
      <c r="L1057"/>
      <c r="M1057"/>
    </row>
    <row r="1058" spans="1:13" ht="15">
      <c r="A1058"/>
      <c r="B1058"/>
      <c r="C1058"/>
      <c r="D1058"/>
      <c r="E1058"/>
      <c r="F1058"/>
      <c r="G1058"/>
      <c r="H1058"/>
      <c r="I1058"/>
      <c r="J1058"/>
      <c r="K1058"/>
      <c r="L1058"/>
      <c r="M1058"/>
    </row>
    <row r="1059" spans="1:13" ht="15">
      <c r="A1059"/>
      <c r="B1059"/>
      <c r="C1059"/>
      <c r="D1059"/>
      <c r="E1059"/>
      <c r="F1059"/>
      <c r="G1059"/>
      <c r="H1059"/>
      <c r="I1059"/>
      <c r="J1059"/>
      <c r="K1059"/>
      <c r="L1059"/>
      <c r="M1059"/>
    </row>
    <row r="1060" spans="1:13" ht="15">
      <c r="A1060"/>
      <c r="B1060"/>
      <c r="C1060"/>
      <c r="D1060"/>
      <c r="E1060"/>
      <c r="F1060"/>
      <c r="G1060"/>
      <c r="H1060"/>
      <c r="I1060"/>
      <c r="J1060"/>
      <c r="K1060"/>
      <c r="L1060"/>
      <c r="M1060"/>
    </row>
    <row r="1061" spans="1:13" ht="15">
      <c r="A1061"/>
      <c r="B1061"/>
      <c r="C1061"/>
      <c r="D1061"/>
      <c r="E1061"/>
      <c r="F1061"/>
      <c r="G1061"/>
      <c r="H1061"/>
      <c r="I1061"/>
      <c r="J1061"/>
      <c r="K1061"/>
      <c r="L1061"/>
      <c r="M1061"/>
    </row>
    <row r="1062" spans="1:13" ht="15">
      <c r="A1062"/>
      <c r="B1062"/>
      <c r="C1062"/>
      <c r="D1062"/>
      <c r="E1062"/>
      <c r="F1062"/>
      <c r="G1062"/>
      <c r="H1062"/>
      <c r="I1062"/>
      <c r="J1062"/>
      <c r="K1062"/>
      <c r="L1062"/>
      <c r="M1062"/>
    </row>
    <row r="1063" spans="1:13" ht="15">
      <c r="A1063"/>
      <c r="B1063"/>
      <c r="C1063"/>
      <c r="D1063"/>
      <c r="E1063"/>
      <c r="F1063"/>
      <c r="G1063"/>
      <c r="H1063"/>
      <c r="I1063"/>
      <c r="J1063"/>
      <c r="K1063"/>
      <c r="L1063"/>
      <c r="M1063"/>
    </row>
    <row r="1064" spans="1:13" ht="15">
      <c r="A1064"/>
      <c r="B1064"/>
      <c r="C1064"/>
      <c r="D1064"/>
      <c r="E1064"/>
      <c r="F1064"/>
      <c r="G1064"/>
      <c r="H1064"/>
      <c r="I1064"/>
      <c r="J1064"/>
      <c r="K1064"/>
      <c r="L1064"/>
      <c r="M1064"/>
    </row>
    <row r="1065" spans="1:13" ht="15">
      <c r="A1065"/>
      <c r="B1065"/>
      <c r="C1065"/>
      <c r="D1065"/>
      <c r="E1065"/>
      <c r="F1065"/>
      <c r="G1065"/>
      <c r="H1065"/>
      <c r="I1065"/>
      <c r="J1065"/>
      <c r="K1065"/>
      <c r="L1065"/>
      <c r="M1065"/>
    </row>
    <row r="1066" spans="1:13" ht="15">
      <c r="A1066"/>
      <c r="B1066"/>
      <c r="C1066"/>
      <c r="D1066"/>
      <c r="E1066"/>
      <c r="F1066"/>
      <c r="G1066"/>
      <c r="H1066"/>
      <c r="I1066"/>
      <c r="J1066"/>
      <c r="K1066"/>
      <c r="L1066"/>
      <c r="M1066"/>
    </row>
    <row r="1067" spans="1:13" ht="15">
      <c r="A1067"/>
      <c r="B1067"/>
      <c r="C1067"/>
      <c r="D1067"/>
      <c r="E1067"/>
      <c r="F1067"/>
      <c r="G1067"/>
      <c r="H1067"/>
      <c r="I1067"/>
      <c r="J1067"/>
      <c r="K1067"/>
      <c r="L1067"/>
      <c r="M1067"/>
    </row>
    <row r="1068" spans="1:13" ht="15">
      <c r="A1068"/>
      <c r="B1068"/>
      <c r="C1068"/>
      <c r="D1068"/>
      <c r="E1068"/>
      <c r="F1068"/>
      <c r="G1068"/>
      <c r="H1068"/>
      <c r="I1068"/>
      <c r="J1068"/>
      <c r="K1068"/>
      <c r="L1068"/>
      <c r="M1068"/>
    </row>
    <row r="1069" spans="1:13" ht="15">
      <c r="A1069"/>
      <c r="B1069"/>
      <c r="C1069"/>
      <c r="D1069"/>
      <c r="E1069"/>
      <c r="F1069"/>
      <c r="G1069"/>
      <c r="H1069"/>
      <c r="I1069"/>
      <c r="J1069"/>
      <c r="K1069"/>
      <c r="L1069"/>
      <c r="M1069"/>
    </row>
    <row r="1070" spans="1:13" ht="15">
      <c r="A1070"/>
      <c r="B1070"/>
      <c r="C1070"/>
      <c r="D1070"/>
      <c r="E1070"/>
      <c r="F1070"/>
      <c r="G1070"/>
      <c r="H1070"/>
      <c r="I1070"/>
      <c r="J1070"/>
      <c r="K1070"/>
      <c r="L1070"/>
      <c r="M1070"/>
    </row>
    <row r="1071" spans="1:13" ht="15">
      <c r="A1071"/>
      <c r="B1071"/>
      <c r="C1071"/>
      <c r="D1071"/>
      <c r="E1071"/>
      <c r="F1071"/>
      <c r="G1071"/>
      <c r="H1071"/>
      <c r="I1071"/>
      <c r="J1071"/>
      <c r="K1071"/>
      <c r="L1071"/>
      <c r="M1071"/>
    </row>
    <row r="1072" spans="1:13" ht="15">
      <c r="A1072"/>
      <c r="B1072"/>
      <c r="C1072"/>
      <c r="D1072"/>
      <c r="E1072"/>
      <c r="F1072"/>
      <c r="G1072"/>
      <c r="H1072"/>
      <c r="I1072"/>
      <c r="J1072"/>
      <c r="K1072"/>
      <c r="L1072"/>
      <c r="M1072"/>
    </row>
    <row r="1073" spans="1:13" ht="15">
      <c r="A1073"/>
      <c r="B1073"/>
      <c r="C1073"/>
      <c r="D1073"/>
      <c r="E1073"/>
      <c r="F1073"/>
      <c r="G1073"/>
      <c r="H1073"/>
      <c r="I1073"/>
      <c r="J1073"/>
      <c r="K1073"/>
      <c r="L1073"/>
      <c r="M1073"/>
    </row>
    <row r="1074" spans="1:13" ht="15">
      <c r="A1074"/>
      <c r="B1074"/>
      <c r="C1074"/>
      <c r="D1074"/>
      <c r="E1074"/>
      <c r="F1074"/>
      <c r="G1074"/>
      <c r="H1074"/>
      <c r="I1074"/>
      <c r="J1074"/>
      <c r="K1074"/>
      <c r="L1074"/>
      <c r="M1074"/>
    </row>
    <row r="1075" spans="1:13" ht="15">
      <c r="A1075"/>
      <c r="B1075"/>
      <c r="C1075"/>
      <c r="D1075"/>
      <c r="E1075"/>
      <c r="F1075"/>
      <c r="G1075"/>
      <c r="H1075"/>
      <c r="I1075"/>
      <c r="J1075"/>
      <c r="K1075"/>
      <c r="L1075"/>
      <c r="M1075"/>
    </row>
    <row r="1076" spans="1:13" ht="15">
      <c r="A1076"/>
      <c r="B1076"/>
      <c r="C1076"/>
      <c r="D1076"/>
      <c r="E1076"/>
      <c r="F1076"/>
      <c r="G1076"/>
      <c r="H1076"/>
      <c r="I1076"/>
      <c r="J1076"/>
      <c r="K1076"/>
      <c r="L1076"/>
      <c r="M1076"/>
    </row>
    <row r="1077" spans="1:13" ht="15">
      <c r="A1077"/>
      <c r="B1077"/>
      <c r="C1077"/>
      <c r="D1077"/>
      <c r="E1077"/>
      <c r="F1077"/>
      <c r="G1077"/>
      <c r="H1077"/>
      <c r="I1077"/>
      <c r="J1077"/>
      <c r="K1077"/>
      <c r="L1077"/>
      <c r="M1077"/>
    </row>
    <row r="1078" spans="1:13" ht="15">
      <c r="A1078"/>
      <c r="B1078"/>
      <c r="C1078"/>
      <c r="D1078"/>
      <c r="E1078"/>
      <c r="F1078"/>
      <c r="G1078"/>
      <c r="H1078"/>
      <c r="I1078"/>
      <c r="J1078"/>
      <c r="K1078"/>
      <c r="L1078"/>
      <c r="M1078"/>
    </row>
    <row r="1079" spans="1:13" ht="15">
      <c r="A1079"/>
      <c r="B1079"/>
      <c r="C1079"/>
      <c r="D1079"/>
      <c r="E1079"/>
      <c r="F1079"/>
      <c r="G1079"/>
      <c r="H1079"/>
      <c r="I1079"/>
      <c r="J1079"/>
      <c r="K1079"/>
      <c r="L1079"/>
      <c r="M1079"/>
    </row>
    <row r="1080" spans="1:13" ht="15">
      <c r="A1080"/>
      <c r="B1080"/>
      <c r="C1080"/>
      <c r="D1080"/>
      <c r="E1080"/>
      <c r="F1080"/>
      <c r="G1080"/>
      <c r="H1080"/>
      <c r="I1080"/>
      <c r="J1080"/>
      <c r="K1080"/>
      <c r="L1080"/>
      <c r="M1080"/>
    </row>
    <row r="1081" spans="1:13" ht="15">
      <c r="A1081"/>
      <c r="B1081"/>
      <c r="C1081"/>
      <c r="D1081"/>
      <c r="E1081"/>
      <c r="F1081"/>
      <c r="G1081"/>
      <c r="H1081"/>
      <c r="I1081"/>
      <c r="J1081"/>
      <c r="K1081"/>
      <c r="L1081"/>
      <c r="M1081"/>
    </row>
    <row r="1082" spans="1:13" ht="15">
      <c r="A1082"/>
      <c r="B1082"/>
      <c r="C1082"/>
      <c r="D1082"/>
      <c r="E1082"/>
      <c r="F1082"/>
      <c r="G1082"/>
      <c r="H1082"/>
      <c r="I1082"/>
      <c r="J1082"/>
      <c r="K1082"/>
      <c r="L1082"/>
      <c r="M1082"/>
    </row>
    <row r="1083" spans="1:13" ht="15">
      <c r="A1083"/>
      <c r="B1083"/>
      <c r="C1083"/>
      <c r="D1083"/>
      <c r="E1083"/>
      <c r="F1083"/>
      <c r="G1083"/>
      <c r="H1083"/>
      <c r="I1083"/>
      <c r="J1083"/>
      <c r="K1083"/>
      <c r="L1083"/>
      <c r="M1083"/>
    </row>
    <row r="1084" spans="1:13" ht="15">
      <c r="A1084"/>
      <c r="B1084"/>
      <c r="C1084"/>
      <c r="D1084"/>
      <c r="E1084"/>
      <c r="F1084"/>
      <c r="G1084"/>
      <c r="H1084"/>
      <c r="I1084"/>
      <c r="J1084"/>
      <c r="K1084"/>
      <c r="L1084"/>
      <c r="M1084"/>
    </row>
    <row r="1085" spans="1:13" ht="15">
      <c r="A1085"/>
      <c r="B1085"/>
      <c r="C1085"/>
      <c r="D1085"/>
      <c r="E1085"/>
      <c r="F1085"/>
      <c r="G1085"/>
      <c r="H1085"/>
      <c r="I1085"/>
      <c r="J1085"/>
      <c r="K1085"/>
      <c r="L1085"/>
      <c r="M1085"/>
    </row>
    <row r="1086" spans="1:13" ht="15">
      <c r="A1086"/>
      <c r="B1086"/>
      <c r="C1086"/>
      <c r="D1086"/>
      <c r="E1086"/>
      <c r="F1086"/>
      <c r="G1086"/>
      <c r="H1086"/>
      <c r="I1086"/>
      <c r="J1086"/>
      <c r="K1086"/>
      <c r="L1086"/>
      <c r="M1086"/>
    </row>
    <row r="1087" spans="1:13" ht="15">
      <c r="A1087"/>
      <c r="B1087"/>
      <c r="C1087"/>
      <c r="D1087"/>
      <c r="E1087"/>
      <c r="F1087"/>
      <c r="G1087"/>
      <c r="H1087"/>
      <c r="I1087"/>
      <c r="J1087"/>
      <c r="K1087"/>
      <c r="L1087"/>
      <c r="M1087"/>
    </row>
    <row r="1088" spans="1:13" ht="15">
      <c r="A1088"/>
      <c r="B1088"/>
      <c r="C1088"/>
      <c r="D1088"/>
      <c r="E1088"/>
      <c r="F1088"/>
      <c r="G1088"/>
      <c r="H1088"/>
      <c r="I1088"/>
      <c r="J1088"/>
      <c r="K1088"/>
      <c r="L1088"/>
      <c r="M1088"/>
    </row>
    <row r="1089" spans="1:13" ht="15">
      <c r="A1089"/>
      <c r="B1089"/>
      <c r="C1089"/>
      <c r="D1089"/>
      <c r="E1089"/>
      <c r="F1089"/>
      <c r="G1089"/>
      <c r="H1089"/>
      <c r="I1089"/>
      <c r="J1089"/>
      <c r="K1089"/>
      <c r="L1089"/>
      <c r="M1089"/>
    </row>
    <row r="1090" spans="1:13" ht="15">
      <c r="A1090"/>
      <c r="B1090"/>
      <c r="C1090"/>
      <c r="D1090"/>
      <c r="E1090"/>
      <c r="F1090"/>
      <c r="G1090"/>
      <c r="H1090"/>
      <c r="I1090"/>
      <c r="J1090"/>
      <c r="K1090"/>
      <c r="L1090"/>
      <c r="M1090"/>
    </row>
    <row r="1091" spans="1:13" ht="15">
      <c r="A1091"/>
      <c r="B1091"/>
      <c r="C1091"/>
      <c r="D1091"/>
      <c r="E1091"/>
      <c r="F1091"/>
      <c r="G1091"/>
      <c r="H1091"/>
      <c r="I1091"/>
      <c r="J1091"/>
      <c r="K1091"/>
      <c r="L1091"/>
      <c r="M1091"/>
    </row>
    <row r="1092" spans="1:13" ht="15">
      <c r="A1092"/>
      <c r="B1092"/>
      <c r="C1092"/>
      <c r="D1092"/>
      <c r="E1092"/>
      <c r="F1092"/>
      <c r="G1092"/>
      <c r="H1092"/>
      <c r="I1092"/>
      <c r="J1092"/>
      <c r="K1092"/>
      <c r="L1092"/>
      <c r="M1092"/>
    </row>
    <row r="1093" spans="1:13" ht="15">
      <c r="A1093"/>
      <c r="B1093"/>
      <c r="C1093"/>
      <c r="D1093"/>
      <c r="E1093"/>
      <c r="F1093"/>
      <c r="G1093"/>
      <c r="H1093"/>
      <c r="I1093"/>
      <c r="J1093"/>
      <c r="K1093"/>
      <c r="L1093"/>
      <c r="M1093"/>
    </row>
    <row r="1094" spans="1:13" ht="15">
      <c r="A1094"/>
      <c r="B1094"/>
      <c r="C1094"/>
      <c r="D1094"/>
      <c r="E1094"/>
      <c r="F1094"/>
      <c r="G1094"/>
      <c r="H1094"/>
      <c r="I1094"/>
      <c r="J1094"/>
      <c r="K1094"/>
      <c r="L1094"/>
      <c r="M1094"/>
    </row>
    <row r="1095" spans="1:13" ht="15">
      <c r="A1095"/>
      <c r="B1095"/>
      <c r="C1095"/>
      <c r="D1095"/>
      <c r="E1095"/>
      <c r="F1095"/>
      <c r="G1095"/>
      <c r="H1095"/>
      <c r="I1095"/>
      <c r="J1095"/>
      <c r="K1095"/>
      <c r="L1095"/>
      <c r="M1095"/>
    </row>
    <row r="1096" spans="1:13" ht="15">
      <c r="A1096"/>
      <c r="B1096"/>
      <c r="C1096"/>
      <c r="D1096"/>
      <c r="E1096"/>
      <c r="F1096"/>
      <c r="G1096"/>
      <c r="H1096"/>
      <c r="I1096"/>
      <c r="J1096"/>
      <c r="K1096"/>
      <c r="L1096"/>
      <c r="M1096"/>
    </row>
    <row r="1097" spans="1:13" ht="15">
      <c r="A1097"/>
      <c r="B1097"/>
      <c r="C1097"/>
      <c r="D1097"/>
      <c r="E1097"/>
      <c r="F1097"/>
      <c r="G1097"/>
      <c r="H1097"/>
      <c r="I1097"/>
      <c r="J1097"/>
      <c r="K1097"/>
      <c r="L1097"/>
      <c r="M1097"/>
    </row>
    <row r="1098" spans="1:13" ht="15">
      <c r="A1098"/>
      <c r="B1098"/>
      <c r="C1098"/>
      <c r="D1098"/>
      <c r="E1098"/>
      <c r="F1098"/>
      <c r="G1098"/>
      <c r="H1098"/>
      <c r="I1098"/>
      <c r="J1098"/>
      <c r="K1098"/>
      <c r="L1098"/>
      <c r="M1098"/>
    </row>
    <row r="1099" spans="1:13" ht="15">
      <c r="A1099"/>
      <c r="B1099"/>
      <c r="C1099"/>
      <c r="D1099"/>
      <c r="E1099"/>
      <c r="F1099"/>
      <c r="G1099"/>
      <c r="H1099"/>
      <c r="I1099"/>
      <c r="J1099"/>
      <c r="K1099"/>
      <c r="L1099"/>
      <c r="M1099"/>
    </row>
    <row r="1100" spans="1:13" ht="15">
      <c r="A1100"/>
      <c r="B1100"/>
      <c r="C1100"/>
      <c r="D1100"/>
      <c r="E1100"/>
      <c r="F1100"/>
      <c r="G1100"/>
      <c r="H1100"/>
      <c r="I1100"/>
      <c r="J1100"/>
      <c r="K1100"/>
      <c r="L1100"/>
      <c r="M1100"/>
    </row>
    <row r="1101" spans="1:13" ht="15">
      <c r="A1101"/>
      <c r="B1101"/>
      <c r="C1101"/>
      <c r="D1101"/>
      <c r="E1101"/>
      <c r="F1101"/>
      <c r="G1101"/>
      <c r="H1101"/>
      <c r="I1101"/>
      <c r="J1101"/>
      <c r="K1101"/>
      <c r="L1101"/>
      <c r="M1101"/>
    </row>
    <row r="1102" spans="1:13" ht="15">
      <c r="A1102"/>
      <c r="B1102"/>
      <c r="C1102"/>
      <c r="D1102"/>
      <c r="E1102"/>
      <c r="F1102"/>
      <c r="G1102"/>
      <c r="H1102"/>
      <c r="I1102"/>
      <c r="J1102"/>
      <c r="K1102"/>
      <c r="L1102"/>
      <c r="M1102"/>
    </row>
    <row r="1103" spans="1:13" ht="15">
      <c r="A1103"/>
      <c r="B1103"/>
      <c r="C1103"/>
      <c r="D1103"/>
      <c r="E1103"/>
      <c r="F1103"/>
      <c r="G1103"/>
      <c r="H1103"/>
      <c r="I1103"/>
      <c r="J1103"/>
      <c r="K1103"/>
      <c r="L1103"/>
      <c r="M1103"/>
    </row>
    <row r="1104" spans="1:13" ht="15">
      <c r="A1104"/>
      <c r="B1104"/>
      <c r="C1104"/>
      <c r="D1104"/>
      <c r="E1104"/>
      <c r="F1104"/>
      <c r="G1104"/>
      <c r="H1104"/>
      <c r="I1104"/>
      <c r="J1104"/>
      <c r="K1104"/>
      <c r="L1104"/>
      <c r="M1104"/>
    </row>
    <row r="1105" spans="1:13" ht="15">
      <c r="A1105"/>
      <c r="B1105"/>
      <c r="C1105"/>
      <c r="D1105"/>
      <c r="E1105"/>
      <c r="F1105"/>
      <c r="G1105"/>
      <c r="H1105"/>
      <c r="I1105"/>
      <c r="J1105"/>
      <c r="K1105"/>
      <c r="L1105"/>
      <c r="M1105"/>
    </row>
    <row r="1106" spans="1:13" ht="15">
      <c r="A1106"/>
      <c r="B1106"/>
      <c r="C1106"/>
      <c r="D1106"/>
      <c r="E1106"/>
      <c r="F1106"/>
      <c r="G1106"/>
      <c r="H1106"/>
      <c r="I1106"/>
      <c r="J1106"/>
      <c r="K1106"/>
      <c r="L1106"/>
      <c r="M1106"/>
    </row>
    <row r="1107" spans="1:13" ht="15">
      <c r="A1107"/>
      <c r="B1107"/>
      <c r="C1107"/>
      <c r="D1107"/>
      <c r="E1107"/>
      <c r="F1107"/>
      <c r="G1107"/>
      <c r="H1107"/>
      <c r="I1107"/>
      <c r="J1107"/>
      <c r="K1107"/>
      <c r="L1107"/>
      <c r="M1107"/>
    </row>
    <row r="1108" spans="1:13" ht="15">
      <c r="A1108"/>
      <c r="B1108"/>
      <c r="C1108"/>
      <c r="D1108"/>
      <c r="E1108"/>
      <c r="F1108"/>
      <c r="G1108"/>
      <c r="H1108"/>
      <c r="I1108"/>
      <c r="J1108"/>
      <c r="K1108"/>
      <c r="L1108"/>
      <c r="M1108"/>
    </row>
    <row r="1109" spans="1:13" ht="15">
      <c r="A1109"/>
      <c r="B1109"/>
      <c r="C1109"/>
      <c r="D1109"/>
      <c r="E1109"/>
      <c r="F1109"/>
      <c r="G1109"/>
      <c r="H1109"/>
      <c r="I1109"/>
      <c r="J1109"/>
      <c r="K1109"/>
      <c r="L1109"/>
      <c r="M1109"/>
    </row>
    <row r="1110" spans="1:13" ht="15">
      <c r="A1110"/>
      <c r="B1110"/>
      <c r="C1110"/>
      <c r="D1110"/>
      <c r="E1110"/>
      <c r="F1110"/>
      <c r="G1110"/>
      <c r="H1110"/>
      <c r="I1110"/>
      <c r="J1110"/>
      <c r="K1110"/>
      <c r="L1110"/>
      <c r="M1110"/>
    </row>
    <row r="1111" spans="1:13" ht="15">
      <c r="A1111"/>
      <c r="B1111"/>
      <c r="C1111"/>
      <c r="D1111"/>
      <c r="E1111"/>
      <c r="F1111"/>
      <c r="G1111"/>
      <c r="H1111"/>
      <c r="I1111"/>
      <c r="J1111"/>
      <c r="K1111"/>
      <c r="L1111"/>
      <c r="M1111"/>
    </row>
    <row r="1112" spans="1:13" ht="15">
      <c r="A1112"/>
      <c r="B1112"/>
      <c r="C1112"/>
      <c r="D1112"/>
      <c r="E1112"/>
      <c r="F1112"/>
      <c r="G1112"/>
      <c r="H1112"/>
      <c r="I1112"/>
      <c r="J1112"/>
      <c r="K1112"/>
      <c r="L1112"/>
      <c r="M1112"/>
    </row>
    <row r="1113" spans="1:13" ht="15">
      <c r="A1113"/>
      <c r="B1113"/>
      <c r="C1113"/>
      <c r="D1113"/>
      <c r="E1113"/>
      <c r="F1113"/>
      <c r="G1113"/>
      <c r="H1113"/>
      <c r="I1113"/>
      <c r="J1113"/>
      <c r="K1113"/>
      <c r="L1113"/>
      <c r="M1113"/>
    </row>
    <row r="1114" spans="1:13" ht="15">
      <c r="A1114"/>
      <c r="B1114"/>
      <c r="C1114"/>
      <c r="D1114"/>
      <c r="E1114"/>
      <c r="F1114"/>
      <c r="G1114"/>
      <c r="H1114"/>
      <c r="I1114"/>
      <c r="J1114"/>
      <c r="K1114"/>
      <c r="L1114"/>
      <c r="M1114"/>
    </row>
    <row r="1115" spans="1:13" ht="15">
      <c r="A1115"/>
      <c r="B1115"/>
      <c r="C1115"/>
      <c r="D1115"/>
      <c r="E1115"/>
      <c r="F1115"/>
      <c r="G1115"/>
      <c r="H1115"/>
      <c r="I1115"/>
      <c r="J1115"/>
      <c r="K1115"/>
      <c r="L1115"/>
      <c r="M1115"/>
    </row>
    <row r="1116" spans="1:13" ht="15">
      <c r="A1116"/>
      <c r="B1116"/>
      <c r="C1116"/>
      <c r="D1116"/>
      <c r="E1116"/>
      <c r="F1116"/>
      <c r="G1116"/>
      <c r="H1116"/>
      <c r="I1116"/>
      <c r="J1116"/>
      <c r="K1116"/>
      <c r="L1116"/>
      <c r="M1116"/>
    </row>
    <row r="1117" spans="1:13" ht="15">
      <c r="A1117"/>
      <c r="B1117"/>
      <c r="C1117"/>
      <c r="D1117"/>
      <c r="E1117"/>
      <c r="F1117"/>
      <c r="G1117"/>
      <c r="H1117"/>
      <c r="I1117"/>
      <c r="J1117"/>
      <c r="K1117"/>
      <c r="L1117"/>
      <c r="M1117"/>
    </row>
    <row r="1118" spans="1:13" ht="15">
      <c r="A1118"/>
      <c r="B1118"/>
      <c r="C1118"/>
      <c r="D1118"/>
      <c r="E1118"/>
      <c r="F1118"/>
      <c r="G1118"/>
      <c r="H1118"/>
      <c r="I1118"/>
      <c r="J1118"/>
      <c r="K1118"/>
      <c r="L1118"/>
      <c r="M1118"/>
    </row>
    <row r="1119" spans="1:13" ht="15">
      <c r="A1119"/>
      <c r="B1119"/>
      <c r="C1119"/>
      <c r="D1119"/>
      <c r="E1119"/>
      <c r="F1119"/>
      <c r="G1119"/>
      <c r="H1119"/>
      <c r="I1119"/>
      <c r="J1119"/>
      <c r="K1119"/>
      <c r="L1119"/>
      <c r="M1119"/>
    </row>
    <row r="1120" spans="1:13" ht="15">
      <c r="A1120"/>
      <c r="B1120"/>
      <c r="C1120"/>
      <c r="D1120"/>
      <c r="E1120"/>
      <c r="F1120"/>
      <c r="G1120"/>
      <c r="H1120"/>
      <c r="I1120"/>
      <c r="J1120"/>
      <c r="K1120"/>
      <c r="L1120"/>
      <c r="M1120"/>
    </row>
    <row r="1121" spans="1:13" ht="15">
      <c r="A1121"/>
      <c r="B1121"/>
      <c r="C1121"/>
      <c r="D1121"/>
      <c r="E1121"/>
      <c r="F1121"/>
      <c r="G1121"/>
      <c r="H1121"/>
      <c r="I1121"/>
      <c r="J1121"/>
      <c r="K1121"/>
      <c r="L1121"/>
      <c r="M1121"/>
    </row>
    <row r="1122" spans="1:13" ht="15">
      <c r="A1122"/>
      <c r="B1122"/>
      <c r="C1122"/>
      <c r="D1122"/>
      <c r="E1122"/>
      <c r="F1122"/>
      <c r="G1122"/>
      <c r="H1122"/>
      <c r="I1122"/>
      <c r="J1122"/>
      <c r="K1122"/>
      <c r="L1122"/>
      <c r="M1122"/>
    </row>
    <row r="1123" spans="1:13" ht="15">
      <c r="A1123"/>
      <c r="B1123"/>
      <c r="C1123"/>
      <c r="D1123"/>
      <c r="E1123"/>
      <c r="F1123"/>
      <c r="G1123"/>
      <c r="H1123"/>
      <c r="I1123"/>
      <c r="J1123"/>
      <c r="K1123"/>
      <c r="L1123"/>
      <c r="M1123"/>
    </row>
    <row r="1124" spans="1:13" ht="15">
      <c r="A1124"/>
      <c r="B1124"/>
      <c r="C1124"/>
      <c r="D1124"/>
      <c r="E1124"/>
      <c r="F1124"/>
      <c r="G1124"/>
      <c r="H1124"/>
      <c r="I1124"/>
      <c r="J1124"/>
      <c r="K1124"/>
      <c r="L1124"/>
      <c r="M1124"/>
    </row>
    <row r="1125" spans="1:13" ht="15">
      <c r="A1125"/>
      <c r="B1125"/>
      <c r="C1125"/>
      <c r="D1125"/>
      <c r="E1125"/>
      <c r="F1125"/>
      <c r="G1125"/>
      <c r="H1125"/>
      <c r="I1125"/>
      <c r="J1125"/>
      <c r="K1125"/>
      <c r="L1125"/>
      <c r="M1125"/>
    </row>
    <row r="1126" spans="1:13" ht="15">
      <c r="A1126"/>
      <c r="B1126"/>
      <c r="C1126"/>
      <c r="D1126"/>
      <c r="E1126"/>
      <c r="F1126"/>
      <c r="G1126"/>
      <c r="H1126"/>
      <c r="I1126"/>
      <c r="J1126"/>
      <c r="K1126"/>
      <c r="L1126"/>
      <c r="M1126"/>
    </row>
    <row r="1127" spans="1:13" ht="15">
      <c r="A1127"/>
      <c r="B1127"/>
      <c r="C1127"/>
      <c r="D1127"/>
      <c r="E1127"/>
      <c r="F1127"/>
      <c r="G1127"/>
      <c r="H1127"/>
      <c r="I1127"/>
      <c r="J1127"/>
      <c r="K1127"/>
      <c r="L1127"/>
      <c r="M1127"/>
    </row>
    <row r="1128" spans="1:13" ht="15">
      <c r="A1128"/>
      <c r="B1128"/>
      <c r="C1128"/>
      <c r="D1128"/>
      <c r="E1128"/>
      <c r="F1128"/>
      <c r="G1128"/>
      <c r="H1128"/>
      <c r="I1128"/>
      <c r="J1128"/>
      <c r="K1128"/>
      <c r="L1128"/>
      <c r="M1128"/>
    </row>
    <row r="1129" spans="1:13" ht="15">
      <c r="A1129"/>
      <c r="B1129"/>
      <c r="C1129"/>
      <c r="D1129"/>
      <c r="E1129"/>
      <c r="F1129"/>
      <c r="G1129"/>
      <c r="H1129"/>
      <c r="I1129"/>
      <c r="J1129"/>
      <c r="K1129"/>
      <c r="L1129"/>
      <c r="M1129"/>
    </row>
    <row r="1130" spans="1:13" ht="15">
      <c r="A1130"/>
      <c r="B1130"/>
      <c r="C1130"/>
      <c r="D1130"/>
      <c r="E1130"/>
      <c r="F1130"/>
      <c r="G1130"/>
      <c r="H1130"/>
      <c r="I1130"/>
      <c r="J1130"/>
      <c r="K1130"/>
      <c r="L1130"/>
      <c r="M1130"/>
    </row>
    <row r="1131" spans="1:13" ht="15">
      <c r="A1131"/>
      <c r="B1131"/>
      <c r="C1131"/>
      <c r="D1131"/>
      <c r="E1131"/>
      <c r="F1131"/>
      <c r="G1131"/>
      <c r="H1131"/>
      <c r="I1131"/>
      <c r="J1131"/>
      <c r="K1131"/>
      <c r="L1131"/>
      <c r="M1131"/>
    </row>
    <row r="1132" spans="1:13" ht="15">
      <c r="A1132"/>
      <c r="B1132"/>
      <c r="C1132"/>
      <c r="D1132"/>
      <c r="E1132"/>
      <c r="F1132"/>
      <c r="G1132"/>
      <c r="H1132"/>
      <c r="I1132"/>
      <c r="J1132"/>
      <c r="K1132"/>
      <c r="L1132"/>
      <c r="M1132"/>
    </row>
    <row r="1133" spans="1:13" ht="15">
      <c r="A1133"/>
      <c r="B1133"/>
      <c r="C1133"/>
      <c r="D1133"/>
      <c r="E1133"/>
      <c r="F1133"/>
      <c r="G1133"/>
      <c r="H1133"/>
      <c r="I1133"/>
      <c r="J1133"/>
      <c r="K1133"/>
      <c r="L1133"/>
      <c r="M1133"/>
    </row>
    <row r="1134" spans="1:13" ht="15">
      <c r="A1134"/>
      <c r="B1134"/>
      <c r="C1134"/>
      <c r="D1134"/>
      <c r="E1134"/>
      <c r="F1134"/>
      <c r="G1134"/>
      <c r="H1134"/>
      <c r="I1134"/>
      <c r="J1134"/>
      <c r="K1134"/>
      <c r="L1134"/>
      <c r="M1134"/>
    </row>
    <row r="1135" spans="1:13" ht="15">
      <c r="A1135"/>
      <c r="B1135"/>
      <c r="C1135"/>
      <c r="D1135"/>
      <c r="E1135"/>
      <c r="F1135"/>
      <c r="G1135"/>
      <c r="H1135"/>
      <c r="I1135"/>
      <c r="J1135"/>
      <c r="K1135"/>
      <c r="L1135"/>
      <c r="M1135"/>
    </row>
    <row r="1136" spans="1:13" ht="15">
      <c r="A1136"/>
      <c r="B1136"/>
      <c r="C1136"/>
      <c r="D1136"/>
      <c r="E1136"/>
      <c r="F1136"/>
      <c r="G1136"/>
      <c r="H1136"/>
      <c r="I1136"/>
      <c r="J1136"/>
      <c r="K1136"/>
      <c r="L1136"/>
      <c r="M1136"/>
    </row>
    <row r="1137" spans="1:13" ht="15">
      <c r="A1137"/>
      <c r="B1137"/>
      <c r="C1137"/>
      <c r="D1137"/>
      <c r="E1137"/>
      <c r="F1137"/>
      <c r="G1137"/>
      <c r="H1137"/>
      <c r="I1137"/>
      <c r="J1137"/>
      <c r="K1137"/>
      <c r="L1137"/>
      <c r="M1137"/>
    </row>
    <row r="1138" spans="1:13" ht="15">
      <c r="A1138"/>
      <c r="B1138"/>
      <c r="C1138"/>
      <c r="D1138"/>
      <c r="E1138"/>
      <c r="F1138"/>
      <c r="G1138"/>
      <c r="H1138"/>
      <c r="I1138"/>
      <c r="J1138"/>
      <c r="K1138"/>
      <c r="L1138"/>
      <c r="M1138"/>
    </row>
    <row r="1139" spans="1:13" ht="15">
      <c r="A1139"/>
      <c r="B1139"/>
      <c r="C1139"/>
      <c r="D1139"/>
      <c r="E1139"/>
      <c r="F1139"/>
      <c r="G1139"/>
      <c r="H1139"/>
      <c r="I1139"/>
      <c r="J1139"/>
      <c r="K1139"/>
      <c r="L1139"/>
      <c r="M1139"/>
    </row>
    <row r="1140" spans="1:13" ht="15">
      <c r="A1140"/>
      <c r="B1140"/>
      <c r="C1140"/>
      <c r="D1140"/>
      <c r="E1140"/>
      <c r="F1140"/>
      <c r="G1140"/>
      <c r="H1140"/>
      <c r="I1140"/>
      <c r="J1140"/>
      <c r="K1140"/>
      <c r="L1140"/>
      <c r="M1140"/>
    </row>
    <row r="1141" spans="1:13" ht="15">
      <c r="A1141"/>
      <c r="B1141"/>
      <c r="C1141"/>
      <c r="D1141"/>
      <c r="E1141"/>
      <c r="F1141"/>
      <c r="G1141"/>
      <c r="H1141"/>
      <c r="I1141"/>
      <c r="J1141"/>
      <c r="K1141"/>
      <c r="L1141"/>
      <c r="M1141"/>
    </row>
    <row r="1142" spans="1:13" ht="15">
      <c r="A1142"/>
      <c r="B1142"/>
      <c r="C1142"/>
      <c r="D1142"/>
      <c r="E1142"/>
      <c r="F1142"/>
      <c r="G1142"/>
      <c r="H1142"/>
      <c r="I1142"/>
      <c r="J1142"/>
      <c r="K1142"/>
      <c r="L1142"/>
      <c r="M1142"/>
    </row>
    <row r="1143" spans="1:13" ht="15">
      <c r="A1143"/>
      <c r="B1143"/>
      <c r="C1143"/>
      <c r="D1143"/>
      <c r="E1143"/>
      <c r="F1143"/>
      <c r="G1143"/>
      <c r="H1143"/>
      <c r="I1143"/>
      <c r="J1143"/>
      <c r="K1143"/>
      <c r="L1143"/>
      <c r="M1143"/>
    </row>
    <row r="1144" spans="1:13" ht="15">
      <c r="A1144"/>
      <c r="B1144"/>
      <c r="C1144"/>
      <c r="D1144"/>
      <c r="E1144"/>
      <c r="F1144"/>
      <c r="G1144"/>
      <c r="H1144"/>
      <c r="I1144"/>
      <c r="J1144"/>
      <c r="K1144"/>
      <c r="L1144"/>
      <c r="M1144"/>
    </row>
    <row r="1145" spans="1:13" ht="15">
      <c r="A1145"/>
      <c r="B1145"/>
      <c r="C1145"/>
      <c r="D1145"/>
      <c r="E1145"/>
      <c r="F1145"/>
      <c r="G1145"/>
      <c r="H1145"/>
      <c r="I1145"/>
      <c r="J1145"/>
      <c r="K1145"/>
      <c r="L1145"/>
      <c r="M1145"/>
    </row>
    <row r="1146" spans="1:13" ht="15">
      <c r="A1146"/>
      <c r="B1146"/>
      <c r="C1146"/>
      <c r="D1146"/>
      <c r="E1146"/>
      <c r="F1146"/>
      <c r="G1146"/>
      <c r="H1146"/>
      <c r="I1146"/>
      <c r="J1146"/>
      <c r="K1146"/>
      <c r="L1146"/>
      <c r="M1146"/>
    </row>
    <row r="1147" spans="1:13" ht="15">
      <c r="A1147"/>
      <c r="B1147"/>
      <c r="C1147"/>
      <c r="D1147"/>
      <c r="E1147"/>
      <c r="F1147"/>
      <c r="G1147"/>
      <c r="H1147"/>
      <c r="I1147"/>
      <c r="J1147"/>
      <c r="K1147"/>
      <c r="L1147"/>
      <c r="M1147"/>
    </row>
    <row r="1148" spans="1:13" ht="15">
      <c r="A1148"/>
      <c r="B1148"/>
      <c r="C1148"/>
      <c r="D1148"/>
      <c r="E1148"/>
      <c r="F1148"/>
      <c r="G1148"/>
      <c r="H1148"/>
      <c r="I1148"/>
      <c r="J1148"/>
      <c r="K1148"/>
      <c r="L1148"/>
      <c r="M1148"/>
    </row>
    <row r="1149" spans="1:13" ht="15">
      <c r="A1149"/>
      <c r="B1149"/>
      <c r="C1149"/>
      <c r="D1149"/>
      <c r="E1149"/>
      <c r="F1149"/>
      <c r="G1149"/>
      <c r="H1149"/>
      <c r="I1149"/>
      <c r="J1149"/>
      <c r="K1149"/>
      <c r="L1149"/>
      <c r="M1149"/>
    </row>
    <row r="1150" spans="1:13" ht="15">
      <c r="A1150"/>
      <c r="B1150"/>
      <c r="C1150"/>
      <c r="D1150"/>
      <c r="E1150"/>
      <c r="F1150"/>
      <c r="G1150"/>
      <c r="H1150"/>
      <c r="I1150"/>
      <c r="J1150"/>
      <c r="K1150"/>
      <c r="L1150"/>
      <c r="M1150"/>
    </row>
    <row r="1151" spans="1:13" ht="15">
      <c r="A1151"/>
      <c r="B1151"/>
      <c r="C1151"/>
      <c r="D1151"/>
      <c r="E1151"/>
      <c r="F1151"/>
      <c r="G1151"/>
      <c r="H1151"/>
      <c r="I1151"/>
      <c r="J1151"/>
      <c r="K1151"/>
      <c r="L1151"/>
      <c r="M1151"/>
    </row>
    <row r="1152" spans="1:13" ht="15">
      <c r="A1152"/>
      <c r="B1152"/>
      <c r="C1152"/>
      <c r="D1152"/>
      <c r="E1152"/>
      <c r="F1152"/>
      <c r="G1152"/>
      <c r="H1152"/>
      <c r="I1152"/>
      <c r="J1152"/>
      <c r="K1152"/>
      <c r="L1152"/>
      <c r="M1152"/>
    </row>
    <row r="1153" spans="1:13" ht="15">
      <c r="A1153"/>
      <c r="B1153"/>
      <c r="C1153"/>
      <c r="D1153"/>
      <c r="E1153"/>
      <c r="F1153"/>
      <c r="G1153"/>
      <c r="H1153"/>
      <c r="I1153"/>
      <c r="J1153"/>
      <c r="K1153"/>
      <c r="L1153"/>
      <c r="M1153"/>
    </row>
    <row r="1154" spans="1:13" ht="15">
      <c r="A1154"/>
      <c r="B1154"/>
      <c r="C1154"/>
      <c r="D1154"/>
      <c r="E1154"/>
      <c r="F1154"/>
      <c r="G1154"/>
      <c r="H1154"/>
      <c r="I1154"/>
      <c r="J1154"/>
      <c r="K1154"/>
      <c r="L1154"/>
      <c r="M1154"/>
    </row>
    <row r="1155" spans="1:13" ht="15">
      <c r="A1155"/>
      <c r="B1155"/>
      <c r="C1155"/>
      <c r="D1155"/>
      <c r="E1155"/>
      <c r="F1155"/>
      <c r="G1155"/>
      <c r="H1155"/>
      <c r="I1155"/>
      <c r="J1155"/>
      <c r="K1155"/>
      <c r="L1155"/>
      <c r="M1155"/>
    </row>
    <row r="1156" spans="1:13" ht="15">
      <c r="A1156"/>
      <c r="B1156"/>
      <c r="C1156"/>
      <c r="D1156"/>
      <c r="E1156"/>
      <c r="F1156"/>
      <c r="G1156"/>
      <c r="H1156"/>
      <c r="I1156"/>
      <c r="J1156"/>
      <c r="K1156"/>
      <c r="L1156"/>
      <c r="M1156"/>
    </row>
    <row r="1157" spans="1:13" ht="15">
      <c r="A1157"/>
      <c r="B1157"/>
      <c r="C1157"/>
      <c r="D1157"/>
      <c r="E1157"/>
      <c r="F1157"/>
      <c r="G1157"/>
      <c r="H1157"/>
      <c r="I1157"/>
      <c r="J1157"/>
      <c r="K1157"/>
      <c r="L1157"/>
      <c r="M1157"/>
    </row>
    <row r="1158" spans="1:13" ht="15">
      <c r="A1158"/>
      <c r="B1158"/>
      <c r="C1158"/>
      <c r="D1158"/>
      <c r="E1158"/>
      <c r="F1158"/>
      <c r="G1158"/>
      <c r="H1158"/>
      <c r="I1158"/>
      <c r="J1158"/>
      <c r="K1158"/>
      <c r="L1158"/>
      <c r="M1158"/>
    </row>
    <row r="1159" spans="1:13" ht="15">
      <c r="A1159"/>
      <c r="B1159"/>
      <c r="C1159"/>
      <c r="D1159"/>
      <c r="E1159"/>
      <c r="F1159"/>
      <c r="G1159"/>
      <c r="H1159"/>
      <c r="I1159"/>
      <c r="J1159"/>
      <c r="K1159"/>
      <c r="L1159"/>
      <c r="M1159"/>
    </row>
    <row r="1160" spans="1:13" ht="15">
      <c r="A1160"/>
      <c r="B1160"/>
      <c r="C1160"/>
      <c r="D1160"/>
      <c r="E1160"/>
      <c r="F1160"/>
      <c r="G1160"/>
      <c r="H1160"/>
      <c r="I1160"/>
      <c r="J1160"/>
      <c r="K1160"/>
      <c r="L1160"/>
      <c r="M1160"/>
    </row>
    <row r="1161" spans="1:13" ht="15">
      <c r="A1161"/>
      <c r="B1161"/>
      <c r="C1161"/>
      <c r="D1161"/>
      <c r="E1161"/>
      <c r="F1161"/>
      <c r="G1161"/>
      <c r="H1161"/>
      <c r="I1161"/>
      <c r="J1161"/>
      <c r="K1161"/>
      <c r="L1161"/>
      <c r="M1161"/>
    </row>
    <row r="1162" spans="1:13" ht="15">
      <c r="A1162"/>
      <c r="B1162"/>
      <c r="C1162"/>
      <c r="D1162"/>
      <c r="E1162"/>
      <c r="F1162"/>
      <c r="G1162"/>
      <c r="H1162"/>
      <c r="I1162"/>
      <c r="J1162"/>
      <c r="K1162"/>
      <c r="L1162"/>
      <c r="M1162"/>
    </row>
    <row r="1163" spans="1:13" ht="15">
      <c r="A1163"/>
      <c r="B1163"/>
      <c r="C1163"/>
      <c r="D1163"/>
      <c r="E1163"/>
      <c r="F1163"/>
      <c r="G1163"/>
      <c r="H1163"/>
      <c r="I1163"/>
      <c r="J1163"/>
      <c r="K1163"/>
      <c r="L1163"/>
      <c r="M1163"/>
    </row>
    <row r="1164" spans="1:13" ht="15">
      <c r="A1164"/>
      <c r="B1164"/>
      <c r="C1164"/>
      <c r="D1164"/>
      <c r="E1164"/>
      <c r="F1164"/>
      <c r="G1164"/>
      <c r="H1164"/>
      <c r="I1164"/>
      <c r="J1164"/>
      <c r="K1164"/>
      <c r="L1164"/>
      <c r="M1164"/>
    </row>
    <row r="1165" spans="1:13" ht="15">
      <c r="A1165"/>
      <c r="B1165"/>
      <c r="C1165"/>
      <c r="D1165"/>
      <c r="E1165"/>
      <c r="F1165"/>
      <c r="G1165"/>
      <c r="H1165"/>
      <c r="I1165"/>
      <c r="J1165"/>
      <c r="K1165"/>
      <c r="L1165"/>
      <c r="M1165"/>
    </row>
    <row r="1166" spans="1:13" ht="15">
      <c r="A1166"/>
      <c r="B1166"/>
      <c r="C1166"/>
      <c r="D1166"/>
      <c r="E1166"/>
      <c r="F1166"/>
      <c r="G1166"/>
      <c r="H1166"/>
      <c r="I1166"/>
      <c r="J1166"/>
      <c r="K1166"/>
      <c r="L1166"/>
      <c r="M1166"/>
    </row>
    <row r="1167" spans="1:13" ht="15">
      <c r="A1167"/>
      <c r="B1167"/>
      <c r="C1167"/>
      <c r="D1167"/>
      <c r="E1167"/>
      <c r="F1167"/>
      <c r="G1167"/>
      <c r="H1167"/>
      <c r="I1167"/>
      <c r="J1167"/>
      <c r="K1167"/>
      <c r="L1167"/>
      <c r="M1167"/>
    </row>
    <row r="1168" spans="1:13" ht="15">
      <c r="A1168"/>
      <c r="B1168"/>
      <c r="C1168"/>
      <c r="D1168"/>
      <c r="E1168"/>
      <c r="F1168"/>
      <c r="G1168"/>
      <c r="H1168"/>
      <c r="I1168"/>
      <c r="J1168"/>
      <c r="K1168"/>
      <c r="L1168"/>
      <c r="M1168"/>
    </row>
    <row r="1169" spans="1:13" ht="15">
      <c r="A1169"/>
      <c r="B1169"/>
      <c r="C1169"/>
      <c r="D1169"/>
      <c r="E1169"/>
      <c r="F1169"/>
      <c r="G1169"/>
      <c r="H1169"/>
      <c r="I1169"/>
      <c r="J1169"/>
      <c r="K1169"/>
      <c r="L1169"/>
      <c r="M1169"/>
    </row>
    <row r="1170" spans="1:13" ht="15">
      <c r="A1170"/>
      <c r="B1170"/>
      <c r="C1170"/>
      <c r="D1170"/>
      <c r="E1170"/>
      <c r="F1170"/>
      <c r="G1170"/>
      <c r="H1170"/>
      <c r="I1170"/>
      <c r="J1170"/>
      <c r="K1170"/>
      <c r="L1170"/>
      <c r="M1170"/>
    </row>
    <row r="1171" spans="1:13" ht="15">
      <c r="A1171"/>
      <c r="B1171"/>
      <c r="C1171"/>
      <c r="D1171"/>
      <c r="E1171"/>
      <c r="F1171"/>
      <c r="G1171"/>
      <c r="H1171"/>
      <c r="I1171"/>
      <c r="J1171"/>
      <c r="K1171"/>
      <c r="L1171"/>
      <c r="M1171"/>
    </row>
    <row r="1172" spans="1:13" ht="15">
      <c r="A1172"/>
      <c r="B1172"/>
      <c r="C1172"/>
      <c r="D1172"/>
      <c r="E1172"/>
      <c r="F1172"/>
      <c r="G1172"/>
      <c r="H1172"/>
      <c r="I1172"/>
      <c r="J1172"/>
      <c r="K1172"/>
      <c r="L1172"/>
      <c r="M1172"/>
    </row>
    <row r="1173" spans="1:13" ht="15">
      <c r="A1173"/>
      <c r="B1173"/>
      <c r="C1173"/>
      <c r="D1173"/>
      <c r="E1173"/>
      <c r="F1173"/>
      <c r="G1173"/>
      <c r="H1173"/>
      <c r="I1173"/>
      <c r="J1173"/>
      <c r="K1173"/>
      <c r="L1173"/>
      <c r="M1173"/>
    </row>
    <row r="1174" spans="1:13" ht="15">
      <c r="A1174"/>
      <c r="B1174"/>
      <c r="C1174"/>
      <c r="D1174"/>
      <c r="E1174"/>
      <c r="F1174"/>
      <c r="G1174"/>
      <c r="H1174"/>
      <c r="I1174"/>
      <c r="J1174"/>
      <c r="K1174"/>
      <c r="L1174"/>
      <c r="M1174"/>
    </row>
    <row r="1175" spans="1:13" ht="15">
      <c r="A1175"/>
      <c r="B1175"/>
      <c r="C1175"/>
      <c r="D1175"/>
      <c r="E1175"/>
      <c r="F1175"/>
      <c r="G1175"/>
      <c r="H1175"/>
      <c r="I1175"/>
      <c r="J1175"/>
      <c r="K1175"/>
      <c r="L1175"/>
      <c r="M1175"/>
    </row>
    <row r="1176" spans="1:13" ht="15">
      <c r="A1176"/>
      <c r="B1176"/>
      <c r="C1176"/>
      <c r="D1176"/>
      <c r="E1176"/>
      <c r="F1176"/>
      <c r="G1176"/>
      <c r="H1176"/>
      <c r="I1176"/>
      <c r="J1176"/>
      <c r="K1176"/>
      <c r="L1176"/>
      <c r="M1176"/>
    </row>
    <row r="1177" spans="1:13" ht="15">
      <c r="A1177"/>
      <c r="B1177"/>
      <c r="C1177"/>
      <c r="D1177"/>
      <c r="E1177"/>
      <c r="F1177"/>
      <c r="G1177"/>
      <c r="H1177"/>
      <c r="I1177"/>
      <c r="J1177"/>
      <c r="K1177"/>
      <c r="L1177"/>
      <c r="M1177"/>
    </row>
    <row r="1178" spans="1:13" ht="15">
      <c r="A1178"/>
      <c r="B1178"/>
      <c r="C1178"/>
      <c r="D1178"/>
      <c r="E1178"/>
      <c r="F1178"/>
      <c r="G1178"/>
      <c r="H1178"/>
      <c r="I1178"/>
      <c r="J1178"/>
      <c r="K1178"/>
      <c r="L1178"/>
      <c r="M1178"/>
    </row>
    <row r="1179" spans="1:13" ht="15">
      <c r="A1179"/>
      <c r="B1179"/>
      <c r="C1179"/>
      <c r="D1179"/>
      <c r="E1179"/>
      <c r="F1179"/>
      <c r="G1179"/>
      <c r="H1179"/>
      <c r="I1179"/>
      <c r="J1179"/>
      <c r="K1179"/>
      <c r="L1179"/>
      <c r="M1179"/>
    </row>
    <row r="1180" spans="1:13" ht="15">
      <c r="A1180"/>
      <c r="B1180"/>
      <c r="C1180"/>
      <c r="D1180"/>
      <c r="E1180"/>
      <c r="F1180"/>
      <c r="G1180"/>
      <c r="H1180"/>
      <c r="I1180"/>
      <c r="J1180"/>
      <c r="K1180"/>
      <c r="L1180"/>
      <c r="M1180"/>
    </row>
    <row r="1181" spans="1:13" ht="15">
      <c r="A1181"/>
      <c r="B1181"/>
      <c r="C1181"/>
      <c r="D1181"/>
      <c r="E1181"/>
      <c r="F1181"/>
      <c r="G1181"/>
      <c r="H1181"/>
      <c r="I1181"/>
      <c r="J1181"/>
      <c r="K1181"/>
      <c r="L1181"/>
      <c r="M1181"/>
    </row>
    <row r="1182" spans="1:13" ht="15">
      <c r="A1182"/>
      <c r="B1182"/>
      <c r="C1182"/>
      <c r="D1182"/>
      <c r="E1182"/>
      <c r="F1182"/>
      <c r="G1182"/>
      <c r="H1182"/>
      <c r="I1182"/>
      <c r="J1182"/>
      <c r="K1182"/>
      <c r="L1182"/>
      <c r="M1182"/>
    </row>
    <row r="1183" spans="1:13" ht="15">
      <c r="A1183"/>
      <c r="B1183"/>
      <c r="C1183"/>
      <c r="D1183"/>
      <c r="E1183"/>
      <c r="F1183"/>
      <c r="G1183"/>
      <c r="H1183"/>
      <c r="I1183"/>
      <c r="J1183"/>
      <c r="K1183"/>
      <c r="L1183"/>
      <c r="M1183"/>
    </row>
    <row r="1184" spans="1:13" ht="15">
      <c r="A1184"/>
      <c r="B1184"/>
      <c r="C1184"/>
      <c r="D1184"/>
      <c r="E1184"/>
      <c r="F1184"/>
      <c r="G1184"/>
      <c r="H1184"/>
      <c r="I1184"/>
      <c r="J1184"/>
      <c r="K1184"/>
      <c r="L1184"/>
      <c r="M1184"/>
    </row>
    <row r="1185" spans="1:13" ht="15">
      <c r="A1185"/>
      <c r="B1185"/>
      <c r="C1185"/>
      <c r="D1185"/>
      <c r="E1185"/>
      <c r="F1185"/>
      <c r="G1185"/>
      <c r="H1185"/>
      <c r="I1185"/>
      <c r="J1185"/>
      <c r="K1185"/>
      <c r="L1185"/>
      <c r="M1185"/>
    </row>
    <row r="1186" spans="1:13" ht="15">
      <c r="A1186"/>
      <c r="B1186"/>
      <c r="C1186"/>
      <c r="D1186"/>
      <c r="E1186"/>
      <c r="F1186"/>
      <c r="G1186"/>
      <c r="H1186"/>
      <c r="I1186"/>
      <c r="J1186"/>
      <c r="K1186"/>
      <c r="L1186"/>
      <c r="M1186"/>
    </row>
    <row r="1187" spans="1:13" ht="15">
      <c r="A1187"/>
      <c r="B1187"/>
      <c r="C1187"/>
      <c r="D1187"/>
      <c r="E1187"/>
      <c r="F1187"/>
      <c r="G1187"/>
      <c r="H1187"/>
      <c r="I1187"/>
      <c r="J1187"/>
      <c r="K1187"/>
      <c r="L1187"/>
      <c r="M1187"/>
    </row>
    <row r="1188" spans="1:13" ht="15">
      <c r="A1188"/>
      <c r="B1188"/>
      <c r="C1188"/>
      <c r="D1188"/>
      <c r="E1188"/>
      <c r="F1188"/>
      <c r="G1188"/>
      <c r="H1188"/>
      <c r="I1188"/>
      <c r="J1188"/>
      <c r="K1188"/>
      <c r="L1188"/>
      <c r="M1188"/>
    </row>
    <row r="1189" spans="1:13" ht="15">
      <c r="A1189"/>
      <c r="B1189"/>
      <c r="C1189"/>
      <c r="D1189"/>
      <c r="E1189"/>
      <c r="F1189"/>
      <c r="G1189"/>
      <c r="H1189"/>
      <c r="I1189"/>
      <c r="J1189"/>
      <c r="K1189"/>
      <c r="L1189"/>
      <c r="M1189"/>
    </row>
    <row r="1190" spans="1:13" ht="15">
      <c r="A1190"/>
      <c r="B1190"/>
      <c r="C1190"/>
      <c r="D1190"/>
      <c r="E1190"/>
      <c r="F1190"/>
      <c r="G1190"/>
      <c r="H1190"/>
      <c r="I1190"/>
      <c r="J1190"/>
      <c r="K1190"/>
      <c r="L1190"/>
      <c r="M1190"/>
    </row>
    <row r="1191" spans="1:13" ht="15">
      <c r="A1191"/>
      <c r="B1191"/>
      <c r="C1191"/>
      <c r="D1191"/>
      <c r="E1191"/>
      <c r="F1191"/>
      <c r="G1191"/>
      <c r="H1191"/>
      <c r="I1191"/>
      <c r="J1191"/>
      <c r="K1191"/>
      <c r="L1191"/>
      <c r="M1191"/>
    </row>
    <row r="1192" spans="1:13" ht="15">
      <c r="A1192"/>
      <c r="B1192"/>
      <c r="C1192"/>
      <c r="D1192"/>
      <c r="E1192"/>
      <c r="F1192"/>
      <c r="G1192"/>
      <c r="H1192"/>
      <c r="I1192"/>
      <c r="J1192"/>
      <c r="K1192"/>
      <c r="L1192"/>
      <c r="M1192"/>
    </row>
    <row r="1193" spans="1:13" ht="15">
      <c r="A1193"/>
      <c r="B1193"/>
      <c r="C1193"/>
      <c r="D1193"/>
      <c r="E1193"/>
      <c r="F1193"/>
      <c r="G1193"/>
      <c r="H1193"/>
      <c r="I1193"/>
      <c r="J1193"/>
      <c r="K1193"/>
      <c r="L1193"/>
      <c r="M1193"/>
    </row>
    <row r="1194" spans="1:13" ht="15">
      <c r="A1194"/>
      <c r="B1194"/>
      <c r="C1194"/>
      <c r="D1194"/>
      <c r="E1194"/>
      <c r="F1194"/>
      <c r="G1194"/>
      <c r="H1194"/>
      <c r="I1194"/>
      <c r="J1194"/>
      <c r="K1194"/>
      <c r="L1194"/>
      <c r="M1194"/>
    </row>
    <row r="1195" spans="1:13" ht="15">
      <c r="A1195"/>
      <c r="B1195"/>
      <c r="C1195"/>
      <c r="D1195"/>
      <c r="E1195"/>
      <c r="F1195"/>
      <c r="G1195"/>
      <c r="H1195"/>
      <c r="I1195"/>
      <c r="J1195"/>
      <c r="K1195"/>
      <c r="L1195"/>
      <c r="M1195"/>
    </row>
    <row r="1196" spans="1:13" ht="15">
      <c r="A1196"/>
      <c r="B1196"/>
      <c r="C1196"/>
      <c r="D1196"/>
      <c r="E1196"/>
      <c r="F1196"/>
      <c r="G1196"/>
      <c r="H1196"/>
      <c r="I1196"/>
      <c r="J1196"/>
      <c r="K1196"/>
      <c r="L1196"/>
      <c r="M1196"/>
    </row>
    <row r="1197" spans="1:13" ht="15">
      <c r="A1197"/>
      <c r="B1197"/>
      <c r="C1197"/>
      <c r="D1197"/>
      <c r="E1197"/>
      <c r="F1197"/>
      <c r="G1197"/>
      <c r="H1197"/>
      <c r="I1197"/>
      <c r="J1197"/>
      <c r="K1197"/>
      <c r="L1197"/>
      <c r="M1197"/>
    </row>
    <row r="1198" spans="1:13" ht="15">
      <c r="A1198"/>
      <c r="B1198"/>
      <c r="C1198"/>
      <c r="D1198"/>
      <c r="E1198"/>
      <c r="F1198"/>
      <c r="G1198"/>
      <c r="H1198"/>
      <c r="I1198"/>
      <c r="J1198"/>
      <c r="K1198"/>
      <c r="L1198"/>
      <c r="M1198"/>
    </row>
    <row r="1199" spans="1:13" ht="15">
      <c r="A1199"/>
      <c r="B1199"/>
      <c r="C1199"/>
      <c r="D1199"/>
      <c r="E1199"/>
      <c r="F1199"/>
      <c r="G1199"/>
      <c r="H1199"/>
      <c r="I1199"/>
      <c r="J1199"/>
      <c r="K1199"/>
      <c r="L1199"/>
      <c r="M1199"/>
    </row>
    <row r="1200" spans="1:13" ht="15">
      <c r="A1200"/>
      <c r="B1200"/>
      <c r="C1200"/>
      <c r="D1200"/>
      <c r="E1200"/>
      <c r="F1200"/>
      <c r="G1200"/>
      <c r="H1200"/>
      <c r="I1200"/>
      <c r="J1200"/>
      <c r="K1200"/>
      <c r="L1200"/>
      <c r="M1200"/>
    </row>
    <row r="1201" spans="1:13" ht="15">
      <c r="A1201"/>
      <c r="B1201"/>
      <c r="C1201"/>
      <c r="D1201"/>
      <c r="E1201"/>
      <c r="F1201"/>
      <c r="G1201"/>
      <c r="H1201"/>
      <c r="I1201"/>
      <c r="J1201"/>
      <c r="K1201"/>
      <c r="L1201"/>
      <c r="M1201"/>
    </row>
    <row r="1202" spans="1:13" ht="15">
      <c r="A1202"/>
      <c r="B1202"/>
      <c r="C1202"/>
      <c r="D1202"/>
      <c r="E1202"/>
      <c r="F1202"/>
      <c r="G1202"/>
      <c r="H1202"/>
      <c r="I1202"/>
      <c r="J1202"/>
      <c r="K1202"/>
      <c r="L1202"/>
      <c r="M1202"/>
    </row>
    <row r="1203" spans="1:13" ht="15">
      <c r="A1203"/>
      <c r="B1203"/>
      <c r="C1203"/>
      <c r="D1203"/>
      <c r="E1203"/>
      <c r="F1203"/>
      <c r="G1203"/>
      <c r="H1203"/>
      <c r="I1203"/>
      <c r="J1203"/>
      <c r="K1203"/>
      <c r="L1203"/>
      <c r="M1203"/>
    </row>
    <row r="1204" spans="1:13" ht="15">
      <c r="A1204"/>
      <c r="B1204"/>
      <c r="C1204"/>
      <c r="D1204"/>
      <c r="E1204"/>
      <c r="F1204"/>
      <c r="G1204"/>
      <c r="H1204"/>
      <c r="I1204"/>
      <c r="J1204"/>
      <c r="K1204"/>
      <c r="L1204"/>
      <c r="M1204"/>
    </row>
    <row r="1205" spans="1:13" ht="15">
      <c r="A1205"/>
      <c r="B1205"/>
      <c r="C1205"/>
      <c r="D1205"/>
      <c r="E1205"/>
      <c r="F1205"/>
      <c r="G1205"/>
      <c r="H1205"/>
      <c r="I1205"/>
      <c r="J1205"/>
      <c r="K1205"/>
      <c r="L1205"/>
      <c r="M1205"/>
    </row>
    <row r="1206" spans="1:13" ht="15">
      <c r="A1206"/>
      <c r="B1206"/>
      <c r="C1206"/>
      <c r="D1206"/>
      <c r="E1206"/>
      <c r="F1206"/>
      <c r="G1206"/>
      <c r="H1206"/>
      <c r="I1206"/>
      <c r="J1206"/>
      <c r="K1206"/>
      <c r="L1206"/>
      <c r="M1206"/>
    </row>
    <row r="1207" spans="1:13" ht="15">
      <c r="A1207"/>
      <c r="B1207"/>
      <c r="C1207"/>
      <c r="D1207"/>
      <c r="E1207"/>
      <c r="F1207"/>
      <c r="G1207"/>
      <c r="H1207"/>
      <c r="I1207"/>
      <c r="J1207"/>
      <c r="K1207"/>
      <c r="L1207"/>
      <c r="M1207"/>
    </row>
    <row r="1208" spans="1:13" ht="15">
      <c r="A1208"/>
      <c r="B1208"/>
      <c r="C1208"/>
      <c r="D1208"/>
      <c r="E1208"/>
      <c r="F1208"/>
      <c r="G1208"/>
      <c r="H1208"/>
      <c r="I1208"/>
      <c r="J1208"/>
      <c r="K1208"/>
      <c r="L1208"/>
      <c r="M1208"/>
    </row>
    <row r="1209" spans="1:13" ht="15">
      <c r="A1209"/>
      <c r="B1209"/>
      <c r="C1209"/>
      <c r="D1209"/>
      <c r="E1209"/>
      <c r="F1209"/>
      <c r="G1209"/>
      <c r="H1209"/>
      <c r="I1209"/>
      <c r="J1209"/>
      <c r="K1209"/>
      <c r="L1209"/>
      <c r="M1209"/>
    </row>
    <row r="1210" spans="1:13" ht="15">
      <c r="A1210"/>
      <c r="B1210"/>
      <c r="C1210"/>
      <c r="D1210"/>
      <c r="E1210"/>
      <c r="F1210"/>
      <c r="G1210"/>
      <c r="H1210"/>
      <c r="I1210"/>
      <c r="J1210"/>
      <c r="K1210"/>
      <c r="L1210"/>
      <c r="M1210"/>
    </row>
    <row r="1211" spans="1:13" ht="15">
      <c r="A1211"/>
      <c r="B1211"/>
      <c r="C1211"/>
      <c r="D1211"/>
      <c r="E1211"/>
      <c r="F1211"/>
      <c r="G1211"/>
      <c r="H1211"/>
      <c r="I1211"/>
      <c r="J1211"/>
      <c r="K1211"/>
      <c r="L1211"/>
      <c r="M1211"/>
    </row>
    <row r="1212" spans="1:13" ht="15">
      <c r="A1212"/>
      <c r="B1212"/>
      <c r="C1212"/>
      <c r="D1212"/>
      <c r="E1212"/>
      <c r="F1212"/>
      <c r="G1212"/>
      <c r="H1212"/>
      <c r="I1212"/>
      <c r="J1212"/>
      <c r="K1212"/>
      <c r="L1212"/>
      <c r="M1212"/>
    </row>
    <row r="1213" spans="1:13" ht="15">
      <c r="A1213"/>
      <c r="B1213"/>
      <c r="C1213"/>
      <c r="D1213"/>
      <c r="E1213"/>
      <c r="F1213"/>
      <c r="G1213"/>
      <c r="H1213"/>
      <c r="I1213"/>
      <c r="J1213"/>
      <c r="K1213"/>
      <c r="L1213"/>
      <c r="M1213"/>
    </row>
    <row r="1214" spans="1:13" ht="15">
      <c r="A1214"/>
      <c r="B1214"/>
      <c r="C1214"/>
      <c r="D1214"/>
      <c r="E1214"/>
      <c r="F1214"/>
      <c r="G1214"/>
      <c r="H1214"/>
      <c r="I1214"/>
      <c r="J1214"/>
      <c r="K1214"/>
      <c r="L1214"/>
      <c r="M1214"/>
    </row>
    <row r="1215" spans="1:13" ht="15">
      <c r="A1215"/>
      <c r="B1215"/>
      <c r="C1215"/>
      <c r="D1215"/>
      <c r="E1215"/>
      <c r="F1215"/>
      <c r="G1215"/>
      <c r="H1215"/>
      <c r="I1215"/>
      <c r="J1215"/>
      <c r="K1215"/>
      <c r="L1215"/>
      <c r="M1215"/>
    </row>
    <row r="1216" spans="1:13" ht="15">
      <c r="A1216"/>
      <c r="B1216"/>
      <c r="C1216"/>
      <c r="D1216"/>
      <c r="E1216"/>
      <c r="F1216"/>
      <c r="G1216"/>
      <c r="H1216"/>
      <c r="I1216"/>
      <c r="J1216"/>
      <c r="K1216"/>
      <c r="L1216"/>
      <c r="M1216"/>
    </row>
    <row r="1217" spans="1:13" ht="15">
      <c r="A1217"/>
      <c r="B1217"/>
      <c r="C1217"/>
      <c r="D1217"/>
      <c r="E1217"/>
      <c r="F1217"/>
      <c r="G1217"/>
      <c r="H1217"/>
      <c r="I1217"/>
      <c r="J1217"/>
      <c r="K1217"/>
      <c r="L1217"/>
      <c r="M1217"/>
    </row>
    <row r="1218" spans="1:13" ht="15">
      <c r="A1218"/>
      <c r="B1218"/>
      <c r="C1218"/>
      <c r="D1218"/>
      <c r="E1218"/>
      <c r="F1218"/>
      <c r="G1218"/>
      <c r="H1218"/>
      <c r="I1218"/>
      <c r="J1218"/>
      <c r="K1218"/>
      <c r="L1218"/>
      <c r="M1218"/>
    </row>
    <row r="1219" spans="1:13" ht="15">
      <c r="A1219"/>
      <c r="B1219"/>
      <c r="C1219"/>
      <c r="D1219"/>
      <c r="E1219"/>
      <c r="F1219"/>
      <c r="G1219"/>
      <c r="H1219"/>
      <c r="I1219"/>
      <c r="J1219"/>
      <c r="K1219"/>
      <c r="L1219"/>
      <c r="M1219"/>
    </row>
    <row r="1220" spans="1:13" ht="15">
      <c r="A1220"/>
      <c r="B1220"/>
      <c r="C1220"/>
      <c r="D1220"/>
      <c r="E1220"/>
      <c r="F1220"/>
      <c r="G1220"/>
      <c r="H1220"/>
      <c r="I1220"/>
      <c r="J1220"/>
      <c r="K1220"/>
      <c r="L1220"/>
      <c r="M1220"/>
    </row>
    <row r="1221" spans="1:13" ht="15">
      <c r="A1221"/>
      <c r="B1221"/>
      <c r="C1221"/>
      <c r="D1221"/>
      <c r="E1221"/>
      <c r="F1221"/>
      <c r="G1221"/>
      <c r="H1221"/>
      <c r="I1221"/>
      <c r="J1221"/>
      <c r="K1221"/>
      <c r="L1221"/>
      <c r="M1221"/>
    </row>
    <row r="1222" spans="1:13" ht="15">
      <c r="A1222"/>
      <c r="B1222"/>
      <c r="C1222"/>
      <c r="D1222"/>
      <c r="E1222"/>
      <c r="F1222"/>
      <c r="G1222"/>
      <c r="H1222"/>
      <c r="I1222"/>
      <c r="J1222"/>
      <c r="K1222"/>
      <c r="L1222"/>
      <c r="M1222"/>
    </row>
    <row r="1223" spans="1:13" ht="15">
      <c r="A1223"/>
      <c r="B1223"/>
      <c r="C1223"/>
      <c r="D1223"/>
      <c r="E1223"/>
      <c r="F1223"/>
      <c r="G1223"/>
      <c r="H1223"/>
      <c r="I1223"/>
      <c r="J1223"/>
      <c r="K1223"/>
      <c r="L1223"/>
      <c r="M1223"/>
    </row>
    <row r="1224" spans="1:13" ht="15">
      <c r="A1224"/>
      <c r="B1224"/>
      <c r="C1224"/>
      <c r="D1224"/>
      <c r="E1224"/>
      <c r="F1224"/>
      <c r="G1224"/>
      <c r="H1224"/>
      <c r="I1224"/>
      <c r="J1224"/>
      <c r="K1224"/>
      <c r="L1224"/>
      <c r="M1224"/>
    </row>
    <row r="1225" spans="1:13" ht="15">
      <c r="A1225"/>
      <c r="B1225"/>
      <c r="C1225"/>
      <c r="D1225"/>
      <c r="E1225"/>
      <c r="F1225"/>
      <c r="G1225"/>
      <c r="H1225"/>
      <c r="I1225"/>
      <c r="J1225"/>
      <c r="K1225"/>
      <c r="L1225"/>
      <c r="M1225"/>
    </row>
    <row r="1226" spans="1:13" ht="15">
      <c r="A1226"/>
      <c r="B1226"/>
      <c r="C1226"/>
      <c r="D1226"/>
      <c r="E1226"/>
      <c r="F1226"/>
      <c r="G1226"/>
      <c r="H1226"/>
      <c r="I1226"/>
      <c r="J1226"/>
      <c r="K1226"/>
      <c r="L1226"/>
      <c r="M1226"/>
    </row>
    <row r="1227" spans="1:13" ht="15">
      <c r="A1227"/>
      <c r="B1227"/>
      <c r="C1227"/>
      <c r="D1227"/>
      <c r="E1227"/>
      <c r="F1227"/>
      <c r="G1227"/>
      <c r="H1227"/>
      <c r="I1227"/>
      <c r="J1227"/>
      <c r="K1227"/>
      <c r="L1227"/>
      <c r="M1227"/>
    </row>
    <row r="1228" spans="1:13" ht="15">
      <c r="A1228"/>
      <c r="B1228"/>
      <c r="C1228"/>
      <c r="D1228"/>
      <c r="E1228"/>
      <c r="F1228"/>
      <c r="G1228"/>
      <c r="H1228"/>
      <c r="I1228"/>
      <c r="J1228"/>
      <c r="K1228"/>
      <c r="L1228"/>
      <c r="M1228"/>
    </row>
    <row r="1229" spans="1:13" ht="15">
      <c r="A1229"/>
      <c r="B1229"/>
      <c r="C1229"/>
      <c r="D1229"/>
      <c r="E1229"/>
      <c r="F1229"/>
      <c r="G1229"/>
      <c r="H1229"/>
      <c r="I1229"/>
      <c r="J1229"/>
      <c r="K1229"/>
      <c r="L1229"/>
      <c r="M1229"/>
    </row>
    <row r="1230" spans="1:13" ht="15">
      <c r="A1230"/>
      <c r="B1230"/>
      <c r="C1230"/>
      <c r="D1230"/>
      <c r="E1230"/>
      <c r="F1230"/>
      <c r="G1230"/>
      <c r="H1230"/>
      <c r="I1230"/>
      <c r="J1230"/>
      <c r="K1230"/>
      <c r="L1230"/>
      <c r="M1230"/>
    </row>
    <row r="1231" spans="1:13" ht="15">
      <c r="A1231"/>
      <c r="B1231"/>
      <c r="C1231"/>
      <c r="D1231"/>
      <c r="E1231"/>
      <c r="F1231"/>
      <c r="G1231"/>
      <c r="H1231"/>
      <c r="I1231"/>
      <c r="J1231"/>
      <c r="K1231"/>
      <c r="L1231"/>
      <c r="M1231"/>
    </row>
    <row r="1232" spans="1:13" ht="15">
      <c r="A1232"/>
      <c r="B1232"/>
      <c r="C1232"/>
      <c r="D1232"/>
      <c r="E1232"/>
      <c r="F1232"/>
      <c r="G1232"/>
      <c r="H1232"/>
      <c r="I1232"/>
      <c r="J1232"/>
      <c r="K1232"/>
      <c r="L1232"/>
      <c r="M1232"/>
    </row>
    <row r="1233" spans="1:13" ht="15">
      <c r="A1233"/>
      <c r="B1233"/>
      <c r="C1233"/>
      <c r="D1233"/>
      <c r="E1233"/>
      <c r="F1233"/>
      <c r="G1233"/>
      <c r="H1233"/>
      <c r="I1233"/>
      <c r="J1233"/>
      <c r="K1233"/>
      <c r="L1233"/>
      <c r="M1233"/>
    </row>
    <row r="1234" spans="1:13" ht="15">
      <c r="A1234"/>
      <c r="B1234"/>
      <c r="C1234"/>
      <c r="D1234"/>
      <c r="E1234"/>
      <c r="F1234"/>
      <c r="G1234"/>
      <c r="H1234"/>
      <c r="I1234"/>
      <c r="J1234"/>
      <c r="K1234"/>
      <c r="L1234"/>
      <c r="M1234"/>
    </row>
    <row r="1235" spans="1:13" ht="15">
      <c r="A1235"/>
      <c r="B1235"/>
      <c r="C1235"/>
      <c r="D1235"/>
      <c r="E1235"/>
      <c r="F1235"/>
      <c r="G1235"/>
      <c r="H1235"/>
      <c r="I1235"/>
      <c r="J1235"/>
      <c r="K1235"/>
      <c r="L1235"/>
      <c r="M1235"/>
    </row>
    <row r="1236" spans="1:13" ht="15">
      <c r="A1236"/>
      <c r="B1236"/>
      <c r="C1236"/>
      <c r="D1236"/>
      <c r="E1236"/>
      <c r="F1236"/>
      <c r="G1236"/>
      <c r="H1236"/>
      <c r="I1236"/>
      <c r="J1236"/>
      <c r="K1236"/>
      <c r="L1236"/>
      <c r="M1236"/>
    </row>
    <row r="1237" spans="1:13" ht="15">
      <c r="A1237"/>
      <c r="B1237"/>
      <c r="C1237"/>
      <c r="D1237"/>
      <c r="E1237"/>
      <c r="F1237"/>
      <c r="G1237"/>
      <c r="H1237"/>
      <c r="I1237"/>
      <c r="J1237"/>
      <c r="K1237"/>
      <c r="L1237"/>
      <c r="M1237"/>
    </row>
    <row r="1238" spans="1:13" ht="15">
      <c r="A1238"/>
      <c r="B1238"/>
      <c r="C1238"/>
      <c r="D1238"/>
      <c r="E1238"/>
      <c r="F1238"/>
      <c r="G1238"/>
      <c r="H1238"/>
      <c r="I1238"/>
      <c r="J1238"/>
      <c r="K1238"/>
      <c r="L1238"/>
      <c r="M1238"/>
    </row>
    <row r="1239" spans="1:13" ht="15">
      <c r="A1239"/>
      <c r="B1239"/>
      <c r="C1239"/>
      <c r="D1239"/>
      <c r="E1239"/>
      <c r="F1239"/>
      <c r="G1239"/>
      <c r="H1239"/>
      <c r="I1239"/>
      <c r="J1239"/>
      <c r="K1239"/>
      <c r="L1239"/>
      <c r="M1239"/>
    </row>
    <row r="1240" spans="1:13" ht="15">
      <c r="A1240"/>
      <c r="B1240"/>
      <c r="C1240"/>
      <c r="D1240"/>
      <c r="E1240"/>
      <c r="F1240"/>
      <c r="G1240"/>
      <c r="H1240"/>
      <c r="I1240"/>
      <c r="J1240"/>
      <c r="K1240"/>
      <c r="L1240"/>
      <c r="M1240"/>
    </row>
    <row r="1241" spans="1:13" ht="15">
      <c r="A1241"/>
      <c r="B1241"/>
      <c r="C1241"/>
      <c r="D1241"/>
      <c r="E1241"/>
      <c r="F1241"/>
      <c r="G1241"/>
      <c r="H1241"/>
      <c r="I1241"/>
      <c r="J1241"/>
      <c r="K1241"/>
      <c r="L1241"/>
      <c r="M1241"/>
    </row>
    <row r="1242" spans="1:13" ht="15">
      <c r="A1242"/>
      <c r="B1242"/>
      <c r="C1242"/>
      <c r="D1242"/>
      <c r="E1242"/>
      <c r="F1242"/>
      <c r="G1242"/>
      <c r="H1242"/>
      <c r="I1242"/>
      <c r="J1242"/>
      <c r="K1242"/>
      <c r="L1242"/>
      <c r="M1242"/>
    </row>
    <row r="1243" spans="1:13" ht="15">
      <c r="A1243"/>
      <c r="B1243"/>
      <c r="C1243"/>
      <c r="D1243"/>
      <c r="E1243"/>
      <c r="F1243"/>
      <c r="G1243"/>
      <c r="H1243"/>
      <c r="I1243"/>
      <c r="J1243"/>
      <c r="K1243"/>
      <c r="L1243"/>
      <c r="M1243"/>
    </row>
    <row r="1244" spans="1:13" ht="15">
      <c r="A1244"/>
      <c r="B1244"/>
      <c r="C1244"/>
      <c r="D1244"/>
      <c r="E1244"/>
      <c r="F1244"/>
      <c r="G1244"/>
      <c r="H1244"/>
      <c r="I1244"/>
      <c r="J1244"/>
      <c r="K1244"/>
      <c r="L1244"/>
      <c r="M1244"/>
    </row>
    <row r="1245" spans="1:13" ht="15">
      <c r="A1245"/>
      <c r="B1245"/>
      <c r="C1245"/>
      <c r="D1245"/>
      <c r="E1245"/>
      <c r="F1245"/>
      <c r="G1245"/>
      <c r="H1245"/>
      <c r="I1245"/>
      <c r="J1245"/>
      <c r="K1245"/>
      <c r="L1245"/>
      <c r="M1245"/>
    </row>
    <row r="1246" spans="1:13" ht="15">
      <c r="A1246"/>
      <c r="B1246"/>
      <c r="C1246"/>
      <c r="D1246"/>
      <c r="E1246"/>
      <c r="F1246"/>
      <c r="G1246"/>
      <c r="H1246"/>
      <c r="I1246"/>
      <c r="J1246"/>
      <c r="K1246"/>
      <c r="L1246"/>
      <c r="M1246"/>
    </row>
    <row r="1247" spans="1:13" ht="15">
      <c r="A1247"/>
      <c r="B1247"/>
      <c r="C1247"/>
      <c r="D1247"/>
      <c r="E1247"/>
      <c r="F1247"/>
      <c r="G1247"/>
      <c r="H1247"/>
      <c r="I1247"/>
      <c r="J1247"/>
      <c r="K1247"/>
      <c r="L1247"/>
      <c r="M1247"/>
    </row>
    <row r="1248" spans="1:13" ht="15">
      <c r="A1248"/>
      <c r="B1248"/>
      <c r="C1248"/>
      <c r="D1248"/>
      <c r="E1248"/>
      <c r="F1248"/>
      <c r="G1248"/>
      <c r="H1248"/>
      <c r="I1248"/>
      <c r="J1248"/>
      <c r="K1248"/>
      <c r="L1248"/>
      <c r="M1248"/>
    </row>
    <row r="1249" spans="1:13" ht="15">
      <c r="A1249"/>
      <c r="B1249"/>
      <c r="C1249"/>
      <c r="D1249"/>
      <c r="E1249"/>
      <c r="F1249"/>
      <c r="G1249"/>
      <c r="H1249"/>
      <c r="I1249"/>
      <c r="J1249"/>
      <c r="K1249"/>
      <c r="L1249"/>
      <c r="M1249"/>
    </row>
    <row r="1250" spans="1:13" ht="15">
      <c r="A1250"/>
      <c r="B1250"/>
      <c r="C1250"/>
      <c r="D1250"/>
      <c r="E1250"/>
      <c r="F1250"/>
      <c r="G1250"/>
      <c r="H1250"/>
      <c r="I1250"/>
      <c r="J1250"/>
      <c r="K1250"/>
      <c r="L1250"/>
      <c r="M1250"/>
    </row>
    <row r="1251" spans="1:13" ht="15">
      <c r="A1251"/>
      <c r="B1251"/>
      <c r="C1251"/>
      <c r="D1251"/>
      <c r="E1251"/>
      <c r="F1251"/>
      <c r="G1251"/>
      <c r="H1251"/>
      <c r="I1251"/>
      <c r="J1251"/>
      <c r="K1251"/>
      <c r="L1251"/>
      <c r="M1251"/>
    </row>
    <row r="1252" spans="1:13" ht="15">
      <c r="A1252"/>
      <c r="B1252"/>
      <c r="C1252"/>
      <c r="D1252"/>
      <c r="E1252"/>
      <c r="F1252"/>
      <c r="G1252"/>
      <c r="H1252"/>
      <c r="I1252"/>
      <c r="J1252"/>
      <c r="K1252"/>
      <c r="L1252"/>
      <c r="M1252"/>
    </row>
    <row r="1253" spans="1:13" ht="15">
      <c r="A1253"/>
      <c r="B1253"/>
      <c r="C1253"/>
      <c r="D1253"/>
      <c r="E1253"/>
      <c r="F1253"/>
      <c r="G1253"/>
      <c r="H1253"/>
      <c r="I1253"/>
      <c r="J1253"/>
      <c r="K1253"/>
      <c r="L1253"/>
      <c r="M1253"/>
    </row>
    <row r="1254" spans="1:13" ht="15">
      <c r="A1254"/>
      <c r="B1254"/>
      <c r="C1254"/>
      <c r="D1254"/>
      <c r="E1254"/>
      <c r="F1254"/>
      <c r="G1254"/>
      <c r="H1254"/>
      <c r="I1254"/>
      <c r="J1254"/>
      <c r="K1254"/>
      <c r="L1254"/>
      <c r="M1254"/>
    </row>
    <row r="1255" spans="1:13" ht="15">
      <c r="A1255"/>
      <c r="B1255"/>
      <c r="C1255"/>
      <c r="D1255"/>
      <c r="E1255"/>
      <c r="F1255"/>
      <c r="G1255"/>
      <c r="H1255"/>
      <c r="I1255"/>
      <c r="J1255"/>
      <c r="K1255"/>
      <c r="L1255"/>
      <c r="M1255"/>
    </row>
    <row r="1256" spans="1:13" ht="15">
      <c r="A1256"/>
      <c r="B1256"/>
      <c r="C1256"/>
      <c r="D1256"/>
      <c r="E1256"/>
      <c r="F1256"/>
      <c r="G1256"/>
      <c r="H1256"/>
      <c r="I1256"/>
      <c r="J1256"/>
      <c r="K1256"/>
      <c r="L1256"/>
      <c r="M1256"/>
    </row>
    <row r="1257" spans="1:13" ht="15">
      <c r="A1257"/>
      <c r="B1257"/>
      <c r="C1257"/>
      <c r="D1257"/>
      <c r="E1257"/>
      <c r="F1257"/>
      <c r="G1257"/>
      <c r="H1257"/>
      <c r="I1257"/>
      <c r="J1257"/>
      <c r="K1257"/>
      <c r="L1257"/>
      <c r="M1257"/>
    </row>
    <row r="1258" spans="1:13" ht="15">
      <c r="A1258"/>
      <c r="B1258"/>
      <c r="C1258"/>
      <c r="D1258"/>
      <c r="E1258"/>
      <c r="F1258"/>
      <c r="G1258"/>
      <c r="H1258"/>
      <c r="I1258"/>
      <c r="J1258"/>
      <c r="K1258"/>
      <c r="L1258"/>
      <c r="M1258"/>
    </row>
    <row r="1259" spans="1:13" ht="15">
      <c r="A1259"/>
      <c r="B1259"/>
      <c r="C1259"/>
      <c r="D1259"/>
      <c r="E1259"/>
      <c r="F1259"/>
      <c r="G1259"/>
      <c r="H1259"/>
      <c r="I1259"/>
      <c r="J1259"/>
      <c r="K1259"/>
      <c r="L1259"/>
      <c r="M1259"/>
    </row>
    <row r="1260" spans="1:13" ht="15">
      <c r="A1260"/>
      <c r="B1260"/>
      <c r="C1260"/>
      <c r="D1260"/>
      <c r="E1260"/>
      <c r="F1260"/>
      <c r="G1260"/>
      <c r="H1260"/>
      <c r="I1260"/>
      <c r="J1260"/>
      <c r="K1260"/>
      <c r="L1260"/>
      <c r="M1260"/>
    </row>
    <row r="1261" spans="1:13" ht="15">
      <c r="A1261"/>
      <c r="B1261"/>
      <c r="C1261"/>
      <c r="D1261"/>
      <c r="E1261"/>
      <c r="F1261"/>
      <c r="G1261"/>
      <c r="H1261"/>
      <c r="I1261"/>
      <c r="J1261"/>
      <c r="K1261"/>
      <c r="L1261"/>
      <c r="M1261"/>
    </row>
    <row r="1262" spans="1:13" ht="15">
      <c r="A1262"/>
      <c r="B1262"/>
      <c r="C1262"/>
      <c r="D1262"/>
      <c r="E1262"/>
      <c r="F1262"/>
      <c r="G1262"/>
      <c r="H1262"/>
      <c r="I1262"/>
      <c r="J1262"/>
      <c r="K1262"/>
      <c r="L1262"/>
      <c r="M1262"/>
    </row>
    <row r="1263" spans="1:13" ht="15">
      <c r="A1263"/>
      <c r="B1263"/>
      <c r="C1263"/>
      <c r="D1263"/>
      <c r="E1263"/>
      <c r="F1263"/>
      <c r="G1263"/>
      <c r="H1263"/>
      <c r="I1263"/>
      <c r="J1263"/>
      <c r="K1263"/>
      <c r="L1263"/>
      <c r="M1263"/>
    </row>
    <row r="1264" spans="1:13" ht="15">
      <c r="A1264"/>
      <c r="B1264"/>
      <c r="C1264"/>
      <c r="D1264"/>
      <c r="E1264"/>
      <c r="F1264"/>
      <c r="G1264"/>
      <c r="H1264"/>
      <c r="I1264"/>
      <c r="J1264"/>
      <c r="K1264"/>
      <c r="L1264"/>
      <c r="M1264"/>
    </row>
    <row r="1265" spans="1:13" ht="15">
      <c r="A1265"/>
      <c r="B1265"/>
      <c r="C1265"/>
      <c r="D1265"/>
      <c r="E1265"/>
      <c r="F1265"/>
      <c r="G1265"/>
      <c r="H1265"/>
      <c r="I1265"/>
      <c r="J1265"/>
      <c r="K1265"/>
      <c r="L1265"/>
      <c r="M1265"/>
    </row>
    <row r="1266" spans="1:13" ht="15">
      <c r="A1266"/>
      <c r="B1266"/>
      <c r="C1266"/>
      <c r="D1266"/>
      <c r="E1266"/>
      <c r="F1266"/>
      <c r="G1266"/>
      <c r="H1266"/>
      <c r="I1266"/>
      <c r="J1266"/>
      <c r="K1266"/>
      <c r="L1266"/>
      <c r="M1266"/>
    </row>
    <row r="1267" spans="1:13" ht="15">
      <c r="A1267"/>
      <c r="B1267"/>
      <c r="C1267"/>
      <c r="D1267"/>
      <c r="E1267"/>
      <c r="F1267"/>
      <c r="G1267"/>
      <c r="H1267"/>
      <c r="I1267"/>
      <c r="J1267"/>
      <c r="K1267"/>
      <c r="L1267"/>
      <c r="M1267"/>
    </row>
    <row r="1268" spans="1:13" ht="15">
      <c r="A1268"/>
      <c r="B1268"/>
      <c r="C1268"/>
      <c r="D1268"/>
      <c r="E1268"/>
      <c r="F1268"/>
      <c r="G1268"/>
      <c r="H1268"/>
      <c r="I1268"/>
      <c r="J1268"/>
      <c r="K1268"/>
      <c r="L1268"/>
      <c r="M1268"/>
    </row>
    <row r="1269" spans="1:13" ht="15">
      <c r="A1269"/>
      <c r="B1269"/>
      <c r="C1269"/>
      <c r="D1269"/>
      <c r="E1269"/>
      <c r="F1269"/>
      <c r="G1269"/>
      <c r="H1269"/>
      <c r="I1269"/>
      <c r="J1269"/>
      <c r="K1269"/>
      <c r="L1269"/>
      <c r="M1269"/>
    </row>
    <row r="1270" spans="1:13" ht="15">
      <c r="A1270"/>
      <c r="B1270"/>
      <c r="C1270"/>
      <c r="D1270"/>
      <c r="E1270"/>
      <c r="F1270"/>
      <c r="G1270"/>
      <c r="H1270"/>
      <c r="I1270"/>
      <c r="J1270"/>
      <c r="K1270"/>
      <c r="L1270"/>
      <c r="M1270"/>
    </row>
    <row r="1271" spans="1:13" ht="15">
      <c r="A1271"/>
      <c r="B1271"/>
      <c r="C1271"/>
      <c r="D1271"/>
      <c r="E1271"/>
      <c r="F1271"/>
      <c r="G1271"/>
      <c r="H1271"/>
      <c r="I1271"/>
      <c r="J1271"/>
      <c r="K1271"/>
      <c r="L1271"/>
      <c r="M1271"/>
    </row>
    <row r="1272" spans="1:13" ht="15">
      <c r="A1272"/>
      <c r="B1272"/>
      <c r="C1272"/>
      <c r="D1272"/>
      <c r="E1272"/>
      <c r="F1272"/>
      <c r="G1272"/>
      <c r="H1272"/>
      <c r="I1272"/>
      <c r="J1272"/>
      <c r="K1272"/>
      <c r="L1272"/>
      <c r="M1272"/>
    </row>
    <row r="1273" spans="1:13" ht="15">
      <c r="A1273"/>
      <c r="B1273"/>
      <c r="C1273"/>
      <c r="D1273"/>
      <c r="E1273"/>
      <c r="F1273"/>
      <c r="G1273"/>
      <c r="H1273"/>
      <c r="I1273"/>
      <c r="J1273"/>
      <c r="K1273"/>
      <c r="L1273"/>
      <c r="M1273"/>
    </row>
    <row r="1274" spans="1:13" ht="15">
      <c r="A1274"/>
      <c r="B1274"/>
      <c r="C1274"/>
      <c r="D1274"/>
      <c r="E1274"/>
      <c r="F1274"/>
      <c r="G1274"/>
      <c r="H1274"/>
      <c r="I1274"/>
      <c r="J1274"/>
      <c r="K1274"/>
      <c r="L1274"/>
      <c r="M1274"/>
    </row>
    <row r="1275" spans="1:13" ht="15">
      <c r="A1275"/>
      <c r="B1275"/>
      <c r="C1275"/>
      <c r="D1275"/>
      <c r="E1275"/>
      <c r="F1275"/>
      <c r="G1275"/>
      <c r="H1275"/>
      <c r="I1275"/>
      <c r="J1275"/>
      <c r="K1275"/>
      <c r="L1275"/>
      <c r="M1275"/>
    </row>
    <row r="1276" spans="1:13" ht="15">
      <c r="A1276"/>
      <c r="B1276"/>
      <c r="C1276"/>
      <c r="D1276"/>
      <c r="E1276"/>
      <c r="F1276"/>
      <c r="G1276"/>
      <c r="H1276"/>
      <c r="I1276"/>
      <c r="J1276"/>
      <c r="K1276"/>
      <c r="L1276"/>
      <c r="M1276"/>
    </row>
    <row r="1277" spans="1:13" ht="15">
      <c r="A1277"/>
      <c r="B1277"/>
      <c r="C1277"/>
      <c r="D1277"/>
      <c r="E1277"/>
      <c r="F1277"/>
      <c r="G1277"/>
      <c r="H1277"/>
      <c r="I1277"/>
      <c r="J1277"/>
      <c r="K1277"/>
      <c r="L1277"/>
      <c r="M1277"/>
    </row>
    <row r="1278" spans="1:13" ht="15">
      <c r="A1278"/>
      <c r="B1278"/>
      <c r="C1278"/>
      <c r="D1278"/>
      <c r="E1278"/>
      <c r="F1278"/>
      <c r="G1278"/>
      <c r="H1278"/>
      <c r="I1278"/>
      <c r="J1278"/>
      <c r="K1278"/>
      <c r="L1278"/>
      <c r="M1278"/>
    </row>
    <row r="1279" spans="1:13" ht="15">
      <c r="A1279"/>
      <c r="B1279"/>
      <c r="C1279"/>
      <c r="D1279"/>
      <c r="E1279"/>
      <c r="F1279"/>
      <c r="G1279"/>
      <c r="H1279"/>
      <c r="I1279"/>
      <c r="J1279"/>
      <c r="K1279"/>
      <c r="L1279"/>
      <c r="M1279"/>
    </row>
    <row r="1280" spans="1:13" ht="15">
      <c r="A1280"/>
      <c r="B1280"/>
      <c r="C1280"/>
      <c r="D1280"/>
      <c r="E1280"/>
      <c r="F1280"/>
      <c r="G1280"/>
      <c r="H1280"/>
      <c r="I1280"/>
      <c r="J1280"/>
      <c r="K1280"/>
      <c r="L1280"/>
      <c r="M1280"/>
    </row>
    <row r="1281" spans="1:13" ht="15">
      <c r="A1281"/>
      <c r="B1281"/>
      <c r="C1281"/>
      <c r="D1281"/>
      <c r="E1281"/>
      <c r="F1281"/>
      <c r="G1281"/>
      <c r="H1281"/>
      <c r="I1281"/>
      <c r="J1281"/>
      <c r="K1281"/>
      <c r="L1281"/>
      <c r="M1281"/>
    </row>
    <row r="1282" spans="1:13" ht="15">
      <c r="A1282"/>
      <c r="B1282"/>
      <c r="C1282"/>
      <c r="D1282"/>
      <c r="E1282"/>
      <c r="F1282"/>
      <c r="G1282"/>
      <c r="H1282"/>
      <c r="I1282"/>
      <c r="J1282"/>
      <c r="K1282"/>
      <c r="L1282"/>
      <c r="M1282"/>
    </row>
    <row r="1283" spans="1:13" ht="15">
      <c r="A1283"/>
      <c r="B1283"/>
      <c r="C1283"/>
      <c r="D1283"/>
      <c r="E1283"/>
      <c r="F1283"/>
      <c r="G1283"/>
      <c r="H1283"/>
      <c r="I1283"/>
      <c r="J1283"/>
      <c r="K1283"/>
      <c r="L1283"/>
      <c r="M1283"/>
    </row>
    <row r="1284" spans="1:13" ht="15">
      <c r="A1284"/>
      <c r="B1284"/>
      <c r="C1284"/>
      <c r="D1284"/>
      <c r="E1284"/>
      <c r="F1284"/>
      <c r="G1284"/>
      <c r="H1284"/>
      <c r="I1284"/>
      <c r="J1284"/>
      <c r="K1284"/>
      <c r="L1284"/>
      <c r="M1284"/>
    </row>
    <row r="1285" spans="1:13" ht="15">
      <c r="A1285"/>
      <c r="B1285"/>
      <c r="C1285"/>
      <c r="D1285"/>
      <c r="E1285"/>
      <c r="F1285"/>
      <c r="G1285"/>
      <c r="H1285"/>
      <c r="I1285"/>
      <c r="J1285"/>
      <c r="K1285"/>
      <c r="L1285"/>
      <c r="M1285"/>
    </row>
    <row r="1286" spans="1:13" ht="15">
      <c r="A1286"/>
      <c r="B1286"/>
      <c r="C1286"/>
      <c r="D1286"/>
      <c r="E1286"/>
      <c r="F1286"/>
      <c r="G1286"/>
      <c r="H1286"/>
      <c r="I1286"/>
      <c r="J1286"/>
      <c r="K1286"/>
      <c r="L1286"/>
      <c r="M1286"/>
    </row>
    <row r="1287" spans="1:13" ht="15">
      <c r="A1287"/>
      <c r="B1287"/>
      <c r="C1287"/>
      <c r="D1287"/>
      <c r="E1287"/>
      <c r="F1287"/>
      <c r="G1287"/>
      <c r="H1287"/>
      <c r="I1287"/>
      <c r="J1287"/>
      <c r="K1287"/>
      <c r="L1287"/>
      <c r="M1287"/>
    </row>
    <row r="1288" spans="1:13" ht="15">
      <c r="A1288"/>
      <c r="B1288"/>
      <c r="C1288"/>
      <c r="D1288"/>
      <c r="E1288"/>
      <c r="F1288"/>
      <c r="G1288"/>
      <c r="H1288"/>
      <c r="I1288"/>
      <c r="J1288"/>
      <c r="K1288"/>
      <c r="L1288"/>
      <c r="M1288"/>
    </row>
    <row r="1289" spans="1:13" ht="15">
      <c r="A1289"/>
      <c r="B1289"/>
      <c r="C1289"/>
      <c r="D1289"/>
      <c r="E1289"/>
      <c r="F1289"/>
      <c r="G1289"/>
      <c r="H1289"/>
      <c r="I1289"/>
      <c r="J1289"/>
      <c r="K1289"/>
      <c r="L1289"/>
      <c r="M1289"/>
    </row>
    <row r="1290" spans="1:13" ht="15">
      <c r="A1290"/>
      <c r="B1290"/>
      <c r="C1290"/>
      <c r="D1290"/>
      <c r="E1290"/>
      <c r="F1290"/>
      <c r="G1290"/>
      <c r="H1290"/>
      <c r="I1290"/>
      <c r="J1290"/>
      <c r="K1290"/>
      <c r="L1290"/>
      <c r="M1290"/>
    </row>
    <row r="1291" spans="1:13" ht="15">
      <c r="A1291"/>
      <c r="B1291"/>
      <c r="C1291"/>
      <c r="D1291"/>
      <c r="E1291"/>
      <c r="F1291"/>
      <c r="G1291"/>
      <c r="H1291"/>
      <c r="I1291"/>
      <c r="J1291"/>
      <c r="K1291"/>
      <c r="L1291"/>
      <c r="M1291"/>
    </row>
    <row r="1292" spans="1:13" ht="15">
      <c r="A1292"/>
      <c r="B1292"/>
      <c r="C1292"/>
      <c r="D1292"/>
      <c r="E1292"/>
      <c r="F1292"/>
      <c r="G1292"/>
      <c r="H1292"/>
      <c r="I1292"/>
      <c r="J1292"/>
      <c r="K1292"/>
      <c r="L1292"/>
      <c r="M1292"/>
    </row>
    <row r="1293" spans="1:13" ht="15">
      <c r="A1293"/>
      <c r="B1293"/>
      <c r="C1293"/>
      <c r="D1293"/>
      <c r="E1293"/>
      <c r="F1293"/>
      <c r="G1293"/>
      <c r="H1293"/>
      <c r="I1293"/>
      <c r="J1293"/>
      <c r="K1293"/>
      <c r="L1293"/>
      <c r="M1293"/>
    </row>
    <row r="1294" spans="1:13" ht="15">
      <c r="A1294"/>
      <c r="B1294"/>
      <c r="C1294"/>
      <c r="D1294"/>
      <c r="E1294"/>
      <c r="F1294"/>
      <c r="G1294"/>
      <c r="H1294"/>
      <c r="I1294"/>
      <c r="J1294"/>
      <c r="K1294"/>
      <c r="L1294"/>
      <c r="M1294"/>
    </row>
    <row r="1295" spans="1:13" ht="15">
      <c r="A1295"/>
      <c r="B1295"/>
      <c r="C1295"/>
      <c r="D1295"/>
      <c r="E1295"/>
      <c r="F1295"/>
      <c r="G1295"/>
      <c r="H1295"/>
      <c r="I1295"/>
      <c r="J1295"/>
      <c r="K1295"/>
      <c r="L1295"/>
      <c r="M1295"/>
    </row>
    <row r="1296" spans="1:13" ht="15">
      <c r="A1296"/>
      <c r="B1296"/>
      <c r="C1296"/>
      <c r="D1296"/>
      <c r="E1296"/>
      <c r="F1296"/>
      <c r="G1296"/>
      <c r="H1296"/>
      <c r="I1296"/>
      <c r="J1296"/>
      <c r="K1296"/>
      <c r="L1296"/>
      <c r="M1296"/>
    </row>
    <row r="1297" spans="1:13" ht="15">
      <c r="A1297"/>
      <c r="B1297"/>
      <c r="C1297"/>
      <c r="D1297"/>
      <c r="E1297"/>
      <c r="F1297"/>
      <c r="G1297"/>
      <c r="H1297"/>
      <c r="I1297"/>
      <c r="J1297"/>
      <c r="K1297"/>
      <c r="L1297"/>
      <c r="M1297"/>
    </row>
    <row r="1298" spans="1:13" ht="15">
      <c r="A1298"/>
      <c r="B1298"/>
      <c r="C1298"/>
      <c r="D1298"/>
      <c r="E1298"/>
      <c r="F1298"/>
      <c r="G1298"/>
      <c r="H1298"/>
      <c r="I1298"/>
      <c r="J1298"/>
      <c r="K1298"/>
      <c r="L1298"/>
      <c r="M1298"/>
    </row>
    <row r="1299" spans="1:13" ht="15">
      <c r="A1299"/>
      <c r="B1299"/>
      <c r="C1299"/>
      <c r="D1299"/>
      <c r="E1299"/>
      <c r="F1299"/>
      <c r="G1299"/>
      <c r="H1299"/>
      <c r="I1299"/>
      <c r="J1299"/>
      <c r="K1299"/>
      <c r="L1299"/>
      <c r="M1299"/>
    </row>
    <row r="1300" spans="1:13" ht="15">
      <c r="A1300"/>
      <c r="B1300"/>
      <c r="C1300"/>
      <c r="D1300"/>
      <c r="E1300"/>
      <c r="F1300"/>
      <c r="G1300"/>
      <c r="H1300"/>
      <c r="I1300"/>
      <c r="J1300"/>
      <c r="K1300"/>
      <c r="L1300"/>
      <c r="M1300"/>
    </row>
    <row r="1301" spans="1:13" ht="15">
      <c r="A1301"/>
      <c r="B1301"/>
      <c r="C1301"/>
      <c r="D1301"/>
      <c r="E1301"/>
      <c r="F1301"/>
      <c r="G1301"/>
      <c r="H1301"/>
      <c r="I1301"/>
      <c r="J1301"/>
      <c r="K1301"/>
      <c r="L1301"/>
      <c r="M1301"/>
    </row>
    <row r="1302" spans="1:13" ht="15">
      <c r="A1302"/>
      <c r="B1302"/>
      <c r="C1302"/>
      <c r="D1302"/>
      <c r="E1302"/>
      <c r="F1302"/>
      <c r="G1302"/>
      <c r="H1302"/>
      <c r="I1302"/>
      <c r="J1302"/>
      <c r="K1302"/>
      <c r="L1302"/>
      <c r="M1302"/>
    </row>
    <row r="1303" spans="1:13" ht="15">
      <c r="A1303"/>
      <c r="B1303"/>
      <c r="C1303"/>
      <c r="D1303"/>
      <c r="E1303"/>
      <c r="F1303"/>
      <c r="G1303"/>
      <c r="H1303"/>
      <c r="I1303"/>
      <c r="J1303"/>
      <c r="K1303"/>
      <c r="L1303"/>
      <c r="M1303"/>
    </row>
    <row r="1304" spans="1:13" ht="15">
      <c r="A1304"/>
      <c r="B1304"/>
      <c r="C1304"/>
      <c r="D1304"/>
      <c r="E1304"/>
      <c r="F1304"/>
      <c r="G1304"/>
      <c r="H1304"/>
      <c r="I1304"/>
      <c r="J1304"/>
      <c r="K1304"/>
      <c r="L1304"/>
      <c r="M1304"/>
    </row>
    <row r="1305" spans="1:13" ht="15">
      <c r="A1305"/>
      <c r="B1305"/>
      <c r="C1305"/>
      <c r="D1305"/>
      <c r="E1305"/>
      <c r="F1305"/>
      <c r="G1305"/>
      <c r="H1305"/>
      <c r="I1305"/>
      <c r="J1305"/>
      <c r="K1305"/>
      <c r="L1305"/>
      <c r="M1305"/>
    </row>
    <row r="1306" spans="1:13" ht="15">
      <c r="A1306"/>
      <c r="B1306"/>
      <c r="C1306"/>
      <c r="D1306"/>
      <c r="E1306"/>
      <c r="F1306"/>
      <c r="G1306"/>
      <c r="H1306"/>
      <c r="I1306"/>
      <c r="J1306"/>
      <c r="K1306"/>
      <c r="L1306"/>
      <c r="M1306"/>
    </row>
    <row r="1307" spans="1:13" ht="15">
      <c r="A1307"/>
      <c r="B1307"/>
      <c r="C1307"/>
      <c r="D1307"/>
      <c r="E1307"/>
      <c r="F1307"/>
      <c r="G1307"/>
      <c r="H1307"/>
      <c r="I1307"/>
      <c r="J1307"/>
      <c r="K1307"/>
      <c r="L1307"/>
      <c r="M1307"/>
    </row>
    <row r="1308" spans="1:13" ht="15">
      <c r="A1308"/>
      <c r="B1308"/>
      <c r="C1308"/>
      <c r="D1308"/>
      <c r="E1308"/>
      <c r="F1308"/>
      <c r="G1308"/>
      <c r="H1308"/>
      <c r="I1308"/>
      <c r="J1308"/>
      <c r="K1308"/>
      <c r="L1308"/>
      <c r="M1308"/>
    </row>
    <row r="1309" spans="1:13" ht="15">
      <c r="A1309"/>
      <c r="B1309"/>
      <c r="C1309"/>
      <c r="D1309"/>
      <c r="E1309"/>
      <c r="F1309"/>
      <c r="G1309"/>
      <c r="H1309"/>
      <c r="I1309"/>
      <c r="J1309"/>
      <c r="K1309"/>
      <c r="L1309"/>
      <c r="M1309"/>
    </row>
    <row r="1310" spans="1:13" ht="15">
      <c r="A1310"/>
      <c r="B1310"/>
      <c r="C1310"/>
      <c r="D1310"/>
      <c r="E1310"/>
      <c r="F1310"/>
      <c r="G1310"/>
      <c r="H1310"/>
      <c r="I1310"/>
      <c r="J1310"/>
      <c r="K1310"/>
      <c r="L1310"/>
      <c r="M1310"/>
    </row>
    <row r="1311" spans="1:13" ht="15">
      <c r="A1311"/>
      <c r="B1311"/>
      <c r="C1311"/>
      <c r="D1311"/>
      <c r="E1311"/>
      <c r="F1311"/>
      <c r="G1311"/>
      <c r="H1311"/>
      <c r="I1311"/>
      <c r="J1311"/>
      <c r="K1311"/>
      <c r="L1311"/>
      <c r="M1311"/>
    </row>
    <row r="1312" spans="1:13" ht="15">
      <c r="A1312"/>
      <c r="B1312"/>
      <c r="C1312"/>
      <c r="D1312"/>
      <c r="E1312"/>
      <c r="F1312"/>
      <c r="G1312"/>
      <c r="H1312"/>
      <c r="I1312"/>
      <c r="J1312"/>
      <c r="K1312"/>
      <c r="L1312"/>
      <c r="M1312"/>
    </row>
    <row r="1313" spans="1:13" ht="15">
      <c r="A1313"/>
      <c r="B1313"/>
      <c r="C1313"/>
      <c r="D1313"/>
      <c r="E1313"/>
      <c r="F1313"/>
      <c r="G1313"/>
      <c r="H1313"/>
      <c r="I1313"/>
      <c r="J1313"/>
      <c r="K1313"/>
      <c r="L1313"/>
      <c r="M1313"/>
    </row>
    <row r="1314" spans="1:13" ht="15">
      <c r="A1314"/>
      <c r="B1314"/>
      <c r="C1314"/>
      <c r="D1314"/>
      <c r="E1314"/>
      <c r="F1314"/>
      <c r="G1314"/>
      <c r="H1314"/>
      <c r="I1314"/>
      <c r="J1314"/>
      <c r="K1314"/>
      <c r="L1314"/>
      <c r="M1314"/>
    </row>
    <row r="1315" spans="1:13" ht="15">
      <c r="A1315"/>
      <c r="B1315"/>
      <c r="C1315"/>
      <c r="D1315"/>
      <c r="E1315"/>
      <c r="F1315"/>
      <c r="G1315"/>
      <c r="H1315"/>
      <c r="I1315"/>
      <c r="J1315"/>
      <c r="K1315"/>
      <c r="L1315"/>
      <c r="M1315"/>
    </row>
    <row r="1316" spans="1:13" ht="15">
      <c r="A1316"/>
      <c r="B1316"/>
      <c r="C1316"/>
      <c r="D1316"/>
      <c r="E1316"/>
      <c r="F1316"/>
      <c r="G1316"/>
      <c r="H1316"/>
      <c r="I1316"/>
      <c r="J1316"/>
      <c r="K1316"/>
      <c r="L1316"/>
      <c r="M1316"/>
    </row>
    <row r="1317" spans="1:13" ht="15">
      <c r="A1317"/>
      <c r="B1317"/>
      <c r="C1317"/>
      <c r="D1317"/>
      <c r="E1317"/>
      <c r="F1317"/>
      <c r="G1317"/>
      <c r="H1317"/>
      <c r="I1317"/>
      <c r="J1317"/>
      <c r="K1317"/>
      <c r="L1317"/>
      <c r="M1317"/>
    </row>
    <row r="1318" spans="1:13" ht="15">
      <c r="A1318"/>
      <c r="B1318"/>
      <c r="C1318"/>
      <c r="D1318"/>
      <c r="E1318"/>
      <c r="F1318"/>
      <c r="G1318"/>
      <c r="H1318"/>
      <c r="I1318"/>
      <c r="J1318"/>
      <c r="K1318"/>
      <c r="L1318"/>
      <c r="M1318"/>
    </row>
    <row r="1319" spans="1:13" ht="15">
      <c r="A1319"/>
      <c r="B1319"/>
      <c r="C1319"/>
      <c r="D1319"/>
      <c r="E1319"/>
      <c r="F1319"/>
      <c r="G1319"/>
      <c r="H1319"/>
      <c r="I1319"/>
      <c r="J1319"/>
      <c r="K1319"/>
      <c r="L1319"/>
      <c r="M1319"/>
    </row>
    <row r="1320" spans="1:13" ht="15">
      <c r="A1320"/>
      <c r="B1320"/>
      <c r="C1320"/>
      <c r="D1320"/>
      <c r="E1320"/>
      <c r="F1320"/>
      <c r="G1320"/>
      <c r="H1320"/>
      <c r="I1320"/>
      <c r="J1320"/>
      <c r="K1320"/>
      <c r="L1320"/>
      <c r="M1320"/>
    </row>
    <row r="1321" spans="1:13" ht="15">
      <c r="A1321"/>
      <c r="B1321"/>
      <c r="C1321"/>
      <c r="D1321"/>
      <c r="E1321"/>
      <c r="F1321"/>
      <c r="G1321"/>
      <c r="H1321"/>
      <c r="I1321"/>
      <c r="J1321"/>
      <c r="K1321"/>
      <c r="L1321"/>
      <c r="M1321"/>
    </row>
    <row r="1322" spans="1:13" ht="15">
      <c r="A1322"/>
      <c r="B1322"/>
      <c r="C1322"/>
      <c r="D1322"/>
      <c r="E1322"/>
      <c r="F1322"/>
      <c r="G1322"/>
      <c r="H1322"/>
      <c r="I1322"/>
      <c r="J1322"/>
      <c r="K1322"/>
      <c r="L1322"/>
      <c r="M1322"/>
    </row>
    <row r="1323" spans="1:13" ht="15">
      <c r="A1323"/>
      <c r="B1323"/>
      <c r="C1323"/>
      <c r="D1323"/>
      <c r="E1323"/>
      <c r="F1323"/>
      <c r="G1323"/>
      <c r="H1323"/>
      <c r="I1323"/>
      <c r="J1323"/>
      <c r="K1323"/>
      <c r="L1323"/>
      <c r="M1323"/>
    </row>
    <row r="1324" spans="1:13" ht="15">
      <c r="A1324"/>
      <c r="B1324"/>
      <c r="C1324"/>
      <c r="D1324"/>
      <c r="E1324"/>
      <c r="F1324"/>
      <c r="G1324"/>
      <c r="H1324"/>
      <c r="I1324"/>
      <c r="J1324"/>
      <c r="K1324"/>
      <c r="L1324"/>
      <c r="M1324"/>
    </row>
    <row r="1325" spans="1:13" ht="15">
      <c r="A1325"/>
      <c r="B1325"/>
      <c r="C1325"/>
      <c r="D1325"/>
      <c r="E1325"/>
      <c r="F1325"/>
      <c r="G1325"/>
      <c r="H1325"/>
      <c r="I1325"/>
      <c r="J1325"/>
      <c r="K1325"/>
      <c r="L1325"/>
      <c r="M1325"/>
    </row>
    <row r="1326" spans="1:13" ht="15">
      <c r="A1326"/>
      <c r="B1326"/>
      <c r="C1326"/>
      <c r="D1326"/>
      <c r="E1326"/>
      <c r="F1326"/>
      <c r="G1326"/>
      <c r="H1326"/>
      <c r="I1326"/>
      <c r="J1326"/>
      <c r="K1326"/>
      <c r="L1326"/>
      <c r="M1326"/>
    </row>
    <row r="1327" spans="1:13" ht="15">
      <c r="A1327"/>
      <c r="B1327"/>
      <c r="C1327"/>
      <c r="D1327"/>
      <c r="E1327"/>
      <c r="F1327"/>
      <c r="G1327"/>
      <c r="H1327"/>
      <c r="I1327"/>
      <c r="J1327"/>
      <c r="K1327"/>
      <c r="L1327"/>
      <c r="M1327"/>
    </row>
    <row r="1328" spans="1:13" ht="15">
      <c r="A1328"/>
      <c r="B1328"/>
      <c r="C1328"/>
      <c r="D1328"/>
      <c r="E1328"/>
      <c r="F1328"/>
      <c r="G1328"/>
      <c r="H1328"/>
      <c r="I1328"/>
      <c r="J1328"/>
      <c r="K1328"/>
      <c r="L1328"/>
      <c r="M1328"/>
    </row>
    <row r="1329" spans="1:13" ht="15">
      <c r="A1329"/>
      <c r="B1329"/>
      <c r="C1329"/>
      <c r="D1329"/>
      <c r="E1329"/>
      <c r="F1329"/>
      <c r="G1329"/>
      <c r="H1329"/>
      <c r="I1329"/>
      <c r="J1329"/>
      <c r="K1329"/>
      <c r="L1329"/>
      <c r="M1329"/>
    </row>
    <row r="1330" spans="1:13" ht="15">
      <c r="A1330"/>
      <c r="B1330"/>
      <c r="C1330"/>
      <c r="D1330"/>
      <c r="E1330"/>
      <c r="F1330"/>
      <c r="G1330"/>
      <c r="H1330"/>
      <c r="I1330"/>
      <c r="J1330"/>
      <c r="K1330"/>
      <c r="L1330"/>
      <c r="M1330"/>
    </row>
    <row r="1331" spans="1:13" ht="15">
      <c r="A1331"/>
      <c r="B1331"/>
      <c r="C1331"/>
      <c r="D1331"/>
      <c r="E1331"/>
      <c r="F1331"/>
      <c r="G1331"/>
      <c r="H1331"/>
      <c r="I1331"/>
      <c r="J1331"/>
      <c r="K1331"/>
      <c r="L1331"/>
      <c r="M1331"/>
    </row>
    <row r="1332" spans="1:13" ht="15">
      <c r="A1332"/>
      <c r="B1332"/>
      <c r="C1332"/>
      <c r="D1332"/>
      <c r="E1332"/>
      <c r="F1332"/>
      <c r="G1332"/>
      <c r="H1332"/>
      <c r="I1332"/>
      <c r="J1332"/>
      <c r="K1332"/>
      <c r="L1332"/>
      <c r="M1332"/>
    </row>
    <row r="1333" spans="1:13" ht="15">
      <c r="A1333"/>
      <c r="B1333"/>
      <c r="C1333"/>
      <c r="D1333"/>
      <c r="E1333"/>
      <c r="F1333"/>
      <c r="G1333"/>
      <c r="H1333"/>
      <c r="I1333"/>
      <c r="J1333"/>
      <c r="K1333"/>
      <c r="L1333"/>
      <c r="M1333"/>
    </row>
    <row r="1334" spans="1:13" ht="15">
      <c r="A1334"/>
      <c r="B1334"/>
      <c r="C1334"/>
      <c r="D1334"/>
      <c r="E1334"/>
      <c r="F1334"/>
      <c r="G1334"/>
      <c r="H1334"/>
      <c r="I1334"/>
      <c r="J1334"/>
      <c r="K1334"/>
      <c r="L1334"/>
      <c r="M1334"/>
    </row>
    <row r="1335" spans="1:13" ht="15">
      <c r="A1335"/>
      <c r="B1335"/>
      <c r="C1335"/>
      <c r="D1335"/>
      <c r="E1335"/>
      <c r="F1335"/>
      <c r="G1335"/>
      <c r="H1335"/>
      <c r="I1335"/>
      <c r="J1335"/>
      <c r="K1335"/>
      <c r="L1335"/>
      <c r="M1335"/>
    </row>
    <row r="1336" spans="1:13" ht="15">
      <c r="A1336"/>
      <c r="B1336"/>
      <c r="C1336"/>
      <c r="D1336"/>
      <c r="E1336"/>
      <c r="F1336"/>
      <c r="G1336"/>
      <c r="H1336"/>
      <c r="I1336"/>
      <c r="J1336"/>
      <c r="K1336"/>
      <c r="L1336"/>
      <c r="M1336"/>
    </row>
    <row r="1337" spans="1:13" ht="15">
      <c r="A1337"/>
      <c r="B1337"/>
      <c r="C1337"/>
      <c r="D1337"/>
      <c r="E1337"/>
      <c r="F1337"/>
      <c r="G1337"/>
      <c r="H1337"/>
      <c r="I1337"/>
      <c r="J1337"/>
      <c r="K1337"/>
      <c r="L1337"/>
      <c r="M1337"/>
    </row>
    <row r="1338" spans="1:13" ht="15">
      <c r="A1338"/>
      <c r="B1338"/>
      <c r="C1338"/>
      <c r="D1338"/>
      <c r="E1338"/>
      <c r="F1338"/>
      <c r="G1338"/>
      <c r="H1338"/>
      <c r="I1338"/>
      <c r="J1338"/>
      <c r="K1338"/>
      <c r="L1338"/>
      <c r="M1338"/>
    </row>
    <row r="1339" spans="1:13" ht="15">
      <c r="A1339"/>
      <c r="B1339"/>
      <c r="C1339"/>
      <c r="D1339"/>
      <c r="E1339"/>
      <c r="F1339"/>
      <c r="G1339"/>
      <c r="H1339"/>
      <c r="I1339"/>
      <c r="J1339"/>
      <c r="K1339"/>
      <c r="L1339"/>
      <c r="M1339"/>
    </row>
    <row r="1340" spans="1:13" ht="15">
      <c r="A1340"/>
      <c r="B1340"/>
      <c r="C1340"/>
      <c r="D1340"/>
      <c r="E1340"/>
      <c r="F1340"/>
      <c r="G1340"/>
      <c r="H1340"/>
      <c r="I1340"/>
      <c r="J1340"/>
      <c r="K1340"/>
      <c r="L1340"/>
      <c r="M1340"/>
    </row>
    <row r="1341" spans="1:13" ht="15">
      <c r="A1341"/>
      <c r="B1341"/>
      <c r="C1341"/>
      <c r="D1341"/>
      <c r="E1341"/>
      <c r="F1341"/>
      <c r="G1341"/>
      <c r="H1341"/>
      <c r="I1341"/>
      <c r="J1341"/>
      <c r="K1341"/>
      <c r="L1341"/>
      <c r="M1341"/>
    </row>
    <row r="1342" spans="1:13" ht="15">
      <c r="A1342"/>
      <c r="B1342"/>
      <c r="C1342"/>
      <c r="D1342"/>
      <c r="E1342"/>
      <c r="F1342"/>
      <c r="G1342"/>
      <c r="H1342"/>
      <c r="I1342"/>
      <c r="J1342"/>
      <c r="K1342"/>
      <c r="L1342"/>
      <c r="M1342"/>
    </row>
    <row r="1343" spans="1:13" ht="15">
      <c r="A1343"/>
      <c r="B1343"/>
      <c r="C1343"/>
      <c r="D1343"/>
      <c r="E1343"/>
      <c r="F1343"/>
      <c r="G1343"/>
      <c r="H1343"/>
      <c r="I1343"/>
      <c r="J1343"/>
      <c r="K1343"/>
      <c r="L1343"/>
      <c r="M1343"/>
    </row>
    <row r="1344" spans="1:13" ht="15">
      <c r="A1344"/>
      <c r="B1344"/>
      <c r="C1344"/>
      <c r="D1344"/>
      <c r="E1344"/>
      <c r="F1344"/>
      <c r="G1344"/>
      <c r="H1344"/>
      <c r="I1344"/>
      <c r="J1344"/>
      <c r="K1344"/>
      <c r="L1344"/>
      <c r="M1344"/>
    </row>
    <row r="1345" spans="1:13" ht="15">
      <c r="A1345"/>
      <c r="B1345"/>
      <c r="C1345"/>
      <c r="D1345"/>
      <c r="E1345"/>
      <c r="F1345"/>
      <c r="G1345"/>
      <c r="H1345"/>
      <c r="I1345"/>
      <c r="J1345"/>
      <c r="K1345"/>
      <c r="L1345"/>
      <c r="M1345"/>
    </row>
    <row r="1346" spans="1:13" ht="15">
      <c r="A1346"/>
      <c r="B1346"/>
      <c r="C1346"/>
      <c r="D1346"/>
      <c r="E1346"/>
      <c r="F1346"/>
      <c r="G1346"/>
      <c r="H1346"/>
      <c r="I1346"/>
      <c r="J1346"/>
      <c r="K1346"/>
      <c r="L1346"/>
      <c r="M1346"/>
    </row>
    <row r="1347" spans="1:13" ht="15">
      <c r="A1347"/>
      <c r="B1347"/>
      <c r="C1347"/>
      <c r="D1347"/>
      <c r="E1347"/>
      <c r="F1347"/>
      <c r="G1347"/>
      <c r="H1347"/>
      <c r="I1347"/>
      <c r="J1347"/>
      <c r="K1347"/>
      <c r="L1347"/>
      <c r="M1347"/>
    </row>
    <row r="1348" spans="1:13" ht="15">
      <c r="A1348"/>
      <c r="B1348"/>
      <c r="C1348"/>
      <c r="D1348"/>
      <c r="E1348"/>
      <c r="F1348"/>
      <c r="G1348"/>
      <c r="H1348"/>
      <c r="I1348"/>
      <c r="J1348"/>
      <c r="K1348"/>
      <c r="L1348"/>
      <c r="M1348"/>
    </row>
    <row r="1349" spans="1:13" ht="15">
      <c r="A1349"/>
      <c r="B1349"/>
      <c r="C1349"/>
      <c r="D1349"/>
      <c r="E1349"/>
      <c r="F1349"/>
      <c r="G1349"/>
      <c r="H1349"/>
      <c r="I1349"/>
      <c r="J1349"/>
      <c r="K1349"/>
      <c r="L1349"/>
      <c r="M1349"/>
    </row>
    <row r="1350" spans="1:13" ht="15">
      <c r="A1350"/>
      <c r="B1350"/>
      <c r="C1350"/>
      <c r="D1350"/>
      <c r="E1350"/>
      <c r="F1350"/>
      <c r="G1350"/>
      <c r="H1350"/>
      <c r="I1350"/>
      <c r="J1350"/>
      <c r="K1350"/>
      <c r="L1350"/>
      <c r="M1350"/>
    </row>
    <row r="1351" spans="1:13" ht="15">
      <c r="A1351"/>
      <c r="B1351"/>
      <c r="C1351"/>
      <c r="D1351"/>
      <c r="E1351"/>
      <c r="F1351"/>
      <c r="G1351"/>
      <c r="H1351"/>
      <c r="I1351"/>
      <c r="J1351"/>
      <c r="K1351"/>
      <c r="L1351"/>
      <c r="M1351"/>
    </row>
    <row r="1352" spans="1:13" ht="15">
      <c r="A1352"/>
      <c r="B1352"/>
      <c r="C1352"/>
      <c r="D1352"/>
      <c r="E1352"/>
      <c r="F1352"/>
      <c r="G1352"/>
      <c r="H1352"/>
      <c r="I1352"/>
      <c r="J1352"/>
      <c r="K1352"/>
      <c r="L1352"/>
      <c r="M1352"/>
    </row>
    <row r="1353" spans="1:13" ht="15">
      <c r="A1353"/>
      <c r="B1353"/>
      <c r="C1353"/>
      <c r="D1353"/>
      <c r="E1353"/>
      <c r="F1353"/>
      <c r="G1353"/>
      <c r="H1353"/>
      <c r="I1353"/>
      <c r="J1353"/>
      <c r="K1353"/>
      <c r="L1353"/>
      <c r="M1353"/>
    </row>
    <row r="1354" spans="1:13" ht="15">
      <c r="A1354"/>
      <c r="B1354"/>
      <c r="C1354"/>
      <c r="D1354"/>
      <c r="E1354"/>
      <c r="F1354"/>
      <c r="G1354"/>
      <c r="H1354"/>
      <c r="I1354"/>
      <c r="J1354"/>
      <c r="K1354"/>
      <c r="L1354"/>
      <c r="M1354"/>
    </row>
    <row r="1355" spans="1:13" ht="15">
      <c r="A1355"/>
      <c r="B1355"/>
      <c r="C1355"/>
      <c r="D1355"/>
      <c r="E1355"/>
      <c r="F1355"/>
      <c r="G1355"/>
      <c r="H1355"/>
      <c r="I1355"/>
      <c r="J1355"/>
      <c r="K1355"/>
      <c r="L1355"/>
      <c r="M1355"/>
    </row>
    <row r="1356" spans="1:13" ht="15">
      <c r="A1356"/>
      <c r="B1356"/>
      <c r="C1356"/>
      <c r="D1356"/>
      <c r="E1356"/>
      <c r="F1356"/>
      <c r="G1356"/>
      <c r="H1356"/>
      <c r="I1356"/>
      <c r="J1356"/>
      <c r="K1356"/>
      <c r="L1356"/>
      <c r="M1356"/>
    </row>
    <row r="1357" spans="1:13" ht="15">
      <c r="A1357"/>
      <c r="B1357"/>
      <c r="C1357"/>
      <c r="D1357"/>
      <c r="E1357"/>
      <c r="F1357"/>
      <c r="G1357"/>
      <c r="H1357"/>
      <c r="I1357"/>
      <c r="J1357"/>
      <c r="K1357"/>
      <c r="L1357"/>
      <c r="M1357"/>
    </row>
    <row r="1358" spans="1:13" ht="15">
      <c r="A1358"/>
      <c r="B1358"/>
      <c r="C1358"/>
      <c r="D1358"/>
      <c r="E1358"/>
      <c r="F1358"/>
      <c r="G1358"/>
      <c r="H1358"/>
      <c r="I1358"/>
      <c r="J1358"/>
      <c r="K1358"/>
      <c r="L1358"/>
      <c r="M1358"/>
    </row>
    <row r="1359" spans="1:13" ht="15">
      <c r="A1359"/>
      <c r="B1359"/>
      <c r="C1359"/>
      <c r="D1359"/>
      <c r="E1359"/>
      <c r="F1359"/>
      <c r="G1359"/>
      <c r="H1359"/>
      <c r="I1359"/>
      <c r="J1359"/>
      <c r="K1359"/>
      <c r="L1359"/>
      <c r="M1359"/>
    </row>
    <row r="1360" spans="1:13" ht="15">
      <c r="A1360"/>
      <c r="B1360"/>
      <c r="C1360"/>
      <c r="D1360"/>
      <c r="E1360"/>
      <c r="F1360"/>
      <c r="G1360"/>
      <c r="H1360"/>
      <c r="I1360"/>
      <c r="J1360"/>
      <c r="K1360"/>
      <c r="L1360"/>
      <c r="M1360"/>
    </row>
    <row r="1361" spans="1:13" ht="15">
      <c r="A1361"/>
      <c r="B1361"/>
      <c r="C1361"/>
      <c r="D1361"/>
      <c r="E1361"/>
      <c r="F1361"/>
      <c r="G1361"/>
      <c r="H1361"/>
      <c r="I1361"/>
      <c r="J1361"/>
      <c r="K1361"/>
      <c r="L1361"/>
      <c r="M1361"/>
    </row>
    <row r="1362" spans="1:13" ht="15">
      <c r="A1362"/>
      <c r="B1362"/>
      <c r="C1362"/>
      <c r="D1362"/>
      <c r="E1362"/>
      <c r="F1362"/>
      <c r="G1362"/>
      <c r="H1362"/>
      <c r="I1362"/>
      <c r="J1362"/>
      <c r="K1362"/>
      <c r="L1362"/>
      <c r="M1362"/>
    </row>
    <row r="1363" spans="1:13" ht="15">
      <c r="A1363"/>
      <c r="B1363"/>
      <c r="C1363"/>
      <c r="D1363"/>
      <c r="E1363"/>
      <c r="F1363"/>
      <c r="G1363"/>
      <c r="H1363"/>
      <c r="I1363"/>
      <c r="J1363"/>
      <c r="K1363"/>
      <c r="L1363"/>
      <c r="M1363"/>
    </row>
    <row r="1364" spans="1:13" ht="15">
      <c r="A1364"/>
      <c r="B1364"/>
      <c r="C1364"/>
      <c r="D1364"/>
      <c r="E1364"/>
      <c r="F1364"/>
      <c r="G1364"/>
      <c r="H1364"/>
      <c r="I1364"/>
      <c r="J1364"/>
      <c r="K1364"/>
      <c r="L1364"/>
      <c r="M1364"/>
    </row>
    <row r="1365" spans="1:13" ht="15">
      <c r="A1365"/>
      <c r="B1365"/>
      <c r="C1365"/>
      <c r="D1365"/>
      <c r="E1365"/>
      <c r="F1365"/>
      <c r="G1365"/>
      <c r="H1365"/>
      <c r="I1365"/>
      <c r="J1365"/>
      <c r="K1365"/>
      <c r="L1365"/>
      <c r="M1365"/>
    </row>
    <row r="1366" spans="1:13" ht="15">
      <c r="A1366"/>
      <c r="B1366"/>
      <c r="C1366"/>
      <c r="D1366"/>
      <c r="E1366"/>
      <c r="F1366"/>
      <c r="G1366"/>
      <c r="H1366"/>
      <c r="I1366"/>
      <c r="J1366"/>
      <c r="K1366"/>
      <c r="L1366"/>
      <c r="M1366"/>
    </row>
    <row r="1367" spans="1:13" ht="15">
      <c r="A1367"/>
      <c r="B1367"/>
      <c r="C1367"/>
      <c r="D1367"/>
      <c r="E1367"/>
      <c r="F1367"/>
      <c r="G1367"/>
      <c r="H1367"/>
      <c r="I1367"/>
      <c r="J1367"/>
      <c r="K1367"/>
      <c r="L1367"/>
      <c r="M1367"/>
    </row>
    <row r="1368" spans="1:13" ht="15">
      <c r="A1368"/>
      <c r="B1368"/>
      <c r="C1368"/>
      <c r="D1368"/>
      <c r="E1368"/>
      <c r="F1368"/>
      <c r="G1368"/>
      <c r="H1368"/>
      <c r="I1368"/>
      <c r="J1368"/>
      <c r="K1368"/>
      <c r="L1368"/>
      <c r="M1368"/>
    </row>
    <row r="1369" spans="1:13" ht="15">
      <c r="A1369"/>
      <c r="B1369"/>
      <c r="C1369"/>
      <c r="D1369"/>
      <c r="E1369"/>
      <c r="F1369"/>
      <c r="G1369"/>
      <c r="H1369"/>
      <c r="I1369"/>
      <c r="J1369"/>
      <c r="K1369"/>
      <c r="L1369"/>
      <c r="M1369"/>
    </row>
    <row r="1370" spans="1:13" ht="15">
      <c r="A1370"/>
      <c r="B1370"/>
      <c r="C1370"/>
      <c r="D1370"/>
      <c r="E1370"/>
      <c r="F1370"/>
      <c r="G1370"/>
      <c r="H1370"/>
      <c r="I1370"/>
      <c r="J1370"/>
      <c r="K1370"/>
      <c r="L1370"/>
      <c r="M1370"/>
    </row>
    <row r="1371" spans="1:13" ht="15">
      <c r="A1371"/>
      <c r="B1371"/>
      <c r="C1371"/>
      <c r="D1371"/>
      <c r="E1371"/>
      <c r="F1371"/>
      <c r="G1371"/>
      <c r="H1371"/>
      <c r="I1371"/>
      <c r="J1371"/>
      <c r="K1371"/>
      <c r="L1371"/>
      <c r="M1371"/>
    </row>
    <row r="1372" spans="1:13" ht="15">
      <c r="A1372"/>
      <c r="B1372"/>
      <c r="C1372"/>
      <c r="D1372"/>
      <c r="E1372"/>
      <c r="F1372"/>
      <c r="G1372"/>
      <c r="H1372"/>
      <c r="I1372"/>
      <c r="J1372"/>
      <c r="K1372"/>
      <c r="L1372"/>
      <c r="M1372"/>
    </row>
    <row r="1373" spans="1:13" ht="15">
      <c r="A1373"/>
      <c r="B1373"/>
      <c r="C1373"/>
      <c r="D1373"/>
      <c r="E1373"/>
      <c r="F1373"/>
      <c r="G1373"/>
      <c r="H1373"/>
      <c r="I1373"/>
      <c r="J1373"/>
      <c r="K1373"/>
      <c r="L1373"/>
      <c r="M1373"/>
    </row>
    <row r="1374" spans="1:13" ht="15">
      <c r="A1374"/>
      <c r="B1374"/>
      <c r="C1374"/>
      <c r="D1374"/>
      <c r="E1374"/>
      <c r="F1374"/>
      <c r="G1374"/>
      <c r="H1374"/>
      <c r="I1374"/>
      <c r="J1374"/>
      <c r="K1374"/>
      <c r="L1374"/>
      <c r="M1374"/>
    </row>
    <row r="1375" spans="1:13" ht="15">
      <c r="A1375"/>
      <c r="B1375"/>
      <c r="C1375"/>
      <c r="D1375"/>
      <c r="E1375"/>
      <c r="F1375"/>
      <c r="G1375"/>
      <c r="H1375"/>
      <c r="I1375"/>
      <c r="J1375"/>
      <c r="K1375"/>
      <c r="L1375"/>
      <c r="M1375"/>
    </row>
    <row r="1376" spans="1:13" ht="15">
      <c r="A1376"/>
      <c r="B1376"/>
      <c r="C1376"/>
      <c r="D1376"/>
      <c r="E1376"/>
      <c r="F1376"/>
      <c r="G1376"/>
      <c r="H1376"/>
      <c r="I1376"/>
      <c r="J1376"/>
      <c r="K1376"/>
      <c r="L1376"/>
      <c r="M1376"/>
    </row>
    <row r="1377" spans="1:13" ht="15">
      <c r="A1377"/>
      <c r="B1377"/>
      <c r="C1377"/>
      <c r="D1377"/>
      <c r="E1377"/>
      <c r="F1377"/>
      <c r="G1377"/>
      <c r="H1377"/>
      <c r="I1377"/>
      <c r="J1377"/>
      <c r="K1377"/>
      <c r="L1377"/>
      <c r="M1377"/>
    </row>
    <row r="1378" spans="1:13" ht="15">
      <c r="A1378"/>
      <c r="B1378"/>
      <c r="C1378"/>
      <c r="D1378"/>
      <c r="E1378"/>
      <c r="F1378"/>
      <c r="G1378"/>
      <c r="H1378"/>
      <c r="I1378"/>
      <c r="J1378"/>
      <c r="K1378"/>
      <c r="L1378"/>
      <c r="M1378"/>
    </row>
    <row r="1379" spans="1:13" ht="15">
      <c r="A1379"/>
      <c r="B1379"/>
      <c r="C1379"/>
      <c r="D1379"/>
      <c r="E1379"/>
      <c r="F1379"/>
      <c r="G1379"/>
      <c r="H1379"/>
      <c r="I1379"/>
      <c r="J1379"/>
      <c r="K1379"/>
      <c r="L1379"/>
      <c r="M1379"/>
    </row>
    <row r="1380" spans="1:13" ht="15">
      <c r="A1380"/>
      <c r="B1380"/>
      <c r="C1380"/>
      <c r="D1380"/>
      <c r="E1380"/>
      <c r="F1380"/>
      <c r="G1380"/>
      <c r="H1380"/>
      <c r="I1380"/>
      <c r="J1380"/>
      <c r="K1380"/>
      <c r="L1380"/>
      <c r="M1380"/>
    </row>
    <row r="1381" spans="1:13" ht="15">
      <c r="A1381"/>
      <c r="B1381"/>
      <c r="C1381"/>
      <c r="D1381"/>
      <c r="E1381"/>
      <c r="F1381"/>
      <c r="G1381"/>
      <c r="H1381"/>
      <c r="I1381"/>
      <c r="J1381"/>
      <c r="K1381"/>
      <c r="L1381"/>
      <c r="M1381"/>
    </row>
    <row r="1382" spans="1:13" ht="15">
      <c r="A1382"/>
      <c r="B1382"/>
      <c r="C1382"/>
      <c r="D1382"/>
      <c r="E1382"/>
      <c r="F1382"/>
      <c r="G1382"/>
      <c r="H1382"/>
      <c r="I1382"/>
      <c r="J1382"/>
      <c r="K1382"/>
      <c r="L1382"/>
      <c r="M1382"/>
    </row>
    <row r="1383" spans="1:13" ht="15">
      <c r="A1383"/>
      <c r="B1383"/>
      <c r="C1383"/>
      <c r="D1383"/>
      <c r="E1383"/>
      <c r="F1383"/>
      <c r="G1383"/>
      <c r="H1383"/>
      <c r="I1383"/>
      <c r="J1383"/>
      <c r="K1383"/>
      <c r="L1383"/>
      <c r="M1383"/>
    </row>
    <row r="1384" spans="1:13" ht="15">
      <c r="A1384"/>
      <c r="B1384"/>
      <c r="C1384"/>
      <c r="D1384"/>
      <c r="E1384"/>
      <c r="F1384"/>
      <c r="G1384"/>
      <c r="H1384"/>
      <c r="I1384"/>
      <c r="J1384"/>
      <c r="K1384"/>
      <c r="L1384"/>
      <c r="M1384"/>
    </row>
    <row r="1385" spans="1:13" ht="15">
      <c r="A1385"/>
      <c r="B1385"/>
      <c r="C1385"/>
      <c r="D1385"/>
      <c r="E1385"/>
      <c r="F1385"/>
      <c r="G1385"/>
      <c r="H1385"/>
      <c r="I1385"/>
      <c r="J1385"/>
      <c r="K1385"/>
      <c r="L1385"/>
      <c r="M1385"/>
    </row>
    <row r="1386" spans="1:13" ht="15">
      <c r="A1386"/>
      <c r="B1386"/>
      <c r="C1386"/>
      <c r="D1386"/>
      <c r="E1386"/>
      <c r="F1386"/>
      <c r="G1386"/>
      <c r="H1386"/>
      <c r="I1386"/>
      <c r="J1386"/>
      <c r="K1386"/>
      <c r="L1386"/>
      <c r="M1386"/>
    </row>
    <row r="1387" spans="1:13" ht="15">
      <c r="A1387"/>
      <c r="B1387"/>
      <c r="C1387"/>
      <c r="D1387"/>
      <c r="E1387"/>
      <c r="F1387"/>
      <c r="G1387"/>
      <c r="H1387"/>
      <c r="I1387"/>
      <c r="J1387"/>
      <c r="K1387"/>
      <c r="L1387"/>
      <c r="M1387"/>
    </row>
    <row r="1388" spans="1:13" ht="15">
      <c r="A1388"/>
      <c r="B1388"/>
      <c r="C1388"/>
      <c r="D1388"/>
      <c r="E1388"/>
      <c r="F1388"/>
      <c r="G1388"/>
      <c r="H1388"/>
      <c r="I1388"/>
      <c r="J1388"/>
      <c r="K1388"/>
      <c r="L1388"/>
      <c r="M1388"/>
    </row>
    <row r="1389" spans="1:13" ht="15">
      <c r="A1389"/>
      <c r="B1389"/>
      <c r="C1389"/>
      <c r="D1389"/>
      <c r="E1389"/>
      <c r="F1389"/>
      <c r="G1389"/>
      <c r="H1389"/>
      <c r="I1389"/>
      <c r="J1389"/>
      <c r="K1389"/>
      <c r="L1389"/>
      <c r="M1389"/>
    </row>
    <row r="1390" spans="1:13" ht="15">
      <c r="A1390"/>
      <c r="B1390"/>
      <c r="C1390"/>
      <c r="D1390"/>
      <c r="E1390"/>
      <c r="F1390"/>
      <c r="G1390"/>
      <c r="H1390"/>
      <c r="I1390"/>
      <c r="J1390"/>
      <c r="K1390"/>
      <c r="L1390"/>
      <c r="M1390"/>
    </row>
    <row r="1391" spans="1:13" ht="15">
      <c r="A1391"/>
      <c r="B1391"/>
      <c r="C1391"/>
      <c r="D1391"/>
      <c r="E1391"/>
      <c r="F1391"/>
      <c r="G1391"/>
      <c r="H1391"/>
      <c r="I1391"/>
      <c r="J1391"/>
      <c r="K1391"/>
      <c r="L1391"/>
      <c r="M1391"/>
    </row>
    <row r="1392" spans="1:13" ht="15">
      <c r="A1392"/>
      <c r="B1392"/>
      <c r="C1392"/>
      <c r="D1392"/>
      <c r="E1392"/>
      <c r="F1392"/>
      <c r="G1392"/>
      <c r="H1392"/>
      <c r="I1392"/>
      <c r="J1392"/>
      <c r="K1392"/>
      <c r="L1392"/>
      <c r="M1392"/>
    </row>
    <row r="1393" spans="1:13" ht="15">
      <c r="A1393"/>
      <c r="B1393"/>
      <c r="C1393"/>
      <c r="D1393"/>
      <c r="E1393"/>
      <c r="F1393"/>
      <c r="G1393"/>
      <c r="H1393"/>
      <c r="I1393"/>
      <c r="J1393"/>
      <c r="K1393"/>
      <c r="L1393"/>
      <c r="M1393"/>
    </row>
    <row r="1394" spans="1:13" ht="15">
      <c r="A1394"/>
      <c r="B1394"/>
      <c r="C1394"/>
      <c r="D1394"/>
      <c r="E1394"/>
      <c r="F1394"/>
      <c r="G1394"/>
      <c r="H1394"/>
      <c r="I1394"/>
      <c r="J1394"/>
      <c r="K1394"/>
      <c r="L1394"/>
      <c r="M1394"/>
    </row>
    <row r="1395" spans="1:13" ht="15">
      <c r="A1395"/>
      <c r="B1395"/>
      <c r="C1395"/>
      <c r="D1395"/>
      <c r="E1395"/>
      <c r="F1395"/>
      <c r="G1395"/>
      <c r="H1395"/>
      <c r="I1395"/>
      <c r="J1395"/>
      <c r="K1395"/>
      <c r="L1395"/>
      <c r="M1395"/>
    </row>
    <row r="1396" spans="1:13" ht="15">
      <c r="A1396"/>
      <c r="B1396"/>
      <c r="C1396"/>
      <c r="D1396"/>
      <c r="E1396"/>
      <c r="F1396"/>
      <c r="G1396"/>
      <c r="H1396"/>
      <c r="I1396"/>
      <c r="J1396"/>
      <c r="K1396"/>
      <c r="L1396"/>
      <c r="M1396"/>
    </row>
    <row r="1397" spans="1:13" ht="15">
      <c r="A1397"/>
      <c r="B1397"/>
      <c r="C1397"/>
      <c r="D1397"/>
      <c r="E1397"/>
      <c r="F1397"/>
      <c r="G1397"/>
      <c r="H1397"/>
      <c r="I1397"/>
      <c r="J1397"/>
      <c r="K1397"/>
      <c r="L1397"/>
      <c r="M1397"/>
    </row>
    <row r="1398" spans="1:13" ht="15">
      <c r="A1398"/>
      <c r="B1398"/>
      <c r="C1398"/>
      <c r="D1398"/>
      <c r="E1398"/>
      <c r="F1398"/>
      <c r="G1398"/>
      <c r="H1398"/>
      <c r="I1398"/>
      <c r="J1398"/>
      <c r="K1398"/>
      <c r="L1398"/>
      <c r="M1398"/>
    </row>
    <row r="1399" spans="1:13" ht="15">
      <c r="A1399"/>
      <c r="B1399"/>
      <c r="C1399"/>
      <c r="D1399"/>
      <c r="E1399"/>
      <c r="F1399"/>
      <c r="G1399"/>
      <c r="H1399"/>
      <c r="I1399"/>
      <c r="J1399"/>
      <c r="K1399"/>
      <c r="L1399"/>
      <c r="M1399"/>
    </row>
    <row r="1400" spans="1:13" ht="15">
      <c r="A1400"/>
      <c r="B1400"/>
      <c r="C1400"/>
      <c r="D1400"/>
      <c r="E1400"/>
      <c r="F1400"/>
      <c r="G1400"/>
      <c r="H1400"/>
      <c r="I1400"/>
      <c r="J1400"/>
      <c r="K1400"/>
      <c r="L1400"/>
      <c r="M1400"/>
    </row>
    <row r="1401" spans="1:13" ht="15">
      <c r="A1401"/>
      <c r="B1401"/>
      <c r="C1401"/>
      <c r="D1401"/>
      <c r="E1401"/>
      <c r="F1401"/>
      <c r="G1401"/>
      <c r="H1401"/>
      <c r="I1401"/>
      <c r="J1401"/>
      <c r="K1401"/>
      <c r="L1401"/>
      <c r="M1401"/>
    </row>
    <row r="1402" spans="1:13" ht="15">
      <c r="A1402"/>
      <c r="B1402"/>
      <c r="C1402"/>
      <c r="D1402"/>
      <c r="E1402"/>
      <c r="F1402"/>
      <c r="G1402"/>
      <c r="H1402"/>
      <c r="I1402"/>
      <c r="J1402"/>
      <c r="K1402"/>
      <c r="L1402"/>
      <c r="M1402"/>
    </row>
    <row r="1403" spans="1:13" ht="15">
      <c r="A1403"/>
      <c r="B1403"/>
      <c r="C1403"/>
      <c r="D1403"/>
      <c r="E1403"/>
      <c r="F1403"/>
      <c r="G1403"/>
      <c r="H1403"/>
      <c r="I1403"/>
      <c r="J1403"/>
      <c r="K1403"/>
      <c r="L1403"/>
      <c r="M1403"/>
    </row>
    <row r="1404" spans="1:13" ht="15">
      <c r="A1404"/>
      <c r="B1404"/>
      <c r="C1404"/>
      <c r="D1404"/>
      <c r="E1404"/>
      <c r="F1404"/>
      <c r="G1404"/>
      <c r="H1404"/>
      <c r="I1404"/>
      <c r="J1404"/>
      <c r="K1404"/>
      <c r="L1404"/>
      <c r="M1404"/>
    </row>
    <row r="1405" spans="1:13" ht="15">
      <c r="A1405"/>
      <c r="B1405"/>
      <c r="C1405"/>
      <c r="D1405"/>
      <c r="E1405"/>
      <c r="F1405"/>
      <c r="G1405"/>
      <c r="H1405"/>
      <c r="I1405"/>
      <c r="J1405"/>
      <c r="K1405"/>
      <c r="L1405"/>
      <c r="M1405"/>
    </row>
    <row r="1406" spans="1:13" ht="15">
      <c r="A1406"/>
      <c r="B1406"/>
      <c r="C1406"/>
      <c r="D1406"/>
      <c r="E1406"/>
      <c r="F1406"/>
      <c r="G1406"/>
      <c r="H1406"/>
      <c r="I1406"/>
      <c r="J1406"/>
      <c r="K1406"/>
      <c r="L1406"/>
      <c r="M1406"/>
    </row>
    <row r="1407" spans="1:13" ht="15">
      <c r="A1407"/>
      <c r="B1407"/>
      <c r="C1407"/>
      <c r="D1407"/>
      <c r="E1407"/>
      <c r="F1407"/>
      <c r="G1407"/>
      <c r="H1407"/>
      <c r="I1407"/>
      <c r="J1407"/>
      <c r="K1407"/>
      <c r="L1407"/>
      <c r="M1407"/>
    </row>
    <row r="1408" spans="1:13" ht="15">
      <c r="A1408"/>
      <c r="B1408"/>
      <c r="C1408"/>
      <c r="D1408"/>
      <c r="E1408"/>
      <c r="F1408"/>
      <c r="G1408"/>
      <c r="H1408"/>
      <c r="I1408"/>
      <c r="J1408"/>
      <c r="K1408"/>
      <c r="L1408"/>
      <c r="M1408"/>
    </row>
    <row r="1409" spans="1:13" ht="15">
      <c r="A1409"/>
      <c r="B1409"/>
      <c r="C1409"/>
      <c r="D1409"/>
      <c r="E1409"/>
      <c r="F1409"/>
      <c r="G1409"/>
      <c r="H1409"/>
      <c r="I1409"/>
      <c r="J1409"/>
      <c r="K1409"/>
      <c r="L1409"/>
      <c r="M1409"/>
    </row>
    <row r="1410" spans="1:13" ht="15">
      <c r="A1410"/>
      <c r="B1410"/>
      <c r="C1410"/>
      <c r="D1410"/>
      <c r="E1410"/>
      <c r="F1410"/>
      <c r="G1410"/>
      <c r="H1410"/>
      <c r="I1410"/>
      <c r="J1410"/>
      <c r="K1410"/>
      <c r="L1410"/>
      <c r="M1410"/>
    </row>
    <row r="1411" spans="1:13" ht="15">
      <c r="A1411"/>
      <c r="B1411"/>
      <c r="C1411"/>
      <c r="D1411"/>
      <c r="E1411"/>
      <c r="F1411"/>
      <c r="G1411"/>
      <c r="H1411"/>
      <c r="I1411"/>
      <c r="J1411"/>
      <c r="K1411"/>
      <c r="L1411"/>
      <c r="M1411"/>
    </row>
    <row r="1412" spans="1:13" ht="15">
      <c r="A1412"/>
      <c r="B1412"/>
      <c r="C1412"/>
      <c r="D1412"/>
      <c r="E1412"/>
      <c r="F1412"/>
      <c r="G1412"/>
      <c r="H1412"/>
      <c r="I1412"/>
      <c r="J1412"/>
      <c r="K1412"/>
      <c r="L1412"/>
      <c r="M1412"/>
    </row>
    <row r="1413" spans="1:13" ht="15">
      <c r="A1413"/>
      <c r="B1413"/>
      <c r="C1413"/>
      <c r="D1413"/>
      <c r="E1413"/>
      <c r="F1413"/>
      <c r="G1413"/>
      <c r="H1413"/>
      <c r="I1413"/>
      <c r="J1413"/>
      <c r="K1413"/>
      <c r="L1413"/>
      <c r="M1413"/>
    </row>
    <row r="1414" spans="1:13" ht="15">
      <c r="A1414"/>
      <c r="B1414"/>
      <c r="C1414"/>
      <c r="D1414"/>
      <c r="E1414"/>
      <c r="F1414"/>
      <c r="G1414"/>
      <c r="H1414"/>
      <c r="I1414"/>
      <c r="J1414"/>
      <c r="K1414"/>
      <c r="L1414"/>
      <c r="M1414"/>
    </row>
    <row r="1415" spans="1:13" ht="15">
      <c r="A1415"/>
      <c r="B1415"/>
      <c r="C1415"/>
      <c r="D1415"/>
      <c r="E1415"/>
      <c r="F1415"/>
      <c r="G1415"/>
      <c r="H1415"/>
      <c r="I1415"/>
      <c r="J1415"/>
      <c r="K1415"/>
      <c r="L1415"/>
      <c r="M1415"/>
    </row>
    <row r="1416" spans="1:13" ht="15">
      <c r="A1416"/>
      <c r="B1416"/>
      <c r="C1416"/>
      <c r="D1416"/>
      <c r="E1416"/>
      <c r="F1416"/>
      <c r="G1416"/>
      <c r="H1416"/>
      <c r="I1416"/>
      <c r="J1416"/>
      <c r="K1416"/>
      <c r="L1416"/>
      <c r="M1416"/>
    </row>
    <row r="1417" spans="1:13" ht="15">
      <c r="A1417"/>
      <c r="B1417"/>
      <c r="C1417"/>
      <c r="D1417"/>
      <c r="E1417"/>
      <c r="F1417"/>
      <c r="G1417"/>
      <c r="H1417"/>
      <c r="I1417"/>
      <c r="J1417"/>
      <c r="K1417"/>
      <c r="L1417"/>
      <c r="M1417"/>
    </row>
    <row r="1418" spans="1:13" ht="15">
      <c r="A1418"/>
      <c r="B1418"/>
      <c r="C1418"/>
      <c r="D1418"/>
      <c r="E1418"/>
      <c r="F1418"/>
      <c r="G1418"/>
      <c r="H1418"/>
      <c r="I1418"/>
      <c r="J1418"/>
      <c r="K1418"/>
      <c r="L1418"/>
      <c r="M1418"/>
    </row>
    <row r="1419" spans="1:13" ht="15">
      <c r="A1419"/>
      <c r="B1419"/>
      <c r="C1419"/>
      <c r="D1419"/>
      <c r="E1419"/>
      <c r="F1419"/>
      <c r="G1419"/>
      <c r="H1419"/>
      <c r="I1419"/>
      <c r="J1419"/>
      <c r="K1419"/>
      <c r="L1419"/>
      <c r="M1419"/>
    </row>
    <row r="1420" spans="1:13" ht="15">
      <c r="A1420"/>
      <c r="B1420"/>
      <c r="C1420"/>
      <c r="D1420"/>
      <c r="E1420"/>
      <c r="F1420"/>
      <c r="G1420"/>
      <c r="H1420"/>
      <c r="I1420"/>
      <c r="J1420"/>
      <c r="K1420"/>
      <c r="L1420"/>
      <c r="M1420"/>
    </row>
    <row r="1421" spans="1:13" ht="15">
      <c r="A1421"/>
      <c r="B1421"/>
      <c r="C1421"/>
      <c r="D1421"/>
      <c r="E1421"/>
      <c r="F1421"/>
      <c r="G1421"/>
      <c r="H1421"/>
      <c r="I1421"/>
      <c r="J1421"/>
      <c r="K1421"/>
      <c r="L1421"/>
      <c r="M1421"/>
    </row>
    <row r="1422" spans="1:13" ht="15">
      <c r="A1422"/>
      <c r="B1422"/>
      <c r="C1422"/>
      <c r="D1422"/>
      <c r="E1422"/>
      <c r="F1422"/>
      <c r="G1422"/>
      <c r="H1422"/>
      <c r="I1422"/>
      <c r="J1422"/>
      <c r="K1422"/>
      <c r="L1422"/>
      <c r="M1422"/>
    </row>
    <row r="1423" spans="1:13" ht="15">
      <c r="A1423"/>
      <c r="B1423"/>
      <c r="C1423"/>
      <c r="D1423"/>
      <c r="E1423"/>
      <c r="F1423"/>
      <c r="G1423"/>
      <c r="H1423"/>
      <c r="I1423"/>
      <c r="J1423"/>
      <c r="K1423"/>
      <c r="L1423"/>
      <c r="M1423"/>
    </row>
    <row r="1424" spans="1:13" ht="15">
      <c r="A1424"/>
      <c r="B1424"/>
      <c r="C1424"/>
      <c r="D1424"/>
      <c r="E1424"/>
      <c r="F1424"/>
      <c r="G1424"/>
      <c r="H1424"/>
      <c r="I1424"/>
      <c r="J1424"/>
      <c r="K1424"/>
      <c r="L1424"/>
      <c r="M1424"/>
    </row>
    <row r="1425" spans="1:13" ht="15">
      <c r="A1425"/>
      <c r="B1425"/>
      <c r="C1425"/>
      <c r="D1425"/>
      <c r="E1425"/>
      <c r="F1425"/>
      <c r="G1425"/>
      <c r="H1425"/>
      <c r="I1425"/>
      <c r="J1425"/>
      <c r="K1425"/>
      <c r="L1425"/>
      <c r="M1425"/>
    </row>
    <row r="1426" spans="1:13" ht="15">
      <c r="A1426"/>
      <c r="B1426"/>
      <c r="C1426"/>
      <c r="D1426"/>
      <c r="E1426"/>
      <c r="F1426"/>
      <c r="G1426"/>
      <c r="H1426"/>
      <c r="I1426"/>
      <c r="J1426"/>
      <c r="K1426"/>
      <c r="L1426"/>
      <c r="M1426"/>
    </row>
    <row r="1427" spans="1:13" ht="15">
      <c r="A1427"/>
      <c r="B1427"/>
      <c r="C1427"/>
      <c r="D1427"/>
      <c r="E1427"/>
      <c r="F1427"/>
      <c r="G1427"/>
      <c r="H1427"/>
      <c r="I1427"/>
      <c r="J1427"/>
      <c r="K1427"/>
      <c r="L1427"/>
      <c r="M1427"/>
    </row>
    <row r="1428" spans="1:13" ht="15">
      <c r="A1428"/>
      <c r="B1428"/>
      <c r="C1428"/>
      <c r="D1428"/>
      <c r="E1428"/>
      <c r="F1428"/>
      <c r="G1428"/>
      <c r="H1428"/>
      <c r="I1428"/>
      <c r="J1428"/>
      <c r="K1428"/>
      <c r="L1428"/>
      <c r="M1428"/>
    </row>
    <row r="1429" spans="1:13" ht="15">
      <c r="A1429"/>
      <c r="B1429"/>
      <c r="C1429"/>
      <c r="D1429"/>
      <c r="E1429"/>
      <c r="F1429"/>
      <c r="G1429"/>
      <c r="H1429"/>
      <c r="I1429"/>
      <c r="J1429"/>
      <c r="K1429"/>
      <c r="L1429"/>
      <c r="M1429"/>
    </row>
    <row r="1430" spans="1:13" ht="15">
      <c r="A1430"/>
      <c r="B1430"/>
      <c r="C1430"/>
      <c r="D1430"/>
      <c r="E1430"/>
      <c r="F1430"/>
      <c r="G1430"/>
      <c r="H1430"/>
      <c r="I1430"/>
      <c r="J1430"/>
      <c r="K1430"/>
      <c r="L1430"/>
      <c r="M1430"/>
    </row>
    <row r="1431" spans="1:13" ht="15">
      <c r="A1431"/>
      <c r="B1431"/>
      <c r="C1431"/>
      <c r="D1431"/>
      <c r="E1431"/>
      <c r="F1431"/>
      <c r="G1431"/>
      <c r="H1431"/>
      <c r="I1431"/>
      <c r="J1431"/>
      <c r="K1431"/>
      <c r="L1431"/>
      <c r="M1431"/>
    </row>
    <row r="1432" spans="1:13" ht="15">
      <c r="A1432"/>
      <c r="B1432"/>
      <c r="C1432"/>
      <c r="D1432"/>
      <c r="E1432"/>
      <c r="F1432"/>
      <c r="G1432"/>
      <c r="H1432"/>
      <c r="I1432"/>
      <c r="J1432"/>
      <c r="K1432"/>
      <c r="L1432"/>
      <c r="M1432"/>
    </row>
    <row r="1433" spans="1:13" ht="15">
      <c r="A1433"/>
      <c r="B1433"/>
      <c r="C1433"/>
      <c r="D1433"/>
      <c r="E1433"/>
      <c r="F1433"/>
      <c r="G1433"/>
      <c r="H1433"/>
      <c r="I1433"/>
      <c r="J1433"/>
      <c r="K1433"/>
      <c r="L1433"/>
      <c r="M1433"/>
    </row>
    <row r="1434" spans="1:13" ht="15">
      <c r="A1434"/>
      <c r="B1434"/>
      <c r="C1434"/>
      <c r="D1434"/>
      <c r="E1434"/>
      <c r="F1434"/>
      <c r="G1434"/>
      <c r="H1434"/>
      <c r="I1434"/>
      <c r="J1434"/>
      <c r="K1434"/>
      <c r="L1434"/>
      <c r="M1434"/>
    </row>
    <row r="1435" spans="1:13" ht="15">
      <c r="A1435"/>
      <c r="B1435"/>
      <c r="C1435"/>
      <c r="D1435"/>
      <c r="E1435"/>
      <c r="F1435"/>
      <c r="G1435"/>
      <c r="H1435"/>
      <c r="I1435"/>
      <c r="J1435"/>
      <c r="K1435"/>
      <c r="L1435"/>
      <c r="M1435"/>
    </row>
    <row r="1436" spans="1:13" ht="15">
      <c r="A1436"/>
      <c r="B1436"/>
      <c r="C1436"/>
      <c r="D1436"/>
      <c r="E1436"/>
      <c r="F1436"/>
      <c r="G1436"/>
      <c r="H1436"/>
      <c r="I1436"/>
      <c r="J1436"/>
      <c r="K1436"/>
      <c r="L1436"/>
      <c r="M1436"/>
    </row>
    <row r="1437" spans="1:13" ht="15">
      <c r="A1437"/>
      <c r="B1437"/>
      <c r="C1437"/>
      <c r="D1437"/>
      <c r="E1437"/>
      <c r="F1437"/>
      <c r="G1437"/>
      <c r="H1437"/>
      <c r="I1437"/>
      <c r="J1437"/>
      <c r="K1437"/>
      <c r="L1437"/>
      <c r="M1437"/>
    </row>
    <row r="1438" spans="1:13" ht="15">
      <c r="A1438"/>
      <c r="B1438"/>
      <c r="C1438"/>
      <c r="D1438"/>
      <c r="E1438"/>
      <c r="F1438"/>
      <c r="G1438"/>
      <c r="H1438"/>
      <c r="I1438"/>
      <c r="J1438"/>
      <c r="K1438"/>
      <c r="L1438"/>
      <c r="M1438"/>
    </row>
    <row r="1439" spans="1:13" ht="15">
      <c r="A1439"/>
      <c r="B1439"/>
      <c r="C1439"/>
      <c r="D1439"/>
      <c r="E1439"/>
      <c r="F1439"/>
      <c r="G1439"/>
      <c r="H1439"/>
      <c r="I1439"/>
      <c r="J1439"/>
      <c r="K1439"/>
      <c r="L1439"/>
      <c r="M1439"/>
    </row>
    <row r="1440" spans="1:13" ht="15">
      <c r="A1440"/>
      <c r="B1440"/>
      <c r="C1440"/>
      <c r="D1440"/>
      <c r="E1440"/>
      <c r="F1440"/>
      <c r="G1440"/>
      <c r="H1440"/>
      <c r="I1440"/>
      <c r="J1440"/>
      <c r="K1440"/>
      <c r="L1440"/>
      <c r="M1440"/>
    </row>
    <row r="1441" spans="1:13" ht="15">
      <c r="A1441"/>
      <c r="B1441"/>
      <c r="C1441"/>
      <c r="D1441"/>
      <c r="E1441"/>
      <c r="F1441"/>
      <c r="G1441"/>
      <c r="H1441"/>
      <c r="I1441"/>
      <c r="J1441"/>
      <c r="K1441"/>
      <c r="L1441"/>
      <c r="M1441"/>
    </row>
    <row r="1442" spans="1:13" ht="15">
      <c r="A1442"/>
      <c r="B1442"/>
      <c r="C1442"/>
      <c r="D1442"/>
      <c r="E1442"/>
      <c r="F1442"/>
      <c r="G1442"/>
      <c r="H1442"/>
      <c r="I1442"/>
      <c r="J1442"/>
      <c r="K1442"/>
      <c r="L1442"/>
      <c r="M1442"/>
    </row>
    <row r="1443" spans="1:13" ht="15">
      <c r="A1443"/>
      <c r="B1443"/>
      <c r="C1443"/>
      <c r="D1443"/>
      <c r="E1443"/>
      <c r="F1443"/>
      <c r="G1443"/>
      <c r="H1443"/>
      <c r="I1443"/>
      <c r="J1443"/>
      <c r="K1443"/>
      <c r="L1443"/>
      <c r="M1443"/>
    </row>
    <row r="1444" spans="1:13" ht="15">
      <c r="A1444"/>
      <c r="B1444"/>
      <c r="C1444"/>
      <c r="D1444"/>
      <c r="E1444"/>
      <c r="F1444"/>
      <c r="G1444"/>
      <c r="H1444"/>
      <c r="I1444"/>
      <c r="J1444"/>
      <c r="K1444"/>
      <c r="L1444"/>
      <c r="M1444"/>
    </row>
    <row r="1445" spans="1:13" ht="15">
      <c r="A1445"/>
      <c r="B1445"/>
      <c r="C1445"/>
      <c r="D1445"/>
      <c r="E1445"/>
      <c r="F1445"/>
      <c r="G1445"/>
      <c r="H1445"/>
      <c r="I1445"/>
      <c r="J1445"/>
      <c r="K1445"/>
      <c r="L1445"/>
      <c r="M1445"/>
    </row>
    <row r="1446" spans="1:13" ht="15">
      <c r="A1446"/>
      <c r="B1446"/>
      <c r="C1446"/>
      <c r="D1446"/>
      <c r="E1446"/>
      <c r="F1446"/>
      <c r="G1446"/>
      <c r="H1446"/>
      <c r="I1446"/>
      <c r="J1446"/>
      <c r="K1446"/>
      <c r="L1446"/>
      <c r="M1446"/>
    </row>
    <row r="1447" spans="1:13" ht="15">
      <c r="A1447"/>
      <c r="B1447"/>
      <c r="C1447"/>
      <c r="D1447"/>
      <c r="E1447"/>
      <c r="F1447"/>
      <c r="G1447"/>
      <c r="H1447"/>
      <c r="I1447"/>
      <c r="J1447"/>
      <c r="K1447"/>
      <c r="L1447"/>
      <c r="M1447"/>
    </row>
    <row r="1448" spans="1:13" ht="15">
      <c r="A1448"/>
      <c r="B1448"/>
      <c r="C1448"/>
      <c r="D1448"/>
      <c r="E1448"/>
      <c r="F1448"/>
      <c r="G1448"/>
      <c r="H1448"/>
      <c r="I1448"/>
      <c r="J1448"/>
      <c r="K1448"/>
      <c r="L1448"/>
      <c r="M1448"/>
    </row>
    <row r="1449" spans="1:13" ht="15">
      <c r="A1449"/>
      <c r="B1449"/>
      <c r="C1449"/>
      <c r="D1449"/>
      <c r="E1449"/>
      <c r="F1449"/>
      <c r="G1449"/>
      <c r="H1449"/>
      <c r="I1449"/>
      <c r="J1449"/>
      <c r="K1449"/>
      <c r="L1449"/>
      <c r="M1449"/>
    </row>
    <row r="1450" spans="1:13" ht="15">
      <c r="A1450"/>
      <c r="B1450"/>
      <c r="C1450"/>
      <c r="D1450"/>
      <c r="E1450"/>
      <c r="F1450"/>
      <c r="G1450"/>
      <c r="H1450"/>
      <c r="I1450"/>
      <c r="J1450"/>
      <c r="K1450"/>
      <c r="L1450"/>
      <c r="M1450"/>
    </row>
    <row r="1451" spans="1:13" ht="15">
      <c r="A1451"/>
      <c r="B1451"/>
      <c r="C1451"/>
      <c r="D1451"/>
      <c r="E1451"/>
      <c r="F1451"/>
      <c r="G1451"/>
      <c r="H1451"/>
      <c r="I1451"/>
      <c r="J1451"/>
      <c r="K1451"/>
      <c r="L1451"/>
      <c r="M1451"/>
    </row>
    <row r="1452" spans="1:13" ht="15">
      <c r="A1452"/>
      <c r="B1452"/>
      <c r="C1452"/>
      <c r="D1452"/>
      <c r="E1452"/>
      <c r="F1452"/>
      <c r="G1452"/>
      <c r="H1452"/>
      <c r="I1452"/>
      <c r="J1452"/>
      <c r="K1452"/>
      <c r="L1452"/>
      <c r="M1452"/>
    </row>
    <row r="1453" spans="1:13" ht="15">
      <c r="A1453"/>
      <c r="B1453"/>
      <c r="C1453"/>
      <c r="D1453"/>
      <c r="E1453"/>
      <c r="F1453"/>
      <c r="G1453"/>
      <c r="H1453"/>
      <c r="I1453"/>
      <c r="J1453"/>
      <c r="K1453"/>
      <c r="L1453"/>
      <c r="M1453"/>
    </row>
    <row r="1454" spans="1:13" ht="15">
      <c r="A1454"/>
      <c r="B1454"/>
      <c r="C1454"/>
      <c r="D1454"/>
      <c r="E1454"/>
      <c r="F1454"/>
      <c r="G1454"/>
      <c r="H1454"/>
      <c r="I1454"/>
      <c r="J1454"/>
      <c r="K1454"/>
      <c r="L1454"/>
      <c r="M1454"/>
    </row>
    <row r="1455" spans="1:13" ht="15">
      <c r="A1455"/>
      <c r="B1455"/>
      <c r="C1455"/>
      <c r="D1455"/>
      <c r="E1455"/>
      <c r="F1455"/>
      <c r="G1455"/>
      <c r="H1455"/>
      <c r="I1455"/>
      <c r="J1455"/>
      <c r="K1455"/>
      <c r="L1455"/>
      <c r="M1455"/>
    </row>
    <row r="1456" spans="1:13" ht="15">
      <c r="A1456"/>
      <c r="B1456"/>
      <c r="C1456"/>
      <c r="D1456"/>
      <c r="E1456"/>
      <c r="F1456"/>
      <c r="G1456"/>
      <c r="H1456"/>
      <c r="I1456"/>
      <c r="J1456"/>
      <c r="K1456"/>
      <c r="L1456"/>
      <c r="M1456"/>
    </row>
    <row r="1457" spans="1:13" ht="15">
      <c r="A1457"/>
      <c r="B1457"/>
      <c r="C1457"/>
      <c r="D1457"/>
      <c r="E1457"/>
      <c r="F1457"/>
      <c r="G1457"/>
      <c r="H1457"/>
      <c r="I1457"/>
      <c r="J1457"/>
      <c r="K1457"/>
      <c r="L1457"/>
      <c r="M1457"/>
    </row>
    <row r="1458" spans="1:13" ht="15">
      <c r="A1458"/>
      <c r="B1458"/>
      <c r="C1458"/>
      <c r="D1458"/>
      <c r="E1458"/>
      <c r="F1458"/>
      <c r="G1458"/>
      <c r="H1458"/>
      <c r="I1458"/>
      <c r="J1458"/>
      <c r="K1458"/>
      <c r="L1458"/>
      <c r="M1458"/>
    </row>
    <row r="1459" spans="1:13" ht="15">
      <c r="A1459"/>
      <c r="B1459"/>
      <c r="C1459"/>
      <c r="D1459"/>
      <c r="E1459"/>
      <c r="F1459"/>
      <c r="G1459"/>
      <c r="H1459"/>
      <c r="I1459"/>
      <c r="J1459"/>
      <c r="K1459"/>
      <c r="L1459"/>
      <c r="M1459"/>
    </row>
    <row r="1460" spans="1:13" ht="15">
      <c r="A1460"/>
      <c r="B1460"/>
      <c r="C1460"/>
      <c r="D1460"/>
      <c r="E1460"/>
      <c r="F1460"/>
      <c r="G1460"/>
      <c r="H1460"/>
      <c r="I1460"/>
      <c r="J1460"/>
      <c r="K1460"/>
      <c r="L1460"/>
      <c r="M1460"/>
    </row>
    <row r="1461" spans="1:13" ht="15">
      <c r="A1461"/>
      <c r="B1461"/>
      <c r="C1461"/>
      <c r="D1461"/>
      <c r="E1461"/>
      <c r="F1461"/>
      <c r="G1461"/>
      <c r="H1461"/>
      <c r="I1461"/>
      <c r="J1461"/>
      <c r="K1461"/>
      <c r="L1461"/>
      <c r="M1461"/>
    </row>
    <row r="1462" spans="1:13" ht="15">
      <c r="A1462"/>
      <c r="B1462"/>
      <c r="C1462"/>
      <c r="D1462"/>
      <c r="E1462"/>
      <c r="F1462"/>
      <c r="G1462"/>
      <c r="H1462"/>
      <c r="I1462"/>
      <c r="J1462"/>
      <c r="K1462"/>
      <c r="L1462"/>
      <c r="M1462"/>
    </row>
    <row r="1463" spans="1:13" ht="15">
      <c r="A1463"/>
      <c r="B1463"/>
      <c r="C1463"/>
      <c r="D1463"/>
      <c r="E1463"/>
      <c r="F1463"/>
      <c r="G1463"/>
      <c r="H1463"/>
      <c r="I1463"/>
      <c r="J1463"/>
      <c r="K1463"/>
      <c r="L1463"/>
      <c r="M1463"/>
    </row>
    <row r="1464" spans="1:13" ht="15">
      <c r="A1464"/>
      <c r="B1464"/>
      <c r="C1464"/>
      <c r="D1464"/>
      <c r="E1464"/>
      <c r="F1464"/>
      <c r="G1464"/>
      <c r="H1464"/>
      <c r="I1464"/>
      <c r="J1464"/>
      <c r="K1464"/>
      <c r="L1464"/>
      <c r="M1464"/>
    </row>
    <row r="1465" spans="1:13" ht="15">
      <c r="A1465"/>
      <c r="B1465"/>
      <c r="C1465"/>
      <c r="D1465"/>
      <c r="E1465"/>
      <c r="F1465"/>
      <c r="G1465"/>
      <c r="H1465"/>
      <c r="I1465"/>
      <c r="J1465"/>
      <c r="K1465"/>
      <c r="L1465"/>
      <c r="M1465"/>
    </row>
    <row r="1466" spans="1:13" ht="15">
      <c r="A1466"/>
      <c r="B1466"/>
      <c r="C1466"/>
      <c r="D1466"/>
      <c r="E1466"/>
      <c r="F1466"/>
      <c r="G1466"/>
      <c r="H1466"/>
      <c r="I1466"/>
      <c r="J1466"/>
      <c r="K1466"/>
      <c r="L1466"/>
      <c r="M1466"/>
    </row>
    <row r="1467" spans="1:13" ht="15">
      <c r="A1467"/>
      <c r="B1467"/>
      <c r="C1467"/>
      <c r="D1467"/>
      <c r="E1467"/>
      <c r="F1467"/>
      <c r="G1467"/>
      <c r="H1467"/>
      <c r="I1467"/>
      <c r="J1467"/>
      <c r="K1467"/>
      <c r="L1467"/>
      <c r="M1467"/>
    </row>
    <row r="1468" spans="1:13" ht="15">
      <c r="A1468"/>
      <c r="B1468"/>
      <c r="C1468"/>
      <c r="D1468"/>
      <c r="E1468"/>
      <c r="F1468"/>
      <c r="G1468"/>
      <c r="H1468"/>
      <c r="I1468"/>
      <c r="J1468"/>
      <c r="K1468"/>
      <c r="L1468"/>
      <c r="M1468"/>
    </row>
    <row r="1469" spans="1:13" ht="15">
      <c r="A1469"/>
      <c r="B1469"/>
      <c r="C1469"/>
      <c r="D1469"/>
      <c r="E1469"/>
      <c r="F1469"/>
      <c r="G1469"/>
      <c r="H1469"/>
      <c r="I1469"/>
      <c r="J1469"/>
      <c r="K1469"/>
      <c r="L1469"/>
      <c r="M1469"/>
    </row>
    <row r="1470" spans="1:13" ht="15">
      <c r="A1470"/>
      <c r="B1470"/>
      <c r="C1470"/>
      <c r="D1470"/>
      <c r="E1470"/>
      <c r="F1470"/>
      <c r="G1470"/>
      <c r="H1470"/>
      <c r="I1470"/>
      <c r="J1470"/>
      <c r="K1470"/>
      <c r="L1470"/>
      <c r="M1470"/>
    </row>
    <row r="1471" spans="1:13" ht="15">
      <c r="A1471"/>
      <c r="B1471"/>
      <c r="C1471"/>
      <c r="D1471"/>
      <c r="E1471"/>
      <c r="F1471"/>
      <c r="G1471"/>
      <c r="H1471"/>
      <c r="I1471"/>
      <c r="J1471"/>
      <c r="K1471"/>
      <c r="L1471"/>
      <c r="M1471"/>
    </row>
    <row r="1472" spans="1:13" ht="15">
      <c r="A1472"/>
      <c r="B1472"/>
      <c r="C1472"/>
      <c r="D1472"/>
      <c r="E1472"/>
      <c r="F1472"/>
      <c r="G1472"/>
      <c r="H1472"/>
      <c r="I1472"/>
      <c r="J1472"/>
      <c r="K1472"/>
      <c r="L1472"/>
      <c r="M1472"/>
    </row>
    <row r="1473" spans="1:13" ht="15">
      <c r="A1473"/>
      <c r="B1473"/>
      <c r="C1473"/>
      <c r="D1473"/>
      <c r="E1473"/>
      <c r="F1473"/>
      <c r="G1473"/>
      <c r="H1473"/>
      <c r="I1473"/>
      <c r="J1473"/>
      <c r="K1473"/>
      <c r="L1473"/>
      <c r="M1473"/>
    </row>
    <row r="1474" spans="1:13" ht="15">
      <c r="A1474"/>
      <c r="B1474"/>
      <c r="C1474"/>
      <c r="D1474"/>
      <c r="E1474"/>
      <c r="F1474"/>
      <c r="G1474"/>
      <c r="H1474"/>
      <c r="I1474"/>
      <c r="J1474"/>
      <c r="K1474"/>
      <c r="L1474"/>
      <c r="M1474"/>
    </row>
    <row r="1475" spans="1:13" ht="15">
      <c r="A1475"/>
      <c r="B1475"/>
      <c r="C1475"/>
      <c r="D1475"/>
      <c r="E1475"/>
      <c r="F1475"/>
      <c r="G1475"/>
      <c r="H1475"/>
      <c r="I1475"/>
      <c r="J1475"/>
      <c r="K1475"/>
      <c r="L1475"/>
      <c r="M1475"/>
    </row>
    <row r="1476" spans="1:13" ht="15">
      <c r="A1476"/>
      <c r="B1476"/>
      <c r="C1476"/>
      <c r="D1476"/>
      <c r="E1476"/>
      <c r="F1476"/>
      <c r="G1476"/>
      <c r="H1476"/>
      <c r="I1476"/>
      <c r="J1476"/>
      <c r="K1476"/>
      <c r="L1476"/>
      <c r="M1476"/>
    </row>
    <row r="1477" spans="1:13" ht="15">
      <c r="A1477"/>
      <c r="B1477"/>
      <c r="C1477"/>
      <c r="D1477"/>
      <c r="E1477"/>
      <c r="F1477"/>
      <c r="G1477"/>
      <c r="H1477"/>
      <c r="I1477"/>
      <c r="J1477"/>
      <c r="K1477"/>
      <c r="L1477"/>
      <c r="M1477"/>
    </row>
    <row r="1478" spans="1:13" ht="15">
      <c r="A1478"/>
      <c r="B1478"/>
      <c r="C1478"/>
      <c r="D1478"/>
      <c r="E1478"/>
      <c r="F1478"/>
      <c r="G1478"/>
      <c r="H1478"/>
      <c r="I1478"/>
      <c r="J1478"/>
      <c r="K1478"/>
      <c r="L1478"/>
      <c r="M1478"/>
    </row>
    <row r="1479" spans="1:13" ht="15">
      <c r="A1479"/>
      <c r="B1479"/>
      <c r="C1479"/>
      <c r="D1479"/>
      <c r="E1479"/>
      <c r="F1479"/>
      <c r="G1479"/>
      <c r="H1479"/>
      <c r="I1479"/>
      <c r="J1479"/>
      <c r="K1479"/>
      <c r="L1479"/>
      <c r="M1479"/>
    </row>
    <row r="1480" spans="1:13" ht="15">
      <c r="A1480"/>
      <c r="B1480"/>
      <c r="C1480"/>
      <c r="D1480"/>
      <c r="E1480"/>
      <c r="F1480"/>
      <c r="G1480"/>
      <c r="H1480"/>
      <c r="I1480"/>
      <c r="J1480"/>
      <c r="K1480"/>
      <c r="L1480"/>
      <c r="M1480"/>
    </row>
    <row r="1481" spans="1:13" ht="15">
      <c r="A1481"/>
      <c r="B1481"/>
      <c r="C1481"/>
      <c r="D1481"/>
      <c r="E1481"/>
      <c r="F1481"/>
      <c r="G1481"/>
      <c r="H1481"/>
      <c r="I1481"/>
      <c r="J1481"/>
      <c r="K1481"/>
      <c r="L1481"/>
      <c r="M1481"/>
    </row>
    <row r="1482" spans="1:13" ht="15">
      <c r="A1482"/>
      <c r="B1482"/>
      <c r="C1482"/>
      <c r="D1482"/>
      <c r="E1482"/>
      <c r="F1482"/>
      <c r="G1482"/>
      <c r="H1482"/>
      <c r="I1482"/>
      <c r="J1482"/>
      <c r="K1482"/>
      <c r="L1482"/>
      <c r="M1482"/>
    </row>
    <row r="1483" spans="1:13" ht="15">
      <c r="A1483"/>
      <c r="B1483"/>
      <c r="C1483"/>
      <c r="D1483"/>
      <c r="E1483"/>
      <c r="F1483"/>
      <c r="G1483"/>
      <c r="H1483"/>
      <c r="I1483"/>
      <c r="J1483"/>
      <c r="K1483"/>
      <c r="L1483"/>
      <c r="M1483"/>
    </row>
    <row r="1484" spans="1:13" ht="15">
      <c r="A1484"/>
      <c r="B1484"/>
      <c r="C1484"/>
      <c r="D1484"/>
      <c r="E1484"/>
      <c r="F1484"/>
      <c r="G1484"/>
      <c r="H1484"/>
      <c r="I1484"/>
      <c r="J1484"/>
      <c r="K1484"/>
      <c r="L1484"/>
      <c r="M1484"/>
    </row>
    <row r="1485" spans="1:13" ht="15">
      <c r="A1485"/>
      <c r="B1485"/>
      <c r="C1485"/>
      <c r="D1485"/>
      <c r="E1485"/>
      <c r="F1485"/>
      <c r="G1485"/>
      <c r="H1485"/>
      <c r="I1485"/>
      <c r="J1485"/>
      <c r="K1485"/>
      <c r="L1485"/>
      <c r="M1485"/>
    </row>
    <row r="1486" spans="1:13" ht="15">
      <c r="A1486"/>
      <c r="B1486"/>
      <c r="C1486"/>
      <c r="D1486"/>
      <c r="E1486"/>
      <c r="F1486"/>
      <c r="G1486"/>
      <c r="H1486"/>
      <c r="I1486"/>
      <c r="J1486"/>
      <c r="K1486"/>
      <c r="L1486"/>
      <c r="M1486"/>
    </row>
    <row r="1487" spans="1:13" ht="15">
      <c r="A1487"/>
      <c r="B1487"/>
      <c r="C1487"/>
      <c r="D1487"/>
      <c r="E1487"/>
      <c r="F1487"/>
      <c r="G1487"/>
      <c r="H1487"/>
      <c r="I1487"/>
      <c r="J1487"/>
      <c r="K1487"/>
      <c r="L1487"/>
      <c r="M1487"/>
    </row>
    <row r="1488" spans="1:13" ht="15">
      <c r="A1488"/>
      <c r="B1488"/>
      <c r="C1488"/>
      <c r="D1488"/>
      <c r="E1488"/>
      <c r="F1488"/>
      <c r="G1488"/>
      <c r="H1488"/>
      <c r="I1488"/>
      <c r="J1488"/>
      <c r="K1488"/>
      <c r="L1488"/>
      <c r="M1488"/>
    </row>
    <row r="1489" spans="1:13" ht="15">
      <c r="A1489"/>
      <c r="B1489"/>
      <c r="C1489"/>
      <c r="D1489"/>
      <c r="E1489"/>
      <c r="F1489"/>
      <c r="G1489"/>
      <c r="H1489"/>
      <c r="I1489"/>
      <c r="J1489"/>
      <c r="K1489"/>
      <c r="L1489"/>
      <c r="M1489"/>
    </row>
    <row r="1490" spans="1:13" ht="15">
      <c r="A1490"/>
      <c r="B1490"/>
      <c r="C1490"/>
      <c r="D1490"/>
      <c r="E1490"/>
      <c r="F1490"/>
      <c r="G1490"/>
      <c r="H1490"/>
      <c r="I1490"/>
      <c r="J1490"/>
      <c r="K1490"/>
      <c r="L1490"/>
      <c r="M1490"/>
    </row>
    <row r="1491" spans="1:13" ht="15">
      <c r="A1491"/>
      <c r="B1491"/>
      <c r="C1491"/>
      <c r="D1491"/>
      <c r="E1491"/>
      <c r="F1491"/>
      <c r="G1491"/>
      <c r="H1491"/>
      <c r="I1491"/>
      <c r="J1491"/>
      <c r="K1491"/>
      <c r="L1491"/>
      <c r="M1491"/>
    </row>
    <row r="1492" spans="1:13" ht="15">
      <c r="A1492"/>
      <c r="B1492"/>
      <c r="C1492"/>
      <c r="D1492"/>
      <c r="E1492"/>
      <c r="F1492"/>
      <c r="G1492"/>
      <c r="H1492"/>
      <c r="I1492"/>
      <c r="J1492"/>
      <c r="K1492"/>
      <c r="L1492"/>
      <c r="M1492"/>
    </row>
    <row r="1493" spans="1:13" ht="15">
      <c r="A1493"/>
      <c r="B1493"/>
      <c r="C1493"/>
      <c r="D1493"/>
      <c r="E1493"/>
      <c r="F1493"/>
      <c r="G1493"/>
      <c r="H1493"/>
      <c r="I1493"/>
      <c r="J1493"/>
      <c r="K1493"/>
      <c r="L1493"/>
      <c r="M1493"/>
    </row>
    <row r="1494" spans="1:13" ht="15">
      <c r="A1494"/>
      <c r="B1494"/>
      <c r="C1494"/>
      <c r="D1494"/>
      <c r="E1494"/>
      <c r="F1494"/>
      <c r="G1494"/>
      <c r="H1494"/>
      <c r="I1494"/>
      <c r="J1494"/>
      <c r="K1494"/>
      <c r="L1494"/>
      <c r="M1494"/>
    </row>
    <row r="1495" spans="1:13" ht="15">
      <c r="A1495"/>
      <c r="B1495"/>
      <c r="C1495"/>
      <c r="D1495"/>
      <c r="E1495"/>
      <c r="F1495"/>
      <c r="G1495"/>
      <c r="H1495"/>
      <c r="I1495"/>
      <c r="J1495"/>
      <c r="K1495"/>
      <c r="L1495"/>
      <c r="M1495"/>
    </row>
    <row r="1496" spans="1:13" ht="15">
      <c r="A1496"/>
      <c r="B1496"/>
      <c r="C1496"/>
      <c r="D1496"/>
      <c r="E1496"/>
      <c r="F1496"/>
      <c r="G1496"/>
      <c r="H1496"/>
      <c r="I1496"/>
      <c r="J1496"/>
      <c r="K1496"/>
      <c r="L1496"/>
      <c r="M1496"/>
    </row>
    <row r="1497" spans="1:13" ht="15">
      <c r="A1497"/>
      <c r="B1497"/>
      <c r="C1497"/>
      <c r="D1497"/>
      <c r="E1497"/>
      <c r="F1497"/>
      <c r="G1497"/>
      <c r="H1497"/>
      <c r="I1497"/>
      <c r="J1497"/>
      <c r="K1497"/>
      <c r="L1497"/>
      <c r="M1497"/>
    </row>
    <row r="1498" spans="1:13" ht="15">
      <c r="A1498"/>
      <c r="B1498"/>
      <c r="C1498"/>
      <c r="D1498"/>
      <c r="E1498"/>
      <c r="F1498"/>
      <c r="G1498"/>
      <c r="H1498"/>
      <c r="I1498"/>
      <c r="J1498"/>
      <c r="K1498"/>
      <c r="L1498"/>
      <c r="M1498"/>
    </row>
    <row r="1499" spans="1:13" ht="15">
      <c r="A1499"/>
      <c r="B1499"/>
      <c r="C1499"/>
      <c r="D1499"/>
      <c r="E1499"/>
      <c r="F1499"/>
      <c r="G1499"/>
      <c r="H1499"/>
      <c r="I1499"/>
      <c r="J1499"/>
      <c r="K1499"/>
      <c r="L1499"/>
      <c r="M1499"/>
    </row>
    <row r="1500" spans="1:13" ht="15">
      <c r="A1500"/>
      <c r="B1500"/>
      <c r="C1500"/>
      <c r="D1500"/>
      <c r="E1500"/>
      <c r="F1500"/>
      <c r="G1500"/>
      <c r="H1500"/>
      <c r="I1500"/>
      <c r="J1500"/>
      <c r="K1500"/>
      <c r="L1500"/>
      <c r="M1500"/>
    </row>
    <row r="1501" spans="1:13" ht="15">
      <c r="A1501"/>
      <c r="B1501"/>
      <c r="C1501"/>
      <c r="D1501"/>
      <c r="E1501"/>
      <c r="F1501"/>
      <c r="G1501"/>
      <c r="H1501"/>
      <c r="I1501"/>
      <c r="J1501"/>
      <c r="K1501"/>
      <c r="L1501"/>
      <c r="M1501"/>
    </row>
    <row r="1502" spans="1:13" ht="15">
      <c r="A1502"/>
      <c r="B1502"/>
      <c r="C1502"/>
      <c r="D1502"/>
      <c r="E1502"/>
      <c r="F1502"/>
      <c r="G1502"/>
      <c r="H1502"/>
      <c r="I1502"/>
      <c r="J1502"/>
      <c r="K1502"/>
      <c r="L1502"/>
      <c r="M1502"/>
    </row>
    <row r="1503" spans="1:13" ht="15">
      <c r="A1503"/>
      <c r="B1503"/>
      <c r="C1503"/>
      <c r="D1503"/>
      <c r="E1503"/>
      <c r="F1503"/>
      <c r="G1503"/>
      <c r="H1503"/>
      <c r="I1503"/>
      <c r="J1503"/>
      <c r="K1503"/>
      <c r="L1503"/>
      <c r="M1503"/>
    </row>
    <row r="1504" spans="1:13" ht="15">
      <c r="A1504"/>
      <c r="B1504"/>
      <c r="C1504"/>
      <c r="D1504"/>
      <c r="E1504"/>
      <c r="F1504"/>
      <c r="G1504"/>
      <c r="H1504"/>
      <c r="I1504"/>
      <c r="J1504"/>
      <c r="K1504"/>
      <c r="L1504"/>
      <c r="M1504"/>
    </row>
    <row r="1505" spans="1:13" ht="15">
      <c r="A1505"/>
      <c r="B1505"/>
      <c r="C1505"/>
      <c r="D1505"/>
      <c r="E1505"/>
      <c r="F1505"/>
      <c r="G1505"/>
      <c r="H1505"/>
      <c r="I1505"/>
      <c r="J1505"/>
      <c r="K1505"/>
      <c r="L1505"/>
      <c r="M1505"/>
    </row>
    <row r="1506" spans="1:13" ht="15">
      <c r="A1506"/>
      <c r="B1506"/>
      <c r="C1506"/>
      <c r="D1506"/>
      <c r="E1506"/>
      <c r="F1506"/>
      <c r="G1506"/>
      <c r="H1506"/>
      <c r="I1506"/>
      <c r="J1506"/>
      <c r="K1506"/>
      <c r="L1506"/>
      <c r="M1506"/>
    </row>
    <row r="1507" spans="1:13" ht="15">
      <c r="A1507"/>
      <c r="B1507"/>
      <c r="C1507"/>
      <c r="D1507"/>
      <c r="E1507"/>
      <c r="F1507"/>
      <c r="G1507"/>
      <c r="H1507"/>
      <c r="I1507"/>
      <c r="J1507"/>
      <c r="K1507"/>
      <c r="L1507"/>
      <c r="M1507"/>
    </row>
    <row r="1508" spans="1:13" ht="15">
      <c r="A1508"/>
      <c r="B1508"/>
      <c r="C1508"/>
      <c r="D1508"/>
      <c r="E1508"/>
      <c r="F1508"/>
      <c r="G1508"/>
      <c r="H1508"/>
      <c r="I1508"/>
      <c r="J1508"/>
      <c r="K1508"/>
      <c r="L1508"/>
      <c r="M1508"/>
    </row>
    <row r="1509" spans="1:13" ht="15">
      <c r="A1509"/>
      <c r="B1509"/>
      <c r="C1509"/>
      <c r="D1509"/>
      <c r="E1509"/>
      <c r="F1509"/>
      <c r="G1509"/>
      <c r="H1509"/>
      <c r="I1509"/>
      <c r="J1509"/>
      <c r="K1509"/>
      <c r="L1509"/>
      <c r="M1509"/>
    </row>
    <row r="1510" spans="1:13" ht="15">
      <c r="A1510"/>
      <c r="B1510"/>
      <c r="C1510"/>
      <c r="D1510"/>
      <c r="E1510"/>
      <c r="F1510"/>
      <c r="G1510"/>
      <c r="H1510"/>
      <c r="I1510"/>
      <c r="J1510"/>
      <c r="K1510"/>
      <c r="L1510"/>
      <c r="M1510"/>
    </row>
    <row r="1511" spans="1:13" ht="15">
      <c r="A1511"/>
      <c r="B1511"/>
      <c r="C1511"/>
      <c r="D1511"/>
      <c r="E1511"/>
      <c r="F1511"/>
      <c r="G1511"/>
      <c r="H1511"/>
      <c r="I1511"/>
      <c r="J1511"/>
      <c r="K1511"/>
      <c r="L1511"/>
      <c r="M1511"/>
    </row>
    <row r="1512" spans="1:13" ht="15">
      <c r="A1512"/>
      <c r="B1512"/>
      <c r="C1512"/>
      <c r="D1512"/>
      <c r="E1512"/>
      <c r="F1512"/>
      <c r="G1512"/>
      <c r="H1512"/>
      <c r="I1512"/>
      <c r="J1512"/>
      <c r="K1512"/>
      <c r="L1512"/>
      <c r="M1512"/>
    </row>
    <row r="1513" spans="1:13" ht="15">
      <c r="A1513"/>
      <c r="B1513"/>
      <c r="C1513"/>
      <c r="D1513"/>
      <c r="E1513"/>
      <c r="F1513"/>
      <c r="G1513"/>
      <c r="H1513"/>
      <c r="I1513"/>
      <c r="J1513"/>
      <c r="K1513"/>
      <c r="L1513"/>
      <c r="M1513"/>
    </row>
    <row r="1514" spans="1:13" ht="15">
      <c r="A1514"/>
      <c r="B1514"/>
      <c r="C1514"/>
      <c r="D1514"/>
      <c r="E1514"/>
      <c r="F1514"/>
      <c r="G1514"/>
      <c r="H1514"/>
      <c r="I1514"/>
      <c r="J1514"/>
      <c r="K1514"/>
      <c r="L1514"/>
      <c r="M1514"/>
    </row>
    <row r="1515" spans="1:13" ht="15">
      <c r="A1515"/>
      <c r="B1515"/>
      <c r="C1515"/>
      <c r="D1515"/>
      <c r="E1515"/>
      <c r="F1515"/>
      <c r="G1515"/>
      <c r="H1515"/>
      <c r="I1515"/>
      <c r="J1515"/>
      <c r="K1515"/>
      <c r="L1515"/>
      <c r="M1515"/>
    </row>
    <row r="1516" spans="1:13" ht="15">
      <c r="A1516"/>
      <c r="B1516"/>
      <c r="C1516"/>
      <c r="D1516"/>
      <c r="E1516"/>
      <c r="F1516"/>
      <c r="G1516"/>
      <c r="H1516"/>
      <c r="I1516"/>
      <c r="J1516"/>
      <c r="K1516"/>
      <c r="L1516"/>
      <c r="M1516"/>
    </row>
    <row r="1517" spans="1:13" ht="15">
      <c r="A1517"/>
      <c r="B1517"/>
      <c r="C1517"/>
      <c r="D1517"/>
      <c r="E1517"/>
      <c r="F1517"/>
      <c r="G1517"/>
      <c r="H1517"/>
      <c r="I1517"/>
      <c r="J1517"/>
      <c r="K1517"/>
      <c r="L1517"/>
      <c r="M1517"/>
    </row>
    <row r="1518" spans="1:13" ht="15">
      <c r="A1518"/>
      <c r="B1518"/>
      <c r="C1518"/>
      <c r="D1518"/>
      <c r="E1518"/>
      <c r="F1518"/>
      <c r="G1518"/>
      <c r="H1518"/>
      <c r="I1518"/>
      <c r="J1518"/>
      <c r="K1518"/>
      <c r="L1518"/>
      <c r="M1518"/>
    </row>
    <row r="1519" spans="1:13" ht="15">
      <c r="A1519"/>
      <c r="B1519"/>
      <c r="C1519"/>
      <c r="D1519"/>
      <c r="E1519"/>
      <c r="F1519"/>
      <c r="G1519"/>
      <c r="H1519"/>
      <c r="I1519"/>
      <c r="J1519"/>
      <c r="K1519"/>
      <c r="L1519"/>
      <c r="M1519"/>
    </row>
    <row r="1520" spans="1:13" ht="15">
      <c r="A1520"/>
      <c r="B1520"/>
      <c r="C1520"/>
      <c r="D1520"/>
      <c r="E1520"/>
      <c r="F1520"/>
      <c r="G1520"/>
      <c r="H1520"/>
      <c r="I1520"/>
      <c r="J1520"/>
      <c r="K1520"/>
      <c r="L1520"/>
      <c r="M1520"/>
    </row>
    <row r="1521" spans="1:13" ht="15">
      <c r="A1521"/>
      <c r="B1521"/>
      <c r="C1521"/>
      <c r="D1521"/>
      <c r="E1521"/>
      <c r="F1521"/>
      <c r="G1521"/>
      <c r="H1521"/>
      <c r="I1521"/>
      <c r="J1521"/>
      <c r="K1521"/>
      <c r="L1521"/>
      <c r="M1521"/>
    </row>
    <row r="1522" spans="1:13" ht="15">
      <c r="A1522"/>
      <c r="B1522"/>
      <c r="C1522"/>
      <c r="D1522"/>
      <c r="E1522"/>
      <c r="F1522"/>
      <c r="G1522"/>
      <c r="H1522"/>
      <c r="I1522"/>
      <c r="J1522"/>
      <c r="K1522"/>
      <c r="L1522"/>
      <c r="M1522"/>
    </row>
    <row r="1523" spans="1:13" ht="15">
      <c r="A1523"/>
      <c r="B1523"/>
      <c r="C1523"/>
      <c r="D1523"/>
      <c r="E1523"/>
      <c r="F1523"/>
      <c r="G1523"/>
      <c r="H1523"/>
      <c r="I1523"/>
      <c r="J1523"/>
      <c r="K1523"/>
      <c r="L1523"/>
      <c r="M1523"/>
    </row>
    <row r="1524" spans="1:13" ht="15">
      <c r="A1524"/>
      <c r="B1524"/>
      <c r="C1524"/>
      <c r="D1524"/>
      <c r="E1524"/>
      <c r="F1524"/>
      <c r="G1524"/>
      <c r="H1524"/>
      <c r="I1524"/>
      <c r="J1524"/>
      <c r="K1524"/>
      <c r="L1524"/>
      <c r="M1524"/>
    </row>
    <row r="1525" spans="1:13" ht="15">
      <c r="A1525"/>
      <c r="B1525"/>
      <c r="C1525"/>
      <c r="D1525"/>
      <c r="E1525"/>
      <c r="F1525"/>
      <c r="G1525"/>
      <c r="H1525"/>
      <c r="I1525"/>
      <c r="J1525"/>
      <c r="K1525"/>
      <c r="L1525"/>
      <c r="M1525"/>
    </row>
    <row r="1526" spans="1:13" ht="15">
      <c r="A1526"/>
      <c r="B1526"/>
      <c r="C1526"/>
      <c r="D1526"/>
      <c r="E1526"/>
      <c r="F1526"/>
      <c r="G1526"/>
      <c r="H1526"/>
      <c r="I1526"/>
      <c r="J1526"/>
      <c r="K1526"/>
      <c r="L1526"/>
      <c r="M1526"/>
    </row>
    <row r="1527" spans="1:13" ht="15">
      <c r="A1527"/>
      <c r="B1527"/>
      <c r="C1527"/>
      <c r="D1527"/>
      <c r="E1527"/>
      <c r="F1527"/>
      <c r="G1527"/>
      <c r="H1527"/>
      <c r="I1527"/>
      <c r="J1527"/>
      <c r="K1527"/>
      <c r="L1527"/>
      <c r="M1527"/>
    </row>
    <row r="1528" spans="1:13" ht="15">
      <c r="A1528"/>
      <c r="B1528"/>
      <c r="C1528"/>
      <c r="D1528"/>
      <c r="E1528"/>
      <c r="F1528"/>
      <c r="G1528"/>
      <c r="H1528"/>
      <c r="I1528"/>
      <c r="J1528"/>
      <c r="K1528"/>
      <c r="L1528"/>
      <c r="M1528"/>
    </row>
    <row r="1529" spans="1:13" ht="15">
      <c r="A1529"/>
      <c r="B1529"/>
      <c r="C1529"/>
      <c r="D1529"/>
      <c r="E1529"/>
      <c r="F1529"/>
      <c r="G1529"/>
      <c r="H1529"/>
      <c r="I1529"/>
      <c r="J1529"/>
      <c r="K1529"/>
      <c r="L1529"/>
      <c r="M1529"/>
    </row>
    <row r="1530" spans="1:13" ht="15">
      <c r="A1530"/>
      <c r="B1530"/>
      <c r="C1530"/>
      <c r="D1530"/>
      <c r="E1530"/>
      <c r="F1530"/>
      <c r="G1530"/>
      <c r="H1530"/>
      <c r="I1530"/>
      <c r="J1530"/>
      <c r="K1530"/>
      <c r="L1530"/>
      <c r="M1530"/>
    </row>
    <row r="1531" spans="1:13" ht="15">
      <c r="A1531"/>
      <c r="B1531"/>
      <c r="C1531"/>
      <c r="D1531"/>
      <c r="E1531"/>
      <c r="F1531"/>
      <c r="G1531"/>
      <c r="H1531"/>
      <c r="I1531"/>
      <c r="J1531"/>
      <c r="K1531"/>
      <c r="L1531"/>
      <c r="M1531"/>
    </row>
    <row r="1532" spans="1:13" ht="15">
      <c r="A1532"/>
      <c r="B1532"/>
      <c r="C1532"/>
      <c r="D1532"/>
      <c r="E1532"/>
      <c r="F1532"/>
      <c r="G1532"/>
      <c r="H1532"/>
      <c r="I1532"/>
      <c r="J1532"/>
      <c r="K1532"/>
      <c r="L1532"/>
      <c r="M1532"/>
    </row>
    <row r="1533" spans="1:13" ht="15">
      <c r="A1533"/>
      <c r="B1533"/>
      <c r="C1533"/>
      <c r="D1533"/>
      <c r="E1533"/>
      <c r="F1533"/>
      <c r="G1533"/>
      <c r="H1533"/>
      <c r="I1533"/>
      <c r="J1533"/>
      <c r="K1533"/>
      <c r="L1533"/>
      <c r="M1533"/>
    </row>
    <row r="1534" spans="1:13" ht="15">
      <c r="A1534"/>
      <c r="B1534"/>
      <c r="C1534"/>
      <c r="D1534"/>
      <c r="E1534"/>
      <c r="F1534"/>
      <c r="G1534"/>
      <c r="H1534"/>
      <c r="I1534"/>
      <c r="J1534"/>
      <c r="K1534"/>
      <c r="L1534"/>
      <c r="M1534"/>
    </row>
    <row r="1535" spans="1:13" ht="15">
      <c r="A1535"/>
      <c r="B1535"/>
      <c r="C1535"/>
      <c r="D1535"/>
      <c r="E1535"/>
      <c r="F1535"/>
      <c r="G1535"/>
      <c r="H1535"/>
      <c r="I1535"/>
      <c r="J1535"/>
      <c r="K1535"/>
      <c r="L1535"/>
      <c r="M1535"/>
    </row>
    <row r="1536" spans="1:13" ht="15">
      <c r="A1536"/>
      <c r="B1536"/>
      <c r="C1536"/>
      <c r="D1536"/>
      <c r="E1536"/>
      <c r="F1536"/>
      <c r="G1536"/>
      <c r="H1536"/>
      <c r="I1536"/>
      <c r="J1536"/>
      <c r="K1536"/>
      <c r="L1536"/>
      <c r="M1536"/>
    </row>
    <row r="1537" spans="1:13" ht="15">
      <c r="A1537"/>
      <c r="B1537"/>
      <c r="C1537"/>
      <c r="D1537"/>
      <c r="E1537"/>
      <c r="F1537"/>
      <c r="G1537"/>
      <c r="H1537"/>
      <c r="I1537"/>
      <c r="J1537"/>
      <c r="K1537"/>
      <c r="L1537"/>
      <c r="M1537"/>
    </row>
    <row r="1538" spans="1:13" ht="15">
      <c r="A1538"/>
      <c r="B1538"/>
      <c r="C1538"/>
      <c r="D1538"/>
      <c r="E1538"/>
      <c r="F1538"/>
      <c r="G1538"/>
      <c r="H1538"/>
      <c r="I1538"/>
      <c r="J1538"/>
      <c r="K1538"/>
      <c r="L1538"/>
      <c r="M1538"/>
    </row>
    <row r="1539" spans="1:13" ht="15">
      <c r="A1539"/>
      <c r="B1539"/>
      <c r="C1539"/>
      <c r="D1539"/>
      <c r="E1539"/>
      <c r="F1539"/>
      <c r="G1539"/>
      <c r="H1539"/>
      <c r="I1539"/>
      <c r="J1539"/>
      <c r="K1539"/>
      <c r="L1539"/>
      <c r="M1539"/>
    </row>
    <row r="1540" spans="1:13" ht="15">
      <c r="A1540"/>
      <c r="B1540"/>
      <c r="C1540"/>
      <c r="D1540"/>
      <c r="E1540"/>
      <c r="F1540"/>
      <c r="G1540"/>
      <c r="H1540"/>
      <c r="I1540"/>
      <c r="J1540"/>
      <c r="K1540"/>
      <c r="L1540"/>
      <c r="M1540"/>
    </row>
    <row r="1541" spans="1:13" ht="15">
      <c r="A1541"/>
      <c r="B1541"/>
      <c r="C1541"/>
      <c r="D1541"/>
      <c r="E1541"/>
      <c r="F1541"/>
      <c r="G1541"/>
      <c r="H1541"/>
      <c r="I1541"/>
      <c r="J1541"/>
      <c r="K1541"/>
      <c r="L1541"/>
      <c r="M1541"/>
    </row>
    <row r="1542" spans="1:13" ht="15">
      <c r="A1542"/>
      <c r="B1542"/>
      <c r="C1542"/>
      <c r="D1542"/>
      <c r="E1542"/>
      <c r="F1542"/>
      <c r="G1542"/>
      <c r="H1542"/>
      <c r="I1542"/>
      <c r="J1542"/>
      <c r="K1542"/>
      <c r="L1542"/>
      <c r="M1542"/>
    </row>
    <row r="1543" spans="1:13" ht="15">
      <c r="A1543"/>
      <c r="B1543"/>
      <c r="C1543"/>
      <c r="D1543"/>
      <c r="E1543"/>
      <c r="F1543"/>
      <c r="G1543"/>
      <c r="H1543"/>
      <c r="I1543"/>
      <c r="J1543"/>
      <c r="K1543"/>
      <c r="L1543"/>
      <c r="M1543"/>
    </row>
    <row r="1544" spans="1:13" ht="15">
      <c r="A1544"/>
      <c r="B1544"/>
      <c r="C1544"/>
      <c r="D1544"/>
      <c r="E1544"/>
      <c r="F1544"/>
      <c r="G1544"/>
      <c r="H1544"/>
      <c r="I1544"/>
      <c r="J1544"/>
      <c r="K1544"/>
      <c r="L1544"/>
      <c r="M1544"/>
    </row>
    <row r="1545" spans="1:13" ht="15">
      <c r="A1545"/>
      <c r="B1545"/>
      <c r="C1545"/>
      <c r="D1545"/>
      <c r="E1545"/>
      <c r="F1545"/>
      <c r="G1545"/>
      <c r="H1545"/>
      <c r="I1545"/>
      <c r="J1545"/>
      <c r="K1545"/>
      <c r="L1545"/>
      <c r="M1545"/>
    </row>
    <row r="1546" spans="1:13" ht="15">
      <c r="A1546"/>
      <c r="B1546"/>
      <c r="C1546"/>
      <c r="D1546"/>
      <c r="E1546"/>
      <c r="F1546"/>
      <c r="G1546"/>
      <c r="H1546"/>
      <c r="I1546"/>
      <c r="J1546"/>
      <c r="K1546"/>
      <c r="L1546"/>
      <c r="M1546"/>
    </row>
    <row r="1547" spans="1:13" ht="15">
      <c r="A1547"/>
      <c r="B1547"/>
      <c r="C1547"/>
      <c r="D1547"/>
      <c r="E1547"/>
      <c r="F1547"/>
      <c r="G1547"/>
      <c r="H1547"/>
      <c r="I1547"/>
      <c r="J1547"/>
      <c r="K1547"/>
      <c r="L1547"/>
      <c r="M1547"/>
    </row>
    <row r="1548" spans="1:13" ht="15">
      <c r="A1548"/>
      <c r="B1548"/>
      <c r="C1548"/>
      <c r="D1548"/>
      <c r="E1548"/>
      <c r="F1548"/>
      <c r="G1548"/>
      <c r="H1548"/>
      <c r="I1548"/>
      <c r="J1548"/>
      <c r="K1548"/>
      <c r="L1548"/>
      <c r="M1548"/>
    </row>
    <row r="1549" spans="1:13" ht="15">
      <c r="A1549"/>
      <c r="B1549"/>
      <c r="C1549"/>
      <c r="D1549"/>
      <c r="E1549"/>
      <c r="F1549"/>
      <c r="G1549"/>
      <c r="H1549"/>
      <c r="I1549"/>
      <c r="J1549"/>
      <c r="K1549"/>
      <c r="L1549"/>
      <c r="M1549"/>
    </row>
    <row r="1550" spans="1:13" ht="15">
      <c r="A1550"/>
      <c r="B1550"/>
      <c r="C1550"/>
      <c r="D1550"/>
      <c r="E1550"/>
      <c r="F1550"/>
      <c r="G1550"/>
      <c r="H1550"/>
      <c r="I1550"/>
      <c r="J1550"/>
      <c r="K1550"/>
      <c r="L1550"/>
      <c r="M1550"/>
    </row>
    <row r="1551" spans="1:13" ht="15">
      <c r="A1551"/>
      <c r="B1551"/>
      <c r="C1551"/>
      <c r="D1551"/>
      <c r="E1551"/>
      <c r="F1551"/>
      <c r="G1551"/>
      <c r="H1551"/>
      <c r="I1551"/>
      <c r="J1551"/>
      <c r="K1551"/>
      <c r="L1551"/>
      <c r="M1551"/>
    </row>
    <row r="1552" spans="1:13" ht="15">
      <c r="A1552"/>
      <c r="B1552"/>
      <c r="C1552"/>
      <c r="D1552"/>
      <c r="E1552"/>
      <c r="F1552"/>
      <c r="G1552"/>
      <c r="H1552"/>
      <c r="I1552"/>
      <c r="J1552"/>
      <c r="K1552"/>
      <c r="L1552"/>
      <c r="M1552"/>
    </row>
    <row r="1553" spans="1:13" ht="15">
      <c r="A1553"/>
      <c r="B1553"/>
      <c r="C1553"/>
      <c r="D1553"/>
      <c r="E1553"/>
      <c r="F1553"/>
      <c r="G1553"/>
      <c r="H1553"/>
      <c r="I1553"/>
      <c r="J1553"/>
      <c r="K1553"/>
      <c r="L1553"/>
      <c r="M1553"/>
    </row>
    <row r="1554" spans="1:13" ht="15">
      <c r="A1554"/>
      <c r="B1554"/>
      <c r="C1554"/>
      <c r="D1554"/>
      <c r="E1554"/>
      <c r="F1554"/>
      <c r="G1554"/>
      <c r="H1554"/>
      <c r="I1554"/>
      <c r="J1554"/>
      <c r="K1554"/>
      <c r="L1554"/>
      <c r="M1554"/>
    </row>
    <row r="1555" spans="1:13" ht="15">
      <c r="A1555"/>
      <c r="B1555"/>
      <c r="C1555"/>
      <c r="D1555"/>
      <c r="E1555"/>
      <c r="F1555"/>
      <c r="G1555"/>
      <c r="H1555"/>
      <c r="I1555"/>
      <c r="J1555"/>
      <c r="K1555"/>
      <c r="L1555"/>
      <c r="M1555"/>
    </row>
    <row r="1556" spans="1:13" ht="15">
      <c r="A1556"/>
      <c r="B1556"/>
      <c r="C1556"/>
      <c r="D1556"/>
      <c r="E1556"/>
      <c r="F1556"/>
      <c r="G1556"/>
      <c r="H1556"/>
      <c r="I1556"/>
      <c r="J1556"/>
      <c r="K1556"/>
      <c r="L1556"/>
      <c r="M1556"/>
    </row>
    <row r="1557" spans="1:13" ht="15">
      <c r="A1557"/>
      <c r="B1557"/>
      <c r="C1557"/>
      <c r="D1557"/>
      <c r="E1557"/>
      <c r="F1557"/>
      <c r="G1557"/>
      <c r="H1557"/>
      <c r="I1557"/>
      <c r="J1557"/>
      <c r="K1557"/>
      <c r="L1557"/>
      <c r="M1557"/>
    </row>
    <row r="1558" spans="1:13" ht="15">
      <c r="A1558"/>
      <c r="B1558"/>
      <c r="C1558"/>
      <c r="D1558"/>
      <c r="E1558"/>
      <c r="F1558"/>
      <c r="G1558"/>
      <c r="H1558"/>
      <c r="I1558"/>
      <c r="J1558"/>
      <c r="K1558"/>
      <c r="L1558"/>
      <c r="M1558"/>
    </row>
    <row r="1559" spans="1:13" ht="15">
      <c r="A1559"/>
      <c r="B1559"/>
      <c r="C1559"/>
      <c r="D1559"/>
      <c r="E1559"/>
      <c r="F1559"/>
      <c r="G1559"/>
      <c r="H1559"/>
      <c r="I1559"/>
      <c r="J1559"/>
      <c r="K1559"/>
      <c r="L1559"/>
      <c r="M1559"/>
    </row>
    <row r="1560" spans="1:13" ht="15">
      <c r="A1560"/>
      <c r="B1560"/>
      <c r="C1560"/>
      <c r="D1560"/>
      <c r="E1560"/>
      <c r="F1560"/>
      <c r="G1560"/>
      <c r="H1560"/>
      <c r="I1560"/>
      <c r="J1560"/>
      <c r="K1560"/>
      <c r="L1560"/>
      <c r="M1560"/>
    </row>
    <row r="1561" spans="1:13" ht="15">
      <c r="A1561"/>
      <c r="B1561"/>
      <c r="C1561"/>
      <c r="D1561"/>
      <c r="E1561"/>
      <c r="F1561"/>
      <c r="G1561"/>
      <c r="H1561"/>
      <c r="I1561"/>
      <c r="J1561"/>
      <c r="K1561"/>
      <c r="L1561"/>
      <c r="M1561"/>
    </row>
    <row r="1562" spans="1:13" ht="15">
      <c r="A1562"/>
      <c r="B1562"/>
      <c r="C1562"/>
      <c r="D1562"/>
      <c r="E1562"/>
      <c r="F1562"/>
      <c r="G1562"/>
      <c r="H1562"/>
      <c r="I1562"/>
      <c r="J1562"/>
      <c r="K1562"/>
      <c r="L1562"/>
      <c r="M1562"/>
    </row>
    <row r="1563" spans="1:13" ht="15">
      <c r="A1563"/>
      <c r="B1563"/>
      <c r="C1563"/>
      <c r="D1563"/>
      <c r="E1563"/>
      <c r="F1563"/>
      <c r="G1563"/>
      <c r="H1563"/>
      <c r="I1563"/>
      <c r="J1563"/>
      <c r="K1563"/>
      <c r="L1563"/>
      <c r="M1563"/>
    </row>
    <row r="1564" spans="1:13" ht="15">
      <c r="A1564"/>
      <c r="B1564"/>
      <c r="C1564"/>
      <c r="D1564"/>
      <c r="E1564"/>
      <c r="F1564"/>
      <c r="G1564"/>
      <c r="H1564"/>
      <c r="I1564"/>
      <c r="J1564"/>
      <c r="K1564"/>
      <c r="L1564"/>
      <c r="M1564"/>
    </row>
    <row r="1565" spans="1:13" ht="15">
      <c r="A1565"/>
      <c r="B1565"/>
      <c r="C1565"/>
      <c r="D1565"/>
      <c r="E1565"/>
      <c r="F1565"/>
      <c r="G1565"/>
      <c r="H1565"/>
      <c r="I1565"/>
      <c r="J1565"/>
      <c r="K1565"/>
      <c r="L1565"/>
      <c r="M1565"/>
    </row>
    <row r="1566" spans="1:13" ht="15">
      <c r="A1566"/>
      <c r="B1566"/>
      <c r="C1566"/>
      <c r="D1566"/>
      <c r="E1566"/>
      <c r="F1566"/>
      <c r="G1566"/>
      <c r="H1566"/>
      <c r="I1566"/>
      <c r="J1566"/>
      <c r="K1566"/>
      <c r="L1566"/>
      <c r="M1566"/>
    </row>
    <row r="1567" spans="1:13" ht="15">
      <c r="A1567"/>
      <c r="B1567"/>
      <c r="C1567"/>
      <c r="D1567"/>
      <c r="E1567"/>
      <c r="F1567"/>
      <c r="G1567"/>
      <c r="H1567"/>
      <c r="I1567"/>
      <c r="J1567"/>
      <c r="K1567"/>
      <c r="L1567"/>
      <c r="M1567"/>
    </row>
    <row r="1568" spans="1:13" ht="15">
      <c r="A1568"/>
      <c r="B1568"/>
      <c r="C1568"/>
      <c r="D1568"/>
      <c r="E1568"/>
      <c r="F1568"/>
      <c r="G1568"/>
      <c r="H1568"/>
      <c r="I1568"/>
      <c r="J1568"/>
      <c r="K1568"/>
      <c r="L1568"/>
      <c r="M1568"/>
    </row>
    <row r="1569" spans="1:13" ht="15">
      <c r="A1569"/>
      <c r="B1569"/>
      <c r="C1569"/>
      <c r="D1569"/>
      <c r="E1569"/>
      <c r="F1569"/>
      <c r="G1569"/>
      <c r="H1569"/>
      <c r="I1569"/>
      <c r="J1569"/>
      <c r="K1569"/>
      <c r="L1569"/>
      <c r="M1569"/>
    </row>
    <row r="1570" spans="1:13" ht="15">
      <c r="A1570"/>
      <c r="B1570"/>
      <c r="C1570"/>
      <c r="D1570"/>
      <c r="E1570"/>
      <c r="F1570"/>
      <c r="G1570"/>
      <c r="H1570"/>
      <c r="I1570"/>
      <c r="J1570"/>
      <c r="K1570"/>
      <c r="L1570"/>
      <c r="M1570"/>
    </row>
    <row r="1571" spans="1:13" ht="15">
      <c r="A1571"/>
      <c r="B1571"/>
      <c r="C1571"/>
      <c r="D1571"/>
      <c r="E1571"/>
      <c r="F1571"/>
      <c r="G1571"/>
      <c r="H1571"/>
      <c r="I1571"/>
      <c r="J1571"/>
      <c r="K1571"/>
      <c r="L1571"/>
      <c r="M1571"/>
    </row>
    <row r="1572" spans="1:13" ht="15">
      <c r="A1572"/>
      <c r="B1572"/>
      <c r="C1572"/>
      <c r="D1572"/>
      <c r="E1572"/>
      <c r="F1572"/>
      <c r="G1572"/>
      <c r="H1572"/>
      <c r="I1572"/>
      <c r="J1572"/>
      <c r="K1572"/>
      <c r="L1572"/>
      <c r="M1572"/>
    </row>
    <row r="1573" spans="1:13" ht="15">
      <c r="A1573"/>
      <c r="B1573"/>
      <c r="C1573"/>
      <c r="D1573"/>
      <c r="E1573"/>
      <c r="F1573"/>
      <c r="G1573"/>
      <c r="H1573"/>
      <c r="I1573"/>
      <c r="J1573"/>
      <c r="K1573"/>
      <c r="L1573"/>
      <c r="M1573"/>
    </row>
    <row r="1574" spans="1:13" ht="15">
      <c r="A1574"/>
      <c r="B1574"/>
      <c r="C1574"/>
      <c r="D1574"/>
      <c r="E1574"/>
      <c r="F1574"/>
      <c r="G1574"/>
      <c r="H1574"/>
      <c r="I1574"/>
      <c r="J1574"/>
      <c r="K1574"/>
      <c r="L1574"/>
      <c r="M1574"/>
    </row>
    <row r="1575" spans="1:13" ht="15">
      <c r="A1575"/>
      <c r="B1575"/>
      <c r="C1575"/>
      <c r="D1575"/>
      <c r="E1575"/>
      <c r="F1575"/>
      <c r="G1575"/>
      <c r="H1575"/>
      <c r="I1575"/>
      <c r="J1575"/>
      <c r="K1575"/>
      <c r="L1575"/>
      <c r="M1575"/>
    </row>
    <row r="1576" spans="1:13" ht="15">
      <c r="A1576"/>
      <c r="B1576"/>
      <c r="C1576"/>
      <c r="D1576"/>
      <c r="E1576"/>
      <c r="F1576"/>
      <c r="G1576"/>
      <c r="H1576"/>
      <c r="I1576"/>
      <c r="J1576"/>
      <c r="K1576"/>
      <c r="L1576"/>
      <c r="M1576"/>
    </row>
    <row r="1577" spans="1:13" ht="15">
      <c r="A1577"/>
      <c r="B1577"/>
      <c r="C1577"/>
      <c r="D1577"/>
      <c r="E1577"/>
      <c r="F1577"/>
      <c r="G1577"/>
      <c r="H1577"/>
      <c r="I1577"/>
      <c r="J1577"/>
      <c r="K1577"/>
      <c r="L1577"/>
      <c r="M1577"/>
    </row>
    <row r="1578" spans="1:13" ht="15">
      <c r="A1578"/>
      <c r="B1578"/>
      <c r="C1578"/>
      <c r="D1578"/>
      <c r="E1578"/>
      <c r="F1578"/>
      <c r="G1578"/>
      <c r="H1578"/>
      <c r="I1578"/>
      <c r="J1578"/>
      <c r="K1578"/>
      <c r="L1578"/>
      <c r="M1578"/>
    </row>
    <row r="1579" spans="1:13" ht="15">
      <c r="A1579"/>
      <c r="B1579"/>
      <c r="C1579"/>
      <c r="D1579"/>
      <c r="E1579"/>
      <c r="F1579"/>
      <c r="G1579"/>
      <c r="H1579"/>
      <c r="I1579"/>
      <c r="J1579"/>
      <c r="K1579"/>
      <c r="L1579"/>
      <c r="M1579"/>
    </row>
    <row r="1580" spans="1:13" ht="15">
      <c r="A1580"/>
      <c r="B1580"/>
      <c r="C1580"/>
      <c r="D1580"/>
      <c r="E1580"/>
      <c r="F1580"/>
      <c r="G1580"/>
      <c r="H1580"/>
      <c r="I1580"/>
      <c r="J1580"/>
      <c r="K1580"/>
      <c r="L1580"/>
      <c r="M1580"/>
    </row>
    <row r="1581" spans="1:13" ht="15">
      <c r="A1581"/>
      <c r="B1581"/>
      <c r="C1581"/>
      <c r="D1581"/>
      <c r="E1581"/>
      <c r="F1581"/>
      <c r="G1581"/>
      <c r="H1581"/>
      <c r="I1581"/>
      <c r="J1581"/>
      <c r="K1581"/>
      <c r="L1581"/>
      <c r="M1581"/>
    </row>
    <row r="1582" spans="1:13" ht="15">
      <c r="A1582"/>
      <c r="B1582"/>
      <c r="C1582"/>
      <c r="D1582"/>
      <c r="E1582"/>
      <c r="F1582"/>
      <c r="G1582"/>
      <c r="H1582"/>
      <c r="I1582"/>
      <c r="J1582"/>
      <c r="K1582"/>
      <c r="L1582"/>
      <c r="M1582"/>
    </row>
    <row r="1583" spans="1:13" ht="15">
      <c r="A1583"/>
      <c r="B1583"/>
      <c r="C1583"/>
      <c r="D1583"/>
      <c r="E1583"/>
      <c r="F1583"/>
      <c r="G1583"/>
      <c r="H1583"/>
      <c r="I1583"/>
      <c r="J1583"/>
      <c r="K1583"/>
      <c r="L1583"/>
      <c r="M1583"/>
    </row>
    <row r="1584" spans="1:13" ht="15">
      <c r="A1584"/>
      <c r="B1584"/>
      <c r="C1584"/>
      <c r="D1584"/>
      <c r="E1584"/>
      <c r="F1584"/>
      <c r="G1584"/>
      <c r="H1584"/>
      <c r="I1584"/>
      <c r="J1584"/>
      <c r="K1584"/>
      <c r="L1584"/>
      <c r="M1584"/>
    </row>
    <row r="1585" spans="1:13" ht="15">
      <c r="A1585"/>
      <c r="B1585"/>
      <c r="C1585"/>
      <c r="D1585"/>
      <c r="E1585"/>
      <c r="F1585"/>
      <c r="G1585"/>
      <c r="H1585"/>
      <c r="I1585"/>
      <c r="J1585"/>
      <c r="K1585"/>
      <c r="L1585"/>
      <c r="M1585"/>
    </row>
    <row r="1586" spans="1:13" ht="15">
      <c r="A1586"/>
      <c r="B1586"/>
      <c r="C1586"/>
      <c r="D1586"/>
      <c r="E1586"/>
      <c r="F1586"/>
      <c r="G1586"/>
      <c r="H1586"/>
      <c r="I1586"/>
      <c r="J1586"/>
      <c r="K1586"/>
      <c r="L1586"/>
      <c r="M1586"/>
    </row>
    <row r="1587" spans="1:13" ht="15">
      <c r="A1587"/>
      <c r="B1587"/>
      <c r="C1587"/>
      <c r="D1587"/>
      <c r="E1587"/>
      <c r="F1587"/>
      <c r="G1587"/>
      <c r="H1587"/>
      <c r="I1587"/>
      <c r="J1587"/>
      <c r="K1587"/>
      <c r="L1587"/>
      <c r="M1587"/>
    </row>
    <row r="1588" spans="1:13" ht="15">
      <c r="A1588"/>
      <c r="B1588"/>
      <c r="C1588"/>
      <c r="D1588"/>
      <c r="E1588"/>
      <c r="F1588"/>
      <c r="G1588"/>
      <c r="H1588"/>
      <c r="I1588"/>
      <c r="J1588"/>
      <c r="K1588"/>
      <c r="L1588"/>
      <c r="M1588"/>
    </row>
    <row r="1589" spans="1:13" ht="15">
      <c r="A1589"/>
      <c r="B1589"/>
      <c r="C1589"/>
      <c r="D1589"/>
      <c r="E1589"/>
      <c r="F1589"/>
      <c r="G1589"/>
      <c r="H1589"/>
      <c r="I1589"/>
      <c r="J1589"/>
      <c r="K1589"/>
      <c r="L1589"/>
      <c r="M1589"/>
    </row>
    <row r="1590" spans="1:13" ht="15">
      <c r="A1590"/>
      <c r="B1590"/>
      <c r="C1590"/>
      <c r="D1590"/>
      <c r="E1590"/>
      <c r="F1590"/>
      <c r="G1590"/>
      <c r="H1590"/>
      <c r="I1590"/>
      <c r="J1590"/>
      <c r="K1590"/>
      <c r="L1590"/>
      <c r="M1590"/>
    </row>
    <row r="1591" spans="1:13" ht="15">
      <c r="A1591"/>
      <c r="B1591"/>
      <c r="C1591"/>
      <c r="D1591"/>
      <c r="E1591"/>
      <c r="F1591"/>
      <c r="G1591"/>
      <c r="H1591"/>
      <c r="I1591"/>
      <c r="J1591"/>
      <c r="K1591"/>
      <c r="L1591"/>
      <c r="M1591"/>
    </row>
    <row r="1592" spans="1:13" ht="15">
      <c r="A1592"/>
      <c r="B1592"/>
      <c r="C1592"/>
      <c r="D1592"/>
      <c r="E1592"/>
      <c r="F1592"/>
      <c r="G1592"/>
      <c r="H1592"/>
      <c r="I1592"/>
      <c r="J1592"/>
      <c r="K1592"/>
      <c r="L1592"/>
      <c r="M1592"/>
    </row>
    <row r="1593" spans="1:13" ht="15">
      <c r="A1593"/>
      <c r="B1593"/>
      <c r="C1593"/>
      <c r="D1593"/>
      <c r="E1593"/>
      <c r="F1593"/>
      <c r="G1593"/>
      <c r="H1593"/>
      <c r="I1593"/>
      <c r="J1593"/>
      <c r="K1593"/>
      <c r="L1593"/>
      <c r="M1593"/>
    </row>
    <row r="1594" spans="1:13" ht="15">
      <c r="A1594"/>
      <c r="B1594"/>
      <c r="C1594"/>
      <c r="D1594"/>
      <c r="E1594"/>
      <c r="F1594"/>
      <c r="G1594"/>
      <c r="H1594"/>
      <c r="I1594"/>
      <c r="J1594"/>
      <c r="K1594"/>
      <c r="L1594"/>
      <c r="M1594"/>
    </row>
    <row r="1595" spans="1:13" ht="15">
      <c r="A1595"/>
      <c r="B1595"/>
      <c r="C1595"/>
      <c r="D1595"/>
      <c r="E1595"/>
      <c r="F1595"/>
      <c r="G1595"/>
      <c r="H1595"/>
      <c r="I1595"/>
      <c r="J1595"/>
      <c r="K1595"/>
      <c r="L1595"/>
      <c r="M1595"/>
    </row>
    <row r="1596" spans="1:13" ht="15">
      <c r="A1596"/>
      <c r="B1596"/>
      <c r="C1596"/>
      <c r="D1596"/>
      <c r="E1596"/>
      <c r="F1596"/>
      <c r="G1596"/>
      <c r="H1596"/>
      <c r="I1596"/>
      <c r="J1596"/>
      <c r="K1596"/>
      <c r="L1596"/>
      <c r="M1596"/>
    </row>
    <row r="1597" spans="1:13" ht="15">
      <c r="A1597"/>
      <c r="B1597"/>
      <c r="C1597"/>
      <c r="D1597"/>
      <c r="E1597"/>
      <c r="F1597"/>
      <c r="G1597"/>
      <c r="H1597"/>
      <c r="I1597"/>
      <c r="J1597"/>
      <c r="K1597"/>
      <c r="L1597"/>
      <c r="M1597"/>
    </row>
    <row r="1598" spans="1:13" ht="15">
      <c r="A1598"/>
      <c r="B1598"/>
      <c r="C1598"/>
      <c r="D1598"/>
      <c r="E1598"/>
      <c r="F1598"/>
      <c r="G1598"/>
      <c r="H1598"/>
      <c r="I1598"/>
      <c r="J1598"/>
      <c r="K1598"/>
      <c r="L1598"/>
      <c r="M1598"/>
    </row>
    <row r="1599" spans="1:13" ht="15">
      <c r="A1599"/>
      <c r="B1599"/>
      <c r="C1599"/>
      <c r="D1599"/>
      <c r="E1599"/>
      <c r="F1599"/>
      <c r="G1599"/>
      <c r="H1599"/>
      <c r="I1599"/>
      <c r="J1599"/>
      <c r="K1599"/>
      <c r="L1599"/>
      <c r="M1599"/>
    </row>
    <row r="1600" spans="1:13" ht="15">
      <c r="A1600"/>
      <c r="B1600"/>
      <c r="C1600"/>
      <c r="D1600"/>
      <c r="E1600"/>
      <c r="F1600"/>
      <c r="G1600"/>
      <c r="H1600"/>
      <c r="I1600"/>
      <c r="J1600"/>
      <c r="K1600"/>
      <c r="L1600"/>
      <c r="M1600"/>
    </row>
    <row r="1601" spans="1:13" ht="15">
      <c r="A1601"/>
      <c r="B1601"/>
      <c r="C1601"/>
      <c r="D1601"/>
      <c r="E1601"/>
      <c r="F1601"/>
      <c r="G1601"/>
      <c r="H1601"/>
      <c r="I1601"/>
      <c r="J1601"/>
      <c r="K1601"/>
      <c r="L1601"/>
      <c r="M1601"/>
    </row>
    <row r="1602" spans="1:13" ht="15">
      <c r="A1602"/>
      <c r="B1602"/>
      <c r="C1602"/>
      <c r="D1602"/>
      <c r="E1602"/>
      <c r="F1602"/>
      <c r="G1602"/>
      <c r="H1602"/>
      <c r="I1602"/>
      <c r="J1602"/>
      <c r="K1602"/>
      <c r="L1602"/>
      <c r="M1602"/>
    </row>
    <row r="1603" spans="1:13" ht="15">
      <c r="A1603"/>
      <c r="B1603"/>
      <c r="C1603"/>
      <c r="D1603"/>
      <c r="E1603"/>
      <c r="F1603"/>
      <c r="G1603"/>
      <c r="H1603"/>
      <c r="I1603"/>
      <c r="J1603"/>
      <c r="K1603"/>
      <c r="L1603"/>
      <c r="M1603"/>
    </row>
    <row r="1604" spans="1:13" ht="15">
      <c r="A1604"/>
      <c r="B1604"/>
      <c r="C1604"/>
      <c r="D1604"/>
      <c r="E1604"/>
      <c r="F1604"/>
      <c r="G1604"/>
      <c r="H1604"/>
      <c r="I1604"/>
      <c r="J1604"/>
      <c r="K1604"/>
      <c r="L1604"/>
      <c r="M1604"/>
    </row>
    <row r="1605" spans="1:13" ht="15">
      <c r="A1605"/>
      <c r="B1605"/>
      <c r="C1605"/>
      <c r="D1605"/>
      <c r="E1605"/>
      <c r="F1605"/>
      <c r="G1605"/>
      <c r="H1605"/>
      <c r="I1605"/>
      <c r="J1605"/>
      <c r="K1605"/>
      <c r="L1605"/>
      <c r="M1605"/>
    </row>
    <row r="1606" spans="1:13" ht="15">
      <c r="A1606"/>
      <c r="B1606"/>
      <c r="C1606"/>
      <c r="D1606"/>
      <c r="E1606"/>
      <c r="F1606"/>
      <c r="G1606"/>
      <c r="H1606"/>
      <c r="I1606"/>
      <c r="J1606"/>
      <c r="K1606"/>
      <c r="L1606"/>
      <c r="M1606"/>
    </row>
    <row r="1607" spans="1:13" ht="15">
      <c r="A1607"/>
      <c r="B1607"/>
      <c r="C1607"/>
      <c r="D1607"/>
      <c r="E1607"/>
      <c r="F1607"/>
      <c r="G1607"/>
      <c r="H1607"/>
      <c r="I1607"/>
      <c r="J1607"/>
      <c r="K1607"/>
      <c r="L1607"/>
      <c r="M1607"/>
    </row>
    <row r="1608" spans="1:13" ht="15">
      <c r="A1608"/>
      <c r="B1608"/>
      <c r="C1608"/>
      <c r="D1608"/>
      <c r="E1608"/>
      <c r="F1608"/>
      <c r="G1608"/>
      <c r="H1608"/>
      <c r="I1608"/>
      <c r="J1608"/>
      <c r="K1608"/>
      <c r="L1608"/>
      <c r="M1608"/>
    </row>
    <row r="1609" spans="1:13" ht="15">
      <c r="A1609"/>
      <c r="B1609"/>
      <c r="C1609"/>
      <c r="D1609"/>
      <c r="E1609"/>
      <c r="F1609"/>
      <c r="G1609"/>
      <c r="H1609"/>
      <c r="I1609"/>
      <c r="J1609"/>
      <c r="K1609"/>
      <c r="L1609"/>
      <c r="M1609"/>
    </row>
    <row r="1610" spans="1:13" ht="15">
      <c r="A1610"/>
      <c r="B1610"/>
      <c r="C1610"/>
      <c r="D1610"/>
      <c r="E1610"/>
      <c r="F1610"/>
      <c r="G1610"/>
      <c r="H1610"/>
      <c r="I1610"/>
      <c r="J1610"/>
      <c r="K1610"/>
      <c r="L1610"/>
      <c r="M1610"/>
    </row>
    <row r="1611" spans="1:13" ht="15">
      <c r="A1611"/>
      <c r="B1611"/>
      <c r="C1611"/>
      <c r="D1611"/>
      <c r="E1611"/>
      <c r="F1611"/>
      <c r="G1611"/>
      <c r="H1611"/>
      <c r="I1611"/>
      <c r="J1611"/>
      <c r="K1611"/>
      <c r="L1611"/>
      <c r="M1611"/>
    </row>
    <row r="1612" spans="1:13" ht="15">
      <c r="A1612"/>
      <c r="B1612"/>
      <c r="C1612"/>
      <c r="D1612"/>
      <c r="E1612"/>
      <c r="F1612"/>
      <c r="G1612"/>
      <c r="H1612"/>
      <c r="I1612"/>
      <c r="J1612"/>
      <c r="K1612"/>
      <c r="L1612"/>
      <c r="M1612"/>
    </row>
    <row r="1613" spans="1:13" ht="15">
      <c r="A1613"/>
      <c r="B1613"/>
      <c r="C1613"/>
      <c r="D1613"/>
      <c r="E1613"/>
      <c r="F1613"/>
      <c r="G1613"/>
      <c r="H1613"/>
      <c r="I1613"/>
      <c r="J1613"/>
      <c r="K1613"/>
      <c r="L1613"/>
      <c r="M1613"/>
    </row>
    <row r="1614" spans="1:13" ht="15">
      <c r="A1614"/>
      <c r="B1614"/>
      <c r="C1614"/>
      <c r="D1614"/>
      <c r="E1614"/>
      <c r="F1614"/>
      <c r="G1614"/>
      <c r="H1614"/>
      <c r="I1614"/>
      <c r="J1614"/>
      <c r="K1614"/>
      <c r="L1614"/>
      <c r="M1614"/>
    </row>
    <row r="1615" spans="1:13" ht="15">
      <c r="A1615"/>
      <c r="B1615"/>
      <c r="C1615"/>
      <c r="D1615"/>
      <c r="E1615"/>
      <c r="F1615"/>
      <c r="G1615"/>
      <c r="H1615"/>
      <c r="I1615"/>
      <c r="J1615"/>
      <c r="K1615"/>
      <c r="L1615"/>
      <c r="M1615"/>
    </row>
    <row r="1616" spans="1:13" ht="15">
      <c r="A1616"/>
      <c r="B1616"/>
      <c r="C1616"/>
      <c r="D1616"/>
      <c r="E1616"/>
      <c r="F1616"/>
      <c r="G1616"/>
      <c r="H1616"/>
      <c r="I1616"/>
      <c r="J1616"/>
      <c r="K1616"/>
      <c r="L1616"/>
      <c r="M1616"/>
    </row>
    <row r="1617" spans="1:13" ht="15">
      <c r="A1617"/>
      <c r="B1617"/>
      <c r="C1617"/>
      <c r="D1617"/>
      <c r="E1617"/>
      <c r="F1617"/>
      <c r="G1617"/>
      <c r="H1617"/>
      <c r="I1617"/>
      <c r="J1617"/>
      <c r="K1617"/>
      <c r="L1617"/>
      <c r="M1617"/>
    </row>
    <row r="1618" spans="1:13" ht="15">
      <c r="A1618"/>
      <c r="B1618"/>
      <c r="C1618"/>
      <c r="D1618"/>
      <c r="E1618"/>
      <c r="F1618"/>
      <c r="G1618"/>
      <c r="H1618"/>
      <c r="I1618"/>
      <c r="J1618"/>
      <c r="K1618"/>
      <c r="L1618"/>
      <c r="M1618"/>
    </row>
    <row r="1619" spans="1:13" ht="15">
      <c r="A1619"/>
      <c r="B1619"/>
      <c r="C1619"/>
      <c r="D1619"/>
      <c r="E1619"/>
      <c r="F1619"/>
      <c r="G1619"/>
      <c r="H1619"/>
      <c r="I1619"/>
      <c r="J1619"/>
      <c r="K1619"/>
      <c r="L1619"/>
      <c r="M1619"/>
    </row>
    <row r="1620" spans="1:13" ht="15">
      <c r="A1620"/>
      <c r="B1620"/>
      <c r="C1620"/>
      <c r="D1620"/>
      <c r="E1620"/>
      <c r="F1620"/>
      <c r="G1620"/>
      <c r="H1620"/>
      <c r="I1620"/>
      <c r="J1620"/>
      <c r="K1620"/>
      <c r="L1620"/>
      <c r="M1620"/>
    </row>
    <row r="1621" spans="1:13" ht="15">
      <c r="A1621"/>
      <c r="B1621"/>
      <c r="C1621"/>
      <c r="D1621"/>
      <c r="E1621"/>
      <c r="F1621"/>
      <c r="G1621"/>
      <c r="H1621"/>
      <c r="I1621"/>
      <c r="J1621"/>
      <c r="K1621"/>
      <c r="L1621"/>
      <c r="M1621"/>
    </row>
    <row r="1622" spans="1:13" ht="15">
      <c r="A1622"/>
      <c r="B1622"/>
      <c r="C1622"/>
      <c r="D1622"/>
      <c r="E1622"/>
      <c r="F1622"/>
      <c r="G1622"/>
      <c r="H1622"/>
      <c r="I1622"/>
      <c r="J1622"/>
      <c r="K1622"/>
      <c r="L1622"/>
      <c r="M1622"/>
    </row>
    <row r="1623" spans="1:13" ht="15">
      <c r="A1623"/>
      <c r="B1623"/>
      <c r="C1623"/>
      <c r="D1623"/>
      <c r="E1623"/>
      <c r="F1623"/>
      <c r="G1623"/>
      <c r="H1623"/>
      <c r="I1623"/>
      <c r="J1623"/>
      <c r="K1623"/>
      <c r="L1623"/>
      <c r="M1623"/>
    </row>
    <row r="1624" spans="1:13" ht="15">
      <c r="A1624"/>
      <c r="B1624"/>
      <c r="C1624"/>
      <c r="D1624"/>
      <c r="E1624"/>
      <c r="F1624"/>
      <c r="G1624"/>
      <c r="H1624"/>
      <c r="I1624"/>
      <c r="J1624"/>
      <c r="K1624"/>
      <c r="L1624"/>
      <c r="M1624"/>
    </row>
    <row r="1625" spans="1:13" ht="15">
      <c r="A1625"/>
      <c r="B1625"/>
      <c r="C1625"/>
      <c r="D1625"/>
      <c r="E1625"/>
      <c r="F1625"/>
      <c r="G1625"/>
      <c r="H1625"/>
      <c r="I1625"/>
      <c r="J1625"/>
      <c r="K1625"/>
      <c r="L1625"/>
      <c r="M1625"/>
    </row>
    <row r="1626" spans="1:13" ht="15">
      <c r="A1626"/>
      <c r="B1626"/>
      <c r="C1626"/>
      <c r="D1626"/>
      <c r="E1626"/>
      <c r="F1626"/>
      <c r="G1626"/>
      <c r="H1626"/>
      <c r="I1626"/>
      <c r="J1626"/>
      <c r="K1626"/>
      <c r="L1626"/>
      <c r="M1626"/>
    </row>
    <row r="1627" spans="1:13" ht="15">
      <c r="A1627"/>
      <c r="B1627"/>
      <c r="C1627"/>
      <c r="D1627"/>
      <c r="E1627"/>
      <c r="F1627"/>
      <c r="G1627"/>
      <c r="H1627"/>
      <c r="I1627"/>
      <c r="J1627"/>
      <c r="K1627"/>
      <c r="L1627"/>
      <c r="M1627"/>
    </row>
    <row r="1628" spans="1:13" ht="15">
      <c r="A1628"/>
      <c r="B1628"/>
      <c r="C1628"/>
      <c r="D1628"/>
      <c r="E1628"/>
      <c r="F1628"/>
      <c r="G1628"/>
      <c r="H1628"/>
      <c r="I1628"/>
      <c r="J1628"/>
      <c r="K1628"/>
      <c r="L1628"/>
      <c r="M1628"/>
    </row>
    <row r="1629" spans="1:13" ht="15">
      <c r="A1629"/>
      <c r="B1629"/>
      <c r="C1629"/>
      <c r="D1629"/>
      <c r="E1629"/>
      <c r="F1629"/>
      <c r="G1629"/>
      <c r="H1629"/>
      <c r="I1629"/>
      <c r="J1629"/>
      <c r="K1629"/>
      <c r="L1629"/>
      <c r="M1629"/>
    </row>
    <row r="1630" spans="1:13" ht="15">
      <c r="A1630"/>
      <c r="B1630"/>
      <c r="C1630"/>
      <c r="D1630"/>
      <c r="E1630"/>
      <c r="F1630"/>
      <c r="G1630"/>
      <c r="H1630"/>
      <c r="I1630"/>
      <c r="J1630"/>
      <c r="K1630"/>
      <c r="L1630"/>
      <c r="M1630"/>
    </row>
    <row r="1631" spans="1:13" ht="15">
      <c r="A1631"/>
      <c r="B1631"/>
      <c r="C1631"/>
      <c r="D1631"/>
      <c r="E1631"/>
      <c r="F1631"/>
      <c r="G1631"/>
      <c r="H1631"/>
      <c r="I1631"/>
      <c r="J1631"/>
      <c r="K1631"/>
      <c r="L1631"/>
      <c r="M1631"/>
    </row>
    <row r="1632" spans="1:13" ht="15">
      <c r="A1632"/>
      <c r="B1632"/>
      <c r="C1632"/>
      <c r="D1632"/>
      <c r="E1632"/>
      <c r="F1632"/>
      <c r="G1632"/>
      <c r="H1632"/>
      <c r="I1632"/>
      <c r="J1632"/>
      <c r="K1632"/>
      <c r="L1632"/>
      <c r="M1632"/>
    </row>
    <row r="1633" spans="1:13" ht="15">
      <c r="A1633"/>
      <c r="B1633"/>
      <c r="C1633"/>
      <c r="D1633"/>
      <c r="E1633"/>
      <c r="F1633"/>
      <c r="G1633"/>
      <c r="H1633"/>
      <c r="I1633"/>
      <c r="J1633"/>
      <c r="K1633"/>
      <c r="L1633"/>
      <c r="M1633"/>
    </row>
    <row r="1634" spans="1:13" ht="15">
      <c r="A1634"/>
      <c r="B1634"/>
      <c r="C1634"/>
      <c r="D1634"/>
      <c r="E1634"/>
      <c r="F1634"/>
      <c r="G1634"/>
      <c r="H1634"/>
      <c r="I1634"/>
      <c r="J1634"/>
      <c r="K1634"/>
      <c r="L1634"/>
      <c r="M1634"/>
    </row>
    <row r="1635" spans="1:13" ht="15">
      <c r="A1635"/>
      <c r="B1635"/>
      <c r="C1635"/>
      <c r="D1635"/>
      <c r="E1635"/>
      <c r="F1635"/>
      <c r="G1635"/>
      <c r="H1635"/>
      <c r="I1635"/>
      <c r="J1635"/>
      <c r="K1635"/>
      <c r="L1635"/>
      <c r="M1635"/>
    </row>
    <row r="1636" spans="1:13" ht="15">
      <c r="A1636"/>
      <c r="B1636"/>
      <c r="C1636"/>
      <c r="D1636"/>
      <c r="E1636"/>
      <c r="F1636"/>
      <c r="G1636"/>
      <c r="H1636"/>
      <c r="I1636"/>
      <c r="J1636"/>
      <c r="K1636"/>
      <c r="L1636"/>
      <c r="M1636"/>
    </row>
    <row r="1637" spans="1:13" ht="15">
      <c r="A1637"/>
      <c r="B1637"/>
      <c r="C1637"/>
      <c r="D1637"/>
      <c r="E1637"/>
      <c r="F1637"/>
      <c r="G1637"/>
      <c r="H1637"/>
      <c r="I1637"/>
      <c r="J1637"/>
      <c r="K1637"/>
      <c r="L1637"/>
      <c r="M1637"/>
    </row>
    <row r="1638" spans="1:13" ht="15">
      <c r="A1638"/>
      <c r="B1638"/>
      <c r="C1638"/>
      <c r="D1638"/>
      <c r="E1638"/>
      <c r="F1638"/>
      <c r="G1638"/>
      <c r="H1638"/>
      <c r="I1638"/>
      <c r="J1638"/>
      <c r="K1638"/>
      <c r="L1638"/>
      <c r="M1638"/>
    </row>
    <row r="1639" spans="1:13" ht="15">
      <c r="A1639"/>
      <c r="B1639"/>
      <c r="C1639"/>
      <c r="D1639"/>
      <c r="E1639"/>
      <c r="F1639"/>
      <c r="G1639"/>
      <c r="H1639"/>
      <c r="I1639"/>
      <c r="J1639"/>
      <c r="K1639"/>
      <c r="L1639"/>
      <c r="M1639"/>
    </row>
    <row r="1640" spans="1:13" ht="15">
      <c r="A1640"/>
      <c r="B1640"/>
      <c r="C1640"/>
      <c r="D1640"/>
      <c r="E1640"/>
      <c r="F1640"/>
      <c r="G1640"/>
      <c r="H1640"/>
      <c r="I1640"/>
      <c r="J1640"/>
      <c r="K1640"/>
      <c r="L1640"/>
      <c r="M1640"/>
    </row>
    <row r="1641" spans="1:13" ht="15">
      <c r="A1641"/>
      <c r="B1641"/>
      <c r="C1641"/>
      <c r="D1641"/>
      <c r="E1641"/>
      <c r="F1641"/>
      <c r="G1641"/>
      <c r="H1641"/>
      <c r="I1641"/>
      <c r="J1641"/>
      <c r="K1641"/>
      <c r="L1641"/>
      <c r="M1641"/>
    </row>
    <row r="1642" spans="1:13" ht="15">
      <c r="A1642"/>
      <c r="B1642"/>
      <c r="C1642"/>
      <c r="D1642"/>
      <c r="E1642"/>
      <c r="F1642"/>
      <c r="G1642"/>
      <c r="H1642"/>
      <c r="I1642"/>
      <c r="J1642"/>
      <c r="K1642"/>
      <c r="L1642"/>
      <c r="M1642"/>
    </row>
    <row r="1643" spans="1:13" ht="15">
      <c r="A1643"/>
      <c r="B1643"/>
      <c r="C1643"/>
      <c r="D1643"/>
      <c r="E1643"/>
      <c r="F1643"/>
      <c r="G1643"/>
      <c r="H1643"/>
      <c r="I1643"/>
      <c r="J1643"/>
      <c r="K1643"/>
      <c r="L1643"/>
      <c r="M1643"/>
    </row>
    <row r="1644" spans="1:13" ht="15">
      <c r="A1644"/>
      <c r="B1644"/>
      <c r="C1644"/>
      <c r="D1644"/>
      <c r="E1644"/>
      <c r="F1644"/>
      <c r="G1644"/>
      <c r="H1644"/>
      <c r="I1644"/>
      <c r="J1644"/>
      <c r="K1644"/>
      <c r="L1644"/>
      <c r="M1644"/>
    </row>
    <row r="1645" spans="1:13" ht="15">
      <c r="A1645"/>
      <c r="B1645"/>
      <c r="C1645"/>
      <c r="D1645"/>
      <c r="E1645"/>
      <c r="F1645"/>
      <c r="G1645"/>
      <c r="H1645"/>
      <c r="I1645"/>
      <c r="J1645"/>
      <c r="K1645"/>
      <c r="L1645"/>
      <c r="M1645"/>
    </row>
    <row r="1646" spans="1:13" ht="15">
      <c r="A1646"/>
      <c r="B1646"/>
      <c r="C1646"/>
      <c r="D1646"/>
      <c r="E1646"/>
      <c r="F1646"/>
      <c r="G1646"/>
      <c r="H1646"/>
      <c r="I1646"/>
      <c r="J1646"/>
      <c r="K1646"/>
      <c r="L1646"/>
      <c r="M1646"/>
    </row>
    <row r="1647" spans="1:13" ht="15">
      <c r="A1647"/>
      <c r="B1647"/>
      <c r="C1647"/>
      <c r="D1647"/>
      <c r="E1647"/>
      <c r="F1647"/>
      <c r="G1647"/>
      <c r="H1647"/>
      <c r="I1647"/>
      <c r="J1647"/>
      <c r="K1647"/>
      <c r="L1647"/>
      <c r="M1647"/>
    </row>
    <row r="1648" spans="1:13" ht="15">
      <c r="A1648"/>
      <c r="B1648"/>
      <c r="C1648"/>
      <c r="D1648"/>
      <c r="E1648"/>
      <c r="F1648"/>
      <c r="G1648"/>
      <c r="H1648"/>
      <c r="I1648"/>
      <c r="J1648"/>
      <c r="K1648"/>
      <c r="L1648"/>
      <c r="M1648"/>
    </row>
    <row r="1649" spans="1:13" ht="15">
      <c r="A1649"/>
      <c r="B1649"/>
      <c r="C1649"/>
      <c r="D1649"/>
      <c r="E1649"/>
      <c r="F1649"/>
      <c r="G1649"/>
      <c r="H1649"/>
      <c r="I1649"/>
      <c r="J1649"/>
      <c r="K1649"/>
      <c r="L1649"/>
      <c r="M1649"/>
    </row>
    <row r="1650" spans="1:13" ht="15">
      <c r="A1650"/>
      <c r="B1650"/>
      <c r="C1650"/>
      <c r="D1650"/>
      <c r="E1650"/>
      <c r="F1650"/>
      <c r="G1650"/>
      <c r="H1650"/>
      <c r="I1650"/>
      <c r="J1650"/>
      <c r="K1650"/>
      <c r="L1650"/>
      <c r="M1650"/>
    </row>
    <row r="1651" spans="1:13" ht="15">
      <c r="A1651"/>
      <c r="B1651"/>
      <c r="C1651"/>
      <c r="D1651"/>
      <c r="E1651"/>
      <c r="F1651"/>
      <c r="G1651"/>
      <c r="H1651"/>
      <c r="I1651"/>
      <c r="J1651"/>
      <c r="K1651"/>
      <c r="L1651"/>
      <c r="M1651"/>
    </row>
    <row r="1652" spans="1:13" ht="15">
      <c r="A1652"/>
      <c r="B1652"/>
      <c r="C1652"/>
      <c r="D1652"/>
      <c r="E1652"/>
      <c r="F1652"/>
      <c r="G1652"/>
      <c r="H1652"/>
      <c r="I1652"/>
      <c r="J1652"/>
      <c r="K1652"/>
      <c r="L1652"/>
      <c r="M1652"/>
    </row>
    <row r="1653" spans="1:13" ht="15">
      <c r="A1653"/>
      <c r="B1653"/>
      <c r="C1653"/>
      <c r="D1653"/>
      <c r="E1653"/>
      <c r="F1653"/>
      <c r="G1653"/>
      <c r="H1653"/>
      <c r="I1653"/>
      <c r="J1653"/>
      <c r="K1653"/>
      <c r="L1653"/>
      <c r="M1653"/>
    </row>
    <row r="1654" spans="1:13" ht="15">
      <c r="A1654"/>
      <c r="B1654"/>
      <c r="C1654"/>
      <c r="D1654"/>
      <c r="E1654"/>
      <c r="F1654"/>
      <c r="G1654"/>
      <c r="H1654"/>
      <c r="I1654"/>
      <c r="J1654"/>
      <c r="K1654"/>
      <c r="L1654"/>
      <c r="M1654"/>
    </row>
    <row r="1655" spans="1:13" ht="15">
      <c r="A1655"/>
      <c r="B1655"/>
      <c r="C1655"/>
      <c r="D1655"/>
      <c r="E1655"/>
      <c r="F1655"/>
      <c r="G1655"/>
      <c r="H1655"/>
      <c r="I1655"/>
      <c r="J1655"/>
      <c r="K1655"/>
      <c r="L1655"/>
      <c r="M1655"/>
    </row>
    <row r="1656" spans="1:13" ht="15">
      <c r="A1656"/>
      <c r="B1656"/>
      <c r="C1656"/>
      <c r="D1656"/>
      <c r="E1656"/>
      <c r="F1656"/>
      <c r="G1656"/>
      <c r="H1656"/>
      <c r="I1656"/>
      <c r="J1656"/>
      <c r="K1656"/>
      <c r="L1656"/>
      <c r="M1656"/>
    </row>
    <row r="1657" spans="1:13" ht="15">
      <c r="A1657"/>
      <c r="B1657"/>
      <c r="C1657"/>
      <c r="D1657"/>
      <c r="E1657"/>
      <c r="F1657"/>
      <c r="G1657"/>
      <c r="H1657"/>
      <c r="I1657"/>
      <c r="J1657"/>
      <c r="K1657"/>
      <c r="L1657"/>
      <c r="M1657"/>
    </row>
    <row r="1658" spans="1:13" ht="15">
      <c r="A1658"/>
      <c r="B1658"/>
      <c r="C1658"/>
      <c r="D1658"/>
      <c r="E1658"/>
      <c r="F1658"/>
      <c r="G1658"/>
      <c r="H1658"/>
      <c r="I1658"/>
      <c r="J1658"/>
      <c r="K1658"/>
      <c r="L1658"/>
      <c r="M1658"/>
    </row>
    <row r="1659" spans="1:13" ht="15">
      <c r="A1659"/>
      <c r="B1659"/>
      <c r="C1659"/>
      <c r="D1659"/>
      <c r="E1659"/>
      <c r="F1659"/>
      <c r="G1659"/>
      <c r="H1659"/>
      <c r="I1659"/>
      <c r="J1659"/>
      <c r="K1659"/>
      <c r="L1659"/>
      <c r="M1659"/>
    </row>
    <row r="1660" spans="1:13" ht="15">
      <c r="A1660"/>
      <c r="B1660"/>
      <c r="C1660"/>
      <c r="D1660"/>
      <c r="E1660"/>
      <c r="F1660"/>
      <c r="G1660"/>
      <c r="H1660"/>
      <c r="I1660"/>
      <c r="J1660"/>
      <c r="K1660"/>
      <c r="L1660"/>
      <c r="M1660"/>
    </row>
    <row r="1661" spans="1:13" ht="15">
      <c r="A1661"/>
      <c r="B1661"/>
      <c r="C1661"/>
      <c r="D1661"/>
      <c r="E1661"/>
      <c r="F1661"/>
      <c r="G1661"/>
      <c r="H1661"/>
      <c r="I1661"/>
      <c r="J1661"/>
      <c r="K1661"/>
      <c r="L1661"/>
      <c r="M1661"/>
    </row>
    <row r="1662" spans="1:13" ht="15">
      <c r="A1662"/>
      <c r="B1662"/>
      <c r="C1662"/>
      <c r="D1662"/>
      <c r="E1662"/>
      <c r="F1662"/>
      <c r="G1662"/>
      <c r="H1662"/>
      <c r="I1662"/>
      <c r="J1662"/>
      <c r="K1662"/>
      <c r="L1662"/>
      <c r="M1662"/>
    </row>
    <row r="1663" spans="1:13" ht="15">
      <c r="A1663"/>
      <c r="B1663"/>
      <c r="C1663"/>
      <c r="D1663"/>
      <c r="E1663"/>
      <c r="F1663"/>
      <c r="G1663"/>
      <c r="H1663"/>
      <c r="I1663"/>
      <c r="J1663"/>
      <c r="K1663"/>
      <c r="L1663"/>
      <c r="M1663"/>
    </row>
    <row r="1664" spans="1:13" ht="15">
      <c r="A1664"/>
      <c r="B1664"/>
      <c r="C1664"/>
      <c r="D1664"/>
      <c r="E1664"/>
      <c r="F1664"/>
      <c r="G1664"/>
      <c r="H1664"/>
      <c r="I1664"/>
      <c r="J1664"/>
      <c r="K1664"/>
      <c r="L1664"/>
      <c r="M1664"/>
    </row>
    <row r="1665" spans="1:13" ht="15">
      <c r="A1665"/>
      <c r="B1665"/>
      <c r="C1665"/>
      <c r="D1665"/>
      <c r="E1665"/>
      <c r="F1665"/>
      <c r="G1665"/>
      <c r="H1665"/>
      <c r="I1665"/>
      <c r="J1665"/>
      <c r="K1665"/>
      <c r="L1665"/>
      <c r="M1665"/>
    </row>
    <row r="1666" spans="1:13" ht="15">
      <c r="A1666"/>
      <c r="B1666"/>
      <c r="C1666"/>
      <c r="D1666"/>
      <c r="E1666"/>
      <c r="F1666"/>
      <c r="G1666"/>
      <c r="H1666"/>
      <c r="I1666"/>
      <c r="J1666"/>
      <c r="K1666"/>
      <c r="L1666"/>
      <c r="M1666"/>
    </row>
    <row r="1667" spans="1:13" ht="15">
      <c r="A1667"/>
      <c r="B1667"/>
      <c r="C1667"/>
      <c r="D1667"/>
      <c r="E1667"/>
      <c r="F1667"/>
      <c r="G1667"/>
      <c r="H1667"/>
      <c r="I1667"/>
      <c r="J1667"/>
      <c r="K1667"/>
      <c r="L1667"/>
      <c r="M1667"/>
    </row>
    <row r="1668" spans="1:13" ht="15">
      <c r="A1668"/>
      <c r="B1668"/>
      <c r="C1668"/>
      <c r="D1668"/>
      <c r="E1668"/>
      <c r="F1668"/>
      <c r="G1668"/>
      <c r="H1668"/>
      <c r="I1668"/>
      <c r="J1668"/>
      <c r="K1668"/>
      <c r="L1668"/>
      <c r="M1668"/>
    </row>
    <row r="1669" spans="1:13" ht="15">
      <c r="A1669"/>
      <c r="B1669"/>
      <c r="C1669"/>
      <c r="D1669"/>
      <c r="E1669"/>
      <c r="F1669"/>
      <c r="G1669"/>
      <c r="H1669"/>
      <c r="I1669"/>
      <c r="J1669"/>
      <c r="K1669"/>
      <c r="L1669"/>
      <c r="M1669"/>
    </row>
    <row r="1670" spans="1:13" ht="15">
      <c r="A1670"/>
      <c r="B1670"/>
      <c r="C1670"/>
      <c r="D1670"/>
      <c r="E1670"/>
      <c r="F1670"/>
      <c r="G1670"/>
      <c r="H1670"/>
      <c r="I1670"/>
      <c r="J1670"/>
      <c r="K1670"/>
      <c r="L1670"/>
      <c r="M1670"/>
    </row>
    <row r="1671" spans="1:13" ht="15">
      <c r="A1671"/>
      <c r="B1671"/>
      <c r="C1671"/>
      <c r="D1671"/>
      <c r="E1671"/>
      <c r="F1671"/>
      <c r="G1671"/>
      <c r="H1671"/>
      <c r="I1671"/>
      <c r="J1671"/>
      <c r="K1671"/>
      <c r="L1671"/>
      <c r="M1671"/>
    </row>
    <row r="1672" spans="1:13" ht="15">
      <c r="A1672"/>
      <c r="B1672"/>
      <c r="C1672"/>
      <c r="D1672"/>
      <c r="E1672"/>
      <c r="F1672"/>
      <c r="G1672"/>
      <c r="H1672"/>
      <c r="I1672"/>
      <c r="J1672"/>
      <c r="K1672"/>
      <c r="L1672"/>
      <c r="M1672"/>
    </row>
    <row r="1673" spans="1:13" ht="15">
      <c r="A1673"/>
      <c r="B1673"/>
      <c r="C1673"/>
      <c r="D1673"/>
      <c r="E1673"/>
      <c r="F1673"/>
      <c r="G1673"/>
      <c r="H1673"/>
      <c r="I1673"/>
      <c r="J1673"/>
      <c r="K1673"/>
      <c r="L1673"/>
      <c r="M1673"/>
    </row>
    <row r="1674" spans="1:13" ht="15">
      <c r="A1674"/>
      <c r="B1674"/>
      <c r="C1674"/>
      <c r="D1674"/>
      <c r="E1674"/>
      <c r="F1674"/>
      <c r="G1674"/>
      <c r="H1674"/>
      <c r="I1674"/>
      <c r="J1674"/>
      <c r="K1674"/>
      <c r="L1674"/>
      <c r="M1674"/>
    </row>
    <row r="1675" spans="1:13" ht="15">
      <c r="A1675"/>
      <c r="B1675"/>
      <c r="C1675"/>
      <c r="D1675"/>
      <c r="E1675"/>
      <c r="F1675"/>
      <c r="G1675"/>
      <c r="H1675"/>
      <c r="I1675"/>
      <c r="J1675"/>
      <c r="K1675"/>
      <c r="L1675"/>
      <c r="M1675"/>
    </row>
    <row r="1676" spans="1:13" ht="15">
      <c r="A1676"/>
      <c r="B1676"/>
      <c r="C1676"/>
      <c r="D1676"/>
      <c r="E1676"/>
      <c r="F1676"/>
      <c r="G1676"/>
      <c r="H1676"/>
      <c r="I1676"/>
      <c r="J1676"/>
      <c r="K1676"/>
      <c r="L1676"/>
      <c r="M1676"/>
    </row>
    <row r="1677" spans="1:13" ht="15">
      <c r="A1677"/>
      <c r="B1677"/>
      <c r="C1677"/>
      <c r="D1677"/>
      <c r="E1677"/>
      <c r="F1677"/>
      <c r="G1677"/>
      <c r="H1677"/>
      <c r="I1677"/>
      <c r="J1677"/>
      <c r="K1677"/>
      <c r="L1677"/>
      <c r="M1677"/>
    </row>
    <row r="1678" spans="1:13" ht="15">
      <c r="A1678"/>
      <c r="B1678"/>
      <c r="C1678"/>
      <c r="D1678"/>
      <c r="E1678"/>
      <c r="F1678"/>
      <c r="G1678"/>
      <c r="H1678"/>
      <c r="I1678"/>
      <c r="J1678"/>
      <c r="K1678"/>
      <c r="L1678"/>
      <c r="M1678"/>
    </row>
    <row r="1679" spans="1:13" ht="15">
      <c r="A1679"/>
      <c r="B1679"/>
      <c r="C1679"/>
      <c r="D1679"/>
      <c r="E1679"/>
      <c r="F1679"/>
      <c r="G1679"/>
      <c r="H1679"/>
      <c r="I1679"/>
      <c r="J1679"/>
      <c r="K1679"/>
      <c r="L1679"/>
      <c r="M1679"/>
    </row>
    <row r="1680" spans="1:13" ht="15">
      <c r="A1680"/>
      <c r="B1680"/>
      <c r="C1680"/>
      <c r="D1680"/>
      <c r="E1680"/>
      <c r="F1680"/>
      <c r="G1680"/>
      <c r="H1680"/>
      <c r="I1680"/>
      <c r="J1680"/>
      <c r="K1680"/>
      <c r="L1680"/>
      <c r="M1680"/>
    </row>
    <row r="1681" spans="1:13" ht="15">
      <c r="A1681"/>
      <c r="B1681"/>
      <c r="C1681"/>
      <c r="D1681"/>
      <c r="E1681"/>
      <c r="F1681"/>
      <c r="G1681"/>
      <c r="H1681"/>
      <c r="I1681"/>
      <c r="J1681"/>
      <c r="K1681"/>
      <c r="L1681"/>
      <c r="M1681"/>
    </row>
    <row r="1682" spans="1:13" ht="15">
      <c r="A1682"/>
      <c r="B1682"/>
      <c r="C1682"/>
      <c r="D1682"/>
      <c r="E1682"/>
      <c r="F1682"/>
      <c r="G1682"/>
      <c r="H1682"/>
      <c r="I1682"/>
      <c r="J1682"/>
      <c r="K1682"/>
      <c r="L1682"/>
      <c r="M1682"/>
    </row>
    <row r="1683" spans="1:13" ht="15">
      <c r="A1683"/>
      <c r="B1683"/>
      <c r="C1683"/>
      <c r="D1683"/>
      <c r="E1683"/>
      <c r="F1683"/>
      <c r="G1683"/>
      <c r="H1683"/>
      <c r="I1683"/>
      <c r="J1683"/>
      <c r="K1683"/>
      <c r="L1683"/>
      <c r="M1683"/>
    </row>
    <row r="1684" spans="1:13" ht="15">
      <c r="A1684"/>
      <c r="B1684"/>
      <c r="C1684"/>
      <c r="D1684"/>
      <c r="E1684"/>
      <c r="F1684"/>
      <c r="G1684"/>
      <c r="H1684"/>
      <c r="I1684"/>
      <c r="J1684"/>
      <c r="K1684"/>
      <c r="L1684"/>
      <c r="M1684"/>
    </row>
    <row r="1685" spans="1:13" ht="15">
      <c r="A1685"/>
      <c r="B1685"/>
      <c r="C1685"/>
      <c r="D1685"/>
      <c r="E1685"/>
      <c r="F1685"/>
      <c r="G1685"/>
      <c r="H1685"/>
      <c r="I1685"/>
      <c r="J1685"/>
      <c r="K1685"/>
      <c r="L1685"/>
      <c r="M1685"/>
    </row>
    <row r="1686" spans="1:13" ht="15">
      <c r="A1686"/>
      <c r="B1686"/>
      <c r="C1686"/>
      <c r="D1686"/>
      <c r="E1686"/>
      <c r="F1686"/>
      <c r="G1686"/>
      <c r="H1686"/>
      <c r="I1686"/>
      <c r="J1686"/>
      <c r="K1686"/>
      <c r="L1686"/>
      <c r="M1686"/>
    </row>
    <row r="1687" spans="1:13" ht="15">
      <c r="A1687"/>
      <c r="B1687"/>
      <c r="C1687"/>
      <c r="D1687"/>
      <c r="E1687"/>
      <c r="F1687"/>
      <c r="G1687"/>
      <c r="H1687"/>
      <c r="I1687"/>
      <c r="J1687"/>
      <c r="K1687"/>
      <c r="L1687"/>
      <c r="M1687"/>
    </row>
    <row r="1688" spans="1:13" ht="15">
      <c r="A1688"/>
      <c r="B1688"/>
      <c r="C1688"/>
      <c r="D1688"/>
      <c r="E1688"/>
      <c r="F1688"/>
      <c r="G1688"/>
      <c r="H1688"/>
      <c r="I1688"/>
      <c r="J1688"/>
      <c r="K1688"/>
      <c r="L1688"/>
      <c r="M1688"/>
    </row>
    <row r="1689" spans="1:13" ht="15">
      <c r="A1689"/>
      <c r="B1689"/>
      <c r="C1689"/>
      <c r="D1689"/>
      <c r="E1689"/>
      <c r="F1689"/>
      <c r="G1689"/>
      <c r="H1689"/>
      <c r="I1689"/>
      <c r="J1689"/>
      <c r="K1689"/>
      <c r="L1689"/>
      <c r="M1689"/>
    </row>
    <row r="1690" spans="1:13" ht="15">
      <c r="A1690"/>
      <c r="B1690"/>
      <c r="C1690"/>
      <c r="D1690"/>
      <c r="E1690"/>
      <c r="F1690"/>
      <c r="G1690"/>
      <c r="H1690"/>
      <c r="I1690"/>
      <c r="J1690"/>
      <c r="K1690"/>
      <c r="L1690"/>
      <c r="M1690"/>
    </row>
    <row r="1691" spans="1:13" ht="15">
      <c r="A1691"/>
      <c r="B1691"/>
      <c r="C1691"/>
      <c r="D1691"/>
      <c r="E1691"/>
      <c r="F1691"/>
      <c r="G1691"/>
      <c r="H1691"/>
      <c r="I1691"/>
      <c r="J1691"/>
      <c r="K1691"/>
      <c r="L1691"/>
      <c r="M1691"/>
    </row>
    <row r="1692" spans="1:13" ht="15">
      <c r="A1692"/>
      <c r="B1692"/>
      <c r="C1692"/>
      <c r="D1692"/>
      <c r="E1692"/>
      <c r="F1692"/>
      <c r="G1692"/>
      <c r="H1692"/>
      <c r="I1692"/>
      <c r="J1692"/>
      <c r="K1692"/>
      <c r="L1692"/>
      <c r="M1692"/>
    </row>
    <row r="1693" spans="1:13" ht="15">
      <c r="A1693"/>
      <c r="B1693"/>
      <c r="C1693"/>
      <c r="D1693"/>
      <c r="E1693"/>
      <c r="F1693"/>
      <c r="G1693"/>
      <c r="H1693"/>
      <c r="I1693"/>
      <c r="J1693"/>
      <c r="K1693"/>
      <c r="L1693"/>
      <c r="M1693"/>
    </row>
    <row r="1694" spans="1:13" ht="15">
      <c r="A1694"/>
      <c r="B1694"/>
      <c r="C1694"/>
      <c r="D1694"/>
      <c r="E1694"/>
      <c r="F1694"/>
      <c r="G1694"/>
      <c r="H1694"/>
      <c r="I1694"/>
      <c r="J1694"/>
      <c r="K1694"/>
      <c r="L1694"/>
      <c r="M1694"/>
    </row>
    <row r="1695" spans="1:13" ht="15">
      <c r="A1695"/>
      <c r="B1695"/>
      <c r="C1695"/>
      <c r="D1695"/>
      <c r="E1695"/>
      <c r="F1695"/>
      <c r="G1695"/>
      <c r="H1695"/>
      <c r="I1695"/>
      <c r="J1695"/>
      <c r="K1695"/>
      <c r="L1695"/>
      <c r="M1695"/>
    </row>
    <row r="1696" spans="1:13" ht="15">
      <c r="A1696"/>
      <c r="B1696"/>
      <c r="C1696"/>
      <c r="D1696"/>
      <c r="E1696"/>
      <c r="F1696"/>
      <c r="G1696"/>
      <c r="H1696"/>
      <c r="I1696"/>
      <c r="J1696"/>
      <c r="K1696"/>
      <c r="L1696"/>
      <c r="M1696"/>
    </row>
    <row r="1697" spans="1:13" ht="15">
      <c r="A1697"/>
      <c r="B1697"/>
      <c r="C1697"/>
      <c r="D1697"/>
      <c r="E1697"/>
      <c r="F1697"/>
      <c r="G1697"/>
      <c r="H1697"/>
      <c r="I1697"/>
      <c r="J1697"/>
      <c r="K1697"/>
      <c r="L1697"/>
      <c r="M1697"/>
    </row>
    <row r="1698" spans="1:13" ht="15">
      <c r="A1698"/>
      <c r="B1698"/>
      <c r="C1698"/>
      <c r="D1698"/>
      <c r="E1698"/>
      <c r="F1698"/>
      <c r="G1698"/>
      <c r="H1698"/>
      <c r="I1698"/>
      <c r="J1698"/>
      <c r="K1698"/>
      <c r="L1698"/>
      <c r="M1698"/>
    </row>
    <row r="1699" spans="1:13" ht="15">
      <c r="A1699"/>
      <c r="B1699"/>
      <c r="C1699"/>
      <c r="D1699"/>
      <c r="E1699"/>
      <c r="F1699"/>
      <c r="G1699"/>
      <c r="H1699"/>
      <c r="I1699"/>
      <c r="J1699"/>
      <c r="K1699"/>
      <c r="L1699"/>
      <c r="M1699"/>
    </row>
    <row r="1700" spans="1:13" ht="15">
      <c r="A1700"/>
      <c r="B1700"/>
      <c r="C1700"/>
      <c r="D1700"/>
      <c r="E1700"/>
      <c r="F1700"/>
      <c r="G1700"/>
      <c r="H1700"/>
      <c r="I1700"/>
      <c r="J1700"/>
      <c r="K1700"/>
      <c r="L1700"/>
      <c r="M1700"/>
    </row>
    <row r="1701" spans="1:13" ht="15">
      <c r="A1701"/>
      <c r="B1701"/>
      <c r="C1701"/>
      <c r="D1701"/>
      <c r="E1701"/>
      <c r="F1701"/>
      <c r="G1701"/>
      <c r="H1701"/>
      <c r="I1701"/>
      <c r="J1701"/>
      <c r="K1701"/>
      <c r="L1701"/>
      <c r="M1701"/>
    </row>
    <row r="1702" spans="1:13" ht="15">
      <c r="A1702"/>
      <c r="B1702"/>
      <c r="C1702"/>
      <c r="D1702"/>
      <c r="E1702"/>
      <c r="F1702"/>
      <c r="G1702"/>
      <c r="H1702"/>
      <c r="I1702"/>
      <c r="J1702"/>
      <c r="K1702"/>
      <c r="L1702"/>
      <c r="M1702"/>
    </row>
    <row r="1703" spans="1:13" ht="15">
      <c r="A1703"/>
      <c r="B1703"/>
      <c r="C1703"/>
      <c r="D1703"/>
      <c r="E1703"/>
      <c r="F1703"/>
      <c r="G1703"/>
      <c r="H1703"/>
      <c r="I1703"/>
      <c r="J1703"/>
      <c r="K1703"/>
      <c r="L1703"/>
      <c r="M1703"/>
    </row>
    <row r="1704" spans="1:13" ht="15">
      <c r="A1704"/>
      <c r="B1704"/>
      <c r="C1704"/>
      <c r="D1704"/>
      <c r="E1704"/>
      <c r="F1704"/>
      <c r="G1704"/>
      <c r="H1704"/>
      <c r="I1704"/>
      <c r="J1704"/>
      <c r="K1704"/>
      <c r="L1704"/>
      <c r="M1704"/>
    </row>
    <row r="1705" spans="1:13" ht="15">
      <c r="A1705"/>
      <c r="B1705"/>
      <c r="C1705"/>
      <c r="D1705"/>
      <c r="E1705"/>
      <c r="F1705"/>
      <c r="G1705"/>
      <c r="H1705"/>
      <c r="I1705"/>
      <c r="J1705"/>
      <c r="K1705"/>
      <c r="L1705"/>
      <c r="M1705"/>
    </row>
    <row r="1706" spans="1:13" ht="15">
      <c r="A1706"/>
      <c r="B1706"/>
      <c r="C1706"/>
      <c r="D1706"/>
      <c r="E1706"/>
      <c r="F1706"/>
      <c r="G1706"/>
      <c r="H1706"/>
      <c r="I1706"/>
      <c r="J1706"/>
      <c r="K1706"/>
      <c r="L1706"/>
      <c r="M1706"/>
    </row>
    <row r="1707" spans="1:13" ht="15">
      <c r="A1707"/>
      <c r="B1707"/>
      <c r="C1707"/>
      <c r="D1707"/>
      <c r="E1707"/>
      <c r="F1707"/>
      <c r="G1707"/>
      <c r="H1707"/>
      <c r="I1707"/>
      <c r="J1707"/>
      <c r="K1707"/>
      <c r="L1707"/>
      <c r="M1707"/>
    </row>
    <row r="1708" spans="1:13" ht="15">
      <c r="A1708"/>
      <c r="B1708"/>
      <c r="C1708"/>
      <c r="D1708"/>
      <c r="E1708"/>
      <c r="F1708"/>
      <c r="G1708"/>
      <c r="H1708"/>
      <c r="I1708"/>
      <c r="J1708"/>
      <c r="K1708"/>
      <c r="L1708"/>
      <c r="M1708"/>
    </row>
    <row r="1709" spans="1:13" ht="15">
      <c r="A1709"/>
      <c r="B1709"/>
      <c r="C1709"/>
      <c r="D1709"/>
      <c r="E1709"/>
      <c r="F1709"/>
      <c r="G1709"/>
      <c r="H1709"/>
      <c r="I1709"/>
      <c r="J1709"/>
      <c r="K1709"/>
      <c r="L1709"/>
      <c r="M1709"/>
    </row>
    <row r="1710" spans="1:13" ht="15">
      <c r="A1710"/>
      <c r="B1710"/>
      <c r="C1710"/>
      <c r="D1710"/>
      <c r="E1710"/>
      <c r="F1710"/>
      <c r="G1710"/>
      <c r="H1710"/>
      <c r="I1710"/>
      <c r="J1710"/>
      <c r="K1710"/>
      <c r="L1710"/>
      <c r="M1710"/>
    </row>
    <row r="1711" spans="1:13" ht="15">
      <c r="A1711"/>
      <c r="B1711"/>
      <c r="C1711"/>
      <c r="D1711"/>
      <c r="E1711"/>
      <c r="F1711"/>
      <c r="G1711"/>
      <c r="H1711"/>
      <c r="I1711"/>
      <c r="J1711"/>
      <c r="K1711"/>
      <c r="L1711"/>
      <c r="M1711"/>
    </row>
    <row r="1712" spans="1:13" ht="15">
      <c r="A1712"/>
      <c r="B1712"/>
      <c r="C1712"/>
      <c r="D1712"/>
      <c r="E1712"/>
      <c r="F1712"/>
      <c r="G1712"/>
      <c r="H1712"/>
      <c r="I1712"/>
      <c r="J1712"/>
      <c r="K1712"/>
      <c r="L1712"/>
      <c r="M1712"/>
    </row>
    <row r="1713" spans="1:13" ht="15">
      <c r="A1713"/>
      <c r="B1713"/>
      <c r="C1713"/>
      <c r="D1713"/>
      <c r="E1713"/>
      <c r="F1713"/>
      <c r="G1713"/>
      <c r="H1713"/>
      <c r="I1713"/>
      <c r="J1713"/>
      <c r="K1713"/>
      <c r="L1713"/>
      <c r="M1713"/>
    </row>
    <row r="1714" spans="1:13" ht="15">
      <c r="A1714"/>
      <c r="B1714"/>
      <c r="C1714"/>
      <c r="D1714"/>
      <c r="E1714"/>
      <c r="F1714"/>
      <c r="G1714"/>
      <c r="H1714"/>
      <c r="I1714"/>
      <c r="J1714"/>
      <c r="K1714"/>
      <c r="L1714"/>
      <c r="M1714"/>
    </row>
    <row r="1715" spans="1:13" ht="15">
      <c r="A1715"/>
      <c r="B1715"/>
      <c r="C1715"/>
      <c r="D1715"/>
      <c r="E1715"/>
      <c r="F1715"/>
      <c r="G1715"/>
      <c r="H1715"/>
      <c r="I1715"/>
      <c r="J1715"/>
      <c r="K1715"/>
      <c r="L1715"/>
      <c r="M1715"/>
    </row>
    <row r="1716" spans="1:13" ht="15">
      <c r="A1716"/>
      <c r="B1716"/>
      <c r="C1716"/>
      <c r="D1716"/>
      <c r="E1716"/>
      <c r="F1716"/>
      <c r="G1716"/>
      <c r="H1716"/>
      <c r="I1716"/>
      <c r="J1716"/>
      <c r="K1716"/>
      <c r="L1716"/>
      <c r="M1716"/>
    </row>
    <row r="1717" spans="1:13" ht="15">
      <c r="A1717"/>
      <c r="B1717"/>
      <c r="C1717"/>
      <c r="D1717"/>
      <c r="E1717"/>
      <c r="F1717"/>
      <c r="G1717"/>
      <c r="H1717"/>
      <c r="I1717"/>
      <c r="J1717"/>
      <c r="K1717"/>
      <c r="L1717"/>
      <c r="M1717"/>
    </row>
    <row r="1718" spans="1:13" ht="15">
      <c r="A1718"/>
      <c r="B1718"/>
      <c r="C1718"/>
      <c r="D1718"/>
      <c r="E1718"/>
      <c r="F1718"/>
      <c r="G1718"/>
      <c r="H1718"/>
      <c r="I1718"/>
      <c r="J1718"/>
      <c r="K1718"/>
      <c r="L1718"/>
      <c r="M1718"/>
    </row>
    <row r="1719" spans="1:13" ht="15">
      <c r="A1719"/>
      <c r="B1719"/>
      <c r="C1719"/>
      <c r="D1719"/>
      <c r="E1719"/>
      <c r="F1719"/>
      <c r="G1719"/>
      <c r="H1719"/>
      <c r="I1719"/>
      <c r="J1719"/>
      <c r="K1719"/>
      <c r="L1719"/>
      <c r="M1719"/>
    </row>
    <row r="1720" spans="1:13" ht="15">
      <c r="A1720"/>
      <c r="B1720"/>
      <c r="C1720"/>
      <c r="D1720"/>
      <c r="E1720"/>
      <c r="F1720"/>
      <c r="G1720"/>
      <c r="H1720"/>
      <c r="I1720"/>
      <c r="J1720"/>
      <c r="K1720"/>
      <c r="L1720"/>
      <c r="M1720"/>
    </row>
    <row r="1721" spans="1:13" ht="15">
      <c r="A1721"/>
      <c r="B1721"/>
      <c r="C1721"/>
      <c r="D1721"/>
      <c r="E1721"/>
      <c r="F1721"/>
      <c r="G1721"/>
      <c r="H1721"/>
      <c r="I1721"/>
      <c r="J1721"/>
      <c r="K1721"/>
      <c r="L1721"/>
      <c r="M1721"/>
    </row>
    <row r="1722" spans="1:13" ht="15">
      <c r="A1722"/>
      <c r="B1722"/>
      <c r="C1722"/>
      <c r="D1722"/>
      <c r="E1722"/>
      <c r="F1722"/>
      <c r="G1722"/>
      <c r="H1722"/>
      <c r="I1722"/>
      <c r="J1722"/>
      <c r="K1722"/>
      <c r="L1722"/>
      <c r="M1722"/>
    </row>
    <row r="1723" spans="1:13" ht="15">
      <c r="A1723"/>
      <c r="B1723"/>
      <c r="C1723"/>
      <c r="D1723"/>
      <c r="E1723"/>
      <c r="F1723"/>
      <c r="G1723"/>
      <c r="H1723"/>
      <c r="I1723"/>
      <c r="J1723"/>
      <c r="K1723"/>
      <c r="L1723"/>
      <c r="M1723"/>
    </row>
    <row r="1724" spans="1:13" ht="15">
      <c r="A1724"/>
      <c r="B1724"/>
      <c r="C1724"/>
      <c r="D1724"/>
      <c r="E1724"/>
      <c r="F1724"/>
      <c r="G1724"/>
      <c r="H1724"/>
      <c r="I1724"/>
      <c r="J1724"/>
      <c r="K1724"/>
      <c r="L1724"/>
      <c r="M1724"/>
    </row>
    <row r="1725" spans="1:13" ht="15">
      <c r="A1725"/>
      <c r="B1725"/>
      <c r="C1725"/>
      <c r="D1725"/>
      <c r="E1725"/>
      <c r="F1725"/>
      <c r="G1725"/>
      <c r="H1725"/>
      <c r="I1725"/>
      <c r="J1725"/>
      <c r="K1725"/>
      <c r="L1725"/>
      <c r="M1725"/>
    </row>
    <row r="1726" spans="1:13" ht="15">
      <c r="A1726"/>
      <c r="B1726"/>
      <c r="C1726"/>
      <c r="D1726"/>
      <c r="E1726"/>
      <c r="F1726"/>
      <c r="G1726"/>
      <c r="H1726"/>
      <c r="I1726"/>
      <c r="J1726"/>
      <c r="K1726"/>
      <c r="L1726"/>
      <c r="M1726"/>
    </row>
    <row r="1727" spans="1:13" ht="15">
      <c r="A1727"/>
      <c r="B1727"/>
      <c r="C1727"/>
      <c r="D1727"/>
      <c r="E1727"/>
      <c r="F1727"/>
      <c r="G1727"/>
      <c r="H1727"/>
      <c r="I1727"/>
      <c r="J1727"/>
      <c r="K1727"/>
      <c r="L1727"/>
      <c r="M1727"/>
    </row>
    <row r="1728" spans="1:13" ht="15">
      <c r="A1728"/>
      <c r="B1728"/>
      <c r="C1728"/>
      <c r="D1728"/>
      <c r="E1728"/>
      <c r="F1728"/>
      <c r="G1728"/>
      <c r="H1728"/>
      <c r="I1728"/>
      <c r="J1728"/>
      <c r="K1728"/>
      <c r="L1728"/>
      <c r="M1728"/>
    </row>
    <row r="1729" spans="1:13" ht="15">
      <c r="A1729"/>
      <c r="B1729"/>
      <c r="C1729"/>
      <c r="D1729"/>
      <c r="E1729"/>
      <c r="F1729"/>
      <c r="G1729"/>
      <c r="H1729"/>
      <c r="I1729"/>
      <c r="J1729"/>
      <c r="K1729"/>
      <c r="L1729"/>
      <c r="M1729"/>
    </row>
    <row r="1730" spans="1:13" ht="15">
      <c r="A1730"/>
      <c r="B1730"/>
      <c r="C1730"/>
      <c r="D1730"/>
      <c r="E1730"/>
      <c r="F1730"/>
      <c r="G1730"/>
      <c r="H1730"/>
      <c r="I1730"/>
      <c r="J1730"/>
      <c r="K1730"/>
      <c r="L1730"/>
      <c r="M1730"/>
    </row>
    <row r="1731" spans="1:13" ht="15">
      <c r="A1731"/>
      <c r="B1731"/>
      <c r="C1731"/>
      <c r="D1731"/>
      <c r="E1731"/>
      <c r="F1731"/>
      <c r="G1731"/>
      <c r="H1731"/>
      <c r="I1731"/>
      <c r="J1731"/>
      <c r="K1731"/>
      <c r="L1731"/>
      <c r="M1731"/>
    </row>
    <row r="1732" spans="1:13" ht="15">
      <c r="A1732"/>
      <c r="B1732"/>
      <c r="C1732"/>
      <c r="D1732"/>
      <c r="E1732"/>
      <c r="F1732"/>
      <c r="G1732"/>
      <c r="H1732"/>
      <c r="I1732"/>
      <c r="J1732"/>
      <c r="K1732"/>
      <c r="L1732"/>
      <c r="M1732"/>
    </row>
    <row r="1733" spans="1:13" ht="15">
      <c r="A1733"/>
      <c r="B1733"/>
      <c r="C1733"/>
      <c r="D1733"/>
      <c r="E1733"/>
      <c r="F1733"/>
      <c r="G1733"/>
      <c r="H1733"/>
      <c r="I1733"/>
      <c r="J1733"/>
      <c r="K1733"/>
      <c r="L1733"/>
      <c r="M1733"/>
    </row>
    <row r="1734" spans="1:13" ht="15">
      <c r="A1734"/>
      <c r="B1734"/>
      <c r="C1734"/>
      <c r="D1734"/>
      <c r="E1734"/>
      <c r="F1734"/>
      <c r="G1734"/>
      <c r="H1734"/>
      <c r="I1734"/>
      <c r="J1734"/>
      <c r="K1734"/>
      <c r="L1734"/>
      <c r="M1734"/>
    </row>
    <row r="1735" spans="1:13" ht="15">
      <c r="A1735"/>
      <c r="B1735"/>
      <c r="C1735"/>
      <c r="D1735"/>
      <c r="E1735"/>
      <c r="F1735"/>
      <c r="G1735"/>
      <c r="H1735"/>
      <c r="I1735"/>
      <c r="J1735"/>
      <c r="K1735"/>
      <c r="L1735"/>
      <c r="M1735"/>
    </row>
    <row r="1736" spans="1:13" ht="15">
      <c r="A1736"/>
      <c r="B1736"/>
      <c r="C1736"/>
      <c r="D1736"/>
      <c r="E1736"/>
      <c r="F1736"/>
      <c r="G1736"/>
      <c r="H1736"/>
      <c r="I1736"/>
      <c r="J1736"/>
      <c r="K1736"/>
      <c r="L1736"/>
      <c r="M1736"/>
    </row>
    <row r="1737" spans="1:13" ht="15">
      <c r="A1737"/>
      <c r="B1737"/>
      <c r="C1737"/>
      <c r="D1737"/>
      <c r="E1737"/>
      <c r="F1737"/>
      <c r="G1737"/>
      <c r="H1737"/>
      <c r="I1737"/>
      <c r="J1737"/>
      <c r="K1737"/>
      <c r="L1737"/>
      <c r="M1737"/>
    </row>
    <row r="1738" spans="1:13" ht="15">
      <c r="A1738"/>
      <c r="B1738"/>
      <c r="C1738"/>
      <c r="D1738"/>
      <c r="E1738"/>
      <c r="F1738"/>
      <c r="G1738"/>
      <c r="H1738"/>
      <c r="I1738"/>
      <c r="J1738"/>
      <c r="K1738"/>
      <c r="L1738"/>
      <c r="M1738"/>
    </row>
    <row r="1739" spans="1:13" ht="15">
      <c r="A1739"/>
      <c r="B1739"/>
      <c r="C1739"/>
      <c r="D1739"/>
      <c r="E1739"/>
      <c r="F1739"/>
      <c r="G1739"/>
      <c r="H1739"/>
      <c r="I1739"/>
      <c r="J1739"/>
      <c r="K1739"/>
      <c r="L1739"/>
      <c r="M1739"/>
    </row>
    <row r="1740" spans="1:13" ht="15">
      <c r="A1740"/>
      <c r="B1740"/>
      <c r="C1740"/>
      <c r="D1740"/>
      <c r="E1740"/>
      <c r="F1740"/>
      <c r="G1740"/>
      <c r="H1740"/>
      <c r="I1740"/>
      <c r="J1740"/>
      <c r="K1740"/>
      <c r="L1740"/>
      <c r="M1740"/>
    </row>
    <row r="1741" spans="1:13" ht="15">
      <c r="A1741"/>
      <c r="B1741"/>
      <c r="C1741"/>
      <c r="D1741"/>
      <c r="E1741"/>
      <c r="F1741"/>
      <c r="G1741"/>
      <c r="H1741"/>
      <c r="I1741"/>
      <c r="J1741"/>
      <c r="K1741"/>
      <c r="L1741"/>
      <c r="M1741"/>
    </row>
    <row r="1742" spans="1:13" ht="15">
      <c r="A1742"/>
      <c r="B1742"/>
      <c r="C1742"/>
      <c r="D1742"/>
      <c r="E1742"/>
      <c r="F1742"/>
      <c r="G1742"/>
      <c r="H1742"/>
      <c r="I1742"/>
      <c r="J1742"/>
      <c r="K1742"/>
      <c r="L1742"/>
      <c r="M1742"/>
    </row>
    <row r="1743" spans="1:13" ht="15">
      <c r="A1743"/>
      <c r="B1743"/>
      <c r="C1743"/>
      <c r="D1743"/>
      <c r="E1743"/>
      <c r="F1743"/>
      <c r="G1743"/>
      <c r="H1743"/>
      <c r="I1743"/>
      <c r="J1743"/>
      <c r="K1743"/>
      <c r="L1743"/>
      <c r="M1743"/>
    </row>
    <row r="1744" spans="1:13" ht="15">
      <c r="A1744"/>
      <c r="B1744"/>
      <c r="C1744"/>
      <c r="D1744"/>
      <c r="E1744"/>
      <c r="F1744"/>
      <c r="G1744"/>
      <c r="H1744"/>
      <c r="I1744"/>
      <c r="J1744"/>
      <c r="K1744"/>
      <c r="L1744"/>
      <c r="M1744"/>
    </row>
    <row r="1745" spans="1:13" ht="15">
      <c r="A1745"/>
      <c r="B1745"/>
      <c r="C1745"/>
      <c r="D1745"/>
      <c r="E1745"/>
      <c r="F1745"/>
      <c r="G1745"/>
      <c r="H1745"/>
      <c r="I1745"/>
      <c r="J1745"/>
      <c r="K1745"/>
      <c r="L1745"/>
      <c r="M1745"/>
    </row>
    <row r="1746" spans="1:13" ht="15">
      <c r="A1746"/>
      <c r="B1746"/>
      <c r="C1746"/>
      <c r="D1746"/>
      <c r="E1746"/>
      <c r="F1746"/>
      <c r="G1746"/>
      <c r="H1746"/>
      <c r="I1746"/>
      <c r="J1746"/>
      <c r="K1746"/>
      <c r="L1746"/>
      <c r="M1746"/>
    </row>
    <row r="1747" spans="1:13" ht="15">
      <c r="A1747"/>
      <c r="B1747"/>
      <c r="C1747"/>
      <c r="D1747"/>
      <c r="E1747"/>
      <c r="F1747"/>
      <c r="G1747"/>
      <c r="H1747"/>
      <c r="I1747"/>
      <c r="J1747"/>
      <c r="K1747"/>
      <c r="L1747"/>
      <c r="M1747"/>
    </row>
    <row r="1748" spans="1:13" ht="15">
      <c r="A1748"/>
      <c r="B1748"/>
      <c r="C1748"/>
      <c r="D1748"/>
      <c r="E1748"/>
      <c r="F1748"/>
      <c r="G1748"/>
      <c r="H1748"/>
      <c r="I1748"/>
      <c r="J1748"/>
      <c r="K1748"/>
      <c r="L1748"/>
      <c r="M1748"/>
    </row>
    <row r="1749" spans="1:13" ht="15">
      <c r="A1749"/>
      <c r="B1749"/>
      <c r="C1749"/>
      <c r="D1749"/>
      <c r="E1749"/>
      <c r="F1749"/>
      <c r="G1749"/>
      <c r="H1749"/>
      <c r="I1749"/>
      <c r="J1749"/>
      <c r="K1749"/>
      <c r="L1749"/>
      <c r="M1749"/>
    </row>
    <row r="1750" spans="1:13" ht="15">
      <c r="A1750"/>
      <c r="B1750"/>
      <c r="C1750"/>
      <c r="D1750"/>
      <c r="E1750"/>
      <c r="F1750"/>
      <c r="G1750"/>
      <c r="H1750"/>
      <c r="I1750"/>
      <c r="J1750"/>
      <c r="K1750"/>
      <c r="L1750"/>
      <c r="M1750"/>
    </row>
    <row r="1751" spans="1:13" ht="15">
      <c r="A1751"/>
      <c r="B1751"/>
      <c r="C1751"/>
      <c r="D1751"/>
      <c r="E1751"/>
      <c r="F1751"/>
      <c r="G1751"/>
      <c r="H1751"/>
      <c r="I1751"/>
      <c r="J1751"/>
      <c r="K1751"/>
      <c r="L1751"/>
      <c r="M1751"/>
    </row>
    <row r="1752" spans="1:13" ht="15">
      <c r="A1752"/>
      <c r="B1752"/>
      <c r="C1752"/>
      <c r="D1752"/>
      <c r="E1752"/>
      <c r="F1752"/>
      <c r="G1752"/>
      <c r="H1752"/>
      <c r="I1752"/>
      <c r="J1752"/>
      <c r="K1752"/>
      <c r="L1752"/>
      <c r="M1752"/>
    </row>
    <row r="1753" spans="1:13" ht="15">
      <c r="A1753"/>
      <c r="B1753"/>
      <c r="C1753"/>
      <c r="D1753"/>
      <c r="E1753"/>
      <c r="F1753"/>
      <c r="G1753"/>
      <c r="H1753"/>
      <c r="I1753"/>
      <c r="J1753"/>
      <c r="K1753"/>
      <c r="L1753"/>
      <c r="M1753"/>
    </row>
    <row r="1754" spans="1:13" ht="15">
      <c r="A1754"/>
      <c r="B1754"/>
      <c r="C1754"/>
      <c r="D1754"/>
      <c r="E1754"/>
      <c r="F1754"/>
      <c r="G1754"/>
      <c r="H1754"/>
      <c r="I1754"/>
      <c r="J1754"/>
      <c r="K1754"/>
      <c r="L1754"/>
      <c r="M1754"/>
    </row>
    <row r="1755" spans="1:13" ht="15">
      <c r="A1755"/>
      <c r="B1755"/>
      <c r="C1755"/>
      <c r="D1755"/>
      <c r="E1755"/>
      <c r="F1755"/>
      <c r="G1755"/>
      <c r="H1755"/>
      <c r="I1755"/>
      <c r="J1755"/>
      <c r="K1755"/>
      <c r="L1755"/>
      <c r="M1755"/>
    </row>
    <row r="1756" spans="1:13" ht="15">
      <c r="A1756"/>
      <c r="B1756"/>
      <c r="C1756"/>
      <c r="D1756"/>
      <c r="E1756"/>
      <c r="F1756"/>
      <c r="G1756"/>
      <c r="H1756"/>
      <c r="I1756"/>
      <c r="J1756"/>
      <c r="K1756"/>
      <c r="L1756"/>
      <c r="M1756"/>
    </row>
    <row r="1757" spans="1:13" ht="15">
      <c r="A1757"/>
      <c r="B1757"/>
      <c r="C1757"/>
      <c r="D1757"/>
      <c r="E1757"/>
      <c r="F1757"/>
      <c r="G1757"/>
      <c r="H1757"/>
      <c r="I1757"/>
      <c r="J1757"/>
      <c r="K1757"/>
      <c r="L1757"/>
      <c r="M1757"/>
    </row>
    <row r="1758" spans="1:13" ht="15">
      <c r="A1758"/>
      <c r="B1758"/>
      <c r="C1758"/>
      <c r="D1758"/>
      <c r="E1758"/>
      <c r="F1758"/>
      <c r="G1758"/>
      <c r="H1758"/>
      <c r="I1758"/>
      <c r="J1758"/>
      <c r="K1758"/>
      <c r="L1758"/>
      <c r="M1758"/>
    </row>
    <row r="1759" spans="1:13" ht="15">
      <c r="A1759"/>
      <c r="B1759"/>
      <c r="C1759"/>
      <c r="D1759"/>
      <c r="E1759"/>
      <c r="F1759"/>
      <c r="G1759"/>
      <c r="H1759"/>
      <c r="I1759"/>
      <c r="J1759"/>
      <c r="K1759"/>
      <c r="L1759"/>
      <c r="M1759"/>
    </row>
    <row r="1760" spans="1:13" ht="15">
      <c r="A1760"/>
      <c r="B1760"/>
      <c r="C1760"/>
      <c r="D1760"/>
      <c r="E1760"/>
      <c r="F1760"/>
      <c r="G1760"/>
      <c r="H1760"/>
      <c r="I1760"/>
      <c r="J1760"/>
      <c r="K1760"/>
      <c r="L1760"/>
      <c r="M1760"/>
    </row>
    <row r="1761" spans="1:13" ht="15">
      <c r="A1761"/>
      <c r="B1761"/>
      <c r="C1761"/>
      <c r="D1761"/>
      <c r="E1761"/>
      <c r="F1761"/>
      <c r="G1761"/>
      <c r="H1761"/>
      <c r="I1761"/>
      <c r="J1761"/>
      <c r="K1761"/>
      <c r="L1761"/>
      <c r="M1761"/>
    </row>
    <row r="1762" spans="1:13" ht="15">
      <c r="A1762"/>
      <c r="B1762"/>
      <c r="C1762"/>
      <c r="D1762"/>
      <c r="E1762"/>
      <c r="F1762"/>
      <c r="G1762"/>
      <c r="H1762"/>
      <c r="I1762"/>
      <c r="J1762"/>
      <c r="K1762"/>
      <c r="L1762"/>
      <c r="M1762"/>
    </row>
    <row r="1763" spans="1:13" ht="15">
      <c r="A1763"/>
      <c r="B1763"/>
      <c r="C1763"/>
      <c r="D1763"/>
      <c r="E1763"/>
      <c r="F1763"/>
      <c r="G1763"/>
      <c r="H1763"/>
      <c r="I1763"/>
      <c r="J1763"/>
      <c r="K1763"/>
      <c r="L1763"/>
      <c r="M1763"/>
    </row>
    <row r="1764" spans="1:13" ht="15">
      <c r="A1764"/>
      <c r="B1764"/>
      <c r="C1764"/>
      <c r="D1764"/>
      <c r="E1764"/>
      <c r="F1764"/>
      <c r="G1764"/>
      <c r="H1764"/>
      <c r="I1764"/>
      <c r="J1764"/>
      <c r="K1764"/>
      <c r="L1764"/>
      <c r="M1764"/>
    </row>
    <row r="1765" spans="1:13" ht="15">
      <c r="A1765"/>
      <c r="B1765"/>
      <c r="C1765"/>
      <c r="D1765"/>
      <c r="E1765"/>
      <c r="F1765"/>
      <c r="G1765"/>
      <c r="H1765"/>
      <c r="I1765"/>
      <c r="J1765"/>
      <c r="K1765"/>
      <c r="L1765"/>
      <c r="M1765"/>
    </row>
    <row r="1766" spans="1:13" ht="15">
      <c r="A1766"/>
      <c r="B1766"/>
      <c r="C1766"/>
      <c r="D1766"/>
      <c r="E1766"/>
      <c r="F1766"/>
      <c r="G1766"/>
      <c r="H1766"/>
      <c r="I1766"/>
      <c r="J1766"/>
      <c r="K1766"/>
      <c r="L1766"/>
      <c r="M1766"/>
    </row>
    <row r="1767" spans="1:13" ht="15">
      <c r="A1767"/>
      <c r="B1767"/>
      <c r="C1767"/>
      <c r="D1767"/>
      <c r="E1767"/>
      <c r="F1767"/>
      <c r="G1767"/>
      <c r="H1767"/>
      <c r="I1767"/>
      <c r="J1767"/>
      <c r="K1767"/>
      <c r="L1767"/>
      <c r="M1767"/>
    </row>
    <row r="1768" spans="1:13" ht="15">
      <c r="A1768"/>
      <c r="B1768"/>
      <c r="C1768"/>
      <c r="D1768"/>
      <c r="E1768"/>
      <c r="F1768"/>
      <c r="G1768"/>
      <c r="H1768"/>
      <c r="I1768"/>
      <c r="J1768"/>
      <c r="K1768"/>
      <c r="L1768"/>
      <c r="M1768"/>
    </row>
    <row r="1769" spans="1:13" ht="15">
      <c r="A1769"/>
      <c r="B1769"/>
      <c r="C1769"/>
      <c r="D1769"/>
      <c r="E1769"/>
      <c r="F1769"/>
      <c r="G1769"/>
      <c r="H1769"/>
      <c r="I1769"/>
      <c r="J1769"/>
      <c r="K1769"/>
      <c r="L1769"/>
      <c r="M1769"/>
    </row>
    <row r="1770" spans="1:13" ht="15">
      <c r="A1770"/>
      <c r="B1770"/>
      <c r="C1770"/>
      <c r="D1770"/>
      <c r="E1770"/>
      <c r="F1770"/>
      <c r="G1770"/>
      <c r="H1770"/>
      <c r="I1770"/>
      <c r="J1770"/>
      <c r="K1770"/>
      <c r="L1770"/>
      <c r="M1770"/>
    </row>
    <row r="1771" spans="1:13" ht="15">
      <c r="A1771"/>
      <c r="B1771"/>
      <c r="C1771"/>
      <c r="D1771"/>
      <c r="E1771"/>
      <c r="F1771"/>
      <c r="G1771"/>
      <c r="H1771"/>
      <c r="I1771"/>
      <c r="J1771"/>
      <c r="K1771"/>
      <c r="L1771"/>
      <c r="M1771"/>
    </row>
    <row r="1772" spans="1:13" ht="15">
      <c r="A1772"/>
      <c r="B1772"/>
      <c r="C1772"/>
      <c r="D1772"/>
      <c r="E1772"/>
      <c r="F1772"/>
      <c r="G1772"/>
      <c r="H1772"/>
      <c r="I1772"/>
      <c r="J1772"/>
      <c r="K1772"/>
      <c r="L1772"/>
      <c r="M1772"/>
    </row>
    <row r="1773" spans="1:13" ht="15">
      <c r="A1773"/>
      <c r="B1773"/>
      <c r="C1773"/>
      <c r="D1773"/>
      <c r="E1773"/>
      <c r="F1773"/>
      <c r="G1773"/>
      <c r="H1773"/>
      <c r="I1773"/>
      <c r="J1773"/>
      <c r="K1773"/>
      <c r="L1773"/>
      <c r="M1773"/>
    </row>
    <row r="1774" spans="1:13" ht="15">
      <c r="A1774"/>
      <c r="B1774"/>
      <c r="C1774"/>
      <c r="D1774"/>
      <c r="E1774"/>
      <c r="F1774"/>
      <c r="G1774"/>
      <c r="H1774"/>
      <c r="I1774"/>
      <c r="J1774"/>
      <c r="K1774"/>
      <c r="L1774"/>
      <c r="M1774"/>
    </row>
    <row r="1775" spans="1:13" ht="15">
      <c r="A1775"/>
      <c r="B1775"/>
      <c r="C1775"/>
      <c r="D1775"/>
      <c r="E1775"/>
      <c r="F1775"/>
      <c r="G1775"/>
      <c r="H1775"/>
      <c r="I1775"/>
      <c r="J1775"/>
      <c r="K1775"/>
      <c r="L1775"/>
      <c r="M1775"/>
    </row>
    <row r="1776" spans="1:13" ht="15">
      <c r="A1776"/>
      <c r="B1776"/>
      <c r="C1776"/>
      <c r="D1776"/>
      <c r="E1776"/>
      <c r="F1776"/>
      <c r="G1776"/>
      <c r="H1776"/>
      <c r="I1776"/>
      <c r="J1776"/>
      <c r="K1776"/>
      <c r="L1776"/>
      <c r="M1776"/>
    </row>
    <row r="1777" spans="1:13" ht="15">
      <c r="A1777"/>
      <c r="B1777"/>
      <c r="C1777"/>
      <c r="D1777"/>
      <c r="E1777"/>
      <c r="F1777"/>
      <c r="G1777"/>
      <c r="H1777"/>
      <c r="I1777"/>
      <c r="J1777"/>
      <c r="K1777"/>
      <c r="L1777"/>
      <c r="M1777"/>
    </row>
    <row r="1778" spans="1:13" ht="15">
      <c r="A1778"/>
      <c r="B1778"/>
      <c r="C1778"/>
      <c r="D1778"/>
      <c r="E1778"/>
      <c r="F1778"/>
      <c r="G1778"/>
      <c r="H1778"/>
      <c r="I1778"/>
      <c r="J1778"/>
      <c r="K1778"/>
      <c r="L1778"/>
      <c r="M1778"/>
    </row>
    <row r="1779" spans="1:13" ht="15">
      <c r="A1779"/>
      <c r="B1779"/>
      <c r="C1779"/>
      <c r="D1779"/>
      <c r="E1779"/>
      <c r="F1779"/>
      <c r="G1779"/>
      <c r="H1779"/>
      <c r="I1779"/>
      <c r="J1779"/>
      <c r="K1779"/>
      <c r="L1779"/>
      <c r="M1779"/>
    </row>
    <row r="1780" spans="1:13" ht="15">
      <c r="A1780"/>
      <c r="B1780"/>
      <c r="C1780"/>
      <c r="D1780"/>
      <c r="E1780"/>
      <c r="F1780"/>
      <c r="G1780"/>
      <c r="H1780"/>
      <c r="I1780"/>
      <c r="J1780"/>
      <c r="K1780"/>
      <c r="L1780"/>
      <c r="M1780"/>
    </row>
    <row r="1781" spans="1:13" ht="15">
      <c r="A1781"/>
      <c r="B1781"/>
      <c r="C1781"/>
      <c r="D1781"/>
      <c r="E1781"/>
      <c r="F1781"/>
      <c r="G1781"/>
      <c r="H1781"/>
      <c r="I1781"/>
      <c r="J1781"/>
      <c r="K1781"/>
      <c r="L1781"/>
      <c r="M1781"/>
    </row>
    <row r="1782" spans="1:13" ht="15">
      <c r="A1782"/>
      <c r="B1782"/>
      <c r="C1782"/>
      <c r="D1782"/>
      <c r="E1782"/>
      <c r="F1782"/>
      <c r="G1782"/>
      <c r="H1782"/>
      <c r="I1782"/>
      <c r="J1782"/>
      <c r="K1782"/>
      <c r="L1782"/>
      <c r="M1782"/>
    </row>
    <row r="1783" spans="1:13" ht="15">
      <c r="A1783"/>
      <c r="B1783"/>
      <c r="C1783"/>
      <c r="D1783"/>
      <c r="E1783"/>
      <c r="F1783"/>
      <c r="G1783"/>
      <c r="H1783"/>
      <c r="I1783"/>
      <c r="J1783"/>
      <c r="K1783"/>
      <c r="L1783"/>
      <c r="M1783"/>
    </row>
    <row r="1784" spans="1:13" ht="15">
      <c r="A1784"/>
      <c r="B1784"/>
      <c r="C1784"/>
      <c r="D1784"/>
      <c r="E1784"/>
      <c r="F1784"/>
      <c r="G1784"/>
      <c r="H1784"/>
      <c r="I1784"/>
      <c r="J1784"/>
      <c r="K1784"/>
      <c r="L1784"/>
      <c r="M1784"/>
    </row>
    <row r="1785" spans="1:13" ht="15">
      <c r="A1785"/>
      <c r="B1785"/>
      <c r="C1785"/>
      <c r="D1785"/>
      <c r="E1785"/>
      <c r="F1785"/>
      <c r="G1785"/>
      <c r="H1785"/>
      <c r="I1785"/>
      <c r="J1785"/>
      <c r="K1785"/>
      <c r="L1785"/>
      <c r="M1785"/>
    </row>
    <row r="1786" spans="1:13" ht="15">
      <c r="A1786"/>
      <c r="B1786"/>
      <c r="C1786"/>
      <c r="D1786"/>
      <c r="E1786"/>
      <c r="F1786"/>
      <c r="G1786"/>
      <c r="H1786"/>
      <c r="I1786"/>
      <c r="J1786"/>
      <c r="K1786"/>
      <c r="L1786"/>
      <c r="M1786"/>
    </row>
    <row r="1787" spans="1:13" ht="15">
      <c r="A1787"/>
      <c r="B1787"/>
      <c r="C1787"/>
      <c r="D1787"/>
      <c r="E1787"/>
      <c r="F1787"/>
      <c r="G1787"/>
      <c r="H1787"/>
      <c r="I1787"/>
      <c r="J1787"/>
      <c r="K1787"/>
      <c r="L1787"/>
      <c r="M1787"/>
    </row>
    <row r="1788" spans="1:13" ht="15">
      <c r="A1788"/>
      <c r="B1788"/>
      <c r="C1788"/>
      <c r="D1788"/>
      <c r="E1788"/>
      <c r="F1788"/>
      <c r="G1788"/>
      <c r="H1788"/>
      <c r="I1788"/>
      <c r="J1788"/>
      <c r="K1788"/>
      <c r="L1788"/>
      <c r="M1788"/>
    </row>
    <row r="1789" spans="1:13" ht="15">
      <c r="A1789"/>
      <c r="B1789"/>
      <c r="C1789"/>
      <c r="D1789"/>
      <c r="E1789"/>
      <c r="F1789"/>
      <c r="G1789"/>
      <c r="H1789"/>
      <c r="I1789"/>
      <c r="J1789"/>
      <c r="K1789"/>
      <c r="L1789"/>
      <c r="M1789"/>
    </row>
    <row r="1790" spans="1:13" ht="15">
      <c r="A1790"/>
      <c r="B1790"/>
      <c r="C1790"/>
      <c r="D1790"/>
      <c r="E1790"/>
      <c r="F1790"/>
      <c r="G1790"/>
      <c r="H1790"/>
      <c r="I1790"/>
      <c r="J1790"/>
      <c r="K1790"/>
      <c r="L1790"/>
      <c r="M1790"/>
    </row>
    <row r="1791" spans="1:13" ht="15">
      <c r="A1791"/>
      <c r="B1791"/>
      <c r="C1791"/>
      <c r="D1791"/>
      <c r="E1791"/>
      <c r="F1791"/>
      <c r="G1791"/>
      <c r="H1791"/>
      <c r="I1791"/>
      <c r="J1791"/>
      <c r="K1791"/>
      <c r="L1791"/>
      <c r="M1791"/>
    </row>
    <row r="1792" spans="1:13" ht="15">
      <c r="A1792"/>
      <c r="B1792"/>
      <c r="C1792"/>
      <c r="D1792"/>
      <c r="E1792"/>
      <c r="F1792"/>
      <c r="G1792"/>
      <c r="H1792"/>
      <c r="I1792"/>
      <c r="J1792"/>
      <c r="K1792"/>
      <c r="L1792"/>
      <c r="M1792"/>
    </row>
    <row r="1793" spans="1:13" ht="15">
      <c r="A1793"/>
      <c r="B1793"/>
      <c r="C1793"/>
      <c r="D1793"/>
      <c r="E1793"/>
      <c r="F1793"/>
      <c r="G1793"/>
      <c r="H1793"/>
      <c r="I1793"/>
      <c r="J1793"/>
      <c r="K1793"/>
      <c r="L1793"/>
      <c r="M1793"/>
    </row>
    <row r="1794" spans="1:13" ht="15">
      <c r="A1794"/>
      <c r="B1794"/>
      <c r="C1794"/>
      <c r="D1794"/>
      <c r="E1794"/>
      <c r="F1794"/>
      <c r="G1794"/>
      <c r="H1794"/>
      <c r="I1794"/>
      <c r="J1794"/>
      <c r="K1794"/>
      <c r="L1794"/>
      <c r="M1794"/>
    </row>
    <row r="1795" spans="1:13" ht="15">
      <c r="A1795"/>
      <c r="B1795"/>
      <c r="C1795"/>
      <c r="D1795"/>
      <c r="E1795"/>
      <c r="F1795"/>
      <c r="G1795"/>
      <c r="H1795"/>
      <c r="I1795"/>
      <c r="J1795"/>
      <c r="K1795"/>
      <c r="L1795"/>
      <c r="M1795"/>
    </row>
    <row r="1796" spans="1:13" ht="15">
      <c r="A1796"/>
      <c r="B1796"/>
      <c r="C1796"/>
      <c r="D1796"/>
      <c r="E1796"/>
      <c r="F1796"/>
      <c r="G1796"/>
      <c r="H1796"/>
      <c r="I1796"/>
      <c r="J1796"/>
      <c r="K1796"/>
      <c r="L1796"/>
      <c r="M1796"/>
    </row>
    <row r="1797" spans="1:13" ht="15">
      <c r="A1797"/>
      <c r="B1797"/>
      <c r="C1797"/>
      <c r="D1797"/>
      <c r="E1797"/>
      <c r="F1797"/>
      <c r="G1797"/>
      <c r="H1797"/>
      <c r="I1797"/>
      <c r="J1797"/>
      <c r="K1797"/>
      <c r="L1797"/>
      <c r="M1797"/>
    </row>
    <row r="1798" spans="1:13" ht="15">
      <c r="A1798"/>
      <c r="B1798"/>
      <c r="C1798"/>
      <c r="D1798"/>
      <c r="E1798"/>
      <c r="F1798"/>
      <c r="G1798"/>
      <c r="H1798"/>
      <c r="I1798"/>
      <c r="J1798"/>
      <c r="K1798"/>
      <c r="L1798"/>
      <c r="M1798"/>
    </row>
    <row r="1799" spans="1:13" ht="15">
      <c r="A1799"/>
      <c r="B1799"/>
      <c r="C1799"/>
      <c r="D1799"/>
      <c r="E1799"/>
      <c r="F1799"/>
      <c r="G1799"/>
      <c r="H1799"/>
      <c r="I1799"/>
      <c r="J1799"/>
      <c r="K1799"/>
      <c r="L1799"/>
      <c r="M1799"/>
    </row>
    <row r="1800" spans="1:13" ht="15">
      <c r="A1800"/>
      <c r="B1800"/>
      <c r="C1800"/>
      <c r="D1800"/>
      <c r="E1800"/>
      <c r="F1800"/>
      <c r="G1800"/>
      <c r="H1800"/>
      <c r="I1800"/>
      <c r="J1800"/>
      <c r="K1800"/>
      <c r="L1800"/>
      <c r="M1800"/>
    </row>
    <row r="1801" spans="1:13" ht="15">
      <c r="A1801"/>
      <c r="B1801"/>
      <c r="C1801"/>
      <c r="D1801"/>
      <c r="E1801"/>
      <c r="F1801"/>
      <c r="G1801"/>
      <c r="H1801"/>
      <c r="I1801"/>
      <c r="J1801"/>
      <c r="K1801"/>
      <c r="L1801"/>
      <c r="M1801"/>
    </row>
    <row r="1802" spans="1:13" ht="15">
      <c r="A1802"/>
      <c r="B1802"/>
      <c r="C1802"/>
      <c r="D1802"/>
      <c r="E1802"/>
      <c r="F1802"/>
      <c r="G1802"/>
      <c r="H1802"/>
      <c r="I1802"/>
      <c r="J1802"/>
      <c r="K1802"/>
      <c r="L1802"/>
      <c r="M1802"/>
    </row>
    <row r="1803" spans="1:13" ht="15">
      <c r="A1803"/>
      <c r="B1803"/>
      <c r="C1803"/>
      <c r="D1803"/>
      <c r="E1803"/>
      <c r="F1803"/>
      <c r="G1803"/>
      <c r="H1803"/>
      <c r="I1803"/>
      <c r="J1803"/>
      <c r="K1803"/>
      <c r="L1803"/>
      <c r="M1803"/>
    </row>
    <row r="1804" spans="1:13" ht="15">
      <c r="A1804"/>
      <c r="B1804"/>
      <c r="C1804"/>
      <c r="D1804"/>
      <c r="E1804"/>
      <c r="F1804"/>
      <c r="G1804"/>
      <c r="H1804"/>
      <c r="I1804"/>
      <c r="J1804"/>
      <c r="K1804"/>
      <c r="L1804"/>
      <c r="M1804"/>
    </row>
    <row r="1805" spans="1:13" ht="15">
      <c r="A1805"/>
      <c r="B1805"/>
      <c r="C1805"/>
      <c r="D1805"/>
      <c r="E1805"/>
      <c r="F1805"/>
      <c r="G1805"/>
      <c r="H1805"/>
      <c r="I1805"/>
      <c r="J1805"/>
      <c r="K1805"/>
      <c r="L1805"/>
      <c r="M1805"/>
    </row>
    <row r="1806" spans="1:13" ht="15">
      <c r="A1806"/>
      <c r="B1806"/>
      <c r="C1806"/>
      <c r="D1806"/>
      <c r="E1806"/>
      <c r="F1806"/>
      <c r="G1806"/>
      <c r="H1806"/>
      <c r="I1806"/>
      <c r="J1806"/>
      <c r="K1806"/>
      <c r="L1806"/>
      <c r="M1806"/>
    </row>
    <row r="1807" spans="1:13" ht="15">
      <c r="A1807"/>
      <c r="B1807"/>
      <c r="C1807"/>
      <c r="D1807"/>
      <c r="E1807"/>
      <c r="F1807"/>
      <c r="G1807"/>
      <c r="H1807"/>
      <c r="I1807"/>
      <c r="J1807"/>
      <c r="K1807"/>
      <c r="L1807"/>
      <c r="M1807"/>
    </row>
    <row r="1808" spans="1:13" ht="15">
      <c r="A1808"/>
      <c r="B1808"/>
      <c r="C1808"/>
      <c r="D1808"/>
      <c r="E1808"/>
      <c r="F1808"/>
      <c r="G1808"/>
      <c r="H1808"/>
      <c r="I1808"/>
      <c r="J1808"/>
      <c r="K1808"/>
      <c r="L1808"/>
      <c r="M1808"/>
    </row>
    <row r="1809" spans="1:13" ht="15">
      <c r="A1809"/>
      <c r="B1809"/>
      <c r="C1809"/>
      <c r="D1809"/>
      <c r="E1809"/>
      <c r="F1809"/>
      <c r="G1809"/>
      <c r="H1809"/>
      <c r="I1809"/>
      <c r="J1809"/>
      <c r="K1809"/>
      <c r="L1809"/>
      <c r="M1809"/>
    </row>
    <row r="1810" spans="1:13" ht="15">
      <c r="A1810"/>
      <c r="B1810"/>
      <c r="C1810"/>
      <c r="D1810"/>
      <c r="E1810"/>
      <c r="F1810"/>
      <c r="G1810"/>
      <c r="H1810"/>
      <c r="I1810"/>
      <c r="J1810"/>
      <c r="K1810"/>
      <c r="L1810"/>
      <c r="M1810"/>
    </row>
    <row r="1811" spans="1:13" ht="15">
      <c r="A1811"/>
      <c r="B1811"/>
      <c r="C1811"/>
      <c r="D1811"/>
      <c r="E1811"/>
      <c r="F1811"/>
      <c r="G1811"/>
      <c r="H1811"/>
      <c r="I1811"/>
      <c r="J1811"/>
      <c r="K1811"/>
      <c r="L1811"/>
      <c r="M1811"/>
    </row>
    <row r="1812" spans="1:13" ht="15">
      <c r="A1812"/>
      <c r="B1812"/>
      <c r="C1812"/>
      <c r="D1812"/>
      <c r="E1812"/>
      <c r="F1812"/>
      <c r="G1812"/>
      <c r="H1812"/>
      <c r="I1812"/>
      <c r="J1812"/>
      <c r="K1812"/>
      <c r="L1812"/>
      <c r="M1812"/>
    </row>
    <row r="1813" spans="1:13" ht="15">
      <c r="A1813"/>
      <c r="B1813"/>
      <c r="C1813"/>
      <c r="D1813"/>
      <c r="E1813"/>
      <c r="F1813"/>
      <c r="G1813"/>
      <c r="H1813"/>
      <c r="I1813"/>
      <c r="J1813"/>
      <c r="K1813"/>
      <c r="L1813"/>
      <c r="M1813"/>
    </row>
    <row r="1814" spans="1:13" ht="15">
      <c r="A1814"/>
      <c r="B1814"/>
      <c r="C1814"/>
      <c r="D1814"/>
      <c r="E1814"/>
      <c r="F1814"/>
      <c r="G1814"/>
      <c r="H1814"/>
      <c r="I1814"/>
      <c r="J1814"/>
      <c r="K1814"/>
      <c r="L1814"/>
      <c r="M1814"/>
    </row>
    <row r="1815" spans="1:13" ht="15">
      <c r="A1815"/>
      <c r="B1815"/>
      <c r="C1815"/>
      <c r="D1815"/>
      <c r="E1815"/>
      <c r="F1815"/>
      <c r="G1815"/>
      <c r="H1815"/>
      <c r="I1815"/>
      <c r="J1815"/>
      <c r="K1815"/>
      <c r="L1815"/>
      <c r="M1815"/>
    </row>
    <row r="1816" spans="1:13" ht="15">
      <c r="A1816"/>
      <c r="B1816"/>
      <c r="C1816"/>
      <c r="D1816"/>
      <c r="E1816"/>
      <c r="F1816"/>
      <c r="G1816"/>
      <c r="H1816"/>
      <c r="I1816"/>
      <c r="J1816"/>
      <c r="K1816"/>
      <c r="L1816"/>
      <c r="M1816"/>
    </row>
    <row r="1817" spans="1:13" ht="15">
      <c r="A1817"/>
      <c r="B1817"/>
      <c r="C1817"/>
      <c r="D1817"/>
      <c r="E1817"/>
      <c r="F1817"/>
      <c r="G1817"/>
      <c r="H1817"/>
      <c r="I1817"/>
      <c r="J1817"/>
      <c r="K1817"/>
      <c r="L1817"/>
      <c r="M1817"/>
    </row>
    <row r="1818" spans="1:13" ht="15">
      <c r="A1818"/>
      <c r="B1818"/>
      <c r="C1818"/>
      <c r="D1818"/>
      <c r="E1818"/>
      <c r="F1818"/>
      <c r="G1818"/>
      <c r="H1818"/>
      <c r="I1818"/>
      <c r="J1818"/>
      <c r="K1818"/>
      <c r="L1818"/>
      <c r="M1818"/>
    </row>
    <row r="1819" spans="1:13" ht="15">
      <c r="A1819"/>
      <c r="B1819"/>
      <c r="C1819"/>
      <c r="D1819"/>
      <c r="E1819"/>
      <c r="F1819"/>
      <c r="G1819"/>
      <c r="H1819"/>
      <c r="I1819"/>
      <c r="J1819"/>
      <c r="K1819"/>
      <c r="L1819"/>
      <c r="M1819"/>
    </row>
    <row r="1820" spans="1:13" ht="15">
      <c r="A1820"/>
      <c r="B1820"/>
      <c r="C1820"/>
      <c r="D1820"/>
      <c r="E1820"/>
      <c r="F1820"/>
      <c r="G1820"/>
      <c r="H1820"/>
      <c r="I1820"/>
      <c r="J1820"/>
      <c r="K1820"/>
      <c r="L1820"/>
      <c r="M1820"/>
    </row>
    <row r="1821" spans="1:13" ht="15">
      <c r="A1821"/>
      <c r="B1821"/>
      <c r="C1821"/>
      <c r="D1821"/>
      <c r="E1821"/>
      <c r="F1821"/>
      <c r="G1821"/>
      <c r="H1821"/>
      <c r="I1821"/>
      <c r="J1821"/>
      <c r="K1821"/>
      <c r="L1821"/>
      <c r="M1821"/>
    </row>
    <row r="1822" spans="1:13" ht="15">
      <c r="A1822"/>
      <c r="B1822"/>
      <c r="C1822"/>
      <c r="D1822"/>
      <c r="E1822"/>
      <c r="F1822"/>
      <c r="G1822"/>
      <c r="H1822"/>
      <c r="I1822"/>
      <c r="J1822"/>
      <c r="K1822"/>
      <c r="L1822"/>
      <c r="M1822"/>
    </row>
    <row r="1823" spans="1:13" ht="15">
      <c r="A1823"/>
      <c r="B1823"/>
      <c r="C1823"/>
      <c r="D1823"/>
      <c r="E1823"/>
      <c r="F1823"/>
      <c r="G1823"/>
      <c r="H1823"/>
      <c r="I1823"/>
      <c r="J1823"/>
      <c r="K1823"/>
      <c r="L1823"/>
      <c r="M1823"/>
    </row>
    <row r="1824" spans="1:13" ht="15">
      <c r="A1824"/>
      <c r="B1824"/>
      <c r="C1824"/>
      <c r="D1824"/>
      <c r="E1824"/>
      <c r="F1824"/>
      <c r="G1824"/>
      <c r="H1824"/>
      <c r="I1824"/>
      <c r="J1824"/>
      <c r="K1824"/>
      <c r="L1824"/>
      <c r="M1824"/>
    </row>
    <row r="1825" spans="1:13" ht="15">
      <c r="A1825"/>
      <c r="B1825"/>
      <c r="C1825"/>
      <c r="D1825"/>
      <c r="E1825"/>
      <c r="F1825"/>
      <c r="G1825"/>
      <c r="H1825"/>
      <c r="I1825"/>
      <c r="J1825"/>
      <c r="K1825"/>
      <c r="L1825"/>
      <c r="M1825"/>
    </row>
    <row r="1826" spans="1:13" ht="15">
      <c r="A1826"/>
      <c r="B1826"/>
      <c r="C1826"/>
      <c r="D1826"/>
      <c r="E1826"/>
      <c r="F1826"/>
      <c r="G1826"/>
      <c r="H1826"/>
      <c r="I1826"/>
      <c r="J1826"/>
      <c r="K1826"/>
      <c r="L1826"/>
      <c r="M1826"/>
    </row>
    <row r="1827" spans="1:13" ht="15">
      <c r="A1827"/>
      <c r="B1827"/>
      <c r="C1827"/>
      <c r="D1827"/>
      <c r="E1827"/>
      <c r="F1827"/>
      <c r="G1827"/>
      <c r="H1827"/>
      <c r="I1827"/>
      <c r="J1827"/>
      <c r="K1827"/>
      <c r="L1827"/>
      <c r="M1827"/>
    </row>
    <row r="1828" spans="1:13" ht="15">
      <c r="A1828"/>
      <c r="B1828"/>
      <c r="C1828"/>
      <c r="D1828"/>
      <c r="E1828"/>
      <c r="F1828"/>
      <c r="G1828"/>
      <c r="H1828"/>
      <c r="I1828"/>
      <c r="J1828"/>
      <c r="K1828"/>
      <c r="L1828"/>
      <c r="M1828"/>
    </row>
    <row r="1829" spans="1:13" ht="15">
      <c r="A1829"/>
      <c r="B1829"/>
      <c r="C1829"/>
      <c r="D1829"/>
      <c r="E1829"/>
      <c r="F1829"/>
      <c r="G1829"/>
      <c r="H1829"/>
      <c r="I1829"/>
      <c r="J1829"/>
      <c r="K1829"/>
      <c r="L1829"/>
      <c r="M1829"/>
    </row>
    <row r="1830" spans="1:13" ht="15">
      <c r="A1830"/>
      <c r="B1830"/>
      <c r="C1830"/>
      <c r="D1830"/>
      <c r="E1830"/>
      <c r="F1830"/>
      <c r="G1830"/>
      <c r="H1830"/>
      <c r="I1830"/>
      <c r="J1830"/>
      <c r="K1830"/>
      <c r="L1830"/>
      <c r="M1830"/>
    </row>
    <row r="1831" spans="1:13" ht="15">
      <c r="A1831"/>
      <c r="B1831"/>
      <c r="C1831"/>
      <c r="D1831"/>
      <c r="E1831"/>
      <c r="F1831"/>
      <c r="G1831"/>
      <c r="H1831"/>
      <c r="I1831"/>
      <c r="J1831"/>
      <c r="K1831"/>
      <c r="L1831"/>
      <c r="M1831"/>
    </row>
    <row r="1832" spans="1:13" ht="15">
      <c r="A1832"/>
      <c r="B1832"/>
      <c r="C1832"/>
      <c r="D1832"/>
      <c r="E1832"/>
      <c r="F1832"/>
      <c r="G1832"/>
      <c r="H1832"/>
      <c r="I1832"/>
      <c r="J1832"/>
      <c r="K1832"/>
      <c r="L1832"/>
      <c r="M1832"/>
    </row>
    <row r="1833" spans="1:13" ht="15">
      <c r="A1833"/>
      <c r="B1833"/>
      <c r="C1833"/>
      <c r="D1833"/>
      <c r="E1833"/>
      <c r="F1833"/>
      <c r="G1833"/>
      <c r="H1833"/>
      <c r="I1833"/>
      <c r="J1833"/>
      <c r="K1833"/>
      <c r="L1833"/>
      <c r="M1833"/>
    </row>
    <row r="1834" spans="1:13" ht="15">
      <c r="A1834"/>
      <c r="B1834"/>
      <c r="C1834"/>
      <c r="D1834"/>
      <c r="E1834"/>
      <c r="F1834"/>
      <c r="G1834"/>
      <c r="H1834"/>
      <c r="I1834"/>
      <c r="J1834"/>
      <c r="K1834"/>
      <c r="L1834"/>
      <c r="M1834"/>
    </row>
    <row r="1835" spans="1:13" ht="15">
      <c r="A1835"/>
      <c r="B1835"/>
      <c r="C1835"/>
      <c r="D1835"/>
      <c r="E1835"/>
      <c r="F1835"/>
      <c r="G1835"/>
      <c r="H1835"/>
      <c r="I1835"/>
      <c r="J1835"/>
      <c r="K1835"/>
      <c r="L1835"/>
      <c r="M1835"/>
    </row>
    <row r="1836" spans="1:13" ht="15">
      <c r="A1836"/>
      <c r="B1836"/>
      <c r="C1836"/>
      <c r="D1836"/>
      <c r="E1836"/>
      <c r="F1836"/>
      <c r="G1836"/>
      <c r="H1836"/>
      <c r="I1836"/>
      <c r="J1836"/>
      <c r="K1836"/>
      <c r="L1836"/>
      <c r="M1836"/>
    </row>
    <row r="1837" spans="1:13" ht="15">
      <c r="A1837"/>
      <c r="B1837"/>
      <c r="C1837"/>
      <c r="D1837"/>
      <c r="E1837"/>
      <c r="F1837"/>
      <c r="G1837"/>
      <c r="H1837"/>
      <c r="I1837"/>
      <c r="J1837"/>
      <c r="K1837"/>
      <c r="L1837"/>
      <c r="M1837"/>
    </row>
    <row r="1838" spans="1:13" ht="15">
      <c r="A1838"/>
      <c r="B1838"/>
      <c r="C1838"/>
      <c r="D1838"/>
      <c r="E1838"/>
      <c r="F1838"/>
      <c r="G1838"/>
      <c r="H1838"/>
      <c r="I1838"/>
      <c r="J1838"/>
      <c r="K1838"/>
      <c r="L1838"/>
      <c r="M1838"/>
    </row>
    <row r="1839" spans="1:13" ht="15">
      <c r="A1839"/>
      <c r="B1839"/>
      <c r="C1839"/>
      <c r="D1839"/>
      <c r="E1839"/>
      <c r="F1839"/>
      <c r="G1839"/>
      <c r="H1839"/>
      <c r="I1839"/>
      <c r="J1839"/>
      <c r="K1839"/>
      <c r="L1839"/>
      <c r="M1839"/>
    </row>
    <row r="1840" spans="1:13" ht="15">
      <c r="A1840"/>
      <c r="B1840"/>
      <c r="C1840"/>
      <c r="D1840"/>
      <c r="E1840"/>
      <c r="F1840"/>
      <c r="G1840"/>
      <c r="H1840"/>
      <c r="I1840"/>
      <c r="J1840"/>
      <c r="K1840"/>
      <c r="L1840"/>
      <c r="M1840"/>
    </row>
    <row r="1841" spans="1:13" ht="15">
      <c r="A1841"/>
      <c r="B1841"/>
      <c r="C1841"/>
      <c r="D1841"/>
      <c r="E1841"/>
      <c r="F1841"/>
      <c r="G1841"/>
      <c r="H1841"/>
      <c r="I1841"/>
      <c r="J1841"/>
      <c r="K1841"/>
      <c r="L1841"/>
      <c r="M1841"/>
    </row>
    <row r="1842" spans="1:13" ht="15">
      <c r="A1842"/>
      <c r="B1842"/>
      <c r="C1842"/>
      <c r="D1842"/>
      <c r="E1842"/>
      <c r="F1842"/>
      <c r="G1842"/>
      <c r="H1842"/>
      <c r="I1842"/>
      <c r="J1842"/>
      <c r="K1842"/>
      <c r="L1842"/>
      <c r="M1842"/>
    </row>
    <row r="1843" spans="1:13" ht="15">
      <c r="A1843"/>
      <c r="B1843"/>
      <c r="C1843"/>
      <c r="D1843"/>
      <c r="E1843"/>
      <c r="F1843"/>
      <c r="G1843"/>
      <c r="H1843"/>
      <c r="I1843"/>
      <c r="J1843"/>
      <c r="K1843"/>
      <c r="L1843"/>
      <c r="M1843"/>
    </row>
    <row r="1844" spans="1:13" ht="15">
      <c r="A1844"/>
      <c r="B1844"/>
      <c r="C1844"/>
      <c r="D1844"/>
      <c r="E1844"/>
      <c r="F1844"/>
      <c r="G1844"/>
      <c r="H1844"/>
      <c r="I1844"/>
      <c r="J1844"/>
      <c r="K1844"/>
      <c r="L1844"/>
      <c r="M1844"/>
    </row>
    <row r="1845" spans="1:13" ht="15">
      <c r="A1845"/>
      <c r="B1845"/>
      <c r="C1845"/>
      <c r="D1845"/>
      <c r="E1845"/>
      <c r="F1845"/>
      <c r="G1845"/>
      <c r="H1845"/>
      <c r="I1845"/>
      <c r="J1845"/>
      <c r="K1845"/>
      <c r="L1845"/>
      <c r="M1845"/>
    </row>
    <row r="1846" spans="1:13" ht="15">
      <c r="A1846"/>
      <c r="B1846"/>
      <c r="C1846"/>
      <c r="D1846"/>
      <c r="E1846"/>
      <c r="F1846"/>
      <c r="G1846"/>
      <c r="H1846"/>
      <c r="I1846"/>
      <c r="J1846"/>
      <c r="K1846"/>
      <c r="L1846"/>
      <c r="M1846"/>
    </row>
    <row r="1847" spans="1:13" ht="15">
      <c r="A1847"/>
      <c r="B1847"/>
      <c r="C1847"/>
      <c r="D1847"/>
      <c r="E1847"/>
      <c r="F1847"/>
      <c r="G1847"/>
      <c r="H1847"/>
      <c r="I1847"/>
      <c r="J1847"/>
      <c r="K1847"/>
      <c r="L1847"/>
      <c r="M1847"/>
    </row>
    <row r="1848" spans="1:13" ht="15">
      <c r="A1848"/>
      <c r="B1848"/>
      <c r="C1848"/>
      <c r="D1848"/>
      <c r="E1848"/>
      <c r="F1848"/>
      <c r="G1848"/>
      <c r="H1848"/>
      <c r="I1848"/>
      <c r="J1848"/>
      <c r="K1848"/>
      <c r="L1848"/>
      <c r="M1848"/>
    </row>
    <row r="1849" spans="1:13" ht="15">
      <c r="A1849"/>
      <c r="B1849"/>
      <c r="C1849"/>
      <c r="D1849"/>
      <c r="E1849"/>
      <c r="F1849"/>
      <c r="G1849"/>
      <c r="H1849"/>
      <c r="I1849"/>
      <c r="J1849"/>
      <c r="K1849"/>
      <c r="L1849"/>
      <c r="M1849"/>
    </row>
    <row r="1850" spans="1:13" ht="15">
      <c r="A1850"/>
      <c r="B1850"/>
      <c r="C1850"/>
      <c r="D1850"/>
      <c r="E1850"/>
      <c r="F1850"/>
      <c r="G1850"/>
      <c r="H1850"/>
      <c r="I1850"/>
      <c r="J1850"/>
      <c r="K1850"/>
      <c r="L1850"/>
      <c r="M1850"/>
    </row>
    <row r="1851" spans="1:13" ht="15">
      <c r="A1851"/>
      <c r="B1851"/>
      <c r="C1851"/>
      <c r="D1851"/>
      <c r="E1851"/>
      <c r="F1851"/>
      <c r="G1851"/>
      <c r="H1851"/>
      <c r="I1851"/>
      <c r="J1851"/>
      <c r="K1851"/>
      <c r="L1851"/>
      <c r="M1851"/>
    </row>
    <row r="1852" spans="1:13" ht="15">
      <c r="A1852"/>
      <c r="B1852"/>
      <c r="C1852"/>
      <c r="D1852"/>
      <c r="E1852"/>
      <c r="F1852"/>
      <c r="G1852"/>
      <c r="H1852"/>
      <c r="I1852"/>
      <c r="J1852"/>
      <c r="K1852"/>
      <c r="L1852"/>
      <c r="M1852"/>
    </row>
    <row r="1853" spans="1:13" ht="15">
      <c r="A1853"/>
      <c r="B1853"/>
      <c r="C1853"/>
      <c r="D1853"/>
      <c r="E1853"/>
      <c r="F1853"/>
      <c r="G1853"/>
      <c r="H1853"/>
      <c r="I1853"/>
      <c r="J1853"/>
      <c r="K1853"/>
      <c r="L1853"/>
      <c r="M1853"/>
    </row>
    <row r="1854" spans="1:13" ht="15">
      <c r="A1854"/>
      <c r="B1854"/>
      <c r="C1854"/>
      <c r="D1854"/>
      <c r="E1854"/>
      <c r="F1854"/>
      <c r="G1854"/>
      <c r="H1854"/>
      <c r="I1854"/>
      <c r="J1854"/>
      <c r="K1854"/>
      <c r="L1854"/>
      <c r="M1854"/>
    </row>
    <row r="1855" spans="1:13" ht="15">
      <c r="A1855"/>
      <c r="B1855"/>
      <c r="C1855"/>
      <c r="D1855"/>
      <c r="E1855"/>
      <c r="F1855"/>
      <c r="G1855"/>
      <c r="H1855"/>
      <c r="I1855"/>
      <c r="J1855"/>
      <c r="K1855"/>
      <c r="L1855"/>
      <c r="M1855"/>
    </row>
    <row r="1856" spans="1:13" ht="15">
      <c r="A1856"/>
      <c r="B1856"/>
      <c r="C1856"/>
      <c r="D1856"/>
      <c r="E1856"/>
      <c r="F1856"/>
      <c r="G1856"/>
      <c r="H1856"/>
      <c r="I1856"/>
      <c r="J1856"/>
      <c r="K1856"/>
      <c r="L1856"/>
      <c r="M1856"/>
    </row>
    <row r="1857" spans="1:13" ht="15">
      <c r="A1857"/>
      <c r="B1857"/>
      <c r="C1857"/>
      <c r="D1857"/>
      <c r="E1857"/>
      <c r="F1857"/>
      <c r="G1857"/>
      <c r="H1857"/>
      <c r="I1857"/>
      <c r="J1857"/>
      <c r="K1857"/>
      <c r="L1857"/>
      <c r="M1857"/>
    </row>
    <row r="1858" spans="1:13" ht="15">
      <c r="A1858"/>
      <c r="B1858"/>
      <c r="C1858"/>
      <c r="D1858"/>
      <c r="E1858"/>
      <c r="F1858"/>
      <c r="G1858"/>
      <c r="H1858"/>
      <c r="I1858"/>
      <c r="J1858"/>
      <c r="K1858"/>
      <c r="L1858"/>
      <c r="M1858"/>
    </row>
    <row r="1859" spans="1:13" ht="15">
      <c r="A1859"/>
      <c r="B1859"/>
      <c r="C1859"/>
      <c r="D1859"/>
      <c r="E1859"/>
      <c r="F1859"/>
      <c r="G1859"/>
      <c r="H1859"/>
      <c r="I1859"/>
      <c r="J1859"/>
      <c r="K1859"/>
      <c r="L1859"/>
      <c r="M1859"/>
    </row>
    <row r="1860" spans="1:13" ht="15">
      <c r="A1860"/>
      <c r="B1860"/>
      <c r="C1860"/>
      <c r="D1860"/>
      <c r="E1860"/>
      <c r="F1860"/>
      <c r="G1860"/>
      <c r="H1860"/>
      <c r="I1860"/>
      <c r="J1860"/>
      <c r="K1860"/>
      <c r="L1860"/>
      <c r="M1860"/>
    </row>
    <row r="1861" spans="1:13" ht="15">
      <c r="A1861"/>
      <c r="B1861"/>
      <c r="C1861"/>
      <c r="D1861"/>
      <c r="E1861"/>
      <c r="F1861"/>
      <c r="G1861"/>
      <c r="H1861"/>
      <c r="I1861"/>
      <c r="J1861"/>
      <c r="K1861"/>
      <c r="L1861"/>
      <c r="M1861"/>
    </row>
    <row r="1862" spans="1:13" ht="15">
      <c r="A1862"/>
      <c r="B1862"/>
      <c r="C1862"/>
      <c r="D1862"/>
      <c r="E1862"/>
      <c r="F1862"/>
      <c r="G1862"/>
      <c r="H1862"/>
      <c r="I1862"/>
      <c r="J1862"/>
      <c r="K1862"/>
      <c r="L1862"/>
      <c r="M1862"/>
    </row>
    <row r="1863" spans="1:13" ht="15">
      <c r="A1863"/>
      <c r="B1863"/>
      <c r="C1863"/>
      <c r="D1863"/>
      <c r="E1863"/>
      <c r="F1863"/>
      <c r="G1863"/>
      <c r="H1863"/>
      <c r="I1863"/>
      <c r="J1863"/>
      <c r="K1863"/>
      <c r="L1863"/>
      <c r="M1863"/>
    </row>
    <row r="1864" spans="1:13" ht="15">
      <c r="A1864"/>
      <c r="B1864"/>
      <c r="C1864"/>
      <c r="D1864"/>
      <c r="E1864"/>
      <c r="F1864"/>
      <c r="G1864"/>
      <c r="H1864"/>
      <c r="I1864"/>
      <c r="J1864"/>
      <c r="K1864"/>
      <c r="L1864"/>
      <c r="M1864"/>
    </row>
    <row r="1865" spans="1:13" ht="15">
      <c r="A1865"/>
      <c r="B1865"/>
      <c r="C1865"/>
      <c r="D1865"/>
      <c r="E1865"/>
      <c r="F1865"/>
      <c r="G1865"/>
      <c r="H1865"/>
      <c r="I1865"/>
      <c r="J1865"/>
      <c r="K1865"/>
      <c r="L1865"/>
      <c r="M1865"/>
    </row>
    <row r="1866" spans="1:13" ht="15">
      <c r="A1866"/>
      <c r="B1866"/>
      <c r="C1866"/>
      <c r="D1866"/>
      <c r="E1866"/>
      <c r="F1866"/>
      <c r="G1866"/>
      <c r="H1866"/>
      <c r="I1866"/>
      <c r="J1866"/>
      <c r="K1866"/>
      <c r="L1866"/>
      <c r="M1866"/>
    </row>
    <row r="1867" spans="1:13" ht="15">
      <c r="A1867"/>
      <c r="B1867"/>
      <c r="C1867"/>
      <c r="D1867"/>
      <c r="E1867"/>
      <c r="F1867"/>
      <c r="G1867"/>
      <c r="H1867"/>
      <c r="I1867"/>
      <c r="J1867"/>
      <c r="K1867"/>
      <c r="L1867"/>
      <c r="M1867"/>
    </row>
    <row r="1868" spans="1:13" ht="15">
      <c r="A1868"/>
      <c r="B1868"/>
      <c r="C1868"/>
      <c r="D1868"/>
      <c r="E1868"/>
      <c r="F1868"/>
      <c r="G1868"/>
      <c r="H1868"/>
      <c r="I1868"/>
      <c r="J1868"/>
      <c r="K1868"/>
      <c r="L1868"/>
      <c r="M1868"/>
    </row>
    <row r="1869" spans="1:13" ht="15">
      <c r="A1869"/>
      <c r="B1869"/>
      <c r="C1869"/>
      <c r="D1869"/>
      <c r="E1869"/>
      <c r="F1869"/>
      <c r="G1869"/>
      <c r="H1869"/>
      <c r="I1869"/>
      <c r="J1869"/>
      <c r="K1869"/>
      <c r="L1869"/>
      <c r="M1869"/>
    </row>
    <row r="1870" spans="1:13" ht="15">
      <c r="A1870"/>
      <c r="B1870"/>
      <c r="C1870"/>
      <c r="D1870"/>
      <c r="E1870"/>
      <c r="F1870"/>
      <c r="G1870"/>
      <c r="H1870"/>
      <c r="I1870"/>
      <c r="J1870"/>
      <c r="K1870"/>
      <c r="L1870"/>
      <c r="M1870"/>
    </row>
    <row r="1871" spans="1:13" ht="15">
      <c r="A1871"/>
      <c r="B1871"/>
      <c r="C1871"/>
      <c r="D1871"/>
      <c r="E1871"/>
      <c r="F1871"/>
      <c r="G1871"/>
      <c r="H1871"/>
      <c r="I1871"/>
      <c r="J1871"/>
      <c r="K1871"/>
      <c r="L1871"/>
      <c r="M1871"/>
    </row>
    <row r="1872" spans="1:13" ht="15">
      <c r="A1872"/>
      <c r="B1872"/>
      <c r="C1872"/>
      <c r="D1872"/>
      <c r="E1872"/>
      <c r="F1872"/>
      <c r="G1872"/>
      <c r="H1872"/>
      <c r="I1872"/>
      <c r="J1872"/>
      <c r="K1872"/>
      <c r="L1872"/>
      <c r="M1872"/>
    </row>
    <row r="1873" spans="1:13" ht="15">
      <c r="A1873"/>
      <c r="B1873"/>
      <c r="C1873"/>
      <c r="D1873"/>
      <c r="E1873"/>
      <c r="F1873"/>
      <c r="G1873"/>
      <c r="H1873"/>
      <c r="I1873"/>
      <c r="J1873"/>
      <c r="K1873"/>
      <c r="L1873"/>
      <c r="M1873"/>
    </row>
    <row r="1874" spans="1:13" ht="15">
      <c r="A1874"/>
      <c r="B1874"/>
      <c r="C1874"/>
      <c r="D1874"/>
      <c r="E1874"/>
      <c r="F1874"/>
      <c r="G1874"/>
      <c r="H1874"/>
      <c r="I1874"/>
      <c r="J1874"/>
      <c r="K1874"/>
      <c r="L1874"/>
      <c r="M1874"/>
    </row>
    <row r="1875" spans="1:13" ht="15">
      <c r="A1875"/>
      <c r="B1875"/>
      <c r="C1875"/>
      <c r="D1875"/>
      <c r="E1875"/>
      <c r="F1875"/>
      <c r="G1875"/>
      <c r="H1875"/>
      <c r="I1875"/>
      <c r="J1875"/>
      <c r="K1875"/>
      <c r="L1875"/>
      <c r="M1875"/>
    </row>
    <row r="1876" spans="1:13" ht="15">
      <c r="A1876"/>
      <c r="B1876"/>
      <c r="C1876"/>
      <c r="D1876"/>
      <c r="E1876"/>
      <c r="F1876"/>
      <c r="G1876"/>
      <c r="H1876"/>
      <c r="I1876"/>
      <c r="J1876"/>
      <c r="K1876"/>
      <c r="L1876"/>
      <c r="M1876"/>
    </row>
    <row r="1877" spans="1:13" ht="15">
      <c r="A1877"/>
      <c r="B1877"/>
      <c r="C1877"/>
      <c r="D1877"/>
      <c r="E1877"/>
      <c r="F1877"/>
      <c r="G1877"/>
      <c r="H1877"/>
      <c r="I1877"/>
      <c r="J1877"/>
      <c r="K1877"/>
      <c r="L1877"/>
      <c r="M1877"/>
    </row>
    <row r="1878" spans="1:13" ht="15">
      <c r="A1878"/>
      <c r="B1878"/>
      <c r="C1878"/>
      <c r="D1878"/>
      <c r="E1878"/>
      <c r="F1878"/>
      <c r="G1878"/>
      <c r="H1878"/>
      <c r="I1878"/>
      <c r="J1878"/>
      <c r="K1878"/>
      <c r="L1878"/>
      <c r="M1878"/>
    </row>
    <row r="1879" spans="1:13" ht="15">
      <c r="A1879"/>
      <c r="B1879"/>
      <c r="C1879"/>
      <c r="D1879"/>
      <c r="E1879"/>
      <c r="F1879"/>
      <c r="G1879"/>
      <c r="H1879"/>
      <c r="I1879"/>
      <c r="J1879"/>
      <c r="K1879"/>
      <c r="L1879"/>
      <c r="M1879"/>
    </row>
    <row r="1880" spans="1:13" ht="15">
      <c r="A1880"/>
      <c r="B1880"/>
      <c r="C1880"/>
      <c r="D1880"/>
      <c r="E1880"/>
      <c r="F1880"/>
      <c r="G1880"/>
      <c r="H1880"/>
      <c r="I1880"/>
      <c r="J1880"/>
      <c r="K1880"/>
      <c r="L1880"/>
      <c r="M1880"/>
    </row>
    <row r="1881" spans="1:13" ht="15">
      <c r="A1881"/>
      <c r="B1881"/>
      <c r="C1881"/>
      <c r="D1881"/>
      <c r="E1881"/>
      <c r="F1881"/>
      <c r="G1881"/>
      <c r="H1881"/>
      <c r="I1881"/>
      <c r="J1881"/>
      <c r="K1881"/>
      <c r="L1881"/>
      <c r="M1881"/>
    </row>
    <row r="1882" spans="1:13" ht="15">
      <c r="A1882"/>
      <c r="B1882"/>
      <c r="C1882"/>
      <c r="D1882"/>
      <c r="E1882"/>
      <c r="F1882"/>
      <c r="G1882"/>
      <c r="H1882"/>
      <c r="I1882"/>
      <c r="J1882"/>
      <c r="K1882"/>
      <c r="L1882"/>
      <c r="M1882"/>
    </row>
    <row r="1883" spans="1:13" ht="15">
      <c r="A1883"/>
      <c r="B1883"/>
      <c r="C1883"/>
      <c r="D1883"/>
      <c r="E1883"/>
      <c r="F1883"/>
      <c r="G1883"/>
      <c r="H1883"/>
      <c r="I1883"/>
      <c r="J1883"/>
      <c r="K1883"/>
      <c r="L1883"/>
      <c r="M1883"/>
    </row>
    <row r="1884" spans="1:13" ht="15">
      <c r="A1884"/>
      <c r="B1884"/>
      <c r="C1884"/>
      <c r="D1884"/>
      <c r="E1884"/>
      <c r="F1884"/>
      <c r="G1884"/>
      <c r="H1884"/>
      <c r="I1884"/>
      <c r="J1884"/>
      <c r="K1884"/>
      <c r="L1884"/>
      <c r="M1884"/>
    </row>
    <row r="1885" spans="1:13" ht="15">
      <c r="A1885"/>
      <c r="B1885"/>
      <c r="C1885"/>
      <c r="D1885"/>
      <c r="E1885"/>
      <c r="F1885"/>
      <c r="G1885"/>
      <c r="H1885"/>
      <c r="I1885"/>
      <c r="J1885"/>
      <c r="K1885"/>
      <c r="L1885"/>
      <c r="M1885"/>
    </row>
    <row r="1886" spans="1:13" ht="15">
      <c r="A1886"/>
      <c r="B1886"/>
      <c r="C1886"/>
      <c r="D1886"/>
      <c r="E1886"/>
      <c r="F1886"/>
      <c r="G1886"/>
      <c r="H1886"/>
      <c r="I1886"/>
      <c r="J1886"/>
      <c r="K1886"/>
      <c r="L1886"/>
      <c r="M1886"/>
    </row>
    <row r="1887" spans="1:13" ht="15">
      <c r="A1887"/>
      <c r="B1887"/>
      <c r="C1887"/>
      <c r="D1887"/>
      <c r="E1887"/>
      <c r="F1887"/>
      <c r="G1887"/>
      <c r="H1887"/>
      <c r="I1887"/>
      <c r="J1887"/>
      <c r="K1887"/>
      <c r="L1887"/>
      <c r="M1887"/>
    </row>
    <row r="1888" spans="1:13" ht="15">
      <c r="A1888"/>
      <c r="B1888"/>
      <c r="C1888"/>
      <c r="D1888"/>
      <c r="E1888"/>
      <c r="F1888"/>
      <c r="G1888"/>
      <c r="H1888"/>
      <c r="I1888"/>
      <c r="J1888"/>
      <c r="K1888"/>
      <c r="L1888"/>
      <c r="M1888"/>
    </row>
    <row r="1889" spans="1:13" ht="15">
      <c r="A1889"/>
      <c r="B1889"/>
      <c r="C1889"/>
      <c r="D1889"/>
      <c r="E1889"/>
      <c r="F1889"/>
      <c r="G1889"/>
      <c r="H1889"/>
      <c r="I1889"/>
      <c r="J1889"/>
      <c r="K1889"/>
      <c r="L1889"/>
      <c r="M1889"/>
    </row>
    <row r="1890" spans="1:13" ht="15">
      <c r="A1890"/>
      <c r="B1890"/>
      <c r="C1890"/>
      <c r="D1890"/>
      <c r="E1890"/>
      <c r="F1890"/>
      <c r="G1890"/>
      <c r="H1890"/>
      <c r="I1890"/>
      <c r="J1890"/>
      <c r="K1890"/>
      <c r="L1890"/>
      <c r="M1890"/>
    </row>
    <row r="1891" spans="1:13" ht="15">
      <c r="A1891"/>
      <c r="B1891"/>
      <c r="C1891"/>
      <c r="D1891"/>
      <c r="E1891"/>
      <c r="F1891"/>
      <c r="G1891"/>
      <c r="H1891"/>
      <c r="I1891"/>
      <c r="J1891"/>
      <c r="K1891"/>
      <c r="L1891"/>
      <c r="M1891"/>
    </row>
    <row r="1892" spans="1:13" ht="15">
      <c r="A1892"/>
      <c r="B1892"/>
      <c r="C1892"/>
      <c r="D1892"/>
      <c r="E1892"/>
      <c r="F1892"/>
      <c r="G1892"/>
      <c r="H1892"/>
      <c r="I1892"/>
      <c r="J1892"/>
      <c r="K1892"/>
      <c r="L1892"/>
      <c r="M1892"/>
    </row>
    <row r="1893" spans="1:13" ht="15">
      <c r="A1893"/>
      <c r="B1893"/>
      <c r="C1893"/>
      <c r="D1893"/>
      <c r="E1893"/>
      <c r="F1893"/>
      <c r="G1893"/>
      <c r="H1893"/>
      <c r="I1893"/>
      <c r="J1893"/>
      <c r="K1893"/>
      <c r="L1893"/>
      <c r="M1893"/>
    </row>
    <row r="1894" spans="1:13" ht="15">
      <c r="A1894"/>
      <c r="B1894"/>
      <c r="C1894"/>
      <c r="D1894"/>
      <c r="E1894"/>
      <c r="F1894"/>
      <c r="G1894"/>
      <c r="H1894"/>
      <c r="I1894"/>
      <c r="J1894"/>
      <c r="K1894"/>
      <c r="L1894"/>
      <c r="M1894"/>
    </row>
    <row r="1895" spans="1:13" ht="15">
      <c r="A1895"/>
      <c r="B1895"/>
      <c r="C1895"/>
      <c r="D1895"/>
      <c r="E1895"/>
      <c r="F1895"/>
      <c r="G1895"/>
      <c r="H1895"/>
      <c r="I1895"/>
      <c r="J1895"/>
      <c r="K1895"/>
      <c r="L1895"/>
      <c r="M1895"/>
    </row>
    <row r="1896" spans="1:13" ht="15">
      <c r="A1896"/>
      <c r="B1896"/>
      <c r="C1896"/>
      <c r="D1896"/>
      <c r="E1896"/>
      <c r="F1896"/>
      <c r="G1896"/>
      <c r="H1896"/>
      <c r="I1896"/>
      <c r="J1896"/>
      <c r="K1896"/>
      <c r="L1896"/>
      <c r="M1896"/>
    </row>
    <row r="1897" spans="1:13" ht="15">
      <c r="A1897"/>
      <c r="B1897"/>
      <c r="C1897"/>
      <c r="D1897"/>
      <c r="E1897"/>
      <c r="F1897"/>
      <c r="G1897"/>
      <c r="H1897"/>
      <c r="I1897"/>
      <c r="J1897"/>
      <c r="K1897"/>
      <c r="L1897"/>
      <c r="M1897"/>
    </row>
    <row r="1898" spans="1:13" ht="15">
      <c r="A1898"/>
      <c r="B1898"/>
      <c r="C1898"/>
      <c r="D1898"/>
      <c r="E1898"/>
      <c r="F1898"/>
      <c r="G1898"/>
      <c r="H1898"/>
      <c r="I1898"/>
      <c r="J1898"/>
      <c r="K1898"/>
      <c r="L1898"/>
      <c r="M1898"/>
    </row>
    <row r="1899" spans="1:13" ht="15">
      <c r="A1899"/>
      <c r="B1899"/>
      <c r="C1899"/>
      <c r="D1899"/>
      <c r="E1899"/>
      <c r="F1899"/>
      <c r="G1899"/>
      <c r="H1899"/>
      <c r="I1899"/>
      <c r="J1899"/>
      <c r="K1899"/>
      <c r="L1899"/>
      <c r="M1899"/>
    </row>
    <row r="1900" spans="1:13" ht="15">
      <c r="A1900"/>
      <c r="B1900"/>
      <c r="C1900"/>
      <c r="D1900"/>
      <c r="E1900"/>
      <c r="F1900"/>
      <c r="G1900"/>
      <c r="H1900"/>
      <c r="I1900"/>
      <c r="J1900"/>
      <c r="K1900"/>
      <c r="L1900"/>
      <c r="M1900"/>
    </row>
    <row r="1901" spans="1:13" ht="15">
      <c r="A1901"/>
      <c r="B1901"/>
      <c r="C1901"/>
      <c r="D1901"/>
      <c r="E1901"/>
      <c r="F1901"/>
      <c r="G1901"/>
      <c r="H1901"/>
      <c r="I1901"/>
      <c r="J1901"/>
      <c r="K1901"/>
      <c r="L1901"/>
      <c r="M1901"/>
    </row>
    <row r="1902" spans="1:13" ht="15">
      <c r="A1902"/>
      <c r="B1902"/>
      <c r="C1902"/>
      <c r="D1902"/>
      <c r="E1902"/>
      <c r="F1902"/>
      <c r="G1902"/>
      <c r="H1902"/>
      <c r="I1902"/>
      <c r="J1902"/>
      <c r="K1902"/>
      <c r="L1902"/>
      <c r="M1902"/>
    </row>
    <row r="1903" spans="1:13" ht="15">
      <c r="A1903"/>
      <c r="B1903"/>
      <c r="C1903"/>
      <c r="D1903"/>
      <c r="E1903"/>
      <c r="F1903"/>
      <c r="G1903"/>
      <c r="H1903"/>
      <c r="I1903"/>
      <c r="J1903"/>
      <c r="K1903"/>
      <c r="L1903"/>
      <c r="M1903"/>
    </row>
    <row r="1904" spans="1:13" ht="15">
      <c r="A1904"/>
      <c r="B1904"/>
      <c r="C1904"/>
      <c r="D1904"/>
      <c r="E1904"/>
      <c r="F1904"/>
      <c r="G1904"/>
      <c r="H1904"/>
      <c r="I1904"/>
      <c r="J1904"/>
      <c r="K1904"/>
      <c r="L1904"/>
      <c r="M1904"/>
    </row>
    <row r="1905" spans="1:13" ht="15">
      <c r="A1905"/>
      <c r="B1905"/>
      <c r="C1905"/>
      <c r="D1905"/>
      <c r="E1905"/>
      <c r="F1905"/>
      <c r="G1905"/>
      <c r="H1905"/>
      <c r="I1905"/>
      <c r="J1905"/>
      <c r="K1905"/>
      <c r="L1905"/>
      <c r="M1905"/>
    </row>
    <row r="1906" spans="1:13" ht="15">
      <c r="A1906"/>
      <c r="B1906"/>
      <c r="C1906"/>
      <c r="D1906"/>
      <c r="E1906"/>
      <c r="F1906"/>
      <c r="G1906"/>
      <c r="H1906"/>
      <c r="I1906"/>
      <c r="J1906"/>
      <c r="K1906"/>
      <c r="L1906"/>
      <c r="M1906"/>
    </row>
    <row r="1907" spans="1:13" ht="15">
      <c r="A1907"/>
      <c r="B1907"/>
      <c r="C1907"/>
      <c r="D1907"/>
      <c r="E1907"/>
      <c r="F1907"/>
      <c r="G1907"/>
      <c r="H1907"/>
      <c r="I1907"/>
      <c r="J1907"/>
      <c r="K1907"/>
      <c r="L1907"/>
      <c r="M1907"/>
    </row>
    <row r="1908" spans="1:13" ht="15">
      <c r="A1908"/>
      <c r="B1908"/>
      <c r="C1908"/>
      <c r="D1908"/>
      <c r="E1908"/>
      <c r="F1908"/>
      <c r="G1908"/>
      <c r="H1908"/>
      <c r="I1908"/>
      <c r="J1908"/>
      <c r="K1908"/>
      <c r="L1908"/>
      <c r="M1908"/>
    </row>
    <row r="1909" spans="1:13" ht="15">
      <c r="A1909"/>
      <c r="B1909"/>
      <c r="C1909"/>
      <c r="D1909"/>
      <c r="E1909"/>
      <c r="F1909"/>
      <c r="G1909"/>
      <c r="H1909"/>
      <c r="I1909"/>
      <c r="J1909"/>
      <c r="K1909"/>
      <c r="L1909"/>
      <c r="M1909"/>
    </row>
    <row r="1910" spans="1:13" ht="15">
      <c r="A1910"/>
      <c r="B1910"/>
      <c r="C1910"/>
      <c r="D1910"/>
      <c r="E1910"/>
      <c r="F1910"/>
      <c r="G1910"/>
      <c r="H1910"/>
      <c r="I1910"/>
      <c r="J1910"/>
      <c r="K1910"/>
      <c r="L1910"/>
      <c r="M1910"/>
    </row>
    <row r="1911" spans="1:13" ht="15">
      <c r="A1911"/>
      <c r="B1911"/>
      <c r="C1911"/>
      <c r="D1911"/>
      <c r="E1911"/>
      <c r="F1911"/>
      <c r="G1911"/>
      <c r="H1911"/>
      <c r="I1911"/>
      <c r="J1911"/>
      <c r="K1911"/>
      <c r="L1911"/>
      <c r="M1911"/>
    </row>
    <row r="1912" spans="1:13" ht="15">
      <c r="A1912"/>
      <c r="B1912"/>
      <c r="C1912"/>
      <c r="D1912"/>
      <c r="E1912"/>
      <c r="F1912"/>
      <c r="G1912"/>
      <c r="H1912"/>
      <c r="I1912"/>
      <c r="J1912"/>
      <c r="K1912"/>
      <c r="L1912"/>
      <c r="M1912"/>
    </row>
    <row r="1913" spans="1:13" ht="15">
      <c r="A1913"/>
      <c r="B1913"/>
      <c r="C1913"/>
      <c r="D1913"/>
      <c r="E1913"/>
      <c r="F1913"/>
      <c r="G1913"/>
      <c r="H1913"/>
      <c r="I1913"/>
      <c r="J1913"/>
      <c r="K1913"/>
      <c r="L1913"/>
      <c r="M1913"/>
    </row>
    <row r="1914" spans="1:13" ht="15">
      <c r="A1914"/>
      <c r="B1914"/>
      <c r="C1914"/>
      <c r="D1914"/>
      <c r="E1914"/>
      <c r="F1914"/>
      <c r="G1914"/>
      <c r="H1914"/>
      <c r="I1914"/>
      <c r="J1914"/>
      <c r="K1914"/>
      <c r="L1914"/>
      <c r="M1914"/>
    </row>
    <row r="1915" spans="1:13" ht="15">
      <c r="A1915"/>
      <c r="B1915"/>
      <c r="C1915"/>
      <c r="D1915"/>
      <c r="E1915"/>
      <c r="F1915"/>
      <c r="G1915"/>
      <c r="H1915"/>
      <c r="I1915"/>
      <c r="J1915"/>
      <c r="K1915"/>
      <c r="L1915"/>
      <c r="M1915"/>
    </row>
    <row r="1916" spans="1:13" ht="15">
      <c r="A1916"/>
      <c r="B1916"/>
      <c r="C1916"/>
      <c r="D1916"/>
      <c r="E1916"/>
      <c r="F1916"/>
      <c r="G1916"/>
      <c r="H1916"/>
      <c r="I1916"/>
      <c r="J1916"/>
      <c r="K1916"/>
      <c r="L1916"/>
      <c r="M1916"/>
    </row>
    <row r="1917" spans="1:13" ht="15">
      <c r="A1917"/>
      <c r="B1917"/>
      <c r="C1917"/>
      <c r="D1917"/>
      <c r="E1917"/>
      <c r="F1917"/>
      <c r="G1917"/>
      <c r="H1917"/>
      <c r="I1917"/>
      <c r="J1917"/>
      <c r="K1917"/>
      <c r="L1917"/>
      <c r="M1917"/>
    </row>
    <row r="1918" spans="1:13" ht="15">
      <c r="A1918"/>
      <c r="B1918"/>
      <c r="C1918"/>
      <c r="D1918"/>
      <c r="E1918"/>
      <c r="F1918"/>
      <c r="G1918"/>
      <c r="H1918"/>
      <c r="I1918"/>
      <c r="J1918"/>
      <c r="K1918"/>
      <c r="L1918"/>
      <c r="M1918"/>
    </row>
    <row r="1919" spans="1:13" ht="15">
      <c r="A1919"/>
      <c r="B1919"/>
      <c r="C1919"/>
      <c r="D1919"/>
      <c r="E1919"/>
      <c r="F1919"/>
      <c r="G1919"/>
      <c r="H1919"/>
      <c r="I1919"/>
      <c r="J1919"/>
      <c r="K1919"/>
      <c r="L1919"/>
      <c r="M1919"/>
    </row>
    <row r="1920" spans="1:13" ht="15">
      <c r="A1920"/>
      <c r="B1920"/>
      <c r="C1920"/>
      <c r="D1920"/>
      <c r="E1920"/>
      <c r="F1920"/>
      <c r="G1920"/>
      <c r="H1920"/>
      <c r="I1920"/>
      <c r="J1920"/>
      <c r="K1920"/>
      <c r="L1920"/>
      <c r="M1920"/>
    </row>
    <row r="1921" spans="1:13" ht="15">
      <c r="A1921"/>
      <c r="B1921"/>
      <c r="C1921"/>
      <c r="D1921"/>
      <c r="E1921"/>
      <c r="F1921"/>
      <c r="G1921"/>
      <c r="H1921"/>
      <c r="I1921"/>
      <c r="J1921"/>
      <c r="K1921"/>
      <c r="L1921"/>
      <c r="M1921"/>
    </row>
    <row r="1922" spans="1:13" ht="15">
      <c r="A1922"/>
      <c r="B1922"/>
      <c r="C1922"/>
      <c r="D1922"/>
      <c r="E1922"/>
      <c r="F1922"/>
      <c r="G1922"/>
      <c r="H1922"/>
      <c r="I1922"/>
      <c r="J1922"/>
      <c r="K1922"/>
      <c r="L1922"/>
      <c r="M1922"/>
    </row>
    <row r="1923" spans="1:13" ht="15">
      <c r="A1923"/>
      <c r="B1923"/>
      <c r="C1923"/>
      <c r="D1923"/>
      <c r="E1923"/>
      <c r="F1923"/>
      <c r="G1923"/>
      <c r="H1923"/>
      <c r="I1923"/>
      <c r="J1923"/>
      <c r="K1923"/>
      <c r="L1923"/>
      <c r="M1923"/>
    </row>
    <row r="1924" spans="1:13" ht="15">
      <c r="A1924"/>
      <c r="B1924"/>
      <c r="C1924"/>
      <c r="D1924"/>
      <c r="E1924"/>
      <c r="F1924"/>
      <c r="G1924"/>
      <c r="H1924"/>
      <c r="I1924"/>
      <c r="J1924"/>
      <c r="K1924"/>
      <c r="L1924"/>
      <c r="M1924"/>
    </row>
    <row r="1925" spans="1:13" ht="15">
      <c r="A1925"/>
      <c r="B1925"/>
      <c r="C1925"/>
      <c r="D1925"/>
      <c r="E1925"/>
      <c r="F1925"/>
      <c r="G1925"/>
      <c r="H1925"/>
      <c r="I1925"/>
      <c r="J1925"/>
      <c r="K1925"/>
      <c r="L1925"/>
      <c r="M1925"/>
    </row>
    <row r="1926" spans="1:13" ht="15">
      <c r="A1926"/>
      <c r="B1926"/>
      <c r="C1926"/>
      <c r="D1926"/>
      <c r="E1926"/>
      <c r="F1926"/>
      <c r="G1926"/>
      <c r="H1926"/>
      <c r="I1926"/>
      <c r="J1926"/>
      <c r="K1926"/>
      <c r="L1926"/>
      <c r="M1926"/>
    </row>
    <row r="1927" spans="1:13" ht="15">
      <c r="A1927"/>
      <c r="B1927"/>
      <c r="C1927"/>
      <c r="D1927"/>
      <c r="E1927"/>
      <c r="F1927"/>
      <c r="G1927"/>
      <c r="H1927"/>
      <c r="I1927"/>
      <c r="J1927"/>
      <c r="K1927"/>
      <c r="L1927"/>
      <c r="M1927"/>
    </row>
    <row r="1928" spans="1:13" ht="15">
      <c r="A1928"/>
      <c r="B1928"/>
      <c r="C1928"/>
      <c r="D1928"/>
      <c r="E1928"/>
      <c r="F1928"/>
      <c r="G1928"/>
      <c r="H1928"/>
      <c r="I1928"/>
      <c r="J1928"/>
      <c r="K1928"/>
      <c r="L1928"/>
      <c r="M1928"/>
    </row>
    <row r="1929" spans="1:13" ht="15">
      <c r="A1929"/>
      <c r="B1929"/>
      <c r="C1929"/>
      <c r="D1929"/>
      <c r="E1929"/>
      <c r="F1929"/>
      <c r="G1929"/>
      <c r="H1929"/>
      <c r="I1929"/>
      <c r="J1929"/>
      <c r="K1929"/>
      <c r="L1929"/>
      <c r="M1929"/>
    </row>
    <row r="1930" spans="1:13" ht="15">
      <c r="A1930"/>
      <c r="B1930"/>
      <c r="C1930"/>
      <c r="D1930"/>
      <c r="E1930"/>
      <c r="F1930"/>
      <c r="G1930"/>
      <c r="H1930"/>
      <c r="I1930"/>
      <c r="J1930"/>
      <c r="K1930"/>
      <c r="L1930"/>
      <c r="M1930"/>
    </row>
    <row r="1931" spans="1:13" ht="15">
      <c r="A1931"/>
      <c r="B1931"/>
      <c r="C1931"/>
      <c r="D1931"/>
      <c r="E1931"/>
      <c r="F1931"/>
      <c r="G1931"/>
      <c r="H1931"/>
      <c r="I1931"/>
      <c r="J1931"/>
      <c r="K1931"/>
      <c r="L1931"/>
      <c r="M1931"/>
    </row>
    <row r="1932" spans="1:13" ht="15">
      <c r="A1932"/>
      <c r="B1932"/>
      <c r="C1932"/>
      <c r="D1932"/>
      <c r="E1932"/>
      <c r="F1932"/>
      <c r="G1932"/>
      <c r="H1932"/>
      <c r="I1932"/>
      <c r="J1932"/>
      <c r="K1932"/>
      <c r="L1932"/>
      <c r="M1932"/>
    </row>
    <row r="1933" spans="1:13" ht="15">
      <c r="A1933"/>
      <c r="B1933"/>
      <c r="C1933"/>
      <c r="D1933"/>
      <c r="E1933"/>
      <c r="F1933"/>
      <c r="G1933"/>
      <c r="H1933"/>
      <c r="I1933"/>
      <c r="J1933"/>
      <c r="K1933"/>
      <c r="L1933"/>
      <c r="M1933"/>
    </row>
    <row r="1934" spans="1:13" ht="15">
      <c r="A1934"/>
      <c r="B1934"/>
      <c r="C1934"/>
      <c r="D1934"/>
      <c r="E1934"/>
      <c r="F1934"/>
      <c r="G1934"/>
      <c r="H1934"/>
      <c r="I1934"/>
      <c r="J1934"/>
      <c r="K1934"/>
      <c r="L1934"/>
      <c r="M1934"/>
    </row>
    <row r="1935" spans="1:13" ht="15">
      <c r="A1935"/>
      <c r="B1935"/>
      <c r="C1935"/>
      <c r="D1935"/>
      <c r="E1935"/>
      <c r="F1935"/>
      <c r="G1935"/>
      <c r="H1935"/>
      <c r="I1935"/>
      <c r="J1935"/>
      <c r="K1935"/>
      <c r="L1935"/>
      <c r="M1935"/>
    </row>
    <row r="1936" spans="1:13" ht="15">
      <c r="A1936"/>
      <c r="B1936"/>
      <c r="C1936"/>
      <c r="D1936"/>
      <c r="E1936"/>
      <c r="F1936"/>
      <c r="G1936"/>
      <c r="H1936"/>
      <c r="I1936"/>
      <c r="J1936"/>
      <c r="K1936"/>
      <c r="L1936"/>
      <c r="M1936"/>
    </row>
    <row r="1937" spans="1:13" ht="15">
      <c r="A1937"/>
      <c r="B1937"/>
      <c r="C1937"/>
      <c r="D1937"/>
      <c r="E1937"/>
      <c r="F1937"/>
      <c r="G1937"/>
      <c r="H1937"/>
      <c r="I1937"/>
      <c r="J1937"/>
      <c r="K1937"/>
      <c r="L1937"/>
      <c r="M1937"/>
    </row>
    <row r="1938" spans="1:13" ht="15">
      <c r="A1938"/>
      <c r="B1938"/>
      <c r="C1938"/>
      <c r="D1938"/>
      <c r="E1938"/>
      <c r="F1938"/>
      <c r="G1938"/>
      <c r="H1938"/>
      <c r="I1938"/>
      <c r="J1938"/>
      <c r="K1938"/>
      <c r="L1938"/>
      <c r="M1938"/>
    </row>
    <row r="1939" spans="1:13" ht="15">
      <c r="A1939"/>
      <c r="B1939"/>
      <c r="C1939"/>
      <c r="D1939"/>
      <c r="E1939"/>
      <c r="F1939"/>
      <c r="G1939"/>
      <c r="H1939"/>
      <c r="I1939"/>
      <c r="J1939"/>
      <c r="K1939"/>
      <c r="L1939"/>
      <c r="M1939"/>
    </row>
    <row r="1940" spans="1:13" ht="15">
      <c r="A1940"/>
      <c r="B1940"/>
      <c r="C1940"/>
      <c r="D1940"/>
      <c r="E1940"/>
      <c r="F1940"/>
      <c r="G1940"/>
      <c r="H1940"/>
      <c r="I1940"/>
      <c r="J1940"/>
      <c r="K1940"/>
      <c r="L1940"/>
      <c r="M1940"/>
    </row>
    <row r="1941" spans="1:13" ht="15">
      <c r="A1941"/>
      <c r="B1941"/>
      <c r="C1941"/>
      <c r="D1941"/>
      <c r="E1941"/>
      <c r="F1941"/>
      <c r="G1941"/>
      <c r="H1941"/>
      <c r="I1941"/>
      <c r="J1941"/>
      <c r="K1941"/>
      <c r="L1941"/>
      <c r="M1941"/>
    </row>
    <row r="1942" spans="1:13" ht="15">
      <c r="A1942"/>
      <c r="B1942"/>
      <c r="C1942"/>
      <c r="D1942"/>
      <c r="E1942"/>
      <c r="F1942"/>
      <c r="G1942"/>
      <c r="H1942"/>
      <c r="I1942"/>
      <c r="J1942"/>
      <c r="K1942"/>
      <c r="L1942"/>
      <c r="M1942"/>
    </row>
    <row r="1943" spans="1:13" ht="15">
      <c r="A1943"/>
      <c r="B1943"/>
      <c r="C1943"/>
      <c r="D1943"/>
      <c r="E1943"/>
      <c r="F1943"/>
      <c r="G1943"/>
      <c r="H1943"/>
      <c r="I1943"/>
      <c r="J1943"/>
      <c r="K1943"/>
      <c r="L1943"/>
      <c r="M1943"/>
    </row>
    <row r="1944" spans="1:13" ht="15">
      <c r="A1944"/>
      <c r="B1944"/>
      <c r="C1944"/>
      <c r="D1944"/>
      <c r="E1944"/>
      <c r="F1944"/>
      <c r="G1944"/>
      <c r="H1944"/>
      <c r="I1944"/>
      <c r="J1944"/>
      <c r="K1944"/>
      <c r="L1944"/>
      <c r="M1944"/>
    </row>
    <row r="1945" spans="1:13" ht="15">
      <c r="A1945"/>
      <c r="B1945"/>
      <c r="C1945"/>
      <c r="D1945"/>
      <c r="E1945"/>
      <c r="F1945"/>
      <c r="G1945"/>
      <c r="H1945"/>
      <c r="I1945"/>
      <c r="J1945"/>
      <c r="K1945"/>
      <c r="L1945"/>
      <c r="M1945"/>
    </row>
    <row r="1946" spans="1:13" ht="15">
      <c r="A1946"/>
      <c r="B1946"/>
      <c r="C1946"/>
      <c r="D1946"/>
      <c r="E1946"/>
      <c r="F1946"/>
      <c r="G1946"/>
      <c r="H1946"/>
      <c r="I1946"/>
      <c r="J1946"/>
      <c r="K1946"/>
      <c r="L1946"/>
      <c r="M1946"/>
    </row>
    <row r="1947" spans="1:13" ht="15">
      <c r="A1947"/>
      <c r="B1947"/>
      <c r="C1947"/>
      <c r="D1947"/>
      <c r="E1947"/>
      <c r="F1947"/>
      <c r="G1947"/>
      <c r="H1947"/>
      <c r="I1947"/>
      <c r="J1947"/>
      <c r="K1947"/>
      <c r="L1947"/>
      <c r="M1947"/>
    </row>
    <row r="1948" spans="1:13" ht="15">
      <c r="A1948"/>
      <c r="B1948"/>
      <c r="C1948"/>
      <c r="D1948"/>
      <c r="E1948"/>
      <c r="F1948"/>
      <c r="G1948"/>
      <c r="H1948"/>
      <c r="I1948"/>
      <c r="J1948"/>
      <c r="K1948"/>
      <c r="L1948"/>
      <c r="M1948"/>
    </row>
    <row r="1949" spans="1:13" ht="15">
      <c r="A1949"/>
      <c r="B1949"/>
      <c r="C1949"/>
      <c r="D1949"/>
      <c r="E1949"/>
      <c r="F1949"/>
      <c r="G1949"/>
      <c r="H1949"/>
      <c r="I1949"/>
      <c r="J1949"/>
      <c r="K1949"/>
      <c r="L1949"/>
      <c r="M1949"/>
    </row>
    <row r="1950" spans="1:13" ht="15">
      <c r="A1950"/>
      <c r="B1950"/>
      <c r="C1950"/>
      <c r="D1950"/>
      <c r="E1950"/>
      <c r="F1950"/>
      <c r="G1950"/>
      <c r="H1950"/>
      <c r="I1950"/>
      <c r="J1950"/>
      <c r="K1950"/>
      <c r="L1950"/>
      <c r="M1950"/>
    </row>
    <row r="1951" spans="1:13" ht="15">
      <c r="A1951"/>
      <c r="B1951"/>
      <c r="C1951"/>
      <c r="D1951"/>
      <c r="E1951"/>
      <c r="F1951"/>
      <c r="G1951"/>
      <c r="H1951"/>
      <c r="I1951"/>
      <c r="J1951"/>
      <c r="K1951"/>
      <c r="L1951"/>
      <c r="M1951"/>
    </row>
    <row r="1952" spans="1:13" ht="15">
      <c r="A1952"/>
      <c r="B1952"/>
      <c r="C1952"/>
      <c r="D1952"/>
      <c r="E1952"/>
      <c r="F1952"/>
      <c r="G1952"/>
      <c r="H1952"/>
      <c r="I1952"/>
      <c r="J1952"/>
      <c r="K1952"/>
      <c r="L1952"/>
      <c r="M1952"/>
    </row>
    <row r="1953" spans="1:13" ht="15">
      <c r="A1953"/>
      <c r="B1953"/>
      <c r="C1953"/>
      <c r="D1953"/>
      <c r="E1953"/>
      <c r="F1953"/>
      <c r="G1953"/>
      <c r="H1953"/>
      <c r="I1953"/>
      <c r="J1953"/>
      <c r="K1953"/>
      <c r="L1953"/>
      <c r="M1953"/>
    </row>
    <row r="1954" spans="1:13" ht="15">
      <c r="A1954"/>
      <c r="B1954"/>
      <c r="C1954"/>
      <c r="D1954"/>
      <c r="E1954"/>
      <c r="F1954"/>
      <c r="G1954"/>
      <c r="H1954"/>
      <c r="I1954"/>
      <c r="J1954"/>
      <c r="K1954"/>
      <c r="L1954"/>
      <c r="M1954"/>
    </row>
    <row r="1955" spans="1:13" ht="15">
      <c r="A1955"/>
      <c r="B1955"/>
      <c r="C1955"/>
      <c r="D1955"/>
      <c r="E1955"/>
      <c r="F1955"/>
      <c r="G1955"/>
      <c r="H1955"/>
      <c r="I1955"/>
      <c r="J1955"/>
      <c r="K1955"/>
      <c r="L1955"/>
      <c r="M1955"/>
    </row>
    <row r="1956" spans="1:13" ht="15">
      <c r="A1956"/>
      <c r="B1956"/>
      <c r="C1956"/>
      <c r="D1956"/>
      <c r="E1956"/>
      <c r="F1956"/>
      <c r="G1956"/>
      <c r="H1956"/>
      <c r="I1956"/>
      <c r="J1956"/>
      <c r="K1956"/>
      <c r="L1956"/>
      <c r="M1956"/>
    </row>
    <row r="1957" spans="1:13" ht="15">
      <c r="A1957"/>
      <c r="B1957"/>
      <c r="C1957"/>
      <c r="D1957"/>
      <c r="E1957"/>
      <c r="F1957"/>
      <c r="G1957"/>
      <c r="H1957"/>
      <c r="I1957"/>
      <c r="J1957"/>
      <c r="K1957"/>
      <c r="L1957"/>
      <c r="M1957"/>
    </row>
    <row r="1958" spans="1:13" ht="15">
      <c r="A1958"/>
      <c r="B1958"/>
      <c r="C1958"/>
      <c r="D1958"/>
      <c r="E1958"/>
      <c r="F1958"/>
      <c r="G1958"/>
      <c r="H1958"/>
      <c r="I1958"/>
      <c r="J1958"/>
      <c r="K1958"/>
      <c r="L1958"/>
      <c r="M1958"/>
    </row>
    <row r="1959" spans="1:13" ht="15">
      <c r="A1959"/>
      <c r="B1959"/>
      <c r="C1959"/>
      <c r="D1959"/>
      <c r="E1959"/>
      <c r="F1959"/>
      <c r="G1959"/>
      <c r="H1959"/>
      <c r="I1959"/>
      <c r="J1959"/>
      <c r="K1959"/>
      <c r="L1959"/>
      <c r="M1959"/>
    </row>
    <row r="1960" spans="1:13" ht="15">
      <c r="A1960"/>
      <c r="B1960"/>
      <c r="C1960"/>
      <c r="D1960"/>
      <c r="E1960"/>
      <c r="F1960"/>
      <c r="G1960"/>
      <c r="H1960"/>
      <c r="I1960"/>
      <c r="J1960"/>
      <c r="K1960"/>
      <c r="L1960"/>
      <c r="M1960"/>
    </row>
    <row r="1961" spans="1:13" ht="15">
      <c r="A1961"/>
      <c r="B1961"/>
      <c r="C1961"/>
      <c r="D1961"/>
      <c r="E1961"/>
      <c r="F1961"/>
      <c r="G1961"/>
      <c r="H1961"/>
      <c r="I1961"/>
      <c r="J1961"/>
      <c r="K1961"/>
      <c r="L1961"/>
      <c r="M1961"/>
    </row>
    <row r="1962" spans="1:13" ht="15">
      <c r="A1962"/>
      <c r="B1962"/>
      <c r="C1962"/>
      <c r="D1962"/>
      <c r="E1962"/>
      <c r="F1962"/>
      <c r="G1962"/>
      <c r="H1962"/>
      <c r="I1962"/>
      <c r="J1962"/>
      <c r="K1962"/>
      <c r="L1962"/>
      <c r="M1962"/>
    </row>
    <row r="1963" spans="1:13" ht="15">
      <c r="A1963"/>
      <c r="B1963"/>
      <c r="C1963"/>
      <c r="D1963"/>
      <c r="E1963"/>
      <c r="F1963"/>
      <c r="G1963"/>
      <c r="H1963"/>
      <c r="I1963"/>
      <c r="J1963"/>
      <c r="K1963"/>
      <c r="L1963"/>
      <c r="M1963"/>
    </row>
    <row r="1964" spans="1:13" ht="15">
      <c r="A1964"/>
      <c r="B1964"/>
      <c r="C1964"/>
      <c r="D1964"/>
      <c r="E1964"/>
      <c r="F1964"/>
      <c r="G1964"/>
      <c r="H1964"/>
      <c r="I1964"/>
      <c r="J1964"/>
      <c r="K1964"/>
      <c r="L1964"/>
      <c r="M1964"/>
    </row>
    <row r="1965" spans="1:13" ht="15">
      <c r="A1965"/>
      <c r="B1965"/>
      <c r="C1965"/>
      <c r="D1965"/>
      <c r="E1965"/>
      <c r="F1965"/>
      <c r="G1965"/>
      <c r="H1965"/>
      <c r="I1965"/>
      <c r="J1965"/>
      <c r="K1965"/>
      <c r="L1965"/>
      <c r="M1965"/>
    </row>
    <row r="1966" spans="1:13" ht="15">
      <c r="A1966"/>
      <c r="B1966"/>
      <c r="C1966"/>
      <c r="D1966"/>
      <c r="E1966"/>
      <c r="F1966"/>
      <c r="G1966"/>
      <c r="H1966"/>
      <c r="I1966"/>
      <c r="J1966"/>
      <c r="K1966"/>
      <c r="L1966"/>
      <c r="M1966"/>
    </row>
    <row r="1967" spans="1:13" ht="15">
      <c r="A1967"/>
      <c r="B1967"/>
      <c r="C1967"/>
      <c r="D1967"/>
      <c r="E1967"/>
      <c r="F1967"/>
      <c r="G1967"/>
      <c r="H1967"/>
      <c r="I1967"/>
      <c r="J1967"/>
      <c r="K1967"/>
      <c r="L1967"/>
      <c r="M1967"/>
    </row>
    <row r="1968" spans="1:13" ht="15">
      <c r="A1968"/>
      <c r="B1968"/>
      <c r="C1968"/>
      <c r="D1968"/>
      <c r="E1968"/>
      <c r="F1968"/>
      <c r="G1968"/>
      <c r="H1968"/>
      <c r="I1968"/>
      <c r="J1968"/>
      <c r="K1968"/>
      <c r="L1968"/>
      <c r="M1968"/>
    </row>
    <row r="1969" spans="1:13" ht="15">
      <c r="A1969"/>
      <c r="B1969"/>
      <c r="C1969"/>
      <c r="D1969"/>
      <c r="E1969"/>
      <c r="F1969"/>
      <c r="G1969"/>
      <c r="H1969"/>
      <c r="I1969"/>
      <c r="J1969"/>
      <c r="K1969"/>
      <c r="L1969"/>
      <c r="M1969"/>
    </row>
    <row r="1970" spans="1:13" ht="15">
      <c r="A1970"/>
      <c r="B1970"/>
      <c r="C1970"/>
      <c r="D1970"/>
      <c r="E1970"/>
      <c r="F1970"/>
      <c r="G1970"/>
      <c r="H1970"/>
      <c r="I1970"/>
      <c r="J1970"/>
      <c r="K1970"/>
      <c r="L1970"/>
      <c r="M1970"/>
    </row>
    <row r="1971" spans="1:13" ht="15">
      <c r="A1971"/>
      <c r="B1971"/>
      <c r="C1971"/>
      <c r="D1971"/>
      <c r="E1971"/>
      <c r="F1971"/>
      <c r="G1971"/>
      <c r="H1971"/>
      <c r="I1971"/>
      <c r="J1971"/>
      <c r="K1971"/>
      <c r="L1971"/>
      <c r="M1971"/>
    </row>
    <row r="1972" spans="1:13" ht="15">
      <c r="A1972"/>
      <c r="B1972"/>
      <c r="C1972"/>
      <c r="D1972"/>
      <c r="E1972"/>
      <c r="F1972"/>
      <c r="G1972"/>
      <c r="H1972"/>
      <c r="I1972"/>
      <c r="J1972"/>
      <c r="K1972"/>
      <c r="L1972"/>
      <c r="M1972"/>
    </row>
    <row r="1973" spans="1:13" ht="15">
      <c r="A1973"/>
      <c r="B1973"/>
      <c r="C1973"/>
      <c r="D1973"/>
      <c r="E1973"/>
      <c r="F1973"/>
      <c r="G1973"/>
      <c r="H1973"/>
      <c r="I1973"/>
      <c r="J1973"/>
      <c r="K1973"/>
      <c r="L1973"/>
      <c r="M1973"/>
    </row>
    <row r="1974" spans="1:13" ht="15">
      <c r="A1974"/>
      <c r="B1974"/>
      <c r="C1974"/>
      <c r="D1974"/>
      <c r="E1974"/>
      <c r="F1974"/>
      <c r="G1974"/>
      <c r="H1974"/>
      <c r="I1974"/>
      <c r="J1974"/>
      <c r="K1974"/>
      <c r="L1974"/>
      <c r="M1974"/>
    </row>
    <row r="1975" spans="1:13" ht="15">
      <c r="A1975"/>
      <c r="B1975"/>
      <c r="C1975"/>
      <c r="D1975"/>
      <c r="E1975"/>
      <c r="F1975"/>
      <c r="G1975"/>
      <c r="H1975"/>
      <c r="I1975"/>
      <c r="J1975"/>
      <c r="K1975"/>
      <c r="L1975"/>
      <c r="M1975"/>
    </row>
    <row r="1976" spans="1:13" ht="15">
      <c r="A1976"/>
      <c r="B1976"/>
      <c r="C1976"/>
      <c r="D1976"/>
      <c r="E1976"/>
      <c r="F1976"/>
      <c r="G1976"/>
      <c r="H1976"/>
      <c r="I1976"/>
      <c r="J1976"/>
      <c r="K1976"/>
      <c r="L1976"/>
      <c r="M1976"/>
    </row>
    <row r="1977" spans="1:13" ht="15">
      <c r="A1977"/>
      <c r="B1977"/>
      <c r="C1977"/>
      <c r="D1977"/>
      <c r="E1977"/>
      <c r="F1977"/>
      <c r="G1977"/>
      <c r="H1977"/>
      <c r="I1977"/>
      <c r="J1977"/>
      <c r="K1977"/>
      <c r="L1977"/>
      <c r="M1977"/>
    </row>
    <row r="1978" spans="1:13" ht="15">
      <c r="A1978"/>
      <c r="B1978"/>
      <c r="C1978"/>
      <c r="D1978"/>
      <c r="E1978"/>
      <c r="F1978"/>
      <c r="G1978"/>
      <c r="H1978"/>
      <c r="I1978"/>
      <c r="J1978"/>
      <c r="K1978"/>
      <c r="L1978"/>
      <c r="M1978"/>
    </row>
    <row r="1979" spans="1:13" ht="15">
      <c r="A1979"/>
      <c r="B1979"/>
      <c r="C1979"/>
      <c r="D1979"/>
      <c r="E1979"/>
      <c r="F1979"/>
      <c r="G1979"/>
      <c r="H1979"/>
      <c r="I1979"/>
      <c r="J1979"/>
      <c r="K1979"/>
      <c r="L1979"/>
      <c r="M1979"/>
    </row>
    <row r="1980" spans="1:13" ht="15">
      <c r="A1980"/>
      <c r="B1980"/>
      <c r="C1980"/>
      <c r="D1980"/>
      <c r="E1980"/>
      <c r="F1980"/>
      <c r="G1980"/>
      <c r="H1980"/>
      <c r="I1980"/>
      <c r="J1980"/>
      <c r="K1980"/>
      <c r="L1980"/>
      <c r="M1980"/>
    </row>
    <row r="1981" spans="1:13" ht="15">
      <c r="A1981"/>
      <c r="B1981"/>
      <c r="C1981"/>
      <c r="D1981"/>
      <c r="E1981"/>
      <c r="F1981"/>
      <c r="G1981"/>
      <c r="H1981"/>
      <c r="I1981"/>
      <c r="J1981"/>
      <c r="K1981"/>
      <c r="L1981"/>
      <c r="M1981"/>
    </row>
    <row r="1982" spans="1:13" ht="15">
      <c r="A1982"/>
      <c r="B1982"/>
      <c r="C1982"/>
      <c r="D1982"/>
      <c r="E1982"/>
      <c r="F1982"/>
      <c r="G1982"/>
      <c r="H1982"/>
      <c r="I1982"/>
      <c r="J1982"/>
      <c r="K1982"/>
      <c r="L1982"/>
      <c r="M1982"/>
    </row>
    <row r="1983" spans="1:13" ht="15">
      <c r="A1983"/>
      <c r="B1983"/>
      <c r="C1983"/>
      <c r="D1983"/>
      <c r="E1983"/>
      <c r="F1983"/>
      <c r="G1983"/>
      <c r="H1983"/>
      <c r="I1983"/>
      <c r="J1983"/>
      <c r="K1983"/>
      <c r="L1983"/>
      <c r="M1983"/>
    </row>
    <row r="1984" spans="1:13" ht="15">
      <c r="A1984"/>
      <c r="B1984"/>
      <c r="C1984"/>
      <c r="D1984"/>
      <c r="E1984"/>
      <c r="F1984"/>
      <c r="G1984"/>
      <c r="H1984"/>
      <c r="I1984"/>
      <c r="J1984"/>
      <c r="K1984"/>
      <c r="L1984"/>
      <c r="M1984"/>
    </row>
    <row r="1985" spans="1:13" ht="15">
      <c r="A1985"/>
      <c r="B1985"/>
      <c r="C1985"/>
      <c r="D1985"/>
      <c r="E1985"/>
      <c r="F1985"/>
      <c r="G1985"/>
      <c r="H1985"/>
      <c r="I1985"/>
      <c r="J1985"/>
      <c r="K1985"/>
      <c r="L1985"/>
      <c r="M1985"/>
    </row>
    <row r="1986" spans="1:13" ht="15">
      <c r="A1986"/>
      <c r="B1986"/>
      <c r="C1986"/>
      <c r="D1986"/>
      <c r="E1986"/>
      <c r="F1986"/>
      <c r="G1986"/>
      <c r="H1986"/>
      <c r="I1986"/>
      <c r="J1986"/>
      <c r="K1986"/>
      <c r="L1986"/>
      <c r="M1986"/>
    </row>
    <row r="1987" spans="1:13" ht="15">
      <c r="A1987"/>
      <c r="B1987"/>
      <c r="C1987"/>
      <c r="D1987"/>
      <c r="E1987"/>
      <c r="F1987"/>
      <c r="G1987"/>
      <c r="H1987"/>
      <c r="I1987"/>
      <c r="J1987"/>
      <c r="K1987"/>
      <c r="L1987"/>
      <c r="M1987"/>
    </row>
    <row r="1988" spans="1:13" ht="15">
      <c r="A1988"/>
      <c r="B1988"/>
      <c r="C1988"/>
      <c r="D1988"/>
      <c r="E1988"/>
      <c r="F1988"/>
      <c r="G1988"/>
      <c r="H1988"/>
      <c r="I1988"/>
      <c r="J1988"/>
      <c r="K1988"/>
      <c r="L1988"/>
      <c r="M1988"/>
    </row>
    <row r="1989" spans="1:13" ht="15">
      <c r="A1989"/>
      <c r="B1989"/>
      <c r="C1989"/>
      <c r="D1989"/>
      <c r="E1989"/>
      <c r="F1989"/>
      <c r="G1989"/>
      <c r="H1989"/>
      <c r="I1989"/>
      <c r="J1989"/>
      <c r="K1989"/>
      <c r="L1989"/>
      <c r="M1989"/>
    </row>
    <row r="1990" spans="1:13" ht="15">
      <c r="A1990"/>
      <c r="B1990"/>
      <c r="C1990"/>
      <c r="D1990"/>
      <c r="E1990"/>
      <c r="F1990"/>
      <c r="G1990"/>
      <c r="H1990"/>
      <c r="I1990"/>
      <c r="J1990"/>
      <c r="K1990"/>
      <c r="L1990"/>
      <c r="M1990"/>
    </row>
    <row r="1991" spans="1:13" ht="15">
      <c r="A1991"/>
      <c r="B1991"/>
      <c r="C1991"/>
      <c r="D1991"/>
      <c r="E1991"/>
      <c r="F1991"/>
      <c r="G1991"/>
      <c r="H1991"/>
      <c r="I1991"/>
      <c r="J1991"/>
      <c r="K1991"/>
      <c r="L1991"/>
      <c r="M1991"/>
    </row>
    <row r="1992" spans="1:13" ht="15">
      <c r="A1992"/>
      <c r="B1992"/>
      <c r="C1992"/>
      <c r="D1992"/>
      <c r="E1992"/>
      <c r="F1992"/>
      <c r="G1992"/>
      <c r="H1992"/>
      <c r="I1992"/>
      <c r="J1992"/>
      <c r="K1992"/>
      <c r="L1992"/>
      <c r="M1992"/>
    </row>
    <row r="1993" spans="1:13" ht="15">
      <c r="A1993"/>
      <c r="B1993"/>
      <c r="C1993"/>
      <c r="D1993"/>
      <c r="E1993"/>
      <c r="F1993"/>
      <c r="G1993"/>
      <c r="H1993"/>
      <c r="I1993"/>
      <c r="J1993"/>
      <c r="K1993"/>
      <c r="L1993"/>
      <c r="M1993"/>
    </row>
    <row r="1994" spans="1:13" ht="15">
      <c r="A1994"/>
      <c r="B1994"/>
      <c r="C1994"/>
      <c r="D1994"/>
      <c r="E1994"/>
      <c r="F1994"/>
      <c r="G1994"/>
      <c r="H1994"/>
      <c r="I1994"/>
      <c r="J1994"/>
      <c r="K1994"/>
      <c r="L1994"/>
      <c r="M1994"/>
    </row>
    <row r="1995" spans="1:13" ht="15">
      <c r="A1995"/>
      <c r="B1995"/>
      <c r="C1995"/>
      <c r="D1995"/>
      <c r="E1995"/>
      <c r="F1995"/>
      <c r="G1995"/>
      <c r="H1995"/>
      <c r="I1995"/>
      <c r="J1995"/>
      <c r="K1995"/>
      <c r="L1995"/>
      <c r="M1995"/>
    </row>
    <row r="1996" spans="1:13" ht="15">
      <c r="A1996"/>
      <c r="B1996"/>
      <c r="C1996"/>
      <c r="D1996"/>
      <c r="E1996"/>
      <c r="F1996"/>
      <c r="G1996"/>
      <c r="H1996"/>
      <c r="I1996"/>
      <c r="J1996"/>
      <c r="K1996"/>
      <c r="L1996"/>
      <c r="M1996"/>
    </row>
    <row r="1997" spans="1:13" ht="15">
      <c r="A1997"/>
      <c r="B1997"/>
      <c r="C1997"/>
      <c r="D1997"/>
      <c r="E1997"/>
      <c r="F1997"/>
      <c r="G1997"/>
      <c r="H1997"/>
      <c r="I1997"/>
      <c r="J1997"/>
      <c r="K1997"/>
      <c r="L1997"/>
      <c r="M1997"/>
    </row>
    <row r="1998" spans="1:13" ht="15">
      <c r="A1998"/>
      <c r="B1998"/>
      <c r="C1998"/>
      <c r="D1998"/>
      <c r="E1998"/>
      <c r="F1998"/>
      <c r="G1998"/>
      <c r="H1998"/>
      <c r="I1998"/>
      <c r="J1998"/>
      <c r="K1998"/>
      <c r="L1998"/>
      <c r="M1998"/>
    </row>
    <row r="1999" spans="1:13" ht="15">
      <c r="A1999"/>
      <c r="B1999"/>
      <c r="C1999"/>
      <c r="D1999"/>
      <c r="E1999"/>
      <c r="F1999"/>
      <c r="G1999"/>
      <c r="H1999"/>
      <c r="I1999"/>
      <c r="J1999"/>
      <c r="K1999"/>
      <c r="L1999"/>
      <c r="M1999"/>
    </row>
    <row r="2000" spans="1:13" ht="15">
      <c r="A2000"/>
      <c r="B2000"/>
      <c r="C2000"/>
      <c r="D2000"/>
      <c r="E2000"/>
      <c r="F2000"/>
      <c r="G2000"/>
      <c r="H2000"/>
      <c r="I2000"/>
      <c r="J2000"/>
      <c r="K2000"/>
      <c r="L2000"/>
      <c r="M2000"/>
    </row>
    <row r="2001" spans="1:13" ht="15">
      <c r="A2001"/>
      <c r="B2001"/>
      <c r="C2001"/>
      <c r="D2001"/>
      <c r="E2001"/>
      <c r="F2001"/>
      <c r="G2001"/>
      <c r="H2001"/>
      <c r="I2001"/>
      <c r="J2001"/>
      <c r="K2001"/>
      <c r="L2001"/>
      <c r="M2001"/>
    </row>
    <row r="2002" spans="1:13" ht="15">
      <c r="A2002"/>
      <c r="B2002"/>
      <c r="C2002"/>
      <c r="D2002"/>
      <c r="E2002"/>
      <c r="F2002"/>
      <c r="G2002"/>
      <c r="H2002"/>
      <c r="I2002"/>
      <c r="J2002"/>
      <c r="K2002"/>
      <c r="L2002"/>
      <c r="M2002"/>
    </row>
    <row r="2003" spans="1:13" ht="15">
      <c r="A2003"/>
      <c r="B2003"/>
      <c r="C2003"/>
      <c r="D2003"/>
      <c r="E2003"/>
      <c r="F2003"/>
      <c r="G2003"/>
      <c r="H2003"/>
      <c r="I2003"/>
      <c r="J2003"/>
      <c r="K2003"/>
      <c r="L2003"/>
      <c r="M2003"/>
    </row>
    <row r="2004" spans="1:13" ht="15">
      <c r="A2004"/>
      <c r="B2004"/>
      <c r="C2004"/>
      <c r="D2004"/>
      <c r="E2004"/>
      <c r="F2004"/>
      <c r="G2004"/>
      <c r="H2004"/>
      <c r="I2004"/>
      <c r="J2004"/>
      <c r="K2004"/>
      <c r="L2004"/>
      <c r="M2004"/>
    </row>
    <row r="2005" spans="1:13" ht="15">
      <c r="A2005"/>
      <c r="B2005"/>
      <c r="C2005"/>
      <c r="D2005"/>
      <c r="E2005"/>
      <c r="F2005"/>
      <c r="G2005"/>
      <c r="H2005"/>
      <c r="I2005"/>
      <c r="J2005"/>
      <c r="K2005"/>
      <c r="L2005"/>
      <c r="M2005"/>
    </row>
    <row r="2006" spans="1:13" ht="15">
      <c r="A2006"/>
      <c r="B2006"/>
      <c r="C2006"/>
      <c r="D2006"/>
      <c r="E2006"/>
      <c r="F2006"/>
      <c r="G2006"/>
      <c r="H2006"/>
      <c r="I2006"/>
      <c r="J2006"/>
      <c r="K2006"/>
      <c r="L2006"/>
      <c r="M2006"/>
    </row>
    <row r="2007" spans="1:13" ht="15">
      <c r="A2007"/>
      <c r="B2007"/>
      <c r="C2007"/>
      <c r="D2007"/>
      <c r="E2007"/>
      <c r="F2007"/>
      <c r="G2007"/>
      <c r="H2007"/>
      <c r="I2007"/>
      <c r="J2007"/>
      <c r="K2007"/>
      <c r="L2007"/>
      <c r="M2007"/>
    </row>
    <row r="2008" spans="1:13" ht="15">
      <c r="A2008"/>
      <c r="B2008"/>
      <c r="C2008"/>
      <c r="D2008"/>
      <c r="E2008"/>
      <c r="F2008"/>
      <c r="G2008"/>
      <c r="H2008"/>
      <c r="I2008"/>
      <c r="J2008"/>
      <c r="K2008"/>
      <c r="L2008"/>
      <c r="M2008"/>
    </row>
    <row r="2009" spans="1:13" ht="15">
      <c r="A2009"/>
      <c r="B2009"/>
      <c r="C2009"/>
      <c r="D2009"/>
      <c r="E2009"/>
      <c r="F2009"/>
      <c r="G2009"/>
      <c r="H2009"/>
      <c r="I2009"/>
      <c r="J2009"/>
      <c r="K2009"/>
      <c r="L2009"/>
      <c r="M2009"/>
    </row>
    <row r="2010" spans="1:13" ht="15">
      <c r="A2010"/>
      <c r="B2010"/>
      <c r="C2010"/>
      <c r="D2010"/>
      <c r="E2010"/>
      <c r="F2010"/>
      <c r="G2010"/>
      <c r="H2010"/>
      <c r="I2010"/>
      <c r="J2010"/>
      <c r="K2010"/>
      <c r="L2010"/>
      <c r="M2010"/>
    </row>
    <row r="2011" spans="1:13" ht="15">
      <c r="A2011"/>
      <c r="B2011"/>
      <c r="C2011"/>
      <c r="D2011"/>
      <c r="E2011"/>
      <c r="F2011"/>
      <c r="G2011"/>
      <c r="H2011"/>
      <c r="I2011"/>
      <c r="J2011"/>
      <c r="K2011"/>
      <c r="L2011"/>
      <c r="M2011"/>
    </row>
    <row r="2012" spans="1:13" ht="15">
      <c r="A2012"/>
      <c r="B2012"/>
      <c r="C2012"/>
      <c r="D2012"/>
      <c r="E2012"/>
      <c r="F2012"/>
      <c r="G2012"/>
      <c r="H2012"/>
      <c r="I2012"/>
      <c r="J2012"/>
      <c r="K2012"/>
      <c r="L2012"/>
      <c r="M2012"/>
    </row>
    <row r="2013" spans="1:13" ht="15">
      <c r="A2013"/>
      <c r="B2013"/>
      <c r="C2013"/>
      <c r="D2013"/>
      <c r="E2013"/>
      <c r="F2013"/>
      <c r="G2013"/>
      <c r="H2013"/>
      <c r="I2013"/>
      <c r="J2013"/>
      <c r="K2013"/>
      <c r="L2013"/>
      <c r="M2013"/>
    </row>
    <row r="2014" spans="1:13" ht="15">
      <c r="A2014"/>
      <c r="B2014"/>
      <c r="C2014"/>
      <c r="D2014"/>
      <c r="E2014"/>
      <c r="F2014"/>
      <c r="G2014"/>
      <c r="H2014"/>
      <c r="I2014"/>
      <c r="J2014"/>
      <c r="K2014"/>
      <c r="L2014"/>
      <c r="M2014"/>
    </row>
    <row r="2015" spans="1:13" ht="15">
      <c r="A2015"/>
      <c r="B2015"/>
      <c r="C2015"/>
      <c r="D2015"/>
      <c r="E2015"/>
      <c r="F2015"/>
      <c r="G2015"/>
      <c r="H2015"/>
      <c r="I2015"/>
      <c r="J2015"/>
      <c r="K2015"/>
      <c r="L2015"/>
      <c r="M2015"/>
    </row>
    <row r="2016" spans="1:13" ht="15">
      <c r="A2016"/>
      <c r="B2016"/>
      <c r="C2016"/>
      <c r="D2016"/>
      <c r="E2016"/>
      <c r="F2016"/>
      <c r="G2016"/>
      <c r="H2016"/>
      <c r="I2016"/>
      <c r="J2016"/>
      <c r="K2016"/>
      <c r="L2016"/>
      <c r="M2016"/>
    </row>
    <row r="2017" spans="1:13" ht="15">
      <c r="A2017"/>
      <c r="B2017"/>
      <c r="C2017"/>
      <c r="D2017"/>
      <c r="E2017"/>
      <c r="F2017"/>
      <c r="G2017"/>
      <c r="H2017"/>
      <c r="I2017"/>
      <c r="J2017"/>
      <c r="K2017"/>
      <c r="L2017"/>
      <c r="M2017"/>
    </row>
    <row r="2018" spans="1:13" ht="15">
      <c r="A2018"/>
      <c r="B2018"/>
      <c r="C2018"/>
      <c r="D2018"/>
      <c r="E2018"/>
      <c r="F2018"/>
      <c r="G2018"/>
      <c r="H2018"/>
      <c r="I2018"/>
      <c r="J2018"/>
      <c r="K2018"/>
      <c r="L2018"/>
      <c r="M2018"/>
    </row>
    <row r="2019" spans="1:13" ht="15">
      <c r="A2019"/>
      <c r="B2019"/>
      <c r="C2019"/>
      <c r="D2019"/>
      <c r="E2019"/>
      <c r="F2019"/>
      <c r="G2019"/>
      <c r="H2019"/>
      <c r="I2019"/>
      <c r="J2019"/>
      <c r="K2019"/>
      <c r="L2019"/>
      <c r="M2019"/>
    </row>
    <row r="2020" spans="1:13" ht="15">
      <c r="A2020"/>
      <c r="B2020"/>
      <c r="C2020"/>
      <c r="D2020"/>
      <c r="E2020"/>
      <c r="F2020"/>
      <c r="G2020"/>
      <c r="H2020"/>
      <c r="I2020"/>
      <c r="J2020"/>
      <c r="K2020"/>
      <c r="L2020"/>
      <c r="M2020"/>
    </row>
    <row r="2021" spans="1:13" ht="15">
      <c r="A2021"/>
      <c r="B2021"/>
      <c r="C2021"/>
      <c r="D2021"/>
      <c r="E2021"/>
      <c r="F2021"/>
      <c r="G2021"/>
      <c r="H2021"/>
      <c r="I2021"/>
      <c r="J2021"/>
      <c r="K2021"/>
      <c r="L2021"/>
      <c r="M2021"/>
    </row>
    <row r="2022" spans="1:13" ht="15">
      <c r="A2022"/>
      <c r="B2022"/>
      <c r="C2022"/>
      <c r="D2022"/>
      <c r="E2022"/>
      <c r="F2022"/>
      <c r="G2022"/>
      <c r="H2022"/>
      <c r="I2022"/>
      <c r="J2022"/>
      <c r="K2022"/>
      <c r="L2022"/>
      <c r="M2022"/>
    </row>
    <row r="2023" spans="1:13" ht="15">
      <c r="A2023"/>
      <c r="B2023"/>
      <c r="C2023"/>
      <c r="D2023"/>
      <c r="E2023"/>
      <c r="F2023"/>
      <c r="G2023"/>
      <c r="H2023"/>
      <c r="I2023"/>
      <c r="J2023"/>
      <c r="K2023"/>
      <c r="L2023"/>
      <c r="M2023"/>
    </row>
    <row r="2024" spans="1:13" ht="15">
      <c r="A2024"/>
      <c r="B2024"/>
      <c r="C2024"/>
      <c r="D2024"/>
      <c r="E2024"/>
      <c r="F2024"/>
      <c r="G2024"/>
      <c r="H2024"/>
      <c r="I2024"/>
      <c r="J2024"/>
      <c r="K2024"/>
      <c r="L2024"/>
      <c r="M2024"/>
    </row>
    <row r="2025" spans="1:13" ht="15">
      <c r="A2025"/>
      <c r="B2025"/>
      <c r="C2025"/>
      <c r="D2025"/>
      <c r="E2025"/>
      <c r="F2025"/>
      <c r="G2025"/>
      <c r="H2025"/>
      <c r="I2025"/>
      <c r="J2025"/>
      <c r="K2025"/>
      <c r="L2025"/>
      <c r="M2025"/>
    </row>
    <row r="2026" spans="1:13" ht="15">
      <c r="A2026"/>
      <c r="B2026"/>
      <c r="C2026"/>
      <c r="D2026"/>
      <c r="E2026"/>
      <c r="F2026"/>
      <c r="G2026"/>
      <c r="H2026"/>
      <c r="I2026"/>
      <c r="J2026"/>
      <c r="K2026"/>
      <c r="L2026"/>
      <c r="M2026"/>
    </row>
    <row r="2027" spans="1:13" ht="15">
      <c r="A2027"/>
      <c r="B2027"/>
      <c r="C2027"/>
      <c r="D2027"/>
      <c r="E2027"/>
      <c r="F2027"/>
      <c r="G2027"/>
      <c r="H2027"/>
      <c r="I2027"/>
      <c r="J2027"/>
      <c r="K2027"/>
      <c r="L2027"/>
      <c r="M2027"/>
    </row>
    <row r="2028" spans="1:13" ht="15">
      <c r="A2028"/>
      <c r="B2028"/>
      <c r="C2028"/>
      <c r="D2028"/>
      <c r="E2028"/>
      <c r="F2028"/>
      <c r="G2028"/>
      <c r="H2028"/>
      <c r="I2028"/>
      <c r="J2028"/>
      <c r="K2028"/>
      <c r="L2028"/>
      <c r="M2028"/>
    </row>
    <row r="2029" spans="1:13" ht="15">
      <c r="A2029"/>
      <c r="B2029"/>
      <c r="C2029"/>
      <c r="D2029"/>
      <c r="E2029"/>
      <c r="F2029"/>
      <c r="G2029"/>
      <c r="H2029"/>
      <c r="I2029"/>
      <c r="J2029"/>
      <c r="K2029"/>
      <c r="L2029"/>
      <c r="M2029"/>
    </row>
    <row r="2030" spans="1:13" ht="15">
      <c r="A2030"/>
      <c r="B2030"/>
      <c r="C2030"/>
      <c r="D2030"/>
      <c r="E2030"/>
      <c r="F2030"/>
      <c r="G2030"/>
      <c r="H2030"/>
      <c r="I2030"/>
      <c r="J2030"/>
      <c r="K2030"/>
      <c r="L2030"/>
      <c r="M2030"/>
    </row>
    <row r="2031" spans="1:13" ht="15">
      <c r="A2031"/>
      <c r="B2031"/>
      <c r="C2031"/>
      <c r="D2031"/>
      <c r="E2031"/>
      <c r="F2031"/>
      <c r="G2031"/>
      <c r="H2031"/>
      <c r="I2031"/>
      <c r="J2031"/>
      <c r="K2031"/>
      <c r="L2031"/>
      <c r="M2031"/>
    </row>
    <row r="2032" spans="1:13" ht="15">
      <c r="A2032"/>
      <c r="B2032"/>
      <c r="C2032"/>
      <c r="D2032"/>
      <c r="E2032"/>
      <c r="F2032"/>
      <c r="G2032"/>
      <c r="H2032"/>
      <c r="I2032"/>
      <c r="J2032"/>
      <c r="K2032"/>
      <c r="L2032"/>
      <c r="M2032"/>
    </row>
    <row r="2033" spans="1:13" ht="15">
      <c r="A2033"/>
      <c r="B2033"/>
      <c r="C2033"/>
      <c r="D2033"/>
      <c r="E2033"/>
      <c r="F2033"/>
      <c r="G2033"/>
      <c r="H2033"/>
      <c r="I2033"/>
      <c r="J2033"/>
      <c r="K2033"/>
      <c r="L2033"/>
      <c r="M2033"/>
    </row>
    <row r="2034" spans="1:13" ht="15">
      <c r="A2034"/>
      <c r="B2034"/>
      <c r="C2034"/>
      <c r="D2034"/>
      <c r="E2034"/>
      <c r="F2034"/>
      <c r="G2034"/>
      <c r="H2034"/>
      <c r="I2034"/>
      <c r="J2034"/>
      <c r="K2034"/>
      <c r="L2034"/>
      <c r="M2034"/>
    </row>
    <row r="2035" spans="1:13" ht="15">
      <c r="A2035"/>
      <c r="B2035"/>
      <c r="C2035"/>
      <c r="D2035"/>
      <c r="E2035"/>
      <c r="F2035"/>
      <c r="G2035"/>
      <c r="H2035"/>
      <c r="I2035"/>
      <c r="J2035"/>
      <c r="K2035"/>
      <c r="L2035"/>
      <c r="M2035"/>
    </row>
    <row r="2036" spans="1:13" ht="15">
      <c r="A2036"/>
      <c r="B2036"/>
      <c r="C2036"/>
      <c r="D2036"/>
      <c r="E2036"/>
      <c r="F2036"/>
      <c r="G2036"/>
      <c r="H2036"/>
      <c r="I2036"/>
      <c r="J2036"/>
      <c r="K2036"/>
      <c r="L2036"/>
      <c r="M2036"/>
    </row>
    <row r="2037" spans="1:13" ht="15">
      <c r="A2037"/>
      <c r="B2037"/>
      <c r="C2037"/>
      <c r="D2037"/>
      <c r="E2037"/>
      <c r="F2037"/>
      <c r="G2037"/>
      <c r="H2037"/>
      <c r="I2037"/>
      <c r="J2037"/>
      <c r="K2037"/>
      <c r="L2037"/>
      <c r="M2037"/>
    </row>
    <row r="2038" spans="1:13" ht="15">
      <c r="A2038"/>
      <c r="B2038"/>
      <c r="C2038"/>
      <c r="D2038"/>
      <c r="E2038"/>
      <c r="F2038"/>
      <c r="G2038"/>
      <c r="H2038"/>
      <c r="I2038"/>
      <c r="J2038"/>
      <c r="K2038"/>
      <c r="L2038"/>
      <c r="M2038"/>
    </row>
    <row r="2039" spans="1:13" ht="15">
      <c r="A2039"/>
      <c r="B2039"/>
      <c r="C2039"/>
      <c r="D2039"/>
      <c r="E2039"/>
      <c r="F2039"/>
      <c r="G2039"/>
      <c r="H2039"/>
      <c r="I2039"/>
      <c r="J2039"/>
      <c r="K2039"/>
      <c r="L2039"/>
      <c r="M2039"/>
    </row>
    <row r="2040" spans="1:13" ht="15">
      <c r="A2040"/>
      <c r="B2040"/>
      <c r="C2040"/>
      <c r="D2040"/>
      <c r="E2040"/>
      <c r="F2040"/>
      <c r="G2040"/>
      <c r="H2040"/>
      <c r="I2040"/>
      <c r="J2040"/>
      <c r="K2040"/>
      <c r="L2040"/>
      <c r="M2040"/>
    </row>
    <row r="2041" spans="1:13" ht="15">
      <c r="A2041"/>
      <c r="B2041"/>
      <c r="C2041"/>
      <c r="D2041"/>
      <c r="E2041"/>
      <c r="F2041"/>
      <c r="G2041"/>
      <c r="H2041"/>
      <c r="I2041"/>
      <c r="J2041"/>
      <c r="K2041"/>
      <c r="L2041"/>
      <c r="M2041"/>
    </row>
    <row r="2042" spans="1:13" ht="15">
      <c r="A2042"/>
      <c r="B2042"/>
      <c r="C2042"/>
      <c r="D2042"/>
      <c r="E2042"/>
      <c r="F2042"/>
      <c r="G2042"/>
      <c r="H2042"/>
      <c r="I2042"/>
      <c r="J2042"/>
      <c r="K2042"/>
      <c r="L2042"/>
      <c r="M2042"/>
    </row>
    <row r="2043" spans="1:13" ht="15">
      <c r="A2043"/>
      <c r="B2043"/>
      <c r="C2043"/>
      <c r="D2043"/>
      <c r="E2043"/>
      <c r="F2043"/>
      <c r="G2043"/>
      <c r="H2043"/>
      <c r="I2043"/>
      <c r="J2043"/>
      <c r="K2043"/>
      <c r="L2043"/>
      <c r="M2043"/>
    </row>
    <row r="2044" spans="1:13" ht="15">
      <c r="A2044"/>
      <c r="B2044"/>
      <c r="C2044"/>
      <c r="D2044"/>
      <c r="E2044"/>
      <c r="F2044"/>
      <c r="G2044"/>
      <c r="H2044"/>
      <c r="I2044"/>
      <c r="J2044"/>
      <c r="K2044"/>
      <c r="L2044"/>
      <c r="M2044"/>
    </row>
    <row r="2045" spans="1:13" ht="15">
      <c r="A2045"/>
      <c r="B2045"/>
      <c r="C2045"/>
      <c r="D2045"/>
      <c r="E2045"/>
      <c r="F2045"/>
      <c r="G2045"/>
      <c r="H2045"/>
      <c r="I2045"/>
      <c r="J2045"/>
      <c r="K2045"/>
      <c r="L2045"/>
      <c r="M2045"/>
    </row>
    <row r="2046" spans="1:13" ht="15">
      <c r="A2046"/>
      <c r="B2046"/>
      <c r="C2046"/>
      <c r="D2046"/>
      <c r="E2046"/>
      <c r="F2046"/>
      <c r="G2046"/>
      <c r="H2046"/>
      <c r="I2046"/>
      <c r="J2046"/>
      <c r="K2046"/>
      <c r="L2046"/>
      <c r="M2046"/>
    </row>
    <row r="2047" spans="1:13" ht="15">
      <c r="A2047"/>
      <c r="B2047"/>
      <c r="C2047"/>
      <c r="D2047"/>
      <c r="E2047"/>
      <c r="F2047"/>
      <c r="G2047"/>
      <c r="H2047"/>
      <c r="I2047"/>
      <c r="J2047"/>
      <c r="K2047"/>
      <c r="L2047"/>
      <c r="M2047"/>
    </row>
    <row r="2048" spans="1:13" ht="15">
      <c r="A2048"/>
      <c r="B2048"/>
      <c r="C2048"/>
      <c r="D2048"/>
      <c r="E2048"/>
      <c r="F2048"/>
      <c r="G2048"/>
      <c r="H2048"/>
      <c r="I2048"/>
      <c r="J2048"/>
      <c r="K2048"/>
      <c r="L2048"/>
      <c r="M2048"/>
    </row>
    <row r="2049" spans="1:13" ht="15">
      <c r="A2049"/>
      <c r="B2049"/>
      <c r="C2049"/>
      <c r="D2049"/>
      <c r="E2049"/>
      <c r="F2049"/>
      <c r="G2049"/>
      <c r="H2049"/>
      <c r="I2049"/>
      <c r="J2049"/>
      <c r="K2049"/>
      <c r="L2049"/>
      <c r="M2049"/>
    </row>
    <row r="2050" spans="1:13" ht="15">
      <c r="A2050"/>
      <c r="B2050"/>
      <c r="C2050"/>
      <c r="D2050"/>
      <c r="E2050"/>
      <c r="F2050"/>
      <c r="G2050"/>
      <c r="H2050"/>
      <c r="I2050"/>
      <c r="J2050"/>
      <c r="K2050"/>
      <c r="L2050"/>
      <c r="M2050"/>
    </row>
    <row r="2051" spans="1:13" ht="15">
      <c r="A2051"/>
      <c r="B2051"/>
      <c r="C2051"/>
      <c r="D2051"/>
      <c r="E2051"/>
      <c r="F2051"/>
      <c r="G2051"/>
      <c r="H2051"/>
      <c r="I2051"/>
      <c r="J2051"/>
      <c r="K2051"/>
      <c r="L2051"/>
      <c r="M2051"/>
    </row>
    <row r="2052" spans="1:13" ht="15">
      <c r="A2052"/>
      <c r="B2052"/>
      <c r="C2052"/>
      <c r="D2052"/>
      <c r="E2052"/>
      <c r="F2052"/>
      <c r="G2052"/>
      <c r="H2052"/>
      <c r="I2052"/>
      <c r="J2052"/>
      <c r="K2052"/>
      <c r="L2052"/>
      <c r="M2052"/>
    </row>
    <row r="2053" spans="1:13" ht="15">
      <c r="A2053"/>
      <c r="B2053"/>
      <c r="C2053"/>
      <c r="D2053"/>
      <c r="E2053"/>
      <c r="F2053"/>
      <c r="G2053"/>
      <c r="H2053"/>
      <c r="I2053"/>
      <c r="J2053"/>
      <c r="K2053"/>
      <c r="L2053"/>
      <c r="M2053"/>
    </row>
    <row r="2054" spans="1:13" ht="15">
      <c r="A2054"/>
      <c r="B2054"/>
      <c r="C2054"/>
      <c r="D2054"/>
      <c r="E2054"/>
      <c r="F2054"/>
      <c r="G2054"/>
      <c r="H2054"/>
      <c r="I2054"/>
      <c r="J2054"/>
      <c r="K2054"/>
      <c r="L2054"/>
      <c r="M2054"/>
    </row>
  </sheetData>
  <sheetProtection algorithmName="SHA-512" hashValue="MsNEVkgJIIFk+IAW/jmi0Seuuu0Bb3BxKwpwSDX3lmdrdPPEgEB3JQAXpvKcXoB+Hou52JGnJgRKbmxwyyaLvQ==" saltValue="rUhY00UUGDU410yqRymbRg==" spinCount="100000" sheet="1" objects="1" scenarios="1"/>
  <customSheetViews>
    <customSheetView guid="{849F61E1-F6D3-48F4-A6FF-68F8FE186D80}" scale="85" showGridLines="0">
      <pane xSplit="10" ySplit="5" topLeftCell="K6" activePane="bottomRight" state="frozen"/>
      <selection pane="bottomRight"/>
      <pageMargins left="0.7" right="0.7" top="0.75" bottom="0.75" header="0.3" footer="0.3"/>
      <pageSetup paperSize="9" orientation="portrait" r:id="rId2"/>
    </customSheetView>
    <customSheetView guid="{1E1889AA-9C00-49BF-A07E-295053EABBEF}" scale="85" showGridLines="0" hiddenColumns="1" topLeftCell="BD1">
      <pane ySplit="5" topLeftCell="A6" activePane="bottomLeft" state="frozen"/>
      <selection pane="bottomLeft" activeCell="BJ21" sqref="BJ21"/>
      <pageMargins left="0.7" right="0.7" top="0.75" bottom="0.75" header="0.3" footer="0.3"/>
      <pageSetup paperSize="9" orientation="portrait" r:id="rId3"/>
    </customSheetView>
    <customSheetView guid="{83029BA9-344F-4783-B8F2-6704FB40A582}" scale="85" showGridLines="0">
      <pane xSplit="10" ySplit="5" topLeftCell="K6" activePane="bottomRight" state="frozen"/>
      <selection pane="bottomRight"/>
      <pageMargins left="0.7" right="0.7" top="0.75" bottom="0.75" header="0.3" footer="0.3"/>
      <pageSetup paperSize="9" orientation="portrait" r:id="rId4"/>
    </customSheetView>
  </customSheetViews>
  <pageMargins left="0.7" right="0.7" top="0.75" bottom="0.75" header="0.3" footer="0.3"/>
  <pageSetup paperSize="9" orientation="portrait" r:id="rId5"/>
  <drawing r:id="rId6"/>
  <legacyDrawing r:id="rId7"/>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Foglio21">
    <tabColor rgb="FFFFFFE7"/>
  </sheetPr>
  <dimension ref="A1:L101"/>
  <sheetViews>
    <sheetView showGridLines="0" zoomScale="85" zoomScaleNormal="85" workbookViewId="0"/>
  </sheetViews>
  <sheetFormatPr defaultColWidth="9.42578125" defaultRowHeight="15"/>
  <cols>
    <col min="1" max="1" width="19.42578125" customWidth="1"/>
    <col min="2" max="2" width="53.7109375" customWidth="1"/>
    <col min="3" max="6" width="15.5703125" customWidth="1"/>
    <col min="7" max="7" width="17.140625" style="362" customWidth="1"/>
    <col min="8" max="10" width="15.42578125" style="362" customWidth="1"/>
    <col min="11" max="12" width="8.5703125" style="362" customWidth="1"/>
    <col min="13" max="13" width="10.7109375" customWidth="1"/>
    <col min="14" max="14" width="8.7109375" customWidth="1"/>
  </cols>
  <sheetData>
    <row r="1" spans="1:12" s="77" customFormat="1" ht="25.35" customHeight="1">
      <c r="A1" s="2633"/>
      <c r="G1" s="810"/>
      <c r="H1" s="810"/>
      <c r="I1" s="810"/>
      <c r="J1" s="810"/>
      <c r="K1" s="810"/>
      <c r="L1" s="810"/>
    </row>
    <row r="2" spans="1:12" s="2637" customFormat="1" ht="35.1" customHeight="1" thickBot="1">
      <c r="A2" s="2634" t="s">
        <v>30500</v>
      </c>
      <c r="B2" s="2635" t="s">
        <v>27009</v>
      </c>
      <c r="C2" s="2636"/>
      <c r="G2" s="2686"/>
      <c r="H2" s="2686"/>
      <c r="I2" s="2686"/>
      <c r="J2" s="2686"/>
      <c r="K2" s="2686"/>
      <c r="L2" s="2686"/>
    </row>
    <row r="3" spans="1:12" ht="25.35" customHeight="1" thickTop="1"/>
    <row r="4" spans="1:12" s="77" customFormat="1" ht="45" customHeight="1">
      <c r="A4" s="1210"/>
      <c r="B4" s="2638" t="s">
        <v>27010</v>
      </c>
      <c r="C4" s="2639"/>
      <c r="D4" s="2639"/>
      <c r="E4" s="2639"/>
      <c r="F4" s="2639"/>
      <c r="G4" s="2687"/>
      <c r="H4" s="2688"/>
      <c r="I4" s="810"/>
      <c r="J4" s="810"/>
      <c r="K4" s="810"/>
      <c r="L4" s="810"/>
    </row>
    <row r="5" spans="1:12" ht="15" customHeight="1">
      <c r="F5" s="6"/>
    </row>
    <row r="6" spans="1:12" ht="15" customHeight="1">
      <c r="F6" s="6"/>
    </row>
    <row r="7" spans="1:12" ht="15" customHeight="1">
      <c r="D7" s="2640" t="s">
        <v>31409</v>
      </c>
      <c r="F7" s="1"/>
    </row>
    <row r="8" spans="1:12" ht="15" customHeight="1">
      <c r="B8" s="2641" t="s">
        <v>27031</v>
      </c>
      <c r="C8" s="2642"/>
      <c r="D8" s="2643" t="str">
        <f>+IF(OR(Input_per_calcoli_finali!K25="",D13="",D14="",D15="",D16="",D17=""),"",IF(Input_per_calcoli_finali!K25="Schema regolatorio di convergenza","Schema regolatorio di convergenza",IF(PRODUCT(C13:C17)=0,"Escluso dall'aggiornamento tariffario","Schema regolatorio")))</f>
        <v/>
      </c>
      <c r="F8" s="1"/>
    </row>
    <row r="9" spans="1:12" ht="15" customHeight="1">
      <c r="F9" s="1"/>
    </row>
    <row r="10" spans="1:12" ht="15" customHeight="1">
      <c r="F10" s="1"/>
    </row>
    <row r="11" spans="1:12" ht="15" customHeight="1">
      <c r="F11" s="1"/>
    </row>
    <row r="12" spans="1:12" ht="15" customHeight="1">
      <c r="B12" s="68" t="s">
        <v>27011</v>
      </c>
      <c r="D12" s="2640" t="s">
        <v>31409</v>
      </c>
    </row>
    <row r="13" spans="1:12" ht="39" customHeight="1">
      <c r="B13" s="2644" t="s">
        <v>31188</v>
      </c>
      <c r="C13" s="2645">
        <f>+IF(D13="SI",1,0)</f>
        <v>0</v>
      </c>
      <c r="D13" s="2697" t="str">
        <f>IF(Input_per_calcoli_finali!K12="","",Input_per_calcoli_finali!K12)</f>
        <v/>
      </c>
    </row>
    <row r="14" spans="1:12">
      <c r="B14" s="2646" t="s">
        <v>31210</v>
      </c>
      <c r="C14" s="2647">
        <f>+IF(D14="SI",1,0)</f>
        <v>0</v>
      </c>
      <c r="D14" s="2698" t="str">
        <f>IF(Input_per_calcoli_finali!K17="","",Input_per_calcoli_finali!K17)</f>
        <v/>
      </c>
    </row>
    <row r="15" spans="1:12" ht="15" customHeight="1">
      <c r="B15" s="2648" t="s">
        <v>27012</v>
      </c>
      <c r="C15" s="2645">
        <f>+IF(D15="SI",1,0)</f>
        <v>0</v>
      </c>
      <c r="D15" s="2697" t="str">
        <f>IF(Input_per_calcoli_finali!K16="","",Input_per_calcoli_finali!K16)</f>
        <v/>
      </c>
    </row>
    <row r="16" spans="1:12" ht="15" customHeight="1">
      <c r="B16" s="2649" t="s">
        <v>25127</v>
      </c>
      <c r="C16" s="2647">
        <f>+IF(D16="SI",1,0)</f>
        <v>0</v>
      </c>
      <c r="D16" s="2698" t="str">
        <f>+IF(Input_per_calcoli_finali!K18="","",Input_per_calcoli_finali!K18)</f>
        <v/>
      </c>
    </row>
    <row r="17" spans="1:12" ht="38.25">
      <c r="B17" s="2644" t="s">
        <v>31834</v>
      </c>
      <c r="C17" s="2645">
        <f>+IF(D17="SI",1,0)</f>
        <v>0</v>
      </c>
      <c r="D17" s="2697" t="str">
        <f>IF(Input_per_calcoli_finali!K19="","",Input_per_calcoli_finali!K19)</f>
        <v/>
      </c>
    </row>
    <row r="18" spans="1:12" ht="15" customHeight="1"/>
    <row r="19" spans="1:12" ht="15" customHeight="1">
      <c r="D19" s="1"/>
    </row>
    <row r="20" spans="1:12" s="2652" customFormat="1" ht="15.75" thickBot="1">
      <c r="A20" s="2650"/>
      <c r="B20" s="2651"/>
      <c r="C20" s="1794"/>
      <c r="D20" s="1794"/>
      <c r="E20" s="1794"/>
      <c r="F20" s="1794"/>
      <c r="G20" s="2689"/>
      <c r="H20" s="2689"/>
      <c r="I20" s="2690"/>
      <c r="J20" s="2690"/>
      <c r="K20" s="2690"/>
      <c r="L20" s="2690"/>
    </row>
    <row r="21" spans="1:12" ht="6.75" customHeight="1" thickTop="1">
      <c r="A21" s="845"/>
    </row>
    <row r="22" spans="1:12" ht="44.25" customHeight="1">
      <c r="A22" s="845"/>
      <c r="B22" s="2653" t="s">
        <v>27008</v>
      </c>
      <c r="C22" s="2639"/>
      <c r="D22" s="2639"/>
      <c r="E22" s="2639"/>
      <c r="F22" s="2639"/>
      <c r="G22" s="2687"/>
      <c r="H22" s="2688"/>
    </row>
    <row r="23" spans="1:12" ht="15" customHeight="1"/>
    <row r="24" spans="1:12" ht="15" customHeight="1"/>
    <row r="25" spans="1:12" ht="15" customHeight="1"/>
    <row r="26" spans="1:12" ht="15" customHeight="1"/>
    <row r="27" spans="1:12" ht="15" customHeight="1">
      <c r="B27" s="3619"/>
      <c r="C27" s="3621"/>
      <c r="D27" s="3621"/>
      <c r="E27" s="3621"/>
      <c r="F27" s="3621"/>
      <c r="G27" s="3621" t="s">
        <v>27013</v>
      </c>
      <c r="H27" s="3621"/>
    </row>
    <row r="28" spans="1:12" ht="15" customHeight="1">
      <c r="B28" s="3619"/>
      <c r="C28" s="3621"/>
      <c r="D28" s="3621"/>
      <c r="E28" s="3621"/>
      <c r="F28" s="3621"/>
      <c r="G28" s="3621"/>
      <c r="H28" s="3621"/>
    </row>
    <row r="29" spans="1:12" ht="15" customHeight="1">
      <c r="B29" s="1284"/>
      <c r="C29" s="3621"/>
      <c r="D29" s="3621"/>
      <c r="E29" s="3621"/>
      <c r="F29" s="3621"/>
      <c r="G29" s="3621"/>
      <c r="H29" s="3621"/>
    </row>
    <row r="30" spans="1:12" ht="15" customHeight="1">
      <c r="B30" s="3618"/>
      <c r="C30" s="3620" t="s">
        <v>27014</v>
      </c>
      <c r="D30" s="3620"/>
      <c r="E30" s="3620" t="s">
        <v>27015</v>
      </c>
      <c r="F30" s="3620"/>
      <c r="G30" s="3620" t="s">
        <v>27016</v>
      </c>
      <c r="H30" s="3620"/>
    </row>
    <row r="31" spans="1:12" ht="15" customHeight="1">
      <c r="B31" s="3618"/>
      <c r="C31" s="3620"/>
      <c r="D31" s="3620"/>
      <c r="E31" s="3620"/>
      <c r="F31" s="3620"/>
      <c r="G31" s="3620"/>
      <c r="H31" s="3620"/>
    </row>
    <row r="32" spans="1:12" ht="15" customHeight="1">
      <c r="B32" s="3618"/>
      <c r="C32" s="3620"/>
      <c r="D32" s="3620"/>
      <c r="E32" s="3620"/>
      <c r="F32" s="3620"/>
      <c r="G32" s="3620"/>
      <c r="H32" s="3620"/>
    </row>
    <row r="33" spans="2:11" ht="15" customHeight="1">
      <c r="B33" s="3618"/>
      <c r="C33" s="3620"/>
      <c r="D33" s="3620"/>
      <c r="E33" s="3620"/>
      <c r="F33" s="3620"/>
      <c r="G33" s="3620"/>
      <c r="H33" s="3620"/>
    </row>
    <row r="34" spans="2:11" ht="15" customHeight="1">
      <c r="B34" s="3618"/>
      <c r="C34" s="3620" t="s">
        <v>27017</v>
      </c>
      <c r="D34" s="3620"/>
      <c r="E34" s="3620" t="s">
        <v>27018</v>
      </c>
      <c r="F34" s="3620"/>
      <c r="G34" s="3620" t="s">
        <v>27019</v>
      </c>
      <c r="H34" s="3620"/>
    </row>
    <row r="35" spans="2:11" ht="15" customHeight="1">
      <c r="B35" s="3618"/>
      <c r="C35" s="3620"/>
      <c r="D35" s="3620"/>
      <c r="E35" s="3620"/>
      <c r="F35" s="3620"/>
      <c r="G35" s="3620"/>
      <c r="H35" s="3620"/>
    </row>
    <row r="36" spans="2:11" ht="15" customHeight="1">
      <c r="B36" s="3618"/>
      <c r="C36" s="3620"/>
      <c r="D36" s="3620"/>
      <c r="E36" s="3620"/>
      <c r="F36" s="3620"/>
      <c r="G36" s="3620"/>
      <c r="H36" s="3620"/>
    </row>
    <row r="37" spans="2:11" ht="15" customHeight="1">
      <c r="B37" s="3618"/>
      <c r="C37" s="3620"/>
      <c r="D37" s="3620"/>
      <c r="E37" s="3620"/>
      <c r="F37" s="3620"/>
      <c r="G37" s="3620"/>
      <c r="H37" s="3620"/>
    </row>
    <row r="38" spans="2:11" ht="15" customHeight="1">
      <c r="B38" s="2"/>
      <c r="C38" s="3"/>
      <c r="D38" s="3"/>
      <c r="E38" s="3"/>
      <c r="F38" s="3"/>
    </row>
    <row r="39" spans="2:11" ht="15" customHeight="1">
      <c r="B39" s="2"/>
      <c r="C39" s="3"/>
      <c r="D39" s="3"/>
      <c r="E39" s="3"/>
      <c r="F39" s="3"/>
    </row>
    <row r="40" spans="2:11" ht="15" customHeight="1">
      <c r="B40" s="2"/>
      <c r="C40" s="3"/>
      <c r="D40" s="3"/>
      <c r="E40" s="3"/>
      <c r="F40" s="3"/>
    </row>
    <row r="41" spans="2:11" ht="15" customHeight="1">
      <c r="B41" s="2"/>
      <c r="C41" s="3"/>
      <c r="D41" s="3"/>
      <c r="E41" s="3"/>
      <c r="F41" s="3"/>
    </row>
    <row r="42" spans="2:11" ht="15" customHeight="1">
      <c r="E42" s="6"/>
    </row>
    <row r="43" spans="2:11" ht="39.6" customHeight="1">
      <c r="G43" s="3617" t="s">
        <v>31212</v>
      </c>
      <c r="H43" s="3617"/>
      <c r="I43" s="3617"/>
      <c r="J43" s="3617"/>
    </row>
    <row r="44" spans="2:11" ht="39.6" customHeight="1">
      <c r="B44" s="2654" t="s">
        <v>27033</v>
      </c>
      <c r="C44" s="2655" t="s">
        <v>26556</v>
      </c>
      <c r="D44" s="2655" t="s">
        <v>27032</v>
      </c>
      <c r="E44" s="2655" t="s">
        <v>27040</v>
      </c>
      <c r="F44" s="2655" t="s">
        <v>27041</v>
      </c>
      <c r="G44" s="2699">
        <v>2026</v>
      </c>
      <c r="H44" s="2699">
        <v>2027</v>
      </c>
      <c r="I44" s="2699">
        <v>2028</v>
      </c>
      <c r="J44" s="2699">
        <v>2029</v>
      </c>
    </row>
    <row r="45" spans="2:11" ht="15" customHeight="1">
      <c r="B45" s="2656" t="s">
        <v>27034</v>
      </c>
      <c r="C45" s="2657" t="s">
        <v>27022</v>
      </c>
      <c r="D45" s="2658" t="s">
        <v>31428</v>
      </c>
      <c r="E45" s="2659">
        <v>0.25</v>
      </c>
      <c r="F45" s="2659">
        <v>0.5</v>
      </c>
      <c r="G45" s="2660">
        <f>1+rpi+((1+$E45)*(kschema+IF(Affidamento!$E$13&gt;0,0,Affidamento!$E$13))-((1+$F45)*(xschema+IF(Affidamento!$E$14&lt;0,0,Affidamento!$E$14))))</f>
        <v>1.0589999999999999</v>
      </c>
      <c r="H45" s="2660">
        <f>1+rpi+((1+$E45)*(kschema+IF(Affidamento!$F$13&gt;0,0,Affidamento!$F$13))-((1+$F45)*(xschema+IF(Affidamento!$F$14&lt;0,0,Affidamento!$F$14))))</f>
        <v>1.0589999999999999</v>
      </c>
      <c r="I45" s="2660">
        <f>1+rpi+((1+$E45)*(kschema+IF(Affidamento!$G$13&gt;0,0,Affidamento!$G$13))-(1+$F45)*(xschema+IF(Affidamento!$G$14&lt;0,0,Affidamento!$G$14)))</f>
        <v>1.0589999999999999</v>
      </c>
      <c r="J45" s="2660">
        <f>1+rpi+((1+$E45)*(kschema+IF(Affidamento!$H$13&gt;0,0,Affidamento!$H$13))-(1+$F45)*(xschema+IF(Affidamento!$H$14&lt;0,0,Affidamento!$H$14)))</f>
        <v>1.0589999999999999</v>
      </c>
      <c r="K45" s="2694"/>
    </row>
    <row r="46" spans="2:11" ht="15" customHeight="1">
      <c r="B46" s="2661" t="s">
        <v>27035</v>
      </c>
      <c r="C46" s="2662" t="s">
        <v>27023</v>
      </c>
      <c r="D46" s="2663" t="s">
        <v>31429</v>
      </c>
      <c r="E46" s="2664">
        <v>0.25</v>
      </c>
      <c r="F46" s="2664">
        <v>1</v>
      </c>
      <c r="G46" s="2665">
        <f>1+rpi+((1+$E46)*(kschema+IF(Affidamento!$E$13&gt;0,0,Affidamento!$E$13))-((1+$F46)*(xschema+IF(Affidamento!$E$14&lt;0,0,Affidamento!$E$14))))</f>
        <v>1.0514999999999999</v>
      </c>
      <c r="H46" s="2665">
        <f>1+rpi+((1+$E46)*(kschema+IF(Affidamento!$F$13&gt;0,0,Affidamento!$F$13))-((1+$F46)*(xschema+IF(Affidamento!$F$14&lt;0,0,Affidamento!$F$14))))</f>
        <v>1.0514999999999999</v>
      </c>
      <c r="I46" s="2665">
        <f>1+rpi+((1+$E46)*(kschema+IF(Affidamento!$G$13&gt;0,0,Affidamento!$G$13))-(1+$F46)*(xschema+IF(Affidamento!$G$14&lt;0,0,Affidamento!$G$14)))</f>
        <v>1.0514999999999999</v>
      </c>
      <c r="J46" s="2665">
        <f>1+rpi+((1+$E46)*(kschema+IF(Affidamento!$H$13&gt;0,0,Affidamento!$H$13))-(1+$F46)*(xschema+IF(Affidamento!$H$14&lt;0,0,Affidamento!$H$14)))</f>
        <v>1.0514999999999999</v>
      </c>
      <c r="K46" s="2694"/>
    </row>
    <row r="47" spans="2:11" ht="15" customHeight="1">
      <c r="B47" s="2656" t="s">
        <v>27036</v>
      </c>
      <c r="C47" s="2657" t="s">
        <v>27024</v>
      </c>
      <c r="D47" s="2658" t="s">
        <v>31430</v>
      </c>
      <c r="E47" s="2659">
        <v>0.25</v>
      </c>
      <c r="F47" s="2659">
        <v>0</v>
      </c>
      <c r="G47" s="2660">
        <f>1+rpi+((1+$E47)*(kschema+IF(Affidamento!$E$13&gt;0,0,Affidamento!$E$13))-((1+$F47)*(xschema+IF(Affidamento!$E$14&lt;0,0,Affidamento!$E$14))))</f>
        <v>1.0665</v>
      </c>
      <c r="H47" s="2660">
        <f>1+rpi+((1+$E47)*(kschema+IF(Affidamento!$F$13&gt;0,0,Affidamento!$F$13))-((1+$F47)*(xschema+IF(Affidamento!$F$14&lt;0,0,Affidamento!$F$14))))</f>
        <v>1.0665</v>
      </c>
      <c r="I47" s="2660">
        <f>1+rpi+((1+$E47)*(kschema+IF(Affidamento!$G$13&gt;0,0,Affidamento!$G$13))-(1+$F47)*(xschema+IF(Affidamento!$G$14&lt;0,0,Affidamento!$G$14)))</f>
        <v>1.0665</v>
      </c>
      <c r="J47" s="2660">
        <f>1+rpi+((1+$E47)*(kschema+IF(Affidamento!$H$13&gt;0,0,Affidamento!$H$13))-(1+$F47)*(xschema+IF(Affidamento!$H$14&lt;0,0,Affidamento!$H$14)))</f>
        <v>1.0665</v>
      </c>
      <c r="K47" s="2694"/>
    </row>
    <row r="48" spans="2:11" ht="15" customHeight="1">
      <c r="B48" s="2661" t="s">
        <v>27037</v>
      </c>
      <c r="C48" s="2662" t="s">
        <v>27025</v>
      </c>
      <c r="D48" s="2663" t="s">
        <v>31431</v>
      </c>
      <c r="E48" s="2664">
        <v>0.75</v>
      </c>
      <c r="F48" s="2664">
        <v>0.5</v>
      </c>
      <c r="G48" s="2665">
        <f>1+rpi+((1+$E48)*(kschema+IF(Affidamento!$E$13&gt;0,0,Affidamento!$E$13))-((1+$F48)*(xschema+IF(Affidamento!$E$14&lt;0,0,Affidamento!$E$14))))</f>
        <v>1.0839999999999999</v>
      </c>
      <c r="H48" s="2665">
        <f>1+rpi+((1+$E48)*(kschema+IF(Affidamento!$F$13&gt;0,0,Affidamento!$F$13))-((1+$F48)*(xschema+IF(Affidamento!$F$14&lt;0,0,Affidamento!$F$14))))</f>
        <v>1.0839999999999999</v>
      </c>
      <c r="I48" s="2665">
        <f>1+rpi+((1+$E48)*(kschema+IF(Affidamento!$G$13&gt;0,0,Affidamento!$G$13))-(1+$F48)*(xschema+IF(Affidamento!$G$14&lt;0,0,Affidamento!$G$14)))</f>
        <v>1.0839999999999999</v>
      </c>
      <c r="J48" s="2665">
        <f>1+rpi+((1+$E48)*(kschema+IF(Affidamento!$H$13&gt;0,0,Affidamento!$H$13))-(1+$F48)*(xschema+IF(Affidamento!$H$14&lt;0,0,Affidamento!$H$14)))</f>
        <v>1.0839999999999999</v>
      </c>
      <c r="K48" s="2694"/>
    </row>
    <row r="49" spans="2:12" ht="15" customHeight="1">
      <c r="B49" s="2656" t="s">
        <v>27038</v>
      </c>
      <c r="C49" s="2657" t="s">
        <v>27026</v>
      </c>
      <c r="D49" s="2658" t="s">
        <v>31427</v>
      </c>
      <c r="E49" s="2659">
        <v>0.75</v>
      </c>
      <c r="F49" s="2659">
        <v>1</v>
      </c>
      <c r="G49" s="2660">
        <f>1+rpi+((1+$E49)*(kschema+IF(Affidamento!$E$13&gt;0,0,Affidamento!$E$13))-((1+$F49)*(xschema+IF(Affidamento!$E$14&lt;0,0,Affidamento!$E$14))))</f>
        <v>1.0765</v>
      </c>
      <c r="H49" s="2660">
        <f>1+rpi+((1+$E49)*(kschema+IF(Affidamento!$F$13&gt;0,0,Affidamento!$F$13))-((1+$F49)*(xschema+IF(Affidamento!$F$14&lt;0,0,Affidamento!$F$14))))</f>
        <v>1.0765</v>
      </c>
      <c r="I49" s="2660">
        <f>1+rpi+((1+$E49)*(kschema+IF(Affidamento!$G$13&gt;0,0,Affidamento!$G$13))-(1+$F49)*(xschema+IF(Affidamento!$G$14&lt;0,0,Affidamento!$G$14)))</f>
        <v>1.0765</v>
      </c>
      <c r="J49" s="2660">
        <f>1+rpi+((1+$E49)*(kschema+IF(Affidamento!$H$13&gt;0,0,Affidamento!$H$13))-(1+$F49)*(xschema+IF(Affidamento!$H$14&lt;0,0,Affidamento!$H$14)))</f>
        <v>1.0765</v>
      </c>
      <c r="K49" s="2694"/>
    </row>
    <row r="50" spans="2:12" ht="15" customHeight="1">
      <c r="B50" s="2661" t="s">
        <v>27039</v>
      </c>
      <c r="C50" s="2662" t="s">
        <v>27027</v>
      </c>
      <c r="D50" s="2663" t="s">
        <v>31426</v>
      </c>
      <c r="E50" s="2664">
        <v>0.75</v>
      </c>
      <c r="F50" s="2664">
        <v>0</v>
      </c>
      <c r="G50" s="2665">
        <f>1+rpi+((1+$E50)*(kschema+IF(Affidamento!$E$13&gt;0,0,Affidamento!$E$13))-((1+$F50)*(xschema+IF(Affidamento!$E$14&lt;0,0,Affidamento!$E$14))))</f>
        <v>1.0914999999999999</v>
      </c>
      <c r="H50" s="2665">
        <f>1+rpi+((1+$E50)*(kschema+IF(Affidamento!$F$13&gt;0,0,Affidamento!$F$13))-((1+$F50)*(xschema+IF(Affidamento!$F$14&lt;0,0,Affidamento!$F$14))))</f>
        <v>1.0914999999999999</v>
      </c>
      <c r="I50" s="2665">
        <f>1+rpi+((1+$E50)*(kschema+IF(Affidamento!$G$13&gt;0,0,Affidamento!$G$13))-(1+$F50)*(xschema+IF(Affidamento!$G$14&lt;0,0,Affidamento!$G$14)))</f>
        <v>1.0914999999999999</v>
      </c>
      <c r="J50" s="2665">
        <f>1+rpi+((1+$E50)*(kschema+IF(Affidamento!$H$13&gt;0,0,Affidamento!$H$13))-(1+$F50)*(xschema+IF(Affidamento!$H$14&lt;0,0,Affidamento!$H$14)))</f>
        <v>1.0914999999999999</v>
      </c>
      <c r="K50" s="2694"/>
    </row>
    <row r="51" spans="2:12" ht="15" customHeight="1"/>
    <row r="52" spans="2:12" ht="15" customHeight="1"/>
    <row r="53" spans="2:12" ht="15" customHeight="1"/>
    <row r="54" spans="2:12" ht="15" customHeight="1"/>
    <row r="55" spans="2:12" ht="15" customHeight="1"/>
    <row r="57" spans="2:12">
      <c r="B57" s="68" t="s">
        <v>27021</v>
      </c>
      <c r="C57" s="2640" t="s">
        <v>31409</v>
      </c>
    </row>
    <row r="58" spans="2:12" ht="15" customHeight="1">
      <c r="B58" s="2648" t="s">
        <v>1</v>
      </c>
      <c r="C58" s="2666">
        <f>+TT_parametri!BC42</f>
        <v>0.5</v>
      </c>
    </row>
    <row r="59" spans="2:12" ht="15" customHeight="1">
      <c r="B59" s="2649" t="s">
        <v>2</v>
      </c>
      <c r="C59" s="2378">
        <f>TT_parametri!BC43</f>
        <v>1.9E-2</v>
      </c>
    </row>
    <row r="60" spans="2:12" ht="15" customHeight="1">
      <c r="B60" s="2648" t="s">
        <v>31870</v>
      </c>
      <c r="C60" s="2667">
        <f>TT_parametri!BC44</f>
        <v>0.05</v>
      </c>
    </row>
    <row r="61" spans="2:12" ht="15" customHeight="1">
      <c r="B61" s="2649" t="s">
        <v>31871</v>
      </c>
      <c r="C61" s="2378">
        <f>TT_parametri!BC45</f>
        <v>1.4999999999999999E-2</v>
      </c>
    </row>
    <row r="62" spans="2:12" ht="15" customHeight="1">
      <c r="B62" s="2648" t="s">
        <v>28808</v>
      </c>
      <c r="C62" s="2695">
        <f>TT_parametri!BC46</f>
        <v>159</v>
      </c>
      <c r="I62" s="1945"/>
      <c r="J62" s="2668"/>
      <c r="K62" s="2668"/>
      <c r="L62" s="2669"/>
    </row>
    <row r="63" spans="2:12" ht="15" customHeight="1">
      <c r="I63" s="1945"/>
      <c r="J63" s="2668"/>
      <c r="K63" s="2668"/>
      <c r="L63" s="2669"/>
    </row>
    <row r="64" spans="2:12" ht="15" customHeight="1">
      <c r="I64" s="1945"/>
      <c r="J64" s="2668"/>
      <c r="K64" s="2668"/>
      <c r="L64" s="2669"/>
    </row>
    <row r="65" spans="1:12" ht="15" customHeight="1">
      <c r="B65" s="68" t="s">
        <v>29607</v>
      </c>
      <c r="C65" s="2640" t="s">
        <v>31409</v>
      </c>
      <c r="I65" s="1945"/>
      <c r="J65" s="2668"/>
      <c r="K65" s="2668"/>
      <c r="L65" s="2669"/>
    </row>
    <row r="66" spans="1:12" ht="15" customHeight="1">
      <c r="B66" s="2649" t="s">
        <v>30488</v>
      </c>
      <c r="C66" s="2670">
        <f ca="1">+Input_per_calcoli_finali!I43</f>
        <v>0</v>
      </c>
      <c r="E66" s="677"/>
    </row>
    <row r="67" spans="1:12" ht="15" customHeight="1">
      <c r="B67" s="2648" t="s">
        <v>30482</v>
      </c>
      <c r="C67" s="2671">
        <f>Input_per_calcoli_finali!G49</f>
        <v>0</v>
      </c>
      <c r="E67" s="677"/>
    </row>
    <row r="68" spans="1:12" ht="15" customHeight="1">
      <c r="B68" s="2672" t="s">
        <v>30489</v>
      </c>
      <c r="C68" s="2673">
        <f ca="1">+IFERROR(C66/C67,0)</f>
        <v>0</v>
      </c>
      <c r="E68" s="677"/>
    </row>
    <row r="69" spans="1:12" ht="15" customHeight="1">
      <c r="E69" s="677"/>
    </row>
    <row r="70" spans="1:12" ht="15" customHeight="1">
      <c r="B70" s="2674" t="s">
        <v>27029</v>
      </c>
      <c r="C70" s="2696" t="str">
        <f ca="1">IF(AND(Input_per_calcoli_finali!O55="Schema regolatorio",C68&lt;=C58),1,IF(AND(Input_per_calcoli_finali!O55="Schema regolatorio",C68&gt;C58),2,""))</f>
        <v/>
      </c>
      <c r="E70" s="677"/>
    </row>
    <row r="71" spans="1:12" ht="15" customHeight="1"/>
    <row r="72" spans="1:12" ht="15" customHeight="1"/>
    <row r="73" spans="1:12" ht="15" customHeight="1"/>
    <row r="74" spans="1:12" ht="15" customHeight="1">
      <c r="B74" s="68" t="s">
        <v>29608</v>
      </c>
      <c r="C74" s="2640" t="s">
        <v>31409</v>
      </c>
    </row>
    <row r="75" spans="1:12" ht="32.450000000000003" customHeight="1">
      <c r="B75" s="2675" t="s">
        <v>27005</v>
      </c>
      <c r="C75" s="2676" t="str">
        <f>+IF(integr="nessuna","NO",IF(integr="","","SI"))</f>
        <v/>
      </c>
      <c r="E75" s="677"/>
    </row>
    <row r="76" spans="1:12" ht="15" customHeight="1">
      <c r="B76" s="2648" t="s">
        <v>30529</v>
      </c>
      <c r="C76" s="2671" t="str">
        <f>Input_per_calcoli_finali!G38</f>
        <v/>
      </c>
      <c r="E76" s="677"/>
      <c r="F76" s="299"/>
      <c r="G76" s="2691"/>
    </row>
    <row r="77" spans="1:12" ht="15" customHeight="1">
      <c r="B77" s="2649" t="s">
        <v>27028</v>
      </c>
      <c r="C77" s="2670" t="str">
        <f>Input_per_calcoli_finali!G39</f>
        <v/>
      </c>
      <c r="E77" s="677"/>
    </row>
    <row r="78" spans="1:12" ht="15" customHeight="1">
      <c r="A78" s="845"/>
      <c r="B78" s="2677" t="s">
        <v>30490</v>
      </c>
      <c r="C78" s="2678" t="str">
        <f>+IFERROR(C76/C77,"")</f>
        <v/>
      </c>
      <c r="E78" s="677"/>
    </row>
    <row r="79" spans="1:12" ht="15" customHeight="1">
      <c r="A79" s="845"/>
      <c r="B79" s="845"/>
      <c r="C79" s="845"/>
      <c r="E79" s="677"/>
      <c r="F79" s="845"/>
      <c r="G79" s="2692"/>
    </row>
    <row r="80" spans="1:12" ht="15" customHeight="1">
      <c r="A80" s="845"/>
      <c r="B80" s="2674" t="s">
        <v>27030</v>
      </c>
      <c r="C80" s="2696" t="str">
        <f>+IF(AND(Input_per_calcoli_finali!O55="Schema regolatorio",C75="SI"),3,IF(AND(Input_per_calcoli_finali!O55="Schema regolatorio",OPMi&lt;=C62),1,IF(AND(Input_per_calcoli_finali!O53="Schema regolatorio",OPMi&gt;C62),2,"")))</f>
        <v/>
      </c>
      <c r="E80" s="677"/>
      <c r="F80" s="845"/>
      <c r="G80" s="2692"/>
    </row>
    <row r="81" spans="1:12" ht="15" customHeight="1">
      <c r="A81" s="845"/>
      <c r="B81" s="845"/>
      <c r="C81" s="845"/>
      <c r="D81" s="845"/>
      <c r="E81" s="677"/>
      <c r="F81" s="845"/>
      <c r="G81" s="2692"/>
    </row>
    <row r="82" spans="1:12" ht="15" customHeight="1">
      <c r="A82" s="845"/>
      <c r="B82" s="845"/>
      <c r="C82" s="845"/>
      <c r="D82" s="845"/>
      <c r="E82" s="677"/>
      <c r="F82" s="845"/>
      <c r="G82" s="2692"/>
    </row>
    <row r="83" spans="1:12" ht="15" customHeight="1">
      <c r="E83" s="103"/>
    </row>
    <row r="84" spans="1:12" ht="15" customHeight="1">
      <c r="E84" s="103"/>
    </row>
    <row r="85" spans="1:12" ht="15" customHeight="1">
      <c r="B85" s="68" t="s">
        <v>30491</v>
      </c>
      <c r="C85" s="2640" t="s">
        <v>31409</v>
      </c>
      <c r="G85" s="2640">
        <v>2026</v>
      </c>
      <c r="H85" s="2640">
        <v>2027</v>
      </c>
      <c r="I85" s="2640">
        <v>2028</v>
      </c>
      <c r="J85" s="2640">
        <v>2029</v>
      </c>
    </row>
    <row r="86" spans="1:12" ht="27" customHeight="1">
      <c r="B86" s="2679" t="s">
        <v>26490</v>
      </c>
      <c r="C86" s="2680" t="str">
        <f>IF(Input_per_calcoli_finali!O55="Schema regolatorio",VLOOKUP(C70&amp;"-"&amp;C80,$C$45:$D$50,2,FALSE),IF(mti_4="Escluso dall'aggiornamento tariffario",1,""))</f>
        <v/>
      </c>
      <c r="E86" s="3616" t="s">
        <v>28860</v>
      </c>
      <c r="F86" s="3616"/>
      <c r="G86" s="2681" t="str">
        <f>IFERROR(VLOOKUP(Quad,$D$45:$J$50,4,FALSE),IF(mti_4="Escluso dall'aggiornamento tariffario",1,""))</f>
        <v/>
      </c>
      <c r="H86" s="2681" t="str">
        <f>IFERROR(VLOOKUP(Quad,$D$45:$J$50,5,FALSE),IF(mti_4="Escluso dall'aggiornamento tariffario",1,""))</f>
        <v/>
      </c>
      <c r="I86" s="2681" t="str">
        <f>IFERROR(VLOOKUP(Quad,$D$45:$J$50,6,FALSE),IF(mti_4="Escluso dall'aggiornamento tariffario",1,""))</f>
        <v/>
      </c>
      <c r="J86" s="2681" t="str">
        <f>IFERROR(VLOOKUP(Quad,$D$45:$J$50,7,FALSE),IF(mti_4="Escluso dall'aggiornamento tariffario",1,""))</f>
        <v/>
      </c>
    </row>
    <row r="87" spans="1:12" ht="15" customHeight="1">
      <c r="E87" s="103"/>
    </row>
    <row r="88" spans="1:12" ht="15" customHeight="1"/>
    <row r="90" spans="1:12" ht="16.5">
      <c r="E90" s="104"/>
    </row>
    <row r="91" spans="1:12" ht="16.5">
      <c r="D91" s="103"/>
      <c r="E91" s="103"/>
    </row>
    <row r="92" spans="1:12" ht="16.5">
      <c r="D92" s="103"/>
      <c r="E92" s="103"/>
      <c r="I92" s="1945"/>
      <c r="J92" s="2668"/>
      <c r="K92" s="2668"/>
      <c r="L92" s="2669"/>
    </row>
    <row r="93" spans="1:12" ht="9" customHeight="1"/>
    <row r="94" spans="1:12">
      <c r="B94" s="68"/>
      <c r="C94" s="2640" t="s">
        <v>30528</v>
      </c>
    </row>
    <row r="95" spans="1:12">
      <c r="B95" s="2735" t="s">
        <v>31397</v>
      </c>
      <c r="C95" s="2736">
        <f>Storico_Piano_Tariffario!E15</f>
        <v>0</v>
      </c>
    </row>
    <row r="96" spans="1:12">
      <c r="B96" s="2737" t="s">
        <v>31398</v>
      </c>
      <c r="C96" s="2738" t="str">
        <f>IF(Storico_Piano_Tariffario!E70="","",Storico_Piano_Tariffario!E70)</f>
        <v/>
      </c>
    </row>
    <row r="101" ht="30" customHeight="1"/>
  </sheetData>
  <sheetProtection algorithmName="SHA-512" hashValue="jwHTDbGwvKI2UOU+wdqnPdWP9yXwBU2UdWGTADrmahZpWBxNOJ86BndW4dh+VZxvuIl0/90M4YSMU6M5Xab65w==" saltValue="FWImb+386Zxh4sFV69qKiA==" spinCount="100000" sheet="1" objects="1" scenarios="1"/>
  <dataConsolidate/>
  <customSheetViews>
    <customSheetView guid="{849F61E1-F6D3-48F4-A6FF-68F8FE186D80}" scale="85" showGridLines="0" hiddenRows="1">
      <pageMargins left="0.7" right="0.7" top="0.75" bottom="0.75" header="0.3" footer="0.3"/>
      <pageSetup paperSize="9" orientation="portrait" r:id="rId1"/>
    </customSheetView>
    <customSheetView guid="{1E1889AA-9C00-49BF-A07E-295053EABBEF}" scale="85" showGridLines="0">
      <pageMargins left="0.7" right="0.7" top="0.75" bottom="0.75" header="0.3" footer="0.3"/>
      <pageSetup paperSize="9" orientation="portrait" r:id="rId2"/>
    </customSheetView>
    <customSheetView guid="{83029BA9-344F-4783-B8F2-6704FB40A582}" scale="85" showGridLines="0" hiddenRows="1">
      <pageMargins left="0.7" right="0.7" top="0.75" bottom="0.75" header="0.3" footer="0.3"/>
      <pageSetup paperSize="9" orientation="portrait" r:id="rId3"/>
    </customSheetView>
  </customSheetViews>
  <mergeCells count="14">
    <mergeCell ref="E86:F86"/>
    <mergeCell ref="G43:J43"/>
    <mergeCell ref="B30:B33"/>
    <mergeCell ref="B34:B37"/>
    <mergeCell ref="B27:B28"/>
    <mergeCell ref="C30:D33"/>
    <mergeCell ref="C34:D37"/>
    <mergeCell ref="C27:D29"/>
    <mergeCell ref="E30:F33"/>
    <mergeCell ref="E34:F37"/>
    <mergeCell ref="G30:H33"/>
    <mergeCell ref="G34:H37"/>
    <mergeCell ref="G27:H29"/>
    <mergeCell ref="E27:F29"/>
  </mergeCells>
  <phoneticPr fontId="341" type="noConversion"/>
  <pageMargins left="0.7" right="0.7" top="0.75" bottom="0.75" header="0.3" footer="0.3"/>
  <pageSetup paperSize="9" orientation="portrait" r:id="rId4"/>
  <drawing r:id="rId5"/>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Foglio3">
    <tabColor rgb="FFFFFFE7"/>
  </sheetPr>
  <dimension ref="A1:P141"/>
  <sheetViews>
    <sheetView showGridLines="0" zoomScale="85" zoomScaleNormal="85" zoomScaleSheetLayoutView="85" workbookViewId="0"/>
  </sheetViews>
  <sheetFormatPr defaultColWidth="9.42578125" defaultRowHeight="15"/>
  <cols>
    <col min="1" max="1" width="19.42578125" style="845" customWidth="1"/>
    <col min="2" max="2" width="37.42578125" customWidth="1"/>
    <col min="3" max="14" width="15.5703125" customWidth="1"/>
  </cols>
  <sheetData>
    <row r="1" spans="1:11" s="77" customFormat="1" ht="25.35" customHeight="1">
      <c r="A1" s="1118"/>
    </row>
    <row r="2" spans="1:11" s="727" customFormat="1" ht="35.1" customHeight="1" thickBot="1">
      <c r="A2" s="1282" t="s">
        <v>30503</v>
      </c>
      <c r="B2" s="1909" t="s">
        <v>30504</v>
      </c>
      <c r="G2" s="1085"/>
      <c r="H2" s="1085"/>
      <c r="K2" s="728"/>
    </row>
    <row r="3" spans="1:11" s="77" customFormat="1" ht="25.35" customHeight="1" thickTop="1">
      <c r="A3" s="1210"/>
    </row>
    <row r="4" spans="1:11" s="77" customFormat="1" ht="45" customHeight="1">
      <c r="A4" s="1210"/>
      <c r="B4" s="1207" t="s">
        <v>26926</v>
      </c>
      <c r="C4" s="1183"/>
      <c r="D4" s="1183"/>
      <c r="E4" s="1183"/>
      <c r="F4" s="1183"/>
      <c r="G4" s="1775"/>
      <c r="H4" s="1775"/>
      <c r="I4" s="1183"/>
      <c r="J4" s="1184"/>
    </row>
    <row r="5" spans="1:11" s="77" customFormat="1" ht="15" customHeight="1">
      <c r="A5" s="1210"/>
    </row>
    <row r="6" spans="1:11" s="77" customFormat="1" ht="15" customHeight="1">
      <c r="A6" s="1210"/>
    </row>
    <row r="7" spans="1:11" s="77" customFormat="1" ht="15" customHeight="1">
      <c r="A7" s="1210"/>
    </row>
    <row r="8" spans="1:11" s="77" customFormat="1" ht="15" customHeight="1">
      <c r="A8" s="1210"/>
    </row>
    <row r="9" spans="1:11" s="77" customFormat="1" ht="15" customHeight="1">
      <c r="A9" s="1210"/>
      <c r="B9" s="68" t="s">
        <v>26915</v>
      </c>
      <c r="C9" s="1773">
        <v>2024</v>
      </c>
      <c r="D9" s="1773">
        <v>2025</v>
      </c>
      <c r="E9" s="1771">
        <v>2026</v>
      </c>
      <c r="F9" s="1772">
        <v>2027</v>
      </c>
      <c r="G9" s="1774">
        <v>2028</v>
      </c>
      <c r="H9" s="1774">
        <v>2029</v>
      </c>
    </row>
    <row r="10" spans="1:11" s="77" customFormat="1" ht="15" customHeight="1">
      <c r="A10" s="1210"/>
      <c r="B10" s="1181" t="s">
        <v>24742</v>
      </c>
      <c r="C10" s="2739">
        <f>+SUM(C11:C15)</f>
        <v>0</v>
      </c>
      <c r="D10" s="2739">
        <f>+SUM(D11:D15)</f>
        <v>0</v>
      </c>
      <c r="E10" s="1127">
        <f t="shared" ref="E10:H10" ca="1" si="0">+SUM(E11:E15)</f>
        <v>0</v>
      </c>
      <c r="F10" s="1127">
        <f t="shared" ca="1" si="0"/>
        <v>0</v>
      </c>
      <c r="G10" s="1127">
        <f t="shared" ca="1" si="0"/>
        <v>0</v>
      </c>
      <c r="H10" s="1127">
        <f t="shared" ca="1" si="0"/>
        <v>0</v>
      </c>
    </row>
    <row r="11" spans="1:11" s="77" customFormat="1" ht="15" customHeight="1">
      <c r="A11" s="1210"/>
      <c r="B11" s="893" t="s">
        <v>24743</v>
      </c>
      <c r="C11" s="1211">
        <f>+IFERROR(Capex!C10,0)</f>
        <v>0</v>
      </c>
      <c r="D11" s="1211">
        <f>+IFERROR(Capex!D10,0)</f>
        <v>0</v>
      </c>
      <c r="E11" s="1211">
        <f>+IFERROR(Capex!E10,0)</f>
        <v>0</v>
      </c>
      <c r="F11" s="1211">
        <f>+IFERROR(Capex!F10,0)</f>
        <v>0</v>
      </c>
      <c r="G11" s="1211">
        <f>+IFERROR(Capex!G10,0)</f>
        <v>0</v>
      </c>
      <c r="H11" s="1211">
        <f>+IFERROR(Capex!H10,0)</f>
        <v>0</v>
      </c>
    </row>
    <row r="12" spans="1:11" s="77" customFormat="1" ht="15" customHeight="1">
      <c r="A12" s="1210"/>
      <c r="B12" s="1212" t="s">
        <v>24744</v>
      </c>
      <c r="C12" s="1213">
        <f>+IFERROR(FoNI!C10,0)</f>
        <v>0</v>
      </c>
      <c r="D12" s="1213">
        <f>+IFERROR(FoNI!D10,0)</f>
        <v>0</v>
      </c>
      <c r="E12" s="1213">
        <f>+IFERROR(FoNI!E10,0)</f>
        <v>0</v>
      </c>
      <c r="F12" s="1213">
        <f>+IFERROR(FoNI!F10,0)</f>
        <v>0</v>
      </c>
      <c r="G12" s="1213">
        <f>+IFERROR(FoNI!G10,0)</f>
        <v>0</v>
      </c>
      <c r="H12" s="1213">
        <f>+IFERROR(FoNI!H10,0)</f>
        <v>0</v>
      </c>
    </row>
    <row r="13" spans="1:11" s="77" customFormat="1" ht="15" customHeight="1">
      <c r="A13" s="1210"/>
      <c r="B13" s="1214" t="s">
        <v>26913</v>
      </c>
      <c r="C13" s="1211">
        <f>+IFERROR(Opex!C10,0)</f>
        <v>0</v>
      </c>
      <c r="D13" s="1211">
        <f>+IFERROR(Opex!D10,0)</f>
        <v>0</v>
      </c>
      <c r="E13" s="1211">
        <f ca="1">+IFERROR(Opex!E10,0)</f>
        <v>0</v>
      </c>
      <c r="F13" s="1211">
        <f ca="1">+IFERROR(Opex!F10,0)</f>
        <v>0</v>
      </c>
      <c r="G13" s="1211">
        <f ca="1">+IFERROR(Opex!G10,0)</f>
        <v>0</v>
      </c>
      <c r="H13" s="1211">
        <f ca="1">+IFERROR(Opex!H10,0)</f>
        <v>0</v>
      </c>
    </row>
    <row r="14" spans="1:11" s="77" customFormat="1" ht="15" customHeight="1">
      <c r="A14" s="1210"/>
      <c r="B14" s="1215" t="s">
        <v>26914</v>
      </c>
      <c r="C14" s="1213">
        <f>+IFERROR(ERC!C10,0)</f>
        <v>0</v>
      </c>
      <c r="D14" s="1213">
        <f>+IFERROR(ERC!D10,0)</f>
        <v>0</v>
      </c>
      <c r="E14" s="1213">
        <f ca="1">+IFERROR(ERC!E10,0)</f>
        <v>0</v>
      </c>
      <c r="F14" s="1213">
        <f ca="1">+IFERROR(ERC!F10,0)</f>
        <v>0</v>
      </c>
      <c r="G14" s="1213">
        <f ca="1">+IFERROR(ERC!G10,0)</f>
        <v>0</v>
      </c>
      <c r="H14" s="1213">
        <f ca="1">+IFERROR(ERC!H10,0)</f>
        <v>0</v>
      </c>
    </row>
    <row r="15" spans="1:11" s="77" customFormat="1" ht="15" customHeight="1">
      <c r="A15" s="1210"/>
      <c r="B15" s="893" t="s">
        <v>24746</v>
      </c>
      <c r="C15" s="1211">
        <f>IFERROR('Rc'!C10,0)</f>
        <v>0</v>
      </c>
      <c r="D15" s="1211">
        <f>IFERROR('Rc'!D10,0)</f>
        <v>0</v>
      </c>
      <c r="E15" s="1211">
        <f ca="1">IFERROR('Rc'!E10,0)</f>
        <v>0</v>
      </c>
      <c r="F15" s="1211">
        <f ca="1">IFERROR('Rc'!F10,0)</f>
        <v>0</v>
      </c>
      <c r="G15" s="1211">
        <f ca="1">IFERROR('Rc'!G10,0)</f>
        <v>0</v>
      </c>
      <c r="H15" s="1211">
        <f ca="1">IFERROR('Rc'!H10,0)</f>
        <v>0</v>
      </c>
    </row>
    <row r="16" spans="1:11" s="77" customFormat="1" ht="15" customHeight="1">
      <c r="A16" s="1210"/>
    </row>
    <row r="17" spans="1:8" s="77" customFormat="1" ht="15" customHeight="1">
      <c r="A17" s="1210"/>
    </row>
    <row r="18" spans="1:8" s="77" customFormat="1" ht="15" customHeight="1">
      <c r="A18" s="1210"/>
    </row>
    <row r="19" spans="1:8" s="77" customFormat="1" ht="15" customHeight="1">
      <c r="A19" s="1210"/>
      <c r="B19" s="1045" t="s">
        <v>29609</v>
      </c>
      <c r="C19" s="1773">
        <v>2024</v>
      </c>
      <c r="D19" s="1773">
        <v>2025</v>
      </c>
      <c r="E19" s="1771">
        <v>2026</v>
      </c>
      <c r="F19" s="1772">
        <v>2027</v>
      </c>
      <c r="G19" s="1774">
        <v>2028</v>
      </c>
      <c r="H19" s="1774">
        <v>2029</v>
      </c>
    </row>
    <row r="20" spans="1:8" s="77" customFormat="1" ht="15" customHeight="1">
      <c r="A20" s="1210"/>
      <c r="B20" s="893" t="s">
        <v>24743</v>
      </c>
      <c r="C20" s="2625"/>
      <c r="D20" s="2626"/>
      <c r="E20" s="1211">
        <f t="shared" ref="E20:H24" si="1">+E40-E11</f>
        <v>0</v>
      </c>
      <c r="F20" s="1211">
        <f t="shared" si="1"/>
        <v>0</v>
      </c>
      <c r="G20" s="1211">
        <f t="shared" si="1"/>
        <v>0</v>
      </c>
      <c r="H20" s="1211">
        <f t="shared" si="1"/>
        <v>0</v>
      </c>
    </row>
    <row r="21" spans="1:8" s="77" customFormat="1" ht="15" customHeight="1">
      <c r="A21" s="1210"/>
      <c r="B21" s="1212" t="s">
        <v>24744</v>
      </c>
      <c r="C21" s="2625"/>
      <c r="D21" s="2626"/>
      <c r="E21" s="1213">
        <f t="shared" si="1"/>
        <v>0</v>
      </c>
      <c r="F21" s="1213">
        <f t="shared" si="1"/>
        <v>0</v>
      </c>
      <c r="G21" s="1213">
        <f t="shared" si="1"/>
        <v>0</v>
      </c>
      <c r="H21" s="1213">
        <f t="shared" si="1"/>
        <v>0</v>
      </c>
    </row>
    <row r="22" spans="1:8" s="77" customFormat="1" ht="15" customHeight="1">
      <c r="A22" s="1210"/>
      <c r="B22" s="1214" t="s">
        <v>26913</v>
      </c>
      <c r="C22" s="2625"/>
      <c r="D22" s="2626"/>
      <c r="E22" s="1211">
        <f t="shared" ca="1" si="1"/>
        <v>0</v>
      </c>
      <c r="F22" s="1211">
        <f t="shared" ca="1" si="1"/>
        <v>0</v>
      </c>
      <c r="G22" s="1211">
        <f t="shared" ca="1" si="1"/>
        <v>0</v>
      </c>
      <c r="H22" s="1211">
        <f t="shared" ca="1" si="1"/>
        <v>0</v>
      </c>
    </row>
    <row r="23" spans="1:8" s="77" customFormat="1" ht="15" customHeight="1">
      <c r="A23" s="1210"/>
      <c r="B23" s="1215" t="s">
        <v>26914</v>
      </c>
      <c r="C23" s="2625"/>
      <c r="D23" s="2626"/>
      <c r="E23" s="1213">
        <f t="shared" ca="1" si="1"/>
        <v>0</v>
      </c>
      <c r="F23" s="1213">
        <f t="shared" ca="1" si="1"/>
        <v>0</v>
      </c>
      <c r="G23" s="1213">
        <f t="shared" ca="1" si="1"/>
        <v>0</v>
      </c>
      <c r="H23" s="1213">
        <f t="shared" ca="1" si="1"/>
        <v>0</v>
      </c>
    </row>
    <row r="24" spans="1:8" s="77" customFormat="1" ht="15" customHeight="1">
      <c r="A24" s="1210"/>
      <c r="B24" s="893" t="s">
        <v>24746</v>
      </c>
      <c r="C24" s="2625"/>
      <c r="D24" s="2626"/>
      <c r="E24" s="1211">
        <f t="shared" ca="1" si="1"/>
        <v>0</v>
      </c>
      <c r="F24" s="1211">
        <f t="shared" ca="1" si="1"/>
        <v>0</v>
      </c>
      <c r="G24" s="1211">
        <f t="shared" ca="1" si="1"/>
        <v>0</v>
      </c>
      <c r="H24" s="1211">
        <f t="shared" ca="1" si="1"/>
        <v>0</v>
      </c>
    </row>
    <row r="25" spans="1:8" s="77" customFormat="1" ht="15" customHeight="1">
      <c r="A25" s="1210"/>
    </row>
    <row r="26" spans="1:8" s="77" customFormat="1" ht="15" customHeight="1">
      <c r="A26" s="1210"/>
    </row>
    <row r="27" spans="1:8" s="77" customFormat="1" ht="15" customHeight="1">
      <c r="A27" s="1210"/>
    </row>
    <row r="28" spans="1:8" s="77" customFormat="1" ht="15" customHeight="1">
      <c r="A28" s="1210"/>
      <c r="B28" s="1045" t="s">
        <v>26908</v>
      </c>
      <c r="C28" s="1773">
        <v>2024</v>
      </c>
      <c r="D28" s="1773">
        <v>2025</v>
      </c>
      <c r="E28" s="1771">
        <v>2026</v>
      </c>
      <c r="F28" s="1772">
        <v>2027</v>
      </c>
      <c r="G28" s="1774">
        <v>2028</v>
      </c>
      <c r="H28" s="1774">
        <v>2029</v>
      </c>
    </row>
    <row r="29" spans="1:8" s="77" customFormat="1" ht="15" customHeight="1">
      <c r="A29" s="1210"/>
      <c r="B29" s="880" t="s">
        <v>24742</v>
      </c>
      <c r="C29" s="2625"/>
      <c r="D29" s="2626"/>
      <c r="E29" s="1216">
        <f t="shared" ref="E29:H29" ca="1" si="2">+SUM(E30:E34)</f>
        <v>0</v>
      </c>
      <c r="F29" s="1216">
        <f t="shared" ca="1" si="2"/>
        <v>0</v>
      </c>
      <c r="G29" s="1216">
        <f t="shared" ca="1" si="2"/>
        <v>0</v>
      </c>
      <c r="H29" s="1216">
        <f t="shared" ca="1" si="2"/>
        <v>0</v>
      </c>
    </row>
    <row r="30" spans="1:8" s="77" customFormat="1" ht="15" customHeight="1">
      <c r="A30" s="1210"/>
      <c r="B30" s="893" t="s">
        <v>24743</v>
      </c>
      <c r="C30" s="2625"/>
      <c r="D30" s="2626"/>
      <c r="E30" s="1211">
        <f>+IFERROR(Capex!E10,0)</f>
        <v>0</v>
      </c>
      <c r="F30" s="1211">
        <f>+IFERROR(Capex!F10,0)</f>
        <v>0</v>
      </c>
      <c r="G30" s="1211">
        <f>+IFERROR(Capex!G10,0)</f>
        <v>0</v>
      </c>
      <c r="H30" s="1211">
        <f>+IFERROR(Capex!H10,0)</f>
        <v>0</v>
      </c>
    </row>
    <row r="31" spans="1:8" s="77" customFormat="1" ht="15" customHeight="1">
      <c r="A31" s="1210"/>
      <c r="B31" s="1212" t="s">
        <v>24744</v>
      </c>
      <c r="C31" s="2625"/>
      <c r="D31" s="2626"/>
      <c r="E31" s="1213">
        <f>+IFERROR(FoNI!E10,0)</f>
        <v>0</v>
      </c>
      <c r="F31" s="1213">
        <f>+IFERROR(FoNI!F10,0)</f>
        <v>0</v>
      </c>
      <c r="G31" s="1213">
        <f>+IFERROR(FoNI!G10,0)</f>
        <v>0</v>
      </c>
      <c r="H31" s="1213">
        <f>+IFERROR(FoNI!H10,0)</f>
        <v>0</v>
      </c>
    </row>
    <row r="32" spans="1:8" s="77" customFormat="1" ht="15" customHeight="1">
      <c r="A32" s="1210"/>
      <c r="B32" s="1214" t="s">
        <v>26913</v>
      </c>
      <c r="C32" s="2625"/>
      <c r="D32" s="2626"/>
      <c r="E32" s="1211">
        <f ca="1">+IFERROR(Opex!E10,0)</f>
        <v>0</v>
      </c>
      <c r="F32" s="1211">
        <f ca="1">+IFERROR(Opex!F10,0)</f>
        <v>0</v>
      </c>
      <c r="G32" s="1211">
        <f ca="1">+IFERROR(Opex!G10,0)</f>
        <v>0</v>
      </c>
      <c r="H32" s="1211">
        <f ca="1">+IFERROR(Opex!H10,0)</f>
        <v>0</v>
      </c>
    </row>
    <row r="33" spans="1:8" s="77" customFormat="1" ht="15" customHeight="1">
      <c r="A33" s="1210"/>
      <c r="B33" s="1215" t="s">
        <v>26914</v>
      </c>
      <c r="C33" s="2625"/>
      <c r="D33" s="2626"/>
      <c r="E33" s="1213">
        <f ca="1">+IFERROR(ERC!E10,0)</f>
        <v>0</v>
      </c>
      <c r="F33" s="1213">
        <f ca="1">+IFERROR(ERC!F10,0)</f>
        <v>0</v>
      </c>
      <c r="G33" s="1213">
        <f ca="1">+IFERROR(ERC!G10,0)</f>
        <v>0</v>
      </c>
      <c r="H33" s="1213">
        <f ca="1">+IFERROR(ERC!H10,0)</f>
        <v>0</v>
      </c>
    </row>
    <row r="34" spans="1:8" s="77" customFormat="1" ht="15" customHeight="1">
      <c r="A34" s="1210"/>
      <c r="B34" s="893" t="s">
        <v>24746</v>
      </c>
      <c r="C34" s="2625"/>
      <c r="D34" s="2626"/>
      <c r="E34" s="1211">
        <f ca="1">IFERROR('Rc'!E19,0)</f>
        <v>0</v>
      </c>
      <c r="F34" s="1211">
        <f ca="1">IFERROR('Rc'!F19,0)</f>
        <v>0</v>
      </c>
      <c r="G34" s="1211">
        <f ca="1">IFERROR('Rc'!G19,0)</f>
        <v>0</v>
      </c>
      <c r="H34" s="1211">
        <f ca="1">IFERROR('Rc'!H19,0)</f>
        <v>0</v>
      </c>
    </row>
    <row r="35" spans="1:8" s="77" customFormat="1" ht="15" customHeight="1">
      <c r="A35" s="1210"/>
    </row>
    <row r="36" spans="1:8" s="77" customFormat="1" ht="15" customHeight="1">
      <c r="A36" s="1210"/>
    </row>
    <row r="37" spans="1:8" s="77" customFormat="1" ht="15" customHeight="1">
      <c r="A37" s="1210"/>
    </row>
    <row r="38" spans="1:8" s="77" customFormat="1" ht="15" customHeight="1">
      <c r="A38" s="1210"/>
      <c r="B38" s="68" t="s">
        <v>24891</v>
      </c>
      <c r="C38" s="1773">
        <v>2024</v>
      </c>
      <c r="D38" s="1773">
        <v>2025</v>
      </c>
      <c r="E38" s="1771">
        <v>2026</v>
      </c>
      <c r="F38" s="1772">
        <v>2027</v>
      </c>
      <c r="G38" s="1774">
        <v>2028</v>
      </c>
      <c r="H38" s="1774">
        <v>2029</v>
      </c>
    </row>
    <row r="39" spans="1:8" s="77" customFormat="1" ht="15" customHeight="1">
      <c r="A39" s="1210"/>
      <c r="B39" s="880" t="s">
        <v>26923</v>
      </c>
      <c r="C39" s="2625"/>
      <c r="D39" s="2626"/>
      <c r="E39" s="1216">
        <f t="shared" ref="E39:H39" ca="1" si="3">+SUM(E40:E44)</f>
        <v>0</v>
      </c>
      <c r="F39" s="1216">
        <f t="shared" ca="1" si="3"/>
        <v>0</v>
      </c>
      <c r="G39" s="1216">
        <f t="shared" ca="1" si="3"/>
        <v>0</v>
      </c>
      <c r="H39" s="1216">
        <f t="shared" ca="1" si="3"/>
        <v>0</v>
      </c>
    </row>
    <row r="40" spans="1:8" s="77" customFormat="1" ht="15" customHeight="1">
      <c r="A40" s="1210"/>
      <c r="B40" s="893" t="s">
        <v>24743</v>
      </c>
      <c r="C40" s="2625"/>
      <c r="D40" s="2626"/>
      <c r="E40" s="1217">
        <f>+IFERROR(Capex!E29,0)</f>
        <v>0</v>
      </c>
      <c r="F40" s="1217">
        <f>+IFERROR(Capex!F29,0)</f>
        <v>0</v>
      </c>
      <c r="G40" s="1217">
        <f>+IFERROR(Capex!G29,0)</f>
        <v>0</v>
      </c>
      <c r="H40" s="1217">
        <f>+IFERROR(Capex!H29,0)</f>
        <v>0</v>
      </c>
    </row>
    <row r="41" spans="1:8" s="77" customFormat="1" ht="15" customHeight="1">
      <c r="A41" s="1210"/>
      <c r="B41" s="1212" t="s">
        <v>24744</v>
      </c>
      <c r="C41" s="2625"/>
      <c r="D41" s="2626"/>
      <c r="E41" s="1218">
        <f>+IFERROR(FoNI!E29,0)</f>
        <v>0</v>
      </c>
      <c r="F41" s="1218">
        <f>+IFERROR(FoNI!F29,0)</f>
        <v>0</v>
      </c>
      <c r="G41" s="1218">
        <f>+IFERROR(FoNI!G29,0)</f>
        <v>0</v>
      </c>
      <c r="H41" s="1218">
        <f>+IFERROR(FoNI!H29,0)</f>
        <v>0</v>
      </c>
    </row>
    <row r="42" spans="1:8" s="77" customFormat="1" ht="15" customHeight="1">
      <c r="A42" s="1210"/>
      <c r="B42" s="1214" t="s">
        <v>26913</v>
      </c>
      <c r="C42" s="2625"/>
      <c r="D42" s="2626"/>
      <c r="E42" s="1217">
        <f ca="1">+IFERROR(Opex!E29,0)</f>
        <v>0</v>
      </c>
      <c r="F42" s="1217">
        <f ca="1">+IFERROR(Opex!F29,0)</f>
        <v>0</v>
      </c>
      <c r="G42" s="1217">
        <f ca="1">+IFERROR(Opex!G29,0)</f>
        <v>0</v>
      </c>
      <c r="H42" s="1217">
        <f ca="1">+IFERROR(Opex!H29,0)</f>
        <v>0</v>
      </c>
    </row>
    <row r="43" spans="1:8" s="77" customFormat="1" ht="15" customHeight="1">
      <c r="A43" s="1210"/>
      <c r="B43" s="1215" t="s">
        <v>26914</v>
      </c>
      <c r="C43" s="2625"/>
      <c r="D43" s="2626"/>
      <c r="E43" s="1218">
        <f ca="1">+IFERROR(ERC!E29,0)</f>
        <v>0</v>
      </c>
      <c r="F43" s="1218">
        <f ca="1">+IFERROR(ERC!F29,0)</f>
        <v>0</v>
      </c>
      <c r="G43" s="1218">
        <f ca="1">+IFERROR(ERC!G29,0)</f>
        <v>0</v>
      </c>
      <c r="H43" s="1218">
        <f ca="1">+IFERROR(ERC!H29,0)</f>
        <v>0</v>
      </c>
    </row>
    <row r="44" spans="1:8" s="77" customFormat="1" ht="15" customHeight="1">
      <c r="A44" s="1210"/>
      <c r="B44" s="893" t="s">
        <v>24746</v>
      </c>
      <c r="C44" s="2625"/>
      <c r="D44" s="2626"/>
      <c r="E44" s="1217">
        <f ca="1">+IFERROR('Rc'!E29,0)</f>
        <v>0</v>
      </c>
      <c r="F44" s="1217">
        <f ca="1">+IFERROR('Rc'!F29,0)</f>
        <v>0</v>
      </c>
      <c r="G44" s="1217">
        <f ca="1">+IFERROR('Rc'!G29,0)</f>
        <v>0</v>
      </c>
      <c r="H44" s="1217">
        <f ca="1">+IFERROR('Rc'!H29,0)</f>
        <v>0</v>
      </c>
    </row>
    <row r="45" spans="1:8" s="77" customFormat="1" ht="15" customHeight="1">
      <c r="A45" s="1210"/>
      <c r="B45" s="925"/>
      <c r="C45" s="1219"/>
      <c r="D45" s="1219"/>
      <c r="E45" s="1219"/>
      <c r="F45" s="1219"/>
      <c r="G45" s="1219"/>
      <c r="H45" s="1219"/>
    </row>
    <row r="46" spans="1:8" s="77" customFormat="1" ht="15" customHeight="1">
      <c r="A46" s="1210"/>
      <c r="B46" s="925"/>
      <c r="C46" s="1219"/>
      <c r="D46" s="1219"/>
      <c r="E46" s="1219"/>
      <c r="F46" s="1219"/>
      <c r="G46" s="1219"/>
      <c r="H46" s="1219"/>
    </row>
    <row r="47" spans="1:8" s="77" customFormat="1" ht="15" customHeight="1">
      <c r="A47" s="1210"/>
    </row>
    <row r="48" spans="1:8" s="77" customFormat="1" ht="15" customHeight="1">
      <c r="A48" s="1210"/>
    </row>
    <row r="49" spans="1:13" s="66" customFormat="1" ht="15.75" thickBot="1">
      <c r="A49" s="842" t="s">
        <v>30539</v>
      </c>
      <c r="B49" s="843" t="s">
        <v>24728</v>
      </c>
      <c r="C49" s="844"/>
      <c r="D49" s="844"/>
      <c r="E49" s="844"/>
      <c r="F49" s="844"/>
      <c r="G49" s="1794"/>
      <c r="H49" s="1794"/>
      <c r="I49" s="844"/>
      <c r="J49" s="844"/>
    </row>
    <row r="50" spans="1:13" ht="6.75" customHeight="1" thickTop="1"/>
    <row r="51" spans="1:13" ht="44.25" customHeight="1">
      <c r="B51" s="1182" t="s">
        <v>24729</v>
      </c>
      <c r="C51" s="1183"/>
      <c r="D51" s="1183"/>
      <c r="E51" s="1183"/>
      <c r="F51" s="1183"/>
      <c r="G51" s="1775"/>
      <c r="H51" s="1775"/>
      <c r="I51" s="1183"/>
      <c r="J51" s="1184"/>
    </row>
    <row r="52" spans="1:13" ht="12.75" customHeight="1"/>
    <row r="53" spans="1:13" ht="12.75" customHeight="1"/>
    <row r="54" spans="1:13">
      <c r="C54" s="1773">
        <v>2024</v>
      </c>
      <c r="D54" s="1773">
        <v>2025</v>
      </c>
      <c r="E54" s="1771">
        <v>2026</v>
      </c>
      <c r="F54" s="1772">
        <v>2027</v>
      </c>
      <c r="G54" s="1774">
        <v>2028</v>
      </c>
      <c r="H54" s="1774">
        <v>2029</v>
      </c>
    </row>
    <row r="55" spans="1:13" ht="15.75">
      <c r="B55" s="1320" t="s">
        <v>30492</v>
      </c>
      <c r="C55" s="1872">
        <f>+Storico_Piano_Tariffario!E65</f>
        <v>0</v>
      </c>
      <c r="D55" s="1872">
        <f>+Storico_Piano_Tariffario!F65</f>
        <v>0</v>
      </c>
      <c r="E55" s="848">
        <f>+SUM(Ricavi_bacini_tariffari!N:N)+SUM(Vendita_Servizi_ingrosso!AI:AI)+Ricavi_Coll_Dep!D19+Dati_conto_economico!C23+Dati_conto_economico!C24+Dati_conto_economico!C27+Dati_conto_economico!C28+Dati_conto_economico!C35</f>
        <v>0</v>
      </c>
      <c r="F55" s="848">
        <f>+SUM(Ricavi_bacini_tariffari!O:O)+SUM(Vendita_Servizi_ingrosso!AJ:AJ)+Ricavi_Coll_Dep!E19+Dati_conto_economico!I23+Dati_conto_economico!I24+Dati_conto_economico!I27+Dati_conto_economico!I28+Dati_conto_economico!I35</f>
        <v>0</v>
      </c>
      <c r="G55" s="1872">
        <f>+F55</f>
        <v>0</v>
      </c>
      <c r="H55" s="1872">
        <f>+G55</f>
        <v>0</v>
      </c>
      <c r="I55" s="847"/>
      <c r="L55" s="7"/>
      <c r="M55" s="7"/>
    </row>
    <row r="56" spans="1:13" ht="16.5">
      <c r="B56" s="69" t="s">
        <v>24734</v>
      </c>
      <c r="C56" s="1908">
        <f>+Storico_Piano_Tariffario!E64</f>
        <v>0</v>
      </c>
      <c r="D56" s="1908">
        <f>+Storico_Piano_Tariffario!F64</f>
        <v>0</v>
      </c>
      <c r="E56" s="846">
        <f>+E109+E111-E104</f>
        <v>0</v>
      </c>
      <c r="F56" s="846">
        <f>+F109+F111-F104</f>
        <v>0</v>
      </c>
      <c r="G56" s="1908">
        <f>G109+G111</f>
        <v>0</v>
      </c>
      <c r="H56" s="1908">
        <f>H109+H111</f>
        <v>0</v>
      </c>
      <c r="I56" s="847"/>
      <c r="M56" s="7"/>
    </row>
    <row r="57" spans="1:13">
      <c r="A57"/>
    </row>
    <row r="58" spans="1:13">
      <c r="B58" s="845"/>
      <c r="C58" s="845"/>
      <c r="D58" s="845"/>
      <c r="E58" s="845"/>
      <c r="F58" s="845"/>
      <c r="G58" s="845"/>
      <c r="H58" s="845"/>
      <c r="I58" s="845"/>
    </row>
    <row r="60" spans="1:13" ht="15.75">
      <c r="B60" s="852" t="s">
        <v>24795</v>
      </c>
      <c r="C60" s="2625"/>
      <c r="D60" s="2625"/>
      <c r="E60" s="849">
        <f t="shared" ref="E60:H60" ca="1" si="4">+E39</f>
        <v>0</v>
      </c>
      <c r="F60" s="849">
        <f t="shared" ca="1" si="4"/>
        <v>0</v>
      </c>
      <c r="G60" s="849">
        <f t="shared" ca="1" si="4"/>
        <v>0</v>
      </c>
      <c r="H60" s="849">
        <f t="shared" ca="1" si="4"/>
        <v>0</v>
      </c>
    </row>
    <row r="61" spans="1:13" ht="15.75">
      <c r="B61" s="850" t="s">
        <v>24796</v>
      </c>
      <c r="C61" s="2727" t="str">
        <f>C68</f>
        <v/>
      </c>
      <c r="D61" s="2727" t="str">
        <f>D68</f>
        <v/>
      </c>
      <c r="E61" s="851" t="str">
        <f t="shared" ref="E61:H61" ca="1" si="5">+IFERROR(E60/(SUM(E55:E56)),"")</f>
        <v/>
      </c>
      <c r="F61" s="851" t="str">
        <f t="shared" ca="1" si="5"/>
        <v/>
      </c>
      <c r="G61" s="851" t="str">
        <f t="shared" ca="1" si="5"/>
        <v/>
      </c>
      <c r="H61" s="851" t="str">
        <f t="shared" ca="1" si="5"/>
        <v/>
      </c>
    </row>
    <row r="62" spans="1:13" ht="15.75">
      <c r="B62" s="854" t="s">
        <v>28838</v>
      </c>
      <c r="C62" s="2726" t="str">
        <f>IFERROR(C63*SUM(C55:C56),"")</f>
        <v/>
      </c>
      <c r="D62" s="2726" t="str">
        <f>IFERROR(D63*SUM(D55:D56),"")</f>
        <v/>
      </c>
      <c r="E62" s="1203" t="str">
        <f>+IFERROR(E63*SUM(E55:E56),"")</f>
        <v/>
      </c>
      <c r="F62" s="1203" t="str">
        <f ca="1">+IFERROR(F63*SUM(F55:F56),"")</f>
        <v/>
      </c>
      <c r="G62" s="1203" t="str">
        <f ca="1">+IFERROR(G63*SUM(G55:G56),"")</f>
        <v/>
      </c>
      <c r="H62" s="1203" t="str">
        <f ca="1">+IFERROR(H63*SUM(H55:H56),"")</f>
        <v/>
      </c>
    </row>
    <row r="63" spans="1:13">
      <c r="B63" s="284" t="s">
        <v>28839</v>
      </c>
      <c r="C63" s="1204" t="str">
        <f>Framework_schemi!C96</f>
        <v/>
      </c>
      <c r="D63" s="1204" t="str">
        <f>+IFERROR(MIN(C63,C61)*Framework_schemi!C96,"")</f>
        <v/>
      </c>
      <c r="E63" s="1204" t="str">
        <f>IFERROR(MIN(D63,D61)*Framework_schemi!G86,"")</f>
        <v/>
      </c>
      <c r="F63" s="1204" t="str">
        <f ca="1">IFERROR(MIN(E63,E61)*Framework_schemi!H86,"")</f>
        <v/>
      </c>
      <c r="G63" s="1204" t="str">
        <f ca="1">+IFERROR(MIN(F63,F61)*Framework_schemi!I86,"")</f>
        <v/>
      </c>
      <c r="H63" s="1204" t="str">
        <f ca="1">+IFERROR(MIN(G63,G61)*Framework_schemi!J86,"")</f>
        <v/>
      </c>
    </row>
    <row r="64" spans="1:13">
      <c r="B64" s="1205" t="s">
        <v>26918</v>
      </c>
      <c r="C64" s="1206" t="str">
        <f>+IF(C61&gt;C63,"sovracap",IF(AND(C60=0,C61=0,C62=0,C63=0),"",IF(Framework_schemi!C96="","","nei limiti")))</f>
        <v/>
      </c>
      <c r="D64" s="1206" t="str">
        <f>+IF(D61&gt;D63,"sovracap",IF(AND(D60=0,D61=0,D62=0,D63=0),"",IF(Framework_schemi!C96="","","nei limiti")))</f>
        <v/>
      </c>
      <c r="E64" s="1206" t="str">
        <f ca="1">+IF(E61&gt;E63,"sovracap",IF(AND(E60=0,E61=0,E62=0,E63=0),"","nei limiti"))</f>
        <v>nei limiti</v>
      </c>
      <c r="F64" s="1206" t="str">
        <f t="shared" ref="F64:H64" ca="1" si="6">+IF(F61&gt;F63,"sovracap",IF(AND(F60=0,F61=0,F62=0,F63=0),"","nei limiti"))</f>
        <v>nei limiti</v>
      </c>
      <c r="G64" s="1206" t="str">
        <f t="shared" ca="1" si="6"/>
        <v>nei limiti</v>
      </c>
      <c r="H64" s="1206" t="str">
        <f t="shared" ca="1" si="6"/>
        <v>nei limiti</v>
      </c>
    </row>
    <row r="65" spans="2:8">
      <c r="B65" s="236"/>
      <c r="C65" s="1202"/>
      <c r="D65" s="1202"/>
      <c r="E65" s="1202"/>
      <c r="F65" s="1202"/>
      <c r="G65" s="1202"/>
      <c r="H65" s="1202"/>
    </row>
    <row r="67" spans="2:8" ht="15.75">
      <c r="B67" s="871" t="s">
        <v>28841</v>
      </c>
      <c r="C67" s="1147">
        <f>+Storico_Piano_Tariffario!E63-'Rc'!C10+'Rc'!C11</f>
        <v>0</v>
      </c>
      <c r="D67" s="1147">
        <f>+Storico_Piano_Tariffario!F63-'Rc'!D10+'Rc'!D11</f>
        <v>0</v>
      </c>
      <c r="E67" s="1147">
        <f t="shared" ref="E67:H67" ca="1" si="7">+E29</f>
        <v>0</v>
      </c>
      <c r="F67" s="1147">
        <f t="shared" ca="1" si="7"/>
        <v>0</v>
      </c>
      <c r="G67" s="1147">
        <f t="shared" ca="1" si="7"/>
        <v>0</v>
      </c>
      <c r="H67" s="1147">
        <f t="shared" ca="1" si="7"/>
        <v>0</v>
      </c>
    </row>
    <row r="68" spans="2:8" ht="15.75">
      <c r="B68" s="1478" t="s">
        <v>28842</v>
      </c>
      <c r="C68" s="1185" t="str">
        <f>+IFERROR(C67/SUM(C55:C56),"")</f>
        <v/>
      </c>
      <c r="D68" s="1185" t="str">
        <f>+IFERROR(D67/SUM(D55:D56),"")</f>
        <v/>
      </c>
      <c r="E68" s="1185" t="str">
        <f t="shared" ref="E68:H68" ca="1" si="8">+IFERROR(E67/SUM(E55:E56),"")</f>
        <v/>
      </c>
      <c r="F68" s="1185" t="str">
        <f t="shared" ca="1" si="8"/>
        <v/>
      </c>
      <c r="G68" s="1185" t="str">
        <f t="shared" ca="1" si="8"/>
        <v/>
      </c>
      <c r="H68" s="1185" t="str">
        <f t="shared" ca="1" si="8"/>
        <v/>
      </c>
    </row>
    <row r="69" spans="2:8" ht="15.75">
      <c r="B69" s="1188" t="s">
        <v>28843</v>
      </c>
      <c r="C69" s="1186" t="str">
        <f>IFERROR(C70*SUM(C55:C56),"")</f>
        <v/>
      </c>
      <c r="D69" s="1186" t="str">
        <f>IFERROR(D70*SUM(D55:D56),"")</f>
        <v/>
      </c>
      <c r="E69" s="1186" t="str">
        <f>IFERROR(E70*SUM(E55:E56),"")</f>
        <v/>
      </c>
      <c r="F69" s="1186" t="str">
        <f t="shared" ref="F69:H69" ca="1" si="9">IFERROR(F70*SUM(F55:F56),"")</f>
        <v/>
      </c>
      <c r="G69" s="1186" t="str">
        <f t="shared" ca="1" si="9"/>
        <v/>
      </c>
      <c r="H69" s="1186" t="str">
        <f t="shared" ca="1" si="9"/>
        <v/>
      </c>
    </row>
    <row r="70" spans="2:8">
      <c r="B70" s="1189" t="s">
        <v>28840</v>
      </c>
      <c r="C70" s="1185" t="str">
        <f>Framework_schemi!C96</f>
        <v/>
      </c>
      <c r="D70" s="1185" t="str">
        <f>IFERROR(MIN(C70,C68)*Framework_schemi!C96,"")</f>
        <v/>
      </c>
      <c r="E70" s="1185" t="str">
        <f>IFERROR(MIN(D70,D68)*Framework_schemi!G86,"")</f>
        <v/>
      </c>
      <c r="F70" s="1185" t="str">
        <f ca="1">IFERROR(MIN(E70,E68)*Framework_schemi!H86,"")</f>
        <v/>
      </c>
      <c r="G70" s="1185" t="str">
        <f ca="1">IFERROR(MIN(F70,F68)*Framework_schemi!I86,"")</f>
        <v/>
      </c>
      <c r="H70" s="1185" t="str">
        <f ca="1">IFERROR(MIN(G70,G68)*Framework_schemi!J86,"")</f>
        <v/>
      </c>
    </row>
    <row r="71" spans="2:8">
      <c r="B71" s="1190" t="s">
        <v>26919</v>
      </c>
      <c r="C71" s="1187" t="str">
        <f>+IF(C68&gt;C70,"sovracap",IF(AND(C67=0,C68=0,C69=0,C70=0),"",IF(Framework_schemi!C96="","","nei limiti")))</f>
        <v/>
      </c>
      <c r="D71" s="1187" t="str">
        <f>+IF(D68&gt;D70,"sovracap",IF(AND(D67=0,D68=0,D69=0,D70=0),"",IF(Framework_schemi!C96="","","nei limiti")))</f>
        <v/>
      </c>
      <c r="E71" s="1187" t="str">
        <f ca="1">+IF(E68&gt;E70,"sovracap",IF(AND(E67=0,E68=0,E69=0,E70=0),"",IF(Framework_schemi!G86="","","nei limiti")))</f>
        <v/>
      </c>
      <c r="F71" s="1187" t="str">
        <f ca="1">+IF(F68&gt;F70,"sovracap",IF(AND(F67=0,F68=0,F69=0,F70=0),"",IF(Framework_schemi!H86="","","nei limiti")))</f>
        <v/>
      </c>
      <c r="G71" s="1187" t="str">
        <f ca="1">+IF(G68&gt;G70,"sovracap",IF(AND(G67=0,G68=0,G69=0,G70=0),"",IF(Framework_schemi!I86="","","nei limiti")))</f>
        <v/>
      </c>
      <c r="H71" s="1187" t="str">
        <f ca="1">+IF(H68&gt;H70,"sovracap",IF(AND(H67=0,H68=0,H69=0,H70=0),"",IF(Framework_schemi!J86="","","nei limiti")))</f>
        <v/>
      </c>
    </row>
    <row r="74" spans="2:8" ht="15.75">
      <c r="B74" s="1171" t="s">
        <v>28844</v>
      </c>
      <c r="C74" s="138">
        <f>+Storico_Piano_Tariffario!E63</f>
        <v>0</v>
      </c>
      <c r="D74" s="138">
        <f>+Storico_Piano_Tariffario!F63</f>
        <v>0</v>
      </c>
      <c r="E74" s="138">
        <f ca="1">+E10+SUM(Input_per_calcoli_finali!K233:K235)</f>
        <v>0</v>
      </c>
      <c r="F74" s="138">
        <f ca="1">+F10+SUM(Input_per_calcoli_finali!L233:L235)</f>
        <v>0</v>
      </c>
      <c r="G74" s="138">
        <f ca="1">+G10+SUM(Input_per_calcoli_finali!M233:M235)</f>
        <v>0</v>
      </c>
      <c r="H74" s="138">
        <f ca="1">+H10+SUM(Input_per_calcoli_finali!N233:N235)</f>
        <v>0</v>
      </c>
    </row>
    <row r="75" spans="2:8" ht="15.75">
      <c r="B75" s="1191" t="s">
        <v>28845</v>
      </c>
      <c r="C75" s="853">
        <f>+Storico_Piano_Tariffario!E66</f>
        <v>0</v>
      </c>
      <c r="D75" s="853">
        <f>+Storico_Piano_Tariffario!F66</f>
        <v>0</v>
      </c>
      <c r="E75" s="853" t="str">
        <f t="shared" ref="E75:H75" ca="1" si="10">+IFERROR(E74/SUM(E55:E56),"")</f>
        <v/>
      </c>
      <c r="F75" s="853" t="str">
        <f t="shared" ca="1" si="10"/>
        <v/>
      </c>
      <c r="G75" s="853" t="str">
        <f t="shared" ca="1" si="10"/>
        <v/>
      </c>
      <c r="H75" s="853" t="str">
        <f t="shared" ca="1" si="10"/>
        <v/>
      </c>
    </row>
    <row r="76" spans="2:8" ht="15.75">
      <c r="B76" s="1192" t="s">
        <v>28846</v>
      </c>
      <c r="C76" s="855" t="str">
        <f>IFERROR(C77*SUM(C55:C56),"")</f>
        <v/>
      </c>
      <c r="D76" s="855" t="str">
        <f>IFERROR(D77*SUM(D55:D56),"")</f>
        <v/>
      </c>
      <c r="E76" s="855" t="str">
        <f t="shared" ref="E76:H76" si="11">IFERROR(E77*SUM(E55:E56),"")</f>
        <v/>
      </c>
      <c r="F76" s="855" t="str">
        <f t="shared" ca="1" si="11"/>
        <v/>
      </c>
      <c r="G76" s="855" t="str">
        <f t="shared" ca="1" si="11"/>
        <v/>
      </c>
      <c r="H76" s="855" t="str">
        <f t="shared" ca="1" si="11"/>
        <v/>
      </c>
    </row>
    <row r="77" spans="2:8">
      <c r="B77" s="1193" t="s">
        <v>28847</v>
      </c>
      <c r="C77" s="853" t="str">
        <f>Framework_schemi!C96</f>
        <v/>
      </c>
      <c r="D77" s="853" t="str">
        <f>IFERROR(MIN(C77,C75)*Framework_schemi!C96,"")</f>
        <v/>
      </c>
      <c r="E77" s="853" t="str">
        <f>IFERROR(MIN(D77,D75)*Framework_schemi!G86,"")</f>
        <v/>
      </c>
      <c r="F77" s="853" t="str">
        <f ca="1">IFERROR(MIN(E77,E75)*Framework_schemi!H86,"")</f>
        <v/>
      </c>
      <c r="G77" s="853" t="str">
        <f ca="1">IFERROR(MIN(F77,F75)*Framework_schemi!I86,"")</f>
        <v/>
      </c>
      <c r="H77" s="853" t="str">
        <f ca="1">IFERROR(MIN(G77,G75)*Framework_schemi!J86,"")</f>
        <v/>
      </c>
    </row>
    <row r="78" spans="2:8">
      <c r="B78" s="1194" t="s">
        <v>26920</v>
      </c>
      <c r="C78" s="856" t="str">
        <f>+IF(C75&gt;C77,"sovracap",IF(AND(C74=0,C75=0,C76=0,C77=0),"",IF(Framework_schemi!C96="","","nei limiti")))</f>
        <v/>
      </c>
      <c r="D78" s="856" t="str">
        <f>+IF(D75&gt;D77,"sovracap",IF(AND(D74=0,D75=0,D76=0,D77=0),"",IF(Framework_schemi!C96="","","nei limiti")))</f>
        <v/>
      </c>
      <c r="E78" s="856" t="str">
        <f ca="1">+IF(E75&gt;E77,"sovracap",IF(AND(E74=0,E75=0,E76=0,E77=0),"",IF(Framework_schemi!G86="","","nei limiti")))</f>
        <v/>
      </c>
      <c r="F78" s="856" t="str">
        <f ca="1">+IF(F75&gt;F77,"sovracap",IF(AND(F74=0,F75=0,F76=0,F77=0),"",IF(Framework_schemi!H86="","","nei limiti")))</f>
        <v/>
      </c>
      <c r="G78" s="856" t="str">
        <f ca="1">+IF(G75&gt;G77,"sovracap",IF(AND(G74=0,G75=0,G76=0,G77=0),"",IF(Framework_schemi!I86="","","nei limiti")))</f>
        <v/>
      </c>
      <c r="H78" s="856" t="str">
        <f ca="1">+IF(H75&gt;H77,"sovracap",IF(AND(H74=0,H75=0,H76=0,H77=0),"",IF(Framework_schemi!J86="","","nei limiti")))</f>
        <v/>
      </c>
    </row>
    <row r="81" spans="1:10" ht="15.75">
      <c r="B81" s="1196" t="s">
        <v>25120</v>
      </c>
      <c r="C81" s="2739">
        <f>+Storico_Piano_Tariffario!E71</f>
        <v>0</v>
      </c>
      <c r="D81" s="2739">
        <f>+Storico_Piano_Tariffario!F71</f>
        <v>0</v>
      </c>
      <c r="E81" s="857">
        <f ca="1">+E74-SUM(Input_per_calcoli_finali!K233:K235)</f>
        <v>0</v>
      </c>
      <c r="F81" s="857">
        <f ca="1">+F74-SUM(Input_per_calcoli_finali!L233:L235)</f>
        <v>0</v>
      </c>
      <c r="G81" s="857">
        <f ca="1">+G74-SUM(Input_per_calcoli_finali!M233:M235)</f>
        <v>0</v>
      </c>
      <c r="H81" s="857">
        <f ca="1">+H74-SUM(Input_per_calcoli_finali!N233:N235)</f>
        <v>0</v>
      </c>
    </row>
    <row r="82" spans="1:10" ht="15.75">
      <c r="B82" s="1197" t="s">
        <v>25123</v>
      </c>
      <c r="C82" s="2740">
        <f>+Storico_Piano_Tariffario!E72</f>
        <v>0</v>
      </c>
      <c r="D82" s="2740">
        <f>+Storico_Piano_Tariffario!F72</f>
        <v>0</v>
      </c>
      <c r="E82" s="858" t="str">
        <f t="shared" ref="E82:H82" ca="1" si="12">+IFERROR(E81/SUM(E55:E56),"")</f>
        <v/>
      </c>
      <c r="F82" s="858" t="str">
        <f t="shared" ca="1" si="12"/>
        <v/>
      </c>
      <c r="G82" s="858" t="str">
        <f t="shared" ca="1" si="12"/>
        <v/>
      </c>
      <c r="H82" s="858" t="str">
        <f t="shared" ca="1" si="12"/>
        <v/>
      </c>
    </row>
    <row r="83" spans="1:10" ht="15.75">
      <c r="B83" s="1198" t="s">
        <v>25121</v>
      </c>
      <c r="C83" s="2739" t="str">
        <f>IFERROR(C84*SUM(C55:C56),"")</f>
        <v/>
      </c>
      <c r="D83" s="2739" t="str">
        <f>IFERROR(D84*SUM(D55:D56),"")</f>
        <v/>
      </c>
      <c r="E83" s="841" t="str">
        <f t="shared" ref="E83:H83" si="13">IFERROR(E84*SUM(E55:E56),"")</f>
        <v/>
      </c>
      <c r="F83" s="841" t="str">
        <f t="shared" ca="1" si="13"/>
        <v/>
      </c>
      <c r="G83" s="841" t="str">
        <f t="shared" ca="1" si="13"/>
        <v/>
      </c>
      <c r="H83" s="841" t="str">
        <f t="shared" ca="1" si="13"/>
        <v/>
      </c>
    </row>
    <row r="84" spans="1:10">
      <c r="B84" s="1199" t="s">
        <v>25122</v>
      </c>
      <c r="C84" s="2740" t="str">
        <f>Framework_schemi!C96</f>
        <v/>
      </c>
      <c r="D84" s="2740" t="str">
        <f>IFERROR(MIN(C82,C84)*Framework_schemi!C96,"")</f>
        <v/>
      </c>
      <c r="E84" s="858" t="str">
        <f>IFERROR(MIN(D82,D84)*Framework_schemi!G86,"")</f>
        <v/>
      </c>
      <c r="F84" s="858" t="str">
        <f ca="1">IFERROR(MIN(E82,E84)*Framework_schemi!H86,"")</f>
        <v/>
      </c>
      <c r="G84" s="858" t="str">
        <f ca="1">IFERROR(MIN(F82,F84)*Framework_schemi!I86,"")</f>
        <v/>
      </c>
      <c r="H84" s="858" t="str">
        <f ca="1">IFERROR(MIN(G82,G84)*Framework_schemi!J86,"")</f>
        <v/>
      </c>
    </row>
    <row r="85" spans="1:10">
      <c r="B85" s="1200" t="s">
        <v>26921</v>
      </c>
      <c r="C85" s="2741" t="str">
        <f>+IF(C82&gt;C84,"sovracap",IF(AND(C81=0,C82=0,C83=0,C84=0),"",IF(Framework_schemi!C96="","","nei limiti")))</f>
        <v/>
      </c>
      <c r="D85" s="2741" t="str">
        <f>+IF(D82&gt;D84,"sovracap",IF(AND(D81=0,D82=0,D83=0,D84=0),"",IF(Framework_schemi!C96="","","nei limiti")))</f>
        <v/>
      </c>
      <c r="E85" s="859" t="str">
        <f ca="1">+IF(E82&gt;E84,"sovracap",IF(AND(E81=0,E82=0,E83=0,E84=0),"",IF(Framework_schemi!G86="","","nei limiti")))</f>
        <v/>
      </c>
      <c r="F85" s="859" t="str">
        <f ca="1">+IF(F82&gt;F84,"sovracap",IF(AND(F81=0,F82=0,F83=0,F84=0),"",IF(Framework_schemi!H86="","","nei limiti")))</f>
        <v/>
      </c>
      <c r="G85" s="859" t="str">
        <f ca="1">+IF(G82&gt;G84,"sovracap",IF(AND(G81=0,G82=0,G83=0,G84=0),"",IF(Framework_schemi!I86="","","nei limiti")))</f>
        <v/>
      </c>
      <c r="H85" s="859" t="str">
        <f ca="1">+IF(H82&gt;H84,"sovracap",IF(AND(H81=0,H82=0,H83=0,H84=0),"",IF(Framework_schemi!J86="","","nei limiti")))</f>
        <v/>
      </c>
    </row>
    <row r="87" spans="1:10">
      <c r="E87" s="7"/>
    </row>
    <row r="88" spans="1:10" s="66" customFormat="1" ht="15.75" thickBot="1">
      <c r="A88" s="842" t="s">
        <v>30540</v>
      </c>
      <c r="B88" s="860" t="s">
        <v>24793</v>
      </c>
      <c r="C88" s="844"/>
      <c r="D88" s="844"/>
      <c r="E88" s="844"/>
      <c r="F88" s="844"/>
      <c r="G88" s="1794"/>
      <c r="H88" s="1794"/>
      <c r="I88" s="844"/>
      <c r="J88" s="844"/>
    </row>
    <row r="89" spans="1:10" ht="15.75" thickTop="1"/>
    <row r="92" spans="1:10">
      <c r="B92" s="861"/>
      <c r="C92" s="1773">
        <v>2024</v>
      </c>
      <c r="D92" s="1773">
        <v>2025</v>
      </c>
      <c r="E92" s="1771">
        <v>2026</v>
      </c>
      <c r="F92" s="1772">
        <v>2027</v>
      </c>
      <c r="G92" s="1774">
        <v>2028</v>
      </c>
      <c r="H92" s="1774">
        <v>2029</v>
      </c>
    </row>
    <row r="93" spans="1:10">
      <c r="B93" s="862" t="s">
        <v>44</v>
      </c>
      <c r="C93" s="2627"/>
      <c r="D93" s="2627"/>
      <c r="E93" s="863">
        <f>+Dati_conto_economico!F17</f>
        <v>0</v>
      </c>
      <c r="F93" s="863">
        <f>+Dati_conto_economico!L17</f>
        <v>0</v>
      </c>
      <c r="G93" s="1881">
        <f>+F93</f>
        <v>0</v>
      </c>
      <c r="H93" s="1881">
        <f t="shared" ref="H93:H106" si="14">+G93</f>
        <v>0</v>
      </c>
    </row>
    <row r="94" spans="1:10">
      <c r="B94" s="862" t="s">
        <v>50</v>
      </c>
      <c r="C94" s="2627"/>
      <c r="D94" s="2627"/>
      <c r="E94" s="863">
        <f>+Dati_conto_economico!F23</f>
        <v>0</v>
      </c>
      <c r="F94" s="863">
        <f>+Dati_conto_economico!L23</f>
        <v>0</v>
      </c>
      <c r="G94" s="1881">
        <f t="shared" ref="G94:G106" si="15">+F94</f>
        <v>0</v>
      </c>
      <c r="H94" s="1881">
        <f t="shared" si="14"/>
        <v>0</v>
      </c>
    </row>
    <row r="95" spans="1:10">
      <c r="B95" s="862" t="s">
        <v>51</v>
      </c>
      <c r="C95" s="2627"/>
      <c r="D95" s="2627"/>
      <c r="E95" s="863">
        <f>+Dati_conto_economico!F24</f>
        <v>0</v>
      </c>
      <c r="F95" s="863">
        <f>+Dati_conto_economico!L24</f>
        <v>0</v>
      </c>
      <c r="G95" s="1881">
        <f t="shared" si="15"/>
        <v>0</v>
      </c>
      <c r="H95" s="1881">
        <f t="shared" si="14"/>
        <v>0</v>
      </c>
    </row>
    <row r="96" spans="1:10">
      <c r="B96" s="862" t="s">
        <v>52</v>
      </c>
      <c r="C96" s="2627"/>
      <c r="D96" s="2627"/>
      <c r="E96" s="863">
        <f>+Dati_conto_economico!F25</f>
        <v>0</v>
      </c>
      <c r="F96" s="863">
        <f>+Dati_conto_economico!L25</f>
        <v>0</v>
      </c>
      <c r="G96" s="1881">
        <f t="shared" si="15"/>
        <v>0</v>
      </c>
      <c r="H96" s="1881">
        <f t="shared" si="14"/>
        <v>0</v>
      </c>
    </row>
    <row r="97" spans="2:15">
      <c r="B97" s="862" t="s">
        <v>53</v>
      </c>
      <c r="C97" s="2627"/>
      <c r="D97" s="2627"/>
      <c r="E97" s="863">
        <f>+Dati_conto_economico!F26</f>
        <v>0</v>
      </c>
      <c r="F97" s="863">
        <f>+Dati_conto_economico!L26</f>
        <v>0</v>
      </c>
      <c r="G97" s="1881">
        <f t="shared" si="15"/>
        <v>0</v>
      </c>
      <c r="H97" s="1881">
        <f t="shared" si="14"/>
        <v>0</v>
      </c>
    </row>
    <row r="98" spans="2:15">
      <c r="B98" s="862" t="s">
        <v>54</v>
      </c>
      <c r="C98" s="2627"/>
      <c r="D98" s="2627"/>
      <c r="E98" s="863">
        <f>+Dati_conto_economico!F29</f>
        <v>0</v>
      </c>
      <c r="F98" s="863">
        <f>+Dati_conto_economico!L29</f>
        <v>0</v>
      </c>
      <c r="G98" s="1881">
        <f t="shared" si="15"/>
        <v>0</v>
      </c>
      <c r="H98" s="1881">
        <f t="shared" si="14"/>
        <v>0</v>
      </c>
    </row>
    <row r="99" spans="2:15">
      <c r="B99" s="862" t="s">
        <v>55</v>
      </c>
      <c r="C99" s="2627"/>
      <c r="D99" s="2627"/>
      <c r="E99" s="863">
        <f>+Dati_conto_economico!F30</f>
        <v>0</v>
      </c>
      <c r="F99" s="863">
        <f>+Dati_conto_economico!L30</f>
        <v>0</v>
      </c>
      <c r="G99" s="1881">
        <f t="shared" si="15"/>
        <v>0</v>
      </c>
      <c r="H99" s="1881">
        <f t="shared" si="14"/>
        <v>0</v>
      </c>
    </row>
    <row r="100" spans="2:15">
      <c r="B100" s="862" t="s">
        <v>56</v>
      </c>
      <c r="C100" s="2627"/>
      <c r="D100" s="2627"/>
      <c r="E100" s="863">
        <f>+Dati_conto_economico!F31</f>
        <v>0</v>
      </c>
      <c r="F100" s="863">
        <f>+Dati_conto_economico!L31</f>
        <v>0</v>
      </c>
      <c r="G100" s="1881">
        <f t="shared" si="15"/>
        <v>0</v>
      </c>
      <c r="H100" s="1881">
        <f t="shared" si="14"/>
        <v>0</v>
      </c>
    </row>
    <row r="101" spans="2:15">
      <c r="B101" s="862" t="s">
        <v>57</v>
      </c>
      <c r="C101" s="2627"/>
      <c r="D101" s="2627"/>
      <c r="E101" s="863">
        <f>+Dati_conto_economico!F32</f>
        <v>0</v>
      </c>
      <c r="F101" s="863">
        <f>+Dati_conto_economico!L32</f>
        <v>0</v>
      </c>
      <c r="G101" s="1881">
        <f t="shared" si="15"/>
        <v>0</v>
      </c>
      <c r="H101" s="1881">
        <f t="shared" si="14"/>
        <v>0</v>
      </c>
    </row>
    <row r="102" spans="2:15">
      <c r="B102" s="862" t="s">
        <v>58</v>
      </c>
      <c r="C102" s="2627"/>
      <c r="D102" s="2627"/>
      <c r="E102" s="863">
        <f>+Dati_conto_economico!F33</f>
        <v>0</v>
      </c>
      <c r="F102" s="863">
        <f>+Dati_conto_economico!L33</f>
        <v>0</v>
      </c>
      <c r="G102" s="1881">
        <f t="shared" si="15"/>
        <v>0</v>
      </c>
      <c r="H102" s="1881">
        <f t="shared" si="14"/>
        <v>0</v>
      </c>
    </row>
    <row r="103" spans="2:15">
      <c r="B103" s="862" t="s">
        <v>59</v>
      </c>
      <c r="C103" s="2627"/>
      <c r="D103" s="2627"/>
      <c r="E103" s="863">
        <f>+Dati_conto_economico!F34</f>
        <v>0</v>
      </c>
      <c r="F103" s="863">
        <f>+Dati_conto_economico!L34</f>
        <v>0</v>
      </c>
      <c r="G103" s="1881">
        <f t="shared" si="15"/>
        <v>0</v>
      </c>
      <c r="H103" s="1881">
        <f t="shared" si="14"/>
        <v>0</v>
      </c>
    </row>
    <row r="104" spans="2:15">
      <c r="B104" s="862" t="s">
        <v>60</v>
      </c>
      <c r="C104" s="2627"/>
      <c r="D104" s="2627"/>
      <c r="E104" s="863"/>
      <c r="F104" s="863"/>
      <c r="G104" s="2627"/>
      <c r="H104" s="2627"/>
    </row>
    <row r="105" spans="2:15">
      <c r="B105" s="862" t="s">
        <v>61</v>
      </c>
      <c r="C105" s="2627"/>
      <c r="D105" s="2627"/>
      <c r="E105" s="863">
        <f>+Dati_conto_economico!F36</f>
        <v>0</v>
      </c>
      <c r="F105" s="863">
        <f>+Dati_conto_economico!L36</f>
        <v>0</v>
      </c>
      <c r="G105" s="1881">
        <f t="shared" si="15"/>
        <v>0</v>
      </c>
      <c r="H105" s="1881">
        <f t="shared" si="14"/>
        <v>0</v>
      </c>
    </row>
    <row r="106" spans="2:15" ht="26.25" customHeight="1">
      <c r="B106" s="1281" t="s">
        <v>65</v>
      </c>
      <c r="C106" s="2629"/>
      <c r="D106" s="2630"/>
      <c r="E106" s="1885">
        <f>+MAX(Dati_conto_economico!F40,0)</f>
        <v>0</v>
      </c>
      <c r="F106" s="1886">
        <f>+MAX(Dati_conto_economico!L40,0)</f>
        <v>0</v>
      </c>
      <c r="G106" s="1886">
        <f t="shared" si="15"/>
        <v>0</v>
      </c>
      <c r="H106" s="1887">
        <f t="shared" si="14"/>
        <v>0</v>
      </c>
      <c r="I106" s="864"/>
    </row>
    <row r="107" spans="2:15">
      <c r="B107" s="845"/>
      <c r="I107" s="845"/>
      <c r="J107" s="845"/>
      <c r="K107" s="845"/>
      <c r="L107" s="845"/>
      <c r="M107" s="845"/>
      <c r="N107" s="845"/>
    </row>
    <row r="108" spans="2:15">
      <c r="B108" s="75" t="s">
        <v>26841</v>
      </c>
      <c r="I108" s="845"/>
      <c r="J108" s="845"/>
      <c r="K108" s="845"/>
      <c r="L108" s="845"/>
      <c r="M108" s="845"/>
      <c r="N108" s="845"/>
      <c r="O108" s="845"/>
    </row>
    <row r="109" spans="2:15" ht="16.5">
      <c r="B109" s="1201" t="s">
        <v>27111</v>
      </c>
      <c r="C109" s="2628"/>
      <c r="D109" s="2628"/>
      <c r="E109" s="138">
        <f>SUM(Dati_conto_economico!D111:D113)+E104</f>
        <v>0</v>
      </c>
      <c r="F109" s="138">
        <f>SUM(Dati_conto_economico!J111:J113)+F104</f>
        <v>0</v>
      </c>
      <c r="G109" s="138">
        <f>+SUM(Dati_conto_economico!D111:D113)</f>
        <v>0</v>
      </c>
      <c r="H109" s="138">
        <f>SUM(Dati_conto_economico!J111:J113)</f>
        <v>0</v>
      </c>
      <c r="I109" s="845"/>
      <c r="J109" s="845"/>
    </row>
    <row r="110" spans="2:15" ht="26.25" customHeight="1">
      <c r="B110" s="845"/>
      <c r="C110" s="845"/>
      <c r="D110" s="845"/>
      <c r="E110" s="845"/>
      <c r="F110" s="845"/>
      <c r="G110" s="845"/>
      <c r="H110" s="845"/>
      <c r="I110" s="845"/>
      <c r="J110" s="845"/>
    </row>
    <row r="111" spans="2:15" ht="16.5">
      <c r="B111" s="1201" t="s">
        <v>29581</v>
      </c>
      <c r="C111" s="2628"/>
      <c r="D111" s="2628"/>
      <c r="E111" s="138">
        <f>+SUM(E93:E103,E105:E106)-E109</f>
        <v>0</v>
      </c>
      <c r="F111" s="138">
        <f>+SUM(F93:F103,F105:F106)-F109</f>
        <v>0</v>
      </c>
      <c r="G111" s="138">
        <f>+SUM(G93:G103,G105:G106)-G109</f>
        <v>0</v>
      </c>
      <c r="H111" s="138">
        <f>+SUM(H93:H103,H105:H106)-H109</f>
        <v>0</v>
      </c>
    </row>
    <row r="113" spans="1:14">
      <c r="B113" s="845"/>
      <c r="I113" s="845"/>
      <c r="J113" s="845"/>
      <c r="K113" s="845"/>
      <c r="L113" s="845"/>
      <c r="M113" s="845"/>
      <c r="N113" s="845"/>
    </row>
    <row r="116" spans="1:14" s="66" customFormat="1" ht="15.75" thickBot="1">
      <c r="A116" s="842" t="s">
        <v>30540</v>
      </c>
      <c r="B116" s="860" t="s">
        <v>24794</v>
      </c>
      <c r="C116" s="844"/>
      <c r="D116" s="844"/>
      <c r="E116" s="844"/>
      <c r="F116" s="844"/>
      <c r="G116" s="1794"/>
      <c r="H116" s="1794"/>
      <c r="I116" s="844"/>
      <c r="J116" s="844"/>
    </row>
    <row r="117" spans="1:14" ht="15.75" thickTop="1">
      <c r="A117" s="75"/>
      <c r="B117" s="1195"/>
      <c r="C117" s="580"/>
      <c r="D117" s="580"/>
      <c r="E117" s="1578"/>
      <c r="F117" s="1578"/>
      <c r="G117" s="580"/>
      <c r="H117" s="580"/>
      <c r="I117" s="580"/>
      <c r="J117" s="580"/>
    </row>
    <row r="118" spans="1:14">
      <c r="A118" s="75"/>
      <c r="B118" s="1195"/>
      <c r="C118" s="580"/>
      <c r="D118" s="580"/>
      <c r="E118" s="580"/>
      <c r="F118" s="580"/>
      <c r="G118" s="580"/>
      <c r="H118" s="580"/>
      <c r="I118" s="580"/>
      <c r="J118" s="580"/>
    </row>
    <row r="120" spans="1:14">
      <c r="B120" s="861"/>
      <c r="C120" s="1773">
        <v>2024</v>
      </c>
      <c r="D120" s="1773">
        <v>2025</v>
      </c>
      <c r="E120" s="1771">
        <v>2026</v>
      </c>
      <c r="F120" s="1772">
        <v>2027</v>
      </c>
      <c r="G120" s="1774">
        <v>2028</v>
      </c>
      <c r="H120" s="1774">
        <v>2029</v>
      </c>
    </row>
    <row r="121" spans="1:14">
      <c r="B121" s="862" t="s">
        <v>104</v>
      </c>
      <c r="C121" s="2627"/>
      <c r="D121" s="2627"/>
      <c r="E121" s="865">
        <f>+Dati_conto_economico!F42-Dati_conto_economico!F65</f>
        <v>0</v>
      </c>
      <c r="F121" s="866">
        <f>+Dati_conto_economico!L42-Dati_conto_economico!L65</f>
        <v>0</v>
      </c>
      <c r="G121" s="1882">
        <f t="shared" ref="G121:G135" si="16">+D121</f>
        <v>0</v>
      </c>
      <c r="H121" s="1882">
        <f t="shared" ref="H121:H135" si="17">+G121</f>
        <v>0</v>
      </c>
    </row>
    <row r="122" spans="1:14" ht="26.25">
      <c r="B122" s="862" t="s">
        <v>80</v>
      </c>
      <c r="C122" s="2627"/>
      <c r="D122" s="2627"/>
      <c r="E122" s="863">
        <f>+Dati_conto_economico!F74</f>
        <v>0</v>
      </c>
      <c r="F122" s="867">
        <f>+Dati_conto_economico!L74</f>
        <v>0</v>
      </c>
      <c r="G122" s="1883">
        <f t="shared" si="16"/>
        <v>0</v>
      </c>
      <c r="H122" s="1883">
        <f t="shared" si="17"/>
        <v>0</v>
      </c>
    </row>
    <row r="123" spans="1:14">
      <c r="B123" s="862" t="s">
        <v>81</v>
      </c>
      <c r="C123" s="2627"/>
      <c r="D123" s="2627"/>
      <c r="E123" s="863">
        <f>+Dati_conto_economico!F75</f>
        <v>0</v>
      </c>
      <c r="F123" s="867">
        <f>+Dati_conto_economico!L75</f>
        <v>0</v>
      </c>
      <c r="G123" s="1883">
        <f t="shared" si="16"/>
        <v>0</v>
      </c>
      <c r="H123" s="1883">
        <f t="shared" si="17"/>
        <v>0</v>
      </c>
    </row>
    <row r="124" spans="1:14">
      <c r="B124" s="862" t="s">
        <v>82</v>
      </c>
      <c r="C124" s="2627"/>
      <c r="D124" s="2627"/>
      <c r="E124" s="863">
        <f>+Dati_conto_economico!F76</f>
        <v>0</v>
      </c>
      <c r="F124" s="867">
        <f>+Dati_conto_economico!L76</f>
        <v>0</v>
      </c>
      <c r="G124" s="1883">
        <f t="shared" si="16"/>
        <v>0</v>
      </c>
      <c r="H124" s="1883">
        <f t="shared" si="17"/>
        <v>0</v>
      </c>
    </row>
    <row r="125" spans="1:14" ht="26.25">
      <c r="B125" s="862" t="s">
        <v>83</v>
      </c>
      <c r="C125" s="2627"/>
      <c r="D125" s="2627"/>
      <c r="E125" s="863">
        <f>+Dati_conto_economico!F77</f>
        <v>0</v>
      </c>
      <c r="F125" s="867">
        <f>+Dati_conto_economico!L77</f>
        <v>0</v>
      </c>
      <c r="G125" s="1883">
        <f t="shared" si="16"/>
        <v>0</v>
      </c>
      <c r="H125" s="1883">
        <f t="shared" si="17"/>
        <v>0</v>
      </c>
    </row>
    <row r="126" spans="1:14" ht="26.25">
      <c r="B126" s="862" t="s">
        <v>84</v>
      </c>
      <c r="C126" s="2627"/>
      <c r="D126" s="2627"/>
      <c r="E126" s="863">
        <f>+Dati_conto_economico!F78</f>
        <v>0</v>
      </c>
      <c r="F126" s="867">
        <f>+Dati_conto_economico!L78</f>
        <v>0</v>
      </c>
      <c r="G126" s="1883">
        <f t="shared" si="16"/>
        <v>0</v>
      </c>
      <c r="H126" s="1883">
        <f t="shared" si="17"/>
        <v>0</v>
      </c>
    </row>
    <row r="127" spans="1:14">
      <c r="B127" s="862" t="s">
        <v>85</v>
      </c>
      <c r="C127" s="2627"/>
      <c r="D127" s="2627"/>
      <c r="E127" s="863">
        <f>+Dati_conto_economico!F79</f>
        <v>0</v>
      </c>
      <c r="F127" s="867">
        <f>+Dati_conto_economico!L79</f>
        <v>0</v>
      </c>
      <c r="G127" s="1883">
        <f t="shared" si="16"/>
        <v>0</v>
      </c>
      <c r="H127" s="1883">
        <f t="shared" si="17"/>
        <v>0</v>
      </c>
    </row>
    <row r="128" spans="1:14" ht="26.25">
      <c r="B128" s="862" t="s">
        <v>86</v>
      </c>
      <c r="C128" s="2627"/>
      <c r="D128" s="2627"/>
      <c r="E128" s="863">
        <f>+Dati_conto_economico!F81</f>
        <v>0</v>
      </c>
      <c r="F128" s="867">
        <f>+Dati_conto_economico!L81</f>
        <v>0</v>
      </c>
      <c r="G128" s="1883">
        <f t="shared" si="16"/>
        <v>0</v>
      </c>
      <c r="H128" s="1883">
        <f t="shared" si="17"/>
        <v>0</v>
      </c>
    </row>
    <row r="129" spans="2:16" ht="26.25">
      <c r="B129" s="862" t="s">
        <v>91</v>
      </c>
      <c r="C129" s="2627"/>
      <c r="D129" s="2627"/>
      <c r="E129" s="863">
        <f>+Dati_conto_economico!F89</f>
        <v>0</v>
      </c>
      <c r="F129" s="867">
        <f>+Dati_conto_economico!L89</f>
        <v>0</v>
      </c>
      <c r="G129" s="1883">
        <f t="shared" si="16"/>
        <v>0</v>
      </c>
      <c r="H129" s="1883">
        <f t="shared" si="17"/>
        <v>0</v>
      </c>
    </row>
    <row r="130" spans="2:16" ht="26.25">
      <c r="B130" s="862" t="s">
        <v>92</v>
      </c>
      <c r="C130" s="2627"/>
      <c r="D130" s="2627"/>
      <c r="E130" s="863">
        <f>+Dati_conto_economico!F90</f>
        <v>0</v>
      </c>
      <c r="F130" s="867">
        <f>+Dati_conto_economico!L90</f>
        <v>0</v>
      </c>
      <c r="G130" s="1883">
        <f t="shared" si="16"/>
        <v>0</v>
      </c>
      <c r="H130" s="1883">
        <f t="shared" si="17"/>
        <v>0</v>
      </c>
    </row>
    <row r="131" spans="2:16" ht="26.25">
      <c r="B131" s="862" t="s">
        <v>35</v>
      </c>
      <c r="C131" s="2627"/>
      <c r="D131" s="2627"/>
      <c r="E131" s="863">
        <f>+Dati_conto_economico!F7</f>
        <v>0</v>
      </c>
      <c r="F131" s="867">
        <f>+Dati_conto_economico!L7</f>
        <v>0</v>
      </c>
      <c r="G131" s="1883">
        <f t="shared" si="16"/>
        <v>0</v>
      </c>
      <c r="H131" s="1883">
        <f t="shared" si="17"/>
        <v>0</v>
      </c>
    </row>
    <row r="132" spans="2:16">
      <c r="B132" s="862" t="s">
        <v>36</v>
      </c>
      <c r="C132" s="2627"/>
      <c r="D132" s="2627"/>
      <c r="E132" s="863">
        <f>+Dati_conto_economico!F8</f>
        <v>0</v>
      </c>
      <c r="F132" s="867">
        <f>+Dati_conto_economico!L8</f>
        <v>0</v>
      </c>
      <c r="G132" s="1883">
        <f t="shared" si="16"/>
        <v>0</v>
      </c>
      <c r="H132" s="1883">
        <f t="shared" si="17"/>
        <v>0</v>
      </c>
    </row>
    <row r="133" spans="2:16" ht="26.25">
      <c r="B133" s="862" t="s">
        <v>37</v>
      </c>
      <c r="C133" s="2627"/>
      <c r="D133" s="2627"/>
      <c r="E133" s="863">
        <f>+Dati_conto_economico!F9</f>
        <v>0</v>
      </c>
      <c r="F133" s="867">
        <f>+Dati_conto_economico!L9</f>
        <v>0</v>
      </c>
      <c r="G133" s="1883">
        <f t="shared" si="16"/>
        <v>0</v>
      </c>
      <c r="H133" s="1883">
        <f t="shared" si="17"/>
        <v>0</v>
      </c>
    </row>
    <row r="134" spans="2:16">
      <c r="B134" s="862" t="s">
        <v>64</v>
      </c>
      <c r="C134" s="2627"/>
      <c r="D134" s="2627"/>
      <c r="E134" s="863">
        <f>+Dati_conto_economico!F39</f>
        <v>0</v>
      </c>
      <c r="F134" s="867">
        <f>+Dati_conto_economico!L39</f>
        <v>0</v>
      </c>
      <c r="G134" s="1883">
        <f t="shared" si="16"/>
        <v>0</v>
      </c>
      <c r="H134" s="1883">
        <f t="shared" si="17"/>
        <v>0</v>
      </c>
    </row>
    <row r="135" spans="2:16" ht="26.25">
      <c r="B135" s="862" t="s">
        <v>90</v>
      </c>
      <c r="C135" s="2629"/>
      <c r="D135" s="2630"/>
      <c r="E135" s="868">
        <f>+Dati_conto_economico!F86</f>
        <v>0</v>
      </c>
      <c r="F135" s="869">
        <f>+Dati_conto_economico!L86</f>
        <v>0</v>
      </c>
      <c r="G135" s="1884">
        <f t="shared" si="16"/>
        <v>0</v>
      </c>
      <c r="H135" s="1884">
        <f t="shared" si="17"/>
        <v>0</v>
      </c>
    </row>
    <row r="137" spans="2:16">
      <c r="B137" s="75" t="s">
        <v>26841</v>
      </c>
      <c r="C137" s="845"/>
      <c r="D137" s="845"/>
      <c r="E137" s="845"/>
      <c r="F137" s="845"/>
      <c r="G137" s="845"/>
      <c r="H137" s="845"/>
      <c r="I137" s="845"/>
      <c r="J137" s="845"/>
      <c r="K137" s="845"/>
      <c r="L137" s="845"/>
      <c r="M137" s="845"/>
      <c r="N137" s="845"/>
      <c r="O137" s="845"/>
      <c r="P137" s="845"/>
    </row>
    <row r="138" spans="2:16" ht="16.5">
      <c r="B138" s="1201" t="s">
        <v>26842</v>
      </c>
      <c r="C138" s="2628"/>
      <c r="D138" s="2628"/>
      <c r="E138" s="138">
        <f>+SUM(Dati_conto_economico!F111:F114)</f>
        <v>0</v>
      </c>
      <c r="F138" s="138">
        <f>+SUM(Dati_conto_economico!L111:L114)</f>
        <v>0</v>
      </c>
      <c r="G138" s="138">
        <f>+SUM(Dati_conto_economico!F111:F113)</f>
        <v>0</v>
      </c>
      <c r="H138" s="138">
        <f>+SUM(Dati_conto_economico!L111:L113)</f>
        <v>0</v>
      </c>
    </row>
    <row r="140" spans="2:16" ht="16.5">
      <c r="B140" s="1201" t="s">
        <v>29580</v>
      </c>
      <c r="C140" s="2628"/>
      <c r="D140" s="2628"/>
      <c r="E140" s="138">
        <f>MAX((E121-SUM(E122:E135)-E138),0)</f>
        <v>0</v>
      </c>
      <c r="F140" s="138">
        <f>MAX((F121-SUM(F122:F135)-F138),0)</f>
        <v>0</v>
      </c>
      <c r="G140" s="138">
        <f>+F140</f>
        <v>0</v>
      </c>
      <c r="H140" s="138">
        <f>+G140</f>
        <v>0</v>
      </c>
    </row>
    <row r="141" spans="2:16">
      <c r="B141" s="845"/>
      <c r="I141" s="845"/>
      <c r="J141" s="845"/>
      <c r="K141" s="845"/>
      <c r="L141" s="845"/>
      <c r="M141" s="845"/>
      <c r="N141" s="845"/>
      <c r="O141" s="845"/>
      <c r="P141" s="845"/>
    </row>
  </sheetData>
  <sheetProtection algorithmName="SHA-512" hashValue="xPmVy+UqsfQISvv1PeAp4+DOFkBLwDJ+GutGLL9EE3EA4rFozl89AigITeKdXT3v2rtSV5xhchEEoUSg5PiyFg==" saltValue="KfCDlknYR2fvLCS9z4UYZg==" spinCount="100000" sheet="1" objects="1" scenarios="1"/>
  <customSheetViews>
    <customSheetView guid="{849F61E1-F6D3-48F4-A6FF-68F8FE186D80}" scale="85" showPageBreaks="1" showGridLines="0" printArea="1">
      <selection activeCell="F42" sqref="F42"/>
      <pageMargins left="0.7" right="0.7" top="0.75" bottom="0.75" header="0.3" footer="0.3"/>
      <pageSetup paperSize="9" orientation="portrait" r:id="rId1"/>
    </customSheetView>
    <customSheetView guid="{1E1889AA-9C00-49BF-A07E-295053EABBEF}" scale="85" showGridLines="0">
      <pageMargins left="0.7" right="0.7" top="0.75" bottom="0.75" header="0.3" footer="0.3"/>
      <pageSetup paperSize="9" orientation="portrait" r:id="rId2"/>
    </customSheetView>
    <customSheetView guid="{83029BA9-344F-4783-B8F2-6704FB40A582}" scale="85" showGridLines="0" topLeftCell="A14">
      <selection activeCell="F42" sqref="F42"/>
      <pageMargins left="0.7" right="0.7" top="0.75" bottom="0.75" header="0.3" footer="0.3"/>
      <pageSetup paperSize="9" orientation="portrait" r:id="rId3"/>
    </customSheetView>
  </customSheetViews>
  <pageMargins left="0.7" right="0.7" top="0.75" bottom="0.75" header="0.3" footer="0.3"/>
  <pageSetup paperSize="9" orientation="portrait" r:id="rId4"/>
  <drawing r:id="rId5"/>
  <legacyDrawing r:id="rId6"/>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Foglio35">
    <tabColor rgb="FFFFFFE7"/>
  </sheetPr>
  <dimension ref="A1:U142"/>
  <sheetViews>
    <sheetView showGridLines="0" zoomScale="85" zoomScaleNormal="85" zoomScaleSheetLayoutView="85" workbookViewId="0"/>
  </sheetViews>
  <sheetFormatPr defaultColWidth="9.42578125" defaultRowHeight="12.75"/>
  <cols>
    <col min="1" max="1" width="20.5703125" style="723" customWidth="1"/>
    <col min="2" max="2" width="42.42578125" style="10" customWidth="1"/>
    <col min="3" max="16" width="15.5703125" style="10" customWidth="1"/>
    <col min="17" max="17" width="40.5703125" style="10" customWidth="1"/>
    <col min="18" max="19" width="9.42578125" style="10" customWidth="1"/>
    <col min="20" max="16384" width="9.42578125" style="10"/>
  </cols>
  <sheetData>
    <row r="1" spans="1:17" s="61" customFormat="1" ht="25.35" customHeight="1">
      <c r="A1" s="1118"/>
    </row>
    <row r="2" spans="1:17" s="727" customFormat="1" ht="35.1" customHeight="1" thickBot="1">
      <c r="A2" s="1282" t="s">
        <v>30502</v>
      </c>
      <c r="B2" s="1280" t="s">
        <v>219</v>
      </c>
      <c r="G2" s="1085"/>
      <c r="H2" s="1085"/>
      <c r="K2" s="728"/>
    </row>
    <row r="3" spans="1:17" s="61" customFormat="1" ht="25.35" customHeight="1" thickTop="1">
      <c r="A3" s="876"/>
      <c r="B3" s="1236"/>
    </row>
    <row r="4" spans="1:17" s="61" customFormat="1" ht="45" customHeight="1">
      <c r="A4" s="876"/>
      <c r="B4" s="1115" t="s">
        <v>26927</v>
      </c>
      <c r="C4" s="1183"/>
      <c r="D4" s="1183"/>
      <c r="E4" s="1116"/>
      <c r="F4" s="1116"/>
      <c r="G4" s="1775"/>
      <c r="H4" s="1775"/>
      <c r="I4" s="1183"/>
      <c r="J4" s="1184"/>
      <c r="K4" s="77"/>
      <c r="M4" s="77"/>
      <c r="N4" s="77"/>
      <c r="O4" s="77"/>
      <c r="P4" s="77"/>
      <c r="Q4" s="77"/>
    </row>
    <row r="5" spans="1:17" s="61" customFormat="1" ht="15" customHeight="1">
      <c r="A5" s="731"/>
      <c r="I5" s="77"/>
      <c r="J5" s="77"/>
      <c r="K5" s="77"/>
      <c r="M5" s="77"/>
      <c r="N5" s="77"/>
      <c r="O5" s="77"/>
      <c r="P5" s="1081"/>
      <c r="Q5" s="1081"/>
    </row>
    <row r="6" spans="1:17" s="61" customFormat="1" ht="15" customHeight="1">
      <c r="A6" s="731"/>
      <c r="I6" s="77"/>
      <c r="J6" s="77"/>
      <c r="K6" s="77"/>
      <c r="M6" s="77"/>
      <c r="N6" s="77"/>
      <c r="O6" s="77"/>
      <c r="P6" s="1081"/>
      <c r="Q6" s="1081"/>
    </row>
    <row r="7" spans="1:17" s="61" customFormat="1" ht="15" customHeight="1">
      <c r="A7" s="731"/>
      <c r="I7" s="77"/>
      <c r="J7" s="77"/>
      <c r="K7" s="77"/>
      <c r="M7" s="77"/>
      <c r="N7" s="77"/>
      <c r="O7" s="77"/>
      <c r="P7" s="1081"/>
      <c r="Q7" s="1081"/>
    </row>
    <row r="8" spans="1:17" s="61" customFormat="1" ht="15" customHeight="1">
      <c r="A8" s="731"/>
      <c r="I8" s="77"/>
      <c r="J8" s="77"/>
      <c r="K8" s="77"/>
      <c r="M8" s="77"/>
      <c r="N8" s="77"/>
      <c r="O8" s="77"/>
      <c r="P8" s="1081"/>
      <c r="Q8" s="1081"/>
    </row>
    <row r="9" spans="1:17" s="61" customFormat="1" ht="15" customHeight="1">
      <c r="A9" s="731"/>
      <c r="B9" s="68" t="s">
        <v>26915</v>
      </c>
      <c r="C9" s="1774">
        <v>2024</v>
      </c>
      <c r="D9" s="1774">
        <v>2025</v>
      </c>
      <c r="E9" s="1771">
        <v>2026</v>
      </c>
      <c r="F9" s="1772">
        <v>2027</v>
      </c>
      <c r="G9" s="1774">
        <v>2028</v>
      </c>
      <c r="H9" s="1774">
        <v>2029</v>
      </c>
      <c r="M9" s="77"/>
      <c r="N9" s="77"/>
      <c r="O9" s="77"/>
      <c r="P9" s="1081"/>
      <c r="Q9" s="1081"/>
    </row>
    <row r="10" spans="1:17" s="77" customFormat="1" ht="15" customHeight="1">
      <c r="A10" s="1210"/>
      <c r="B10" s="1181" t="s">
        <v>249</v>
      </c>
      <c r="C10" s="2742">
        <f>SUM(C11:C14)</f>
        <v>0</v>
      </c>
      <c r="D10" s="2742">
        <f>SUM(D11:D14)</f>
        <v>0</v>
      </c>
      <c r="E10" s="1127">
        <f>SUM(E11:E14)</f>
        <v>0</v>
      </c>
      <c r="F10" s="1127">
        <f>SUM(F11:F14)</f>
        <v>0</v>
      </c>
      <c r="G10" s="1127">
        <f t="shared" ref="G10:H10" si="0">SUM(G11:G14)</f>
        <v>0</v>
      </c>
      <c r="H10" s="1127">
        <f t="shared" si="0"/>
        <v>0</v>
      </c>
    </row>
    <row r="11" spans="1:17" s="77" customFormat="1" ht="15" customHeight="1">
      <c r="A11" s="1210"/>
      <c r="B11" s="893" t="s">
        <v>220</v>
      </c>
      <c r="C11" s="1211">
        <f>+C73</f>
        <v>0</v>
      </c>
      <c r="D11" s="1211">
        <f>+D73</f>
        <v>0</v>
      </c>
      <c r="E11" s="1211">
        <f>+E73</f>
        <v>0</v>
      </c>
      <c r="F11" s="1211">
        <f>+F73</f>
        <v>0</v>
      </c>
      <c r="G11" s="1211">
        <f t="shared" ref="G11:H11" si="1">+G73</f>
        <v>0</v>
      </c>
      <c r="H11" s="1211">
        <f t="shared" si="1"/>
        <v>0</v>
      </c>
    </row>
    <row r="12" spans="1:17" s="77" customFormat="1" ht="15" customHeight="1">
      <c r="A12" s="1210"/>
      <c r="B12" s="1212" t="s">
        <v>221</v>
      </c>
      <c r="C12" s="1213">
        <f>C81</f>
        <v>0</v>
      </c>
      <c r="D12" s="1213">
        <f>D81</f>
        <v>0</v>
      </c>
      <c r="E12" s="1213">
        <f>E81</f>
        <v>0</v>
      </c>
      <c r="F12" s="1213">
        <f>F81</f>
        <v>0</v>
      </c>
      <c r="G12" s="1213">
        <f t="shared" ref="G12:H12" si="2">G81</f>
        <v>0</v>
      </c>
      <c r="H12" s="1213">
        <f t="shared" si="2"/>
        <v>0</v>
      </c>
    </row>
    <row r="13" spans="1:17" s="77" customFormat="1" ht="15" customHeight="1">
      <c r="A13" s="1210"/>
      <c r="B13" s="1214" t="s">
        <v>201</v>
      </c>
      <c r="C13" s="1211">
        <f>+C50</f>
        <v>0</v>
      </c>
      <c r="D13" s="1211">
        <f>+D50</f>
        <v>0</v>
      </c>
      <c r="E13" s="1211">
        <f>+E50</f>
        <v>0</v>
      </c>
      <c r="F13" s="1211">
        <f>+F50</f>
        <v>0</v>
      </c>
      <c r="G13" s="1211">
        <f t="shared" ref="G13:H13" si="3">+G50</f>
        <v>0</v>
      </c>
      <c r="H13" s="1211">
        <f t="shared" si="3"/>
        <v>0</v>
      </c>
    </row>
    <row r="14" spans="1:17" s="77" customFormat="1" ht="15" customHeight="1">
      <c r="A14" s="1210"/>
      <c r="B14" s="1215" t="s">
        <v>22816</v>
      </c>
      <c r="C14" s="1213">
        <f>+C139</f>
        <v>0</v>
      </c>
      <c r="D14" s="1213">
        <f>+D139</f>
        <v>0</v>
      </c>
      <c r="E14" s="1213">
        <f>+E139</f>
        <v>0</v>
      </c>
      <c r="F14" s="1213">
        <f>+F139</f>
        <v>0</v>
      </c>
      <c r="G14" s="1213">
        <f t="shared" ref="G14:H14" si="4">+G139</f>
        <v>0</v>
      </c>
      <c r="H14" s="1213">
        <f t="shared" si="4"/>
        <v>0</v>
      </c>
    </row>
    <row r="15" spans="1:17" s="61" customFormat="1" ht="15" customHeight="1">
      <c r="A15" s="731"/>
      <c r="B15" s="731"/>
      <c r="C15" s="731"/>
      <c r="D15" s="731"/>
      <c r="E15" s="731"/>
      <c r="F15" s="731"/>
      <c r="G15" s="731"/>
      <c r="H15" s="731"/>
      <c r="I15" s="731"/>
      <c r="J15" s="731"/>
      <c r="M15" s="77"/>
      <c r="N15" s="77"/>
      <c r="O15" s="77"/>
      <c r="P15" s="77"/>
      <c r="Q15" s="77"/>
    </row>
    <row r="16" spans="1:17" s="61" customFormat="1" ht="15" customHeight="1">
      <c r="A16" s="731"/>
      <c r="I16" s="1237"/>
      <c r="J16" s="1237"/>
      <c r="K16" s="1237"/>
      <c r="L16" s="1237"/>
    </row>
    <row r="17" spans="1:17" s="61" customFormat="1" ht="15" hidden="1" customHeight="1">
      <c r="A17" s="731"/>
      <c r="I17" s="1237"/>
      <c r="J17" s="1237"/>
      <c r="K17" s="1237"/>
      <c r="L17" s="1237"/>
    </row>
    <row r="18" spans="1:17" s="61" customFormat="1" ht="15" hidden="1" customHeight="1">
      <c r="A18" s="731"/>
      <c r="I18" s="1237"/>
      <c r="J18" s="1237"/>
      <c r="K18" s="1237"/>
      <c r="L18" s="1237"/>
    </row>
    <row r="19" spans="1:17" s="61" customFormat="1" ht="15" hidden="1" customHeight="1">
      <c r="A19" s="731"/>
      <c r="I19" s="1237"/>
      <c r="J19" s="1237"/>
      <c r="K19" s="1237"/>
      <c r="L19" s="1237"/>
    </row>
    <row r="20" spans="1:17" s="61" customFormat="1" ht="15" hidden="1" customHeight="1">
      <c r="A20" s="731"/>
      <c r="I20" s="1237"/>
      <c r="J20" s="1237"/>
      <c r="K20" s="1237"/>
      <c r="L20" s="1237"/>
    </row>
    <row r="21" spans="1:17" s="61" customFormat="1" ht="15" hidden="1" customHeight="1">
      <c r="A21" s="731"/>
      <c r="I21" s="1237"/>
      <c r="J21" s="1237"/>
      <c r="K21" s="1237"/>
      <c r="L21" s="1237"/>
    </row>
    <row r="22" spans="1:17" s="61" customFormat="1" ht="15" hidden="1" customHeight="1">
      <c r="A22" s="731"/>
      <c r="I22" s="1237"/>
      <c r="J22" s="1237"/>
      <c r="K22" s="1237"/>
      <c r="L22" s="1237"/>
    </row>
    <row r="23" spans="1:17" s="61" customFormat="1" ht="15" hidden="1" customHeight="1">
      <c r="A23" s="731"/>
      <c r="I23" s="1237"/>
      <c r="J23" s="1237"/>
      <c r="K23" s="1237"/>
      <c r="L23" s="1237"/>
    </row>
    <row r="24" spans="1:17" s="61" customFormat="1" ht="15" hidden="1" customHeight="1">
      <c r="A24" s="731"/>
      <c r="I24" s="1237"/>
      <c r="J24" s="1237"/>
      <c r="K24" s="1237"/>
      <c r="L24" s="1237"/>
    </row>
    <row r="25" spans="1:17" s="61" customFormat="1" ht="15" hidden="1" customHeight="1">
      <c r="A25" s="731"/>
      <c r="I25" s="1237"/>
      <c r="J25" s="1237"/>
      <c r="K25" s="1237"/>
      <c r="L25" s="1237"/>
    </row>
    <row r="26" spans="1:17" s="61" customFormat="1" ht="15" customHeight="1">
      <c r="A26" s="731"/>
      <c r="I26" s="1237"/>
      <c r="J26" s="1237"/>
      <c r="K26" s="1237"/>
      <c r="L26" s="1237"/>
    </row>
    <row r="27" spans="1:17" s="61" customFormat="1" ht="15" customHeight="1">
      <c r="A27" s="731"/>
      <c r="I27" s="1237"/>
      <c r="J27" s="1237"/>
      <c r="K27" s="1237"/>
      <c r="L27" s="1237"/>
    </row>
    <row r="28" spans="1:17" s="61" customFormat="1" ht="15" customHeight="1">
      <c r="A28" s="731"/>
      <c r="B28" s="68" t="s">
        <v>24891</v>
      </c>
      <c r="C28" s="1774">
        <v>2024</v>
      </c>
      <c r="D28" s="1774">
        <v>2025</v>
      </c>
      <c r="E28" s="1771">
        <v>2026</v>
      </c>
      <c r="F28" s="1772">
        <v>2027</v>
      </c>
      <c r="G28" s="1774">
        <v>2028</v>
      </c>
      <c r="H28" s="1774">
        <v>2029</v>
      </c>
      <c r="M28" s="77"/>
      <c r="N28" s="77"/>
      <c r="O28" s="77"/>
      <c r="P28" s="1081"/>
      <c r="Q28" s="1081"/>
    </row>
    <row r="29" spans="1:17" s="77" customFormat="1" ht="15" customHeight="1">
      <c r="A29" s="1210"/>
      <c r="B29" s="880" t="s">
        <v>249</v>
      </c>
      <c r="C29" s="2576"/>
      <c r="D29" s="2576"/>
      <c r="E29" s="1216">
        <f>SUM(E30:E33)</f>
        <v>0</v>
      </c>
      <c r="F29" s="1216">
        <f>SUM(F30:F33)</f>
        <v>0</v>
      </c>
      <c r="G29" s="1216">
        <f t="shared" ref="G29:H29" si="5">SUM(G30:G33)</f>
        <v>0</v>
      </c>
      <c r="H29" s="1216">
        <f t="shared" si="5"/>
        <v>0</v>
      </c>
    </row>
    <row r="30" spans="1:17" s="77" customFormat="1" ht="15" customHeight="1">
      <c r="A30" s="1210"/>
      <c r="B30" s="893" t="s">
        <v>220</v>
      </c>
      <c r="C30" s="2577"/>
      <c r="D30" s="2577"/>
      <c r="E30" s="1211">
        <f>E71</f>
        <v>0</v>
      </c>
      <c r="F30" s="1211">
        <f>F71</f>
        <v>0</v>
      </c>
      <c r="G30" s="1211">
        <f t="shared" ref="G30:H30" si="6">G71</f>
        <v>0</v>
      </c>
      <c r="H30" s="1211">
        <f t="shared" si="6"/>
        <v>0</v>
      </c>
    </row>
    <row r="31" spans="1:17" s="77" customFormat="1" ht="15" customHeight="1">
      <c r="A31" s="1210"/>
      <c r="B31" s="1212" t="s">
        <v>221</v>
      </c>
      <c r="C31" s="2578"/>
      <c r="D31" s="2578"/>
      <c r="E31" s="1213">
        <f>E79</f>
        <v>0</v>
      </c>
      <c r="F31" s="1213">
        <f>F79</f>
        <v>0</v>
      </c>
      <c r="G31" s="1213">
        <f t="shared" ref="G31:H31" si="7">G79</f>
        <v>0</v>
      </c>
      <c r="H31" s="1213">
        <f t="shared" si="7"/>
        <v>0</v>
      </c>
    </row>
    <row r="32" spans="1:17" s="77" customFormat="1" ht="15" customHeight="1">
      <c r="A32" s="1210"/>
      <c r="B32" s="1214" t="s">
        <v>201</v>
      </c>
      <c r="C32" s="2577"/>
      <c r="D32" s="2577"/>
      <c r="E32" s="1211">
        <f>E48</f>
        <v>0</v>
      </c>
      <c r="F32" s="1211">
        <f>F48</f>
        <v>0</v>
      </c>
      <c r="G32" s="1211">
        <f t="shared" ref="G32:H32" si="8">G48</f>
        <v>0</v>
      </c>
      <c r="H32" s="1211">
        <f t="shared" si="8"/>
        <v>0</v>
      </c>
    </row>
    <row r="33" spans="1:13" s="77" customFormat="1" ht="15" customHeight="1">
      <c r="A33" s="1210"/>
      <c r="B33" s="1215" t="s">
        <v>22816</v>
      </c>
      <c r="C33" s="2578"/>
      <c r="D33" s="2578"/>
      <c r="E33" s="1213">
        <f>+E139</f>
        <v>0</v>
      </c>
      <c r="F33" s="1213">
        <f>+F139</f>
        <v>0</v>
      </c>
      <c r="G33" s="1213">
        <f t="shared" ref="G33:H33" si="9">+G139</f>
        <v>0</v>
      </c>
      <c r="H33" s="1213">
        <f t="shared" si="9"/>
        <v>0</v>
      </c>
    </row>
    <row r="34" spans="1:13" s="61" customFormat="1" ht="15" customHeight="1">
      <c r="A34" s="731"/>
      <c r="B34" s="731"/>
      <c r="C34" s="731"/>
      <c r="D34" s="731"/>
      <c r="E34" s="731"/>
      <c r="F34" s="731"/>
      <c r="G34" s="731"/>
      <c r="H34" s="731"/>
      <c r="I34" s="731"/>
      <c r="J34" s="731"/>
      <c r="K34" s="731"/>
      <c r="L34" s="731"/>
    </row>
    <row r="35" spans="1:13" s="61" customFormat="1" ht="15" customHeight="1">
      <c r="A35" s="731"/>
      <c r="B35" s="731"/>
      <c r="C35" s="731"/>
      <c r="D35" s="731"/>
      <c r="E35" s="731"/>
      <c r="F35" s="731"/>
      <c r="G35" s="731"/>
      <c r="H35" s="731"/>
      <c r="I35" s="731"/>
      <c r="J35" s="731"/>
      <c r="K35" s="731"/>
      <c r="L35" s="731"/>
    </row>
    <row r="36" spans="1:13" s="61" customFormat="1" ht="15" customHeight="1">
      <c r="A36" s="731"/>
      <c r="B36" s="731"/>
      <c r="C36" s="731"/>
      <c r="D36" s="731"/>
      <c r="E36" s="731"/>
      <c r="F36" s="731"/>
      <c r="G36" s="731"/>
      <c r="H36" s="731"/>
      <c r="I36" s="731"/>
      <c r="J36" s="731"/>
      <c r="K36" s="731"/>
      <c r="L36" s="731"/>
    </row>
    <row r="37" spans="1:13" s="61" customFormat="1" ht="15" customHeight="1">
      <c r="A37" s="731"/>
      <c r="B37" s="731"/>
      <c r="C37" s="731"/>
      <c r="D37" s="731"/>
      <c r="E37" s="731"/>
      <c r="F37" s="731"/>
      <c r="G37" s="731"/>
      <c r="H37" s="731"/>
      <c r="I37" s="731"/>
      <c r="J37" s="731"/>
      <c r="K37" s="731"/>
      <c r="L37" s="731"/>
    </row>
    <row r="38" spans="1:13" s="61" customFormat="1" ht="15" customHeight="1">
      <c r="A38" s="731"/>
      <c r="I38" s="1237"/>
      <c r="J38" s="1237"/>
      <c r="K38" s="1237"/>
      <c r="L38" s="1237"/>
    </row>
    <row r="39" spans="1:13" s="727" customFormat="1" ht="48.75" customHeight="1" thickBot="1">
      <c r="A39" s="725" t="s">
        <v>30538</v>
      </c>
      <c r="B39" s="1922" t="s">
        <v>30541</v>
      </c>
      <c r="G39" s="1085"/>
      <c r="H39" s="1085"/>
      <c r="K39" s="728"/>
    </row>
    <row r="40" spans="1:13" ht="13.5" thickTop="1">
      <c r="C40" s="44"/>
      <c r="E40" s="44"/>
      <c r="I40" s="15"/>
      <c r="J40" s="677"/>
      <c r="K40" s="677"/>
      <c r="L40" s="15"/>
    </row>
    <row r="41" spans="1:13">
      <c r="C41" s="44"/>
      <c r="E41" s="44"/>
      <c r="I41" s="15"/>
      <c r="J41" s="677"/>
      <c r="K41" s="677"/>
      <c r="L41" s="15"/>
    </row>
    <row r="42" spans="1:13">
      <c r="C42" s="44"/>
      <c r="E42" s="44"/>
      <c r="I42" s="15"/>
      <c r="J42" s="677"/>
      <c r="K42" s="677"/>
      <c r="L42" s="15"/>
    </row>
    <row r="43" spans="1:13">
      <c r="C43" s="1774">
        <v>2024</v>
      </c>
      <c r="D43" s="1774">
        <v>2025</v>
      </c>
      <c r="E43" s="1771">
        <v>2026</v>
      </c>
      <c r="F43" s="1772">
        <v>2027</v>
      </c>
      <c r="G43" s="1774">
        <v>2028</v>
      </c>
      <c r="H43" s="1774">
        <v>2029</v>
      </c>
      <c r="I43" s="15"/>
      <c r="J43" s="677"/>
      <c r="K43" s="677"/>
      <c r="L43" s="15"/>
    </row>
    <row r="44" spans="1:13" ht="15" customHeight="1">
      <c r="B44" s="1325" t="s">
        <v>30434</v>
      </c>
      <c r="C44" s="2580"/>
      <c r="D44" s="2580"/>
      <c r="E44" s="46" t="str">
        <f>IF(AND(Nuovi_Investimenti!D11="",Nuovi_Investimenti!D12=""),"",IF(AND(Nuovi_Investimenti!D11&lt;&gt;"",Nuovi_Investimenti!D12&lt;&gt;""),Nuovi_Investimenti!D11+Nuovi_Investimenti!D12,IF(Nuovi_Investimenti!D11="",0,Nuovi_Investimenti!D11)+IF(Nuovi_Investimenti!D12="",0,Nuovi_Investimenti!D12)))</f>
        <v/>
      </c>
      <c r="F44" s="46" t="str">
        <f>IF(AND(Nuovi_Investimenti!E11="",Nuovi_Investimenti!E12=""),"",IF(AND(Nuovi_Investimenti!E11&lt;&gt;"",Nuovi_Investimenti!E12&lt;&gt;""),Nuovi_Investimenti!E11+Nuovi_Investimenti!E12,IF(Nuovi_Investimenti!E11="",0,Nuovi_Investimenti!E11)+IF(Nuovi_Investimenti!E12="",0,Nuovi_Investimenti!E12)))</f>
        <v/>
      </c>
      <c r="G44" s="46" t="str">
        <f>IF(AND(Nuovi_Investimenti!H11="",Nuovi_Investimenti!H12=""),"",IF(AND(Nuovi_Investimenti!H11&lt;&gt;"",Nuovi_Investimenti!H12&lt;&gt;""),Nuovi_Investimenti!H11+Nuovi_Investimenti!H12,IF(Nuovi_Investimenti!H11="",0,Nuovi_Investimenti!H11)+IF(Nuovi_Investimenti!H12="",0,Nuovi_Investimenti!H12)))</f>
        <v/>
      </c>
      <c r="H44" s="46" t="str">
        <f>IF(AND(Nuovi_Investimenti!I11="",Nuovi_Investimenti!I12=""),"",IF(AND(Nuovi_Investimenti!I11&lt;&gt;"",Nuovi_Investimenti!I12&lt;&gt;""),Nuovi_Investimenti!I11+Nuovi_Investimenti!I12,IF(Nuovi_Investimenti!I11="",0,Nuovi_Investimenti!I11)+IF(Nuovi_Investimenti!I12="",0,Nuovi_Investimenti!I12)))</f>
        <v/>
      </c>
      <c r="I44" s="723"/>
      <c r="J44" s="723"/>
      <c r="M44"/>
    </row>
    <row r="45" spans="1:13" ht="15" customHeight="1">
      <c r="B45" s="723"/>
      <c r="C45" s="723"/>
      <c r="D45" s="723"/>
      <c r="E45" s="723"/>
      <c r="F45" s="723"/>
      <c r="G45" s="723"/>
      <c r="H45" s="723"/>
      <c r="I45" s="723"/>
      <c r="J45" s="723"/>
      <c r="K45" s="723"/>
      <c r="L45" s="15"/>
    </row>
    <row r="46" spans="1:13" ht="15" customHeight="1">
      <c r="B46" s="39" t="s">
        <v>26792</v>
      </c>
      <c r="C46" s="2579"/>
      <c r="D46" s="2579"/>
      <c r="E46" s="1088">
        <f>+(TT_riepilogo_IMN!G9)</f>
        <v>0</v>
      </c>
      <c r="F46" s="1088">
        <f>+(TT_riepilogo_IMN!H9)</f>
        <v>0</v>
      </c>
      <c r="G46" s="1088">
        <f>+(TT_riepilogo_IMN!I9)</f>
        <v>0</v>
      </c>
      <c r="H46" s="1088">
        <f>+(TT_riepilogo_IMN!J9)</f>
        <v>0</v>
      </c>
      <c r="I46" s="723"/>
      <c r="J46" s="723"/>
      <c r="K46" s="723"/>
      <c r="L46" s="15"/>
    </row>
    <row r="47" spans="1:13" ht="15" customHeight="1">
      <c r="B47" s="1103" t="s">
        <v>30432</v>
      </c>
      <c r="C47" s="2579"/>
      <c r="D47" s="2579"/>
      <c r="E47" s="1088">
        <f>+ERC!E64+ERC!E105</f>
        <v>0</v>
      </c>
      <c r="F47" s="1088">
        <f>+ERC!F64+ERC!F105</f>
        <v>0</v>
      </c>
      <c r="G47" s="1088">
        <f>+ERC!G64+ERC!G105</f>
        <v>0</v>
      </c>
      <c r="H47" s="1088">
        <f>+ERC!H64+ERC!H105</f>
        <v>0</v>
      </c>
      <c r="I47" s="723"/>
      <c r="J47" s="723"/>
      <c r="K47" s="723"/>
      <c r="L47" s="15"/>
    </row>
    <row r="48" spans="1:13" ht="15" customHeight="1">
      <c r="B48" s="39" t="s">
        <v>30433</v>
      </c>
      <c r="C48" s="2579"/>
      <c r="D48" s="2579"/>
      <c r="E48" s="1088">
        <f>+E46-E47</f>
        <v>0</v>
      </c>
      <c r="F48" s="1088">
        <f>+F46-F47</f>
        <v>0</v>
      </c>
      <c r="G48" s="1088">
        <f t="shared" ref="G48:H48" si="10">+G46-G47</f>
        <v>0</v>
      </c>
      <c r="H48" s="1088">
        <f t="shared" si="10"/>
        <v>0</v>
      </c>
      <c r="J48" s="677"/>
      <c r="K48" s="677"/>
      <c r="L48" s="15"/>
    </row>
    <row r="49" spans="2:21" ht="15" customHeight="1">
      <c r="B49" s="39" t="s">
        <v>28816</v>
      </c>
      <c r="C49" s="2579"/>
      <c r="D49" s="2579"/>
      <c r="E49" s="1088">
        <f>Input_per_calcoli_finali!K104</f>
        <v>0</v>
      </c>
      <c r="F49" s="1088">
        <f>Input_per_calcoli_finali!L104</f>
        <v>0</v>
      </c>
      <c r="G49" s="1088">
        <f>Input_per_calcoli_finali!M104</f>
        <v>0</v>
      </c>
      <c r="H49" s="1088">
        <f>Input_per_calcoli_finali!N104</f>
        <v>0</v>
      </c>
      <c r="I49" s="75"/>
      <c r="J49" s="677"/>
      <c r="K49" s="677"/>
      <c r="L49" s="15"/>
    </row>
    <row r="50" spans="2:21" ht="15" customHeight="1">
      <c r="B50" s="1176" t="s">
        <v>27065</v>
      </c>
      <c r="C50" s="2742">
        <f>+Dati_Anni_precedenti!E23</f>
        <v>0</v>
      </c>
      <c r="D50" s="2742">
        <f>+Dati_Anni_precedenti!F23</f>
        <v>0</v>
      </c>
      <c r="E50" s="48">
        <f>+E48-E49</f>
        <v>0</v>
      </c>
      <c r="F50" s="48">
        <f>+F48-F49</f>
        <v>0</v>
      </c>
      <c r="G50" s="48">
        <f t="shared" ref="G50:H50" si="11">+G48-G49</f>
        <v>0</v>
      </c>
      <c r="H50" s="48">
        <f t="shared" si="11"/>
        <v>0</v>
      </c>
      <c r="I50" s="75" t="s">
        <v>28828</v>
      </c>
      <c r="J50" s="677"/>
      <c r="K50" s="677"/>
      <c r="L50" s="15"/>
    </row>
    <row r="51" spans="2:21" ht="15" customHeight="1">
      <c r="B51" s="723"/>
      <c r="C51" s="723"/>
      <c r="D51" s="723"/>
      <c r="E51" s="723"/>
      <c r="F51" s="723"/>
      <c r="G51" s="723"/>
      <c r="H51" s="723"/>
      <c r="I51" s="723"/>
      <c r="J51" s="723"/>
      <c r="K51" s="677"/>
      <c r="L51" s="15"/>
    </row>
    <row r="52" spans="2:21" ht="15" customHeight="1">
      <c r="B52" s="723"/>
      <c r="C52" s="723"/>
      <c r="D52" s="723"/>
      <c r="E52" s="723"/>
      <c r="F52" s="723"/>
      <c r="G52" s="723"/>
      <c r="H52" s="723"/>
      <c r="I52" s="723"/>
      <c r="J52" s="723"/>
      <c r="M52"/>
    </row>
    <row r="53" spans="2:21" ht="15.75">
      <c r="B53" s="1330" t="s">
        <v>26758</v>
      </c>
      <c r="C53" s="2581"/>
      <c r="D53" s="2581"/>
      <c r="E53" s="1324">
        <f>'PdI-riepilogo'!E143</f>
        <v>0</v>
      </c>
      <c r="F53" s="1324">
        <f>'PdI-riepilogo'!F143</f>
        <v>0</v>
      </c>
      <c r="G53" s="1324">
        <f>'PdI-riepilogo'!G143</f>
        <v>0</v>
      </c>
      <c r="H53" s="1324">
        <f>'PdI-riepilogo'!H143</f>
        <v>0</v>
      </c>
      <c r="I53" s="75"/>
      <c r="J53" s="677"/>
      <c r="K53" s="677"/>
      <c r="L53" s="15"/>
    </row>
    <row r="54" spans="2:21" ht="15.75">
      <c r="B54" s="1330" t="s">
        <v>26759</v>
      </c>
      <c r="C54" s="2581"/>
      <c r="D54" s="2581"/>
      <c r="E54" s="1324">
        <f>'PdI-riepilogo'!E147</f>
        <v>0</v>
      </c>
      <c r="F54" s="1324">
        <f>'PdI-riepilogo'!F147</f>
        <v>0</v>
      </c>
      <c r="G54" s="1324">
        <f>'PdI-riepilogo'!G147</f>
        <v>0</v>
      </c>
      <c r="H54" s="1324">
        <f>'PdI-riepilogo'!H147</f>
        <v>0</v>
      </c>
      <c r="I54" s="75"/>
      <c r="J54" s="677"/>
      <c r="K54" s="677"/>
      <c r="L54" s="15"/>
    </row>
    <row r="55" spans="2:21">
      <c r="C55" s="44"/>
      <c r="E55" s="44"/>
      <c r="I55" s="15"/>
      <c r="J55" s="677"/>
      <c r="K55" s="677"/>
      <c r="L55" s="15"/>
    </row>
    <row r="56" spans="2:21">
      <c r="C56" s="44"/>
      <c r="E56" s="44"/>
      <c r="I56" s="15"/>
      <c r="J56" s="677" t="s">
        <v>22829</v>
      </c>
      <c r="K56" s="677"/>
      <c r="L56" s="15"/>
      <c r="Q56" s="134"/>
    </row>
    <row r="57" spans="2:21">
      <c r="C57" s="44"/>
      <c r="E57" s="44"/>
      <c r="I57" s="15"/>
      <c r="J57" s="1093" t="s">
        <v>25423</v>
      </c>
      <c r="K57" s="57" t="str">
        <f>+TT_parametri!BC26</f>
        <v>MTI-4</v>
      </c>
      <c r="L57" s="1093" t="s">
        <v>25423</v>
      </c>
      <c r="M57" s="57" t="str">
        <f>+TT_parametri!BC26</f>
        <v>MTI-4</v>
      </c>
      <c r="Q57" s="134"/>
    </row>
    <row r="58" spans="2:21" ht="15">
      <c r="C58" s="1774">
        <v>2024</v>
      </c>
      <c r="D58" s="1774">
        <v>2025</v>
      </c>
      <c r="E58" s="1771">
        <v>2026</v>
      </c>
      <c r="F58" s="1772">
        <v>2027</v>
      </c>
      <c r="G58" s="1774">
        <v>2028</v>
      </c>
      <c r="H58" s="1774">
        <v>2029</v>
      </c>
      <c r="J58" s="1094" t="s">
        <v>22704</v>
      </c>
      <c r="K58" s="1095">
        <f>+TT_parametri!BC27</f>
        <v>1</v>
      </c>
      <c r="L58" s="1094" t="s">
        <v>22707</v>
      </c>
      <c r="M58" s="1096">
        <f>+TT_parametri!BC32</f>
        <v>3.1E-2</v>
      </c>
      <c r="N58"/>
      <c r="O58"/>
      <c r="P58"/>
      <c r="Q58" s="134"/>
      <c r="S58"/>
      <c r="T58"/>
      <c r="U58"/>
    </row>
    <row r="59" spans="2:21" ht="15.75">
      <c r="B59" s="39" t="s">
        <v>22702</v>
      </c>
      <c r="C59" s="2582"/>
      <c r="D59" s="2582"/>
      <c r="E59" s="41">
        <f>+E121</f>
        <v>0</v>
      </c>
      <c r="F59" s="41">
        <f>+F121</f>
        <v>0</v>
      </c>
      <c r="G59" s="41">
        <f t="shared" ref="G59:H59" si="12">+G121</f>
        <v>0</v>
      </c>
      <c r="H59" s="41">
        <f t="shared" si="12"/>
        <v>0</v>
      </c>
      <c r="J59" s="1094" t="s">
        <v>22726</v>
      </c>
      <c r="K59" s="1096">
        <f>+TT_parametri!BC28</f>
        <v>2.1299999999999999E-2</v>
      </c>
      <c r="L59" s="1094" t="s">
        <v>2</v>
      </c>
      <c r="M59" s="1096">
        <f>+TT_parametri!BC33</f>
        <v>1.9E-2</v>
      </c>
      <c r="N59"/>
      <c r="O59"/>
      <c r="P59"/>
      <c r="Q59" s="134"/>
      <c r="S59"/>
      <c r="T59"/>
      <c r="U59"/>
    </row>
    <row r="60" spans="2:21" ht="15.75">
      <c r="B60" s="39" t="s">
        <v>26760</v>
      </c>
      <c r="C60" s="2583"/>
      <c r="D60" s="2583"/>
      <c r="E60" s="45">
        <f>+IFERROR(E59/(E120-E53),0)</f>
        <v>0</v>
      </c>
      <c r="F60" s="45">
        <f>+IFERROR(F59/(F120-F53),0)</f>
        <v>0</v>
      </c>
      <c r="G60" s="45">
        <f t="shared" ref="G60:H60" si="13">+IFERROR(G59/(G120-G53),0)</f>
        <v>0</v>
      </c>
      <c r="H60" s="45">
        <f t="shared" si="13"/>
        <v>0</v>
      </c>
      <c r="J60" s="1094" t="s">
        <v>26763</v>
      </c>
      <c r="K60" s="1096">
        <f>+TT_parametri!BC29</f>
        <v>0.03</v>
      </c>
      <c r="L60" s="1094" t="s">
        <v>26762</v>
      </c>
      <c r="M60" s="1095">
        <f>+TT_parametri!BC34</f>
        <v>0.24</v>
      </c>
      <c r="N60"/>
      <c r="O60"/>
      <c r="P60"/>
      <c r="Q60"/>
      <c r="R60"/>
      <c r="S60"/>
      <c r="T60"/>
      <c r="U60"/>
    </row>
    <row r="61" spans="2:21" ht="15.75">
      <c r="B61" s="1329" t="s">
        <v>22727</v>
      </c>
      <c r="C61" s="2580"/>
      <c r="D61" s="2580"/>
      <c r="E61" s="46">
        <f>+(K59+K61)*(1-(K58/(1+K58)))+K60*(1-M60)*(K58/(1+K58))</f>
        <v>3.1050000000000001E-2</v>
      </c>
      <c r="F61" s="46">
        <f>+(K59+K61)*(1-(K58/(1+K58)))+K60*(1-M60)*(K58/(1+K58))</f>
        <v>3.1050000000000001E-2</v>
      </c>
      <c r="G61" s="46">
        <f>+(K59+K61)*(1-(K58/(1+K58)))+K60*(1-M60)*(K58/(1+K58))</f>
        <v>3.1050000000000001E-2</v>
      </c>
      <c r="H61" s="46">
        <f>+(K59+K61)*(1-(K58/(1+K58)))+K60*(1-M60)*(K58/(1+K58))</f>
        <v>3.1050000000000001E-2</v>
      </c>
      <c r="J61" s="1094" t="s">
        <v>22725</v>
      </c>
      <c r="K61" s="1096">
        <f>+TT_parametri!BC30</f>
        <v>1.7999999999999999E-2</v>
      </c>
      <c r="L61" s="1094" t="s">
        <v>22709</v>
      </c>
      <c r="M61" s="1095">
        <f>+TT_parametri!BC35</f>
        <v>0.31900000000000001</v>
      </c>
      <c r="N61"/>
      <c r="O61"/>
      <c r="P61"/>
      <c r="Q61"/>
      <c r="R61"/>
      <c r="S61"/>
      <c r="T61"/>
      <c r="U61"/>
    </row>
    <row r="62" spans="2:21" ht="15">
      <c r="B62" s="1329" t="s">
        <v>22705</v>
      </c>
      <c r="C62" s="2580"/>
      <c r="D62" s="2580"/>
      <c r="E62" s="46">
        <f>+(1-(K58/(1+K58)))*K62*M58</f>
        <v>1.2245000000000001E-2</v>
      </c>
      <c r="F62" s="46">
        <f>+(1-(K58/(1+K58)))*K62*M58</f>
        <v>1.2245000000000001E-2</v>
      </c>
      <c r="G62" s="46">
        <f>+(1-(K58/(1+K58)))*K62*M58</f>
        <v>1.2245000000000001E-2</v>
      </c>
      <c r="H62" s="46">
        <f>+(1-(K58/(1+K58)))*K62*M58</f>
        <v>1.2245000000000001E-2</v>
      </c>
      <c r="J62" s="1094" t="s">
        <v>22706</v>
      </c>
      <c r="K62" s="1095">
        <f>+TT_parametri!BC31</f>
        <v>0.79</v>
      </c>
      <c r="L62" s="1094" t="s">
        <v>22710</v>
      </c>
      <c r="M62" s="1096">
        <f>+TT_parametri!BC36</f>
        <v>0.01</v>
      </c>
      <c r="N62"/>
      <c r="O62"/>
      <c r="P62"/>
      <c r="Q62"/>
      <c r="R62"/>
      <c r="S62"/>
      <c r="T62"/>
      <c r="U62"/>
    </row>
    <row r="63" spans="2:21" ht="39.75" hidden="1">
      <c r="B63" s="1557" t="s">
        <v>26766</v>
      </c>
      <c r="C63" s="1789">
        <f>+$E63-(($E$63-$H$63)/5)*(COLUMN(C63)-COLUMN($E$63))</f>
        <v>4.8613000000000003E-2</v>
      </c>
      <c r="D63" s="1789">
        <f>+$E63-(($E$63-$H$63)/5)*(COLUMN(D63)-COLUMN($E$63))</f>
        <v>4.5954000000000002E-2</v>
      </c>
      <c r="E63" s="1789">
        <f>+E61+E62</f>
        <v>4.3295E-2</v>
      </c>
      <c r="F63" s="1789">
        <f>+$E63-(($E$63-$H$63)/5)*(COLUMN(F63)-COLUMN($E$63))</f>
        <v>4.0635999999999999E-2</v>
      </c>
      <c r="G63" s="1789">
        <f>+$E63-(($E$63-$H$63)/5)*(COLUMN(G63)-COLUMN($E$63))</f>
        <v>3.7976999999999997E-2</v>
      </c>
      <c r="H63" s="1789">
        <f>+K60</f>
        <v>0.03</v>
      </c>
      <c r="I63" s="1910" t="s">
        <v>30494</v>
      </c>
      <c r="N63"/>
      <c r="O63"/>
      <c r="P63"/>
      <c r="Q63"/>
      <c r="R63"/>
      <c r="S63"/>
      <c r="T63"/>
      <c r="U63"/>
    </row>
    <row r="64" spans="2:21" ht="15">
      <c r="N64"/>
      <c r="O64" s="105"/>
      <c r="P64"/>
      <c r="Q64"/>
      <c r="R64"/>
      <c r="S64"/>
      <c r="T64"/>
      <c r="U64"/>
    </row>
    <row r="65" spans="1:21" ht="15">
      <c r="B65" s="1089" t="s">
        <v>26761</v>
      </c>
      <c r="C65" s="2582"/>
      <c r="D65" s="2582"/>
      <c r="E65" s="41">
        <f>+$M$62*(TT_riepilogo_IMN!G20-TT_riepilogo_IMN!G24)</f>
        <v>0</v>
      </c>
      <c r="F65" s="41">
        <f>+$M$62*(TT_riepilogo_IMN!H20-TT_riepilogo_IMN!H24)</f>
        <v>0</v>
      </c>
      <c r="G65" s="41">
        <f>+$M$62*(TT_riepilogo_IMN!I20-TT_riepilogo_IMN!I24)</f>
        <v>0</v>
      </c>
      <c r="H65" s="41">
        <f>+$M$62*(TT_riepilogo_IMN!J20-TT_riepilogo_IMN!J24)</f>
        <v>0</v>
      </c>
      <c r="J65" s="134"/>
      <c r="K65" s="1098"/>
      <c r="L65" s="1098"/>
      <c r="M65" s="1098"/>
      <c r="N65" s="1098"/>
      <c r="O65" s="1098"/>
      <c r="P65" s="1098"/>
      <c r="Q65"/>
      <c r="R65"/>
      <c r="S65"/>
      <c r="T65"/>
      <c r="U65"/>
    </row>
    <row r="66" spans="1:21" ht="15.75">
      <c r="B66" s="1089" t="s">
        <v>26764</v>
      </c>
      <c r="C66" s="2582"/>
      <c r="D66" s="2582"/>
      <c r="E66" s="41">
        <f>MAX(+(E61+E62)*(1-E60)*(E120-E53),0)</f>
        <v>0</v>
      </c>
      <c r="F66" s="41">
        <f>MAX(+(F61+F62)*(1-F60)*(F120-F53),0)</f>
        <v>0</v>
      </c>
      <c r="G66" s="41">
        <f t="shared" ref="G66:H66" si="14">MAX(+(G61+G62)*(1-G60)*(G120-G53),0)</f>
        <v>0</v>
      </c>
      <c r="H66" s="41">
        <f t="shared" si="14"/>
        <v>0</v>
      </c>
      <c r="J66" s="134"/>
      <c r="K66" s="1098"/>
      <c r="M66" s="1098"/>
      <c r="N66"/>
      <c r="O66" s="105"/>
      <c r="T66"/>
      <c r="U66"/>
    </row>
    <row r="67" spans="1:21" ht="15.75">
      <c r="B67" s="1089" t="s">
        <v>26765</v>
      </c>
      <c r="C67" s="2582"/>
      <c r="D67" s="2582"/>
      <c r="E67" s="41">
        <f>+'PdI-riepilogo'!E139</f>
        <v>0</v>
      </c>
      <c r="F67" s="41">
        <f>+'PdI-riepilogo'!F139</f>
        <v>0</v>
      </c>
      <c r="G67" s="41">
        <f>+'PdI-riepilogo'!G139</f>
        <v>0</v>
      </c>
      <c r="H67" s="41">
        <f>+'PdI-riepilogo'!H139</f>
        <v>0</v>
      </c>
      <c r="J67" s="134"/>
      <c r="K67" s="1098"/>
      <c r="N67"/>
      <c r="O67" s="105"/>
      <c r="P67"/>
      <c r="Q67"/>
      <c r="R67"/>
      <c r="S67" s="1097"/>
      <c r="T67"/>
      <c r="U67"/>
    </row>
    <row r="68" spans="1:21" ht="15">
      <c r="A68" s="724"/>
      <c r="J68" s="134"/>
      <c r="K68" s="1098"/>
      <c r="N68"/>
      <c r="O68"/>
      <c r="P68"/>
      <c r="Q68"/>
      <c r="R68"/>
      <c r="S68"/>
      <c r="T68"/>
      <c r="U68"/>
    </row>
    <row r="69" spans="1:21" ht="15">
      <c r="A69" s="724"/>
      <c r="B69" s="1120" t="s">
        <v>27064</v>
      </c>
      <c r="C69" s="2584"/>
      <c r="D69" s="2584"/>
      <c r="E69" s="1119">
        <f>+(E65+E66+E67)</f>
        <v>0</v>
      </c>
      <c r="F69" s="1119">
        <f>+(F65+F66+F67)</f>
        <v>0</v>
      </c>
      <c r="G69" s="1119">
        <f t="shared" ref="G69:H69" si="15">+(G65+G66+G67)</f>
        <v>0</v>
      </c>
      <c r="H69" s="1119">
        <f t="shared" si="15"/>
        <v>0</v>
      </c>
      <c r="J69" s="134"/>
      <c r="K69" s="1098"/>
      <c r="N69"/>
      <c r="O69"/>
      <c r="P69"/>
      <c r="Q69"/>
      <c r="R69"/>
      <c r="S69"/>
      <c r="T69"/>
      <c r="U69"/>
    </row>
    <row r="70" spans="1:21" ht="15.75">
      <c r="A70" s="724"/>
      <c r="B70" s="1103" t="s">
        <v>30420</v>
      </c>
      <c r="C70" s="2584"/>
      <c r="D70" s="2584"/>
      <c r="E70" s="1119">
        <f>+ERC!E85+ERC!E126</f>
        <v>0</v>
      </c>
      <c r="F70" s="1119">
        <f>+ERC!F85+ERC!F126</f>
        <v>0</v>
      </c>
      <c r="G70" s="1119">
        <f>+ERC!G85+ERC!G126</f>
        <v>0</v>
      </c>
      <c r="H70" s="1119">
        <f>+ERC!H85+ERC!H126</f>
        <v>0</v>
      </c>
      <c r="J70" s="134"/>
      <c r="K70" s="1098"/>
      <c r="N70"/>
      <c r="O70"/>
      <c r="P70"/>
      <c r="Q70"/>
      <c r="R70"/>
      <c r="S70"/>
      <c r="T70"/>
      <c r="U70"/>
    </row>
    <row r="71" spans="1:21" ht="15">
      <c r="A71" s="724"/>
      <c r="B71" s="1120" t="s">
        <v>30421</v>
      </c>
      <c r="C71" s="2584"/>
      <c r="D71" s="2584"/>
      <c r="E71" s="1119">
        <f>+E69-E70</f>
        <v>0</v>
      </c>
      <c r="F71" s="1119">
        <f>+F69-F70</f>
        <v>0</v>
      </c>
      <c r="G71" s="1119">
        <f t="shared" ref="G71:H71" si="16">+G69-G70</f>
        <v>0</v>
      </c>
      <c r="H71" s="1119">
        <f t="shared" si="16"/>
        <v>0</v>
      </c>
      <c r="N71"/>
      <c r="O71"/>
      <c r="P71"/>
      <c r="Q71"/>
      <c r="R71"/>
      <c r="S71"/>
      <c r="T71"/>
      <c r="U71"/>
    </row>
    <row r="72" spans="1:21" ht="15">
      <c r="A72" s="724"/>
      <c r="B72" s="1120" t="s">
        <v>28817</v>
      </c>
      <c r="C72" s="2584"/>
      <c r="D72" s="2584"/>
      <c r="E72" s="1119">
        <f>Input_per_calcoli_finali!K108</f>
        <v>0</v>
      </c>
      <c r="F72" s="1119">
        <f>Input_per_calcoli_finali!L108</f>
        <v>0</v>
      </c>
      <c r="G72" s="1119">
        <f>Input_per_calcoli_finali!M108</f>
        <v>0</v>
      </c>
      <c r="H72" s="1119">
        <f>Input_per_calcoli_finali!N108</f>
        <v>0</v>
      </c>
      <c r="I72" s="75"/>
      <c r="N72"/>
      <c r="O72"/>
      <c r="P72"/>
      <c r="Q72"/>
      <c r="R72"/>
      <c r="S72"/>
      <c r="T72"/>
      <c r="U72"/>
    </row>
    <row r="73" spans="1:21" ht="15.75">
      <c r="B73" s="1176" t="s">
        <v>27063</v>
      </c>
      <c r="C73" s="2742">
        <f>+Dati_Anni_precedenti!E24</f>
        <v>0</v>
      </c>
      <c r="D73" s="2742">
        <f>+Dati_Anni_precedenti!F24</f>
        <v>0</v>
      </c>
      <c r="E73" s="48">
        <f>+E71-E72</f>
        <v>0</v>
      </c>
      <c r="F73" s="48">
        <f>+F71-F72</f>
        <v>0</v>
      </c>
      <c r="G73" s="48">
        <f t="shared" ref="G73:H73" si="17">+G71-G72</f>
        <v>0</v>
      </c>
      <c r="H73" s="48">
        <f t="shared" si="17"/>
        <v>0</v>
      </c>
      <c r="I73" s="75" t="s">
        <v>30418</v>
      </c>
      <c r="N73"/>
      <c r="O73"/>
      <c r="P73"/>
      <c r="Q73"/>
      <c r="R73"/>
    </row>
    <row r="74" spans="1:21" ht="15">
      <c r="B74" s="49"/>
      <c r="C74" s="50"/>
      <c r="D74" s="50"/>
      <c r="E74" s="50"/>
      <c r="F74" s="50"/>
      <c r="G74" s="50"/>
      <c r="H74" s="50"/>
      <c r="N74"/>
      <c r="O74"/>
      <c r="P74"/>
      <c r="Q74"/>
      <c r="R74"/>
    </row>
    <row r="75" spans="1:21" ht="15" customHeight="1">
      <c r="B75" s="1325" t="s">
        <v>24804</v>
      </c>
      <c r="C75" s="2580"/>
      <c r="D75" s="2580"/>
      <c r="E75" s="46">
        <f>+(((1+((E61+E62+1)*(1+$M59)-1)/(1-$M61))/(1+$M59))-1)</f>
        <v>7.230982118024798E-2</v>
      </c>
      <c r="F75" s="46">
        <f>+(((1+((F61+F62+1)*(1+$M59)-1)/(1-$M61))/(1+$M59))-1)</f>
        <v>7.230982118024798E-2</v>
      </c>
      <c r="G75" s="46">
        <f>+(((1+((G61+G62+1)*(1+$M59)-1)/(1-$M61))/(1+$M59))-1)</f>
        <v>7.230982118024798E-2</v>
      </c>
      <c r="H75" s="46">
        <f>+(((1+((H61+H62+1)*(1+$M59)-1)/(1-$M61))/(1+$M59))-1)</f>
        <v>7.230982118024798E-2</v>
      </c>
      <c r="N75"/>
      <c r="O75"/>
      <c r="P75"/>
      <c r="Q75"/>
      <c r="R75"/>
    </row>
    <row r="76" spans="1:21" ht="15" customHeight="1">
      <c r="B76" s="39" t="s">
        <v>22711</v>
      </c>
      <c r="C76" s="2585"/>
      <c r="D76" s="2585"/>
      <c r="E76" s="42">
        <f>+E75*(E120-E59)</f>
        <v>0</v>
      </c>
      <c r="F76" s="42">
        <f>+F75*(F120-F59)</f>
        <v>0</v>
      </c>
      <c r="G76" s="42">
        <f t="shared" ref="G76:H76" si="18">+G75*(G120-G59)</f>
        <v>0</v>
      </c>
      <c r="H76" s="42">
        <f t="shared" si="18"/>
        <v>0</v>
      </c>
      <c r="N76"/>
      <c r="O76"/>
      <c r="P76"/>
      <c r="Q76"/>
      <c r="R76"/>
    </row>
    <row r="77" spans="1:21" ht="15" customHeight="1">
      <c r="B77" s="1120" t="s">
        <v>27062</v>
      </c>
      <c r="C77" s="2584"/>
      <c r="D77" s="2584"/>
      <c r="E77" s="1119">
        <f>MAX($M60*E76,0)</f>
        <v>0</v>
      </c>
      <c r="F77" s="1119">
        <f>MAX($M60*F76,0)</f>
        <v>0</v>
      </c>
      <c r="G77" s="1119">
        <f>MAX($M60*G76,0)</f>
        <v>0</v>
      </c>
      <c r="H77" s="1119">
        <f>MAX($M60*H76,0)</f>
        <v>0</v>
      </c>
      <c r="N77"/>
      <c r="O77"/>
      <c r="P77"/>
      <c r="Q77"/>
      <c r="R77"/>
    </row>
    <row r="78" spans="1:21" ht="15" customHeight="1">
      <c r="B78" s="1103" t="s">
        <v>30424</v>
      </c>
      <c r="C78" s="2584"/>
      <c r="D78" s="2584"/>
      <c r="E78" s="1119">
        <f>+ERC!E92+ERC!E133</f>
        <v>0</v>
      </c>
      <c r="F78" s="1119">
        <f>+ERC!F92+ERC!F133</f>
        <v>0</v>
      </c>
      <c r="G78" s="1119">
        <f>+ERC!G92+ERC!G133</f>
        <v>0</v>
      </c>
      <c r="H78" s="1119">
        <f>+ERC!H92+ERC!H133</f>
        <v>0</v>
      </c>
      <c r="N78"/>
      <c r="O78"/>
      <c r="P78"/>
      <c r="Q78"/>
      <c r="R78"/>
    </row>
    <row r="79" spans="1:21" ht="15" customHeight="1">
      <c r="B79" s="1120" t="s">
        <v>30425</v>
      </c>
      <c r="C79" s="2584"/>
      <c r="D79" s="2584"/>
      <c r="E79" s="1119">
        <f>+E77-E78</f>
        <v>0</v>
      </c>
      <c r="F79" s="1119">
        <f>+F77-F78</f>
        <v>0</v>
      </c>
      <c r="G79" s="1119">
        <f t="shared" ref="G79:H79" si="19">+G77-G78</f>
        <v>0</v>
      </c>
      <c r="H79" s="1119">
        <f t="shared" si="19"/>
        <v>0</v>
      </c>
      <c r="N79" s="47"/>
      <c r="O79" s="47"/>
    </row>
    <row r="80" spans="1:21" ht="15" customHeight="1">
      <c r="B80" s="1120" t="s">
        <v>28818</v>
      </c>
      <c r="C80" s="2584"/>
      <c r="D80" s="2584"/>
      <c r="E80" s="1119">
        <f>Input_per_calcoli_finali!K112</f>
        <v>0</v>
      </c>
      <c r="F80" s="1119">
        <f>Input_per_calcoli_finali!L112</f>
        <v>0</v>
      </c>
      <c r="G80" s="1119">
        <f>Input_per_calcoli_finali!M112</f>
        <v>0</v>
      </c>
      <c r="H80" s="1119">
        <f>Input_per_calcoli_finali!N112</f>
        <v>0</v>
      </c>
      <c r="N80" s="47"/>
      <c r="O80" s="47"/>
    </row>
    <row r="81" spans="1:15" ht="15" customHeight="1">
      <c r="B81" s="1176" t="s">
        <v>27061</v>
      </c>
      <c r="C81" s="2742">
        <f>+Dati_Anni_precedenti!E25</f>
        <v>0</v>
      </c>
      <c r="D81" s="2742">
        <f>+Dati_Anni_precedenti!F25</f>
        <v>0</v>
      </c>
      <c r="E81" s="48">
        <f>+E79-E80</f>
        <v>0</v>
      </c>
      <c r="F81" s="48">
        <f>+F79-F80</f>
        <v>0</v>
      </c>
      <c r="G81" s="48">
        <f t="shared" ref="G81:H81" si="20">+G79-G80</f>
        <v>0</v>
      </c>
      <c r="H81" s="48">
        <f t="shared" si="20"/>
        <v>0</v>
      </c>
      <c r="I81" s="75" t="s">
        <v>30418</v>
      </c>
      <c r="L81" s="15"/>
      <c r="M81" s="38"/>
      <c r="N81" s="47"/>
    </row>
    <row r="82" spans="1:15">
      <c r="L82" s="15"/>
      <c r="M82" s="38"/>
      <c r="N82" s="47"/>
    </row>
    <row r="83" spans="1:15">
      <c r="E83" s="1098"/>
      <c r="L83" s="15"/>
      <c r="M83" s="38"/>
      <c r="N83" s="47"/>
    </row>
    <row r="84" spans="1:15">
      <c r="L84" s="15"/>
      <c r="M84" s="38"/>
      <c r="N84" s="47"/>
    </row>
    <row r="85" spans="1:15">
      <c r="B85" s="723"/>
      <c r="C85" s="723"/>
      <c r="D85" s="723"/>
      <c r="E85" s="723"/>
      <c r="F85" s="723"/>
      <c r="G85" s="723"/>
      <c r="H85" s="723"/>
      <c r="L85" s="15"/>
      <c r="M85" s="38"/>
      <c r="N85" s="47"/>
    </row>
    <row r="86" spans="1:15">
      <c r="I86" s="15"/>
      <c r="J86" s="15"/>
      <c r="K86" s="15"/>
      <c r="L86" s="15"/>
      <c r="M86" s="38"/>
      <c r="N86" s="47"/>
    </row>
    <row r="87" spans="1:15" s="727" customFormat="1" ht="16.5" thickBot="1">
      <c r="A87" s="725" t="s">
        <v>30542</v>
      </c>
      <c r="B87" s="726" t="s">
        <v>30419</v>
      </c>
      <c r="G87" s="1085"/>
      <c r="H87" s="1085"/>
      <c r="K87" s="728"/>
    </row>
    <row r="88" spans="1:15" ht="15" customHeight="1" thickTop="1"/>
    <row r="89" spans="1:15" ht="15" customHeight="1"/>
    <row r="90" spans="1:15" ht="15" customHeight="1"/>
    <row r="91" spans="1:15" ht="15" customHeight="1">
      <c r="C91" s="1774">
        <v>2024</v>
      </c>
      <c r="D91" s="1774">
        <v>2025</v>
      </c>
      <c r="E91" s="1771">
        <v>2026</v>
      </c>
      <c r="F91" s="1772">
        <v>2027</v>
      </c>
      <c r="G91" s="1774">
        <v>2028</v>
      </c>
      <c r="H91" s="1774">
        <v>2029</v>
      </c>
      <c r="M91"/>
    </row>
    <row r="92" spans="1:15" ht="15" customHeight="1">
      <c r="B92" s="1326" t="s">
        <v>200</v>
      </c>
      <c r="C92" s="2743">
        <f>+Dati_Anni_precedenti!E28</f>
        <v>0</v>
      </c>
      <c r="D92" s="2743">
        <f>+Dati_Anni_precedenti!F28</f>
        <v>0</v>
      </c>
      <c r="E92" s="1180">
        <f>(TT_riepilogo_IMN!G8)</f>
        <v>0</v>
      </c>
      <c r="F92" s="1180">
        <f>(TT_riepilogo_IMN!H8)</f>
        <v>0</v>
      </c>
      <c r="G92" s="1180">
        <f>(TT_riepilogo_IMN!I8)</f>
        <v>0</v>
      </c>
      <c r="H92" s="1180">
        <f>(TT_riepilogo_IMN!J8)</f>
        <v>0</v>
      </c>
      <c r="I92" s="75"/>
      <c r="M92" s="134"/>
    </row>
    <row r="93" spans="1:15" ht="15" customHeight="1">
      <c r="B93" s="723"/>
      <c r="C93" s="723"/>
      <c r="D93" s="723"/>
      <c r="E93" s="723"/>
      <c r="F93" s="723"/>
      <c r="G93" s="723"/>
      <c r="H93" s="723"/>
      <c r="I93" s="723"/>
      <c r="J93" s="723"/>
      <c r="K93" s="723"/>
      <c r="L93" s="723"/>
    </row>
    <row r="94" spans="1:15" ht="15" customHeight="1">
      <c r="I94" s="723"/>
      <c r="J94" s="723"/>
      <c r="K94" s="723"/>
      <c r="L94" s="723"/>
    </row>
    <row r="95" spans="1:15" ht="15" customHeight="1">
      <c r="B95" s="39" t="s">
        <v>29610</v>
      </c>
      <c r="C95" s="2586"/>
      <c r="D95" s="2586"/>
      <c r="E95" s="610">
        <f>+E53+E54</f>
        <v>0</v>
      </c>
      <c r="F95" s="610">
        <f>+F53+F54</f>
        <v>0</v>
      </c>
      <c r="G95" s="610">
        <f t="shared" ref="G95:H95" si="21">+G53+G54</f>
        <v>0</v>
      </c>
      <c r="H95" s="610">
        <f t="shared" si="21"/>
        <v>0</v>
      </c>
      <c r="I95" s="723"/>
      <c r="J95" s="723"/>
      <c r="K95" s="723"/>
      <c r="L95" s="723"/>
    </row>
    <row r="96" spans="1:15" ht="15" customHeight="1">
      <c r="A96" s="565"/>
      <c r="B96" s="1326" t="s">
        <v>203</v>
      </c>
      <c r="C96" s="2587"/>
      <c r="D96" s="2587"/>
      <c r="E96" s="1180">
        <f>+E95</f>
        <v>0</v>
      </c>
      <c r="F96" s="1180">
        <f>+F95</f>
        <v>0</v>
      </c>
      <c r="G96" s="1180">
        <f t="shared" ref="G96:H96" si="22">+G95</f>
        <v>0</v>
      </c>
      <c r="H96" s="1180">
        <f t="shared" si="22"/>
        <v>0</v>
      </c>
      <c r="I96" s="75"/>
      <c r="N96" s="37"/>
      <c r="O96" s="47"/>
    </row>
    <row r="97" spans="1:15" ht="15" customHeight="1">
      <c r="A97" s="565"/>
      <c r="N97" s="37"/>
      <c r="O97" s="47"/>
    </row>
    <row r="98" spans="1:15" ht="15" customHeight="1">
      <c r="A98" s="565"/>
      <c r="J98"/>
      <c r="K98"/>
      <c r="N98" s="37"/>
      <c r="O98" s="47"/>
    </row>
    <row r="99" spans="1:15" ht="25.35" customHeight="1">
      <c r="A99" s="565"/>
      <c r="B99" s="1911" t="s">
        <v>294</v>
      </c>
      <c r="C99" s="2588"/>
      <c r="D99" s="2588"/>
      <c r="E99" s="201">
        <f>+Altri_dati_eco_fin!E17</f>
        <v>0</v>
      </c>
      <c r="F99" s="1609">
        <f>+Altri_dati_eco_fin!F17</f>
        <v>0</v>
      </c>
      <c r="G99" s="1888">
        <f t="shared" ref="G99:G106" si="23">+D99</f>
        <v>0</v>
      </c>
      <c r="H99" s="1888">
        <f t="shared" ref="H99:H103" si="24">+G99</f>
        <v>0</v>
      </c>
      <c r="J99"/>
      <c r="K99"/>
      <c r="N99" s="37"/>
      <c r="O99" s="47"/>
    </row>
    <row r="100" spans="1:15" s="61" customFormat="1" ht="26.1" customHeight="1">
      <c r="A100" s="565"/>
      <c r="B100" s="1911" t="s">
        <v>295</v>
      </c>
      <c r="C100" s="2588"/>
      <c r="D100" s="2588"/>
      <c r="E100" s="201">
        <f>+Altri_dati_eco_fin!E18</f>
        <v>0</v>
      </c>
      <c r="F100" s="1609">
        <f>+Altri_dati_eco_fin!F18</f>
        <v>0</v>
      </c>
      <c r="G100" s="1888">
        <f t="shared" si="23"/>
        <v>0</v>
      </c>
      <c r="H100" s="1888">
        <f t="shared" si="24"/>
        <v>0</v>
      </c>
      <c r="J100" s="77"/>
      <c r="K100" s="77"/>
      <c r="L100" s="10"/>
      <c r="O100" s="78"/>
    </row>
    <row r="101" spans="1:15" s="61" customFormat="1" ht="26.1" customHeight="1">
      <c r="A101" s="565"/>
      <c r="B101" s="1911" t="s">
        <v>296</v>
      </c>
      <c r="C101" s="2588"/>
      <c r="D101" s="2588"/>
      <c r="E101" s="201">
        <f>+Altri_dati_eco_fin!E19</f>
        <v>0</v>
      </c>
      <c r="F101" s="1609">
        <f>+Altri_dati_eco_fin!F19</f>
        <v>0</v>
      </c>
      <c r="G101" s="1888">
        <f t="shared" si="23"/>
        <v>0</v>
      </c>
      <c r="H101" s="1888">
        <f t="shared" si="24"/>
        <v>0</v>
      </c>
      <c r="J101" s="77"/>
      <c r="K101" s="77"/>
      <c r="L101" s="10"/>
      <c r="O101" s="78"/>
    </row>
    <row r="102" spans="1:15" s="61" customFormat="1" ht="26.1" customHeight="1">
      <c r="A102" s="565"/>
      <c r="B102" s="1911" t="s">
        <v>301</v>
      </c>
      <c r="C102" s="2588"/>
      <c r="D102" s="2588"/>
      <c r="E102" s="201">
        <f>+Altri_dati_eco_fin!E24</f>
        <v>0</v>
      </c>
      <c r="F102" s="1609">
        <f>+Altri_dati_eco_fin!F24</f>
        <v>0</v>
      </c>
      <c r="G102" s="1888">
        <f t="shared" si="23"/>
        <v>0</v>
      </c>
      <c r="H102" s="1888">
        <f t="shared" si="24"/>
        <v>0</v>
      </c>
      <c r="J102" s="77"/>
      <c r="K102" s="77"/>
      <c r="L102" s="10"/>
      <c r="O102" s="78"/>
    </row>
    <row r="103" spans="1:15" s="61" customFormat="1" ht="26.1" customHeight="1">
      <c r="A103" s="565"/>
      <c r="B103" s="1911" t="s">
        <v>302</v>
      </c>
      <c r="C103" s="2588"/>
      <c r="D103" s="2588"/>
      <c r="E103" s="201">
        <f>+Altri_dati_eco_fin!E25</f>
        <v>0</v>
      </c>
      <c r="F103" s="1609">
        <f>+Altri_dati_eco_fin!F25</f>
        <v>0</v>
      </c>
      <c r="G103" s="1888">
        <f t="shared" si="23"/>
        <v>0</v>
      </c>
      <c r="H103" s="1888">
        <f t="shared" si="24"/>
        <v>0</v>
      </c>
      <c r="J103" s="77"/>
      <c r="K103" s="77"/>
      <c r="L103" s="10"/>
      <c r="O103" s="78"/>
    </row>
    <row r="104" spans="1:15" s="61" customFormat="1" ht="25.5">
      <c r="A104" s="565"/>
      <c r="B104" s="1912" t="s">
        <v>30506</v>
      </c>
      <c r="C104" s="2588"/>
      <c r="D104" s="2588"/>
      <c r="E104" s="201">
        <f>+Altri_dati_eco_fin!E26</f>
        <v>0</v>
      </c>
      <c r="F104" s="1609">
        <f>+Altri_dati_eco_fin!F26</f>
        <v>0</v>
      </c>
      <c r="G104" s="1888">
        <f t="shared" si="23"/>
        <v>0</v>
      </c>
      <c r="H104" s="1888">
        <f>+G104</f>
        <v>0</v>
      </c>
      <c r="J104" s="77"/>
      <c r="K104" s="77"/>
      <c r="L104" s="10"/>
      <c r="O104" s="78"/>
    </row>
    <row r="105" spans="1:15" s="61" customFormat="1" ht="26.1" customHeight="1">
      <c r="A105" s="565"/>
      <c r="B105" s="76" t="s">
        <v>304</v>
      </c>
      <c r="C105" s="2588"/>
      <c r="D105" s="2588"/>
      <c r="E105" s="201">
        <f>+Altri_dati_eco_fin!E27</f>
        <v>0</v>
      </c>
      <c r="F105" s="1609">
        <f>+Altri_dati_eco_fin!F27</f>
        <v>0</v>
      </c>
      <c r="G105" s="1888">
        <f t="shared" si="23"/>
        <v>0</v>
      </c>
      <c r="H105" s="1888">
        <f t="shared" ref="H105:H106" si="25">+G105</f>
        <v>0</v>
      </c>
      <c r="J105" s="77"/>
      <c r="K105" s="77"/>
      <c r="L105" s="10"/>
      <c r="O105" s="78"/>
    </row>
    <row r="106" spans="1:15" ht="26.1" customHeight="1">
      <c r="A106" s="565"/>
      <c r="B106" s="53" t="s">
        <v>80</v>
      </c>
      <c r="C106" s="2588"/>
      <c r="D106" s="2588"/>
      <c r="E106" s="676">
        <f>+-ABS(Dati_conto_economico!C74)-ABS(Dati_conto_economico!F74)</f>
        <v>0</v>
      </c>
      <c r="F106" s="1610">
        <f>+-ABS(Dati_conto_economico!I74)-ABS(Dati_conto_economico!L74)</f>
        <v>0</v>
      </c>
      <c r="G106" s="1888">
        <f t="shared" si="23"/>
        <v>0</v>
      </c>
      <c r="H106" s="1888">
        <f t="shared" si="25"/>
        <v>0</v>
      </c>
      <c r="I106" s="61"/>
      <c r="J106"/>
      <c r="K106"/>
      <c r="O106" s="47"/>
    </row>
    <row r="107" spans="1:15" ht="15">
      <c r="A107" s="565"/>
      <c r="B107" s="565"/>
      <c r="C107" s="565"/>
      <c r="D107" s="565"/>
      <c r="E107" s="565"/>
      <c r="F107" s="565"/>
      <c r="G107" s="565"/>
      <c r="H107" s="565"/>
      <c r="I107" s="61"/>
      <c r="J107"/>
      <c r="K107"/>
      <c r="O107" s="47"/>
    </row>
    <row r="108" spans="1:15" ht="15" customHeight="1">
      <c r="A108" s="565"/>
      <c r="I108" s="61"/>
      <c r="N108" s="37"/>
      <c r="O108" s="47"/>
    </row>
    <row r="109" spans="1:15" ht="15" customHeight="1">
      <c r="A109" s="565"/>
      <c r="B109" s="1326" t="s">
        <v>22827</v>
      </c>
      <c r="C109" s="2587"/>
      <c r="D109" s="2587"/>
      <c r="E109" s="1180">
        <f>+SUM(E99:E106)</f>
        <v>0</v>
      </c>
      <c r="F109" s="1180">
        <f>+SUM(F99:F106)</f>
        <v>0</v>
      </c>
      <c r="G109" s="1180">
        <f t="shared" ref="G109:H109" si="26">+SUM(G99:G106)</f>
        <v>0</v>
      </c>
      <c r="H109" s="1180">
        <f t="shared" si="26"/>
        <v>0</v>
      </c>
      <c r="I109" s="61"/>
      <c r="J109"/>
      <c r="K109"/>
      <c r="O109" s="47"/>
    </row>
    <row r="110" spans="1:15" ht="15" customHeight="1">
      <c r="A110" s="565"/>
      <c r="I110" s="61"/>
      <c r="N110" s="37"/>
      <c r="O110" s="47"/>
    </row>
    <row r="111" spans="1:15" ht="15" customHeight="1">
      <c r="A111" s="565"/>
      <c r="B111" s="39" t="s">
        <v>30530</v>
      </c>
      <c r="C111" s="2582"/>
      <c r="D111" s="2582"/>
      <c r="E111" s="2368">
        <f>+(SUM(Dati_conto_economico!C14:'Dati_conto_economico'!C21)+Dati_conto_economico!C23+Dati_conto_economico!C24+Dati_conto_economico!C27+Dati_conto_economico!C28)+(SUM(Dati_conto_economico!F14:'Dati_conto_economico'!F21)+Dati_conto_economico!F23+Dati_conto_economico!F24+Dati_conto_economico!F27+Dati_conto_economico!F28)</f>
        <v>0</v>
      </c>
      <c r="F111" s="2369">
        <f>+(SUM(Dati_conto_economico!I14:'Dati_conto_economico'!I21)+Dati_conto_economico!I23+Dati_conto_economico!I24+Dati_conto_economico!I27+Dati_conto_economico!I28)+(SUM(Dati_conto_economico!L14:'Dati_conto_economico'!L21)+Dati_conto_economico!L23+Dati_conto_economico!L24+Dati_conto_economico!L27+Dati_conto_economico!L28)</f>
        <v>0</v>
      </c>
      <c r="G111" s="41">
        <f>+D111</f>
        <v>0</v>
      </c>
      <c r="H111" s="41">
        <f t="shared" ref="H111:H112" si="27">+G111</f>
        <v>0</v>
      </c>
      <c r="I111" s="61"/>
      <c r="J111" s="1327" t="s">
        <v>22828</v>
      </c>
      <c r="K111" s="1328"/>
      <c r="M111" s="37"/>
      <c r="N111" s="47"/>
    </row>
    <row r="112" spans="1:15" ht="15" customHeight="1">
      <c r="A112" s="565"/>
      <c r="B112" s="39" t="s">
        <v>30531</v>
      </c>
      <c r="C112" s="2582"/>
      <c r="D112" s="2582"/>
      <c r="E112" s="2368">
        <f>+Dati_conto_economico!C43+SUM(Dati_conto_economico!C47:C58)++Dati_conto_economico!F43+SUM(Dati_conto_economico!F47:F58)</f>
        <v>0</v>
      </c>
      <c r="F112" s="2369">
        <f>+Dati_conto_economico!I43+SUM(Dati_conto_economico!I47:I58)++Dati_conto_economico!L43+SUM(Dati_conto_economico!L47:L58)</f>
        <v>0</v>
      </c>
      <c r="G112" s="41">
        <f>+D112</f>
        <v>0</v>
      </c>
      <c r="H112" s="41">
        <f t="shared" si="27"/>
        <v>0</v>
      </c>
      <c r="I112" s="61"/>
      <c r="J112" s="25" t="s">
        <v>22712</v>
      </c>
      <c r="K112" s="375">
        <v>90</v>
      </c>
      <c r="M112" s="37"/>
      <c r="N112" s="47"/>
    </row>
    <row r="113" spans="1:15" ht="15" customHeight="1">
      <c r="A113" s="565"/>
      <c r="B113" s="39" t="s">
        <v>22714</v>
      </c>
      <c r="C113" s="2582"/>
      <c r="D113" s="2582"/>
      <c r="E113" s="41">
        <f>($K$112/365*E111-$K$113/365*E112)*E125</f>
        <v>0</v>
      </c>
      <c r="F113" s="41">
        <f>($K$112/365*F111-$K$113/365*F112)*F125</f>
        <v>0</v>
      </c>
      <c r="G113" s="41">
        <f>($K$112/365*G111-$K$113/365*G112)*G125</f>
        <v>0</v>
      </c>
      <c r="H113" s="41">
        <f>($K$112/365*H111-$K$113/365*H112)*H125</f>
        <v>0</v>
      </c>
      <c r="I113" s="61"/>
      <c r="J113" s="25" t="s">
        <v>22713</v>
      </c>
      <c r="K113" s="375">
        <v>60</v>
      </c>
      <c r="N113" s="36"/>
    </row>
    <row r="114" spans="1:15" ht="15" customHeight="1">
      <c r="A114" s="565"/>
      <c r="B114" s="565"/>
      <c r="C114" s="565"/>
      <c r="D114" s="565"/>
      <c r="E114" s="565"/>
      <c r="F114" s="565"/>
      <c r="G114" s="565"/>
      <c r="H114" s="565"/>
      <c r="I114" s="61"/>
      <c r="J114" s="565"/>
      <c r="N114" s="36"/>
    </row>
    <row r="115" spans="1:15" ht="15" customHeight="1">
      <c r="A115" s="565"/>
      <c r="B115" s="1326" t="s">
        <v>22714</v>
      </c>
      <c r="C115" s="2587"/>
      <c r="D115" s="2587"/>
      <c r="E115" s="1180">
        <f>+E113</f>
        <v>0</v>
      </c>
      <c r="F115" s="1180">
        <f>+F113</f>
        <v>0</v>
      </c>
      <c r="G115" s="1180">
        <f t="shared" ref="G115:H115" si="28">+G113</f>
        <v>0</v>
      </c>
      <c r="H115" s="1180">
        <f t="shared" si="28"/>
        <v>0</v>
      </c>
      <c r="I115" s="75"/>
      <c r="N115" s="36"/>
    </row>
    <row r="116" spans="1:15" ht="15" customHeight="1">
      <c r="A116"/>
      <c r="B116"/>
      <c r="C116"/>
      <c r="D116"/>
      <c r="E116"/>
      <c r="F116"/>
      <c r="G116"/>
      <c r="H116"/>
      <c r="I116"/>
      <c r="N116" s="36"/>
    </row>
    <row r="117" spans="1:15" ht="15" customHeight="1">
      <c r="A117"/>
      <c r="B117"/>
      <c r="C117"/>
      <c r="D117"/>
      <c r="E117"/>
      <c r="F117"/>
      <c r="G117"/>
      <c r="H117"/>
      <c r="I117"/>
      <c r="N117" s="36"/>
    </row>
    <row r="118" spans="1:15" ht="15" customHeight="1">
      <c r="B118" s="1326" t="s">
        <v>22730</v>
      </c>
      <c r="C118" s="2587"/>
      <c r="D118" s="2587"/>
      <c r="E118" s="1180">
        <f>+FoNI!E122</f>
        <v>0</v>
      </c>
      <c r="F118" s="1180">
        <f>+FoNI!F122</f>
        <v>0</v>
      </c>
      <c r="G118" s="1180">
        <f>+FoNI!G122</f>
        <v>0</v>
      </c>
      <c r="H118" s="1180">
        <f>+FoNI!H122</f>
        <v>0</v>
      </c>
      <c r="N118" s="38"/>
      <c r="O118" s="47"/>
    </row>
    <row r="119" spans="1:15" ht="15" customHeight="1">
      <c r="B119" s="723"/>
      <c r="C119" s="723"/>
      <c r="D119" s="723"/>
      <c r="E119" s="723"/>
      <c r="F119" s="723"/>
      <c r="G119" s="723"/>
      <c r="H119" s="723"/>
      <c r="I119" s="723"/>
      <c r="L119" s="723"/>
      <c r="M119" s="723"/>
      <c r="N119" s="723"/>
      <c r="O119" s="47"/>
    </row>
    <row r="120" spans="1:15" ht="15" customHeight="1">
      <c r="B120" s="1176" t="s">
        <v>22715</v>
      </c>
      <c r="C120" s="2590"/>
      <c r="D120" s="2590"/>
      <c r="E120" s="48">
        <f>+MAX(E92+E115+E96-E109-E118,0)</f>
        <v>0</v>
      </c>
      <c r="F120" s="48">
        <f>+MAX(F92+F115+F96-F109-F118,0)</f>
        <v>0</v>
      </c>
      <c r="G120" s="48">
        <f t="shared" ref="G120:H120" si="29">+MAX(G92+G115+G96-G109-G118,0)</f>
        <v>0</v>
      </c>
      <c r="H120" s="48">
        <f t="shared" si="29"/>
        <v>0</v>
      </c>
      <c r="I120" s="723"/>
    </row>
    <row r="121" spans="1:15" ht="15" customHeight="1">
      <c r="B121" s="1323" t="s">
        <v>22736</v>
      </c>
      <c r="C121" s="2591"/>
      <c r="D121" s="2591"/>
      <c r="E121" s="43">
        <f>+(TT_riepilogo_IMN!G12-TT_riepilogo_IMN!G48-TT_riepilogo_IMN!G60)</f>
        <v>0</v>
      </c>
      <c r="F121" s="43">
        <f>+(TT_riepilogo_IMN!H12-TT_riepilogo_IMN!H48-TT_riepilogo_IMN!H60)</f>
        <v>0</v>
      </c>
      <c r="G121" s="43">
        <f>+(TT_riepilogo_IMN!I12-TT_riepilogo_IMN!I48-TT_riepilogo_IMN!I60)</f>
        <v>0</v>
      </c>
      <c r="H121" s="43">
        <f>+(TT_riepilogo_IMN!J12-TT_riepilogo_IMN!J48-TT_riepilogo_IMN!J60)</f>
        <v>0</v>
      </c>
      <c r="I121" s="75"/>
      <c r="M121" s="134"/>
    </row>
    <row r="122" spans="1:15" ht="15" customHeight="1">
      <c r="B122" s="49"/>
      <c r="C122" s="54"/>
      <c r="D122" s="54"/>
      <c r="E122" s="54"/>
      <c r="F122" s="54"/>
      <c r="G122" s="54"/>
      <c r="H122" s="54"/>
    </row>
    <row r="123" spans="1:15" ht="15" customHeight="1">
      <c r="C123" s="1774">
        <v>2024</v>
      </c>
      <c r="D123" s="1774">
        <v>2025</v>
      </c>
      <c r="E123" s="1771">
        <v>2026</v>
      </c>
      <c r="F123" s="1772">
        <v>2027</v>
      </c>
      <c r="G123" s="1774">
        <v>2028</v>
      </c>
      <c r="H123" s="1774">
        <v>2029</v>
      </c>
    </row>
    <row r="124" spans="1:15" ht="15" customHeight="1">
      <c r="B124" s="106" t="s">
        <v>22830</v>
      </c>
      <c r="C124" s="52">
        <f>+VLOOKUP(C91-2,ifl,C91 - 2010,FALSE)</f>
        <v>1.0629520000000001</v>
      </c>
      <c r="D124" s="52">
        <f>+VLOOKUP(D91-2,ifl,D91 - 2010,FALSE)</f>
        <v>1.026972</v>
      </c>
      <c r="E124" s="52">
        <f>+VLOOKUP(E91-2,ifl,E91 - 2010,FALSE)</f>
        <v>0.99999899999999986</v>
      </c>
      <c r="F124" s="52">
        <f>+VLOOKUP(F91-2,ifl,F91 - 2010,FALSE)</f>
        <v>1.0009999999999999</v>
      </c>
      <c r="G124" s="52">
        <f t="shared" ref="G124:H124" si="30">+VLOOKUP(G91-2,ifl,G91 - 2010,FALSE)</f>
        <v>1</v>
      </c>
      <c r="H124" s="52">
        <f t="shared" si="30"/>
        <v>1</v>
      </c>
    </row>
    <row r="125" spans="1:15" ht="15" customHeight="1">
      <c r="B125" s="51" t="s">
        <v>22729</v>
      </c>
      <c r="C125" s="52">
        <f>+TT_parametri!BN8</f>
        <v>1.13696</v>
      </c>
      <c r="D125" s="52">
        <f>+TT_parametri!BO8</f>
        <v>1.1097600000000001</v>
      </c>
      <c r="E125" s="52">
        <f>+TT_parametri!BP8</f>
        <v>1.03224</v>
      </c>
      <c r="F125" s="52">
        <f>+TT_parametri!BQ8</f>
        <v>1.012</v>
      </c>
      <c r="G125" s="52">
        <f>+TT_parametri!BR8</f>
        <v>1</v>
      </c>
      <c r="H125" s="52">
        <f>+TT_parametri!BS8</f>
        <v>1</v>
      </c>
    </row>
    <row r="126" spans="1:15" ht="15" customHeight="1"/>
    <row r="127" spans="1:15" ht="15" customHeight="1"/>
    <row r="128" spans="1:15" ht="15" customHeight="1"/>
    <row r="129" spans="1:12" ht="15" customHeight="1"/>
    <row r="130" spans="1:12" ht="15" customHeight="1"/>
    <row r="131" spans="1:12" s="727" customFormat="1" ht="16.5" thickBot="1">
      <c r="A131" s="725" t="s">
        <v>30543</v>
      </c>
      <c r="B131" s="729" t="s">
        <v>25434</v>
      </c>
      <c r="E131" s="730"/>
      <c r="G131" s="1085"/>
      <c r="H131" s="1085"/>
      <c r="K131" s="728"/>
    </row>
    <row r="132" spans="1:12" ht="15.75" thickTop="1">
      <c r="I132"/>
      <c r="J132"/>
      <c r="K132"/>
      <c r="L132"/>
    </row>
    <row r="133" spans="1:12" ht="15">
      <c r="I133"/>
      <c r="J133"/>
      <c r="K133"/>
      <c r="L133"/>
    </row>
    <row r="134" spans="1:12" ht="15">
      <c r="I134"/>
      <c r="J134"/>
      <c r="K134"/>
      <c r="L134"/>
    </row>
    <row r="135" spans="1:12" ht="15">
      <c r="B135" s="55"/>
      <c r="C135" s="1774">
        <v>2024</v>
      </c>
      <c r="D135" s="1774">
        <v>2025</v>
      </c>
      <c r="E135" s="1771">
        <v>2026</v>
      </c>
      <c r="F135" s="1772">
        <v>2027</v>
      </c>
      <c r="G135" s="1774">
        <v>2028</v>
      </c>
      <c r="H135" s="1774">
        <v>2029</v>
      </c>
      <c r="I135"/>
      <c r="J135"/>
      <c r="K135"/>
      <c r="L135"/>
    </row>
    <row r="136" spans="1:12" ht="15.75">
      <c r="B136" s="39" t="s">
        <v>24761</v>
      </c>
      <c r="C136" s="2582"/>
      <c r="D136" s="2582"/>
      <c r="E136" s="109">
        <f>+SUM(DCUIT!AD:AD)</f>
        <v>0</v>
      </c>
      <c r="F136" s="109">
        <f>+SUM(DCUIT!AE:AE)</f>
        <v>0</v>
      </c>
      <c r="G136" s="109">
        <f>+SUM(DCUIT!AF:AF)</f>
        <v>0</v>
      </c>
      <c r="H136" s="109">
        <f>+SUM(DCUIT!AG:AG)</f>
        <v>0</v>
      </c>
      <c r="I136"/>
      <c r="J136"/>
      <c r="K136"/>
      <c r="L136"/>
    </row>
    <row r="137" spans="1:12" ht="15.75">
      <c r="B137" s="39" t="s">
        <v>29611</v>
      </c>
      <c r="C137" s="2589"/>
      <c r="D137" s="2589"/>
      <c r="E137" s="110">
        <f>+Altri_dati_eco_fin!G66</f>
        <v>0</v>
      </c>
      <c r="F137" s="110">
        <f>+Altri_dati_eco_fin!H66</f>
        <v>0</v>
      </c>
      <c r="G137" s="110">
        <f>+Altri_dati_eco_fin!I66</f>
        <v>0</v>
      </c>
      <c r="H137" s="110">
        <f>+Altri_dati_eco_fin!J66</f>
        <v>0</v>
      </c>
      <c r="I137"/>
      <c r="J137"/>
      <c r="K137"/>
      <c r="L137"/>
    </row>
    <row r="138" spans="1:12" ht="15.75">
      <c r="B138" s="39" t="s">
        <v>24875</v>
      </c>
      <c r="C138" s="2589"/>
      <c r="D138" s="2589"/>
      <c r="E138" s="2418" t="str">
        <f>+IF(E137&lt;=E136,"SI","NO")</f>
        <v>SI</v>
      </c>
      <c r="F138" s="2418" t="str">
        <f>+IF(F137&lt;=F136,"SI","NO")</f>
        <v>SI</v>
      </c>
      <c r="G138" s="2418" t="str">
        <f t="shared" ref="G138:H138" si="31">+IF(G137&lt;=G136,"SI","NO")</f>
        <v>SI</v>
      </c>
      <c r="H138" s="2418" t="str">
        <f t="shared" si="31"/>
        <v>SI</v>
      </c>
      <c r="I138"/>
      <c r="J138"/>
      <c r="K138"/>
      <c r="L138"/>
    </row>
    <row r="139" spans="1:12" ht="15.75">
      <c r="B139" s="1323" t="s">
        <v>29764</v>
      </c>
      <c r="C139" s="2742">
        <f>+Dati_Anni_precedenti!E26</f>
        <v>0</v>
      </c>
      <c r="D139" s="2742">
        <f>+Dati_Anni_precedenti!F26</f>
        <v>0</v>
      </c>
      <c r="E139" s="48">
        <f>+IF(E138="SI",E137,0)</f>
        <v>0</v>
      </c>
      <c r="F139" s="48">
        <f>+IF(F138="SI",F137,0)</f>
        <v>0</v>
      </c>
      <c r="G139" s="48">
        <f t="shared" ref="G139:H139" si="32">+IF(G138="SI",G137,0)</f>
        <v>0</v>
      </c>
      <c r="H139" s="48">
        <f t="shared" si="32"/>
        <v>0</v>
      </c>
      <c r="I139"/>
      <c r="J139"/>
      <c r="K139"/>
      <c r="L139"/>
    </row>
    <row r="140" spans="1:12" ht="15">
      <c r="I140"/>
      <c r="J140"/>
      <c r="K140"/>
      <c r="L140"/>
    </row>
    <row r="141" spans="1:12" ht="15">
      <c r="I141"/>
      <c r="J141"/>
      <c r="K141"/>
      <c r="L141"/>
    </row>
    <row r="142" spans="1:12" ht="15">
      <c r="I142"/>
      <c r="J142"/>
      <c r="K142"/>
      <c r="L142"/>
    </row>
  </sheetData>
  <sheetProtection algorithmName="SHA-512" hashValue="NgBtw8qpEsA+m6U8XrtsSyILLmMVrdyPkexuv3eFfA+iLh+ImGhfS7sJBO2ENj5kUoDDBidlF//KtsUAgtpHMw==" saltValue="5ZG+KCj7D5tX4MorgMlWEQ==" spinCount="100000" sheet="1" objects="1" scenarios="1"/>
  <customSheetViews>
    <customSheetView guid="{849F61E1-F6D3-48F4-A6FF-68F8FE186D80}" scale="85" showPageBreaks="1" showGridLines="0" printArea="1" hiddenRows="1">
      <pageMargins left="0.7" right="0.7" top="0.75" bottom="0.75" header="0.3" footer="0.3"/>
      <pageSetup paperSize="9" orientation="portrait" r:id="rId1"/>
    </customSheetView>
    <customSheetView guid="{1E1889AA-9C00-49BF-A07E-295053EABBEF}" scale="85" showGridLines="0">
      <selection activeCell="E9" sqref="E9"/>
      <pageMargins left="0.7" right="0.7" top="0.75" bottom="0.75" header="0.3" footer="0.3"/>
      <pageSetup paperSize="9" orientation="portrait" r:id="rId2"/>
    </customSheetView>
    <customSheetView guid="{83029BA9-344F-4783-B8F2-6704FB40A582}" scale="85" showGridLines="0" hiddenRows="1">
      <pageMargins left="0.7" right="0.7" top="0.75" bottom="0.75" header="0.3" footer="0.3"/>
      <pageSetup paperSize="9" orientation="portrait" r:id="rId3"/>
    </customSheetView>
  </customSheetViews>
  <pageMargins left="0.7" right="0.7" top="0.75" bottom="0.75" header="0.3" footer="0.3"/>
  <pageSetup paperSize="9" orientation="portrait" r:id="rId4"/>
  <drawing r:id="rId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Foglio23">
    <tabColor rgb="FFFFFFE7"/>
  </sheetPr>
  <dimension ref="A1:L222"/>
  <sheetViews>
    <sheetView showGridLines="0" zoomScale="85" zoomScaleNormal="85" workbookViewId="0"/>
  </sheetViews>
  <sheetFormatPr defaultColWidth="9.42578125" defaultRowHeight="12.75"/>
  <cols>
    <col min="1" max="1" width="19.42578125" style="731" customWidth="1"/>
    <col min="2" max="2" width="40.42578125" style="10" customWidth="1"/>
    <col min="3" max="8" width="15.5703125" style="10" customWidth="1"/>
    <col min="9" max="12" width="15.5703125" style="61" customWidth="1"/>
    <col min="13" max="14" width="15.5703125" style="10" customWidth="1"/>
    <col min="15" max="15" width="40.5703125" style="10" customWidth="1"/>
    <col min="16" max="16384" width="9.42578125" style="10"/>
  </cols>
  <sheetData>
    <row r="1" spans="1:9" s="61" customFormat="1" ht="25.35" customHeight="1">
      <c r="A1" s="1118"/>
    </row>
    <row r="2" spans="1:9" s="727" customFormat="1" ht="35.1" customHeight="1" thickBot="1">
      <c r="A2" s="1282" t="s">
        <v>30544</v>
      </c>
      <c r="B2" s="1280" t="s">
        <v>26925</v>
      </c>
      <c r="I2" s="728"/>
    </row>
    <row r="3" spans="1:9" s="61" customFormat="1" ht="25.35" customHeight="1" thickTop="1">
      <c r="A3" s="731"/>
    </row>
    <row r="4" spans="1:9" s="61" customFormat="1" ht="45" customHeight="1">
      <c r="A4" s="731"/>
      <c r="B4" s="1843" t="s">
        <v>26930</v>
      </c>
      <c r="C4" s="1844"/>
      <c r="D4" s="1844"/>
      <c r="E4" s="1844"/>
      <c r="F4" s="1844"/>
      <c r="G4" s="1844"/>
      <c r="H4" s="1845"/>
    </row>
    <row r="5" spans="1:9" s="61" customFormat="1" ht="15" customHeight="1">
      <c r="A5" s="731"/>
    </row>
    <row r="6" spans="1:9" s="61" customFormat="1" ht="15" customHeight="1">
      <c r="A6" s="731"/>
    </row>
    <row r="7" spans="1:9" s="61" customFormat="1" ht="15" customHeight="1">
      <c r="A7" s="731"/>
    </row>
    <row r="8" spans="1:9" s="61" customFormat="1" ht="15" customHeight="1">
      <c r="A8" s="731"/>
    </row>
    <row r="9" spans="1:9" s="61" customFormat="1" ht="15" customHeight="1">
      <c r="A9" s="731"/>
      <c r="B9" s="68" t="s">
        <v>26915</v>
      </c>
      <c r="C9" s="1773">
        <v>2024</v>
      </c>
      <c r="D9" s="1773">
        <v>2025</v>
      </c>
      <c r="E9" s="1771">
        <v>2026</v>
      </c>
      <c r="F9" s="1772">
        <v>2027</v>
      </c>
      <c r="G9" s="1774">
        <v>2028</v>
      </c>
      <c r="H9" s="1774">
        <v>2029</v>
      </c>
    </row>
    <row r="10" spans="1:9" s="61" customFormat="1" ht="15" customHeight="1">
      <c r="A10" s="731"/>
      <c r="B10" s="1225" t="s">
        <v>230</v>
      </c>
      <c r="C10" s="2743">
        <f>+C11+C12</f>
        <v>0</v>
      </c>
      <c r="D10" s="2743">
        <f>+D11+D12</f>
        <v>0</v>
      </c>
      <c r="E10" s="1226">
        <f t="shared" ref="E10:H10" ca="1" si="0">+E11+E12</f>
        <v>0</v>
      </c>
      <c r="F10" s="1226">
        <f t="shared" ca="1" si="0"/>
        <v>0</v>
      </c>
      <c r="G10" s="1226">
        <f t="shared" ca="1" si="0"/>
        <v>0</v>
      </c>
      <c r="H10" s="1226">
        <f t="shared" ca="1" si="0"/>
        <v>0</v>
      </c>
    </row>
    <row r="11" spans="1:9" s="61" customFormat="1" ht="15" customHeight="1">
      <c r="A11" s="731"/>
      <c r="B11" s="1158" t="s">
        <v>26886</v>
      </c>
      <c r="C11" s="1159">
        <f>+C51</f>
        <v>0</v>
      </c>
      <c r="D11" s="1159">
        <f>+D51</f>
        <v>0</v>
      </c>
      <c r="E11" s="1159">
        <f t="shared" ref="E11:H11" si="1">+E51</f>
        <v>0</v>
      </c>
      <c r="F11" s="1159">
        <f t="shared" si="1"/>
        <v>0</v>
      </c>
      <c r="G11" s="1159">
        <f t="shared" si="1"/>
        <v>0</v>
      </c>
      <c r="H11" s="1159">
        <f t="shared" si="1"/>
        <v>0</v>
      </c>
    </row>
    <row r="12" spans="1:9" s="77" customFormat="1" ht="15" customHeight="1">
      <c r="A12" s="732"/>
      <c r="B12" s="1227" t="s">
        <v>26887</v>
      </c>
      <c r="C12" s="1228">
        <f>+C150</f>
        <v>0</v>
      </c>
      <c r="D12" s="1228">
        <f>+D150</f>
        <v>0</v>
      </c>
      <c r="E12" s="1228">
        <f t="shared" ref="E12:H12" ca="1" si="2">+E150</f>
        <v>0</v>
      </c>
      <c r="F12" s="1228">
        <f t="shared" ca="1" si="2"/>
        <v>0</v>
      </c>
      <c r="G12" s="1228">
        <f t="shared" ca="1" si="2"/>
        <v>0</v>
      </c>
      <c r="H12" s="1228">
        <f t="shared" ca="1" si="2"/>
        <v>0</v>
      </c>
    </row>
    <row r="13" spans="1:9" s="61" customFormat="1" ht="15" customHeight="1">
      <c r="A13" s="731"/>
    </row>
    <row r="14" spans="1:9" s="61" customFormat="1" ht="15" customHeight="1">
      <c r="A14" s="731"/>
    </row>
    <row r="15" spans="1:9" s="61" customFormat="1" ht="15" customHeight="1">
      <c r="A15" s="731"/>
    </row>
    <row r="16" spans="1:9" s="61" customFormat="1" ht="15" customHeight="1">
      <c r="A16" s="731"/>
    </row>
    <row r="17" spans="1:8" s="61" customFormat="1" ht="15" hidden="1" customHeight="1">
      <c r="A17" s="731"/>
    </row>
    <row r="18" spans="1:8" s="61" customFormat="1" ht="15" hidden="1" customHeight="1">
      <c r="A18" s="731"/>
    </row>
    <row r="19" spans="1:8" s="61" customFormat="1" ht="15" hidden="1" customHeight="1">
      <c r="A19" s="731"/>
    </row>
    <row r="20" spans="1:8" s="61" customFormat="1" ht="15" hidden="1" customHeight="1">
      <c r="A20" s="731"/>
    </row>
    <row r="21" spans="1:8" s="61" customFormat="1" ht="15" hidden="1" customHeight="1">
      <c r="A21" s="731"/>
    </row>
    <row r="22" spans="1:8" s="61" customFormat="1" ht="15" hidden="1" customHeight="1">
      <c r="A22" s="731"/>
    </row>
    <row r="23" spans="1:8" s="61" customFormat="1" ht="15" hidden="1" customHeight="1">
      <c r="A23" s="731"/>
    </row>
    <row r="24" spans="1:8" s="61" customFormat="1" ht="15" hidden="1" customHeight="1">
      <c r="A24" s="731"/>
    </row>
    <row r="25" spans="1:8" s="61" customFormat="1" ht="15" hidden="1" customHeight="1">
      <c r="A25" s="731"/>
    </row>
    <row r="26" spans="1:8" s="61" customFormat="1" ht="15" customHeight="1">
      <c r="A26" s="731"/>
    </row>
    <row r="27" spans="1:8" s="61" customFormat="1" ht="15" customHeight="1">
      <c r="A27" s="731"/>
    </row>
    <row r="28" spans="1:8" s="61" customFormat="1" ht="15" customHeight="1">
      <c r="A28" s="731"/>
      <c r="B28" s="68" t="s">
        <v>24891</v>
      </c>
      <c r="C28" s="1773">
        <v>2024</v>
      </c>
      <c r="D28" s="1773">
        <v>2025</v>
      </c>
      <c r="E28" s="1771">
        <v>2026</v>
      </c>
      <c r="F28" s="1772">
        <v>2027</v>
      </c>
      <c r="G28" s="1774">
        <v>2028</v>
      </c>
      <c r="H28" s="1774">
        <v>2029</v>
      </c>
    </row>
    <row r="29" spans="1:8" s="61" customFormat="1" ht="15" customHeight="1">
      <c r="A29" s="731"/>
      <c r="B29" s="1229" t="s">
        <v>230</v>
      </c>
      <c r="C29" s="2588"/>
      <c r="D29" s="2588"/>
      <c r="E29" s="1230">
        <f t="shared" ref="E29:H29" ca="1" si="3">+E30+E31</f>
        <v>0</v>
      </c>
      <c r="F29" s="1230">
        <f t="shared" ca="1" si="3"/>
        <v>0</v>
      </c>
      <c r="G29" s="1230">
        <f t="shared" ca="1" si="3"/>
        <v>0</v>
      </c>
      <c r="H29" s="1230">
        <f t="shared" ca="1" si="3"/>
        <v>0</v>
      </c>
    </row>
    <row r="30" spans="1:8" s="61" customFormat="1" ht="15" customHeight="1">
      <c r="A30" s="731"/>
      <c r="B30" s="1158" t="s">
        <v>26886</v>
      </c>
      <c r="C30" s="2588"/>
      <c r="D30" s="2588"/>
      <c r="E30" s="1159">
        <f t="shared" ref="E30:H30" si="4">E49</f>
        <v>0</v>
      </c>
      <c r="F30" s="1159">
        <f t="shared" si="4"/>
        <v>0</v>
      </c>
      <c r="G30" s="1159">
        <f t="shared" si="4"/>
        <v>0</v>
      </c>
      <c r="H30" s="1159">
        <f t="shared" si="4"/>
        <v>0</v>
      </c>
    </row>
    <row r="31" spans="1:8" s="77" customFormat="1" ht="15" customHeight="1">
      <c r="A31" s="732"/>
      <c r="B31" s="1227" t="s">
        <v>26887</v>
      </c>
      <c r="C31" s="2588"/>
      <c r="D31" s="2588"/>
      <c r="E31" s="1228">
        <f t="shared" ref="E31:H31" ca="1" si="5">E148</f>
        <v>0</v>
      </c>
      <c r="F31" s="1228">
        <f t="shared" ca="1" si="5"/>
        <v>0</v>
      </c>
      <c r="G31" s="1228">
        <f t="shared" ca="1" si="5"/>
        <v>0</v>
      </c>
      <c r="H31" s="1228">
        <f t="shared" ca="1" si="5"/>
        <v>0</v>
      </c>
    </row>
    <row r="32" spans="1:8" s="61" customFormat="1" ht="15" customHeight="1">
      <c r="A32" s="731"/>
    </row>
    <row r="33" spans="1:12" s="61" customFormat="1" ht="15" customHeight="1">
      <c r="A33" s="731"/>
    </row>
    <row r="34" spans="1:12" s="61" customFormat="1" ht="15" customHeight="1">
      <c r="A34" s="731"/>
    </row>
    <row r="35" spans="1:12" s="61" customFormat="1" ht="15" customHeight="1">
      <c r="A35" s="731"/>
    </row>
    <row r="36" spans="1:12" s="61" customFormat="1" ht="15" customHeight="1">
      <c r="A36" s="731"/>
    </row>
    <row r="37" spans="1:12" s="61" customFormat="1" ht="15" customHeight="1">
      <c r="A37" s="731"/>
    </row>
    <row r="38" spans="1:12" s="61" customFormat="1" ht="15" customHeight="1">
      <c r="A38" s="731"/>
    </row>
    <row r="39" spans="1:12" ht="15" customHeight="1" thickBot="1"/>
    <row r="40" spans="1:12" s="64" customFormat="1" ht="13.5" thickTop="1">
      <c r="A40" s="1107"/>
      <c r="I40" s="1108"/>
      <c r="J40" s="1108"/>
      <c r="K40" s="1108"/>
      <c r="L40" s="1108"/>
    </row>
    <row r="41" spans="1:12" ht="36" customHeight="1">
      <c r="B41" s="1843" t="s">
        <v>26785</v>
      </c>
      <c r="C41" s="1844"/>
      <c r="D41" s="1844"/>
      <c r="E41" s="1844"/>
      <c r="F41" s="1844"/>
      <c r="G41" s="1844"/>
      <c r="H41" s="1845"/>
    </row>
    <row r="45" spans="1:12">
      <c r="C45" s="1773">
        <v>2024</v>
      </c>
      <c r="D45" s="1773">
        <v>2025</v>
      </c>
      <c r="E45" s="1771">
        <v>2026</v>
      </c>
      <c r="F45" s="1772">
        <v>2027</v>
      </c>
      <c r="G45" s="1774">
        <v>2028</v>
      </c>
      <c r="H45" s="1774">
        <v>2029</v>
      </c>
    </row>
    <row r="46" spans="1:12" ht="15" customHeight="1">
      <c r="B46" s="102" t="s">
        <v>26893</v>
      </c>
      <c r="C46" s="1088">
        <f>Dati_Anni_precedenti!E55</f>
        <v>0</v>
      </c>
      <c r="D46" s="1088">
        <f>Dati_Anni_precedenti!F55</f>
        <v>0</v>
      </c>
      <c r="E46" s="1088">
        <f t="shared" ref="E46:H46" si="6">+E64+E85+E92</f>
        <v>0</v>
      </c>
      <c r="F46" s="1088">
        <f t="shared" si="6"/>
        <v>0</v>
      </c>
      <c r="G46" s="1088">
        <f t="shared" si="6"/>
        <v>0</v>
      </c>
      <c r="H46" s="1088">
        <f t="shared" si="6"/>
        <v>0</v>
      </c>
    </row>
    <row r="47" spans="1:12" ht="15" customHeight="1">
      <c r="B47" s="102" t="s">
        <v>26894</v>
      </c>
      <c r="C47" s="1088">
        <f>Dati_Anni_precedenti!E56</f>
        <v>0</v>
      </c>
      <c r="D47" s="1088">
        <f>Dati_Anni_precedenti!F56</f>
        <v>0</v>
      </c>
      <c r="E47" s="1088">
        <f t="shared" ref="E47:H47" si="7">+E105+E126+E133</f>
        <v>0</v>
      </c>
      <c r="F47" s="1088">
        <f t="shared" si="7"/>
        <v>0</v>
      </c>
      <c r="G47" s="1088">
        <f t="shared" si="7"/>
        <v>0</v>
      </c>
      <c r="H47" s="1088">
        <f t="shared" si="7"/>
        <v>0</v>
      </c>
    </row>
    <row r="48" spans="1:12" ht="15" customHeight="1">
      <c r="B48" s="731"/>
      <c r="C48" s="731"/>
      <c r="D48" s="731"/>
      <c r="E48" s="731"/>
      <c r="F48" s="731"/>
      <c r="G48" s="731"/>
      <c r="H48" s="731"/>
    </row>
    <row r="49" spans="1:11" ht="15" customHeight="1">
      <c r="B49" s="102" t="s">
        <v>26895</v>
      </c>
      <c r="C49" s="2588"/>
      <c r="D49" s="2588"/>
      <c r="E49" s="1088">
        <f t="shared" ref="E49:H49" si="8">+E46+E47</f>
        <v>0</v>
      </c>
      <c r="F49" s="1088">
        <f t="shared" si="8"/>
        <v>0</v>
      </c>
      <c r="G49" s="1088">
        <f t="shared" si="8"/>
        <v>0</v>
      </c>
      <c r="H49" s="1088">
        <f t="shared" si="8"/>
        <v>0</v>
      </c>
    </row>
    <row r="50" spans="1:11" ht="15" customHeight="1">
      <c r="B50" s="102" t="s">
        <v>28821</v>
      </c>
      <c r="C50" s="2588"/>
      <c r="D50" s="2588"/>
      <c r="E50" s="1088">
        <f>+Input_per_calcoli_finali!K161</f>
        <v>0</v>
      </c>
      <c r="F50" s="1088">
        <f>+Input_per_calcoli_finali!L161</f>
        <v>0</v>
      </c>
      <c r="G50" s="1088">
        <f>+Input_per_calcoli_finali!M161</f>
        <v>0</v>
      </c>
      <c r="H50" s="1088">
        <f>+Input_per_calcoli_finali!N161</f>
        <v>0</v>
      </c>
    </row>
    <row r="51" spans="1:11" ht="15" customHeight="1">
      <c r="B51" s="1179" t="s">
        <v>26896</v>
      </c>
      <c r="C51" s="2743">
        <f>+C46+C47</f>
        <v>0</v>
      </c>
      <c r="D51" s="2743">
        <f>+D46+D47</f>
        <v>0</v>
      </c>
      <c r="E51" s="1180">
        <f>+E49-E50</f>
        <v>0</v>
      </c>
      <c r="F51" s="1180">
        <f>+F49-F50</f>
        <v>0</v>
      </c>
      <c r="G51" s="1180">
        <f>+G46+G47</f>
        <v>0</v>
      </c>
      <c r="H51" s="1180">
        <f>+H46+H47</f>
        <v>0</v>
      </c>
    </row>
    <row r="55" spans="1:11" s="727" customFormat="1" ht="16.5" thickBot="1">
      <c r="A55" s="725" t="s">
        <v>30567</v>
      </c>
      <c r="B55" s="729" t="s">
        <v>26788</v>
      </c>
    </row>
    <row r="56" spans="1:11" s="61" customFormat="1" ht="13.5" thickTop="1">
      <c r="A56" s="876"/>
      <c r="B56" s="1113"/>
    </row>
    <row r="57" spans="1:11" s="61" customFormat="1">
      <c r="A57" s="876"/>
      <c r="B57" s="1113"/>
    </row>
    <row r="58" spans="1:11" s="61" customFormat="1">
      <c r="A58" s="876"/>
      <c r="B58" s="1113"/>
    </row>
    <row r="59" spans="1:11" s="61" customFormat="1" ht="15" customHeight="1">
      <c r="A59" s="731"/>
      <c r="C59" s="1773">
        <v>2024</v>
      </c>
      <c r="D59" s="1773">
        <v>2025</v>
      </c>
      <c r="E59" s="1771">
        <v>2026</v>
      </c>
      <c r="F59" s="1772">
        <v>2027</v>
      </c>
      <c r="G59" s="1774">
        <v>2028</v>
      </c>
      <c r="H59" s="1774">
        <v>2029</v>
      </c>
    </row>
    <row r="60" spans="1:11">
      <c r="B60" s="1325" t="s">
        <v>30435</v>
      </c>
      <c r="C60" s="2588"/>
      <c r="D60" s="2588"/>
      <c r="E60" s="46" t="str">
        <f>+IF(Nuovi_Investimenti!D11&lt;&gt;"",Nuovi_Investimenti!D11,"")</f>
        <v/>
      </c>
      <c r="F60" s="46" t="str">
        <f>+IF(Nuovi_Investimenti!E11&lt;&gt;"",Nuovi_Investimenti!E11,"")</f>
        <v/>
      </c>
      <c r="G60" s="46" t="str">
        <f>+IF(Nuovi_Investimenti!F11&lt;&gt;"",Nuovi_Investimenti!F11,"")</f>
        <v/>
      </c>
      <c r="H60" s="46" t="str">
        <f>+IF(Nuovi_Investimenti!G11&lt;&gt;"",Nuovi_Investimenti!G11,"")</f>
        <v/>
      </c>
      <c r="I60" s="731"/>
      <c r="J60" s="731"/>
      <c r="K60" s="731"/>
    </row>
    <row r="61" spans="1:11" ht="15.75">
      <c r="B61" s="1792" t="s">
        <v>30429</v>
      </c>
      <c r="C61" s="2588"/>
      <c r="D61" s="2588"/>
      <c r="E61" s="42" t="str">
        <f>+IFERROR(IF(E60&gt;=0,E60*Capex!E46),"")</f>
        <v/>
      </c>
      <c r="F61" s="42" t="str">
        <f>+IFERROR(IF(F60&gt;=0,F60*Capex!F46),"")</f>
        <v/>
      </c>
      <c r="G61" s="42" t="str">
        <f>+IFERROR(IF(G60&gt;=0,G60*Capex!G46),"")</f>
        <v/>
      </c>
      <c r="H61" s="42" t="str">
        <f>+IFERROR(IF(H60&gt;=0,H60*Capex!H46),"")</f>
        <v/>
      </c>
      <c r="I61" s="731"/>
      <c r="J61" s="731"/>
      <c r="K61" s="731"/>
    </row>
    <row r="62" spans="1:11" ht="15.75">
      <c r="B62" s="1792" t="s">
        <v>30428</v>
      </c>
      <c r="C62" s="2588"/>
      <c r="D62" s="2588"/>
      <c r="E62" s="42">
        <f>+TT_riepilogo_IMN!G45</f>
        <v>0</v>
      </c>
      <c r="F62" s="42">
        <f>+TT_riepilogo_IMN!H45</f>
        <v>0</v>
      </c>
      <c r="G62" s="42">
        <f>+TT_riepilogo_IMN!I45</f>
        <v>0</v>
      </c>
      <c r="H62" s="42">
        <f>+TT_riepilogo_IMN!J45</f>
        <v>0</v>
      </c>
      <c r="I62" s="731"/>
      <c r="J62" s="731"/>
      <c r="K62" s="731"/>
    </row>
    <row r="63" spans="1:11">
      <c r="B63" s="731"/>
      <c r="C63" s="731"/>
      <c r="D63" s="731"/>
      <c r="E63" s="731"/>
      <c r="F63" s="731"/>
      <c r="G63" s="731"/>
      <c r="H63" s="731"/>
      <c r="I63" s="731"/>
      <c r="J63" s="731"/>
      <c r="K63" s="731"/>
    </row>
    <row r="64" spans="1:11" ht="15.75">
      <c r="B64" s="1173" t="s">
        <v>26783</v>
      </c>
      <c r="C64" s="2588"/>
      <c r="D64" s="2588"/>
      <c r="E64" s="1174">
        <f t="shared" ref="E64:H64" si="9">+IF(E60&lt;&gt;"",E61,E62)</f>
        <v>0</v>
      </c>
      <c r="F64" s="1174">
        <f t="shared" si="9"/>
        <v>0</v>
      </c>
      <c r="G64" s="1174">
        <f t="shared" si="9"/>
        <v>0</v>
      </c>
      <c r="H64" s="1174">
        <f t="shared" si="9"/>
        <v>0</v>
      </c>
      <c r="K64" s="1235"/>
    </row>
    <row r="65" spans="2:11">
      <c r="B65" s="731"/>
      <c r="C65" s="731"/>
      <c r="D65" s="731"/>
      <c r="E65" s="731"/>
      <c r="F65" s="731"/>
      <c r="G65" s="731"/>
      <c r="H65" s="731"/>
      <c r="I65" s="731"/>
      <c r="J65" s="731"/>
      <c r="K65" s="1790"/>
    </row>
    <row r="66" spans="2:11" ht="15">
      <c r="B66" s="731"/>
      <c r="C66" s="731"/>
      <c r="D66" s="731"/>
      <c r="E66" s="731"/>
      <c r="F66" s="731"/>
      <c r="G66" s="731"/>
      <c r="H66" s="731"/>
      <c r="I66" s="731"/>
      <c r="J66" s="731"/>
      <c r="K66" s="1081"/>
    </row>
    <row r="67" spans="2:11" ht="15.75">
      <c r="B67" s="1330" t="s">
        <v>26758</v>
      </c>
      <c r="C67" s="2588"/>
      <c r="D67" s="2588"/>
      <c r="E67" s="42">
        <f>'PdI-riepilogo'!E145</f>
        <v>0</v>
      </c>
      <c r="F67" s="42">
        <f>'PdI-riepilogo'!F145</f>
        <v>0</v>
      </c>
      <c r="G67" s="42">
        <f>'PdI-riepilogo'!G145</f>
        <v>0</v>
      </c>
      <c r="H67" s="42">
        <f>'PdI-riepilogo'!H145</f>
        <v>0</v>
      </c>
      <c r="I67"/>
      <c r="J67" s="731"/>
      <c r="K67" s="1081"/>
    </row>
    <row r="68" spans="2:11" ht="15.75">
      <c r="B68" s="1330" t="s">
        <v>26759</v>
      </c>
      <c r="C68" s="2588"/>
      <c r="D68" s="2588"/>
      <c r="E68" s="42">
        <f>'PdI-riepilogo'!E149</f>
        <v>0</v>
      </c>
      <c r="F68" s="42">
        <f>'PdI-riepilogo'!F149</f>
        <v>0</v>
      </c>
      <c r="G68" s="42">
        <f>'PdI-riepilogo'!G149</f>
        <v>0</v>
      </c>
      <c r="H68" s="42">
        <f>'PdI-riepilogo'!H149</f>
        <v>0</v>
      </c>
      <c r="I68"/>
      <c r="J68" s="731"/>
      <c r="K68" s="1081"/>
    </row>
    <row r="69" spans="2:11" ht="15">
      <c r="B69" s="731"/>
      <c r="C69" s="731"/>
      <c r="D69" s="731"/>
      <c r="E69" s="731"/>
      <c r="F69" s="731"/>
      <c r="G69" s="731"/>
      <c r="H69" s="731"/>
      <c r="I69" s="731"/>
      <c r="J69" s="731"/>
      <c r="K69" s="1081"/>
    </row>
    <row r="70" spans="2:11" ht="15">
      <c r="B70" s="731"/>
      <c r="C70" s="731"/>
      <c r="D70" s="731"/>
      <c r="E70" s="731"/>
      <c r="F70" s="731"/>
      <c r="G70" s="731"/>
      <c r="H70" s="731"/>
      <c r="I70" s="731"/>
      <c r="J70" s="731"/>
      <c r="K70" s="1081"/>
    </row>
    <row r="71" spans="2:11" ht="15">
      <c r="B71" s="731"/>
      <c r="C71" s="731"/>
      <c r="D71" s="731"/>
      <c r="E71" s="731"/>
      <c r="F71" s="731"/>
      <c r="G71" s="731"/>
      <c r="H71" s="731"/>
      <c r="I71" s="731"/>
      <c r="J71" s="731"/>
      <c r="K71" s="1081"/>
    </row>
    <row r="72" spans="2:11" ht="15">
      <c r="B72" s="731"/>
      <c r="C72" s="1773">
        <v>2024</v>
      </c>
      <c r="D72" s="1773">
        <v>2025</v>
      </c>
      <c r="E72" s="1771">
        <v>2026</v>
      </c>
      <c r="F72" s="1772">
        <v>2027</v>
      </c>
      <c r="G72" s="1774">
        <v>2028</v>
      </c>
      <c r="H72" s="1774">
        <v>2029</v>
      </c>
      <c r="I72" s="731"/>
      <c r="J72" s="731"/>
      <c r="K72" s="1081"/>
    </row>
    <row r="73" spans="2:11" ht="15" customHeight="1">
      <c r="B73" s="1103" t="s">
        <v>26778</v>
      </c>
      <c r="C73" s="2588"/>
      <c r="D73" s="2588"/>
      <c r="E73" s="42">
        <f>+MAX(TT_riepilogo_IMN!G44,0)+E67+E68</f>
        <v>0</v>
      </c>
      <c r="F73" s="42">
        <f>+MAX(TT_riepilogo_IMN!H44,0)+F67+F68</f>
        <v>0</v>
      </c>
      <c r="G73" s="42">
        <f>+MAX(TT_riepilogo_IMN!I44,0)+G67+G68</f>
        <v>0</v>
      </c>
      <c r="H73" s="42">
        <f>+MAX(TT_riepilogo_IMN!J44,0)+H67+H68</f>
        <v>0</v>
      </c>
      <c r="I73"/>
      <c r="K73" s="1235"/>
    </row>
    <row r="74" spans="2:11" ht="15.75">
      <c r="B74" s="39" t="s">
        <v>31250</v>
      </c>
      <c r="C74" s="2588"/>
      <c r="D74" s="2588"/>
      <c r="E74" s="1102">
        <f t="shared" ref="E74:H74" si="10">+IFERROR(E81/(E73-E67),0)</f>
        <v>0</v>
      </c>
      <c r="F74" s="1102">
        <f t="shared" si="10"/>
        <v>0</v>
      </c>
      <c r="G74" s="1102">
        <f t="shared" si="10"/>
        <v>0</v>
      </c>
      <c r="H74" s="1102">
        <f t="shared" si="10"/>
        <v>0</v>
      </c>
      <c r="I74"/>
    </row>
    <row r="75" spans="2:11" ht="15.75">
      <c r="B75" s="1329" t="s">
        <v>22727</v>
      </c>
      <c r="C75" s="2588"/>
      <c r="D75" s="2588"/>
      <c r="E75" s="46">
        <f>Capex!$E$61</f>
        <v>3.1050000000000001E-2</v>
      </c>
      <c r="F75" s="46">
        <f>Capex!$F$61</f>
        <v>3.1050000000000001E-2</v>
      </c>
      <c r="G75" s="46">
        <f>+Capex!$G$61</f>
        <v>3.1050000000000001E-2</v>
      </c>
      <c r="H75" s="46">
        <f>+Capex!$H$61</f>
        <v>3.1050000000000001E-2</v>
      </c>
    </row>
    <row r="76" spans="2:11">
      <c r="B76" s="1329" t="s">
        <v>22705</v>
      </c>
      <c r="C76" s="2588"/>
      <c r="D76" s="2588"/>
      <c r="E76" s="46">
        <f>Capex!$E$62</f>
        <v>1.2245000000000001E-2</v>
      </c>
      <c r="F76" s="46">
        <f>Capex!$F$62</f>
        <v>1.2245000000000001E-2</v>
      </c>
      <c r="G76" s="46">
        <f>+Capex!$G$62</f>
        <v>1.2245000000000001E-2</v>
      </c>
      <c r="H76" s="46">
        <f>+Capex!$H$62</f>
        <v>1.2245000000000001E-2</v>
      </c>
    </row>
    <row r="77" spans="2:11">
      <c r="I77" s="10"/>
      <c r="K77" s="1235"/>
    </row>
    <row r="78" spans="2:11" ht="15" customHeight="1">
      <c r="B78" s="1103" t="s">
        <v>26781</v>
      </c>
      <c r="C78" s="2588"/>
      <c r="D78" s="2588"/>
      <c r="E78" s="1104">
        <f>Capex!$M$62*(TT_riepilogo_IMN!G68-TT_riepilogo_IMN!G72)</f>
        <v>0</v>
      </c>
      <c r="F78" s="1104">
        <f>Capex!$M$62*(TT_riepilogo_IMN!H68-TT_riepilogo_IMN!H72)</f>
        <v>0</v>
      </c>
      <c r="G78" s="1104">
        <f>Capex!$M$62*(TT_riepilogo_IMN!I68-TT_riepilogo_IMN!I72)</f>
        <v>0</v>
      </c>
      <c r="H78" s="1104">
        <f>Capex!$M$62*(TT_riepilogo_IMN!J68-TT_riepilogo_IMN!J72)</f>
        <v>0</v>
      </c>
    </row>
    <row r="79" spans="2:11" ht="15" customHeight="1">
      <c r="B79" s="1089" t="s">
        <v>31251</v>
      </c>
      <c r="C79" s="2588"/>
      <c r="D79" s="2588"/>
      <c r="E79" s="1104">
        <f t="shared" ref="E79:H79" si="11">+(E75+E76)*(1-E74)*(E73-E67)</f>
        <v>0</v>
      </c>
      <c r="F79" s="1104">
        <f t="shared" si="11"/>
        <v>0</v>
      </c>
      <c r="G79" s="1104">
        <f t="shared" si="11"/>
        <v>0</v>
      </c>
      <c r="H79" s="1104">
        <f t="shared" si="11"/>
        <v>0</v>
      </c>
      <c r="I79"/>
    </row>
    <row r="80" spans="2:11" ht="15.75">
      <c r="B80" s="1089" t="s">
        <v>31252</v>
      </c>
      <c r="C80" s="2588"/>
      <c r="D80" s="2588"/>
      <c r="E80" s="1104">
        <f>'PdI-riepilogo'!E141</f>
        <v>0</v>
      </c>
      <c r="F80" s="1104">
        <f>'PdI-riepilogo'!F141</f>
        <v>0</v>
      </c>
      <c r="G80" s="1104">
        <f>'PdI-riepilogo'!G141</f>
        <v>0</v>
      </c>
      <c r="H80" s="1104">
        <f>'PdI-riepilogo'!H141</f>
        <v>0</v>
      </c>
      <c r="I80"/>
      <c r="J80"/>
      <c r="K80" s="1235"/>
    </row>
    <row r="81" spans="1:11" ht="15" customHeight="1">
      <c r="B81" s="1103" t="s">
        <v>26775</v>
      </c>
      <c r="C81" s="2588"/>
      <c r="D81" s="2588"/>
      <c r="E81" s="1608">
        <f>+MAX(TT_riepilogo_IMN!G48,0)</f>
        <v>0</v>
      </c>
      <c r="F81" s="1608">
        <f>+MAX(TT_riepilogo_IMN!H48,0)</f>
        <v>0</v>
      </c>
      <c r="G81" s="1608">
        <f>+MAX(TT_riepilogo_IMN!I48,0)</f>
        <v>0</v>
      </c>
      <c r="H81" s="1608">
        <f>+MAX(TT_riepilogo_IMN!J48,0)</f>
        <v>0</v>
      </c>
      <c r="K81" s="1235"/>
    </row>
    <row r="82" spans="1:11" ht="15" customHeight="1">
      <c r="B82" s="731"/>
      <c r="C82" s="731"/>
      <c r="D82" s="731"/>
      <c r="E82" s="731"/>
      <c r="F82" s="731"/>
      <c r="G82" s="731"/>
      <c r="H82" s="731"/>
      <c r="I82" s="731"/>
      <c r="J82" s="731"/>
      <c r="K82" s="731"/>
    </row>
    <row r="83" spans="1:11" ht="15" customHeight="1">
      <c r="B83" s="1103" t="s">
        <v>30422</v>
      </c>
      <c r="C83" s="2588"/>
      <c r="D83" s="2588"/>
      <c r="E83" s="41" t="str">
        <f>+IFERROR(IF(E60&gt;=0,E60*Capex!E69),"")</f>
        <v/>
      </c>
      <c r="F83" s="41" t="str">
        <f>+IFERROR(IF(F60&gt;=0,F60*Capex!F69),"")</f>
        <v/>
      </c>
      <c r="G83" s="41" t="str">
        <f>+IFERROR(IF(G60&gt;=0,G60*Capex!G69),"")</f>
        <v/>
      </c>
      <c r="H83" s="41" t="str">
        <f>+IFERROR(IF(H60&gt;=0,H60*Capex!H69),"")</f>
        <v/>
      </c>
      <c r="I83" s="731"/>
      <c r="J83" s="731"/>
      <c r="K83" s="731"/>
    </row>
    <row r="84" spans="1:11" ht="15" customHeight="1">
      <c r="B84" s="1103" t="s">
        <v>30423</v>
      </c>
      <c r="C84" s="2588"/>
      <c r="D84" s="2588"/>
      <c r="E84" s="41">
        <f t="shared" ref="E84:H84" si="12">+E78+E79+E80</f>
        <v>0</v>
      </c>
      <c r="F84" s="41">
        <f t="shared" si="12"/>
        <v>0</v>
      </c>
      <c r="G84" s="41">
        <f t="shared" si="12"/>
        <v>0</v>
      </c>
      <c r="H84" s="41">
        <f t="shared" si="12"/>
        <v>0</v>
      </c>
      <c r="I84"/>
      <c r="J84" s="731"/>
      <c r="K84" s="731"/>
    </row>
    <row r="85" spans="1:11" ht="15" customHeight="1">
      <c r="B85" s="887" t="s">
        <v>26779</v>
      </c>
      <c r="C85" s="2588"/>
      <c r="D85" s="2588"/>
      <c r="E85" s="1174">
        <f t="shared" ref="E85:H85" si="13">+IF(E60&lt;&gt;"",E83,E84)</f>
        <v>0</v>
      </c>
      <c r="F85" s="1174">
        <f t="shared" si="13"/>
        <v>0</v>
      </c>
      <c r="G85" s="1174">
        <f t="shared" si="13"/>
        <v>0</v>
      </c>
      <c r="H85" s="1174">
        <f t="shared" si="13"/>
        <v>0</v>
      </c>
    </row>
    <row r="86" spans="1:11" ht="15" customHeight="1">
      <c r="B86" s="731"/>
      <c r="C86" s="731"/>
      <c r="D86" s="731"/>
      <c r="E86" s="731"/>
      <c r="F86" s="731"/>
      <c r="G86" s="731"/>
      <c r="H86" s="731"/>
      <c r="I86" s="731"/>
    </row>
    <row r="87" spans="1:11" ht="15" customHeight="1">
      <c r="B87" s="1325" t="s">
        <v>24804</v>
      </c>
      <c r="C87" s="2588"/>
      <c r="D87" s="2588"/>
      <c r="E87" s="46">
        <f>Capex!$E$75</f>
        <v>7.230982118024798E-2</v>
      </c>
      <c r="F87" s="46">
        <f>Capex!$F$75</f>
        <v>7.230982118024798E-2</v>
      </c>
      <c r="G87" s="46">
        <f>+Capex!$G$75</f>
        <v>7.230982118024798E-2</v>
      </c>
      <c r="H87" s="46">
        <f>+Capex!$H$75</f>
        <v>7.230982118024798E-2</v>
      </c>
    </row>
    <row r="88" spans="1:11" ht="15" customHeight="1">
      <c r="B88" s="39" t="s">
        <v>26773</v>
      </c>
      <c r="C88" s="2588"/>
      <c r="D88" s="2588"/>
      <c r="E88" s="42">
        <f t="shared" ref="E88:H88" si="14">+(E73-E81)*E87</f>
        <v>0</v>
      </c>
      <c r="F88" s="42">
        <f t="shared" si="14"/>
        <v>0</v>
      </c>
      <c r="G88" s="42">
        <f t="shared" si="14"/>
        <v>0</v>
      </c>
      <c r="H88" s="42">
        <f t="shared" si="14"/>
        <v>0</v>
      </c>
    </row>
    <row r="90" spans="1:11" ht="15" customHeight="1">
      <c r="B90" s="1103" t="s">
        <v>30426</v>
      </c>
      <c r="C90" s="2588"/>
      <c r="D90" s="2588"/>
      <c r="E90" s="41" t="str">
        <f>+IFERROR(IF(E60&gt;=0,E60*Capex!E77),"")</f>
        <v/>
      </c>
      <c r="F90" s="41" t="str">
        <f>+IFERROR(IF(F60&gt;=0,F60*Capex!F77),"")</f>
        <v/>
      </c>
      <c r="G90" s="41" t="str">
        <f>+IFERROR(IF(G60&gt;=0,G60*Capex!G77),"")</f>
        <v/>
      </c>
      <c r="H90" s="41" t="str">
        <f>+IFERROR(IF(H60&gt;=0,H60*Capex!H77),"")</f>
        <v/>
      </c>
    </row>
    <row r="91" spans="1:11" ht="15" customHeight="1">
      <c r="B91" s="1103" t="s">
        <v>30427</v>
      </c>
      <c r="C91" s="2588"/>
      <c r="D91" s="2588"/>
      <c r="E91" s="1791">
        <f>+MAX(Capex!$M$60*E88,0)</f>
        <v>0</v>
      </c>
      <c r="F91" s="1791">
        <f>+MAX(Capex!$M$60*F88,0)</f>
        <v>0</v>
      </c>
      <c r="G91" s="1791">
        <f>+MAX(Capex!$M$60*G88,0)</f>
        <v>0</v>
      </c>
      <c r="H91" s="1791">
        <f>+MAX(Capex!$M$60*H88,0)</f>
        <v>0</v>
      </c>
    </row>
    <row r="92" spans="1:11" ht="15" customHeight="1">
      <c r="B92" s="887" t="s">
        <v>26771</v>
      </c>
      <c r="C92" s="2588"/>
      <c r="D92" s="2588"/>
      <c r="E92" s="1174">
        <f t="shared" ref="E92:H92" si="15">+IF(E60&lt;&gt;"",E90,E91)</f>
        <v>0</v>
      </c>
      <c r="F92" s="1174">
        <f t="shared" si="15"/>
        <v>0</v>
      </c>
      <c r="G92" s="1174">
        <f t="shared" si="15"/>
        <v>0</v>
      </c>
      <c r="H92" s="1174">
        <f t="shared" si="15"/>
        <v>0</v>
      </c>
    </row>
    <row r="96" spans="1:11" s="727" customFormat="1" ht="16.5" thickBot="1">
      <c r="A96" s="725" t="s">
        <v>30567</v>
      </c>
      <c r="B96" s="729" t="s">
        <v>26789</v>
      </c>
    </row>
    <row r="97" spans="1:11" s="61" customFormat="1" ht="13.5" thickTop="1">
      <c r="A97" s="876"/>
      <c r="B97" s="1113"/>
    </row>
    <row r="98" spans="1:11" s="61" customFormat="1">
      <c r="A98" s="876"/>
      <c r="B98" s="1113"/>
    </row>
    <row r="99" spans="1:11" s="61" customFormat="1">
      <c r="A99" s="876"/>
      <c r="B99" s="1113"/>
    </row>
    <row r="100" spans="1:11" s="61" customFormat="1" ht="15" customHeight="1">
      <c r="A100" s="731"/>
      <c r="C100" s="1773">
        <v>2024</v>
      </c>
      <c r="D100" s="1773">
        <v>2025</v>
      </c>
      <c r="E100" s="1771">
        <v>2026</v>
      </c>
      <c r="F100" s="1772">
        <v>2027</v>
      </c>
      <c r="G100" s="1774">
        <v>2028</v>
      </c>
      <c r="H100" s="1774">
        <v>2029</v>
      </c>
    </row>
    <row r="101" spans="1:11">
      <c r="B101" s="1325" t="s">
        <v>30436</v>
      </c>
      <c r="C101" s="2588"/>
      <c r="D101" s="2588"/>
      <c r="E101" s="46" t="str">
        <f>+IF(Nuovi_Investimenti!D12&lt;&gt;"",Nuovi_Investimenti!D12,"")</f>
        <v/>
      </c>
      <c r="F101" s="46" t="str">
        <f>+IF(Nuovi_Investimenti!E12&lt;&gt;"",Nuovi_Investimenti!E12,"")</f>
        <v/>
      </c>
      <c r="G101" s="46" t="str">
        <f>+IF(Nuovi_Investimenti!F12&lt;&gt;"",Nuovi_Investimenti!F12,"")</f>
        <v/>
      </c>
      <c r="H101" s="46" t="str">
        <f>+IF(Nuovi_Investimenti!G12&lt;&gt;"",Nuovi_Investimenti!G12,"")</f>
        <v/>
      </c>
    </row>
    <row r="102" spans="1:11" ht="15.75">
      <c r="B102" s="1792" t="s">
        <v>30430</v>
      </c>
      <c r="C102" s="2588"/>
      <c r="D102" s="2588"/>
      <c r="E102" s="1088" t="str">
        <f>+IFERROR(IF(E101&gt;=0,E101*Capex!E46),"")</f>
        <v/>
      </c>
      <c r="F102" s="1088" t="str">
        <f>+IFERROR(IF(F101&gt;=0,F101*Capex!F46),"")</f>
        <v/>
      </c>
      <c r="G102" s="1088" t="str">
        <f>+IFERROR(IF(G101&gt;=0,G101*Capex!G46),"")</f>
        <v/>
      </c>
      <c r="H102" s="1088" t="str">
        <f>+IFERROR(IF(H101&gt;=0,H101*Capex!H46),"")</f>
        <v/>
      </c>
    </row>
    <row r="103" spans="1:11" ht="15.75">
      <c r="B103" s="1792" t="s">
        <v>30431</v>
      </c>
      <c r="C103" s="2588"/>
      <c r="D103" s="2588"/>
      <c r="E103" s="1088">
        <f>+TT_riepilogo_IMN!G57</f>
        <v>0</v>
      </c>
      <c r="F103" s="1088">
        <f>+TT_riepilogo_IMN!H57</f>
        <v>0</v>
      </c>
      <c r="G103" s="1088">
        <f>+TT_riepilogo_IMN!I57</f>
        <v>0</v>
      </c>
      <c r="H103" s="1088">
        <f>+TT_riepilogo_IMN!J57</f>
        <v>0</v>
      </c>
    </row>
    <row r="104" spans="1:11">
      <c r="B104" s="731"/>
      <c r="C104" s="731"/>
      <c r="D104" s="731"/>
      <c r="E104" s="731"/>
      <c r="F104" s="731"/>
      <c r="G104" s="731"/>
      <c r="H104" s="731"/>
    </row>
    <row r="105" spans="1:11" ht="15.75">
      <c r="B105" s="1173" t="s">
        <v>26784</v>
      </c>
      <c r="C105" s="2588"/>
      <c r="D105" s="2588"/>
      <c r="E105" s="1174">
        <f t="shared" ref="E105:H105" si="16">+IF(E101&lt;&gt;"",E102,E103)</f>
        <v>0</v>
      </c>
      <c r="F105" s="1174">
        <f t="shared" si="16"/>
        <v>0</v>
      </c>
      <c r="G105" s="1174">
        <f t="shared" si="16"/>
        <v>0</v>
      </c>
      <c r="H105" s="1174">
        <f t="shared" si="16"/>
        <v>0</v>
      </c>
      <c r="I105" s="731"/>
    </row>
    <row r="106" spans="1:11">
      <c r="B106" s="731"/>
      <c r="C106" s="731"/>
      <c r="D106" s="731"/>
      <c r="E106" s="731"/>
      <c r="F106" s="731"/>
      <c r="G106" s="731"/>
      <c r="H106" s="731"/>
      <c r="I106" s="731"/>
      <c r="J106" s="731"/>
      <c r="K106" s="731"/>
    </row>
    <row r="107" spans="1:11">
      <c r="B107" s="731"/>
      <c r="C107" s="731"/>
      <c r="D107" s="731"/>
      <c r="E107" s="731"/>
      <c r="F107" s="731"/>
      <c r="G107" s="731"/>
      <c r="H107" s="731"/>
      <c r="I107" s="731"/>
      <c r="J107" s="731"/>
      <c r="K107" s="731"/>
    </row>
    <row r="108" spans="1:11" ht="15.75">
      <c r="B108" s="1330" t="s">
        <v>26758</v>
      </c>
      <c r="C108" s="2588"/>
      <c r="D108" s="2588"/>
      <c r="E108" s="42">
        <f>'PdI-riepilogo'!E144</f>
        <v>0</v>
      </c>
      <c r="F108" s="42">
        <f>'PdI-riepilogo'!F144</f>
        <v>0</v>
      </c>
      <c r="G108" s="42">
        <f>'PdI-riepilogo'!G144</f>
        <v>0</v>
      </c>
      <c r="H108" s="42">
        <f>'PdI-riepilogo'!H144</f>
        <v>0</v>
      </c>
      <c r="I108"/>
      <c r="J108" s="731"/>
      <c r="K108" s="1081"/>
    </row>
    <row r="109" spans="1:11" ht="15.75">
      <c r="B109" s="1330" t="s">
        <v>26759</v>
      </c>
      <c r="C109" s="2588"/>
      <c r="D109" s="2588"/>
      <c r="E109" s="42">
        <f>'PdI-riepilogo'!E148</f>
        <v>0</v>
      </c>
      <c r="F109" s="42">
        <f>'PdI-riepilogo'!F148</f>
        <v>0</v>
      </c>
      <c r="G109" s="42">
        <f>'PdI-riepilogo'!G148</f>
        <v>0</v>
      </c>
      <c r="H109" s="42">
        <f>'PdI-riepilogo'!H148</f>
        <v>0</v>
      </c>
      <c r="I109"/>
      <c r="J109" s="731"/>
      <c r="K109" s="1081"/>
    </row>
    <row r="110" spans="1:11">
      <c r="B110" s="731"/>
      <c r="C110" s="731"/>
      <c r="D110" s="731"/>
      <c r="E110" s="731"/>
      <c r="F110" s="731"/>
      <c r="G110" s="731"/>
      <c r="H110" s="731"/>
      <c r="I110" s="731"/>
      <c r="J110" s="731"/>
      <c r="K110" s="731"/>
    </row>
    <row r="111" spans="1:11">
      <c r="B111" s="731"/>
      <c r="C111" s="731"/>
      <c r="D111" s="731"/>
      <c r="E111" s="731"/>
      <c r="F111" s="731"/>
      <c r="G111" s="731"/>
      <c r="H111" s="731"/>
      <c r="I111" s="731"/>
      <c r="J111" s="731"/>
      <c r="K111" s="731"/>
    </row>
    <row r="112" spans="1:11">
      <c r="B112" s="731"/>
      <c r="C112" s="731"/>
      <c r="D112" s="731"/>
      <c r="E112" s="731"/>
      <c r="F112" s="731"/>
      <c r="G112" s="731"/>
      <c r="H112" s="731"/>
      <c r="I112" s="731"/>
      <c r="J112" s="731"/>
      <c r="K112" s="731"/>
    </row>
    <row r="113" spans="2:11">
      <c r="B113" s="731"/>
      <c r="C113" s="1773">
        <v>2024</v>
      </c>
      <c r="D113" s="1773">
        <v>2025</v>
      </c>
      <c r="E113" s="1771">
        <v>2026</v>
      </c>
      <c r="F113" s="1772">
        <v>2027</v>
      </c>
      <c r="G113" s="1774">
        <v>2028</v>
      </c>
      <c r="H113" s="1774">
        <v>2029</v>
      </c>
      <c r="I113" s="731"/>
      <c r="J113" s="731"/>
      <c r="K113" s="731"/>
    </row>
    <row r="114" spans="2:11" ht="15" customHeight="1">
      <c r="B114" s="1103" t="s">
        <v>26777</v>
      </c>
      <c r="C114" s="2588"/>
      <c r="D114" s="2588"/>
      <c r="E114" s="1324">
        <f>+MAX(TT_riepilogo_IMN!G56,0)+E108+E109</f>
        <v>0</v>
      </c>
      <c r="F114" s="1324">
        <f>+MAX(TT_riepilogo_IMN!H56,0)+F108+F109</f>
        <v>0</v>
      </c>
      <c r="G114" s="1324">
        <f>+MAX(TT_riepilogo_IMN!I56,0)+G108+G109</f>
        <v>0</v>
      </c>
      <c r="H114" s="1324">
        <f>+MAX(TT_riepilogo_IMN!J56,0)+H108+H109</f>
        <v>0</v>
      </c>
      <c r="I114"/>
    </row>
    <row r="115" spans="2:11" ht="15.75">
      <c r="B115" s="39" t="s">
        <v>31253</v>
      </c>
      <c r="C115" s="2588"/>
      <c r="D115" s="2588"/>
      <c r="E115" s="1102">
        <f t="shared" ref="E115:H115" si="17">+IFERROR(E122/(E114-E108),0)</f>
        <v>0</v>
      </c>
      <c r="F115" s="1102">
        <f t="shared" si="17"/>
        <v>0</v>
      </c>
      <c r="G115" s="1102">
        <f t="shared" si="17"/>
        <v>0</v>
      </c>
      <c r="H115" s="1102">
        <f t="shared" si="17"/>
        <v>0</v>
      </c>
      <c r="I115"/>
    </row>
    <row r="116" spans="2:11" ht="15.75">
      <c r="B116" s="39" t="s">
        <v>22727</v>
      </c>
      <c r="C116" s="2588"/>
      <c r="D116" s="2588"/>
      <c r="E116" s="46">
        <f>Capex!$E$61</f>
        <v>3.1050000000000001E-2</v>
      </c>
      <c r="F116" s="46">
        <f>Capex!$F$61</f>
        <v>3.1050000000000001E-2</v>
      </c>
      <c r="G116" s="46">
        <f>+Capex!$G$61</f>
        <v>3.1050000000000001E-2</v>
      </c>
      <c r="H116" s="46">
        <f>+Capex!$H$61</f>
        <v>3.1050000000000001E-2</v>
      </c>
    </row>
    <row r="117" spans="2:11">
      <c r="B117" s="39" t="s">
        <v>22705</v>
      </c>
      <c r="C117" s="2588"/>
      <c r="D117" s="2588"/>
      <c r="E117" s="46">
        <f>Capex!$E$62</f>
        <v>1.2245000000000001E-2</v>
      </c>
      <c r="F117" s="46">
        <f>Capex!$F$62</f>
        <v>1.2245000000000001E-2</v>
      </c>
      <c r="G117" s="46">
        <f>+Capex!$G$62</f>
        <v>1.2245000000000001E-2</v>
      </c>
      <c r="H117" s="46">
        <f>+Capex!$H$62</f>
        <v>1.2245000000000001E-2</v>
      </c>
    </row>
    <row r="118" spans="2:11">
      <c r="B118" s="731"/>
      <c r="C118" s="731"/>
      <c r="D118" s="731"/>
      <c r="E118" s="731"/>
      <c r="F118" s="731"/>
      <c r="G118" s="731"/>
      <c r="H118" s="731"/>
      <c r="I118" s="731"/>
    </row>
    <row r="119" spans="2:11" ht="15" customHeight="1">
      <c r="B119" s="1103" t="s">
        <v>26782</v>
      </c>
      <c r="C119" s="2588"/>
      <c r="D119" s="2588"/>
      <c r="E119" s="1104">
        <f>Capex!$M$62*(TT_riepilogo_IMN!G80-TT_riepilogo_IMN!G84)</f>
        <v>0</v>
      </c>
      <c r="F119" s="1104">
        <f>Capex!$M$62*(TT_riepilogo_IMN!F80-TT_riepilogo_IMN!F84)</f>
        <v>0</v>
      </c>
      <c r="G119" s="1104">
        <f>Capex!$M$62*(TT_riepilogo_IMN!I80-TT_riepilogo_IMN!I84)</f>
        <v>0</v>
      </c>
      <c r="H119" s="1104">
        <f>Capex!$M$62*(TT_riepilogo_IMN!J80-TT_riepilogo_IMN!J84)</f>
        <v>0</v>
      </c>
    </row>
    <row r="120" spans="2:11" ht="15" customHeight="1">
      <c r="B120" s="1089" t="s">
        <v>31268</v>
      </c>
      <c r="C120" s="2588"/>
      <c r="D120" s="2588"/>
      <c r="E120" s="1104">
        <f t="shared" ref="E120:H120" si="18">+(E75+E76)*(1-E115)*(E114-E108)</f>
        <v>0</v>
      </c>
      <c r="F120" s="1104">
        <f t="shared" si="18"/>
        <v>0</v>
      </c>
      <c r="G120" s="1104">
        <f t="shared" si="18"/>
        <v>0</v>
      </c>
      <c r="H120" s="1104">
        <f t="shared" si="18"/>
        <v>0</v>
      </c>
      <c r="I120"/>
    </row>
    <row r="121" spans="2:11" ht="15.75">
      <c r="B121" s="1089" t="s">
        <v>31269</v>
      </c>
      <c r="C121" s="2588"/>
      <c r="D121" s="2588"/>
      <c r="E121" s="1104">
        <f>'PdI-riepilogo'!E140</f>
        <v>0</v>
      </c>
      <c r="F121" s="1104">
        <f>'PdI-riepilogo'!F140</f>
        <v>0</v>
      </c>
      <c r="G121" s="1104">
        <f>'PdI-riepilogo'!G140</f>
        <v>0</v>
      </c>
      <c r="H121" s="1104">
        <f>'PdI-riepilogo'!H140</f>
        <v>0</v>
      </c>
      <c r="I121"/>
      <c r="J121"/>
      <c r="K121" s="1235"/>
    </row>
    <row r="122" spans="2:11" ht="15" customHeight="1">
      <c r="B122" s="1103" t="s">
        <v>26776</v>
      </c>
      <c r="C122" s="2588"/>
      <c r="D122" s="2588"/>
      <c r="E122" s="1324">
        <f>+MAX(TT_riepilogo_IMN!G60,0)</f>
        <v>0</v>
      </c>
      <c r="F122" s="1324">
        <f>+MAX(TT_riepilogo_IMN!H60,0)</f>
        <v>0</v>
      </c>
      <c r="G122" s="1324">
        <f>+MAX(TT_riepilogo_IMN!I60,0)</f>
        <v>0</v>
      </c>
      <c r="H122" s="1324">
        <f>+MAX(TT_riepilogo_IMN!J60,0)</f>
        <v>0</v>
      </c>
    </row>
    <row r="124" spans="2:11" ht="15.75">
      <c r="B124" s="1103" t="s">
        <v>31254</v>
      </c>
      <c r="C124" s="2588"/>
      <c r="D124" s="2588"/>
      <c r="E124" s="1104" t="str">
        <f>+IFERROR(IF(E101&gt;=0,E101*Capex!E69),"")</f>
        <v/>
      </c>
      <c r="F124" s="1104" t="str">
        <f>+IFERROR(IF(F101&gt;=0,F101*Capex!F69),"")</f>
        <v/>
      </c>
      <c r="G124" s="1104" t="str">
        <f>+IFERROR(IF(G101&gt;=0,G101*Capex!G69),"")</f>
        <v/>
      </c>
      <c r="H124" s="1104" t="str">
        <f>+IFERROR(IF(H101&gt;=0,H101*Capex!H69),"")</f>
        <v/>
      </c>
    </row>
    <row r="125" spans="2:11" ht="15" customHeight="1">
      <c r="B125" s="1103" t="s">
        <v>31255</v>
      </c>
      <c r="C125" s="2588"/>
      <c r="D125" s="2588"/>
      <c r="E125" s="41">
        <f t="shared" ref="E125:H125" si="19">+E119+E120+E121</f>
        <v>0</v>
      </c>
      <c r="F125" s="41">
        <f t="shared" si="19"/>
        <v>0</v>
      </c>
      <c r="G125" s="41">
        <f t="shared" si="19"/>
        <v>0</v>
      </c>
      <c r="H125" s="41">
        <f t="shared" si="19"/>
        <v>0</v>
      </c>
      <c r="I125"/>
    </row>
    <row r="126" spans="2:11" ht="15" customHeight="1">
      <c r="B126" s="887" t="s">
        <v>26780</v>
      </c>
      <c r="C126" s="2588"/>
      <c r="D126" s="2588"/>
      <c r="E126" s="1174">
        <f t="shared" ref="E126:H126" si="20">+IF(E101&lt;&gt;"",E124,E125)</f>
        <v>0</v>
      </c>
      <c r="F126" s="1174">
        <f t="shared" si="20"/>
        <v>0</v>
      </c>
      <c r="G126" s="1174">
        <f t="shared" si="20"/>
        <v>0</v>
      </c>
      <c r="H126" s="1174">
        <f t="shared" si="20"/>
        <v>0</v>
      </c>
    </row>
    <row r="127" spans="2:11" ht="15" customHeight="1">
      <c r="B127" s="731"/>
      <c r="C127" s="731"/>
      <c r="D127" s="731"/>
      <c r="E127" s="731"/>
      <c r="F127" s="731"/>
      <c r="G127" s="731"/>
      <c r="H127" s="731"/>
      <c r="I127" s="731"/>
    </row>
    <row r="128" spans="2:11" ht="15" customHeight="1">
      <c r="B128" s="112" t="s">
        <v>24804</v>
      </c>
      <c r="C128" s="2588"/>
      <c r="D128" s="2588"/>
      <c r="E128" s="46">
        <f>Capex!$E$75</f>
        <v>7.230982118024798E-2</v>
      </c>
      <c r="F128" s="46">
        <f>Capex!$F$75</f>
        <v>7.230982118024798E-2</v>
      </c>
      <c r="G128" s="46">
        <f>+Capex!$G$75</f>
        <v>7.230982118024798E-2</v>
      </c>
      <c r="H128" s="46">
        <f>+Capex!$H$75</f>
        <v>7.230982118024798E-2</v>
      </c>
    </row>
    <row r="129" spans="1:12" ht="15" customHeight="1">
      <c r="B129" s="39" t="s">
        <v>26774</v>
      </c>
      <c r="C129" s="2588"/>
      <c r="D129" s="2588"/>
      <c r="E129" s="42">
        <f t="shared" ref="E129:H129" si="21">+(E114-E122)*E87</f>
        <v>0</v>
      </c>
      <c r="F129" s="42">
        <f t="shared" si="21"/>
        <v>0</v>
      </c>
      <c r="G129" s="42">
        <f t="shared" si="21"/>
        <v>0</v>
      </c>
      <c r="H129" s="42">
        <f t="shared" si="21"/>
        <v>0</v>
      </c>
    </row>
    <row r="131" spans="1:12" ht="15.75">
      <c r="B131" s="1103" t="s">
        <v>31256</v>
      </c>
      <c r="C131" s="2588"/>
      <c r="D131" s="2588"/>
      <c r="E131" s="41" t="str">
        <f>+IFERROR(IF(E101&gt;=0,E101*Capex!E77),"")</f>
        <v/>
      </c>
      <c r="F131" s="41" t="str">
        <f>+IFERROR(IF(F101&gt;=0,F101*Capex!F77),"")</f>
        <v/>
      </c>
      <c r="G131" s="41" t="str">
        <f>+IFERROR(IF(G101&gt;=0,G101*Capex!G77),"")</f>
        <v/>
      </c>
      <c r="H131" s="41" t="str">
        <f>+IFERROR(IF(H101&gt;=0,H101*Capex!H77),"")</f>
        <v/>
      </c>
    </row>
    <row r="132" spans="1:12" ht="15.75">
      <c r="B132" s="1103" t="s">
        <v>31257</v>
      </c>
      <c r="C132" s="2588"/>
      <c r="D132" s="2588"/>
      <c r="E132" s="1791">
        <f>+MAX(Capex!$M$60*E129,0)</f>
        <v>0</v>
      </c>
      <c r="F132" s="1791">
        <f>+MAX(Capex!$M$60*F129,0)</f>
        <v>0</v>
      </c>
      <c r="G132" s="1791">
        <f>+MAX(Capex!$M$60*G129,0)</f>
        <v>0</v>
      </c>
      <c r="H132" s="1791">
        <f>+MAX(Capex!$M$60*H129,0)</f>
        <v>0</v>
      </c>
    </row>
    <row r="133" spans="1:12" ht="15" customHeight="1">
      <c r="B133" s="887" t="s">
        <v>26772</v>
      </c>
      <c r="C133" s="2588"/>
      <c r="D133" s="2588"/>
      <c r="E133" s="1174">
        <f t="shared" ref="E133:H133" si="22">+IF(E101&lt;&gt;"",E131,E132)</f>
        <v>0</v>
      </c>
      <c r="F133" s="1174">
        <f t="shared" si="22"/>
        <v>0</v>
      </c>
      <c r="G133" s="1174">
        <f t="shared" si="22"/>
        <v>0</v>
      </c>
      <c r="H133" s="1174">
        <f t="shared" si="22"/>
        <v>0</v>
      </c>
    </row>
    <row r="138" spans="1:12" ht="13.5" thickBot="1"/>
    <row r="139" spans="1:12" s="64" customFormat="1" ht="13.5" thickTop="1">
      <c r="A139" s="1107"/>
      <c r="I139" s="1108"/>
      <c r="J139" s="1108"/>
      <c r="K139" s="1108"/>
      <c r="L139" s="1108"/>
    </row>
    <row r="140" spans="1:12" ht="36" customHeight="1">
      <c r="B140" s="1843" t="s">
        <v>26786</v>
      </c>
      <c r="C140" s="1844"/>
      <c r="D140" s="1844"/>
      <c r="E140" s="1844"/>
      <c r="F140" s="1844"/>
      <c r="G140" s="1844"/>
      <c r="H140" s="1845"/>
    </row>
    <row r="143" spans="1:12">
      <c r="C143" s="1773">
        <v>2024</v>
      </c>
      <c r="D143" s="1773">
        <v>2025</v>
      </c>
      <c r="E143" s="1771">
        <v>2026</v>
      </c>
      <c r="F143" s="1772">
        <v>2027</v>
      </c>
      <c r="G143" s="1774">
        <v>2028</v>
      </c>
      <c r="H143" s="1774">
        <v>2029</v>
      </c>
    </row>
    <row r="144" spans="1:12" ht="15" customHeight="1">
      <c r="B144" s="102" t="s">
        <v>26888</v>
      </c>
      <c r="C144" s="1088">
        <f t="shared" ref="C144:D144" si="23">+C189</f>
        <v>0</v>
      </c>
      <c r="D144" s="1088">
        <f t="shared" si="23"/>
        <v>0</v>
      </c>
      <c r="E144" s="1088">
        <f t="shared" ref="E144:H144" si="24">+E189</f>
        <v>0</v>
      </c>
      <c r="F144" s="1088">
        <f t="shared" si="24"/>
        <v>0</v>
      </c>
      <c r="G144" s="1088">
        <f t="shared" si="24"/>
        <v>0</v>
      </c>
      <c r="H144" s="1088">
        <f t="shared" si="24"/>
        <v>0</v>
      </c>
      <c r="I144" s="1235"/>
      <c r="J144" s="1235"/>
    </row>
    <row r="145" spans="1:12" ht="15" customHeight="1">
      <c r="B145" s="102" t="s">
        <v>26889</v>
      </c>
      <c r="C145" s="1088">
        <f t="shared" ref="C145:D145" si="25">+C170</f>
        <v>0</v>
      </c>
      <c r="D145" s="1088">
        <f t="shared" si="25"/>
        <v>0</v>
      </c>
      <c r="E145" s="1088">
        <f t="shared" ref="E145:H145" si="26">+E170</f>
        <v>0</v>
      </c>
      <c r="F145" s="1088">
        <f t="shared" si="26"/>
        <v>0</v>
      </c>
      <c r="G145" s="1088">
        <f t="shared" si="26"/>
        <v>0</v>
      </c>
      <c r="H145" s="1088">
        <f t="shared" si="26"/>
        <v>0</v>
      </c>
      <c r="I145" s="1235"/>
      <c r="J145" s="1235"/>
    </row>
    <row r="146" spans="1:12" ht="15" customHeight="1">
      <c r="B146" s="102" t="s">
        <v>26890</v>
      </c>
      <c r="C146" s="1088">
        <f t="shared" ref="C146:D146" si="27">+C206</f>
        <v>0</v>
      </c>
      <c r="D146" s="1088">
        <f t="shared" si="27"/>
        <v>0</v>
      </c>
      <c r="E146" s="1088">
        <f t="shared" ref="E146:H146" ca="1" si="28">+E206</f>
        <v>0</v>
      </c>
      <c r="F146" s="1088">
        <f t="shared" ca="1" si="28"/>
        <v>0</v>
      </c>
      <c r="G146" s="1088">
        <f t="shared" ca="1" si="28"/>
        <v>0</v>
      </c>
      <c r="H146" s="1088">
        <f t="shared" ca="1" si="28"/>
        <v>0</v>
      </c>
      <c r="I146" s="1235"/>
      <c r="J146" s="1235"/>
    </row>
    <row r="147" spans="1:12" ht="15" customHeight="1">
      <c r="B147" s="731"/>
      <c r="C147" s="731"/>
      <c r="D147" s="731"/>
      <c r="E147" s="731"/>
      <c r="F147" s="731"/>
      <c r="G147" s="731"/>
      <c r="H147" s="731"/>
      <c r="I147" s="731"/>
      <c r="J147" s="731"/>
      <c r="K147" s="731"/>
    </row>
    <row r="148" spans="1:12" ht="15" customHeight="1">
      <c r="B148" s="102" t="s">
        <v>26892</v>
      </c>
      <c r="C148" s="2588"/>
      <c r="D148" s="2588"/>
      <c r="E148" s="1088">
        <f t="shared" ref="E148:H148" ca="1" si="29">+SUM(E144:E146)</f>
        <v>0</v>
      </c>
      <c r="F148" s="1088">
        <f t="shared" ca="1" si="29"/>
        <v>0</v>
      </c>
      <c r="G148" s="1088">
        <f t="shared" ca="1" si="29"/>
        <v>0</v>
      </c>
      <c r="H148" s="1088">
        <f t="shared" ca="1" si="29"/>
        <v>0</v>
      </c>
    </row>
    <row r="149" spans="1:12" ht="15" customHeight="1">
      <c r="B149" s="102" t="s">
        <v>28822</v>
      </c>
      <c r="C149" s="2588"/>
      <c r="D149" s="2588"/>
      <c r="E149" s="1088">
        <f ca="1">+Input_per_calcoli_finali!K165</f>
        <v>0</v>
      </c>
      <c r="F149" s="1088">
        <f ca="1">+Input_per_calcoli_finali!L165</f>
        <v>0</v>
      </c>
      <c r="G149" s="1088">
        <f ca="1">+Input_per_calcoli_finali!M165</f>
        <v>0</v>
      </c>
      <c r="H149" s="1088">
        <f ca="1">+Input_per_calcoli_finali!N165</f>
        <v>0</v>
      </c>
    </row>
    <row r="150" spans="1:12" ht="15" customHeight="1">
      <c r="B150" s="1177" t="s">
        <v>26891</v>
      </c>
      <c r="C150" s="2743">
        <f>+SUM(C144:C146)</f>
        <v>0</v>
      </c>
      <c r="D150" s="2743">
        <f>+SUM(D144:D146)</f>
        <v>0</v>
      </c>
      <c r="E150" s="1178">
        <f t="shared" ref="E150:H150" ca="1" si="30">+E148-E149</f>
        <v>0</v>
      </c>
      <c r="F150" s="1178">
        <f t="shared" ca="1" si="30"/>
        <v>0</v>
      </c>
      <c r="G150" s="1178">
        <f t="shared" ca="1" si="30"/>
        <v>0</v>
      </c>
      <c r="H150" s="1178">
        <f t="shared" ca="1" si="30"/>
        <v>0</v>
      </c>
    </row>
    <row r="154" spans="1:12">
      <c r="C154" s="134"/>
    </row>
    <row r="155" spans="1:12" customFormat="1" ht="15" customHeight="1">
      <c r="A155" s="732"/>
      <c r="I155" s="77"/>
      <c r="J155" s="77"/>
      <c r="K155" s="77"/>
      <c r="L155" s="77"/>
    </row>
    <row r="156" spans="1:12" s="727" customFormat="1" ht="16.5" thickBot="1">
      <c r="A156" s="725" t="s">
        <v>30568</v>
      </c>
      <c r="B156" s="729" t="s">
        <v>24786</v>
      </c>
    </row>
    <row r="157" spans="1:12" ht="13.5" thickTop="1">
      <c r="A157" s="733"/>
      <c r="B157" s="108"/>
    </row>
    <row r="158" spans="1:12">
      <c r="A158" s="733"/>
      <c r="B158" s="108"/>
    </row>
    <row r="159" spans="1:12">
      <c r="A159" s="733"/>
      <c r="B159" s="108"/>
    </row>
    <row r="160" spans="1:12">
      <c r="A160" s="733"/>
      <c r="B160" s="55" t="s">
        <v>29637</v>
      </c>
      <c r="C160" s="1773">
        <v>2024</v>
      </c>
      <c r="D160" s="1773">
        <v>2025</v>
      </c>
      <c r="E160" s="1771">
        <v>2026</v>
      </c>
      <c r="F160" s="1772">
        <v>2027</v>
      </c>
      <c r="G160" s="1774">
        <v>2028</v>
      </c>
      <c r="H160" s="1774">
        <v>2029</v>
      </c>
    </row>
    <row r="161" spans="1:10" ht="15" customHeight="1">
      <c r="A161" s="733"/>
      <c r="B161" s="102" t="s">
        <v>22693</v>
      </c>
      <c r="C161" s="2588"/>
      <c r="D161" s="2588"/>
      <c r="E161" s="610">
        <f>+Dati_conto_economico!D98</f>
        <v>0</v>
      </c>
      <c r="F161" s="610">
        <f>+Dati_conto_economico!J98</f>
        <v>0</v>
      </c>
      <c r="G161" s="1873">
        <f>+F161</f>
        <v>0</v>
      </c>
      <c r="H161" s="1873">
        <f t="shared" ref="H161:H165" si="31">+G161</f>
        <v>0</v>
      </c>
    </row>
    <row r="162" spans="1:10" ht="15" customHeight="1">
      <c r="A162" s="733"/>
      <c r="B162" s="69" t="s">
        <v>99</v>
      </c>
      <c r="C162" s="2588"/>
      <c r="D162" s="2588"/>
      <c r="E162" s="610">
        <f>+Dati_conto_economico!D99</f>
        <v>0</v>
      </c>
      <c r="F162" s="610">
        <f>+Dati_conto_economico!J99</f>
        <v>0</v>
      </c>
      <c r="G162" s="1873">
        <f t="shared" ref="G162:G165" si="32">+F162</f>
        <v>0</v>
      </c>
      <c r="H162" s="1873">
        <f t="shared" si="31"/>
        <v>0</v>
      </c>
    </row>
    <row r="163" spans="1:10" ht="15" customHeight="1">
      <c r="A163" s="733"/>
      <c r="B163" s="102" t="s">
        <v>22692</v>
      </c>
      <c r="C163" s="2588"/>
      <c r="D163" s="2588"/>
      <c r="E163" s="610">
        <f>+Dati_conto_economico!D100</f>
        <v>0</v>
      </c>
      <c r="F163" s="610">
        <f>+Dati_conto_economico!J100</f>
        <v>0</v>
      </c>
      <c r="G163" s="1873">
        <f t="shared" si="32"/>
        <v>0</v>
      </c>
      <c r="H163" s="1873">
        <f t="shared" si="31"/>
        <v>0</v>
      </c>
    </row>
    <row r="164" spans="1:10" ht="15" customHeight="1">
      <c r="A164" s="733"/>
      <c r="B164" s="69" t="s">
        <v>101</v>
      </c>
      <c r="C164" s="2588"/>
      <c r="D164" s="2588"/>
      <c r="E164" s="610">
        <f>+Dati_conto_economico!D101</f>
        <v>0</v>
      </c>
      <c r="F164" s="610">
        <f>+Dati_conto_economico!J101</f>
        <v>0</v>
      </c>
      <c r="G164" s="1873">
        <f t="shared" si="32"/>
        <v>0</v>
      </c>
      <c r="H164" s="1873">
        <f t="shared" si="31"/>
        <v>0</v>
      </c>
    </row>
    <row r="165" spans="1:10" ht="15" customHeight="1">
      <c r="A165" s="733"/>
      <c r="B165" s="69" t="s">
        <v>102</v>
      </c>
      <c r="C165" s="2588"/>
      <c r="D165" s="2588"/>
      <c r="E165" s="610">
        <f>+Dati_conto_economico!D102</f>
        <v>0</v>
      </c>
      <c r="F165" s="610">
        <f>+Dati_conto_economico!J102</f>
        <v>0</v>
      </c>
      <c r="G165" s="1873">
        <f t="shared" si="32"/>
        <v>0</v>
      </c>
      <c r="H165" s="1873">
        <f t="shared" si="31"/>
        <v>0</v>
      </c>
    </row>
    <row r="166" spans="1:10" ht="15" hidden="1">
      <c r="A166" s="733"/>
      <c r="B166"/>
      <c r="C166"/>
      <c r="D166"/>
      <c r="E166"/>
      <c r="F166"/>
      <c r="G166"/>
      <c r="H166"/>
    </row>
    <row r="167" spans="1:10" ht="15" customHeight="1">
      <c r="A167" s="733"/>
      <c r="B167" s="731"/>
      <c r="C167" s="731"/>
      <c r="D167" s="731"/>
      <c r="E167" s="731"/>
      <c r="F167" s="731"/>
      <c r="G167" s="731"/>
      <c r="H167" s="731"/>
      <c r="I167" s="731"/>
      <c r="J167" s="731"/>
    </row>
    <row r="168" spans="1:10" ht="15" hidden="1" customHeight="1">
      <c r="B168" s="1112" t="s">
        <v>26791</v>
      </c>
      <c r="C168" s="1088"/>
      <c r="D168" s="1088"/>
      <c r="E168" s="1088"/>
      <c r="F168" s="1088"/>
      <c r="G168" s="1088"/>
      <c r="H168" s="1088"/>
      <c r="I168" s="731"/>
      <c r="J168" s="731"/>
    </row>
    <row r="169" spans="1:10" ht="15" hidden="1" customHeight="1">
      <c r="B169" s="1112" t="s">
        <v>26787</v>
      </c>
      <c r="C169" s="1088"/>
      <c r="D169" s="1088"/>
      <c r="E169" s="1088"/>
      <c r="F169" s="1088"/>
      <c r="G169" s="1088"/>
      <c r="H169" s="1088"/>
    </row>
    <row r="170" spans="1:10" ht="15" customHeight="1">
      <c r="B170" s="98" t="s">
        <v>24787</v>
      </c>
      <c r="C170" s="2743">
        <f>+Dati_Anni_precedenti!E60</f>
        <v>0</v>
      </c>
      <c r="D170" s="2743">
        <f>+Dati_Anni_precedenti!F60</f>
        <v>0</v>
      </c>
      <c r="E170" s="1147">
        <f t="shared" ref="E170:H170" si="33">+SUM(E161:E165)</f>
        <v>0</v>
      </c>
      <c r="F170" s="1147">
        <f t="shared" si="33"/>
        <v>0</v>
      </c>
      <c r="G170" s="1147">
        <f t="shared" si="33"/>
        <v>0</v>
      </c>
      <c r="H170" s="1147">
        <f t="shared" si="33"/>
        <v>0</v>
      </c>
    </row>
    <row r="171" spans="1:10" ht="15" customHeight="1"/>
    <row r="172" spans="1:10" ht="15" customHeight="1"/>
    <row r="173" spans="1:10" ht="15" customHeight="1"/>
    <row r="174" spans="1:10" s="727" customFormat="1" ht="16.5" thickBot="1">
      <c r="A174" s="725" t="s">
        <v>30568</v>
      </c>
      <c r="B174" s="729" t="s">
        <v>24789</v>
      </c>
    </row>
    <row r="175" spans="1:10" ht="13.5" thickTop="1">
      <c r="A175" s="733"/>
      <c r="B175" s="108"/>
    </row>
    <row r="176" spans="1:10">
      <c r="A176" s="733"/>
      <c r="B176" s="108"/>
    </row>
    <row r="177" spans="1:12">
      <c r="A177" s="733"/>
      <c r="B177" s="108"/>
    </row>
    <row r="178" spans="1:12" ht="15" customHeight="1">
      <c r="B178" s="55" t="s">
        <v>29637</v>
      </c>
      <c r="C178" s="1773">
        <v>2024</v>
      </c>
      <c r="D178" s="1773">
        <v>2025</v>
      </c>
      <c r="E178" s="1771">
        <v>2026</v>
      </c>
      <c r="F178" s="1772">
        <v>2027</v>
      </c>
      <c r="G178" s="1774">
        <v>2028</v>
      </c>
      <c r="H178" s="1774">
        <v>2029</v>
      </c>
    </row>
    <row r="179" spans="1:12">
      <c r="B179" s="140" t="s">
        <v>67</v>
      </c>
      <c r="C179" s="2588"/>
      <c r="D179" s="2588"/>
      <c r="E179" s="610">
        <f>+Dati_conto_economico!D43</f>
        <v>0</v>
      </c>
      <c r="F179" s="610">
        <f>+Dati_conto_economico!J43</f>
        <v>0</v>
      </c>
      <c r="G179" s="1873">
        <f>+F179</f>
        <v>0</v>
      </c>
      <c r="H179" s="1873">
        <f>+G179</f>
        <v>0</v>
      </c>
    </row>
    <row r="180" spans="1:12">
      <c r="B180" s="102" t="s">
        <v>68</v>
      </c>
      <c r="C180" s="2588"/>
      <c r="D180" s="2588"/>
      <c r="E180" s="610">
        <f>+SUM(Dati_conto_economico!D49:D58)</f>
        <v>0</v>
      </c>
      <c r="F180" s="610">
        <f>+SUM(Dati_conto_economico!J49:J58)</f>
        <v>0</v>
      </c>
      <c r="G180" s="1873">
        <f t="shared" ref="G180:H184" si="34">+F180</f>
        <v>0</v>
      </c>
      <c r="H180" s="1873">
        <f t="shared" si="34"/>
        <v>0</v>
      </c>
    </row>
    <row r="181" spans="1:12">
      <c r="B181" s="102" t="s">
        <v>24900</v>
      </c>
      <c r="C181" s="2588"/>
      <c r="D181" s="2588"/>
      <c r="E181" s="2588"/>
      <c r="F181" s="2588"/>
      <c r="G181" s="2588"/>
      <c r="H181" s="2588"/>
    </row>
    <row r="182" spans="1:12">
      <c r="B182" s="102" t="s">
        <v>73</v>
      </c>
      <c r="C182" s="2588"/>
      <c r="D182" s="2588"/>
      <c r="E182" s="610">
        <f>+Dati_conto_economico!D59</f>
        <v>0</v>
      </c>
      <c r="F182" s="610">
        <f>+Dati_conto_economico!J59</f>
        <v>0</v>
      </c>
      <c r="G182" s="1873">
        <f t="shared" si="34"/>
        <v>0</v>
      </c>
      <c r="H182" s="1873">
        <f t="shared" si="34"/>
        <v>0</v>
      </c>
    </row>
    <row r="183" spans="1:12">
      <c r="B183" s="102" t="s">
        <v>74</v>
      </c>
      <c r="C183" s="2588"/>
      <c r="D183" s="2588"/>
      <c r="E183" s="610">
        <f>+Dati_conto_economico!D62</f>
        <v>0</v>
      </c>
      <c r="F183" s="610">
        <f>+Dati_conto_economico!J62</f>
        <v>0</v>
      </c>
      <c r="G183" s="1873">
        <f t="shared" si="34"/>
        <v>0</v>
      </c>
      <c r="H183" s="1873">
        <f t="shared" si="34"/>
        <v>0</v>
      </c>
    </row>
    <row r="184" spans="1:12">
      <c r="B184" s="102" t="s">
        <v>78</v>
      </c>
      <c r="C184" s="2588"/>
      <c r="D184" s="2588"/>
      <c r="E184" s="610">
        <f>+Dati_conto_economico!D72-SUM(E161:E165)</f>
        <v>0</v>
      </c>
      <c r="F184" s="610">
        <f>+Dati_conto_economico!J72-SUM(F161:F165)</f>
        <v>0</v>
      </c>
      <c r="G184" s="1873">
        <f t="shared" si="34"/>
        <v>0</v>
      </c>
      <c r="H184" s="1873">
        <f t="shared" si="34"/>
        <v>0</v>
      </c>
    </row>
    <row r="185" spans="1:12" ht="15">
      <c r="B185" s="141" t="s">
        <v>22729</v>
      </c>
      <c r="C185" s="637">
        <f>+VLOOKUP("da t-2 a t",PINF,C178 - 2011,FALSE)</f>
        <v>1.13696</v>
      </c>
      <c r="D185" s="637">
        <f>+VLOOKUP("da t-2 a t",PINF,D178 - 2011,FALSE)</f>
        <v>1.1097600000000001</v>
      </c>
      <c r="E185" s="637">
        <f t="shared" ref="E185" si="35">+VLOOKUP("da t-2 a t",PINF,E178 - 2011,FALSE)</f>
        <v>1.03224</v>
      </c>
      <c r="F185" s="637">
        <f>+VLOOKUP("da t-3 a t",PINF,F178 - 2011,FALSE)</f>
        <v>1.03224</v>
      </c>
      <c r="G185" s="637">
        <f>+VLOOKUP("da t-4 a t",PINF,G178 - 2011,FALSE)</f>
        <v>1.03224</v>
      </c>
      <c r="H185" s="637">
        <f>+VLOOKUP("da t-5 a t",PINF,H178 - 2011,FALSE)</f>
        <v>1.03224</v>
      </c>
    </row>
    <row r="186" spans="1:12">
      <c r="B186" s="731"/>
      <c r="C186" s="731"/>
      <c r="D186" s="731"/>
      <c r="E186" s="731"/>
      <c r="F186" s="731"/>
      <c r="G186" s="731"/>
      <c r="H186" s="731"/>
      <c r="I186" s="731"/>
      <c r="J186" s="731"/>
      <c r="K186" s="731"/>
      <c r="L186" s="731"/>
    </row>
    <row r="187" spans="1:12" hidden="1">
      <c r="B187" s="1112"/>
      <c r="C187" s="1104"/>
      <c r="D187" s="1104"/>
      <c r="E187" s="1104"/>
      <c r="F187" s="1104"/>
      <c r="G187" s="1104"/>
      <c r="H187" s="1104"/>
      <c r="I187" s="731"/>
      <c r="J187" s="731"/>
      <c r="K187" s="731"/>
      <c r="L187" s="731"/>
    </row>
    <row r="188" spans="1:12" hidden="1">
      <c r="B188" s="1112"/>
      <c r="C188" s="1104"/>
      <c r="D188" s="1104"/>
      <c r="E188" s="1104"/>
      <c r="F188" s="1104"/>
      <c r="G188" s="1104"/>
      <c r="H188" s="1104"/>
    </row>
    <row r="189" spans="1:12" ht="16.5">
      <c r="B189" s="98" t="s">
        <v>24788</v>
      </c>
      <c r="C189" s="2743">
        <f>+Dati_Anni_precedenti!E59</f>
        <v>0</v>
      </c>
      <c r="D189" s="2743">
        <f>+Dati_Anni_precedenti!F59</f>
        <v>0</v>
      </c>
      <c r="E189" s="1114">
        <f>++SUM(E179:E180,E182:E184)*E185</f>
        <v>0</v>
      </c>
      <c r="F189" s="1114">
        <f t="shared" ref="F189:H189" si="36">++SUM(F179:F180,F182:F184)*F185</f>
        <v>0</v>
      </c>
      <c r="G189" s="1114">
        <f t="shared" si="36"/>
        <v>0</v>
      </c>
      <c r="H189" s="1114">
        <f t="shared" si="36"/>
        <v>0</v>
      </c>
    </row>
    <row r="190" spans="1:12" ht="15" customHeight="1"/>
    <row r="191" spans="1:12" ht="15" customHeight="1"/>
    <row r="192" spans="1:12" ht="15" customHeight="1"/>
    <row r="193" spans="1:9" s="727" customFormat="1" ht="16.5" thickBot="1">
      <c r="A193" s="725" t="s">
        <v>30568</v>
      </c>
      <c r="B193" s="729" t="s">
        <v>26790</v>
      </c>
    </row>
    <row r="194" spans="1:9" ht="13.5" thickTop="1">
      <c r="A194" s="733"/>
      <c r="B194" s="108"/>
    </row>
    <row r="195" spans="1:9">
      <c r="A195" s="733"/>
      <c r="B195" s="108"/>
    </row>
    <row r="196" spans="1:9">
      <c r="A196" s="733"/>
      <c r="B196" s="108"/>
    </row>
    <row r="197" spans="1:9" ht="15" customHeight="1">
      <c r="C197" s="1773">
        <v>2024</v>
      </c>
      <c r="D197" s="1773">
        <v>2025</v>
      </c>
      <c r="E197" s="1771">
        <v>2026</v>
      </c>
      <c r="F197" s="1772">
        <v>2027</v>
      </c>
      <c r="G197" s="1774">
        <v>2028</v>
      </c>
      <c r="H197" s="1774">
        <v>2029</v>
      </c>
    </row>
    <row r="198" spans="1:9" ht="15" customHeight="1">
      <c r="B198" s="1141" t="s">
        <v>31313</v>
      </c>
      <c r="C198" s="610">
        <f>+Dati_Anni_precedenti!E61</f>
        <v>0</v>
      </c>
      <c r="D198" s="610">
        <f>+Dati_Anni_precedenti!F61</f>
        <v>0</v>
      </c>
      <c r="E198" s="610">
        <f ca="1">+MIN(Dati_Anni_precedenti!$F$61,SUMIFS('PdI-crono_ges'!V:V,'PdI-crono_ges'!$J:$J,"ENV",'PdI-crono_ges'!$K:$K,"lettera a)")+SUMIFS('PdI-crono_ges'!V:V,'PdI-crono_ges'!$J:$J,"RES",'PdI-crono_ges'!$K:$K,"lettera a)"))</f>
        <v>0</v>
      </c>
      <c r="F198" s="610">
        <f ca="1">+MIN(Dati_Anni_precedenti!$F$61,SUMIFS('PdI-crono_ges'!W:W,'PdI-crono_ges'!$J:$J,"ENV",'PdI-crono_ges'!$K:$K,"lettera a)")+SUMIFS('PdI-crono_ges'!W:W,'PdI-crono_ges'!$J:$J,"RES",'PdI-crono_ges'!$K:$K,"lettera a)"))</f>
        <v>0</v>
      </c>
      <c r="G198" s="610">
        <f ca="1">+MIN(Dati_Anni_precedenti!$F$61,SUMIFS('PdI-crono_ges'!X:X,'PdI-crono_ges'!$J:$J,"ENV",'PdI-crono_ges'!$K:$K,"lettera a)")+SUMIFS('PdI-crono_ges'!X:X,'PdI-crono_ges'!$J:$J,"RES",'PdI-crono_ges'!$K:$K,"lettera a)"))</f>
        <v>0</v>
      </c>
      <c r="H198" s="610">
        <f ca="1">+MIN(Dati_Anni_precedenti!$F$61,SUMIFS('PdI-crono_ges'!Y:Y,'PdI-crono_ges'!$J:$J,"ENV",'PdI-crono_ges'!$K:$K,"lettera a)")+SUMIFS('PdI-crono_ges'!Y:Y,'PdI-crono_ges'!$J:$J,"RES",'PdI-crono_ges'!$K:$K,"lettera a)"))</f>
        <v>0</v>
      </c>
      <c r="I198"/>
    </row>
    <row r="199" spans="1:9" ht="15" hidden="1" customHeight="1">
      <c r="B199" s="61"/>
      <c r="C199" s="61"/>
      <c r="D199" s="61"/>
      <c r="E199" s="61"/>
      <c r="F199" s="61"/>
      <c r="G199" s="61"/>
      <c r="H199" s="61"/>
    </row>
    <row r="200" spans="1:9" ht="15" customHeight="1">
      <c r="B200" s="1141" t="s">
        <v>31314</v>
      </c>
      <c r="C200" s="2338">
        <f>+Dati_Anni_precedenti!E62</f>
        <v>0</v>
      </c>
      <c r="D200" s="2338">
        <f>+Dati_Anni_precedenti!F62</f>
        <v>0</v>
      </c>
      <c r="E200" s="2338">
        <f ca="1">+SUMIFS('PdI-crono_ges'!V:V,'PdI-crono_ges'!$J:$J,"ENV",'PdI-crono_ges'!$K:$K,"lettera b)")+SUMIFS('PdI-crono_ges'!V:V,'PdI-crono_ges'!$J:$J,"RES",'PdI-crono_ges'!$K:$K,"lettera b)")</f>
        <v>0</v>
      </c>
      <c r="F200" s="2338">
        <f ca="1">+SUMIFS('PdI-crono_ges'!W:W,'PdI-crono_ges'!$J:$J,"ENV",'PdI-crono_ges'!$K:$K,"lettera b)")+SUMIFS('PdI-crono_ges'!W:W,'PdI-crono_ges'!$J:$J,"RES",'PdI-crono_ges'!$K:$K,"lettera b)")</f>
        <v>0</v>
      </c>
      <c r="G200" s="2338">
        <f ca="1">+SUMIFS('PdI-crono_ges'!X:X,'PdI-crono_ges'!$J:$J,"ENV",'PdI-crono_ges'!$K:$K,"lettera b)")+SUMIFS('PdI-crono_ges'!X:X,'PdI-crono_ges'!$J:$J,"RES",'PdI-crono_ges'!$K:$K,"lettera b)")</f>
        <v>0</v>
      </c>
      <c r="H200" s="2338">
        <f ca="1">+SUMIFS('PdI-crono_ges'!Y:Y,'PdI-crono_ges'!$J:$J,"ENV",'PdI-crono_ges'!$K:$K,"lettera b)")+SUMIFS('PdI-crono_ges'!Y:Y,'PdI-crono_ges'!$J:$J,"RES",'PdI-crono_ges'!$K:$K,"lettera b)")</f>
        <v>0</v>
      </c>
      <c r="I200"/>
    </row>
    <row r="201" spans="1:9" ht="15" customHeight="1">
      <c r="B201" s="1141" t="s">
        <v>31464</v>
      </c>
      <c r="C201" s="2338">
        <f>+Dati_Anni_precedenti!E63</f>
        <v>0</v>
      </c>
      <c r="D201" s="2338">
        <f>+Dati_Anni_precedenti!F63</f>
        <v>0</v>
      </c>
      <c r="E201" s="2338">
        <f ca="1">+SUMIFS('PdI-crono_ges'!V:V,'PdI-crono_ges'!$J:$J,"ENV",'PdI-crono_ges'!$K:$K,"lettera c) 477/2023/R/IDR")+SUMIFS('PdI-crono_ges'!V:V,'PdI-crono_ges'!$J:$J,"RES",'PdI-crono_ges'!$K:$K,"lettera c) 477/2023/R/IDR")</f>
        <v>0</v>
      </c>
      <c r="F201" s="2338">
        <f ca="1">+SUMIFS('PdI-crono_ges'!W:W,'PdI-crono_ges'!$J:$J,"ENV",'PdI-crono_ges'!$K:$K,"lettera c) 477/2023/R/IDR")+SUMIFS('PdI-crono_ges'!W:W,'PdI-crono_ges'!$J:$J,"RES",'PdI-crono_ges'!$K:$K,"lettera c) 477/2023/R/IDR")</f>
        <v>0</v>
      </c>
      <c r="G201" s="2338">
        <f ca="1">+SUMIFS('PdI-crono_ges'!X:X,'PdI-crono_ges'!$J:$J,"ENV",'PdI-crono_ges'!$K:$K,"lettera c) 477/2023/R/IDR")+SUMIFS('PdI-crono_ges'!X:X,'PdI-crono_ges'!$J:$J,"RES",'PdI-crono_ges'!$K:$K,"lettera c) 477/2023/R/IDR")</f>
        <v>0</v>
      </c>
      <c r="H201" s="2338">
        <f ca="1">+SUMIFS('PdI-crono_ges'!Y:Y,'PdI-crono_ges'!$J:$J,"ENV",'PdI-crono_ges'!$K:$K,"lettera c) 477/2023/R/IDR")+SUMIFS('PdI-crono_ges'!Y:Y,'PdI-crono_ges'!$J:$J,"RES",'PdI-crono_ges'!$K:$K,"lettera c) 477/2023/R/IDR")</f>
        <v>0</v>
      </c>
      <c r="I201"/>
    </row>
    <row r="202" spans="1:9" ht="15" customHeight="1">
      <c r="B202" s="1141" t="s">
        <v>31465</v>
      </c>
      <c r="C202" s="2588"/>
      <c r="D202" s="2588"/>
      <c r="E202" s="2338">
        <f ca="1">+SUMIFS('PdI-crono_ges'!V:V,'PdI-crono_ges'!$J:$J,"ENV",'PdI-crono_ges'!$K:$K,"lettera c) 225/2025/R/IDR")+SUMIFS('PdI-crono_ges'!V:V,'PdI-crono_ges'!$J:$J,"RES",'PdI-crono_ges'!$K:$K,"lettera c) 225/2025/R/IDR")</f>
        <v>0</v>
      </c>
      <c r="F202" s="2338">
        <f ca="1">+SUMIFS('PdI-crono_ges'!W:W,'PdI-crono_ges'!$J:$J,"ENV",'PdI-crono_ges'!$K:$K,"lettera c) 225/2025/R/IDR")+SUMIFS('PdI-crono_ges'!W:W,'PdI-crono_ges'!$J:$J,"RES",'PdI-crono_ges'!$K:$K,"lettera c) 225/2025/R/IDR")</f>
        <v>0</v>
      </c>
      <c r="G202" s="2338">
        <f ca="1">+SUMIFS('PdI-crono_ges'!X:X,'PdI-crono_ges'!$J:$J,"ENV",'PdI-crono_ges'!$K:$K,"lettera c) 225/2025/R/IDR")+SUMIFS('PdI-crono_ges'!X:X,'PdI-crono_ges'!$J:$J,"RES",'PdI-crono_ges'!$K:$K,"lettera c) 225/2025/R/IDR")</f>
        <v>0</v>
      </c>
      <c r="H202" s="2338">
        <f ca="1">+SUMIFS('PdI-crono_ges'!Y:Y,'PdI-crono_ges'!$J:$J,"ENV",'PdI-crono_ges'!$K:$K,"lettera c) 225/2025/R/IDR")+SUMIFS('PdI-crono_ges'!Y:Y,'PdI-crono_ges'!$J:$J,"RES",'PdI-crono_ges'!$K:$K,"lettera c) 225/2025/R/IDR")</f>
        <v>0</v>
      </c>
      <c r="I202"/>
    </row>
    <row r="203" spans="1:9" ht="16.5">
      <c r="B203" s="98" t="s">
        <v>31246</v>
      </c>
      <c r="C203" s="2743">
        <f>+MIN(C198:C199)+C200+C201</f>
        <v>0</v>
      </c>
      <c r="D203" s="2743">
        <f>+MIN(D198:D199)+D200+D201</f>
        <v>0</v>
      </c>
      <c r="E203" s="1175">
        <f ca="1">+E198+E200+E201+E202</f>
        <v>0</v>
      </c>
      <c r="F203" s="1175">
        <f t="shared" ref="F203:H203" ca="1" si="37">+F198+F200+F201+F202</f>
        <v>0</v>
      </c>
      <c r="G203" s="1175">
        <f t="shared" ca="1" si="37"/>
        <v>0</v>
      </c>
      <c r="H203" s="1175">
        <f t="shared" ca="1" si="37"/>
        <v>0</v>
      </c>
      <c r="I203"/>
    </row>
    <row r="204" spans="1:9" ht="16.5">
      <c r="B204" s="98" t="s">
        <v>31247</v>
      </c>
      <c r="C204" s="2743">
        <f>+Dati_Anni_precedenti!E64</f>
        <v>0</v>
      </c>
      <c r="D204" s="2743">
        <f>+Dati_Anni_precedenti!F64</f>
        <v>0</v>
      </c>
      <c r="E204" s="1175">
        <f>Altri_dati_eco_fin!G71</f>
        <v>0</v>
      </c>
      <c r="F204" s="1175">
        <f>Altri_dati_eco_fin!H71</f>
        <v>0</v>
      </c>
      <c r="G204" s="1175">
        <f>Altri_dati_eco_fin!I71</f>
        <v>0</v>
      </c>
      <c r="H204" s="1175">
        <f>Altri_dati_eco_fin!J71</f>
        <v>0</v>
      </c>
    </row>
    <row r="206" spans="1:9" ht="16.5">
      <c r="B206" s="1176" t="s">
        <v>26815</v>
      </c>
      <c r="C206" s="2743">
        <f>+C203+C204</f>
        <v>0</v>
      </c>
      <c r="D206" s="2743">
        <f>+D203+D204</f>
        <v>0</v>
      </c>
      <c r="E206" s="138">
        <f t="shared" ref="E206:H206" ca="1" si="38">+E203+E204</f>
        <v>0</v>
      </c>
      <c r="F206" s="138">
        <f t="shared" ca="1" si="38"/>
        <v>0</v>
      </c>
      <c r="G206" s="138">
        <f t="shared" ca="1" si="38"/>
        <v>0</v>
      </c>
      <c r="H206" s="138">
        <f t="shared" ca="1" si="38"/>
        <v>0</v>
      </c>
    </row>
    <row r="211" spans="1:12" ht="13.5" thickBot="1">
      <c r="A211" s="725" t="s">
        <v>31238</v>
      </c>
      <c r="B211" s="729" t="s">
        <v>31237</v>
      </c>
    </row>
    <row r="212" spans="1:12" s="64" customFormat="1" ht="13.5" thickTop="1">
      <c r="A212" s="1107"/>
      <c r="I212" s="1108"/>
      <c r="J212" s="1108"/>
      <c r="K212" s="1108"/>
      <c r="L212" s="1108"/>
    </row>
    <row r="213" spans="1:12" ht="36" customHeight="1">
      <c r="B213" s="1843" t="s">
        <v>31239</v>
      </c>
      <c r="C213" s="1844"/>
      <c r="D213" s="1844"/>
      <c r="E213" s="1844"/>
      <c r="F213" s="1844"/>
      <c r="G213" s="1844"/>
      <c r="H213" s="1845"/>
    </row>
    <row r="216" spans="1:12">
      <c r="C216" s="1773">
        <v>2024</v>
      </c>
      <c r="D216" s="1773">
        <v>2025</v>
      </c>
      <c r="E216" s="1771">
        <v>2026</v>
      </c>
      <c r="F216" s="1772">
        <v>2027</v>
      </c>
      <c r="G216" s="1774">
        <v>2028</v>
      </c>
      <c r="H216" s="1774">
        <v>2029</v>
      </c>
    </row>
    <row r="217" spans="1:12" ht="15.75">
      <c r="B217" s="1176" t="s">
        <v>31240</v>
      </c>
      <c r="C217" s="2743">
        <f>Storico_Piano_Tariffario!E41</f>
        <v>0</v>
      </c>
      <c r="D217" s="2743">
        <f>Storico_Piano_Tariffario!F41</f>
        <v>0</v>
      </c>
      <c r="E217" s="138">
        <f t="shared" ref="E217:H217" si="39">+E218+E219</f>
        <v>0</v>
      </c>
      <c r="F217" s="138">
        <f t="shared" si="39"/>
        <v>0</v>
      </c>
      <c r="G217" s="138">
        <f t="shared" si="39"/>
        <v>0</v>
      </c>
      <c r="H217" s="138">
        <f t="shared" si="39"/>
        <v>0</v>
      </c>
    </row>
    <row r="218" spans="1:12" ht="15" customHeight="1">
      <c r="B218" s="102" t="s">
        <v>31242</v>
      </c>
      <c r="C218" s="1088">
        <f>Dati_Anni_precedenti!E55</f>
        <v>0</v>
      </c>
      <c r="D218" s="1088">
        <f>Dati_Anni_precedenti!F55</f>
        <v>0</v>
      </c>
      <c r="E218" s="1088">
        <f t="shared" ref="E218:H218" si="40">+IFERROR(E46-((E46/E51)*E50),0)</f>
        <v>0</v>
      </c>
      <c r="F218" s="1088">
        <f t="shared" si="40"/>
        <v>0</v>
      </c>
      <c r="G218" s="1088">
        <f t="shared" si="40"/>
        <v>0</v>
      </c>
      <c r="H218" s="1088">
        <f t="shared" si="40"/>
        <v>0</v>
      </c>
      <c r="I218" s="1235"/>
      <c r="J218" s="1235"/>
    </row>
    <row r="219" spans="1:12" ht="15" customHeight="1">
      <c r="B219" s="102" t="s">
        <v>31243</v>
      </c>
      <c r="C219" s="1088">
        <f>Dati_Anni_precedenti!E56</f>
        <v>0</v>
      </c>
      <c r="D219" s="1088">
        <f>Dati_Anni_precedenti!F56</f>
        <v>0</v>
      </c>
      <c r="E219" s="1088">
        <f t="shared" ref="E219:H219" si="41">+IFERROR(E47-((E47/E51)*E50),0)</f>
        <v>0</v>
      </c>
      <c r="F219" s="1088">
        <f t="shared" si="41"/>
        <v>0</v>
      </c>
      <c r="G219" s="1088">
        <f t="shared" si="41"/>
        <v>0</v>
      </c>
      <c r="H219" s="1088">
        <f t="shared" si="41"/>
        <v>0</v>
      </c>
      <c r="I219" s="1235"/>
      <c r="J219" s="1235"/>
    </row>
    <row r="220" spans="1:12" ht="15.75">
      <c r="B220" s="1176" t="s">
        <v>31241</v>
      </c>
      <c r="C220" s="2743">
        <f>Storico_Piano_Tariffario!E42</f>
        <v>0</v>
      </c>
      <c r="D220" s="2743">
        <f>Storico_Piano_Tariffario!F42</f>
        <v>0</v>
      </c>
      <c r="E220" s="138">
        <f t="shared" ref="E220:H220" ca="1" si="42">+E150</f>
        <v>0</v>
      </c>
      <c r="F220" s="138">
        <f t="shared" ca="1" si="42"/>
        <v>0</v>
      </c>
      <c r="G220" s="138">
        <f t="shared" ca="1" si="42"/>
        <v>0</v>
      </c>
      <c r="H220" s="138">
        <f t="shared" ca="1" si="42"/>
        <v>0</v>
      </c>
    </row>
    <row r="221" spans="1:12" ht="15" customHeight="1">
      <c r="B221" s="102" t="s">
        <v>31244</v>
      </c>
      <c r="C221" s="1088">
        <f>Dati_Anni_precedenti!E57</f>
        <v>0</v>
      </c>
      <c r="D221" s="1088">
        <f>Dati_Anni_precedenti!F57</f>
        <v>0</v>
      </c>
      <c r="E221" s="1088">
        <f t="shared" ref="E221:H221" ca="1" si="43">+E220-E222</f>
        <v>0</v>
      </c>
      <c r="F221" s="1088">
        <f t="shared" ca="1" si="43"/>
        <v>0</v>
      </c>
      <c r="G221" s="1088">
        <f t="shared" ca="1" si="43"/>
        <v>0</v>
      </c>
      <c r="H221" s="1088">
        <f t="shared" ca="1" si="43"/>
        <v>0</v>
      </c>
      <c r="I221" s="1235"/>
      <c r="J221" s="1235"/>
    </row>
    <row r="222" spans="1:12" ht="15" customHeight="1">
      <c r="B222" s="102" t="s">
        <v>31245</v>
      </c>
      <c r="C222" s="1088">
        <f>Dati_Anni_precedenti!E58</f>
        <v>0</v>
      </c>
      <c r="D222" s="1088">
        <f>Dati_Anni_precedenti!F58</f>
        <v>0</v>
      </c>
      <c r="E222" s="1088">
        <f>+Altri_dati_eco_fin!G91</f>
        <v>0</v>
      </c>
      <c r="F222" s="1088">
        <f>+Altri_dati_eco_fin!H91</f>
        <v>0</v>
      </c>
      <c r="G222" s="1088">
        <f>+Altri_dati_eco_fin!I91</f>
        <v>0</v>
      </c>
      <c r="H222" s="1088">
        <f>+Altri_dati_eco_fin!J91</f>
        <v>0</v>
      </c>
      <c r="I222" s="1235"/>
      <c r="J222" s="1235"/>
    </row>
  </sheetData>
  <sheetProtection algorithmName="SHA-512" hashValue="ZnxwsSqEw63HY/AhUjXdxnezdrrdkqy4L9Un+n2OImguixmCOlJMrP3mvVx61ZmoPawX5Tkamwu+ri8bOKMRew==" saltValue="LqFrXLlPcS90+eaZPqaUDQ==" spinCount="100000" sheet="1" objects="1" scenarios="1"/>
  <customSheetViews>
    <customSheetView guid="{849F61E1-F6D3-48F4-A6FF-68F8FE186D80}" scale="85" showGridLines="0" topLeftCell="A22">
      <pageMargins left="0.7" right="0.7" top="0.75" bottom="0.75" header="0.3" footer="0.3"/>
      <pageSetup paperSize="9" orientation="portrait" r:id="rId1"/>
    </customSheetView>
    <customSheetView guid="{1E1889AA-9C00-49BF-A07E-295053EABBEF}" scale="85" showGridLines="0">
      <pageMargins left="0.7" right="0.7" top="0.75" bottom="0.75" header="0.3" footer="0.3"/>
      <pageSetup paperSize="9" orientation="portrait" r:id="rId2"/>
    </customSheetView>
    <customSheetView guid="{83029BA9-344F-4783-B8F2-6704FB40A582}" scale="85" showGridLines="0" topLeftCell="A22">
      <pageMargins left="0.7" right="0.7" top="0.75" bottom="0.75" header="0.3" footer="0.3"/>
      <pageSetup paperSize="9" orientation="portrait" r:id="rId3"/>
    </customSheetView>
  </customSheetViews>
  <dataValidations count="1">
    <dataValidation type="whole" operator="lessThanOrEqual" allowBlank="1" showInputMessage="1" showErrorMessage="1" sqref="C204:H204" xr:uid="{FD193D53-B031-49D8-849E-08E7D7FAC32E}">
      <formula1>C209</formula1>
    </dataValidation>
  </dataValidations>
  <pageMargins left="0.7" right="0.7" top="0.75" bottom="0.75" header="0.3" footer="0.3"/>
  <pageSetup paperSize="9" orientation="portrait" r:id="rId4"/>
  <drawing r:id="rId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Foglio34">
    <tabColor rgb="FFFFFFE7"/>
  </sheetPr>
  <dimension ref="A1:K137"/>
  <sheetViews>
    <sheetView showGridLines="0" zoomScale="85" zoomScaleNormal="85" workbookViewId="0"/>
  </sheetViews>
  <sheetFormatPr defaultColWidth="9.42578125" defaultRowHeight="15" customHeight="1"/>
  <cols>
    <col min="1" max="1" width="19.42578125" style="1889" customWidth="1"/>
    <col min="2" max="2" width="37.42578125" style="1890" customWidth="1"/>
    <col min="3" max="8" width="15.5703125" style="1890" customWidth="1"/>
    <col min="9" max="9" width="15.5703125" style="1891" customWidth="1"/>
    <col min="10" max="11" width="15.5703125" style="1890" customWidth="1"/>
    <col min="12" max="16384" width="9.42578125" style="1890"/>
  </cols>
  <sheetData>
    <row r="1" spans="1:9" s="1902" customFormat="1" ht="25.35" customHeight="1">
      <c r="A1" s="1231"/>
      <c r="I1" s="1903"/>
    </row>
    <row r="2" spans="1:9" s="1899" customFormat="1" ht="35.1" customHeight="1" thickBot="1">
      <c r="A2" s="1282" t="s">
        <v>30502</v>
      </c>
      <c r="B2" s="1905" t="s">
        <v>26924</v>
      </c>
      <c r="I2" s="1906"/>
    </row>
    <row r="3" spans="1:9" s="1902" customFormat="1" ht="25.35" customHeight="1" thickTop="1">
      <c r="A3" s="1889"/>
      <c r="I3" s="1903"/>
    </row>
    <row r="4" spans="1:9" s="1902" customFormat="1" ht="45" customHeight="1">
      <c r="A4" s="1889"/>
      <c r="B4" s="1115" t="s">
        <v>26928</v>
      </c>
      <c r="C4" s="1183"/>
      <c r="D4" s="1183"/>
      <c r="E4" s="1116"/>
      <c r="F4" s="1116"/>
      <c r="G4" s="1183"/>
      <c r="H4" s="1184"/>
      <c r="I4" s="1903"/>
    </row>
    <row r="5" spans="1:9" s="1902" customFormat="1" ht="15" customHeight="1">
      <c r="A5" s="1889"/>
      <c r="H5" s="1904"/>
      <c r="I5" s="1903"/>
    </row>
    <row r="6" spans="1:9" s="1902" customFormat="1" ht="15" customHeight="1">
      <c r="A6" s="1889"/>
      <c r="H6" s="1904"/>
      <c r="I6" s="1903"/>
    </row>
    <row r="7" spans="1:9" s="1902" customFormat="1" ht="15" customHeight="1">
      <c r="A7" s="1889"/>
      <c r="H7" s="1904"/>
      <c r="I7" s="1903"/>
    </row>
    <row r="8" spans="1:9" s="1902" customFormat="1" ht="15" customHeight="1">
      <c r="A8" s="1889"/>
      <c r="H8" s="1904"/>
      <c r="I8" s="1903"/>
    </row>
    <row r="9" spans="1:9" s="1902" customFormat="1" ht="15" customHeight="1">
      <c r="A9" s="1889"/>
      <c r="B9" s="68" t="s">
        <v>26915</v>
      </c>
      <c r="C9" s="1774">
        <v>2024</v>
      </c>
      <c r="D9" s="1774">
        <v>2025</v>
      </c>
      <c r="E9" s="1771">
        <v>2026</v>
      </c>
      <c r="F9" s="1772">
        <v>2027</v>
      </c>
      <c r="G9" s="1774">
        <v>2028</v>
      </c>
      <c r="H9" s="1774">
        <v>2029</v>
      </c>
      <c r="I9" s="1903"/>
    </row>
    <row r="10" spans="1:9" s="1902" customFormat="1" ht="15" customHeight="1">
      <c r="A10" s="1889"/>
      <c r="B10" s="1181" t="s">
        <v>22811</v>
      </c>
      <c r="C10" s="2743">
        <f>+SUM(C11:C13)</f>
        <v>0</v>
      </c>
      <c r="D10" s="2743">
        <f>+SUM(D11:D13)</f>
        <v>0</v>
      </c>
      <c r="E10" s="1127">
        <f t="shared" ref="E10:H10" si="0">+SUM(E11:E13)</f>
        <v>0</v>
      </c>
      <c r="F10" s="1127">
        <f t="shared" si="0"/>
        <v>0</v>
      </c>
      <c r="G10" s="1127">
        <f t="shared" si="0"/>
        <v>0</v>
      </c>
      <c r="H10" s="1127">
        <f t="shared" si="0"/>
        <v>0</v>
      </c>
      <c r="I10" s="1903"/>
    </row>
    <row r="11" spans="1:9" s="1902" customFormat="1" ht="15" customHeight="1">
      <c r="A11" s="1889"/>
      <c r="B11" s="893" t="s">
        <v>22809</v>
      </c>
      <c r="C11" s="902">
        <f>C93</f>
        <v>0</v>
      </c>
      <c r="D11" s="902">
        <f>D93</f>
        <v>0</v>
      </c>
      <c r="E11" s="902">
        <f t="shared" ref="E11:H11" si="1">E93</f>
        <v>0</v>
      </c>
      <c r="F11" s="902">
        <f t="shared" si="1"/>
        <v>0</v>
      </c>
      <c r="G11" s="902">
        <f t="shared" si="1"/>
        <v>0</v>
      </c>
      <c r="H11" s="902">
        <f t="shared" si="1"/>
        <v>0</v>
      </c>
      <c r="I11" s="1903"/>
    </row>
    <row r="12" spans="1:9" s="1902" customFormat="1" ht="15" customHeight="1">
      <c r="A12" s="1889"/>
      <c r="B12" s="1212" t="s">
        <v>22808</v>
      </c>
      <c r="C12" s="1221">
        <f>+C79</f>
        <v>0</v>
      </c>
      <c r="D12" s="1221">
        <f>+D79</f>
        <v>0</v>
      </c>
      <c r="E12" s="1221">
        <f t="shared" ref="E12:H12" si="2">+E79</f>
        <v>0</v>
      </c>
      <c r="F12" s="1221">
        <f t="shared" si="2"/>
        <v>0</v>
      </c>
      <c r="G12" s="1221">
        <f t="shared" si="2"/>
        <v>0</v>
      </c>
      <c r="H12" s="1221">
        <f t="shared" si="2"/>
        <v>0</v>
      </c>
      <c r="I12" s="1903"/>
    </row>
    <row r="13" spans="1:9" s="1902" customFormat="1" ht="15" customHeight="1">
      <c r="A13" s="1889"/>
      <c r="B13" s="893" t="s">
        <v>22810</v>
      </c>
      <c r="C13" s="902">
        <f>+C107</f>
        <v>0</v>
      </c>
      <c r="D13" s="902">
        <f>+D107</f>
        <v>0</v>
      </c>
      <c r="E13" s="902">
        <f t="shared" ref="E13:H13" si="3">+E107</f>
        <v>0</v>
      </c>
      <c r="F13" s="902">
        <f t="shared" si="3"/>
        <v>0</v>
      </c>
      <c r="G13" s="902">
        <f t="shared" si="3"/>
        <v>0</v>
      </c>
      <c r="H13" s="902">
        <f t="shared" si="3"/>
        <v>0</v>
      </c>
      <c r="I13" s="1903"/>
    </row>
    <row r="14" spans="1:9" s="1902" customFormat="1" ht="15" customHeight="1">
      <c r="A14" s="1889"/>
      <c r="I14" s="1903"/>
    </row>
    <row r="15" spans="1:9" s="1902" customFormat="1" ht="15" customHeight="1">
      <c r="A15" s="1889"/>
      <c r="I15" s="1903"/>
    </row>
    <row r="16" spans="1:9" s="1902" customFormat="1" ht="15" hidden="1" customHeight="1">
      <c r="A16" s="1889"/>
      <c r="I16" s="1903"/>
    </row>
    <row r="17" spans="1:9" s="1902" customFormat="1" ht="15" hidden="1" customHeight="1">
      <c r="A17" s="1889"/>
      <c r="I17" s="1903"/>
    </row>
    <row r="18" spans="1:9" s="1902" customFormat="1" ht="15" hidden="1" customHeight="1">
      <c r="A18" s="1889"/>
      <c r="I18" s="1903"/>
    </row>
    <row r="19" spans="1:9" s="1902" customFormat="1" ht="15" hidden="1" customHeight="1">
      <c r="A19" s="1889"/>
      <c r="I19" s="1903"/>
    </row>
    <row r="20" spans="1:9" s="1902" customFormat="1" ht="15" hidden="1" customHeight="1">
      <c r="A20" s="1889"/>
      <c r="I20" s="1903"/>
    </row>
    <row r="21" spans="1:9" s="1902" customFormat="1" ht="15" hidden="1" customHeight="1">
      <c r="A21" s="1889"/>
      <c r="I21" s="1903"/>
    </row>
    <row r="22" spans="1:9" s="1902" customFormat="1" ht="15" hidden="1" customHeight="1">
      <c r="A22" s="1889"/>
      <c r="I22" s="1903"/>
    </row>
    <row r="23" spans="1:9" s="1902" customFormat="1" ht="15" customHeight="1">
      <c r="A23" s="1889"/>
      <c r="I23" s="1903"/>
    </row>
    <row r="24" spans="1:9" s="1902" customFormat="1" ht="15" customHeight="1">
      <c r="A24" s="1889"/>
      <c r="I24" s="1903"/>
    </row>
    <row r="25" spans="1:9" s="1902" customFormat="1" ht="15" customHeight="1">
      <c r="A25" s="1889"/>
      <c r="I25" s="1903"/>
    </row>
    <row r="26" spans="1:9" s="1902" customFormat="1" ht="15" customHeight="1">
      <c r="A26" s="1889"/>
      <c r="I26" s="1903"/>
    </row>
    <row r="27" spans="1:9" s="1902" customFormat="1" ht="15" customHeight="1">
      <c r="A27" s="1889"/>
      <c r="I27" s="1903"/>
    </row>
    <row r="28" spans="1:9" s="1902" customFormat="1" ht="15" customHeight="1">
      <c r="A28" s="1889"/>
      <c r="B28" s="68" t="s">
        <v>24891</v>
      </c>
      <c r="C28" s="1774">
        <v>2024</v>
      </c>
      <c r="D28" s="1774">
        <v>2025</v>
      </c>
      <c r="E28" s="1771">
        <v>2026</v>
      </c>
      <c r="F28" s="1772">
        <v>2027</v>
      </c>
      <c r="G28" s="1774">
        <v>2028</v>
      </c>
      <c r="H28" s="1774">
        <v>2029</v>
      </c>
      <c r="I28" s="1903"/>
    </row>
    <row r="29" spans="1:9" s="1902" customFormat="1" ht="15" customHeight="1">
      <c r="A29" s="1889"/>
      <c r="B29" s="880" t="s">
        <v>22811</v>
      </c>
      <c r="C29" s="2576"/>
      <c r="D29" s="2576"/>
      <c r="E29" s="1216">
        <f t="shared" ref="E29:H29" si="4">SUM(E30:E32)</f>
        <v>0</v>
      </c>
      <c r="F29" s="1216">
        <f t="shared" si="4"/>
        <v>0</v>
      </c>
      <c r="G29" s="1216">
        <f t="shared" si="4"/>
        <v>0</v>
      </c>
      <c r="H29" s="1216">
        <f t="shared" si="4"/>
        <v>0</v>
      </c>
      <c r="I29" s="1903"/>
    </row>
    <row r="30" spans="1:9" s="1902" customFormat="1" ht="15" customHeight="1">
      <c r="A30" s="1889"/>
      <c r="B30" s="893" t="s">
        <v>22809</v>
      </c>
      <c r="C30" s="2592"/>
      <c r="D30" s="2592"/>
      <c r="E30" s="902">
        <f t="shared" ref="E30:H30" si="5">+E90</f>
        <v>0</v>
      </c>
      <c r="F30" s="902">
        <f t="shared" si="5"/>
        <v>0</v>
      </c>
      <c r="G30" s="902">
        <f t="shared" si="5"/>
        <v>0</v>
      </c>
      <c r="H30" s="902">
        <f t="shared" si="5"/>
        <v>0</v>
      </c>
      <c r="I30" s="1903"/>
    </row>
    <row r="31" spans="1:9" s="1902" customFormat="1" ht="15" customHeight="1">
      <c r="A31" s="1889"/>
      <c r="B31" s="1212" t="s">
        <v>22808</v>
      </c>
      <c r="C31" s="2593"/>
      <c r="D31" s="2593"/>
      <c r="E31" s="1221">
        <f t="shared" ref="E31:H31" si="6">+IF(OR(schema="IV",schema="V",schema="VI"),E77,0)</f>
        <v>0</v>
      </c>
      <c r="F31" s="1221">
        <f t="shared" si="6"/>
        <v>0</v>
      </c>
      <c r="G31" s="1221">
        <f t="shared" si="6"/>
        <v>0</v>
      </c>
      <c r="H31" s="1221">
        <f t="shared" si="6"/>
        <v>0</v>
      </c>
      <c r="I31" s="1903"/>
    </row>
    <row r="32" spans="1:9" s="1902" customFormat="1" ht="15" customHeight="1">
      <c r="A32" s="1889"/>
      <c r="B32" s="893" t="s">
        <v>22810</v>
      </c>
      <c r="C32" s="2592"/>
      <c r="D32" s="2592"/>
      <c r="E32" s="902">
        <f t="shared" ref="E32:H32" si="7">+E105</f>
        <v>0</v>
      </c>
      <c r="F32" s="902">
        <f t="shared" si="7"/>
        <v>0</v>
      </c>
      <c r="G32" s="902">
        <f t="shared" si="7"/>
        <v>0</v>
      </c>
      <c r="H32" s="902">
        <f t="shared" si="7"/>
        <v>0</v>
      </c>
      <c r="I32" s="1903"/>
    </row>
    <row r="33" spans="1:9" s="1902" customFormat="1" ht="15" customHeight="1">
      <c r="A33" s="1889"/>
      <c r="I33" s="1903"/>
    </row>
    <row r="34" spans="1:9" s="1902" customFormat="1" ht="15" customHeight="1">
      <c r="A34" s="1889"/>
      <c r="I34" s="1903"/>
    </row>
    <row r="35" spans="1:9" s="1902" customFormat="1" ht="15" customHeight="1">
      <c r="A35" s="1889"/>
      <c r="I35" s="1903"/>
    </row>
    <row r="36" spans="1:9" s="1902" customFormat="1" ht="15" customHeight="1">
      <c r="A36" s="1889"/>
      <c r="I36" s="1903"/>
    </row>
    <row r="37" spans="1:9" s="1902" customFormat="1" ht="15" customHeight="1">
      <c r="A37" s="1889"/>
      <c r="I37" s="1903"/>
    </row>
    <row r="38" spans="1:9" ht="15" hidden="1" customHeight="1"/>
    <row r="39" spans="1:9" ht="15" hidden="1" customHeight="1"/>
    <row r="40" spans="1:9" ht="15" hidden="1" customHeight="1"/>
    <row r="41" spans="1:9" ht="15" hidden="1" customHeight="1"/>
    <row r="42" spans="1:9" ht="15" hidden="1" customHeight="1"/>
    <row r="43" spans="1:9" ht="15" hidden="1" customHeight="1"/>
    <row r="44" spans="1:9" ht="15" hidden="1" customHeight="1"/>
    <row r="45" spans="1:9" ht="15" hidden="1" customHeight="1"/>
    <row r="46" spans="1:9" ht="15" hidden="1" customHeight="1"/>
    <row r="47" spans="1:9" ht="15" hidden="1" customHeight="1"/>
    <row r="48" spans="1:9"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spans="1:9" ht="15" hidden="1" customHeight="1"/>
    <row r="66" spans="1:9" ht="15" hidden="1" customHeight="1"/>
    <row r="67" spans="1:9" ht="15" hidden="1" customHeight="1"/>
    <row r="68" spans="1:9" ht="15" hidden="1" customHeight="1"/>
    <row r="69" spans="1:9" s="1899" customFormat="1" ht="13.5" thickBot="1">
      <c r="A69" s="725" t="s">
        <v>30545</v>
      </c>
      <c r="B69" s="1901" t="s">
        <v>24790</v>
      </c>
      <c r="I69" s="1900"/>
    </row>
    <row r="70" spans="1:9" ht="15" customHeight="1" thickTop="1"/>
    <row r="73" spans="1:9" ht="15" customHeight="1">
      <c r="C73" s="1774">
        <v>2024</v>
      </c>
      <c r="D73" s="1774">
        <v>2025</v>
      </c>
      <c r="E73" s="1771">
        <v>2026</v>
      </c>
      <c r="F73" s="1772">
        <v>2027</v>
      </c>
      <c r="G73" s="1774">
        <v>2028</v>
      </c>
      <c r="H73" s="1774">
        <v>2029</v>
      </c>
    </row>
    <row r="74" spans="1:9" ht="15" customHeight="1">
      <c r="B74" s="1331" t="s">
        <v>31209</v>
      </c>
      <c r="C74" s="2594"/>
      <c r="D74" s="2594"/>
      <c r="E74" s="70">
        <f ca="1">'PdI-riepilogo'!F15-('PdI-riepilogo'!F21-'PdI-riepilogo'!F24)</f>
        <v>0</v>
      </c>
      <c r="F74" s="70">
        <f ca="1">'PdI-riepilogo'!G15-('PdI-riepilogo'!G21-'PdI-riepilogo'!G24)</f>
        <v>0</v>
      </c>
      <c r="G74" s="70">
        <f ca="1">'PdI-riepilogo'!H15-('PdI-riepilogo'!H21-'PdI-riepilogo'!H24)</f>
        <v>0</v>
      </c>
      <c r="H74" s="70">
        <f ca="1">'PdI-riepilogo'!I15-('PdI-riepilogo'!I21-'PdI-riepilogo'!I24)</f>
        <v>0</v>
      </c>
    </row>
    <row r="75" spans="1:9" ht="15" customHeight="1">
      <c r="B75" s="69" t="s">
        <v>25129</v>
      </c>
      <c r="C75" s="2594"/>
      <c r="D75" s="2594"/>
      <c r="E75" s="70">
        <f>+Capex!E10+ERC!E11</f>
        <v>0</v>
      </c>
      <c r="F75" s="70">
        <f>+Capex!F10+ERC!F11</f>
        <v>0</v>
      </c>
      <c r="G75" s="70">
        <f>+Capex!G10+ERC!G11</f>
        <v>0</v>
      </c>
      <c r="H75" s="70">
        <f>+Capex!H10+ERC!H11</f>
        <v>0</v>
      </c>
    </row>
    <row r="76" spans="1:9" ht="15" customHeight="1">
      <c r="B76" s="69" t="s">
        <v>24762</v>
      </c>
      <c r="C76" s="2595"/>
      <c r="D76" s="2595"/>
      <c r="E76" s="1332">
        <f>Input_per_calcoli_finali!$K$51</f>
        <v>0</v>
      </c>
      <c r="F76" s="1332">
        <f>Input_per_calcoli_finali!$K$51</f>
        <v>0</v>
      </c>
      <c r="G76" s="1332">
        <f>Input_per_calcoli_finali!$K$51</f>
        <v>0</v>
      </c>
      <c r="H76" s="1332">
        <f>Input_per_calcoli_finali!$K$51</f>
        <v>0</v>
      </c>
    </row>
    <row r="77" spans="1:9" ht="15" customHeight="1">
      <c r="B77" s="69" t="s">
        <v>22822</v>
      </c>
      <c r="C77" s="2596"/>
      <c r="D77" s="2596"/>
      <c r="E77" s="1105">
        <f t="shared" ref="E77:H77" si="8">IF(OR(schema="IV",schema="V",schema="VI"),MAX(0,E76*(E74-E75)),0)</f>
        <v>0</v>
      </c>
      <c r="F77" s="1105">
        <f t="shared" si="8"/>
        <v>0</v>
      </c>
      <c r="G77" s="1105">
        <f t="shared" si="8"/>
        <v>0</v>
      </c>
      <c r="H77" s="1105">
        <f t="shared" si="8"/>
        <v>0</v>
      </c>
    </row>
    <row r="78" spans="1:9" ht="15" customHeight="1">
      <c r="B78" s="69" t="s">
        <v>22873</v>
      </c>
      <c r="C78" s="2597"/>
      <c r="D78" s="2597"/>
      <c r="E78" s="1166">
        <f>Input_per_calcoli_finali!K124</f>
        <v>0</v>
      </c>
      <c r="F78" s="1166">
        <f>Input_per_calcoli_finali!L124</f>
        <v>0</v>
      </c>
      <c r="G78" s="1166">
        <f>Input_per_calcoli_finali!M124</f>
        <v>0</v>
      </c>
      <c r="H78" s="1166">
        <f>Input_per_calcoli_finali!N124</f>
        <v>0</v>
      </c>
    </row>
    <row r="79" spans="1:9" ht="15" customHeight="1">
      <c r="B79" s="2599" t="s">
        <v>29624</v>
      </c>
      <c r="C79" s="2743">
        <f>+Dati_Anni_precedenti!E32</f>
        <v>0</v>
      </c>
      <c r="D79" s="2743">
        <f>+Dati_Anni_precedenti!F32</f>
        <v>0</v>
      </c>
      <c r="E79" s="48">
        <f t="shared" ref="E79:H79" si="9">IF(OR(schema="IV",schema="V",schema="VI"),MAX(0,E77-E78),0)</f>
        <v>0</v>
      </c>
      <c r="F79" s="48">
        <f t="shared" si="9"/>
        <v>0</v>
      </c>
      <c r="G79" s="48">
        <f t="shared" si="9"/>
        <v>0</v>
      </c>
      <c r="H79" s="48">
        <f t="shared" si="9"/>
        <v>0</v>
      </c>
    </row>
    <row r="85" spans="1:9" s="1899" customFormat="1" ht="16.5" thickBot="1">
      <c r="A85" s="725" t="s">
        <v>30546</v>
      </c>
      <c r="B85" s="1901" t="s">
        <v>24791</v>
      </c>
      <c r="I85" s="1900"/>
    </row>
    <row r="86" spans="1:9" ht="15" customHeight="1" thickTop="1"/>
    <row r="87" spans="1:9" ht="15" customHeight="1">
      <c r="C87" s="1897"/>
      <c r="D87" s="1897"/>
      <c r="E87" s="1897"/>
      <c r="F87" s="1897"/>
    </row>
    <row r="89" spans="1:9" ht="15" customHeight="1">
      <c r="C89" s="1774">
        <v>2024</v>
      </c>
      <c r="D89" s="1774">
        <v>2025</v>
      </c>
      <c r="E89" s="1771">
        <v>2026</v>
      </c>
      <c r="F89" s="1772">
        <v>2027</v>
      </c>
      <c r="G89" s="1774">
        <v>2028</v>
      </c>
      <c r="H89" s="1774">
        <v>2029</v>
      </c>
    </row>
    <row r="90" spans="1:9" ht="15" customHeight="1">
      <c r="B90" s="69" t="s">
        <v>22865</v>
      </c>
      <c r="C90" s="2600"/>
      <c r="D90" s="2600"/>
      <c r="E90" s="70">
        <f>TT_riepilogo_IMN!G13+SUMIF(IMN_Proprietari!$C:$C,"Altra società privata",IMN_Proprietari!$AT:$AT)</f>
        <v>0</v>
      </c>
      <c r="F90" s="70">
        <f>TT_riepilogo_IMN!H13+SUMIF(IMN_Proprietari!$C:$C,"Altra società privata",IMN_Proprietari!$BD:$BD)</f>
        <v>0</v>
      </c>
      <c r="G90" s="70">
        <f>TT_riepilogo_IMN!I13+SUMIF(IMN_Proprietari!$C:$C,"Altra società privata",IMN_Proprietari!$BN:$BN)</f>
        <v>0</v>
      </c>
      <c r="H90" s="70">
        <f>TT_riepilogo_IMN!J13+SUMIF(IMN_Proprietari!$C:$C,"Altra società privata",IMN_Proprietari!$BX:$BX)</f>
        <v>0</v>
      </c>
    </row>
    <row r="91" spans="1:9" ht="32.25">
      <c r="B91" s="1537" t="s">
        <v>29613</v>
      </c>
      <c r="C91" s="2601"/>
      <c r="D91" s="2601"/>
      <c r="E91" s="107">
        <f t="shared" ref="E91:H91" si="10">+IF(E136="SI",0,E90)</f>
        <v>0</v>
      </c>
      <c r="F91" s="107">
        <f t="shared" si="10"/>
        <v>0</v>
      </c>
      <c r="G91" s="107">
        <f t="shared" si="10"/>
        <v>0</v>
      </c>
      <c r="H91" s="107">
        <f t="shared" si="10"/>
        <v>0</v>
      </c>
    </row>
    <row r="92" spans="1:9" ht="15" customHeight="1">
      <c r="B92" s="69" t="s">
        <v>22872</v>
      </c>
      <c r="C92" s="2602"/>
      <c r="D92" s="2602"/>
      <c r="E92" s="1166">
        <f>Input_per_calcoli_finali!K128</f>
        <v>0</v>
      </c>
      <c r="F92" s="1166">
        <f>Input_per_calcoli_finali!L128</f>
        <v>0</v>
      </c>
      <c r="G92" s="1166">
        <f>Input_per_calcoli_finali!M128</f>
        <v>0</v>
      </c>
      <c r="H92" s="1166">
        <f>Input_per_calcoli_finali!N128</f>
        <v>0</v>
      </c>
    </row>
    <row r="93" spans="1:9" ht="15" customHeight="1">
      <c r="B93" s="2598" t="s">
        <v>29615</v>
      </c>
      <c r="C93" s="2743">
        <f>+Dati_Anni_precedenti!E30</f>
        <v>0</v>
      </c>
      <c r="D93" s="2743">
        <f>+Dati_Anni_precedenti!F30</f>
        <v>0</v>
      </c>
      <c r="E93" s="48">
        <f t="shared" ref="E93:H93" si="11">MAX(0,E91-E92)</f>
        <v>0</v>
      </c>
      <c r="F93" s="48">
        <f t="shared" si="11"/>
        <v>0</v>
      </c>
      <c r="G93" s="48">
        <f t="shared" si="11"/>
        <v>0</v>
      </c>
      <c r="H93" s="48">
        <f t="shared" si="11"/>
        <v>0</v>
      </c>
    </row>
    <row r="99" spans="1:9" s="1899" customFormat="1" ht="16.5" thickBot="1">
      <c r="A99" s="725" t="s">
        <v>30547</v>
      </c>
      <c r="B99" s="1901" t="s">
        <v>24792</v>
      </c>
      <c r="I99" s="1900"/>
    </row>
    <row r="100" spans="1:9" ht="15" customHeight="1" thickTop="1"/>
    <row r="103" spans="1:9" ht="15" customHeight="1">
      <c r="C103" s="1774">
        <v>2024</v>
      </c>
      <c r="D103" s="1774">
        <v>2025</v>
      </c>
      <c r="E103" s="1771">
        <v>2026</v>
      </c>
      <c r="F103" s="1772">
        <v>2027</v>
      </c>
      <c r="G103" s="1774">
        <v>2028</v>
      </c>
      <c r="H103" s="1774">
        <v>2029</v>
      </c>
    </row>
    <row r="104" spans="1:9" ht="15" customHeight="1">
      <c r="B104" s="69" t="s">
        <v>24763</v>
      </c>
      <c r="C104" s="2600"/>
      <c r="D104" s="2600"/>
      <c r="E104" s="70">
        <f>+Capex!E136-Capex!E14</f>
        <v>0</v>
      </c>
      <c r="F104" s="70">
        <f>+Capex!F136-Capex!F14</f>
        <v>0</v>
      </c>
      <c r="G104" s="70">
        <f>+Capex!G136-Capex!G14</f>
        <v>0</v>
      </c>
      <c r="H104" s="70">
        <f>+Capex!H136-Capex!H14</f>
        <v>0</v>
      </c>
    </row>
    <row r="105" spans="1:9" ht="43.5">
      <c r="B105" s="1537" t="s">
        <v>29614</v>
      </c>
      <c r="C105" s="2600"/>
      <c r="D105" s="2600"/>
      <c r="E105" s="70">
        <f t="shared" ref="E105:H105" si="12">+IF(E135="SI",0,E104)</f>
        <v>0</v>
      </c>
      <c r="F105" s="70">
        <f t="shared" si="12"/>
        <v>0</v>
      </c>
      <c r="G105" s="70">
        <f t="shared" si="12"/>
        <v>0</v>
      </c>
      <c r="H105" s="70">
        <f t="shared" si="12"/>
        <v>0</v>
      </c>
    </row>
    <row r="106" spans="1:9" ht="15" customHeight="1">
      <c r="B106" s="69" t="s">
        <v>24901</v>
      </c>
      <c r="C106" s="2602"/>
      <c r="D106" s="2602"/>
      <c r="E106" s="1166">
        <f>+Input_per_calcoli_finali!K132</f>
        <v>0</v>
      </c>
      <c r="F106" s="1166">
        <f>+Input_per_calcoli_finali!L132</f>
        <v>0</v>
      </c>
      <c r="G106" s="1166">
        <f>+Input_per_calcoli_finali!M132</f>
        <v>0</v>
      </c>
      <c r="H106" s="1166">
        <f>+Input_per_calcoli_finali!N132</f>
        <v>0</v>
      </c>
    </row>
    <row r="107" spans="1:9" ht="15" customHeight="1">
      <c r="B107" s="2598" t="s">
        <v>22812</v>
      </c>
      <c r="C107" s="2743">
        <f>+Dati_Anni_precedenti!E31</f>
        <v>0</v>
      </c>
      <c r="D107" s="2743">
        <f>+Dati_Anni_precedenti!F31</f>
        <v>0</v>
      </c>
      <c r="E107" s="48">
        <f t="shared" ref="E107:H107" si="13">MAX(0,E105-E106)</f>
        <v>0</v>
      </c>
      <c r="F107" s="48">
        <f t="shared" si="13"/>
        <v>0</v>
      </c>
      <c r="G107" s="48">
        <f t="shared" si="13"/>
        <v>0</v>
      </c>
      <c r="H107" s="48">
        <f t="shared" si="13"/>
        <v>0</v>
      </c>
    </row>
    <row r="113" spans="1:11" s="1899" customFormat="1" ht="13.5" thickBot="1">
      <c r="A113" s="725" t="s">
        <v>30548</v>
      </c>
      <c r="B113" s="1898" t="s">
        <v>27045</v>
      </c>
      <c r="I113" s="1900"/>
      <c r="J113" s="1898"/>
    </row>
    <row r="114" spans="1:11" ht="15" customHeight="1" thickTop="1"/>
    <row r="116" spans="1:11" ht="15" customHeight="1">
      <c r="K116" s="1655"/>
    </row>
    <row r="117" spans="1:11" ht="30" customHeight="1">
      <c r="B117" s="1285" t="s">
        <v>30439</v>
      </c>
      <c r="C117" s="1287"/>
      <c r="D117" s="1287"/>
      <c r="E117" s="1613"/>
      <c r="F117" s="1287"/>
      <c r="G117" s="1288"/>
      <c r="H117" s="1289"/>
      <c r="K117" s="1655"/>
    </row>
    <row r="118" spans="1:11" ht="15" customHeight="1">
      <c r="K118" s="1655"/>
    </row>
    <row r="119" spans="1:11" ht="15" customHeight="1">
      <c r="C119" s="1774">
        <v>2024</v>
      </c>
      <c r="D119" s="1774">
        <v>2025</v>
      </c>
      <c r="E119" s="1771">
        <v>2026</v>
      </c>
      <c r="F119" s="1772">
        <v>2027</v>
      </c>
      <c r="G119" s="1774">
        <v>2028</v>
      </c>
      <c r="H119" s="1774">
        <v>2029</v>
      </c>
      <c r="K119" s="1655"/>
    </row>
    <row r="120" spans="1:11" ht="15" customHeight="1">
      <c r="B120" s="871" t="s">
        <v>29588</v>
      </c>
      <c r="C120" s="2603"/>
      <c r="D120" s="2603"/>
      <c r="E120" s="1147">
        <f>+SUM(Dati_Anni_precedenti!E30:E32)</f>
        <v>0</v>
      </c>
      <c r="F120" s="1147">
        <f>+SUM(Dati_Anni_precedenti!F30:F32)</f>
        <v>0</v>
      </c>
      <c r="G120" s="1147">
        <f>+E10</f>
        <v>0</v>
      </c>
      <c r="H120" s="1147">
        <f>+F10</f>
        <v>0</v>
      </c>
      <c r="I120"/>
      <c r="K120" s="1655"/>
    </row>
    <row r="121" spans="1:11" ht="15.75">
      <c r="B121" s="1534" t="s">
        <v>30602</v>
      </c>
      <c r="C121" s="2604"/>
      <c r="D121" s="2604"/>
      <c r="E121" s="1555">
        <f>+Altri_dati_eco_fin!E56</f>
        <v>0</v>
      </c>
      <c r="F121" s="1555">
        <f>+Altri_dati_eco_fin!F56</f>
        <v>0</v>
      </c>
      <c r="G121" s="849">
        <f>PdI_consolidamento!X6</f>
        <v>0</v>
      </c>
      <c r="H121" s="849">
        <f>PdI_consolidamento!Y6</f>
        <v>0</v>
      </c>
      <c r="I121"/>
      <c r="K121" s="1655"/>
    </row>
    <row r="122" spans="1:11" ht="15" customHeight="1">
      <c r="B122" s="1614" t="s">
        <v>29765</v>
      </c>
      <c r="C122" s="849">
        <f>+Dati_Anni_precedenti!E92</f>
        <v>0</v>
      </c>
      <c r="D122" s="849">
        <f>+Dati_Anni_precedenti!F92</f>
        <v>0</v>
      </c>
      <c r="E122" s="849">
        <f t="shared" ref="E122:H122" si="14">+MAX(E120-E121,0)</f>
        <v>0</v>
      </c>
      <c r="F122" s="849">
        <f t="shared" si="14"/>
        <v>0</v>
      </c>
      <c r="G122" s="849">
        <f t="shared" si="14"/>
        <v>0</v>
      </c>
      <c r="H122" s="849">
        <f t="shared" si="14"/>
        <v>0</v>
      </c>
      <c r="K122" s="1655"/>
    </row>
    <row r="123" spans="1:11" ht="15" customHeight="1">
      <c r="B123" s="1354" t="s">
        <v>24876</v>
      </c>
      <c r="C123" s="2743">
        <f>+MAX(C122*C125,0)</f>
        <v>0</v>
      </c>
      <c r="D123" s="2743">
        <f>+MAX(C123*VLOOKUP(D119-1,ifl,D119 - 2010,FALSE)+D122*D125,0)</f>
        <v>0</v>
      </c>
      <c r="E123" s="138">
        <f>+MAX(D123*VLOOKUP(E119-1,ifl,E119 - 2010,FALSE)+E122*E125,0)</f>
        <v>0</v>
      </c>
      <c r="F123" s="138">
        <f>+MAX(E123*VLOOKUP(F119-1,ifl,F119 - 2010,FALSE)+F122*F125,0)</f>
        <v>0</v>
      </c>
      <c r="G123" s="138">
        <f>+MAX(F123*VLOOKUP(G119-1,ifl,G119 - 2010,FALSE)+G122*G125,0)</f>
        <v>0</v>
      </c>
      <c r="H123" s="138">
        <f>+MAX(G123*VLOOKUP(H119-1,ifl,H119 - 2010,FALSE)+H122*H125,0)</f>
        <v>0</v>
      </c>
      <c r="I123" s="1894"/>
    </row>
    <row r="124" spans="1:11" ht="15" customHeight="1">
      <c r="K124" s="1655"/>
    </row>
    <row r="125" spans="1:11" ht="15" customHeight="1">
      <c r="B125" s="1355" t="s">
        <v>22830</v>
      </c>
      <c r="C125" s="52">
        <f>+VLOOKUP(C119-2,ifl,C119 - 2010,FALSE)</f>
        <v>1.0629520000000001</v>
      </c>
      <c r="D125" s="52">
        <f>+VLOOKUP(D119-2,ifl,D119 - 2010,FALSE)</f>
        <v>1.026972</v>
      </c>
      <c r="E125" s="52">
        <f t="shared" ref="E125:H125" si="15">+VLOOKUP(E119-2,ifl,E119 - 2010,FALSE)</f>
        <v>0.99999899999999986</v>
      </c>
      <c r="F125" s="52">
        <f t="shared" si="15"/>
        <v>1.0009999999999999</v>
      </c>
      <c r="G125" s="52">
        <f t="shared" si="15"/>
        <v>1</v>
      </c>
      <c r="H125" s="52">
        <f t="shared" si="15"/>
        <v>1</v>
      </c>
      <c r="I125" s="1894"/>
      <c r="K125" s="1655"/>
    </row>
    <row r="126" spans="1:11" ht="15" customHeight="1">
      <c r="B126" s="1655"/>
      <c r="C126" s="1907"/>
      <c r="D126" s="1907"/>
      <c r="E126" s="1655"/>
      <c r="F126" s="1907"/>
      <c r="G126" s="1907"/>
      <c r="H126" s="1907"/>
      <c r="K126" s="1655"/>
    </row>
    <row r="127" spans="1:11" s="1655" customFormat="1" ht="24.6" customHeight="1">
      <c r="A127" s="1896"/>
      <c r="B127" s="1534" t="s">
        <v>29980</v>
      </c>
      <c r="C127" s="1793" t="str">
        <f>+IF(C123&lt;&gt;0,"Verificare il valore del FoNIspesa","OK")</f>
        <v>OK</v>
      </c>
      <c r="D127" s="1793" t="str">
        <f>+IF(D123&lt;&gt;0,"Verificare il valore del FoNIspesa","OK")</f>
        <v>OK</v>
      </c>
      <c r="E127" s="1793" t="str">
        <f t="shared" ref="E127:H127" si="16">+IF(E123&lt;&gt;0,"Verificare il valore del FoNIspesa","OK")</f>
        <v>OK</v>
      </c>
      <c r="F127" s="1793" t="str">
        <f t="shared" si="16"/>
        <v>OK</v>
      </c>
      <c r="G127" s="1793" t="str">
        <f t="shared" si="16"/>
        <v>OK</v>
      </c>
      <c r="H127" s="1793" t="str">
        <f t="shared" si="16"/>
        <v>OK</v>
      </c>
      <c r="I127" s="1895"/>
    </row>
    <row r="128" spans="1:11" ht="15" customHeight="1">
      <c r="B128" s="1892"/>
      <c r="E128" s="1893"/>
      <c r="F128" s="1893"/>
      <c r="K128" s="1655"/>
    </row>
    <row r="129" spans="2:11" ht="30" customHeight="1">
      <c r="B129" s="1286" t="s">
        <v>29696</v>
      </c>
      <c r="C129" s="1287"/>
      <c r="D129" s="1287"/>
      <c r="E129" s="1287"/>
      <c r="F129" s="1287"/>
      <c r="G129" s="1288"/>
      <c r="H129" s="1289"/>
      <c r="K129" s="1655"/>
    </row>
    <row r="130" spans="2:11" ht="15" customHeight="1">
      <c r="B130" s="1892"/>
      <c r="E130" s="1893"/>
      <c r="F130" s="1893"/>
      <c r="K130" s="1655"/>
    </row>
    <row r="131" spans="2:11" ht="15" customHeight="1">
      <c r="C131" s="1774">
        <v>2024</v>
      </c>
      <c r="D131" s="1774">
        <v>2025</v>
      </c>
      <c r="E131" s="1771">
        <v>2026</v>
      </c>
      <c r="F131" s="1772">
        <v>2027</v>
      </c>
      <c r="G131" s="1774">
        <v>2028</v>
      </c>
      <c r="H131" s="1774">
        <v>2029</v>
      </c>
      <c r="K131" s="1655"/>
    </row>
    <row r="132" spans="2:11" ht="15" customHeight="1">
      <c r="B132" s="73" t="s">
        <v>22826</v>
      </c>
      <c r="C132" s="2605"/>
      <c r="D132" s="2605"/>
      <c r="E132" s="71" t="str">
        <f t="shared" ref="E132:H132" si="17">+IF(ROUND(E123,0)=0,"NO","SI")</f>
        <v>NO</v>
      </c>
      <c r="F132" s="71" t="str">
        <f t="shared" si="17"/>
        <v>NO</v>
      </c>
      <c r="G132" s="71" t="str">
        <f t="shared" si="17"/>
        <v>NO</v>
      </c>
      <c r="H132" s="71" t="str">
        <f t="shared" si="17"/>
        <v>NO</v>
      </c>
      <c r="K132" s="1655"/>
    </row>
    <row r="133" spans="2:11" ht="15" customHeight="1">
      <c r="B133" s="69" t="s">
        <v>22716</v>
      </c>
      <c r="C133" s="2591"/>
      <c r="D133" s="2591"/>
      <c r="E133" s="1786" t="str">
        <f>Ammortamento_Finanziario!H4</f>
        <v>NO</v>
      </c>
      <c r="F133" s="1786" t="str">
        <f>Ammortamento_Finanziario!I4</f>
        <v>NO</v>
      </c>
      <c r="G133" s="1786" t="str">
        <f>Ammortamento_Finanziario!J4</f>
        <v>NO</v>
      </c>
      <c r="H133" s="1786" t="str">
        <f>Ammortamento_Finanziario!K4</f>
        <v>NO</v>
      </c>
      <c r="K133" s="1655"/>
    </row>
    <row r="134" spans="2:11" ht="15" customHeight="1">
      <c r="K134" s="1655"/>
    </row>
    <row r="135" spans="2:11" ht="15" customHeight="1">
      <c r="B135" s="69" t="s">
        <v>22814</v>
      </c>
      <c r="C135" s="2605"/>
      <c r="D135" s="2605"/>
      <c r="E135" s="71" t="str">
        <f t="shared" ref="E135:H135" si="18">+IF(OR(E133="SI",E132="SI"),"SI","NO")</f>
        <v>NO</v>
      </c>
      <c r="F135" s="71" t="str">
        <f t="shared" si="18"/>
        <v>NO</v>
      </c>
      <c r="G135" s="71" t="str">
        <f t="shared" si="18"/>
        <v>NO</v>
      </c>
      <c r="H135" s="71" t="str">
        <f t="shared" si="18"/>
        <v>NO</v>
      </c>
      <c r="K135" s="1655"/>
    </row>
    <row r="136" spans="2:11" ht="15" customHeight="1">
      <c r="B136" s="69" t="s">
        <v>22815</v>
      </c>
      <c r="C136" s="2605"/>
      <c r="D136" s="2605"/>
      <c r="E136" s="71" t="str">
        <f t="shared" ref="E136:H136" si="19">+IF(AND(E132="SI",E122&gt;E107),"SI","NO")</f>
        <v>NO</v>
      </c>
      <c r="F136" s="71" t="str">
        <f t="shared" si="19"/>
        <v>NO</v>
      </c>
      <c r="G136" s="71" t="str">
        <f t="shared" si="19"/>
        <v>NO</v>
      </c>
      <c r="H136" s="71" t="str">
        <f t="shared" si="19"/>
        <v>NO</v>
      </c>
      <c r="K136" s="1655"/>
    </row>
    <row r="137" spans="2:11" ht="15" customHeight="1">
      <c r="K137" s="1655"/>
    </row>
  </sheetData>
  <sheetProtection algorithmName="SHA-512" hashValue="CeMxBnbx2gUnG4rnFPK10qMGjiVg+H4megHuWR9iH/30Uz88eC5xHk4V2pLdIn5y6WZIDT2Qym1tpN4jEBGHiw==" saltValue="hK/JOuhdpI176UNcogr14Q==" spinCount="100000" sheet="1" objects="1" scenarios="1"/>
  <customSheetViews>
    <customSheetView guid="{849F61E1-F6D3-48F4-A6FF-68F8FE186D80}" scale="85" showGridLines="0">
      <pageMargins left="0.7" right="0.7" top="0.75" bottom="0.75" header="0.3" footer="0.3"/>
      <pageSetup paperSize="9" orientation="portrait" r:id="rId1"/>
    </customSheetView>
    <customSheetView guid="{1E1889AA-9C00-49BF-A07E-295053EABBEF}" scale="85" showGridLines="0">
      <pageMargins left="0.7" right="0.7" top="0.75" bottom="0.75" header="0.3" footer="0.3"/>
      <pageSetup paperSize="9" orientation="portrait" r:id="rId2"/>
    </customSheetView>
    <customSheetView guid="{83029BA9-344F-4783-B8F2-6704FB40A582}" scale="85" showGridLines="0">
      <pageMargins left="0.7" right="0.7" top="0.75" bottom="0.75" header="0.3" footer="0.3"/>
      <pageSetup paperSize="9" orientation="portrait" r:id="rId3"/>
    </customSheetView>
  </customSheetViews>
  <pageMargins left="0.7" right="0.7" top="0.75" bottom="0.75" header="0.3" footer="0.3"/>
  <pageSetup paperSize="9" orientation="portrait" r:id="rId4"/>
  <drawing r:id="rId5"/>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Foglio15">
    <tabColor rgb="FFFFFFE7"/>
  </sheetPr>
  <dimension ref="A1:R336"/>
  <sheetViews>
    <sheetView showGridLines="0" zoomScale="85" zoomScaleNormal="85" workbookViewId="0"/>
  </sheetViews>
  <sheetFormatPr defaultColWidth="9.42578125" defaultRowHeight="12.75"/>
  <cols>
    <col min="1" max="1" width="17.7109375" style="870" customWidth="1"/>
    <col min="2" max="2" width="42.42578125" style="10" customWidth="1"/>
    <col min="3" max="7" width="15.5703125" style="10" customWidth="1"/>
    <col min="8" max="8" width="15.7109375" style="10" customWidth="1"/>
    <col min="9" max="14" width="15.5703125" style="10" customWidth="1"/>
    <col min="15" max="15" width="40.5703125" style="10" customWidth="1"/>
    <col min="16" max="16384" width="9.42578125" style="10"/>
  </cols>
  <sheetData>
    <row r="1" spans="1:14" s="61" customFormat="1" ht="25.35" customHeight="1">
      <c r="A1" s="1231"/>
    </row>
    <row r="2" spans="1:14" s="727" customFormat="1" ht="35.1" customHeight="1" thickBot="1">
      <c r="A2" s="1282" t="s">
        <v>30549</v>
      </c>
      <c r="B2" s="1280" t="s">
        <v>25655</v>
      </c>
      <c r="I2" s="728"/>
    </row>
    <row r="3" spans="1:14" s="61" customFormat="1" ht="25.35" customHeight="1" thickTop="1">
      <c r="A3" s="1126"/>
      <c r="D3" s="36"/>
    </row>
    <row r="4" spans="1:14" s="61" customFormat="1" ht="45" customHeight="1">
      <c r="A4" s="1126"/>
      <c r="B4" s="1290" t="s">
        <v>26929</v>
      </c>
      <c r="C4" s="1291"/>
      <c r="D4" s="1291"/>
      <c r="E4" s="1291"/>
      <c r="F4" s="1291"/>
      <c r="G4" s="1292"/>
      <c r="H4" s="1293"/>
    </row>
    <row r="5" spans="1:14" s="61" customFormat="1" ht="15" customHeight="1">
      <c r="A5" s="1126"/>
    </row>
    <row r="6" spans="1:14" s="61" customFormat="1" ht="15" customHeight="1">
      <c r="A6" s="1126"/>
    </row>
    <row r="7" spans="1:14" s="61" customFormat="1" ht="15" customHeight="1">
      <c r="A7" s="1126"/>
    </row>
    <row r="8" spans="1:14" s="61" customFormat="1" ht="15" customHeight="1">
      <c r="A8" s="1126"/>
    </row>
    <row r="9" spans="1:14" s="61" customFormat="1" ht="15" customHeight="1">
      <c r="A9" s="1126"/>
      <c r="B9" s="68" t="s">
        <v>26915</v>
      </c>
      <c r="C9" s="1773">
        <v>2024</v>
      </c>
      <c r="D9" s="1773">
        <v>2025</v>
      </c>
      <c r="E9" s="1771">
        <v>2026</v>
      </c>
      <c r="F9" s="1772">
        <v>2027</v>
      </c>
      <c r="G9" s="1774">
        <v>2028</v>
      </c>
      <c r="H9" s="1774">
        <v>2029</v>
      </c>
      <c r="L9" s="77"/>
      <c r="M9" s="77"/>
      <c r="N9" s="77"/>
    </row>
    <row r="10" spans="1:14" s="61" customFormat="1" ht="15" customHeight="1">
      <c r="A10" s="1126"/>
      <c r="B10" s="1181" t="s">
        <v>22877</v>
      </c>
      <c r="C10" s="2747">
        <f>+SUM(C11:C13)</f>
        <v>0</v>
      </c>
      <c r="D10" s="2747">
        <f>+SUM(D11:D13)</f>
        <v>0</v>
      </c>
      <c r="E10" s="1232">
        <f t="shared" ref="E10:H10" ca="1" si="0">+SUM(E11:E13)</f>
        <v>0</v>
      </c>
      <c r="F10" s="1232">
        <f t="shared" ca="1" si="0"/>
        <v>0</v>
      </c>
      <c r="G10" s="1232">
        <f t="shared" ca="1" si="0"/>
        <v>0</v>
      </c>
      <c r="H10" s="1232">
        <f t="shared" ca="1" si="0"/>
        <v>0</v>
      </c>
    </row>
    <row r="11" spans="1:14" s="61" customFormat="1" ht="15" customHeight="1">
      <c r="A11" s="1126"/>
      <c r="B11" s="1214" t="s">
        <v>237</v>
      </c>
      <c r="C11" s="1234">
        <f>+C57</f>
        <v>0</v>
      </c>
      <c r="D11" s="1234">
        <f>+D57</f>
        <v>0</v>
      </c>
      <c r="E11" s="1234">
        <f t="shared" ref="E11:H11" si="1">+E57</f>
        <v>0</v>
      </c>
      <c r="F11" s="1234">
        <f t="shared" si="1"/>
        <v>0</v>
      </c>
      <c r="G11" s="1234">
        <f t="shared" si="1"/>
        <v>0</v>
      </c>
      <c r="H11" s="1234">
        <f t="shared" si="1"/>
        <v>0</v>
      </c>
      <c r="L11" s="77"/>
      <c r="M11" s="77"/>
      <c r="N11" s="77"/>
    </row>
    <row r="12" spans="1:14" s="61" customFormat="1" ht="15" customHeight="1">
      <c r="A12" s="1126"/>
      <c r="B12" s="1215" t="s">
        <v>26871</v>
      </c>
      <c r="C12" s="1224">
        <f>+C155</f>
        <v>0</v>
      </c>
      <c r="D12" s="1224">
        <f>+D155</f>
        <v>0</v>
      </c>
      <c r="E12" s="1224">
        <f t="shared" ref="E12:H12" si="2">+E155</f>
        <v>0</v>
      </c>
      <c r="F12" s="1224">
        <f t="shared" si="2"/>
        <v>0</v>
      </c>
      <c r="G12" s="1224">
        <f t="shared" si="2"/>
        <v>0</v>
      </c>
      <c r="H12" s="1224">
        <f t="shared" si="2"/>
        <v>0</v>
      </c>
      <c r="L12" s="77"/>
      <c r="M12" s="77"/>
      <c r="N12" s="77"/>
    </row>
    <row r="13" spans="1:14" s="61" customFormat="1" ht="15" customHeight="1">
      <c r="A13" s="1126"/>
      <c r="B13" s="1214" t="s">
        <v>26797</v>
      </c>
      <c r="C13" s="1234">
        <f>+C72</f>
        <v>0</v>
      </c>
      <c r="D13" s="1234">
        <f>+D72</f>
        <v>0</v>
      </c>
      <c r="E13" s="1234">
        <f t="shared" ref="E13:H13" ca="1" si="3">+E72</f>
        <v>0</v>
      </c>
      <c r="F13" s="1234">
        <f t="shared" ca="1" si="3"/>
        <v>0</v>
      </c>
      <c r="G13" s="1234">
        <f t="shared" ca="1" si="3"/>
        <v>0</v>
      </c>
      <c r="H13" s="1234">
        <f t="shared" ca="1" si="3"/>
        <v>0</v>
      </c>
      <c r="L13" s="77"/>
      <c r="M13" s="77"/>
      <c r="N13" s="77"/>
    </row>
    <row r="14" spans="1:14" s="61" customFormat="1" ht="15" customHeight="1">
      <c r="A14" s="1126"/>
      <c r="B14" s="77"/>
      <c r="C14" s="77"/>
      <c r="D14" s="77"/>
      <c r="E14" s="77"/>
      <c r="F14" s="77"/>
    </row>
    <row r="15" spans="1:14" s="61" customFormat="1" ht="15" customHeight="1">
      <c r="A15" s="1126"/>
    </row>
    <row r="16" spans="1:14" s="61" customFormat="1" ht="15" customHeight="1">
      <c r="A16" s="1126"/>
    </row>
    <row r="17" spans="1:14" s="61" customFormat="1" ht="15" hidden="1" customHeight="1">
      <c r="A17" s="1126"/>
    </row>
    <row r="18" spans="1:14" s="61" customFormat="1" ht="15" hidden="1" customHeight="1">
      <c r="A18" s="1126"/>
    </row>
    <row r="19" spans="1:14" s="61" customFormat="1" ht="15" hidden="1" customHeight="1">
      <c r="A19" s="1126"/>
    </row>
    <row r="20" spans="1:14" s="61" customFormat="1" ht="15" hidden="1" customHeight="1">
      <c r="A20" s="1126"/>
    </row>
    <row r="21" spans="1:14" s="61" customFormat="1" ht="15" hidden="1" customHeight="1">
      <c r="A21" s="1126"/>
    </row>
    <row r="22" spans="1:14" s="61" customFormat="1" ht="15" hidden="1" customHeight="1">
      <c r="A22" s="1126"/>
    </row>
    <row r="23" spans="1:14" s="61" customFormat="1" ht="15" hidden="1" customHeight="1">
      <c r="A23" s="1126"/>
    </row>
    <row r="24" spans="1:14" s="61" customFormat="1" ht="15" hidden="1" customHeight="1">
      <c r="A24" s="1126"/>
    </row>
    <row r="25" spans="1:14" s="61" customFormat="1" ht="15" customHeight="1">
      <c r="A25" s="1126"/>
    </row>
    <row r="26" spans="1:14" s="61" customFormat="1" ht="15" customHeight="1">
      <c r="A26" s="1126"/>
    </row>
    <row r="27" spans="1:14" s="61" customFormat="1" ht="15" customHeight="1">
      <c r="A27" s="1126"/>
    </row>
    <row r="28" spans="1:14" s="61" customFormat="1" ht="15" customHeight="1">
      <c r="A28" s="1126"/>
      <c r="B28" s="68" t="s">
        <v>24891</v>
      </c>
      <c r="C28" s="1773">
        <v>2024</v>
      </c>
      <c r="D28" s="1773">
        <v>2025</v>
      </c>
      <c r="E28" s="1771">
        <v>2026</v>
      </c>
      <c r="F28" s="1772">
        <v>2027</v>
      </c>
      <c r="G28" s="1774">
        <v>2028</v>
      </c>
      <c r="H28" s="1774">
        <v>2029</v>
      </c>
      <c r="L28" s="77"/>
      <c r="M28" s="77"/>
      <c r="N28" s="77"/>
    </row>
    <row r="29" spans="1:14" s="61" customFormat="1" ht="15" customHeight="1">
      <c r="A29" s="1126"/>
      <c r="B29" s="1233" t="s">
        <v>24745</v>
      </c>
      <c r="C29" s="2631"/>
      <c r="D29" s="2631"/>
      <c r="E29" s="1222">
        <f t="shared" ref="E29:H29" ca="1" si="4">+SUM(E30:E32)</f>
        <v>0</v>
      </c>
      <c r="F29" s="1222">
        <f t="shared" ca="1" si="4"/>
        <v>0</v>
      </c>
      <c r="G29" s="1222">
        <f t="shared" ca="1" si="4"/>
        <v>0</v>
      </c>
      <c r="H29" s="1222">
        <f t="shared" ca="1" si="4"/>
        <v>0</v>
      </c>
    </row>
    <row r="30" spans="1:14" s="61" customFormat="1" ht="15" customHeight="1">
      <c r="A30" s="1126"/>
      <c r="B30" s="1214" t="s">
        <v>237</v>
      </c>
      <c r="C30" s="2631"/>
      <c r="D30" s="2631"/>
      <c r="E30" s="1234">
        <f t="shared" ref="E30:H30" si="5">+E55</f>
        <v>0</v>
      </c>
      <c r="F30" s="1234">
        <f t="shared" si="5"/>
        <v>0</v>
      </c>
      <c r="G30" s="1234">
        <f t="shared" si="5"/>
        <v>0</v>
      </c>
      <c r="H30" s="1234">
        <f t="shared" si="5"/>
        <v>0</v>
      </c>
      <c r="L30" s="77"/>
      <c r="M30" s="77"/>
      <c r="N30" s="77"/>
    </row>
    <row r="31" spans="1:14" s="61" customFormat="1" ht="15" customHeight="1">
      <c r="A31" s="1126"/>
      <c r="B31" s="1215" t="s">
        <v>26871</v>
      </c>
      <c r="C31" s="2631"/>
      <c r="D31" s="2631"/>
      <c r="E31" s="1224">
        <f t="shared" ref="E31:H31" si="6">+E153</f>
        <v>0</v>
      </c>
      <c r="F31" s="1224">
        <f t="shared" si="6"/>
        <v>0</v>
      </c>
      <c r="G31" s="1224">
        <f t="shared" si="6"/>
        <v>0</v>
      </c>
      <c r="H31" s="1224">
        <f t="shared" si="6"/>
        <v>0</v>
      </c>
      <c r="L31" s="77"/>
      <c r="M31" s="77"/>
      <c r="N31" s="77"/>
    </row>
    <row r="32" spans="1:14" s="61" customFormat="1" ht="15" customHeight="1">
      <c r="A32" s="1126"/>
      <c r="B32" s="1214" t="s">
        <v>26797</v>
      </c>
      <c r="C32" s="2631"/>
      <c r="D32" s="2631"/>
      <c r="E32" s="1234">
        <f t="shared" ref="E32:H32" ca="1" si="7">+E72</f>
        <v>0</v>
      </c>
      <c r="F32" s="1234">
        <f t="shared" ca="1" si="7"/>
        <v>0</v>
      </c>
      <c r="G32" s="1234">
        <f t="shared" ca="1" si="7"/>
        <v>0</v>
      </c>
      <c r="H32" s="1234">
        <f t="shared" ca="1" si="7"/>
        <v>0</v>
      </c>
      <c r="L32" s="77"/>
      <c r="M32" s="77"/>
      <c r="N32" s="77"/>
    </row>
    <row r="33" spans="1:11" s="61" customFormat="1" ht="15" customHeight="1">
      <c r="A33" s="1126"/>
      <c r="B33" s="77"/>
      <c r="C33" s="77"/>
      <c r="D33" s="77"/>
      <c r="E33" s="77"/>
      <c r="F33" s="77"/>
    </row>
    <row r="34" spans="1:11" s="61" customFormat="1" ht="15" customHeight="1">
      <c r="A34" s="1126"/>
    </row>
    <row r="35" spans="1:11" s="61" customFormat="1" ht="15" customHeight="1">
      <c r="A35" s="1126"/>
    </row>
    <row r="36" spans="1:11" s="61" customFormat="1" ht="15" customHeight="1">
      <c r="A36" s="1126"/>
    </row>
    <row r="37" spans="1:11" s="61" customFormat="1" ht="15" customHeight="1">
      <c r="A37" s="1126"/>
    </row>
    <row r="38" spans="1:11" s="727" customFormat="1" ht="16.5" thickBot="1">
      <c r="A38" s="725" t="s">
        <v>30550</v>
      </c>
      <c r="B38" s="726" t="s">
        <v>22890</v>
      </c>
      <c r="I38" s="726"/>
    </row>
    <row r="39" spans="1:11" ht="13.5" thickTop="1">
      <c r="A39" s="872"/>
    </row>
    <row r="40" spans="1:11">
      <c r="A40" s="872"/>
    </row>
    <row r="41" spans="1:11" ht="12.75" customHeight="1">
      <c r="C41"/>
      <c r="D41"/>
      <c r="E41"/>
      <c r="F41"/>
    </row>
    <row r="42" spans="1:11">
      <c r="C42" s="1773">
        <v>2024</v>
      </c>
      <c r="D42" s="1773">
        <v>2025</v>
      </c>
      <c r="E42" s="1771">
        <v>2026</v>
      </c>
      <c r="F42" s="1772">
        <v>2027</v>
      </c>
      <c r="G42" s="1774">
        <v>2028</v>
      </c>
      <c r="H42" s="2363">
        <v>2029</v>
      </c>
    </row>
    <row r="43" spans="1:11" s="61" customFormat="1" ht="15" customHeight="1">
      <c r="A43" s="1126"/>
      <c r="B43" s="1129" t="s">
        <v>26795</v>
      </c>
      <c r="C43" s="2631"/>
      <c r="D43" s="2631"/>
      <c r="E43" s="2631"/>
      <c r="F43" s="2631"/>
      <c r="G43" s="2631"/>
      <c r="H43" s="2632"/>
      <c r="K43" s="1235"/>
    </row>
    <row r="44" spans="1:11" s="61" customFormat="1" ht="15" customHeight="1">
      <c r="A44" s="1126"/>
      <c r="B44" s="1129" t="s">
        <v>26794</v>
      </c>
      <c r="C44" s="2631"/>
      <c r="D44" s="2631"/>
      <c r="E44" s="2631"/>
      <c r="F44" s="2631"/>
      <c r="G44" s="2631"/>
      <c r="H44" s="2632"/>
    </row>
    <row r="45" spans="1:11" s="61" customFormat="1" ht="15" customHeight="1">
      <c r="A45" s="1126"/>
      <c r="B45" s="1130" t="s">
        <v>26793</v>
      </c>
      <c r="C45" s="2631"/>
      <c r="D45" s="2631"/>
      <c r="E45" s="2631"/>
      <c r="F45" s="2631"/>
      <c r="G45" s="2631"/>
      <c r="H45" s="2632"/>
      <c r="K45" s="1235"/>
    </row>
    <row r="46" spans="1:11" s="61" customFormat="1" ht="15" customHeight="1">
      <c r="A46" s="1126"/>
      <c r="B46" s="1128" t="s">
        <v>30450</v>
      </c>
      <c r="C46" s="2631"/>
      <c r="D46" s="2631"/>
      <c r="E46" s="2631"/>
      <c r="F46" s="2631"/>
      <c r="G46" s="2631"/>
      <c r="H46" s="2632"/>
    </row>
    <row r="47" spans="1:11" s="61" customFormat="1" ht="15" customHeight="1">
      <c r="A47" s="1126"/>
      <c r="B47" s="1128" t="s">
        <v>30451</v>
      </c>
      <c r="C47" s="2631"/>
      <c r="D47" s="2631"/>
      <c r="E47" s="2631"/>
      <c r="F47" s="2631"/>
      <c r="G47" s="2631"/>
      <c r="H47" s="2632"/>
    </row>
    <row r="48" spans="1:11" s="61" customFormat="1" ht="15" customHeight="1">
      <c r="A48" s="1126"/>
      <c r="B48" s="1130" t="s">
        <v>29616</v>
      </c>
      <c r="C48" s="2631"/>
      <c r="D48" s="2631"/>
      <c r="E48" s="2631"/>
      <c r="F48" s="2631"/>
      <c r="G48" s="2631"/>
      <c r="H48" s="2632"/>
    </row>
    <row r="49" spans="1:15" s="61" customFormat="1" ht="15" customHeight="1">
      <c r="A49" s="1126"/>
      <c r="B49" s="1131" t="s">
        <v>31402</v>
      </c>
      <c r="C49" s="1132">
        <f>+VLOOKUP("da t-2 a t",PINF,C$9 - 2011,FALSE)</f>
        <v>1.13696</v>
      </c>
      <c r="D49" s="1132">
        <f>+VLOOKUP("da t-3 a t",PINF,D$9 - 2011,FALSE)</f>
        <v>1.1596991999999999</v>
      </c>
      <c r="E49" s="1132">
        <f>+VLOOKUP("da t-4 a t",PINF,E$9 - 2011,FALSE)</f>
        <v>1.1736155903999999</v>
      </c>
      <c r="F49" s="1132">
        <f>+VLOOKUP("da t-5 a t",PINF,F$9 - 2011,FALSE)</f>
        <v>1.1736155903999999</v>
      </c>
      <c r="G49" s="1132">
        <f>+VLOOKUP("da t-6 a t",PINF,G$9 - 2011,FALSE)</f>
        <v>1.1736155903999999</v>
      </c>
      <c r="H49" s="2452">
        <f>+VLOOKUP("da t-7 a t",PINF,H$9 - 2011,FALSE)</f>
        <v>1.1736155903999999</v>
      </c>
    </row>
    <row r="50" spans="1:15" s="61" customFormat="1" ht="15" customHeight="1">
      <c r="A50" s="1126"/>
      <c r="B50" s="1345" t="s">
        <v>27083</v>
      </c>
      <c r="C50" s="1625">
        <f>+Storico_Piano_Tariffario!E77</f>
        <v>0</v>
      </c>
      <c r="D50" s="1625">
        <f>+Storico_Piano_Tariffario!F77</f>
        <v>0</v>
      </c>
      <c r="E50" s="1625">
        <f>+D50</f>
        <v>0</v>
      </c>
      <c r="F50" s="1625">
        <f>+E50</f>
        <v>0</v>
      </c>
      <c r="G50" s="1625">
        <f>+F50</f>
        <v>0</v>
      </c>
      <c r="H50" s="1625">
        <f>+G50</f>
        <v>0</v>
      </c>
    </row>
    <row r="51" spans="1:15" s="61" customFormat="1" ht="15" customHeight="1">
      <c r="A51" s="1126"/>
      <c r="B51" s="1130" t="s">
        <v>31861</v>
      </c>
      <c r="C51" s="2631"/>
      <c r="D51" s="2631"/>
      <c r="E51" s="2704">
        <f>Altri_dati_eco_fin!F69</f>
        <v>0</v>
      </c>
      <c r="F51" s="2704">
        <f>Altri_dati_eco_fin!F69</f>
        <v>0</v>
      </c>
      <c r="G51" s="2704">
        <f>Altri_dati_eco_fin!F69</f>
        <v>0</v>
      </c>
      <c r="H51" s="2704">
        <f>Altri_dati_eco_fin!F69</f>
        <v>0</v>
      </c>
    </row>
    <row r="52" spans="1:15" s="61" customFormat="1" ht="15" customHeight="1">
      <c r="A52" s="1126"/>
      <c r="B52" s="1131" t="s">
        <v>31403</v>
      </c>
      <c r="C52" s="2631"/>
      <c r="D52" s="2631"/>
      <c r="E52" s="2452">
        <f>+VLOOKUP("da t-1 a t",PINF,E$9 - 2011,FALSE)</f>
        <v>1.012</v>
      </c>
      <c r="F52" s="2452">
        <f>+VLOOKUP("da t-2 a t",PINF,F$9 - 2011,FALSE)</f>
        <v>1.012</v>
      </c>
      <c r="G52" s="2452">
        <f>+VLOOKUP("da t-3 a t",PINF,G$9 - 2011,FALSE)</f>
        <v>1.012</v>
      </c>
      <c r="H52" s="2452">
        <f>+VLOOKUP("da t-4 a t",PINF,H$9 - 2011,FALSE)</f>
        <v>1.012</v>
      </c>
    </row>
    <row r="53" spans="1:15" s="61" customFormat="1" ht="15" customHeight="1">
      <c r="A53" s="1126"/>
      <c r="B53" s="1130" t="s">
        <v>24747</v>
      </c>
      <c r="C53" s="2631"/>
      <c r="D53" s="2631"/>
      <c r="E53" s="1615">
        <f>+IFERROR((Dati_Anni_precedenti!$E$97+Dati_Anni_precedenti!$E$98)*E49-E50+(E51*E52),"")</f>
        <v>0</v>
      </c>
      <c r="F53" s="1615">
        <f>+IFERROR((Dati_Anni_precedenti!$E$97+Dati_Anni_precedenti!$E$98)*F49-F50+(F51*F52),"")</f>
        <v>0</v>
      </c>
      <c r="G53" s="1615">
        <f>+IFERROR((Dati_Anni_precedenti!$E$97+Dati_Anni_precedenti!$E$98)*G49-G50+(G51*G52),"")</f>
        <v>0</v>
      </c>
      <c r="H53" s="1615">
        <f>+IFERROR((Dati_Anni_precedenti!$E$97+Dati_Anni_precedenti!$E$98)*H49-H50+(H51*H52),"")</f>
        <v>0</v>
      </c>
    </row>
    <row r="54" spans="1:15" s="61" customFormat="1" ht="15" customHeight="1">
      <c r="A54" s="1126"/>
      <c r="B54" s="1126"/>
      <c r="C54" s="1126"/>
      <c r="D54" s="1126"/>
      <c r="E54" s="1126"/>
      <c r="F54" s="1126"/>
      <c r="G54" s="1126"/>
      <c r="H54" s="1126"/>
      <c r="I54" s="1126"/>
      <c r="J54" s="1126"/>
      <c r="K54" s="1126"/>
      <c r="L54" s="1126"/>
      <c r="M54" s="1126"/>
      <c r="N54" s="1126"/>
      <c r="O54" s="1126"/>
    </row>
    <row r="55" spans="1:15" s="61" customFormat="1" ht="15" customHeight="1">
      <c r="A55" s="1126"/>
      <c r="B55" s="1130" t="s">
        <v>26796</v>
      </c>
      <c r="C55" s="2631"/>
      <c r="D55" s="2631"/>
      <c r="E55" s="1133">
        <f>+IFERROR(E53-ERC!E189,0)</f>
        <v>0</v>
      </c>
      <c r="F55" s="1133">
        <f>+IFERROR(F53-ERC!F189,0)</f>
        <v>0</v>
      </c>
      <c r="G55" s="1133">
        <f>+IFERROR(G53-ERC!G189,0)</f>
        <v>0</v>
      </c>
      <c r="H55" s="1133">
        <f>+IFERROR(H53-ERC!H189,0)</f>
        <v>0</v>
      </c>
    </row>
    <row r="56" spans="1:15" s="61" customFormat="1" ht="15" customHeight="1">
      <c r="A56" s="1126"/>
      <c r="B56" s="1130" t="s">
        <v>28819</v>
      </c>
      <c r="C56" s="2631"/>
      <c r="D56" s="2631"/>
      <c r="E56" s="1133">
        <f>Input_per_calcoli_finali!K145</f>
        <v>0</v>
      </c>
      <c r="F56" s="1133">
        <f>Input_per_calcoli_finali!L145</f>
        <v>0</v>
      </c>
      <c r="G56" s="1133">
        <f>Input_per_calcoli_finali!M145</f>
        <v>0</v>
      </c>
      <c r="H56" s="1133">
        <f>Input_per_calcoli_finali!N145</f>
        <v>0</v>
      </c>
    </row>
    <row r="57" spans="1:15" s="61" customFormat="1" ht="15" customHeight="1">
      <c r="A57" s="1126"/>
      <c r="B57" s="1169" t="s">
        <v>24899</v>
      </c>
      <c r="C57" s="2739">
        <f>+Dati_Anni_precedenti!E54</f>
        <v>0</v>
      </c>
      <c r="D57" s="2739">
        <f>+Dati_Anni_precedenti!F54</f>
        <v>0</v>
      </c>
      <c r="E57" s="1127">
        <f t="shared" ref="E57:H57" si="8">+IFERROR(E55-E56,0)</f>
        <v>0</v>
      </c>
      <c r="F57" s="1127">
        <f t="shared" si="8"/>
        <v>0</v>
      </c>
      <c r="G57" s="1127">
        <f t="shared" si="8"/>
        <v>0</v>
      </c>
      <c r="H57" s="1127">
        <f t="shared" si="8"/>
        <v>0</v>
      </c>
    </row>
    <row r="58" spans="1:15" customFormat="1" ht="15">
      <c r="A58" s="870"/>
      <c r="E58" s="7"/>
    </row>
    <row r="59" spans="1:15" customFormat="1" ht="15">
      <c r="A59" s="870"/>
      <c r="C59" s="2682"/>
      <c r="D59" s="2682"/>
      <c r="E59" s="2339"/>
      <c r="F59" s="2682"/>
      <c r="G59" s="2682"/>
      <c r="H59" s="2682"/>
    </row>
    <row r="60" spans="1:15" customFormat="1" ht="15">
      <c r="A60" s="870"/>
      <c r="E60" s="2684"/>
    </row>
    <row r="61" spans="1:15" customFormat="1" ht="15">
      <c r="A61" s="870"/>
      <c r="E61" s="2685"/>
      <c r="F61" s="7"/>
      <c r="G61" s="7"/>
    </row>
    <row r="62" spans="1:15" s="727" customFormat="1" ht="16.5" thickBot="1">
      <c r="A62" s="725" t="s">
        <v>30551</v>
      </c>
      <c r="B62" s="726" t="s">
        <v>26810</v>
      </c>
      <c r="I62" s="726"/>
    </row>
    <row r="63" spans="1:15" customFormat="1" ht="15.75" thickTop="1">
      <c r="A63" s="870"/>
    </row>
    <row r="64" spans="1:15" customFormat="1" ht="15">
      <c r="A64" s="870"/>
    </row>
    <row r="65" spans="1:10" customFormat="1" ht="15">
      <c r="A65" s="870"/>
    </row>
    <row r="66" spans="1:10" customFormat="1" ht="15">
      <c r="A66" s="870"/>
      <c r="C66" s="1773">
        <v>2024</v>
      </c>
      <c r="D66" s="1773">
        <v>2025</v>
      </c>
      <c r="E66" s="1771">
        <v>2026</v>
      </c>
      <c r="F66" s="1772">
        <v>2027</v>
      </c>
      <c r="G66" s="1774">
        <v>2028</v>
      </c>
      <c r="H66" s="1774">
        <v>2029</v>
      </c>
    </row>
    <row r="67" spans="1:10" customFormat="1" ht="15.75">
      <c r="A67" s="870"/>
      <c r="B67" s="1138" t="s">
        <v>26811</v>
      </c>
      <c r="C67" s="1088">
        <f>C84</f>
        <v>0</v>
      </c>
      <c r="D67" s="1088">
        <f>D84</f>
        <v>0</v>
      </c>
      <c r="E67" s="1088">
        <f t="shared" ref="E67:H67" si="9">E84</f>
        <v>0</v>
      </c>
      <c r="F67" s="1088">
        <f t="shared" si="9"/>
        <v>0</v>
      </c>
      <c r="G67" s="1088">
        <f t="shared" si="9"/>
        <v>0</v>
      </c>
      <c r="H67" s="1088">
        <f t="shared" si="9"/>
        <v>0</v>
      </c>
    </row>
    <row r="68" spans="1:10" customFormat="1" ht="15.75">
      <c r="A68" s="870"/>
      <c r="B68" s="1138" t="s">
        <v>26813</v>
      </c>
      <c r="C68" s="1088">
        <f>C99</f>
        <v>0</v>
      </c>
      <c r="D68" s="1088">
        <f>D99</f>
        <v>0</v>
      </c>
      <c r="E68" s="1088">
        <f t="shared" ref="E68:H68" ca="1" si="10">E99</f>
        <v>0</v>
      </c>
      <c r="F68" s="1088">
        <f t="shared" ca="1" si="10"/>
        <v>0</v>
      </c>
      <c r="G68" s="1088">
        <f t="shared" ca="1" si="10"/>
        <v>0</v>
      </c>
      <c r="H68" s="1088">
        <f t="shared" ca="1" si="10"/>
        <v>0</v>
      </c>
    </row>
    <row r="69" spans="1:10" customFormat="1" ht="15.75">
      <c r="A69" s="870"/>
      <c r="B69" s="1138" t="s">
        <v>26812</v>
      </c>
      <c r="C69" s="1088">
        <f>C115</f>
        <v>0</v>
      </c>
      <c r="D69" s="1088">
        <f>D115</f>
        <v>0</v>
      </c>
      <c r="E69" s="1088">
        <f t="shared" ref="E69:H69" si="11">E115</f>
        <v>0</v>
      </c>
      <c r="F69" s="1088">
        <f t="shared" si="11"/>
        <v>0</v>
      </c>
      <c r="G69" s="1088">
        <f t="shared" si="11"/>
        <v>0</v>
      </c>
      <c r="H69" s="1088">
        <f t="shared" si="11"/>
        <v>0</v>
      </c>
    </row>
    <row r="70" spans="1:10" customFormat="1" ht="15.75">
      <c r="A70" s="870"/>
      <c r="B70" s="1138" t="s">
        <v>26988</v>
      </c>
      <c r="C70" s="1088">
        <f>C129</f>
        <v>0</v>
      </c>
      <c r="D70" s="1088">
        <f>D129</f>
        <v>0</v>
      </c>
      <c r="E70" s="1088">
        <f t="shared" ref="E70:H70" si="12">E129</f>
        <v>0</v>
      </c>
      <c r="F70" s="1088">
        <f t="shared" si="12"/>
        <v>0</v>
      </c>
      <c r="G70" s="1088">
        <f t="shared" si="12"/>
        <v>0</v>
      </c>
      <c r="H70" s="1088">
        <f t="shared" si="12"/>
        <v>0</v>
      </c>
    </row>
    <row r="71" spans="1:10" customFormat="1" ht="15.75">
      <c r="A71" s="870"/>
      <c r="B71" s="1138" t="s">
        <v>26989</v>
      </c>
      <c r="C71" s="1088">
        <f>C141</f>
        <v>0</v>
      </c>
      <c r="D71" s="1088">
        <f>D141</f>
        <v>0</v>
      </c>
      <c r="E71" s="1088">
        <f t="shared" ref="E71:H71" si="13">E141</f>
        <v>0</v>
      </c>
      <c r="F71" s="1088">
        <f t="shared" si="13"/>
        <v>0</v>
      </c>
      <c r="G71" s="1088">
        <f t="shared" si="13"/>
        <v>0</v>
      </c>
      <c r="H71" s="1088">
        <f t="shared" si="13"/>
        <v>0</v>
      </c>
    </row>
    <row r="72" spans="1:10" customFormat="1" ht="15.75">
      <c r="A72" s="870"/>
      <c r="B72" s="1171" t="s">
        <v>26814</v>
      </c>
      <c r="C72" s="2748">
        <f>+SUM(C67:C71)</f>
        <v>0</v>
      </c>
      <c r="D72" s="2748">
        <f>+SUM(D67:D71)</f>
        <v>0</v>
      </c>
      <c r="E72" s="138">
        <f t="shared" ref="E72:H72" ca="1" si="14">+SUM(E67:E71)</f>
        <v>0</v>
      </c>
      <c r="F72" s="138">
        <f t="shared" ca="1" si="14"/>
        <v>0</v>
      </c>
      <c r="G72" s="138">
        <f t="shared" ca="1" si="14"/>
        <v>0</v>
      </c>
      <c r="H72" s="138">
        <f t="shared" ca="1" si="14"/>
        <v>0</v>
      </c>
    </row>
    <row r="73" spans="1:10" customFormat="1" ht="15">
      <c r="A73" s="870"/>
    </row>
    <row r="74" spans="1:10" customFormat="1" ht="15">
      <c r="A74" s="870"/>
    </row>
    <row r="75" spans="1:10" customFormat="1" ht="15">
      <c r="A75" s="870"/>
    </row>
    <row r="76" spans="1:10" customFormat="1" ht="15">
      <c r="A76" s="870"/>
    </row>
    <row r="77" spans="1:10" customFormat="1" ht="15">
      <c r="A77" s="870"/>
    </row>
    <row r="78" spans="1:10" s="727" customFormat="1" ht="26.25" thickBot="1">
      <c r="A78" s="725" t="s">
        <v>30552</v>
      </c>
      <c r="B78" s="726" t="s">
        <v>26817</v>
      </c>
      <c r="I78" s="726"/>
    </row>
    <row r="79" spans="1:10" ht="15" customHeight="1" thickTop="1">
      <c r="A79" s="872"/>
      <c r="B79" s="63"/>
    </row>
    <row r="80" spans="1:10" customFormat="1" ht="15">
      <c r="A80" s="870"/>
      <c r="H80" s="10"/>
      <c r="I80" s="10"/>
      <c r="J80" s="10"/>
    </row>
    <row r="81" spans="1:11" customFormat="1" ht="15">
      <c r="A81" s="870"/>
      <c r="H81" s="10"/>
      <c r="I81" s="10"/>
      <c r="J81" s="10"/>
    </row>
    <row r="82" spans="1:11">
      <c r="C82" s="1773">
        <v>2024</v>
      </c>
      <c r="D82" s="1773">
        <v>2025</v>
      </c>
      <c r="E82" s="1771">
        <v>2026</v>
      </c>
      <c r="F82" s="1772">
        <v>2027</v>
      </c>
      <c r="G82" s="1774">
        <v>2028</v>
      </c>
      <c r="H82" s="1774">
        <v>2029</v>
      </c>
    </row>
    <row r="83" spans="1:11" ht="30" customHeight="1">
      <c r="B83" s="2392" t="s">
        <v>31296</v>
      </c>
      <c r="C83" s="42">
        <f>Dati_Anni_precedenti!E33</f>
        <v>0</v>
      </c>
      <c r="D83" s="42">
        <f>Dati_Anni_precedenti!F33</f>
        <v>0</v>
      </c>
      <c r="E83" s="42">
        <f>Input_per_calcoli_finali!K30-ERC!E204</f>
        <v>0</v>
      </c>
      <c r="F83" s="42">
        <f>Input_per_calcoli_finali!L30-ERC!F204</f>
        <v>0</v>
      </c>
      <c r="G83" s="42">
        <f>Input_per_calcoli_finali!M30-ERC!G204</f>
        <v>0</v>
      </c>
      <c r="H83" s="42">
        <f>Input_per_calcoli_finali!N30-ERC!H204</f>
        <v>0</v>
      </c>
      <c r="I83" s="1787" t="s">
        <v>30484</v>
      </c>
    </row>
    <row r="84" spans="1:11" ht="15">
      <c r="B84" s="871" t="s">
        <v>29680</v>
      </c>
      <c r="C84" s="2739">
        <f>Dati_Anni_precedenti!E33</f>
        <v>0</v>
      </c>
      <c r="D84" s="2739">
        <f>Dati_Anni_precedenti!F33</f>
        <v>0</v>
      </c>
      <c r="E84" s="1147">
        <f>+IF(OR(TRIM(schema)="III",TRIM(schema)="VI"),E83,0)</f>
        <v>0</v>
      </c>
      <c r="F84" s="1147">
        <f>+IF(OR(TRIM(schema)="III",TRIM(schema)="VI"),F83,0)</f>
        <v>0</v>
      </c>
      <c r="G84" s="1147">
        <f>+IF(OR(TRIM(schema)="III",TRIM(schema)="VI"),G83,0)</f>
        <v>0</v>
      </c>
      <c r="H84" s="1147">
        <f>+IF(OR(TRIM(schema)="III",TRIM(schema)="VI"),H83,0)</f>
        <v>0</v>
      </c>
    </row>
    <row r="90" spans="1:11" s="727" customFormat="1" ht="16.5" thickBot="1">
      <c r="A90" s="725" t="s">
        <v>30553</v>
      </c>
      <c r="B90" s="729" t="s">
        <v>29681</v>
      </c>
      <c r="I90" s="729"/>
    </row>
    <row r="91" spans="1:11" ht="15" customHeight="1" thickTop="1">
      <c r="A91" s="872"/>
      <c r="B91" s="63"/>
    </row>
    <row r="92" spans="1:11" customFormat="1" ht="15">
      <c r="A92" s="870"/>
    </row>
    <row r="93" spans="1:11" customFormat="1" ht="15">
      <c r="A93" s="870"/>
    </row>
    <row r="94" spans="1:11" customFormat="1" ht="15">
      <c r="A94" s="870"/>
      <c r="B94" s="10"/>
      <c r="C94" s="1773">
        <v>2024</v>
      </c>
      <c r="D94" s="1773">
        <v>2025</v>
      </c>
      <c r="E94" s="1771">
        <v>2026</v>
      </c>
      <c r="F94" s="1772">
        <v>2027</v>
      </c>
      <c r="G94" s="1774">
        <v>2028</v>
      </c>
      <c r="H94" s="1774">
        <v>2029</v>
      </c>
    </row>
    <row r="95" spans="1:11" customFormat="1" ht="16.5">
      <c r="A95" s="870"/>
      <c r="B95" s="1141" t="s">
        <v>30453</v>
      </c>
      <c r="C95" s="40">
        <f>Dati_Anni_precedenti!E34</f>
        <v>0</v>
      </c>
      <c r="D95" s="40">
        <f>Dati_Anni_precedenti!F34</f>
        <v>0</v>
      </c>
      <c r="E95" s="40">
        <f ca="1">MIN(Dati_Anni_precedenti!$F$34,SUMIFS('PdI-crono_ges'!V:V,'PdI-crono_ges'!$J:$J,"Non ERC",'PdI-crono_ges'!$K:$K,"lettera a)"))</f>
        <v>0</v>
      </c>
      <c r="F95" s="40">
        <f ca="1">MIN(Dati_Anni_precedenti!$F$34,SUMIFS('PdI-crono_ges'!W:W,'PdI-crono_ges'!$J:$J,"Non ERC",'PdI-crono_ges'!$K:$K,"lettera a)"))</f>
        <v>0</v>
      </c>
      <c r="G95" s="40">
        <f ca="1">MIN(Dati_Anni_precedenti!$F$34,SUMIFS('PdI-crono_ges'!X:X,'PdI-crono_ges'!$J:$J,"Non ERC",'PdI-crono_ges'!$K:$K,"lettera a)"))</f>
        <v>0</v>
      </c>
      <c r="H95" s="2367">
        <f ca="1">MIN(Dati_Anni_precedenti!$F$34,SUMIFS('PdI-crono_ges'!Y:Y,'PdI-crono_ges'!$J:$J,"Non ERC",'PdI-crono_ges'!$K:$K,"lettera a)"))</f>
        <v>0</v>
      </c>
    </row>
    <row r="96" spans="1:11" customFormat="1" ht="16.5">
      <c r="A96" s="870"/>
      <c r="B96" s="1141" t="s">
        <v>30454</v>
      </c>
      <c r="C96" s="1829">
        <f>+Dati_Anni_precedenti!E35</f>
        <v>0</v>
      </c>
      <c r="D96" s="1829">
        <f>+Dati_Anni_precedenti!F35</f>
        <v>0</v>
      </c>
      <c r="E96" s="1829">
        <f ca="1">+SUMIFS('PdI-crono_ges'!V:V,'PdI-crono_ges'!$J:$J,"Non ERC",'PdI-crono_ges'!$K:$K,"lettera b)")</f>
        <v>0</v>
      </c>
      <c r="F96" s="1829">
        <f ca="1">+SUMIFS('PdI-crono_ges'!W:W,'PdI-crono_ges'!$J:$J,"Non ERC",'PdI-crono_ges'!$K:$K,"lettera b)")</f>
        <v>0</v>
      </c>
      <c r="G96" s="1829">
        <f ca="1">+SUMIFS('PdI-crono_ges'!X:X,'PdI-crono_ges'!$J:$J,"Non ERC",'PdI-crono_ges'!$K:$K,"lettera b)")</f>
        <v>0</v>
      </c>
      <c r="H96" s="1829">
        <f ca="1">+SUMIFS('PdI-crono_ges'!Y:Y,'PdI-crono_ges'!$J:$J,"Non ERC",'PdI-crono_ges'!$K:$K,"lettera b)")</f>
        <v>0</v>
      </c>
      <c r="J96" s="10"/>
      <c r="K96" s="1"/>
    </row>
    <row r="97" spans="1:11" customFormat="1" ht="16.5">
      <c r="A97" s="870"/>
      <c r="B97" s="1141" t="s">
        <v>31462</v>
      </c>
      <c r="C97" s="1829">
        <f>+Dati_Anni_precedenti!E36</f>
        <v>0</v>
      </c>
      <c r="D97" s="1829">
        <f>+Dati_Anni_precedenti!F36</f>
        <v>0</v>
      </c>
      <c r="E97" s="1829">
        <f ca="1">+SUMIFS('PdI-crono_ges'!V:V,'PdI-crono_ges'!$J:$J,"Non ERC",'PdI-crono_ges'!$K:$K,"lettera c) 477/2023/R/IDR")</f>
        <v>0</v>
      </c>
      <c r="F97" s="1829">
        <f ca="1">+SUMIFS('PdI-crono_ges'!W:W,'PdI-crono_ges'!$J:$J,"Non ERC",'PdI-crono_ges'!$K:$K,"lettera c) 477/2023/R/IDR")</f>
        <v>0</v>
      </c>
      <c r="G97" s="1829">
        <f ca="1">+SUMIFS('PdI-crono_ges'!X:X,'PdI-crono_ges'!$J:$J,"Non ERC",'PdI-crono_ges'!$K:$K,"lettera c) 477/2023/R/IDR")</f>
        <v>0</v>
      </c>
      <c r="H97" s="1829">
        <f ca="1">+SUMIFS('PdI-crono_ges'!Y:Y,'PdI-crono_ges'!$J:$J,"Non ERC",'PdI-crono_ges'!$K:$K,"lettera c) 477/2023/R/IDR")</f>
        <v>0</v>
      </c>
      <c r="J97" s="10"/>
      <c r="K97" s="1"/>
    </row>
    <row r="98" spans="1:11" customFormat="1" ht="16.5">
      <c r="A98" s="1126"/>
      <c r="B98" s="1141" t="s">
        <v>31463</v>
      </c>
      <c r="C98" s="2705"/>
      <c r="D98" s="2705"/>
      <c r="E98" s="1829">
        <f ca="1">+SUMIFS('PdI-crono_ges'!V:V,'PdI-crono_ges'!$J:$J,"Non ERC",'PdI-crono_ges'!$K:$K,"lettera c) 225/2025/R/IDR")</f>
        <v>0</v>
      </c>
      <c r="F98" s="1829">
        <f ca="1">+SUMIFS('PdI-crono_ges'!W:W,'PdI-crono_ges'!$J:$J,"Non ERC",'PdI-crono_ges'!$K:$K,"lettera c) 225/2025/R/IDR")</f>
        <v>0</v>
      </c>
      <c r="G98" s="1829">
        <f ca="1">+SUMIFS('PdI-crono_ges'!X:X,'PdI-crono_ges'!$J:$J,"Non ERC",'PdI-crono_ges'!$K:$K,"lettera c) 225/2025/R/IDR")</f>
        <v>0</v>
      </c>
      <c r="H98" s="1829">
        <f ca="1">+SUMIFS('PdI-crono_ges'!Y:Y,'PdI-crono_ges'!$J:$J,"Non ERC",'PdI-crono_ges'!$K:$K,"lettera c) 225/2025/R/IDR")</f>
        <v>0</v>
      </c>
      <c r="J98" s="10"/>
      <c r="K98" s="1"/>
    </row>
    <row r="99" spans="1:11" customFormat="1" ht="15.75">
      <c r="A99" s="870"/>
      <c r="B99" s="871" t="s">
        <v>29695</v>
      </c>
      <c r="C99" s="2739">
        <f>+SUM(C95:C97)</f>
        <v>0</v>
      </c>
      <c r="D99" s="2739">
        <f>+SUM(D95:D97)</f>
        <v>0</v>
      </c>
      <c r="E99" s="1147">
        <f ca="1">+SUM(E95:E98)</f>
        <v>0</v>
      </c>
      <c r="F99" s="1147">
        <f t="shared" ref="F99:H99" ca="1" si="15">+SUM(F95:F98)</f>
        <v>0</v>
      </c>
      <c r="G99" s="1147">
        <f t="shared" ca="1" si="15"/>
        <v>0</v>
      </c>
      <c r="H99" s="1147">
        <f t="shared" ca="1" si="15"/>
        <v>0</v>
      </c>
    </row>
    <row r="100" spans="1:11" customFormat="1" ht="15">
      <c r="A100" s="870"/>
    </row>
    <row r="103" spans="1:11" ht="15" customHeight="1">
      <c r="A103" s="872"/>
      <c r="B103" s="63"/>
    </row>
    <row r="104" spans="1:11" ht="15" customHeight="1">
      <c r="A104" s="872"/>
      <c r="B104" s="63"/>
    </row>
    <row r="105" spans="1:11" s="727" customFormat="1" ht="16.5" thickBot="1">
      <c r="A105" s="725" t="s">
        <v>30554</v>
      </c>
      <c r="B105" s="726" t="s">
        <v>31213</v>
      </c>
      <c r="I105" s="726"/>
    </row>
    <row r="106" spans="1:11" ht="12.75" customHeight="1" thickTop="1">
      <c r="A106" s="872"/>
      <c r="B106" s="63"/>
    </row>
    <row r="107" spans="1:11" ht="12.75" customHeight="1">
      <c r="A107" s="872"/>
      <c r="B107" s="63"/>
    </row>
    <row r="108" spans="1:11" ht="12.75" customHeight="1">
      <c r="A108" s="872"/>
      <c r="B108" s="63"/>
    </row>
    <row r="109" spans="1:11">
      <c r="A109" s="872"/>
      <c r="C109" s="1773">
        <v>2024</v>
      </c>
      <c r="D109" s="1773">
        <v>2025</v>
      </c>
      <c r="E109" s="1771">
        <v>2026</v>
      </c>
      <c r="F109" s="1772">
        <v>2027</v>
      </c>
      <c r="G109" s="1774">
        <v>2028</v>
      </c>
      <c r="H109" s="1774">
        <v>2029</v>
      </c>
    </row>
    <row r="110" spans="1:11" customFormat="1" ht="42.75">
      <c r="A110" s="1126"/>
      <c r="B110" s="1549" t="s">
        <v>31307</v>
      </c>
      <c r="C110" s="1829">
        <f>Dati_Anni_precedenti!E37</f>
        <v>0</v>
      </c>
      <c r="D110" s="1829">
        <f>Dati_Anni_precedenti!F37</f>
        <v>0</v>
      </c>
      <c r="E110" s="1829">
        <f>MIN(Dati_Anni_precedenti!$F$37,Altri_dati_eco_fin!G76)</f>
        <v>0</v>
      </c>
      <c r="F110" s="1829">
        <f>MIN(Dati_Anni_precedenti!$F$37,Altri_dati_eco_fin!H76)</f>
        <v>0</v>
      </c>
      <c r="G110" s="1829">
        <f>MIN(Dati_Anni_precedenti!$F$37,Altri_dati_eco_fin!I76)</f>
        <v>0</v>
      </c>
      <c r="H110" s="1829">
        <f>MIN(Dati_Anni_precedenti!$F$37,Altri_dati_eco_fin!J76)</f>
        <v>0</v>
      </c>
      <c r="J110" s="7"/>
    </row>
    <row r="111" spans="1:11" customFormat="1" ht="42.75">
      <c r="A111" s="1126"/>
      <c r="B111" s="1549" t="s">
        <v>31308</v>
      </c>
      <c r="C111" s="1829">
        <f>+Dati_Anni_precedenti!E38</f>
        <v>0</v>
      </c>
      <c r="D111" s="1829">
        <f>+Dati_Anni_precedenti!F38</f>
        <v>0</v>
      </c>
      <c r="E111" s="1829">
        <f>MIN(Dati_Anni_precedenti!$F$38,,Altri_dati_eco_fin!G77)</f>
        <v>0</v>
      </c>
      <c r="F111" s="1829">
        <f>MIN(Dati_Anni_precedenti!$F$38,,Altri_dati_eco_fin!H77)</f>
        <v>0</v>
      </c>
      <c r="G111" s="1829">
        <f>MIN(Dati_Anni_precedenti!$F$38,,Altri_dati_eco_fin!I77)</f>
        <v>0</v>
      </c>
      <c r="H111" s="1829">
        <f>MIN(Dati_Anni_precedenti!$F$38,,Altri_dati_eco_fin!J77)</f>
        <v>0</v>
      </c>
      <c r="I111" s="7"/>
      <c r="J111" s="7"/>
    </row>
    <row r="112" spans="1:11" customFormat="1" ht="42.75">
      <c r="A112" s="1126"/>
      <c r="B112" s="1549" t="s">
        <v>31449</v>
      </c>
      <c r="C112" s="2705"/>
      <c r="D112" s="2705"/>
      <c r="E112" s="2367">
        <f>Altri_dati_eco_fin!G80</f>
        <v>0</v>
      </c>
      <c r="F112" s="2367">
        <f>Altri_dati_eco_fin!H80</f>
        <v>0</v>
      </c>
      <c r="G112" s="2367">
        <f>Altri_dati_eco_fin!I80</f>
        <v>0</v>
      </c>
      <c r="H112" s="2367">
        <f>Altri_dati_eco_fin!J80</f>
        <v>0</v>
      </c>
      <c r="I112" s="7"/>
      <c r="J112" s="7"/>
    </row>
    <row r="113" spans="1:10" customFormat="1" ht="30">
      <c r="A113" s="870"/>
      <c r="B113" s="1549" t="s">
        <v>31838</v>
      </c>
      <c r="C113" s="1829">
        <f>+Dati_Anni_precedenti!E39</f>
        <v>0</v>
      </c>
      <c r="D113" s="1829">
        <f>+Dati_Anni_precedenti!F39</f>
        <v>0</v>
      </c>
      <c r="E113" s="1829">
        <f>Altri_dati_eco_fin!G78</f>
        <v>0</v>
      </c>
      <c r="F113" s="1829">
        <f>Altri_dati_eco_fin!H78</f>
        <v>0</v>
      </c>
      <c r="G113" s="1829">
        <f>Altri_dati_eco_fin!I78</f>
        <v>0</v>
      </c>
      <c r="H113" s="1829">
        <f>Altri_dati_eco_fin!J78</f>
        <v>0</v>
      </c>
      <c r="J113" s="7"/>
    </row>
    <row r="114" spans="1:10" customFormat="1" ht="30">
      <c r="A114" s="870"/>
      <c r="B114" s="1549" t="s">
        <v>31839</v>
      </c>
      <c r="C114" s="2705"/>
      <c r="D114" s="2705"/>
      <c r="E114" s="2367">
        <f>+Altri_dati_eco_fin!G79</f>
        <v>0</v>
      </c>
      <c r="F114" s="2367">
        <f>+Altri_dati_eco_fin!H79</f>
        <v>0</v>
      </c>
      <c r="G114" s="2367">
        <f>+Altri_dati_eco_fin!I79</f>
        <v>0</v>
      </c>
      <c r="H114" s="2367">
        <f>+Altri_dati_eco_fin!J79</f>
        <v>0</v>
      </c>
      <c r="J114" s="7"/>
    </row>
    <row r="115" spans="1:10" ht="15.75" customHeight="1">
      <c r="B115" s="871" t="s">
        <v>26876</v>
      </c>
      <c r="C115" s="2739">
        <f>+SUM(C110:C111,C113)</f>
        <v>0</v>
      </c>
      <c r="D115" s="2739">
        <f>+SUM(D110:D111,D113)</f>
        <v>0</v>
      </c>
      <c r="E115" s="1147">
        <f>+SUM(E110:E114)</f>
        <v>0</v>
      </c>
      <c r="F115" s="1147">
        <f t="shared" ref="F115:H115" si="16">+SUM(F110:F114)</f>
        <v>0</v>
      </c>
      <c r="G115" s="1147">
        <f t="shared" si="16"/>
        <v>0</v>
      </c>
      <c r="H115" s="1147">
        <f t="shared" si="16"/>
        <v>0</v>
      </c>
    </row>
    <row r="117" spans="1:10" ht="12" customHeight="1"/>
    <row r="118" spans="1:10" ht="12" customHeight="1"/>
    <row r="120" spans="1:10" customFormat="1" ht="15">
      <c r="A120" s="870"/>
    </row>
    <row r="121" spans="1:10" s="727" customFormat="1" ht="16.5" thickBot="1">
      <c r="A121" s="725" t="s">
        <v>30555</v>
      </c>
      <c r="B121" s="729" t="s">
        <v>25436</v>
      </c>
      <c r="I121" s="729"/>
    </row>
    <row r="122" spans="1:10" ht="15" customHeight="1" thickTop="1">
      <c r="A122" s="872"/>
      <c r="B122" s="63"/>
    </row>
    <row r="123" spans="1:10" customFormat="1" ht="15">
      <c r="A123" s="870"/>
    </row>
    <row r="124" spans="1:10" customFormat="1" ht="15">
      <c r="A124" s="870"/>
    </row>
    <row r="125" spans="1:10">
      <c r="C125" s="1773">
        <v>2024</v>
      </c>
      <c r="D125" s="1773">
        <v>2025</v>
      </c>
      <c r="E125" s="1771">
        <v>2026</v>
      </c>
      <c r="F125" s="1772">
        <v>2027</v>
      </c>
      <c r="G125" s="1774">
        <v>2028</v>
      </c>
      <c r="H125" s="1774">
        <v>2029</v>
      </c>
    </row>
    <row r="126" spans="1:10" ht="16.5">
      <c r="B126" s="1549" t="s">
        <v>31404</v>
      </c>
      <c r="C126" s="1608">
        <f>Dati_Anni_precedenti!E40</f>
        <v>0</v>
      </c>
      <c r="D126" s="1608">
        <f>Dati_Anni_precedenti!F40</f>
        <v>0</v>
      </c>
      <c r="E126" s="1608">
        <f>+Altri_dati_eco_fin!G81</f>
        <v>0</v>
      </c>
      <c r="F126" s="1608">
        <f>+Altri_dati_eco_fin!H81</f>
        <v>0</v>
      </c>
      <c r="G126" s="1608">
        <f>+Altri_dati_eco_fin!I81</f>
        <v>0</v>
      </c>
      <c r="H126" s="1608">
        <f>+Altri_dati_eco_fin!J81</f>
        <v>0</v>
      </c>
    </row>
    <row r="127" spans="1:10" ht="16.5">
      <c r="A127" s="1126"/>
      <c r="B127" s="1549" t="s">
        <v>31405</v>
      </c>
      <c r="C127" s="2705"/>
      <c r="D127" s="2705"/>
      <c r="E127" s="1608">
        <f>+Altri_dati_eco_fin!G82</f>
        <v>0</v>
      </c>
      <c r="F127" s="1608">
        <f>+Altri_dati_eco_fin!H82</f>
        <v>0</v>
      </c>
      <c r="G127" s="1608">
        <f>+Altri_dati_eco_fin!I82</f>
        <v>0</v>
      </c>
      <c r="H127" s="1608">
        <f>+Altri_dati_eco_fin!J82</f>
        <v>0</v>
      </c>
    </row>
    <row r="128" spans="1:10" ht="15" customHeight="1">
      <c r="B128" s="1549" t="s">
        <v>31406</v>
      </c>
      <c r="C128" s="1608">
        <f>+Dati_Anni_precedenti!E41</f>
        <v>0</v>
      </c>
      <c r="D128" s="1608">
        <f>+Dati_Anni_precedenti!F41</f>
        <v>0</v>
      </c>
      <c r="E128" s="1608">
        <f>+Altri_dati_eco_fin!G83</f>
        <v>0</v>
      </c>
      <c r="F128" s="1608">
        <f>+Altri_dati_eco_fin!H83</f>
        <v>0</v>
      </c>
      <c r="G128" s="1608">
        <f>+Altri_dati_eco_fin!I83</f>
        <v>0</v>
      </c>
      <c r="H128" s="1608">
        <f>+Altri_dati_eco_fin!J83</f>
        <v>0</v>
      </c>
    </row>
    <row r="129" spans="1:9" ht="15" customHeight="1">
      <c r="B129" s="871" t="s">
        <v>26877</v>
      </c>
      <c r="C129" s="2739">
        <f>+C126+C128</f>
        <v>0</v>
      </c>
      <c r="D129" s="2739">
        <f>+D126+D128</f>
        <v>0</v>
      </c>
      <c r="E129" s="1147">
        <f>SUM(E126:E128)</f>
        <v>0</v>
      </c>
      <c r="F129" s="1147">
        <f t="shared" ref="F129:H129" si="17">SUM(F126:F128)</f>
        <v>0</v>
      </c>
      <c r="G129" s="1147">
        <f t="shared" si="17"/>
        <v>0</v>
      </c>
      <c r="H129" s="1147">
        <f t="shared" si="17"/>
        <v>0</v>
      </c>
    </row>
    <row r="130" spans="1:9" ht="15" customHeight="1"/>
    <row r="135" spans="1:9" s="727" customFormat="1" ht="16.5" thickBot="1">
      <c r="A135" s="725" t="s">
        <v>30556</v>
      </c>
      <c r="B135" s="729" t="s">
        <v>26818</v>
      </c>
      <c r="I135" s="729"/>
    </row>
    <row r="136" spans="1:9" ht="15" customHeight="1" thickTop="1">
      <c r="A136" s="872"/>
      <c r="B136" s="63"/>
    </row>
    <row r="137" spans="1:9" customFormat="1" ht="15">
      <c r="A137" s="870"/>
    </row>
    <row r="138" spans="1:9" customFormat="1" ht="15">
      <c r="A138" s="870"/>
    </row>
    <row r="139" spans="1:9">
      <c r="C139" s="1773">
        <v>2024</v>
      </c>
      <c r="D139" s="1773">
        <v>2025</v>
      </c>
      <c r="E139" s="1771">
        <v>2026</v>
      </c>
      <c r="F139" s="1772">
        <v>2027</v>
      </c>
      <c r="G139" s="1774">
        <v>2028</v>
      </c>
      <c r="H139" s="1774">
        <v>2029</v>
      </c>
    </row>
    <row r="140" spans="1:9" ht="30.75" customHeight="1">
      <c r="B140" s="1624" t="s">
        <v>31214</v>
      </c>
      <c r="C140" s="1608">
        <f>Dati_Anni_precedenti!E42</f>
        <v>0</v>
      </c>
      <c r="D140" s="1608">
        <f>Dati_Anni_precedenti!F42</f>
        <v>0</v>
      </c>
      <c r="E140" s="1608">
        <f>+Altri_dati_eco_fin!G84</f>
        <v>0</v>
      </c>
      <c r="F140" s="1608">
        <f>+Altri_dati_eco_fin!H84</f>
        <v>0</v>
      </c>
      <c r="G140" s="1608">
        <f>+Altri_dati_eco_fin!I84</f>
        <v>0</v>
      </c>
      <c r="H140" s="1608">
        <f>+Altri_dati_eco_fin!J84</f>
        <v>0</v>
      </c>
    </row>
    <row r="141" spans="1:9" ht="15.75">
      <c r="B141" s="871" t="s">
        <v>26878</v>
      </c>
      <c r="C141" s="2739">
        <f>Dati_Anni_precedenti!E42</f>
        <v>0</v>
      </c>
      <c r="D141" s="2739">
        <f>Dati_Anni_precedenti!F42</f>
        <v>0</v>
      </c>
      <c r="E141" s="1147">
        <f t="shared" ref="E141:H141" si="18">+E140</f>
        <v>0</v>
      </c>
      <c r="F141" s="1147">
        <f t="shared" si="18"/>
        <v>0</v>
      </c>
      <c r="G141" s="1147">
        <f t="shared" si="18"/>
        <v>0</v>
      </c>
      <c r="H141" s="1147">
        <f t="shared" si="18"/>
        <v>0</v>
      </c>
    </row>
    <row r="142" spans="1:9" ht="15" customHeight="1"/>
    <row r="147" spans="1:14" customFormat="1" ht="15">
      <c r="A147" s="870"/>
    </row>
    <row r="148" spans="1:14" s="727" customFormat="1" ht="16.5" thickBot="1">
      <c r="A148" s="725" t="s">
        <v>30557</v>
      </c>
      <c r="B148" s="729" t="s">
        <v>24750</v>
      </c>
      <c r="I148" s="729"/>
    </row>
    <row r="149" spans="1:14" ht="13.5" thickTop="1"/>
    <row r="151" spans="1:14" ht="12.75" customHeight="1">
      <c r="C151"/>
      <c r="D151"/>
      <c r="E151"/>
      <c r="F151"/>
    </row>
    <row r="152" spans="1:14">
      <c r="C152" s="1773">
        <v>2024</v>
      </c>
      <c r="D152" s="1773">
        <v>2025</v>
      </c>
      <c r="E152" s="1771">
        <v>2026</v>
      </c>
      <c r="F152" s="1772">
        <v>2027</v>
      </c>
      <c r="G152" s="1774">
        <v>2028</v>
      </c>
      <c r="H152" s="1774">
        <v>2029</v>
      </c>
      <c r="M152" s="134"/>
      <c r="N152" s="134"/>
    </row>
    <row r="153" spans="1:14" ht="16.5">
      <c r="B153" s="1172" t="s">
        <v>26881</v>
      </c>
      <c r="C153" s="1105">
        <f>+C179+C192+C209+C242+C227</f>
        <v>0</v>
      </c>
      <c r="D153" s="1105">
        <f>+D179+D192+D209+D242+D227</f>
        <v>0</v>
      </c>
      <c r="E153" s="1105">
        <f t="shared" ref="E153:H153" si="19">+E179+E192+E209+E242+E227</f>
        <v>0</v>
      </c>
      <c r="F153" s="1105">
        <f t="shared" si="19"/>
        <v>0</v>
      </c>
      <c r="G153" s="1105">
        <f t="shared" si="19"/>
        <v>0</v>
      </c>
      <c r="H153" s="1105">
        <f t="shared" si="19"/>
        <v>0</v>
      </c>
      <c r="M153" s="134"/>
      <c r="N153" s="134"/>
    </row>
    <row r="154" spans="1:14" customFormat="1" ht="16.5">
      <c r="A154" s="870"/>
      <c r="B154" s="1172" t="s">
        <v>28820</v>
      </c>
      <c r="C154" s="2705"/>
      <c r="D154" s="2705"/>
      <c r="E154" s="1105">
        <f>+Input_per_calcoli_finali!K149</f>
        <v>0</v>
      </c>
      <c r="F154" s="1105">
        <f>+Input_per_calcoli_finali!L149</f>
        <v>0</v>
      </c>
      <c r="G154" s="1105">
        <f>+Input_per_calcoli_finali!M149</f>
        <v>0</v>
      </c>
      <c r="H154" s="1105">
        <f>+Input_per_calcoli_finali!N149</f>
        <v>0</v>
      </c>
    </row>
    <row r="155" spans="1:14" ht="16.5">
      <c r="B155" s="1170" t="s">
        <v>22891</v>
      </c>
      <c r="C155" s="2748">
        <f t="shared" ref="C155:D155" si="20">+C153</f>
        <v>0</v>
      </c>
      <c r="D155" s="2748">
        <f t="shared" si="20"/>
        <v>0</v>
      </c>
      <c r="E155" s="138">
        <f t="shared" ref="E155:H155" si="21">+IFERROR(E153-E154,0)</f>
        <v>0</v>
      </c>
      <c r="F155" s="138">
        <f t="shared" si="21"/>
        <v>0</v>
      </c>
      <c r="G155" s="138">
        <f t="shared" si="21"/>
        <v>0</v>
      </c>
      <c r="H155" s="138">
        <f t="shared" si="21"/>
        <v>0</v>
      </c>
      <c r="M155" s="134"/>
      <c r="N155" s="134"/>
    </row>
    <row r="156" spans="1:14">
      <c r="M156" s="134"/>
      <c r="N156" s="134"/>
    </row>
    <row r="157" spans="1:14">
      <c r="M157" s="134"/>
      <c r="N157" s="134"/>
    </row>
    <row r="158" spans="1:14">
      <c r="M158" s="134"/>
      <c r="N158" s="134"/>
    </row>
    <row r="159" spans="1:14" ht="12" customHeight="1">
      <c r="M159" s="134"/>
      <c r="N159" s="134"/>
    </row>
    <row r="160" spans="1:14">
      <c r="M160" s="134"/>
      <c r="N160" s="134"/>
    </row>
    <row r="161" spans="1:16" s="727" customFormat="1" ht="16.5" thickBot="1">
      <c r="A161" s="725" t="s">
        <v>30558</v>
      </c>
      <c r="B161" s="729" t="s">
        <v>24751</v>
      </c>
      <c r="I161" s="729"/>
    </row>
    <row r="162" spans="1:16" ht="13.5" thickTop="1"/>
    <row r="163" spans="1:16" customFormat="1" ht="15" customHeight="1">
      <c r="A163" s="870"/>
    </row>
    <row r="164" spans="1:16" customFormat="1" ht="15" customHeight="1">
      <c r="A164" s="870"/>
    </row>
    <row r="165" spans="1:16">
      <c r="C165" s="1773">
        <v>2024</v>
      </c>
      <c r="D165" s="1773">
        <v>2025</v>
      </c>
      <c r="E165" s="1771">
        <v>2026</v>
      </c>
      <c r="F165" s="1772">
        <v>2027</v>
      </c>
      <c r="G165" s="1774">
        <v>2028</v>
      </c>
      <c r="H165" s="1774">
        <v>2029</v>
      </c>
      <c r="K165" s="47"/>
      <c r="L165" s="47"/>
      <c r="M165" s="47"/>
      <c r="N165" s="47"/>
      <c r="O165" s="47"/>
      <c r="P165" s="47"/>
    </row>
    <row r="166" spans="1:16" ht="15" customHeight="1">
      <c r="B166" s="1832" t="s">
        <v>31225</v>
      </c>
      <c r="C166" s="2706"/>
      <c r="D166" s="2706"/>
      <c r="E166" s="1829">
        <f>+SUM(Dati_conto_economico!C47:C48,Dati_conto_economico!F47:F48)</f>
        <v>0</v>
      </c>
      <c r="F166" s="1829">
        <f>+SUM(Dati_conto_economico!I47:I48,Dati_conto_economico!L47:L48)</f>
        <v>0</v>
      </c>
      <c r="G166" s="1869">
        <f>+F166</f>
        <v>0</v>
      </c>
      <c r="H166" s="1869">
        <f>+G166</f>
        <v>0</v>
      </c>
    </row>
    <row r="167" spans="1:16" ht="15" customHeight="1">
      <c r="B167" s="1832" t="s">
        <v>31226</v>
      </c>
      <c r="C167" s="2706"/>
      <c r="D167" s="2706"/>
      <c r="E167" s="2367">
        <f>+Altri_dati_eco_fin!G88</f>
        <v>0</v>
      </c>
      <c r="F167" s="2367">
        <f>+Altri_dati_eco_fin!H88</f>
        <v>0</v>
      </c>
      <c r="G167" s="1869">
        <f>+Altri_dati_eco_fin!I88</f>
        <v>0</v>
      </c>
      <c r="H167" s="1869">
        <f>+Altri_dati_eco_fin!J88</f>
        <v>0</v>
      </c>
    </row>
    <row r="168" spans="1:16" ht="15" customHeight="1">
      <c r="B168" s="1832" t="s">
        <v>31227</v>
      </c>
      <c r="C168" s="2706"/>
      <c r="D168" s="2706"/>
      <c r="E168" s="1829">
        <f t="shared" ref="E168:H168" si="22">+E166-E167</f>
        <v>0</v>
      </c>
      <c r="F168" s="1829">
        <f t="shared" si="22"/>
        <v>0</v>
      </c>
      <c r="G168" s="2707">
        <f t="shared" si="22"/>
        <v>0</v>
      </c>
      <c r="H168" s="2707">
        <f t="shared" si="22"/>
        <v>0</v>
      </c>
    </row>
    <row r="169" spans="1:16" ht="15" customHeight="1">
      <c r="B169" s="1832" t="s">
        <v>30475</v>
      </c>
      <c r="C169" s="2707">
        <f>Dati_Anni_precedenti!E102</f>
        <v>0</v>
      </c>
      <c r="D169" s="2707">
        <f>+Dati_tecnici!G5</f>
        <v>0</v>
      </c>
      <c r="E169" s="1829">
        <f>Dati_tecnici!E5</f>
        <v>0</v>
      </c>
      <c r="F169" s="1829">
        <f>Dati_tecnici!F5</f>
        <v>0</v>
      </c>
      <c r="G169" s="1869">
        <f>+F169</f>
        <v>0</v>
      </c>
      <c r="H169" s="1869">
        <f>+G169</f>
        <v>0</v>
      </c>
    </row>
    <row r="170" spans="1:16" ht="15" customHeight="1">
      <c r="B170" s="97" t="s">
        <v>30476</v>
      </c>
      <c r="C170" s="2707">
        <f>Dati_Anni_precedenti!E103</f>
        <v>0</v>
      </c>
      <c r="D170" s="2707">
        <f>+Dati_tecnici!G6</f>
        <v>0</v>
      </c>
      <c r="E170" s="1829">
        <f>Dati_tecnici!E6</f>
        <v>0</v>
      </c>
      <c r="F170" s="1829">
        <f>Dati_tecnici!F6</f>
        <v>0</v>
      </c>
      <c r="G170" s="1870">
        <f>+F170</f>
        <v>0</v>
      </c>
      <c r="H170" s="1870">
        <f>+G170</f>
        <v>0</v>
      </c>
    </row>
    <row r="171" spans="1:16" ht="15" customHeight="1">
      <c r="B171" s="1831" t="s">
        <v>31315</v>
      </c>
      <c r="C171" s="2706"/>
      <c r="D171" s="2706"/>
      <c r="E171" s="2462">
        <f>((Dati_Anni_precedenti!E115+Dati_Anni_precedenti!E116)+(Dati_Anni_precedenti!F115+Dati_Anni_precedenti!F116)+(Dati_Anni_precedenti!E102+Dati_Anni_precedenti!E103)+(Dati_tecnici!G5+Dati_tecnici!G6))/4</f>
        <v>0</v>
      </c>
      <c r="F171" s="2462">
        <f>((Dati_Anni_precedenti!F115+Dati_Anni_precedenti!F116)+(Dati_Anni_precedenti!E102+Dati_Anni_precedenti!E103)+(Dati_tecnici!G5+Dati_tecnici!G6)+(Dati_tecnici!E5+Dati_tecnici!E6))/4</f>
        <v>0</v>
      </c>
      <c r="G171" s="2463">
        <f>((Dati_Anni_precedenti!E102+Dati_Anni_precedenti!E103)+(Dati_tecnici!G5+Dati_tecnici!G6)+(Dati_tecnici!E5+Dati_tecnici!E6)+(Dati_tecnici!F5+Dati_tecnici!F6))/4</f>
        <v>0</v>
      </c>
      <c r="H171" s="2463">
        <f>((Dati_tecnici!G5+Dati_tecnici!G6)+(Dati_tecnici!E5+Dati_tecnici!E6)+(Dati_tecnici!F5+Dati_tecnici!F6)+(G169+G170))/4</f>
        <v>0</v>
      </c>
      <c r="I171"/>
    </row>
    <row r="172" spans="1:16" ht="15" customHeight="1">
      <c r="B172" s="2357" t="s">
        <v>31215</v>
      </c>
      <c r="C172" s="2706"/>
      <c r="D172" s="2706"/>
      <c r="E172" s="610">
        <f>Dati_tecnici!E7</f>
        <v>0</v>
      </c>
      <c r="F172" s="610">
        <f>Dati_tecnici!F7</f>
        <v>0</v>
      </c>
      <c r="G172" s="1870">
        <f>+F172</f>
        <v>0</v>
      </c>
      <c r="H172" s="1870">
        <f>+G172</f>
        <v>0</v>
      </c>
    </row>
    <row r="173" spans="1:16" ht="15" customHeight="1">
      <c r="B173" s="1134" t="s">
        <v>31316</v>
      </c>
      <c r="C173" s="2706"/>
      <c r="D173" s="2706"/>
      <c r="E173" s="1088">
        <f>+IFERROR((E171-(E170+E169))*(E168/E169),0)</f>
        <v>0</v>
      </c>
      <c r="F173" s="1088">
        <f t="shared" ref="F173:H173" si="23">+IFERROR((F171-(F170+F169))*(F168/F169),0)</f>
        <v>0</v>
      </c>
      <c r="G173" s="1088">
        <f t="shared" si="23"/>
        <v>0</v>
      </c>
      <c r="H173" s="1088">
        <f t="shared" si="23"/>
        <v>0</v>
      </c>
    </row>
    <row r="174" spans="1:16" ht="15" customHeight="1">
      <c r="B174" s="1134" t="s">
        <v>31317</v>
      </c>
      <c r="C174" s="2706"/>
      <c r="D174" s="2706"/>
      <c r="E174" s="1732">
        <f t="shared" ref="E174:H174" si="24">+IF(E173&lt;0,0,0.25)</f>
        <v>0.25</v>
      </c>
      <c r="F174" s="1732">
        <f t="shared" si="24"/>
        <v>0.25</v>
      </c>
      <c r="G174" s="1732">
        <f t="shared" si="24"/>
        <v>0.25</v>
      </c>
      <c r="H174" s="1732">
        <f t="shared" si="24"/>
        <v>0.25</v>
      </c>
    </row>
    <row r="175" spans="1:16" ht="15" customHeight="1">
      <c r="B175" s="97" t="s">
        <v>22729</v>
      </c>
      <c r="C175" s="2708">
        <f>+VLOOKUP("da t-2 a t",PINF,C$9 - 2011,FALSE)</f>
        <v>1.13696</v>
      </c>
      <c r="D175" s="2708">
        <f>+VLOOKUP("da t-2 a t",PINF,D$9 - 2011,FALSE)</f>
        <v>1.1097600000000001</v>
      </c>
      <c r="E175" s="1132">
        <f t="shared" ref="E175:H175" si="25">+VLOOKUP("da t-2 a t",PINF,E$9 - 2011,FALSE)</f>
        <v>1.03224</v>
      </c>
      <c r="F175" s="1132">
        <f t="shared" si="25"/>
        <v>1.012</v>
      </c>
      <c r="G175" s="1132">
        <f t="shared" si="25"/>
        <v>1</v>
      </c>
      <c r="H175" s="2452">
        <f t="shared" si="25"/>
        <v>1</v>
      </c>
    </row>
    <row r="176" spans="1:16" ht="15" customHeight="1">
      <c r="B176"/>
      <c r="C176"/>
      <c r="D176"/>
      <c r="E176"/>
      <c r="F176"/>
      <c r="G176"/>
      <c r="H176"/>
    </row>
    <row r="177" spans="1:17" ht="15" hidden="1" customHeight="1">
      <c r="B177"/>
      <c r="C177"/>
      <c r="D177"/>
      <c r="E177"/>
      <c r="F177"/>
      <c r="G177"/>
      <c r="H177"/>
    </row>
    <row r="178" spans="1:17" ht="15" hidden="1" customHeight="1">
      <c r="B178"/>
      <c r="C178"/>
      <c r="D178"/>
      <c r="E178"/>
      <c r="F178"/>
      <c r="G178"/>
      <c r="H178"/>
      <c r="K178" s="47"/>
      <c r="L178" s="47"/>
      <c r="M178" s="47"/>
      <c r="N178" s="47"/>
    </row>
    <row r="179" spans="1:17" ht="15" customHeight="1">
      <c r="B179" s="98" t="s">
        <v>26880</v>
      </c>
      <c r="C179" s="2739">
        <f>Dati_Anni_precedenti!E43</f>
        <v>0</v>
      </c>
      <c r="D179" s="2739">
        <f>Dati_Anni_precedenti!F43</f>
        <v>0</v>
      </c>
      <c r="E179" s="1147">
        <f>(E168+IF(E172="SI",E170*E168/E169,0)+E174*E173)*E175</f>
        <v>0</v>
      </c>
      <c r="F179" s="1147">
        <f t="shared" ref="F179:H179" si="26">+(F168+IF(F172="SI",F168*F170/F169,0)+F174*F173)*F175</f>
        <v>0</v>
      </c>
      <c r="G179" s="1147">
        <f t="shared" si="26"/>
        <v>0</v>
      </c>
      <c r="H179" s="1147">
        <f t="shared" si="26"/>
        <v>0</v>
      </c>
      <c r="K179" s="1066"/>
      <c r="L179" s="1066"/>
      <c r="M179" s="1066"/>
      <c r="N179" s="1066"/>
      <c r="O179" s="134"/>
      <c r="P179" s="134"/>
    </row>
    <row r="180" spans="1:17" customFormat="1" ht="15" customHeight="1">
      <c r="A180" s="870"/>
      <c r="K180" s="1066"/>
      <c r="L180" s="1066"/>
      <c r="M180" s="1066"/>
      <c r="N180" s="1066"/>
      <c r="O180" s="7"/>
      <c r="P180" s="7"/>
    </row>
    <row r="181" spans="1:17" customFormat="1" ht="15" customHeight="1">
      <c r="A181" s="870"/>
    </row>
    <row r="182" spans="1:17" customFormat="1" ht="15" customHeight="1">
      <c r="A182" s="870"/>
      <c r="K182" s="7"/>
      <c r="L182" s="7"/>
      <c r="M182" s="7"/>
      <c r="N182" s="7"/>
      <c r="O182" s="7"/>
      <c r="P182" s="7"/>
      <c r="Q182" s="7"/>
    </row>
    <row r="183" spans="1:17" customFormat="1" ht="15" customHeight="1">
      <c r="A183" s="870"/>
      <c r="K183" s="7"/>
    </row>
    <row r="185" spans="1:17" s="727" customFormat="1" ht="16.5" thickBot="1">
      <c r="A185" s="725" t="s">
        <v>30559</v>
      </c>
      <c r="B185" s="729" t="s">
        <v>24752</v>
      </c>
      <c r="I185" s="729"/>
    </row>
    <row r="186" spans="1:17" ht="15" customHeight="1" thickTop="1">
      <c r="A186" s="872"/>
      <c r="B186"/>
      <c r="C186"/>
      <c r="D186"/>
      <c r="E186"/>
      <c r="F186"/>
      <c r="I186" s="236"/>
    </row>
    <row r="189" spans="1:17">
      <c r="C189" s="1773">
        <v>2024</v>
      </c>
      <c r="D189" s="1773">
        <v>2025</v>
      </c>
      <c r="E189" s="1771">
        <v>2026</v>
      </c>
      <c r="F189" s="1772">
        <v>2027</v>
      </c>
      <c r="G189" s="1774">
        <v>2028</v>
      </c>
      <c r="H189" s="1774">
        <v>2029</v>
      </c>
    </row>
    <row r="190" spans="1:17" ht="16.5">
      <c r="B190" s="97" t="s">
        <v>30520</v>
      </c>
      <c r="C190" s="1135">
        <f>+Dati_Anni_precedenti!E45</f>
        <v>0</v>
      </c>
      <c r="D190" s="1135">
        <f>+Dati_Anni_precedenti!F45</f>
        <v>0</v>
      </c>
      <c r="E190" s="1135">
        <f>Altri_dati_eco_fin!G85</f>
        <v>0</v>
      </c>
      <c r="F190" s="1135">
        <f>Altri_dati_eco_fin!H85</f>
        <v>0</v>
      </c>
      <c r="G190" s="1135">
        <f>Altri_dati_eco_fin!I85</f>
        <v>0</v>
      </c>
      <c r="H190" s="1135">
        <f>Altri_dati_eco_fin!J85</f>
        <v>0</v>
      </c>
      <c r="I190" s="870"/>
      <c r="J190" s="870"/>
    </row>
    <row r="191" spans="1:17" ht="16.5">
      <c r="B191" s="1837" t="s">
        <v>30467</v>
      </c>
      <c r="C191" s="1836">
        <f>Dati_Anni_precedenti!E44-Dati_Anni_precedenti!E45</f>
        <v>0</v>
      </c>
      <c r="D191" s="1836">
        <f>Dati_Anni_precedenti!F44-Dati_Anni_precedenti!F45</f>
        <v>0</v>
      </c>
      <c r="E191" s="1836">
        <f>+SUMIF(Acquisto_Servizi_ingrosso!$F:$F,E189-2,Acquisto_Servizi_ingrosso!$L:$L)</f>
        <v>0</v>
      </c>
      <c r="F191" s="1836">
        <f>+SUMIF(Acquisto_Servizi_ingrosso!$F:$F,F189-2,Acquisto_Servizi_ingrosso!$L:$L)</f>
        <v>0</v>
      </c>
      <c r="G191" s="1868">
        <f>+F191</f>
        <v>0</v>
      </c>
      <c r="H191" s="1868">
        <f t="shared" ref="H191" si="27">+G191</f>
        <v>0</v>
      </c>
      <c r="I191" s="1788"/>
    </row>
    <row r="192" spans="1:17" ht="15.75">
      <c r="B192" s="98" t="s">
        <v>26798</v>
      </c>
      <c r="C192" s="2739">
        <f>+C190+C191</f>
        <v>0</v>
      </c>
      <c r="D192" s="2739">
        <f>+D190+D191</f>
        <v>0</v>
      </c>
      <c r="E192" s="1168">
        <f t="shared" ref="E192:H192" si="28">+E191+E190</f>
        <v>0</v>
      </c>
      <c r="F192" s="1168">
        <f t="shared" si="28"/>
        <v>0</v>
      </c>
      <c r="G192" s="1168">
        <f t="shared" si="28"/>
        <v>0</v>
      </c>
      <c r="H192" s="1168">
        <f t="shared" si="28"/>
        <v>0</v>
      </c>
    </row>
    <row r="193" spans="1:18" customFormat="1" ht="15">
      <c r="A193" s="870"/>
    </row>
    <row r="194" spans="1:18" customFormat="1" ht="15">
      <c r="A194" s="870"/>
    </row>
    <row r="195" spans="1:18" customFormat="1" ht="15">
      <c r="A195" s="870"/>
      <c r="C195" s="7"/>
      <c r="D195" s="7"/>
      <c r="E195" s="7"/>
      <c r="F195" s="7"/>
      <c r="G195" s="7"/>
      <c r="H195" s="7"/>
    </row>
    <row r="196" spans="1:18" customFormat="1" ht="15">
      <c r="A196" s="870"/>
    </row>
    <row r="198" spans="1:18" s="727" customFormat="1" ht="16.5" thickBot="1">
      <c r="A198" s="725" t="s">
        <v>30560</v>
      </c>
      <c r="B198" s="729" t="s">
        <v>26799</v>
      </c>
      <c r="I198" s="729"/>
    </row>
    <row r="199" spans="1:18" ht="15" customHeight="1" thickTop="1">
      <c r="A199" s="872"/>
    </row>
    <row r="200" spans="1:18">
      <c r="A200" s="872"/>
    </row>
    <row r="201" spans="1:18">
      <c r="A201" s="872"/>
    </row>
    <row r="202" spans="1:18">
      <c r="C202" s="1773">
        <v>2024</v>
      </c>
      <c r="D202" s="1773">
        <v>2025</v>
      </c>
      <c r="E202" s="1771">
        <v>2026</v>
      </c>
      <c r="F202" s="1772">
        <v>2027</v>
      </c>
      <c r="G202" s="1774">
        <v>2028</v>
      </c>
      <c r="H202" s="1774">
        <v>2029</v>
      </c>
    </row>
    <row r="203" spans="1:18" ht="15" customHeight="1">
      <c r="B203" s="99" t="s">
        <v>26800</v>
      </c>
      <c r="C203" s="1088">
        <f>+Dati_Anni_precedenti!$F$127</f>
        <v>0</v>
      </c>
      <c r="D203" s="1088">
        <f>+Dati_Anni_precedenti!$F$127</f>
        <v>0</v>
      </c>
      <c r="E203" s="1088">
        <f>+Dati_Anni_precedenti!$F$127</f>
        <v>0</v>
      </c>
      <c r="F203" s="1088">
        <f>+Dati_Anni_precedenti!$F$127</f>
        <v>0</v>
      </c>
      <c r="G203" s="1088">
        <f>+Dati_Anni_precedenti!$F$127</f>
        <v>0</v>
      </c>
      <c r="H203" s="1088">
        <f>+Dati_Anni_precedenti!$F$127</f>
        <v>0</v>
      </c>
    </row>
    <row r="204" spans="1:18" ht="15" customHeight="1">
      <c r="B204" s="99" t="s">
        <v>26801</v>
      </c>
      <c r="C204" s="2706"/>
      <c r="D204" s="2706"/>
      <c r="E204" s="40">
        <f>+SUM(Dati_conto_economico!C53:C54,Dati_conto_economico!F53:F54,Dati_conto_economico!C92,Dati_conto_economico!F92)</f>
        <v>0</v>
      </c>
      <c r="F204" s="1608">
        <f>+SUM(Dati_conto_economico!I53:I54,Dati_conto_economico!L53:L54,Dati_conto_economico!I92,Dati_conto_economico!L92)</f>
        <v>0</v>
      </c>
      <c r="G204" s="1870">
        <f>+F204</f>
        <v>0</v>
      </c>
      <c r="H204" s="1870">
        <f>+G204</f>
        <v>0</v>
      </c>
    </row>
    <row r="205" spans="1:18" ht="15" customHeight="1">
      <c r="B205" s="99" t="s">
        <v>26481</v>
      </c>
      <c r="C205" s="1839">
        <v>0.02</v>
      </c>
      <c r="D205" s="1839">
        <v>0.02</v>
      </c>
      <c r="E205" s="1839">
        <v>0.02</v>
      </c>
      <c r="F205" s="1839">
        <v>0.02</v>
      </c>
      <c r="G205" s="1839">
        <v>0.02</v>
      </c>
      <c r="H205" s="1839">
        <v>0.02</v>
      </c>
      <c r="I205" s="870"/>
      <c r="J205" s="870"/>
      <c r="K205" s="870"/>
      <c r="L205" s="870"/>
      <c r="M205" s="870"/>
      <c r="N205" s="870"/>
      <c r="O205" s="870"/>
      <c r="P205" s="870"/>
      <c r="Q205" s="870"/>
      <c r="R205" s="870"/>
    </row>
    <row r="206" spans="1:18" s="61" customFormat="1" ht="15" customHeight="1">
      <c r="A206" s="1126"/>
      <c r="B206" s="1131" t="s">
        <v>31835</v>
      </c>
      <c r="C206" s="2709" cm="1">
        <f t="array" ref="C206">+VLOOKUP({"da t-5 a t"},PINF,C$202 - 2011-2,FALSE)</f>
        <v>1.0303234665583854</v>
      </c>
      <c r="D206" s="2709" cm="1">
        <f t="array" ref="D206">+VLOOKUP({"da t-6 a t"},PINF,D$202 - 2011-2,FALSE)</f>
        <v>1.0766880225535127</v>
      </c>
      <c r="E206" s="2709">
        <f>+VLOOKUP("da t-7 a t",PINF,E$202 - 2011-2,FALSE)</f>
        <v>1.171436568538222</v>
      </c>
      <c r="F206" s="2709" cm="1">
        <f t="array" ref="F206">+VLOOKUP({"da t-8 a t"},PINF,F$202 - 2011-2,FALSE)</f>
        <v>1.1948652999089864</v>
      </c>
      <c r="G206" s="2709" cm="1">
        <f t="array" ref="G206">+VLOOKUP({"da t-9 a t"},PINF,G$202 - 2011-2,FALSE)</f>
        <v>1.2092036835078943</v>
      </c>
      <c r="H206" s="2709" cm="1">
        <f t="array" ref="H206">+VLOOKUP({"da t-10 a t"},PINF,H$202 - 2011-2,FALSE)</f>
        <v>1.2092036835078943</v>
      </c>
    </row>
    <row r="207" spans="1:18" ht="15" customHeight="1">
      <c r="B207" s="1131" t="s">
        <v>31836</v>
      </c>
      <c r="C207" s="2709" cm="1">
        <f t="array" ref="C207">+VLOOKUP({"da t-7 a t"},PINF,C$202 - 2011,FALSE)</f>
        <v>1.171436568538222</v>
      </c>
      <c r="D207" s="2709" cm="1">
        <f t="array" ref="D207">+VLOOKUP({"da t-8 a t"},PINF,D$202 - 2011,FALSE)</f>
        <v>1.1948652999089864</v>
      </c>
      <c r="E207" s="2709">
        <f>+VLOOKUP("da t-9 a t",PINF,E$202 - 2011,FALSE)</f>
        <v>1.2092036835078943</v>
      </c>
      <c r="F207" s="2709" cm="1">
        <f t="array" ref="F207">+VLOOKUP({"da t-10 a t"},PINF,F$202 - 2011,FALSE)</f>
        <v>1.2092036835078943</v>
      </c>
      <c r="G207" s="2709" cm="1">
        <f t="array" ref="G207">+VLOOKUP({"da t-11 a t"},PINF,G$202 - 2011,FALSE)</f>
        <v>1.2092036835078943</v>
      </c>
      <c r="H207" s="2709" cm="1">
        <f t="array" ref="H207">+VLOOKUP({"da t-12 a t"},PINF,H$202 - 2011,FALSE)</f>
        <v>1.2092036835078943</v>
      </c>
      <c r="I207" s="870"/>
      <c r="J207" s="870"/>
      <c r="K207" s="870"/>
      <c r="L207" s="870"/>
      <c r="M207" s="870"/>
      <c r="N207" s="870"/>
      <c r="O207" s="870"/>
      <c r="P207" s="870"/>
      <c r="Q207" s="870"/>
      <c r="R207" s="870"/>
    </row>
    <row r="208" spans="1:18" ht="15" customHeight="1">
      <c r="B208" s="1136" t="s">
        <v>26803</v>
      </c>
      <c r="C208" s="2706"/>
      <c r="D208" s="2706"/>
      <c r="E208" s="1349" t="str">
        <f>+IF(Altri_dati_eco_fin!$E$86="SI","SI","NO")</f>
        <v>NO</v>
      </c>
      <c r="F208" s="1349" t="str">
        <f>+IF(Altri_dati_eco_fin!$F$86="SI","SI","NO")</f>
        <v>NO</v>
      </c>
      <c r="G208" s="1880">
        <f>+D208</f>
        <v>0</v>
      </c>
      <c r="H208" s="1880">
        <f>+G208</f>
        <v>0</v>
      </c>
      <c r="J208" s="1348"/>
      <c r="K208" s="870"/>
      <c r="L208" s="870"/>
      <c r="M208" s="870"/>
      <c r="N208" s="870"/>
      <c r="O208" s="870"/>
      <c r="P208" s="870"/>
      <c r="Q208" s="870"/>
      <c r="R208" s="870"/>
    </row>
    <row r="209" spans="1:18" ht="15" customHeight="1">
      <c r="B209" s="98" t="s">
        <v>26802</v>
      </c>
      <c r="C209" s="2739">
        <f>Dati_Anni_precedenti!E46</f>
        <v>0</v>
      </c>
      <c r="D209" s="2739">
        <f>Dati_Anni_precedenti!F46</f>
        <v>0</v>
      </c>
      <c r="E209" s="1168">
        <f t="shared" ref="E209:H209" si="29">+IFERROR(IF(E208="SI",E203*E207*MAX(((E204/(E203*E206))-E205)-1,0),0),0)</f>
        <v>0</v>
      </c>
      <c r="F209" s="1168">
        <f t="shared" si="29"/>
        <v>0</v>
      </c>
      <c r="G209" s="1168">
        <f t="shared" si="29"/>
        <v>0</v>
      </c>
      <c r="H209" s="1168">
        <f t="shared" si="29"/>
        <v>0</v>
      </c>
      <c r="I209" s="870"/>
      <c r="J209" s="870"/>
      <c r="K209" s="870"/>
      <c r="L209" s="870"/>
      <c r="M209" s="870"/>
      <c r="N209" s="870"/>
      <c r="O209" s="870"/>
      <c r="P209" s="870"/>
      <c r="Q209" s="870"/>
      <c r="R209" s="870"/>
    </row>
    <row r="210" spans="1:18" ht="15" customHeight="1">
      <c r="B210"/>
      <c r="C210"/>
      <c r="D210"/>
      <c r="E210"/>
      <c r="F210"/>
      <c r="G210" s="68"/>
      <c r="H210" s="870"/>
      <c r="I210" s="870"/>
      <c r="J210" s="870"/>
      <c r="K210" s="870"/>
      <c r="L210" s="870"/>
      <c r="M210" s="870"/>
      <c r="N210" s="870"/>
      <c r="O210" s="870"/>
      <c r="P210" s="870"/>
      <c r="Q210" s="870"/>
      <c r="R210" s="870"/>
    </row>
    <row r="211" spans="1:18" ht="15" customHeight="1">
      <c r="B211"/>
      <c r="C211"/>
      <c r="D211"/>
      <c r="E211"/>
      <c r="F211"/>
      <c r="G211"/>
      <c r="H211"/>
      <c r="I211"/>
      <c r="J211"/>
      <c r="K211" s="870"/>
      <c r="L211" s="870"/>
      <c r="M211" s="870"/>
      <c r="O211" s="870"/>
      <c r="P211" s="870"/>
      <c r="Q211" s="870"/>
      <c r="R211" s="870"/>
    </row>
    <row r="212" spans="1:18" ht="15">
      <c r="B212"/>
      <c r="C212"/>
      <c r="D212"/>
      <c r="E212"/>
      <c r="F212"/>
      <c r="G212"/>
      <c r="H212"/>
      <c r="I212"/>
      <c r="J212"/>
      <c r="K212" s="870"/>
      <c r="L212" s="870"/>
      <c r="M212" s="870"/>
      <c r="N212" s="870"/>
      <c r="O212" s="870"/>
      <c r="P212" s="870"/>
      <c r="Q212" s="870"/>
      <c r="R212" s="870"/>
    </row>
    <row r="213" spans="1:18" ht="15">
      <c r="B213"/>
      <c r="C213"/>
      <c r="D213"/>
      <c r="E213"/>
      <c r="F213"/>
      <c r="G213"/>
      <c r="H213"/>
      <c r="I213"/>
      <c r="J213"/>
      <c r="K213" s="870"/>
      <c r="L213" s="870"/>
      <c r="M213" s="870"/>
      <c r="N213" s="870"/>
      <c r="O213" s="870"/>
      <c r="P213" s="870"/>
      <c r="Q213" s="870"/>
      <c r="R213" s="870"/>
    </row>
    <row r="214" spans="1:18" ht="15">
      <c r="B214"/>
      <c r="C214"/>
      <c r="D214"/>
      <c r="E214"/>
      <c r="F214"/>
      <c r="G214"/>
      <c r="H214"/>
      <c r="I214"/>
      <c r="J214"/>
      <c r="K214" s="870"/>
      <c r="L214" s="870"/>
      <c r="M214" s="870"/>
      <c r="N214" s="870"/>
      <c r="O214" s="870"/>
      <c r="P214" s="870"/>
      <c r="Q214" s="870"/>
      <c r="R214" s="870"/>
    </row>
    <row r="215" spans="1:18">
      <c r="B215" s="870"/>
      <c r="C215" s="870"/>
      <c r="D215" s="870"/>
      <c r="E215" s="870"/>
      <c r="F215" s="870"/>
      <c r="G215" s="870"/>
      <c r="H215" s="870"/>
      <c r="I215" s="870"/>
      <c r="J215" s="870"/>
      <c r="K215" s="870"/>
      <c r="L215" s="870"/>
      <c r="M215" s="870"/>
      <c r="N215" s="870"/>
      <c r="O215" s="870"/>
      <c r="P215" s="870"/>
      <c r="Q215" s="870"/>
      <c r="R215" s="870"/>
    </row>
    <row r="217" spans="1:18" s="727" customFormat="1" ht="16.5" thickBot="1">
      <c r="A217" s="725" t="s">
        <v>30561</v>
      </c>
      <c r="B217" s="729" t="s">
        <v>24753</v>
      </c>
      <c r="I217" s="729"/>
    </row>
    <row r="218" spans="1:18" ht="15" customHeight="1" thickTop="1">
      <c r="A218" s="872"/>
    </row>
    <row r="219" spans="1:18">
      <c r="A219" s="872"/>
    </row>
    <row r="220" spans="1:18">
      <c r="A220" s="872"/>
    </row>
    <row r="221" spans="1:18">
      <c r="C221" s="1773">
        <v>2024</v>
      </c>
      <c r="D221" s="1773">
        <v>2025</v>
      </c>
      <c r="E221" s="1771">
        <v>2026</v>
      </c>
      <c r="F221" s="1772">
        <v>2027</v>
      </c>
      <c r="G221" s="1774">
        <v>2028</v>
      </c>
      <c r="H221" s="1774">
        <v>2029</v>
      </c>
    </row>
    <row r="222" spans="1:18" s="61" customFormat="1" ht="16.5" customHeight="1">
      <c r="A222" s="1126"/>
      <c r="B222" s="1505" t="s">
        <v>235</v>
      </c>
      <c r="C222" s="1167">
        <f>Dati_Anni_precedenti!E47</f>
        <v>0</v>
      </c>
      <c r="D222" s="1167">
        <f>Dati_Anni_precedenti!F47</f>
        <v>0</v>
      </c>
      <c r="E222" s="1167">
        <f>+SUM(Corrispettivi_proprietari!Y:Y)</f>
        <v>0</v>
      </c>
      <c r="F222" s="1167">
        <f>+SUM(Corrispettivi_proprietari!Z:Z)</f>
        <v>0</v>
      </c>
      <c r="G222" s="1167">
        <f>+SUM(Corrispettivi_proprietari!AA:AA)</f>
        <v>0</v>
      </c>
      <c r="H222" s="1167">
        <f>+SUM(Corrispettivi_proprietari!AB:AB)</f>
        <v>0</v>
      </c>
    </row>
    <row r="223" spans="1:18" s="61" customFormat="1" ht="16.5" customHeight="1">
      <c r="A223" s="1126"/>
      <c r="B223" s="1505" t="s">
        <v>236</v>
      </c>
      <c r="C223" s="1167">
        <f>Dati_Anni_precedenti!E48</f>
        <v>0</v>
      </c>
      <c r="D223" s="1167">
        <f>Dati_Anni_precedenti!F48</f>
        <v>0</v>
      </c>
      <c r="E223" s="1167">
        <f>+SUM(Corrispettivi_proprietari!AF:AF)</f>
        <v>0</v>
      </c>
      <c r="F223" s="1167">
        <f>+SUM(Corrispettivi_proprietari!AG:AG)</f>
        <v>0</v>
      </c>
      <c r="G223" s="1167">
        <f>+SUM(Corrispettivi_proprietari!AH:AH)</f>
        <v>0</v>
      </c>
      <c r="H223" s="1167">
        <f>+SUM(Corrispettivi_proprietari!AI:AI)</f>
        <v>0</v>
      </c>
    </row>
    <row r="224" spans="1:18">
      <c r="B224" s="1139"/>
      <c r="C224" s="1140"/>
      <c r="D224" s="1140"/>
      <c r="E224" s="1140"/>
      <c r="F224" s="1140"/>
      <c r="N224" s="134"/>
    </row>
    <row r="225" spans="1:14" ht="15" hidden="1" customHeight="1">
      <c r="B225" s="99"/>
      <c r="C225" s="1088"/>
      <c r="D225" s="1088"/>
      <c r="E225" s="1088"/>
      <c r="F225" s="1088"/>
      <c r="N225" s="134"/>
    </row>
    <row r="226" spans="1:14" ht="15" hidden="1" customHeight="1">
      <c r="B226" s="99"/>
      <c r="C226" s="1088"/>
      <c r="D226" s="1088"/>
      <c r="E226" s="1088"/>
      <c r="F226" s="1088"/>
      <c r="G226" s="75"/>
      <c r="N226" s="134"/>
    </row>
    <row r="227" spans="1:14" ht="15" customHeight="1">
      <c r="B227" s="871" t="s">
        <v>26879</v>
      </c>
      <c r="C227" s="2739">
        <f>+C222+C223</f>
        <v>0</v>
      </c>
      <c r="D227" s="2739">
        <f>+D222+D223</f>
        <v>0</v>
      </c>
      <c r="E227" s="1147">
        <f t="shared" ref="E227:H227" si="30">+E222+E223</f>
        <v>0</v>
      </c>
      <c r="F227" s="1147">
        <f t="shared" si="30"/>
        <v>0</v>
      </c>
      <c r="G227" s="1147">
        <f t="shared" si="30"/>
        <v>0</v>
      </c>
      <c r="H227" s="1147">
        <f t="shared" si="30"/>
        <v>0</v>
      </c>
    </row>
    <row r="228" spans="1:14">
      <c r="B228" s="1139"/>
      <c r="C228" s="1140"/>
      <c r="D228" s="1140"/>
      <c r="E228" s="1140"/>
      <c r="F228" s="1140"/>
    </row>
    <row r="229" spans="1:14">
      <c r="B229" s="1139"/>
      <c r="C229" s="1140"/>
      <c r="D229" s="1140"/>
      <c r="E229" s="1140"/>
      <c r="F229" s="1140"/>
    </row>
    <row r="230" spans="1:14" ht="13.5" customHeight="1">
      <c r="B230" s="1139"/>
      <c r="C230" s="1140"/>
      <c r="D230" s="1140"/>
      <c r="E230" s="1140"/>
      <c r="F230" s="1140"/>
    </row>
    <row r="231" spans="1:14" ht="13.5" customHeight="1">
      <c r="B231" s="1139"/>
      <c r="C231" s="1140"/>
      <c r="D231" s="1140"/>
      <c r="E231" s="1140"/>
      <c r="F231" s="1140"/>
    </row>
    <row r="233" spans="1:14" s="727" customFormat="1" ht="16.5" thickBot="1">
      <c r="A233" s="725" t="s">
        <v>30562</v>
      </c>
      <c r="B233" s="729" t="s">
        <v>24754</v>
      </c>
      <c r="I233" s="729"/>
    </row>
    <row r="234" spans="1:14" ht="12.75" customHeight="1" thickTop="1">
      <c r="A234" s="872"/>
      <c r="C234"/>
      <c r="D234"/>
      <c r="E234"/>
      <c r="F234"/>
    </row>
    <row r="235" spans="1:14" ht="12.75" customHeight="1">
      <c r="A235" s="872"/>
      <c r="C235"/>
      <c r="D235"/>
      <c r="E235"/>
      <c r="F235"/>
    </row>
    <row r="236" spans="1:14" ht="12.75" customHeight="1">
      <c r="A236" s="872"/>
      <c r="C236"/>
      <c r="D236"/>
      <c r="E236"/>
      <c r="F236"/>
    </row>
    <row r="237" spans="1:14">
      <c r="C237" s="1773">
        <v>2024</v>
      </c>
      <c r="D237" s="1773">
        <v>2025</v>
      </c>
      <c r="E237" s="1771">
        <v>2026</v>
      </c>
      <c r="F237" s="1772">
        <v>2027</v>
      </c>
      <c r="G237" s="1774">
        <v>2028</v>
      </c>
      <c r="H237" s="1774">
        <v>2029</v>
      </c>
      <c r="K237" s="134"/>
      <c r="L237" s="134"/>
      <c r="M237" s="134"/>
    </row>
    <row r="238" spans="1:14" ht="16.5">
      <c r="B238" s="97" t="s">
        <v>22879</v>
      </c>
      <c r="C238" s="1167">
        <f>+C265</f>
        <v>0</v>
      </c>
      <c r="D238" s="1167">
        <f>+D265</f>
        <v>0</v>
      </c>
      <c r="E238" s="1608">
        <f t="shared" ref="E238:H238" si="31">+E265</f>
        <v>0</v>
      </c>
      <c r="F238" s="1608">
        <f t="shared" si="31"/>
        <v>0</v>
      </c>
      <c r="G238" s="1866">
        <f t="shared" si="31"/>
        <v>0</v>
      </c>
      <c r="H238" s="1866">
        <f t="shared" si="31"/>
        <v>0</v>
      </c>
      <c r="K238" s="134"/>
      <c r="L238" s="134"/>
      <c r="M238" s="134"/>
    </row>
    <row r="239" spans="1:14" ht="16.5">
      <c r="B239" s="97" t="s">
        <v>27094</v>
      </c>
      <c r="C239" s="1167">
        <f>+C279</f>
        <v>0</v>
      </c>
      <c r="D239" s="1167">
        <f>+D279</f>
        <v>0</v>
      </c>
      <c r="E239" s="1608">
        <f t="shared" ref="E239:H239" si="32">+E279</f>
        <v>0</v>
      </c>
      <c r="F239" s="1608">
        <f t="shared" si="32"/>
        <v>0</v>
      </c>
      <c r="G239" s="1866">
        <f t="shared" si="32"/>
        <v>0</v>
      </c>
      <c r="H239" s="1866">
        <f t="shared" si="32"/>
        <v>0</v>
      </c>
      <c r="K239" s="134"/>
      <c r="L239" s="134"/>
      <c r="M239" s="134"/>
    </row>
    <row r="240" spans="1:14" ht="16.5">
      <c r="B240" s="97" t="s">
        <v>22880</v>
      </c>
      <c r="C240" s="1167">
        <f>+Opex!C298</f>
        <v>0</v>
      </c>
      <c r="D240" s="1167">
        <f>+Opex!D298</f>
        <v>0</v>
      </c>
      <c r="E240" s="1608">
        <f>+Opex!E298</f>
        <v>0</v>
      </c>
      <c r="F240" s="1608">
        <f>+Opex!F298</f>
        <v>0</v>
      </c>
      <c r="G240" s="1866">
        <f>+Opex!G298</f>
        <v>0</v>
      </c>
      <c r="H240" s="1866">
        <f>+Opex!H298</f>
        <v>0</v>
      </c>
      <c r="K240" s="134"/>
      <c r="L240" s="134"/>
      <c r="M240" s="134"/>
    </row>
    <row r="241" spans="1:13" ht="16.5">
      <c r="B241" s="97" t="s">
        <v>22881</v>
      </c>
      <c r="C241" s="1167">
        <f>+C312</f>
        <v>0</v>
      </c>
      <c r="D241" s="1167">
        <f>+D312</f>
        <v>0</v>
      </c>
      <c r="E241" s="1608">
        <f t="shared" ref="E241:H241" si="33">+E312</f>
        <v>0</v>
      </c>
      <c r="F241" s="1608">
        <f t="shared" si="33"/>
        <v>0</v>
      </c>
      <c r="G241" s="1866">
        <f t="shared" si="33"/>
        <v>0</v>
      </c>
      <c r="H241" s="1866">
        <f t="shared" si="33"/>
        <v>0</v>
      </c>
      <c r="K241" s="134"/>
      <c r="L241" s="134"/>
      <c r="M241" s="134"/>
    </row>
    <row r="242" spans="1:13" ht="16.5">
      <c r="B242" s="871" t="s">
        <v>22892</v>
      </c>
      <c r="C242" s="2748">
        <f>+SUM(C238:C240,C241)</f>
        <v>0</v>
      </c>
      <c r="D242" s="2748">
        <f>+SUM(D238:D240,D241)</f>
        <v>0</v>
      </c>
      <c r="E242" s="1147">
        <f t="shared" ref="E242:H242" si="34">+SUM(E238:E240,E241)</f>
        <v>0</v>
      </c>
      <c r="F242" s="1147">
        <f t="shared" si="34"/>
        <v>0</v>
      </c>
      <c r="G242" s="1147">
        <f t="shared" si="34"/>
        <v>0</v>
      </c>
      <c r="H242" s="1147">
        <f t="shared" si="34"/>
        <v>0</v>
      </c>
      <c r="K242" s="134"/>
      <c r="L242" s="134"/>
      <c r="M242" s="134"/>
    </row>
    <row r="243" spans="1:13">
      <c r="K243" s="134"/>
      <c r="L243" s="134"/>
      <c r="M243" s="134"/>
    </row>
    <row r="244" spans="1:13">
      <c r="K244" s="134"/>
      <c r="L244" s="134"/>
      <c r="M244" s="134"/>
    </row>
    <row r="245" spans="1:13">
      <c r="K245" s="134"/>
      <c r="L245" s="134"/>
      <c r="M245" s="134"/>
    </row>
    <row r="246" spans="1:13">
      <c r="K246" s="134"/>
      <c r="L246" s="134"/>
      <c r="M246" s="134"/>
    </row>
    <row r="247" spans="1:13">
      <c r="K247" s="134"/>
      <c r="L247" s="134"/>
      <c r="M247" s="134"/>
    </row>
    <row r="248" spans="1:13" s="727" customFormat="1" ht="16.5" thickBot="1">
      <c r="A248" s="725" t="s">
        <v>30563</v>
      </c>
      <c r="B248" s="729" t="s">
        <v>24755</v>
      </c>
      <c r="I248" s="729"/>
    </row>
    <row r="249" spans="1:13" ht="15" customHeight="1" thickTop="1"/>
    <row r="250" spans="1:13" customFormat="1" ht="15" customHeight="1">
      <c r="A250" s="870"/>
    </row>
    <row r="251" spans="1:13" customFormat="1" ht="15" customHeight="1">
      <c r="A251" s="870"/>
    </row>
    <row r="252" spans="1:13" ht="16.5">
      <c r="B252" s="1616" t="s">
        <v>22883</v>
      </c>
      <c r="D252"/>
      <c r="E252" s="100">
        <f>+TT_parametri!$AV$50</f>
        <v>1.01</v>
      </c>
      <c r="F252"/>
    </row>
    <row r="253" spans="1:13" ht="15.75">
      <c r="B253" s="1616" t="s">
        <v>22884</v>
      </c>
      <c r="D253"/>
      <c r="E253" s="100">
        <f>IF(popolazione_ato&lt;&gt;0,popolazione_ato,MAX(Dati_tecnici!E15,Dati_tecnici!E23,Dati_tecnici!E29))</f>
        <v>0</v>
      </c>
      <c r="F253"/>
    </row>
    <row r="254" spans="1:13" ht="16.5">
      <c r="B254" s="1616" t="s">
        <v>22894</v>
      </c>
      <c r="D254"/>
      <c r="E254" s="100">
        <f>+E252*E253*3</f>
        <v>0</v>
      </c>
      <c r="F254"/>
    </row>
    <row r="255" spans="1:13" customFormat="1" ht="15">
      <c r="A255" s="870"/>
    </row>
    <row r="256" spans="1:13" customFormat="1" ht="15">
      <c r="A256" s="870"/>
    </row>
    <row r="257" spans="1:13">
      <c r="C257" s="1773">
        <v>2024</v>
      </c>
      <c r="D257" s="1773">
        <v>2025</v>
      </c>
      <c r="E257" s="1771">
        <v>2026</v>
      </c>
      <c r="F257" s="1772">
        <v>2027</v>
      </c>
      <c r="G257" s="1774">
        <v>2028</v>
      </c>
      <c r="H257" s="1774">
        <v>2029</v>
      </c>
    </row>
    <row r="258" spans="1:13" ht="16.5">
      <c r="B258" s="99" t="s">
        <v>22882</v>
      </c>
      <c r="C258" s="2706"/>
      <c r="D258" s="2706"/>
      <c r="E258" s="1608">
        <f>+Dati_conto_economico!C84+Dati_conto_economico!F84</f>
        <v>0</v>
      </c>
      <c r="F258" s="1608">
        <f>+Dati_conto_economico!I84+Dati_conto_economico!L84</f>
        <v>0</v>
      </c>
      <c r="G258" s="1866">
        <f>+F258</f>
        <v>0</v>
      </c>
      <c r="H258" s="1866">
        <f>+G258</f>
        <v>0</v>
      </c>
    </row>
    <row r="259" spans="1:13" ht="15" hidden="1" customHeight="1">
      <c r="B259" s="873"/>
      <c r="C259" s="1866"/>
      <c r="D259" s="1866"/>
      <c r="E259" s="1608"/>
      <c r="F259" s="1608"/>
      <c r="G259" s="881"/>
      <c r="H259" s="881"/>
      <c r="L259" s="69" t="s">
        <v>133</v>
      </c>
      <c r="M259" s="10" t="s">
        <v>25018</v>
      </c>
    </row>
    <row r="260" spans="1:13" ht="15">
      <c r="B260" s="99" t="s">
        <v>31337</v>
      </c>
      <c r="C260" s="1867">
        <f>+VLOOKUP("da t-"&amp;C257-2014+1&amp;" a t",PINF,C257 - 2011,FALSE)</f>
        <v>1.2008077341955539</v>
      </c>
      <c r="D260" s="1867">
        <f>+VLOOKUP("da t-"&amp;D257-2014+1&amp;" a t",PINF,D257 - 2011,FALSE)</f>
        <v>1.2248238888794649</v>
      </c>
      <c r="E260" s="1617">
        <f t="shared" ref="E260:H260" si="35">+VLOOKUP("da t-"&amp;E257-2014+1&amp;" a t",PINF,E257 - 2011,FALSE)</f>
        <v>1.2395217755460186</v>
      </c>
      <c r="F260" s="1617">
        <f t="shared" si="35"/>
        <v>1.2395217755460186</v>
      </c>
      <c r="G260" s="1867">
        <f t="shared" si="35"/>
        <v>1.2395217755460186</v>
      </c>
      <c r="H260" s="1867">
        <f t="shared" si="35"/>
        <v>1.2395217755460186</v>
      </c>
    </row>
    <row r="261" spans="1:13" ht="15">
      <c r="B261" s="99" t="s">
        <v>22885</v>
      </c>
      <c r="C261" s="2711">
        <f>+VLOOKUP("da t-2 a t",PINF,C$9 - 2011,FALSE)</f>
        <v>1.13696</v>
      </c>
      <c r="D261" s="2711">
        <f>+VLOOKUP("da t-2 a t",PINF,D$9 - 2011,FALSE)</f>
        <v>1.1097600000000001</v>
      </c>
      <c r="E261" s="2711">
        <f t="shared" ref="E261:H261" si="36">+VLOOKUP("da t-2 a t",PINF,E$9 - 2011,FALSE)</f>
        <v>1.03224</v>
      </c>
      <c r="F261" s="2711">
        <f t="shared" si="36"/>
        <v>1.012</v>
      </c>
      <c r="G261" s="2711">
        <f t="shared" si="36"/>
        <v>1</v>
      </c>
      <c r="H261" s="2712">
        <f t="shared" si="36"/>
        <v>1</v>
      </c>
    </row>
    <row r="262" spans="1:13">
      <c r="B262" s="870"/>
      <c r="C262" s="870"/>
      <c r="D262" s="870"/>
      <c r="E262" s="870"/>
      <c r="F262" s="870"/>
      <c r="G262" s="870"/>
      <c r="H262" s="870"/>
      <c r="I262" s="870"/>
      <c r="J262" s="870"/>
      <c r="K262" s="870"/>
      <c r="L262" s="870"/>
    </row>
    <row r="263" spans="1:13" ht="15" hidden="1" customHeight="1">
      <c r="B263" s="1103"/>
      <c r="C263" s="1088"/>
      <c r="D263" s="1088"/>
      <c r="E263" s="1088"/>
      <c r="F263" s="1088"/>
    </row>
    <row r="264" spans="1:13" ht="15" hidden="1" customHeight="1">
      <c r="B264" s="1103"/>
      <c r="C264" s="1088"/>
      <c r="D264" s="1088"/>
      <c r="E264" s="1088"/>
      <c r="F264" s="1088"/>
    </row>
    <row r="265" spans="1:13" ht="16.5">
      <c r="B265" s="871" t="s">
        <v>26874</v>
      </c>
      <c r="C265" s="2739">
        <f>Dati_Anni_precedenti!E49</f>
        <v>0</v>
      </c>
      <c r="D265" s="2739">
        <f>Dati_Anni_precedenti!F49</f>
        <v>0</v>
      </c>
      <c r="E265" s="1147">
        <f t="shared" ref="E265:H265" si="37">MIN(E258*E261,$E$254*E260)</f>
        <v>0</v>
      </c>
      <c r="F265" s="1147">
        <f t="shared" si="37"/>
        <v>0</v>
      </c>
      <c r="G265" s="1147">
        <f t="shared" si="37"/>
        <v>0</v>
      </c>
      <c r="H265" s="1147">
        <f t="shared" si="37"/>
        <v>0</v>
      </c>
      <c r="I265" s="870"/>
    </row>
    <row r="266" spans="1:13" customFormat="1" ht="12.75" customHeight="1">
      <c r="A266" s="874"/>
    </row>
    <row r="267" spans="1:13" customFormat="1" ht="12.75" customHeight="1">
      <c r="A267" s="874"/>
    </row>
    <row r="268" spans="1:13" customFormat="1" ht="12.75" customHeight="1">
      <c r="A268" s="874"/>
    </row>
    <row r="269" spans="1:13" customFormat="1" ht="12.75" customHeight="1">
      <c r="A269" s="870"/>
    </row>
    <row r="270" spans="1:13" customFormat="1" ht="12.75" customHeight="1">
      <c r="A270" s="870"/>
    </row>
    <row r="271" spans="1:13" s="727" customFormat="1" ht="16.5" thickBot="1">
      <c r="A271" s="725" t="s">
        <v>30564</v>
      </c>
      <c r="B271" s="729" t="s">
        <v>26809</v>
      </c>
      <c r="I271" s="729"/>
    </row>
    <row r="272" spans="1:13" ht="15" customHeight="1" thickTop="1">
      <c r="A272" s="872"/>
    </row>
    <row r="273" spans="1:15">
      <c r="A273" s="872"/>
    </row>
    <row r="274" spans="1:15">
      <c r="A274" s="872"/>
    </row>
    <row r="275" spans="1:15">
      <c r="C275" s="1773">
        <v>2024</v>
      </c>
      <c r="D275" s="1773">
        <v>2025</v>
      </c>
      <c r="E275" s="1771">
        <v>2026</v>
      </c>
      <c r="F275" s="1772">
        <v>2027</v>
      </c>
      <c r="G275" s="1774">
        <v>2028</v>
      </c>
      <c r="H275" s="1774">
        <v>2029</v>
      </c>
    </row>
    <row r="276" spans="1:15" ht="16.5">
      <c r="B276" s="99" t="s">
        <v>22886</v>
      </c>
      <c r="C276" s="2706"/>
      <c r="D276" s="2706"/>
      <c r="E276" s="42">
        <f>+Dati_conto_economico!C5+Dati_conto_economico!C11</f>
        <v>0</v>
      </c>
      <c r="F276" s="42">
        <f>+Dati_conto_economico!I5+Dati_conto_economico!I11</f>
        <v>0</v>
      </c>
      <c r="G276" s="1864">
        <f>+F276</f>
        <v>0</v>
      </c>
      <c r="H276" s="1864">
        <f>+G276</f>
        <v>0</v>
      </c>
    </row>
    <row r="277" spans="1:15">
      <c r="B277" s="99" t="s">
        <v>31233</v>
      </c>
      <c r="C277" s="1865">
        <f>+TT_parametri!$BC$60</f>
        <v>2.7E-4</v>
      </c>
      <c r="D277" s="1865">
        <f>+TT_parametri!$BC$61</f>
        <v>2.7E-4</v>
      </c>
      <c r="E277" s="96">
        <f>+TT_parametri!$BC$62</f>
        <v>2.7E-4</v>
      </c>
      <c r="F277" s="96">
        <f>+TT_parametri!$BC$63</f>
        <v>2.7E-4</v>
      </c>
      <c r="G277" s="1865">
        <f>+F277</f>
        <v>2.7E-4</v>
      </c>
      <c r="H277" s="1865">
        <f>+G277</f>
        <v>2.7E-4</v>
      </c>
      <c r="I277" s="870"/>
    </row>
    <row r="278" spans="1:15">
      <c r="B278" s="870"/>
      <c r="C278" s="870"/>
      <c r="D278" s="870"/>
      <c r="E278" s="870"/>
      <c r="F278" s="870"/>
      <c r="G278" s="870"/>
      <c r="H278" s="870"/>
      <c r="I278" s="870"/>
    </row>
    <row r="279" spans="1:15" ht="16.5">
      <c r="B279" s="871" t="s">
        <v>26875</v>
      </c>
      <c r="C279" s="2739">
        <f>Dati_Anni_precedenti!E50</f>
        <v>0</v>
      </c>
      <c r="D279" s="2739">
        <f>Dati_Anni_precedenti!F50</f>
        <v>0</v>
      </c>
      <c r="E279" s="1147">
        <f t="shared" ref="E279:H279" si="38">+E276*E277</f>
        <v>0</v>
      </c>
      <c r="F279" s="1147">
        <f t="shared" si="38"/>
        <v>0</v>
      </c>
      <c r="G279" s="1147">
        <f t="shared" si="38"/>
        <v>0</v>
      </c>
      <c r="H279" s="1147">
        <f t="shared" si="38"/>
        <v>0</v>
      </c>
    </row>
    <row r="280" spans="1:15" ht="15" customHeight="1"/>
    <row r="285" spans="1:15" s="727" customFormat="1" ht="16.5" thickBot="1">
      <c r="A285" s="725" t="s">
        <v>30565</v>
      </c>
      <c r="B285" s="729" t="s">
        <v>24756</v>
      </c>
      <c r="H285" s="728"/>
      <c r="I285" s="728"/>
      <c r="J285" s="729"/>
    </row>
    <row r="286" spans="1:15" ht="15" customHeight="1" thickTop="1">
      <c r="A286" s="872"/>
      <c r="N286"/>
      <c r="O286"/>
    </row>
    <row r="287" spans="1:15" ht="15">
      <c r="A287" s="872"/>
      <c r="N287"/>
      <c r="O287"/>
    </row>
    <row r="288" spans="1:15" s="77" customFormat="1" ht="35.25" customHeight="1" thickBot="1">
      <c r="A288" s="877"/>
      <c r="B288" s="1298" t="s">
        <v>27103</v>
      </c>
      <c r="C288" s="1287"/>
      <c r="D288" s="1287"/>
      <c r="E288" s="1287"/>
      <c r="F288" s="1287"/>
      <c r="G288" s="1295"/>
      <c r="H288" s="1296"/>
      <c r="I288" s="68"/>
      <c r="J288" s="1283"/>
    </row>
    <row r="289" spans="1:15" ht="15.75" thickBot="1">
      <c r="A289" s="872"/>
      <c r="L289" s="1924" t="s">
        <v>24737</v>
      </c>
      <c r="M289" s="1924" t="s">
        <v>24748</v>
      </c>
      <c r="N289"/>
      <c r="O289"/>
    </row>
    <row r="290" spans="1:15" ht="15.75" thickBot="1">
      <c r="C290" s="1773">
        <v>2024</v>
      </c>
      <c r="D290" s="1773">
        <v>2025</v>
      </c>
      <c r="E290" s="1771">
        <v>2026</v>
      </c>
      <c r="F290" s="1772">
        <v>2027</v>
      </c>
      <c r="G290" s="1774">
        <v>2028</v>
      </c>
      <c r="H290" s="1774">
        <v>2029</v>
      </c>
      <c r="L290" s="1923">
        <f>1+0.1</f>
        <v>1.1000000000000001</v>
      </c>
      <c r="M290" s="1925">
        <f>+IFERROR(VLOOKUP(VALUE(idato),TT_Comuni_ATO!N2:O99,2,FALSE),0)</f>
        <v>0</v>
      </c>
      <c r="N290"/>
      <c r="O290"/>
    </row>
    <row r="291" spans="1:15" ht="15.75">
      <c r="A291" s="1126"/>
      <c r="B291" s="99" t="s">
        <v>22887</v>
      </c>
      <c r="C291" s="2706"/>
      <c r="D291" s="2706"/>
      <c r="E291" s="1608">
        <f>+(SUM(Dati_conto_economico!C14:'Dati_conto_economico'!C21)+(Dati_conto_economico!C23+Dati_conto_economico!C24+Dati_conto_economico!C27+Dati_conto_economico!C28+Dati_conto_economico!C35))*$L$290</f>
        <v>0</v>
      </c>
      <c r="F291" s="1608">
        <f>+(SUM(Dati_conto_economico!I14:'Dati_conto_economico'!I21)+(Dati_conto_economico!I23+Dati_conto_economico!I24+Dati_conto_economico!I27+Dati_conto_economico!I28+Dati_conto_economico!I35))*$L$290</f>
        <v>0</v>
      </c>
      <c r="G291" s="1864">
        <f>+F291</f>
        <v>0</v>
      </c>
      <c r="H291" s="1864">
        <f t="shared" ref="H291:H292" si="39">+G291</f>
        <v>0</v>
      </c>
      <c r="N291"/>
      <c r="O291"/>
    </row>
    <row r="292" spans="1:15" ht="15">
      <c r="B292" s="99" t="s">
        <v>276</v>
      </c>
      <c r="C292" s="1863">
        <f>+F292</f>
        <v>0</v>
      </c>
      <c r="D292" s="1863">
        <f>+C292</f>
        <v>0</v>
      </c>
      <c r="E292" s="1618">
        <f>Altri_dati_eco_fin!E31</f>
        <v>0</v>
      </c>
      <c r="F292" s="1618">
        <f>Altri_dati_eco_fin!$F$31</f>
        <v>0</v>
      </c>
      <c r="G292" s="1863">
        <f>+F292</f>
        <v>0</v>
      </c>
      <c r="H292" s="1863">
        <f t="shared" si="39"/>
        <v>0</v>
      </c>
      <c r="N292"/>
      <c r="O292"/>
    </row>
    <row r="293" spans="1:15" ht="15">
      <c r="B293" s="99" t="s">
        <v>31837</v>
      </c>
      <c r="C293" s="1863">
        <f>IFERROR(VLOOKUP($M290,TT_parametri!$AU$55:$AV$57,2,FALSE),0)</f>
        <v>0</v>
      </c>
      <c r="D293" s="1863">
        <f>IFERROR(VLOOKUP($M290,TT_parametri!$AU$55:$AV$57,2,FALSE),0)</f>
        <v>0</v>
      </c>
      <c r="E293" s="1618">
        <f>IFERROR(
   IF(Altri_dati_eco_fin!E34="SI",
      VLOOKUP($M290,TT_parametri!$AU$61:$AV$63,2,FALSE),
      VLOOKUP($M290,TT_parametri!$AU$55:$AV$57,2,FALSE)),
0)</f>
        <v>0</v>
      </c>
      <c r="F293" s="1618">
        <f>+E293</f>
        <v>0</v>
      </c>
      <c r="G293" s="1863">
        <f>+F293</f>
        <v>0</v>
      </c>
      <c r="H293" s="1863">
        <f>+G293</f>
        <v>0</v>
      </c>
      <c r="N293"/>
      <c r="O293"/>
    </row>
    <row r="294" spans="1:15" ht="15">
      <c r="B294" s="99" t="s">
        <v>24882</v>
      </c>
      <c r="C294" s="1863">
        <f>+Input_per_calcoli_finali!$K$68</f>
        <v>0</v>
      </c>
      <c r="D294" s="1863">
        <f>+Input_per_calcoli_finali!$K$68</f>
        <v>0</v>
      </c>
      <c r="E294" s="1618">
        <f>+Input_per_calcoli_finali!$K$68</f>
        <v>0</v>
      </c>
      <c r="F294" s="1618">
        <f>+Input_per_calcoli_finali!$K$68</f>
        <v>0</v>
      </c>
      <c r="G294" s="1863">
        <f>+Input_per_calcoli_finali!$K$68</f>
        <v>0</v>
      </c>
      <c r="H294" s="1863">
        <f>+Input_per_calcoli_finali!$K$68</f>
        <v>0</v>
      </c>
      <c r="I294" s="68"/>
      <c r="N294"/>
      <c r="O294"/>
    </row>
    <row r="295" spans="1:15" ht="15">
      <c r="B295" s="870"/>
      <c r="C295" s="870"/>
      <c r="D295" s="870"/>
      <c r="E295" s="870"/>
      <c r="F295" s="870"/>
      <c r="G295" s="870"/>
      <c r="H295" s="870"/>
      <c r="I295" s="870"/>
      <c r="J295" s="870"/>
      <c r="K295"/>
      <c r="L295"/>
      <c r="M295"/>
      <c r="N295"/>
      <c r="O295"/>
    </row>
    <row r="296" spans="1:15" ht="15" hidden="1">
      <c r="B296" s="1106"/>
      <c r="C296" s="40"/>
      <c r="D296" s="42"/>
      <c r="E296" s="40"/>
      <c r="F296" s="40"/>
      <c r="K296"/>
      <c r="L296"/>
      <c r="M296"/>
      <c r="N296"/>
      <c r="O296"/>
    </row>
    <row r="297" spans="1:15" ht="15" hidden="1">
      <c r="B297" s="1106"/>
      <c r="C297" s="40"/>
      <c r="D297" s="40"/>
      <c r="E297" s="40"/>
      <c r="F297" s="40"/>
      <c r="G297" s="68"/>
      <c r="H297" s="68"/>
      <c r="I297" s="68"/>
      <c r="K297"/>
      <c r="L297"/>
      <c r="M297"/>
      <c r="N297"/>
      <c r="O297"/>
    </row>
    <row r="298" spans="1:15" ht="16.5">
      <c r="B298" s="871" t="s">
        <v>22888</v>
      </c>
      <c r="C298" s="2739">
        <f>Dati_Anni_precedenti!E51</f>
        <v>0</v>
      </c>
      <c r="D298" s="2739">
        <f>Dati_Anni_precedenti!F51</f>
        <v>0</v>
      </c>
      <c r="E298" s="1147">
        <f>MAX(E291*
IF(E294="",E293,
      MIN(E294,E293)),0)</f>
        <v>0</v>
      </c>
      <c r="F298" s="1147">
        <f>MAX(F291*
IF(F294="",F293,
      MIN(F294,F293)),0)</f>
        <v>0</v>
      </c>
      <c r="G298" s="1147">
        <f>MAX(G291*
IF(G294="",G293,
      MIN(G294,G293)),0)</f>
        <v>0</v>
      </c>
      <c r="H298" s="1147">
        <f>MAX(H291*
IF(H294="",H293,
      MIN(H294,H293)),0)</f>
        <v>0</v>
      </c>
      <c r="I298" s="870"/>
      <c r="K298"/>
      <c r="L298"/>
      <c r="M298"/>
      <c r="N298"/>
    </row>
    <row r="299" spans="1:15" customFormat="1" ht="15">
      <c r="A299" s="870"/>
      <c r="E299" s="2728"/>
      <c r="F299" s="2728"/>
      <c r="G299" s="2728"/>
      <c r="H299" s="2728"/>
    </row>
    <row r="304" spans="1:15" s="727" customFormat="1" ht="16.5" thickBot="1">
      <c r="A304" s="725" t="s">
        <v>30566</v>
      </c>
      <c r="B304" s="729" t="s">
        <v>29612</v>
      </c>
      <c r="I304" s="729"/>
    </row>
    <row r="305" spans="1:13" ht="15" customHeight="1" thickTop="1">
      <c r="A305" s="872"/>
      <c r="L305"/>
      <c r="M305"/>
    </row>
    <row r="306" spans="1:13" customFormat="1" ht="15">
      <c r="A306" s="870"/>
      <c r="B306" s="870"/>
      <c r="C306" s="870"/>
      <c r="D306" s="870"/>
      <c r="E306" s="870"/>
      <c r="F306" s="870"/>
      <c r="G306" s="870"/>
      <c r="H306" s="870"/>
      <c r="I306" s="870"/>
      <c r="J306" s="870"/>
      <c r="K306" s="870"/>
      <c r="L306" s="870"/>
      <c r="M306" s="870"/>
    </row>
    <row r="307" spans="1:13" customFormat="1" ht="15">
      <c r="A307" s="870"/>
    </row>
    <row r="308" spans="1:13">
      <c r="C308" s="1773">
        <v>2024</v>
      </c>
      <c r="D308" s="1773">
        <v>2025</v>
      </c>
      <c r="E308" s="1771">
        <v>2026</v>
      </c>
      <c r="F308" s="1772">
        <v>2027</v>
      </c>
      <c r="G308" s="1774">
        <v>2028</v>
      </c>
      <c r="H308" s="1774">
        <v>2029</v>
      </c>
    </row>
    <row r="309" spans="1:13" ht="15">
      <c r="B309" s="99" t="s">
        <v>26528</v>
      </c>
      <c r="C309" s="2706"/>
      <c r="D309" s="2706"/>
      <c r="E309" s="1608">
        <f>+SUM(Dati_conto_economico!E98:F103)</f>
        <v>0</v>
      </c>
      <c r="F309" s="1608">
        <f>SUM(Dati_conto_economico!K98:L103)</f>
        <v>0</v>
      </c>
      <c r="G309" s="1864">
        <f>+F309</f>
        <v>0</v>
      </c>
      <c r="H309" s="1864">
        <f>+G309</f>
        <v>0</v>
      </c>
    </row>
    <row r="310" spans="1:13" ht="15.75">
      <c r="B310" s="99" t="s">
        <v>31234</v>
      </c>
      <c r="C310" s="2706"/>
      <c r="D310" s="2706"/>
      <c r="E310" s="2448">
        <f>+IF(Altri_dati_eco_fin!G89&lt;&gt;"",Altri_dati_eco_fin!G89,Dati_conto_economico!C38+Dati_conto_economico!F38)</f>
        <v>0</v>
      </c>
      <c r="F310" s="2448">
        <f>+IF(Altri_dati_eco_fin!H89&lt;&gt;"",Altri_dati_eco_fin!H89,Dati_conto_economico!$I$38+Dati_conto_economico!$L$38)</f>
        <v>0</v>
      </c>
      <c r="G310" s="2448">
        <f>+IF(Altri_dati_eco_fin!I89&lt;&gt;"",Altri_dati_eco_fin!I89,Dati_conto_economico!$I$38+Dati_conto_economico!$L$38)</f>
        <v>0</v>
      </c>
      <c r="H310" s="2448">
        <f>+IF(Altri_dati_eco_fin!J89&lt;&gt;"",Altri_dati_eco_fin!J89,Dati_conto_economico!$I$38+Dati_conto_economico!$L$38)</f>
        <v>0</v>
      </c>
      <c r="I310"/>
    </row>
    <row r="311" spans="1:13">
      <c r="B311" s="870"/>
      <c r="C311" s="870"/>
      <c r="D311" s="870"/>
      <c r="E311" s="870"/>
      <c r="F311" s="870"/>
      <c r="G311" s="870"/>
      <c r="H311" s="870"/>
    </row>
    <row r="312" spans="1:13" ht="16.5">
      <c r="A312" s="724"/>
      <c r="B312" s="871" t="s">
        <v>22889</v>
      </c>
      <c r="C312" s="2739">
        <f>Dati_Anni_precedenti!E52</f>
        <v>0</v>
      </c>
      <c r="D312" s="2739">
        <f>Dati_Anni_precedenti!F52</f>
        <v>0</v>
      </c>
      <c r="E312" s="1147">
        <f t="shared" ref="E312:H312" si="40">+E309-E310</f>
        <v>0</v>
      </c>
      <c r="F312" s="1147">
        <f t="shared" si="40"/>
        <v>0</v>
      </c>
      <c r="G312" s="1147">
        <f t="shared" si="40"/>
        <v>0</v>
      </c>
      <c r="H312" s="1147">
        <f t="shared" si="40"/>
        <v>0</v>
      </c>
    </row>
    <row r="313" spans="1:13" customFormat="1" ht="15">
      <c r="A313" s="870"/>
    </row>
    <row r="314" spans="1:13" customFormat="1" ht="15">
      <c r="A314" s="870"/>
    </row>
    <row r="315" spans="1:13" customFormat="1" ht="15">
      <c r="A315" s="870"/>
      <c r="E315" s="7"/>
    </row>
    <row r="316" spans="1:13" customFormat="1" ht="15">
      <c r="A316" s="870"/>
    </row>
    <row r="317" spans="1:13" customFormat="1" ht="15">
      <c r="A317" s="870"/>
    </row>
    <row r="318" spans="1:13" s="727" customFormat="1" ht="26.25" thickBot="1">
      <c r="A318" s="725" t="s">
        <v>31206</v>
      </c>
      <c r="B318" s="726" t="s">
        <v>31216</v>
      </c>
      <c r="J318" s="726"/>
    </row>
    <row r="319" spans="1:13" ht="15.75" customHeight="1" thickTop="1">
      <c r="A319" s="731"/>
    </row>
    <row r="320" spans="1:13" ht="15" customHeight="1">
      <c r="A320" s="731"/>
    </row>
    <row r="321" spans="1:15" ht="15" customHeight="1">
      <c r="A321" s="731"/>
      <c r="K321"/>
      <c r="L321"/>
      <c r="M321"/>
      <c r="N321"/>
      <c r="O321"/>
    </row>
    <row r="322" spans="1:15" ht="30" customHeight="1">
      <c r="A322" s="731"/>
      <c r="B322" s="1285" t="s">
        <v>31217</v>
      </c>
      <c r="C322" s="1287"/>
      <c r="D322" s="1287"/>
      <c r="E322" s="1286"/>
      <c r="F322" s="1287"/>
      <c r="G322" s="1288"/>
      <c r="H322" s="1289"/>
      <c r="K322"/>
      <c r="L322"/>
      <c r="M322"/>
      <c r="N322"/>
      <c r="O322"/>
    </row>
    <row r="323" spans="1:15" ht="15" customHeight="1">
      <c r="A323" s="731"/>
      <c r="B323" s="72"/>
      <c r="E323" s="74"/>
      <c r="F323" s="74"/>
      <c r="K323"/>
      <c r="L323"/>
      <c r="M323"/>
      <c r="N323"/>
      <c r="O323"/>
    </row>
    <row r="324" spans="1:15" ht="15" customHeight="1">
      <c r="A324" s="731"/>
      <c r="C324" s="1773">
        <v>2024</v>
      </c>
      <c r="D324" s="1773">
        <v>2025</v>
      </c>
      <c r="E324" s="1771">
        <v>2026</v>
      </c>
      <c r="F324" s="1772">
        <v>2027</v>
      </c>
      <c r="G324" s="1774">
        <v>2028</v>
      </c>
      <c r="H324" s="1774">
        <v>2029</v>
      </c>
      <c r="K324"/>
      <c r="L324"/>
      <c r="M324"/>
      <c r="N324"/>
      <c r="O324"/>
    </row>
    <row r="325" spans="1:15" s="1066" customFormat="1" ht="15" customHeight="1">
      <c r="B325" s="1353" t="s">
        <v>31207</v>
      </c>
      <c r="C325" s="2749">
        <f>Storico_Piano_Tariffario!E76</f>
        <v>0</v>
      </c>
      <c r="D325" s="2749">
        <f>Storico_Piano_Tariffario!F76</f>
        <v>0</v>
      </c>
      <c r="E325" s="2713" t="str">
        <f t="shared" ref="E325:H325" si="41">+IFERROR(E326/E327,"")</f>
        <v/>
      </c>
      <c r="F325" s="2713" t="str">
        <f t="shared" si="41"/>
        <v/>
      </c>
      <c r="G325" s="2713" t="str">
        <f t="shared" si="41"/>
        <v/>
      </c>
      <c r="H325" s="2713" t="str">
        <f t="shared" si="41"/>
        <v/>
      </c>
      <c r="I325" s="10"/>
    </row>
    <row r="326" spans="1:15" s="1066" customFormat="1" ht="15" customHeight="1">
      <c r="B326" s="1352" t="s">
        <v>27089</v>
      </c>
      <c r="C326" s="2710">
        <f>Storico_Piano_Tariffario!E77</f>
        <v>0</v>
      </c>
      <c r="D326" s="2710">
        <f>Storico_Piano_Tariffario!F77</f>
        <v>0</v>
      </c>
      <c r="E326" s="1344">
        <f>Opex!E50</f>
        <v>0</v>
      </c>
      <c r="F326" s="1344">
        <f>Opex!F50</f>
        <v>0</v>
      </c>
      <c r="G326" s="1344">
        <f>Opex!G50</f>
        <v>0</v>
      </c>
      <c r="H326" s="1344">
        <f>Opex!H50</f>
        <v>0</v>
      </c>
    </row>
    <row r="327" spans="1:15" s="1066" customFormat="1" ht="15" customHeight="1">
      <c r="B327" s="1352" t="s">
        <v>27088</v>
      </c>
      <c r="C327" s="2706"/>
      <c r="D327" s="2706"/>
      <c r="E327" s="1344">
        <f t="shared" ref="E327:H327" si="42">+IFERROR(E334,"")</f>
        <v>0</v>
      </c>
      <c r="F327" s="1344">
        <f t="shared" si="42"/>
        <v>0</v>
      </c>
      <c r="G327" s="1344">
        <f t="shared" si="42"/>
        <v>0</v>
      </c>
      <c r="H327" s="1344">
        <f t="shared" si="42"/>
        <v>0</v>
      </c>
    </row>
    <row r="328" spans="1:15" s="1066" customFormat="1" ht="15" customHeight="1"/>
    <row r="329" spans="1:15" s="1066" customFormat="1" ht="15" customHeight="1">
      <c r="B329" s="1356" t="s">
        <v>27087</v>
      </c>
    </row>
    <row r="330" spans="1:15" s="1066" customFormat="1" ht="15" customHeight="1">
      <c r="B330" s="1106" t="s">
        <v>26558</v>
      </c>
      <c r="C330" s="2706"/>
      <c r="D330" s="2706"/>
      <c r="E330" s="1105">
        <f>+SUMIF(Struttura_corrispettivi!$AG:$AG,"Acquedotto",Struttura_corrispettivi!Q:Q)</f>
        <v>0</v>
      </c>
      <c r="F330" s="1105">
        <f>+SUMIF(Struttura_corrispettivi!$AG:$AG,"Acquedotto",Struttura_corrispettivi!R:R)</f>
        <v>0</v>
      </c>
      <c r="G330" s="1862">
        <f>+F330</f>
        <v>0</v>
      </c>
      <c r="H330" s="1862">
        <f t="shared" ref="H330:H333" si="43">+G330</f>
        <v>0</v>
      </c>
    </row>
    <row r="331" spans="1:15" s="1066" customFormat="1" ht="15" customHeight="1">
      <c r="B331" s="1106" t="s">
        <v>26559</v>
      </c>
      <c r="C331" s="2706"/>
      <c r="D331" s="2706"/>
      <c r="E331" s="1105">
        <f>+SUMIF(Struttura_corrispettivi!$AG:$AG,"Fognatura",Struttura_corrispettivi!Q:Q)</f>
        <v>0</v>
      </c>
      <c r="F331" s="1105">
        <f>+SUMIF(Struttura_corrispettivi!$AG:$AG,"Fognatura",Struttura_corrispettivi!R:R)</f>
        <v>0</v>
      </c>
      <c r="G331" s="1862">
        <f t="shared" ref="G331:G332" si="44">+F331</f>
        <v>0</v>
      </c>
      <c r="H331" s="1862">
        <f t="shared" si="43"/>
        <v>0</v>
      </c>
    </row>
    <row r="332" spans="1:15" s="1066" customFormat="1" ht="15" customHeight="1">
      <c r="B332" s="1106" t="s">
        <v>145</v>
      </c>
      <c r="C332" s="2706"/>
      <c r="D332" s="2706"/>
      <c r="E332" s="1105">
        <f>+SUMIF(Struttura_corrispettivi!$AG:$AG,"Depurazione",Struttura_corrispettivi!Q:Q)</f>
        <v>0</v>
      </c>
      <c r="F332" s="1105">
        <f>+SUMIF(Struttura_corrispettivi!$AG:$AG,"Depurazione",Struttura_corrispettivi!R:R)</f>
        <v>0</v>
      </c>
      <c r="G332" s="1862">
        <f t="shared" si="44"/>
        <v>0</v>
      </c>
      <c r="H332" s="1862">
        <f t="shared" si="43"/>
        <v>0</v>
      </c>
    </row>
    <row r="333" spans="1:15" s="1066" customFormat="1" ht="15" customHeight="1">
      <c r="B333" s="1106" t="s">
        <v>31330</v>
      </c>
      <c r="C333" s="2706"/>
      <c r="D333" s="2706"/>
      <c r="E333" s="1105">
        <f>+SUM(Ricavi_Coll_Dep!C11,Ricavi_Coll_Dep!C12)</f>
        <v>0</v>
      </c>
      <c r="F333" s="1105">
        <f>+SUM(Ricavi_Coll_Dep!D11,Ricavi_Coll_Dep!D12)</f>
        <v>0</v>
      </c>
      <c r="G333" s="1862">
        <f>+F333</f>
        <v>0</v>
      </c>
      <c r="H333" s="1862">
        <f t="shared" si="43"/>
        <v>0</v>
      </c>
      <c r="I333" s="10"/>
    </row>
    <row r="334" spans="1:15" s="1066" customFormat="1" ht="24" customHeight="1">
      <c r="B334" s="2355" t="s">
        <v>31208</v>
      </c>
      <c r="C334" s="2706"/>
      <c r="D334" s="2706"/>
      <c r="E334" s="1344">
        <f t="shared" ref="E334:H334" si="45">+SUM(E330:E333)</f>
        <v>0</v>
      </c>
      <c r="F334" s="1344">
        <f t="shared" si="45"/>
        <v>0</v>
      </c>
      <c r="G334" s="1344">
        <f t="shared" si="45"/>
        <v>0</v>
      </c>
      <c r="H334" s="1344">
        <f t="shared" si="45"/>
        <v>0</v>
      </c>
    </row>
    <row r="335" spans="1:15" s="1066" customFormat="1"/>
    <row r="336" spans="1:15" customFormat="1" ht="15" customHeight="1"/>
  </sheetData>
  <sheetProtection algorithmName="SHA-512" hashValue="68/C1uw+NAimuKyp5OhpkLXCGTKv08s6HL3Q0bBVZoZwD5tDuLqSPUwhMXQwTk873Tx4rzV85fbEcWh/E+tseg==" saltValue="PH821KC7zP2i6v+7u1DdEQ==" spinCount="100000" sheet="1" objects="1" scenarios="1"/>
  <customSheetViews>
    <customSheetView guid="{849F61E1-F6D3-48F4-A6FF-68F8FE186D80}" scale="85" showGridLines="0" hiddenRows="1" hiddenColumns="1" topLeftCell="A89">
      <pageMargins left="0.7" right="0.7" top="0.75" bottom="0.75" header="0.3" footer="0.3"/>
      <pageSetup paperSize="9" orientation="portrait" r:id="rId1"/>
    </customSheetView>
    <customSheetView guid="{1E1889AA-9C00-49BF-A07E-295053EABBEF}" scale="85" showGridLines="0">
      <pageMargins left="0.7" right="0.7" top="0.75" bottom="0.75" header="0.3" footer="0.3"/>
      <pageSetup paperSize="9" orientation="portrait" r:id="rId2"/>
    </customSheetView>
    <customSheetView guid="{83029BA9-344F-4783-B8F2-6704FB40A582}" scale="85" showGridLines="0" hiddenRows="1" hiddenColumns="1" topLeftCell="A89">
      <pageMargins left="0.7" right="0.7" top="0.75" bottom="0.75" header="0.3" footer="0.3"/>
      <pageSetup paperSize="9" orientation="portrait" r:id="rId3"/>
    </customSheetView>
  </customSheetViews>
  <phoneticPr fontId="341" type="noConversion"/>
  <conditionalFormatting sqref="N116 L259">
    <cfRule type="cellIs" dxfId="98" priority="9" operator="equal">
      <formula>"SI"</formula>
    </cfRule>
  </conditionalFormatting>
  <conditionalFormatting sqref="N83">
    <cfRule type="cellIs" dxfId="97" priority="8" operator="equal">
      <formula>"SI"</formula>
    </cfRule>
  </conditionalFormatting>
  <conditionalFormatting sqref="N126:N129">
    <cfRule type="cellIs" dxfId="96" priority="4" operator="equal">
      <formula>"SI"</formula>
    </cfRule>
  </conditionalFormatting>
  <conditionalFormatting sqref="N101">
    <cfRule type="cellIs" dxfId="95" priority="3" operator="equal">
      <formula>"SI"</formula>
    </cfRule>
  </conditionalFormatting>
  <conditionalFormatting sqref="N141">
    <cfRule type="cellIs" dxfId="94" priority="2" operator="equal">
      <formula>"SI"</formula>
    </cfRule>
  </conditionalFormatting>
  <conditionalFormatting sqref="N140">
    <cfRule type="cellIs" dxfId="93" priority="1" operator="equal">
      <formula>"SI"</formula>
    </cfRule>
  </conditionalFormatting>
  <dataValidations disablePrompts="1" count="1">
    <dataValidation type="list" allowBlank="1" showInputMessage="1" showErrorMessage="1" sqref="L259" xr:uid="{00000000-0002-0000-2600-000000000000}">
      <formula1>si_no</formula1>
    </dataValidation>
  </dataValidations>
  <pageMargins left="0.7" right="0.7" top="0.75" bottom="0.75" header="0.3" footer="0.3"/>
  <pageSetup paperSize="9" orientation="portrait" r:id="rId4"/>
  <drawing r:id="rId5"/>
  <legacyDrawing r:id="rId6"/>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Foglio28">
    <tabColor rgb="FFFFFFE7"/>
  </sheetPr>
  <dimension ref="A1:Q340"/>
  <sheetViews>
    <sheetView showGridLines="0" zoomScale="85" zoomScaleNormal="85" workbookViewId="0"/>
  </sheetViews>
  <sheetFormatPr defaultColWidth="9.42578125" defaultRowHeight="15"/>
  <cols>
    <col min="1" max="1" width="19.42578125" style="877" customWidth="1"/>
    <col min="2" max="2" width="46" customWidth="1"/>
    <col min="3" max="8" width="15.5703125" customWidth="1"/>
    <col min="9" max="11" width="15.5703125" style="75" customWidth="1"/>
    <col min="12" max="12" width="15.5703125" customWidth="1"/>
    <col min="13" max="13" width="28" customWidth="1"/>
    <col min="14" max="16" width="15.5703125" customWidth="1"/>
    <col min="17" max="17" width="40.5703125" customWidth="1"/>
  </cols>
  <sheetData>
    <row r="1" spans="1:13" s="77" customFormat="1" ht="25.35" customHeight="1">
      <c r="A1" s="1164"/>
      <c r="I1" s="68"/>
      <c r="J1" s="68"/>
      <c r="K1" s="68"/>
    </row>
    <row r="2" spans="1:13" s="727" customFormat="1" ht="35.1" customHeight="1" thickBot="1">
      <c r="A2" s="1282" t="s">
        <v>30569</v>
      </c>
      <c r="B2" s="1280" t="s">
        <v>27007</v>
      </c>
      <c r="G2" s="1085"/>
      <c r="H2" s="1085"/>
      <c r="J2" s="728"/>
      <c r="K2" s="728"/>
      <c r="M2" s="728"/>
    </row>
    <row r="3" spans="1:13" s="61" customFormat="1" ht="25.35" customHeight="1" thickTop="1">
      <c r="A3" s="876"/>
      <c r="B3" s="1113"/>
      <c r="I3" s="68"/>
      <c r="J3" s="68"/>
      <c r="K3" s="68"/>
    </row>
    <row r="4" spans="1:13" s="77" customFormat="1" ht="45" customHeight="1">
      <c r="A4" s="877"/>
      <c r="B4" s="1286" t="s">
        <v>26931</v>
      </c>
      <c r="C4" s="1287"/>
      <c r="D4" s="1287"/>
      <c r="E4" s="1287"/>
      <c r="F4" s="1287"/>
      <c r="G4" s="1775"/>
      <c r="H4" s="1775"/>
      <c r="I4" s="1295"/>
      <c r="J4" s="1296"/>
      <c r="K4" s="68"/>
      <c r="L4" s="1283"/>
    </row>
    <row r="5" spans="1:13" s="77" customFormat="1" ht="15" customHeight="1">
      <c r="A5" s="877"/>
      <c r="I5" s="68"/>
      <c r="J5" s="68"/>
      <c r="K5" s="68"/>
    </row>
    <row r="6" spans="1:13" s="77" customFormat="1" ht="15" customHeight="1">
      <c r="A6" s="877"/>
    </row>
    <row r="7" spans="1:13" s="77" customFormat="1" ht="15" customHeight="1">
      <c r="A7" s="877"/>
    </row>
    <row r="8" spans="1:13" s="77" customFormat="1" ht="15" customHeight="1">
      <c r="A8" s="877"/>
    </row>
    <row r="9" spans="1:13" s="77" customFormat="1" ht="15" customHeight="1">
      <c r="A9" s="877"/>
      <c r="B9" s="68" t="s">
        <v>26915</v>
      </c>
      <c r="C9" s="1773">
        <v>2024</v>
      </c>
      <c r="D9" s="1773">
        <v>2025</v>
      </c>
      <c r="E9" s="1771">
        <v>2026</v>
      </c>
      <c r="F9" s="1772">
        <v>2027</v>
      </c>
      <c r="G9" s="1774">
        <v>2028</v>
      </c>
      <c r="H9" s="1774">
        <v>2029</v>
      </c>
      <c r="I9" s="68"/>
      <c r="J9" s="68"/>
      <c r="K9" s="68"/>
    </row>
    <row r="10" spans="1:13" s="77" customFormat="1" ht="15" customHeight="1">
      <c r="A10" s="877"/>
      <c r="B10" s="1181" t="s">
        <v>24783</v>
      </c>
      <c r="C10" s="2747">
        <f>+C12</f>
        <v>0</v>
      </c>
      <c r="D10" s="2747">
        <f>+D12</f>
        <v>0</v>
      </c>
      <c r="E10" s="1220">
        <f t="shared" ref="E10:H10" ca="1" si="0">+E12</f>
        <v>0</v>
      </c>
      <c r="F10" s="1220">
        <f t="shared" ca="1" si="0"/>
        <v>0</v>
      </c>
      <c r="G10" s="1220">
        <f t="shared" ca="1" si="0"/>
        <v>0</v>
      </c>
      <c r="H10" s="1220">
        <f t="shared" ca="1" si="0"/>
        <v>0</v>
      </c>
      <c r="I10" s="61"/>
      <c r="J10" s="61"/>
      <c r="K10" s="61"/>
    </row>
    <row r="11" spans="1:13" s="77" customFormat="1" ht="15" customHeight="1">
      <c r="A11" s="877"/>
      <c r="B11" s="878" t="s">
        <v>26912</v>
      </c>
      <c r="C11" s="902">
        <f>+C19</f>
        <v>0</v>
      </c>
      <c r="D11" s="902">
        <f>+D19</f>
        <v>0</v>
      </c>
      <c r="E11" s="902">
        <f t="shared" ref="E11:H11" ca="1" si="1">+E19</f>
        <v>0</v>
      </c>
      <c r="F11" s="902">
        <f t="shared" ca="1" si="1"/>
        <v>0</v>
      </c>
      <c r="G11" s="902">
        <f t="shared" ca="1" si="1"/>
        <v>0</v>
      </c>
      <c r="H11" s="902">
        <f t="shared" ca="1" si="1"/>
        <v>0</v>
      </c>
      <c r="I11" s="61"/>
      <c r="J11" s="61"/>
      <c r="K11" s="61"/>
    </row>
    <row r="12" spans="1:13" s="77" customFormat="1" ht="15" customHeight="1">
      <c r="A12" s="877"/>
      <c r="B12" s="1208" t="s">
        <v>24784</v>
      </c>
      <c r="C12" s="1221">
        <f>++IFERROR(Input_per_calcoli_finali!I222,0)</f>
        <v>0</v>
      </c>
      <c r="D12" s="1221">
        <f>++IFERROR(Input_per_calcoli_finali!J222,0)</f>
        <v>0</v>
      </c>
      <c r="E12" s="1221">
        <f ca="1">++IFERROR(Input_per_calcoli_finali!K222,0)</f>
        <v>0</v>
      </c>
      <c r="F12" s="1221">
        <f ca="1">++IFERROR(Input_per_calcoli_finali!L222,0)</f>
        <v>0</v>
      </c>
      <c r="G12" s="1221">
        <f ca="1">++IFERROR(Input_per_calcoli_finali!M222,0)</f>
        <v>0</v>
      </c>
      <c r="H12" s="1221">
        <f ca="1">++IFERROR(Input_per_calcoli_finali!N222,0)</f>
        <v>0</v>
      </c>
      <c r="I12" s="61"/>
      <c r="J12" s="61"/>
      <c r="K12" s="61"/>
    </row>
    <row r="13" spans="1:13" s="77" customFormat="1" ht="15" customHeight="1">
      <c r="A13" s="877"/>
      <c r="I13" s="68"/>
      <c r="J13" s="68"/>
      <c r="K13" s="68"/>
    </row>
    <row r="14" spans="1:13" s="77" customFormat="1" ht="15" customHeight="1">
      <c r="A14" s="877"/>
      <c r="I14" s="68"/>
      <c r="J14" s="68"/>
      <c r="K14" s="68"/>
    </row>
    <row r="15" spans="1:13" s="77" customFormat="1" ht="15" customHeight="1">
      <c r="A15" s="877"/>
      <c r="I15" s="68"/>
      <c r="J15" s="68"/>
      <c r="K15" s="68"/>
    </row>
    <row r="16" spans="1:13" s="77" customFormat="1" ht="15" customHeight="1">
      <c r="A16" s="877"/>
      <c r="I16" s="68"/>
      <c r="J16" s="68"/>
      <c r="K16" s="68"/>
    </row>
    <row r="17" spans="1:11" s="77" customFormat="1" ht="15" customHeight="1">
      <c r="A17" s="877"/>
      <c r="I17" s="68"/>
      <c r="J17" s="68"/>
      <c r="K17" s="68"/>
    </row>
    <row r="18" spans="1:11" s="77" customFormat="1" ht="15" customHeight="1">
      <c r="A18" s="877"/>
      <c r="B18" s="68" t="s">
        <v>26908</v>
      </c>
      <c r="C18" s="1773">
        <v>2024</v>
      </c>
      <c r="D18" s="1773">
        <v>2025</v>
      </c>
      <c r="E18" s="1771">
        <v>2026</v>
      </c>
      <c r="F18" s="1772">
        <v>2027</v>
      </c>
      <c r="G18" s="1774">
        <v>2028</v>
      </c>
      <c r="H18" s="1774">
        <v>2029</v>
      </c>
      <c r="I18" s="68"/>
      <c r="J18" s="68"/>
      <c r="K18" s="68"/>
    </row>
    <row r="19" spans="1:11" s="77" customFormat="1" ht="15" customHeight="1">
      <c r="A19" s="877"/>
      <c r="B19" s="880" t="s">
        <v>24783</v>
      </c>
      <c r="C19" s="2747">
        <f>+SUM(C20:C24)</f>
        <v>0</v>
      </c>
      <c r="D19" s="2747">
        <f>+SUM(D20:D24)</f>
        <v>0</v>
      </c>
      <c r="E19" s="1222">
        <f t="shared" ref="E19:F19" ca="1" si="2">+SUM(E20:E24)</f>
        <v>0</v>
      </c>
      <c r="F19" s="1222">
        <f t="shared" ca="1" si="2"/>
        <v>0</v>
      </c>
      <c r="G19" s="1222">
        <f ca="1">+SUM(G20:G24)</f>
        <v>0</v>
      </c>
      <c r="H19" s="1222">
        <f ca="1">+SUM(H20:H24)</f>
        <v>0</v>
      </c>
      <c r="I19" s="68" t="s">
        <v>26907</v>
      </c>
      <c r="J19" s="68"/>
      <c r="K19" s="68"/>
    </row>
    <row r="20" spans="1:11" s="77" customFormat="1" ht="15" customHeight="1">
      <c r="A20" s="877"/>
      <c r="B20" s="878" t="s">
        <v>26819</v>
      </c>
      <c r="C20" s="1346">
        <f>(C53)</f>
        <v>0</v>
      </c>
      <c r="D20" s="1346">
        <f t="shared" ref="D20" si="3">(D53)</f>
        <v>0</v>
      </c>
      <c r="E20" s="1346">
        <f t="shared" ref="E20:H20" si="4">(E53)*VLOOKUP("da t-2 a t",PINF,E18 - 2011,FALSE)</f>
        <v>0</v>
      </c>
      <c r="F20" s="1346">
        <f t="shared" si="4"/>
        <v>0</v>
      </c>
      <c r="G20" s="1346">
        <f t="shared" si="4"/>
        <v>0</v>
      </c>
      <c r="H20" s="1346">
        <f t="shared" si="4"/>
        <v>0</v>
      </c>
      <c r="I20" s="68"/>
      <c r="J20" s="68"/>
      <c r="K20" s="68"/>
    </row>
    <row r="21" spans="1:11" s="77" customFormat="1" ht="15" customHeight="1">
      <c r="A21" s="877"/>
      <c r="B21" s="878" t="s">
        <v>26820</v>
      </c>
      <c r="C21" s="1346">
        <f>(C82)</f>
        <v>0</v>
      </c>
      <c r="D21" s="1346">
        <f t="shared" ref="D21" si="5">(D82)</f>
        <v>0</v>
      </c>
      <c r="E21" s="1346">
        <f t="shared" ref="E21:H21" si="6">(E82)*VLOOKUP("da t-2 a t",PINF,E18 - 2011,FALSE)</f>
        <v>0</v>
      </c>
      <c r="F21" s="1346">
        <f t="shared" si="6"/>
        <v>0</v>
      </c>
      <c r="G21" s="1346">
        <f t="shared" si="6"/>
        <v>0</v>
      </c>
      <c r="H21" s="1346">
        <f t="shared" si="6"/>
        <v>0</v>
      </c>
      <c r="I21" s="68"/>
      <c r="J21" s="68"/>
      <c r="K21" s="68"/>
    </row>
    <row r="22" spans="1:11" s="77" customFormat="1" ht="15" customHeight="1">
      <c r="A22" s="877"/>
      <c r="B22" s="878" t="s">
        <v>26821</v>
      </c>
      <c r="C22" s="1346">
        <f>(C102)</f>
        <v>0</v>
      </c>
      <c r="D22" s="1346">
        <f t="shared" ref="D22" si="7">(D102)</f>
        <v>0</v>
      </c>
      <c r="E22" s="1346">
        <f t="shared" ref="E22:H22" si="8">(E102)*VLOOKUP("da t-2 a t",PINF,E18 - 2011,FALSE)</f>
        <v>0</v>
      </c>
      <c r="F22" s="1346">
        <f t="shared" si="8"/>
        <v>0</v>
      </c>
      <c r="G22" s="1346">
        <f t="shared" si="8"/>
        <v>0</v>
      </c>
      <c r="H22" s="1346">
        <f t="shared" si="8"/>
        <v>0</v>
      </c>
      <c r="I22" s="68"/>
      <c r="J22" s="68"/>
      <c r="K22" s="68"/>
    </row>
    <row r="23" spans="1:11" s="77" customFormat="1" ht="15" customHeight="1">
      <c r="A23" s="877"/>
      <c r="B23" s="878" t="s">
        <v>26822</v>
      </c>
      <c r="C23" s="1346">
        <f>(C123)</f>
        <v>0</v>
      </c>
      <c r="D23" s="1346">
        <f t="shared" ref="D23" si="9">(D123)</f>
        <v>0</v>
      </c>
      <c r="E23" s="1346">
        <f t="shared" ref="E23:H23" ca="1" si="10">(E123)*VLOOKUP("da t-2 a t",PINF,E18 - 2011,FALSE)</f>
        <v>0</v>
      </c>
      <c r="F23" s="1346">
        <f t="shared" ca="1" si="10"/>
        <v>0</v>
      </c>
      <c r="G23" s="1346">
        <f t="shared" ca="1" si="10"/>
        <v>0</v>
      </c>
      <c r="H23" s="1346">
        <f t="shared" ca="1" si="10"/>
        <v>0</v>
      </c>
      <c r="I23" s="68"/>
      <c r="J23" s="68"/>
      <c r="K23" s="68"/>
    </row>
    <row r="24" spans="1:11" s="77" customFormat="1" ht="15" customHeight="1">
      <c r="A24" s="877"/>
      <c r="B24" s="878" t="s">
        <v>26823</v>
      </c>
      <c r="C24" s="1346">
        <f>(C158)</f>
        <v>0</v>
      </c>
      <c r="D24" s="1346">
        <f t="shared" ref="D24" si="11">(D158)</f>
        <v>0</v>
      </c>
      <c r="E24" s="1346">
        <f t="shared" ref="E24:H24" ca="1" si="12">(E158)*VLOOKUP("da t-2 a t",PINF,E18 - 2011,FALSE)</f>
        <v>0</v>
      </c>
      <c r="F24" s="1346">
        <f t="shared" ca="1" si="12"/>
        <v>0</v>
      </c>
      <c r="G24" s="1346">
        <f t="shared" ca="1" si="12"/>
        <v>0</v>
      </c>
      <c r="H24" s="1346">
        <f t="shared" ca="1" si="12"/>
        <v>0</v>
      </c>
      <c r="I24" s="68"/>
      <c r="J24" s="68"/>
      <c r="K24" s="68"/>
    </row>
    <row r="25" spans="1:11" s="77" customFormat="1" ht="15" customHeight="1">
      <c r="A25" s="877"/>
      <c r="B25" s="61"/>
      <c r="C25" s="61"/>
      <c r="D25" s="61"/>
      <c r="E25" s="61"/>
      <c r="F25" s="61"/>
      <c r="G25" s="61"/>
      <c r="H25" s="61"/>
      <c r="I25" s="68"/>
      <c r="J25" s="68"/>
      <c r="K25" s="68"/>
    </row>
    <row r="26" spans="1:11" s="77" customFormat="1" ht="15" customHeight="1">
      <c r="A26" s="877"/>
      <c r="B26" s="61"/>
      <c r="C26" s="61"/>
      <c r="D26" s="61"/>
      <c r="E26" s="61"/>
      <c r="F26" s="61"/>
      <c r="G26" s="61"/>
      <c r="H26" s="61"/>
      <c r="I26" s="68"/>
      <c r="J26" s="68"/>
      <c r="K26" s="68"/>
    </row>
    <row r="27" spans="1:11" s="77" customFormat="1" ht="15" customHeight="1">
      <c r="A27" s="877"/>
      <c r="B27" s="61"/>
      <c r="C27" s="61"/>
      <c r="D27" s="61"/>
      <c r="E27" s="61"/>
      <c r="F27" s="61"/>
      <c r="G27" s="61"/>
      <c r="H27" s="61"/>
      <c r="I27" s="68"/>
      <c r="J27" s="68"/>
      <c r="K27" s="68"/>
    </row>
    <row r="28" spans="1:11" s="77" customFormat="1" ht="15" customHeight="1">
      <c r="A28" s="877"/>
      <c r="B28" s="68" t="s">
        <v>24891</v>
      </c>
      <c r="C28" s="1773">
        <v>2024</v>
      </c>
      <c r="D28" s="1773">
        <v>2025</v>
      </c>
      <c r="E28" s="1771">
        <v>2026</v>
      </c>
      <c r="F28" s="1772">
        <v>2027</v>
      </c>
      <c r="G28" s="1774">
        <v>2028</v>
      </c>
      <c r="H28" s="1774">
        <v>2029</v>
      </c>
      <c r="I28" s="68"/>
      <c r="J28" s="68"/>
      <c r="K28" s="68"/>
    </row>
    <row r="29" spans="1:11" s="77" customFormat="1" ht="15" customHeight="1">
      <c r="A29" s="877"/>
      <c r="B29" s="880" t="s">
        <v>24783</v>
      </c>
      <c r="C29" s="1611"/>
      <c r="D29" s="1611"/>
      <c r="E29" s="1222">
        <f ca="1">+SUM(E30:E34)+SUM(E288)*VLOOKUP("da t-2 a t",PINF,E28-2011,FALSE)</f>
        <v>0</v>
      </c>
      <c r="F29" s="1222">
        <f ca="1">+SUM(F30:F34)+SUM(F288)*VLOOKUP("da t-2 a t",PINF,F28-2011,FALSE)</f>
        <v>0</v>
      </c>
      <c r="G29" s="1222">
        <f ca="1">+SUM(G30:G34)</f>
        <v>0</v>
      </c>
      <c r="H29" s="1222">
        <f ca="1">+SUM(H30:H34)</f>
        <v>0</v>
      </c>
      <c r="I29" s="68"/>
      <c r="J29" s="68"/>
      <c r="K29" s="68"/>
    </row>
    <row r="30" spans="1:11" s="77" customFormat="1" ht="15" customHeight="1">
      <c r="A30" s="877"/>
      <c r="B30" s="1209" t="s">
        <v>26819</v>
      </c>
      <c r="C30" s="1611"/>
      <c r="D30" s="1611"/>
      <c r="E30" s="1223">
        <f t="shared" ref="E30:F30" si="13">(E51)*VLOOKUP("da t-2 a t",PINF,E$28 - 2011,FALSE)</f>
        <v>0</v>
      </c>
      <c r="F30" s="1223">
        <f t="shared" si="13"/>
        <v>0</v>
      </c>
      <c r="G30" s="1611"/>
      <c r="H30" s="1838"/>
      <c r="I30" s="68"/>
      <c r="J30" s="68"/>
      <c r="K30" s="68"/>
    </row>
    <row r="31" spans="1:11" s="77" customFormat="1" ht="15" customHeight="1">
      <c r="A31" s="877"/>
      <c r="B31" s="1208" t="s">
        <v>26820</v>
      </c>
      <c r="C31" s="1611"/>
      <c r="D31" s="1611"/>
      <c r="E31" s="1224">
        <f t="shared" ref="E31:H31" si="14">(E80)*VLOOKUP("da t-2 a t",PINF,E$28 - 2011,FALSE)</f>
        <v>0</v>
      </c>
      <c r="F31" s="1224">
        <f t="shared" si="14"/>
        <v>0</v>
      </c>
      <c r="G31" s="1224">
        <f t="shared" si="14"/>
        <v>0</v>
      </c>
      <c r="H31" s="1224">
        <f t="shared" si="14"/>
        <v>0</v>
      </c>
      <c r="I31" s="68"/>
      <c r="J31" s="68"/>
      <c r="K31" s="68"/>
    </row>
    <row r="32" spans="1:11" s="77" customFormat="1" ht="15" customHeight="1">
      <c r="A32" s="877"/>
      <c r="B32" s="878" t="s">
        <v>26821</v>
      </c>
      <c r="C32" s="1611"/>
      <c r="D32" s="1611"/>
      <c r="E32" s="1223">
        <f t="shared" ref="E32:H32" si="15">(E100)*VLOOKUP("da t-2 a t",PINF,E$28 - 2011,FALSE)</f>
        <v>0</v>
      </c>
      <c r="F32" s="1223">
        <f t="shared" si="15"/>
        <v>0</v>
      </c>
      <c r="G32" s="1223">
        <f t="shared" si="15"/>
        <v>0</v>
      </c>
      <c r="H32" s="1223">
        <f t="shared" si="15"/>
        <v>0</v>
      </c>
      <c r="I32" s="68"/>
      <c r="J32" s="68"/>
      <c r="K32" s="68"/>
    </row>
    <row r="33" spans="1:11" s="77" customFormat="1" ht="15" customHeight="1">
      <c r="A33" s="877"/>
      <c r="B33" s="1208" t="s">
        <v>26822</v>
      </c>
      <c r="C33" s="1611"/>
      <c r="D33" s="1611"/>
      <c r="E33" s="1224">
        <f t="shared" ref="E33:H33" ca="1" si="16">(E121)*VLOOKUP("da t-2 a t",PINF,E$28 - 2011,FALSE)</f>
        <v>0</v>
      </c>
      <c r="F33" s="1224">
        <f t="shared" ca="1" si="16"/>
        <v>0</v>
      </c>
      <c r="G33" s="1224">
        <f t="shared" ca="1" si="16"/>
        <v>0</v>
      </c>
      <c r="H33" s="1224">
        <f t="shared" ca="1" si="16"/>
        <v>0</v>
      </c>
      <c r="I33" s="68"/>
      <c r="J33" s="68"/>
      <c r="K33" s="68"/>
    </row>
    <row r="34" spans="1:11" s="77" customFormat="1" ht="15" customHeight="1">
      <c r="A34" s="877"/>
      <c r="B34" s="878" t="s">
        <v>26823</v>
      </c>
      <c r="C34" s="1611"/>
      <c r="D34" s="1611"/>
      <c r="E34" s="1223">
        <f t="shared" ref="E34:H34" ca="1" si="17">(E156)*VLOOKUP("da t-2 a t",PINF,E$28 - 2011,FALSE)</f>
        <v>0</v>
      </c>
      <c r="F34" s="1223">
        <f t="shared" ca="1" si="17"/>
        <v>0</v>
      </c>
      <c r="G34" s="1223">
        <f t="shared" ca="1" si="17"/>
        <v>0</v>
      </c>
      <c r="H34" s="1223">
        <f t="shared" ca="1" si="17"/>
        <v>0</v>
      </c>
      <c r="I34" s="68"/>
      <c r="J34" s="68"/>
      <c r="K34" s="68"/>
    </row>
    <row r="35" spans="1:11" s="77" customFormat="1" ht="15" customHeight="1">
      <c r="A35" s="877"/>
      <c r="B35" s="61"/>
      <c r="C35" s="61"/>
      <c r="D35" s="61"/>
      <c r="E35" s="61"/>
      <c r="F35" s="61"/>
      <c r="G35" s="61"/>
      <c r="H35" s="61"/>
      <c r="I35" s="68"/>
      <c r="J35" s="68"/>
      <c r="K35" s="68"/>
    </row>
    <row r="36" spans="1:11" s="77" customFormat="1" ht="15" customHeight="1">
      <c r="A36" s="877"/>
      <c r="B36" s="61"/>
      <c r="C36" s="61"/>
      <c r="D36" s="61"/>
      <c r="E36" s="61"/>
      <c r="G36" s="61"/>
      <c r="H36" s="61"/>
      <c r="I36" s="68"/>
      <c r="J36" s="68"/>
      <c r="K36" s="68"/>
    </row>
    <row r="37" spans="1:11" s="77" customFormat="1" ht="15" customHeight="1">
      <c r="A37" s="877"/>
      <c r="B37" s="61"/>
      <c r="C37" s="61"/>
      <c r="D37" s="61"/>
      <c r="E37" s="61"/>
      <c r="F37" s="61"/>
      <c r="G37" s="61"/>
      <c r="H37" s="61"/>
      <c r="I37" s="68"/>
      <c r="J37" s="68"/>
      <c r="K37" s="68"/>
    </row>
    <row r="38" spans="1:11" s="77" customFormat="1" ht="15" customHeight="1">
      <c r="A38" s="877"/>
      <c r="I38" s="68"/>
      <c r="J38" s="68"/>
      <c r="K38" s="68"/>
    </row>
    <row r="39" spans="1:11" s="77" customFormat="1" ht="15" customHeight="1">
      <c r="A39" s="877"/>
      <c r="I39" s="68"/>
      <c r="J39" s="68"/>
      <c r="K39" s="68"/>
    </row>
    <row r="40" spans="1:11" s="875" customFormat="1" ht="16.5" thickBot="1">
      <c r="A40" s="725" t="s">
        <v>30570</v>
      </c>
      <c r="B40" s="729" t="s">
        <v>26824</v>
      </c>
      <c r="G40" s="1817"/>
      <c r="H40" s="1817"/>
      <c r="I40" s="725"/>
      <c r="J40" s="1294"/>
      <c r="K40" s="1294"/>
    </row>
    <row r="41" spans="1:11" ht="15.75" thickTop="1"/>
    <row r="44" spans="1:11">
      <c r="B44" s="10"/>
      <c r="C44" s="1773">
        <v>2024</v>
      </c>
      <c r="D44" s="1773">
        <v>2025</v>
      </c>
      <c r="E44" s="1771">
        <v>2026</v>
      </c>
      <c r="F44" s="1772">
        <v>2027</v>
      </c>
      <c r="G44" s="1774">
        <v>2028</v>
      </c>
      <c r="H44" s="1774">
        <v>2029</v>
      </c>
    </row>
    <row r="45" spans="1:11" ht="15.75">
      <c r="A45"/>
      <c r="B45" s="931" t="s">
        <v>26491</v>
      </c>
      <c r="C45" s="2725"/>
      <c r="D45" s="2725"/>
      <c r="E45" s="883">
        <f>+IF(Dati_Anni_precedenti!E6="",Dati_Anni_precedenti!E5,Dati_Anni_precedenti!E6)</f>
        <v>0</v>
      </c>
      <c r="F45" s="883">
        <f>+IF(Dati_Anni_precedenti!F6="",Dati_Anni_precedenti!F5,Dati_Anni_precedenti!F6)</f>
        <v>0</v>
      </c>
      <c r="G45" s="883" t="str">
        <f ca="1">+Piano_Tariffario!G66</f>
        <v/>
      </c>
      <c r="H45" s="883" t="str">
        <f ca="1">+Piano_Tariffario!H66</f>
        <v/>
      </c>
    </row>
    <row r="46" spans="1:11" ht="15.75">
      <c r="B46" s="1106" t="s">
        <v>31442</v>
      </c>
      <c r="C46" s="1611"/>
      <c r="D46" s="1611"/>
      <c r="E46" s="427">
        <f>+SUM(Dati_Anni_precedenti!E18:E20)</f>
        <v>0</v>
      </c>
      <c r="F46" s="427">
        <f>+SUM(Dati_Anni_precedenti!F18:F20)</f>
        <v>0</v>
      </c>
      <c r="G46" s="1611"/>
      <c r="H46" s="1838"/>
    </row>
    <row r="47" spans="1:11" ht="15.75">
      <c r="B47" s="1320" t="s">
        <v>31443</v>
      </c>
      <c r="C47" s="1611"/>
      <c r="D47" s="1611"/>
      <c r="E47" s="427">
        <f t="shared" ref="E47:F47" si="18">+IFERROR(E45*E46,0)</f>
        <v>0</v>
      </c>
      <c r="F47" s="427">
        <f t="shared" si="18"/>
        <v>0</v>
      </c>
      <c r="G47" s="1611"/>
      <c r="H47" s="1838"/>
    </row>
    <row r="48" spans="1:11" ht="15.75">
      <c r="A48"/>
      <c r="B48" s="1106" t="s">
        <v>28866</v>
      </c>
      <c r="C48" s="1611"/>
      <c r="D48" s="1611"/>
      <c r="E48" s="427">
        <f>SUM(Ricavi_bacini_tariffari!P:P)+SUM(Vendita_Servizi_ingrosso!AK:AK)+Ricavi_Coll_Dep!D27</f>
        <v>0</v>
      </c>
      <c r="F48" s="427">
        <f>SUM(Ricavi_bacini_tariffari!Q:Q)+SUM(Vendita_Servizi_ingrosso!AL:AL)+Ricavi_Coll_Dep!E27</f>
        <v>0</v>
      </c>
      <c r="G48" s="1871"/>
      <c r="H48" s="1871"/>
    </row>
    <row r="49" spans="1:15" ht="15.75">
      <c r="B49" s="852" t="s">
        <v>29617</v>
      </c>
      <c r="C49" s="1611"/>
      <c r="D49" s="1611"/>
      <c r="E49" s="1539">
        <f t="shared" ref="E49:F49" si="19">IF(E56="manca il dato di input",0,E47-E48)</f>
        <v>0</v>
      </c>
      <c r="F49" s="1539">
        <f t="shared" si="19"/>
        <v>0</v>
      </c>
      <c r="G49" s="1539"/>
      <c r="H49" s="1539"/>
      <c r="J49"/>
      <c r="K49"/>
    </row>
    <row r="50" spans="1:15">
      <c r="J50"/>
      <c r="K50"/>
      <c r="L50" s="882"/>
      <c r="M50" s="884"/>
      <c r="N50" s="884"/>
      <c r="O50" s="884"/>
    </row>
    <row r="51" spans="1:15" ht="15.75">
      <c r="B51" s="1106" t="s">
        <v>26825</v>
      </c>
      <c r="C51" s="1611"/>
      <c r="D51" s="1611"/>
      <c r="E51" s="70">
        <f t="shared" ref="E51:F51" si="20">IF(E56="manca il dato di input",0,E47-E48)</f>
        <v>0</v>
      </c>
      <c r="F51" s="70">
        <f t="shared" si="20"/>
        <v>0</v>
      </c>
      <c r="G51" s="1611"/>
      <c r="H51" s="1838"/>
      <c r="L51" s="882"/>
      <c r="M51" s="884"/>
      <c r="N51" s="884"/>
      <c r="O51" s="884"/>
    </row>
    <row r="52" spans="1:15" ht="15.75">
      <c r="B52" s="1106" t="s">
        <v>28823</v>
      </c>
      <c r="C52" s="1611"/>
      <c r="D52" s="1611"/>
      <c r="E52" s="1104">
        <f>Input_per_calcoli_finali!K177</f>
        <v>0</v>
      </c>
      <c r="F52" s="1104">
        <f>Input_per_calcoli_finali!L177</f>
        <v>0</v>
      </c>
      <c r="G52" s="1104"/>
      <c r="H52" s="1104"/>
    </row>
    <row r="53" spans="1:15" ht="16.5">
      <c r="B53" s="871" t="s">
        <v>29618</v>
      </c>
      <c r="C53" s="2747">
        <f>+Dati_Anni_precedenti!E65</f>
        <v>0</v>
      </c>
      <c r="D53" s="2747">
        <f>+Dati_Anni_precedenti!F65</f>
        <v>0</v>
      </c>
      <c r="E53" s="1143">
        <f>+E51-E52</f>
        <v>0</v>
      </c>
      <c r="F53" s="1143">
        <f>+F51-F52</f>
        <v>0</v>
      </c>
      <c r="G53" s="1611"/>
      <c r="H53" s="1838"/>
    </row>
    <row r="56" spans="1:15" ht="16.5">
      <c r="B56" s="885" t="s">
        <v>24905</v>
      </c>
      <c r="C56" s="1611"/>
      <c r="D56" s="1611"/>
      <c r="E56" s="70" t="str">
        <f t="shared" ref="E56:F56" si="21">+IF(E46=0,"manca il dato di input", "ok")</f>
        <v>manca il dato di input</v>
      </c>
      <c r="F56" s="70" t="str">
        <f t="shared" si="21"/>
        <v>manca il dato di input</v>
      </c>
      <c r="G56" s="1611"/>
      <c r="H56" s="3523"/>
    </row>
    <row r="58" spans="1:15">
      <c r="A58"/>
      <c r="I58"/>
      <c r="J58"/>
      <c r="K58"/>
    </row>
    <row r="59" spans="1:15">
      <c r="A59"/>
      <c r="I59"/>
      <c r="J59"/>
      <c r="K59"/>
    </row>
    <row r="60" spans="1:15">
      <c r="A60"/>
      <c r="I60"/>
      <c r="J60"/>
      <c r="K60"/>
    </row>
    <row r="61" spans="1:15">
      <c r="A61"/>
      <c r="I61"/>
      <c r="J61"/>
      <c r="K61"/>
    </row>
    <row r="62" spans="1:15">
      <c r="A62"/>
      <c r="I62"/>
      <c r="J62"/>
      <c r="K62"/>
    </row>
    <row r="64" spans="1:15" s="875" customFormat="1" ht="16.5" thickBot="1">
      <c r="A64" s="725" t="s">
        <v>30570</v>
      </c>
      <c r="B64" s="729" t="s">
        <v>26826</v>
      </c>
      <c r="G64" s="1817"/>
      <c r="H64" s="1817"/>
      <c r="I64" s="725"/>
      <c r="J64" s="1294"/>
      <c r="K64" s="1294"/>
    </row>
    <row r="65" spans="1:11" s="10" customFormat="1" ht="13.5" thickTop="1">
      <c r="A65" s="733"/>
      <c r="B65" s="108"/>
      <c r="I65" s="75"/>
      <c r="J65" s="75"/>
      <c r="K65" s="75"/>
    </row>
    <row r="66" spans="1:11" s="10" customFormat="1" ht="12.75">
      <c r="A66" s="733"/>
      <c r="B66" s="108"/>
      <c r="I66" s="75"/>
      <c r="J66" s="75"/>
      <c r="K66" s="75"/>
    </row>
    <row r="68" spans="1:11">
      <c r="C68" s="1773">
        <v>2024</v>
      </c>
      <c r="D68" s="1773">
        <v>2025</v>
      </c>
      <c r="E68" s="1771">
        <v>2026</v>
      </c>
      <c r="F68" s="1772">
        <v>2027</v>
      </c>
      <c r="G68" s="1774">
        <v>2028</v>
      </c>
      <c r="H68" s="1774">
        <v>2029</v>
      </c>
    </row>
    <row r="69" spans="1:11" ht="15" customHeight="1">
      <c r="A69"/>
      <c r="B69" s="2364" t="s">
        <v>22878</v>
      </c>
      <c r="C69" s="2617"/>
      <c r="D69" s="2617"/>
      <c r="E69" s="2615">
        <f>+SUM(Dati_conto_economico!C47:C48,Dati_conto_economico!F47:F48)</f>
        <v>0</v>
      </c>
      <c r="F69" s="2615">
        <f>+SUM(Dati_conto_economico!I47:I48,Dati_conto_economico!L47:L48)</f>
        <v>0</v>
      </c>
      <c r="G69" s="2616">
        <f>+F69</f>
        <v>0</v>
      </c>
      <c r="H69" s="2616">
        <f>+G69</f>
        <v>0</v>
      </c>
    </row>
    <row r="70" spans="1:11" ht="15" customHeight="1">
      <c r="B70" s="2364" t="s">
        <v>31310</v>
      </c>
      <c r="C70" s="2617"/>
      <c r="D70" s="2617"/>
      <c r="E70" s="2618">
        <f>+VLOOKUP(E68-2,TT_parametri!$AU$29:$AV$46,2,FALSE)</f>
        <v>0.215</v>
      </c>
      <c r="F70" s="2618">
        <f>+VLOOKUP(F68-2,TT_parametri!$AU$29:$AV$46,2,FALSE)</f>
        <v>0.221</v>
      </c>
      <c r="G70" s="2618" t="str">
        <f>+VLOOKUP(G68-2,TT_parametri!$AU$29:$AV$46,2,FALSE)</f>
        <v>da individuare</v>
      </c>
      <c r="H70" s="2618" t="str">
        <f>+VLOOKUP(H68-2,TT_parametri!$AU$29:$AV$46,2,FALSE)</f>
        <v>da individuare</v>
      </c>
    </row>
    <row r="71" spans="1:11" ht="15" customHeight="1">
      <c r="B71" s="2364"/>
      <c r="C71" s="2617"/>
      <c r="D71" s="2617"/>
      <c r="E71" s="2617"/>
      <c r="F71" s="2617"/>
      <c r="G71" s="2617"/>
      <c r="H71" s="3524"/>
    </row>
    <row r="72" spans="1:11" ht="15" customHeight="1">
      <c r="B72" s="2714" t="s">
        <v>30475</v>
      </c>
      <c r="C72" s="2615">
        <f>+Opex!C169</f>
        <v>0</v>
      </c>
      <c r="D72" s="2615">
        <f>+Opex!D169</f>
        <v>0</v>
      </c>
      <c r="E72" s="2615">
        <f>+Opex!E169</f>
        <v>0</v>
      </c>
      <c r="F72" s="2615">
        <f>+Opex!F169</f>
        <v>0</v>
      </c>
      <c r="G72" s="2615">
        <f>+Opex!G169</f>
        <v>0</v>
      </c>
      <c r="H72" s="2615">
        <f>+Opex!H169</f>
        <v>0</v>
      </c>
    </row>
    <row r="73" spans="1:11" ht="15" customHeight="1">
      <c r="B73" s="2715" t="s">
        <v>30476</v>
      </c>
      <c r="C73" s="2615">
        <f>+Opex!C170</f>
        <v>0</v>
      </c>
      <c r="D73" s="2615">
        <f>+Opex!D170</f>
        <v>0</v>
      </c>
      <c r="E73" s="2615">
        <f>+Opex!E170</f>
        <v>0</v>
      </c>
      <c r="F73" s="2615">
        <f>+Opex!F170</f>
        <v>0</v>
      </c>
      <c r="G73" s="2615">
        <f>+Opex!G170</f>
        <v>0</v>
      </c>
      <c r="H73" s="2615">
        <f>+Opex!H170</f>
        <v>0</v>
      </c>
    </row>
    <row r="74" spans="1:11" ht="15" customHeight="1">
      <c r="B74" s="2716" t="s">
        <v>31311</v>
      </c>
      <c r="C74" s="2617"/>
      <c r="D74" s="2617"/>
      <c r="E74" s="2615">
        <f>+Opex!E171</f>
        <v>0</v>
      </c>
      <c r="F74" s="2615">
        <f>+Opex!F171</f>
        <v>0</v>
      </c>
      <c r="G74" s="2615">
        <f>+Opex!G171</f>
        <v>0</v>
      </c>
      <c r="H74" s="2615">
        <f>+Opex!H171</f>
        <v>0</v>
      </c>
    </row>
    <row r="75" spans="1:11" ht="15" customHeight="1">
      <c r="B75" s="2364" t="s">
        <v>24781</v>
      </c>
      <c r="C75" s="2617"/>
      <c r="D75" s="2617"/>
      <c r="E75" s="2705"/>
      <c r="F75" s="2705"/>
      <c r="G75" s="2705"/>
      <c r="H75" s="2632"/>
    </row>
    <row r="76" spans="1:11" ht="15" customHeight="1">
      <c r="A76"/>
      <c r="B76" s="2715" t="s">
        <v>31309</v>
      </c>
      <c r="C76" s="2617"/>
      <c r="D76" s="2617"/>
      <c r="E76" s="2619">
        <f>+IFERROR(IF(E69&gt;=E70*E72,(E74-(E73+E72))*(MIN(E69/E72,E70*1.15)),(E74-(E73+E72))*0.5*(E69/E72+E70)),0)</f>
        <v>0</v>
      </c>
      <c r="F76" s="2619">
        <f>+IFERROR(IF(F69&gt;=F70*F72,(F74-(F73+F72))*(MIN(F69/F72,F70*1.15)),(F74-(F73+F72))*0.5*(F69/F72+F70)),0)</f>
        <v>0</v>
      </c>
      <c r="G76" s="2619">
        <f t="shared" ref="G76:H76" si="22">+IFERROR(IF(G69&gt;=G70*G72,(G74-(G73+G72))*(MIN(G69/G72,G70*1.15)),(G74-(G73+G72))*0.5*(G69/G72+G70)),0)</f>
        <v>0</v>
      </c>
      <c r="H76" s="2619">
        <f t="shared" si="22"/>
        <v>0</v>
      </c>
    </row>
    <row r="77" spans="1:11" ht="15" customHeight="1">
      <c r="B77" s="2715" t="s">
        <v>31312</v>
      </c>
      <c r="C77" s="2617"/>
      <c r="D77" s="2617"/>
      <c r="E77" s="2620">
        <f t="shared" ref="E77:H77" si="23">+IF(E76&lt;0,0,0.25)</f>
        <v>0.25</v>
      </c>
      <c r="F77" s="2620">
        <f t="shared" si="23"/>
        <v>0.25</v>
      </c>
      <c r="G77" s="2620">
        <f t="shared" si="23"/>
        <v>0.25</v>
      </c>
      <c r="H77" s="2620">
        <f t="shared" si="23"/>
        <v>0.25</v>
      </c>
    </row>
    <row r="78" spans="1:11" ht="15" customHeight="1">
      <c r="A78"/>
      <c r="B78" s="2364" t="s">
        <v>24782</v>
      </c>
      <c r="C78" s="2617"/>
      <c r="D78" s="2617"/>
      <c r="E78" s="2621">
        <f>Dati_Anni_precedenti!E43</f>
        <v>0</v>
      </c>
      <c r="F78" s="2621">
        <f>Dati_Anni_precedenti!F43</f>
        <v>0</v>
      </c>
      <c r="G78" s="2621">
        <f>+Opex!E179</f>
        <v>0</v>
      </c>
      <c r="H78" s="2621">
        <f>+Opex!F179</f>
        <v>0</v>
      </c>
    </row>
    <row r="79" spans="1:11">
      <c r="B79" s="877"/>
      <c r="C79" s="1628"/>
      <c r="D79" s="1628"/>
      <c r="E79" s="1628"/>
      <c r="F79" s="1628"/>
      <c r="G79" s="1628"/>
      <c r="H79" s="1628"/>
      <c r="J79" s="877"/>
      <c r="K79" s="877"/>
    </row>
    <row r="80" spans="1:11" ht="15" customHeight="1">
      <c r="A80"/>
      <c r="B80" s="1089" t="s">
        <v>26827</v>
      </c>
      <c r="C80" s="2617"/>
      <c r="D80" s="2617"/>
      <c r="E80" s="2621">
        <f>+IFERROR(IF(E69&gt;=(E70*E72),
         (MIN(E69,E70*E72*1.15)+(MIN(E69,E70*E72*1.15)/E72)*E73+E77*E76)-E78,
         (0.5*(E69+E70*E72)+(0.5*(E69+E70*E72)/E72)*E73+E77*E76)-E78),0)</f>
        <v>0</v>
      </c>
      <c r="F80" s="2621">
        <f t="shared" ref="F80:H80" si="24">+IFERROR(IF(F69&gt;=(F70*F72),
         (MIN(F69,F70*F72*1.15)+(MIN(F69,F70*F72*1.15)/F72)*F73+F77*F76)-F78,
         (0.5*(F69+F70*F72)+(0.5*(F69+F70*F72)/F72)*F73+F77*F76)-F78),0)</f>
        <v>0</v>
      </c>
      <c r="G80" s="2621">
        <f t="shared" si="24"/>
        <v>0</v>
      </c>
      <c r="H80" s="2621">
        <f t="shared" si="24"/>
        <v>0</v>
      </c>
      <c r="J80"/>
      <c r="K80"/>
    </row>
    <row r="81" spans="1:12" ht="15" customHeight="1">
      <c r="B81" s="1089" t="s">
        <v>28824</v>
      </c>
      <c r="C81" s="1611"/>
      <c r="D81" s="1611"/>
      <c r="E81" s="1144">
        <f>+Input_per_calcoli_finali!K181</f>
        <v>0</v>
      </c>
      <c r="F81" s="1144">
        <f>+Input_per_calcoli_finali!L181</f>
        <v>0</v>
      </c>
      <c r="G81" s="1144">
        <f>+Input_per_calcoli_finali!M181</f>
        <v>0</v>
      </c>
      <c r="H81" s="1144">
        <f>+Input_per_calcoli_finali!N181</f>
        <v>0</v>
      </c>
    </row>
    <row r="82" spans="1:12" ht="15" customHeight="1">
      <c r="B82" s="887" t="s">
        <v>29619</v>
      </c>
      <c r="C82" s="2747">
        <f>+Dati_Anni_precedenti!E66</f>
        <v>0</v>
      </c>
      <c r="D82" s="2747">
        <f>+Dati_Anni_precedenti!F66</f>
        <v>0</v>
      </c>
      <c r="E82" s="1143">
        <f t="shared" ref="E82:H82" si="25">+E80-E81</f>
        <v>0</v>
      </c>
      <c r="F82" s="1143">
        <f t="shared" si="25"/>
        <v>0</v>
      </c>
      <c r="G82" s="1143">
        <f t="shared" si="25"/>
        <v>0</v>
      </c>
      <c r="H82" s="1143">
        <f t="shared" si="25"/>
        <v>0</v>
      </c>
    </row>
    <row r="83" spans="1:12">
      <c r="B83" s="877"/>
      <c r="C83" s="877"/>
      <c r="D83" s="877"/>
      <c r="E83" s="877"/>
      <c r="F83" s="877"/>
      <c r="G83" s="877"/>
      <c r="H83" s="877"/>
    </row>
    <row r="84" spans="1:12">
      <c r="B84" s="877"/>
      <c r="C84" s="877"/>
      <c r="D84" s="877"/>
      <c r="E84" s="877"/>
      <c r="F84" s="877"/>
      <c r="G84" s="877"/>
      <c r="H84" s="877"/>
      <c r="L84" s="877"/>
    </row>
    <row r="85" spans="1:12" ht="15" customHeight="1">
      <c r="A85"/>
      <c r="B85" s="885" t="s">
        <v>24905</v>
      </c>
      <c r="C85" s="1611"/>
      <c r="D85" s="1611"/>
      <c r="E85" s="888" t="str">
        <f>+IF(OR(E72=0,Dati_Anni_precedenti!E43=""),"manca il dato di input", "ok")</f>
        <v>manca il dato di input</v>
      </c>
      <c r="F85" s="888" t="str">
        <f>+IF(OR(F72=0,Dati_Anni_precedenti!F43=""),"manca il dato di input", "ok")</f>
        <v>manca il dato di input</v>
      </c>
      <c r="G85" s="888" t="s">
        <v>30523</v>
      </c>
      <c r="H85" s="888" t="s">
        <v>30523</v>
      </c>
    </row>
    <row r="86" spans="1:12">
      <c r="J86"/>
      <c r="K86"/>
    </row>
    <row r="87" spans="1:12">
      <c r="B87" s="877"/>
      <c r="C87" s="877"/>
      <c r="D87" s="877"/>
      <c r="E87" s="877"/>
      <c r="F87" s="877"/>
      <c r="G87" s="877"/>
      <c r="H87" s="877"/>
      <c r="I87" s="877"/>
      <c r="J87"/>
      <c r="K87"/>
    </row>
    <row r="88" spans="1:12">
      <c r="B88" s="877"/>
      <c r="C88" s="877"/>
      <c r="D88" s="877"/>
      <c r="E88" s="877"/>
      <c r="F88" s="877"/>
      <c r="G88" s="877"/>
      <c r="H88" s="877"/>
      <c r="I88" s="877"/>
      <c r="J88"/>
      <c r="K88"/>
    </row>
    <row r="89" spans="1:12">
      <c r="B89" s="877"/>
      <c r="C89" s="877"/>
      <c r="D89" s="877"/>
      <c r="E89" s="877"/>
      <c r="F89" s="877"/>
      <c r="G89" s="877"/>
      <c r="H89" s="877"/>
      <c r="I89" s="877"/>
      <c r="J89"/>
      <c r="K89"/>
    </row>
    <row r="90" spans="1:12">
      <c r="A90"/>
      <c r="I90"/>
      <c r="J90"/>
      <c r="K90"/>
    </row>
    <row r="91" spans="1:12">
      <c r="A91"/>
      <c r="I91"/>
      <c r="J91"/>
      <c r="K91"/>
    </row>
    <row r="93" spans="1:12" s="875" customFormat="1" ht="16.5" thickBot="1">
      <c r="A93" s="725" t="s">
        <v>30570</v>
      </c>
      <c r="B93" s="729" t="s">
        <v>26831</v>
      </c>
      <c r="G93" s="1817"/>
      <c r="H93" s="1817"/>
      <c r="I93" s="725"/>
      <c r="J93" s="1294"/>
      <c r="K93" s="1294"/>
    </row>
    <row r="94" spans="1:12" ht="15.75" thickTop="1"/>
    <row r="95" spans="1:12">
      <c r="A95" s="733"/>
    </row>
    <row r="97" spans="1:11">
      <c r="C97" s="1773">
        <v>2024</v>
      </c>
      <c r="D97" s="1773">
        <v>2025</v>
      </c>
      <c r="E97" s="1771">
        <v>2026</v>
      </c>
      <c r="F97" s="1772">
        <v>2027</v>
      </c>
      <c r="G97" s="1774">
        <v>2028</v>
      </c>
      <c r="H97" s="1774">
        <v>2029</v>
      </c>
    </row>
    <row r="98" spans="1:11" ht="16.5">
      <c r="A98"/>
      <c r="B98" s="1089" t="s">
        <v>26828</v>
      </c>
      <c r="C98" s="1611"/>
      <c r="D98" s="1611"/>
      <c r="E98" s="848">
        <f>+SUMIF(Acquisto_Servizi_ingrosso!$F:$F,E97-2,Acquisto_Servizi_ingrosso!$W:$W)</f>
        <v>0</v>
      </c>
      <c r="F98" s="848">
        <f>+SUMIF(Acquisto_Servizi_ingrosso!$F:$F,F97-2,Acquisto_Servizi_ingrosso!$W:$W)</f>
        <v>0</v>
      </c>
      <c r="G98" s="1872">
        <f>+Opex!E192</f>
        <v>0</v>
      </c>
      <c r="H98" s="1872">
        <f>+Opex!F192</f>
        <v>0</v>
      </c>
    </row>
    <row r="99" spans="1:11" ht="16.5">
      <c r="A99"/>
      <c r="B99" s="1089" t="s">
        <v>26829</v>
      </c>
      <c r="C99" s="1611"/>
      <c r="D99" s="1611"/>
      <c r="E99" s="848">
        <f>+Dati_Anni_precedenti!E44</f>
        <v>0</v>
      </c>
      <c r="F99" s="848">
        <f>+Dati_Anni_precedenti!F44</f>
        <v>0</v>
      </c>
      <c r="G99" s="1872">
        <f>+Opex!E192</f>
        <v>0</v>
      </c>
      <c r="H99" s="1872">
        <f>+Opex!F192</f>
        <v>0</v>
      </c>
    </row>
    <row r="100" spans="1:11" ht="15.75">
      <c r="A100" s="890"/>
      <c r="B100" s="1089" t="s">
        <v>26830</v>
      </c>
      <c r="C100" s="1611"/>
      <c r="D100" s="1611"/>
      <c r="E100" s="1145">
        <f t="shared" ref="E100:H100" si="26">+E98-E99</f>
        <v>0</v>
      </c>
      <c r="F100" s="1145">
        <f t="shared" si="26"/>
        <v>0</v>
      </c>
      <c r="G100" s="1145">
        <f t="shared" si="26"/>
        <v>0</v>
      </c>
      <c r="H100" s="1145">
        <f t="shared" si="26"/>
        <v>0</v>
      </c>
    </row>
    <row r="101" spans="1:11" ht="15.75">
      <c r="A101" s="890"/>
      <c r="B101" s="1089" t="s">
        <v>28825</v>
      </c>
      <c r="C101" s="1611"/>
      <c r="D101" s="1611"/>
      <c r="E101" s="1145">
        <f>+Input_per_calcoli_finali!K185</f>
        <v>0</v>
      </c>
      <c r="F101" s="1145">
        <f>+Input_per_calcoli_finali!L185</f>
        <v>0</v>
      </c>
      <c r="G101" s="1145">
        <f>+Input_per_calcoli_finali!M185</f>
        <v>0</v>
      </c>
      <c r="H101" s="1145">
        <f>+Input_per_calcoli_finali!N185</f>
        <v>0</v>
      </c>
    </row>
    <row r="102" spans="1:11" ht="16.5">
      <c r="B102" s="887" t="s">
        <v>29620</v>
      </c>
      <c r="C102" s="2747">
        <f>+Dati_Anni_precedenti!E67</f>
        <v>0</v>
      </c>
      <c r="D102" s="2747">
        <f>+Dati_Anni_precedenti!F67</f>
        <v>0</v>
      </c>
      <c r="E102" s="1146">
        <f t="shared" ref="E102:H102" si="27">+E100-E101</f>
        <v>0</v>
      </c>
      <c r="F102" s="1146">
        <f t="shared" si="27"/>
        <v>0</v>
      </c>
      <c r="G102" s="1146">
        <f t="shared" si="27"/>
        <v>0</v>
      </c>
      <c r="H102" s="1146">
        <f t="shared" si="27"/>
        <v>0</v>
      </c>
    </row>
    <row r="105" spans="1:11">
      <c r="A105"/>
      <c r="I105"/>
      <c r="J105"/>
      <c r="K105"/>
    </row>
    <row r="111" spans="1:11" s="875" customFormat="1" ht="16.5" thickBot="1">
      <c r="A111" s="725" t="s">
        <v>30570</v>
      </c>
      <c r="B111" s="729" t="s">
        <v>26832</v>
      </c>
      <c r="G111" s="1817"/>
      <c r="H111" s="1817"/>
      <c r="I111" s="725"/>
      <c r="J111" s="1294"/>
      <c r="K111" s="1294"/>
    </row>
    <row r="112" spans="1:11" ht="15.75" thickTop="1"/>
    <row r="115" spans="1:14">
      <c r="C115" s="1773">
        <v>2024</v>
      </c>
      <c r="D115" s="1773">
        <v>2025</v>
      </c>
      <c r="E115" s="1771">
        <v>2026</v>
      </c>
      <c r="F115" s="1772">
        <v>2027</v>
      </c>
      <c r="G115" s="1774">
        <v>2028</v>
      </c>
      <c r="H115" s="1774">
        <v>2029</v>
      </c>
    </row>
    <row r="116" spans="1:14" ht="18.75">
      <c r="B116" s="892" t="s">
        <v>24757</v>
      </c>
      <c r="C116" s="1611"/>
      <c r="D116" s="1611"/>
      <c r="E116" s="70">
        <f>+SUM(Dati_conto_economico!D98:D103)</f>
        <v>0</v>
      </c>
      <c r="F116" s="70">
        <f>+SUM(Dati_conto_economico!J98:J103)</f>
        <v>0</v>
      </c>
      <c r="G116" s="1862">
        <f>+F116</f>
        <v>0</v>
      </c>
      <c r="H116" s="1862">
        <f>+G116</f>
        <v>0</v>
      </c>
    </row>
    <row r="117" spans="1:14" ht="18.75">
      <c r="B117" s="892" t="s">
        <v>24758</v>
      </c>
      <c r="C117" s="1611"/>
      <c r="D117" s="1611"/>
      <c r="E117" s="70">
        <f>+Dati_Anni_precedenti!E60</f>
        <v>0</v>
      </c>
      <c r="F117" s="70">
        <f>+Dati_Anni_precedenti!F60</f>
        <v>0</v>
      </c>
      <c r="G117" s="1862">
        <f>+ERC!E145</f>
        <v>0</v>
      </c>
      <c r="H117" s="1862">
        <f>+ERC!F145</f>
        <v>0</v>
      </c>
    </row>
    <row r="118" spans="1:14" ht="18.75">
      <c r="B118" s="892" t="s">
        <v>31275</v>
      </c>
      <c r="C118" s="1611"/>
      <c r="D118" s="1611"/>
      <c r="E118" s="70">
        <f ca="1">SUMIFS('PdI-crono_ges'!O:O,'PdI-crono_ges'!J:J,"RES",'PdI-crono_ges'!K:K,"lettera a)")+SUMIFS('PdI-crono_ges'!O:O,'PdI-crono_ges'!J:J,"ENV",'PdI-crono_ges'!K:K,"lettera a)")+SUMIFS('PdI-crono_ges'!O:O,'PdI-crono_ges'!J:J,"RES",'PdI-crono_ges'!K:K,"lettera b)")+SUMIFS('PdI-crono_ges'!O:O,'PdI-crono_ges'!J:J,"ENV",'PdI-crono_ges'!K:K,"lettera b)")+SUMIFS('PdI-crono_ges'!O:O,'PdI-crono_ges'!J:J,"RES",'PdI-crono_ges'!K:K,"lettera c) 477/2023/R/IDR")+SUMIFS('PdI-crono_ges'!O:O,'PdI-crono_ges'!J:J,"ENV",'PdI-crono_ges'!K:K,"lettera c) 477/2023/R/IDR")</f>
        <v>0</v>
      </c>
      <c r="F118" s="70">
        <f ca="1">SUMIFS('PdI-crono_ges'!S:S,'PdI-crono_ges'!J:J,"RES",'PdI-crono_ges'!K:K,"lettera a)")+SUMIFS('PdI-crono_ges'!S:S,'PdI-crono_ges'!J:J,"ENV",'PdI-crono_ges'!K:K,"lettera a)")+SUMIFS('PdI-crono_ges'!S:S,'PdI-crono_ges'!J:J,"RES",'PdI-crono_ges'!K:K,"lettera b)")+SUMIFS('PdI-crono_ges'!S:S,'PdI-crono_ges'!J:J,"ENV",'PdI-crono_ges'!K:K,"lettera b)")+SUMIFS('PdI-crono_ges'!S:S,'PdI-crono_ges'!J:J,"RES",'PdI-crono_ges'!K:K,"lettera c) 477/2023/R/IDR")+SUMIFS('PdI-crono_ges'!S:S,'PdI-crono_ges'!J:J,"ENV",'PdI-crono_ges'!K:K,"lettera c) 477/2023/R/IDR")</f>
        <v>0</v>
      </c>
      <c r="G118" s="1104">
        <f ca="1">SUMIFS('PdI-crono_ges'!V:V,'PdI-crono_ges'!$J:$J,"RES")+SUMIFS('PdI-crono_ges'!V:V,'PdI-crono_ges'!$J:$J,"ENV")</f>
        <v>0</v>
      </c>
      <c r="H118" s="1104">
        <f ca="1">SUMIFS('PdI-crono_ges'!W:W,'PdI-crono_ges'!$J:$J,"RES")+SUMIFS('PdI-crono_ges'!W:W,'PdI-crono_ges'!$J:$J,"ENV")</f>
        <v>0</v>
      </c>
      <c r="I118" s="2419"/>
    </row>
    <row r="119" spans="1:14" ht="18.75">
      <c r="B119" s="892" t="s">
        <v>31276</v>
      </c>
      <c r="C119" s="1611"/>
      <c r="D119" s="1611"/>
      <c r="E119" s="1104">
        <f>+Dati_Anni_precedenti!E61+Dati_Anni_precedenti!E62+Dati_Anni_precedenti!E63</f>
        <v>0</v>
      </c>
      <c r="F119" s="1104">
        <f>+Dati_Anni_precedenti!F61+Dati_Anni_precedenti!F62+Dati_Anni_precedenti!F63</f>
        <v>0</v>
      </c>
      <c r="G119" s="1104">
        <f ca="1">ERC!E203</f>
        <v>0</v>
      </c>
      <c r="H119" s="1104">
        <f ca="1">ERC!F203</f>
        <v>0</v>
      </c>
    </row>
    <row r="120" spans="1:14">
      <c r="A120" s="891"/>
      <c r="B120" s="891"/>
      <c r="C120" s="891"/>
      <c r="D120" s="891"/>
      <c r="E120" s="891"/>
      <c r="F120" s="891"/>
      <c r="G120" s="891"/>
      <c r="H120" s="891"/>
      <c r="I120" s="891"/>
      <c r="J120" s="891"/>
      <c r="K120" s="891"/>
      <c r="L120" s="891"/>
      <c r="M120" s="891"/>
      <c r="N120" s="891"/>
    </row>
    <row r="121" spans="1:14" ht="15.75">
      <c r="A121" s="891"/>
      <c r="B121" s="1089" t="s">
        <v>26833</v>
      </c>
      <c r="C121" s="1611"/>
      <c r="D121" s="1611"/>
      <c r="E121" s="1104">
        <f t="shared" ref="E121:H121" ca="1" si="28">+E116-E117+MIN(E118-E119,0)</f>
        <v>0</v>
      </c>
      <c r="F121" s="1104">
        <f t="shared" ca="1" si="28"/>
        <v>0</v>
      </c>
      <c r="G121" s="1104">
        <f t="shared" ca="1" si="28"/>
        <v>0</v>
      </c>
      <c r="H121" s="1104">
        <f t="shared" ca="1" si="28"/>
        <v>0</v>
      </c>
    </row>
    <row r="122" spans="1:14" ht="15.75">
      <c r="A122" s="891"/>
      <c r="B122" s="1089" t="s">
        <v>28826</v>
      </c>
      <c r="C122" s="1611"/>
      <c r="D122" s="1611"/>
      <c r="E122" s="1104">
        <f ca="1">+Input_per_calcoli_finali!K189</f>
        <v>0</v>
      </c>
      <c r="F122" s="1104">
        <f ca="1">+Input_per_calcoli_finali!L189</f>
        <v>0</v>
      </c>
      <c r="G122" s="1104">
        <f ca="1">+Input_per_calcoli_finali!M189</f>
        <v>0</v>
      </c>
      <c r="H122" s="1104">
        <f ca="1">+Input_per_calcoli_finali!N189</f>
        <v>0</v>
      </c>
    </row>
    <row r="123" spans="1:14" ht="18.75">
      <c r="B123" s="887" t="s">
        <v>29621</v>
      </c>
      <c r="C123" s="2747">
        <f>+Dati_Anni_precedenti!E68</f>
        <v>0</v>
      </c>
      <c r="D123" s="2747">
        <f>+Dati_Anni_precedenti!F68</f>
        <v>0</v>
      </c>
      <c r="E123" s="1147">
        <f t="shared" ref="E123:H123" ca="1" si="29">+E121-E122</f>
        <v>0</v>
      </c>
      <c r="F123" s="1147">
        <f t="shared" ca="1" si="29"/>
        <v>0</v>
      </c>
      <c r="G123" s="1147">
        <f t="shared" ca="1" si="29"/>
        <v>0</v>
      </c>
      <c r="H123" s="1147">
        <f t="shared" ca="1" si="29"/>
        <v>0</v>
      </c>
    </row>
    <row r="126" spans="1:14">
      <c r="A126"/>
      <c r="F126" s="7"/>
      <c r="I126"/>
      <c r="J126"/>
      <c r="K126"/>
    </row>
    <row r="127" spans="1:14">
      <c r="F127" s="7"/>
    </row>
    <row r="132" spans="1:16" s="875" customFormat="1" ht="16.5" thickBot="1">
      <c r="A132" s="725" t="s">
        <v>30570</v>
      </c>
      <c r="B132" s="729" t="s">
        <v>26834</v>
      </c>
      <c r="G132" s="1817"/>
      <c r="H132" s="1817"/>
      <c r="I132" s="725"/>
      <c r="J132" s="1294"/>
      <c r="K132" s="1294"/>
    </row>
    <row r="133" spans="1:16" ht="15.75" thickTop="1"/>
    <row r="136" spans="1:16">
      <c r="C136" s="1773">
        <v>2024</v>
      </c>
      <c r="D136" s="1773">
        <v>2025</v>
      </c>
      <c r="E136" s="1771">
        <v>2026</v>
      </c>
      <c r="F136" s="1772">
        <v>2027</v>
      </c>
      <c r="G136" s="1774">
        <v>2028</v>
      </c>
      <c r="H136" s="1774">
        <v>2029</v>
      </c>
    </row>
    <row r="137" spans="1:16" ht="15.75">
      <c r="B137" s="1148" t="s">
        <v>24785</v>
      </c>
      <c r="C137" s="2769">
        <f t="shared" ref="C137:D137" si="30">+C180</f>
        <v>0</v>
      </c>
      <c r="D137" s="2769">
        <f t="shared" si="30"/>
        <v>0</v>
      </c>
      <c r="E137" s="1105">
        <f t="shared" ref="E137:H137" si="31">E180</f>
        <v>0</v>
      </c>
      <c r="F137" s="1105">
        <f t="shared" si="31"/>
        <v>0</v>
      </c>
      <c r="G137" s="1105">
        <f t="shared" si="31"/>
        <v>0</v>
      </c>
      <c r="H137" s="1105">
        <f t="shared" si="31"/>
        <v>0</v>
      </c>
    </row>
    <row r="138" spans="1:16" ht="18">
      <c r="B138" s="1158" t="s">
        <v>24739</v>
      </c>
      <c r="C138" s="2769">
        <f>C195</f>
        <v>0</v>
      </c>
      <c r="D138" s="2769">
        <f>D195</f>
        <v>0</v>
      </c>
      <c r="E138" s="1105">
        <f t="shared" ref="E138:H138" si="32">E195</f>
        <v>0</v>
      </c>
      <c r="F138" s="1105">
        <f t="shared" si="32"/>
        <v>0</v>
      </c>
      <c r="G138" s="1105">
        <f t="shared" si="32"/>
        <v>0</v>
      </c>
      <c r="H138" s="1105">
        <f t="shared" si="32"/>
        <v>0</v>
      </c>
    </row>
    <row r="139" spans="1:16" ht="15.75">
      <c r="B139" s="1158" t="s">
        <v>26848</v>
      </c>
      <c r="C139" s="2769">
        <f>C211</f>
        <v>0</v>
      </c>
      <c r="D139" s="2769">
        <f>D211</f>
        <v>0</v>
      </c>
      <c r="E139" s="1105">
        <f t="shared" ref="E139:H139" si="33">E211</f>
        <v>0</v>
      </c>
      <c r="F139" s="1105">
        <f t="shared" si="33"/>
        <v>0</v>
      </c>
      <c r="G139" s="1105">
        <f t="shared" si="33"/>
        <v>0</v>
      </c>
      <c r="H139" s="1105">
        <f t="shared" si="33"/>
        <v>0</v>
      </c>
    </row>
    <row r="140" spans="1:16">
      <c r="B140" s="895" t="s">
        <v>22694</v>
      </c>
      <c r="C140" s="2770">
        <f>+Dati_Anni_precedenti!E73</f>
        <v>0</v>
      </c>
      <c r="D140" s="2770">
        <f>+Dati_Anni_precedenti!F73</f>
        <v>0</v>
      </c>
      <c r="E140" s="1159">
        <f>+Altri_dati_eco_fin!E53</f>
        <v>0</v>
      </c>
      <c r="F140" s="1159">
        <f>+Altri_dati_eco_fin!F53</f>
        <v>0</v>
      </c>
      <c r="G140" s="879"/>
      <c r="H140" s="879"/>
      <c r="P140" s="28"/>
    </row>
    <row r="141" spans="1:16" ht="15.75">
      <c r="B141" s="1158" t="s">
        <v>28863</v>
      </c>
      <c r="C141" s="2770">
        <f>+Dati_Anni_precedenti!E74</f>
        <v>0</v>
      </c>
      <c r="D141" s="2771">
        <f>+Dati_Anni_precedenti!F74</f>
        <v>0</v>
      </c>
      <c r="E141" s="1159">
        <f>-Altri_dati_eco_fin!E55</f>
        <v>0</v>
      </c>
      <c r="F141" s="2370">
        <f ca="1">-Altri_dati_eco_fin!F55+SUM(Conferma_investimenti!AY:AY)</f>
        <v>0</v>
      </c>
      <c r="G141" s="879"/>
      <c r="H141" s="879"/>
    </row>
    <row r="142" spans="1:16">
      <c r="B142" s="895" t="s">
        <v>26849</v>
      </c>
      <c r="C142" s="2770">
        <f>+Dati_Anni_precedenti!E75</f>
        <v>0</v>
      </c>
      <c r="D142" s="2770">
        <f>+Dati_Anni_precedenti!F75</f>
        <v>0</v>
      </c>
      <c r="E142" s="898">
        <f>+Altri_dati_eco_fin!E50</f>
        <v>0</v>
      </c>
      <c r="F142" s="898">
        <f>+Altri_dati_eco_fin!F50</f>
        <v>0</v>
      </c>
      <c r="G142" s="879"/>
      <c r="H142" s="879"/>
    </row>
    <row r="143" spans="1:16" ht="15.75">
      <c r="B143" s="895" t="s">
        <v>24740</v>
      </c>
      <c r="C143" s="2770">
        <f>+Dati_Anni_precedenti!E78</f>
        <v>0</v>
      </c>
      <c r="D143" s="2770">
        <f>+Dati_Anni_precedenti!F78</f>
        <v>0</v>
      </c>
      <c r="E143" s="898">
        <f>+Altri_dati_eco_fin!E54</f>
        <v>0</v>
      </c>
      <c r="F143" s="898">
        <f>+Altri_dati_eco_fin!F54</f>
        <v>0</v>
      </c>
      <c r="G143" s="879"/>
      <c r="H143" s="879"/>
    </row>
    <row r="144" spans="1:16" ht="15.75">
      <c r="B144" s="1158" t="s">
        <v>29623</v>
      </c>
      <c r="C144" s="2770">
        <f>+Dati_Anni_precedenti!E79</f>
        <v>0</v>
      </c>
      <c r="D144" s="2770">
        <f>+Dati_Anni_precedenti!F79</f>
        <v>0</v>
      </c>
      <c r="E144" s="898">
        <f>Input_per_calcoli_finali!K78</f>
        <v>0</v>
      </c>
      <c r="F144" s="898">
        <f>Input_per_calcoli_finali!L78</f>
        <v>0</v>
      </c>
      <c r="G144" s="898">
        <f>Input_per_calcoli_finali!M78</f>
        <v>0</v>
      </c>
      <c r="H144" s="898">
        <f>Input_per_calcoli_finali!N78</f>
        <v>0</v>
      </c>
    </row>
    <row r="145" spans="2:13" ht="15.75">
      <c r="B145" s="1089" t="s">
        <v>25441</v>
      </c>
      <c r="C145" s="2770">
        <f>C227</f>
        <v>0</v>
      </c>
      <c r="D145" s="2770">
        <f>D227</f>
        <v>0</v>
      </c>
      <c r="E145" s="1160">
        <f t="shared" ref="E145:H145" si="34">E227</f>
        <v>0</v>
      </c>
      <c r="F145" s="1160">
        <f t="shared" si="34"/>
        <v>0</v>
      </c>
      <c r="G145" s="879">
        <f t="shared" si="34"/>
        <v>0</v>
      </c>
      <c r="H145" s="879">
        <f t="shared" si="34"/>
        <v>0</v>
      </c>
    </row>
    <row r="146" spans="2:13" ht="15.75">
      <c r="B146" s="1163" t="s">
        <v>26855</v>
      </c>
      <c r="C146" s="2770">
        <f>C243</f>
        <v>0</v>
      </c>
      <c r="D146" s="2770">
        <f>D243</f>
        <v>0</v>
      </c>
      <c r="E146" s="1160">
        <f t="shared" ref="E146:H146" ca="1" si="35">E243</f>
        <v>0</v>
      </c>
      <c r="F146" s="1160">
        <f t="shared" ca="1" si="35"/>
        <v>0</v>
      </c>
      <c r="G146" s="879">
        <f t="shared" ca="1" si="35"/>
        <v>0</v>
      </c>
      <c r="H146" s="879">
        <f t="shared" ca="1" si="35"/>
        <v>0</v>
      </c>
    </row>
    <row r="147" spans="2:13" ht="15.75">
      <c r="B147" s="1163" t="s">
        <v>26864</v>
      </c>
      <c r="C147" s="2769">
        <f>+C259</f>
        <v>0</v>
      </c>
      <c r="D147" s="2769">
        <f>+D259</f>
        <v>0</v>
      </c>
      <c r="E147" s="1105">
        <f t="shared" ref="E147:H147" si="36">+E259</f>
        <v>0</v>
      </c>
      <c r="F147" s="1105">
        <f t="shared" si="36"/>
        <v>0</v>
      </c>
      <c r="G147" s="879">
        <f t="shared" si="36"/>
        <v>0</v>
      </c>
      <c r="H147" s="879">
        <f t="shared" si="36"/>
        <v>0</v>
      </c>
    </row>
    <row r="148" spans="2:13" ht="15.75">
      <c r="B148" s="1163" t="s">
        <v>26865</v>
      </c>
      <c r="C148" s="2769">
        <f>C273</f>
        <v>0</v>
      </c>
      <c r="D148" s="2769">
        <f>D273</f>
        <v>0</v>
      </c>
      <c r="E148" s="1105">
        <f t="shared" ref="E148:H148" si="37">E273</f>
        <v>0</v>
      </c>
      <c r="F148" s="1105">
        <f t="shared" si="37"/>
        <v>0</v>
      </c>
      <c r="G148" s="879">
        <f t="shared" si="37"/>
        <v>0</v>
      </c>
      <c r="H148" s="879">
        <f t="shared" si="37"/>
        <v>0</v>
      </c>
    </row>
    <row r="149" spans="2:13">
      <c r="B149" s="1163" t="s">
        <v>32818</v>
      </c>
      <c r="C149" s="2769">
        <f>+Dati_Anni_precedenti!E83</f>
        <v>0</v>
      </c>
      <c r="D149" s="2769">
        <f>+Dati_Anni_precedenti!F83</f>
        <v>0</v>
      </c>
      <c r="E149" s="1840">
        <f>-Altri_dati_eco_fin!E63</f>
        <v>0</v>
      </c>
      <c r="F149" s="1840">
        <f>-Altri_dati_eco_fin!F63</f>
        <v>0</v>
      </c>
      <c r="G149" s="879"/>
      <c r="H149" s="879"/>
    </row>
    <row r="150" spans="2:13">
      <c r="B150" s="1163" t="s">
        <v>31480</v>
      </c>
      <c r="C150" s="2769">
        <f>+Dati_Anni_precedenti!E84</f>
        <v>0</v>
      </c>
      <c r="D150" s="2769">
        <f>+Dati_Anni_precedenti!F84</f>
        <v>0</v>
      </c>
      <c r="E150" s="1840">
        <f>-Altri_dati_eco_fin!E64</f>
        <v>0</v>
      </c>
      <c r="F150" s="1840">
        <f>-Altri_dati_eco_fin!F64</f>
        <v>0</v>
      </c>
      <c r="G150" s="879"/>
      <c r="H150" s="879"/>
    </row>
    <row r="151" spans="2:13">
      <c r="B151" s="895" t="s">
        <v>31471</v>
      </c>
      <c r="C151" s="2772"/>
      <c r="D151" s="2770">
        <f>+Dati_Anni_precedenti!F87</f>
        <v>0</v>
      </c>
      <c r="E151" s="879"/>
      <c r="F151" s="1160">
        <f>+F301</f>
        <v>0</v>
      </c>
      <c r="G151" s="879"/>
      <c r="H151" s="879"/>
    </row>
    <row r="152" spans="2:13">
      <c r="B152" s="895" t="s">
        <v>31472</v>
      </c>
      <c r="C152" s="2772"/>
      <c r="D152" s="2770">
        <f>+Dati_Anni_precedenti!F88</f>
        <v>0</v>
      </c>
      <c r="E152" s="879"/>
      <c r="F152" s="1160">
        <f>+F322</f>
        <v>0</v>
      </c>
      <c r="G152" s="879"/>
      <c r="H152" s="879"/>
    </row>
    <row r="153" spans="2:13">
      <c r="B153" s="895" t="s">
        <v>30480</v>
      </c>
      <c r="C153" s="2772"/>
      <c r="D153" s="2770">
        <f>+Dati_Anni_precedenti!F89</f>
        <v>0</v>
      </c>
      <c r="E153" s="879"/>
      <c r="F153" s="1160">
        <f>$F$340</f>
        <v>0</v>
      </c>
      <c r="G153" s="879"/>
      <c r="H153" s="879"/>
    </row>
    <row r="155" spans="2:13">
      <c r="B155" s="877"/>
      <c r="C155" s="877"/>
      <c r="D155" s="877"/>
      <c r="E155" s="877"/>
      <c r="F155" s="877"/>
      <c r="G155" s="877"/>
      <c r="H155" s="877"/>
      <c r="I155" s="877"/>
      <c r="J155" s="877"/>
      <c r="K155" s="877"/>
      <c r="L155" s="877"/>
      <c r="M155" s="877"/>
    </row>
    <row r="156" spans="2:13" ht="18.75">
      <c r="B156" s="1106" t="s">
        <v>26835</v>
      </c>
      <c r="C156" s="1611"/>
      <c r="D156" s="1611"/>
      <c r="E156" s="70">
        <f ca="1">+SUM(E137:E150)</f>
        <v>0</v>
      </c>
      <c r="F156" s="70">
        <f ca="1">+SUM(F137:F153)</f>
        <v>0</v>
      </c>
      <c r="G156" s="70">
        <f ca="1">+SUM(G137:G139,G144:G148)</f>
        <v>0</v>
      </c>
      <c r="H156" s="70">
        <f ca="1">+SUM(H137:H139,H144:H148)</f>
        <v>0</v>
      </c>
    </row>
    <row r="157" spans="2:13" ht="18.75">
      <c r="B157" s="1106" t="s">
        <v>28827</v>
      </c>
      <c r="C157" s="1611"/>
      <c r="D157" s="1611"/>
      <c r="E157" s="70">
        <f ca="1">+Input_per_calcoli_finali!K193</f>
        <v>0</v>
      </c>
      <c r="F157" s="70">
        <f ca="1">+Input_per_calcoli_finali!L193</f>
        <v>0</v>
      </c>
      <c r="G157" s="70">
        <f ca="1">+Input_per_calcoli_finali!M193</f>
        <v>0</v>
      </c>
      <c r="H157" s="70">
        <f ca="1">+Input_per_calcoli_finali!N193</f>
        <v>0</v>
      </c>
    </row>
    <row r="158" spans="2:13" ht="18.75">
      <c r="B158" s="871" t="s">
        <v>29622</v>
      </c>
      <c r="C158" s="2747">
        <f>+SUM(C137:C150)</f>
        <v>0</v>
      </c>
      <c r="D158" s="2747">
        <f>+SUM(D137:D153)</f>
        <v>0</v>
      </c>
      <c r="E158" s="1147">
        <f t="shared" ref="E158:H158" ca="1" si="38">+E156-E157</f>
        <v>0</v>
      </c>
      <c r="F158" s="1147">
        <f t="shared" ca="1" si="38"/>
        <v>0</v>
      </c>
      <c r="G158" s="1147">
        <f t="shared" ca="1" si="38"/>
        <v>0</v>
      </c>
      <c r="H158" s="1147">
        <f t="shared" ca="1" si="38"/>
        <v>0</v>
      </c>
    </row>
    <row r="161" spans="1:17">
      <c r="A161"/>
      <c r="I161"/>
      <c r="J161"/>
      <c r="K161"/>
    </row>
    <row r="162" spans="1:17">
      <c r="E162" s="10"/>
      <c r="F162" s="10"/>
    </row>
    <row r="163" spans="1:17">
      <c r="E163" s="10"/>
      <c r="F163" s="10"/>
    </row>
    <row r="164" spans="1:17">
      <c r="E164" s="10"/>
      <c r="F164" s="10"/>
    </row>
    <row r="166" spans="1:17" s="875" customFormat="1" ht="16.5" thickBot="1">
      <c r="A166" s="725"/>
      <c r="B166" s="729" t="s">
        <v>26843</v>
      </c>
      <c r="G166" s="1817"/>
      <c r="H166" s="1817"/>
      <c r="I166" s="725"/>
      <c r="J166" s="1294"/>
      <c r="K166" s="1294"/>
    </row>
    <row r="167" spans="1:17" ht="15.75" thickTop="1">
      <c r="A167" s="733"/>
      <c r="B167" s="108"/>
      <c r="C167" s="10"/>
      <c r="D167" s="10"/>
      <c r="E167" s="10"/>
      <c r="F167" s="10"/>
      <c r="G167" s="10"/>
      <c r="H167" s="10"/>
      <c r="L167" s="10"/>
      <c r="M167" s="10"/>
      <c r="N167" s="10"/>
      <c r="O167" s="10"/>
      <c r="P167" s="10"/>
      <c r="Q167" s="10"/>
    </row>
    <row r="168" spans="1:17">
      <c r="A168" s="733"/>
      <c r="B168" s="108"/>
      <c r="C168" s="10"/>
      <c r="D168" s="10"/>
      <c r="E168" s="10"/>
      <c r="F168" s="10"/>
      <c r="G168" s="10"/>
      <c r="H168" s="10"/>
      <c r="L168" s="10"/>
      <c r="M168" s="10"/>
      <c r="N168" s="10"/>
      <c r="O168" s="10"/>
      <c r="P168" s="10"/>
      <c r="Q168" s="10"/>
    </row>
    <row r="169" spans="1:17">
      <c r="A169" s="733"/>
    </row>
    <row r="170" spans="1:17">
      <c r="C170" s="1773">
        <v>2024</v>
      </c>
      <c r="D170" s="1773">
        <v>2025</v>
      </c>
      <c r="E170" s="1771">
        <v>2026</v>
      </c>
      <c r="F170" s="1772">
        <v>2027</v>
      </c>
      <c r="G170" s="1774">
        <v>2028</v>
      </c>
      <c r="H170" s="1774">
        <v>2029</v>
      </c>
    </row>
    <row r="171" spans="1:17" ht="15.75">
      <c r="B171" s="1148" t="s">
        <v>31376</v>
      </c>
      <c r="C171" s="1611"/>
      <c r="D171" s="1611"/>
      <c r="E171" s="894">
        <v>0.5</v>
      </c>
      <c r="F171" s="894">
        <v>0.5</v>
      </c>
      <c r="G171" s="894">
        <v>0.5</v>
      </c>
      <c r="H171" s="894">
        <v>0.5</v>
      </c>
    </row>
    <row r="172" spans="1:17" ht="15.75">
      <c r="B172" s="1148" t="s">
        <v>26837</v>
      </c>
      <c r="C172" s="1611"/>
      <c r="D172" s="1611"/>
      <c r="E172" s="70">
        <f>+VRG_Teta!E111</f>
        <v>0</v>
      </c>
      <c r="F172" s="70">
        <f>+VRG_Teta!F111</f>
        <v>0</v>
      </c>
      <c r="G172" s="1862">
        <f>+VRG_Teta!G111</f>
        <v>0</v>
      </c>
      <c r="H172" s="1862">
        <f>+VRG_Teta!H111</f>
        <v>0</v>
      </c>
      <c r="M172" s="1157"/>
      <c r="N172" s="1157"/>
      <c r="O172" s="1157"/>
      <c r="P172" s="1157"/>
    </row>
    <row r="173" spans="1:17" ht="15.75">
      <c r="B173" s="1148" t="s">
        <v>26838</v>
      </c>
      <c r="C173" s="1611"/>
      <c r="D173" s="1611"/>
      <c r="E173" s="70">
        <f>+VRG_Teta!E140</f>
        <v>0</v>
      </c>
      <c r="F173" s="70">
        <f>+VRG_Teta!F140</f>
        <v>0</v>
      </c>
      <c r="G173" s="1862">
        <f>+VRG_Teta!G140</f>
        <v>0</v>
      </c>
      <c r="H173" s="1862">
        <f>+VRG_Teta!H140</f>
        <v>0</v>
      </c>
      <c r="M173" s="1157"/>
      <c r="N173" s="1157"/>
      <c r="O173" s="1157"/>
      <c r="P173" s="1157"/>
    </row>
    <row r="174" spans="1:17" ht="15.75">
      <c r="B174" s="1148" t="s">
        <v>26836</v>
      </c>
      <c r="C174" s="1611"/>
      <c r="D174" s="1611"/>
      <c r="E174" s="894">
        <v>0.5</v>
      </c>
      <c r="F174" s="894">
        <v>0.5</v>
      </c>
      <c r="G174" s="894">
        <v>0.5</v>
      </c>
      <c r="H174" s="894">
        <v>0.5</v>
      </c>
      <c r="I174" s="877"/>
      <c r="J174" s="877"/>
      <c r="K174" s="877"/>
      <c r="L174" s="877"/>
    </row>
    <row r="175" spans="1:17" ht="15.75">
      <c r="B175" s="1148" t="s">
        <v>31375</v>
      </c>
      <c r="C175" s="1611"/>
      <c r="D175" s="1611"/>
      <c r="E175" s="2607">
        <f>+Affidamento!E16</f>
        <v>0</v>
      </c>
      <c r="F175" s="2607">
        <f>+Affidamento!F16</f>
        <v>0</v>
      </c>
      <c r="G175" s="2607">
        <f>+Affidamento!G16</f>
        <v>0</v>
      </c>
      <c r="H175" s="2607">
        <f>+Affidamento!H16</f>
        <v>0</v>
      </c>
    </row>
    <row r="176" spans="1:17" ht="15.75">
      <c r="B176" s="1148" t="s">
        <v>26839</v>
      </c>
      <c r="C176" s="1611"/>
      <c r="D176" s="1611"/>
      <c r="E176" s="70">
        <f>VRG_Teta!E109</f>
        <v>0</v>
      </c>
      <c r="F176" s="70">
        <f>VRG_Teta!F109</f>
        <v>0</v>
      </c>
      <c r="G176" s="1862">
        <f>VRG_Teta!G109</f>
        <v>0</v>
      </c>
      <c r="H176" s="1862">
        <f>VRG_Teta!H109</f>
        <v>0</v>
      </c>
    </row>
    <row r="177" spans="1:17" ht="15.75">
      <c r="B177" s="1148" t="s">
        <v>26840</v>
      </c>
      <c r="C177" s="1611"/>
      <c r="D177" s="1611"/>
      <c r="E177" s="70">
        <f>VRG_Teta!E138</f>
        <v>0</v>
      </c>
      <c r="F177" s="70">
        <f>VRG_Teta!F138</f>
        <v>0</v>
      </c>
      <c r="G177" s="1862">
        <f>VRG_Teta!G138</f>
        <v>0</v>
      </c>
      <c r="H177" s="1862">
        <f>VRG_Teta!H138</f>
        <v>0</v>
      </c>
    </row>
    <row r="178" spans="1:17" ht="15.75">
      <c r="A178"/>
      <c r="B178" s="1233" t="s">
        <v>31318</v>
      </c>
      <c r="C178" s="2747">
        <f>+Dati_Anni_precedenti!E69</f>
        <v>0</v>
      </c>
      <c r="D178" s="2747">
        <f>+Dati_Anni_precedenti!F69</f>
        <v>0</v>
      </c>
      <c r="E178" s="2773">
        <f>+IF((E172+E176-E173-E177)&gt;0,E171*(1+E175)*(E172-E173),0)</f>
        <v>0</v>
      </c>
      <c r="F178" s="2773">
        <f>+IF((F172+F176-F173-F177)&gt;0,F171*(1+F175)*(F172-F173),0)</f>
        <v>0</v>
      </c>
      <c r="G178" s="2773">
        <f t="shared" ref="G178:H178" si="39">+IF((G172+G176-G173-G177)&gt;0,G171*(G172-G173),0)</f>
        <v>0</v>
      </c>
      <c r="H178" s="2773">
        <f t="shared" si="39"/>
        <v>0</v>
      </c>
    </row>
    <row r="179" spans="1:17" ht="15.75">
      <c r="A179"/>
      <c r="B179" s="1233" t="s">
        <v>31319</v>
      </c>
      <c r="C179" s="2747">
        <f>+Dati_Anni_precedenti!E70</f>
        <v>0</v>
      </c>
      <c r="D179" s="2747">
        <f>+Dati_Anni_precedenti!F70</f>
        <v>0</v>
      </c>
      <c r="E179" s="2773">
        <f>+IF((E172+E176-E173-E177)&gt;0,(E171*(1+E174))*(E176-E177),0)</f>
        <v>0</v>
      </c>
      <c r="F179" s="2773">
        <f>+IF((F172+F176-F173-F177)&gt;0,(F171*(1+F174))*(F176-F177),0)</f>
        <v>0</v>
      </c>
      <c r="G179" s="2773">
        <f>+IF((G172+G176-G173-G177)&gt;0,(G171*(1+G174))*(G176-G177),0)</f>
        <v>0</v>
      </c>
      <c r="H179" s="2773">
        <f>+IF((H172+H176-H173-H177)&gt;0,(H171*(1+H174))*(H176-H177),0)</f>
        <v>0</v>
      </c>
    </row>
    <row r="180" spans="1:17" ht="15.75">
      <c r="A180"/>
      <c r="B180" s="880" t="s">
        <v>31320</v>
      </c>
      <c r="C180" s="2747">
        <f>+C178+C179</f>
        <v>0</v>
      </c>
      <c r="D180" s="2747">
        <f>+D178+D179</f>
        <v>0</v>
      </c>
      <c r="E180" s="1147">
        <f>+IF((E172+E176-E173-E177)&gt;0,E171*(1+E175)*(E172-E173)+(E171*(1+E174))*(E176-E177),0)</f>
        <v>0</v>
      </c>
      <c r="F180" s="1147">
        <f>+IF((F172+F176-F173-F177)&gt;0,F171*(1+F175)*(F172-F173)+(F171*(1+F174))*(F176-F177),0)</f>
        <v>0</v>
      </c>
      <c r="G180" s="1147">
        <f>+IF((G172+G176-G173-G177)&gt;0,G171*(1+G175)*(G172-G173)+(G171*(1+G174))*(G176-G177),0)</f>
        <v>0</v>
      </c>
      <c r="H180" s="1147">
        <f>+IF((H172+H176-H173-H177)&gt;0,H171*(1+H175)*(H172-H173)+(H171*(1+H174))*(H176-H177),0)</f>
        <v>0</v>
      </c>
    </row>
    <row r="182" spans="1:17">
      <c r="A182"/>
    </row>
    <row r="183" spans="1:17">
      <c r="A183"/>
      <c r="I183"/>
      <c r="J183"/>
      <c r="K183"/>
    </row>
    <row r="188" spans="1:17" s="875" customFormat="1" ht="16.5" thickBot="1">
      <c r="A188" s="725"/>
      <c r="B188" s="729" t="s">
        <v>26845</v>
      </c>
      <c r="G188" s="1817"/>
      <c r="H188" s="1817"/>
      <c r="I188" s="725"/>
      <c r="J188" s="1294"/>
      <c r="K188" s="1294"/>
    </row>
    <row r="189" spans="1:17" ht="15.75" thickTop="1">
      <c r="A189" s="733"/>
      <c r="B189" s="108"/>
      <c r="C189" s="10"/>
      <c r="D189" s="10"/>
      <c r="E189" s="10"/>
      <c r="F189" s="10"/>
      <c r="G189" s="10"/>
      <c r="H189" s="10"/>
      <c r="L189" s="10"/>
      <c r="M189" s="10"/>
      <c r="N189" s="10"/>
      <c r="O189" s="10"/>
      <c r="P189" s="10"/>
      <c r="Q189" s="10"/>
    </row>
    <row r="190" spans="1:17">
      <c r="A190" s="733"/>
      <c r="B190" s="108"/>
      <c r="C190" s="10"/>
      <c r="D190" s="10"/>
      <c r="E190" s="10"/>
      <c r="F190" s="10"/>
      <c r="G190" s="10"/>
      <c r="H190" s="10"/>
      <c r="L190" s="10"/>
      <c r="M190" s="10"/>
      <c r="N190" s="10"/>
      <c r="O190" s="10"/>
      <c r="P190" s="10"/>
      <c r="Q190" s="10"/>
    </row>
    <row r="191" spans="1:17">
      <c r="A191" s="733"/>
      <c r="B191" s="108"/>
      <c r="C191" s="10"/>
      <c r="D191" s="10"/>
      <c r="E191" s="10"/>
      <c r="F191" s="10"/>
      <c r="G191" s="10"/>
      <c r="H191" s="10"/>
      <c r="L191" s="10"/>
      <c r="M191" s="10"/>
      <c r="N191" s="10"/>
      <c r="O191" s="10"/>
      <c r="P191" s="10"/>
      <c r="Q191" s="10"/>
    </row>
    <row r="192" spans="1:17">
      <c r="C192" s="1773">
        <v>2024</v>
      </c>
      <c r="D192" s="1773">
        <v>2025</v>
      </c>
      <c r="E192" s="1771">
        <v>2026</v>
      </c>
      <c r="F192" s="1772">
        <v>2027</v>
      </c>
      <c r="G192" s="1774">
        <v>2028</v>
      </c>
      <c r="H192" s="1774">
        <v>2029</v>
      </c>
    </row>
    <row r="193" spans="1:14">
      <c r="A193"/>
      <c r="B193" s="988" t="s">
        <v>26529</v>
      </c>
      <c r="C193" s="1611"/>
      <c r="D193" s="1611"/>
      <c r="E193" s="70">
        <f>+SUM(Dati_conto_economico!E98:E103)+SUM(Dati_conto_economico!F98:F103)</f>
        <v>0</v>
      </c>
      <c r="F193" s="70">
        <f>SUM(Dati_conto_economico!K98:K103)+SUM(Dati_conto_economico!L98:L103)</f>
        <v>0</v>
      </c>
      <c r="G193" s="1862">
        <f>+F193</f>
        <v>0</v>
      </c>
      <c r="H193" s="1862">
        <f>+G193</f>
        <v>0</v>
      </c>
    </row>
    <row r="194" spans="1:14" ht="15.75">
      <c r="A194"/>
      <c r="B194" s="1158" t="s">
        <v>26844</v>
      </c>
      <c r="C194" s="1611"/>
      <c r="D194" s="1611"/>
      <c r="E194" s="70">
        <f>Dati_Anni_precedenti!E52+Dati_Anni_precedenti!E53</f>
        <v>0</v>
      </c>
      <c r="F194" s="70">
        <f>Dati_Anni_precedenti!F52+Dati_Anni_precedenti!F53</f>
        <v>0</v>
      </c>
      <c r="G194" s="70">
        <f>Opex!E309</f>
        <v>0</v>
      </c>
      <c r="H194" s="70">
        <f>Opex!F309</f>
        <v>0</v>
      </c>
      <c r="M194" s="7"/>
    </row>
    <row r="195" spans="1:14" ht="18">
      <c r="B195" s="896" t="s">
        <v>24739</v>
      </c>
      <c r="C195" s="2747">
        <f>+Dati_Anni_precedenti!E71</f>
        <v>0</v>
      </c>
      <c r="D195" s="2747">
        <f>+Dati_Anni_precedenti!F71</f>
        <v>0</v>
      </c>
      <c r="E195" s="1147">
        <f t="shared" ref="E195:H195" si="40">+E193-E194</f>
        <v>0</v>
      </c>
      <c r="F195" s="1147">
        <f t="shared" si="40"/>
        <v>0</v>
      </c>
      <c r="G195" s="2371">
        <f t="shared" si="40"/>
        <v>0</v>
      </c>
      <c r="H195" s="2371">
        <f t="shared" si="40"/>
        <v>0</v>
      </c>
    </row>
    <row r="198" spans="1:14">
      <c r="A198"/>
      <c r="I198"/>
      <c r="J198"/>
      <c r="K198"/>
    </row>
    <row r="202" spans="1:14">
      <c r="B202" s="877"/>
      <c r="C202" s="877"/>
      <c r="D202" s="877"/>
      <c r="E202" s="877"/>
      <c r="F202" s="877"/>
      <c r="G202" s="877"/>
      <c r="H202" s="877"/>
      <c r="I202" s="877"/>
      <c r="J202" s="877"/>
      <c r="K202" s="877"/>
      <c r="L202" s="877"/>
      <c r="M202" s="877"/>
      <c r="N202" s="877"/>
    </row>
    <row r="204" spans="1:14" s="875" customFormat="1" ht="16.5" thickBot="1">
      <c r="A204" s="725"/>
      <c r="B204" s="729" t="s">
        <v>26861</v>
      </c>
      <c r="G204" s="1817"/>
      <c r="H204" s="1817"/>
      <c r="I204" s="725"/>
      <c r="J204" s="1294"/>
      <c r="K204" s="1294"/>
    </row>
    <row r="205" spans="1:14" ht="15.75" thickTop="1"/>
    <row r="208" spans="1:14">
      <c r="C208" s="1773">
        <v>2024</v>
      </c>
      <c r="D208" s="1773">
        <v>2025</v>
      </c>
      <c r="E208" s="1771">
        <v>2026</v>
      </c>
      <c r="F208" s="1772">
        <v>2027</v>
      </c>
      <c r="G208" s="1774">
        <v>2028</v>
      </c>
      <c r="H208" s="1774">
        <v>2029</v>
      </c>
    </row>
    <row r="209" spans="1:11" ht="15.75">
      <c r="A209"/>
      <c r="B209" s="897" t="s">
        <v>26846</v>
      </c>
      <c r="C209" s="1611"/>
      <c r="D209" s="1611"/>
      <c r="E209" s="70">
        <f>+Altri_dati_eco_fin!E49</f>
        <v>0</v>
      </c>
      <c r="F209" s="70">
        <f>+Altri_dati_eco_fin!F49</f>
        <v>0</v>
      </c>
      <c r="G209" s="1862">
        <f>+F209</f>
        <v>0</v>
      </c>
      <c r="H209" s="1862">
        <f>+G209</f>
        <v>0</v>
      </c>
    </row>
    <row r="210" spans="1:11" ht="15.75">
      <c r="A210"/>
      <c r="B210" s="897" t="s">
        <v>26847</v>
      </c>
      <c r="C210" s="1611"/>
      <c r="D210" s="1611"/>
      <c r="E210" s="70">
        <f>+Dati_Anni_precedenti!E50</f>
        <v>0</v>
      </c>
      <c r="F210" s="70">
        <f>+Dati_Anni_precedenti!F50</f>
        <v>0</v>
      </c>
      <c r="G210" s="70">
        <f>+Opex!E279</f>
        <v>0</v>
      </c>
      <c r="H210" s="70">
        <f>+Opex!F279</f>
        <v>0</v>
      </c>
    </row>
    <row r="211" spans="1:11" ht="15.75">
      <c r="B211" s="896" t="s">
        <v>26848</v>
      </c>
      <c r="C211" s="2747">
        <f>+Dati_Anni_precedenti!E72</f>
        <v>0</v>
      </c>
      <c r="D211" s="2747">
        <f>+Dati_Anni_precedenti!F72</f>
        <v>0</v>
      </c>
      <c r="E211" s="1147">
        <f t="shared" ref="E211:H211" si="41">+E209-E210</f>
        <v>0</v>
      </c>
      <c r="F211" s="1147">
        <f t="shared" si="41"/>
        <v>0</v>
      </c>
      <c r="G211" s="2371">
        <f t="shared" si="41"/>
        <v>0</v>
      </c>
      <c r="H211" s="2371">
        <f t="shared" si="41"/>
        <v>0</v>
      </c>
    </row>
    <row r="214" spans="1:11">
      <c r="A214"/>
      <c r="I214"/>
      <c r="J214"/>
      <c r="K214"/>
    </row>
    <row r="217" spans="1:11">
      <c r="B217" s="877"/>
      <c r="C217" s="877"/>
      <c r="D217" s="877"/>
      <c r="E217" s="877"/>
      <c r="F217" s="877"/>
      <c r="G217" s="877"/>
      <c r="H217" s="877"/>
      <c r="I217" s="877"/>
      <c r="J217" s="877"/>
      <c r="K217" s="877"/>
    </row>
    <row r="219" spans="1:11">
      <c r="A219"/>
      <c r="I219"/>
      <c r="J219"/>
      <c r="K219"/>
    </row>
    <row r="220" spans="1:11" s="727" customFormat="1" ht="16.5" thickBot="1">
      <c r="A220" s="734"/>
      <c r="B220" s="1117" t="s">
        <v>26860</v>
      </c>
      <c r="G220" s="1085"/>
      <c r="H220" s="1085"/>
      <c r="I220" s="734"/>
      <c r="J220" s="113"/>
      <c r="K220" s="113"/>
    </row>
    <row r="221" spans="1:11" ht="17.25" thickTop="1">
      <c r="B221" s="103"/>
      <c r="C221" s="103"/>
      <c r="D221" s="103"/>
      <c r="E221" s="103"/>
      <c r="F221" s="103"/>
      <c r="G221" s="103"/>
      <c r="H221" s="103"/>
    </row>
    <row r="222" spans="1:11" ht="16.5">
      <c r="B222" s="103"/>
      <c r="C222" s="103"/>
      <c r="D222" s="103"/>
      <c r="E222" s="103"/>
      <c r="F222" s="103"/>
      <c r="G222" s="103"/>
      <c r="H222" s="103"/>
    </row>
    <row r="223" spans="1:11">
      <c r="A223"/>
    </row>
    <row r="224" spans="1:11">
      <c r="C224" s="1773">
        <v>2024</v>
      </c>
      <c r="D224" s="1773">
        <v>2025</v>
      </c>
      <c r="E224" s="1771">
        <v>2026</v>
      </c>
      <c r="F224" s="1772">
        <v>2027</v>
      </c>
      <c r="G224" s="1774">
        <v>2028</v>
      </c>
      <c r="H224" s="1774">
        <v>2029</v>
      </c>
    </row>
    <row r="225" spans="1:13" ht="15.75">
      <c r="A225"/>
      <c r="B225" s="1161" t="s">
        <v>26851</v>
      </c>
      <c r="C225" s="1611"/>
      <c r="D225" s="1611"/>
      <c r="E225" s="898">
        <f>Altri_dati_eco_fin!E76+Altri_dati_eco_fin!E77+Altri_dati_eco_fin!E78</f>
        <v>0</v>
      </c>
      <c r="F225" s="898">
        <f>Altri_dati_eco_fin!F76+Altri_dati_eco_fin!F77+Altri_dati_eco_fin!F78</f>
        <v>0</v>
      </c>
      <c r="G225" s="1862">
        <f>+Opex!E115</f>
        <v>0</v>
      </c>
      <c r="H225" s="1862">
        <f>+Opex!F115</f>
        <v>0</v>
      </c>
    </row>
    <row r="226" spans="1:13" ht="16.5">
      <c r="A226"/>
      <c r="B226" s="1161" t="s">
        <v>26850</v>
      </c>
      <c r="C226" s="1611"/>
      <c r="D226" s="1611"/>
      <c r="E226" s="898">
        <f>+Dati_Anni_precedenti!E37+Dati_Anni_precedenti!E38+Dati_Anni_precedenti!E39</f>
        <v>0</v>
      </c>
      <c r="F226" s="898">
        <f>+Dati_Anni_precedenti!F37+Dati_Anni_precedenti!F38+Dati_Anni_precedenti!F39</f>
        <v>0</v>
      </c>
      <c r="G226" s="2372">
        <f>+Opex!E115</f>
        <v>0</v>
      </c>
      <c r="H226" s="2372">
        <f>+Opex!F115</f>
        <v>0</v>
      </c>
    </row>
    <row r="227" spans="1:13" ht="15.75">
      <c r="B227" s="887" t="s">
        <v>25437</v>
      </c>
      <c r="C227" s="2747">
        <f>+Dati_Anni_precedenti!E80</f>
        <v>0</v>
      </c>
      <c r="D227" s="2747">
        <f>+Dati_Anni_precedenti!F80</f>
        <v>0</v>
      </c>
      <c r="E227" s="1147">
        <f t="shared" ref="E227:H227" si="42">+MIN(E225-E226,0)</f>
        <v>0</v>
      </c>
      <c r="F227" s="1147">
        <f t="shared" si="42"/>
        <v>0</v>
      </c>
      <c r="G227" s="2371">
        <f t="shared" si="42"/>
        <v>0</v>
      </c>
      <c r="H227" s="2371">
        <f t="shared" si="42"/>
        <v>0</v>
      </c>
    </row>
    <row r="230" spans="1:13">
      <c r="A230"/>
      <c r="I230"/>
      <c r="J230"/>
      <c r="K230"/>
    </row>
    <row r="231" spans="1:13">
      <c r="A231"/>
      <c r="I231"/>
      <c r="J231"/>
      <c r="K231"/>
    </row>
    <row r="232" spans="1:13">
      <c r="A232"/>
      <c r="I232"/>
      <c r="J232"/>
      <c r="K232"/>
    </row>
    <row r="233" spans="1:13">
      <c r="A233"/>
      <c r="I233"/>
      <c r="J233"/>
      <c r="K233"/>
    </row>
    <row r="234" spans="1:13">
      <c r="A234"/>
      <c r="I234"/>
      <c r="J234"/>
      <c r="K234"/>
    </row>
    <row r="235" spans="1:13">
      <c r="A235"/>
      <c r="I235"/>
      <c r="J235"/>
      <c r="K235"/>
    </row>
    <row r="236" spans="1:13" s="727" customFormat="1" ht="16.5" thickBot="1">
      <c r="A236" s="734"/>
      <c r="B236" s="1117" t="s">
        <v>26859</v>
      </c>
      <c r="G236" s="1085"/>
      <c r="H236" s="1085"/>
      <c r="I236" s="734"/>
      <c r="J236" s="113"/>
      <c r="K236" s="113"/>
    </row>
    <row r="237" spans="1:13" ht="17.25" thickTop="1">
      <c r="B237" s="103"/>
      <c r="C237" s="103"/>
      <c r="D237" s="103"/>
      <c r="E237" s="103"/>
      <c r="F237" s="103"/>
      <c r="G237" s="103"/>
      <c r="H237" s="103"/>
    </row>
    <row r="238" spans="1:13" ht="16.5">
      <c r="B238" s="103"/>
      <c r="C238" s="103"/>
      <c r="D238" s="103"/>
      <c r="E238" s="103"/>
      <c r="F238" s="103"/>
      <c r="G238" s="103"/>
      <c r="H238" s="103"/>
    </row>
    <row r="239" spans="1:13">
      <c r="A239"/>
    </row>
    <row r="240" spans="1:13">
      <c r="C240" s="1773">
        <v>2024</v>
      </c>
      <c r="D240" s="1773">
        <v>2025</v>
      </c>
      <c r="E240" s="1771">
        <v>2026</v>
      </c>
      <c r="F240" s="1772">
        <v>2027</v>
      </c>
      <c r="G240" s="1774">
        <v>2028</v>
      </c>
      <c r="H240" s="1774">
        <v>2029</v>
      </c>
      <c r="L240" s="75"/>
      <c r="M240" s="75"/>
    </row>
    <row r="241" spans="1:13" ht="15.75">
      <c r="B241" s="1161" t="s">
        <v>26852</v>
      </c>
      <c r="C241" s="1611"/>
      <c r="D241" s="1611"/>
      <c r="E241" s="898">
        <f ca="1">SUMIFS('PdI-crono_ges'!O:O,'PdI-crono_ges'!J:J,"Non ERC",'PdI-crono_ges'!K:K,"lettera a)")+SUMIFS('PdI-crono_ges'!O:O,'PdI-crono_ges'!J:J,"Non ERC",'PdI-crono_ges'!K:K,"lettera b)")+SUMIFS('PdI-crono_ges'!O:O,'PdI-crono_ges'!J:J,"Non ERC",'PdI-crono_ges'!K:K,"lettera c) 477/2023/R/IDR")</f>
        <v>0</v>
      </c>
      <c r="F241" s="898">
        <f ca="1">SUMIFS('PdI-crono_ges'!S:S,'PdI-crono_ges'!J:J,"Non ERC",'PdI-crono_ges'!K:K,"lettera a)")+SUMIFS('PdI-crono_ges'!S:S,'PdI-crono_ges'!J:J,"Non ERC",'PdI-crono_ges'!K:K,"lettera b)")+SUMIFS('PdI-crono_ges'!S:S,'PdI-crono_ges'!J:J,"Non ERC",'PdI-crono_ges'!K:K,"lettera c) 477/2023/R/IDR")</f>
        <v>0</v>
      </c>
      <c r="G241" s="1862">
        <f ca="1">+SUMIFS('PdI-crono_ges'!V:V,'PdI-crono_ges'!J:J,"Non ERC")</f>
        <v>0</v>
      </c>
      <c r="H241" s="1862">
        <f ca="1">+SUMIFS('PdI-crono_ges'!W:W,'PdI-crono_ges'!J:J,"Non ERC")</f>
        <v>0</v>
      </c>
      <c r="I241" s="2420"/>
      <c r="L241" s="75"/>
      <c r="M241" s="75"/>
    </row>
    <row r="242" spans="1:13" ht="16.5">
      <c r="B242" s="1161" t="s">
        <v>26853</v>
      </c>
      <c r="C242" s="1611"/>
      <c r="D242" s="1611"/>
      <c r="E242" s="898">
        <f>+Dati_Anni_precedenti!E34+Dati_Anni_precedenti!E35+Dati_Anni_precedenti!E36</f>
        <v>0</v>
      </c>
      <c r="F242" s="898">
        <f>+Dati_Anni_precedenti!F34+Dati_Anni_precedenti!F35+Dati_Anni_precedenti!F36</f>
        <v>0</v>
      </c>
      <c r="G242" s="2372">
        <f ca="1">+Opex!E99</f>
        <v>0</v>
      </c>
      <c r="H242" s="2372">
        <f ca="1">+Opex!F99</f>
        <v>0</v>
      </c>
    </row>
    <row r="243" spans="1:13" ht="15.75">
      <c r="B243" s="1162" t="s">
        <v>26854</v>
      </c>
      <c r="C243" s="2747">
        <f>+Dati_Anni_precedenti!E81</f>
        <v>0</v>
      </c>
      <c r="D243" s="2747">
        <f>+Dati_Anni_precedenti!F81</f>
        <v>0</v>
      </c>
      <c r="E243" s="1147">
        <f t="shared" ref="E243:H243" ca="1" si="43">+MIN(E241-E242,0)</f>
        <v>0</v>
      </c>
      <c r="F243" s="1147">
        <f t="shared" ca="1" si="43"/>
        <v>0</v>
      </c>
      <c r="G243" s="2371">
        <f t="shared" ca="1" si="43"/>
        <v>0</v>
      </c>
      <c r="H243" s="2371">
        <f t="shared" ca="1" si="43"/>
        <v>0</v>
      </c>
    </row>
    <row r="246" spans="1:13">
      <c r="A246"/>
      <c r="I246"/>
      <c r="J246"/>
      <c r="K246"/>
    </row>
    <row r="247" spans="1:13">
      <c r="A247"/>
      <c r="I247" t="s">
        <v>29733</v>
      </c>
      <c r="J247"/>
      <c r="K247" t="s">
        <v>29732</v>
      </c>
    </row>
    <row r="248" spans="1:13">
      <c r="A248"/>
      <c r="C248" t="s">
        <v>29734</v>
      </c>
      <c r="D248" t="s">
        <v>29736</v>
      </c>
      <c r="I248" t="s">
        <v>29737</v>
      </c>
      <c r="J248"/>
      <c r="K248"/>
    </row>
    <row r="249" spans="1:13">
      <c r="A249"/>
      <c r="C249" t="s">
        <v>29739</v>
      </c>
      <c r="D249" t="s">
        <v>29735</v>
      </c>
      <c r="I249"/>
      <c r="J249"/>
      <c r="K249"/>
    </row>
    <row r="250" spans="1:13">
      <c r="A250"/>
      <c r="D250" t="s">
        <v>29738</v>
      </c>
      <c r="I250"/>
      <c r="J250"/>
      <c r="K250"/>
    </row>
    <row r="251" spans="1:13">
      <c r="A251"/>
      <c r="I251"/>
      <c r="J251"/>
      <c r="K251"/>
    </row>
    <row r="252" spans="1:13" s="727" customFormat="1" ht="16.5" thickBot="1">
      <c r="A252" s="734"/>
      <c r="B252" s="1117" t="s">
        <v>26858</v>
      </c>
      <c r="G252" s="1085"/>
      <c r="H252" s="1085"/>
      <c r="I252" s="734"/>
      <c r="J252" s="113"/>
      <c r="K252" s="113"/>
      <c r="L252" s="1117"/>
    </row>
    <row r="253" spans="1:13" ht="17.25" thickTop="1">
      <c r="B253" s="103"/>
      <c r="C253" s="103"/>
      <c r="D253" s="103"/>
      <c r="E253" s="1305"/>
      <c r="F253" s="1305"/>
      <c r="G253" s="103"/>
      <c r="H253" s="103"/>
    </row>
    <row r="254" spans="1:13" ht="16.5">
      <c r="B254" s="103"/>
      <c r="C254" s="103"/>
      <c r="D254" s="103"/>
      <c r="E254" s="103"/>
      <c r="F254" s="103"/>
      <c r="G254" s="103"/>
      <c r="H254" s="103"/>
    </row>
    <row r="255" spans="1:13">
      <c r="A255"/>
    </row>
    <row r="256" spans="1:13">
      <c r="C256" s="1773">
        <v>2024</v>
      </c>
      <c r="D256" s="1773">
        <v>2025</v>
      </c>
      <c r="E256" s="1771">
        <v>2026</v>
      </c>
      <c r="F256" s="1772">
        <v>2027</v>
      </c>
      <c r="G256" s="1774">
        <v>2028</v>
      </c>
      <c r="H256" s="1774">
        <v>2029</v>
      </c>
    </row>
    <row r="257" spans="1:12" ht="15.75">
      <c r="A257"/>
      <c r="B257" s="1161" t="s">
        <v>26856</v>
      </c>
      <c r="C257" s="1611"/>
      <c r="D257" s="1611"/>
      <c r="E257" s="898">
        <f>SUM(Altri_dati_eco_fin!E81:E83)</f>
        <v>0</v>
      </c>
      <c r="F257" s="898">
        <f>SUM(Altri_dati_eco_fin!F81:F83)</f>
        <v>0</v>
      </c>
      <c r="G257" s="1862">
        <f>+Opex!E129</f>
        <v>0</v>
      </c>
      <c r="H257" s="1862">
        <f>+Opex!F129</f>
        <v>0</v>
      </c>
    </row>
    <row r="258" spans="1:12" ht="16.5">
      <c r="A258"/>
      <c r="B258" s="1161" t="s">
        <v>31305</v>
      </c>
      <c r="C258" s="1611"/>
      <c r="D258" s="1611"/>
      <c r="E258" s="898">
        <f>+Dati_Anni_precedenti!E40+Dati_Anni_precedenti!E41</f>
        <v>0</v>
      </c>
      <c r="F258" s="898">
        <f>+Dati_Anni_precedenti!F40+Dati_Anni_precedenti!F41</f>
        <v>0</v>
      </c>
      <c r="G258" s="2372">
        <f>+Opex!E129</f>
        <v>0</v>
      </c>
      <c r="H258" s="2372">
        <f>+Opex!F129</f>
        <v>0</v>
      </c>
    </row>
    <row r="259" spans="1:12" ht="15.75">
      <c r="B259" s="1162" t="s">
        <v>26857</v>
      </c>
      <c r="C259" s="2747">
        <f>+Dati_Anni_precedenti!E82</f>
        <v>0</v>
      </c>
      <c r="D259" s="2747">
        <f>+Dati_Anni_precedenti!F82</f>
        <v>0</v>
      </c>
      <c r="E259" s="1147">
        <f t="shared" ref="E259:H259" si="44">+E257-E258</f>
        <v>0</v>
      </c>
      <c r="F259" s="1147">
        <f t="shared" si="44"/>
        <v>0</v>
      </c>
      <c r="G259" s="2371">
        <f t="shared" si="44"/>
        <v>0</v>
      </c>
      <c r="H259" s="2371">
        <f t="shared" si="44"/>
        <v>0</v>
      </c>
    </row>
    <row r="262" spans="1:12">
      <c r="A262"/>
      <c r="I262"/>
      <c r="J262"/>
      <c r="K262"/>
    </row>
    <row r="263" spans="1:12">
      <c r="A263"/>
      <c r="I263"/>
      <c r="J263"/>
      <c r="K263"/>
    </row>
    <row r="264" spans="1:12">
      <c r="A264"/>
      <c r="I264"/>
      <c r="J264"/>
      <c r="K264"/>
    </row>
    <row r="265" spans="1:12">
      <c r="A265"/>
      <c r="I265"/>
      <c r="J265"/>
      <c r="K265"/>
    </row>
    <row r="266" spans="1:12" s="727" customFormat="1" ht="16.5" thickBot="1">
      <c r="A266" s="734"/>
      <c r="B266" s="1117" t="s">
        <v>31277</v>
      </c>
      <c r="G266" s="1085"/>
      <c r="H266" s="1085"/>
      <c r="I266" s="734"/>
      <c r="J266" s="113"/>
      <c r="K266" s="113"/>
      <c r="L266" s="1117"/>
    </row>
    <row r="267" spans="1:12" ht="17.25" thickTop="1">
      <c r="B267" s="103"/>
      <c r="C267" s="103"/>
      <c r="D267" s="103"/>
      <c r="E267" s="103"/>
      <c r="F267" s="103"/>
      <c r="G267" s="103"/>
      <c r="H267" s="103"/>
    </row>
    <row r="268" spans="1:12" ht="16.5">
      <c r="B268" s="103"/>
      <c r="C268" s="103"/>
      <c r="D268" s="103"/>
      <c r="E268" s="103"/>
      <c r="F268" s="103"/>
      <c r="G268" s="103"/>
      <c r="H268" s="103"/>
    </row>
    <row r="269" spans="1:12">
      <c r="A269"/>
    </row>
    <row r="270" spans="1:12">
      <c r="A270"/>
      <c r="C270" s="1773">
        <v>2024</v>
      </c>
      <c r="D270" s="1773">
        <v>2025</v>
      </c>
      <c r="E270" s="1771">
        <v>2026</v>
      </c>
      <c r="F270" s="1772">
        <v>2027</v>
      </c>
      <c r="G270" s="1774">
        <v>2028</v>
      </c>
      <c r="H270" s="1774">
        <v>2029</v>
      </c>
    </row>
    <row r="271" spans="1:12" ht="15.75">
      <c r="A271"/>
      <c r="B271" s="1161" t="s">
        <v>26862</v>
      </c>
      <c r="C271" s="1611"/>
      <c r="D271" s="1611"/>
      <c r="E271" s="898">
        <f>Altri_dati_eco_fin!E84</f>
        <v>0</v>
      </c>
      <c r="F271" s="898">
        <f>Altri_dati_eco_fin!F84</f>
        <v>0</v>
      </c>
      <c r="G271" s="1862">
        <f>+Opex!E141</f>
        <v>0</v>
      </c>
      <c r="H271" s="1862">
        <f>+Opex!F141</f>
        <v>0</v>
      </c>
    </row>
    <row r="272" spans="1:12" ht="16.5">
      <c r="A272"/>
      <c r="B272" s="1161" t="s">
        <v>31306</v>
      </c>
      <c r="C272" s="1611"/>
      <c r="D272" s="1611"/>
      <c r="E272" s="898">
        <f>+Dati_Anni_precedenti!E42</f>
        <v>0</v>
      </c>
      <c r="F272" s="898">
        <f>+Dati_Anni_precedenti!F42</f>
        <v>0</v>
      </c>
      <c r="G272" s="898">
        <f>+Opex!E141</f>
        <v>0</v>
      </c>
      <c r="H272" s="898">
        <f>+Opex!F141</f>
        <v>0</v>
      </c>
    </row>
    <row r="273" spans="1:12" ht="15.75">
      <c r="B273" s="1162" t="s">
        <v>26863</v>
      </c>
      <c r="C273" s="2747">
        <f>+Dati_Anni_precedenti!E85</f>
        <v>0</v>
      </c>
      <c r="D273" s="2747">
        <f>+Dati_Anni_precedenti!F85</f>
        <v>0</v>
      </c>
      <c r="E273" s="1147">
        <f t="shared" ref="E273:H273" si="45">+E271-E272</f>
        <v>0</v>
      </c>
      <c r="F273" s="1147">
        <f t="shared" si="45"/>
        <v>0</v>
      </c>
      <c r="G273" s="2371">
        <f t="shared" si="45"/>
        <v>0</v>
      </c>
      <c r="H273" s="2371">
        <f t="shared" si="45"/>
        <v>0</v>
      </c>
    </row>
    <row r="276" spans="1:12">
      <c r="A276"/>
      <c r="I276"/>
      <c r="J276"/>
      <c r="K276"/>
    </row>
    <row r="277" spans="1:12">
      <c r="A277"/>
      <c r="I277"/>
      <c r="J277"/>
      <c r="K277"/>
    </row>
    <row r="278" spans="1:12">
      <c r="A278"/>
      <c r="I278"/>
      <c r="J278"/>
      <c r="K278"/>
    </row>
    <row r="279" spans="1:12">
      <c r="A279"/>
      <c r="I279"/>
      <c r="J279"/>
      <c r="K279"/>
    </row>
    <row r="280" spans="1:12" s="727" customFormat="1" ht="13.5" thickBot="1">
      <c r="A280" s="725" t="s">
        <v>30572</v>
      </c>
      <c r="B280" s="729" t="s">
        <v>30571</v>
      </c>
      <c r="G280" s="1085"/>
      <c r="H280" s="1085"/>
      <c r="I280" s="734"/>
      <c r="J280" s="113"/>
      <c r="K280" s="113"/>
      <c r="L280" s="1117"/>
    </row>
    <row r="281" spans="1:12" ht="17.25" thickTop="1">
      <c r="B281" s="103"/>
      <c r="C281" s="103"/>
      <c r="D281" s="103"/>
      <c r="E281" s="103"/>
      <c r="F281" s="103"/>
      <c r="G281" s="103"/>
      <c r="H281" s="103"/>
    </row>
    <row r="282" spans="1:12" ht="16.5">
      <c r="B282" s="103"/>
      <c r="C282" s="103"/>
      <c r="D282" s="103"/>
      <c r="E282" s="103"/>
      <c r="F282" s="103"/>
      <c r="G282" s="103"/>
      <c r="H282" s="103"/>
    </row>
    <row r="283" spans="1:12">
      <c r="A283"/>
    </row>
    <row r="284" spans="1:12">
      <c r="C284" s="1773">
        <v>2024</v>
      </c>
      <c r="D284" s="1773">
        <v>2025</v>
      </c>
      <c r="E284" s="1771">
        <v>2026</v>
      </c>
      <c r="F284" s="1772">
        <v>2027</v>
      </c>
      <c r="G284" s="1774">
        <v>2028</v>
      </c>
      <c r="H284" s="1774">
        <v>2029</v>
      </c>
    </row>
    <row r="285" spans="1:12" ht="15.75">
      <c r="B285" s="1841" t="s">
        <v>30524</v>
      </c>
      <c r="C285" s="1612"/>
      <c r="D285" s="1612"/>
      <c r="E285" s="900"/>
      <c r="F285" s="900"/>
      <c r="G285" s="900"/>
      <c r="H285" s="900"/>
    </row>
    <row r="286" spans="1:12" ht="15.75">
      <c r="B286" s="1841" t="s">
        <v>30525</v>
      </c>
      <c r="C286" s="1612"/>
      <c r="D286" s="1612"/>
      <c r="E286" s="900"/>
      <c r="F286" s="900"/>
      <c r="G286" s="900"/>
      <c r="H286" s="900"/>
    </row>
    <row r="287" spans="1:12" ht="15.75">
      <c r="B287" s="1841" t="s">
        <v>30526</v>
      </c>
      <c r="C287" s="1612"/>
      <c r="D287" s="1612"/>
      <c r="E287" s="900"/>
      <c r="F287" s="900"/>
      <c r="G287" s="900"/>
      <c r="H287" s="900"/>
    </row>
    <row r="288" spans="1:12" ht="15.75">
      <c r="B288" s="1642" t="s">
        <v>30527</v>
      </c>
      <c r="C288" s="2683">
        <f>+Dati_Anni_precedenti!E86</f>
        <v>0</v>
      </c>
      <c r="D288" s="2683">
        <f>+Dati_Anni_precedenti!F86</f>
        <v>0</v>
      </c>
      <c r="E288" s="900"/>
      <c r="F288" s="900"/>
      <c r="G288" s="900"/>
      <c r="H288" s="900"/>
    </row>
    <row r="289" spans="1:17">
      <c r="B289" s="877"/>
      <c r="C289" s="877"/>
      <c r="D289" s="877"/>
      <c r="E289" s="877"/>
      <c r="F289" s="877"/>
      <c r="G289" s="877"/>
      <c r="H289" s="877"/>
      <c r="I289" s="877"/>
      <c r="J289" s="877"/>
      <c r="K289" s="877"/>
    </row>
    <row r="292" spans="1:17">
      <c r="A292"/>
      <c r="I292"/>
      <c r="J292"/>
      <c r="K292"/>
    </row>
    <row r="293" spans="1:17">
      <c r="A293"/>
      <c r="I293"/>
      <c r="J293"/>
      <c r="K293"/>
    </row>
    <row r="294" spans="1:17">
      <c r="A294"/>
      <c r="I294"/>
      <c r="J294"/>
      <c r="K294"/>
    </row>
    <row r="295" spans="1:17">
      <c r="A295"/>
      <c r="I295"/>
      <c r="J295"/>
      <c r="K295"/>
    </row>
    <row r="296" spans="1:17" s="727" customFormat="1" ht="13.5" thickBot="1">
      <c r="A296" s="725" t="s">
        <v>30570</v>
      </c>
      <c r="B296" s="729" t="s">
        <v>26509</v>
      </c>
      <c r="G296" s="1085"/>
      <c r="H296" s="1085"/>
      <c r="I296" s="734"/>
      <c r="J296" s="113"/>
      <c r="K296" s="113"/>
      <c r="L296" s="729"/>
      <c r="Q296" s="734"/>
    </row>
    <row r="297" spans="1:17" ht="15.75" thickTop="1">
      <c r="B297" s="108"/>
      <c r="C297" s="10"/>
      <c r="D297" s="10"/>
      <c r="E297" s="10"/>
      <c r="F297" s="10"/>
      <c r="G297" s="10"/>
      <c r="H297" s="10"/>
    </row>
    <row r="298" spans="1:17">
      <c r="B298" s="108"/>
      <c r="C298" s="10"/>
      <c r="D298" s="10"/>
      <c r="E298" s="10"/>
      <c r="F298" s="10"/>
      <c r="G298" s="10"/>
      <c r="H298" s="10"/>
    </row>
    <row r="299" spans="1:17">
      <c r="B299" s="108"/>
      <c r="C299" s="10"/>
      <c r="D299" s="10"/>
      <c r="E299" s="10"/>
      <c r="F299" s="10"/>
      <c r="G299" s="10"/>
      <c r="H299" s="10"/>
    </row>
    <row r="300" spans="1:17">
      <c r="C300" s="1773">
        <v>2024</v>
      </c>
      <c r="D300" s="1773">
        <v>2025</v>
      </c>
      <c r="E300" s="1771">
        <v>2026</v>
      </c>
      <c r="F300" s="1772">
        <v>2027</v>
      </c>
      <c r="G300" s="1774">
        <v>2028</v>
      </c>
      <c r="H300" s="1774">
        <v>2029</v>
      </c>
    </row>
    <row r="301" spans="1:17">
      <c r="B301" s="887" t="s">
        <v>31471</v>
      </c>
      <c r="C301" s="1612"/>
      <c r="D301" s="2683">
        <f>+Dati_Anni_precedenti!F87</f>
        <v>0</v>
      </c>
      <c r="E301" s="1612"/>
      <c r="F301" s="1147">
        <f>+Altri_dati_eco_fin!F57</f>
        <v>0</v>
      </c>
      <c r="G301" s="1612"/>
      <c r="H301" s="1612"/>
    </row>
    <row r="306" spans="1:17">
      <c r="A306"/>
      <c r="I306"/>
      <c r="J306"/>
      <c r="K306"/>
    </row>
    <row r="307" spans="1:17">
      <c r="A307"/>
      <c r="I307"/>
      <c r="J307"/>
      <c r="K307"/>
    </row>
    <row r="311" spans="1:17" s="727" customFormat="1" ht="13.5" thickBot="1">
      <c r="A311" s="725" t="s">
        <v>30573</v>
      </c>
      <c r="B311" s="729" t="s">
        <v>26510</v>
      </c>
      <c r="G311" s="1085"/>
      <c r="H311" s="1085"/>
      <c r="I311" s="734"/>
      <c r="J311" s="113"/>
      <c r="K311" s="113"/>
      <c r="L311" s="729"/>
    </row>
    <row r="312" spans="1:17" ht="15.75" thickTop="1">
      <c r="A312" s="876"/>
      <c r="B312" s="108"/>
      <c r="C312" s="10"/>
      <c r="D312" s="10"/>
      <c r="E312" s="10"/>
      <c r="F312" s="10"/>
      <c r="G312" s="10"/>
      <c r="H312" s="10"/>
      <c r="L312" s="10"/>
      <c r="M312" s="10"/>
      <c r="N312" s="10"/>
      <c r="O312" s="10"/>
      <c r="P312" s="10"/>
      <c r="Q312" s="10"/>
    </row>
    <row r="313" spans="1:17">
      <c r="A313" s="876"/>
      <c r="B313" s="108"/>
      <c r="C313" s="10"/>
      <c r="D313" s="10"/>
      <c r="E313" s="10"/>
      <c r="F313" s="10"/>
      <c r="G313" s="10"/>
      <c r="H313" s="10"/>
      <c r="L313" s="10"/>
      <c r="M313" s="10"/>
      <c r="N313" s="10"/>
      <c r="O313" s="10"/>
      <c r="P313" s="10"/>
      <c r="Q313" s="10"/>
    </row>
    <row r="314" spans="1:17">
      <c r="A314" s="876"/>
      <c r="B314" s="108"/>
      <c r="C314" s="10"/>
      <c r="D314" s="10"/>
      <c r="E314" s="10"/>
      <c r="F314" s="10"/>
      <c r="G314" s="10"/>
      <c r="H314" s="10"/>
      <c r="L314" s="10"/>
      <c r="M314" s="10"/>
      <c r="N314" s="10"/>
      <c r="O314" s="10"/>
      <c r="P314" s="10"/>
      <c r="Q314" s="10"/>
    </row>
    <row r="315" spans="1:17">
      <c r="A315" s="876"/>
      <c r="C315" s="1773">
        <v>2024</v>
      </c>
      <c r="D315" s="1773">
        <v>2025</v>
      </c>
      <c r="E315" s="1771">
        <v>2026</v>
      </c>
      <c r="F315" s="1772">
        <v>2027</v>
      </c>
      <c r="G315" s="1774">
        <v>2028</v>
      </c>
      <c r="H315" s="1774">
        <v>2029</v>
      </c>
      <c r="L315" s="10"/>
      <c r="M315" s="10"/>
      <c r="N315" s="10"/>
      <c r="O315" s="10"/>
      <c r="P315" s="10"/>
      <c r="Q315" s="10"/>
    </row>
    <row r="316" spans="1:17" ht="15.75">
      <c r="A316" s="876"/>
      <c r="B316" s="1158" t="s">
        <v>31377</v>
      </c>
      <c r="C316" s="889"/>
      <c r="D316" s="889"/>
      <c r="E316" s="900"/>
      <c r="F316" s="70">
        <f>+Dati_tecnici!G8</f>
        <v>0</v>
      </c>
      <c r="G316" s="889"/>
      <c r="H316" s="889"/>
      <c r="L316" s="21" t="s">
        <v>22695</v>
      </c>
      <c r="M316" s="21" t="s">
        <v>24832</v>
      </c>
      <c r="N316" s="21" t="s">
        <v>22696</v>
      </c>
      <c r="O316" s="10"/>
      <c r="P316" s="10"/>
      <c r="Q316" s="10"/>
    </row>
    <row r="317" spans="1:17" ht="15.75">
      <c r="A317" s="876"/>
      <c r="B317" s="1158" t="s">
        <v>31378</v>
      </c>
      <c r="C317" s="889"/>
      <c r="D317" s="889"/>
      <c r="E317" s="900"/>
      <c r="F317" s="70">
        <f>+Dati_tecnici!G5</f>
        <v>0</v>
      </c>
      <c r="G317" s="889"/>
      <c r="H317" s="889"/>
      <c r="K317" s="877"/>
      <c r="L317" s="1343" t="s">
        <v>31381</v>
      </c>
      <c r="M317" s="1647">
        <f>TT_parametri!$AV$41</f>
        <v>0.24360000000000001</v>
      </c>
      <c r="N317" s="901" t="str">
        <f>+TT_parametri!AW31</f>
        <v>€/KWh</v>
      </c>
      <c r="O317" s="75"/>
      <c r="P317" s="75"/>
      <c r="Q317" s="10"/>
    </row>
    <row r="318" spans="1:17">
      <c r="A318" s="876"/>
      <c r="B318" s="899" t="s">
        <v>25424</v>
      </c>
      <c r="C318" s="889"/>
      <c r="D318" s="889"/>
      <c r="E318" s="900"/>
      <c r="F318" s="70">
        <f>+MIN(F316,F317*M318*1.1)</f>
        <v>0</v>
      </c>
      <c r="G318" s="889"/>
      <c r="H318" s="889"/>
      <c r="K318" s="877"/>
      <c r="L318" s="1343">
        <v>2023</v>
      </c>
      <c r="M318" s="1731">
        <f>TT_parametri!$AV$41</f>
        <v>0.24360000000000001</v>
      </c>
      <c r="N318" s="901" t="str">
        <f>+TT_parametri!AW32</f>
        <v>€/KWh</v>
      </c>
      <c r="O318" s="10"/>
      <c r="P318" s="10"/>
      <c r="Q318" s="10"/>
    </row>
    <row r="319" spans="1:17" ht="15.75">
      <c r="A319" s="876"/>
      <c r="B319" s="1158" t="s">
        <v>31379</v>
      </c>
      <c r="C319" s="889"/>
      <c r="D319" s="889"/>
      <c r="E319" s="900"/>
      <c r="F319" s="70">
        <f>+SUM(Dati_Anni_precedenti!F104:F107)</f>
        <v>0</v>
      </c>
      <c r="G319" s="889"/>
      <c r="H319" s="889"/>
      <c r="L319" s="10"/>
      <c r="M319" s="10"/>
      <c r="N319" s="10"/>
      <c r="O319" s="10"/>
      <c r="P319" s="10"/>
      <c r="Q319" s="10"/>
    </row>
    <row r="320" spans="1:17" ht="15.75">
      <c r="B320" s="1158" t="s">
        <v>31380</v>
      </c>
      <c r="C320" s="889"/>
      <c r="D320" s="889"/>
      <c r="E320" s="900"/>
      <c r="F320" s="70">
        <f>Dati_Anni_precedenti!$F$102</f>
        <v>0</v>
      </c>
      <c r="G320" s="889"/>
      <c r="H320" s="889"/>
      <c r="L320" s="10"/>
      <c r="M320" s="10"/>
      <c r="N320" s="10"/>
      <c r="O320" s="10"/>
      <c r="P320" s="10"/>
      <c r="Q320" s="10"/>
    </row>
    <row r="321" spans="1:17">
      <c r="A321" s="876"/>
      <c r="B321" s="899" t="s">
        <v>25425</v>
      </c>
      <c r="C321" s="889"/>
      <c r="D321" s="889"/>
      <c r="E321" s="900"/>
      <c r="F321" s="70">
        <f>+MIN(F319,F320*M317*1.1)</f>
        <v>0</v>
      </c>
      <c r="G321" s="889"/>
      <c r="H321" s="889"/>
      <c r="L321" s="10"/>
      <c r="M321" s="10"/>
      <c r="N321" s="10"/>
      <c r="O321" s="10"/>
      <c r="P321" s="10"/>
      <c r="Q321" s="10"/>
    </row>
    <row r="322" spans="1:17">
      <c r="A322" s="876"/>
      <c r="B322" s="887" t="s">
        <v>31472</v>
      </c>
      <c r="C322" s="1612"/>
      <c r="D322" s="2683">
        <f>+Dati_Anni_precedenti!F88</f>
        <v>0</v>
      </c>
      <c r="E322" s="1612"/>
      <c r="F322" s="1147">
        <f>+IF(F325="manca il dato di input",0,F318-F321)</f>
        <v>0</v>
      </c>
      <c r="G322" s="1612"/>
      <c r="H322" s="1612"/>
    </row>
    <row r="325" spans="1:17" ht="16.5">
      <c r="B325" s="885" t="s">
        <v>24905</v>
      </c>
      <c r="C325" s="886"/>
      <c r="D325" s="886"/>
      <c r="E325" s="886"/>
      <c r="F325" s="70" t="str">
        <f>+IF(AND(F318=0,F321=0),"OK",IF(OR(F318=0,F321=0),"manca il dato di input", "ok"))</f>
        <v>OK</v>
      </c>
      <c r="G325" s="886"/>
      <c r="H325" s="886"/>
    </row>
    <row r="326" spans="1:17">
      <c r="B326" s="877"/>
      <c r="C326" s="877"/>
      <c r="D326" s="877"/>
      <c r="E326" s="877"/>
      <c r="F326" s="877"/>
      <c r="G326" s="877"/>
      <c r="H326" s="877"/>
      <c r="I326" s="877"/>
      <c r="J326" s="877"/>
      <c r="K326" s="877"/>
    </row>
    <row r="329" spans="1:17">
      <c r="A329"/>
      <c r="I329"/>
      <c r="J329"/>
      <c r="K329"/>
    </row>
    <row r="330" spans="1:17">
      <c r="A330"/>
      <c r="I330"/>
      <c r="J330"/>
      <c r="K330"/>
    </row>
    <row r="331" spans="1:17">
      <c r="A331"/>
      <c r="I331"/>
      <c r="J331"/>
      <c r="K331"/>
    </row>
    <row r="332" spans="1:17">
      <c r="A332"/>
      <c r="I332"/>
      <c r="J332"/>
      <c r="K332"/>
    </row>
    <row r="333" spans="1:17" s="727" customFormat="1" ht="13.5" thickBot="1">
      <c r="A333" s="725" t="s">
        <v>30574</v>
      </c>
      <c r="B333" s="729" t="s">
        <v>30481</v>
      </c>
      <c r="G333" s="1085"/>
      <c r="H333" s="1085"/>
      <c r="I333" s="734"/>
      <c r="J333" s="113"/>
      <c r="K333" s="113"/>
      <c r="L333" s="729"/>
      <c r="Q333" s="734"/>
    </row>
    <row r="334" spans="1:17" ht="15.75" thickTop="1">
      <c r="B334" s="108"/>
      <c r="C334" s="10"/>
      <c r="D334" s="10"/>
      <c r="E334" s="10"/>
      <c r="F334" s="10"/>
      <c r="G334" s="10"/>
      <c r="H334" s="10"/>
    </row>
    <row r="335" spans="1:17">
      <c r="B335" s="108"/>
      <c r="C335" s="10"/>
      <c r="D335" s="10"/>
      <c r="E335" s="10"/>
      <c r="F335" s="10"/>
      <c r="G335" s="10"/>
      <c r="H335" s="10"/>
    </row>
    <row r="336" spans="1:17">
      <c r="B336" s="108"/>
      <c r="C336" s="10"/>
      <c r="D336" s="10"/>
      <c r="E336" s="10"/>
      <c r="F336" s="10"/>
      <c r="G336" s="10"/>
      <c r="H336" s="10"/>
    </row>
    <row r="337" spans="2:8">
      <c r="C337" s="1773">
        <v>2024</v>
      </c>
      <c r="D337" s="1773">
        <v>2025</v>
      </c>
      <c r="E337" s="1771">
        <v>2026</v>
      </c>
      <c r="F337" s="1772">
        <v>2027</v>
      </c>
      <c r="G337" s="1774">
        <v>2028</v>
      </c>
      <c r="H337" s="1774">
        <v>2029</v>
      </c>
    </row>
    <row r="338" spans="2:8">
      <c r="B338" s="1158" t="s">
        <v>31417</v>
      </c>
      <c r="C338" s="900"/>
      <c r="D338" s="900"/>
      <c r="E338" s="900"/>
      <c r="F338" s="427">
        <f>Altri_dati_eco_fin!F58</f>
        <v>0</v>
      </c>
      <c r="G338" s="900"/>
      <c r="H338" s="900"/>
    </row>
    <row r="339" spans="2:8">
      <c r="B339" s="899" t="s">
        <v>25425</v>
      </c>
      <c r="C339" s="900"/>
      <c r="D339" s="900"/>
      <c r="E339" s="900"/>
      <c r="F339" s="427">
        <f>+F338*1.02</f>
        <v>0</v>
      </c>
      <c r="G339" s="900"/>
      <c r="H339" s="900"/>
    </row>
    <row r="340" spans="2:8">
      <c r="B340" s="887" t="s">
        <v>30480</v>
      </c>
      <c r="C340" s="1612"/>
      <c r="D340" s="2683">
        <f>+Dati_Anni_precedenti!F89</f>
        <v>0</v>
      </c>
      <c r="E340" s="1612"/>
      <c r="F340" s="1147">
        <f>+F339-F338</f>
        <v>0</v>
      </c>
      <c r="G340" s="1612"/>
      <c r="H340" s="1612"/>
    </row>
  </sheetData>
  <sheetProtection algorithmName="SHA-512" hashValue="V19n0cBwflxRIs+oJNgwmQiVRTrAR2w4DH/c+EdGv4zU15CGS/BMSO3CPS9mjAvfbGfvtOFL+ijPcOEZNw9RXA==" saltValue="hcFS97OLQcnKlNa5RhEK7Q==" spinCount="100000" sheet="1" objects="1" scenarios="1"/>
  <customSheetViews>
    <customSheetView guid="{849F61E1-F6D3-48F4-A6FF-68F8FE186D80}" scale="85" showGridLines="0" hiddenRows="1" topLeftCell="A149">
      <selection activeCell="B174" sqref="B174"/>
      <pageMargins left="0.7" right="0.7" top="0.75" bottom="0.75" header="0.3" footer="0.3"/>
      <pageSetup paperSize="9" orientation="portrait" r:id="rId1"/>
    </customSheetView>
    <customSheetView guid="{1E1889AA-9C00-49BF-A07E-295053EABBEF}" scale="85" showGridLines="0">
      <pageMargins left="0.7" right="0.7" top="0.75" bottom="0.75" header="0.3" footer="0.3"/>
      <pageSetup paperSize="9" orientation="portrait" r:id="rId2"/>
    </customSheetView>
    <customSheetView guid="{83029BA9-344F-4783-B8F2-6704FB40A582}" scale="85" showGridLines="0" hiddenRows="1" topLeftCell="A146">
      <selection activeCell="F151" sqref="F151"/>
      <pageMargins left="0.7" right="0.7" top="0.75" bottom="0.75" header="0.3" footer="0.3"/>
      <pageSetup paperSize="9" orientation="portrait" r:id="rId3"/>
    </customSheetView>
  </customSheetViews>
  <pageMargins left="0.7" right="0.7" top="0.75" bottom="0.75" header="0.3" footer="0.3"/>
  <pageSetup paperSize="9" orientation="portrait" r:id="rId4"/>
  <drawing r:id="rId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Foglio13">
    <tabColor rgb="FFFFFFE7"/>
  </sheetPr>
  <dimension ref="A1:K48"/>
  <sheetViews>
    <sheetView showGridLines="0" zoomScale="85" zoomScaleNormal="85" workbookViewId="0"/>
  </sheetViews>
  <sheetFormatPr defaultColWidth="9.42578125" defaultRowHeight="15"/>
  <cols>
    <col min="1" max="1" width="19.42578125" style="565" customWidth="1"/>
    <col min="2" max="2" width="37.42578125" customWidth="1"/>
    <col min="3" max="8" width="15.5703125" customWidth="1"/>
    <col min="9" max="9" width="18.42578125" customWidth="1"/>
    <col min="10" max="14" width="15.5703125" customWidth="1"/>
    <col min="15" max="15" width="40.5703125" customWidth="1"/>
  </cols>
  <sheetData>
    <row r="1" spans="1:11" s="77" customFormat="1" ht="25.35" customHeight="1">
      <c r="A1" s="1164"/>
      <c r="G1" s="68"/>
      <c r="H1" s="68"/>
      <c r="I1" s="68"/>
    </row>
    <row r="2" spans="1:11" s="727" customFormat="1" ht="35.1" customHeight="1" thickBot="1">
      <c r="A2" s="1282" t="s">
        <v>30575</v>
      </c>
      <c r="B2" s="1280" t="s">
        <v>27049</v>
      </c>
      <c r="H2" s="728"/>
      <c r="I2" s="728"/>
      <c r="K2" s="728"/>
    </row>
    <row r="3" spans="1:11" s="61" customFormat="1" ht="25.35" customHeight="1" thickTop="1">
      <c r="A3" s="876"/>
      <c r="B3" s="1113"/>
      <c r="G3" s="68"/>
      <c r="H3" s="68"/>
      <c r="I3" s="68"/>
    </row>
    <row r="4" spans="1:11" s="77" customFormat="1" ht="45" customHeight="1">
      <c r="A4" s="877"/>
      <c r="B4" s="1936" t="s">
        <v>30603</v>
      </c>
      <c r="C4" s="1935"/>
      <c r="D4" s="1935"/>
      <c r="E4" s="1935"/>
      <c r="F4" s="1935"/>
      <c r="G4" s="1933"/>
      <c r="H4" s="1934"/>
      <c r="I4" s="68"/>
      <c r="J4" s="1283"/>
    </row>
    <row r="8" spans="1:11">
      <c r="B8" s="68"/>
      <c r="C8" s="1771">
        <v>2024</v>
      </c>
      <c r="D8" s="1772">
        <v>2025</v>
      </c>
      <c r="E8" s="1773">
        <v>2026</v>
      </c>
      <c r="F8" s="1773">
        <v>2027</v>
      </c>
      <c r="G8" s="1774">
        <v>2028</v>
      </c>
      <c r="H8" s="1774">
        <v>2029</v>
      </c>
    </row>
    <row r="9" spans="1:11" ht="25.5">
      <c r="B9" s="1540" t="s">
        <v>29807</v>
      </c>
      <c r="C9" s="1308" t="str">
        <f>+IF(var="","",var)</f>
        <v/>
      </c>
      <c r="D9" s="1937"/>
      <c r="E9" s="1937"/>
      <c r="F9" s="1937"/>
      <c r="G9" s="1937"/>
      <c r="H9" s="1938"/>
    </row>
    <row r="10" spans="1:11" ht="25.5">
      <c r="B10" s="1161" t="s">
        <v>29625</v>
      </c>
      <c r="C10" s="1309" t="str">
        <f>+IF(incid="","",Input_per_calcoli_finali!F26&amp;": "&amp;incid)</f>
        <v/>
      </c>
      <c r="D10" s="1939"/>
      <c r="E10" s="1939"/>
      <c r="F10" s="1939"/>
      <c r="G10" s="1939"/>
      <c r="H10" s="1940"/>
    </row>
    <row r="12" spans="1:11" s="7" customFormat="1">
      <c r="A12" s="735"/>
      <c r="B12" s="1310" t="s">
        <v>27050</v>
      </c>
      <c r="C12" s="2614"/>
      <c r="D12" s="2614"/>
      <c r="E12" s="1311">
        <f>+COUNTIFS(Info_eventuali_aggregazioni!$P:$P,"&gt;0",Info_eventuali_aggregazioni!$L:$L,"&lt;="&amp;E$8)</f>
        <v>0</v>
      </c>
      <c r="F12" s="1311">
        <f>+COUNTIFS(Info_eventuali_aggregazioni!$P:$P,"&gt;0",Info_eventuali_aggregazioni!$L:$L,"&lt;="&amp;F$8)</f>
        <v>0</v>
      </c>
      <c r="G12" s="1311">
        <f>+COUNTIFS(Info_eventuali_aggregazioni!$P:$P,"&gt;0",Info_eventuali_aggregazioni!$L:$L,"&lt;="&amp;G$8)</f>
        <v>0</v>
      </c>
      <c r="H12" s="1311">
        <f>+COUNTIFS(Info_eventuali_aggregazioni!$P:$P,"&gt;0",Info_eventuali_aggregazioni!$L:$L,"&lt;="&amp;H$8)</f>
        <v>0</v>
      </c>
    </row>
    <row r="13" spans="1:11">
      <c r="B13" s="1310" t="s">
        <v>31304</v>
      </c>
      <c r="C13" s="2614"/>
      <c r="D13" s="2614"/>
      <c r="E13" s="2446">
        <f>+SUMIFS(Info_eventuali_aggregazioni!$P:$P,Info_eventuali_aggregazioni!$Q:$Q,"Schema regolatorio di convergenza",Info_eventuali_aggregazioni!$L:$L,"&lt;="&amp;E$8)</f>
        <v>0</v>
      </c>
      <c r="F13" s="2446">
        <f>+SUMIFS(Info_eventuali_aggregazioni!$P:$P,Info_eventuali_aggregazioni!$Q:$Q,"Schema regolatorio di convergenza",Info_eventuali_aggregazioni!$L:$L,"&lt;="&amp;F$8)</f>
        <v>0</v>
      </c>
      <c r="G13" s="2446">
        <f>+SUMIFS(Info_eventuali_aggregazioni!$P:$P,Info_eventuali_aggregazioni!$Q:$Q,"Schema regolatorio di convergenza",Info_eventuali_aggregazioni!$L:$L,"&lt;="&amp;G$8)</f>
        <v>0</v>
      </c>
      <c r="H13" s="2446">
        <f>+SUMIFS(Info_eventuali_aggregazioni!$P:$P,Info_eventuali_aggregazioni!$Q:$Q,"Schema regolatorio di convergenza",Info_eventuali_aggregazioni!$L:$L,"&lt;="&amp;H$8)</f>
        <v>0</v>
      </c>
    </row>
    <row r="14" spans="1:11">
      <c r="B14" s="1737" t="s">
        <v>31327</v>
      </c>
      <c r="C14" s="1737"/>
      <c r="D14" s="1737"/>
      <c r="E14" s="1737"/>
      <c r="F14" s="1737"/>
      <c r="G14" s="1926"/>
      <c r="H14" s="1926"/>
      <c r="J14" s="565"/>
    </row>
    <row r="15" spans="1:11">
      <c r="B15" s="237" t="s">
        <v>31285</v>
      </c>
      <c r="C15" s="2781" t="s">
        <v>133</v>
      </c>
      <c r="D15" s="2782"/>
      <c r="E15" s="2782"/>
      <c r="F15" s="2782"/>
      <c r="G15" s="2782"/>
      <c r="H15" s="2783"/>
      <c r="I15" s="2776" t="s">
        <v>31331</v>
      </c>
    </row>
    <row r="16" spans="1:11" ht="38.25">
      <c r="B16" s="2608" t="s">
        <v>31382</v>
      </c>
      <c r="C16" s="3180" t="s">
        <v>133</v>
      </c>
      <c r="D16" s="3181"/>
      <c r="E16" s="3181"/>
      <c r="F16" s="3181"/>
      <c r="G16" s="3181"/>
      <c r="H16" s="3182"/>
      <c r="I16" s="2776" t="s">
        <v>31331</v>
      </c>
    </row>
    <row r="18" spans="2:10">
      <c r="B18" s="1877" t="s">
        <v>30493</v>
      </c>
      <c r="C18" s="2614"/>
      <c r="D18" s="2614"/>
      <c r="E18" s="1312">
        <f>+IFERROR(D18*E21,"Non applicabile")</f>
        <v>0</v>
      </c>
      <c r="F18" s="1312">
        <f>+IFERROR(E18*F21,"Non applicabile")</f>
        <v>0</v>
      </c>
      <c r="G18" s="1312">
        <f>+IFERROR(F18*G21,"Non applicabile")</f>
        <v>0</v>
      </c>
      <c r="H18" s="1312">
        <f>+IFERROR(G18*H21,"Non applicabile")</f>
        <v>0</v>
      </c>
    </row>
    <row r="19" spans="2:10">
      <c r="B19" s="1227" t="s">
        <v>27051</v>
      </c>
      <c r="C19" s="2614"/>
      <c r="D19" s="2614"/>
      <c r="E19" s="1313">
        <f>+IF(RIGHT($C9,2)&lt;&gt;"c)",IF(RIGHT($C10,2)="SI",1.5,1),"Non applicabile")</f>
        <v>1</v>
      </c>
      <c r="F19" s="1313">
        <f>+IF(RIGHT($C9,2)&lt;&gt;"c)",IF(RIGHT($C10,2)="SI",1.5,1),"Non applicabile")</f>
        <v>1</v>
      </c>
      <c r="G19" s="1313">
        <f>+IF(RIGHT($C9,2)&lt;&gt;"c)",IF(RIGHT($C10,2)="SI",1.5,1),"Non applicabile")</f>
        <v>1</v>
      </c>
      <c r="H19" s="1313">
        <f>+IF(RIGHT($C9,2)&lt;&gt;"c)",IF(RIGHT($C10,2)="SI",1.5,1),"Non applicabile")</f>
        <v>1</v>
      </c>
    </row>
    <row r="20" spans="2:10">
      <c r="B20" s="2377" t="s">
        <v>31302</v>
      </c>
      <c r="C20" s="2614"/>
      <c r="D20" s="2614"/>
      <c r="E20" s="2609">
        <f>IF(RIGHT($C9,2)&lt;&gt;"c)",IF($C$15="","Compilare la cella C15",IF($C$15="SI",7%,4%)),"Non applicabile")</f>
        <v>7.0000000000000007E-2</v>
      </c>
      <c r="F20" s="2609">
        <f>IF(RIGHT($C9,2)&lt;&gt;"c)",IF($C$15="","Compilare la cella C15",IF($C$15="SI",6%,3.5%)),"Non applicabile")</f>
        <v>0.06</v>
      </c>
      <c r="G20" s="2609">
        <f>IF(RIGHT($C9,2)&lt;&gt;"c)",IF($C$15="","Compilare la cella C15",IF($C$15="SI",5%,3%)),"Non applicabile")</f>
        <v>0.05</v>
      </c>
      <c r="H20" s="2609">
        <f>IF(RIGHT($C9,2)&lt;&gt;"c)",IF($C$15="","Compilare la cella C15",IF($C$15="SI",4.5%,2.5%)),"Non applicabile")</f>
        <v>4.4999999999999998E-2</v>
      </c>
    </row>
    <row r="21" spans="2:10">
      <c r="B21" s="2377" t="s">
        <v>31303</v>
      </c>
      <c r="C21" s="2614"/>
      <c r="D21" s="2614"/>
      <c r="E21" s="2610">
        <f>IF($C$15="","Compilare la cella C15",IF(RIGHT($C9,2)&lt;&gt;"c)",1+E19*E20,"Non applicabile"))</f>
        <v>1.07</v>
      </c>
      <c r="F21" s="2610">
        <f>IF($C$15="","Compilare la cella C15",IF(RIGHT($C9,2)&lt;&gt;"c)",1+F19*F20,"Non applicabile"))</f>
        <v>1.06</v>
      </c>
      <c r="G21" s="2610">
        <f>IF($C$15="","Compilare la cella C15",IF(RIGHT($C9,2)&lt;&gt;"c)",1+G19*G20,"Non applicabile"))</f>
        <v>1.05</v>
      </c>
      <c r="H21" s="2610">
        <f>IF($C$15="","Compilare la cella C15",IF(RIGHT($C9,2)&lt;&gt;"c)",1+H19*H20,"Non applicabile"))</f>
        <v>1.0449999999999999</v>
      </c>
    </row>
    <row r="22" spans="2:10">
      <c r="B22" s="565"/>
      <c r="C22" s="565"/>
      <c r="D22" s="565"/>
      <c r="E22" s="565"/>
      <c r="F22" s="565"/>
      <c r="G22" s="565"/>
      <c r="H22" s="565"/>
      <c r="J22" s="565"/>
    </row>
    <row r="23" spans="2:10" ht="15.75">
      <c r="B23" s="1229" t="s">
        <v>27052</v>
      </c>
      <c r="C23" s="2614"/>
      <c r="D23" s="2614"/>
      <c r="E23" s="2614"/>
      <c r="F23" s="2614"/>
      <c r="G23" s="2614"/>
      <c r="H23" s="2778"/>
      <c r="J23" s="565"/>
    </row>
    <row r="24" spans="2:10">
      <c r="B24" s="237" t="s">
        <v>27055</v>
      </c>
      <c r="C24" s="2614"/>
      <c r="D24" s="2614"/>
      <c r="E24" s="427">
        <f>++SUMIF(Ricavi_bacini_tariffari!C:C,"Bacino tariffario schema di convergenza",Ricavi_bacini_tariffari!P:P)</f>
        <v>0</v>
      </c>
      <c r="F24" s="427">
        <f>+SUMIF(Ricavi_bacini_tariffari!C:C,"Bacino tariffario schema di convergenza",Ricavi_bacini_tariffari!Q:Q)</f>
        <v>0</v>
      </c>
      <c r="G24" s="427">
        <f>+F24</f>
        <v>0</v>
      </c>
      <c r="H24" s="427">
        <f>+G24</f>
        <v>0</v>
      </c>
    </row>
    <row r="25" spans="2:10" ht="25.5">
      <c r="B25" s="1737" t="s">
        <v>30576</v>
      </c>
      <c r="C25" s="1737"/>
      <c r="D25" s="1737"/>
      <c r="E25" s="1737"/>
      <c r="F25" s="1737"/>
      <c r="G25" s="1926"/>
      <c r="H25" s="1926"/>
      <c r="J25" s="565"/>
    </row>
    <row r="26" spans="2:10" ht="15.75">
      <c r="B26" s="1229" t="s">
        <v>27053</v>
      </c>
      <c r="C26" s="2614"/>
      <c r="D26" s="2614"/>
      <c r="E26" s="2611" t="str">
        <f>+IF(RIGHT($C9,2)="c)",E27+E29,"Non applicabile")</f>
        <v>Non applicabile</v>
      </c>
      <c r="F26" s="2611" t="str">
        <f>+IF(RIGHT($C9,2)="c)",F27+F29,"Non applicabile")</f>
        <v>Non applicabile</v>
      </c>
      <c r="G26" s="2611" t="str">
        <f>+IF(RIGHT($C9,2)="c)",G27+G29,"Non applicabile")</f>
        <v>Non applicabile</v>
      </c>
      <c r="H26" s="2611" t="str">
        <f>+IF(RIGHT($C9,2)="c)",H27+H29,"Non applicabile")</f>
        <v>Non applicabile</v>
      </c>
      <c r="J26" s="565"/>
    </row>
    <row r="27" spans="2:10" ht="15.75">
      <c r="B27" s="1314" t="s">
        <v>27054</v>
      </c>
      <c r="C27" s="2614"/>
      <c r="D27" s="2614"/>
      <c r="E27" s="2612" t="str">
        <f>+IF(RIGHT($C9,2)="c)",MAX(0.16*E29-IF($C16="SI",E28,0),0),"Non applicabile")</f>
        <v>Non applicabile</v>
      </c>
      <c r="F27" s="2612" t="str">
        <f>+IF(RIGHT($C9,2)="c)",MAX(0.16*F29-IF($C16="SI",F28,0),0),"Non applicabile")</f>
        <v>Non applicabile</v>
      </c>
      <c r="G27" s="2612" t="str">
        <f>+IF(RIGHT($C9,2)="c)",MAX(0.16*G29-IF($C16="SI",G28,0),0),"Non applicabile")</f>
        <v>Non applicabile</v>
      </c>
      <c r="H27" s="2612" t="str">
        <f>+IF(RIGHT($C9,2)="c)",MAX(0.16*H29-IF($C16="SI",H28,0),0),"Non applicabile")</f>
        <v>Non applicabile</v>
      </c>
    </row>
    <row r="28" spans="2:10" ht="28.5">
      <c r="B28" s="2775" t="s">
        <v>31474</v>
      </c>
      <c r="C28" s="2774"/>
      <c r="D28" s="2774"/>
      <c r="E28" s="2779">
        <f>Affidamento!E24</f>
        <v>0</v>
      </c>
      <c r="F28" s="2779">
        <f>Affidamento!F24</f>
        <v>0</v>
      </c>
      <c r="G28" s="2779">
        <f>Affidamento!G24</f>
        <v>0</v>
      </c>
      <c r="H28" s="2779">
        <f>Affidamento!H24</f>
        <v>0</v>
      </c>
    </row>
    <row r="29" spans="2:10" ht="15.75">
      <c r="B29" s="897" t="s">
        <v>31286</v>
      </c>
      <c r="C29" s="2614"/>
      <c r="D29" s="2614"/>
      <c r="E29" s="2613" t="str">
        <f>+IF(AND(RIGHT($C9,2)="c)",($C$16="NO")),74*1.1*E13,IF(AND(RIGHT($C9,2)="c)",($C$16="SI")),MAX(116*1.1*E13-E30,0),"Non applicabile"))</f>
        <v>Non applicabile</v>
      </c>
      <c r="F29" s="2613" t="str">
        <f>+IF(AND(RIGHT($C9,2)="c)",($C$16="NO")),74*1.1*F13,IF(AND(RIGHT($C9,2)="c)",($C$16="SI")),MAX(116*1.1*F13-F30,0),"Non applicabile"))</f>
        <v>Non applicabile</v>
      </c>
      <c r="G29" s="2613" t="str">
        <f>+IF(AND(RIGHT($C9,2)="c)",($C$16="NO")),74*1.1*G13,IF(AND(RIGHT($C9,2)="c)",($C$16="SI")),MAX(116*1.1*G13-G30,0),"Non applicabile"))</f>
        <v>Non applicabile</v>
      </c>
      <c r="H29" s="2613" t="str">
        <f>+IF(AND(RIGHT($C9,2)="c)",($C$16="NO")),74*1.1*H13,IF(AND(RIGHT($C9,2)="c)",($C$16="SI")),MAX(116*1.1*H13-H30,0),"Non applicabile"))</f>
        <v>Non applicabile</v>
      </c>
    </row>
    <row r="30" spans="2:10" ht="29.25">
      <c r="B30" s="2777" t="s">
        <v>31475</v>
      </c>
      <c r="C30" s="2614"/>
      <c r="D30" s="2614"/>
      <c r="E30" s="2780">
        <f>Affidamento!E25</f>
        <v>0</v>
      </c>
      <c r="F30" s="2780">
        <f>Affidamento!F25</f>
        <v>0</v>
      </c>
      <c r="G30" s="2780">
        <f>Affidamento!G25</f>
        <v>0</v>
      </c>
      <c r="H30" s="2780">
        <f>Affidamento!H25</f>
        <v>0</v>
      </c>
      <c r="I30" s="2776"/>
    </row>
    <row r="33" spans="2:10" hidden="1">
      <c r="B33" s="39"/>
      <c r="D33" s="69"/>
      <c r="E33" s="69"/>
      <c r="F33" s="69"/>
      <c r="G33" s="138"/>
      <c r="H33" s="138"/>
      <c r="J33" s="10"/>
    </row>
    <row r="34" spans="2:10" hidden="1">
      <c r="E34" s="10"/>
      <c r="F34" s="238"/>
      <c r="J34" s="10"/>
    </row>
    <row r="35" spans="2:10" hidden="1">
      <c r="D35" s="680"/>
      <c r="E35" s="10"/>
      <c r="F35" s="39"/>
      <c r="G35" s="138"/>
      <c r="H35" s="138"/>
      <c r="J35" s="10"/>
    </row>
    <row r="36" spans="2:10" hidden="1">
      <c r="F36" s="238"/>
      <c r="J36" s="10"/>
    </row>
    <row r="37" spans="2:10" hidden="1">
      <c r="D37" s="680"/>
      <c r="F37" s="39"/>
      <c r="G37" s="138"/>
      <c r="H37" s="138"/>
    </row>
    <row r="38" spans="2:10" hidden="1"/>
    <row r="39" spans="2:10" hidden="1">
      <c r="D39" s="681"/>
      <c r="F39" s="39"/>
      <c r="G39" s="252"/>
      <c r="H39" s="252"/>
    </row>
    <row r="40" spans="2:10" hidden="1"/>
    <row r="43" spans="2:10">
      <c r="C43" s="718"/>
      <c r="E43" s="7"/>
      <c r="F43" s="7"/>
      <c r="G43" s="7"/>
      <c r="H43" s="7"/>
    </row>
    <row r="44" spans="2:10">
      <c r="E44" s="7"/>
      <c r="F44" s="7"/>
      <c r="G44" s="7"/>
      <c r="H44" s="7"/>
    </row>
    <row r="48" spans="2:10">
      <c r="C48" s="7"/>
    </row>
  </sheetData>
  <sheetProtection algorithmName="SHA-512" hashValue="aCKy3cAl/HwKNsFLY+lB4w71MMTK2Bb4xB9dqXFsn+GFKUJK/8m9zz6UO5GIgf3+bHEU2L7/U7VF+2JAUXGtZQ==" saltValue="+ZC4FF3Cdlb+LeOs/DjsEw==" spinCount="100000" sheet="1" objects="1" scenarios="1"/>
  <customSheetViews>
    <customSheetView guid="{849F61E1-F6D3-48F4-A6FF-68F8FE186D80}" scale="85" showGridLines="0" hiddenRows="1">
      <pageMargins left="0.7" right="0.7" top="0.75" bottom="0.75" header="0.3" footer="0.3"/>
    </customSheetView>
    <customSheetView guid="{1E1889AA-9C00-49BF-A07E-295053EABBEF}" scale="85" showGridLines="0">
      <pageMargins left="0.7" right="0.7" top="0.75" bottom="0.75" header="0.3" footer="0.3"/>
    </customSheetView>
    <customSheetView guid="{83029BA9-344F-4783-B8F2-6704FB40A582}" scale="85" showGridLines="0" hiddenRows="1">
      <pageMargins left="0.7" right="0.7" top="0.75" bottom="0.75" header="0.3" footer="0.3"/>
    </customSheetView>
  </customSheetViews>
  <dataValidations count="1">
    <dataValidation type="list" allowBlank="1" showInputMessage="1" showErrorMessage="1" sqref="C15:C16" xr:uid="{0A5BFD58-2E82-4596-B789-694557038DBB}">
      <formula1>si_no</formula1>
    </dataValidation>
  </dataValidations>
  <pageMargins left="0.7" right="0.7" top="0.75" bottom="0.75" header="0.3" footer="0.3"/>
  <pageSetup paperSize="9"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Foglio12">
    <tabColor rgb="FFC5D9F1"/>
  </sheetPr>
  <dimension ref="A1:Z253"/>
  <sheetViews>
    <sheetView showGridLines="0" zoomScale="85" zoomScaleNormal="85" workbookViewId="0">
      <pane ySplit="6" topLeftCell="A7" activePane="bottomLeft" state="frozen"/>
      <selection pane="bottomLeft" activeCell="A2" sqref="A2"/>
    </sheetView>
  </sheetViews>
  <sheetFormatPr defaultColWidth="9.42578125" defaultRowHeight="15" customHeight="1" outlineLevelRow="1"/>
  <cols>
    <col min="1" max="3" width="8.5703125" style="3329" customWidth="1"/>
    <col min="4" max="4" width="6.28515625" style="3329" customWidth="1"/>
    <col min="5" max="5" width="10.5703125" style="3329" customWidth="1"/>
    <col min="6" max="6" width="49.5703125" style="3330" customWidth="1"/>
    <col min="7" max="7" width="15.5703125" style="3329" customWidth="1"/>
    <col min="8" max="8" width="16.7109375" style="3329" customWidth="1"/>
    <col min="9" max="14" width="18.42578125" style="3329" customWidth="1"/>
    <col min="15" max="15" width="31.5703125" style="3331" bestFit="1" customWidth="1"/>
    <col min="16" max="16" width="9.42578125" style="3329" customWidth="1"/>
    <col min="17" max="17" width="12.42578125" style="3329" customWidth="1"/>
    <col min="18" max="18" width="21" style="3329" bestFit="1" customWidth="1"/>
    <col min="19" max="20" width="6.5703125" style="3329" customWidth="1"/>
    <col min="21" max="21" width="2.42578125" style="3329" customWidth="1"/>
    <col min="22" max="22" width="42.42578125" style="3329" customWidth="1"/>
    <col min="23" max="23" width="6.5703125" style="3329" customWidth="1"/>
    <col min="24" max="24" width="9.42578125" style="3329" customWidth="1"/>
    <col min="25" max="25" width="6.5703125" style="3329" customWidth="1"/>
    <col min="26" max="26" width="42.42578125" style="3329" customWidth="1"/>
    <col min="27" max="27" width="9.42578125" style="3329" customWidth="1"/>
    <col min="28" max="28" width="16.5703125" style="3329" customWidth="1"/>
    <col min="29" max="34" width="9.42578125" style="3329" customWidth="1"/>
    <col min="35" max="16384" width="9.42578125" style="3329"/>
  </cols>
  <sheetData>
    <row r="1" spans="1:20" ht="25.35" hidden="1" customHeight="1">
      <c r="O1" s="3331" t="str">
        <f>+O55</f>
        <v/>
      </c>
    </row>
    <row r="2" spans="1:20" ht="25.35" customHeight="1">
      <c r="A2" s="477"/>
      <c r="R2" s="3332" t="s">
        <v>26549</v>
      </c>
    </row>
    <row r="3" spans="1:20" ht="15" customHeight="1">
      <c r="P3" s="3333"/>
      <c r="R3" s="3334" t="b">
        <f ca="1">+O245&lt;&gt;"Compilazione conclusa!"</f>
        <v>1</v>
      </c>
      <c r="T3" s="3333"/>
    </row>
    <row r="4" spans="1:20" ht="51.75" customHeight="1">
      <c r="F4" s="3335"/>
      <c r="G4" s="3336" t="s">
        <v>30452</v>
      </c>
      <c r="H4" s="3337"/>
      <c r="I4" s="3337"/>
      <c r="J4" s="3337"/>
      <c r="K4" s="3337"/>
      <c r="L4" s="3337"/>
      <c r="M4" s="3337"/>
      <c r="N4" s="3337"/>
      <c r="O4" s="3337"/>
    </row>
    <row r="5" spans="1:20" ht="15" customHeight="1">
      <c r="F5" s="3335"/>
      <c r="G5" s="1013"/>
      <c r="H5" s="1013"/>
      <c r="I5" s="1013"/>
      <c r="J5" s="1013"/>
      <c r="K5" s="1013"/>
      <c r="L5" s="1013"/>
      <c r="M5" s="1013"/>
      <c r="N5" s="1013"/>
      <c r="O5" s="3338"/>
    </row>
    <row r="6" spans="1:20" ht="40.35" customHeight="1">
      <c r="F6" s="3335"/>
      <c r="G6" s="3339" t="s">
        <v>29766</v>
      </c>
      <c r="H6" s="3340"/>
      <c r="I6" s="3341"/>
      <c r="J6" s="3342"/>
      <c r="K6" s="3342" t="s">
        <v>22819</v>
      </c>
      <c r="L6" s="3343"/>
      <c r="M6" s="3342"/>
      <c r="N6" s="3342"/>
      <c r="O6" s="3344" t="s">
        <v>26987</v>
      </c>
    </row>
    <row r="7" spans="1:20" ht="15" customHeight="1">
      <c r="F7" s="3335"/>
      <c r="G7" s="3328"/>
      <c r="H7" s="3328"/>
      <c r="I7"/>
      <c r="J7"/>
      <c r="K7"/>
      <c r="L7"/>
      <c r="M7"/>
      <c r="N7"/>
      <c r="O7" s="1619"/>
    </row>
    <row r="8" spans="1:20" ht="30" customHeight="1">
      <c r="F8" s="3335"/>
      <c r="G8" s="1013"/>
      <c r="H8" s="1013"/>
      <c r="I8" s="3345" t="s">
        <v>24727</v>
      </c>
      <c r="J8" s="3346"/>
      <c r="K8" s="3345"/>
      <c r="L8" s="3347"/>
      <c r="M8" s="3347"/>
      <c r="N8" s="3346"/>
      <c r="O8" s="3338"/>
    </row>
    <row r="9" spans="1:20" ht="15" customHeight="1">
      <c r="F9" s="3335"/>
      <c r="G9" s="3328"/>
      <c r="H9" s="3328"/>
      <c r="I9"/>
      <c r="J9"/>
      <c r="K9"/>
      <c r="L9"/>
      <c r="M9"/>
      <c r="N9"/>
      <c r="O9" s="1619"/>
    </row>
    <row r="10" spans="1:20" ht="15" customHeight="1">
      <c r="F10" s="3335"/>
      <c r="G10" s="3328"/>
      <c r="H10" s="3328"/>
      <c r="I10"/>
      <c r="J10"/>
      <c r="K10"/>
      <c r="L10"/>
      <c r="M10"/>
      <c r="N10"/>
      <c r="O10" s="1619"/>
    </row>
    <row r="11" spans="1:20" ht="12.75">
      <c r="F11" s="3335"/>
      <c r="G11" s="3639" t="s">
        <v>26986</v>
      </c>
      <c r="H11" s="3649"/>
      <c r="I11" s="3348"/>
      <c r="J11" s="3349"/>
      <c r="K11" s="3350" t="s">
        <v>30445</v>
      </c>
      <c r="L11" s="3350"/>
      <c r="M11" s="3350"/>
      <c r="N11" s="3351"/>
      <c r="O11" s="3338"/>
    </row>
    <row r="12" spans="1:20" ht="41.65" customHeight="1">
      <c r="F12" s="3352" t="s">
        <v>31188</v>
      </c>
      <c r="G12" s="3642" t="s">
        <v>31394</v>
      </c>
      <c r="H12" s="3643"/>
      <c r="I12" s="3353"/>
      <c r="J12" s="3349"/>
      <c r="K12" s="2750"/>
      <c r="L12" s="3354"/>
      <c r="M12" s="3354"/>
      <c r="N12" s="3354"/>
      <c r="O12" s="3355" t="str">
        <f>+IF(K12="","&lt;-- Iniziare da qui la compilazione",IF(OR(K12="SI",K12="NO"),"OK, continuare la compilazione","Compilare correttamente il campo"))</f>
        <v>&lt;-- Iniziare da qui la compilazione</v>
      </c>
    </row>
    <row r="13" spans="1:20" ht="15" customHeight="1">
      <c r="F13" s="3352" t="s">
        <v>277</v>
      </c>
      <c r="G13" s="3664" t="s">
        <v>25128</v>
      </c>
      <c r="H13" s="3665"/>
      <c r="I13" s="3356"/>
      <c r="J13" s="3357"/>
      <c r="K13" s="3358" t="str">
        <f>+IF(AND(Affidamento!E2&lt;&gt;"",LEFT(O12,2)="OK"),Affidamento!E2,"")</f>
        <v/>
      </c>
      <c r="L13" s="3359"/>
      <c r="M13" s="3359"/>
      <c r="N13" s="3359"/>
      <c r="O13" s="3355" t="str">
        <f>++IF(LEFT(O12,2)="OK",+IF(K13&lt;&gt;"","OK, continuare la compilazione","Compilare il campo"),"")</f>
        <v/>
      </c>
    </row>
    <row r="14" spans="1:20" ht="27.75" customHeight="1">
      <c r="F14" s="3352" t="s">
        <v>278</v>
      </c>
      <c r="G14" s="3666"/>
      <c r="H14" s="3667"/>
      <c r="I14" s="3357"/>
      <c r="J14" s="3357"/>
      <c r="K14" s="3360" t="str">
        <f>+IF(OR(K13="",Affidamento!E3=""),"",Affidamento!E3)</f>
        <v/>
      </c>
      <c r="L14" s="3361"/>
      <c r="M14" s="3361"/>
      <c r="N14" s="3361"/>
      <c r="O14" s="3355" t="str">
        <f>++IF(AND(LEFT(O13,2)="OK",K13="Affidamento del SII"),+IF(LEN(K14)=5,"OK, continuare la compilazione","Compilare correttamente il campo. 
Formato data: gg/mm/aaaa"),IF(K13="","","OK, compilare o continuare la compilazione (formato gg/mm/aaaa)"))</f>
        <v/>
      </c>
    </row>
    <row r="15" spans="1:20" ht="25.35" customHeight="1">
      <c r="F15" s="3352" t="s">
        <v>279</v>
      </c>
      <c r="G15" s="3666"/>
      <c r="H15" s="3667"/>
      <c r="I15" s="3357"/>
      <c r="J15" s="3357"/>
      <c r="K15" s="3360" t="str">
        <f>+IF(OR(Affidamento!E4="",K14=""),"",Affidamento!E4)</f>
        <v/>
      </c>
      <c r="L15" s="3361"/>
      <c r="M15" s="3361"/>
      <c r="N15" s="3361"/>
      <c r="O15" s="3355" t="str">
        <f>++IF(AND(LEFT(O14,2)="OK",K13="Affidamento del SII"),+IF(LEN(K15)=5,"OK, continuare la compilazione","Compilare correttamente il campo. 
Formato data: gg/mm/aaaa"),IF(AND(LEFT(O14,2)="OK",K13="Affidamento del SII",K15=""),"Compilare il campo",IF(LEFT(O14,2)="OK","OK, compilare o continuare la compilazione (formato gg/mm/aaaa)","")))</f>
        <v/>
      </c>
    </row>
    <row r="16" spans="1:20" ht="15" customHeight="1">
      <c r="F16" s="3352" t="s">
        <v>280</v>
      </c>
      <c r="G16" s="3666"/>
      <c r="H16" s="3667"/>
      <c r="I16" s="3357"/>
      <c r="J16" s="3357"/>
      <c r="K16" s="3358" t="str">
        <f>+IF(OR(Affidamento!E5="",K15=""),"",Affidamento!E5)</f>
        <v/>
      </c>
      <c r="L16" s="3359"/>
      <c r="M16" s="3359"/>
      <c r="N16" s="3359"/>
      <c r="O16" s="3355" t="str">
        <f>++IF(LEFT(O15,2)="OK",+IF(OR(K16="SI",K16="NO"),"OK, continuare la compilazione","Compilare correttamente il campo"),"")</f>
        <v/>
      </c>
    </row>
    <row r="17" spans="1:24" ht="25.5">
      <c r="F17" s="3352" t="s">
        <v>31210</v>
      </c>
      <c r="G17" s="3666"/>
      <c r="H17" s="3667"/>
      <c r="I17" s="3357"/>
      <c r="J17" s="3362"/>
      <c r="K17" s="3359" t="str">
        <f>+IF(OR(Affidamento!E6="",K16=""),"",Affidamento!E6)</f>
        <v/>
      </c>
      <c r="L17" s="3359"/>
      <c r="M17" s="3359"/>
      <c r="N17" s="3359"/>
      <c r="O17" s="3355" t="str">
        <f>++IF(LEFT(O16,2)="OK",+IF(OR(K17="SI",K17="NO"),"OK, continuare la compilazione","Compilare correttamente il campo"),"")</f>
        <v/>
      </c>
    </row>
    <row r="18" spans="1:24" ht="28.5" customHeight="1">
      <c r="F18" s="3352" t="s">
        <v>25127</v>
      </c>
      <c r="G18" s="3666"/>
      <c r="H18" s="3667"/>
      <c r="I18" s="3356"/>
      <c r="J18" s="3357"/>
      <c r="K18" s="3358" t="str">
        <f>+IF(OR(Affidamento!E7="",K17=""),"",Affidamento!E7)</f>
        <v/>
      </c>
      <c r="L18" s="3359"/>
      <c r="M18" s="3359"/>
      <c r="N18" s="3359"/>
      <c r="O18" s="3355" t="str">
        <f>++IF(LEFT(O17,2)="OK",+IF(OR(K18="SI",K18="NO"),"OK, continuare la compilazione","Compilare correttamente il campo"),"")</f>
        <v/>
      </c>
    </row>
    <row r="19" spans="1:24" ht="36.75" customHeight="1">
      <c r="F19" s="3352" t="s">
        <v>31834</v>
      </c>
      <c r="G19" s="3668"/>
      <c r="H19" s="3669"/>
      <c r="I19" s="3363"/>
      <c r="J19" s="3362"/>
      <c r="K19" s="3358" t="str">
        <f>+IF(OR(Affidamento!E8="",K18=""),"",Affidamento!E8)</f>
        <v/>
      </c>
      <c r="L19" s="3359"/>
      <c r="M19" s="3359"/>
      <c r="N19" s="3359"/>
      <c r="O19" s="3355" t="str">
        <f>++IF(LEFT(O18,2)="OK",+IF(OR(K19="SI",K19="NO"),"OK, continuare la compilazione","Compilare correttamente il campo"),"")</f>
        <v/>
      </c>
    </row>
    <row r="20" spans="1:24" ht="15" customHeight="1">
      <c r="F20"/>
      <c r="G20"/>
      <c r="H20"/>
      <c r="I20"/>
      <c r="J20"/>
      <c r="K20"/>
      <c r="L20"/>
      <c r="M20"/>
      <c r="N20"/>
      <c r="O20"/>
    </row>
    <row r="21" spans="1:24" ht="15" customHeight="1">
      <c r="F21" s="3335"/>
      <c r="G21" s="3328"/>
      <c r="H21" s="3328"/>
      <c r="I21"/>
      <c r="J21"/>
      <c r="K21"/>
      <c r="L21"/>
      <c r="M21"/>
      <c r="N21"/>
      <c r="O21" s="1619"/>
    </row>
    <row r="22" spans="1:24" ht="30" customHeight="1">
      <c r="A22" s="3364"/>
      <c r="F22" s="3335"/>
      <c r="G22" s="1013"/>
      <c r="H22" s="1013"/>
      <c r="I22" s="3345" t="s">
        <v>26489</v>
      </c>
      <c r="J22" s="3346"/>
      <c r="K22" s="3345"/>
      <c r="L22" s="3347"/>
      <c r="M22" s="3347"/>
      <c r="N22" s="3346"/>
      <c r="O22" s="3338"/>
    </row>
    <row r="23" spans="1:24" ht="15" customHeight="1">
      <c r="F23" s="3335"/>
      <c r="G23" s="1013"/>
      <c r="H23" s="1013"/>
      <c r="I23" s="1013"/>
      <c r="J23" s="1013"/>
      <c r="K23" s="1013"/>
      <c r="L23" s="1013"/>
      <c r="M23" s="1013"/>
      <c r="N23" s="1013"/>
      <c r="O23" s="3338"/>
    </row>
    <row r="24" spans="1:24" ht="15" customHeight="1">
      <c r="F24" s="3335"/>
      <c r="G24" s="3639" t="s">
        <v>26986</v>
      </c>
      <c r="H24" s="3649"/>
      <c r="I24" s="3348"/>
      <c r="J24" s="3349"/>
      <c r="K24" s="3350" t="s">
        <v>30445</v>
      </c>
      <c r="L24" s="3365"/>
      <c r="M24" s="3365"/>
      <c r="N24" s="3365"/>
      <c r="O24" s="3338"/>
    </row>
    <row r="25" spans="1:24" ht="15" customHeight="1">
      <c r="F25" s="3366" t="s">
        <v>27046</v>
      </c>
      <c r="G25" s="3627" t="s">
        <v>31393</v>
      </c>
      <c r="H25" s="3628"/>
      <c r="I25" s="3348"/>
      <c r="J25" s="3349"/>
      <c r="K25" s="2751"/>
      <c r="L25" s="3354"/>
      <c r="M25" s="3354"/>
      <c r="N25" s="3354"/>
      <c r="O25" s="3367" t="str">
        <f>+IF(AND(K25="Matrice di schemi regolatori",LEFT(O19,2)="OK"),"OK, continuare la compilazione",IF(AND(LEFT(O19,2)="OK",K25&lt;&gt;""),"Schema regolatorio di convergenza",IF(AND(LEFT(O19,2)="OK",K25=""),"&lt;--- Continuare da qui la compilazione","")))</f>
        <v/>
      </c>
    </row>
    <row r="26" spans="1:24" ht="25.35" customHeight="1">
      <c r="F26" s="3368" t="s">
        <v>27048</v>
      </c>
      <c r="G26" s="3629"/>
      <c r="H26" s="3630"/>
      <c r="I26" s="3348"/>
      <c r="J26" s="3349"/>
      <c r="K26" s="2752"/>
      <c r="L26" s="3354"/>
      <c r="M26" s="3354"/>
      <c r="N26" s="3354"/>
      <c r="O26" s="3355" t="str">
        <f>+IF(AND(LEFT(O25,2)&lt;&gt;"OK",LEFT(O25,2)&lt;&gt;"&lt;-"),IF(K26&lt;&gt;"","OK, continuare la compilazione",IF(AND(LEFT(O25,2)&lt;&gt;"OK",K25="Schema regolatorio di convergenza"),"&lt;--- Continuare da qui la compilazione",IF(O25="","","OK, continuare la compilazione (il campo non va compilato)"))),"")</f>
        <v/>
      </c>
    </row>
    <row r="27" spans="1:24" ht="36" customHeight="1">
      <c r="F27" s="3368" t="s">
        <v>27047</v>
      </c>
      <c r="G27" s="3629"/>
      <c r="H27" s="3630"/>
      <c r="I27" s="3348"/>
      <c r="J27" s="3349"/>
      <c r="K27" s="2753"/>
      <c r="L27" s="3354"/>
      <c r="M27" s="3354"/>
      <c r="N27" s="3354"/>
      <c r="O27" s="3355" t="str">
        <f>+IF(OR(K25&lt;&gt;"Schema regolatorio di convergenza",LEFT(O26,4)="&lt;---"),"",IF(AND(K25="Schema regolatorio di convergenza",LEFT(O26,2)="OK",var=""),"&lt;--- Continuare da qui la compilazione",IF(AND(K25="Schema regolatorio di convergenza",LEFT(O26,2)="OK",var&lt;&gt;""),"OK, compilazione completata!","")))</f>
        <v/>
      </c>
    </row>
    <row r="28" spans="1:24" ht="25.5">
      <c r="F28" s="3366" t="s">
        <v>31444</v>
      </c>
      <c r="G28" s="3631"/>
      <c r="H28" s="3632"/>
      <c r="I28" s="3348"/>
      <c r="J28" s="3349"/>
      <c r="K28" s="2751"/>
      <c r="L28" s="3354"/>
      <c r="M28" s="3354"/>
      <c r="N28" s="3354"/>
      <c r="O28" s="3355" t="str">
        <f>+IF(LEFT(O25,2)&lt;&gt;"OK","",IF(AND(LEFT(O25,2)="OK",integr=""),"&lt;--- Continuare da qui la compilazione","OK, continuare la compilazione"))</f>
        <v/>
      </c>
    </row>
    <row r="29" spans="1:24" ht="31.5" customHeight="1">
      <c r="F29"/>
      <c r="G29"/>
      <c r="H29"/>
      <c r="I29"/>
      <c r="J29"/>
      <c r="K29"/>
      <c r="L29"/>
      <c r="M29"/>
      <c r="N29"/>
      <c r="O29" s="1619"/>
    </row>
    <row r="30" spans="1:24" s="3364" customFormat="1" ht="15" customHeight="1">
      <c r="E30" s="3329"/>
      <c r="F30" s="3352" t="s">
        <v>31451</v>
      </c>
      <c r="G30" s="3658" t="s">
        <v>32820</v>
      </c>
      <c r="H30" s="3659"/>
      <c r="I30" s="3369">
        <f>+Dati_Anni_precedenti!E33</f>
        <v>0</v>
      </c>
      <c r="J30" s="3369">
        <f>+Dati_Anni_precedenti!F33</f>
        <v>0</v>
      </c>
      <c r="K30" s="3370">
        <f>+K31*IF(OR(RIGHT($O$31,1)=")",LEFT($O$28,2)&lt;&gt;"OK",$O$31=""),0,1)+K32*IF(OR(RIGHT($O$32,1)=")",LEFT($O$28,2)&lt;&gt;"OK",$O$32=""),0,1)+K33*IF(OR(RIGHT($O$33,1)=")",LEFT($O$28,2)&lt;&gt;"OK",$O$33=""),0,1)+K34*IF(OR(RIGHT($O$34,1)=")",LEFT($O$28,2)&lt;&gt;"OK",$O$34=""),0,1)</f>
        <v>0</v>
      </c>
      <c r="L30" s="3370">
        <f t="shared" ref="L30:N30" si="0">+L31*IF(OR(RIGHT($O$31,1)=")",LEFT($O$28,2)&lt;&gt;"OK",$O$31=""),0,1)+L32*IF(OR(RIGHT($O$32,1)=")",LEFT($O$28,2)&lt;&gt;"OK",$O$32=""),0,1)+L33*IF(OR(RIGHT($O$33,1)=")",LEFT($O$28,2)&lt;&gt;"OK",$O$33=""),0,1)+L34*IF(OR(RIGHT($O$34,1)=")",LEFT($O$28,2)&lt;&gt;"OK",$O$34=""),0,1)</f>
        <v>0</v>
      </c>
      <c r="M30" s="3370">
        <f t="shared" si="0"/>
        <v>0</v>
      </c>
      <c r="N30" s="3370">
        <f t="shared" si="0"/>
        <v>0</v>
      </c>
      <c r="O30" s="3355"/>
      <c r="V30" s="3329"/>
      <c r="W30" s="3329"/>
    </row>
    <row r="31" spans="1:24" s="3364" customFormat="1" ht="25.35" customHeight="1">
      <c r="E31" s="3329"/>
      <c r="F31" s="3371" t="s">
        <v>30511</v>
      </c>
      <c r="G31" s="3660"/>
      <c r="H31" s="3661"/>
      <c r="I31" s="3348"/>
      <c r="J31" s="3348"/>
      <c r="K31" s="2754"/>
      <c r="L31" s="2754"/>
      <c r="M31" s="2754"/>
      <c r="N31" s="2754"/>
      <c r="O31" s="3355" t="str">
        <f>+IF(AND(LEFT(O$28,2)="OK",OR(integr="integrazione territorio",integr="entrambi"),OR(K31="",L31="",M31="",N31="")),"&lt;--- Continuare da qui la compilazione (compilare tutti i campi)",IF(AND(LEFT(O$28,2)="OK",integr&lt;&gt;"integrazione territorio",integr&lt;&gt;"entrambi"),"OK, continuare la compilazione (il campo non va compilato)",IF(AND(K31&lt;&gt;"",L31&lt;&gt;"",M31&lt;&gt;"",N31&lt;&gt;"",LEFT(O$28,2)="OK"),"OK, continuare la compilazione","")))</f>
        <v/>
      </c>
      <c r="V31" s="3329"/>
      <c r="W31" s="3329"/>
      <c r="X31" s="3329"/>
    </row>
    <row r="32" spans="1:24" s="3364" customFormat="1" ht="25.35" customHeight="1">
      <c r="E32" s="3329"/>
      <c r="F32" s="3352" t="s">
        <v>30512</v>
      </c>
      <c r="G32" s="3660"/>
      <c r="H32" s="3661"/>
      <c r="I32" s="3348"/>
      <c r="J32" s="3348"/>
      <c r="K32" s="2754"/>
      <c r="L32" s="2754"/>
      <c r="M32" s="2754"/>
      <c r="N32" s="2754"/>
      <c r="O32" s="3355" t="str">
        <f>+IF(AND(LEFT(O$28,2)="OK",OR(integr="integrazione territorio",integr="entrambi"),OR(K32="",L32="",M32="",N32="")),"&lt;--- Continuare da qui la compilazione (compilare tutti i campi)",IF(AND(LEFT(O$28,2)="OK",integr&lt;&gt;"integrazione territorio",integr&lt;&gt;"entrambi"),"OK, continuare la compilazione (il campo non va compilato)",IF(AND(K32&lt;&gt;"",L32&lt;&gt;"",M32&lt;&gt;"",N32&lt;&gt;"",LEFT(O$28,2)="OK"),"OK, continuare la compilazione","")))</f>
        <v/>
      </c>
      <c r="V32" s="3329"/>
      <c r="W32" s="3329"/>
      <c r="X32" s="3329"/>
    </row>
    <row r="33" spans="1:25" s="3364" customFormat="1" ht="25.35" customHeight="1">
      <c r="E33" s="3329"/>
      <c r="F33" s="3352" t="s">
        <v>30513</v>
      </c>
      <c r="G33" s="3660"/>
      <c r="H33" s="3661"/>
      <c r="I33" s="3348"/>
      <c r="J33" s="3348"/>
      <c r="K33" s="2754"/>
      <c r="L33" s="2754"/>
      <c r="M33" s="2754"/>
      <c r="N33" s="2754"/>
      <c r="O33" s="3355" t="str">
        <f>+IF(AND(LEFT(O$28,2)="OK",OR(integr="integrazione processi tecnici",integr="entrambi"),OR(K33="",L33="",M33="",N33="")),"&lt;--- Continuare da qui la compilazione (compilare tutti i campi)",IF(AND(LEFT(O$28,2)="OK",integr&lt;&gt;"integrazione processi tecnici",integr&lt;&gt;"entrambi"),"OK, continuare la compilazione (il campo non va compilato)",IF(AND(K33&lt;&gt;"",L33&lt;&gt;"",M33&lt;&gt;"",N33&lt;&gt;"",LEFT(O$28,2)="OK"),"OK, continuare la compilazione","")))</f>
        <v/>
      </c>
      <c r="V33" s="3329"/>
      <c r="W33" s="3329"/>
      <c r="X33" s="3329"/>
    </row>
    <row r="34" spans="1:25" s="3364" customFormat="1" ht="25.35" customHeight="1">
      <c r="E34" s="3329"/>
      <c r="F34" s="3352" t="s">
        <v>31865</v>
      </c>
      <c r="G34" s="3662"/>
      <c r="H34" s="3663"/>
      <c r="I34" s="3348"/>
      <c r="J34" s="3348"/>
      <c r="K34" s="2754"/>
      <c r="L34" s="2754"/>
      <c r="M34" s="2754"/>
      <c r="N34" s="2754"/>
      <c r="O34" s="3355" t="str">
        <f>+IF(AND(LEFT(O$28,2)="OK",OR(integr="integrazione processi tecnici",integr="entrambi"),OR(K34="",L34="",M34="",N34="")),"&lt;--- Continuare da qui la compilazione (compilare tutti i campi)",IF(AND(LEFT(O$28,2)="OK",integr&lt;&gt;"integrazione processi tecnici",integr&lt;&gt;"entrambi"),"OK, continuare la compilazione (il campo non va compilato)",IF(AND(K34&lt;&gt;"",L34&lt;&gt;"",M34&lt;&gt;"",N34&lt;&gt;"",LEFT(O$28,2)="OK"),"OK, continuare la compilazione","")))</f>
        <v/>
      </c>
      <c r="V34" s="3329"/>
      <c r="W34" s="3329"/>
      <c r="X34" s="3329"/>
    </row>
    <row r="35" spans="1:25" ht="15" customHeight="1">
      <c r="F35" s="3335"/>
      <c r="G35" s="3328"/>
      <c r="H35" s="3328"/>
      <c r="I35"/>
      <c r="J35"/>
      <c r="K35"/>
      <c r="L35"/>
      <c r="M35"/>
      <c r="N35"/>
      <c r="O35" s="1619"/>
      <c r="Y35" s="3364"/>
    </row>
    <row r="36" spans="1:25" ht="15" customHeight="1">
      <c r="F36" s="3335"/>
      <c r="G36" s="3328"/>
      <c r="H36" s="3328"/>
      <c r="I36"/>
      <c r="J36"/>
      <c r="K36"/>
      <c r="L36"/>
      <c r="M36"/>
      <c r="N36"/>
      <c r="O36" s="1619"/>
      <c r="Y36" s="3364"/>
    </row>
    <row r="37" spans="1:25" s="3364" customFormat="1" ht="15" customHeight="1">
      <c r="F37" s="3373"/>
      <c r="G37"/>
      <c r="H37"/>
      <c r="I37"/>
      <c r="J37"/>
      <c r="K37"/>
      <c r="L37"/>
      <c r="M37"/>
      <c r="N37"/>
      <c r="O37" s="1619"/>
      <c r="V37" s="3329"/>
      <c r="W37" s="3329"/>
      <c r="X37" s="3329"/>
      <c r="Y37" s="3329"/>
    </row>
    <row r="38" spans="1:25" s="3364" customFormat="1" ht="15" customHeight="1">
      <c r="E38" s="3329"/>
      <c r="F38" s="3352" t="s">
        <v>30522</v>
      </c>
      <c r="G38" s="3652" t="str">
        <f>IF(K38="",IF(Storico_Piano_Tariffario!E6="","",Storico_Piano_Tariffario!E6),K38)</f>
        <v/>
      </c>
      <c r="H38" s="3653"/>
      <c r="I38" s="3348"/>
      <c r="J38" s="3348"/>
      <c r="K38" s="2753"/>
      <c r="L38" s="3374"/>
      <c r="M38" s="3374"/>
      <c r="N38" s="3375"/>
      <c r="O38" s="3355"/>
      <c r="V38" s="3329"/>
      <c r="W38" s="3329"/>
    </row>
    <row r="39" spans="1:25" s="3364" customFormat="1" ht="30" customHeight="1">
      <c r="E39" s="3329"/>
      <c r="F39" s="3352" t="s">
        <v>27001</v>
      </c>
      <c r="G39" s="3652" t="str">
        <f>IF(K39="",IF(Storico_Piano_Tariffario!E7="","",Storico_Piano_Tariffario!E7),K39)</f>
        <v/>
      </c>
      <c r="H39" s="3653"/>
      <c r="I39" s="3348"/>
      <c r="J39" s="3348"/>
      <c r="K39" s="2753"/>
      <c r="L39" s="3374"/>
      <c r="M39" s="3374"/>
      <c r="N39" s="3375"/>
      <c r="O39" s="3355" t="str">
        <f>+IF(LEFT(O33,2)="OK",IF(G40="compilare correttamente i campi","Attenzione: compilare i campi necessari", "OK, continuare la compilazione"),"")</f>
        <v/>
      </c>
      <c r="V39" s="3329"/>
      <c r="W39" s="3329"/>
    </row>
    <row r="40" spans="1:25" s="3364" customFormat="1" ht="15.75">
      <c r="F40" s="3352" t="s">
        <v>27002</v>
      </c>
      <c r="G40" s="3656" t="str">
        <f>+IFERROR(K38/K39,IFERROR(G38/G39,IF(LEFT(O33,2)="OK","Compilare correttamente i campi","")))</f>
        <v/>
      </c>
      <c r="H40" s="3657"/>
      <c r="I40" s="3376"/>
      <c r="J40" s="3376"/>
      <c r="K40" s="3376" t="s">
        <v>22821</v>
      </c>
      <c r="L40" s="3376"/>
      <c r="M40" s="3376"/>
      <c r="N40" s="3376"/>
      <c r="O40" s="3355"/>
      <c r="V40" s="3329"/>
      <c r="W40" s="3329"/>
    </row>
    <row r="41" spans="1:25" ht="15" customHeight="1">
      <c r="F41" s="3335"/>
      <c r="G41" s="3328"/>
      <c r="H41" s="3328"/>
      <c r="I41"/>
      <c r="J41"/>
      <c r="K41"/>
      <c r="L41"/>
      <c r="M41"/>
      <c r="N41"/>
      <c r="O41" s="1619"/>
      <c r="X41" s="3364"/>
      <c r="Y41" s="3364"/>
    </row>
    <row r="42" spans="1:25" ht="15" customHeight="1">
      <c r="F42" s="3373"/>
      <c r="G42"/>
      <c r="H42"/>
      <c r="I42"/>
      <c r="J42"/>
      <c r="K42"/>
      <c r="L42"/>
      <c r="M42"/>
      <c r="N42"/>
      <c r="O42" s="1619"/>
    </row>
    <row r="43" spans="1:25" ht="15" customHeight="1">
      <c r="F43" s="3377" t="s">
        <v>31281</v>
      </c>
      <c r="G43" s="3648" t="s">
        <v>22821</v>
      </c>
      <c r="H43" s="3648"/>
      <c r="I43" s="3378">
        <f ca="1">+SUM(I44:N44)</f>
        <v>0</v>
      </c>
      <c r="J43" s="3378"/>
      <c r="K43" s="3378"/>
      <c r="L43" s="3378"/>
      <c r="M43" s="3378"/>
      <c r="N43" s="3378"/>
      <c r="O43" s="3355"/>
    </row>
    <row r="44" spans="1:25" ht="15.75" customHeight="1">
      <c r="A44" s="3364"/>
      <c r="F44" s="3352" t="s">
        <v>31283</v>
      </c>
      <c r="G44" s="3648"/>
      <c r="H44" s="3648"/>
      <c r="I44" s="3379">
        <f>+Dati_Anni_precedenti!E13</f>
        <v>0</v>
      </c>
      <c r="J44" s="3379">
        <f>+Dati_Anni_precedenti!F13</f>
        <v>0</v>
      </c>
      <c r="K44" s="3372">
        <f ca="1">'PdI-riepilogo'!F15</f>
        <v>0</v>
      </c>
      <c r="L44" s="3372">
        <f ca="1">'PdI-riepilogo'!G15</f>
        <v>0</v>
      </c>
      <c r="M44" s="3372">
        <f ca="1">'PdI-riepilogo'!H15</f>
        <v>0</v>
      </c>
      <c r="N44" s="3372">
        <f ca="1">'PdI-riepilogo'!I15</f>
        <v>0</v>
      </c>
      <c r="O44" s="3355" t="str">
        <f>+IF(LEFT(O39,2)="OK",IF(OR(I44="",J44="",K44="",L44="",M44="",N44=""),"Attenzione: compilare tutti i campi","OK, continuare la compilazione"),"")</f>
        <v/>
      </c>
    </row>
    <row r="45" spans="1:25" ht="15" customHeight="1">
      <c r="F45" s="3352" t="s">
        <v>31282</v>
      </c>
      <c r="G45" s="3648"/>
      <c r="H45" s="3648"/>
      <c r="I45" s="3379">
        <f>+Dati_Anni_precedenti!E14</f>
        <v>0</v>
      </c>
      <c r="J45" s="3379">
        <f>+Dati_Anni_precedenti!F14</f>
        <v>0</v>
      </c>
      <c r="K45" s="3372">
        <f ca="1">'PdI-riepilogo'!F21</f>
        <v>0</v>
      </c>
      <c r="L45" s="3372">
        <f ca="1">'PdI-riepilogo'!G21</f>
        <v>0</v>
      </c>
      <c r="M45" s="3372">
        <f ca="1">'PdI-riepilogo'!H21</f>
        <v>0</v>
      </c>
      <c r="N45" s="3372">
        <f ca="1">'PdI-riepilogo'!I21</f>
        <v>0</v>
      </c>
      <c r="O45" s="3355" t="str">
        <f>+IF(LEFT(O44,2)="OK",IF(OR(I45="",J45="",K45="",L45="",M45="",N45=""),"Attenzione: compilare tutti i campi","OK, continuare la compilazione"),"")</f>
        <v/>
      </c>
    </row>
    <row r="46" spans="1:25" ht="15" customHeight="1">
      <c r="B46" s="3380"/>
      <c r="F46" s="3335"/>
      <c r="G46" s="1013"/>
      <c r="H46" s="1013"/>
      <c r="I46" s="1013"/>
      <c r="J46" s="1013"/>
      <c r="K46" s="1013"/>
      <c r="L46" s="1013"/>
      <c r="M46" s="1013"/>
      <c r="N46" s="1013"/>
      <c r="O46" s="3338"/>
      <c r="R46" s="3380"/>
      <c r="S46" s="3381"/>
    </row>
    <row r="47" spans="1:25" s="3364" customFormat="1" ht="15" customHeight="1">
      <c r="B47" s="3382"/>
      <c r="F47"/>
      <c r="G47"/>
      <c r="H47"/>
      <c r="I47"/>
      <c r="J47"/>
      <c r="K47"/>
      <c r="L47"/>
      <c r="M47"/>
      <c r="N47"/>
      <c r="O47" s="1619"/>
    </row>
    <row r="48" spans="1:25" s="3364" customFormat="1" ht="15" customHeight="1">
      <c r="F48"/>
      <c r="G48"/>
      <c r="H48"/>
      <c r="I48"/>
      <c r="J48"/>
      <c r="K48"/>
      <c r="L48"/>
      <c r="M48"/>
      <c r="N48"/>
      <c r="O48" s="1619"/>
    </row>
    <row r="49" spans="5:26" s="3364" customFormat="1" ht="28.5" customHeight="1">
      <c r="F49" s="3352" t="s">
        <v>30482</v>
      </c>
      <c r="G49" s="3650">
        <f>+IF(K49="",Dati_Anni_precedenti!G10,K49)</f>
        <v>0</v>
      </c>
      <c r="H49" s="3651"/>
      <c r="I49" s="3383"/>
      <c r="J49" s="3384"/>
      <c r="K49" s="2752"/>
      <c r="L49" s="3354"/>
      <c r="M49" s="3354"/>
      <c r="N49" s="3354"/>
      <c r="O49" s="3355" t="str">
        <f>+IF(LEFT(O45,2)="OK",IF(G50&lt;&gt;"","OK, continuare la compilazione",IF(mti_4&lt;&gt;"schema regolatorio","OK, continuare la compilazione","Inserire valore RAB o controllare dati anni precedenti")),"")</f>
        <v/>
      </c>
      <c r="Y49" s="3329"/>
      <c r="Z49" s="3329"/>
    </row>
    <row r="50" spans="5:26" s="3364" customFormat="1" ht="15" hidden="1" customHeight="1">
      <c r="F50" s="3377" t="s">
        <v>31329</v>
      </c>
      <c r="G50" s="3654" t="str">
        <f>+IF(mti_4&lt;&gt;"schema regolatorio","",IFERROR(IFERROR(I43/K49,I43/G49),""))</f>
        <v/>
      </c>
      <c r="H50" s="3655"/>
      <c r="I50" s="3385"/>
      <c r="J50" s="3386"/>
      <c r="K50" s="2755"/>
      <c r="L50" s="3387"/>
      <c r="M50" s="3387"/>
      <c r="N50" s="3387"/>
      <c r="O50" s="3355"/>
    </row>
    <row r="51" spans="5:26" s="3364" customFormat="1" ht="31.15" customHeight="1">
      <c r="F51" s="3352" t="s">
        <v>24759</v>
      </c>
      <c r="G51" s="3622" t="s">
        <v>32816</v>
      </c>
      <c r="H51" s="3623"/>
      <c r="I51" s="3388"/>
      <c r="J51" s="3389"/>
      <c r="K51" s="2756"/>
      <c r="L51" s="3390"/>
      <c r="M51" s="3390"/>
      <c r="N51" s="3391"/>
      <c r="O51" s="3392" t="str">
        <f>+IF(AND(mti_4&lt;&gt;"schema regolatorio",LEFT(O45,2)="OK"),"OK, continuare la compilazione",IF(LEFT(O49,2)="OK",+IF(G49=0,"Inserire valore RAB MTI-2 (cella I48)",IF(G50&lt;=omega,"OK, continuare la compilazione (psi non necessario)",IF(AND(G50&gt;omega,K51=""),"&lt;--- Continuare da qui la compilazione",IF(OR(K51&lt;0.4,K51&gt;0.8),"Attenzione: compilare correttamente i dati","OK, continuare la compilazione")))),""))</f>
        <v/>
      </c>
      <c r="R51" s="3393"/>
      <c r="U51" s="3382"/>
      <c r="Y51" s="3329"/>
      <c r="Z51" s="3329"/>
    </row>
    <row r="52" spans="5:26" s="3364" customFormat="1" ht="25.5">
      <c r="F52" s="3352" t="s">
        <v>30514</v>
      </c>
      <c r="G52" s="3622" t="s">
        <v>22821</v>
      </c>
      <c r="H52" s="3623"/>
      <c r="I52" s="3385"/>
      <c r="J52" s="3386"/>
      <c r="K52" s="3394">
        <f>+iAF</f>
        <v>0</v>
      </c>
      <c r="L52" s="3395"/>
      <c r="M52" s="3395"/>
      <c r="N52" s="3395"/>
      <c r="O52" s="3355"/>
      <c r="U52" s="3382"/>
      <c r="Y52" s="3329"/>
      <c r="Z52" s="3329"/>
    </row>
    <row r="53" spans="5:26" ht="15" customHeight="1" thickBot="1">
      <c r="F53" s="3396"/>
      <c r="G53" s="3364"/>
      <c r="H53" s="3364"/>
      <c r="I53" s="3364"/>
      <c r="J53" s="3364"/>
      <c r="K53" s="3364"/>
      <c r="L53" s="3364"/>
      <c r="M53" s="3364"/>
      <c r="N53" s="3364"/>
      <c r="O53" s="3397"/>
      <c r="P53" s="3364"/>
      <c r="Q53" s="3364"/>
      <c r="R53" s="3364"/>
      <c r="S53" s="3364"/>
    </row>
    <row r="54" spans="5:26" s="3364" customFormat="1" ht="3.75" customHeight="1" thickTop="1">
      <c r="F54" s="3398"/>
      <c r="G54" s="3399"/>
      <c r="H54" s="3399"/>
      <c r="I54" s="3399"/>
      <c r="J54" s="3399"/>
      <c r="K54" s="3399"/>
      <c r="L54" s="3399"/>
      <c r="M54" s="3399"/>
      <c r="N54" s="3399"/>
      <c r="O54" s="3400"/>
      <c r="Y54" s="3329"/>
      <c r="Z54" s="3329"/>
    </row>
    <row r="55" spans="5:26" ht="15" customHeight="1">
      <c r="F55" s="3352" t="s">
        <v>22820</v>
      </c>
      <c r="G55" s="3401" t="s">
        <v>22817</v>
      </c>
      <c r="H55" s="3402"/>
      <c r="I55" s="3403"/>
      <c r="J55" s="3403"/>
      <c r="K55" s="3403"/>
      <c r="L55" s="3403"/>
      <c r="M55" s="3403"/>
      <c r="N55" s="3403"/>
      <c r="O55" s="3355" t="str">
        <f>+IF(LEFT(O51,2)="OK",mti_4,"")</f>
        <v/>
      </c>
    </row>
    <row r="56" spans="5:26" ht="15" customHeight="1">
      <c r="F56" s="3352" t="s">
        <v>22820</v>
      </c>
      <c r="G56" s="3401" t="s">
        <v>22818</v>
      </c>
      <c r="H56" s="3402"/>
      <c r="I56" s="3403"/>
      <c r="J56" s="3403"/>
      <c r="K56" s="3403"/>
      <c r="L56" s="3403"/>
      <c r="M56" s="3403"/>
      <c r="N56" s="3403"/>
      <c r="O56" s="3404" t="str">
        <f>IF(O55="schema regolatorio",schema,IF(schema="","","verificare coerenza dati inseriti"))</f>
        <v/>
      </c>
    </row>
    <row r="57" spans="5:26" ht="15" customHeight="1">
      <c r="F57" s="3373"/>
      <c r="G57"/>
      <c r="H57"/>
      <c r="I57"/>
      <c r="J57"/>
      <c r="K57"/>
      <c r="L57"/>
      <c r="M57"/>
      <c r="N57"/>
      <c r="O57" s="1619"/>
    </row>
    <row r="58" spans="5:26" ht="15" customHeight="1">
      <c r="F58" s="3335"/>
      <c r="G58" s="1013"/>
      <c r="H58" s="1013"/>
      <c r="I58" s="1013"/>
      <c r="J58" s="1013"/>
      <c r="K58" s="1013"/>
      <c r="L58" s="1013"/>
      <c r="M58" s="1013"/>
      <c r="N58" s="1013"/>
      <c r="O58" s="3338"/>
      <c r="S58" s="3333"/>
    </row>
    <row r="59" spans="5:26" ht="30" customHeight="1">
      <c r="F59" s="3405"/>
      <c r="G59" s="1013"/>
      <c r="H59" s="1013"/>
      <c r="I59" s="3633" t="s">
        <v>27006</v>
      </c>
      <c r="J59" s="3634"/>
      <c r="K59" s="3634"/>
      <c r="L59" s="3634"/>
      <c r="M59" s="3634"/>
      <c r="N59" s="3635"/>
      <c r="O59" s="3338"/>
      <c r="S59" s="3333"/>
    </row>
    <row r="60" spans="5:26" ht="15" customHeight="1">
      <c r="E60" s="3406"/>
      <c r="F60" s="3335"/>
      <c r="G60" s="1013"/>
      <c r="H60" s="1013"/>
      <c r="I60" s="1013"/>
      <c r="J60" s="1013"/>
      <c r="K60" s="1013"/>
      <c r="L60" s="1013"/>
      <c r="M60" s="1013"/>
      <c r="N60" s="1013"/>
      <c r="O60" s="3338"/>
    </row>
    <row r="61" spans="5:26" ht="15" customHeight="1">
      <c r="E61" s="3406"/>
      <c r="F61" s="3335"/>
      <c r="G61" s="3639" t="s">
        <v>26986</v>
      </c>
      <c r="H61" s="3649"/>
      <c r="I61" s="2362">
        <v>2024</v>
      </c>
      <c r="J61" s="2362">
        <v>2025</v>
      </c>
      <c r="K61" s="2360">
        <v>2026</v>
      </c>
      <c r="L61" s="2361">
        <v>2027</v>
      </c>
      <c r="M61" s="2363">
        <v>2028</v>
      </c>
      <c r="N61" s="2363">
        <v>2029</v>
      </c>
      <c r="O61" s="3338"/>
    </row>
    <row r="62" spans="5:26" ht="21" hidden="1" customHeight="1">
      <c r="E62" s="3406"/>
      <c r="F62" s="3407"/>
      <c r="G62" s="3622"/>
      <c r="H62" s="3623"/>
      <c r="I62" s="2757"/>
      <c r="J62" s="2757"/>
      <c r="K62" s="2758"/>
      <c r="L62" s="2758"/>
      <c r="M62" s="2757"/>
      <c r="N62" s="2757"/>
      <c r="O62" s="3355" t="str">
        <f>+IF(LEFT(O51,2)="OK",+IF(OR(K62&lt;0,L62&lt;0,I62&lt;0,J62&lt;0),"Attenzione: valori fuori dominio",IF(OR(K62="",L62="",I62="",J62=""),"OK, compilare o continuare la compilazione","OK, continuare la compilazione")),"")</f>
        <v/>
      </c>
    </row>
    <row r="63" spans="5:26" ht="15" hidden="1" customHeight="1">
      <c r="E63" s="3406"/>
      <c r="F63"/>
      <c r="G63"/>
      <c r="H63"/>
      <c r="I63" s="3408"/>
      <c r="J63" s="3408"/>
      <c r="K63"/>
      <c r="L63"/>
      <c r="M63" s="3408"/>
      <c r="N63" s="3408"/>
      <c r="O63" s="1619"/>
    </row>
    <row r="64" spans="5:26" ht="12.75" hidden="1">
      <c r="E64" s="3406"/>
      <c r="F64" s="3407"/>
      <c r="G64" s="3622"/>
      <c r="H64" s="3623"/>
      <c r="I64" s="2759"/>
      <c r="J64" s="2760"/>
      <c r="K64" s="2761"/>
      <c r="L64" s="2762"/>
      <c r="M64" s="2760"/>
      <c r="N64" s="2760"/>
      <c r="O64" s="3355" t="str">
        <f>+IF(LEFT(O62,2)="OK",+IF(AND(K64=""),"OK, compilare o continuare la compilazione",IF(AND(K64&lt;&gt;""),IF(OR(K64&lt;K66,K64&gt;100),"Attenzione: valori fuori dominio","OK, continuare la compilazione"),"Attenzione: compilare correttamente tutti i campi")),"")</f>
        <v/>
      </c>
    </row>
    <row r="65" spans="5:19" ht="15" hidden="1" customHeight="1">
      <c r="F65" s="3335"/>
      <c r="G65" s="1013"/>
      <c r="H65" s="1013"/>
      <c r="I65" s="1013"/>
      <c r="J65" s="1013"/>
      <c r="K65" s="1013"/>
      <c r="L65" s="1013"/>
      <c r="M65" s="1013"/>
      <c r="N65" s="1013"/>
      <c r="O65" s="3338"/>
      <c r="S65" s="3333"/>
    </row>
    <row r="66" spans="5:19" ht="15" customHeight="1">
      <c r="F66" s="3407" t="s">
        <v>31446</v>
      </c>
      <c r="G66" s="3642" t="s">
        <v>22821</v>
      </c>
      <c r="H66" s="3643"/>
      <c r="I66" s="2763">
        <f>+Opex!C293</f>
        <v>0</v>
      </c>
      <c r="J66" s="2763">
        <f>+Opex!D293</f>
        <v>0</v>
      </c>
      <c r="K66" s="2763">
        <f>+Opex!E293</f>
        <v>0</v>
      </c>
      <c r="L66" s="2763">
        <f>+Opex!F293</f>
        <v>0</v>
      </c>
      <c r="M66" s="2763">
        <f>+Opex!G293</f>
        <v>0</v>
      </c>
      <c r="N66" s="2763">
        <f>+Opex!H293</f>
        <v>0</v>
      </c>
      <c r="O66" s="3355"/>
    </row>
    <row r="67" spans="5:19" ht="15" customHeight="1">
      <c r="E67" s="3406"/>
      <c r="F67" s="3409" t="s">
        <v>31447</v>
      </c>
      <c r="G67" s="3644"/>
      <c r="H67" s="3645"/>
      <c r="I67" s="2763">
        <f>+Opex!C292</f>
        <v>0</v>
      </c>
      <c r="J67" s="2763">
        <f>+Opex!D292</f>
        <v>0</v>
      </c>
      <c r="K67" s="2763">
        <f>+Opex!E292</f>
        <v>0</v>
      </c>
      <c r="L67" s="2763">
        <f>+Opex!F292</f>
        <v>0</v>
      </c>
      <c r="M67" s="2763">
        <f>+Opex!G292</f>
        <v>0</v>
      </c>
      <c r="N67" s="2763">
        <f>+Opex!H292</f>
        <v>0</v>
      </c>
      <c r="O67" s="3355"/>
    </row>
    <row r="68" spans="5:19" ht="41.25" customHeight="1">
      <c r="F68" s="3407" t="s">
        <v>31448</v>
      </c>
      <c r="G68" s="3648" t="s">
        <v>31399</v>
      </c>
      <c r="H68" s="3648"/>
      <c r="I68" s="2759"/>
      <c r="J68" s="2760"/>
      <c r="K68" s="2764"/>
      <c r="L68" s="3410"/>
      <c r="M68" s="3410"/>
      <c r="N68" s="3410"/>
      <c r="O68" s="3355" t="str">
        <f>+IF(LEFT(O51,2)="OK","OK, compilare o continuare la compilazione",IF(LEFT(O51,2)="","",IF(AND(K68&lt;=K66,K68&gt;=MIN(K67:K67),K68&lt;&gt;"",K68&lt;L66,K68&gt;=MIN(L67),K68&lt;=I66,K68&gt;=MIN(I67:I67),K68&lt;=J66,K68&gt;=MIN(J67:J67),K68&lt;=M66,K68&gt;=MIN(M67:M67),K68&lt;=N66,K68&gt;=MIN(N67:N67)),"OK, continuare la compilazione","Attenzione: compilare correttamente tutti i campi
(diversi da 0, inferiori a quelli di zona, superiori a quelli del gestore)")))</f>
        <v/>
      </c>
    </row>
    <row r="69" spans="5:19" ht="15" customHeight="1">
      <c r="F69" s="3373"/>
      <c r="G69"/>
      <c r="H69"/>
      <c r="I69"/>
      <c r="J69"/>
      <c r="K69"/>
      <c r="L69"/>
      <c r="M69"/>
      <c r="N69"/>
      <c r="O69" s="1619"/>
    </row>
    <row r="70" spans="5:19" ht="15" customHeight="1">
      <c r="F70" s="3373"/>
      <c r="G70"/>
      <c r="H70"/>
      <c r="I70"/>
      <c r="J70"/>
      <c r="K70"/>
      <c r="L70"/>
      <c r="M70"/>
      <c r="N70"/>
      <c r="O70" s="1619"/>
    </row>
    <row r="73" spans="5:19" ht="15" customHeight="1">
      <c r="F73" s="565"/>
      <c r="G73"/>
      <c r="H73"/>
      <c r="I73"/>
      <c r="J73"/>
      <c r="K73"/>
      <c r="L73"/>
      <c r="M73"/>
      <c r="N73"/>
      <c r="O73" s="1619"/>
    </row>
    <row r="74" spans="5:19" ht="15" customHeight="1">
      <c r="F74" s="3373"/>
      <c r="G74"/>
      <c r="H74"/>
      <c r="I74"/>
      <c r="J74"/>
      <c r="K74"/>
      <c r="L74"/>
      <c r="M74"/>
      <c r="N74"/>
      <c r="O74" s="1619"/>
      <c r="S74" s="3333"/>
    </row>
    <row r="75" spans="5:19" ht="30" customHeight="1">
      <c r="F75" s="3335"/>
      <c r="G75" s="1013"/>
      <c r="H75" s="1013"/>
      <c r="I75" s="3633" t="s">
        <v>30604</v>
      </c>
      <c r="J75" s="3634"/>
      <c r="K75" s="3634"/>
      <c r="L75" s="3634"/>
      <c r="M75" s="3634"/>
      <c r="N75" s="3635"/>
      <c r="O75" s="3338"/>
    </row>
    <row r="76" spans="5:19" ht="15" customHeight="1">
      <c r="F76" s="3373"/>
      <c r="G76"/>
      <c r="H76"/>
      <c r="I76"/>
      <c r="J76"/>
      <c r="K76"/>
      <c r="L76"/>
      <c r="M76"/>
      <c r="N76"/>
      <c r="O76" s="1619"/>
      <c r="S76" s="3333"/>
    </row>
    <row r="77" spans="5:19" ht="15" customHeight="1">
      <c r="F77" s="3335"/>
      <c r="G77" s="1013"/>
      <c r="H77" s="1013"/>
      <c r="I77" s="2362">
        <v>2024</v>
      </c>
      <c r="J77" s="2362">
        <v>2025</v>
      </c>
      <c r="K77" s="2360">
        <v>2026</v>
      </c>
      <c r="L77" s="2361">
        <v>2027</v>
      </c>
      <c r="M77" s="2363">
        <v>2028</v>
      </c>
      <c r="N77" s="2363">
        <v>2029</v>
      </c>
      <c r="O77" s="3338"/>
      <c r="S77" s="3333"/>
    </row>
    <row r="78" spans="5:19" ht="35.25" customHeight="1">
      <c r="F78" s="3670" t="s">
        <v>31284</v>
      </c>
      <c r="G78" s="3673">
        <f>Dati_Anni_precedenti!$G$108</f>
        <v>0</v>
      </c>
      <c r="H78" s="3674"/>
      <c r="I78" s="3369">
        <f>+Dati_Anni_precedenti!E79/1.13696</f>
        <v>0</v>
      </c>
      <c r="J78" s="3369">
        <f>+Dati_Anni_precedenti!F79/1.088</f>
        <v>0</v>
      </c>
      <c r="K78" s="2765"/>
      <c r="L78" s="2765"/>
      <c r="M78" s="2765"/>
      <c r="N78" s="2765"/>
      <c r="O78" s="3355" t="str">
        <f>+IF(LEFT(O68,2)="OK",IF(SUM(K78:N78)&gt;G78,"compilazione non ammissibile","OK compilare o proseguire la compilazione"),"")</f>
        <v/>
      </c>
    </row>
    <row r="79" spans="5:19" ht="23.25" customHeight="1">
      <c r="F79" s="3671"/>
      <c r="G79" s="3622" t="s">
        <v>26911</v>
      </c>
      <c r="H79" s="3623"/>
      <c r="I79" s="3370">
        <f t="shared" ref="I79:N79" si="1">+IF(SUM($K$78:$N$78)&gt;$G$78,"verificare la compilazione",I78)</f>
        <v>0</v>
      </c>
      <c r="J79" s="3370">
        <f t="shared" si="1"/>
        <v>0</v>
      </c>
      <c r="K79" s="3370">
        <f t="shared" si="1"/>
        <v>0</v>
      </c>
      <c r="L79" s="3370">
        <f t="shared" si="1"/>
        <v>0</v>
      </c>
      <c r="M79" s="3370">
        <f t="shared" si="1"/>
        <v>0</v>
      </c>
      <c r="N79" s="3370">
        <f t="shared" si="1"/>
        <v>0</v>
      </c>
      <c r="O79" s="3355" t="str">
        <f>+IF(OR(LEFT(O78,2)="OK"),IF(G78=0,"OK, ricontrollare dati storici o proseguire la compilazione
(eventuali compilazioni non avranno impatti)",IF(OR(K79="",L79="",I79="",J79="",M79="",N79=""),"&lt;--- Continuare da qui la compilazione",IF(AND(K79&lt;&gt;"",L79&lt;&gt;"",I79&lt;&gt;"",J79&lt;&gt;"",M79&lt;&gt;"",N79&lt;&gt;"",K79&gt;=0,L79&gt;=0,I79&gt;=0,J79&gt;=0,M79&gt;=0,N79&gt;=0),"OK, continuare la compilazione","Attenzione: compilare correttamente i campi"))),"")</f>
        <v/>
      </c>
      <c r="S79" s="3333"/>
    </row>
    <row r="80" spans="5:19" ht="15" customHeight="1">
      <c r="F80" s="3672"/>
      <c r="G80" s="3622" t="s">
        <v>30577</v>
      </c>
      <c r="H80" s="3623"/>
      <c r="I80" s="3411"/>
      <c r="J80" s="2760"/>
      <c r="K80" s="3378">
        <f>+MAX(G78-SUM(I79:N79),0)</f>
        <v>0</v>
      </c>
      <c r="L80" s="3378"/>
      <c r="M80" s="3378"/>
      <c r="N80" s="3378"/>
      <c r="O80" s="3412"/>
    </row>
    <row r="81" spans="6:19" ht="15" customHeight="1">
      <c r="F81" s="3373"/>
      <c r="G81"/>
      <c r="H81"/>
      <c r="I81"/>
      <c r="J81"/>
      <c r="K81"/>
      <c r="L81"/>
      <c r="M81"/>
      <c r="N81"/>
      <c r="O81" s="1619"/>
    </row>
    <row r="84" spans="6:19" ht="15" customHeight="1">
      <c r="F84" s="565"/>
      <c r="G84"/>
      <c r="H84"/>
      <c r="I84"/>
      <c r="J84"/>
      <c r="K84"/>
      <c r="L84"/>
      <c r="M84"/>
      <c r="N84"/>
      <c r="O84" s="1619"/>
    </row>
    <row r="85" spans="6:19" ht="15" customHeight="1">
      <c r="F85" s="3373"/>
      <c r="G85"/>
      <c r="H85"/>
      <c r="I85"/>
      <c r="J85"/>
      <c r="K85"/>
      <c r="L85"/>
      <c r="M85"/>
      <c r="N85"/>
      <c r="O85" s="1619"/>
      <c r="S85" s="3333"/>
    </row>
    <row r="86" spans="6:19" ht="30" customHeight="1">
      <c r="F86" s="3335"/>
      <c r="G86" s="1013"/>
      <c r="H86" s="1013"/>
      <c r="I86" s="3633" t="s">
        <v>26909</v>
      </c>
      <c r="J86" s="3634"/>
      <c r="K86" s="3634"/>
      <c r="L86" s="3634"/>
      <c r="M86" s="3634"/>
      <c r="N86" s="3635"/>
      <c r="O86" s="3338"/>
      <c r="S86" s="3333"/>
    </row>
    <row r="87" spans="6:19" ht="15" customHeight="1">
      <c r="F87" s="3373"/>
      <c r="G87"/>
      <c r="H87"/>
      <c r="I87"/>
      <c r="J87"/>
      <c r="K87"/>
      <c r="L87"/>
      <c r="M87"/>
      <c r="N87"/>
      <c r="O87" s="1619"/>
      <c r="S87" s="3333"/>
    </row>
    <row r="88" spans="6:19" ht="15" customHeight="1">
      <c r="F88" s="3335"/>
      <c r="G88" s="1013"/>
      <c r="H88" s="1013"/>
      <c r="I88" s="2362">
        <v>2024</v>
      </c>
      <c r="J88" s="2362">
        <v>2025</v>
      </c>
      <c r="K88" s="2360">
        <v>2026</v>
      </c>
      <c r="L88" s="2361">
        <v>2027</v>
      </c>
      <c r="M88" s="2363">
        <v>2028</v>
      </c>
      <c r="N88" s="2363">
        <v>2029</v>
      </c>
      <c r="O88" s="3338"/>
      <c r="S88" s="3333"/>
    </row>
    <row r="89" spans="6:19" ht="15" customHeight="1">
      <c r="F89" s="3407" t="s">
        <v>26916</v>
      </c>
      <c r="G89" s="3622" t="s">
        <v>22821</v>
      </c>
      <c r="H89" s="3623"/>
      <c r="I89" s="3413"/>
      <c r="J89" s="3413"/>
      <c r="K89" s="3414" t="str">
        <f>+IF($O$51&lt;&gt;"",VRG_Teta!E60,"")</f>
        <v/>
      </c>
      <c r="L89" s="3414" t="str">
        <f>+IF($O$51&lt;&gt;"",VRG_Teta!F60,"")</f>
        <v/>
      </c>
      <c r="M89" s="3414" t="str">
        <f>+IF($O$51&lt;&gt;"",VRG_Teta!G60,"")</f>
        <v/>
      </c>
      <c r="N89" s="3414" t="str">
        <f>+IF($O$51&lt;&gt;"",VRG_Teta!H60,"")</f>
        <v/>
      </c>
      <c r="O89" s="3641" t="str">
        <f>+IF(LEFT($O$78,2)="OK",IF(AND(K93="nei limiti",L93="nei limiti",I93="nei limiti",J93="nei limiti",M93="nei limiti",N93="nei limiti"),"OK, proseguire se necessario la compilazione","ATTENZIONE: proposta sovracap per almeno un'annualità"),"")</f>
        <v/>
      </c>
    </row>
    <row r="90" spans="6:19" ht="15" customHeight="1">
      <c r="F90" s="3407" t="s">
        <v>26917</v>
      </c>
      <c r="G90" s="3622" t="s">
        <v>22821</v>
      </c>
      <c r="H90" s="3623"/>
      <c r="I90" s="3413"/>
      <c r="J90" s="3413"/>
      <c r="K90" s="3415" t="str">
        <f>+IF($O$51&lt;&gt;"",VRG_Teta!E61,"")</f>
        <v/>
      </c>
      <c r="L90" s="3415" t="str">
        <f>+IF($O$51&lt;&gt;"",VRG_Teta!F61,"")</f>
        <v/>
      </c>
      <c r="M90" s="3415" t="str">
        <f>+IF($O$51&lt;&gt;"",VRG_Teta!G61,"")</f>
        <v/>
      </c>
      <c r="N90" s="3415" t="str">
        <f>+IF($O$51&lt;&gt;"",VRG_Teta!H61,"")</f>
        <v/>
      </c>
      <c r="O90" s="3641"/>
    </row>
    <row r="91" spans="6:19" ht="15" customHeight="1">
      <c r="F91" s="3407" t="s">
        <v>24902</v>
      </c>
      <c r="G91" s="3622" t="s">
        <v>22821</v>
      </c>
      <c r="H91" s="3623"/>
      <c r="I91" s="3413"/>
      <c r="J91" s="3413"/>
      <c r="K91" s="3414" t="str">
        <f>+IF($O$51&lt;&gt;"",VRG_Teta!E62,"")</f>
        <v/>
      </c>
      <c r="L91" s="3414" t="str">
        <f>+IF($O$51&lt;&gt;"",VRG_Teta!F62,"")</f>
        <v/>
      </c>
      <c r="M91" s="3414" t="str">
        <f>+IF($O$51&lt;&gt;"",VRG_Teta!G62,"")</f>
        <v/>
      </c>
      <c r="N91" s="3414" t="str">
        <f>+IF($O$51&lt;&gt;"",VRG_Teta!H62,"")</f>
        <v/>
      </c>
      <c r="O91" s="3641"/>
      <c r="S91" s="3333"/>
    </row>
    <row r="92" spans="6:19" ht="15" customHeight="1">
      <c r="F92" s="3407" t="s">
        <v>24903</v>
      </c>
      <c r="G92" s="3622" t="s">
        <v>22821</v>
      </c>
      <c r="H92" s="3623"/>
      <c r="I92" s="3413"/>
      <c r="J92" s="3413"/>
      <c r="K92" s="3416" t="str">
        <f>+IF($O$51&lt;&gt;"",VRG_Teta!E63,"")</f>
        <v/>
      </c>
      <c r="L92" s="3416" t="str">
        <f>+IF($O$51&lt;&gt;"",VRG_Teta!F63,"")</f>
        <v/>
      </c>
      <c r="M92" s="3416" t="str">
        <f>+IF($O$51&lt;&gt;"",VRG_Teta!G63,"")</f>
        <v/>
      </c>
      <c r="N92" s="3416" t="str">
        <f>+IF($O$51&lt;&gt;"",VRG_Teta!H63,"")</f>
        <v/>
      </c>
      <c r="O92" s="3641"/>
      <c r="S92" s="3333"/>
    </row>
    <row r="93" spans="6:19" ht="15" customHeight="1">
      <c r="F93" s="3407" t="s">
        <v>25011</v>
      </c>
      <c r="G93" s="3622" t="s">
        <v>22821</v>
      </c>
      <c r="H93" s="3623"/>
      <c r="I93" s="3413"/>
      <c r="J93" s="3413"/>
      <c r="K93" s="3416" t="str">
        <f>+IF($O$51&lt;&gt;"",VRG_Teta!E64,"")</f>
        <v/>
      </c>
      <c r="L93" s="3416" t="str">
        <f>+IF($O$51&lt;&gt;"",VRG_Teta!F64,"")</f>
        <v/>
      </c>
      <c r="M93" s="3416" t="str">
        <f>+IF($O$51&lt;&gt;"",VRG_Teta!G64,"")</f>
        <v/>
      </c>
      <c r="N93" s="3416" t="str">
        <f>+IF($O$51&lt;&gt;"",VRG_Teta!H64,"")</f>
        <v/>
      </c>
      <c r="O93" s="3641"/>
    </row>
    <row r="94" spans="6:19" ht="15" customHeight="1">
      <c r="F94" s="3373"/>
      <c r="G94"/>
      <c r="H94"/>
      <c r="I94"/>
      <c r="J94"/>
      <c r="K94"/>
      <c r="L94"/>
      <c r="M94"/>
      <c r="N94"/>
      <c r="O94" s="1619"/>
    </row>
    <row r="97" spans="4:19" ht="15" customHeight="1" outlineLevel="1">
      <c r="F97" s="565"/>
      <c r="G97"/>
      <c r="H97"/>
      <c r="I97"/>
      <c r="J97"/>
      <c r="K97"/>
      <c r="L97"/>
      <c r="M97"/>
      <c r="N97"/>
      <c r="O97" s="1619"/>
    </row>
    <row r="98" spans="4:19" ht="15" customHeight="1" outlineLevel="1">
      <c r="F98" s="3373"/>
      <c r="G98"/>
      <c r="H98"/>
      <c r="I98"/>
      <c r="J98"/>
      <c r="K98"/>
      <c r="L98"/>
      <c r="M98"/>
      <c r="N98"/>
      <c r="O98" s="1619"/>
      <c r="S98" s="3333"/>
    </row>
    <row r="99" spans="4:19" ht="25.35" customHeight="1" outlineLevel="1">
      <c r="F99" s="3335"/>
      <c r="G99" s="1013"/>
      <c r="H99" s="1013"/>
      <c r="I99" s="3633" t="s">
        <v>26866</v>
      </c>
      <c r="J99" s="3634"/>
      <c r="K99" s="3634"/>
      <c r="L99" s="3634"/>
      <c r="M99" s="3634"/>
      <c r="N99" s="3635"/>
      <c r="O99" s="3338"/>
      <c r="S99" s="3333"/>
    </row>
    <row r="100" spans="4:19" ht="15" customHeight="1" outlineLevel="1">
      <c r="F100" s="3335"/>
      <c r="G100" s="1013"/>
      <c r="H100" s="1013"/>
      <c r="I100" s="1013"/>
      <c r="J100" s="1013"/>
      <c r="K100" s="1013"/>
      <c r="L100" s="1013"/>
      <c r="M100" s="1013"/>
      <c r="N100" s="1013"/>
      <c r="O100" s="3338"/>
      <c r="S100" s="3333"/>
    </row>
    <row r="101" spans="4:19" ht="15" customHeight="1" outlineLevel="1">
      <c r="F101" s="3335"/>
      <c r="G101" s="1013"/>
      <c r="H101" s="1013"/>
      <c r="I101" s="2362">
        <v>2024</v>
      </c>
      <c r="J101" s="2362">
        <v>2025</v>
      </c>
      <c r="K101" s="2360">
        <v>2026</v>
      </c>
      <c r="L101" s="2361">
        <v>2027</v>
      </c>
      <c r="M101" s="2363">
        <v>2028</v>
      </c>
      <c r="N101" s="2363">
        <v>2029</v>
      </c>
      <c r="O101" s="3338"/>
      <c r="S101" s="3333"/>
    </row>
    <row r="102" spans="4:19" ht="15" customHeight="1" outlineLevel="1">
      <c r="F102" s="3352" t="s">
        <v>26867</v>
      </c>
      <c r="G102" s="3627" t="s">
        <v>22821</v>
      </c>
      <c r="H102" s="3628"/>
      <c r="I102" s="3413"/>
      <c r="J102" s="3413"/>
      <c r="K102" s="3417">
        <f>+Capex!E32</f>
        <v>0</v>
      </c>
      <c r="L102" s="3417">
        <f>+Capex!F32</f>
        <v>0</v>
      </c>
      <c r="M102" s="3417">
        <f>+Capex!G32</f>
        <v>0</v>
      </c>
      <c r="N102" s="3417">
        <f>+Capex!H32</f>
        <v>0</v>
      </c>
      <c r="O102" s="3355"/>
      <c r="S102" s="3333"/>
    </row>
    <row r="103" spans="4:19" ht="15" customHeight="1" outlineLevel="1">
      <c r="F103" s="3636" t="s">
        <v>29703</v>
      </c>
      <c r="G103" s="3629"/>
      <c r="H103" s="3630"/>
      <c r="I103" s="3413"/>
      <c r="J103" s="3413"/>
      <c r="K103" s="2766">
        <v>0</v>
      </c>
      <c r="L103" s="2766">
        <v>0</v>
      </c>
      <c r="M103" s="2766">
        <v>0</v>
      </c>
      <c r="N103" s="2766">
        <v>0</v>
      </c>
      <c r="O103" s="3355" t="str">
        <f>+IF(LEFT(O79,2)="OK",+IF(OR(K102-K103&lt;0,L102-L103&lt;0,M102-M103&lt;0,N102-N103&lt;0),"Attenzione: valori fuori dominio",IF(AND(K103="",L103="",M103="",N103=""),"&lt;--- Continuare da qui la compilazione 
(compilare tutti i campi)","OK, continuare la compilazione")),"")</f>
        <v/>
      </c>
      <c r="S103" s="3333"/>
    </row>
    <row r="104" spans="4:19" ht="15" customHeight="1" outlineLevel="1">
      <c r="F104" s="3636"/>
      <c r="G104" s="3631"/>
      <c r="H104" s="3632"/>
      <c r="I104" s="3413"/>
      <c r="J104" s="3413"/>
      <c r="K104" s="3418">
        <f t="shared" ref="K104:N104" si="2">+IFERROR(IF(K102-K103&lt;0,0,K103),0)</f>
        <v>0</v>
      </c>
      <c r="L104" s="3418">
        <f t="shared" si="2"/>
        <v>0</v>
      </c>
      <c r="M104" s="3418">
        <f t="shared" si="2"/>
        <v>0</v>
      </c>
      <c r="N104" s="3418">
        <f t="shared" si="2"/>
        <v>0</v>
      </c>
      <c r="O104" s="3355"/>
      <c r="S104" s="3333"/>
    </row>
    <row r="105" spans="4:19" ht="15" customHeight="1" outlineLevel="1">
      <c r="F105" s="3373"/>
      <c r="G105"/>
      <c r="H105"/>
      <c r="I105"/>
      <c r="J105"/>
      <c r="K105"/>
      <c r="L105"/>
      <c r="M105"/>
      <c r="N105"/>
      <c r="O105" s="1619"/>
      <c r="S105" s="3333"/>
    </row>
    <row r="106" spans="4:19" ht="15" customHeight="1" outlineLevel="1">
      <c r="F106" s="3352" t="s">
        <v>26868</v>
      </c>
      <c r="G106" s="3627" t="s">
        <v>22821</v>
      </c>
      <c r="H106" s="3628"/>
      <c r="I106" s="3413"/>
      <c r="J106" s="3413"/>
      <c r="K106" s="3417">
        <f>Capex!E30</f>
        <v>0</v>
      </c>
      <c r="L106" s="3417">
        <f>Capex!F30</f>
        <v>0</v>
      </c>
      <c r="M106" s="3417">
        <f>Capex!G30</f>
        <v>0</v>
      </c>
      <c r="N106" s="3417">
        <f>Capex!H30</f>
        <v>0</v>
      </c>
      <c r="O106" s="3355"/>
      <c r="S106" s="3333"/>
    </row>
    <row r="107" spans="4:19" ht="15" customHeight="1" outlineLevel="1">
      <c r="F107" s="3636" t="s">
        <v>29704</v>
      </c>
      <c r="G107" s="3629"/>
      <c r="H107" s="3630"/>
      <c r="I107" s="3413"/>
      <c r="J107" s="3413"/>
      <c r="K107" s="2766">
        <v>0</v>
      </c>
      <c r="L107" s="2766">
        <v>0</v>
      </c>
      <c r="M107" s="2766">
        <v>0</v>
      </c>
      <c r="N107" s="2766">
        <v>0</v>
      </c>
      <c r="O107" s="3355" t="str">
        <f>+IF(LEFT(O103,2)="OK",+IF(OR(K106-K107&lt;0,L106-L107&lt;0,M106-M107&lt;0,N106-N107&lt;0),"Attenzione: valori fuori dominio",IF(AND(K107="",L107="",M107="",N107=""),"&lt;--- Continuare da qui la compilazione 
(compilare tutti i campi)","OK, continuare la compilazione")),"")</f>
        <v/>
      </c>
      <c r="S107" s="3333"/>
    </row>
    <row r="108" spans="4:19" ht="15" customHeight="1" outlineLevel="1">
      <c r="D108" s="3380"/>
      <c r="F108" s="3636"/>
      <c r="G108" s="3631"/>
      <c r="H108" s="3632"/>
      <c r="I108" s="3413"/>
      <c r="J108" s="3413"/>
      <c r="K108" s="3418">
        <f t="shared" ref="K108:N108" si="3">+IFERROR(IF(K106-K107&lt;0,0,K107),0)</f>
        <v>0</v>
      </c>
      <c r="L108" s="3418">
        <f t="shared" si="3"/>
        <v>0</v>
      </c>
      <c r="M108" s="3418">
        <f t="shared" si="3"/>
        <v>0</v>
      </c>
      <c r="N108" s="3418">
        <f t="shared" si="3"/>
        <v>0</v>
      </c>
      <c r="O108" s="3355"/>
      <c r="S108" s="3333"/>
    </row>
    <row r="109" spans="4:19" ht="15" customHeight="1" outlineLevel="1">
      <c r="F109" s="3373"/>
      <c r="G109"/>
      <c r="H109"/>
      <c r="I109"/>
      <c r="J109"/>
      <c r="K109"/>
      <c r="L109"/>
      <c r="M109"/>
      <c r="N109"/>
      <c r="O109" s="1619"/>
      <c r="S109" s="3333"/>
    </row>
    <row r="110" spans="4:19" ht="15" customHeight="1" outlineLevel="1">
      <c r="F110" s="3352" t="s">
        <v>26869</v>
      </c>
      <c r="G110" s="3627" t="s">
        <v>22821</v>
      </c>
      <c r="H110" s="3628"/>
      <c r="I110" s="3413"/>
      <c r="J110" s="3413"/>
      <c r="K110" s="3417">
        <f>Capex!E31</f>
        <v>0</v>
      </c>
      <c r="L110" s="3417">
        <f>Capex!F31</f>
        <v>0</v>
      </c>
      <c r="M110" s="3417">
        <f>Capex!G31</f>
        <v>0</v>
      </c>
      <c r="N110" s="3417">
        <f>Capex!H31</f>
        <v>0</v>
      </c>
      <c r="O110" s="3355"/>
      <c r="S110" s="3333"/>
    </row>
    <row r="111" spans="4:19" ht="15" customHeight="1" outlineLevel="1">
      <c r="F111" s="3636" t="s">
        <v>29705</v>
      </c>
      <c r="G111" s="3629"/>
      <c r="H111" s="3630"/>
      <c r="I111" s="3413"/>
      <c r="J111" s="3413"/>
      <c r="K111" s="2766">
        <v>0</v>
      </c>
      <c r="L111" s="2766">
        <v>0</v>
      </c>
      <c r="M111" s="2766">
        <v>0</v>
      </c>
      <c r="N111" s="2766">
        <v>0</v>
      </c>
      <c r="O111" s="3355" t="str">
        <f>+IF(LEFT(O107,2)="OK",+IF(OR(K110-K111&lt;0,L110-L111&lt;0,M110-M111&lt;0,N110-N111&lt;0),"Attenzione: valori fuori dominio",IF(AND(K111="",L111="",M111="",N111=""),"&lt;--- Continuare da qui la compilazione 
(compilare tutti i campi)","OK, continuare la compilazione")),"")</f>
        <v/>
      </c>
      <c r="S111" s="3333"/>
    </row>
    <row r="112" spans="4:19" ht="15" customHeight="1" outlineLevel="1">
      <c r="F112" s="3636"/>
      <c r="G112" s="3631"/>
      <c r="H112" s="3632"/>
      <c r="I112" s="3413"/>
      <c r="J112" s="3413"/>
      <c r="K112" s="3418">
        <f t="shared" ref="K112:N112" si="4">+IFERROR(IF(K110-K111&lt;0,0,K111),0)</f>
        <v>0</v>
      </c>
      <c r="L112" s="3418">
        <f t="shared" si="4"/>
        <v>0</v>
      </c>
      <c r="M112" s="3418">
        <f t="shared" si="4"/>
        <v>0</v>
      </c>
      <c r="N112" s="3418">
        <f t="shared" si="4"/>
        <v>0</v>
      </c>
      <c r="O112" s="3355"/>
      <c r="S112" s="3333"/>
    </row>
    <row r="113" spans="4:19" ht="15" customHeight="1" outlineLevel="1">
      <c r="F113" s="3373"/>
      <c r="G113"/>
      <c r="H113"/>
      <c r="I113"/>
      <c r="J113"/>
      <c r="K113"/>
      <c r="L113"/>
      <c r="M113"/>
      <c r="N113"/>
      <c r="O113" s="1619"/>
      <c r="S113" s="3333"/>
    </row>
    <row r="114" spans="4:19" ht="15" customHeight="1" outlineLevel="1">
      <c r="F114" s="3373"/>
      <c r="G114"/>
      <c r="H114"/>
      <c r="I114"/>
      <c r="J114"/>
      <c r="K114" s="1500"/>
      <c r="L114"/>
      <c r="M114"/>
      <c r="N114"/>
      <c r="O114" s="1619"/>
      <c r="S114" s="3333"/>
    </row>
    <row r="115" spans="4:19" ht="15" customHeight="1" outlineLevel="1"/>
    <row r="116" spans="4:19" ht="15" customHeight="1" outlineLevel="1"/>
    <row r="117" spans="4:19" ht="15" customHeight="1" outlineLevel="1">
      <c r="F117" s="565"/>
      <c r="G117"/>
      <c r="H117"/>
      <c r="I117"/>
      <c r="J117"/>
      <c r="K117"/>
      <c r="L117"/>
      <c r="M117"/>
      <c r="N117"/>
      <c r="O117" s="1619"/>
    </row>
    <row r="118" spans="4:19" ht="15" customHeight="1" outlineLevel="1">
      <c r="F118" s="3373"/>
      <c r="G118"/>
      <c r="H118"/>
      <c r="I118"/>
      <c r="J118"/>
      <c r="K118"/>
      <c r="L118"/>
      <c r="M118"/>
      <c r="N118"/>
      <c r="O118" s="1619"/>
      <c r="S118" s="3333"/>
    </row>
    <row r="119" spans="4:19" ht="25.35" customHeight="1" outlineLevel="1">
      <c r="F119" s="3335"/>
      <c r="G119" s="1013"/>
      <c r="H119" s="1013"/>
      <c r="I119" s="3633" t="s">
        <v>22823</v>
      </c>
      <c r="J119" s="3634"/>
      <c r="K119" s="3634"/>
      <c r="L119" s="3634"/>
      <c r="M119" s="3634"/>
      <c r="N119" s="3635"/>
      <c r="O119" s="3338"/>
      <c r="S119" s="3333"/>
    </row>
    <row r="120" spans="4:19" ht="15" customHeight="1" outlineLevel="1">
      <c r="F120" s="3335"/>
      <c r="G120" s="1013"/>
      <c r="H120" s="1013"/>
      <c r="I120" s="1013"/>
      <c r="J120" s="1013"/>
      <c r="K120" s="1013"/>
      <c r="L120" s="1013"/>
      <c r="M120" s="1013"/>
      <c r="N120" s="1013"/>
      <c r="O120" s="3338"/>
      <c r="S120" s="3333"/>
    </row>
    <row r="121" spans="4:19" ht="15" customHeight="1" outlineLevel="1">
      <c r="F121" s="3335"/>
      <c r="G121" s="1013"/>
      <c r="H121" s="1013"/>
      <c r="I121" s="2362">
        <v>2024</v>
      </c>
      <c r="J121" s="2362">
        <v>2025</v>
      </c>
      <c r="K121" s="2360">
        <v>2026</v>
      </c>
      <c r="L121" s="2361">
        <v>2027</v>
      </c>
      <c r="M121" s="2363">
        <v>2028</v>
      </c>
      <c r="N121" s="2363">
        <v>2029</v>
      </c>
      <c r="O121" s="3338"/>
      <c r="S121" s="3333"/>
    </row>
    <row r="122" spans="4:19" ht="15" customHeight="1" outlineLevel="1">
      <c r="F122" s="3352" t="s">
        <v>22863</v>
      </c>
      <c r="G122" s="3627" t="s">
        <v>22821</v>
      </c>
      <c r="H122" s="3628"/>
      <c r="I122" s="3419"/>
      <c r="J122" s="3419"/>
      <c r="K122" s="3417">
        <f>+FoNI!E77</f>
        <v>0</v>
      </c>
      <c r="L122" s="3417">
        <f>+FoNI!F77</f>
        <v>0</v>
      </c>
      <c r="M122" s="3417">
        <f>+FoNI!G77</f>
        <v>0</v>
      </c>
      <c r="N122" s="3417">
        <f>+FoNI!H77</f>
        <v>0</v>
      </c>
      <c r="O122" s="3355"/>
      <c r="S122" s="3333"/>
    </row>
    <row r="123" spans="4:19" ht="15" customHeight="1" outlineLevel="1">
      <c r="F123" s="3636" t="s">
        <v>29711</v>
      </c>
      <c r="G123" s="3629"/>
      <c r="H123" s="3630"/>
      <c r="I123" s="3419"/>
      <c r="J123" s="3419"/>
      <c r="K123" s="2766">
        <v>0</v>
      </c>
      <c r="L123" s="2766">
        <v>0</v>
      </c>
      <c r="M123" s="2766">
        <v>0</v>
      </c>
      <c r="N123" s="2766">
        <v>0</v>
      </c>
      <c r="O123" s="3355" t="str">
        <f>+IF(LEFT(O111,2)="OK",+IF(OR(K123&lt;0,L123&lt;0,M123&lt;0,N123&lt;0,K123&gt;K122,L123&gt;L122,M123&gt;M122,N123&gt;N122),"Attenzione: valori fuori dominio",IF(AND(K123="",L123="",M123="",N123=""),"&lt;--- Continuare da qui la compilazione 
(compilare tutti i campi)","OK, continuare la compilazione")),"")</f>
        <v/>
      </c>
      <c r="S123" s="3333"/>
    </row>
    <row r="124" spans="4:19" ht="15" customHeight="1" outlineLevel="1">
      <c r="F124" s="3636"/>
      <c r="G124" s="3631"/>
      <c r="H124" s="3632"/>
      <c r="I124" s="3419"/>
      <c r="J124" s="3419"/>
      <c r="K124" s="3418">
        <f t="shared" ref="K124:N124" si="5">+IFERROR(IF(K122-K123&lt;0,0,K123),0)</f>
        <v>0</v>
      </c>
      <c r="L124" s="3418">
        <f t="shared" si="5"/>
        <v>0</v>
      </c>
      <c r="M124" s="3418">
        <f t="shared" si="5"/>
        <v>0</v>
      </c>
      <c r="N124" s="3418">
        <f t="shared" si="5"/>
        <v>0</v>
      </c>
      <c r="O124" s="3355"/>
      <c r="S124" s="3333"/>
    </row>
    <row r="125" spans="4:19" ht="15" customHeight="1" outlineLevel="1">
      <c r="F125" s="3373"/>
      <c r="G125"/>
      <c r="H125"/>
      <c r="I125"/>
      <c r="J125"/>
      <c r="K125"/>
      <c r="L125"/>
      <c r="M125"/>
      <c r="N125"/>
      <c r="O125" s="1619"/>
      <c r="S125" s="3333"/>
    </row>
    <row r="126" spans="4:19" ht="15" customHeight="1" outlineLevel="1">
      <c r="F126" s="3352" t="s">
        <v>22864</v>
      </c>
      <c r="G126" s="3627" t="s">
        <v>22821</v>
      </c>
      <c r="H126" s="3628"/>
      <c r="I126" s="3419"/>
      <c r="J126" s="3419"/>
      <c r="K126" s="3417">
        <f>+FoNI!E91</f>
        <v>0</v>
      </c>
      <c r="L126" s="3417">
        <f>+FoNI!F91</f>
        <v>0</v>
      </c>
      <c r="M126" s="3417">
        <f>+FoNI!G91</f>
        <v>0</v>
      </c>
      <c r="N126" s="3417">
        <f>+FoNI!H91</f>
        <v>0</v>
      </c>
      <c r="O126" s="3355"/>
      <c r="S126" s="3333"/>
    </row>
    <row r="127" spans="4:19" ht="15" customHeight="1" outlineLevel="1">
      <c r="F127" s="3636" t="s">
        <v>29712</v>
      </c>
      <c r="G127" s="3629"/>
      <c r="H127" s="3630"/>
      <c r="I127" s="3419"/>
      <c r="J127" s="3419"/>
      <c r="K127" s="2766">
        <v>0</v>
      </c>
      <c r="L127" s="2766">
        <v>0</v>
      </c>
      <c r="M127" s="2766">
        <v>0</v>
      </c>
      <c r="N127" s="2766">
        <v>0</v>
      </c>
      <c r="O127" s="3355" t="str">
        <f>+IF(LEFT(O123,2)="OK",+IF(OR(K127&lt;0,L127&lt;0,M127&lt;0,N127&lt;0,K127&gt;K126,L127&gt;L126,M127&gt;M126,N127&gt;N126),"Attenzione: valori fuori dominio",IF(AND(K127="",L127="",M127="",N127=""),"&lt;--- Continuare da qui la compilazione 
(compilare tutti i campi)","OK, continuare la compilazione")),"")</f>
        <v/>
      </c>
      <c r="S127" s="3333"/>
    </row>
    <row r="128" spans="4:19" ht="15" customHeight="1" outlineLevel="1">
      <c r="D128" s="3380"/>
      <c r="F128" s="3636"/>
      <c r="G128" s="3631"/>
      <c r="H128" s="3632"/>
      <c r="I128" s="3419"/>
      <c r="J128" s="3419"/>
      <c r="K128" s="3418">
        <f t="shared" ref="K128:N128" si="6">+IFERROR(IF(K126-K127&lt;0,0,K127),0)</f>
        <v>0</v>
      </c>
      <c r="L128" s="3418">
        <f t="shared" si="6"/>
        <v>0</v>
      </c>
      <c r="M128" s="3418">
        <f t="shared" si="6"/>
        <v>0</v>
      </c>
      <c r="N128" s="3418">
        <f t="shared" si="6"/>
        <v>0</v>
      </c>
      <c r="O128" s="3355"/>
      <c r="S128" s="3333"/>
    </row>
    <row r="129" spans="6:19" ht="15" customHeight="1" outlineLevel="1">
      <c r="F129" s="3373"/>
      <c r="G129"/>
      <c r="H129"/>
      <c r="I129"/>
      <c r="J129"/>
      <c r="K129"/>
      <c r="L129"/>
      <c r="M129"/>
      <c r="N129"/>
      <c r="O129" s="1619"/>
      <c r="S129" s="3333"/>
    </row>
    <row r="130" spans="6:19" ht="15" customHeight="1" outlineLevel="1">
      <c r="F130" s="3352" t="s">
        <v>24766</v>
      </c>
      <c r="G130" s="3627" t="s">
        <v>22821</v>
      </c>
      <c r="H130" s="3628"/>
      <c r="I130" s="3419"/>
      <c r="J130" s="3419"/>
      <c r="K130" s="3417">
        <f>+FoNI!E105</f>
        <v>0</v>
      </c>
      <c r="L130" s="3417">
        <f>+FoNI!F105</f>
        <v>0</v>
      </c>
      <c r="M130" s="3417">
        <f>+FoNI!G105</f>
        <v>0</v>
      </c>
      <c r="N130" s="3417">
        <f>+FoNI!H105</f>
        <v>0</v>
      </c>
      <c r="O130" s="3355" t="str">
        <f>+IF(LEFT($O$91,2)="OK","OK, continuare la compilazione","")</f>
        <v/>
      </c>
      <c r="S130" s="3333"/>
    </row>
    <row r="131" spans="6:19" ht="15" customHeight="1" outlineLevel="1">
      <c r="F131" s="3636" t="s">
        <v>29713</v>
      </c>
      <c r="G131" s="3629"/>
      <c r="H131" s="3630"/>
      <c r="I131" s="3419"/>
      <c r="J131" s="3419"/>
      <c r="K131" s="2766">
        <v>0</v>
      </c>
      <c r="L131" s="2766">
        <v>0</v>
      </c>
      <c r="M131" s="2766">
        <v>0</v>
      </c>
      <c r="N131" s="2766">
        <v>0</v>
      </c>
      <c r="O131" s="3355" t="str">
        <f>+IF(LEFT(O127,2)="OK",+IF(OR(K131&lt;0,L131&lt;0,M131&lt;0,N131&lt;0,K131&gt;K130,L131&gt;L130,M131&gt;M130,N131&gt;N130),"Attenzione: valori fuori dominio",IF(AND(K131="",L131="",M131="",N131=""),"&lt;--- Continuare da qui la compilazione 
(compilare tutti i campi)","OK, continuare la compilazione")),"")</f>
        <v/>
      </c>
      <c r="S131" s="3333"/>
    </row>
    <row r="132" spans="6:19" ht="15" customHeight="1" outlineLevel="1">
      <c r="F132" s="3636"/>
      <c r="G132" s="3631"/>
      <c r="H132" s="3632"/>
      <c r="I132" s="3419"/>
      <c r="J132" s="3419"/>
      <c r="K132" s="3418">
        <f t="shared" ref="K132:N132" si="7">+IFERROR(IF(K130-K131&lt;0,0,K131),0)</f>
        <v>0</v>
      </c>
      <c r="L132" s="3418">
        <f t="shared" si="7"/>
        <v>0</v>
      </c>
      <c r="M132" s="3418">
        <f t="shared" si="7"/>
        <v>0</v>
      </c>
      <c r="N132" s="3418">
        <f t="shared" si="7"/>
        <v>0</v>
      </c>
      <c r="O132" s="3355"/>
      <c r="S132" s="3333"/>
    </row>
    <row r="133" spans="6:19" ht="15" customHeight="1" outlineLevel="1">
      <c r="F133" s="3373"/>
      <c r="G133"/>
      <c r="H133"/>
      <c r="I133"/>
      <c r="J133"/>
      <c r="K133"/>
      <c r="L133"/>
      <c r="M133"/>
      <c r="N133"/>
      <c r="O133" s="1619"/>
      <c r="S133" s="3333"/>
    </row>
    <row r="134" spans="6:19" ht="15" customHeight="1" outlineLevel="1">
      <c r="F134" s="3373"/>
      <c r="G134"/>
      <c r="H134"/>
      <c r="I134"/>
      <c r="J134"/>
      <c r="K134"/>
      <c r="L134"/>
      <c r="M134"/>
      <c r="N134"/>
      <c r="O134" s="1619"/>
      <c r="S134" s="3333"/>
    </row>
    <row r="135" spans="6:19" ht="15" customHeight="1" outlineLevel="1"/>
    <row r="136" spans="6:19" ht="15" customHeight="1" outlineLevel="1"/>
    <row r="137" spans="6:19" ht="15" customHeight="1" outlineLevel="1">
      <c r="F137" s="565"/>
      <c r="G137"/>
      <c r="H137"/>
      <c r="I137"/>
      <c r="J137"/>
      <c r="K137"/>
      <c r="L137"/>
      <c r="M137"/>
      <c r="N137"/>
      <c r="O137" s="1619"/>
    </row>
    <row r="138" spans="6:19" ht="15" customHeight="1" outlineLevel="1">
      <c r="F138" s="565"/>
      <c r="G138"/>
      <c r="H138"/>
      <c r="I138"/>
      <c r="J138"/>
      <c r="K138"/>
      <c r="L138"/>
      <c r="M138"/>
      <c r="N138"/>
      <c r="O138" s="1619"/>
      <c r="S138" s="3333"/>
    </row>
    <row r="139" spans="6:19" ht="25.35" customHeight="1" outlineLevel="1">
      <c r="F139" s="565"/>
      <c r="G139" s="1013"/>
      <c r="H139" s="1013"/>
      <c r="I139" s="3633" t="s">
        <v>26870</v>
      </c>
      <c r="J139" s="3634"/>
      <c r="K139" s="3634"/>
      <c r="L139" s="3634"/>
      <c r="M139" s="3634"/>
      <c r="N139" s="3635"/>
      <c r="O139" s="3338"/>
      <c r="S139" s="3333"/>
    </row>
    <row r="140" spans="6:19" ht="15" customHeight="1" outlineLevel="1">
      <c r="F140" s="3335"/>
      <c r="G140" s="1013"/>
      <c r="H140" s="1013"/>
      <c r="I140" s="1013"/>
      <c r="J140" s="1013"/>
      <c r="K140" s="1013"/>
      <c r="L140" s="1013"/>
      <c r="M140" s="1013"/>
      <c r="N140" s="1013"/>
      <c r="O140" s="3338"/>
      <c r="S140" s="3333"/>
    </row>
    <row r="141" spans="6:19" ht="15" customHeight="1" outlineLevel="1">
      <c r="F141" s="3335"/>
      <c r="G141" s="1013"/>
      <c r="H141" s="1013"/>
      <c r="I141" s="2362">
        <v>2024</v>
      </c>
      <c r="J141" s="2362">
        <v>2025</v>
      </c>
      <c r="K141" s="2360">
        <v>2026</v>
      </c>
      <c r="L141" s="2361">
        <v>2027</v>
      </c>
      <c r="M141" s="2363">
        <v>2028</v>
      </c>
      <c r="N141" s="2363">
        <v>2029</v>
      </c>
      <c r="O141" s="3338"/>
      <c r="S141" s="3333"/>
    </row>
    <row r="142" spans="6:19" ht="15" customHeight="1" outlineLevel="1">
      <c r="F142" s="3420" t="s">
        <v>26872</v>
      </c>
      <c r="G142" s="3421"/>
      <c r="H142" s="3422"/>
      <c r="I142" s="3419"/>
      <c r="J142" s="3419"/>
      <c r="K142" s="3417">
        <f>+Opex!E30</f>
        <v>0</v>
      </c>
      <c r="L142" s="3417">
        <f>+Opex!F30</f>
        <v>0</v>
      </c>
      <c r="M142" s="3417">
        <f>+Opex!G30</f>
        <v>0</v>
      </c>
      <c r="N142" s="3417">
        <f>+Opex!H30</f>
        <v>0</v>
      </c>
      <c r="O142" s="3355"/>
      <c r="S142" s="3333"/>
    </row>
    <row r="143" spans="6:19" ht="15" customHeight="1" outlineLevel="1">
      <c r="F143" s="3670" t="s">
        <v>29714</v>
      </c>
      <c r="G143" s="3675" t="s">
        <v>31872</v>
      </c>
      <c r="H143" s="3676"/>
      <c r="I143" s="3419"/>
      <c r="J143" s="3419"/>
      <c r="K143" s="2766">
        <v>0</v>
      </c>
      <c r="L143" s="2766">
        <v>0</v>
      </c>
      <c r="M143" s="2766">
        <v>0</v>
      </c>
      <c r="N143" s="2766">
        <v>0</v>
      </c>
      <c r="O143" s="3355" t="str">
        <f>+IF(LEFT(O131,2)="OK",+IF(OR(K142-K143&lt;0,L142-L143&lt;0,M142-M143&lt;0,N142-N143&lt;0),"Attenzione: valori fuori dominio",IF(AND(K143="",L143="",M143="",N143=""),"&lt;--- Continuare da qui la compilazione 
(compilare tutti i campi)","OK, continuare la compilazione")),"")</f>
        <v/>
      </c>
      <c r="S143" s="3333"/>
    </row>
    <row r="144" spans="6:19" ht="15" customHeight="1" outlineLevel="1">
      <c r="F144" s="3671"/>
      <c r="G144" s="3675" t="s">
        <v>31873</v>
      </c>
      <c r="H144" s="3676"/>
      <c r="I144" s="3419"/>
      <c r="J144" s="3419"/>
      <c r="K144" s="2766">
        <v>0</v>
      </c>
      <c r="L144" s="2766">
        <v>0</v>
      </c>
      <c r="M144" s="2766">
        <v>0</v>
      </c>
      <c r="N144" s="2766">
        <v>0</v>
      </c>
      <c r="O144" s="3355" t="str">
        <f>+IF(LEFT(O131,2)="OK",+IF(OR(K142-K144&lt;0,L142-L144&lt;0,M142-M144&lt;0,N142-N144&lt;0),"Attenzione: valori fuori dominio",IF(AND(K144="",L144="",M144="",N144=""),"&lt;--- Continuare da qui la compilazione 
(compilare tutti i campi)","OK, continuare la compilazione")),"")</f>
        <v/>
      </c>
      <c r="S144" s="3333"/>
    </row>
    <row r="145" spans="6:19" ht="15" customHeight="1" outlineLevel="1">
      <c r="F145" s="3672"/>
      <c r="G145" s="3423"/>
      <c r="H145" s="3424"/>
      <c r="I145" s="3419"/>
      <c r="J145" s="3419"/>
      <c r="K145" s="3418">
        <f>+IFERROR(IF(K142-K143-K144&lt;0,0,K143+K144),0)</f>
        <v>0</v>
      </c>
      <c r="L145" s="3418">
        <f>+IFERROR(IF(L142-L143-L144&lt;0,0,L143+L144),0)</f>
        <v>0</v>
      </c>
      <c r="M145" s="3418">
        <f>+IFERROR(IF(M142-M143-M144&lt;0,0,M143+M144),0)</f>
        <v>0</v>
      </c>
      <c r="N145" s="3418">
        <f>+IFERROR(IF(N142-N143-N144&lt;0,0,N143+N144),0)</f>
        <v>0</v>
      </c>
      <c r="O145" s="3355"/>
      <c r="S145" s="3333"/>
    </row>
    <row r="146" spans="6:19" ht="15" customHeight="1" outlineLevel="1">
      <c r="F146" s="3373"/>
      <c r="G146"/>
      <c r="H146"/>
      <c r="I146"/>
      <c r="J146"/>
      <c r="K146"/>
      <c r="L146"/>
      <c r="M146"/>
      <c r="N146"/>
      <c r="O146" s="1619"/>
      <c r="S146" s="3333"/>
    </row>
    <row r="147" spans="6:19" ht="15" customHeight="1" outlineLevel="1">
      <c r="F147" s="3420" t="s">
        <v>26873</v>
      </c>
      <c r="G147" s="3627" t="s">
        <v>22821</v>
      </c>
      <c r="H147" s="3628"/>
      <c r="I147" s="3419"/>
      <c r="J147" s="3419"/>
      <c r="K147" s="3417">
        <f>+Opex!E31</f>
        <v>0</v>
      </c>
      <c r="L147" s="3417">
        <f>+Opex!F31</f>
        <v>0</v>
      </c>
      <c r="M147" s="3417">
        <f>+Opex!G31</f>
        <v>0</v>
      </c>
      <c r="N147" s="3417">
        <f>+Opex!H31</f>
        <v>0</v>
      </c>
      <c r="O147" s="3355"/>
      <c r="S147" s="3333"/>
    </row>
    <row r="148" spans="6:19" ht="15" customHeight="1" outlineLevel="1">
      <c r="F148" s="3636" t="s">
        <v>29715</v>
      </c>
      <c r="G148" s="3629"/>
      <c r="H148" s="3630"/>
      <c r="I148" s="3419"/>
      <c r="J148" s="3419"/>
      <c r="K148" s="2766">
        <v>0</v>
      </c>
      <c r="L148" s="2766">
        <v>0</v>
      </c>
      <c r="M148" s="2766">
        <v>0</v>
      </c>
      <c r="N148" s="2766">
        <v>0</v>
      </c>
      <c r="O148" s="3355" t="str">
        <f>+IF(LEFT(O144,2)="OK",+IF(OR(K147-K148&lt;0,L147-L148&lt;0,M147-M148&lt;0,N147-N148&lt;0),"Attenzione: valori fuori dominio",IF(AND(K148="",L148="",M148="",N148=""),"&lt;--- Continuare da qui la compilazione 
(compilare tutti i campi)","OK, continuare la compilazione")),"")</f>
        <v/>
      </c>
      <c r="S148" s="3333"/>
    </row>
    <row r="149" spans="6:19" ht="15" customHeight="1" outlineLevel="1">
      <c r="F149" s="3636"/>
      <c r="G149" s="3631"/>
      <c r="H149" s="3632"/>
      <c r="I149" s="3419"/>
      <c r="J149" s="3419"/>
      <c r="K149" s="3418">
        <f t="shared" ref="K149:N149" si="8">+IFERROR(IF(K147-K148&lt;0,0,K148),0)</f>
        <v>0</v>
      </c>
      <c r="L149" s="3418">
        <f t="shared" si="8"/>
        <v>0</v>
      </c>
      <c r="M149" s="3418">
        <f t="shared" si="8"/>
        <v>0</v>
      </c>
      <c r="N149" s="3418">
        <f t="shared" si="8"/>
        <v>0</v>
      </c>
      <c r="O149" s="3355"/>
      <c r="S149" s="3333"/>
    </row>
    <row r="150" spans="6:19" ht="15" customHeight="1" outlineLevel="1">
      <c r="F150" s="3373"/>
      <c r="G150"/>
      <c r="H150"/>
      <c r="I150"/>
      <c r="J150"/>
      <c r="K150"/>
      <c r="L150"/>
      <c r="M150"/>
      <c r="N150"/>
      <c r="O150" s="1619"/>
      <c r="S150" s="3333"/>
    </row>
    <row r="151" spans="6:19" ht="15" customHeight="1" outlineLevel="1">
      <c r="F151" s="3373"/>
      <c r="G151"/>
      <c r="H151"/>
      <c r="I151"/>
      <c r="J151"/>
      <c r="K151"/>
      <c r="L151"/>
      <c r="M151"/>
      <c r="N151"/>
      <c r="O151" s="1619"/>
      <c r="S151" s="3333"/>
    </row>
    <row r="152" spans="6:19" ht="15" customHeight="1" outlineLevel="1"/>
    <row r="153" spans="6:19" ht="15" customHeight="1" outlineLevel="1"/>
    <row r="154" spans="6:19" ht="15" customHeight="1" outlineLevel="1">
      <c r="F154" s="565"/>
      <c r="G154"/>
      <c r="H154"/>
      <c r="I154"/>
      <c r="J154"/>
      <c r="K154"/>
      <c r="L154"/>
      <c r="M154"/>
      <c r="N154"/>
      <c r="O154" s="1619"/>
    </row>
    <row r="155" spans="6:19" ht="15" customHeight="1" outlineLevel="1">
      <c r="F155" s="565"/>
      <c r="G155"/>
      <c r="H155"/>
      <c r="I155"/>
      <c r="J155"/>
      <c r="K155"/>
      <c r="L155"/>
      <c r="M155"/>
      <c r="N155"/>
      <c r="O155" s="1619"/>
      <c r="S155" s="3333"/>
    </row>
    <row r="156" spans="6:19" ht="25.35" customHeight="1" outlineLevel="1">
      <c r="F156" s="565"/>
      <c r="G156" s="1013"/>
      <c r="H156" s="1013"/>
      <c r="I156" s="3633" t="s">
        <v>26882</v>
      </c>
      <c r="J156" s="3634"/>
      <c r="K156" s="3634"/>
      <c r="L156" s="3634"/>
      <c r="M156" s="3634"/>
      <c r="N156" s="3635"/>
      <c r="O156" s="3338"/>
      <c r="S156" s="3333"/>
    </row>
    <row r="157" spans="6:19" ht="15" customHeight="1" outlineLevel="1">
      <c r="F157" s="3335"/>
      <c r="G157" s="1013"/>
      <c r="H157" s="1013"/>
      <c r="I157" s="1013"/>
      <c r="J157" s="1013"/>
      <c r="K157" s="1013"/>
      <c r="L157" s="1013"/>
      <c r="M157" s="1013"/>
      <c r="N157" s="1013"/>
      <c r="O157" s="3338"/>
      <c r="S157" s="3333"/>
    </row>
    <row r="158" spans="6:19" ht="15" customHeight="1" outlineLevel="1">
      <c r="F158" s="3335"/>
      <c r="G158" s="1013"/>
      <c r="H158" s="1013"/>
      <c r="I158" s="2362">
        <v>2024</v>
      </c>
      <c r="J158" s="2362">
        <v>2025</v>
      </c>
      <c r="K158" s="2360">
        <v>2026</v>
      </c>
      <c r="L158" s="2361">
        <v>2027</v>
      </c>
      <c r="M158" s="2363">
        <v>2028</v>
      </c>
      <c r="N158" s="2363">
        <v>2029</v>
      </c>
      <c r="O158" s="3338"/>
      <c r="S158" s="3333"/>
    </row>
    <row r="159" spans="6:19" ht="15" customHeight="1" outlineLevel="1">
      <c r="F159" s="3420" t="s">
        <v>26884</v>
      </c>
      <c r="G159" s="3627" t="s">
        <v>22821</v>
      </c>
      <c r="H159" s="3628"/>
      <c r="I159" s="3419"/>
      <c r="J159" s="3419"/>
      <c r="K159" s="3417">
        <f>ERC!E30</f>
        <v>0</v>
      </c>
      <c r="L159" s="3417">
        <f>ERC!F30</f>
        <v>0</v>
      </c>
      <c r="M159" s="3417">
        <f>ERC!G30</f>
        <v>0</v>
      </c>
      <c r="N159" s="3417">
        <f>ERC!H30</f>
        <v>0</v>
      </c>
      <c r="O159" s="3355"/>
      <c r="S159" s="3333"/>
    </row>
    <row r="160" spans="6:19" ht="15" customHeight="1" outlineLevel="1">
      <c r="F160" s="3636" t="s">
        <v>29716</v>
      </c>
      <c r="G160" s="3629"/>
      <c r="H160" s="3630"/>
      <c r="I160" s="3419"/>
      <c r="J160" s="3419"/>
      <c r="K160" s="2766">
        <v>0</v>
      </c>
      <c r="L160" s="2766">
        <v>0</v>
      </c>
      <c r="M160" s="2766">
        <v>0</v>
      </c>
      <c r="N160" s="2766">
        <v>0</v>
      </c>
      <c r="O160" s="3355" t="str">
        <f>+IF(LEFT(O148,2)="OK",+IF(OR(K159-K160&lt;0,L159-L160&lt;0,M159-M160&lt;0,N159-N160&lt;0),"Attenzione: valori fuori dominio",IF(AND(K160="",L160="",M160="",N160=""),"&lt;--- Continuare da qui la compilazione 
(compilare tutti i campi)","OK, continuare la compilazione")),"")</f>
        <v/>
      </c>
      <c r="S160" s="3333"/>
    </row>
    <row r="161" spans="6:19" ht="15" customHeight="1" outlineLevel="1">
      <c r="F161" s="3636"/>
      <c r="G161" s="3631"/>
      <c r="H161" s="3632"/>
      <c r="I161" s="3419"/>
      <c r="J161" s="3419"/>
      <c r="K161" s="3418">
        <f t="shared" ref="K161:N161" si="9">+IFERROR(IF(K159-K160&lt;0,0,K160),0)</f>
        <v>0</v>
      </c>
      <c r="L161" s="3418">
        <f t="shared" si="9"/>
        <v>0</v>
      </c>
      <c r="M161" s="3418">
        <f t="shared" si="9"/>
        <v>0</v>
      </c>
      <c r="N161" s="3418">
        <f t="shared" si="9"/>
        <v>0</v>
      </c>
      <c r="O161" s="3355"/>
      <c r="S161" s="3333"/>
    </row>
    <row r="162" spans="6:19" ht="15" customHeight="1" outlineLevel="1">
      <c r="F162" s="3373"/>
      <c r="G162"/>
      <c r="H162"/>
      <c r="I162"/>
      <c r="J162"/>
      <c r="K162"/>
      <c r="L162"/>
      <c r="M162"/>
      <c r="N162"/>
      <c r="O162" s="1619"/>
      <c r="S162" s="3333"/>
    </row>
    <row r="163" spans="6:19" ht="15" customHeight="1" outlineLevel="1">
      <c r="F163" s="3420" t="s">
        <v>26885</v>
      </c>
      <c r="G163" s="3627" t="s">
        <v>22821</v>
      </c>
      <c r="H163" s="3628"/>
      <c r="I163" s="3419"/>
      <c r="J163" s="3419"/>
      <c r="K163" s="3417">
        <f ca="1">ERC!E31</f>
        <v>0</v>
      </c>
      <c r="L163" s="3417">
        <f ca="1">ERC!F31</f>
        <v>0</v>
      </c>
      <c r="M163" s="3417">
        <f ca="1">ERC!G31</f>
        <v>0</v>
      </c>
      <c r="N163" s="3417">
        <f ca="1">ERC!H31</f>
        <v>0</v>
      </c>
      <c r="O163" s="3355"/>
      <c r="S163" s="3333"/>
    </row>
    <row r="164" spans="6:19" ht="15" customHeight="1" outlineLevel="1">
      <c r="F164" s="3636" t="s">
        <v>29717</v>
      </c>
      <c r="G164" s="3629"/>
      <c r="H164" s="3630"/>
      <c r="I164" s="3419"/>
      <c r="J164" s="3419"/>
      <c r="K164" s="2766">
        <v>0</v>
      </c>
      <c r="L164" s="2766">
        <v>0</v>
      </c>
      <c r="M164" s="2766">
        <v>0</v>
      </c>
      <c r="N164" s="2766">
        <v>0</v>
      </c>
      <c r="O164" s="3355" t="str">
        <f>+IF(LEFT(O160,2)="OK",+IF(OR(K163-K164&lt;0,L163-L164&lt;0,M163-M164&lt;0,N163-N164&lt;0),"Attenzione: valori fuori dominio",IF(AND(K164="",L164="",M164="",N164=""),"&lt;--- Continuare da qui la compilazione 
(compilare tutti i campi)","OK, continuare la compilazione")),"")</f>
        <v/>
      </c>
      <c r="S164" s="3333"/>
    </row>
    <row r="165" spans="6:19" ht="15" customHeight="1" outlineLevel="1">
      <c r="F165" s="3636"/>
      <c r="G165" s="3631"/>
      <c r="H165" s="3632"/>
      <c r="I165" s="3419"/>
      <c r="J165" s="3419"/>
      <c r="K165" s="3418">
        <f t="shared" ref="K165:N165" ca="1" si="10">+IFERROR(IF(K163-K164&lt;0,0,K164),0)</f>
        <v>0</v>
      </c>
      <c r="L165" s="3418">
        <f t="shared" ca="1" si="10"/>
        <v>0</v>
      </c>
      <c r="M165" s="3418">
        <f t="shared" ca="1" si="10"/>
        <v>0</v>
      </c>
      <c r="N165" s="3418">
        <f t="shared" ca="1" si="10"/>
        <v>0</v>
      </c>
      <c r="O165" s="3355"/>
      <c r="S165" s="3333"/>
    </row>
    <row r="166" spans="6:19" ht="15" customHeight="1" outlineLevel="1">
      <c r="F166" s="3373"/>
      <c r="G166"/>
      <c r="H166"/>
      <c r="I166"/>
      <c r="J166"/>
      <c r="K166"/>
      <c r="L166"/>
      <c r="M166"/>
      <c r="N166"/>
      <c r="O166" s="1619"/>
      <c r="S166" s="3333"/>
    </row>
    <row r="167" spans="6:19" ht="15" customHeight="1" outlineLevel="1">
      <c r="F167" s="3373"/>
      <c r="G167"/>
      <c r="H167"/>
      <c r="I167"/>
      <c r="J167"/>
      <c r="K167"/>
      <c r="L167"/>
      <c r="M167"/>
      <c r="N167"/>
      <c r="O167" s="1619"/>
      <c r="S167" s="3333"/>
    </row>
    <row r="168" spans="6:19" ht="15" customHeight="1" outlineLevel="1"/>
    <row r="169" spans="6:19" ht="15" customHeight="1" outlineLevel="1"/>
    <row r="170" spans="6:19" ht="15" customHeight="1">
      <c r="F170" s="565"/>
      <c r="G170"/>
      <c r="H170"/>
      <c r="I170"/>
      <c r="J170"/>
      <c r="K170"/>
      <c r="L170"/>
      <c r="M170"/>
      <c r="N170"/>
      <c r="O170" s="1619"/>
    </row>
    <row r="171" spans="6:19" ht="15" customHeight="1">
      <c r="F171" s="565"/>
      <c r="G171"/>
      <c r="H171"/>
      <c r="I171"/>
      <c r="J171"/>
      <c r="K171"/>
      <c r="L171"/>
      <c r="M171"/>
      <c r="N171"/>
      <c r="O171" s="1619"/>
      <c r="S171" s="3333"/>
    </row>
    <row r="172" spans="6:19" ht="25.35" customHeight="1">
      <c r="F172" s="565"/>
      <c r="G172" s="1013"/>
      <c r="H172" s="1013"/>
      <c r="I172" s="3633" t="s">
        <v>26883</v>
      </c>
      <c r="J172" s="3634"/>
      <c r="K172" s="3634"/>
      <c r="L172" s="3634"/>
      <c r="M172" s="3634"/>
      <c r="N172" s="3635"/>
      <c r="O172" s="3338"/>
      <c r="S172" s="3333"/>
    </row>
    <row r="173" spans="6:19" ht="15" customHeight="1">
      <c r="F173" s="3335"/>
      <c r="G173" s="1013"/>
      <c r="H173" s="1013"/>
      <c r="I173" s="1013"/>
      <c r="J173" s="1013"/>
      <c r="K173" s="1013"/>
      <c r="L173" s="1013"/>
      <c r="M173" s="1013"/>
      <c r="N173" s="1013"/>
      <c r="O173" s="3338"/>
      <c r="S173" s="3333"/>
    </row>
    <row r="174" spans="6:19" ht="15" customHeight="1">
      <c r="F174" s="3335"/>
      <c r="G174" s="1013"/>
      <c r="H174" s="1013"/>
      <c r="I174" s="2362">
        <v>2024</v>
      </c>
      <c r="J174" s="2362">
        <v>2025</v>
      </c>
      <c r="K174" s="2360">
        <v>2026</v>
      </c>
      <c r="L174" s="2361">
        <v>2027</v>
      </c>
      <c r="M174" s="2363">
        <v>2028</v>
      </c>
      <c r="N174" s="2363">
        <v>2029</v>
      </c>
      <c r="O174" s="3338"/>
      <c r="S174" s="3333"/>
    </row>
    <row r="175" spans="6:19" ht="15" customHeight="1">
      <c r="F175" s="3420" t="s">
        <v>26897</v>
      </c>
      <c r="G175" s="3627" t="s">
        <v>22821</v>
      </c>
      <c r="H175" s="3628"/>
      <c r="I175" s="3419"/>
      <c r="J175" s="3419"/>
      <c r="K175" s="3417">
        <f>'Rc'!E30</f>
        <v>0</v>
      </c>
      <c r="L175" s="3417">
        <f>'Rc'!F30</f>
        <v>0</v>
      </c>
      <c r="M175" s="3417">
        <f>'Rc'!G30</f>
        <v>0</v>
      </c>
      <c r="N175" s="3417">
        <f>'Rc'!H30</f>
        <v>0</v>
      </c>
      <c r="O175" s="3355"/>
      <c r="S175" s="3333"/>
    </row>
    <row r="176" spans="6:19" ht="15" customHeight="1">
      <c r="F176" s="3636" t="s">
        <v>26902</v>
      </c>
      <c r="G176" s="3629"/>
      <c r="H176" s="3630"/>
      <c r="I176" s="3419"/>
      <c r="J176" s="3419"/>
      <c r="K176" s="2766">
        <v>0</v>
      </c>
      <c r="L176" s="2766">
        <v>0</v>
      </c>
      <c r="M176" s="2766">
        <v>0</v>
      </c>
      <c r="N176" s="2766">
        <v>0</v>
      </c>
      <c r="O176" s="3355" t="str">
        <f>+IF(LEFT(O164,2)="OK",+IF(OR(K175-K176&lt;0,L175-L176&lt;0,M175-M176&lt;0,N175-N176&lt;0),"Attenzione: valori fuori dominio",IF(AND(K176="",L176="",M176="",N176=""),"&lt;--- Continuare da qui la compilazione 
(compilare tutti i campi)","OK, continuare la compilazione")),"")</f>
        <v/>
      </c>
      <c r="S176" s="3333"/>
    </row>
    <row r="177" spans="6:19" ht="15" customHeight="1">
      <c r="F177" s="3636"/>
      <c r="G177" s="3631"/>
      <c r="H177" s="3632"/>
      <c r="I177" s="3419"/>
      <c r="J177" s="3419"/>
      <c r="K177" s="3418">
        <f t="shared" ref="K177:N177" si="11">+IFERROR(IF(K175-K176&lt;0,0,K176),0)</f>
        <v>0</v>
      </c>
      <c r="L177" s="3418">
        <f t="shared" si="11"/>
        <v>0</v>
      </c>
      <c r="M177" s="3418">
        <f t="shared" si="11"/>
        <v>0</v>
      </c>
      <c r="N177" s="3418">
        <f t="shared" si="11"/>
        <v>0</v>
      </c>
      <c r="O177" s="3355"/>
      <c r="S177" s="3333"/>
    </row>
    <row r="178" spans="6:19" ht="15" customHeight="1">
      <c r="F178" s="3373"/>
      <c r="G178"/>
      <c r="H178"/>
      <c r="I178"/>
      <c r="J178"/>
      <c r="K178"/>
      <c r="L178"/>
      <c r="M178"/>
      <c r="N178"/>
      <c r="O178" s="1619"/>
      <c r="S178" s="3333"/>
    </row>
    <row r="179" spans="6:19" ht="15" customHeight="1">
      <c r="F179" s="3420" t="s">
        <v>26898</v>
      </c>
      <c r="G179" s="3627" t="s">
        <v>22821</v>
      </c>
      <c r="H179" s="3628"/>
      <c r="I179" s="3419"/>
      <c r="J179" s="3419"/>
      <c r="K179" s="3417">
        <f>'Rc'!E31</f>
        <v>0</v>
      </c>
      <c r="L179" s="3417">
        <f>'Rc'!F31</f>
        <v>0</v>
      </c>
      <c r="M179" s="3417">
        <f>'Rc'!G31</f>
        <v>0</v>
      </c>
      <c r="N179" s="3417">
        <f>'Rc'!H31</f>
        <v>0</v>
      </c>
      <c r="O179" s="3355"/>
      <c r="S179" s="3333"/>
    </row>
    <row r="180" spans="6:19" ht="15" customHeight="1">
      <c r="F180" s="3636" t="s">
        <v>26903</v>
      </c>
      <c r="G180" s="3629"/>
      <c r="H180" s="3630"/>
      <c r="I180" s="3419"/>
      <c r="J180" s="3419"/>
      <c r="K180" s="2766">
        <v>0</v>
      </c>
      <c r="L180" s="2766">
        <v>0</v>
      </c>
      <c r="M180" s="2766">
        <v>0</v>
      </c>
      <c r="N180" s="2766">
        <v>0</v>
      </c>
      <c r="O180" s="3355" t="str">
        <f>+IF(LEFT(O176,2)="OK",+IF(OR(K179-K180&lt;0,L179-L180&lt;0,M179-M180&lt;0,N179-N180&lt;0),"Attenzione: valori fuori dominio",IF(AND(K180="",L180="",M180="",N180=""),"&lt;--- Continuare da qui la compilazione 
(compilare tutti i campi)","OK, continuare la compilazione")),"")</f>
        <v/>
      </c>
      <c r="S180" s="3333"/>
    </row>
    <row r="181" spans="6:19" ht="15" customHeight="1">
      <c r="F181" s="3636"/>
      <c r="G181" s="3631"/>
      <c r="H181" s="3632"/>
      <c r="I181" s="3419"/>
      <c r="J181" s="3419"/>
      <c r="K181" s="3418">
        <f t="shared" ref="K181:N181" si="12">+IFERROR(IF(K179-K180&lt;0,0,K180),0)</f>
        <v>0</v>
      </c>
      <c r="L181" s="3418">
        <f t="shared" si="12"/>
        <v>0</v>
      </c>
      <c r="M181" s="3418">
        <f t="shared" si="12"/>
        <v>0</v>
      </c>
      <c r="N181" s="3418">
        <f t="shared" si="12"/>
        <v>0</v>
      </c>
      <c r="O181" s="3355"/>
      <c r="S181" s="3333"/>
    </row>
    <row r="182" spans="6:19" ht="15" customHeight="1">
      <c r="F182" s="3373"/>
      <c r="G182"/>
      <c r="H182"/>
      <c r="I182"/>
      <c r="J182"/>
      <c r="K182"/>
      <c r="L182"/>
      <c r="M182"/>
      <c r="N182"/>
      <c r="O182" s="1619"/>
      <c r="S182" s="3333"/>
    </row>
    <row r="183" spans="6:19" ht="15" customHeight="1">
      <c r="F183" s="3420" t="s">
        <v>26900</v>
      </c>
      <c r="G183" s="3627" t="s">
        <v>22821</v>
      </c>
      <c r="H183" s="3628"/>
      <c r="I183" s="3419"/>
      <c r="J183" s="3419"/>
      <c r="K183" s="3417">
        <f>'Rc'!E32</f>
        <v>0</v>
      </c>
      <c r="L183" s="3417">
        <f>'Rc'!F32</f>
        <v>0</v>
      </c>
      <c r="M183" s="3417">
        <f>'Rc'!G32</f>
        <v>0</v>
      </c>
      <c r="N183" s="3417">
        <f>'Rc'!H32</f>
        <v>0</v>
      </c>
      <c r="O183" s="3355"/>
      <c r="S183" s="3333"/>
    </row>
    <row r="184" spans="6:19" ht="15" customHeight="1">
      <c r="F184" s="3636" t="s">
        <v>26904</v>
      </c>
      <c r="G184" s="3629"/>
      <c r="H184" s="3630"/>
      <c r="I184" s="3419"/>
      <c r="J184" s="3419"/>
      <c r="K184" s="2766">
        <v>0</v>
      </c>
      <c r="L184" s="2766">
        <v>0</v>
      </c>
      <c r="M184" s="2766">
        <v>0</v>
      </c>
      <c r="N184" s="2766">
        <v>0</v>
      </c>
      <c r="O184" s="3355" t="str">
        <f>+IF(LEFT(O180,2)="OK",+IF(OR(K183-K184&lt;0,L183-L184&lt;0,M183-M184&lt;0,N183-N184&lt;0),"Attenzione: valori fuori dominio",IF(AND(K184="",L184="",M184="",N184=""),"&lt;--- Continuare da qui la compilazione 
(compilare tutti i campi)","OK, continuare la compilazione")),"")</f>
        <v/>
      </c>
      <c r="S184" s="3333"/>
    </row>
    <row r="185" spans="6:19" ht="15" customHeight="1">
      <c r="F185" s="3636"/>
      <c r="G185" s="3631"/>
      <c r="H185" s="3632"/>
      <c r="I185" s="3419"/>
      <c r="J185" s="3419"/>
      <c r="K185" s="3418">
        <f t="shared" ref="K185:N185" si="13">+IFERROR(IF(K183-K184&lt;0,0,K184),0)</f>
        <v>0</v>
      </c>
      <c r="L185" s="3418">
        <f t="shared" si="13"/>
        <v>0</v>
      </c>
      <c r="M185" s="3418">
        <f t="shared" si="13"/>
        <v>0</v>
      </c>
      <c r="N185" s="3418">
        <f t="shared" si="13"/>
        <v>0</v>
      </c>
      <c r="O185" s="3355"/>
      <c r="S185" s="3333"/>
    </row>
    <row r="186" spans="6:19" ht="15" customHeight="1">
      <c r="F186" s="3373"/>
      <c r="G186"/>
      <c r="H186"/>
      <c r="I186"/>
      <c r="J186"/>
      <c r="K186"/>
      <c r="L186"/>
      <c r="M186"/>
      <c r="N186"/>
      <c r="O186" s="1619"/>
      <c r="S186" s="3333"/>
    </row>
    <row r="187" spans="6:19" ht="15" customHeight="1">
      <c r="F187" s="3420" t="s">
        <v>26899</v>
      </c>
      <c r="G187" s="3627" t="s">
        <v>22821</v>
      </c>
      <c r="H187" s="3628"/>
      <c r="I187" s="3419"/>
      <c r="J187" s="3419"/>
      <c r="K187" s="3417">
        <f ca="1">'Rc'!E33</f>
        <v>0</v>
      </c>
      <c r="L187" s="3417">
        <f ca="1">'Rc'!F33</f>
        <v>0</v>
      </c>
      <c r="M187" s="3417">
        <f ca="1">'Rc'!G33</f>
        <v>0</v>
      </c>
      <c r="N187" s="3417">
        <f ca="1">'Rc'!H33</f>
        <v>0</v>
      </c>
      <c r="O187" s="3355"/>
      <c r="S187" s="3333"/>
    </row>
    <row r="188" spans="6:19" ht="15" customHeight="1">
      <c r="F188" s="3636" t="s">
        <v>26905</v>
      </c>
      <c r="G188" s="3629"/>
      <c r="H188" s="3630"/>
      <c r="I188" s="3419"/>
      <c r="J188" s="3419"/>
      <c r="K188" s="2766">
        <v>0</v>
      </c>
      <c r="L188" s="2766">
        <v>0</v>
      </c>
      <c r="M188" s="2766">
        <v>0</v>
      </c>
      <c r="N188" s="2766">
        <v>0</v>
      </c>
      <c r="O188" s="3355" t="str">
        <f>+IF(LEFT(O184,2)="OK",+IF(OR(K187-K188&lt;0,L187-L188&lt;0,M187-M188&lt;0,N187-N188&lt;0),"Attenzione: valori fuori dominio",IF(AND(K188="",L188="",M188="",N188=""),"&lt;--- Continuare da qui la compilazione 
(compilare tutti i campi)","OK, continuare la compilazione")),"")</f>
        <v/>
      </c>
      <c r="S188" s="3333"/>
    </row>
    <row r="189" spans="6:19" ht="15" customHeight="1">
      <c r="F189" s="3636"/>
      <c r="G189" s="3631"/>
      <c r="H189" s="3632"/>
      <c r="I189" s="3419"/>
      <c r="J189" s="3419"/>
      <c r="K189" s="3418">
        <f t="shared" ref="K189:N189" ca="1" si="14">+IFERROR(IF(K187-K188&lt;0,0,K188),0)</f>
        <v>0</v>
      </c>
      <c r="L189" s="3418">
        <f t="shared" ca="1" si="14"/>
        <v>0</v>
      </c>
      <c r="M189" s="3418">
        <f t="shared" ca="1" si="14"/>
        <v>0</v>
      </c>
      <c r="N189" s="3418">
        <f t="shared" ca="1" si="14"/>
        <v>0</v>
      </c>
      <c r="O189" s="3355"/>
      <c r="S189" s="3333"/>
    </row>
    <row r="190" spans="6:19" ht="15" customHeight="1">
      <c r="F190" s="3373"/>
      <c r="G190"/>
      <c r="H190"/>
      <c r="I190"/>
      <c r="J190"/>
      <c r="K190"/>
      <c r="L190"/>
      <c r="M190"/>
      <c r="N190"/>
      <c r="O190" s="1619"/>
      <c r="S190" s="3333"/>
    </row>
    <row r="191" spans="6:19" ht="15" customHeight="1">
      <c r="F191" s="3420" t="s">
        <v>26901</v>
      </c>
      <c r="G191" s="3627" t="s">
        <v>22821</v>
      </c>
      <c r="H191" s="3628"/>
      <c r="I191" s="3419"/>
      <c r="J191" s="3419"/>
      <c r="K191" s="3417">
        <f ca="1">'Rc'!E34</f>
        <v>0</v>
      </c>
      <c r="L191" s="3417">
        <f ca="1">'Rc'!F34</f>
        <v>0</v>
      </c>
      <c r="M191" s="3417">
        <f ca="1">'Rc'!G34</f>
        <v>0</v>
      </c>
      <c r="N191" s="3417">
        <f ca="1">'Rc'!H34</f>
        <v>0</v>
      </c>
      <c r="O191" s="3355"/>
      <c r="S191" s="3333"/>
    </row>
    <row r="192" spans="6:19" ht="15" customHeight="1">
      <c r="F192" s="3637" t="s">
        <v>26906</v>
      </c>
      <c r="G192" s="3629"/>
      <c r="H192" s="3630"/>
      <c r="I192" s="3419"/>
      <c r="J192" s="3419"/>
      <c r="K192" s="2766">
        <v>0</v>
      </c>
      <c r="L192" s="2766">
        <v>0</v>
      </c>
      <c r="M192" s="2766">
        <v>0</v>
      </c>
      <c r="N192" s="2766">
        <v>0</v>
      </c>
      <c r="O192" s="3355" t="str">
        <f>+IF(LEFT(O188,2)="OK",+IF(OR(K191-K192&lt;0,L191-L192&lt;0,M191-M192&lt;0,N191-N192&lt;0),"Attenzione: valori fuori dominio",IF(AND(K192="",L192="",M192="",N192=""),"&lt;--- Continuare da qui la compilazione 
(compilare tutti i campi)","OK, continuare la compilazione")),"")</f>
        <v/>
      </c>
      <c r="S192" s="3333"/>
    </row>
    <row r="193" spans="6:19" ht="15" customHeight="1">
      <c r="F193" s="3638"/>
      <c r="G193" s="3631"/>
      <c r="H193" s="3632"/>
      <c r="I193" s="3419"/>
      <c r="J193" s="3419"/>
      <c r="K193" s="3418">
        <f t="shared" ref="K193:N193" ca="1" si="15">+IFERROR(IF(K191-K192&lt;0,0,K192),0)</f>
        <v>0</v>
      </c>
      <c r="L193" s="3418">
        <f t="shared" ca="1" si="15"/>
        <v>0</v>
      </c>
      <c r="M193" s="3418">
        <f t="shared" ca="1" si="15"/>
        <v>0</v>
      </c>
      <c r="N193" s="3418">
        <f t="shared" ca="1" si="15"/>
        <v>0</v>
      </c>
      <c r="O193" s="3355"/>
      <c r="S193" s="3333"/>
    </row>
    <row r="194" spans="6:19" ht="15" customHeight="1">
      <c r="F194" s="3329"/>
      <c r="S194" s="3333"/>
    </row>
    <row r="195" spans="6:19" ht="15" customHeight="1">
      <c r="F195" s="3335"/>
      <c r="G195" s="1013"/>
      <c r="H195" s="1013"/>
      <c r="I195" s="1013"/>
      <c r="J195" s="1013"/>
      <c r="K195" s="1013"/>
      <c r="L195" s="1013"/>
      <c r="M195" s="1013"/>
      <c r="N195" s="1013"/>
      <c r="O195" s="3338"/>
      <c r="S195" s="3333"/>
    </row>
    <row r="196" spans="6:19" ht="15" customHeight="1">
      <c r="F196" s="3335"/>
      <c r="G196" s="1013"/>
      <c r="H196" s="1013"/>
      <c r="I196" s="1013"/>
      <c r="J196" s="1013"/>
      <c r="K196" s="1013"/>
      <c r="L196" s="1013"/>
      <c r="M196" s="1013"/>
      <c r="N196" s="1013"/>
      <c r="O196" s="3338"/>
      <c r="S196" s="3333"/>
    </row>
    <row r="199" spans="6:19" ht="15" customHeight="1">
      <c r="F199" s="3335"/>
      <c r="G199" s="1013"/>
      <c r="H199" s="1013"/>
      <c r="I199" s="1013"/>
      <c r="J199" s="1013"/>
      <c r="K199" s="1013"/>
      <c r="L199" s="1013"/>
      <c r="M199" s="1013"/>
      <c r="N199" s="1013"/>
      <c r="O199" s="3338"/>
      <c r="S199" s="3333"/>
    </row>
    <row r="200" spans="6:19" ht="15" customHeight="1">
      <c r="F200" s="3335"/>
      <c r="G200" s="1013"/>
      <c r="H200" s="1013"/>
      <c r="I200" s="1013"/>
      <c r="J200" s="1013"/>
      <c r="K200" s="1013"/>
      <c r="L200" s="1013"/>
      <c r="M200" s="1013"/>
      <c r="N200" s="1013"/>
      <c r="O200" s="3338"/>
      <c r="S200" s="3333"/>
    </row>
    <row r="201" spans="6:19" ht="30" customHeight="1">
      <c r="F201" s="3335"/>
      <c r="G201" s="1013"/>
      <c r="H201" s="1013"/>
      <c r="I201" s="3633" t="s">
        <v>22862</v>
      </c>
      <c r="J201" s="3634"/>
      <c r="K201" s="3634"/>
      <c r="L201" s="3634"/>
      <c r="M201" s="3634"/>
      <c r="N201" s="3635"/>
      <c r="O201" s="3338"/>
      <c r="S201" s="3333"/>
    </row>
    <row r="202" spans="6:19" ht="15" customHeight="1">
      <c r="F202" s="3373"/>
      <c r="G202"/>
      <c r="H202"/>
      <c r="I202"/>
      <c r="J202"/>
      <c r="K202"/>
      <c r="L202"/>
      <c r="M202"/>
      <c r="N202"/>
      <c r="O202" s="1619"/>
      <c r="S202" s="3333"/>
    </row>
    <row r="203" spans="6:19" ht="15" customHeight="1">
      <c r="F203" s="3335"/>
      <c r="G203" s="1013"/>
      <c r="H203" s="1013"/>
      <c r="I203" s="2362">
        <v>2024</v>
      </c>
      <c r="J203" s="2362">
        <v>2025</v>
      </c>
      <c r="K203" s="2360">
        <v>2026</v>
      </c>
      <c r="L203" s="2361">
        <v>2027</v>
      </c>
      <c r="M203" s="2363">
        <v>2028</v>
      </c>
      <c r="N203" s="2363">
        <v>2029</v>
      </c>
      <c r="O203" s="3338"/>
      <c r="S203" s="3333"/>
    </row>
    <row r="204" spans="6:19" ht="15" customHeight="1">
      <c r="F204" s="3425" t="s">
        <v>26916</v>
      </c>
      <c r="G204" s="3622" t="s">
        <v>22821</v>
      </c>
      <c r="H204" s="3623"/>
      <c r="I204" s="3426" t="str">
        <f>+IF(mti_4&lt;&gt;"",VRG_Teta!C67,"")</f>
        <v/>
      </c>
      <c r="J204" s="3426" t="str">
        <f>+IF(mti_4&lt;&gt;"",VRG_Teta!D67,"")</f>
        <v/>
      </c>
      <c r="K204" s="3414" t="str">
        <f>+IF(mti_4&lt;&gt;"",VRG_Teta!E67,"")</f>
        <v/>
      </c>
      <c r="L204" s="3414" t="str">
        <f>+IF(mti_4&lt;&gt;"",VRG_Teta!F67,"")</f>
        <v/>
      </c>
      <c r="M204" s="3414" t="str">
        <f>+IF(mti_4&lt;&gt;"",VRG_Teta!G67,"")</f>
        <v/>
      </c>
      <c r="N204" s="3414" t="str">
        <f>+IF(mti_4&lt;&gt;"",VRG_Teta!H67,"")</f>
        <v/>
      </c>
      <c r="O204" s="3641" t="str">
        <f>+IF(O131&lt;&gt;"",IF(AND(K208="nei limiti",L208="nei limiti",I208="nei limiti",J208="nei limiti"),"OK, proseguire se necessario la compilazione","ATTENZIONE: proposta sovracap per almeno un'annualità"),"")</f>
        <v/>
      </c>
    </row>
    <row r="205" spans="6:19" ht="15" customHeight="1">
      <c r="F205" s="3425" t="s">
        <v>26917</v>
      </c>
      <c r="G205" s="3622" t="s">
        <v>22821</v>
      </c>
      <c r="H205" s="3623"/>
      <c r="I205" s="3426" t="str">
        <f>+IF(mti_4&lt;&gt;"",VRG_Teta!C68,"")</f>
        <v/>
      </c>
      <c r="J205" s="3426" t="str">
        <f>+IF(mti_4&lt;&gt;"",VRG_Teta!D68,"")</f>
        <v/>
      </c>
      <c r="K205" s="3415" t="str">
        <f>+IF(mti_4&lt;&gt;"",VRG_Teta!E68,"")</f>
        <v/>
      </c>
      <c r="L205" s="3415" t="str">
        <f>+IF(mti_4&lt;&gt;"",VRG_Teta!F68,"")</f>
        <v/>
      </c>
      <c r="M205" s="3415" t="str">
        <f>+IF(mti_4&lt;&gt;"",VRG_Teta!G68,"")</f>
        <v/>
      </c>
      <c r="N205" s="3415" t="str">
        <f>+IF(mti_4&lt;&gt;"",VRG_Teta!H68,"")</f>
        <v/>
      </c>
      <c r="O205" s="3641"/>
    </row>
    <row r="206" spans="6:19" ht="15" customHeight="1">
      <c r="F206" s="3425" t="s">
        <v>24902</v>
      </c>
      <c r="G206" s="3622" t="s">
        <v>22821</v>
      </c>
      <c r="H206" s="3623"/>
      <c r="I206" s="3426" t="str">
        <f>+IF(mti_4&lt;&gt;"",VRG_Teta!C69,"")</f>
        <v/>
      </c>
      <c r="J206" s="3426" t="str">
        <f>+IF(mti_4&lt;&gt;"",VRG_Teta!D69,"")</f>
        <v/>
      </c>
      <c r="K206" s="3414" t="str">
        <f>+IF(mti_4&lt;&gt;"",VRG_Teta!E69,"")</f>
        <v/>
      </c>
      <c r="L206" s="3414" t="str">
        <f>+IF(mti_4&lt;&gt;"",VRG_Teta!F69,"")</f>
        <v/>
      </c>
      <c r="M206" s="3414" t="str">
        <f>+IF(mti_4&lt;&gt;"",VRG_Teta!G69,"")</f>
        <v/>
      </c>
      <c r="N206" s="3414" t="str">
        <f>+IF(mti_4&lt;&gt;"",VRG_Teta!H69,"")</f>
        <v/>
      </c>
      <c r="O206" s="3641"/>
      <c r="S206" s="3333"/>
    </row>
    <row r="207" spans="6:19" ht="15" customHeight="1">
      <c r="F207" s="3425" t="s">
        <v>24903</v>
      </c>
      <c r="G207" s="3622" t="s">
        <v>22821</v>
      </c>
      <c r="H207" s="3623"/>
      <c r="I207" s="3426" t="str">
        <f>+IF(mti_4&lt;&gt;"",VRG_Teta!C70,"")</f>
        <v/>
      </c>
      <c r="J207" s="3426" t="str">
        <f>+IF(mti_4&lt;&gt;"",VRG_Teta!D70,"")</f>
        <v/>
      </c>
      <c r="K207" s="3415" t="str">
        <f>+IF(mti_4&lt;&gt;"",VRG_Teta!E70,"")</f>
        <v/>
      </c>
      <c r="L207" s="3415" t="str">
        <f>+IF(mti_4&lt;&gt;"",VRG_Teta!F70,"")</f>
        <v/>
      </c>
      <c r="M207" s="3415" t="str">
        <f>+IF(mti_4&lt;&gt;"",VRG_Teta!G70,"")</f>
        <v/>
      </c>
      <c r="N207" s="3415" t="str">
        <f>+IF(mti_4&lt;&gt;"",VRG_Teta!H70,"")</f>
        <v/>
      </c>
      <c r="O207" s="3641"/>
      <c r="S207" s="3333"/>
    </row>
    <row r="208" spans="6:19" ht="15" customHeight="1">
      <c r="F208" s="3425" t="s">
        <v>25011</v>
      </c>
      <c r="G208" s="3622" t="s">
        <v>22821</v>
      </c>
      <c r="H208" s="3623"/>
      <c r="I208" s="3426" t="str">
        <f>+IF(mti_4&lt;&gt;"",VRG_Teta!C71,"")</f>
        <v/>
      </c>
      <c r="J208" s="3426" t="str">
        <f>+IF(mti_4&lt;&gt;"",VRG_Teta!D71,"")</f>
        <v/>
      </c>
      <c r="K208" s="3416" t="str">
        <f>+IF(mti_4&lt;&gt;"",VRG_Teta!E71,"")</f>
        <v/>
      </c>
      <c r="L208" s="3416" t="str">
        <f>+IF(mti_4&lt;&gt;"",VRG_Teta!F71,"")</f>
        <v/>
      </c>
      <c r="M208" s="3416" t="str">
        <f>+IF(mti_4&lt;&gt;"",VRG_Teta!G71,"")</f>
        <v/>
      </c>
      <c r="N208" s="3416" t="str">
        <f>+IF(mti_4&lt;&gt;"",VRG_Teta!H71,"")</f>
        <v/>
      </c>
      <c r="O208" s="3641"/>
    </row>
    <row r="209" spans="6:19" ht="15" customHeight="1">
      <c r="F209" s="3373"/>
      <c r="G209"/>
      <c r="H209"/>
      <c r="I209"/>
      <c r="J209"/>
      <c r="K209"/>
      <c r="L209"/>
      <c r="M209"/>
      <c r="N209"/>
      <c r="O209" s="1619"/>
    </row>
    <row r="210" spans="6:19" ht="15" customHeight="1">
      <c r="F210" s="3373"/>
      <c r="G210"/>
      <c r="H210"/>
      <c r="I210"/>
      <c r="J210"/>
      <c r="K210"/>
      <c r="L210"/>
      <c r="M210"/>
      <c r="N210"/>
      <c r="O210" s="1619"/>
    </row>
    <row r="211" spans="6:19" ht="15" customHeight="1">
      <c r="K211" s="3380"/>
      <c r="L211" s="3380"/>
    </row>
    <row r="213" spans="6:19" ht="15" customHeight="1">
      <c r="F213" s="565"/>
      <c r="G213"/>
      <c r="H213"/>
      <c r="I213"/>
      <c r="J213"/>
      <c r="K213"/>
      <c r="L213"/>
      <c r="M213"/>
      <c r="N213"/>
      <c r="O213" s="1619"/>
    </row>
    <row r="214" spans="6:19" ht="15" customHeight="1">
      <c r="F214" s="565"/>
      <c r="G214"/>
      <c r="H214"/>
      <c r="I214"/>
      <c r="J214"/>
      <c r="K214"/>
      <c r="L214"/>
      <c r="M214"/>
      <c r="N214"/>
      <c r="O214" s="1619"/>
      <c r="S214" s="3333"/>
    </row>
    <row r="215" spans="6:19" ht="30" customHeight="1">
      <c r="F215" s="3335"/>
      <c r="G215" s="1013"/>
      <c r="H215" s="1013"/>
      <c r="I215" s="3633" t="s">
        <v>31321</v>
      </c>
      <c r="J215" s="3634"/>
      <c r="K215" s="3634"/>
      <c r="L215" s="3634"/>
      <c r="M215" s="3634"/>
      <c r="N215" s="3635"/>
      <c r="O215" s="3338"/>
      <c r="S215" s="3333"/>
    </row>
    <row r="216" spans="6:19" ht="15" customHeight="1">
      <c r="F216" s="3335"/>
      <c r="G216" s="1013"/>
      <c r="H216" s="1013"/>
      <c r="I216" s="1013"/>
      <c r="J216" s="1013"/>
      <c r="K216" s="1013"/>
      <c r="L216" s="1013"/>
      <c r="M216" s="1013"/>
      <c r="N216" s="1013"/>
      <c r="O216" s="3338"/>
      <c r="S216" s="3333"/>
    </row>
    <row r="217" spans="6:19" ht="15" customHeight="1">
      <c r="F217" s="3373"/>
      <c r="G217"/>
      <c r="H217"/>
      <c r="I217" s="2362">
        <v>2024</v>
      </c>
      <c r="J217" s="2362">
        <v>2025</v>
      </c>
      <c r="K217" s="2360">
        <v>2026</v>
      </c>
      <c r="L217" s="2361">
        <v>2027</v>
      </c>
      <c r="M217" s="2363">
        <v>2028</v>
      </c>
      <c r="N217" s="2363">
        <v>2029</v>
      </c>
      <c r="O217" s="1619"/>
      <c r="S217" s="3333"/>
    </row>
    <row r="218" spans="6:19" ht="18" customHeight="1">
      <c r="F218" s="3368" t="s">
        <v>31301</v>
      </c>
      <c r="G218" s="3622" t="s">
        <v>22821</v>
      </c>
      <c r="H218" s="3623"/>
      <c r="I218" s="3369">
        <f>'Rc'!C11</f>
        <v>0</v>
      </c>
      <c r="J218" s="3369">
        <f>'Rc'!D11</f>
        <v>0</v>
      </c>
      <c r="K218" s="3417">
        <f ca="1">'Rc'!E11</f>
        <v>0</v>
      </c>
      <c r="L218" s="3417">
        <f ca="1">'Rc'!F11</f>
        <v>0</v>
      </c>
      <c r="M218" s="3417">
        <f ca="1">'Rc'!G11</f>
        <v>0</v>
      </c>
      <c r="N218" s="3417">
        <f ca="1">'Rc'!H11</f>
        <v>0</v>
      </c>
      <c r="O218" s="3355"/>
      <c r="S218" s="3380"/>
    </row>
    <row r="219" spans="6:19" ht="18" hidden="1" customHeight="1">
      <c r="F219" s="3427"/>
      <c r="G219" s="3622" t="s">
        <v>22821</v>
      </c>
      <c r="H219" s="3623"/>
      <c r="I219" s="3419"/>
      <c r="J219" s="3419"/>
      <c r="K219" s="3370">
        <f>+IF(ISERR(MAX(K91-K89,0)),0,MAX(K91-K89,0))</f>
        <v>0</v>
      </c>
      <c r="L219" s="3370">
        <f>+IF(ISERR(MAX(L91-L89,0)),0,MAX(L91-L89,0))</f>
        <v>0</v>
      </c>
      <c r="M219" s="3419"/>
      <c r="N219" s="3419"/>
      <c r="O219" s="3355"/>
    </row>
    <row r="220" spans="6:19" ht="33.75" customHeight="1">
      <c r="F220" s="3352" t="s">
        <v>30600</v>
      </c>
      <c r="G220" s="3642" t="s">
        <v>22821</v>
      </c>
      <c r="H220" s="3643"/>
      <c r="I220" s="3426"/>
      <c r="J220" s="3426"/>
      <c r="K220" s="2767"/>
      <c r="L220" s="2767"/>
      <c r="M220" s="2767"/>
      <c r="N220" s="2767"/>
      <c r="O220" s="3355" t="str">
        <f>+IF(LEFT(O192,2)="OK",
     IF(AND(K220&gt;=0,L220&gt;=0,M220&gt;=0,N220&gt;=0),
     "OK, continuare la compilazione",
"OK,  riallocare conguagli oppure continuare la compilazione"),
"")</f>
        <v/>
      </c>
      <c r="Q220" s="3380"/>
    </row>
    <row r="221" spans="6:19" ht="18" customHeight="1">
      <c r="F221" s="3352" t="s">
        <v>30601</v>
      </c>
      <c r="G221" s="3644"/>
      <c r="H221" s="3645"/>
      <c r="I221" s="3426"/>
      <c r="J221" s="3426"/>
      <c r="K221" s="2768">
        <v>0</v>
      </c>
      <c r="L221" s="2768"/>
      <c r="M221" s="2768"/>
      <c r="N221" s="2768"/>
      <c r="O221" s="3355" t="str">
        <f ca="1">+IF(AND(LEFT(O220,2)="OK",ISNUMBER(K221)=TRUE,K221&gt;0,K221&lt;SUM(K218:N218)),
"OK, continuare la compilazione",
IF(LEFT(O220,2)="OK",
   IF(OR(ISNUMBER(K221)=FALSE,K221&lt;0,K221&gt;SUM(K218:N218)),
   "Attenzione, compilare correttamente il campo",
"OK, continuare la compilazione"),
""))</f>
        <v/>
      </c>
    </row>
    <row r="222" spans="6:19" ht="28.5" customHeight="1">
      <c r="F222" s="3429" t="s">
        <v>31470</v>
      </c>
      <c r="G222" s="3622" t="s">
        <v>22821</v>
      </c>
      <c r="H222" s="3623"/>
      <c r="I222" s="3369">
        <f>+Dati_Anni_precedenti!E90</f>
        <v>0</v>
      </c>
      <c r="J222" s="3369">
        <f>+Dati_Anni_precedenti!F90</f>
        <v>0</v>
      </c>
      <c r="K222" s="3370">
        <f t="shared" ref="K222:N222" ca="1" si="16">+IF(K220="",K218,K220)</f>
        <v>0</v>
      </c>
      <c r="L222" s="3370">
        <f t="shared" ca="1" si="16"/>
        <v>0</v>
      </c>
      <c r="M222" s="3370">
        <f t="shared" ca="1" si="16"/>
        <v>0</v>
      </c>
      <c r="N222" s="3370">
        <f t="shared" ca="1" si="16"/>
        <v>0</v>
      </c>
      <c r="O222" s="3355"/>
    </row>
    <row r="223" spans="6:19" ht="49.5" customHeight="1">
      <c r="F223" s="3352" t="s">
        <v>30605</v>
      </c>
      <c r="G223" s="3622" t="s">
        <v>22821</v>
      </c>
      <c r="H223" s="3623"/>
      <c r="I223" s="3430"/>
      <c r="J223" s="3430"/>
      <c r="K223" s="3431" t="str">
        <f ca="1">+IF(LEFT(O221,2)="OK",IF(SUM(I218:N218)-(SUM(I222:N222)+K221)&lt;0,IF(SUM(I218:N218)&lt;0,IF(SUM(I218:N218)-(SUM(I222:N222)+K221)&lt;0,"Attenzione, ricontrollare gli addendi",SUM(I218:N218)-(SUM(I222:N222)+K221)),"Attenzione, ricontrollare gli addendi"),SUM(I218:N218)-(SUM(I222:N222)+K221)),"")</f>
        <v/>
      </c>
      <c r="L223" s="3432"/>
      <c r="M223" s="3432"/>
      <c r="N223" s="3432"/>
      <c r="O223" s="3355" t="str">
        <f ca="1">+IF(OR(K223="Attenzione, ricontrollare gli addendi",K223=""),"","OK, continuare la compilazione")</f>
        <v/>
      </c>
    </row>
    <row r="224" spans="6:19" ht="15.75">
      <c r="F224" s="3352" t="s">
        <v>30599</v>
      </c>
      <c r="G224" s="3639" t="s">
        <v>26986</v>
      </c>
      <c r="H224" s="3640"/>
      <c r="I224" s="3433"/>
      <c r="J224" s="3434"/>
      <c r="K224" s="3435" t="str">
        <f ca="1">+IF(OR(K223="",K223&lt;1),"","NECESSARIA MOTIVATA ISTANZA EX COMMA 28.2 MTI-4")</f>
        <v/>
      </c>
      <c r="L224" s="3435"/>
      <c r="M224" s="3435"/>
      <c r="N224" s="3436"/>
      <c r="O224" s="3392"/>
    </row>
    <row r="225" spans="6:19" ht="15" hidden="1" customHeight="1">
      <c r="F225" s="3352" t="s">
        <v>31842</v>
      </c>
      <c r="G225" s="3622" t="s">
        <v>22821</v>
      </c>
      <c r="H225" s="3623"/>
      <c r="I225" s="3428" t="str">
        <f>+IF(Affidamento!$E$4="","",IF(YEAR(Affidamento!$E$4)&lt;=I217,1,0))</f>
        <v/>
      </c>
      <c r="J225" s="3372" t="str">
        <f>+IF(Affidamento!$E$4="","",IF(YEAR(Affidamento!$E$4)&lt;=J217,1,0))</f>
        <v/>
      </c>
      <c r="K225" s="3437" t="str">
        <f>+IF(Affidamento!$E$4="","",IF(YEAR(Affidamento!$E$4)&lt;=K217,1,0))</f>
        <v/>
      </c>
      <c r="L225" s="3428" t="str">
        <f>+IF(Affidamento!$E$4="","",IF(YEAR(Affidamento!$E$4)&lt;=L217,1,0))</f>
        <v/>
      </c>
      <c r="M225" s="3428" t="str">
        <f>+IF(Affidamento!$E$4="","",IF(YEAR(Affidamento!$E$4)&lt;=M217,1,0))</f>
        <v/>
      </c>
      <c r="N225" s="3372" t="str">
        <f>+IF(Affidamento!$E$4="","",IF(YEAR(Affidamento!$E$4)&lt;=N217,1,0))</f>
        <v/>
      </c>
      <c r="O225" s="3392"/>
    </row>
    <row r="226" spans="6:19" ht="15" customHeight="1">
      <c r="F226" s="3352" t="s">
        <v>31843</v>
      </c>
      <c r="G226" s="3639" t="s">
        <v>26986</v>
      </c>
      <c r="H226" s="3640"/>
      <c r="I226" s="3426"/>
      <c r="J226" s="3413"/>
      <c r="K226" s="3435" t="str">
        <f ca="1">+IF(SUMPRODUCT(I218:N218,I225:N225)-SUM(I222:N222)-K221&gt;0,"Verificare condizioni di cui al commma 28.2-bis del MTI-4","")</f>
        <v/>
      </c>
      <c r="L226" s="3435"/>
      <c r="M226" s="3435"/>
      <c r="N226" s="3436"/>
      <c r="O226" s="3392"/>
    </row>
    <row r="227" spans="6:19" ht="15" customHeight="1">
      <c r="K227" s="3380"/>
      <c r="L227" s="3380"/>
    </row>
    <row r="229" spans="6:19" ht="15" customHeight="1">
      <c r="F229" s="565"/>
      <c r="G229"/>
      <c r="H229"/>
      <c r="I229"/>
      <c r="J229"/>
      <c r="K229"/>
      <c r="L229"/>
      <c r="M229"/>
      <c r="N229"/>
      <c r="O229" s="1619"/>
    </row>
    <row r="230" spans="6:19" ht="15" customHeight="1">
      <c r="F230" s="565"/>
      <c r="G230"/>
      <c r="H230"/>
      <c r="I230"/>
      <c r="J230"/>
      <c r="K230"/>
      <c r="L230"/>
      <c r="M230"/>
      <c r="N230"/>
      <c r="O230" s="1619"/>
      <c r="S230" s="3333"/>
    </row>
    <row r="231" spans="6:19" ht="30" customHeight="1">
      <c r="F231" s="3335"/>
      <c r="G231" s="1013"/>
      <c r="H231" s="1013"/>
      <c r="I231" s="3633" t="s">
        <v>28837</v>
      </c>
      <c r="J231" s="3634"/>
      <c r="K231" s="3634"/>
      <c r="L231" s="3634"/>
      <c r="M231" s="3634"/>
      <c r="N231" s="3635"/>
      <c r="O231" s="3338"/>
      <c r="S231" s="3333"/>
    </row>
    <row r="232" spans="6:19" ht="15" customHeight="1">
      <c r="F232" s="3335"/>
      <c r="G232" s="1013"/>
      <c r="H232" s="1013"/>
      <c r="I232" s="1013"/>
      <c r="J232" s="1013"/>
      <c r="K232" s="1013"/>
      <c r="L232" s="1013"/>
      <c r="M232" s="1013"/>
      <c r="N232" s="1013"/>
      <c r="O232" s="3338"/>
      <c r="S232" s="3333"/>
    </row>
    <row r="233" spans="6:19" ht="27.75" customHeight="1">
      <c r="F233" s="3352" t="s">
        <v>28834</v>
      </c>
      <c r="G233" s="3646" t="s">
        <v>22821</v>
      </c>
      <c r="H233" s="3647"/>
      <c r="I233" s="2757"/>
      <c r="J233" s="2757"/>
      <c r="K233" s="2766"/>
      <c r="L233" s="2766"/>
      <c r="M233" s="2766"/>
      <c r="N233" s="2766"/>
      <c r="O233" s="3355" t="str">
        <f ca="1">+IF(LEFT(O223,2)="OK","OK, compilare tutti i campi o continuare la compilazione","")</f>
        <v/>
      </c>
      <c r="S233" s="3333"/>
    </row>
    <row r="234" spans="6:19" ht="27.75" customHeight="1">
      <c r="F234" s="3352" t="s">
        <v>28835</v>
      </c>
      <c r="G234" s="3631" t="s">
        <v>22821</v>
      </c>
      <c r="H234" s="3632"/>
      <c r="I234" s="2757"/>
      <c r="J234" s="2757"/>
      <c r="K234" s="2766"/>
      <c r="L234" s="2766"/>
      <c r="M234" s="2766"/>
      <c r="N234" s="2766"/>
      <c r="O234" s="3355" t="str">
        <f ca="1">+IF(LEFT(O233,2)="OK","OK, compilare tutti i campi o continuare la compilazione","")</f>
        <v/>
      </c>
      <c r="S234" s="3333"/>
    </row>
    <row r="235" spans="6:19" ht="27.75" customHeight="1">
      <c r="F235" s="3352" t="s">
        <v>28836</v>
      </c>
      <c r="G235" s="3631" t="s">
        <v>22821</v>
      </c>
      <c r="H235" s="3632"/>
      <c r="I235" s="2757"/>
      <c r="J235" s="2757"/>
      <c r="K235" s="2766"/>
      <c r="L235" s="2766"/>
      <c r="M235" s="2766"/>
      <c r="N235" s="2766"/>
      <c r="O235" s="3355" t="str">
        <f ca="1">+IF(LEFT(O234,2)="OK","OK, compilare tutti i campi o continuare la compilazione","")</f>
        <v/>
      </c>
      <c r="S235" s="3333"/>
    </row>
    <row r="236" spans="6:19" ht="15" customHeight="1">
      <c r="F236" s="3373"/>
      <c r="G236"/>
      <c r="H236"/>
      <c r="I236"/>
      <c r="J236"/>
      <c r="K236"/>
      <c r="L236"/>
      <c r="M236"/>
      <c r="N236"/>
      <c r="O236" s="1619"/>
    </row>
    <row r="237" spans="6:19" ht="15" customHeight="1">
      <c r="F237" s="3373"/>
      <c r="G237"/>
      <c r="H237"/>
      <c r="I237"/>
      <c r="J237"/>
      <c r="K237"/>
      <c r="L237"/>
      <c r="M237"/>
      <c r="N237"/>
      <c r="O237" s="1619"/>
    </row>
    <row r="240" spans="6:19" ht="15" customHeight="1">
      <c r="F240" s="3335"/>
      <c r="G240" s="1013"/>
      <c r="H240" s="1013"/>
      <c r="I240" s="1013"/>
      <c r="J240" s="1013"/>
      <c r="K240" s="1013"/>
      <c r="L240" s="1013"/>
      <c r="M240" s="1013"/>
      <c r="N240" s="1013"/>
      <c r="O240" s="3338"/>
      <c r="S240" s="3333"/>
    </row>
    <row r="241" spans="6:19" ht="15" customHeight="1">
      <c r="F241" s="3335"/>
      <c r="G241" s="1013"/>
      <c r="H241" s="1013"/>
      <c r="I241" s="1013"/>
      <c r="J241" s="1013"/>
      <c r="K241" s="1013"/>
      <c r="L241" s="1013"/>
      <c r="M241" s="1013"/>
      <c r="N241" s="1013"/>
      <c r="O241" s="3338"/>
      <c r="S241" s="3333"/>
    </row>
    <row r="242" spans="6:19" ht="30" customHeight="1">
      <c r="F242" s="3335"/>
      <c r="G242" s="1013"/>
      <c r="H242" s="1013"/>
      <c r="I242" s="3624" t="s">
        <v>26910</v>
      </c>
      <c r="J242" s="3625"/>
      <c r="K242" s="3625"/>
      <c r="L242" s="3625"/>
      <c r="M242" s="3625"/>
      <c r="N242" s="3626"/>
      <c r="O242" s="3338"/>
      <c r="S242" s="3333"/>
    </row>
    <row r="243" spans="6:19" ht="15" customHeight="1">
      <c r="F243" s="3373"/>
      <c r="G243"/>
      <c r="H243"/>
      <c r="I243"/>
      <c r="J243"/>
      <c r="K243"/>
      <c r="L243"/>
      <c r="M243"/>
      <c r="N243"/>
      <c r="O243" s="1619"/>
      <c r="S243" s="3333"/>
    </row>
    <row r="244" spans="6:19" ht="15" customHeight="1">
      <c r="F244" s="3373"/>
      <c r="G244"/>
      <c r="H244"/>
      <c r="I244" s="2362">
        <v>2024</v>
      </c>
      <c r="J244" s="2362">
        <v>2025</v>
      </c>
      <c r="K244" s="2360">
        <v>2026</v>
      </c>
      <c r="L244" s="2361">
        <v>2027</v>
      </c>
      <c r="M244" s="2363">
        <v>2028</v>
      </c>
      <c r="N244" s="2363">
        <v>2029</v>
      </c>
      <c r="O244" s="1619"/>
      <c r="S244" s="3333"/>
    </row>
    <row r="245" spans="6:19" ht="15" customHeight="1">
      <c r="F245" s="3438" t="s">
        <v>26916</v>
      </c>
      <c r="G245" s="3622" t="s">
        <v>22821</v>
      </c>
      <c r="H245" s="3623"/>
      <c r="I245" s="3439">
        <f>Storico_Piano_Tariffario!E63</f>
        <v>0</v>
      </c>
      <c r="J245" s="3439">
        <f>Storico_Piano_Tariffario!F63</f>
        <v>0</v>
      </c>
      <c r="K245" s="3440" t="str">
        <f ca="1">+IF($O$223&lt;&gt;"",VRG_Teta!E74,"")</f>
        <v/>
      </c>
      <c r="L245" s="3440" t="str">
        <f ca="1">+IF($O$223&lt;&gt;"",VRG_Teta!F74,"")</f>
        <v/>
      </c>
      <c r="M245" s="3440" t="str">
        <f ca="1">+IF($O$223&lt;&gt;"",VRG_Teta!G74,"")</f>
        <v/>
      </c>
      <c r="N245" s="3440" t="str">
        <f ca="1">+IF($O$223&lt;&gt;"",VRG_Teta!H74,"")</f>
        <v/>
      </c>
      <c r="O245" s="3641" t="str">
        <f ca="1">+IF(O223="","",IF(AND(K249="nei limiti",L249="nei limiti",I249="nei limiti",J249="nei limiti",M249="nei limiti",N249="nei limiti"),"Compilazione conclusa!",IF(OR(K249&lt;&gt;"nei limiti",L249&lt;&gt;"nei limiti",I249&lt;&gt;"nei limiti",J249&lt;&gt;"nei limiti",M249&lt;&gt;"nei limiti",N249&lt;&gt;"nei limiti"),"ATTENZIONE: proposta sovracap per almeno un'annualità","")))</f>
        <v/>
      </c>
      <c r="S245" s="3333"/>
    </row>
    <row r="246" spans="6:19" ht="15" customHeight="1">
      <c r="F246" s="3438" t="s">
        <v>26917</v>
      </c>
      <c r="G246" s="3622" t="s">
        <v>22821</v>
      </c>
      <c r="H246" s="3623"/>
      <c r="I246" s="3441">
        <f>Storico_Piano_Tariffario!E66</f>
        <v>0</v>
      </c>
      <c r="J246" s="3441">
        <f>Storico_Piano_Tariffario!F66</f>
        <v>0</v>
      </c>
      <c r="K246" s="3442" t="str">
        <f ca="1">+IF($O$223&lt;&gt;"",VRG_Teta!E75,"")</f>
        <v/>
      </c>
      <c r="L246" s="3442" t="str">
        <f ca="1">+IF($O$223&lt;&gt;"",VRG_Teta!F75,"")</f>
        <v/>
      </c>
      <c r="M246" s="3442" t="str">
        <f ca="1">+IF($O$223&lt;&gt;"",VRG_Teta!G75,"")</f>
        <v/>
      </c>
      <c r="N246" s="3442" t="str">
        <f ca="1">+IF($O$223&lt;&gt;"",VRG_Teta!H75,"")</f>
        <v/>
      </c>
      <c r="O246" s="3641"/>
      <c r="S246" s="3333"/>
    </row>
    <row r="247" spans="6:19" ht="15" customHeight="1">
      <c r="F247" s="3438" t="s">
        <v>24902</v>
      </c>
      <c r="G247" s="3622" t="s">
        <v>22821</v>
      </c>
      <c r="H247" s="3623"/>
      <c r="I247" s="3439">
        <f>Storico_Piano_Tariffario!E71</f>
        <v>0</v>
      </c>
      <c r="J247" s="3439">
        <f>Storico_Piano_Tariffario!F71</f>
        <v>0</v>
      </c>
      <c r="K247" s="3440" t="str">
        <f ca="1">+IF($O$223&lt;&gt;"",VRG_Teta!E76,"")</f>
        <v/>
      </c>
      <c r="L247" s="3440" t="str">
        <f ca="1">+IF($O$223&lt;&gt;"",VRG_Teta!F76,"")</f>
        <v/>
      </c>
      <c r="M247" s="3440" t="str">
        <f ca="1">+IF($O$223&lt;&gt;"",VRG_Teta!G76,"")</f>
        <v/>
      </c>
      <c r="N247" s="3440" t="str">
        <f ca="1">+IF($O$223&lt;&gt;"",VRG_Teta!H76,"")</f>
        <v/>
      </c>
      <c r="O247" s="3641"/>
    </row>
    <row r="248" spans="6:19" ht="15" customHeight="1">
      <c r="F248" s="3443" t="s">
        <v>26922</v>
      </c>
      <c r="G248" s="3622" t="s">
        <v>22821</v>
      </c>
      <c r="H248" s="3623"/>
      <c r="I248" s="3444">
        <f>Piano_Tariffario!E72</f>
        <v>0</v>
      </c>
      <c r="J248" s="3444">
        <f>Piano_Tariffario!F72</f>
        <v>0</v>
      </c>
      <c r="K248" s="3445" t="str">
        <f ca="1">+IF($O$223&lt;&gt;"",VRG_Teta!E84,"")</f>
        <v/>
      </c>
      <c r="L248" s="3445" t="str">
        <f ca="1">+IF($O$223&lt;&gt;"",VRG_Teta!F84,"")</f>
        <v/>
      </c>
      <c r="M248" s="3445" t="str">
        <f ca="1">+IF($O$223&lt;&gt;"",VRG_Teta!G84,"")</f>
        <v/>
      </c>
      <c r="N248" s="3445" t="str">
        <f ca="1">+IF($O$223&lt;&gt;"",VRG_Teta!H84,"")</f>
        <v/>
      </c>
      <c r="O248" s="3641"/>
    </row>
    <row r="249" spans="6:19" ht="15" customHeight="1">
      <c r="F249" s="3443" t="s">
        <v>25011</v>
      </c>
      <c r="G249" s="3622" t="s">
        <v>22821</v>
      </c>
      <c r="H249" s="3623"/>
      <c r="I249" s="3446" t="str">
        <f>VRG_Teta!C78</f>
        <v/>
      </c>
      <c r="J249" s="3446" t="str">
        <f>VRG_Teta!D78</f>
        <v/>
      </c>
      <c r="K249" s="3447" t="str">
        <f ca="1">+IF($O$223&lt;&gt;"",VRG_Teta!E85,"")</f>
        <v/>
      </c>
      <c r="L249" s="3447" t="str">
        <f ca="1">+IF($O$223&lt;&gt;"",VRG_Teta!F85,"")</f>
        <v/>
      </c>
      <c r="M249" s="3447" t="str">
        <f ca="1">+IF($O$223&lt;&gt;"",VRG_Teta!G85,"")</f>
        <v/>
      </c>
      <c r="N249" s="3447" t="str">
        <f ca="1">+IF($O$223&lt;&gt;"",VRG_Teta!H85,"")</f>
        <v/>
      </c>
      <c r="O249" s="3641"/>
    </row>
    <row r="250" spans="6:19" ht="15" customHeight="1">
      <c r="F250" s="3373"/>
      <c r="G250"/>
      <c r="H250"/>
      <c r="I250"/>
      <c r="J250"/>
      <c r="K250"/>
      <c r="L250"/>
      <c r="M250"/>
      <c r="N250"/>
      <c r="O250" s="1619"/>
      <c r="S250" s="3333"/>
    </row>
    <row r="251" spans="6:19" ht="15" customHeight="1">
      <c r="F251" s="3373"/>
      <c r="G251"/>
      <c r="H251"/>
      <c r="I251"/>
      <c r="J251"/>
      <c r="K251"/>
      <c r="L251"/>
      <c r="M251"/>
      <c r="N251"/>
      <c r="O251" s="1619"/>
      <c r="S251" s="3333"/>
    </row>
    <row r="252" spans="6:19" ht="15" customHeight="1">
      <c r="F252" s="3373"/>
      <c r="G252"/>
      <c r="H252"/>
      <c r="I252" s="7"/>
      <c r="J252" s="7"/>
      <c r="K252" s="7"/>
      <c r="L252" s="7"/>
      <c r="M252" s="7"/>
      <c r="N252" s="7"/>
      <c r="O252" s="1619"/>
      <c r="S252" s="3333"/>
    </row>
    <row r="253" spans="6:19" ht="15" customHeight="1">
      <c r="F253" s="3373"/>
      <c r="G253"/>
      <c r="H253"/>
      <c r="I253"/>
      <c r="J253"/>
      <c r="K253" s="7"/>
      <c r="L253"/>
      <c r="M253"/>
      <c r="N253"/>
      <c r="O253" s="1619"/>
      <c r="S253" s="3333"/>
    </row>
  </sheetData>
  <sheetProtection algorithmName="SHA-512" hashValue="PeAoTMa6EQsfhDIbniuxtk0i55x5eObrt03iSmnljWnjflbe8JweQz0pbmVXRzADbZtlnU5fzuneHOf8qWyRbA==" saltValue="4OmwU3+o32MdVXQzMKxQqw==" spinCount="100000" sheet="1" objects="1" scenarios="1"/>
  <dataConsolidate/>
  <customSheetViews>
    <customSheetView guid="{849F61E1-F6D3-48F4-A6FF-68F8FE186D80}" scale="85" showGridLines="0" hiddenRows="1" hiddenColumns="1">
      <pane ySplit="6" topLeftCell="A50" activePane="bottomLeft" state="frozen"/>
      <selection pane="bottomLeft" activeCell="D74" sqref="D74"/>
      <pageMargins left="0.7" right="0.7" top="0.75" bottom="0.75" header="0.3" footer="0.3"/>
      <pageSetup paperSize="9" orientation="portrait" r:id="rId1"/>
    </customSheetView>
    <customSheetView guid="{1E1889AA-9C00-49BF-A07E-295053EABBEF}" scale="85" showGridLines="0" hiddenColumns="1">
      <pane ySplit="6" topLeftCell="A7" activePane="bottomLeft" state="frozen"/>
      <selection pane="bottomLeft"/>
      <pageMargins left="0.7" right="0.7" top="0.75" bottom="0.75" header="0.3" footer="0.3"/>
      <pageSetup paperSize="9" orientation="portrait" r:id="rId2"/>
    </customSheetView>
    <customSheetView guid="{83029BA9-344F-4783-B8F2-6704FB40A582}" scale="85" showGridLines="0" hiddenRows="1" hiddenColumns="1">
      <pane ySplit="6" topLeftCell="A50" activePane="bottomLeft" state="frozen"/>
      <selection pane="bottomLeft" activeCell="D74" sqref="D74"/>
      <pageMargins left="0.7" right="0.7" top="0.75" bottom="0.75" header="0.3" footer="0.3"/>
      <pageSetup paperSize="9" orientation="portrait" r:id="rId3"/>
    </customSheetView>
  </customSheetViews>
  <mergeCells count="95">
    <mergeCell ref="G61:H61"/>
    <mergeCell ref="G62:H62"/>
    <mergeCell ref="I86:N86"/>
    <mergeCell ref="I59:N59"/>
    <mergeCell ref="I75:N75"/>
    <mergeCell ref="G79:H79"/>
    <mergeCell ref="I139:N139"/>
    <mergeCell ref="I119:N119"/>
    <mergeCell ref="F143:F145"/>
    <mergeCell ref="G143:H143"/>
    <mergeCell ref="F111:F112"/>
    <mergeCell ref="F148:F149"/>
    <mergeCell ref="F123:F124"/>
    <mergeCell ref="F127:F128"/>
    <mergeCell ref="F131:F132"/>
    <mergeCell ref="G144:H144"/>
    <mergeCell ref="F78:F80"/>
    <mergeCell ref="G89:H89"/>
    <mergeCell ref="G90:H90"/>
    <mergeCell ref="F103:F104"/>
    <mergeCell ref="F107:F108"/>
    <mergeCell ref="G80:H80"/>
    <mergeCell ref="G78:H78"/>
    <mergeCell ref="G11:H11"/>
    <mergeCell ref="G24:H24"/>
    <mergeCell ref="G12:H12"/>
    <mergeCell ref="G52:H52"/>
    <mergeCell ref="G49:H49"/>
    <mergeCell ref="G43:H45"/>
    <mergeCell ref="G38:H38"/>
    <mergeCell ref="G50:H50"/>
    <mergeCell ref="G39:H39"/>
    <mergeCell ref="G40:H40"/>
    <mergeCell ref="G25:H28"/>
    <mergeCell ref="G30:H34"/>
    <mergeCell ref="G13:H19"/>
    <mergeCell ref="G51:H51"/>
    <mergeCell ref="O89:O93"/>
    <mergeCell ref="G204:H204"/>
    <mergeCell ref="G64:H64"/>
    <mergeCell ref="G68:H68"/>
    <mergeCell ref="G102:H104"/>
    <mergeCell ref="G106:H108"/>
    <mergeCell ref="G110:H112"/>
    <mergeCell ref="G66:H67"/>
    <mergeCell ref="G130:H132"/>
    <mergeCell ref="G91:H91"/>
    <mergeCell ref="G92:H92"/>
    <mergeCell ref="G179:H181"/>
    <mergeCell ref="G183:H185"/>
    <mergeCell ref="G159:H161"/>
    <mergeCell ref="I156:N156"/>
    <mergeCell ref="G122:H124"/>
    <mergeCell ref="O245:O249"/>
    <mergeCell ref="G205:H205"/>
    <mergeCell ref="G206:H206"/>
    <mergeCell ref="G207:H207"/>
    <mergeCell ref="G249:H249"/>
    <mergeCell ref="G219:H219"/>
    <mergeCell ref="G223:H223"/>
    <mergeCell ref="G248:H248"/>
    <mergeCell ref="G220:H221"/>
    <mergeCell ref="G222:H222"/>
    <mergeCell ref="G233:H233"/>
    <mergeCell ref="G234:H234"/>
    <mergeCell ref="G235:H235"/>
    <mergeCell ref="G224:H224"/>
    <mergeCell ref="O204:O208"/>
    <mergeCell ref="G208:H208"/>
    <mergeCell ref="F188:F189"/>
    <mergeCell ref="F192:F193"/>
    <mergeCell ref="G191:H193"/>
    <mergeCell ref="G225:H225"/>
    <mergeCell ref="G226:H226"/>
    <mergeCell ref="F180:F181"/>
    <mergeCell ref="F160:F161"/>
    <mergeCell ref="F164:F165"/>
    <mergeCell ref="F176:F177"/>
    <mergeCell ref="F184:F185"/>
    <mergeCell ref="G247:H247"/>
    <mergeCell ref="G246:H246"/>
    <mergeCell ref="G218:H218"/>
    <mergeCell ref="G93:H93"/>
    <mergeCell ref="I242:N242"/>
    <mergeCell ref="G175:H177"/>
    <mergeCell ref="G187:H189"/>
    <mergeCell ref="I172:N172"/>
    <mergeCell ref="I201:N201"/>
    <mergeCell ref="I215:N215"/>
    <mergeCell ref="I231:N231"/>
    <mergeCell ref="G126:H128"/>
    <mergeCell ref="G147:H149"/>
    <mergeCell ref="G163:H165"/>
    <mergeCell ref="G245:H245"/>
    <mergeCell ref="I99:N99"/>
  </mergeCells>
  <conditionalFormatting sqref="O25:O28 O38:O39 O44:O45 O49 O51 O68 O220:O221 O31:O34 O12:O19">
    <cfRule type="containsText" dxfId="92" priority="39" operator="containsText" text="ok">
      <formula>NOT(ISERROR(SEARCH("ok",O12)))</formula>
    </cfRule>
  </conditionalFormatting>
  <conditionalFormatting sqref="O103 O107 O111">
    <cfRule type="containsText" dxfId="91" priority="38" operator="containsText" text="ok">
      <formula>NOT(ISERROR(SEARCH("ok",O103)))</formula>
    </cfRule>
  </conditionalFormatting>
  <conditionalFormatting sqref="O123">
    <cfRule type="containsText" dxfId="90" priority="37" operator="containsText" text="ok">
      <formula>NOT(ISERROR(SEARCH("ok",O123)))</formula>
    </cfRule>
  </conditionalFormatting>
  <conditionalFormatting sqref="O78">
    <cfRule type="containsText" dxfId="89" priority="33" operator="containsText" text="ok">
      <formula>NOT(ISERROR(SEARCH("ok",O78)))</formula>
    </cfRule>
  </conditionalFormatting>
  <conditionalFormatting sqref="O79">
    <cfRule type="containsText" dxfId="88" priority="32" operator="containsText" text="ok">
      <formula>NOT(ISERROR(SEARCH("ok",O79)))</formula>
    </cfRule>
  </conditionalFormatting>
  <conditionalFormatting sqref="O104">
    <cfRule type="containsText" dxfId="87" priority="31" operator="containsText" text="ok">
      <formula>NOT(ISERROR(SEARCH("ok",O104)))</formula>
    </cfRule>
  </conditionalFormatting>
  <conditionalFormatting sqref="O108">
    <cfRule type="containsText" dxfId="86" priority="30" operator="containsText" text="ok">
      <formula>NOT(ISERROR(SEARCH("ok",O108)))</formula>
    </cfRule>
  </conditionalFormatting>
  <conditionalFormatting sqref="O112">
    <cfRule type="containsText" dxfId="85" priority="29" operator="containsText" text="ok">
      <formula>NOT(ISERROR(SEARCH("ok",O112)))</formula>
    </cfRule>
  </conditionalFormatting>
  <conditionalFormatting sqref="O124">
    <cfRule type="containsText" dxfId="84" priority="28" operator="containsText" text="ok">
      <formula>NOT(ISERROR(SEARCH("ok",O124)))</formula>
    </cfRule>
  </conditionalFormatting>
  <conditionalFormatting sqref="O128">
    <cfRule type="containsText" dxfId="83" priority="27" operator="containsText" text="ok">
      <formula>NOT(ISERROR(SEARCH("ok",O128)))</formula>
    </cfRule>
  </conditionalFormatting>
  <conditionalFormatting sqref="O132">
    <cfRule type="containsText" dxfId="82" priority="26" operator="containsText" text="ok">
      <formula>NOT(ISERROR(SEARCH("ok",O132)))</formula>
    </cfRule>
  </conditionalFormatting>
  <conditionalFormatting sqref="O145">
    <cfRule type="containsText" dxfId="81" priority="25" operator="containsText" text="ok">
      <formula>NOT(ISERROR(SEARCH("ok",O145)))</formula>
    </cfRule>
  </conditionalFormatting>
  <conditionalFormatting sqref="O149">
    <cfRule type="containsText" dxfId="80" priority="24" operator="containsText" text="ok">
      <formula>NOT(ISERROR(SEARCH("ok",O149)))</formula>
    </cfRule>
  </conditionalFormatting>
  <conditionalFormatting sqref="O161">
    <cfRule type="containsText" dxfId="79" priority="23" operator="containsText" text="ok">
      <formula>NOT(ISERROR(SEARCH("ok",O161)))</formula>
    </cfRule>
  </conditionalFormatting>
  <conditionalFormatting sqref="O165">
    <cfRule type="containsText" dxfId="78" priority="22" operator="containsText" text="ok">
      <formula>NOT(ISERROR(SEARCH("ok",O165)))</formula>
    </cfRule>
  </conditionalFormatting>
  <conditionalFormatting sqref="O177">
    <cfRule type="containsText" dxfId="77" priority="21" operator="containsText" text="ok">
      <formula>NOT(ISERROR(SEARCH("ok",O177)))</formula>
    </cfRule>
  </conditionalFormatting>
  <conditionalFormatting sqref="O181">
    <cfRule type="containsText" dxfId="76" priority="20" operator="containsText" text="ok">
      <formula>NOT(ISERROR(SEARCH("ok",O181)))</formula>
    </cfRule>
  </conditionalFormatting>
  <conditionalFormatting sqref="O185">
    <cfRule type="containsText" dxfId="75" priority="19" operator="containsText" text="ok">
      <formula>NOT(ISERROR(SEARCH("ok",O185)))</formula>
    </cfRule>
  </conditionalFormatting>
  <conditionalFormatting sqref="O189">
    <cfRule type="containsText" dxfId="74" priority="18" operator="containsText" text="ok">
      <formula>NOT(ISERROR(SEARCH("ok",O189)))</formula>
    </cfRule>
  </conditionalFormatting>
  <conditionalFormatting sqref="O193">
    <cfRule type="containsText" dxfId="73" priority="17" operator="containsText" text="ok">
      <formula>NOT(ISERROR(SEARCH("ok",O193)))</formula>
    </cfRule>
  </conditionalFormatting>
  <conditionalFormatting sqref="O233:O235">
    <cfRule type="containsText" dxfId="72" priority="16" operator="containsText" text="ok">
      <formula>NOT(ISERROR(SEARCH("ok",O233)))</formula>
    </cfRule>
  </conditionalFormatting>
  <conditionalFormatting sqref="O193">
    <cfRule type="containsText" dxfId="71" priority="14" operator="containsText" text="ok">
      <formula>NOT(ISERROR(SEARCH("ok",O193)))</formula>
    </cfRule>
  </conditionalFormatting>
  <conditionalFormatting sqref="O127">
    <cfRule type="containsText" dxfId="70" priority="13" operator="containsText" text="ok">
      <formula>NOT(ISERROR(SEARCH("ok",O127)))</formula>
    </cfRule>
  </conditionalFormatting>
  <conditionalFormatting sqref="O131">
    <cfRule type="containsText" dxfId="69" priority="12" operator="containsText" text="ok">
      <formula>NOT(ISERROR(SEARCH("ok",O131)))</formula>
    </cfRule>
  </conditionalFormatting>
  <conditionalFormatting sqref="O143:O144">
    <cfRule type="containsText" dxfId="68" priority="11" operator="containsText" text="ok">
      <formula>NOT(ISERROR(SEARCH("ok",O143)))</formula>
    </cfRule>
  </conditionalFormatting>
  <conditionalFormatting sqref="O148">
    <cfRule type="containsText" dxfId="67" priority="10" operator="containsText" text="ok">
      <formula>NOT(ISERROR(SEARCH("ok",O148)))</formula>
    </cfRule>
  </conditionalFormatting>
  <conditionalFormatting sqref="O160">
    <cfRule type="containsText" dxfId="66" priority="7" operator="containsText" text="ok">
      <formula>NOT(ISERROR(SEARCH("ok",O160)))</formula>
    </cfRule>
  </conditionalFormatting>
  <conditionalFormatting sqref="O164">
    <cfRule type="containsText" dxfId="65" priority="6" operator="containsText" text="ok">
      <formula>NOT(ISERROR(SEARCH("ok",O164)))</formula>
    </cfRule>
  </conditionalFormatting>
  <conditionalFormatting sqref="O176">
    <cfRule type="containsText" dxfId="64" priority="5" operator="containsText" text="ok">
      <formula>NOT(ISERROR(SEARCH("ok",O176)))</formula>
    </cfRule>
  </conditionalFormatting>
  <conditionalFormatting sqref="O180">
    <cfRule type="containsText" dxfId="63" priority="4" operator="containsText" text="ok">
      <formula>NOT(ISERROR(SEARCH("ok",O180)))</formula>
    </cfRule>
  </conditionalFormatting>
  <conditionalFormatting sqref="O184">
    <cfRule type="containsText" dxfId="62" priority="3" operator="containsText" text="ok">
      <formula>NOT(ISERROR(SEARCH("ok",O184)))</formula>
    </cfRule>
  </conditionalFormatting>
  <conditionalFormatting sqref="O188">
    <cfRule type="containsText" dxfId="61" priority="2" operator="containsText" text="ok">
      <formula>NOT(ISERROR(SEARCH("ok",O188)))</formula>
    </cfRule>
  </conditionalFormatting>
  <conditionalFormatting sqref="O192">
    <cfRule type="containsText" dxfId="60" priority="1" operator="containsText" text="ok">
      <formula>NOT(ISERROR(SEARCH("ok",O192)))</formula>
    </cfRule>
  </conditionalFormatting>
  <dataValidations count="7">
    <dataValidation type="list" allowBlank="1" showInputMessage="1" showErrorMessage="1" sqref="K26 K12" xr:uid="{1F1774EF-9112-459A-BAFB-44842375A46A}">
      <formula1>si_no</formula1>
    </dataValidation>
    <dataValidation type="list" allowBlank="1" showInputMessage="1" showErrorMessage="1" sqref="K25" xr:uid="{EE825EE4-59F6-4656-B277-868A9E2B5040}">
      <formula1>"Matrice di schemi regolatori, Schema regolatorio di convergenza"</formula1>
    </dataValidation>
    <dataValidation type="list" allowBlank="1" showInputMessage="1" showErrorMessage="1" sqref="K27" xr:uid="{7358AE6A-6F75-4027-963F-14512AA58E3E}">
      <formula1>"comma 32.6 sub a), comma 32.6 sub b), comma 32.6 sub c)"</formula1>
    </dataValidation>
    <dataValidation type="list" allowBlank="1" showInputMessage="1" showErrorMessage="1" sqref="K27" xr:uid="{2CD14697-EC5D-4ED8-905E-CB72AE5FB15C}">
      <formula1>"Il gestore dispone del corredo informativo completo relativo ai ricavi e ai costi ai fini del Cos,tot,Il gestore dispone del corredo informativo completo relativo ai soli ricavi tariffari,Il gestore non dispone né di dati tariffari né di costo"</formula1>
    </dataValidation>
    <dataValidation type="decimal" operator="greaterThanOrEqual" allowBlank="1" showInputMessage="1" showErrorMessage="1" sqref="I220:N221 I180:N181 I149:N149 I165:N165 I123:N124 I44:N45 I233:N235 I108:N108 I104:N104 I131:N132 I161:N161 I127:N128 I184:N185 I112:N112 I188:N189 I176:N177 I62:N62 I145:N145 I78:N78 I193:N193" xr:uid="{F3AA45D2-20BA-43EC-8F01-BCCC3150A85B}">
      <formula1>0</formula1>
    </dataValidation>
    <dataValidation type="decimal" operator="greaterThan" allowBlank="1" showInputMessage="1" showErrorMessage="1" sqref="I43 I38:N39 M80:N80 I49:N49" xr:uid="{07246059-7B6A-48F2-B0BA-E4C10615FDF9}">
      <formula1>0</formula1>
    </dataValidation>
    <dataValidation type="decimal" allowBlank="1" showInputMessage="1" showErrorMessage="1" sqref="I64:N64 I51:N51" xr:uid="{123B5EB2-7D4B-4A0A-8766-2403D6F0CE42}">
      <formula1>0</formula1>
      <formula2>1</formula2>
    </dataValidation>
  </dataValidations>
  <pageMargins left="0.7" right="0.7" top="0.75" bottom="0.75" header="0.3" footer="0.3"/>
  <pageSetup paperSize="9" orientation="portrait" r:id="rId4"/>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2A00-000008000000}">
          <x14:formula1>
            <xm:f>TT_Tabelle_Riferimento!$G$53:$G$56</xm:f>
          </x14:formula1>
          <xm:sqref>K28</xm:sqref>
        </x14:dataValidation>
        <x14:dataValidation type="decimal" allowBlank="1" showInputMessage="1" showErrorMessage="1" xr:uid="{CA5AA348-A2E6-47EB-B7AB-952D486F65C0}">
          <x14:formula1>
            <xm:f>0</xm:f>
          </x14:formula1>
          <x14:formula2>
            <xm:f>IF(Altri_dati_eco_fin!E33="SI",#REF!+0.0000001,K66)</xm:f>
          </x14:formula2>
          <xm:sqref>K68</xm:sqref>
        </x14:dataValidation>
      </x14:dataValidation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Foglio62">
    <tabColor rgb="FFC5D9F1"/>
  </sheetPr>
  <dimension ref="A1:AA127"/>
  <sheetViews>
    <sheetView showGridLines="0" zoomScale="85" zoomScaleNormal="85" workbookViewId="0">
      <pane ySplit="3" topLeftCell="A4" activePane="bottomLeft" state="frozen"/>
      <selection pane="bottomLeft"/>
    </sheetView>
  </sheetViews>
  <sheetFormatPr defaultColWidth="9.42578125" defaultRowHeight="15"/>
  <cols>
    <col min="1" max="1" width="28.5703125" style="561" customWidth="1"/>
    <col min="2" max="2" width="23.42578125" style="1274" bestFit="1" customWidth="1"/>
    <col min="3" max="9" width="12.5703125" style="561" customWidth="1"/>
    <col min="10" max="10" width="16.42578125" bestFit="1" customWidth="1"/>
    <col min="11" max="11" width="26" customWidth="1"/>
    <col min="12" max="12" width="23.5703125" style="561" customWidth="1"/>
    <col min="13" max="13" width="23.5703125" customWidth="1"/>
    <col min="14" max="14" width="27.5703125" bestFit="1" customWidth="1"/>
    <col min="15" max="21" width="12.5703125" style="561" hidden="1" customWidth="1"/>
    <col min="22" max="22" width="12.5703125" customWidth="1"/>
    <col min="23" max="26" width="9.42578125" customWidth="1"/>
    <col min="27" max="27" width="9.42578125" style="561" customWidth="1"/>
    <col min="28" max="16384" width="9.42578125" style="561"/>
  </cols>
  <sheetData>
    <row r="1" spans="1:27" s="558" customFormat="1" ht="25.35" customHeight="1">
      <c r="A1" s="477"/>
      <c r="B1" s="1269"/>
      <c r="J1"/>
      <c r="K1"/>
      <c r="M1"/>
      <c r="N1"/>
      <c r="V1"/>
      <c r="W1"/>
      <c r="X1"/>
      <c r="Y1"/>
      <c r="Z1"/>
    </row>
    <row r="2" spans="1:27" s="559" customFormat="1">
      <c r="B2" s="1270"/>
      <c r="J2"/>
      <c r="K2"/>
      <c r="L2" s="1482" t="s">
        <v>26584</v>
      </c>
      <c r="M2"/>
      <c r="N2"/>
      <c r="V2"/>
      <c r="W2"/>
      <c r="X2"/>
      <c r="Y2"/>
      <c r="Z2"/>
    </row>
    <row r="3" spans="1:27">
      <c r="A3" s="560" t="s">
        <v>209</v>
      </c>
      <c r="B3" s="560" t="s">
        <v>210</v>
      </c>
      <c r="C3" s="639">
        <v>2024</v>
      </c>
      <c r="D3" s="639">
        <v>2025</v>
      </c>
      <c r="E3" s="639">
        <v>2026</v>
      </c>
      <c r="F3" s="639">
        <v>2027</v>
      </c>
      <c r="G3" s="639">
        <v>2028</v>
      </c>
      <c r="H3" s="639">
        <v>2029</v>
      </c>
      <c r="I3" s="639" t="s">
        <v>30187</v>
      </c>
      <c r="L3" s="1482" t="b">
        <f t="array" aca="1" ref="L3" ca="1">+OR(O:U)</f>
        <v>1</v>
      </c>
      <c r="O3" s="639" t="b">
        <f ca="1">+OR(O5,O11,O13:O79,O81:O92,O96,O98,O107)</f>
        <v>0</v>
      </c>
      <c r="P3" s="639" t="b">
        <f ca="1">+OR(P5,P11,P13:P80,P81:P88,P91:P96,P98,P107)</f>
        <v>0</v>
      </c>
      <c r="Q3" s="639" t="b">
        <f ca="1">+OR(Q5,Q11,Q13:Q79,Q81:Q88,Q96,Q98,Q107)</f>
        <v>0</v>
      </c>
      <c r="R3" s="639" t="b">
        <f ca="1">+OR(R5,R11,R13:R79,R81:R88,R96,R98,R107)</f>
        <v>0</v>
      </c>
      <c r="S3" s="639" t="b">
        <f ca="1">+OR(S5,S11,S13:S79,S81:S88,S96,S98,S107)</f>
        <v>0</v>
      </c>
      <c r="T3" s="639" t="b">
        <f ca="1">+OR(T5,T11,T13:T79,T81:T88,T96,T98,T107)</f>
        <v>0</v>
      </c>
      <c r="U3" s="639" t="b">
        <f>+OR(U8,U10:U11)</f>
        <v>1</v>
      </c>
      <c r="AA3" s="720"/>
    </row>
    <row r="4" spans="1:27">
      <c r="A4" s="562" t="s">
        <v>26526</v>
      </c>
      <c r="B4" s="564" t="s">
        <v>211</v>
      </c>
      <c r="C4" s="824"/>
      <c r="D4" s="824"/>
      <c r="E4" s="824"/>
      <c r="F4" s="824"/>
      <c r="G4" s="824"/>
      <c r="H4" s="824"/>
      <c r="I4" s="824"/>
      <c r="J4" s="1919"/>
      <c r="O4" s="824"/>
      <c r="P4" s="824"/>
      <c r="Q4" s="824"/>
      <c r="R4" s="824"/>
      <c r="S4" s="824"/>
      <c r="T4" s="824"/>
      <c r="U4" s="824"/>
      <c r="AA4"/>
    </row>
    <row r="5" spans="1:27">
      <c r="A5" s="562" t="s">
        <v>26526</v>
      </c>
      <c r="B5" s="1271" t="s">
        <v>212</v>
      </c>
      <c r="C5" s="640">
        <f>Dati_Anni_precedenti!E5</f>
        <v>0</v>
      </c>
      <c r="D5" s="640">
        <f>Dati_Anni_precedenti!F5</f>
        <v>0</v>
      </c>
      <c r="E5" s="640">
        <f ca="1">+MIN(VRG_Teta!E75,VRG_Teta!E82)</f>
        <v>0</v>
      </c>
      <c r="F5" s="640">
        <f ca="1">+MIN(VRG_Teta!F75,VRG_Teta!F82)</f>
        <v>0</v>
      </c>
      <c r="G5" s="640">
        <f ca="1">+MIN(VRG_Teta!G75,VRG_Teta!G82)</f>
        <v>0</v>
      </c>
      <c r="H5" s="640">
        <f ca="1">+MIN(VRG_Teta!H75,VRG_Teta!H82)</f>
        <v>0</v>
      </c>
      <c r="I5" s="824"/>
      <c r="J5" s="1919"/>
      <c r="O5" s="640" t="b">
        <f>+IF(ISNUMBER(C5),FALSE,TRUE)</f>
        <v>0</v>
      </c>
      <c r="P5" s="640" t="b">
        <f t="shared" ref="P5:T5" si="0">+IF(ISNUMBER(D5),FALSE,TRUE)</f>
        <v>0</v>
      </c>
      <c r="Q5" s="640" t="b">
        <f t="shared" ca="1" si="0"/>
        <v>0</v>
      </c>
      <c r="R5" s="640" t="b">
        <f t="shared" ca="1" si="0"/>
        <v>0</v>
      </c>
      <c r="S5" s="640" t="b">
        <f t="shared" ca="1" si="0"/>
        <v>0</v>
      </c>
      <c r="T5" s="640" t="b">
        <f t="shared" ca="1" si="0"/>
        <v>0</v>
      </c>
      <c r="U5" s="824"/>
      <c r="AA5"/>
    </row>
    <row r="6" spans="1:27">
      <c r="A6" s="562" t="s">
        <v>26526</v>
      </c>
      <c r="B6" s="1272" t="s">
        <v>213</v>
      </c>
      <c r="C6" s="640">
        <f>Dati_Anni_precedenti!E6</f>
        <v>0</v>
      </c>
      <c r="D6" s="640">
        <f>Dati_Anni_precedenti!F6</f>
        <v>0</v>
      </c>
      <c r="E6" s="640"/>
      <c r="F6" s="640"/>
      <c r="G6" s="640"/>
      <c r="H6" s="640"/>
      <c r="I6" s="824"/>
      <c r="J6" s="1919"/>
      <c r="O6" s="640"/>
      <c r="P6" s="640"/>
      <c r="Q6" s="640"/>
      <c r="R6" s="640"/>
      <c r="S6" s="640"/>
      <c r="T6" s="640"/>
      <c r="U6" s="824"/>
      <c r="AA6"/>
    </row>
    <row r="7" spans="1:27">
      <c r="A7" s="562" t="s">
        <v>26526</v>
      </c>
      <c r="B7" s="564" t="s">
        <v>214</v>
      </c>
      <c r="C7" s="825"/>
      <c r="D7" s="825"/>
      <c r="E7" s="825"/>
      <c r="F7" s="825"/>
      <c r="G7" s="825"/>
      <c r="H7" s="825"/>
      <c r="I7" s="638">
        <f ca="1">+IFERROR(VALUE(Input_per_calcoli_finali!K223),0)</f>
        <v>0</v>
      </c>
      <c r="J7" s="1919"/>
      <c r="O7" s="825"/>
      <c r="P7" s="825"/>
      <c r="Q7" s="825"/>
      <c r="R7" s="825"/>
      <c r="S7" s="825"/>
      <c r="T7" s="825"/>
      <c r="U7" s="638"/>
      <c r="AA7"/>
    </row>
    <row r="8" spans="1:27" ht="15.75">
      <c r="A8" s="562" t="s">
        <v>215</v>
      </c>
      <c r="B8" s="1646" t="s">
        <v>30488</v>
      </c>
      <c r="C8" s="825"/>
      <c r="D8" s="825"/>
      <c r="E8" s="825"/>
      <c r="F8" s="825"/>
      <c r="G8" s="825"/>
      <c r="H8" s="825"/>
      <c r="I8" s="638">
        <f>+Piano_Tariffario!E10</f>
        <v>0</v>
      </c>
      <c r="J8" s="1919"/>
      <c r="O8" s="825"/>
      <c r="P8" s="825"/>
      <c r="Q8" s="825"/>
      <c r="R8" s="825"/>
      <c r="S8" s="825"/>
      <c r="T8" s="825"/>
      <c r="U8" s="638" t="b">
        <f>+IF(ISNUMBER(I8),FALSE,TRUE)</f>
        <v>0</v>
      </c>
      <c r="AA8"/>
    </row>
    <row r="9" spans="1:27">
      <c r="A9" s="562" t="s">
        <v>215</v>
      </c>
      <c r="B9" s="564" t="s">
        <v>216</v>
      </c>
      <c r="C9" s="825"/>
      <c r="D9" s="825"/>
      <c r="E9" s="825"/>
      <c r="F9" s="825"/>
      <c r="G9" s="825"/>
      <c r="H9" s="825"/>
      <c r="I9" s="909">
        <f>Piano_Tariffario!$E$14</f>
        <v>0</v>
      </c>
      <c r="J9" s="1919"/>
      <c r="O9" s="825"/>
      <c r="P9" s="825"/>
      <c r="Q9" s="825"/>
      <c r="R9" s="825"/>
      <c r="S9" s="825"/>
      <c r="T9" s="825"/>
      <c r="U9" s="909"/>
      <c r="AA9"/>
    </row>
    <row r="10" spans="1:27">
      <c r="A10" s="562" t="s">
        <v>215</v>
      </c>
      <c r="B10" s="564" t="s">
        <v>30482</v>
      </c>
      <c r="C10" s="825"/>
      <c r="D10" s="825"/>
      <c r="E10" s="825"/>
      <c r="F10" s="825"/>
      <c r="G10" s="825"/>
      <c r="H10" s="825"/>
      <c r="I10" s="908">
        <f>+Input_per_calcoli_finali!G49</f>
        <v>0</v>
      </c>
      <c r="J10" s="1919"/>
      <c r="O10" s="825"/>
      <c r="P10" s="825"/>
      <c r="Q10" s="825"/>
      <c r="R10" s="825"/>
      <c r="S10" s="825"/>
      <c r="T10" s="825"/>
      <c r="U10" s="908" t="b">
        <f>+IF(ISNUMBER(I10),FALSE,TRUE)</f>
        <v>0</v>
      </c>
      <c r="AA10"/>
    </row>
    <row r="11" spans="1:27" ht="15.75">
      <c r="A11" s="562" t="s">
        <v>215</v>
      </c>
      <c r="B11" s="1929" t="s">
        <v>30596</v>
      </c>
      <c r="C11" s="638">
        <f>Dati_Anni_precedenti!E11</f>
        <v>0</v>
      </c>
      <c r="D11" s="638">
        <f>Dati_Anni_precedenti!F11</f>
        <v>0</v>
      </c>
      <c r="E11" s="638">
        <f>+MAX(Dati_tecnici!E15,Dati_tecnici!E23,Dati_tecnici!E29)+0.25*Dati_tecnici!E18</f>
        <v>0</v>
      </c>
      <c r="F11" s="638">
        <f>+MAX(Dati_tecnici!F15,Dati_tecnici!F23,Dati_tecnici!F29)+0.25*Dati_tecnici!F18</f>
        <v>0</v>
      </c>
      <c r="G11" s="638">
        <f>+D11</f>
        <v>0</v>
      </c>
      <c r="H11" s="638">
        <f>+G11</f>
        <v>0</v>
      </c>
      <c r="I11" s="908" t="str">
        <f>+Input_per_calcoli_finali!$G$39</f>
        <v/>
      </c>
      <c r="J11" s="1919"/>
      <c r="O11" s="638" t="b">
        <f t="shared" ref="O11:T11" si="1">+IF(ISNUMBER(C11),FALSE,TRUE)</f>
        <v>0</v>
      </c>
      <c r="P11" s="638" t="b">
        <f t="shared" si="1"/>
        <v>0</v>
      </c>
      <c r="Q11" s="638" t="b">
        <f t="shared" si="1"/>
        <v>0</v>
      </c>
      <c r="R11" s="638" t="b">
        <f t="shared" si="1"/>
        <v>0</v>
      </c>
      <c r="S11" s="638" t="b">
        <f t="shared" si="1"/>
        <v>0</v>
      </c>
      <c r="T11" s="638" t="b">
        <f t="shared" si="1"/>
        <v>0</v>
      </c>
      <c r="U11" s="908" t="b">
        <f>+IF(ISNUMBER(I11),FALSE,TRUE)</f>
        <v>1</v>
      </c>
      <c r="AA11"/>
    </row>
    <row r="12" spans="1:27">
      <c r="A12" s="562" t="s">
        <v>215</v>
      </c>
      <c r="B12" s="564" t="s">
        <v>215</v>
      </c>
      <c r="C12" s="825"/>
      <c r="D12" s="825"/>
      <c r="E12" s="825"/>
      <c r="F12" s="825"/>
      <c r="G12" s="825"/>
      <c r="H12" s="825"/>
      <c r="I12" s="638">
        <f>+Piano_Tariffario!E15</f>
        <v>0</v>
      </c>
      <c r="J12" s="1919"/>
      <c r="O12" s="825"/>
      <c r="P12" s="825"/>
      <c r="Q12" s="825"/>
      <c r="R12" s="825"/>
      <c r="S12" s="825"/>
      <c r="T12" s="825"/>
      <c r="U12" s="638"/>
      <c r="AA12"/>
    </row>
    <row r="13" spans="1:27" ht="15.75">
      <c r="A13" s="562" t="s">
        <v>26997</v>
      </c>
      <c r="B13" s="1276" t="s">
        <v>27000</v>
      </c>
      <c r="C13" s="638">
        <f>Dati_Anni_precedenti!E13</f>
        <v>0</v>
      </c>
      <c r="D13" s="638">
        <f>Dati_Anni_precedenti!F13</f>
        <v>0</v>
      </c>
      <c r="E13" s="638">
        <f ca="1">+Piano_Tariffario!G81</f>
        <v>0</v>
      </c>
      <c r="F13" s="638">
        <f ca="1">+Piano_Tariffario!H81</f>
        <v>0</v>
      </c>
      <c r="G13" s="638">
        <f ca="1">+Piano_Tariffario!I81</f>
        <v>0</v>
      </c>
      <c r="H13" s="638">
        <f ca="1">+Piano_Tariffario!J81</f>
        <v>0</v>
      </c>
      <c r="I13" s="825"/>
      <c r="J13" s="1919"/>
      <c r="O13" s="638" t="b">
        <f t="shared" ref="O13:O36" si="2">+IF(ISNUMBER(C13),FALSE,TRUE)</f>
        <v>0</v>
      </c>
      <c r="P13" s="638" t="b">
        <f t="shared" ref="P13:P36" si="3">+IF(ISNUMBER(D13),FALSE,TRUE)</f>
        <v>0</v>
      </c>
      <c r="Q13" s="638" t="b">
        <f t="shared" ref="Q13:Q76" ca="1" si="4">+IF(ISNUMBER(E13),FALSE,TRUE)</f>
        <v>0</v>
      </c>
      <c r="R13" s="638" t="b">
        <f t="shared" ref="R13:R76" ca="1" si="5">+IF(ISNUMBER(F13),FALSE,TRUE)</f>
        <v>0</v>
      </c>
      <c r="S13" s="638" t="b">
        <f t="shared" ref="S13:S76" ca="1" si="6">+IF(ISNUMBER(G13),FALSE,TRUE)</f>
        <v>0</v>
      </c>
      <c r="T13" s="638" t="b">
        <f t="shared" ref="T13:T76" ca="1" si="7">+IF(ISNUMBER(H13),FALSE,TRUE)</f>
        <v>0</v>
      </c>
      <c r="U13" s="825"/>
      <c r="AA13"/>
    </row>
    <row r="14" spans="1:27">
      <c r="A14" s="562" t="s">
        <v>26997</v>
      </c>
      <c r="B14" s="1276" t="s">
        <v>26999</v>
      </c>
      <c r="C14" s="638">
        <f>Dati_Anni_precedenti!E14</f>
        <v>0</v>
      </c>
      <c r="D14" s="638">
        <f>Dati_Anni_precedenti!F14</f>
        <v>0</v>
      </c>
      <c r="E14" s="638">
        <f ca="1">+Piano_Tariffario!G82</f>
        <v>0</v>
      </c>
      <c r="F14" s="638">
        <f ca="1">+Piano_Tariffario!H82</f>
        <v>0</v>
      </c>
      <c r="G14" s="638">
        <f ca="1">+Piano_Tariffario!I82</f>
        <v>0</v>
      </c>
      <c r="H14" s="638">
        <f ca="1">+Piano_Tariffario!J82</f>
        <v>0</v>
      </c>
      <c r="I14" s="825"/>
      <c r="J14" s="1919"/>
      <c r="O14" s="638" t="b">
        <f t="shared" si="2"/>
        <v>0</v>
      </c>
      <c r="P14" s="638" t="b">
        <f t="shared" si="3"/>
        <v>0</v>
      </c>
      <c r="Q14" s="638" t="b">
        <f t="shared" ca="1" si="4"/>
        <v>0</v>
      </c>
      <c r="R14" s="638" t="b">
        <f t="shared" ca="1" si="5"/>
        <v>0</v>
      </c>
      <c r="S14" s="638" t="b">
        <f t="shared" ca="1" si="6"/>
        <v>0</v>
      </c>
      <c r="T14" s="638" t="b">
        <f t="shared" ca="1" si="7"/>
        <v>0</v>
      </c>
      <c r="U14" s="825"/>
      <c r="AA14"/>
    </row>
    <row r="15" spans="1:27" ht="15.75">
      <c r="A15" s="562" t="s">
        <v>26997</v>
      </c>
      <c r="B15" s="1276" t="s">
        <v>26998</v>
      </c>
      <c r="C15" s="638">
        <f>Dati_Anni_precedenti!E15</f>
        <v>0</v>
      </c>
      <c r="D15" s="638">
        <f>Dati_Anni_precedenti!F15</f>
        <v>0</v>
      </c>
      <c r="E15" s="638">
        <f ca="1">+Piano_Tariffario!G83</f>
        <v>0</v>
      </c>
      <c r="F15" s="638">
        <f ca="1">+Piano_Tariffario!H83</f>
        <v>0</v>
      </c>
      <c r="G15" s="638">
        <f ca="1">+Piano_Tariffario!I83</f>
        <v>0</v>
      </c>
      <c r="H15" s="638">
        <f ca="1">+Piano_Tariffario!J83</f>
        <v>0</v>
      </c>
      <c r="I15" s="825"/>
      <c r="J15" s="1919"/>
      <c r="O15" s="638" t="b">
        <f t="shared" si="2"/>
        <v>0</v>
      </c>
      <c r="P15" s="638" t="b">
        <f t="shared" si="3"/>
        <v>0</v>
      </c>
      <c r="Q15" s="638" t="b">
        <f t="shared" ca="1" si="4"/>
        <v>0</v>
      </c>
      <c r="R15" s="638" t="b">
        <f t="shared" ca="1" si="5"/>
        <v>0</v>
      </c>
      <c r="S15" s="638" t="b">
        <f t="shared" ca="1" si="6"/>
        <v>0</v>
      </c>
      <c r="T15" s="638" t="b">
        <f t="shared" ca="1" si="7"/>
        <v>0</v>
      </c>
      <c r="U15" s="825"/>
      <c r="AA15"/>
    </row>
    <row r="16" spans="1:27">
      <c r="A16" s="562" t="s">
        <v>217</v>
      </c>
      <c r="B16" s="564" t="s">
        <v>218</v>
      </c>
      <c r="C16" s="638">
        <f>Dati_Anni_precedenti!E16</f>
        <v>0</v>
      </c>
      <c r="D16" s="638">
        <f>Dati_Anni_precedenti!F16</f>
        <v>0</v>
      </c>
      <c r="E16" s="638">
        <f ca="1">+Piano_Tariffario!G63</f>
        <v>0</v>
      </c>
      <c r="F16" s="638">
        <f ca="1">+Piano_Tariffario!H63</f>
        <v>0</v>
      </c>
      <c r="G16" s="638">
        <f ca="1">+Piano_Tariffario!I63</f>
        <v>0</v>
      </c>
      <c r="H16" s="638">
        <f ca="1">+Piano_Tariffario!J63</f>
        <v>0</v>
      </c>
      <c r="I16" s="825"/>
      <c r="J16" s="1919"/>
      <c r="O16" s="638" t="b">
        <f t="shared" si="2"/>
        <v>0</v>
      </c>
      <c r="P16" s="638" t="b">
        <f t="shared" si="3"/>
        <v>0</v>
      </c>
      <c r="Q16" s="638" t="b">
        <f t="shared" ca="1" si="4"/>
        <v>0</v>
      </c>
      <c r="R16" s="638" t="b">
        <f t="shared" ca="1" si="5"/>
        <v>0</v>
      </c>
      <c r="S16" s="638" t="b">
        <f t="shared" ca="1" si="6"/>
        <v>0</v>
      </c>
      <c r="T16" s="638" t="b">
        <f t="shared" ca="1" si="7"/>
        <v>0</v>
      </c>
      <c r="U16" s="825"/>
      <c r="AA16"/>
    </row>
    <row r="17" spans="1:27">
      <c r="A17" s="562" t="s">
        <v>217</v>
      </c>
      <c r="B17" s="564" t="s">
        <v>30582</v>
      </c>
      <c r="C17" s="638">
        <f>Dati_Anni_precedenti!E17</f>
        <v>0</v>
      </c>
      <c r="D17" s="638">
        <f>Dati_Anni_precedenti!F17</f>
        <v>0</v>
      </c>
      <c r="E17" s="638">
        <f>+Piano_Tariffario!G65</f>
        <v>0</v>
      </c>
      <c r="F17" s="638">
        <f>+Piano_Tariffario!H65</f>
        <v>0</v>
      </c>
      <c r="G17" s="638">
        <f>+Piano_Tariffario!I65</f>
        <v>0</v>
      </c>
      <c r="H17" s="638">
        <f>+Piano_Tariffario!J65</f>
        <v>0</v>
      </c>
      <c r="I17" s="825"/>
      <c r="J17" s="1919"/>
      <c r="O17" s="638" t="b">
        <f t="shared" si="2"/>
        <v>0</v>
      </c>
      <c r="P17" s="638" t="b">
        <f t="shared" si="3"/>
        <v>0</v>
      </c>
      <c r="Q17" s="638" t="b">
        <f t="shared" si="4"/>
        <v>0</v>
      </c>
      <c r="R17" s="638" t="b">
        <f t="shared" si="5"/>
        <v>0</v>
      </c>
      <c r="S17" s="638" t="b">
        <f t="shared" si="6"/>
        <v>0</v>
      </c>
      <c r="T17" s="638" t="b">
        <f t="shared" si="7"/>
        <v>0</v>
      </c>
      <c r="U17" s="825"/>
      <c r="AA17"/>
    </row>
    <row r="18" spans="1:27">
      <c r="A18" s="562" t="s">
        <v>217</v>
      </c>
      <c r="B18" s="684" t="s">
        <v>25410</v>
      </c>
      <c r="C18" s="638">
        <f>Dati_Anni_precedenti!E18</f>
        <v>0</v>
      </c>
      <c r="D18" s="638">
        <f>Dati_Anni_precedenti!F18</f>
        <v>0</v>
      </c>
      <c r="E18" s="638">
        <f>+SUM(Vendita_Servizi_ingrosso!AI:AI)</f>
        <v>0</v>
      </c>
      <c r="F18" s="638">
        <f>+SUM(Vendita_Servizi_ingrosso!AJ:AJ)</f>
        <v>0</v>
      </c>
      <c r="G18" s="638">
        <f>+F18</f>
        <v>0</v>
      </c>
      <c r="H18" s="638">
        <f>+G18</f>
        <v>0</v>
      </c>
      <c r="I18" s="825"/>
      <c r="J18" s="1919"/>
      <c r="L18" s="1500"/>
      <c r="O18" s="638" t="b">
        <f t="shared" si="2"/>
        <v>0</v>
      </c>
      <c r="P18" s="638" t="b">
        <f t="shared" si="3"/>
        <v>0</v>
      </c>
      <c r="Q18" s="638" t="b">
        <f t="shared" si="4"/>
        <v>0</v>
      </c>
      <c r="R18" s="638" t="b">
        <f t="shared" si="5"/>
        <v>0</v>
      </c>
      <c r="S18" s="638" t="b">
        <f t="shared" si="6"/>
        <v>0</v>
      </c>
      <c r="T18" s="638" t="b">
        <f t="shared" si="7"/>
        <v>0</v>
      </c>
      <c r="U18" s="825"/>
      <c r="AA18"/>
    </row>
    <row r="19" spans="1:27">
      <c r="A19" s="562" t="s">
        <v>217</v>
      </c>
      <c r="B19" s="1920" t="s">
        <v>30583</v>
      </c>
      <c r="C19" s="638">
        <f>Dati_Anni_precedenti!E19</f>
        <v>0</v>
      </c>
      <c r="D19" s="638">
        <f>Dati_Anni_precedenti!F19</f>
        <v>0</v>
      </c>
      <c r="E19" s="638">
        <f>+SUM(Ricavi_bacini_tariffari!N:N)</f>
        <v>0</v>
      </c>
      <c r="F19" s="638">
        <f>+SUM(Ricavi_bacini_tariffari!O:O)</f>
        <v>0</v>
      </c>
      <c r="G19" s="638">
        <f t="shared" ref="G19:H19" si="8">+F19</f>
        <v>0</v>
      </c>
      <c r="H19" s="638">
        <f t="shared" si="8"/>
        <v>0</v>
      </c>
      <c r="I19" s="825"/>
      <c r="J19" s="1919"/>
      <c r="O19" s="638" t="b">
        <f t="shared" si="2"/>
        <v>0</v>
      </c>
      <c r="P19" s="638" t="b">
        <f t="shared" si="3"/>
        <v>0</v>
      </c>
      <c r="Q19" s="638" t="b">
        <f t="shared" si="4"/>
        <v>0</v>
      </c>
      <c r="R19" s="638" t="b">
        <f t="shared" si="5"/>
        <v>0</v>
      </c>
      <c r="S19" s="638" t="b">
        <f t="shared" si="6"/>
        <v>0</v>
      </c>
      <c r="T19" s="638" t="b">
        <f t="shared" si="7"/>
        <v>0</v>
      </c>
      <c r="U19" s="825"/>
      <c r="AA19"/>
    </row>
    <row r="20" spans="1:27" ht="15" customHeight="1">
      <c r="A20" s="562" t="s">
        <v>217</v>
      </c>
      <c r="B20" s="1538" t="s">
        <v>30584</v>
      </c>
      <c r="C20" s="638">
        <f>Dati_Anni_precedenti!E20</f>
        <v>0</v>
      </c>
      <c r="D20" s="638">
        <f>Dati_Anni_precedenti!F20</f>
        <v>0</v>
      </c>
      <c r="E20" s="638">
        <f>+Ricavi_Coll_Dep!D19</f>
        <v>0</v>
      </c>
      <c r="F20" s="638">
        <f>+Ricavi_Coll_Dep!E19</f>
        <v>0</v>
      </c>
      <c r="G20" s="638">
        <f t="shared" ref="G20:H20" si="9">+F20</f>
        <v>0</v>
      </c>
      <c r="H20" s="638">
        <f t="shared" si="9"/>
        <v>0</v>
      </c>
      <c r="I20" s="825"/>
      <c r="J20" s="1919"/>
      <c r="O20" s="638" t="b">
        <f t="shared" si="2"/>
        <v>0</v>
      </c>
      <c r="P20" s="638" t="b">
        <f t="shared" si="3"/>
        <v>0</v>
      </c>
      <c r="Q20" s="638" t="b">
        <f t="shared" si="4"/>
        <v>0</v>
      </c>
      <c r="R20" s="638" t="b">
        <f t="shared" si="5"/>
        <v>0</v>
      </c>
      <c r="S20" s="638" t="b">
        <f t="shared" si="6"/>
        <v>0</v>
      </c>
      <c r="T20" s="638" t="b">
        <f t="shared" si="7"/>
        <v>0</v>
      </c>
      <c r="U20" s="825"/>
      <c r="AA20"/>
    </row>
    <row r="21" spans="1:27">
      <c r="A21" s="562" t="s">
        <v>217</v>
      </c>
      <c r="B21" s="564" t="s">
        <v>24906</v>
      </c>
      <c r="C21" s="638">
        <f>Dati_Anni_precedenti!E21</f>
        <v>0</v>
      </c>
      <c r="D21" s="638">
        <f>Dati_Anni_precedenti!F21</f>
        <v>0</v>
      </c>
      <c r="E21" s="638">
        <f>+Piano_Tariffario!G64</f>
        <v>0</v>
      </c>
      <c r="F21" s="638">
        <f>+Piano_Tariffario!H64</f>
        <v>0</v>
      </c>
      <c r="G21" s="638">
        <f>+Piano_Tariffario!I64</f>
        <v>0</v>
      </c>
      <c r="H21" s="638">
        <f>+Piano_Tariffario!J64</f>
        <v>0</v>
      </c>
      <c r="I21" s="825"/>
      <c r="J21" s="1919"/>
      <c r="O21" s="638" t="b">
        <f t="shared" si="2"/>
        <v>0</v>
      </c>
      <c r="P21" s="638" t="b">
        <f t="shared" si="3"/>
        <v>0</v>
      </c>
      <c r="Q21" s="638" t="b">
        <f t="shared" si="4"/>
        <v>0</v>
      </c>
      <c r="R21" s="638" t="b">
        <f t="shared" si="5"/>
        <v>0</v>
      </c>
      <c r="S21" s="638" t="b">
        <f t="shared" si="6"/>
        <v>0</v>
      </c>
      <c r="T21" s="638" t="b">
        <f t="shared" si="7"/>
        <v>0</v>
      </c>
      <c r="U21" s="825"/>
      <c r="AA21"/>
    </row>
    <row r="22" spans="1:27">
      <c r="A22" s="562" t="s">
        <v>217</v>
      </c>
      <c r="B22" s="564" t="s">
        <v>24907</v>
      </c>
      <c r="C22" s="638">
        <f>Dati_Anni_precedenti!E22</f>
        <v>0</v>
      </c>
      <c r="D22" s="638">
        <f>Dati_Anni_precedenti!F22</f>
        <v>0</v>
      </c>
      <c r="E22" s="641">
        <f>+VRG_Teta!E140+VRG_Teta!E138</f>
        <v>0</v>
      </c>
      <c r="F22" s="641">
        <f>+VRG_Teta!F140+VRG_Teta!F138</f>
        <v>0</v>
      </c>
      <c r="G22" s="638">
        <f>+VRG_Teta!G140+VRG_Teta!G138</f>
        <v>0</v>
      </c>
      <c r="H22" s="638">
        <f>+VRG_Teta!H140+VRG_Teta!H138</f>
        <v>0</v>
      </c>
      <c r="I22" s="825"/>
      <c r="J22" s="1919"/>
      <c r="O22" s="638" t="b">
        <f t="shared" si="2"/>
        <v>0</v>
      </c>
      <c r="P22" s="638" t="b">
        <f t="shared" si="3"/>
        <v>0</v>
      </c>
      <c r="Q22" s="641" t="b">
        <f t="shared" si="4"/>
        <v>0</v>
      </c>
      <c r="R22" s="641" t="b">
        <f t="shared" si="5"/>
        <v>0</v>
      </c>
      <c r="S22" s="638" t="b">
        <f t="shared" si="6"/>
        <v>0</v>
      </c>
      <c r="T22" s="638" t="b">
        <f t="shared" si="7"/>
        <v>0</v>
      </c>
      <c r="U22" s="825"/>
      <c r="AA22"/>
    </row>
    <row r="23" spans="1:27">
      <c r="A23" s="562" t="s">
        <v>219</v>
      </c>
      <c r="B23" s="564" t="s">
        <v>201</v>
      </c>
      <c r="C23" s="638">
        <f>Dati_Anni_precedenti!E23</f>
        <v>0</v>
      </c>
      <c r="D23" s="638">
        <f>Dati_Anni_precedenti!F23</f>
        <v>0</v>
      </c>
      <c r="E23" s="638">
        <f>+Piano_Tariffario!G30</f>
        <v>0</v>
      </c>
      <c r="F23" s="638">
        <f>+Piano_Tariffario!H30</f>
        <v>0</v>
      </c>
      <c r="G23" s="638">
        <f>+Piano_Tariffario!I30</f>
        <v>0</v>
      </c>
      <c r="H23" s="638">
        <f>+Piano_Tariffario!J30</f>
        <v>0</v>
      </c>
      <c r="I23" s="825"/>
      <c r="J23" s="1919"/>
      <c r="O23" s="638" t="b">
        <f t="shared" si="2"/>
        <v>0</v>
      </c>
      <c r="P23" s="638" t="b">
        <f t="shared" si="3"/>
        <v>0</v>
      </c>
      <c r="Q23" s="638" t="b">
        <f t="shared" si="4"/>
        <v>0</v>
      </c>
      <c r="R23" s="638" t="b">
        <f t="shared" si="5"/>
        <v>0</v>
      </c>
      <c r="S23" s="638" t="b">
        <f t="shared" si="6"/>
        <v>0</v>
      </c>
      <c r="T23" s="638" t="b">
        <f t="shared" si="7"/>
        <v>0</v>
      </c>
      <c r="U23" s="825"/>
      <c r="AA23"/>
    </row>
    <row r="24" spans="1:27">
      <c r="A24" s="562" t="s">
        <v>219</v>
      </c>
      <c r="B24" s="564" t="s">
        <v>220</v>
      </c>
      <c r="C24" s="638">
        <f>Dati_Anni_precedenti!E24</f>
        <v>0</v>
      </c>
      <c r="D24" s="638">
        <f>Dati_Anni_precedenti!F24</f>
        <v>0</v>
      </c>
      <c r="E24" s="638">
        <f>+Piano_Tariffario!G31</f>
        <v>0</v>
      </c>
      <c r="F24" s="638">
        <f>+Piano_Tariffario!H31</f>
        <v>0</v>
      </c>
      <c r="G24" s="638">
        <f>+Piano_Tariffario!I31</f>
        <v>0</v>
      </c>
      <c r="H24" s="638">
        <f>+Piano_Tariffario!J31</f>
        <v>0</v>
      </c>
      <c r="I24" s="825"/>
      <c r="J24" s="1919"/>
      <c r="O24" s="638" t="b">
        <f t="shared" si="2"/>
        <v>0</v>
      </c>
      <c r="P24" s="638" t="b">
        <f t="shared" si="3"/>
        <v>0</v>
      </c>
      <c r="Q24" s="638" t="b">
        <f t="shared" si="4"/>
        <v>0</v>
      </c>
      <c r="R24" s="638" t="b">
        <f t="shared" si="5"/>
        <v>0</v>
      </c>
      <c r="S24" s="638" t="b">
        <f t="shared" si="6"/>
        <v>0</v>
      </c>
      <c r="T24" s="638" t="b">
        <f t="shared" si="7"/>
        <v>0</v>
      </c>
      <c r="U24" s="825"/>
      <c r="AA24"/>
    </row>
    <row r="25" spans="1:27">
      <c r="A25" s="562" t="s">
        <v>219</v>
      </c>
      <c r="B25" s="564" t="s">
        <v>221</v>
      </c>
      <c r="C25" s="638">
        <f>Dati_Anni_precedenti!E25</f>
        <v>0</v>
      </c>
      <c r="D25" s="638">
        <f>Dati_Anni_precedenti!F25</f>
        <v>0</v>
      </c>
      <c r="E25" s="638">
        <f>+Piano_Tariffario!G32</f>
        <v>0</v>
      </c>
      <c r="F25" s="638">
        <f>+Piano_Tariffario!H32</f>
        <v>0</v>
      </c>
      <c r="G25" s="638">
        <f>+Piano_Tariffario!I32</f>
        <v>0</v>
      </c>
      <c r="H25" s="638">
        <f>+Piano_Tariffario!J32</f>
        <v>0</v>
      </c>
      <c r="I25" s="825"/>
      <c r="J25" s="1919"/>
      <c r="O25" s="638" t="b">
        <f t="shared" si="2"/>
        <v>0</v>
      </c>
      <c r="P25" s="638" t="b">
        <f t="shared" si="3"/>
        <v>0</v>
      </c>
      <c r="Q25" s="638" t="b">
        <f t="shared" si="4"/>
        <v>0</v>
      </c>
      <c r="R25" s="638" t="b">
        <f t="shared" si="5"/>
        <v>0</v>
      </c>
      <c r="S25" s="638" t="b">
        <f t="shared" si="6"/>
        <v>0</v>
      </c>
      <c r="T25" s="638" t="b">
        <f t="shared" si="7"/>
        <v>0</v>
      </c>
      <c r="U25" s="825"/>
      <c r="AA25"/>
    </row>
    <row r="26" spans="1:27" ht="15.75">
      <c r="A26" s="562" t="s">
        <v>219</v>
      </c>
      <c r="B26" s="564" t="s">
        <v>222</v>
      </c>
      <c r="C26" s="638">
        <f>Dati_Anni_precedenti!E26</f>
        <v>0</v>
      </c>
      <c r="D26" s="638">
        <f>Dati_Anni_precedenti!F26</f>
        <v>0</v>
      </c>
      <c r="E26" s="638">
        <f>+Piano_Tariffario!G33</f>
        <v>0</v>
      </c>
      <c r="F26" s="638">
        <f>+Piano_Tariffario!H33</f>
        <v>0</v>
      </c>
      <c r="G26" s="638">
        <f>+Piano_Tariffario!I33</f>
        <v>0</v>
      </c>
      <c r="H26" s="638">
        <f>+Piano_Tariffario!J33</f>
        <v>0</v>
      </c>
      <c r="I26" s="825"/>
      <c r="J26" s="1919"/>
      <c r="O26" s="638" t="b">
        <f t="shared" si="2"/>
        <v>0</v>
      </c>
      <c r="P26" s="638" t="b">
        <f t="shared" si="3"/>
        <v>0</v>
      </c>
      <c r="Q26" s="638" t="b">
        <f t="shared" si="4"/>
        <v>0</v>
      </c>
      <c r="R26" s="638" t="b">
        <f t="shared" si="5"/>
        <v>0</v>
      </c>
      <c r="S26" s="638" t="b">
        <f t="shared" si="6"/>
        <v>0</v>
      </c>
      <c r="T26" s="638" t="b">
        <f t="shared" si="7"/>
        <v>0</v>
      </c>
      <c r="U26" s="825"/>
      <c r="AA26"/>
    </row>
    <row r="27" spans="1:27">
      <c r="A27" s="562" t="s">
        <v>223</v>
      </c>
      <c r="B27" s="564" t="s">
        <v>199</v>
      </c>
      <c r="C27" s="638">
        <f>Dati_Anni_precedenti!E27</f>
        <v>0</v>
      </c>
      <c r="D27" s="638">
        <f>Dati_Anni_precedenti!F27</f>
        <v>0</v>
      </c>
      <c r="E27" s="641">
        <f>+TT_riepilogo_IMN!G6</f>
        <v>0</v>
      </c>
      <c r="F27" s="641">
        <f>+TT_riepilogo_IMN!H6</f>
        <v>0</v>
      </c>
      <c r="G27" s="641">
        <f>+TT_riepilogo_IMN!I6</f>
        <v>0</v>
      </c>
      <c r="H27" s="641">
        <f>+TT_riepilogo_IMN!J6</f>
        <v>0</v>
      </c>
      <c r="I27" s="825"/>
      <c r="J27" s="1919"/>
      <c r="O27" s="638" t="b">
        <f t="shared" si="2"/>
        <v>0</v>
      </c>
      <c r="P27" s="638" t="b">
        <f t="shared" si="3"/>
        <v>0</v>
      </c>
      <c r="Q27" s="641" t="b">
        <f t="shared" si="4"/>
        <v>0</v>
      </c>
      <c r="R27" s="641" t="b">
        <f t="shared" si="5"/>
        <v>0</v>
      </c>
      <c r="S27" s="641" t="b">
        <f t="shared" si="6"/>
        <v>0</v>
      </c>
      <c r="T27" s="641" t="b">
        <f t="shared" si="7"/>
        <v>0</v>
      </c>
      <c r="U27" s="825"/>
      <c r="AA27"/>
    </row>
    <row r="28" spans="1:27">
      <c r="A28" s="562" t="s">
        <v>223</v>
      </c>
      <c r="B28" s="564" t="s">
        <v>200</v>
      </c>
      <c r="C28" s="638">
        <f>Dati_Anni_precedenti!E28</f>
        <v>0</v>
      </c>
      <c r="D28" s="638">
        <f>Dati_Anni_precedenti!F28</f>
        <v>0</v>
      </c>
      <c r="E28" s="641">
        <f>+TT_riepilogo_IMN!G8</f>
        <v>0</v>
      </c>
      <c r="F28" s="641">
        <f>+TT_riepilogo_IMN!H8</f>
        <v>0</v>
      </c>
      <c r="G28" s="641">
        <f>+TT_riepilogo_IMN!I8</f>
        <v>0</v>
      </c>
      <c r="H28" s="641">
        <f>+TT_riepilogo_IMN!J8</f>
        <v>0</v>
      </c>
      <c r="I28" s="825"/>
      <c r="J28" s="1919"/>
      <c r="O28" s="638" t="b">
        <f t="shared" si="2"/>
        <v>0</v>
      </c>
      <c r="P28" s="638" t="b">
        <f t="shared" si="3"/>
        <v>0</v>
      </c>
      <c r="Q28" s="641" t="b">
        <f t="shared" si="4"/>
        <v>0</v>
      </c>
      <c r="R28" s="641" t="b">
        <f t="shared" si="5"/>
        <v>0</v>
      </c>
      <c r="S28" s="641" t="b">
        <f t="shared" si="6"/>
        <v>0</v>
      </c>
      <c r="T28" s="641" t="b">
        <f t="shared" si="7"/>
        <v>0</v>
      </c>
      <c r="U28" s="825"/>
      <c r="AA28"/>
    </row>
    <row r="29" spans="1:27">
      <c r="A29" s="562" t="s">
        <v>223</v>
      </c>
      <c r="B29" s="564" t="s">
        <v>224</v>
      </c>
      <c r="C29" s="641">
        <f>Dati_Anni_precedenti!E29</f>
        <v>0</v>
      </c>
      <c r="D29" s="641">
        <f>Dati_Anni_precedenti!F29</f>
        <v>0</v>
      </c>
      <c r="E29" s="641">
        <f>+TT_riepilogo_IMN!G7</f>
        <v>0</v>
      </c>
      <c r="F29" s="641">
        <f>+TT_riepilogo_IMN!H7</f>
        <v>0</v>
      </c>
      <c r="G29" s="641">
        <f>+TT_riepilogo_IMN!I7</f>
        <v>0</v>
      </c>
      <c r="H29" s="641">
        <f>+TT_riepilogo_IMN!J7</f>
        <v>0</v>
      </c>
      <c r="I29" s="825"/>
      <c r="J29" s="1919"/>
      <c r="O29" s="641" t="b">
        <f t="shared" si="2"/>
        <v>0</v>
      </c>
      <c r="P29" s="641" t="b">
        <f t="shared" si="3"/>
        <v>0</v>
      </c>
      <c r="Q29" s="641" t="b">
        <f t="shared" si="4"/>
        <v>0</v>
      </c>
      <c r="R29" s="641" t="b">
        <f t="shared" si="5"/>
        <v>0</v>
      </c>
      <c r="S29" s="641" t="b">
        <f t="shared" si="6"/>
        <v>0</v>
      </c>
      <c r="T29" s="641" t="b">
        <f t="shared" si="7"/>
        <v>0</v>
      </c>
      <c r="U29" s="825"/>
      <c r="AA29"/>
    </row>
    <row r="30" spans="1:27" ht="15.75">
      <c r="A30" s="562" t="s">
        <v>225</v>
      </c>
      <c r="B30" s="564" t="s">
        <v>226</v>
      </c>
      <c r="C30" s="638">
        <f>Dati_Anni_precedenti!E30</f>
        <v>0</v>
      </c>
      <c r="D30" s="638">
        <f>Dati_Anni_precedenti!F30</f>
        <v>0</v>
      </c>
      <c r="E30" s="638">
        <f>+Piano_Tariffario!G48</f>
        <v>0</v>
      </c>
      <c r="F30" s="638">
        <f>+Piano_Tariffario!H48</f>
        <v>0</v>
      </c>
      <c r="G30" s="638">
        <f>+Piano_Tariffario!I48</f>
        <v>0</v>
      </c>
      <c r="H30" s="638">
        <f>+Piano_Tariffario!J48</f>
        <v>0</v>
      </c>
      <c r="I30" s="825"/>
      <c r="J30" s="1919"/>
      <c r="O30" s="638" t="b">
        <f t="shared" si="2"/>
        <v>0</v>
      </c>
      <c r="P30" s="638" t="b">
        <f t="shared" si="3"/>
        <v>0</v>
      </c>
      <c r="Q30" s="638" t="b">
        <f t="shared" si="4"/>
        <v>0</v>
      </c>
      <c r="R30" s="638" t="b">
        <f t="shared" si="5"/>
        <v>0</v>
      </c>
      <c r="S30" s="638" t="b">
        <f t="shared" si="6"/>
        <v>0</v>
      </c>
      <c r="T30" s="638" t="b">
        <f t="shared" si="7"/>
        <v>0</v>
      </c>
      <c r="U30" s="825"/>
      <c r="AA30"/>
    </row>
    <row r="31" spans="1:27" ht="15.75">
      <c r="A31" s="562" t="s">
        <v>225</v>
      </c>
      <c r="B31" s="564" t="s">
        <v>227</v>
      </c>
      <c r="C31" s="638">
        <f>Dati_Anni_precedenti!E31</f>
        <v>0</v>
      </c>
      <c r="D31" s="638">
        <f>Dati_Anni_precedenti!F31</f>
        <v>0</v>
      </c>
      <c r="E31" s="638">
        <f>+Piano_Tariffario!G49</f>
        <v>0</v>
      </c>
      <c r="F31" s="638">
        <f>+Piano_Tariffario!H49</f>
        <v>0</v>
      </c>
      <c r="G31" s="638">
        <f>+Piano_Tariffario!I49</f>
        <v>0</v>
      </c>
      <c r="H31" s="638">
        <f>+Piano_Tariffario!J49</f>
        <v>0</v>
      </c>
      <c r="I31" s="825"/>
      <c r="J31" s="1919"/>
      <c r="O31" s="638" t="b">
        <f t="shared" si="2"/>
        <v>0</v>
      </c>
      <c r="P31" s="638" t="b">
        <f t="shared" si="3"/>
        <v>0</v>
      </c>
      <c r="Q31" s="638" t="b">
        <f t="shared" si="4"/>
        <v>0</v>
      </c>
      <c r="R31" s="638" t="b">
        <f t="shared" si="5"/>
        <v>0</v>
      </c>
      <c r="S31" s="638" t="b">
        <f t="shared" si="6"/>
        <v>0</v>
      </c>
      <c r="T31" s="638" t="b">
        <f t="shared" si="7"/>
        <v>0</v>
      </c>
      <c r="U31" s="825"/>
      <c r="AA31"/>
    </row>
    <row r="32" spans="1:27" ht="15.75">
      <c r="A32" s="562" t="s">
        <v>225</v>
      </c>
      <c r="B32" s="564" t="s">
        <v>228</v>
      </c>
      <c r="C32" s="638">
        <f>Dati_Anni_precedenti!E32</f>
        <v>0</v>
      </c>
      <c r="D32" s="638">
        <f>Dati_Anni_precedenti!F32</f>
        <v>0</v>
      </c>
      <c r="E32" s="638">
        <f>+Piano_Tariffario!G47</f>
        <v>0</v>
      </c>
      <c r="F32" s="638">
        <f>+Piano_Tariffario!H47</f>
        <v>0</v>
      </c>
      <c r="G32" s="638">
        <f>+Piano_Tariffario!I47</f>
        <v>0</v>
      </c>
      <c r="H32" s="638">
        <f>+Piano_Tariffario!J47</f>
        <v>0</v>
      </c>
      <c r="I32" s="825"/>
      <c r="J32" s="1919"/>
      <c r="O32" s="638" t="b">
        <f t="shared" si="2"/>
        <v>0</v>
      </c>
      <c r="P32" s="638" t="b">
        <f t="shared" si="3"/>
        <v>0</v>
      </c>
      <c r="Q32" s="638" t="b">
        <f t="shared" si="4"/>
        <v>0</v>
      </c>
      <c r="R32" s="638" t="b">
        <f t="shared" si="5"/>
        <v>0</v>
      </c>
      <c r="S32" s="638" t="b">
        <f t="shared" si="6"/>
        <v>0</v>
      </c>
      <c r="T32" s="638" t="b">
        <f t="shared" si="7"/>
        <v>0</v>
      </c>
      <c r="U32" s="825"/>
      <c r="AA32"/>
    </row>
    <row r="33" spans="1:27">
      <c r="A33" s="562" t="s">
        <v>30586</v>
      </c>
      <c r="B33" s="564" t="s">
        <v>22813</v>
      </c>
      <c r="C33" s="638">
        <f>Dati_Anni_precedenti!E33</f>
        <v>0</v>
      </c>
      <c r="D33" s="638">
        <f>Dati_Anni_precedenti!F33</f>
        <v>0</v>
      </c>
      <c r="E33" s="638">
        <f>+Opex!E67</f>
        <v>0</v>
      </c>
      <c r="F33" s="638">
        <f>+Opex!F67</f>
        <v>0</v>
      </c>
      <c r="G33" s="638">
        <f>+Opex!G67</f>
        <v>0</v>
      </c>
      <c r="H33" s="638">
        <f>+Opex!H67</f>
        <v>0</v>
      </c>
      <c r="I33" s="825"/>
      <c r="J33" s="1919"/>
      <c r="O33" s="638" t="b">
        <f t="shared" si="2"/>
        <v>0</v>
      </c>
      <c r="P33" s="638" t="b">
        <f t="shared" si="3"/>
        <v>0</v>
      </c>
      <c r="Q33" s="638" t="b">
        <f t="shared" si="4"/>
        <v>0</v>
      </c>
      <c r="R33" s="638" t="b">
        <f t="shared" si="5"/>
        <v>0</v>
      </c>
      <c r="S33" s="638" t="b">
        <f t="shared" si="6"/>
        <v>0</v>
      </c>
      <c r="T33" s="638" t="b">
        <f t="shared" si="7"/>
        <v>0</v>
      </c>
      <c r="U33" s="825"/>
      <c r="AA33"/>
    </row>
    <row r="34" spans="1:27" ht="15.75">
      <c r="A34" s="562" t="s">
        <v>30586</v>
      </c>
      <c r="B34" s="684" t="s">
        <v>30515</v>
      </c>
      <c r="C34" s="638">
        <f>Dati_Anni_precedenti!E34</f>
        <v>0</v>
      </c>
      <c r="D34" s="638">
        <f>Dati_Anni_precedenti!F34</f>
        <v>0</v>
      </c>
      <c r="E34" s="638">
        <f ca="1">Opex!E95</f>
        <v>0</v>
      </c>
      <c r="F34" s="638">
        <f ca="1">Opex!F95</f>
        <v>0</v>
      </c>
      <c r="G34" s="638">
        <f ca="1">Opex!G95</f>
        <v>0</v>
      </c>
      <c r="H34" s="638">
        <f ca="1">Opex!H95</f>
        <v>0</v>
      </c>
      <c r="I34" s="825"/>
      <c r="J34" s="1919"/>
      <c r="O34" s="638" t="b">
        <f t="shared" si="2"/>
        <v>0</v>
      </c>
      <c r="P34" s="638" t="b">
        <f t="shared" si="3"/>
        <v>0</v>
      </c>
      <c r="Q34" s="638" t="b">
        <f t="shared" ca="1" si="4"/>
        <v>0</v>
      </c>
      <c r="R34" s="638" t="b">
        <f t="shared" ca="1" si="5"/>
        <v>0</v>
      </c>
      <c r="S34" s="638" t="b">
        <f t="shared" ca="1" si="6"/>
        <v>0</v>
      </c>
      <c r="T34" s="638" t="b">
        <f t="shared" ca="1" si="7"/>
        <v>0</v>
      </c>
      <c r="U34" s="825"/>
      <c r="AA34"/>
    </row>
    <row r="35" spans="1:27" ht="15.75">
      <c r="A35" s="562" t="s">
        <v>30586</v>
      </c>
      <c r="B35" s="684" t="s">
        <v>30516</v>
      </c>
      <c r="C35" s="1819">
        <f>Dati_Anni_precedenti!E35</f>
        <v>0</v>
      </c>
      <c r="D35" s="1819">
        <f>Dati_Anni_precedenti!F35</f>
        <v>0</v>
      </c>
      <c r="E35" s="1819">
        <f ca="1">Opex!E96</f>
        <v>0</v>
      </c>
      <c r="F35" s="1819">
        <f ca="1">Opex!F96</f>
        <v>0</v>
      </c>
      <c r="G35" s="1819">
        <f ca="1">Opex!G96</f>
        <v>0</v>
      </c>
      <c r="H35" s="1819">
        <f ca="1">Opex!H96</f>
        <v>0</v>
      </c>
      <c r="I35" s="825"/>
      <c r="J35" s="1919"/>
      <c r="O35" s="1819" t="b">
        <f t="shared" si="2"/>
        <v>0</v>
      </c>
      <c r="P35" s="1819" t="b">
        <f t="shared" si="3"/>
        <v>0</v>
      </c>
      <c r="Q35" s="1819" t="b">
        <f t="shared" ca="1" si="4"/>
        <v>0</v>
      </c>
      <c r="R35" s="1819" t="b">
        <f t="shared" ca="1" si="5"/>
        <v>0</v>
      </c>
      <c r="S35" s="1819" t="b">
        <f t="shared" ca="1" si="6"/>
        <v>0</v>
      </c>
      <c r="T35" s="1819" t="b">
        <f t="shared" ca="1" si="7"/>
        <v>0</v>
      </c>
      <c r="U35" s="825"/>
      <c r="AA35"/>
    </row>
    <row r="36" spans="1:27" ht="15.75">
      <c r="A36" s="562" t="s">
        <v>30586</v>
      </c>
      <c r="B36" s="684" t="s">
        <v>31478</v>
      </c>
      <c r="C36" s="1819">
        <f>Dati_Anni_precedenti!E36</f>
        <v>0</v>
      </c>
      <c r="D36" s="1819">
        <f>Dati_Anni_precedenti!F36</f>
        <v>0</v>
      </c>
      <c r="E36" s="1819">
        <f ca="1">Opex!E97</f>
        <v>0</v>
      </c>
      <c r="F36" s="1819">
        <f ca="1">Opex!F97</f>
        <v>0</v>
      </c>
      <c r="G36" s="1819">
        <f ca="1">Opex!G97</f>
        <v>0</v>
      </c>
      <c r="H36" s="1819">
        <f ca="1">Opex!H97</f>
        <v>0</v>
      </c>
      <c r="I36" s="825"/>
      <c r="J36" s="1919"/>
      <c r="O36" s="1819" t="b">
        <f t="shared" si="2"/>
        <v>0</v>
      </c>
      <c r="P36" s="1819" t="b">
        <f t="shared" si="3"/>
        <v>0</v>
      </c>
      <c r="Q36" s="1819" t="b">
        <f t="shared" ca="1" si="4"/>
        <v>0</v>
      </c>
      <c r="R36" s="1819" t="b">
        <f t="shared" ca="1" si="5"/>
        <v>0</v>
      </c>
      <c r="S36" s="1819" t="b">
        <f t="shared" ca="1" si="6"/>
        <v>0</v>
      </c>
      <c r="T36" s="1819" t="b">
        <f t="shared" ca="1" si="7"/>
        <v>0</v>
      </c>
      <c r="U36" s="825"/>
      <c r="AA36"/>
    </row>
    <row r="37" spans="1:27" ht="15.75">
      <c r="A37" s="562" t="s">
        <v>30586</v>
      </c>
      <c r="B37" s="2702" t="s">
        <v>31479</v>
      </c>
      <c r="C37" s="825"/>
      <c r="D37" s="825"/>
      <c r="E37" s="1819">
        <f ca="1">Opex!E98</f>
        <v>0</v>
      </c>
      <c r="F37" s="1819">
        <f ca="1">Opex!F98</f>
        <v>0</v>
      </c>
      <c r="G37" s="1819">
        <f ca="1">Opex!G98</f>
        <v>0</v>
      </c>
      <c r="H37" s="1819">
        <f ca="1">Opex!H98</f>
        <v>0</v>
      </c>
      <c r="I37" s="825"/>
      <c r="J37" s="1919"/>
      <c r="O37" s="825"/>
      <c r="P37" s="825"/>
      <c r="Q37" s="1819" t="b">
        <f t="shared" ca="1" si="4"/>
        <v>0</v>
      </c>
      <c r="R37" s="1819" t="b">
        <f t="shared" ca="1" si="5"/>
        <v>0</v>
      </c>
      <c r="S37" s="1819" t="b">
        <f t="shared" ca="1" si="6"/>
        <v>0</v>
      </c>
      <c r="T37" s="1819" t="b">
        <f t="shared" ca="1" si="7"/>
        <v>0</v>
      </c>
      <c r="U37" s="825"/>
      <c r="AA37"/>
    </row>
    <row r="38" spans="1:27" ht="42">
      <c r="A38" s="562" t="s">
        <v>30586</v>
      </c>
      <c r="B38" s="684" t="s">
        <v>31295</v>
      </c>
      <c r="C38" s="638">
        <f>Dati_Anni_precedenti!E37</f>
        <v>0</v>
      </c>
      <c r="D38" s="638">
        <f>Dati_Anni_precedenti!F37</f>
        <v>0</v>
      </c>
      <c r="E38" s="638">
        <f>Opex!E110</f>
        <v>0</v>
      </c>
      <c r="F38" s="638">
        <f>Opex!F110</f>
        <v>0</v>
      </c>
      <c r="G38" s="638">
        <f>Opex!G110</f>
        <v>0</v>
      </c>
      <c r="H38" s="638">
        <f>Opex!H110</f>
        <v>0</v>
      </c>
      <c r="I38" s="825"/>
      <c r="J38" s="1919"/>
      <c r="O38" s="638" t="b">
        <f t="shared" ref="O38:O39" si="10">+IF(ISNUMBER(C38),FALSE,TRUE)</f>
        <v>0</v>
      </c>
      <c r="P38" s="638" t="b">
        <f t="shared" ref="P38:P39" si="11">+IF(ISNUMBER(D38),FALSE,TRUE)</f>
        <v>0</v>
      </c>
      <c r="Q38" s="638" t="b">
        <f t="shared" si="4"/>
        <v>0</v>
      </c>
      <c r="R38" s="638" t="b">
        <f t="shared" si="5"/>
        <v>0</v>
      </c>
      <c r="S38" s="638" t="b">
        <f t="shared" si="6"/>
        <v>0</v>
      </c>
      <c r="T38" s="638" t="b">
        <f t="shared" si="7"/>
        <v>0</v>
      </c>
      <c r="U38" s="825"/>
      <c r="AA38"/>
    </row>
    <row r="39" spans="1:27" ht="42">
      <c r="A39" s="562" t="s">
        <v>30586</v>
      </c>
      <c r="B39" s="684" t="s">
        <v>31294</v>
      </c>
      <c r="C39" s="2384">
        <f>Dati_Anni_precedenti!E38</f>
        <v>0</v>
      </c>
      <c r="D39" s="2384">
        <f>Dati_Anni_precedenti!F38</f>
        <v>0</v>
      </c>
      <c r="E39" s="2384">
        <f>Opex!E111</f>
        <v>0</v>
      </c>
      <c r="F39" s="2384">
        <f>Opex!F111</f>
        <v>0</v>
      </c>
      <c r="G39" s="2384">
        <f>Opex!G111</f>
        <v>0</v>
      </c>
      <c r="H39" s="2384">
        <f>Opex!H111</f>
        <v>0</v>
      </c>
      <c r="I39" s="825"/>
      <c r="J39" s="1919"/>
      <c r="O39" s="2384" t="b">
        <f t="shared" si="10"/>
        <v>0</v>
      </c>
      <c r="P39" s="2384" t="b">
        <f t="shared" si="11"/>
        <v>0</v>
      </c>
      <c r="Q39" s="2384" t="b">
        <f t="shared" si="4"/>
        <v>0</v>
      </c>
      <c r="R39" s="2384" t="b">
        <f t="shared" si="5"/>
        <v>0</v>
      </c>
      <c r="S39" s="2384" t="b">
        <f t="shared" si="6"/>
        <v>0</v>
      </c>
      <c r="T39" s="2384" t="b">
        <f t="shared" si="7"/>
        <v>0</v>
      </c>
      <c r="U39" s="825"/>
      <c r="AA39"/>
    </row>
    <row r="40" spans="1:27" ht="54.75">
      <c r="A40" s="562" t="s">
        <v>30586</v>
      </c>
      <c r="B40" s="684" t="s">
        <v>31449</v>
      </c>
      <c r="C40" s="825"/>
      <c r="D40" s="825"/>
      <c r="E40" s="2703">
        <f>Opex!E112</f>
        <v>0</v>
      </c>
      <c r="F40" s="2703">
        <f>Opex!F112</f>
        <v>0</v>
      </c>
      <c r="G40" s="2703">
        <f>Opex!G112</f>
        <v>0</v>
      </c>
      <c r="H40" s="2703">
        <f>Opex!H112</f>
        <v>0</v>
      </c>
      <c r="I40" s="825"/>
      <c r="J40" s="1919"/>
      <c r="O40" s="825"/>
      <c r="P40" s="825"/>
      <c r="Q40" s="2703" t="b">
        <f t="shared" si="4"/>
        <v>0</v>
      </c>
      <c r="R40" s="2703" t="b">
        <f t="shared" si="5"/>
        <v>0</v>
      </c>
      <c r="S40" s="2703" t="b">
        <f t="shared" si="6"/>
        <v>0</v>
      </c>
      <c r="T40" s="2703" t="b">
        <f t="shared" si="7"/>
        <v>0</v>
      </c>
      <c r="U40" s="825"/>
      <c r="AA40"/>
    </row>
    <row r="41" spans="1:27" ht="15.75">
      <c r="A41" s="562" t="s">
        <v>30586</v>
      </c>
      <c r="B41" s="684" t="s">
        <v>31840</v>
      </c>
      <c r="C41" s="1819">
        <f>Dati_Anni_precedenti!E39</f>
        <v>0</v>
      </c>
      <c r="D41" s="1819">
        <f>Dati_Anni_precedenti!F39</f>
        <v>0</v>
      </c>
      <c r="E41" s="1819">
        <f>Opex!E113</f>
        <v>0</v>
      </c>
      <c r="F41" s="1819">
        <f>Opex!F113</f>
        <v>0</v>
      </c>
      <c r="G41" s="1819">
        <f>Opex!G113</f>
        <v>0</v>
      </c>
      <c r="H41" s="1819">
        <f>Opex!H113</f>
        <v>0</v>
      </c>
      <c r="I41" s="825"/>
      <c r="J41" s="1919"/>
      <c r="O41" s="1819" t="b">
        <f t="shared" ref="O41:P41" si="12">+IF(ISNUMBER(C41),FALSE,TRUE)</f>
        <v>0</v>
      </c>
      <c r="P41" s="1819" t="b">
        <f t="shared" si="12"/>
        <v>0</v>
      </c>
      <c r="Q41" s="1819" t="b">
        <f t="shared" si="4"/>
        <v>0</v>
      </c>
      <c r="R41" s="1819" t="b">
        <f t="shared" si="5"/>
        <v>0</v>
      </c>
      <c r="S41" s="1819" t="b">
        <f t="shared" si="6"/>
        <v>0</v>
      </c>
      <c r="T41" s="1819" t="b">
        <f t="shared" si="7"/>
        <v>0</v>
      </c>
      <c r="U41" s="825"/>
      <c r="AA41"/>
    </row>
    <row r="42" spans="1:27" ht="15.75">
      <c r="A42" s="562" t="s">
        <v>30586</v>
      </c>
      <c r="B42" s="2702" t="s">
        <v>31841</v>
      </c>
      <c r="C42" s="825"/>
      <c r="D42" s="825"/>
      <c r="E42" s="3183">
        <f>Opex!E114</f>
        <v>0</v>
      </c>
      <c r="F42" s="3183">
        <f>Opex!F114</f>
        <v>0</v>
      </c>
      <c r="G42" s="3183">
        <f>Opex!G114</f>
        <v>0</v>
      </c>
      <c r="H42" s="3183">
        <f>Opex!H114</f>
        <v>0</v>
      </c>
      <c r="I42" s="825"/>
      <c r="J42" s="1919"/>
      <c r="O42" s="825"/>
      <c r="P42" s="825"/>
      <c r="Q42" s="3183" t="b">
        <f t="shared" si="4"/>
        <v>0</v>
      </c>
      <c r="R42" s="3183" t="b">
        <f t="shared" si="5"/>
        <v>0</v>
      </c>
      <c r="S42" s="3183" t="b">
        <f t="shared" si="6"/>
        <v>0</v>
      </c>
      <c r="T42" s="3183" t="b">
        <f t="shared" si="7"/>
        <v>0</v>
      </c>
      <c r="U42" s="825"/>
      <c r="AA42"/>
    </row>
    <row r="43" spans="1:27" ht="15.75">
      <c r="A43" s="562" t="s">
        <v>30586</v>
      </c>
      <c r="B43" s="684" t="s">
        <v>30518</v>
      </c>
      <c r="C43" s="638">
        <f>Dati_Anni_precedenti!E40</f>
        <v>0</v>
      </c>
      <c r="D43" s="638">
        <f>Dati_Anni_precedenti!F40</f>
        <v>0</v>
      </c>
      <c r="E43" s="638">
        <f>Opex!E126</f>
        <v>0</v>
      </c>
      <c r="F43" s="638">
        <f>Opex!F126</f>
        <v>0</v>
      </c>
      <c r="G43" s="638">
        <f>Opex!G126</f>
        <v>0</v>
      </c>
      <c r="H43" s="638">
        <f>Opex!H126</f>
        <v>0</v>
      </c>
      <c r="I43" s="825"/>
      <c r="J43" s="1919"/>
      <c r="O43" s="638" t="b">
        <f t="shared" ref="O43:P43" si="13">+IF(ISNUMBER(C43),FALSE,TRUE)</f>
        <v>0</v>
      </c>
      <c r="P43" s="638" t="b">
        <f t="shared" si="13"/>
        <v>0</v>
      </c>
      <c r="Q43" s="638" t="b">
        <f t="shared" si="4"/>
        <v>0</v>
      </c>
      <c r="R43" s="638" t="b">
        <f t="shared" si="5"/>
        <v>0</v>
      </c>
      <c r="S43" s="638" t="b">
        <f t="shared" si="6"/>
        <v>0</v>
      </c>
      <c r="T43" s="638" t="b">
        <f t="shared" si="7"/>
        <v>0</v>
      </c>
      <c r="U43" s="825"/>
      <c r="AA43"/>
    </row>
    <row r="44" spans="1:27" ht="16.5">
      <c r="A44" s="562" t="s">
        <v>30586</v>
      </c>
      <c r="B44" s="684" t="s">
        <v>31405</v>
      </c>
      <c r="C44" s="825"/>
      <c r="D44" s="825"/>
      <c r="E44" s="2703">
        <f>Opex!E127</f>
        <v>0</v>
      </c>
      <c r="F44" s="2703">
        <f>Opex!F127</f>
        <v>0</v>
      </c>
      <c r="G44" s="2703">
        <f>Opex!G127</f>
        <v>0</v>
      </c>
      <c r="H44" s="2703">
        <f>Opex!H127</f>
        <v>0</v>
      </c>
      <c r="I44" s="825"/>
      <c r="J44" s="1919"/>
      <c r="O44" s="825"/>
      <c r="P44" s="825"/>
      <c r="Q44" s="2703" t="b">
        <f t="shared" si="4"/>
        <v>0</v>
      </c>
      <c r="R44" s="2703" t="b">
        <f t="shared" si="5"/>
        <v>0</v>
      </c>
      <c r="S44" s="2703" t="b">
        <f t="shared" si="6"/>
        <v>0</v>
      </c>
      <c r="T44" s="2703" t="b">
        <f t="shared" si="7"/>
        <v>0</v>
      </c>
      <c r="U44" s="825"/>
      <c r="AA44"/>
    </row>
    <row r="45" spans="1:27" ht="15.75">
      <c r="A45" s="562" t="s">
        <v>30586</v>
      </c>
      <c r="B45" s="684" t="s">
        <v>30519</v>
      </c>
      <c r="C45" s="1819">
        <f>Dati_Anni_precedenti!E41</f>
        <v>0</v>
      </c>
      <c r="D45" s="1819">
        <f>Dati_Anni_precedenti!F41</f>
        <v>0</v>
      </c>
      <c r="E45" s="1819">
        <f>Opex!E128</f>
        <v>0</v>
      </c>
      <c r="F45" s="1819">
        <f>Opex!F128</f>
        <v>0</v>
      </c>
      <c r="G45" s="1819">
        <f>Opex!G128</f>
        <v>0</v>
      </c>
      <c r="H45" s="1819">
        <f>Opex!H128</f>
        <v>0</v>
      </c>
      <c r="I45" s="825"/>
      <c r="J45" s="1919"/>
      <c r="O45" s="1819" t="b">
        <f t="shared" ref="O45:O67" si="14">+IF(ISNUMBER(C45),FALSE,TRUE)</f>
        <v>0</v>
      </c>
      <c r="P45" s="1819" t="b">
        <f t="shared" ref="P45:P67" si="15">+IF(ISNUMBER(D45),FALSE,TRUE)</f>
        <v>0</v>
      </c>
      <c r="Q45" s="1819" t="b">
        <f t="shared" si="4"/>
        <v>0</v>
      </c>
      <c r="R45" s="1819" t="b">
        <f t="shared" si="5"/>
        <v>0</v>
      </c>
      <c r="S45" s="1819" t="b">
        <f t="shared" si="6"/>
        <v>0</v>
      </c>
      <c r="T45" s="1819" t="b">
        <f t="shared" si="7"/>
        <v>0</v>
      </c>
      <c r="U45" s="825"/>
      <c r="AA45"/>
    </row>
    <row r="46" spans="1:27" ht="15.75">
      <c r="A46" s="562" t="s">
        <v>30586</v>
      </c>
      <c r="B46" s="684" t="s">
        <v>26990</v>
      </c>
      <c r="C46" s="638">
        <f>Dati_Anni_precedenti!E42</f>
        <v>0</v>
      </c>
      <c r="D46" s="638">
        <f>Dati_Anni_precedenti!F42</f>
        <v>0</v>
      </c>
      <c r="E46" s="638">
        <f>+Opex!E71</f>
        <v>0</v>
      </c>
      <c r="F46" s="638">
        <f>+Opex!F71</f>
        <v>0</v>
      </c>
      <c r="G46" s="638">
        <f>+Opex!G71</f>
        <v>0</v>
      </c>
      <c r="H46" s="638">
        <f>+Opex!H71</f>
        <v>0</v>
      </c>
      <c r="I46" s="825"/>
      <c r="J46" s="1919"/>
      <c r="O46" s="638" t="b">
        <f t="shared" si="14"/>
        <v>0</v>
      </c>
      <c r="P46" s="638" t="b">
        <f t="shared" si="15"/>
        <v>0</v>
      </c>
      <c r="Q46" s="638" t="b">
        <f t="shared" si="4"/>
        <v>0</v>
      </c>
      <c r="R46" s="638" t="b">
        <f t="shared" si="5"/>
        <v>0</v>
      </c>
      <c r="S46" s="638" t="b">
        <f t="shared" si="6"/>
        <v>0</v>
      </c>
      <c r="T46" s="638" t="b">
        <f t="shared" si="7"/>
        <v>0</v>
      </c>
      <c r="U46" s="825"/>
      <c r="AA46"/>
    </row>
    <row r="47" spans="1:27" ht="15.75">
      <c r="A47" s="562" t="s">
        <v>30587</v>
      </c>
      <c r="B47" s="564" t="s">
        <v>234</v>
      </c>
      <c r="C47" s="641">
        <f>Dati_Anni_precedenti!E43</f>
        <v>0</v>
      </c>
      <c r="D47" s="641">
        <f>Dati_Anni_precedenti!F43</f>
        <v>0</v>
      </c>
      <c r="E47" s="641">
        <f>Opex!E179</f>
        <v>0</v>
      </c>
      <c r="F47" s="641">
        <f>Opex!F179</f>
        <v>0</v>
      </c>
      <c r="G47" s="641">
        <f>Opex!G179</f>
        <v>0</v>
      </c>
      <c r="H47" s="641">
        <f>Opex!H179</f>
        <v>0</v>
      </c>
      <c r="I47" s="825"/>
      <c r="J47" s="1919"/>
      <c r="O47" s="641" t="b">
        <f t="shared" si="14"/>
        <v>0</v>
      </c>
      <c r="P47" s="641" t="b">
        <f t="shared" si="15"/>
        <v>0</v>
      </c>
      <c r="Q47" s="641" t="b">
        <f t="shared" si="4"/>
        <v>0</v>
      </c>
      <c r="R47" s="641" t="b">
        <f t="shared" si="5"/>
        <v>0</v>
      </c>
      <c r="S47" s="641" t="b">
        <f t="shared" si="6"/>
        <v>0</v>
      </c>
      <c r="T47" s="641" t="b">
        <f t="shared" si="7"/>
        <v>0</v>
      </c>
      <c r="U47" s="825"/>
      <c r="AA47"/>
    </row>
    <row r="48" spans="1:27" ht="15.75">
      <c r="A48" s="562" t="s">
        <v>30587</v>
      </c>
      <c r="B48" s="684" t="s">
        <v>26991</v>
      </c>
      <c r="C48" s="641">
        <f>Dati_Anni_precedenti!E44</f>
        <v>0</v>
      </c>
      <c r="D48" s="641">
        <f>Dati_Anni_precedenti!F44</f>
        <v>0</v>
      </c>
      <c r="E48" s="641">
        <f>Opex!E192</f>
        <v>0</v>
      </c>
      <c r="F48" s="641">
        <f>Opex!F192</f>
        <v>0</v>
      </c>
      <c r="G48" s="641">
        <f>Opex!G192</f>
        <v>0</v>
      </c>
      <c r="H48" s="641">
        <f>Opex!H192</f>
        <v>0</v>
      </c>
      <c r="I48" s="825"/>
      <c r="J48" s="1919"/>
      <c r="O48" s="641" t="b">
        <f t="shared" si="14"/>
        <v>0</v>
      </c>
      <c r="P48" s="641" t="b">
        <f t="shared" si="15"/>
        <v>0</v>
      </c>
      <c r="Q48" s="641" t="b">
        <f t="shared" si="4"/>
        <v>0</v>
      </c>
      <c r="R48" s="641" t="b">
        <f t="shared" si="5"/>
        <v>0</v>
      </c>
      <c r="S48" s="641" t="b">
        <f t="shared" si="6"/>
        <v>0</v>
      </c>
      <c r="T48" s="641" t="b">
        <f t="shared" si="7"/>
        <v>0</v>
      </c>
      <c r="U48" s="825"/>
      <c r="AA48"/>
    </row>
    <row r="49" spans="1:27" ht="16.5">
      <c r="A49" s="562" t="s">
        <v>30587</v>
      </c>
      <c r="B49" s="684" t="s">
        <v>30483</v>
      </c>
      <c r="C49" s="641">
        <f>Dati_Anni_precedenti!E45</f>
        <v>0</v>
      </c>
      <c r="D49" s="641">
        <f>Dati_Anni_precedenti!F45</f>
        <v>0</v>
      </c>
      <c r="E49" s="641">
        <f>Opex!E190</f>
        <v>0</v>
      </c>
      <c r="F49" s="641">
        <f>Opex!F190</f>
        <v>0</v>
      </c>
      <c r="G49" s="641">
        <f>Opex!G190</f>
        <v>0</v>
      </c>
      <c r="H49" s="641">
        <f>Opex!H190</f>
        <v>0</v>
      </c>
      <c r="I49" s="825"/>
      <c r="J49" s="1919"/>
      <c r="O49" s="641" t="b">
        <f t="shared" si="14"/>
        <v>0</v>
      </c>
      <c r="P49" s="641" t="b">
        <f t="shared" si="15"/>
        <v>0</v>
      </c>
      <c r="Q49" s="641" t="b">
        <f t="shared" si="4"/>
        <v>0</v>
      </c>
      <c r="R49" s="641" t="b">
        <f t="shared" si="5"/>
        <v>0</v>
      </c>
      <c r="S49" s="641" t="b">
        <f t="shared" si="6"/>
        <v>0</v>
      </c>
      <c r="T49" s="641" t="b">
        <f t="shared" si="7"/>
        <v>0</v>
      </c>
      <c r="U49" s="825"/>
      <c r="AA49"/>
    </row>
    <row r="50" spans="1:27" ht="15.75">
      <c r="A50" s="562" t="s">
        <v>30587</v>
      </c>
      <c r="B50" s="684" t="s">
        <v>26992</v>
      </c>
      <c r="C50" s="641">
        <f>Dati_Anni_precedenti!E46</f>
        <v>0</v>
      </c>
      <c r="D50" s="641">
        <f>Dati_Anni_precedenti!F46</f>
        <v>0</v>
      </c>
      <c r="E50" s="641">
        <f>Opex!E209</f>
        <v>0</v>
      </c>
      <c r="F50" s="641">
        <f>Opex!F209</f>
        <v>0</v>
      </c>
      <c r="G50" s="641">
        <f>Opex!G209</f>
        <v>0</v>
      </c>
      <c r="H50" s="641">
        <f>Opex!H209</f>
        <v>0</v>
      </c>
      <c r="I50" s="825"/>
      <c r="J50" s="1919"/>
      <c r="O50" s="641" t="b">
        <f t="shared" si="14"/>
        <v>0</v>
      </c>
      <c r="P50" s="641" t="b">
        <f t="shared" si="15"/>
        <v>0</v>
      </c>
      <c r="Q50" s="641" t="b">
        <f t="shared" si="4"/>
        <v>0</v>
      </c>
      <c r="R50" s="641" t="b">
        <f t="shared" si="5"/>
        <v>0</v>
      </c>
      <c r="S50" s="641" t="b">
        <f t="shared" si="6"/>
        <v>0</v>
      </c>
      <c r="T50" s="641" t="b">
        <f t="shared" si="7"/>
        <v>0</v>
      </c>
      <c r="U50" s="825"/>
      <c r="AA50"/>
    </row>
    <row r="51" spans="1:27">
      <c r="A51" s="562" t="s">
        <v>30587</v>
      </c>
      <c r="B51" s="564" t="s">
        <v>235</v>
      </c>
      <c r="C51" s="641">
        <f>Dati_Anni_precedenti!E47</f>
        <v>0</v>
      </c>
      <c r="D51" s="641">
        <f>Dati_Anni_precedenti!F47</f>
        <v>0</v>
      </c>
      <c r="E51" s="641">
        <f>Opex!E222</f>
        <v>0</v>
      </c>
      <c r="F51" s="641">
        <f>Opex!F222</f>
        <v>0</v>
      </c>
      <c r="G51" s="641">
        <f>Opex!G222</f>
        <v>0</v>
      </c>
      <c r="H51" s="641">
        <f>Opex!H222</f>
        <v>0</v>
      </c>
      <c r="I51" s="825"/>
      <c r="J51" s="1919"/>
      <c r="O51" s="641" t="b">
        <f t="shared" si="14"/>
        <v>0</v>
      </c>
      <c r="P51" s="641" t="b">
        <f t="shared" si="15"/>
        <v>0</v>
      </c>
      <c r="Q51" s="641" t="b">
        <f t="shared" si="4"/>
        <v>0</v>
      </c>
      <c r="R51" s="641" t="b">
        <f t="shared" si="5"/>
        <v>0</v>
      </c>
      <c r="S51" s="641" t="b">
        <f t="shared" si="6"/>
        <v>0</v>
      </c>
      <c r="T51" s="641" t="b">
        <f t="shared" si="7"/>
        <v>0</v>
      </c>
      <c r="U51" s="825"/>
      <c r="AA51"/>
    </row>
    <row r="52" spans="1:27">
      <c r="A52" s="562" t="s">
        <v>30587</v>
      </c>
      <c r="B52" s="564" t="s">
        <v>236</v>
      </c>
      <c r="C52" s="641">
        <f>Dati_Anni_precedenti!E48</f>
        <v>0</v>
      </c>
      <c r="D52" s="641">
        <f>Dati_Anni_precedenti!F48</f>
        <v>0</v>
      </c>
      <c r="E52" s="641">
        <f>Opex!E223</f>
        <v>0</v>
      </c>
      <c r="F52" s="641">
        <f>Opex!F223</f>
        <v>0</v>
      </c>
      <c r="G52" s="641">
        <f>Opex!G223</f>
        <v>0</v>
      </c>
      <c r="H52" s="641">
        <f>Opex!H223</f>
        <v>0</v>
      </c>
      <c r="I52" s="825"/>
      <c r="J52" s="1919"/>
      <c r="O52" s="641" t="b">
        <f t="shared" si="14"/>
        <v>0</v>
      </c>
      <c r="P52" s="641" t="b">
        <f t="shared" si="15"/>
        <v>0</v>
      </c>
      <c r="Q52" s="641" t="b">
        <f t="shared" si="4"/>
        <v>0</v>
      </c>
      <c r="R52" s="641" t="b">
        <f t="shared" si="5"/>
        <v>0</v>
      </c>
      <c r="S52" s="641" t="b">
        <f t="shared" si="6"/>
        <v>0</v>
      </c>
      <c r="T52" s="641" t="b">
        <f t="shared" si="7"/>
        <v>0</v>
      </c>
      <c r="U52" s="825"/>
      <c r="AA52"/>
    </row>
    <row r="53" spans="1:27" ht="15.75">
      <c r="A53" s="562" t="s">
        <v>30587</v>
      </c>
      <c r="B53" s="564" t="s">
        <v>231</v>
      </c>
      <c r="C53" s="641">
        <f>Dati_Anni_precedenti!E49</f>
        <v>0</v>
      </c>
      <c r="D53" s="641">
        <f>Dati_Anni_precedenti!F49</f>
        <v>0</v>
      </c>
      <c r="E53" s="641">
        <f>Opex!E238</f>
        <v>0</v>
      </c>
      <c r="F53" s="641">
        <f>Opex!F238</f>
        <v>0</v>
      </c>
      <c r="G53" s="641">
        <f>Opex!G238</f>
        <v>0</v>
      </c>
      <c r="H53" s="641">
        <f>Opex!H238</f>
        <v>0</v>
      </c>
      <c r="I53" s="825"/>
      <c r="J53" s="1919"/>
      <c r="O53" s="641" t="b">
        <f t="shared" si="14"/>
        <v>0</v>
      </c>
      <c r="P53" s="641" t="b">
        <f t="shared" si="15"/>
        <v>0</v>
      </c>
      <c r="Q53" s="641" t="b">
        <f t="shared" si="4"/>
        <v>0</v>
      </c>
      <c r="R53" s="641" t="b">
        <f t="shared" si="5"/>
        <v>0</v>
      </c>
      <c r="S53" s="641" t="b">
        <f t="shared" si="6"/>
        <v>0</v>
      </c>
      <c r="T53" s="641" t="b">
        <f t="shared" si="7"/>
        <v>0</v>
      </c>
      <c r="U53" s="825"/>
      <c r="AA53"/>
    </row>
    <row r="54" spans="1:27" ht="15.75">
      <c r="A54" s="562" t="s">
        <v>30587</v>
      </c>
      <c r="B54" s="564" t="s">
        <v>26993</v>
      </c>
      <c r="C54" s="641">
        <f>Dati_Anni_precedenti!E50</f>
        <v>0</v>
      </c>
      <c r="D54" s="641">
        <f>Dati_Anni_precedenti!F50</f>
        <v>0</v>
      </c>
      <c r="E54" s="641">
        <f>Opex!E239</f>
        <v>0</v>
      </c>
      <c r="F54" s="641">
        <f>Opex!F239</f>
        <v>0</v>
      </c>
      <c r="G54" s="641">
        <f>Opex!G239</f>
        <v>0</v>
      </c>
      <c r="H54" s="641">
        <f>Opex!H239</f>
        <v>0</v>
      </c>
      <c r="I54" s="825"/>
      <c r="J54" s="1919"/>
      <c r="O54" s="641" t="b">
        <f t="shared" si="14"/>
        <v>0</v>
      </c>
      <c r="P54" s="641" t="b">
        <f t="shared" si="15"/>
        <v>0</v>
      </c>
      <c r="Q54" s="641" t="b">
        <f t="shared" si="4"/>
        <v>0</v>
      </c>
      <c r="R54" s="641" t="b">
        <f t="shared" si="5"/>
        <v>0</v>
      </c>
      <c r="S54" s="641" t="b">
        <f t="shared" si="6"/>
        <v>0</v>
      </c>
      <c r="T54" s="641" t="b">
        <f t="shared" si="7"/>
        <v>0</v>
      </c>
      <c r="U54" s="825"/>
      <c r="AA54"/>
    </row>
    <row r="55" spans="1:27" ht="15.75">
      <c r="A55" s="562" t="s">
        <v>30587</v>
      </c>
      <c r="B55" s="564" t="s">
        <v>232</v>
      </c>
      <c r="C55" s="641">
        <f>Dati_Anni_precedenti!E51</f>
        <v>0</v>
      </c>
      <c r="D55" s="641">
        <f>Dati_Anni_precedenti!F51</f>
        <v>0</v>
      </c>
      <c r="E55" s="641">
        <f>Opex!E240</f>
        <v>0</v>
      </c>
      <c r="F55" s="641">
        <f>Opex!F240</f>
        <v>0</v>
      </c>
      <c r="G55" s="641">
        <f>Opex!G240</f>
        <v>0</v>
      </c>
      <c r="H55" s="641">
        <f>Opex!H240</f>
        <v>0</v>
      </c>
      <c r="I55" s="825"/>
      <c r="J55" s="1919"/>
      <c r="O55" s="641" t="b">
        <f t="shared" si="14"/>
        <v>0</v>
      </c>
      <c r="P55" s="641" t="b">
        <f t="shared" si="15"/>
        <v>0</v>
      </c>
      <c r="Q55" s="641" t="b">
        <f t="shared" si="4"/>
        <v>0</v>
      </c>
      <c r="R55" s="641" t="b">
        <f t="shared" si="5"/>
        <v>0</v>
      </c>
      <c r="S55" s="641" t="b">
        <f t="shared" si="6"/>
        <v>0</v>
      </c>
      <c r="T55" s="641" t="b">
        <f t="shared" si="7"/>
        <v>0</v>
      </c>
      <c r="U55" s="825"/>
      <c r="AA55"/>
    </row>
    <row r="56" spans="1:27" ht="15.75">
      <c r="A56" s="562" t="s">
        <v>30587</v>
      </c>
      <c r="B56" s="564" t="s">
        <v>233</v>
      </c>
      <c r="C56" s="641">
        <f>Dati_Anni_precedenti!E52</f>
        <v>0</v>
      </c>
      <c r="D56" s="641">
        <f>Dati_Anni_precedenti!F52</f>
        <v>0</v>
      </c>
      <c r="E56" s="641">
        <f>Opex!E241</f>
        <v>0</v>
      </c>
      <c r="F56" s="641">
        <f>Opex!F241</f>
        <v>0</v>
      </c>
      <c r="G56" s="641">
        <f>Opex!G241</f>
        <v>0</v>
      </c>
      <c r="H56" s="641">
        <f>Opex!H241</f>
        <v>0</v>
      </c>
      <c r="I56" s="825"/>
      <c r="J56" s="1919"/>
      <c r="O56" s="641" t="b">
        <f t="shared" si="14"/>
        <v>0</v>
      </c>
      <c r="P56" s="641" t="b">
        <f t="shared" si="15"/>
        <v>0</v>
      </c>
      <c r="Q56" s="641" t="b">
        <f t="shared" si="4"/>
        <v>0</v>
      </c>
      <c r="R56" s="641" t="b">
        <f t="shared" si="5"/>
        <v>0</v>
      </c>
      <c r="S56" s="641" t="b">
        <f t="shared" si="6"/>
        <v>0</v>
      </c>
      <c r="T56" s="641" t="b">
        <f t="shared" si="7"/>
        <v>0</v>
      </c>
      <c r="U56" s="825"/>
      <c r="AA56"/>
    </row>
    <row r="57" spans="1:27">
      <c r="A57" s="562" t="s">
        <v>30587</v>
      </c>
      <c r="B57" s="684" t="s">
        <v>25411</v>
      </c>
      <c r="C57" s="638">
        <f>Dati_Anni_precedenti!E53</f>
        <v>0</v>
      </c>
      <c r="D57" s="638">
        <f>Dati_Anni_precedenti!F53</f>
        <v>0</v>
      </c>
      <c r="E57" s="638">
        <f>Opex!E310</f>
        <v>0</v>
      </c>
      <c r="F57" s="638">
        <f>Opex!F310</f>
        <v>0</v>
      </c>
      <c r="G57" s="638">
        <f>Opex!G310</f>
        <v>0</v>
      </c>
      <c r="H57" s="638">
        <f>Opex!H310</f>
        <v>0</v>
      </c>
      <c r="I57" s="825"/>
      <c r="J57" s="1919"/>
      <c r="O57" s="638" t="b">
        <f t="shared" si="14"/>
        <v>0</v>
      </c>
      <c r="P57" s="638" t="b">
        <f t="shared" si="15"/>
        <v>0</v>
      </c>
      <c r="Q57" s="638" t="b">
        <f t="shared" si="4"/>
        <v>0</v>
      </c>
      <c r="R57" s="638" t="b">
        <f t="shared" si="5"/>
        <v>0</v>
      </c>
      <c r="S57" s="638" t="b">
        <f t="shared" si="6"/>
        <v>0</v>
      </c>
      <c r="T57" s="638" t="b">
        <f t="shared" si="7"/>
        <v>0</v>
      </c>
      <c r="U57" s="825"/>
      <c r="AA57"/>
    </row>
    <row r="58" spans="1:27" ht="15.75">
      <c r="A58" s="562" t="s">
        <v>30588</v>
      </c>
      <c r="B58" s="564" t="s">
        <v>237</v>
      </c>
      <c r="C58" s="638">
        <f>Dati_Anni_precedenti!E54</f>
        <v>0</v>
      </c>
      <c r="D58" s="638">
        <f>Dati_Anni_precedenti!F54</f>
        <v>0</v>
      </c>
      <c r="E58" s="638">
        <f>+Opex!E11</f>
        <v>0</v>
      </c>
      <c r="F58" s="638">
        <f>+Opex!F11</f>
        <v>0</v>
      </c>
      <c r="G58" s="638">
        <f>+Opex!G11</f>
        <v>0</v>
      </c>
      <c r="H58" s="638">
        <f>+Opex!H11</f>
        <v>0</v>
      </c>
      <c r="I58" s="825"/>
      <c r="J58" s="1919"/>
      <c r="O58" s="638" t="b">
        <f t="shared" si="14"/>
        <v>0</v>
      </c>
      <c r="P58" s="638" t="b">
        <f t="shared" si="15"/>
        <v>0</v>
      </c>
      <c r="Q58" s="638" t="b">
        <f t="shared" si="4"/>
        <v>0</v>
      </c>
      <c r="R58" s="638" t="b">
        <f t="shared" si="5"/>
        <v>0</v>
      </c>
      <c r="S58" s="638" t="b">
        <f t="shared" si="6"/>
        <v>0</v>
      </c>
      <c r="T58" s="638" t="b">
        <f t="shared" si="7"/>
        <v>0</v>
      </c>
      <c r="U58" s="825"/>
      <c r="AA58"/>
    </row>
    <row r="59" spans="1:27" ht="25.5">
      <c r="A59" s="562" t="s">
        <v>30589</v>
      </c>
      <c r="B59" s="1273" t="s">
        <v>26893</v>
      </c>
      <c r="C59" s="638">
        <f>Dati_Anni_precedenti!E55</f>
        <v>0</v>
      </c>
      <c r="D59" s="638">
        <f>Dati_Anni_precedenti!F55</f>
        <v>0</v>
      </c>
      <c r="E59" s="638">
        <f>ERC!E46</f>
        <v>0</v>
      </c>
      <c r="F59" s="638">
        <f>ERC!F46</f>
        <v>0</v>
      </c>
      <c r="G59" s="638">
        <f>ERC!G46</f>
        <v>0</v>
      </c>
      <c r="H59" s="638">
        <f>ERC!H46</f>
        <v>0</v>
      </c>
      <c r="I59" s="825"/>
      <c r="J59" s="1919"/>
      <c r="O59" s="638" t="b">
        <f t="shared" si="14"/>
        <v>0</v>
      </c>
      <c r="P59" s="638" t="b">
        <f t="shared" si="15"/>
        <v>0</v>
      </c>
      <c r="Q59" s="638" t="b">
        <f t="shared" si="4"/>
        <v>0</v>
      </c>
      <c r="R59" s="638" t="b">
        <f t="shared" si="5"/>
        <v>0</v>
      </c>
      <c r="S59" s="638" t="b">
        <f t="shared" si="6"/>
        <v>0</v>
      </c>
      <c r="T59" s="638" t="b">
        <f t="shared" si="7"/>
        <v>0</v>
      </c>
      <c r="U59" s="825"/>
      <c r="AA59"/>
    </row>
    <row r="60" spans="1:27" ht="25.5">
      <c r="A60" s="562" t="s">
        <v>30589</v>
      </c>
      <c r="B60" s="1273" t="s">
        <v>26894</v>
      </c>
      <c r="C60" s="638">
        <f>Dati_Anni_precedenti!E56</f>
        <v>0</v>
      </c>
      <c r="D60" s="638">
        <f>Dati_Anni_precedenti!F56</f>
        <v>0</v>
      </c>
      <c r="E60" s="638">
        <f>ERC!E47</f>
        <v>0</v>
      </c>
      <c r="F60" s="638">
        <f>ERC!F47</f>
        <v>0</v>
      </c>
      <c r="G60" s="638">
        <f>ERC!G47</f>
        <v>0</v>
      </c>
      <c r="H60" s="638">
        <f>ERC!H47</f>
        <v>0</v>
      </c>
      <c r="I60" s="825"/>
      <c r="J60" s="1919"/>
      <c r="O60" s="638" t="b">
        <f t="shared" si="14"/>
        <v>0</v>
      </c>
      <c r="P60" s="638" t="b">
        <f t="shared" si="15"/>
        <v>0</v>
      </c>
      <c r="Q60" s="638" t="b">
        <f t="shared" si="4"/>
        <v>0</v>
      </c>
      <c r="R60" s="638" t="b">
        <f t="shared" si="5"/>
        <v>0</v>
      </c>
      <c r="S60" s="638" t="b">
        <f t="shared" si="6"/>
        <v>0</v>
      </c>
      <c r="T60" s="638" t="b">
        <f t="shared" si="7"/>
        <v>0</v>
      </c>
      <c r="U60" s="825"/>
      <c r="AA60"/>
    </row>
    <row r="61" spans="1:27" ht="25.5">
      <c r="A61" s="562" t="s">
        <v>30590</v>
      </c>
      <c r="B61" s="1273" t="s">
        <v>31290</v>
      </c>
      <c r="C61" s="2384">
        <f>Dati_Anni_precedenti!E57</f>
        <v>0</v>
      </c>
      <c r="D61" s="2384">
        <f>Dati_Anni_precedenti!F57</f>
        <v>0</v>
      </c>
      <c r="E61" s="2384">
        <f ca="1">ERC!E221</f>
        <v>0</v>
      </c>
      <c r="F61" s="2384">
        <f ca="1">ERC!F221</f>
        <v>0</v>
      </c>
      <c r="G61" s="2384">
        <f ca="1">ERC!G221</f>
        <v>0</v>
      </c>
      <c r="H61" s="2384">
        <f ca="1">ERC!H221</f>
        <v>0</v>
      </c>
      <c r="I61" s="825"/>
      <c r="J61" s="1919"/>
      <c r="O61" s="2384" t="b">
        <f t="shared" si="14"/>
        <v>0</v>
      </c>
      <c r="P61" s="2384" t="b">
        <f t="shared" si="15"/>
        <v>0</v>
      </c>
      <c r="Q61" s="2384" t="b">
        <f t="shared" ca="1" si="4"/>
        <v>0</v>
      </c>
      <c r="R61" s="2384" t="b">
        <f t="shared" ca="1" si="5"/>
        <v>0</v>
      </c>
      <c r="S61" s="2384" t="b">
        <f t="shared" ca="1" si="6"/>
        <v>0</v>
      </c>
      <c r="T61" s="2384" t="b">
        <f t="shared" ca="1" si="7"/>
        <v>0</v>
      </c>
      <c r="U61" s="825"/>
      <c r="AA61"/>
    </row>
    <row r="62" spans="1:27" ht="25.5">
      <c r="A62" s="562" t="s">
        <v>30590</v>
      </c>
      <c r="B62" s="1273" t="s">
        <v>31291</v>
      </c>
      <c r="C62" s="2384">
        <f>Dati_Anni_precedenti!E58</f>
        <v>0</v>
      </c>
      <c r="D62" s="2384">
        <f>Dati_Anni_precedenti!F58</f>
        <v>0</v>
      </c>
      <c r="E62" s="2384">
        <f>ERC!E222</f>
        <v>0</v>
      </c>
      <c r="F62" s="2384">
        <f>ERC!F222</f>
        <v>0</v>
      </c>
      <c r="G62" s="2384">
        <f>ERC!G222</f>
        <v>0</v>
      </c>
      <c r="H62" s="2384">
        <f>ERC!H222</f>
        <v>0</v>
      </c>
      <c r="I62" s="825"/>
      <c r="J62" s="1919"/>
      <c r="O62" s="2384" t="b">
        <f t="shared" si="14"/>
        <v>0</v>
      </c>
      <c r="P62" s="2384" t="b">
        <f t="shared" si="15"/>
        <v>0</v>
      </c>
      <c r="Q62" s="2384" t="b">
        <f t="shared" si="4"/>
        <v>0</v>
      </c>
      <c r="R62" s="2384" t="b">
        <f t="shared" si="5"/>
        <v>0</v>
      </c>
      <c r="S62" s="2384" t="b">
        <f t="shared" si="6"/>
        <v>0</v>
      </c>
      <c r="T62" s="2384" t="b">
        <f t="shared" si="7"/>
        <v>0</v>
      </c>
      <c r="U62" s="825"/>
      <c r="AA62"/>
    </row>
    <row r="63" spans="1:27" ht="25.5">
      <c r="A63" s="562" t="s">
        <v>30590</v>
      </c>
      <c r="B63" s="684" t="s">
        <v>25412</v>
      </c>
      <c r="C63" s="638">
        <f>Dati_Anni_precedenti!E59</f>
        <v>0</v>
      </c>
      <c r="D63" s="638">
        <f>Dati_Anni_precedenti!F59</f>
        <v>0</v>
      </c>
      <c r="E63" s="638">
        <f>ERC!E144</f>
        <v>0</v>
      </c>
      <c r="F63" s="638">
        <f>ERC!F144</f>
        <v>0</v>
      </c>
      <c r="G63" s="638">
        <f>ERC!G144</f>
        <v>0</v>
      </c>
      <c r="H63" s="638">
        <f>ERC!H144</f>
        <v>0</v>
      </c>
      <c r="I63" s="825"/>
      <c r="J63" s="1919"/>
      <c r="O63" s="638" t="b">
        <f t="shared" si="14"/>
        <v>0</v>
      </c>
      <c r="P63" s="638" t="b">
        <f t="shared" si="15"/>
        <v>0</v>
      </c>
      <c r="Q63" s="638" t="b">
        <f t="shared" si="4"/>
        <v>0</v>
      </c>
      <c r="R63" s="638" t="b">
        <f t="shared" si="5"/>
        <v>0</v>
      </c>
      <c r="S63" s="638" t="b">
        <f t="shared" si="6"/>
        <v>0</v>
      </c>
      <c r="T63" s="638" t="b">
        <f t="shared" si="7"/>
        <v>0</v>
      </c>
      <c r="U63" s="825"/>
      <c r="AA63"/>
    </row>
    <row r="64" spans="1:27" ht="25.5">
      <c r="A64" s="562" t="s">
        <v>30590</v>
      </c>
      <c r="B64" s="684" t="s">
        <v>25413</v>
      </c>
      <c r="C64" s="638">
        <f>Dati_Anni_precedenti!E60</f>
        <v>0</v>
      </c>
      <c r="D64" s="638">
        <f>Dati_Anni_precedenti!F60</f>
        <v>0</v>
      </c>
      <c r="E64" s="638">
        <f>ERC!E145</f>
        <v>0</v>
      </c>
      <c r="F64" s="638">
        <f>ERC!F145</f>
        <v>0</v>
      </c>
      <c r="G64" s="638">
        <f>ERC!G145</f>
        <v>0</v>
      </c>
      <c r="H64" s="638">
        <f>ERC!H145</f>
        <v>0</v>
      </c>
      <c r="I64" s="825"/>
      <c r="J64" s="1919"/>
      <c r="O64" s="638" t="b">
        <f t="shared" si="14"/>
        <v>0</v>
      </c>
      <c r="P64" s="638" t="b">
        <f t="shared" si="15"/>
        <v>0</v>
      </c>
      <c r="Q64" s="638" t="b">
        <f t="shared" si="4"/>
        <v>0</v>
      </c>
      <c r="R64" s="638" t="b">
        <f t="shared" si="5"/>
        <v>0</v>
      </c>
      <c r="S64" s="638" t="b">
        <f t="shared" si="6"/>
        <v>0</v>
      </c>
      <c r="T64" s="638" t="b">
        <f t="shared" si="7"/>
        <v>0</v>
      </c>
      <c r="U64" s="825"/>
      <c r="AA64"/>
    </row>
    <row r="65" spans="1:27" ht="25.5">
      <c r="A65" s="562" t="s">
        <v>30590</v>
      </c>
      <c r="B65" s="684" t="s">
        <v>31292</v>
      </c>
      <c r="C65" s="2384">
        <f>Dati_Anni_precedenti!E61</f>
        <v>0</v>
      </c>
      <c r="D65" s="2384">
        <f>Dati_Anni_precedenti!F61</f>
        <v>0</v>
      </c>
      <c r="E65" s="2384">
        <f ca="1">MIN(ERC!E198,ERC!E199)</f>
        <v>0</v>
      </c>
      <c r="F65" s="2384">
        <f t="shared" ref="F65:H65" ca="1" si="16">+E65</f>
        <v>0</v>
      </c>
      <c r="G65" s="2384">
        <f>+D65</f>
        <v>0</v>
      </c>
      <c r="H65" s="2384">
        <f t="shared" si="16"/>
        <v>0</v>
      </c>
      <c r="I65" s="825"/>
      <c r="J65" s="1919"/>
      <c r="O65" s="2384" t="b">
        <f t="shared" si="14"/>
        <v>0</v>
      </c>
      <c r="P65" s="2384" t="b">
        <f t="shared" si="15"/>
        <v>0</v>
      </c>
      <c r="Q65" s="2384" t="b">
        <f t="shared" ca="1" si="4"/>
        <v>0</v>
      </c>
      <c r="R65" s="2384" t="b">
        <f t="shared" ca="1" si="5"/>
        <v>0</v>
      </c>
      <c r="S65" s="2384" t="b">
        <f t="shared" si="6"/>
        <v>0</v>
      </c>
      <c r="T65" s="2384" t="b">
        <f t="shared" si="7"/>
        <v>0</v>
      </c>
      <c r="U65" s="825"/>
      <c r="AA65"/>
    </row>
    <row r="66" spans="1:27" ht="25.5">
      <c r="A66" s="562" t="s">
        <v>30590</v>
      </c>
      <c r="B66" s="684" t="s">
        <v>31170</v>
      </c>
      <c r="C66" s="2384">
        <f>Dati_Anni_precedenti!E62</f>
        <v>0</v>
      </c>
      <c r="D66" s="2384">
        <f>Dati_Anni_precedenti!F62</f>
        <v>0</v>
      </c>
      <c r="E66" s="2384">
        <f ca="1">ERC!E200</f>
        <v>0</v>
      </c>
      <c r="F66" s="2384">
        <f ca="1">ERC!F200</f>
        <v>0</v>
      </c>
      <c r="G66" s="2384">
        <f ca="1">ERC!G200</f>
        <v>0</v>
      </c>
      <c r="H66" s="2384">
        <f ca="1">ERC!H200</f>
        <v>0</v>
      </c>
      <c r="I66" s="825"/>
      <c r="J66" s="1919"/>
      <c r="O66" s="2384" t="b">
        <f t="shared" si="14"/>
        <v>0</v>
      </c>
      <c r="P66" s="2384" t="b">
        <f t="shared" si="15"/>
        <v>0</v>
      </c>
      <c r="Q66" s="2384" t="b">
        <f t="shared" ca="1" si="4"/>
        <v>0</v>
      </c>
      <c r="R66" s="2384" t="b">
        <f t="shared" ca="1" si="5"/>
        <v>0</v>
      </c>
      <c r="S66" s="2384" t="b">
        <f t="shared" ca="1" si="6"/>
        <v>0</v>
      </c>
      <c r="T66" s="2384" t="b">
        <f t="shared" ca="1" si="7"/>
        <v>0</v>
      </c>
      <c r="U66" s="825"/>
      <c r="AA66"/>
    </row>
    <row r="67" spans="1:27" ht="28.5">
      <c r="A67" s="562" t="s">
        <v>30590</v>
      </c>
      <c r="B67" s="684" t="s">
        <v>31464</v>
      </c>
      <c r="C67" s="2384">
        <f>Dati_Anni_precedenti!E63</f>
        <v>0</v>
      </c>
      <c r="D67" s="2384">
        <f>Dati_Anni_precedenti!F63</f>
        <v>0</v>
      </c>
      <c r="E67" s="2384">
        <f ca="1">ERC!E201</f>
        <v>0</v>
      </c>
      <c r="F67" s="2384">
        <f ca="1">ERC!F201</f>
        <v>0</v>
      </c>
      <c r="G67" s="2384">
        <f ca="1">ERC!G201</f>
        <v>0</v>
      </c>
      <c r="H67" s="2384">
        <f ca="1">ERC!H201</f>
        <v>0</v>
      </c>
      <c r="I67" s="825"/>
      <c r="J67" s="1919"/>
      <c r="O67" s="2384" t="b">
        <f t="shared" si="14"/>
        <v>0</v>
      </c>
      <c r="P67" s="2384" t="b">
        <f t="shared" si="15"/>
        <v>0</v>
      </c>
      <c r="Q67" s="2384" t="b">
        <f t="shared" ca="1" si="4"/>
        <v>0</v>
      </c>
      <c r="R67" s="2384" t="b">
        <f t="shared" ca="1" si="5"/>
        <v>0</v>
      </c>
      <c r="S67" s="2384" t="b">
        <f t="shared" ca="1" si="6"/>
        <v>0</v>
      </c>
      <c r="T67" s="2384" t="b">
        <f t="shared" ca="1" si="7"/>
        <v>0</v>
      </c>
      <c r="U67" s="825"/>
      <c r="AA67"/>
    </row>
    <row r="68" spans="1:27" ht="28.5">
      <c r="A68" s="562" t="s">
        <v>30590</v>
      </c>
      <c r="B68" s="684" t="s">
        <v>31465</v>
      </c>
      <c r="C68" s="825"/>
      <c r="D68" s="825"/>
      <c r="E68" s="2703">
        <f ca="1">ERC!E202</f>
        <v>0</v>
      </c>
      <c r="F68" s="2703">
        <f ca="1">ERC!F202</f>
        <v>0</v>
      </c>
      <c r="G68" s="2703">
        <f ca="1">ERC!G202</f>
        <v>0</v>
      </c>
      <c r="H68" s="2703">
        <f ca="1">ERC!H202</f>
        <v>0</v>
      </c>
      <c r="I68" s="825"/>
      <c r="J68" s="1919"/>
      <c r="O68" s="825"/>
      <c r="P68" s="825"/>
      <c r="Q68" s="2703" t="b">
        <f t="shared" ca="1" si="4"/>
        <v>0</v>
      </c>
      <c r="R68" s="2703" t="b">
        <f t="shared" ca="1" si="5"/>
        <v>0</v>
      </c>
      <c r="S68" s="2703" t="b">
        <f t="shared" ca="1" si="6"/>
        <v>0</v>
      </c>
      <c r="T68" s="2703" t="b">
        <f t="shared" ca="1" si="7"/>
        <v>0</v>
      </c>
      <c r="U68" s="825"/>
      <c r="AA68"/>
    </row>
    <row r="69" spans="1:27" ht="25.5">
      <c r="A69" s="562" t="s">
        <v>30590</v>
      </c>
      <c r="B69" s="684" t="s">
        <v>30591</v>
      </c>
      <c r="C69" s="1819">
        <f>Dati_Anni_precedenti!E64</f>
        <v>0</v>
      </c>
      <c r="D69" s="1819">
        <f>Dati_Anni_precedenti!F64</f>
        <v>0</v>
      </c>
      <c r="E69" s="1819">
        <f>ERC!E204</f>
        <v>0</v>
      </c>
      <c r="F69" s="1819">
        <f>ERC!F204</f>
        <v>0</v>
      </c>
      <c r="G69" s="1819">
        <f>ERC!G204</f>
        <v>0</v>
      </c>
      <c r="H69" s="1819">
        <f>ERC!H204</f>
        <v>0</v>
      </c>
      <c r="I69" s="825"/>
      <c r="J69" s="1919"/>
      <c r="O69" s="1819" t="b">
        <f t="shared" ref="O69:O79" si="17">+IF(ISNUMBER(C69),FALSE,TRUE)</f>
        <v>0</v>
      </c>
      <c r="P69" s="1819" t="b">
        <f t="shared" ref="P69:P79" si="18">+IF(ISNUMBER(D69),FALSE,TRUE)</f>
        <v>0</v>
      </c>
      <c r="Q69" s="1819" t="b">
        <f t="shared" si="4"/>
        <v>0</v>
      </c>
      <c r="R69" s="1819" t="b">
        <f t="shared" si="5"/>
        <v>0</v>
      </c>
      <c r="S69" s="1819" t="b">
        <f t="shared" si="6"/>
        <v>0</v>
      </c>
      <c r="T69" s="1819" t="b">
        <f t="shared" si="7"/>
        <v>0</v>
      </c>
      <c r="U69" s="825"/>
      <c r="AA69"/>
    </row>
    <row r="70" spans="1:27" ht="15.75">
      <c r="A70" s="562" t="s">
        <v>27070</v>
      </c>
      <c r="B70" s="564" t="s">
        <v>24908</v>
      </c>
      <c r="C70" s="638">
        <f>Dati_Anni_precedenti!E65</f>
        <v>0</v>
      </c>
      <c r="D70" s="638">
        <f>Dati_Anni_precedenti!F65</f>
        <v>0</v>
      </c>
      <c r="E70" s="638">
        <f>'Rc'!E20</f>
        <v>0</v>
      </c>
      <c r="F70" s="638">
        <f>'Rc'!F20</f>
        <v>0</v>
      </c>
      <c r="G70" s="638">
        <f>'Rc'!G20</f>
        <v>0</v>
      </c>
      <c r="H70" s="638">
        <f>'Rc'!H20</f>
        <v>0</v>
      </c>
      <c r="I70" s="825"/>
      <c r="J70" s="1919"/>
      <c r="O70" s="638" t="b">
        <f t="shared" si="17"/>
        <v>0</v>
      </c>
      <c r="P70" s="638" t="b">
        <f t="shared" si="18"/>
        <v>0</v>
      </c>
      <c r="Q70" s="638" t="b">
        <f t="shared" si="4"/>
        <v>0</v>
      </c>
      <c r="R70" s="638" t="b">
        <f t="shared" si="5"/>
        <v>0</v>
      </c>
      <c r="S70" s="638" t="b">
        <f t="shared" si="6"/>
        <v>0</v>
      </c>
      <c r="T70" s="638" t="b">
        <f t="shared" si="7"/>
        <v>0</v>
      </c>
      <c r="U70" s="825"/>
      <c r="AA70"/>
    </row>
    <row r="71" spans="1:27" ht="15.75">
      <c r="A71" s="562" t="s">
        <v>27070</v>
      </c>
      <c r="B71" s="564" t="s">
        <v>24909</v>
      </c>
      <c r="C71" s="638">
        <f>Dati_Anni_precedenti!E66</f>
        <v>0</v>
      </c>
      <c r="D71" s="638">
        <f>Dati_Anni_precedenti!F66</f>
        <v>0</v>
      </c>
      <c r="E71" s="638">
        <f>'Rc'!E21</f>
        <v>0</v>
      </c>
      <c r="F71" s="638">
        <f>'Rc'!F21</f>
        <v>0</v>
      </c>
      <c r="G71" s="638">
        <f>'Rc'!G21</f>
        <v>0</v>
      </c>
      <c r="H71" s="638">
        <f>'Rc'!H21</f>
        <v>0</v>
      </c>
      <c r="I71" s="825"/>
      <c r="J71" s="1919"/>
      <c r="O71" s="638" t="b">
        <f t="shared" si="17"/>
        <v>0</v>
      </c>
      <c r="P71" s="638" t="b">
        <f t="shared" si="18"/>
        <v>0</v>
      </c>
      <c r="Q71" s="638" t="b">
        <f t="shared" si="4"/>
        <v>0</v>
      </c>
      <c r="R71" s="638" t="b">
        <f t="shared" si="5"/>
        <v>0</v>
      </c>
      <c r="S71" s="638" t="b">
        <f t="shared" si="6"/>
        <v>0</v>
      </c>
      <c r="T71" s="638" t="b">
        <f t="shared" si="7"/>
        <v>0</v>
      </c>
      <c r="U71" s="825"/>
      <c r="AA71"/>
    </row>
    <row r="72" spans="1:27" ht="15.75">
      <c r="A72" s="562" t="s">
        <v>27070</v>
      </c>
      <c r="B72" s="564" t="s">
        <v>24910</v>
      </c>
      <c r="C72" s="638">
        <f>Dati_Anni_precedenti!E67</f>
        <v>0</v>
      </c>
      <c r="D72" s="638">
        <f>Dati_Anni_precedenti!F67</f>
        <v>0</v>
      </c>
      <c r="E72" s="638">
        <f>'Rc'!E22</f>
        <v>0</v>
      </c>
      <c r="F72" s="638">
        <f>'Rc'!F22</f>
        <v>0</v>
      </c>
      <c r="G72" s="638">
        <f>'Rc'!G22</f>
        <v>0</v>
      </c>
      <c r="H72" s="638">
        <f>'Rc'!H22</f>
        <v>0</v>
      </c>
      <c r="I72" s="825"/>
      <c r="J72" s="1919"/>
      <c r="O72" s="638" t="b">
        <f t="shared" si="17"/>
        <v>0</v>
      </c>
      <c r="P72" s="638" t="b">
        <f t="shared" si="18"/>
        <v>0</v>
      </c>
      <c r="Q72" s="638" t="b">
        <f t="shared" si="4"/>
        <v>0</v>
      </c>
      <c r="R72" s="638" t="b">
        <f t="shared" si="5"/>
        <v>0</v>
      </c>
      <c r="S72" s="638" t="b">
        <f t="shared" si="6"/>
        <v>0</v>
      </c>
      <c r="T72" s="638" t="b">
        <f t="shared" si="7"/>
        <v>0</v>
      </c>
      <c r="U72" s="825"/>
      <c r="AA72"/>
    </row>
    <row r="73" spans="1:27" ht="18.75">
      <c r="A73" s="562" t="s">
        <v>27070</v>
      </c>
      <c r="B73" s="826" t="s">
        <v>24738</v>
      </c>
      <c r="C73" s="638">
        <f>Dati_Anni_precedenti!E68</f>
        <v>0</v>
      </c>
      <c r="D73" s="638">
        <f>Dati_Anni_precedenti!F68</f>
        <v>0</v>
      </c>
      <c r="E73" s="638">
        <f ca="1">'Rc'!E23</f>
        <v>0</v>
      </c>
      <c r="F73" s="638">
        <f ca="1">'Rc'!F23</f>
        <v>0</v>
      </c>
      <c r="G73" s="638">
        <f ca="1">'Rc'!G23</f>
        <v>0</v>
      </c>
      <c r="H73" s="638">
        <f ca="1">'Rc'!H23</f>
        <v>0</v>
      </c>
      <c r="I73" s="825"/>
      <c r="J73" s="1919"/>
      <c r="O73" s="638" t="b">
        <f t="shared" si="17"/>
        <v>0</v>
      </c>
      <c r="P73" s="638" t="b">
        <f t="shared" si="18"/>
        <v>0</v>
      </c>
      <c r="Q73" s="638" t="b">
        <f t="shared" ca="1" si="4"/>
        <v>0</v>
      </c>
      <c r="R73" s="638" t="b">
        <f t="shared" ca="1" si="5"/>
        <v>0</v>
      </c>
      <c r="S73" s="638" t="b">
        <f t="shared" ca="1" si="6"/>
        <v>0</v>
      </c>
      <c r="T73" s="638" t="b">
        <f t="shared" ca="1" si="7"/>
        <v>0</v>
      </c>
      <c r="U73" s="825"/>
      <c r="AA73"/>
    </row>
    <row r="74" spans="1:27" ht="16.5">
      <c r="A74" s="562" t="s">
        <v>27070</v>
      </c>
      <c r="B74" s="1275" t="s">
        <v>31318</v>
      </c>
      <c r="C74" s="2386">
        <f>Dati_Anni_precedenti!E69</f>
        <v>0</v>
      </c>
      <c r="D74" s="2386">
        <f>Dati_Anni_precedenti!F69</f>
        <v>0</v>
      </c>
      <c r="E74" s="1599">
        <f>'Rc'!E178*VLOOKUP("da t-2 a t",PINF,E$3 - 2011,FALSE)</f>
        <v>0</v>
      </c>
      <c r="F74" s="1599">
        <f>'Rc'!F178*VLOOKUP("da t-2 a t",PINF,F$3 - 2011,FALSE)</f>
        <v>0</v>
      </c>
      <c r="G74" s="2386">
        <f>'Rc'!G178*VLOOKUP("da t-2 a t",PINF,G$3 - 2011,FALSE)</f>
        <v>0</v>
      </c>
      <c r="H74" s="2386">
        <f>'Rc'!H178*VLOOKUP("da t-2 a t",PINF,H$3 - 2011,FALSE)</f>
        <v>0</v>
      </c>
      <c r="I74" s="825"/>
      <c r="J74" s="1919"/>
      <c r="O74" s="2386" t="b">
        <f t="shared" si="17"/>
        <v>0</v>
      </c>
      <c r="P74" s="2386" t="b">
        <f t="shared" si="18"/>
        <v>0</v>
      </c>
      <c r="Q74" s="1599" t="b">
        <f t="shared" si="4"/>
        <v>0</v>
      </c>
      <c r="R74" s="1599" t="b">
        <f t="shared" si="5"/>
        <v>0</v>
      </c>
      <c r="S74" s="2386" t="b">
        <f t="shared" si="6"/>
        <v>0</v>
      </c>
      <c r="T74" s="2386" t="b">
        <f t="shared" si="7"/>
        <v>0</v>
      </c>
      <c r="U74" s="825"/>
      <c r="AA74"/>
    </row>
    <row r="75" spans="1:27" ht="16.5">
      <c r="A75" s="562" t="s">
        <v>27070</v>
      </c>
      <c r="B75" s="1275" t="s">
        <v>31319</v>
      </c>
      <c r="C75" s="2389">
        <f>Dati_Anni_precedenti!E70</f>
        <v>0</v>
      </c>
      <c r="D75" s="2389">
        <f>Dati_Anni_precedenti!F70</f>
        <v>0</v>
      </c>
      <c r="E75" s="1599">
        <f>'Rc'!E179*VLOOKUP("da t-2 a t",PINF,E$3 - 2011,FALSE)</f>
        <v>0</v>
      </c>
      <c r="F75" s="2385">
        <f>'Rc'!F179*VLOOKUP("da t-2 a t",PINF,F$3 - 2011,FALSE)</f>
        <v>0</v>
      </c>
      <c r="G75" s="2389">
        <f>'Rc'!G179*VLOOKUP("da t-2 a t",PINF,G$3 - 2011,FALSE)</f>
        <v>0</v>
      </c>
      <c r="H75" s="2389">
        <f>'Rc'!H179*VLOOKUP("da t-2 a t",PINF,H$3 - 2011,FALSE)</f>
        <v>0</v>
      </c>
      <c r="I75" s="825"/>
      <c r="J75" s="1919"/>
      <c r="O75" s="2389" t="b">
        <f t="shared" si="17"/>
        <v>0</v>
      </c>
      <c r="P75" s="2389" t="b">
        <f t="shared" si="18"/>
        <v>0</v>
      </c>
      <c r="Q75" s="1599" t="b">
        <f t="shared" si="4"/>
        <v>0</v>
      </c>
      <c r="R75" s="2385" t="b">
        <f t="shared" si="5"/>
        <v>0</v>
      </c>
      <c r="S75" s="2389" t="b">
        <f t="shared" si="6"/>
        <v>0</v>
      </c>
      <c r="T75" s="2389" t="b">
        <f t="shared" si="7"/>
        <v>0</v>
      </c>
      <c r="U75" s="825"/>
      <c r="AA75"/>
    </row>
    <row r="76" spans="1:27" ht="16.5">
      <c r="A76" s="562" t="s">
        <v>27070</v>
      </c>
      <c r="B76" s="1275" t="s">
        <v>31473</v>
      </c>
      <c r="C76" s="2389">
        <f>+C75+C74</f>
        <v>0</v>
      </c>
      <c r="D76" s="2389">
        <f>+D75+D74</f>
        <v>0</v>
      </c>
      <c r="E76" s="1599">
        <f>'Rc'!E180*VLOOKUP("da t-2 a t",PINF,E$3 - 2011,FALSE)</f>
        <v>0</v>
      </c>
      <c r="F76" s="2385">
        <f>'Rc'!F180*VLOOKUP("da t-2 a t",PINF,F$3 - 2011,FALSE)</f>
        <v>0</v>
      </c>
      <c r="G76" s="2389">
        <f>'Rc'!G180*VLOOKUP("da t-2 a t",PINF,G$3 - 2011,FALSE)</f>
        <v>0</v>
      </c>
      <c r="H76" s="2389">
        <f>'Rc'!H180*VLOOKUP("da t-2 a t",PINF,H$3 - 2011,FALSE)</f>
        <v>0</v>
      </c>
      <c r="I76" s="825"/>
      <c r="J76" s="1919"/>
      <c r="O76" s="2389" t="b">
        <f t="shared" si="17"/>
        <v>0</v>
      </c>
      <c r="P76" s="2389" t="b">
        <f t="shared" si="18"/>
        <v>0</v>
      </c>
      <c r="Q76" s="1599" t="b">
        <f t="shared" si="4"/>
        <v>0</v>
      </c>
      <c r="R76" s="2385" t="b">
        <f t="shared" si="5"/>
        <v>0</v>
      </c>
      <c r="S76" s="2389" t="b">
        <f t="shared" si="6"/>
        <v>0</v>
      </c>
      <c r="T76" s="2389" t="b">
        <f t="shared" si="7"/>
        <v>0</v>
      </c>
      <c r="U76" s="825"/>
      <c r="AA76"/>
    </row>
    <row r="77" spans="1:27" ht="18.75">
      <c r="A77" s="562" t="s">
        <v>27070</v>
      </c>
      <c r="B77" s="1276" t="s">
        <v>24739</v>
      </c>
      <c r="C77" s="2389">
        <f>Dati_Anni_precedenti!E71</f>
        <v>0</v>
      </c>
      <c r="D77" s="2389">
        <f>Dati_Anni_precedenti!F71</f>
        <v>0</v>
      </c>
      <c r="E77" s="638">
        <f>+'Rc'!E138*VLOOKUP("da t-2 a t",PINF,E$3 - 2011,FALSE)</f>
        <v>0</v>
      </c>
      <c r="F77" s="2385">
        <f>+'Rc'!F138*VLOOKUP("da t-2 a t",PINF,F$3 - 2011,FALSE)</f>
        <v>0</v>
      </c>
      <c r="G77" s="2389">
        <f>+'Rc'!G138*VLOOKUP("da t-2 a t",PINF,G$3 - 2011,FALSE)</f>
        <v>0</v>
      </c>
      <c r="H77" s="2389">
        <f>+'Rc'!H138*VLOOKUP("da t-2 a t",PINF,H$3 - 2011,FALSE)</f>
        <v>0</v>
      </c>
      <c r="I77" s="825"/>
      <c r="J77" s="1919"/>
      <c r="O77" s="2389" t="b">
        <f t="shared" si="17"/>
        <v>0</v>
      </c>
      <c r="P77" s="2389" t="b">
        <f t="shared" si="18"/>
        <v>0</v>
      </c>
      <c r="Q77" s="638" t="b">
        <f t="shared" ref="Q77:Q79" si="19">+IF(ISNUMBER(E77),FALSE,TRUE)</f>
        <v>0</v>
      </c>
      <c r="R77" s="2385" t="b">
        <f t="shared" ref="R77:R79" si="20">+IF(ISNUMBER(F77),FALSE,TRUE)</f>
        <v>0</v>
      </c>
      <c r="S77" s="2389" t="b">
        <f t="shared" ref="S77:S78" si="21">+IF(ISNUMBER(G77),FALSE,TRUE)</f>
        <v>0</v>
      </c>
      <c r="T77" s="2389" t="b">
        <f t="shared" ref="T77:T78" si="22">+IF(ISNUMBER(H77),FALSE,TRUE)</f>
        <v>0</v>
      </c>
      <c r="U77" s="825"/>
      <c r="AA77"/>
    </row>
    <row r="78" spans="1:27" ht="16.5">
      <c r="A78" s="562" t="s">
        <v>27070</v>
      </c>
      <c r="B78" s="1276" t="s">
        <v>26848</v>
      </c>
      <c r="C78" s="2389">
        <f>Dati_Anni_precedenti!E72</f>
        <v>0</v>
      </c>
      <c r="D78" s="2389">
        <f>Dati_Anni_precedenti!F72</f>
        <v>0</v>
      </c>
      <c r="E78" s="638">
        <f>+'Rc'!E139*VLOOKUP("da t-2 a t",PINF,E$3 - 2011,FALSE)</f>
        <v>0</v>
      </c>
      <c r="F78" s="2385">
        <f>+'Rc'!F139*VLOOKUP("da t-2 a t",PINF,F$3 - 2011,FALSE)</f>
        <v>0</v>
      </c>
      <c r="G78" s="2389">
        <f>+'Rc'!G139*VLOOKUP("da t-2 a t",PINF,G$3 - 2011,FALSE)</f>
        <v>0</v>
      </c>
      <c r="H78" s="2389">
        <f>+'Rc'!H139*VLOOKUP("da t-2 a t",PINF,H$3 - 2011,FALSE)</f>
        <v>0</v>
      </c>
      <c r="I78" s="825"/>
      <c r="J78" s="1919"/>
      <c r="O78" s="2389" t="b">
        <f t="shared" si="17"/>
        <v>0</v>
      </c>
      <c r="P78" s="2389" t="b">
        <f t="shared" si="18"/>
        <v>0</v>
      </c>
      <c r="Q78" s="638" t="b">
        <f t="shared" si="19"/>
        <v>0</v>
      </c>
      <c r="R78" s="2385" t="b">
        <f t="shared" si="20"/>
        <v>0</v>
      </c>
      <c r="S78" s="2389" t="b">
        <f t="shared" si="21"/>
        <v>0</v>
      </c>
      <c r="T78" s="2389" t="b">
        <f t="shared" si="22"/>
        <v>0</v>
      </c>
      <c r="U78" s="825"/>
      <c r="AA78"/>
    </row>
    <row r="79" spans="1:27" ht="25.5">
      <c r="A79" s="562" t="s">
        <v>27070</v>
      </c>
      <c r="B79" s="1277" t="s">
        <v>22694</v>
      </c>
      <c r="C79" s="2389">
        <f>Dati_Anni_precedenti!E73</f>
        <v>0</v>
      </c>
      <c r="D79" s="2389">
        <f>Dati_Anni_precedenti!F73</f>
        <v>0</v>
      </c>
      <c r="E79" s="638">
        <f>+'Rc'!E140*VLOOKUP("da t-2 a t",PINF,E$3 - 2011,FALSE)</f>
        <v>0</v>
      </c>
      <c r="F79" s="2385">
        <f>+'Rc'!F140*VLOOKUP("da t-2 a t",PINF,F$3 - 2011,FALSE)</f>
        <v>0</v>
      </c>
      <c r="G79" s="2388"/>
      <c r="H79" s="2388"/>
      <c r="I79" s="827"/>
      <c r="J79" s="1919"/>
      <c r="O79" s="2389" t="b">
        <f t="shared" si="17"/>
        <v>0</v>
      </c>
      <c r="P79" s="2389" t="b">
        <f t="shared" si="18"/>
        <v>0</v>
      </c>
      <c r="Q79" s="638" t="b">
        <f t="shared" si="19"/>
        <v>0</v>
      </c>
      <c r="R79" s="2385" t="b">
        <f t="shared" si="20"/>
        <v>0</v>
      </c>
      <c r="S79" s="2388"/>
      <c r="T79" s="2388"/>
      <c r="U79" s="827"/>
      <c r="AA79"/>
    </row>
    <row r="80" spans="1:27" ht="31.5">
      <c r="A80" s="562" t="s">
        <v>27070</v>
      </c>
      <c r="B80" s="1276" t="s">
        <v>28863</v>
      </c>
      <c r="C80" s="2389">
        <f>Dati_Anni_precedenti!E74</f>
        <v>0</v>
      </c>
      <c r="D80" s="2389">
        <f>Dati_Anni_precedenti!F74</f>
        <v>0</v>
      </c>
      <c r="E80" s="2385">
        <f>+'Rc'!E141*VLOOKUP("da t-2 a t",PINF,E$3 - 2011,FALSE)</f>
        <v>0</v>
      </c>
      <c r="F80" s="2385">
        <f ca="1">+'Rc'!F141*VLOOKUP("da t-2 a t",PINF,F$3 - 2011,FALSE)</f>
        <v>0</v>
      </c>
      <c r="G80" s="2388"/>
      <c r="H80" s="2388"/>
      <c r="I80" s="827"/>
      <c r="J80" s="1919"/>
      <c r="O80" s="2389"/>
      <c r="P80" s="2389" t="b">
        <f>+IF(ISNUMBER(D80),FALSE,TRUE)</f>
        <v>0</v>
      </c>
      <c r="Q80" s="2385"/>
      <c r="R80" s="2385" t="b">
        <f ca="1">+IF(ISNUMBER(F80),FALSE,TRUE)</f>
        <v>0</v>
      </c>
      <c r="S80" s="2388"/>
      <c r="T80" s="2388"/>
      <c r="U80" s="827"/>
      <c r="AA80"/>
    </row>
    <row r="81" spans="1:27" ht="25.5">
      <c r="A81" s="562" t="s">
        <v>27070</v>
      </c>
      <c r="B81" s="1277" t="s">
        <v>26849</v>
      </c>
      <c r="C81" s="2389">
        <f>Dati_Anni_precedenti!E75</f>
        <v>0</v>
      </c>
      <c r="D81" s="2389">
        <f>Dati_Anni_precedenti!F75</f>
        <v>0</v>
      </c>
      <c r="E81" s="638">
        <f>+Altri_dati_eco_fin!E50*VLOOKUP("da t-2 a t",PINF,E$3 - 2011,FALSE)</f>
        <v>0</v>
      </c>
      <c r="F81" s="2385">
        <f>+Altri_dati_eco_fin!F50*VLOOKUP("da t-2 a t",PINF,F$3 - 2011,FALSE)</f>
        <v>0</v>
      </c>
      <c r="G81" s="2388"/>
      <c r="H81" s="2388"/>
      <c r="I81" s="827"/>
      <c r="J81" s="1919"/>
      <c r="O81" s="2389" t="b">
        <f t="shared" ref="O81:R95" si="23">+IF(ISNUMBER(C81),FALSE,TRUE)</f>
        <v>0</v>
      </c>
      <c r="P81" s="2389" t="b">
        <f t="shared" si="23"/>
        <v>0</v>
      </c>
      <c r="Q81" s="638" t="b">
        <f t="shared" si="23"/>
        <v>0</v>
      </c>
      <c r="R81" s="2385" t="b">
        <f t="shared" si="23"/>
        <v>0</v>
      </c>
      <c r="S81" s="2388"/>
      <c r="T81" s="2388"/>
      <c r="U81" s="827"/>
      <c r="AA81"/>
    </row>
    <row r="82" spans="1:27" ht="38.25">
      <c r="A82" s="562" t="s">
        <v>27070</v>
      </c>
      <c r="B82" s="1930" t="s">
        <v>30594</v>
      </c>
      <c r="C82" s="2389">
        <f>Dati_Anni_precedenti!E76</f>
        <v>0</v>
      </c>
      <c r="D82" s="2389">
        <f>Dati_Anni_precedenti!F76</f>
        <v>0</v>
      </c>
      <c r="E82" s="825"/>
      <c r="F82" s="825"/>
      <c r="G82" s="2388"/>
      <c r="H82" s="2388"/>
      <c r="I82" s="827"/>
      <c r="J82" s="1919"/>
      <c r="O82" s="2389" t="b">
        <f t="shared" si="23"/>
        <v>0</v>
      </c>
      <c r="P82" s="2389" t="b">
        <f t="shared" si="23"/>
        <v>0</v>
      </c>
      <c r="Q82" s="825"/>
      <c r="R82" s="825"/>
      <c r="S82" s="2388"/>
      <c r="T82" s="2388"/>
      <c r="U82" s="827"/>
      <c r="AA82"/>
    </row>
    <row r="83" spans="1:27" ht="25.5">
      <c r="A83" s="562" t="s">
        <v>27070</v>
      </c>
      <c r="B83" s="1930" t="s">
        <v>30595</v>
      </c>
      <c r="C83" s="2389">
        <f>Dati_Anni_precedenti!E77</f>
        <v>0</v>
      </c>
      <c r="D83" s="2389">
        <f>Dati_Anni_precedenti!F77</f>
        <v>0</v>
      </c>
      <c r="E83" s="1931">
        <f>Altri_dati_eco_fin!E52*VLOOKUP("da t-2 a t",PINF,E$3 - 2011,FALSE)</f>
        <v>0</v>
      </c>
      <c r="F83" s="2385">
        <f>Altri_dati_eco_fin!F52*VLOOKUP("da t-2 a t",PINF,F$3 - 2011,FALSE)</f>
        <v>0</v>
      </c>
      <c r="G83" s="2388"/>
      <c r="H83" s="2388"/>
      <c r="I83" s="827"/>
      <c r="J83" s="1919"/>
      <c r="O83" s="2389" t="b">
        <f t="shared" si="23"/>
        <v>0</v>
      </c>
      <c r="P83" s="2389" t="b">
        <f t="shared" si="23"/>
        <v>0</v>
      </c>
      <c r="Q83" s="1931" t="b">
        <f t="shared" ref="Q83:Q91" si="24">+IF(ISNUMBER(E83),FALSE,TRUE)</f>
        <v>0</v>
      </c>
      <c r="R83" s="2385" t="b">
        <f t="shared" ref="R83:R95" si="25">+IF(ISNUMBER(F83),FALSE,TRUE)</f>
        <v>0</v>
      </c>
      <c r="S83" s="2388"/>
      <c r="T83" s="2388"/>
      <c r="U83" s="827"/>
      <c r="AA83"/>
    </row>
    <row r="84" spans="1:27" ht="16.5">
      <c r="A84" s="562" t="s">
        <v>27070</v>
      </c>
      <c r="B84" s="1277" t="s">
        <v>24740</v>
      </c>
      <c r="C84" s="2389">
        <f>Dati_Anni_precedenti!E78</f>
        <v>0</v>
      </c>
      <c r="D84" s="2389">
        <f>Dati_Anni_precedenti!F78</f>
        <v>0</v>
      </c>
      <c r="E84" s="638">
        <f>+'Rc'!E143*VLOOKUP("da t-2 a t",PINF,E$3 - 2011,FALSE)</f>
        <v>0</v>
      </c>
      <c r="F84" s="2385">
        <f>+'Rc'!F143*VLOOKUP("da t-2 a t",PINF,F$3 - 2011,FALSE)</f>
        <v>0</v>
      </c>
      <c r="G84" s="2388"/>
      <c r="H84" s="2388"/>
      <c r="I84" s="827"/>
      <c r="J84" s="1919"/>
      <c r="O84" s="2389" t="b">
        <f t="shared" si="23"/>
        <v>0</v>
      </c>
      <c r="P84" s="2389" t="b">
        <f t="shared" si="23"/>
        <v>0</v>
      </c>
      <c r="Q84" s="638" t="b">
        <f t="shared" si="24"/>
        <v>0</v>
      </c>
      <c r="R84" s="2385" t="b">
        <f t="shared" si="25"/>
        <v>0</v>
      </c>
      <c r="S84" s="2388"/>
      <c r="T84" s="2388"/>
      <c r="U84" s="827"/>
      <c r="AA84"/>
    </row>
    <row r="85" spans="1:27" ht="16.5">
      <c r="A85" s="562" t="s">
        <v>27070</v>
      </c>
      <c r="B85" s="1276" t="s">
        <v>29626</v>
      </c>
      <c r="C85" s="2389">
        <f>Dati_Anni_precedenti!E79</f>
        <v>0</v>
      </c>
      <c r="D85" s="2389">
        <f>Dati_Anni_precedenti!F79</f>
        <v>0</v>
      </c>
      <c r="E85" s="638">
        <f>+'Rc'!E144*VLOOKUP("da t-2 a t",PINF,E$3 - 2011,FALSE)</f>
        <v>0</v>
      </c>
      <c r="F85" s="2385">
        <f>+'Rc'!F144*VLOOKUP("da t-2 a t",PINF,F$3 - 2011,FALSE)</f>
        <v>0</v>
      </c>
      <c r="G85" s="2391">
        <f>+'Rc'!G144*VLOOKUP("da t-2 a t",PINF,G$3 - 2011,FALSE)</f>
        <v>0</v>
      </c>
      <c r="H85" s="2391">
        <f>+'Rc'!H144*VLOOKUP("da t-2 a t",PINF,H$3 - 2011,FALSE)</f>
        <v>0</v>
      </c>
      <c r="I85" s="827"/>
      <c r="J85" s="1919"/>
      <c r="O85" s="2389" t="b">
        <f t="shared" si="23"/>
        <v>0</v>
      </c>
      <c r="P85" s="2389" t="b">
        <f t="shared" si="23"/>
        <v>0</v>
      </c>
      <c r="Q85" s="638" t="b">
        <f t="shared" si="24"/>
        <v>0</v>
      </c>
      <c r="R85" s="2385" t="b">
        <f t="shared" si="25"/>
        <v>0</v>
      </c>
      <c r="S85" s="2391" t="b">
        <f t="shared" ref="S85:S88" si="26">+IF(ISNUMBER(G85),FALSE,TRUE)</f>
        <v>0</v>
      </c>
      <c r="T85" s="2391" t="b">
        <f t="shared" ref="T85:T88" si="27">+IF(ISNUMBER(H85),FALSE,TRUE)</f>
        <v>0</v>
      </c>
      <c r="U85" s="827"/>
      <c r="AA85"/>
    </row>
    <row r="86" spans="1:27" ht="15.75">
      <c r="A86" s="562" t="s">
        <v>27070</v>
      </c>
      <c r="B86" s="1278" t="s">
        <v>25441</v>
      </c>
      <c r="C86" s="2389">
        <f>Dati_Anni_precedenti!E80</f>
        <v>0</v>
      </c>
      <c r="D86" s="2389">
        <f>Dati_Anni_precedenti!F80</f>
        <v>0</v>
      </c>
      <c r="E86" s="638">
        <f>+'Rc'!E145*VLOOKUP("da t-2 a t",PINF,E$3 - 2011,FALSE)</f>
        <v>0</v>
      </c>
      <c r="F86" s="2385">
        <f>+'Rc'!F145*VLOOKUP("da t-2 a t",PINF,F$3 - 2011,FALSE)</f>
        <v>0</v>
      </c>
      <c r="G86" s="2390">
        <f>+'Rc'!G145*VLOOKUP("da t-2 a t",PINF,G$3 - 2011,FALSE)</f>
        <v>0</v>
      </c>
      <c r="H86" s="2390">
        <f>+'Rc'!H145*VLOOKUP("da t-2 a t",PINF,H$3 - 2011,FALSE)</f>
        <v>0</v>
      </c>
      <c r="I86" s="827"/>
      <c r="J86" s="1919"/>
      <c r="O86" s="2389" t="b">
        <f t="shared" si="23"/>
        <v>0</v>
      </c>
      <c r="P86" s="2389" t="b">
        <f t="shared" si="23"/>
        <v>0</v>
      </c>
      <c r="Q86" s="638" t="b">
        <f t="shared" si="24"/>
        <v>0</v>
      </c>
      <c r="R86" s="2385" t="b">
        <f t="shared" si="25"/>
        <v>0</v>
      </c>
      <c r="S86" s="2390" t="b">
        <f t="shared" si="26"/>
        <v>0</v>
      </c>
      <c r="T86" s="2390" t="b">
        <f t="shared" si="27"/>
        <v>0</v>
      </c>
      <c r="U86" s="827"/>
      <c r="AA86"/>
    </row>
    <row r="87" spans="1:27" ht="15.75">
      <c r="A87" s="562" t="s">
        <v>27070</v>
      </c>
      <c r="B87" s="1279" t="s">
        <v>26855</v>
      </c>
      <c r="C87" s="2389">
        <f>Dati_Anni_precedenti!E81</f>
        <v>0</v>
      </c>
      <c r="D87" s="2389">
        <f>Dati_Anni_precedenti!F81</f>
        <v>0</v>
      </c>
      <c r="E87" s="638">
        <f ca="1">+'Rc'!E146*VLOOKUP("da t-2 a t",PINF,E$3 - 2011,FALSE)</f>
        <v>0</v>
      </c>
      <c r="F87" s="2385">
        <f ca="1">+'Rc'!F146*VLOOKUP("da t-2 a t",PINF,F$3 - 2011,FALSE)</f>
        <v>0</v>
      </c>
      <c r="G87" s="2390">
        <f ca="1">+'Rc'!G146*VLOOKUP("da t-2 a t",PINF,G$3 - 2011,FALSE)</f>
        <v>0</v>
      </c>
      <c r="H87" s="2390">
        <f ca="1">+'Rc'!H146*VLOOKUP("da t-2 a t",PINF,H$3 - 2011,FALSE)</f>
        <v>0</v>
      </c>
      <c r="I87" s="827"/>
      <c r="J87" s="1919"/>
      <c r="O87" s="2389" t="b">
        <f t="shared" si="23"/>
        <v>0</v>
      </c>
      <c r="P87" s="2389" t="b">
        <f t="shared" si="23"/>
        <v>0</v>
      </c>
      <c r="Q87" s="638" t="b">
        <f t="shared" ca="1" si="24"/>
        <v>0</v>
      </c>
      <c r="R87" s="2385" t="b">
        <f t="shared" ca="1" si="25"/>
        <v>0</v>
      </c>
      <c r="S87" s="2390" t="b">
        <f t="shared" ca="1" si="26"/>
        <v>0</v>
      </c>
      <c r="T87" s="2390" t="b">
        <f t="shared" ca="1" si="27"/>
        <v>0</v>
      </c>
      <c r="U87" s="827"/>
      <c r="AA87"/>
    </row>
    <row r="88" spans="1:27" ht="15.75">
      <c r="A88" s="562" t="s">
        <v>27070</v>
      </c>
      <c r="B88" s="1279" t="s">
        <v>26864</v>
      </c>
      <c r="C88" s="2389">
        <f>Dati_Anni_precedenti!E82</f>
        <v>0</v>
      </c>
      <c r="D88" s="2389">
        <f>Dati_Anni_precedenti!F82</f>
        <v>0</v>
      </c>
      <c r="E88" s="638">
        <f>+'Rc'!E147*VLOOKUP("da t-2 a t",PINF,E$3 - 2011,FALSE)</f>
        <v>0</v>
      </c>
      <c r="F88" s="2385">
        <f>+'Rc'!F147*VLOOKUP("da t-2 a t",PINF,F$3 - 2011,FALSE)</f>
        <v>0</v>
      </c>
      <c r="G88" s="2390">
        <f>+'Rc'!G147*VLOOKUP("da t-2 a t",PINF,G$3 - 2011,FALSE)</f>
        <v>0</v>
      </c>
      <c r="H88" s="2390">
        <f>+'Rc'!H147*VLOOKUP("da t-2 a t",PINF,H$3 - 2011,FALSE)</f>
        <v>0</v>
      </c>
      <c r="I88" s="827"/>
      <c r="J88" s="1919"/>
      <c r="O88" s="2389" t="b">
        <f t="shared" si="23"/>
        <v>0</v>
      </c>
      <c r="P88" s="2389" t="b">
        <f t="shared" si="23"/>
        <v>0</v>
      </c>
      <c r="Q88" s="638" t="b">
        <f t="shared" si="24"/>
        <v>0</v>
      </c>
      <c r="R88" s="2385" t="b">
        <f t="shared" si="25"/>
        <v>0</v>
      </c>
      <c r="S88" s="2390" t="b">
        <f t="shared" si="26"/>
        <v>0</v>
      </c>
      <c r="T88" s="2390" t="b">
        <f t="shared" si="27"/>
        <v>0</v>
      </c>
      <c r="U88" s="827"/>
      <c r="AA88"/>
    </row>
    <row r="89" spans="1:27" ht="39">
      <c r="A89" s="562" t="s">
        <v>27070</v>
      </c>
      <c r="B89" s="1279" t="s">
        <v>32818</v>
      </c>
      <c r="C89" s="2389">
        <f>Dati_Anni_precedenti!E83</f>
        <v>0</v>
      </c>
      <c r="D89" s="2389">
        <f>Dati_Anni_precedenti!F83</f>
        <v>0</v>
      </c>
      <c r="E89" s="638">
        <f>'Rc'!E149*VLOOKUP("da t-2 a t",PINF,E$3 - 2011,FALSE)</f>
        <v>0</v>
      </c>
      <c r="F89" s="638">
        <f>'Rc'!F149*VLOOKUP("da t-2 a t",PINF,F$3 - 2011,FALSE)</f>
        <v>0</v>
      </c>
      <c r="G89" s="825"/>
      <c r="H89" s="825"/>
      <c r="I89" s="827"/>
      <c r="J89" s="1919"/>
      <c r="O89" s="2389" t="b">
        <f t="shared" si="23"/>
        <v>0</v>
      </c>
      <c r="P89" s="2389" t="b">
        <f t="shared" si="23"/>
        <v>0</v>
      </c>
      <c r="Q89" s="638" t="b">
        <f t="shared" si="24"/>
        <v>0</v>
      </c>
      <c r="R89" s="638" t="b">
        <f t="shared" si="25"/>
        <v>0</v>
      </c>
      <c r="S89" s="825"/>
      <c r="T89" s="825"/>
      <c r="U89" s="827"/>
      <c r="AA89"/>
    </row>
    <row r="90" spans="1:27" ht="39">
      <c r="A90" s="562" t="s">
        <v>27070</v>
      </c>
      <c r="B90" s="1279" t="s">
        <v>31480</v>
      </c>
      <c r="C90" s="2389">
        <f>Dati_Anni_precedenti!E84</f>
        <v>0</v>
      </c>
      <c r="D90" s="2389">
        <f>Dati_Anni_precedenti!F84</f>
        <v>0</v>
      </c>
      <c r="E90" s="638">
        <f>'Rc'!E150*VLOOKUP("da t-2 a t",PINF,E$3 - 2011,FALSE)</f>
        <v>0</v>
      </c>
      <c r="F90" s="638">
        <f>'Rc'!F150*VLOOKUP("da t-2 a t",PINF,F$3 - 2011,FALSE)</f>
        <v>0</v>
      </c>
      <c r="G90" s="825"/>
      <c r="H90" s="825"/>
      <c r="I90" s="827"/>
      <c r="J90" s="1919"/>
      <c r="O90" s="2389" t="b">
        <f t="shared" si="23"/>
        <v>0</v>
      </c>
      <c r="P90" s="2389" t="b">
        <f t="shared" si="23"/>
        <v>0</v>
      </c>
      <c r="Q90" s="638" t="b">
        <f t="shared" si="24"/>
        <v>0</v>
      </c>
      <c r="R90" s="638" t="b">
        <f t="shared" si="25"/>
        <v>0</v>
      </c>
      <c r="S90" s="825"/>
      <c r="T90" s="825"/>
      <c r="U90" s="827"/>
      <c r="AA90"/>
    </row>
    <row r="91" spans="1:27" ht="15.75">
      <c r="A91" s="562" t="s">
        <v>27070</v>
      </c>
      <c r="B91" s="1279" t="s">
        <v>26865</v>
      </c>
      <c r="C91" s="2389">
        <f>Dati_Anni_precedenti!E85</f>
        <v>0</v>
      </c>
      <c r="D91" s="2389">
        <f>Dati_Anni_precedenti!F85</f>
        <v>0</v>
      </c>
      <c r="E91" s="638">
        <f>+'Rc'!E273*VLOOKUP("da t-2 a t",PINF,E$3 - 2011,FALSE)</f>
        <v>0</v>
      </c>
      <c r="F91" s="2385">
        <f>+'Rc'!F273*VLOOKUP("da t-2 a t",PINF,F$3 - 2011,FALSE)</f>
        <v>0</v>
      </c>
      <c r="G91" s="2387">
        <f>+'Rc'!G273*VLOOKUP("da t-2 a t",PINF,G$3 - 2011,FALSE)</f>
        <v>0</v>
      </c>
      <c r="H91" s="2387">
        <f>+'Rc'!H273*VLOOKUP("da t-2 a t",PINF,H$3 - 2011,FALSE)</f>
        <v>0</v>
      </c>
      <c r="I91" s="827"/>
      <c r="J91" s="1919"/>
      <c r="O91" s="2389" t="b">
        <f t="shared" si="23"/>
        <v>0</v>
      </c>
      <c r="P91" s="2389" t="b">
        <f t="shared" si="23"/>
        <v>0</v>
      </c>
      <c r="Q91" s="638" t="b">
        <f t="shared" si="24"/>
        <v>0</v>
      </c>
      <c r="R91" s="2385" t="b">
        <f t="shared" si="25"/>
        <v>0</v>
      </c>
      <c r="S91" s="2387" t="b">
        <f t="shared" ref="S91:T91" si="28">+IF(ISNUMBER(G91),FALSE,TRUE)</f>
        <v>0</v>
      </c>
      <c r="T91" s="2387" t="b">
        <f t="shared" si="28"/>
        <v>0</v>
      </c>
      <c r="U91" s="827"/>
      <c r="AA91"/>
    </row>
    <row r="92" spans="1:27" ht="15.75">
      <c r="A92" s="562" t="s">
        <v>27070</v>
      </c>
      <c r="B92" s="1276" t="s">
        <v>29976</v>
      </c>
      <c r="C92" s="2389">
        <f>Dati_Anni_precedenti!E86</f>
        <v>0</v>
      </c>
      <c r="D92" s="2389">
        <f>Dati_Anni_precedenti!F86</f>
        <v>0</v>
      </c>
      <c r="E92" s="825"/>
      <c r="F92" s="825"/>
      <c r="G92" s="825"/>
      <c r="H92" s="825"/>
      <c r="I92" s="827"/>
      <c r="J92" s="1919"/>
      <c r="O92" s="2389" t="b">
        <f t="shared" si="23"/>
        <v>0</v>
      </c>
      <c r="P92" s="2389" t="b">
        <f t="shared" si="23"/>
        <v>0</v>
      </c>
      <c r="Q92" s="825"/>
      <c r="R92" s="825"/>
      <c r="S92" s="825"/>
      <c r="T92" s="825"/>
      <c r="U92" s="827"/>
      <c r="AA92"/>
    </row>
    <row r="93" spans="1:27">
      <c r="A93" s="562" t="s">
        <v>27070</v>
      </c>
      <c r="B93" s="684" t="s">
        <v>31476</v>
      </c>
      <c r="C93" s="825"/>
      <c r="D93" s="2389">
        <f>Dati_Anni_precedenti!F87</f>
        <v>0</v>
      </c>
      <c r="E93" s="825"/>
      <c r="F93" s="638">
        <f>+'Rc'!F151*VLOOKUP("da t-2 a t",PINF,F$3 - 2011,FALSE)</f>
        <v>0</v>
      </c>
      <c r="G93" s="825"/>
      <c r="H93" s="825"/>
      <c r="I93" s="827"/>
      <c r="J93" s="1919"/>
      <c r="O93" s="825"/>
      <c r="P93" s="2389" t="b">
        <f t="shared" si="23"/>
        <v>0</v>
      </c>
      <c r="Q93" s="825"/>
      <c r="R93" s="638" t="b">
        <f t="shared" si="25"/>
        <v>0</v>
      </c>
      <c r="S93" s="825"/>
      <c r="T93" s="825"/>
      <c r="U93" s="827"/>
      <c r="AA93"/>
    </row>
    <row r="94" spans="1:27" ht="25.5">
      <c r="A94" s="562" t="s">
        <v>27070</v>
      </c>
      <c r="B94" s="684" t="s">
        <v>31477</v>
      </c>
      <c r="C94" s="825"/>
      <c r="D94" s="2389">
        <f>Dati_Anni_precedenti!F88</f>
        <v>0</v>
      </c>
      <c r="E94" s="825"/>
      <c r="F94" s="638">
        <f>+'Rc'!F152*VLOOKUP("da t-2 a t",PINF,F$3 - 2011,FALSE)</f>
        <v>0</v>
      </c>
      <c r="G94" s="825"/>
      <c r="H94" s="825"/>
      <c r="I94" s="827"/>
      <c r="J94" s="1919"/>
      <c r="O94" s="825"/>
      <c r="P94" s="2389" t="b">
        <f t="shared" si="23"/>
        <v>0</v>
      </c>
      <c r="Q94" s="825"/>
      <c r="R94" s="638" t="b">
        <f t="shared" si="25"/>
        <v>0</v>
      </c>
      <c r="S94" s="825"/>
      <c r="T94" s="825"/>
      <c r="U94" s="827"/>
      <c r="AA94"/>
    </row>
    <row r="95" spans="1:27" ht="25.5">
      <c r="A95" s="562" t="s">
        <v>27070</v>
      </c>
      <c r="B95" s="1842" t="s">
        <v>30480</v>
      </c>
      <c r="C95" s="825"/>
      <c r="D95" s="2389">
        <f>Dati_Anni_precedenti!F89</f>
        <v>0</v>
      </c>
      <c r="E95" s="825"/>
      <c r="F95" s="638">
        <f>+'Rc'!F153*VLOOKUP("da t-2 a t",PINF,F$3 - 2011,FALSE)</f>
        <v>0</v>
      </c>
      <c r="G95" s="825"/>
      <c r="H95" s="825"/>
      <c r="I95" s="827"/>
      <c r="J95" s="1919"/>
      <c r="O95" s="825"/>
      <c r="P95" s="2389" t="b">
        <f t="shared" si="23"/>
        <v>0</v>
      </c>
      <c r="Q95" s="825"/>
      <c r="R95" s="638" t="b">
        <f t="shared" si="25"/>
        <v>0</v>
      </c>
      <c r="S95" s="825"/>
      <c r="T95" s="825"/>
      <c r="U95" s="827"/>
      <c r="AA95"/>
    </row>
    <row r="96" spans="1:27" ht="15.75">
      <c r="A96" s="562" t="s">
        <v>27070</v>
      </c>
      <c r="B96" s="684" t="s">
        <v>25414</v>
      </c>
      <c r="C96" s="638">
        <f>Dati_Anni_precedenti!E90</f>
        <v>0</v>
      </c>
      <c r="D96" s="638">
        <f>Dati_Anni_precedenti!F90</f>
        <v>0</v>
      </c>
      <c r="E96" s="638">
        <f ca="1">+Piano_Tariffario!G57</f>
        <v>0</v>
      </c>
      <c r="F96" s="638">
        <f ca="1">+Piano_Tariffario!H57</f>
        <v>0</v>
      </c>
      <c r="G96" s="638">
        <f ca="1">+Piano_Tariffario!I57</f>
        <v>0</v>
      </c>
      <c r="H96" s="638">
        <f ca="1">+Piano_Tariffario!J57</f>
        <v>0</v>
      </c>
      <c r="I96" s="827"/>
      <c r="J96" s="1919"/>
      <c r="O96" s="638" t="b">
        <f t="shared" ref="O96:T96" si="29">+IF(ISNUMBER(C96),FALSE,TRUE)</f>
        <v>0</v>
      </c>
      <c r="P96" s="638" t="b">
        <f t="shared" si="29"/>
        <v>0</v>
      </c>
      <c r="Q96" s="638" t="b">
        <f t="shared" ca="1" si="29"/>
        <v>0</v>
      </c>
      <c r="R96" s="638" t="b">
        <f t="shared" ca="1" si="29"/>
        <v>0</v>
      </c>
      <c r="S96" s="638" t="b">
        <f t="shared" ca="1" si="29"/>
        <v>0</v>
      </c>
      <c r="T96" s="638" t="b">
        <f t="shared" ca="1" si="29"/>
        <v>0</v>
      </c>
      <c r="U96" s="827"/>
      <c r="AA96"/>
    </row>
    <row r="97" spans="1:27">
      <c r="A97" s="562" t="s">
        <v>22839</v>
      </c>
      <c r="B97" s="564" t="s">
        <v>30485</v>
      </c>
      <c r="C97" s="638">
        <f>Dati_Anni_precedenti!E91</f>
        <v>0</v>
      </c>
      <c r="D97" s="638">
        <f>Dati_Anni_precedenti!F91</f>
        <v>0</v>
      </c>
      <c r="E97" s="638" t="str">
        <f>+Ammortamento_Finanziario!H4</f>
        <v>NO</v>
      </c>
      <c r="F97" s="638" t="str">
        <f>+Ammortamento_Finanziario!I4</f>
        <v>NO</v>
      </c>
      <c r="G97" s="638" t="str">
        <f>+Ammortamento_Finanziario!J4</f>
        <v>NO</v>
      </c>
      <c r="H97" s="638" t="str">
        <f>+Ammortamento_Finanziario!K4</f>
        <v>NO</v>
      </c>
      <c r="I97" s="827"/>
      <c r="J97" s="1919"/>
      <c r="O97" s="638"/>
      <c r="P97" s="638"/>
      <c r="Q97" s="638"/>
      <c r="R97" s="638"/>
      <c r="S97" s="638"/>
      <c r="T97" s="638"/>
      <c r="U97" s="827"/>
      <c r="AA97"/>
    </row>
    <row r="98" spans="1:27" ht="15.75">
      <c r="A98" s="562" t="s">
        <v>25473</v>
      </c>
      <c r="B98" s="684" t="s">
        <v>30585</v>
      </c>
      <c r="C98" s="638">
        <f>Dati_Anni_precedenti!E92</f>
        <v>0</v>
      </c>
      <c r="D98" s="638">
        <f>Dati_Anni_precedenti!F92</f>
        <v>0</v>
      </c>
      <c r="E98" s="638">
        <f>+FoNI!E122</f>
        <v>0</v>
      </c>
      <c r="F98" s="638">
        <f>+FoNI!F122</f>
        <v>0</v>
      </c>
      <c r="G98" s="638">
        <f>+FoNI!G122</f>
        <v>0</v>
      </c>
      <c r="H98" s="638">
        <f>+FoNI!H122</f>
        <v>0</v>
      </c>
      <c r="I98" s="827"/>
      <c r="J98" s="1919"/>
      <c r="O98" s="638" t="b">
        <f t="shared" ref="O98:T98" si="30">+IF(ISNUMBER(C98),FALSE,TRUE)</f>
        <v>0</v>
      </c>
      <c r="P98" s="638" t="b">
        <f t="shared" si="30"/>
        <v>0</v>
      </c>
      <c r="Q98" s="638" t="b">
        <f t="shared" si="30"/>
        <v>0</v>
      </c>
      <c r="R98" s="638" t="b">
        <f t="shared" si="30"/>
        <v>0</v>
      </c>
      <c r="S98" s="638" t="b">
        <f t="shared" si="30"/>
        <v>0</v>
      </c>
      <c r="T98" s="638" t="b">
        <f t="shared" si="30"/>
        <v>0</v>
      </c>
      <c r="U98" s="827"/>
      <c r="AA98"/>
    </row>
    <row r="99" spans="1:27">
      <c r="B99" s="561"/>
      <c r="J99" s="561"/>
      <c r="K99" s="561"/>
      <c r="AA99"/>
    </row>
    <row r="100" spans="1:27" ht="12.75" customHeight="1">
      <c r="A100" s="2460"/>
      <c r="B100" s="2461"/>
      <c r="C100" s="2460"/>
      <c r="D100" s="2460"/>
      <c r="E100" s="2460"/>
      <c r="F100" s="2460"/>
      <c r="G100" s="2460"/>
      <c r="H100" s="2460"/>
      <c r="I100" s="1655"/>
      <c r="O100" s="2460"/>
      <c r="P100" s="2460"/>
      <c r="Q100" s="2460"/>
      <c r="R100" s="2460"/>
      <c r="S100" s="2460"/>
      <c r="T100" s="2460"/>
      <c r="U100" s="1655"/>
      <c r="AA100"/>
    </row>
    <row r="101" spans="1:27" customFormat="1" ht="12.75" customHeight="1">
      <c r="B101" s="565"/>
    </row>
    <row r="102" spans="1:27" customFormat="1" ht="12.75" customHeight="1">
      <c r="B102" s="565"/>
    </row>
    <row r="103" spans="1:27" customFormat="1" ht="12.75" customHeight="1">
      <c r="B103" s="565"/>
    </row>
    <row r="104" spans="1:27" customFormat="1" ht="12.75" customHeight="1">
      <c r="B104" s="565"/>
    </row>
    <row r="105" spans="1:27" customFormat="1" ht="12.75" customHeight="1">
      <c r="B105" s="565"/>
    </row>
    <row r="106" spans="1:27" customFormat="1" ht="12.75" customHeight="1">
      <c r="B106" s="565"/>
    </row>
    <row r="107" spans="1:27" customFormat="1" ht="22.5" customHeight="1">
      <c r="A107" s="562" t="s">
        <v>30580</v>
      </c>
      <c r="B107" s="1279" t="s">
        <v>30581</v>
      </c>
      <c r="C107" s="638">
        <f t="shared" ref="C107:H107" si="31">+SUM(C23:C26,C30:C32,C33:C46,C47,C48,C50:C55,C56,C58,C59:C60,C63:C67,C96)</f>
        <v>0</v>
      </c>
      <c r="D107" s="638">
        <f t="shared" si="31"/>
        <v>0</v>
      </c>
      <c r="E107" s="638">
        <f t="shared" ca="1" si="31"/>
        <v>0</v>
      </c>
      <c r="F107" s="638">
        <f t="shared" ca="1" si="31"/>
        <v>0</v>
      </c>
      <c r="G107" s="638">
        <f t="shared" ca="1" si="31"/>
        <v>0</v>
      </c>
      <c r="H107" s="638">
        <f t="shared" ca="1" si="31"/>
        <v>0</v>
      </c>
      <c r="I107" s="827"/>
      <c r="J107" s="1919" t="s">
        <v>30579</v>
      </c>
      <c r="O107" s="638" t="b">
        <f ca="1">+IF(ABS(E108)&lt;5,FALSE,TRUE)</f>
        <v>0</v>
      </c>
      <c r="P107" s="638" t="b">
        <f ca="1">+IF(ABS(F108)&lt;5,FALSE,TRUE)</f>
        <v>0</v>
      </c>
      <c r="Q107" s="638" t="b">
        <f>+IF(ABS(C108)&lt;5,FALSE,TRUE)</f>
        <v>0</v>
      </c>
      <c r="R107" s="638" t="b">
        <f>+IF(ABS(D108)&lt;5,FALSE,TRUE)</f>
        <v>0</v>
      </c>
      <c r="S107" s="638" t="b">
        <f t="shared" ref="S107:T107" ca="1" si="32">+IF(ABS(G108)&lt;5,FALSE,TRUE)</f>
        <v>0</v>
      </c>
      <c r="T107" s="638" t="b">
        <f t="shared" ca="1" si="32"/>
        <v>0</v>
      </c>
      <c r="U107" s="827"/>
    </row>
    <row r="108" spans="1:27" customFormat="1" ht="22.5" customHeight="1">
      <c r="B108" s="565"/>
      <c r="C108" s="1928">
        <f t="shared" ref="C108:H108" si="33">+C107-C16</f>
        <v>0</v>
      </c>
      <c r="D108" s="1928">
        <f t="shared" si="33"/>
        <v>0</v>
      </c>
      <c r="E108" s="1928">
        <f t="shared" ca="1" si="33"/>
        <v>0</v>
      </c>
      <c r="F108" s="1928">
        <f t="shared" ca="1" si="33"/>
        <v>0</v>
      </c>
      <c r="G108" s="1928">
        <f t="shared" ca="1" si="33"/>
        <v>0</v>
      </c>
      <c r="H108" s="1928">
        <f t="shared" ca="1" si="33"/>
        <v>0</v>
      </c>
      <c r="O108" s="1928"/>
      <c r="P108" s="1928"/>
      <c r="Q108" s="1928"/>
      <c r="R108" s="1928"/>
      <c r="S108" s="1928"/>
      <c r="T108" s="1928"/>
    </row>
    <row r="109" spans="1:27" customFormat="1" ht="30" customHeight="1">
      <c r="B109" s="565"/>
    </row>
    <row r="110" spans="1:27" customFormat="1" ht="30" customHeight="1">
      <c r="B110" s="565"/>
    </row>
    <row r="111" spans="1:27" customFormat="1" ht="31.5" customHeight="1">
      <c r="B111" s="565"/>
    </row>
    <row r="112" spans="1:27" customFormat="1" ht="31.5" customHeight="1">
      <c r="B112" s="565"/>
    </row>
    <row r="113" spans="2:2" customFormat="1" ht="22.5" customHeight="1">
      <c r="B113" s="565"/>
    </row>
    <row r="114" spans="2:2" customFormat="1" ht="22.5" customHeight="1">
      <c r="B114" s="565"/>
    </row>
    <row r="115" spans="2:2" customFormat="1" ht="22.5" customHeight="1">
      <c r="B115" s="565"/>
    </row>
    <row r="116" spans="2:2" customFormat="1" ht="22.5" customHeight="1">
      <c r="B116" s="565"/>
    </row>
    <row r="117" spans="2:2" customFormat="1" ht="22.5" customHeight="1">
      <c r="B117" s="565"/>
    </row>
    <row r="118" spans="2:2" customFormat="1" ht="22.5" customHeight="1">
      <c r="B118" s="565"/>
    </row>
    <row r="119" spans="2:2" customFormat="1" ht="22.5" customHeight="1">
      <c r="B119" s="565"/>
    </row>
    <row r="120" spans="2:2" customFormat="1" ht="22.5" customHeight="1">
      <c r="B120" s="565"/>
    </row>
    <row r="121" spans="2:2" customFormat="1" ht="22.5" customHeight="1">
      <c r="B121" s="565"/>
    </row>
    <row r="122" spans="2:2" customFormat="1" ht="22.5" customHeight="1">
      <c r="B122" s="565"/>
    </row>
    <row r="123" spans="2:2" customFormat="1">
      <c r="B123" s="565"/>
    </row>
    <row r="124" spans="2:2" customFormat="1">
      <c r="B124" s="565"/>
    </row>
    <row r="125" spans="2:2" customFormat="1">
      <c r="B125" s="565"/>
    </row>
    <row r="126" spans="2:2" customFormat="1">
      <c r="B126" s="565"/>
    </row>
    <row r="127" spans="2:2" customFormat="1">
      <c r="B127" s="565"/>
    </row>
  </sheetData>
  <sheetProtection algorithmName="SHA-512" hashValue="gJGYUc1PZjmP9YrcboPpSVQImXwPSXk5Ojt52CJSFYb+7qg/Py5T3yQBpOP1OXsDccW0hBltqN4lzFc2R1Wu1Q==" saltValue="l4bZ+H9QoGVT4JOXtrvIPA==" spinCount="100000" sheet="1" objects="1" scenarios="1"/>
  <customSheetViews>
    <customSheetView guid="{849F61E1-F6D3-48F4-A6FF-68F8FE186D80}" scale="85" showGridLines="0" hiddenColumns="1">
      <pane ySplit="3" topLeftCell="A35" activePane="bottomLeft" state="frozen"/>
      <selection pane="bottomLeft"/>
      <pageMargins left="0.7" right="0.7" top="0.75" bottom="0.75" header="0.3" footer="0.3"/>
      <pageSetup paperSize="9" orientation="portrait" r:id="rId1"/>
    </customSheetView>
    <customSheetView guid="{83029BA9-344F-4783-B8F2-6704FB40A582}" scale="85" showGridLines="0" hiddenColumns="1">
      <pane ySplit="3" topLeftCell="A20" activePane="bottomLeft" state="frozen"/>
      <selection pane="bottomLeft" activeCell="F20" sqref="F20"/>
      <pageMargins left="0.7" right="0.7" top="0.75" bottom="0.75" header="0.3" footer="0.3"/>
      <pageSetup paperSize="9" orientation="portrait" r:id="rId2"/>
    </customSheetView>
  </customSheetViews>
  <dataValidations count="1">
    <dataValidation type="list" allowBlank="1" showInputMessage="1" showErrorMessage="1" sqref="C97:H97" xr:uid="{60C987DB-F76E-429B-9CEF-035E74BA395F}">
      <formula1>si_no</formula1>
    </dataValidation>
  </dataValidations>
  <pageMargins left="0.7" right="0.7" top="0.75" bottom="0.75" header="0.3" footer="0.3"/>
  <pageSetup paperSize="9" orientation="portrait" r:id="rId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Foglio48">
    <tabColor rgb="FF92CDDC"/>
    <pageSetUpPr fitToPage="1"/>
  </sheetPr>
  <dimension ref="A2:AS106"/>
  <sheetViews>
    <sheetView showGridLines="0" zoomScale="85" zoomScaleNormal="85" workbookViewId="0"/>
  </sheetViews>
  <sheetFormatPr defaultColWidth="8.5703125" defaultRowHeight="12.75"/>
  <cols>
    <col min="1" max="1" width="4" style="254" customWidth="1"/>
    <col min="2" max="2" width="2.42578125" style="254" customWidth="1"/>
    <col min="3" max="3" width="59.42578125" style="255" customWidth="1"/>
    <col min="4" max="4" width="14.42578125" style="255" bestFit="1" customWidth="1"/>
    <col min="5" max="6" width="15.5703125" style="255" customWidth="1"/>
    <col min="7" max="7" width="15.5703125" style="257" customWidth="1"/>
    <col min="8" max="8" width="15.5703125" style="255" customWidth="1"/>
    <col min="9" max="9" width="15.5703125" style="257" customWidth="1"/>
    <col min="10" max="10" width="15.5703125" style="255" customWidth="1"/>
    <col min="11" max="12" width="15.5703125" style="257" customWidth="1"/>
    <col min="13" max="13" width="15.5703125" style="255" customWidth="1"/>
    <col min="14" max="14" width="15.5703125" style="257" customWidth="1"/>
    <col min="15" max="15" width="15.5703125" style="255" customWidth="1"/>
    <col min="16" max="17" width="15.5703125" style="257" customWidth="1"/>
    <col min="18" max="18" width="15.5703125" style="255" customWidth="1"/>
    <col min="19" max="19" width="15.5703125" style="257" customWidth="1"/>
    <col min="20" max="20" width="15.5703125" style="255" customWidth="1"/>
    <col min="21" max="21" width="15.5703125" style="257" customWidth="1"/>
    <col min="22" max="22" width="15.5703125" style="255" customWidth="1"/>
    <col min="23" max="23" width="15.5703125" style="257" customWidth="1"/>
    <col min="24" max="24" width="15.5703125" style="255" customWidth="1"/>
    <col min="25" max="25" width="15.5703125" style="257" customWidth="1"/>
    <col min="26" max="26" width="15.5703125" style="255" customWidth="1"/>
    <col min="27" max="27" width="15.5703125" style="257" customWidth="1"/>
    <col min="28" max="44" width="15.5703125" style="255" customWidth="1"/>
    <col min="45" max="16384" width="8.5703125" style="254"/>
  </cols>
  <sheetData>
    <row r="2" spans="2:45" ht="29.25" customHeight="1">
      <c r="C2" s="258" t="s">
        <v>22738</v>
      </c>
      <c r="F2"/>
      <c r="G2"/>
      <c r="H2"/>
      <c r="I2"/>
    </row>
    <row r="3" spans="2:45" ht="15">
      <c r="C3" s="260" t="s">
        <v>22739</v>
      </c>
      <c r="D3" s="260"/>
      <c r="E3" s="260"/>
      <c r="G3" s="260"/>
      <c r="H3"/>
      <c r="I3"/>
      <c r="J3" s="261"/>
      <c r="K3" s="261"/>
      <c r="L3" s="261"/>
      <c r="M3" s="261"/>
      <c r="N3" s="261"/>
      <c r="O3" s="261"/>
      <c r="P3" s="261"/>
      <c r="Q3" s="261"/>
      <c r="R3" s="261"/>
      <c r="S3" s="261"/>
      <c r="T3" s="261"/>
      <c r="U3" s="261"/>
      <c r="V3" s="261"/>
      <c r="W3" s="261"/>
      <c r="X3" s="261"/>
      <c r="Y3" s="261"/>
      <c r="Z3" s="261"/>
      <c r="AA3" s="261"/>
      <c r="AB3" s="261"/>
      <c r="AD3" s="261"/>
      <c r="AE3" s="261"/>
      <c r="AF3" s="261"/>
      <c r="AG3" s="261"/>
      <c r="AH3" s="261"/>
      <c r="AI3" s="261"/>
      <c r="AJ3" s="261"/>
      <c r="AK3" s="261"/>
      <c r="AL3" s="261"/>
      <c r="AM3" s="261"/>
      <c r="AN3" s="261"/>
      <c r="AO3" s="261"/>
      <c r="AP3" s="261"/>
      <c r="AQ3" s="261"/>
      <c r="AR3" s="261"/>
    </row>
    <row r="4" spans="2:45" s="262" customFormat="1" ht="3" hidden="1" customHeight="1">
      <c r="C4" s="256"/>
      <c r="D4" s="256"/>
      <c r="E4" s="256"/>
      <c r="G4"/>
      <c r="L4" s="261"/>
      <c r="M4" s="261"/>
      <c r="N4" s="261"/>
      <c r="O4" s="261"/>
      <c r="P4" s="261"/>
      <c r="Q4" s="261"/>
      <c r="R4" s="261"/>
      <c r="S4" s="261"/>
      <c r="T4" s="261"/>
      <c r="U4" s="261"/>
      <c r="V4" s="261"/>
      <c r="W4" s="261"/>
      <c r="X4" s="261"/>
      <c r="Y4" s="261"/>
      <c r="Z4" s="261"/>
      <c r="AA4" s="261"/>
      <c r="AB4" s="261"/>
      <c r="AC4" s="255"/>
      <c r="AD4" s="261"/>
      <c r="AE4" s="261"/>
      <c r="AF4" s="261"/>
      <c r="AG4" s="261"/>
      <c r="AH4" s="261"/>
      <c r="AI4" s="261"/>
      <c r="AJ4" s="261"/>
      <c r="AK4" s="261"/>
      <c r="AL4" s="261"/>
      <c r="AM4" s="261"/>
      <c r="AN4" s="261"/>
      <c r="AO4" s="261"/>
      <c r="AP4" s="261"/>
      <c r="AQ4" s="261"/>
      <c r="AR4" s="261"/>
    </row>
    <row r="5" spans="2:45" s="262" customFormat="1" ht="15">
      <c r="C5" s="256"/>
      <c r="D5" s="263" t="s">
        <v>22740</v>
      </c>
      <c r="E5" s="2421" t="s">
        <v>30528</v>
      </c>
      <c r="G5" s="2421" t="s">
        <v>31409</v>
      </c>
      <c r="H5"/>
      <c r="I5"/>
      <c r="J5"/>
      <c r="K5"/>
      <c r="L5"/>
      <c r="M5"/>
      <c r="N5"/>
      <c r="O5"/>
      <c r="P5"/>
      <c r="Q5"/>
      <c r="R5"/>
      <c r="S5"/>
      <c r="T5"/>
      <c r="U5"/>
      <c r="V5"/>
      <c r="W5"/>
      <c r="X5"/>
      <c r="Y5"/>
      <c r="Z5"/>
      <c r="AA5"/>
      <c r="AB5"/>
      <c r="AC5"/>
      <c r="AD5"/>
      <c r="AE5"/>
      <c r="AF5"/>
      <c r="AG5"/>
      <c r="AH5"/>
      <c r="AI5"/>
      <c r="AJ5"/>
      <c r="AK5"/>
      <c r="AL5"/>
      <c r="AM5"/>
      <c r="AN5"/>
      <c r="AO5"/>
      <c r="AP5"/>
      <c r="AQ5"/>
      <c r="AR5"/>
      <c r="AS5"/>
    </row>
    <row r="6" spans="2:45" ht="15">
      <c r="B6" s="262"/>
      <c r="C6" s="264" t="s">
        <v>30486</v>
      </c>
      <c r="D6" s="265" t="s">
        <v>22742</v>
      </c>
      <c r="E6" s="82">
        <f>Storico_Piano_Tariffario!E6</f>
        <v>0</v>
      </c>
      <c r="G6" s="82" t="str">
        <f>IF(Input_per_calcoli_finali!O55&lt;&gt;"Schema regolatorio","",Framework_schemi!$C$76)</f>
        <v/>
      </c>
      <c r="H6"/>
      <c r="I6"/>
      <c r="L6" s="261"/>
      <c r="M6" s="261"/>
      <c r="N6" s="261"/>
      <c r="O6" s="261"/>
      <c r="P6" s="261"/>
      <c r="Q6" s="261"/>
      <c r="R6" s="261"/>
      <c r="S6" s="261"/>
      <c r="T6" s="261"/>
      <c r="U6" s="261"/>
      <c r="V6" s="261"/>
      <c r="W6" s="261"/>
      <c r="X6" s="261"/>
      <c r="Y6" s="261"/>
      <c r="Z6" s="261"/>
      <c r="AA6" s="261"/>
      <c r="AB6" s="261"/>
      <c r="AD6" s="261"/>
      <c r="AE6" s="261"/>
      <c r="AF6" s="261"/>
      <c r="AG6" s="261"/>
      <c r="AH6" s="261"/>
      <c r="AI6" s="261"/>
      <c r="AJ6" s="261"/>
      <c r="AK6" s="261"/>
      <c r="AL6" s="261"/>
      <c r="AM6" s="261"/>
      <c r="AN6" s="261"/>
      <c r="AO6" s="261"/>
      <c r="AP6" s="261"/>
      <c r="AQ6" s="261"/>
      <c r="AR6" s="261"/>
    </row>
    <row r="7" spans="2:45" ht="15.75">
      <c r="B7" s="262"/>
      <c r="C7" s="264" t="s">
        <v>30596</v>
      </c>
      <c r="D7" s="265" t="s">
        <v>24764</v>
      </c>
      <c r="E7" s="82">
        <f>Storico_Piano_Tariffario!E7</f>
        <v>0</v>
      </c>
      <c r="G7" s="82" t="str">
        <f>IF(Input_per_calcoli_finali!O55&lt;&gt;"Schema regolatorio","",Framework_schemi!$C$77)</f>
        <v/>
      </c>
      <c r="H7"/>
      <c r="I7"/>
      <c r="L7" s="261"/>
      <c r="M7" s="261"/>
      <c r="N7" s="261"/>
      <c r="O7" s="261"/>
      <c r="P7" s="261"/>
      <c r="Q7" s="261"/>
      <c r="R7" s="261"/>
      <c r="S7" s="261"/>
      <c r="T7" s="261"/>
      <c r="U7" s="261"/>
      <c r="V7" s="261"/>
      <c r="W7" s="261"/>
      <c r="X7" s="261"/>
      <c r="Y7" s="261"/>
      <c r="Z7" s="261"/>
      <c r="AA7" s="261"/>
      <c r="AB7" s="261"/>
      <c r="AD7" s="261"/>
      <c r="AE7" s="261"/>
      <c r="AF7" s="261"/>
      <c r="AG7" s="261"/>
      <c r="AH7" s="261"/>
      <c r="AI7" s="261"/>
      <c r="AJ7" s="261"/>
      <c r="AK7" s="261"/>
      <c r="AL7" s="261"/>
      <c r="AM7" s="261"/>
      <c r="AN7" s="261"/>
      <c r="AO7" s="261"/>
      <c r="AP7" s="261"/>
      <c r="AQ7" s="261"/>
      <c r="AR7" s="261"/>
    </row>
    <row r="8" spans="2:45" s="261" customFormat="1" ht="45" customHeight="1">
      <c r="B8" s="262"/>
      <c r="C8" s="266"/>
      <c r="D8" s="267" t="s">
        <v>22743</v>
      </c>
      <c r="E8" s="376">
        <f>Storico_Piano_Tariffario!E8</f>
        <v>0</v>
      </c>
      <c r="G8" s="376" t="str">
        <f>+IFERROR(IF((E6/E7)&lt;=149,"SI","NO"),"")</f>
        <v/>
      </c>
      <c r="AC8" s="255"/>
    </row>
    <row r="9" spans="2:45" ht="50.1" customHeight="1">
      <c r="B9" s="262"/>
      <c r="C9" s="268" t="s">
        <v>27043</v>
      </c>
      <c r="D9" s="267" t="s">
        <v>22743</v>
      </c>
      <c r="E9" s="376">
        <f>Storico_Piano_Tariffario!E9</f>
        <v>0</v>
      </c>
      <c r="G9" s="376" t="str">
        <f>IF(Input_per_calcoli_finali!O55&lt;&gt;"Schema regolatorio","",Framework_schemi!C75)</f>
        <v/>
      </c>
      <c r="H9" s="261"/>
      <c r="I9" s="261"/>
      <c r="J9" s="261"/>
      <c r="K9" s="261"/>
      <c r="L9" s="261"/>
      <c r="M9" s="261"/>
      <c r="N9" s="261"/>
      <c r="O9" s="261"/>
      <c r="P9" s="261"/>
      <c r="Q9" s="261"/>
      <c r="R9" s="261"/>
      <c r="S9" s="261"/>
      <c r="T9" s="261"/>
      <c r="U9" s="261"/>
      <c r="V9" s="261"/>
      <c r="W9" s="261"/>
      <c r="X9" s="261"/>
      <c r="Y9" s="261"/>
      <c r="Z9" s="261"/>
      <c r="AA9" s="261"/>
      <c r="AB9" s="261"/>
      <c r="AD9" s="261"/>
      <c r="AE9" s="261"/>
      <c r="AF9" s="261"/>
      <c r="AG9" s="261"/>
      <c r="AH9" s="261"/>
      <c r="AI9" s="261"/>
      <c r="AJ9" s="261"/>
      <c r="AK9" s="261"/>
      <c r="AL9" s="261"/>
      <c r="AM9" s="261"/>
      <c r="AN9" s="261"/>
      <c r="AO9" s="261"/>
      <c r="AP9" s="261"/>
      <c r="AQ9" s="261"/>
      <c r="AR9" s="261"/>
    </row>
    <row r="10" spans="2:45" ht="27" customHeight="1">
      <c r="B10" s="262"/>
      <c r="C10" s="1297"/>
      <c r="D10" s="265" t="s">
        <v>22742</v>
      </c>
      <c r="E10" s="241">
        <f>Storico_Piano_Tariffario!E10</f>
        <v>0</v>
      </c>
      <c r="G10" s="241">
        <f ca="1">Framework_schemi!$C$66</f>
        <v>0</v>
      </c>
      <c r="H10"/>
      <c r="I10"/>
      <c r="J10" s="261"/>
      <c r="K10" s="261"/>
      <c r="L10" s="261"/>
      <c r="M10" s="261"/>
      <c r="N10" s="261"/>
      <c r="O10" s="261"/>
      <c r="P10" s="261"/>
      <c r="Q10" s="261"/>
      <c r="R10" s="261"/>
      <c r="S10" s="261"/>
      <c r="T10" s="261"/>
      <c r="U10" s="261"/>
      <c r="V10" s="261"/>
      <c r="W10" s="261"/>
      <c r="X10" s="261"/>
      <c r="Y10" s="261"/>
      <c r="Z10" s="261"/>
      <c r="AA10" s="261"/>
      <c r="AB10" s="261"/>
      <c r="AD10" s="261"/>
      <c r="AE10" s="261"/>
      <c r="AF10" s="261"/>
      <c r="AG10" s="261"/>
      <c r="AH10" s="261"/>
      <c r="AI10" s="261"/>
      <c r="AJ10" s="261"/>
      <c r="AK10" s="261"/>
      <c r="AL10" s="261"/>
      <c r="AM10" s="261"/>
      <c r="AN10" s="261"/>
      <c r="AO10" s="261"/>
      <c r="AP10" s="261"/>
      <c r="AQ10" s="261"/>
      <c r="AR10" s="261"/>
    </row>
    <row r="11" spans="2:45" s="261" customFormat="1" ht="16.5" customHeight="1">
      <c r="B11" s="262"/>
      <c r="C11" s="269" t="s">
        <v>30487</v>
      </c>
      <c r="D11" s="265" t="s">
        <v>22742</v>
      </c>
      <c r="E11" s="82">
        <f>Storico_Piano_Tariffario!E11</f>
        <v>0</v>
      </c>
      <c r="G11" s="82">
        <f>+Framework_schemi!C67</f>
        <v>0</v>
      </c>
      <c r="H11"/>
      <c r="I11"/>
      <c r="AC11" s="255"/>
    </row>
    <row r="12" spans="2:45" ht="50.1" customHeight="1">
      <c r="B12" s="262"/>
      <c r="C12" s="270"/>
      <c r="D12" s="267" t="s">
        <v>22743</v>
      </c>
      <c r="E12" s="376">
        <f>Storico_Piano_Tariffario!E12</f>
        <v>0</v>
      </c>
      <c r="G12" s="376" t="str">
        <f ca="1">+IF(Framework_schemi!C70="","",IF(Framework_schemi!C70=1,"SI","NO"))</f>
        <v/>
      </c>
      <c r="H12"/>
      <c r="I12"/>
      <c r="J12" s="209"/>
      <c r="K12" s="261"/>
      <c r="L12" s="261"/>
      <c r="M12" s="209"/>
      <c r="N12" s="261"/>
      <c r="O12" s="209"/>
      <c r="P12" s="261"/>
      <c r="Q12" s="261"/>
      <c r="R12" s="209"/>
      <c r="S12" s="261"/>
      <c r="T12" s="209"/>
      <c r="U12" s="261"/>
      <c r="V12" s="209"/>
      <c r="W12" s="261"/>
      <c r="X12" s="209"/>
      <c r="Y12" s="261"/>
      <c r="Z12" s="209"/>
      <c r="AA12" s="261"/>
      <c r="AB12" s="209"/>
      <c r="AD12" s="261"/>
      <c r="AE12" s="261"/>
      <c r="AF12" s="261"/>
      <c r="AG12" s="261"/>
      <c r="AH12" s="261"/>
      <c r="AI12" s="261"/>
      <c r="AJ12" s="261"/>
      <c r="AK12" s="261"/>
      <c r="AL12" s="261"/>
      <c r="AM12" s="261"/>
      <c r="AN12" s="261"/>
      <c r="AO12" s="261"/>
      <c r="AP12" s="261"/>
      <c r="AQ12" s="261"/>
      <c r="AR12" s="261"/>
    </row>
    <row r="13" spans="2:45" s="261" customFormat="1" ht="66.75" customHeight="1">
      <c r="B13" s="262"/>
      <c r="C13" s="271" t="s">
        <v>27042</v>
      </c>
      <c r="D13" s="272" t="s">
        <v>24802</v>
      </c>
      <c r="E13" s="694">
        <f>Storico_Piano_Tariffario!E13</f>
        <v>0</v>
      </c>
      <c r="G13" s="694" t="str">
        <f>+IF(mti_4="","",mti_4)</f>
        <v/>
      </c>
      <c r="AC13" s="255"/>
    </row>
    <row r="14" spans="2:45" s="261" customFormat="1" ht="24.75" customHeight="1">
      <c r="B14" s="262"/>
      <c r="C14" s="273" t="s">
        <v>22876</v>
      </c>
      <c r="D14" s="265" t="s">
        <v>24765</v>
      </c>
      <c r="E14" s="716">
        <f>Storico_Piano_Tariffario!E14</f>
        <v>0</v>
      </c>
      <c r="G14" s="716" t="str">
        <f>+IF(Input_per_calcoli_finali!O55&lt;&gt;"Schema regolatorio","",Input_per_calcoli_finali!$K$51)</f>
        <v/>
      </c>
      <c r="AC14" s="255"/>
    </row>
    <row r="15" spans="2:45" s="261" customFormat="1">
      <c r="B15" s="262"/>
      <c r="C15" s="274" t="s">
        <v>173</v>
      </c>
      <c r="D15" s="275" t="s">
        <v>22874</v>
      </c>
      <c r="E15" s="83">
        <f>Storico_Piano_Tariffario!E15</f>
        <v>0</v>
      </c>
      <c r="G15" s="83" t="str">
        <f>+IF(Input_per_calcoli_finali!O55&lt;&gt;"Schema regolatorio","",IF(OR(schema="I",schema="II",schema="III",schema="IV",schema="V",schema="VI"),schema,""))</f>
        <v/>
      </c>
      <c r="H15" s="715"/>
      <c r="I15" s="10"/>
      <c r="J15" s="10"/>
      <c r="AC15" s="255"/>
    </row>
    <row r="16" spans="2:45" s="10" customFormat="1" ht="7.5" customHeight="1">
      <c r="E16" s="255"/>
    </row>
    <row r="17" spans="1:44" s="10" customFormat="1" ht="7.5" customHeight="1"/>
    <row r="18" spans="1:44" customFormat="1" ht="7.5" customHeight="1">
      <c r="D18" s="10"/>
    </row>
    <row r="19" spans="1:44" s="10" customFormat="1" ht="7.5" customHeight="1"/>
    <row r="20" spans="1:44" ht="15.75" customHeight="1">
      <c r="C20" s="260" t="s">
        <v>25130</v>
      </c>
      <c r="D20" s="260"/>
      <c r="E20" s="260"/>
      <c r="F20" s="260"/>
      <c r="G20" s="260"/>
      <c r="H20" s="260"/>
      <c r="I20" s="260"/>
      <c r="J20" s="260"/>
      <c r="K20" s="260"/>
      <c r="L20" s="260"/>
      <c r="M20" s="260"/>
      <c r="N20" s="260"/>
      <c r="O20" s="260"/>
      <c r="P20" s="260"/>
      <c r="Q20" s="260"/>
      <c r="R20" s="260"/>
      <c r="S20" s="260"/>
      <c r="T20" s="260"/>
      <c r="U20" s="260"/>
      <c r="V20" s="260"/>
      <c r="W20" s="260"/>
      <c r="X20" s="260"/>
      <c r="Y20" s="260"/>
      <c r="Z20" s="260"/>
      <c r="AA20" s="260"/>
      <c r="AB20" s="260"/>
      <c r="AC20" s="260"/>
      <c r="AD20" s="260"/>
      <c r="AE20" s="260"/>
      <c r="AF20" s="260"/>
      <c r="AG20" s="260"/>
      <c r="AH20" s="260"/>
      <c r="AI20" s="260"/>
      <c r="AJ20" s="260"/>
      <c r="AK20" s="260"/>
      <c r="AL20" s="260"/>
      <c r="AM20" s="260"/>
      <c r="AN20" s="260"/>
      <c r="AO20" s="260"/>
      <c r="AP20" s="260"/>
      <c r="AQ20" s="260"/>
      <c r="AR20" s="260"/>
    </row>
    <row r="21" spans="1:44" s="377" customFormat="1">
      <c r="C21" s="378"/>
      <c r="D21" s="379" t="s">
        <v>22740</v>
      </c>
      <c r="E21" s="380" t="s">
        <v>29767</v>
      </c>
      <c r="F21" s="380" t="s">
        <v>29768</v>
      </c>
      <c r="G21" s="380" t="s">
        <v>29769</v>
      </c>
      <c r="H21" s="380" t="s">
        <v>29770</v>
      </c>
      <c r="I21" s="380" t="s">
        <v>29771</v>
      </c>
      <c r="J21" s="380" t="s">
        <v>29772</v>
      </c>
      <c r="K21" s="380" t="s">
        <v>29773</v>
      </c>
      <c r="L21" s="380" t="s">
        <v>29774</v>
      </c>
      <c r="M21" s="380" t="s">
        <v>29775</v>
      </c>
      <c r="N21" s="380" t="s">
        <v>29776</v>
      </c>
      <c r="O21" s="380" t="s">
        <v>29777</v>
      </c>
      <c r="P21" s="380" t="s">
        <v>29778</v>
      </c>
      <c r="Q21" s="380" t="s">
        <v>29779</v>
      </c>
      <c r="R21" s="380" t="s">
        <v>29780</v>
      </c>
      <c r="S21" s="380" t="s">
        <v>29781</v>
      </c>
      <c r="T21" s="380" t="s">
        <v>29782</v>
      </c>
      <c r="U21" s="380" t="s">
        <v>29783</v>
      </c>
      <c r="V21" s="380" t="s">
        <v>29784</v>
      </c>
      <c r="W21" s="380" t="s">
        <v>29785</v>
      </c>
      <c r="X21" s="380" t="s">
        <v>29786</v>
      </c>
      <c r="Y21" s="380" t="s">
        <v>29787</v>
      </c>
      <c r="Z21" s="380" t="s">
        <v>29788</v>
      </c>
      <c r="AA21" s="380" t="s">
        <v>29789</v>
      </c>
      <c r="AB21" s="380" t="s">
        <v>29790</v>
      </c>
      <c r="AC21" s="380" t="s">
        <v>29791</v>
      </c>
      <c r="AD21" s="380" t="s">
        <v>29792</v>
      </c>
      <c r="AE21" s="380" t="s">
        <v>29793</v>
      </c>
      <c r="AF21" s="380" t="s">
        <v>29794</v>
      </c>
      <c r="AG21" s="380" t="s">
        <v>29795</v>
      </c>
      <c r="AH21" s="380" t="s">
        <v>29796</v>
      </c>
      <c r="AI21" s="380" t="s">
        <v>29797</v>
      </c>
      <c r="AJ21" s="380" t="s">
        <v>29798</v>
      </c>
      <c r="AK21" s="380" t="s">
        <v>29799</v>
      </c>
      <c r="AL21" s="380" t="s">
        <v>29800</v>
      </c>
      <c r="AM21" s="380" t="s">
        <v>29801</v>
      </c>
      <c r="AN21" s="380" t="s">
        <v>29802</v>
      </c>
      <c r="AO21" s="380" t="s">
        <v>30388</v>
      </c>
      <c r="AP21" s="380" t="s">
        <v>30389</v>
      </c>
      <c r="AQ21" s="380" t="s">
        <v>30390</v>
      </c>
      <c r="AR21" s="380" t="s">
        <v>30391</v>
      </c>
    </row>
    <row r="22" spans="1:44" ht="15.75" customHeight="1">
      <c r="C22" s="269" t="s">
        <v>26995</v>
      </c>
      <c r="D22" s="265" t="s">
        <v>22742</v>
      </c>
      <c r="E22" s="84">
        <f>Storico_Piano_Tariffario!E22</f>
        <v>0</v>
      </c>
      <c r="F22" s="84">
        <f>Storico_Piano_Tariffario!F22</f>
        <v>0</v>
      </c>
      <c r="G22" s="84">
        <f>Opex!E11</f>
        <v>0</v>
      </c>
      <c r="H22" s="84">
        <f>Opex!F11</f>
        <v>0</v>
      </c>
      <c r="I22" s="84">
        <f>Opex!G11</f>
        <v>0</v>
      </c>
      <c r="J22" s="84">
        <f>Opex!H11</f>
        <v>0</v>
      </c>
      <c r="K22" s="84"/>
      <c r="L22" s="84"/>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c r="AL22" s="84"/>
      <c r="AM22" s="84"/>
      <c r="AN22" s="84"/>
      <c r="AO22" s="84"/>
      <c r="AP22" s="84"/>
      <c r="AQ22" s="84"/>
      <c r="AR22" s="84"/>
    </row>
    <row r="23" spans="1:44" ht="15.75" customHeight="1">
      <c r="C23" s="269" t="s">
        <v>26994</v>
      </c>
      <c r="D23" s="265" t="s">
        <v>22742</v>
      </c>
      <c r="E23" s="84">
        <f>Storico_Piano_Tariffario!E23</f>
        <v>0</v>
      </c>
      <c r="F23" s="84">
        <f>Storico_Piano_Tariffario!F23</f>
        <v>0</v>
      </c>
      <c r="G23" s="84">
        <f>Opex!E12</f>
        <v>0</v>
      </c>
      <c r="H23" s="84">
        <f>Opex!F12</f>
        <v>0</v>
      </c>
      <c r="I23" s="84">
        <f>Opex!G12</f>
        <v>0</v>
      </c>
      <c r="J23" s="84">
        <f>Opex!H12</f>
        <v>0</v>
      </c>
      <c r="K23" s="84"/>
      <c r="L23" s="84"/>
      <c r="M23" s="84"/>
      <c r="N23" s="84"/>
      <c r="O23" s="84"/>
      <c r="P23" s="84"/>
      <c r="Q23" s="84"/>
      <c r="R23" s="84"/>
      <c r="S23" s="84"/>
      <c r="T23" s="84"/>
      <c r="U23" s="84"/>
      <c r="V23" s="84"/>
      <c r="W23" s="84"/>
      <c r="X23" s="84"/>
      <c r="Y23" s="84"/>
      <c r="Z23" s="84"/>
      <c r="AA23" s="84"/>
      <c r="AB23" s="84"/>
      <c r="AC23" s="84"/>
      <c r="AD23" s="84"/>
      <c r="AE23" s="84"/>
      <c r="AF23" s="84"/>
      <c r="AG23" s="84"/>
      <c r="AH23" s="84"/>
      <c r="AI23" s="84"/>
      <c r="AJ23" s="84"/>
      <c r="AK23" s="84"/>
      <c r="AL23" s="84"/>
      <c r="AM23" s="84"/>
      <c r="AN23" s="84"/>
      <c r="AO23" s="84"/>
      <c r="AP23" s="84"/>
      <c r="AQ23" s="84"/>
      <c r="AR23" s="84"/>
    </row>
    <row r="24" spans="1:44" ht="15.75" customHeight="1">
      <c r="C24" s="269" t="s">
        <v>24820</v>
      </c>
      <c r="D24" s="265" t="s">
        <v>22742</v>
      </c>
      <c r="E24" s="84">
        <f>Storico_Piano_Tariffario!E24</f>
        <v>0</v>
      </c>
      <c r="F24" s="84">
        <f>Storico_Piano_Tariffario!F24</f>
        <v>0</v>
      </c>
      <c r="G24" s="84">
        <f>Opex!E67</f>
        <v>0</v>
      </c>
      <c r="H24" s="84">
        <f>Opex!F67</f>
        <v>0</v>
      </c>
      <c r="I24" s="84">
        <f>Opex!G67</f>
        <v>0</v>
      </c>
      <c r="J24" s="84">
        <f>Opex!H67</f>
        <v>0</v>
      </c>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c r="AL24" s="84"/>
      <c r="AM24" s="84"/>
      <c r="AN24" s="84"/>
      <c r="AO24" s="84"/>
      <c r="AP24" s="84"/>
      <c r="AQ24" s="84"/>
      <c r="AR24" s="84"/>
    </row>
    <row r="25" spans="1:44" ht="15.75" customHeight="1">
      <c r="A25" s="929"/>
      <c r="C25" s="1485" t="s">
        <v>28853</v>
      </c>
      <c r="D25" s="265" t="s">
        <v>22742</v>
      </c>
      <c r="E25" s="84">
        <f>Storico_Piano_Tariffario!E25</f>
        <v>0</v>
      </c>
      <c r="F25" s="84">
        <f>Storico_Piano_Tariffario!F25</f>
        <v>0</v>
      </c>
      <c r="G25" s="84">
        <f ca="1">Opex!E68</f>
        <v>0</v>
      </c>
      <c r="H25" s="84">
        <f ca="1">Opex!F68</f>
        <v>0</v>
      </c>
      <c r="I25" s="84">
        <f ca="1">Opex!G68</f>
        <v>0</v>
      </c>
      <c r="J25" s="84">
        <f ca="1">Opex!H68</f>
        <v>0</v>
      </c>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c r="AL25" s="84"/>
      <c r="AM25" s="84"/>
      <c r="AN25" s="84"/>
      <c r="AO25" s="84"/>
      <c r="AP25" s="84"/>
      <c r="AQ25" s="84"/>
      <c r="AR25" s="84"/>
    </row>
    <row r="26" spans="1:44" ht="15.75" customHeight="1">
      <c r="C26" s="269" t="s">
        <v>24741</v>
      </c>
      <c r="D26" s="265" t="s">
        <v>22742</v>
      </c>
      <c r="E26" s="84">
        <f>Storico_Piano_Tariffario!E26</f>
        <v>0</v>
      </c>
      <c r="F26" s="84">
        <f>Storico_Piano_Tariffario!F26</f>
        <v>0</v>
      </c>
      <c r="G26" s="84">
        <f>Opex!E69</f>
        <v>0</v>
      </c>
      <c r="H26" s="84">
        <f>Opex!F69</f>
        <v>0</v>
      </c>
      <c r="I26" s="84">
        <f>Opex!G69</f>
        <v>0</v>
      </c>
      <c r="J26" s="84">
        <f>Opex!H69</f>
        <v>0</v>
      </c>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c r="AL26" s="84"/>
      <c r="AM26" s="84"/>
      <c r="AN26" s="84"/>
      <c r="AO26" s="84"/>
      <c r="AP26" s="84"/>
      <c r="AQ26" s="84"/>
      <c r="AR26" s="84"/>
    </row>
    <row r="27" spans="1:44" ht="15.75" customHeight="1">
      <c r="C27" s="1485" t="s">
        <v>28854</v>
      </c>
      <c r="D27" s="265" t="s">
        <v>22742</v>
      </c>
      <c r="E27" s="84">
        <f>Storico_Piano_Tariffario!E27</f>
        <v>0</v>
      </c>
      <c r="F27" s="84">
        <f>Storico_Piano_Tariffario!F27</f>
        <v>0</v>
      </c>
      <c r="G27" s="84">
        <f>Opex!E70</f>
        <v>0</v>
      </c>
      <c r="H27" s="84">
        <f>Opex!F70</f>
        <v>0</v>
      </c>
      <c r="I27" s="84">
        <f>Opex!G70</f>
        <v>0</v>
      </c>
      <c r="J27" s="84">
        <f>Opex!H70</f>
        <v>0</v>
      </c>
      <c r="K27" s="84"/>
      <c r="L27" s="84"/>
      <c r="M27" s="84"/>
      <c r="N27" s="84"/>
      <c r="O27" s="84"/>
      <c r="P27" s="84"/>
      <c r="Q27" s="84"/>
      <c r="R27" s="84"/>
      <c r="S27" s="84"/>
      <c r="T27" s="84"/>
      <c r="U27" s="84"/>
      <c r="V27" s="84"/>
      <c r="W27" s="84"/>
      <c r="X27" s="84"/>
      <c r="Y27" s="84"/>
      <c r="Z27" s="84"/>
      <c r="AA27" s="84"/>
      <c r="AB27" s="84"/>
      <c r="AC27" s="84"/>
      <c r="AD27" s="84"/>
      <c r="AE27" s="84"/>
      <c r="AF27" s="84"/>
      <c r="AG27" s="84"/>
      <c r="AH27" s="84"/>
      <c r="AI27" s="84"/>
      <c r="AJ27" s="84"/>
      <c r="AK27" s="84"/>
      <c r="AL27" s="84"/>
      <c r="AM27" s="84"/>
      <c r="AN27" s="84"/>
      <c r="AO27" s="84"/>
      <c r="AP27" s="84"/>
      <c r="AQ27" s="84"/>
      <c r="AR27" s="84"/>
    </row>
    <row r="28" spans="1:44" ht="15.75" customHeight="1">
      <c r="C28" s="269" t="s">
        <v>28855</v>
      </c>
      <c r="D28" s="265" t="s">
        <v>22742</v>
      </c>
      <c r="E28" s="84">
        <f>Storico_Piano_Tariffario!E28</f>
        <v>0</v>
      </c>
      <c r="F28" s="84">
        <f>Storico_Piano_Tariffario!F28</f>
        <v>0</v>
      </c>
      <c r="G28" s="84">
        <f>Opex!E71</f>
        <v>0</v>
      </c>
      <c r="H28" s="84">
        <f>Opex!F71</f>
        <v>0</v>
      </c>
      <c r="I28" s="84">
        <f>Opex!G71</f>
        <v>0</v>
      </c>
      <c r="J28" s="84">
        <f>Opex!H71</f>
        <v>0</v>
      </c>
      <c r="K28" s="84"/>
      <c r="L28" s="84"/>
      <c r="M28" s="84"/>
      <c r="N28" s="84"/>
      <c r="O28" s="84"/>
      <c r="P28" s="84"/>
      <c r="Q28" s="84"/>
      <c r="R28" s="84"/>
      <c r="S28" s="84"/>
      <c r="T28" s="84"/>
      <c r="U28" s="84"/>
      <c r="V28" s="84"/>
      <c r="W28" s="84"/>
      <c r="X28" s="84"/>
      <c r="Y28" s="84"/>
      <c r="Z28" s="84"/>
      <c r="AA28" s="84"/>
      <c r="AB28" s="84"/>
      <c r="AC28" s="84"/>
      <c r="AD28" s="84"/>
      <c r="AE28" s="84"/>
      <c r="AF28" s="84"/>
      <c r="AG28" s="84"/>
      <c r="AH28" s="84"/>
      <c r="AI28" s="84"/>
      <c r="AJ28" s="84"/>
      <c r="AK28" s="84"/>
      <c r="AL28" s="84"/>
      <c r="AM28" s="84"/>
      <c r="AN28" s="84"/>
      <c r="AO28" s="84"/>
      <c r="AP28" s="84"/>
      <c r="AQ28" s="84"/>
      <c r="AR28" s="84"/>
    </row>
    <row r="29" spans="1:44" ht="15.75" customHeight="1">
      <c r="C29" s="276" t="s">
        <v>26996</v>
      </c>
      <c r="D29" s="277" t="s">
        <v>22742</v>
      </c>
      <c r="E29" s="85">
        <f>Storico_Piano_Tariffario!E29</f>
        <v>0</v>
      </c>
      <c r="F29" s="85">
        <f>Storico_Piano_Tariffario!F29</f>
        <v>0</v>
      </c>
      <c r="G29" s="85">
        <f t="shared" ref="G29:J29" ca="1" si="0">+SUM(G22:G28)</f>
        <v>0</v>
      </c>
      <c r="H29" s="85">
        <f t="shared" ca="1" si="0"/>
        <v>0</v>
      </c>
      <c r="I29" s="85">
        <f t="shared" ca="1" si="0"/>
        <v>0</v>
      </c>
      <c r="J29" s="85">
        <f t="shared" ca="1" si="0"/>
        <v>0</v>
      </c>
      <c r="K29" s="85"/>
      <c r="L29" s="85"/>
      <c r="M29" s="85"/>
      <c r="N29" s="85"/>
      <c r="O29" s="85"/>
      <c r="P29" s="85"/>
      <c r="Q29" s="85"/>
      <c r="R29" s="85"/>
      <c r="S29" s="85"/>
      <c r="T29" s="85"/>
      <c r="U29" s="85"/>
      <c r="V29" s="85"/>
      <c r="W29" s="85"/>
      <c r="X29" s="85"/>
      <c r="Y29" s="85"/>
      <c r="Z29" s="85"/>
      <c r="AA29" s="85"/>
      <c r="AB29" s="85"/>
      <c r="AC29" s="85"/>
      <c r="AD29" s="85"/>
      <c r="AE29" s="85"/>
      <c r="AF29" s="85"/>
      <c r="AG29" s="85"/>
      <c r="AH29" s="85"/>
      <c r="AI29" s="85"/>
      <c r="AJ29" s="85"/>
      <c r="AK29" s="85"/>
      <c r="AL29" s="85"/>
      <c r="AM29" s="85"/>
      <c r="AN29" s="85"/>
      <c r="AO29" s="85"/>
      <c r="AP29" s="85"/>
      <c r="AQ29" s="85"/>
      <c r="AR29" s="85"/>
    </row>
    <row r="30" spans="1:44" ht="15.75" customHeight="1">
      <c r="C30" s="269" t="s">
        <v>24821</v>
      </c>
      <c r="D30" s="265" t="s">
        <v>22742</v>
      </c>
      <c r="E30" s="84">
        <f>Storico_Piano_Tariffario!E30</f>
        <v>0</v>
      </c>
      <c r="F30" s="84">
        <f>Storico_Piano_Tariffario!F30</f>
        <v>0</v>
      </c>
      <c r="G30" s="84">
        <f>+Capex!E13</f>
        <v>0</v>
      </c>
      <c r="H30" s="84">
        <f>+Capex!F13</f>
        <v>0</v>
      </c>
      <c r="I30" s="84">
        <f>+Capex!G13</f>
        <v>0</v>
      </c>
      <c r="J30" s="84">
        <f>+Capex!H13</f>
        <v>0</v>
      </c>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ht="15.75" customHeight="1">
      <c r="C31" s="269" t="s">
        <v>24822</v>
      </c>
      <c r="D31" s="265" t="s">
        <v>22742</v>
      </c>
      <c r="E31" s="84">
        <f>Storico_Piano_Tariffario!E31</f>
        <v>0</v>
      </c>
      <c r="F31" s="84">
        <f>Storico_Piano_Tariffario!F31</f>
        <v>0</v>
      </c>
      <c r="G31" s="84">
        <f>+Capex!E11</f>
        <v>0</v>
      </c>
      <c r="H31" s="84">
        <f>+Capex!F11</f>
        <v>0</v>
      </c>
      <c r="I31" s="84">
        <f>+Capex!G11</f>
        <v>0</v>
      </c>
      <c r="J31" s="84">
        <f>+Capex!H11</f>
        <v>0</v>
      </c>
      <c r="K31" s="80"/>
      <c r="L31" s="80"/>
      <c r="M31" s="80"/>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ht="15.75" customHeight="1">
      <c r="C32" s="269" t="s">
        <v>24823</v>
      </c>
      <c r="D32" s="265" t="s">
        <v>22742</v>
      </c>
      <c r="E32" s="84">
        <f>Storico_Piano_Tariffario!E32</f>
        <v>0</v>
      </c>
      <c r="F32" s="84">
        <f>Storico_Piano_Tariffario!F32</f>
        <v>0</v>
      </c>
      <c r="G32" s="84">
        <f>+Capex!E12</f>
        <v>0</v>
      </c>
      <c r="H32" s="84">
        <f>+Capex!F12</f>
        <v>0</v>
      </c>
      <c r="I32" s="84">
        <f>+Capex!G12</f>
        <v>0</v>
      </c>
      <c r="J32" s="84">
        <f>+Capex!H12</f>
        <v>0</v>
      </c>
      <c r="K32" s="80"/>
      <c r="L32" s="80"/>
      <c r="M32" s="80"/>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3:44" ht="15.75" customHeight="1">
      <c r="C33" s="269" t="s">
        <v>24824</v>
      </c>
      <c r="D33" s="265" t="s">
        <v>22742</v>
      </c>
      <c r="E33" s="84">
        <f>Storico_Piano_Tariffario!E33</f>
        <v>0</v>
      </c>
      <c r="F33" s="84">
        <f>Storico_Piano_Tariffario!F33</f>
        <v>0</v>
      </c>
      <c r="G33" s="84">
        <f>+Capex!E14</f>
        <v>0</v>
      </c>
      <c r="H33" s="84">
        <f>+Capex!F14</f>
        <v>0</v>
      </c>
      <c r="I33" s="84">
        <f>+Capex!G14</f>
        <v>0</v>
      </c>
      <c r="J33" s="84">
        <f>+Capex!H14</f>
        <v>0</v>
      </c>
      <c r="K33" s="80"/>
      <c r="L33" s="80"/>
      <c r="M33" s="80"/>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3:44" ht="15.75" customHeight="1">
      <c r="C34" s="274" t="s">
        <v>29729</v>
      </c>
      <c r="D34" s="277" t="s">
        <v>22742</v>
      </c>
      <c r="E34" s="86">
        <f>Storico_Piano_Tariffario!E34</f>
        <v>0</v>
      </c>
      <c r="F34" s="86">
        <f>Storico_Piano_Tariffario!F34</f>
        <v>0</v>
      </c>
      <c r="G34" s="86">
        <f t="shared" ref="G34:J34" si="1">SUM(G30:G33)</f>
        <v>0</v>
      </c>
      <c r="H34" s="86">
        <f t="shared" si="1"/>
        <v>0</v>
      </c>
      <c r="I34" s="86">
        <f t="shared" si="1"/>
        <v>0</v>
      </c>
      <c r="J34" s="86">
        <f t="shared" si="1"/>
        <v>0</v>
      </c>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row>
    <row r="35" spans="3:44" ht="15.75" customHeight="1">
      <c r="C35" s="264" t="s">
        <v>24771</v>
      </c>
      <c r="D35" s="265" t="s">
        <v>22742</v>
      </c>
      <c r="E35" s="87">
        <f>Storico_Piano_Tariffario!E35</f>
        <v>0</v>
      </c>
      <c r="F35" s="87">
        <f>Storico_Piano_Tariffario!F35</f>
        <v>0</v>
      </c>
      <c r="G35" s="87">
        <f ca="1">FoNI!E74</f>
        <v>0</v>
      </c>
      <c r="H35" s="87">
        <f ca="1">FoNI!F74</f>
        <v>0</v>
      </c>
      <c r="I35" s="87">
        <f ca="1">FoNI!G74</f>
        <v>0</v>
      </c>
      <c r="J35" s="87">
        <f ca="1">FoNI!H74</f>
        <v>0</v>
      </c>
      <c r="K35" s="88"/>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row>
    <row r="36" spans="3:44" ht="15.75" customHeight="1">
      <c r="C36" s="264" t="s">
        <v>24772</v>
      </c>
      <c r="D36" s="265" t="s">
        <v>22742</v>
      </c>
      <c r="E36" s="87">
        <f>Storico_Piano_Tariffario!E36</f>
        <v>0</v>
      </c>
      <c r="F36" s="87">
        <f>Storico_Piano_Tariffario!F36</f>
        <v>0</v>
      </c>
      <c r="G36" s="87">
        <f>FoNI!E75</f>
        <v>0</v>
      </c>
      <c r="H36" s="87">
        <f>FoNI!F75</f>
        <v>0</v>
      </c>
      <c r="I36" s="87">
        <f>FoNI!G75</f>
        <v>0</v>
      </c>
      <c r="J36" s="87">
        <f>FoNI!H75</f>
        <v>0</v>
      </c>
      <c r="K36" s="88"/>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row>
    <row r="37" spans="3:44" ht="15.75" customHeight="1">
      <c r="C37" s="274" t="s">
        <v>25131</v>
      </c>
      <c r="D37" s="277" t="s">
        <v>22742</v>
      </c>
      <c r="E37" s="86">
        <f>Storico_Piano_Tariffario!E37</f>
        <v>0</v>
      </c>
      <c r="F37" s="86">
        <f>Storico_Piano_Tariffario!F37</f>
        <v>0</v>
      </c>
      <c r="G37" s="86">
        <f>+FoNI!E12</f>
        <v>0</v>
      </c>
      <c r="H37" s="86">
        <f>+FoNI!F12</f>
        <v>0</v>
      </c>
      <c r="I37" s="86">
        <f>+FoNI!G12</f>
        <v>0</v>
      </c>
      <c r="J37" s="86">
        <f>+FoNI!H12</f>
        <v>0</v>
      </c>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row>
    <row r="38" spans="3:44" ht="15.75" hidden="1" customHeight="1">
      <c r="C38" s="1267"/>
      <c r="D38" s="265"/>
      <c r="E38" s="87">
        <f>Storico_Piano_Tariffario!E38</f>
        <v>0</v>
      </c>
      <c r="F38" s="87">
        <f>Storico_Piano_Tariffario!F38</f>
        <v>0</v>
      </c>
      <c r="G38" s="87"/>
      <c r="H38" s="87"/>
      <c r="I38" s="88"/>
      <c r="J38" s="88"/>
      <c r="K38" s="88"/>
      <c r="L38" s="88"/>
      <c r="M38" s="88"/>
      <c r="N38" s="88"/>
      <c r="O38" s="88"/>
      <c r="P38" s="88"/>
      <c r="Q38" s="88"/>
      <c r="R38" s="88"/>
      <c r="S38" s="88"/>
      <c r="T38" s="88"/>
      <c r="U38" s="88"/>
      <c r="V38" s="88"/>
      <c r="W38" s="88"/>
      <c r="X38" s="88"/>
      <c r="Y38" s="88"/>
      <c r="Z38" s="88"/>
      <c r="AA38" s="88"/>
      <c r="AB38" s="88"/>
      <c r="AC38" s="88"/>
      <c r="AD38" s="88"/>
      <c r="AE38" s="88"/>
      <c r="AF38" s="88"/>
      <c r="AG38" s="88"/>
      <c r="AH38" s="88"/>
      <c r="AI38" s="88"/>
      <c r="AJ38" s="88"/>
      <c r="AK38" s="88"/>
      <c r="AL38" s="88"/>
      <c r="AM38" s="88"/>
      <c r="AN38" s="88"/>
      <c r="AO38" s="88"/>
      <c r="AP38" s="88"/>
      <c r="AQ38" s="88"/>
      <c r="AR38" s="88"/>
    </row>
    <row r="39" spans="3:44" ht="15.75" hidden="1" customHeight="1">
      <c r="C39" s="1267"/>
      <c r="D39" s="265"/>
      <c r="E39" s="87">
        <f>Storico_Piano_Tariffario!E39</f>
        <v>0</v>
      </c>
      <c r="F39" s="87">
        <f>Storico_Piano_Tariffario!F39</f>
        <v>0</v>
      </c>
      <c r="G39" s="87"/>
      <c r="H39" s="87"/>
      <c r="I39" s="88"/>
      <c r="J39" s="88"/>
      <c r="K39" s="88"/>
      <c r="L39" s="88"/>
      <c r="M39" s="88"/>
      <c r="N39" s="88"/>
      <c r="O39" s="88"/>
      <c r="P39" s="88"/>
      <c r="Q39" s="88"/>
      <c r="R39" s="88"/>
      <c r="S39" s="88"/>
      <c r="T39" s="88"/>
      <c r="U39" s="88"/>
      <c r="V39" s="88"/>
      <c r="W39" s="88"/>
      <c r="X39" s="88"/>
      <c r="Y39" s="88"/>
      <c r="Z39" s="88"/>
      <c r="AA39" s="88"/>
      <c r="AB39" s="88"/>
      <c r="AC39" s="88"/>
      <c r="AD39" s="88"/>
      <c r="AE39" s="88"/>
      <c r="AF39" s="88"/>
      <c r="AG39" s="88"/>
      <c r="AH39" s="88"/>
      <c r="AI39" s="88"/>
      <c r="AJ39" s="88"/>
      <c r="AK39" s="88"/>
      <c r="AL39" s="88"/>
      <c r="AM39" s="88"/>
      <c r="AN39" s="88"/>
      <c r="AO39" s="88"/>
      <c r="AP39" s="88"/>
      <c r="AQ39" s="88"/>
      <c r="AR39" s="88"/>
    </row>
    <row r="40" spans="3:44" ht="15.75" hidden="1" customHeight="1">
      <c r="C40" s="1268"/>
      <c r="D40" s="265"/>
      <c r="E40" s="87">
        <f>Storico_Piano_Tariffario!E40</f>
        <v>0</v>
      </c>
      <c r="F40" s="87">
        <f>Storico_Piano_Tariffario!F40</f>
        <v>0</v>
      </c>
      <c r="G40" s="87"/>
      <c r="H40" s="87"/>
      <c r="I40" s="88"/>
      <c r="J40" s="88"/>
      <c r="K40" s="88"/>
      <c r="L40" s="88"/>
      <c r="M40" s="88"/>
      <c r="N40" s="88"/>
      <c r="O40" s="88"/>
      <c r="P40" s="88"/>
      <c r="Q40" s="88"/>
      <c r="R40" s="88"/>
      <c r="S40" s="88"/>
      <c r="T40" s="88"/>
      <c r="U40" s="88"/>
      <c r="V40" s="88"/>
      <c r="W40" s="88"/>
      <c r="X40" s="88"/>
      <c r="Y40" s="88"/>
      <c r="Z40" s="88"/>
      <c r="AA40" s="88"/>
      <c r="AB40" s="88"/>
      <c r="AC40" s="88"/>
      <c r="AD40" s="88"/>
      <c r="AE40" s="88"/>
      <c r="AF40" s="88"/>
      <c r="AG40" s="88"/>
      <c r="AH40" s="88"/>
      <c r="AI40" s="88"/>
      <c r="AJ40" s="88"/>
      <c r="AK40" s="88"/>
      <c r="AL40" s="88"/>
      <c r="AM40" s="88"/>
      <c r="AN40" s="88"/>
      <c r="AO40" s="88"/>
      <c r="AP40" s="88"/>
      <c r="AQ40" s="88"/>
      <c r="AR40" s="88"/>
    </row>
    <row r="41" spans="3:44" ht="15.75" customHeight="1">
      <c r="C41" s="264" t="s">
        <v>29638</v>
      </c>
      <c r="D41" s="265" t="s">
        <v>22742</v>
      </c>
      <c r="E41" s="1265">
        <f>Storico_Piano_Tariffario!E41</f>
        <v>0</v>
      </c>
      <c r="F41" s="1265">
        <f>Storico_Piano_Tariffario!F41</f>
        <v>0</v>
      </c>
      <c r="G41" s="1265">
        <f>ERC!E11</f>
        <v>0</v>
      </c>
      <c r="H41" s="1265">
        <f>ERC!F11</f>
        <v>0</v>
      </c>
      <c r="I41" s="1265">
        <f>ERC!G11</f>
        <v>0</v>
      </c>
      <c r="J41" s="1265">
        <f>ERC!H11</f>
        <v>0</v>
      </c>
      <c r="K41" s="1266"/>
      <c r="L41" s="1266"/>
      <c r="M41" s="1266"/>
      <c r="N41" s="1266"/>
      <c r="O41" s="1266"/>
      <c r="P41" s="1266"/>
      <c r="Q41" s="1266"/>
      <c r="R41" s="1266"/>
      <c r="S41" s="1266"/>
      <c r="T41" s="1266"/>
      <c r="U41" s="1266"/>
      <c r="V41" s="1266"/>
      <c r="W41" s="1266"/>
      <c r="X41" s="1266"/>
      <c r="Y41" s="1266"/>
      <c r="Z41" s="1266"/>
      <c r="AA41" s="1266"/>
      <c r="AB41" s="1266"/>
      <c r="AC41" s="1266"/>
      <c r="AD41" s="1266"/>
      <c r="AE41" s="1266"/>
      <c r="AF41" s="1266"/>
      <c r="AG41" s="1266"/>
      <c r="AH41" s="1266"/>
      <c r="AI41" s="1266"/>
      <c r="AJ41" s="1266"/>
      <c r="AK41" s="1266"/>
      <c r="AL41" s="1266"/>
      <c r="AM41" s="1266"/>
      <c r="AN41" s="1266"/>
      <c r="AO41" s="1266"/>
      <c r="AP41" s="1266"/>
      <c r="AQ41" s="1266"/>
      <c r="AR41" s="1266"/>
    </row>
    <row r="42" spans="3:44" ht="15.75" customHeight="1">
      <c r="C42" s="264" t="s">
        <v>29639</v>
      </c>
      <c r="D42" s="265" t="s">
        <v>22742</v>
      </c>
      <c r="E42" s="1265">
        <f>Storico_Piano_Tariffario!E42</f>
        <v>0</v>
      </c>
      <c r="F42" s="1265">
        <f>Storico_Piano_Tariffario!F42</f>
        <v>0</v>
      </c>
      <c r="G42" s="1265">
        <f ca="1">ERC!E12</f>
        <v>0</v>
      </c>
      <c r="H42" s="1265">
        <f ca="1">ERC!F12</f>
        <v>0</v>
      </c>
      <c r="I42" s="1265">
        <f ca="1">ERC!G12</f>
        <v>0</v>
      </c>
      <c r="J42" s="1265">
        <f ca="1">ERC!H12</f>
        <v>0</v>
      </c>
      <c r="K42" s="1266"/>
      <c r="L42" s="1266"/>
      <c r="M42" s="1266"/>
      <c r="N42" s="1266"/>
      <c r="O42" s="1266"/>
      <c r="P42" s="1266"/>
      <c r="Q42" s="1266"/>
      <c r="R42" s="1266"/>
      <c r="S42" s="1266"/>
      <c r="T42" s="1266"/>
      <c r="U42" s="1266"/>
      <c r="V42" s="1266"/>
      <c r="W42" s="1266"/>
      <c r="X42" s="1266"/>
      <c r="Y42" s="1266"/>
      <c r="Z42" s="1266"/>
      <c r="AA42" s="1266"/>
      <c r="AB42" s="1266"/>
      <c r="AC42" s="1266"/>
      <c r="AD42" s="1266"/>
      <c r="AE42" s="1266"/>
      <c r="AF42" s="1266"/>
      <c r="AG42" s="1266"/>
      <c r="AH42" s="1266"/>
      <c r="AI42" s="1266"/>
      <c r="AJ42" s="1266"/>
      <c r="AK42" s="1266"/>
      <c r="AL42" s="1266"/>
      <c r="AM42" s="1266"/>
      <c r="AN42" s="1266"/>
      <c r="AO42" s="1266"/>
      <c r="AP42" s="1266"/>
      <c r="AQ42" s="1266"/>
      <c r="AR42" s="1266"/>
    </row>
    <row r="43" spans="3:44" ht="15.75" customHeight="1">
      <c r="C43" s="274" t="s">
        <v>24773</v>
      </c>
      <c r="D43" s="277" t="s">
        <v>22742</v>
      </c>
      <c r="E43" s="86">
        <f>Storico_Piano_Tariffario!E43</f>
        <v>0</v>
      </c>
      <c r="F43" s="86">
        <f>Storico_Piano_Tariffario!F43</f>
        <v>0</v>
      </c>
      <c r="G43" s="86">
        <f t="shared" ref="G43:J43" ca="1" si="2">+G41+G42</f>
        <v>0</v>
      </c>
      <c r="H43" s="86">
        <f t="shared" ca="1" si="2"/>
        <v>0</v>
      </c>
      <c r="I43" s="86">
        <f t="shared" ca="1" si="2"/>
        <v>0</v>
      </c>
      <c r="J43" s="86">
        <f t="shared" ca="1" si="2"/>
        <v>0</v>
      </c>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row>
    <row r="44" spans="3:44" s="261" customFormat="1" ht="12.75" customHeight="1">
      <c r="C44" s="259"/>
      <c r="D44" s="259"/>
      <c r="E44" s="278"/>
      <c r="F44" s="278"/>
      <c r="G44" s="257"/>
      <c r="H44" s="255"/>
      <c r="I44" s="257"/>
      <c r="J44" s="255"/>
      <c r="K44" s="257"/>
      <c r="L44" s="257"/>
      <c r="M44" s="255"/>
      <c r="N44" s="257"/>
      <c r="O44" s="255"/>
      <c r="P44" s="257"/>
      <c r="Q44" s="257"/>
      <c r="R44" s="255"/>
      <c r="S44" s="257"/>
      <c r="T44" s="255"/>
      <c r="U44" s="257"/>
      <c r="V44" s="255"/>
      <c r="W44" s="257"/>
      <c r="X44" s="255"/>
      <c r="Y44" s="257"/>
      <c r="Z44" s="255"/>
      <c r="AA44" s="257"/>
      <c r="AB44" s="255"/>
      <c r="AC44" s="278"/>
      <c r="AD44" s="278"/>
      <c r="AE44" s="278"/>
      <c r="AF44" s="278"/>
      <c r="AG44" s="278"/>
      <c r="AH44" s="278"/>
      <c r="AI44" s="278"/>
      <c r="AJ44" s="278"/>
      <c r="AK44" s="278"/>
      <c r="AL44" s="278"/>
      <c r="AM44" s="278"/>
      <c r="AN44" s="278"/>
      <c r="AO44" s="278"/>
      <c r="AP44" s="278"/>
      <c r="AQ44" s="278"/>
      <c r="AR44" s="278"/>
    </row>
    <row r="45" spans="3:44" ht="15.75" customHeight="1">
      <c r="C45" s="260" t="s">
        <v>22745</v>
      </c>
      <c r="D45" s="260"/>
      <c r="E45" s="260"/>
      <c r="F45" s="260"/>
      <c r="G45" s="260"/>
      <c r="H45" s="260"/>
      <c r="I45" s="260"/>
      <c r="J45" s="260"/>
      <c r="K45" s="260"/>
      <c r="L45" s="260"/>
      <c r="M45" s="260"/>
      <c r="N45" s="260"/>
      <c r="O45" s="260"/>
      <c r="P45" s="260"/>
      <c r="Q45" s="260"/>
      <c r="R45" s="260"/>
      <c r="S45" s="260"/>
      <c r="T45" s="260"/>
      <c r="U45" s="260"/>
      <c r="V45" s="260"/>
      <c r="W45" s="260"/>
      <c r="X45" s="260"/>
      <c r="Y45" s="260"/>
      <c r="Z45" s="260"/>
      <c r="AA45" s="260"/>
      <c r="AB45" s="260"/>
      <c r="AC45" s="260"/>
      <c r="AD45" s="260"/>
      <c r="AE45" s="260"/>
      <c r="AF45" s="260"/>
      <c r="AG45" s="260"/>
      <c r="AH45" s="260"/>
      <c r="AI45" s="260"/>
      <c r="AJ45" s="260"/>
      <c r="AK45" s="260"/>
      <c r="AL45" s="260"/>
      <c r="AM45" s="260"/>
      <c r="AN45" s="260"/>
      <c r="AO45" s="260"/>
      <c r="AP45" s="260"/>
      <c r="AQ45" s="260"/>
      <c r="AR45" s="260"/>
    </row>
    <row r="46" spans="3:44" s="55" customFormat="1" ht="12.75" customHeight="1">
      <c r="C46" s="378"/>
      <c r="D46" s="379" t="s">
        <v>22740</v>
      </c>
      <c r="E46" s="380" t="s">
        <v>29767</v>
      </c>
      <c r="F46" s="380" t="s">
        <v>29768</v>
      </c>
      <c r="G46" s="380" t="s">
        <v>29769</v>
      </c>
      <c r="H46" s="380" t="s">
        <v>29770</v>
      </c>
      <c r="I46" s="380" t="s">
        <v>29771</v>
      </c>
      <c r="J46" s="380" t="s">
        <v>29772</v>
      </c>
      <c r="K46" s="380" t="s">
        <v>29773</v>
      </c>
      <c r="L46" s="380" t="s">
        <v>29774</v>
      </c>
      <c r="M46" s="380" t="s">
        <v>29775</v>
      </c>
      <c r="N46" s="380" t="s">
        <v>29776</v>
      </c>
      <c r="O46" s="380" t="s">
        <v>29777</v>
      </c>
      <c r="P46" s="380" t="s">
        <v>29778</v>
      </c>
      <c r="Q46" s="380" t="s">
        <v>29779</v>
      </c>
      <c r="R46" s="380" t="s">
        <v>29780</v>
      </c>
      <c r="S46" s="380" t="s">
        <v>29781</v>
      </c>
      <c r="T46" s="380" t="s">
        <v>29782</v>
      </c>
      <c r="U46" s="380" t="s">
        <v>29783</v>
      </c>
      <c r="V46" s="380" t="s">
        <v>29784</v>
      </c>
      <c r="W46" s="380" t="s">
        <v>29785</v>
      </c>
      <c r="X46" s="380" t="s">
        <v>29786</v>
      </c>
      <c r="Y46" s="380" t="s">
        <v>29787</v>
      </c>
      <c r="Z46" s="380" t="s">
        <v>29788</v>
      </c>
      <c r="AA46" s="380" t="s">
        <v>29789</v>
      </c>
      <c r="AB46" s="380" t="s">
        <v>29790</v>
      </c>
      <c r="AC46" s="380" t="s">
        <v>29791</v>
      </c>
      <c r="AD46" s="380" t="s">
        <v>29792</v>
      </c>
      <c r="AE46" s="380" t="s">
        <v>29793</v>
      </c>
      <c r="AF46" s="380" t="s">
        <v>29794</v>
      </c>
      <c r="AG46" s="380" t="s">
        <v>29795</v>
      </c>
      <c r="AH46" s="380" t="s">
        <v>29796</v>
      </c>
      <c r="AI46" s="380" t="s">
        <v>29797</v>
      </c>
      <c r="AJ46" s="380" t="s">
        <v>29798</v>
      </c>
      <c r="AK46" s="380" t="s">
        <v>29799</v>
      </c>
      <c r="AL46" s="380" t="s">
        <v>29800</v>
      </c>
      <c r="AM46" s="380" t="s">
        <v>29801</v>
      </c>
      <c r="AN46" s="380" t="s">
        <v>29802</v>
      </c>
      <c r="AO46" s="380" t="s">
        <v>30388</v>
      </c>
      <c r="AP46" s="380" t="s">
        <v>30389</v>
      </c>
      <c r="AQ46" s="380" t="s">
        <v>30390</v>
      </c>
      <c r="AR46" s="380" t="s">
        <v>30391</v>
      </c>
    </row>
    <row r="47" spans="3:44" ht="15.75" customHeight="1">
      <c r="C47" s="264" t="s">
        <v>24825</v>
      </c>
      <c r="D47" s="265" t="s">
        <v>22742</v>
      </c>
      <c r="E47" s="84">
        <f>Storico_Piano_Tariffario!E47</f>
        <v>0</v>
      </c>
      <c r="F47" s="84">
        <f>Storico_Piano_Tariffario!F47</f>
        <v>0</v>
      </c>
      <c r="G47" s="84">
        <f>+FoNI!E12</f>
        <v>0</v>
      </c>
      <c r="H47" s="84">
        <f>+FoNI!F12</f>
        <v>0</v>
      </c>
      <c r="I47" s="84">
        <f>+FoNI!G12</f>
        <v>0</v>
      </c>
      <c r="J47" s="84">
        <f>+FoNI!H12</f>
        <v>0</v>
      </c>
      <c r="K47" s="84"/>
      <c r="L47" s="84"/>
      <c r="M47" s="84"/>
      <c r="N47" s="84"/>
      <c r="O47" s="84"/>
      <c r="P47" s="84"/>
      <c r="Q47" s="84"/>
      <c r="R47" s="84"/>
      <c r="S47" s="84"/>
      <c r="T47" s="84"/>
      <c r="U47" s="84"/>
      <c r="V47" s="84"/>
      <c r="W47" s="84"/>
      <c r="X47" s="84"/>
      <c r="Y47" s="84"/>
      <c r="Z47" s="84"/>
      <c r="AA47" s="84"/>
      <c r="AB47" s="84"/>
      <c r="AC47" s="84"/>
      <c r="AD47" s="84"/>
      <c r="AE47" s="84"/>
      <c r="AF47" s="84"/>
      <c r="AG47" s="84"/>
      <c r="AH47" s="84"/>
      <c r="AI47" s="84"/>
      <c r="AJ47" s="84"/>
      <c r="AK47" s="84"/>
      <c r="AL47" s="84"/>
      <c r="AM47" s="84"/>
      <c r="AN47" s="84"/>
      <c r="AO47" s="84"/>
      <c r="AP47" s="84"/>
      <c r="AQ47" s="84"/>
      <c r="AR47" s="84"/>
    </row>
    <row r="48" spans="3:44" ht="15.75" customHeight="1">
      <c r="C48" s="264" t="s">
        <v>24826</v>
      </c>
      <c r="D48" s="265" t="s">
        <v>22742</v>
      </c>
      <c r="E48" s="84">
        <f>Storico_Piano_Tariffario!E48</f>
        <v>0</v>
      </c>
      <c r="F48" s="84">
        <f>Storico_Piano_Tariffario!F48</f>
        <v>0</v>
      </c>
      <c r="G48" s="84">
        <f>+FoNI!E11</f>
        <v>0</v>
      </c>
      <c r="H48" s="84">
        <f>+FoNI!F11</f>
        <v>0</v>
      </c>
      <c r="I48" s="84">
        <f>+FoNI!G11</f>
        <v>0</v>
      </c>
      <c r="J48" s="84">
        <f>+FoNI!H11</f>
        <v>0</v>
      </c>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row>
    <row r="49" spans="1:44" ht="15.75" customHeight="1">
      <c r="C49" s="264" t="s">
        <v>24827</v>
      </c>
      <c r="D49" s="265" t="s">
        <v>22742</v>
      </c>
      <c r="E49" s="84">
        <f>Storico_Piano_Tariffario!E49</f>
        <v>0</v>
      </c>
      <c r="F49" s="84">
        <f>Storico_Piano_Tariffario!F49</f>
        <v>0</v>
      </c>
      <c r="G49" s="84">
        <f>+FoNI!E13</f>
        <v>0</v>
      </c>
      <c r="H49" s="84">
        <f>+FoNI!F13</f>
        <v>0</v>
      </c>
      <c r="I49" s="84">
        <f>+FoNI!G13</f>
        <v>0</v>
      </c>
      <c r="J49" s="84">
        <f>+FoNI!H13</f>
        <v>0</v>
      </c>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row>
    <row r="50" spans="1:44" ht="15.75" customHeight="1">
      <c r="C50" s="274" t="s">
        <v>22811</v>
      </c>
      <c r="D50" s="277" t="s">
        <v>22742</v>
      </c>
      <c r="E50" s="85">
        <f>Storico_Piano_Tariffario!E50</f>
        <v>0</v>
      </c>
      <c r="F50" s="85">
        <f>Storico_Piano_Tariffario!F50</f>
        <v>0</v>
      </c>
      <c r="G50" s="85">
        <f t="shared" ref="G50:J50" si="3">+SUM(G47:G49)</f>
        <v>0</v>
      </c>
      <c r="H50" s="85">
        <f t="shared" si="3"/>
        <v>0</v>
      </c>
      <c r="I50" s="85">
        <f t="shared" si="3"/>
        <v>0</v>
      </c>
      <c r="J50" s="85">
        <f t="shared" si="3"/>
        <v>0</v>
      </c>
      <c r="K50" s="85"/>
      <c r="L50" s="85"/>
      <c r="M50" s="85"/>
      <c r="N50" s="85"/>
      <c r="O50" s="85"/>
      <c r="P50" s="85"/>
      <c r="Q50" s="85"/>
      <c r="R50" s="85"/>
      <c r="S50" s="85"/>
      <c r="T50" s="85"/>
      <c r="U50" s="85"/>
      <c r="V50" s="85"/>
      <c r="W50" s="85"/>
      <c r="X50" s="85"/>
      <c r="Y50" s="85"/>
      <c r="Z50" s="85"/>
      <c r="AA50" s="85"/>
      <c r="AB50" s="85"/>
      <c r="AC50" s="85"/>
      <c r="AD50" s="85"/>
      <c r="AE50" s="85"/>
      <c r="AF50" s="85"/>
      <c r="AG50" s="85"/>
      <c r="AH50" s="85"/>
      <c r="AI50" s="85"/>
      <c r="AJ50" s="85"/>
      <c r="AK50" s="85"/>
      <c r="AL50" s="85"/>
      <c r="AM50" s="85"/>
      <c r="AN50" s="85"/>
      <c r="AO50" s="85"/>
      <c r="AP50" s="85"/>
      <c r="AQ50" s="85"/>
      <c r="AR50" s="85"/>
    </row>
    <row r="51" spans="1:44" ht="12.75" customHeight="1">
      <c r="G51" s="255"/>
      <c r="I51" s="255"/>
      <c r="K51" s="255"/>
      <c r="L51" s="255"/>
      <c r="N51" s="255"/>
      <c r="P51" s="255"/>
      <c r="Q51" s="255"/>
      <c r="S51" s="255"/>
      <c r="U51" s="255"/>
      <c r="W51" s="255"/>
      <c r="Y51" s="255"/>
      <c r="AA51" s="255"/>
    </row>
    <row r="52" spans="1:44" ht="15.75" customHeight="1">
      <c r="C52" s="260" t="s">
        <v>28848</v>
      </c>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row>
    <row r="53" spans="1:44" s="55" customFormat="1" ht="12.75" customHeight="1">
      <c r="C53" s="378"/>
      <c r="D53" s="379" t="s">
        <v>22740</v>
      </c>
      <c r="E53" s="380" t="s">
        <v>29767</v>
      </c>
      <c r="F53" s="380" t="s">
        <v>29768</v>
      </c>
      <c r="G53" s="380" t="s">
        <v>29769</v>
      </c>
      <c r="H53" s="380" t="s">
        <v>29770</v>
      </c>
      <c r="I53" s="380" t="s">
        <v>29771</v>
      </c>
      <c r="J53" s="380" t="s">
        <v>29772</v>
      </c>
      <c r="K53" s="380" t="s">
        <v>29773</v>
      </c>
      <c r="L53" s="380" t="s">
        <v>29774</v>
      </c>
      <c r="M53" s="380" t="s">
        <v>29775</v>
      </c>
      <c r="N53" s="380" t="s">
        <v>29776</v>
      </c>
      <c r="O53" s="380" t="s">
        <v>29777</v>
      </c>
      <c r="P53" s="380" t="s">
        <v>29778</v>
      </c>
      <c r="Q53" s="380" t="s">
        <v>29779</v>
      </c>
      <c r="R53" s="380" t="s">
        <v>29780</v>
      </c>
      <c r="S53" s="380" t="s">
        <v>29781</v>
      </c>
      <c r="T53" s="380" t="s">
        <v>29782</v>
      </c>
      <c r="U53" s="380" t="s">
        <v>29783</v>
      </c>
      <c r="V53" s="380" t="s">
        <v>29784</v>
      </c>
      <c r="W53" s="380" t="s">
        <v>29785</v>
      </c>
      <c r="X53" s="380" t="s">
        <v>29786</v>
      </c>
      <c r="Y53" s="380" t="s">
        <v>29787</v>
      </c>
      <c r="Z53" s="380" t="s">
        <v>29788</v>
      </c>
      <c r="AA53" s="380" t="s">
        <v>29789</v>
      </c>
      <c r="AB53" s="380" t="s">
        <v>29790</v>
      </c>
      <c r="AC53" s="380" t="s">
        <v>29791</v>
      </c>
      <c r="AD53" s="380" t="s">
        <v>29792</v>
      </c>
      <c r="AE53" s="380" t="s">
        <v>29793</v>
      </c>
      <c r="AF53" s="380" t="s">
        <v>29794</v>
      </c>
      <c r="AG53" s="380" t="s">
        <v>29795</v>
      </c>
      <c r="AH53" s="380" t="s">
        <v>29796</v>
      </c>
      <c r="AI53" s="380" t="s">
        <v>29797</v>
      </c>
      <c r="AJ53" s="380" t="s">
        <v>29798</v>
      </c>
      <c r="AK53" s="380" t="s">
        <v>29799</v>
      </c>
      <c r="AL53" s="380" t="s">
        <v>29800</v>
      </c>
      <c r="AM53" s="380" t="s">
        <v>29801</v>
      </c>
      <c r="AN53" s="380" t="s">
        <v>29802</v>
      </c>
      <c r="AO53" s="380" t="s">
        <v>30388</v>
      </c>
      <c r="AP53" s="380" t="s">
        <v>30389</v>
      </c>
      <c r="AQ53" s="380" t="s">
        <v>30390</v>
      </c>
      <c r="AR53" s="380" t="s">
        <v>30391</v>
      </c>
    </row>
    <row r="54" spans="1:44" ht="15.75" customHeight="1">
      <c r="A54" s="55"/>
      <c r="C54" s="264" t="s">
        <v>24769</v>
      </c>
      <c r="D54" s="265" t="s">
        <v>22742</v>
      </c>
      <c r="E54" s="84">
        <f>Storico_Piano_Tariffario!E54</f>
        <v>0</v>
      </c>
      <c r="F54" s="84">
        <f>Storico_Piano_Tariffario!F54</f>
        <v>0</v>
      </c>
      <c r="G54" s="84">
        <f ca="1">+G29+Input_per_calcoli_finali!K234</f>
        <v>0</v>
      </c>
      <c r="H54" s="84">
        <f ca="1">+H29+Input_per_calcoli_finali!L234</f>
        <v>0</v>
      </c>
      <c r="I54" s="84">
        <f ca="1">+I29+Input_per_calcoli_finali!M234</f>
        <v>0</v>
      </c>
      <c r="J54" s="84">
        <f ca="1">+J29+Input_per_calcoli_finali!N234</f>
        <v>0</v>
      </c>
      <c r="K54" s="80"/>
      <c r="L54" s="80"/>
      <c r="M54" s="80"/>
      <c r="N54" s="80"/>
      <c r="O54" s="80"/>
      <c r="P54" s="80"/>
      <c r="Q54" s="80"/>
      <c r="R54" s="80"/>
      <c r="S54" s="80"/>
      <c r="T54" s="80"/>
      <c r="U54" s="80"/>
      <c r="V54" s="80"/>
      <c r="W54" s="80"/>
      <c r="X54" s="80"/>
      <c r="Y54" s="80"/>
      <c r="Z54" s="80"/>
      <c r="AA54" s="80"/>
      <c r="AB54" s="80"/>
      <c r="AC54" s="80"/>
      <c r="AD54" s="80"/>
      <c r="AE54" s="80"/>
      <c r="AF54" s="80"/>
      <c r="AG54" s="80"/>
      <c r="AH54" s="80"/>
      <c r="AI54" s="80"/>
      <c r="AJ54" s="80"/>
      <c r="AK54" s="80"/>
      <c r="AL54" s="80"/>
      <c r="AM54" s="80"/>
      <c r="AN54" s="80"/>
      <c r="AO54" s="80"/>
      <c r="AP54" s="80"/>
      <c r="AQ54" s="80"/>
      <c r="AR54" s="80"/>
    </row>
    <row r="55" spans="1:44" ht="15.75" customHeight="1">
      <c r="A55" s="55"/>
      <c r="C55" s="264" t="s">
        <v>24770</v>
      </c>
      <c r="D55" s="265" t="s">
        <v>22742</v>
      </c>
      <c r="E55" s="84">
        <f>Storico_Piano_Tariffario!E55</f>
        <v>0</v>
      </c>
      <c r="F55" s="84">
        <f>Storico_Piano_Tariffario!F55</f>
        <v>0</v>
      </c>
      <c r="G55" s="84">
        <f>+G34+Input_per_calcoli_finali!K233</f>
        <v>0</v>
      </c>
      <c r="H55" s="84">
        <f>+H34+Input_per_calcoli_finali!L233</f>
        <v>0</v>
      </c>
      <c r="I55" s="84">
        <f>+I34+Input_per_calcoli_finali!M233</f>
        <v>0</v>
      </c>
      <c r="J55" s="84">
        <f>+J34+Input_per_calcoli_finali!N233</f>
        <v>0</v>
      </c>
      <c r="K55" s="80"/>
      <c r="L55" s="80"/>
      <c r="M55" s="80"/>
      <c r="N55" s="80"/>
      <c r="O55" s="80"/>
      <c r="P55" s="80"/>
      <c r="Q55" s="80"/>
      <c r="R55" s="80"/>
      <c r="S55" s="80"/>
      <c r="T55" s="80"/>
      <c r="U55" s="80"/>
      <c r="V55" s="80"/>
      <c r="W55" s="80"/>
      <c r="X55" s="80"/>
      <c r="Y55" s="80"/>
      <c r="Z55" s="80"/>
      <c r="AA55" s="80"/>
      <c r="AB55" s="80"/>
      <c r="AC55" s="80"/>
      <c r="AD55" s="80"/>
      <c r="AE55" s="80"/>
      <c r="AF55" s="80"/>
      <c r="AG55" s="80"/>
      <c r="AH55" s="80"/>
      <c r="AI55" s="80"/>
      <c r="AJ55" s="80"/>
      <c r="AK55" s="80"/>
      <c r="AL55" s="80"/>
      <c r="AM55" s="80"/>
      <c r="AN55" s="80"/>
      <c r="AO55" s="80"/>
      <c r="AP55" s="80"/>
      <c r="AQ55" s="80"/>
      <c r="AR55" s="80"/>
    </row>
    <row r="56" spans="1:44" ht="15.75" customHeight="1">
      <c r="C56" s="264" t="s">
        <v>22811</v>
      </c>
      <c r="D56" s="265" t="s">
        <v>22742</v>
      </c>
      <c r="E56" s="84">
        <f>Storico_Piano_Tariffario!E56</f>
        <v>0</v>
      </c>
      <c r="F56" s="84">
        <f>Storico_Piano_Tariffario!F56</f>
        <v>0</v>
      </c>
      <c r="G56" s="84">
        <f t="shared" ref="G56:J56" si="4">+G50</f>
        <v>0</v>
      </c>
      <c r="H56" s="84">
        <f t="shared" si="4"/>
        <v>0</v>
      </c>
      <c r="I56" s="84">
        <f t="shared" si="4"/>
        <v>0</v>
      </c>
      <c r="J56" s="84">
        <f t="shared" si="4"/>
        <v>0</v>
      </c>
      <c r="K56" s="80"/>
      <c r="L56" s="80"/>
      <c r="M56" s="80"/>
      <c r="N56" s="80"/>
      <c r="O56" s="80"/>
      <c r="P56" s="80"/>
      <c r="Q56" s="80"/>
      <c r="R56" s="80"/>
      <c r="S56" s="80"/>
      <c r="T56" s="80"/>
      <c r="U56" s="80"/>
      <c r="V56" s="80"/>
      <c r="W56" s="80"/>
      <c r="X56" s="80"/>
      <c r="Y56" s="80"/>
      <c r="Z56" s="80"/>
      <c r="AA56" s="80"/>
      <c r="AB56" s="80"/>
      <c r="AC56" s="80"/>
      <c r="AD56" s="80"/>
      <c r="AE56" s="80"/>
      <c r="AF56" s="80"/>
      <c r="AG56" s="80"/>
      <c r="AH56" s="80"/>
      <c r="AI56" s="80"/>
      <c r="AJ56" s="80"/>
      <c r="AK56" s="80"/>
      <c r="AL56" s="80"/>
      <c r="AM56" s="80"/>
      <c r="AN56" s="80"/>
      <c r="AO56" s="80"/>
      <c r="AP56" s="80"/>
      <c r="AQ56" s="80"/>
      <c r="AR56" s="80"/>
    </row>
    <row r="57" spans="1:44" ht="15.75" customHeight="1">
      <c r="C57" s="264" t="s">
        <v>24776</v>
      </c>
      <c r="D57" s="265" t="s">
        <v>22742</v>
      </c>
      <c r="E57" s="84">
        <f>Storico_Piano_Tariffario!E57</f>
        <v>0</v>
      </c>
      <c r="F57" s="84">
        <f>Storico_Piano_Tariffario!F57</f>
        <v>0</v>
      </c>
      <c r="G57" s="84">
        <f ca="1">+'Rc'!E10</f>
        <v>0</v>
      </c>
      <c r="H57" s="84">
        <f ca="1">+'Rc'!F10</f>
        <v>0</v>
      </c>
      <c r="I57" s="84">
        <f ca="1">+'Rc'!G10</f>
        <v>0</v>
      </c>
      <c r="J57" s="84">
        <f ca="1">+'Rc'!H10</f>
        <v>0</v>
      </c>
      <c r="K57" s="80"/>
      <c r="L57" s="80"/>
      <c r="M57" s="80"/>
      <c r="N57" s="80"/>
      <c r="O57" s="80"/>
      <c r="P57" s="80"/>
      <c r="Q57" s="80"/>
      <c r="R57" s="80"/>
      <c r="S57" s="80"/>
      <c r="T57" s="80"/>
      <c r="U57" s="80"/>
      <c r="V57" s="80"/>
      <c r="W57" s="80"/>
      <c r="X57" s="80"/>
      <c r="Y57" s="80"/>
      <c r="Z57" s="80"/>
      <c r="AA57" s="80"/>
      <c r="AB57" s="80"/>
      <c r="AC57" s="80"/>
      <c r="AD57" s="80"/>
      <c r="AE57" s="80"/>
      <c r="AF57" s="80"/>
      <c r="AG57" s="80"/>
      <c r="AH57" s="80"/>
      <c r="AI57" s="80"/>
      <c r="AJ57" s="80"/>
      <c r="AK57" s="80"/>
      <c r="AL57" s="80"/>
      <c r="AM57" s="80"/>
      <c r="AN57" s="80"/>
      <c r="AO57" s="80"/>
      <c r="AP57" s="80"/>
      <c r="AQ57" s="80"/>
      <c r="AR57" s="80"/>
    </row>
    <row r="58" spans="1:44" ht="15.75" customHeight="1">
      <c r="C58" s="279" t="s">
        <v>24774</v>
      </c>
      <c r="D58" s="265" t="s">
        <v>22742</v>
      </c>
      <c r="E58" s="84">
        <f>Storico_Piano_Tariffario!E58</f>
        <v>0</v>
      </c>
      <c r="F58" s="84">
        <f>Storico_Piano_Tariffario!F58</f>
        <v>0</v>
      </c>
      <c r="G58" s="84">
        <f ca="1">+G43+Input_per_calcoli_finali!K235</f>
        <v>0</v>
      </c>
      <c r="H58" s="84">
        <f ca="1">+H43+Input_per_calcoli_finali!L235</f>
        <v>0</v>
      </c>
      <c r="I58" s="84">
        <f ca="1">+I43+Input_per_calcoli_finali!M235</f>
        <v>0</v>
      </c>
      <c r="J58" s="84">
        <f ca="1">+J43+Input_per_calcoli_finali!N235</f>
        <v>0</v>
      </c>
      <c r="K58" s="80"/>
      <c r="L58" s="80"/>
      <c r="M58" s="80"/>
      <c r="N58" s="80"/>
      <c r="O58" s="80"/>
      <c r="P58" s="80"/>
      <c r="Q58" s="80"/>
      <c r="R58" s="80"/>
      <c r="S58" s="80"/>
      <c r="T58" s="80"/>
      <c r="U58" s="80"/>
      <c r="V58" s="80"/>
      <c r="W58" s="80"/>
      <c r="X58" s="80"/>
      <c r="Y58" s="80"/>
      <c r="Z58" s="80"/>
      <c r="AA58" s="80"/>
      <c r="AB58" s="80"/>
      <c r="AC58" s="80"/>
      <c r="AD58" s="80"/>
      <c r="AE58" s="80"/>
      <c r="AF58" s="80"/>
      <c r="AG58" s="80"/>
      <c r="AH58" s="80"/>
      <c r="AI58" s="80"/>
      <c r="AJ58" s="80"/>
      <c r="AK58" s="80"/>
      <c r="AL58" s="80"/>
      <c r="AM58" s="80"/>
      <c r="AN58" s="80"/>
      <c r="AO58" s="80"/>
      <c r="AP58" s="80"/>
      <c r="AQ58" s="80"/>
      <c r="AR58" s="80"/>
    </row>
    <row r="59" spans="1:44" ht="15.75" customHeight="1">
      <c r="C59" s="280" t="s">
        <v>25014</v>
      </c>
      <c r="D59" s="281" t="s">
        <v>22742</v>
      </c>
      <c r="E59" s="85">
        <f>Storico_Piano_Tariffario!E59</f>
        <v>0</v>
      </c>
      <c r="F59" s="85">
        <f>Storico_Piano_Tariffario!F59</f>
        <v>0</v>
      </c>
      <c r="G59" s="85">
        <f t="shared" ref="G59:J59" ca="1" si="5">+SUM(G54:G58)</f>
        <v>0</v>
      </c>
      <c r="H59" s="85">
        <f t="shared" ca="1" si="5"/>
        <v>0</v>
      </c>
      <c r="I59" s="85">
        <f t="shared" ca="1" si="5"/>
        <v>0</v>
      </c>
      <c r="J59" s="85">
        <f t="shared" ca="1" si="5"/>
        <v>0</v>
      </c>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0"/>
      <c r="AL59" s="90"/>
      <c r="AM59" s="90"/>
      <c r="AN59" s="90"/>
      <c r="AO59" s="90"/>
      <c r="AP59" s="90"/>
      <c r="AQ59" s="90"/>
      <c r="AR59" s="90"/>
    </row>
    <row r="60" spans="1:44" ht="12.75" customHeight="1">
      <c r="C60" s="256"/>
      <c r="D60" s="256"/>
      <c r="E60" s="256"/>
      <c r="F60" s="256"/>
      <c r="G60" s="32"/>
      <c r="I60" s="32"/>
      <c r="K60" s="32"/>
      <c r="L60" s="32"/>
      <c r="N60" s="32"/>
      <c r="P60" s="32"/>
      <c r="Q60" s="32"/>
      <c r="S60" s="32"/>
      <c r="U60" s="32"/>
      <c r="W60" s="32"/>
      <c r="Y60" s="32"/>
      <c r="AA60" s="32"/>
      <c r="AC60" s="256"/>
      <c r="AD60" s="256"/>
      <c r="AE60" s="256"/>
      <c r="AF60" s="256"/>
      <c r="AG60" s="256"/>
      <c r="AH60" s="256"/>
      <c r="AI60" s="256"/>
      <c r="AJ60" s="256"/>
      <c r="AK60" s="256"/>
      <c r="AL60" s="256"/>
      <c r="AM60" s="256"/>
      <c r="AN60" s="256"/>
      <c r="AO60" s="256"/>
      <c r="AP60" s="256"/>
      <c r="AQ60" s="256"/>
      <c r="AR60" s="256"/>
    </row>
    <row r="61" spans="1:44">
      <c r="C61" s="260" t="s">
        <v>25015</v>
      </c>
      <c r="D61" s="260"/>
      <c r="E61" s="260"/>
      <c r="F61" s="260"/>
      <c r="G61" s="260"/>
      <c r="H61" s="260"/>
      <c r="I61" s="260"/>
      <c r="J61" s="260"/>
      <c r="K61" s="260"/>
      <c r="L61" s="260"/>
      <c r="M61" s="260"/>
      <c r="N61" s="260"/>
      <c r="O61" s="260"/>
      <c r="P61" s="260"/>
      <c r="Q61" s="260"/>
      <c r="R61" s="260"/>
      <c r="S61" s="260"/>
      <c r="T61" s="260"/>
      <c r="U61" s="260"/>
      <c r="V61" s="260"/>
      <c r="W61" s="260"/>
      <c r="X61" s="260"/>
      <c r="Y61" s="260"/>
      <c r="Z61" s="260"/>
      <c r="AA61" s="260"/>
      <c r="AB61" s="260"/>
      <c r="AC61" s="260"/>
      <c r="AD61" s="260"/>
      <c r="AE61" s="260"/>
      <c r="AF61" s="260"/>
      <c r="AG61" s="260"/>
      <c r="AH61" s="260"/>
      <c r="AI61" s="260"/>
      <c r="AJ61" s="260"/>
      <c r="AK61" s="260"/>
      <c r="AL61" s="260"/>
      <c r="AM61" s="260"/>
      <c r="AN61" s="260"/>
      <c r="AO61" s="260"/>
      <c r="AP61" s="260"/>
      <c r="AQ61" s="260"/>
      <c r="AR61" s="260"/>
    </row>
    <row r="62" spans="1:44" s="55" customFormat="1" ht="12.75" customHeight="1">
      <c r="C62" s="378"/>
      <c r="D62" s="379" t="s">
        <v>22740</v>
      </c>
      <c r="E62" s="380" t="s">
        <v>29767</v>
      </c>
      <c r="F62" s="380" t="s">
        <v>29768</v>
      </c>
      <c r="G62" s="380" t="s">
        <v>29769</v>
      </c>
      <c r="H62" s="380" t="s">
        <v>29770</v>
      </c>
      <c r="I62" s="380" t="s">
        <v>29771</v>
      </c>
      <c r="J62" s="380" t="s">
        <v>29772</v>
      </c>
      <c r="K62" s="380" t="s">
        <v>29773</v>
      </c>
      <c r="L62" s="380" t="s">
        <v>29774</v>
      </c>
      <c r="M62" s="380" t="s">
        <v>29775</v>
      </c>
      <c r="N62" s="380" t="s">
        <v>29776</v>
      </c>
      <c r="O62" s="380" t="s">
        <v>29777</v>
      </c>
      <c r="P62" s="380" t="s">
        <v>29778</v>
      </c>
      <c r="Q62" s="380" t="s">
        <v>29779</v>
      </c>
      <c r="R62" s="380" t="s">
        <v>29780</v>
      </c>
      <c r="S62" s="380" t="s">
        <v>29781</v>
      </c>
      <c r="T62" s="380" t="s">
        <v>29782</v>
      </c>
      <c r="U62" s="380" t="s">
        <v>29783</v>
      </c>
      <c r="V62" s="380" t="s">
        <v>29784</v>
      </c>
      <c r="W62" s="380" t="s">
        <v>29785</v>
      </c>
      <c r="X62" s="380" t="s">
        <v>29786</v>
      </c>
      <c r="Y62" s="380" t="s">
        <v>29787</v>
      </c>
      <c r="Z62" s="380" t="s">
        <v>29788</v>
      </c>
      <c r="AA62" s="380" t="s">
        <v>29789</v>
      </c>
      <c r="AB62" s="380" t="s">
        <v>29790</v>
      </c>
      <c r="AC62" s="380" t="s">
        <v>29791</v>
      </c>
      <c r="AD62" s="380" t="s">
        <v>29792</v>
      </c>
      <c r="AE62" s="380" t="s">
        <v>29793</v>
      </c>
      <c r="AF62" s="380" t="s">
        <v>29794</v>
      </c>
      <c r="AG62" s="380" t="s">
        <v>29795</v>
      </c>
      <c r="AH62" s="380" t="s">
        <v>29796</v>
      </c>
      <c r="AI62" s="380" t="s">
        <v>29797</v>
      </c>
      <c r="AJ62" s="380" t="s">
        <v>29798</v>
      </c>
      <c r="AK62" s="380" t="s">
        <v>29799</v>
      </c>
      <c r="AL62" s="380" t="s">
        <v>29800</v>
      </c>
      <c r="AM62" s="380" t="s">
        <v>29801</v>
      </c>
      <c r="AN62" s="380" t="s">
        <v>29802</v>
      </c>
      <c r="AO62" s="380" t="s">
        <v>30388</v>
      </c>
      <c r="AP62" s="380" t="s">
        <v>30389</v>
      </c>
      <c r="AQ62" s="380" t="s">
        <v>30390</v>
      </c>
      <c r="AR62" s="380" t="s">
        <v>30391</v>
      </c>
    </row>
    <row r="63" spans="1:44" ht="15.75" customHeight="1">
      <c r="C63" s="282" t="s">
        <v>25017</v>
      </c>
      <c r="D63" s="283" t="s">
        <v>22742</v>
      </c>
      <c r="E63" s="250">
        <f>Storico_Piano_Tariffario!E63</f>
        <v>0</v>
      </c>
      <c r="F63" s="250">
        <f>Storico_Piano_Tariffario!F63</f>
        <v>0</v>
      </c>
      <c r="G63" s="250">
        <f t="shared" ref="G63:J63" ca="1" si="6">+G59</f>
        <v>0</v>
      </c>
      <c r="H63" s="250">
        <f t="shared" ca="1" si="6"/>
        <v>0</v>
      </c>
      <c r="I63" s="250">
        <f t="shared" ca="1" si="6"/>
        <v>0</v>
      </c>
      <c r="J63" s="250">
        <f t="shared" ca="1" si="6"/>
        <v>0</v>
      </c>
      <c r="K63" s="251"/>
      <c r="L63" s="251"/>
      <c r="M63" s="251"/>
      <c r="N63" s="251"/>
      <c r="O63" s="251"/>
      <c r="P63" s="251"/>
      <c r="Q63" s="251"/>
      <c r="R63" s="251"/>
      <c r="S63" s="251"/>
      <c r="T63" s="251"/>
      <c r="U63" s="251"/>
      <c r="V63" s="251"/>
      <c r="W63" s="251"/>
      <c r="X63" s="251"/>
      <c r="Y63" s="251"/>
      <c r="Z63" s="251"/>
      <c r="AA63" s="251"/>
      <c r="AB63" s="251"/>
      <c r="AC63" s="251"/>
      <c r="AD63" s="251"/>
      <c r="AE63" s="251"/>
      <c r="AF63" s="251"/>
      <c r="AG63" s="251"/>
      <c r="AH63" s="251"/>
      <c r="AI63" s="251"/>
      <c r="AJ63" s="251"/>
      <c r="AK63" s="251"/>
      <c r="AL63" s="251"/>
      <c r="AM63" s="251"/>
      <c r="AN63" s="251"/>
      <c r="AO63" s="251"/>
      <c r="AP63" s="251"/>
      <c r="AQ63" s="251"/>
      <c r="AR63" s="251"/>
    </row>
    <row r="64" spans="1:44" ht="15.75" customHeight="1">
      <c r="C64" s="284" t="s">
        <v>24775</v>
      </c>
      <c r="D64" s="265" t="s">
        <v>22742</v>
      </c>
      <c r="E64" s="84">
        <f>Storico_Piano_Tariffario!E64</f>
        <v>0</v>
      </c>
      <c r="F64" s="84">
        <f>Storico_Piano_Tariffario!F64</f>
        <v>0</v>
      </c>
      <c r="G64" s="84">
        <f>+VRG_Teta!E56</f>
        <v>0</v>
      </c>
      <c r="H64" s="84">
        <f>+VRG_Teta!F56</f>
        <v>0</v>
      </c>
      <c r="I64" s="84">
        <f>+VRG_Teta!G56</f>
        <v>0</v>
      </c>
      <c r="J64" s="84">
        <f>+VRG_Teta!H56</f>
        <v>0</v>
      </c>
      <c r="K64" s="80"/>
      <c r="L64" s="80"/>
      <c r="M64" s="80"/>
      <c r="N64" s="80"/>
      <c r="O64" s="80"/>
      <c r="P64" s="80"/>
      <c r="Q64" s="80"/>
      <c r="R64" s="80"/>
      <c r="S64" s="80"/>
      <c r="T64" s="80"/>
      <c r="U64" s="80"/>
      <c r="V64" s="80"/>
      <c r="W64" s="80"/>
      <c r="X64" s="80"/>
      <c r="Y64" s="80"/>
      <c r="Z64" s="80"/>
      <c r="AA64" s="80"/>
      <c r="AB64" s="80"/>
      <c r="AC64" s="80"/>
      <c r="AD64" s="80"/>
      <c r="AE64" s="80"/>
      <c r="AF64" s="80"/>
      <c r="AG64" s="80"/>
      <c r="AH64" s="80"/>
      <c r="AI64" s="80"/>
      <c r="AJ64" s="80"/>
      <c r="AK64" s="80"/>
      <c r="AL64" s="80"/>
      <c r="AM64" s="80"/>
      <c r="AN64" s="80"/>
      <c r="AO64" s="80"/>
      <c r="AP64" s="80"/>
      <c r="AQ64" s="80"/>
      <c r="AR64" s="80"/>
    </row>
    <row r="65" spans="3:44" ht="15.75" customHeight="1">
      <c r="C65" s="1434" t="s">
        <v>30597</v>
      </c>
      <c r="D65" s="265" t="s">
        <v>22742</v>
      </c>
      <c r="E65" s="84">
        <f>Storico_Piano_Tariffario!E65</f>
        <v>0</v>
      </c>
      <c r="F65" s="84">
        <f>Storico_Piano_Tariffario!F65</f>
        <v>0</v>
      </c>
      <c r="G65" s="84">
        <f>+VRG_Teta!E55</f>
        <v>0</v>
      </c>
      <c r="H65" s="84">
        <f>+VRG_Teta!F55</f>
        <v>0</v>
      </c>
      <c r="I65" s="84">
        <f>+VRG_Teta!G55</f>
        <v>0</v>
      </c>
      <c r="J65" s="84">
        <f>+VRG_Teta!H55</f>
        <v>0</v>
      </c>
      <c r="K65" s="80"/>
      <c r="L65" s="80"/>
      <c r="M65" s="80"/>
      <c r="N65" s="80"/>
      <c r="O65" s="80"/>
      <c r="P65" s="80"/>
      <c r="Q65" s="80"/>
      <c r="R65" s="80"/>
      <c r="S65" s="80"/>
      <c r="T65" s="80"/>
      <c r="U65" s="80"/>
      <c r="V65" s="80"/>
      <c r="W65" s="80"/>
      <c r="X65" s="80"/>
      <c r="Y65" s="80"/>
      <c r="Z65" s="80"/>
      <c r="AA65" s="80"/>
      <c r="AB65" s="80"/>
      <c r="AC65" s="80"/>
      <c r="AD65" s="80"/>
      <c r="AE65" s="80"/>
      <c r="AF65" s="80"/>
      <c r="AG65" s="80"/>
      <c r="AH65" s="80"/>
      <c r="AI65" s="80"/>
      <c r="AJ65" s="80"/>
      <c r="AK65" s="80"/>
      <c r="AL65" s="80"/>
      <c r="AM65" s="80"/>
      <c r="AN65" s="80"/>
      <c r="AO65" s="80"/>
      <c r="AP65" s="80"/>
      <c r="AQ65" s="80"/>
      <c r="AR65" s="80"/>
    </row>
    <row r="66" spans="3:44" ht="15.75" customHeight="1">
      <c r="C66" s="285" t="s">
        <v>25016</v>
      </c>
      <c r="D66" s="286" t="s">
        <v>25009</v>
      </c>
      <c r="E66" s="244">
        <f>Storico_Piano_Tariffario!E66</f>
        <v>0</v>
      </c>
      <c r="F66" s="244">
        <f>Storico_Piano_Tariffario!F66</f>
        <v>0</v>
      </c>
      <c r="G66" s="244" t="str">
        <f ca="1">+VRG_Teta!E75</f>
        <v/>
      </c>
      <c r="H66" s="244" t="str">
        <f ca="1">+VRG_Teta!F75</f>
        <v/>
      </c>
      <c r="I66" s="244" t="str">
        <f ca="1">+VRG_Teta!G75</f>
        <v/>
      </c>
      <c r="J66" s="244" t="str">
        <f ca="1">+VRG_Teta!H75</f>
        <v/>
      </c>
      <c r="K66" s="245"/>
      <c r="L66" s="245"/>
      <c r="M66" s="245"/>
      <c r="N66" s="245"/>
      <c r="O66" s="245"/>
      <c r="P66" s="245"/>
      <c r="Q66" s="245"/>
      <c r="R66" s="245"/>
      <c r="S66" s="245"/>
      <c r="T66" s="245"/>
      <c r="U66" s="245"/>
      <c r="V66" s="245"/>
      <c r="W66" s="245"/>
      <c r="X66" s="245"/>
      <c r="Y66" s="245"/>
      <c r="Z66" s="245"/>
      <c r="AA66" s="245"/>
      <c r="AB66" s="245"/>
      <c r="AC66" s="245"/>
      <c r="AD66" s="245"/>
      <c r="AE66" s="245"/>
      <c r="AF66" s="245"/>
      <c r="AG66" s="245"/>
      <c r="AH66" s="245"/>
      <c r="AI66" s="245"/>
      <c r="AJ66" s="245"/>
      <c r="AK66" s="245"/>
      <c r="AL66" s="245"/>
      <c r="AM66" s="245"/>
      <c r="AN66" s="245"/>
      <c r="AO66" s="245"/>
      <c r="AP66" s="245"/>
      <c r="AQ66" s="245"/>
      <c r="AR66" s="245"/>
    </row>
    <row r="67" spans="3:44" ht="12.75" customHeight="1">
      <c r="C67" s="256"/>
      <c r="D67" s="256"/>
      <c r="E67" s="256"/>
      <c r="F67" s="256"/>
      <c r="G67" s="32"/>
      <c r="I67" s="32"/>
      <c r="K67" s="32"/>
      <c r="L67" s="32"/>
      <c r="N67" s="32"/>
      <c r="P67" s="32"/>
      <c r="Q67" s="32"/>
      <c r="S67" s="32"/>
      <c r="U67" s="32"/>
      <c r="W67" s="32"/>
      <c r="Y67" s="32"/>
      <c r="AA67" s="32"/>
      <c r="AC67" s="256"/>
      <c r="AD67" s="256"/>
      <c r="AE67" s="256"/>
      <c r="AF67" s="256"/>
      <c r="AG67" s="256"/>
      <c r="AH67" s="256"/>
      <c r="AI67" s="256"/>
      <c r="AJ67" s="256"/>
      <c r="AK67" s="256"/>
      <c r="AL67" s="256"/>
      <c r="AM67" s="256"/>
      <c r="AN67" s="256"/>
      <c r="AO67" s="256"/>
      <c r="AP67" s="256"/>
      <c r="AQ67" s="256"/>
      <c r="AR67" s="256"/>
    </row>
    <row r="68" spans="3:44" ht="15.75" customHeight="1">
      <c r="C68" s="260" t="s">
        <v>26054</v>
      </c>
      <c r="D68" s="260"/>
      <c r="E68" s="260"/>
      <c r="F68" s="260"/>
      <c r="G68" s="260"/>
      <c r="H68" s="260"/>
      <c r="I68" s="260"/>
      <c r="J68" s="260"/>
      <c r="K68" s="260"/>
      <c r="L68" s="260"/>
      <c r="M68" s="260"/>
      <c r="N68" s="260"/>
      <c r="O68" s="260"/>
      <c r="P68" s="260"/>
      <c r="Q68" s="260"/>
      <c r="R68" s="260"/>
      <c r="S68" s="260"/>
      <c r="T68" s="260"/>
      <c r="U68" s="260"/>
      <c r="V68" s="260"/>
      <c r="W68" s="260"/>
      <c r="X68" s="260"/>
      <c r="Y68" s="260"/>
      <c r="Z68" s="260"/>
      <c r="AA68" s="260"/>
      <c r="AB68" s="260"/>
      <c r="AC68" s="260"/>
      <c r="AD68" s="260"/>
      <c r="AE68" s="260"/>
      <c r="AF68" s="260"/>
      <c r="AG68" s="260"/>
      <c r="AH68" s="260"/>
      <c r="AI68" s="260"/>
      <c r="AJ68" s="260"/>
      <c r="AK68" s="260"/>
      <c r="AL68" s="260"/>
      <c r="AM68" s="260"/>
      <c r="AN68" s="260"/>
      <c r="AO68" s="260"/>
      <c r="AP68" s="260"/>
      <c r="AQ68" s="260"/>
      <c r="AR68" s="260"/>
    </row>
    <row r="69" spans="3:44" s="55" customFormat="1" ht="12.75" customHeight="1">
      <c r="C69" s="378"/>
      <c r="D69" s="381" t="s">
        <v>22740</v>
      </c>
      <c r="E69" s="380" t="s">
        <v>29767</v>
      </c>
      <c r="F69" s="380" t="s">
        <v>29768</v>
      </c>
      <c r="G69" s="380" t="s">
        <v>29769</v>
      </c>
      <c r="H69" s="380" t="s">
        <v>29770</v>
      </c>
      <c r="I69" s="380" t="s">
        <v>29771</v>
      </c>
      <c r="J69" s="380" t="s">
        <v>29772</v>
      </c>
      <c r="K69" s="380" t="s">
        <v>29773</v>
      </c>
      <c r="L69" s="380" t="s">
        <v>29774</v>
      </c>
      <c r="M69" s="380" t="s">
        <v>29775</v>
      </c>
      <c r="N69" s="380" t="s">
        <v>29776</v>
      </c>
      <c r="O69" s="380" t="s">
        <v>29777</v>
      </c>
      <c r="P69" s="380" t="s">
        <v>29778</v>
      </c>
      <c r="Q69" s="380" t="s">
        <v>29779</v>
      </c>
      <c r="R69" s="380" t="s">
        <v>29780</v>
      </c>
      <c r="S69" s="380" t="s">
        <v>29781</v>
      </c>
      <c r="T69" s="380" t="s">
        <v>29782</v>
      </c>
      <c r="U69" s="380" t="s">
        <v>29783</v>
      </c>
      <c r="V69" s="380" t="s">
        <v>29784</v>
      </c>
      <c r="W69" s="380" t="s">
        <v>29785</v>
      </c>
      <c r="X69" s="380" t="s">
        <v>29786</v>
      </c>
      <c r="Y69" s="380" t="s">
        <v>29787</v>
      </c>
      <c r="Z69" s="380" t="s">
        <v>29788</v>
      </c>
      <c r="AA69" s="380" t="s">
        <v>29789</v>
      </c>
      <c r="AB69" s="380" t="s">
        <v>29790</v>
      </c>
      <c r="AC69" s="380" t="s">
        <v>29791</v>
      </c>
      <c r="AD69" s="380" t="s">
        <v>29792</v>
      </c>
      <c r="AE69" s="380" t="s">
        <v>29793</v>
      </c>
      <c r="AF69" s="380" t="s">
        <v>29794</v>
      </c>
      <c r="AG69" s="380" t="s">
        <v>29795</v>
      </c>
      <c r="AH69" s="380" t="s">
        <v>29796</v>
      </c>
      <c r="AI69" s="380" t="s">
        <v>29797</v>
      </c>
      <c r="AJ69" s="380" t="s">
        <v>29798</v>
      </c>
      <c r="AK69" s="380" t="s">
        <v>29799</v>
      </c>
      <c r="AL69" s="380" t="s">
        <v>29800</v>
      </c>
      <c r="AM69" s="380" t="s">
        <v>29801</v>
      </c>
      <c r="AN69" s="380" t="s">
        <v>29802</v>
      </c>
      <c r="AO69" s="380" t="s">
        <v>30388</v>
      </c>
      <c r="AP69" s="380" t="s">
        <v>30389</v>
      </c>
      <c r="AQ69" s="380" t="s">
        <v>30390</v>
      </c>
      <c r="AR69" s="380" t="s">
        <v>30391</v>
      </c>
    </row>
    <row r="70" spans="3:44" ht="15.75" customHeight="1">
      <c r="C70" s="284" t="s">
        <v>22824</v>
      </c>
      <c r="D70" s="234" t="s">
        <v>25009</v>
      </c>
      <c r="E70" s="95">
        <f>Storico_Piano_Tariffario!E70</f>
        <v>0</v>
      </c>
      <c r="F70" s="95">
        <f>Storico_Piano_Tariffario!F70</f>
        <v>0</v>
      </c>
      <c r="G70" s="95" t="str">
        <f>+VRG_Teta!E84</f>
        <v/>
      </c>
      <c r="H70" s="95" t="str">
        <f ca="1">+VRG_Teta!F84</f>
        <v/>
      </c>
      <c r="I70" s="95" t="str">
        <f ca="1">+VRG_Teta!G84</f>
        <v/>
      </c>
      <c r="J70" s="95" t="str">
        <f ca="1">+VRG_Teta!H84</f>
        <v/>
      </c>
      <c r="K70" s="91"/>
      <c r="L70" s="91"/>
      <c r="M70" s="91"/>
      <c r="N70" s="91"/>
      <c r="O70" s="91"/>
      <c r="P70" s="91"/>
      <c r="Q70" s="91"/>
      <c r="R70" s="91"/>
      <c r="S70" s="91"/>
      <c r="T70" s="91"/>
      <c r="U70" s="91"/>
      <c r="V70" s="91"/>
      <c r="W70" s="91"/>
      <c r="X70" s="91"/>
      <c r="Y70" s="91"/>
      <c r="Z70" s="91"/>
      <c r="AA70" s="91"/>
      <c r="AB70" s="91"/>
      <c r="AC70" s="91"/>
      <c r="AD70" s="91"/>
      <c r="AE70" s="91"/>
      <c r="AF70" s="91"/>
      <c r="AG70" s="91"/>
      <c r="AH70" s="91"/>
      <c r="AI70" s="91"/>
      <c r="AJ70" s="91"/>
      <c r="AK70" s="91"/>
      <c r="AL70" s="91"/>
      <c r="AM70" s="91"/>
      <c r="AN70" s="91"/>
      <c r="AO70" s="91"/>
      <c r="AP70" s="91"/>
      <c r="AQ70" s="91"/>
      <c r="AR70" s="91"/>
    </row>
    <row r="71" spans="3:44" ht="15.75" customHeight="1">
      <c r="C71" s="287" t="s">
        <v>25012</v>
      </c>
      <c r="D71" s="288" t="s">
        <v>22742</v>
      </c>
      <c r="E71" s="246">
        <f>Storico_Piano_Tariffario!E71</f>
        <v>0</v>
      </c>
      <c r="F71" s="246">
        <f>Storico_Piano_Tariffario!F71</f>
        <v>0</v>
      </c>
      <c r="G71" s="246">
        <f ca="1">++MIN(VRG_Teta!E81,VRG_Teta!E83)</f>
        <v>0</v>
      </c>
      <c r="H71" s="246">
        <f ca="1">++MIN(VRG_Teta!F81,VRG_Teta!F83)</f>
        <v>0</v>
      </c>
      <c r="I71" s="246">
        <f ca="1">++MIN(VRG_Teta!G81,VRG_Teta!G83)</f>
        <v>0</v>
      </c>
      <c r="J71" s="246">
        <f ca="1">++MIN(VRG_Teta!H81,VRG_Teta!H83)</f>
        <v>0</v>
      </c>
      <c r="K71" s="247"/>
      <c r="L71" s="247"/>
      <c r="M71" s="247"/>
      <c r="N71" s="247"/>
      <c r="O71" s="247"/>
      <c r="P71" s="247"/>
      <c r="Q71" s="247"/>
      <c r="R71" s="247"/>
      <c r="S71" s="247"/>
      <c r="T71" s="247"/>
      <c r="U71" s="247"/>
      <c r="V71" s="247"/>
      <c r="W71" s="247"/>
      <c r="X71" s="248"/>
      <c r="Y71" s="247"/>
      <c r="Z71" s="247"/>
      <c r="AA71" s="247"/>
      <c r="AB71" s="247"/>
      <c r="AC71" s="247"/>
      <c r="AD71" s="247"/>
      <c r="AE71" s="247"/>
      <c r="AF71" s="247"/>
      <c r="AG71" s="247"/>
      <c r="AH71" s="247"/>
      <c r="AI71" s="247"/>
      <c r="AJ71" s="247"/>
      <c r="AK71" s="247"/>
      <c r="AL71" s="247"/>
      <c r="AM71" s="247"/>
      <c r="AN71" s="247"/>
      <c r="AO71" s="247"/>
      <c r="AP71" s="247"/>
      <c r="AQ71" s="247"/>
      <c r="AR71" s="247"/>
    </row>
    <row r="72" spans="3:44" ht="15.75" customHeight="1">
      <c r="C72" s="289" t="s">
        <v>25013</v>
      </c>
      <c r="D72" s="288" t="s">
        <v>25010</v>
      </c>
      <c r="E72" s="249">
        <f>Storico_Piano_Tariffario!E72</f>
        <v>0</v>
      </c>
      <c r="F72" s="249">
        <f>Storico_Piano_Tariffario!F72</f>
        <v>0</v>
      </c>
      <c r="G72" s="249" t="str">
        <f>+IFERROR(IF(mti_4="escluso dall'aggiornamento",1,MIN(VRG_Teta!E82,+VRG_Teta!E84)),"")</f>
        <v/>
      </c>
      <c r="H72" s="249" t="str">
        <f ca="1">+IFERROR(IF(mti_4="escluso dall'aggiornamento",1,MIN(VRG_Teta!F82,+VRG_Teta!F84)),"")</f>
        <v/>
      </c>
      <c r="I72" s="249" t="str">
        <f ca="1">+IFERROR(IF(mti_4="escluso dall'aggiornamento",1,MIN(VRG_Teta!G82,+VRG_Teta!G84)),"")</f>
        <v/>
      </c>
      <c r="J72" s="249" t="str">
        <f ca="1">+IFERROR(IF(mti_4="escluso dall'aggiornamento",1,MIN(VRG_Teta!H82,+VRG_Teta!H84)),"")</f>
        <v/>
      </c>
      <c r="K72" s="247"/>
      <c r="L72" s="247"/>
      <c r="M72" s="247"/>
      <c r="N72" s="247"/>
      <c r="O72" s="247"/>
      <c r="P72" s="247"/>
      <c r="Q72" s="247"/>
      <c r="R72" s="247"/>
      <c r="S72" s="247"/>
      <c r="T72" s="247"/>
      <c r="U72" s="247"/>
      <c r="V72" s="247"/>
      <c r="W72" s="247"/>
      <c r="X72" s="247"/>
      <c r="Y72" s="247"/>
      <c r="Z72" s="247"/>
      <c r="AA72" s="247"/>
      <c r="AB72" s="247"/>
      <c r="AC72" s="247"/>
      <c r="AD72" s="247"/>
      <c r="AE72" s="247"/>
      <c r="AF72" s="247"/>
      <c r="AG72" s="247"/>
      <c r="AH72" s="247"/>
      <c r="AI72" s="247"/>
      <c r="AJ72" s="247"/>
      <c r="AK72" s="247"/>
      <c r="AL72" s="247"/>
      <c r="AM72" s="247"/>
      <c r="AN72" s="247"/>
      <c r="AO72" s="247"/>
      <c r="AP72" s="247"/>
      <c r="AQ72" s="247"/>
      <c r="AR72" s="247"/>
    </row>
    <row r="73" spans="3:44" ht="12.75" customHeight="1">
      <c r="D73" s="278"/>
      <c r="E73" s="290"/>
      <c r="F73" s="1828"/>
      <c r="G73" s="1828"/>
      <c r="H73" s="1828"/>
      <c r="I73" s="291"/>
      <c r="J73" s="291"/>
      <c r="K73" s="291"/>
      <c r="L73" s="291"/>
      <c r="M73" s="291"/>
      <c r="N73" s="291"/>
      <c r="O73" s="291"/>
      <c r="P73" s="291"/>
      <c r="Q73" s="291"/>
      <c r="R73" s="291"/>
      <c r="S73" s="291"/>
      <c r="T73" s="291"/>
      <c r="U73" s="291"/>
      <c r="V73" s="291"/>
      <c r="W73" s="291"/>
      <c r="X73" s="291"/>
      <c r="Y73" s="291"/>
      <c r="Z73" s="291"/>
      <c r="AA73" s="291"/>
      <c r="AB73" s="291"/>
      <c r="AC73" s="291"/>
      <c r="AD73" s="291"/>
      <c r="AE73" s="291"/>
      <c r="AF73" s="291"/>
      <c r="AG73" s="291"/>
      <c r="AH73" s="291"/>
      <c r="AI73" s="291"/>
      <c r="AJ73" s="291"/>
      <c r="AK73" s="291"/>
      <c r="AL73" s="291"/>
      <c r="AM73" s="291"/>
      <c r="AN73" s="291"/>
      <c r="AO73" s="291"/>
      <c r="AP73" s="291"/>
      <c r="AQ73" s="291"/>
      <c r="AR73" s="291"/>
    </row>
    <row r="74" spans="3:44" ht="15.75" customHeight="1">
      <c r="C74" s="260" t="s">
        <v>31205</v>
      </c>
      <c r="D74" s="260"/>
      <c r="E74" s="260"/>
      <c r="F74" s="260"/>
      <c r="G74" s="260"/>
      <c r="H74" s="260"/>
      <c r="I74" s="260"/>
      <c r="J74" s="260"/>
      <c r="K74" s="260"/>
      <c r="L74" s="260"/>
      <c r="M74" s="260"/>
      <c r="N74" s="260"/>
      <c r="O74" s="260"/>
      <c r="P74" s="260"/>
      <c r="Q74" s="260"/>
      <c r="R74" s="260"/>
      <c r="S74" s="260"/>
      <c r="T74" s="260"/>
      <c r="U74" s="260"/>
      <c r="V74" s="260"/>
      <c r="W74" s="260"/>
      <c r="X74" s="260"/>
      <c r="Y74" s="260"/>
      <c r="Z74" s="260"/>
      <c r="AA74" s="260"/>
      <c r="AB74" s="260"/>
      <c r="AC74" s="260"/>
      <c r="AD74" s="260"/>
      <c r="AE74" s="260"/>
      <c r="AF74" s="260"/>
      <c r="AG74" s="260"/>
      <c r="AH74" s="260"/>
      <c r="AI74" s="260"/>
      <c r="AJ74" s="260"/>
      <c r="AK74" s="260"/>
      <c r="AL74" s="260"/>
      <c r="AM74" s="260"/>
      <c r="AN74" s="260"/>
      <c r="AO74" s="260"/>
      <c r="AP74" s="260"/>
      <c r="AQ74" s="260"/>
      <c r="AR74" s="260"/>
    </row>
    <row r="75" spans="3:44" ht="12.75" customHeight="1">
      <c r="D75" s="379" t="s">
        <v>22740</v>
      </c>
      <c r="E75" s="380" t="s">
        <v>29767</v>
      </c>
      <c r="F75" s="380" t="s">
        <v>29768</v>
      </c>
      <c r="G75" s="380" t="s">
        <v>29769</v>
      </c>
      <c r="H75" s="380" t="s">
        <v>29770</v>
      </c>
      <c r="I75" s="380" t="s">
        <v>29771</v>
      </c>
      <c r="J75" s="380" t="s">
        <v>29772</v>
      </c>
      <c r="K75" s="380" t="s">
        <v>29773</v>
      </c>
      <c r="L75" s="380" t="s">
        <v>29774</v>
      </c>
      <c r="M75" s="380" t="s">
        <v>29775</v>
      </c>
      <c r="N75" s="380" t="s">
        <v>29776</v>
      </c>
      <c r="O75" s="380" t="s">
        <v>29777</v>
      </c>
      <c r="P75" s="380" t="s">
        <v>29778</v>
      </c>
      <c r="Q75" s="380" t="s">
        <v>29779</v>
      </c>
      <c r="R75" s="380" t="s">
        <v>29780</v>
      </c>
      <c r="S75" s="380" t="s">
        <v>29781</v>
      </c>
      <c r="T75" s="380" t="s">
        <v>29782</v>
      </c>
      <c r="U75" s="380" t="s">
        <v>29783</v>
      </c>
      <c r="V75" s="380" t="s">
        <v>29784</v>
      </c>
      <c r="W75" s="380" t="s">
        <v>29785</v>
      </c>
      <c r="X75" s="380" t="s">
        <v>29786</v>
      </c>
      <c r="Y75" s="380" t="s">
        <v>29787</v>
      </c>
      <c r="Z75" s="380" t="s">
        <v>29788</v>
      </c>
      <c r="AA75" s="380" t="s">
        <v>29789</v>
      </c>
      <c r="AB75" s="380" t="s">
        <v>29790</v>
      </c>
      <c r="AC75" s="380" t="s">
        <v>29791</v>
      </c>
      <c r="AD75" s="380" t="s">
        <v>29792</v>
      </c>
      <c r="AE75" s="380" t="s">
        <v>29793</v>
      </c>
      <c r="AF75" s="380" t="s">
        <v>29794</v>
      </c>
      <c r="AG75" s="380" t="s">
        <v>29795</v>
      </c>
      <c r="AH75" s="380" t="s">
        <v>29796</v>
      </c>
      <c r="AI75" s="380" t="s">
        <v>29797</v>
      </c>
      <c r="AJ75" s="380" t="s">
        <v>29798</v>
      </c>
      <c r="AK75" s="380" t="s">
        <v>29799</v>
      </c>
      <c r="AL75" s="380" t="s">
        <v>29800</v>
      </c>
      <c r="AM75" s="380" t="s">
        <v>29801</v>
      </c>
      <c r="AN75" s="380" t="s">
        <v>29802</v>
      </c>
      <c r="AO75" s="380" t="s">
        <v>30388</v>
      </c>
      <c r="AP75" s="380" t="s">
        <v>30389</v>
      </c>
      <c r="AQ75" s="380" t="s">
        <v>30390</v>
      </c>
      <c r="AR75" s="380" t="s">
        <v>30391</v>
      </c>
    </row>
    <row r="76" spans="3:44" ht="15.75" customHeight="1">
      <c r="C76" s="2430" t="s">
        <v>31207</v>
      </c>
      <c r="D76" s="2431" t="s">
        <v>28829</v>
      </c>
      <c r="E76" s="2432">
        <f>Storico_Piano_Tariffario!E76</f>
        <v>0</v>
      </c>
      <c r="F76" s="2432">
        <f>Storico_Piano_Tariffario!F76</f>
        <v>0</v>
      </c>
      <c r="G76" s="2432" t="str">
        <f>Opex!E325</f>
        <v/>
      </c>
      <c r="H76" s="2432" t="str">
        <f>Opex!F325</f>
        <v/>
      </c>
      <c r="I76" s="2432" t="str">
        <f>Opex!G325</f>
        <v/>
      </c>
      <c r="J76" s="2432" t="str">
        <f>Opex!H325</f>
        <v/>
      </c>
      <c r="K76" s="2433"/>
      <c r="L76" s="2433"/>
      <c r="M76" s="2433"/>
      <c r="N76" s="2433"/>
      <c r="O76" s="2433"/>
      <c r="P76" s="2433"/>
      <c r="Q76" s="2433"/>
      <c r="R76" s="2433"/>
      <c r="S76" s="2433"/>
      <c r="T76" s="2433"/>
      <c r="U76" s="2433"/>
      <c r="V76" s="2433"/>
      <c r="W76" s="2433"/>
      <c r="X76" s="2433"/>
      <c r="Y76" s="2433"/>
      <c r="Z76" s="2433"/>
      <c r="AA76" s="2433"/>
      <c r="AB76" s="2433"/>
      <c r="AC76" s="2433"/>
      <c r="AD76" s="2433"/>
      <c r="AE76" s="2433"/>
      <c r="AF76" s="2433"/>
      <c r="AG76" s="2433"/>
      <c r="AH76" s="2433"/>
      <c r="AI76" s="2433"/>
      <c r="AJ76" s="2433"/>
      <c r="AK76" s="2433"/>
      <c r="AL76" s="2433"/>
      <c r="AM76" s="2433"/>
      <c r="AN76" s="2433"/>
      <c r="AO76" s="2433"/>
      <c r="AP76" s="2433"/>
      <c r="AQ76" s="2433"/>
      <c r="AR76" s="2433"/>
    </row>
    <row r="77" spans="3:44" ht="15.75" customHeight="1">
      <c r="C77" s="1445" t="s">
        <v>27089</v>
      </c>
      <c r="D77" s="265" t="s">
        <v>22742</v>
      </c>
      <c r="E77" s="84">
        <f>Storico_Piano_Tariffario!E77</f>
        <v>0</v>
      </c>
      <c r="F77" s="84">
        <f>Storico_Piano_Tariffario!F77</f>
        <v>0</v>
      </c>
      <c r="G77" s="84">
        <f>Opex!E326</f>
        <v>0</v>
      </c>
      <c r="H77" s="84">
        <f>Opex!F326</f>
        <v>0</v>
      </c>
      <c r="I77" s="84">
        <f>Opex!G326</f>
        <v>0</v>
      </c>
      <c r="J77" s="84">
        <f>Opex!H326</f>
        <v>0</v>
      </c>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row>
    <row r="78" spans="3:44" ht="12.75" customHeight="1">
      <c r="D78" s="278"/>
      <c r="E78" s="290"/>
      <c r="F78" s="290"/>
      <c r="G78" s="290"/>
      <c r="H78" s="290"/>
      <c r="I78" s="291"/>
      <c r="J78" s="291"/>
      <c r="K78" s="291"/>
      <c r="L78" s="291"/>
      <c r="M78" s="291"/>
      <c r="N78" s="291"/>
      <c r="O78" s="291"/>
      <c r="P78" s="291"/>
      <c r="Q78" s="291"/>
      <c r="R78" s="291"/>
      <c r="S78" s="291"/>
      <c r="T78" s="291"/>
      <c r="U78" s="291"/>
      <c r="V78" s="291"/>
      <c r="W78" s="291"/>
      <c r="X78" s="291"/>
      <c r="Y78" s="291"/>
      <c r="Z78" s="291"/>
      <c r="AA78" s="291"/>
      <c r="AB78" s="291"/>
      <c r="AC78" s="291"/>
      <c r="AD78" s="291"/>
      <c r="AE78" s="291"/>
      <c r="AF78" s="291"/>
      <c r="AG78" s="291"/>
      <c r="AH78" s="291"/>
      <c r="AI78" s="291"/>
      <c r="AJ78" s="291"/>
      <c r="AK78" s="291"/>
      <c r="AL78" s="291"/>
      <c r="AM78" s="291"/>
      <c r="AN78" s="291"/>
      <c r="AO78" s="291"/>
      <c r="AP78" s="291"/>
      <c r="AQ78" s="291"/>
      <c r="AR78" s="291"/>
    </row>
    <row r="79" spans="3:44" ht="15.75" customHeight="1">
      <c r="C79" s="260" t="s">
        <v>22747</v>
      </c>
      <c r="D79" s="260"/>
      <c r="E79" s="260"/>
      <c r="F79" s="260"/>
      <c r="G79" s="260"/>
      <c r="H79" s="260"/>
      <c r="I79" s="260"/>
      <c r="J79" s="260"/>
      <c r="K79" s="260"/>
      <c r="L79" s="260"/>
      <c r="M79" s="260"/>
      <c r="N79" s="260"/>
      <c r="O79" s="260"/>
      <c r="P79" s="260"/>
      <c r="Q79" s="260"/>
      <c r="R79" s="260"/>
      <c r="S79" s="260"/>
      <c r="T79" s="260"/>
      <c r="U79" s="260"/>
      <c r="V79" s="260"/>
      <c r="W79" s="260"/>
      <c r="X79" s="260"/>
      <c r="Y79" s="260"/>
      <c r="Z79" s="260"/>
      <c r="AA79" s="260"/>
      <c r="AB79" s="260"/>
      <c r="AC79" s="260"/>
      <c r="AD79" s="260"/>
      <c r="AE79" s="260"/>
      <c r="AF79" s="260"/>
      <c r="AG79" s="260"/>
      <c r="AH79" s="260"/>
      <c r="AI79" s="260"/>
      <c r="AJ79" s="260"/>
      <c r="AK79" s="260"/>
      <c r="AL79" s="260"/>
      <c r="AM79" s="260"/>
      <c r="AN79" s="260"/>
      <c r="AO79" s="260"/>
      <c r="AP79" s="260"/>
      <c r="AQ79" s="260"/>
      <c r="AR79" s="260"/>
    </row>
    <row r="80" spans="3:44" s="55" customFormat="1" ht="12.75" customHeight="1">
      <c r="C80" s="378"/>
      <c r="D80" s="379" t="s">
        <v>22740</v>
      </c>
      <c r="E80" s="380" t="s">
        <v>29767</v>
      </c>
      <c r="F80" s="380" t="s">
        <v>29768</v>
      </c>
      <c r="G80" s="380" t="s">
        <v>29769</v>
      </c>
      <c r="H80" s="380" t="s">
        <v>29770</v>
      </c>
      <c r="I80" s="380" t="s">
        <v>29771</v>
      </c>
      <c r="J80" s="380" t="s">
        <v>29772</v>
      </c>
      <c r="K80" s="380" t="s">
        <v>29773</v>
      </c>
      <c r="L80" s="380" t="s">
        <v>29774</v>
      </c>
      <c r="M80" s="380" t="s">
        <v>29775</v>
      </c>
      <c r="N80" s="380" t="s">
        <v>29776</v>
      </c>
      <c r="O80" s="380" t="s">
        <v>29777</v>
      </c>
      <c r="P80" s="380" t="s">
        <v>29778</v>
      </c>
      <c r="Q80" s="380" t="s">
        <v>29779</v>
      </c>
      <c r="R80" s="380" t="s">
        <v>29780</v>
      </c>
      <c r="S80" s="380" t="s">
        <v>29781</v>
      </c>
      <c r="T80" s="380" t="s">
        <v>29782</v>
      </c>
      <c r="U80" s="380" t="s">
        <v>29783</v>
      </c>
      <c r="V80" s="380" t="s">
        <v>29784</v>
      </c>
      <c r="W80" s="380" t="s">
        <v>29785</v>
      </c>
      <c r="X80" s="380" t="s">
        <v>29786</v>
      </c>
      <c r="Y80" s="380" t="s">
        <v>29787</v>
      </c>
      <c r="Z80" s="380" t="s">
        <v>29788</v>
      </c>
      <c r="AA80" s="380" t="s">
        <v>29789</v>
      </c>
      <c r="AB80" s="380" t="s">
        <v>29790</v>
      </c>
      <c r="AC80" s="380" t="s">
        <v>29791</v>
      </c>
      <c r="AD80" s="380" t="s">
        <v>29792</v>
      </c>
      <c r="AE80" s="380" t="s">
        <v>29793</v>
      </c>
      <c r="AF80" s="380" t="s">
        <v>29794</v>
      </c>
      <c r="AG80" s="380" t="s">
        <v>29795</v>
      </c>
      <c r="AH80" s="380" t="s">
        <v>29796</v>
      </c>
      <c r="AI80" s="380" t="s">
        <v>29797</v>
      </c>
      <c r="AJ80" s="380" t="s">
        <v>29798</v>
      </c>
      <c r="AK80" s="380" t="s">
        <v>29799</v>
      </c>
      <c r="AL80" s="380" t="s">
        <v>29800</v>
      </c>
      <c r="AM80" s="380" t="s">
        <v>29801</v>
      </c>
      <c r="AN80" s="380" t="s">
        <v>29802</v>
      </c>
      <c r="AO80" s="380" t="s">
        <v>30388</v>
      </c>
      <c r="AP80" s="380" t="s">
        <v>30389</v>
      </c>
      <c r="AQ80" s="380" t="s">
        <v>30390</v>
      </c>
      <c r="AR80" s="380" t="s">
        <v>30391</v>
      </c>
    </row>
    <row r="81" spans="2:44" ht="15.75" customHeight="1">
      <c r="C81" s="2426" t="s">
        <v>22748</v>
      </c>
      <c r="D81" s="2427" t="s">
        <v>22742</v>
      </c>
      <c r="E81" s="2428">
        <f>Storico_Piano_Tariffario!E81</f>
        <v>0</v>
      </c>
      <c r="F81" s="2428">
        <f>Storico_Piano_Tariffario!F81</f>
        <v>0</v>
      </c>
      <c r="G81" s="2428">
        <f ca="1">+Input_per_calcoli_finali!K44</f>
        <v>0</v>
      </c>
      <c r="H81" s="2428">
        <f ca="1">+Input_per_calcoli_finali!L44</f>
        <v>0</v>
      </c>
      <c r="I81" s="2428">
        <f ca="1">+Input_per_calcoli_finali!M44</f>
        <v>0</v>
      </c>
      <c r="J81" s="2428">
        <f ca="1">+Input_per_calcoli_finali!N44</f>
        <v>0</v>
      </c>
      <c r="K81" s="2429"/>
      <c r="L81" s="2429"/>
      <c r="M81" s="2429"/>
      <c r="N81" s="2429"/>
      <c r="O81" s="2429"/>
      <c r="P81" s="2429"/>
      <c r="Q81" s="2429"/>
      <c r="R81" s="2429"/>
      <c r="S81" s="2429"/>
      <c r="T81" s="2429"/>
      <c r="U81" s="2429"/>
      <c r="V81" s="2429"/>
      <c r="W81" s="2429"/>
      <c r="X81" s="2429"/>
      <c r="Y81" s="2429"/>
      <c r="Z81" s="2429"/>
      <c r="AA81" s="2429"/>
      <c r="AB81" s="2429"/>
      <c r="AC81" s="2429"/>
      <c r="AD81" s="2429"/>
      <c r="AE81" s="2429"/>
      <c r="AF81" s="2429"/>
      <c r="AG81" s="2429"/>
      <c r="AH81" s="2429"/>
      <c r="AI81" s="2429"/>
      <c r="AJ81" s="2429"/>
      <c r="AK81" s="2429"/>
      <c r="AL81" s="2429"/>
      <c r="AM81" s="2429"/>
      <c r="AN81" s="2429"/>
      <c r="AO81" s="2429"/>
      <c r="AP81" s="2429"/>
      <c r="AQ81" s="2429"/>
      <c r="AR81" s="2429"/>
    </row>
    <row r="82" spans="2:44" ht="15.75" customHeight="1">
      <c r="C82" s="264" t="s">
        <v>22749</v>
      </c>
      <c r="D82" s="265" t="s">
        <v>22742</v>
      </c>
      <c r="E82" s="84">
        <f>Storico_Piano_Tariffario!E82</f>
        <v>0</v>
      </c>
      <c r="F82" s="84">
        <f>Storico_Piano_Tariffario!F82</f>
        <v>0</v>
      </c>
      <c r="G82" s="84">
        <f ca="1">+Input_per_calcoli_finali!K45</f>
        <v>0</v>
      </c>
      <c r="H82" s="84">
        <f ca="1">+Input_per_calcoli_finali!L45</f>
        <v>0</v>
      </c>
      <c r="I82" s="84">
        <f ca="1">+Input_per_calcoli_finali!M45</f>
        <v>0</v>
      </c>
      <c r="J82" s="84">
        <f ca="1">+Input_per_calcoli_finali!N45</f>
        <v>0</v>
      </c>
      <c r="K82" s="92"/>
      <c r="L82" s="92"/>
      <c r="M82" s="80"/>
      <c r="N82" s="92"/>
      <c r="O82" s="80"/>
      <c r="P82" s="92"/>
      <c r="Q82" s="92"/>
      <c r="R82" s="80"/>
      <c r="S82" s="92"/>
      <c r="T82" s="80"/>
      <c r="U82" s="92"/>
      <c r="V82" s="80"/>
      <c r="W82" s="92"/>
      <c r="X82" s="80"/>
      <c r="Y82" s="92"/>
      <c r="Z82" s="80"/>
      <c r="AA82" s="92"/>
      <c r="AB82" s="80"/>
      <c r="AC82" s="80"/>
      <c r="AD82" s="80"/>
      <c r="AE82" s="80"/>
      <c r="AF82" s="80"/>
      <c r="AG82" s="80"/>
      <c r="AH82" s="80"/>
      <c r="AI82" s="80"/>
      <c r="AJ82" s="80"/>
      <c r="AK82" s="80"/>
      <c r="AL82" s="80"/>
      <c r="AM82" s="80"/>
      <c r="AN82" s="80"/>
      <c r="AO82" s="80"/>
      <c r="AP82" s="80"/>
      <c r="AQ82" s="80"/>
      <c r="AR82" s="80"/>
    </row>
    <row r="83" spans="2:44" ht="15.75" customHeight="1">
      <c r="C83" s="264" t="s">
        <v>22750</v>
      </c>
      <c r="D83" s="265" t="s">
        <v>22742</v>
      </c>
      <c r="E83" s="84">
        <f>Storico_Piano_Tariffario!E83</f>
        <v>0</v>
      </c>
      <c r="F83" s="84">
        <f>Storico_Piano_Tariffario!F83</f>
        <v>0</v>
      </c>
      <c r="G83" s="84">
        <f t="shared" ref="G83:J83" ca="1" si="7">+G81-G82</f>
        <v>0</v>
      </c>
      <c r="H83" s="84">
        <f t="shared" ca="1" si="7"/>
        <v>0</v>
      </c>
      <c r="I83" s="84">
        <f t="shared" ca="1" si="7"/>
        <v>0</v>
      </c>
      <c r="J83" s="84">
        <f t="shared" ca="1" si="7"/>
        <v>0</v>
      </c>
      <c r="K83" s="92"/>
      <c r="L83" s="92"/>
      <c r="M83" s="80"/>
      <c r="N83" s="92"/>
      <c r="O83" s="80"/>
      <c r="P83" s="92"/>
      <c r="Q83" s="92"/>
      <c r="R83" s="80"/>
      <c r="S83" s="92"/>
      <c r="T83" s="80"/>
      <c r="U83" s="92"/>
      <c r="V83" s="80"/>
      <c r="W83" s="92"/>
      <c r="X83" s="80"/>
      <c r="Y83" s="92"/>
      <c r="Z83" s="80"/>
      <c r="AA83" s="92"/>
      <c r="AB83" s="80"/>
      <c r="AC83" s="80"/>
      <c r="AD83" s="80"/>
      <c r="AE83" s="80"/>
      <c r="AF83" s="80"/>
      <c r="AG83" s="80"/>
      <c r="AH83" s="80"/>
      <c r="AI83" s="80"/>
      <c r="AJ83" s="80"/>
      <c r="AK83" s="80"/>
      <c r="AL83" s="80"/>
      <c r="AM83" s="80"/>
      <c r="AN83" s="80"/>
      <c r="AO83" s="80"/>
      <c r="AP83" s="80"/>
      <c r="AQ83" s="80"/>
      <c r="AR83" s="80"/>
    </row>
    <row r="84" spans="2:44" ht="15.75" customHeight="1">
      <c r="C84" s="264" t="s">
        <v>22715</v>
      </c>
      <c r="D84" s="265" t="s">
        <v>22742</v>
      </c>
      <c r="E84" s="84">
        <f>Storico_Piano_Tariffario!E84</f>
        <v>0</v>
      </c>
      <c r="F84" s="84">
        <f>Storico_Piano_Tariffario!F84</f>
        <v>0</v>
      </c>
      <c r="G84" s="84">
        <f>+Capex!E120</f>
        <v>0</v>
      </c>
      <c r="H84" s="84">
        <f>+Capex!F120</f>
        <v>0</v>
      </c>
      <c r="I84" s="84">
        <f>+Capex!G120</f>
        <v>0</v>
      </c>
      <c r="J84" s="84">
        <f>+Capex!H120</f>
        <v>0</v>
      </c>
      <c r="K84" s="92"/>
      <c r="L84" s="92"/>
      <c r="M84" s="80"/>
      <c r="N84" s="92"/>
      <c r="O84" s="80"/>
      <c r="P84" s="92"/>
      <c r="Q84" s="92"/>
      <c r="R84" s="80"/>
      <c r="S84" s="92"/>
      <c r="T84" s="80"/>
      <c r="U84" s="92"/>
      <c r="V84" s="80"/>
      <c r="W84" s="92"/>
      <c r="X84" s="80"/>
      <c r="Y84" s="92"/>
      <c r="Z84" s="80"/>
      <c r="AA84" s="92"/>
      <c r="AB84" s="80"/>
      <c r="AC84" s="80"/>
      <c r="AD84" s="80"/>
      <c r="AE84" s="80"/>
      <c r="AF84" s="80"/>
      <c r="AG84" s="80"/>
      <c r="AH84" s="80"/>
      <c r="AI84" s="80"/>
      <c r="AJ84" s="80"/>
      <c r="AK84" s="80"/>
      <c r="AL84" s="80"/>
      <c r="AM84" s="80"/>
      <c r="AN84" s="80"/>
      <c r="AO84" s="80"/>
      <c r="AP84" s="80"/>
      <c r="AQ84" s="80"/>
      <c r="AR84" s="80"/>
    </row>
    <row r="85" spans="2:44" ht="15.75" customHeight="1">
      <c r="C85" s="264" t="s">
        <v>22702</v>
      </c>
      <c r="D85" s="265" t="s">
        <v>22742</v>
      </c>
      <c r="E85" s="84">
        <f>Storico_Piano_Tariffario!E85</f>
        <v>0</v>
      </c>
      <c r="F85" s="84">
        <f>Storico_Piano_Tariffario!F85</f>
        <v>0</v>
      </c>
      <c r="G85" s="84">
        <f>+Capex!E121</f>
        <v>0</v>
      </c>
      <c r="H85" s="84">
        <f>+Capex!F121</f>
        <v>0</v>
      </c>
      <c r="I85" s="84">
        <f>+Capex!G121</f>
        <v>0</v>
      </c>
      <c r="J85" s="84">
        <f>+Capex!H121</f>
        <v>0</v>
      </c>
      <c r="K85" s="92"/>
      <c r="L85" s="92"/>
      <c r="M85" s="80"/>
      <c r="N85" s="92"/>
      <c r="O85" s="80"/>
      <c r="P85" s="92"/>
      <c r="Q85" s="92"/>
      <c r="R85" s="80"/>
      <c r="S85" s="92"/>
      <c r="T85" s="80"/>
      <c r="U85" s="92"/>
      <c r="V85" s="80"/>
      <c r="W85" s="92"/>
      <c r="X85" s="80"/>
      <c r="Y85" s="92"/>
      <c r="Z85" s="80"/>
      <c r="AA85" s="92"/>
      <c r="AB85" s="80"/>
      <c r="AC85" s="80"/>
      <c r="AD85" s="80"/>
      <c r="AE85" s="80"/>
      <c r="AF85" s="80"/>
      <c r="AG85" s="80"/>
      <c r="AH85" s="80"/>
      <c r="AI85" s="80"/>
      <c r="AJ85" s="80"/>
      <c r="AK85" s="80"/>
      <c r="AL85" s="80"/>
      <c r="AM85" s="80"/>
      <c r="AN85" s="80"/>
      <c r="AO85" s="80"/>
      <c r="AP85" s="80"/>
      <c r="AQ85" s="80"/>
      <c r="AR85" s="80"/>
    </row>
    <row r="86" spans="2:44" ht="15.75" customHeight="1">
      <c r="C86" s="264" t="s">
        <v>22751</v>
      </c>
      <c r="D86" s="265" t="s">
        <v>30</v>
      </c>
      <c r="E86" s="93">
        <f>Storico_Piano_Tariffario!E86</f>
        <v>0</v>
      </c>
      <c r="F86" s="93">
        <f>Storico_Piano_Tariffario!F86</f>
        <v>0</v>
      </c>
      <c r="G86" s="93">
        <f>+IFERROR((G31+ERC!E85+ERC!E126)/G84,0)</f>
        <v>0</v>
      </c>
      <c r="H86" s="93">
        <f>+IFERROR((H31+ERC!F85+ERC!F126)/H84,0)</f>
        <v>0</v>
      </c>
      <c r="I86" s="93">
        <f>+IFERROR((I31+ERC!G85+ERC!G126)/I84,0)</f>
        <v>0</v>
      </c>
      <c r="J86" s="93">
        <f>+IFERROR((J31+ERC!H85+ERC!H126)/J84,0)</f>
        <v>0</v>
      </c>
      <c r="K86" s="94"/>
      <c r="L86" s="94"/>
      <c r="M86" s="93"/>
      <c r="N86" s="94"/>
      <c r="O86" s="93"/>
      <c r="P86" s="94"/>
      <c r="Q86" s="94"/>
      <c r="R86" s="93"/>
      <c r="S86" s="94"/>
      <c r="T86" s="93"/>
      <c r="U86" s="94"/>
      <c r="V86" s="93"/>
      <c r="W86" s="94"/>
      <c r="X86" s="93"/>
      <c r="Y86" s="94"/>
      <c r="Z86" s="93"/>
      <c r="AA86" s="94"/>
      <c r="AB86" s="93"/>
      <c r="AC86" s="93"/>
      <c r="AD86" s="93"/>
      <c r="AE86" s="93"/>
      <c r="AF86" s="93"/>
      <c r="AG86" s="93"/>
      <c r="AH86" s="93"/>
      <c r="AI86" s="93"/>
      <c r="AJ86" s="93"/>
      <c r="AK86" s="93"/>
      <c r="AL86" s="93"/>
      <c r="AM86" s="93"/>
      <c r="AN86" s="93"/>
      <c r="AO86" s="93"/>
      <c r="AP86" s="93"/>
      <c r="AQ86" s="93"/>
      <c r="AR86" s="93"/>
    </row>
    <row r="88" spans="2:44" ht="45" customHeight="1">
      <c r="C88" s="2365" t="s">
        <v>29977</v>
      </c>
      <c r="D88" s="2366"/>
      <c r="E88" s="2366"/>
      <c r="I88" s="255"/>
      <c r="K88" s="255"/>
      <c r="L88" s="255"/>
      <c r="N88" s="255"/>
      <c r="P88" s="255"/>
      <c r="Q88" s="255"/>
      <c r="S88" s="255"/>
      <c r="U88" s="255"/>
      <c r="W88" s="255"/>
      <c r="Y88" s="255"/>
      <c r="AA88" s="255"/>
    </row>
    <row r="89" spans="2:44" s="55" customFormat="1">
      <c r="C89" s="378"/>
      <c r="D89" s="379" t="s">
        <v>22740</v>
      </c>
      <c r="E89" s="380" t="s">
        <v>30187</v>
      </c>
      <c r="F89" s="255"/>
      <c r="I89" s="255"/>
      <c r="J89" s="255"/>
      <c r="K89" s="255"/>
      <c r="L89" s="255"/>
      <c r="M89" s="255"/>
      <c r="N89" s="255"/>
      <c r="O89" s="255"/>
      <c r="P89" s="255"/>
      <c r="Q89" s="255"/>
      <c r="R89" s="255"/>
      <c r="S89" s="255"/>
      <c r="T89" s="255"/>
      <c r="U89" s="255"/>
      <c r="V89" s="255"/>
      <c r="W89" s="255"/>
      <c r="X89" s="255"/>
      <c r="Y89" s="255"/>
      <c r="Z89" s="255"/>
      <c r="AA89" s="255"/>
      <c r="AB89" s="255"/>
      <c r="AC89" s="255"/>
      <c r="AD89" s="255"/>
      <c r="AE89" s="255"/>
      <c r="AF89" s="255"/>
      <c r="AG89" s="255"/>
      <c r="AH89" s="255"/>
      <c r="AI89" s="255"/>
      <c r="AJ89" s="255"/>
      <c r="AK89" s="255"/>
      <c r="AL89" s="255"/>
      <c r="AM89" s="255"/>
      <c r="AN89" s="255"/>
      <c r="AO89" s="255"/>
      <c r="AP89" s="255"/>
      <c r="AQ89" s="255"/>
      <c r="AR89" s="255"/>
    </row>
    <row r="90" spans="2:44" ht="25.5">
      <c r="B90" s="55"/>
      <c r="C90" s="928" t="s">
        <v>26483</v>
      </c>
      <c r="D90" s="265" t="s">
        <v>22742</v>
      </c>
      <c r="E90" s="84">
        <f>'PdI-riepilogo'!D53</f>
        <v>0</v>
      </c>
      <c r="I90" s="255"/>
      <c r="K90" s="255"/>
      <c r="L90" s="255"/>
      <c r="N90" s="255"/>
      <c r="P90" s="255"/>
      <c r="Q90" s="255"/>
      <c r="S90" s="255"/>
      <c r="U90" s="255"/>
      <c r="W90" s="255"/>
      <c r="Y90" s="255"/>
      <c r="AA90" s="255"/>
    </row>
    <row r="91" spans="2:44" ht="15.75" customHeight="1">
      <c r="B91" s="55"/>
      <c r="C91" s="903" t="s">
        <v>26484</v>
      </c>
      <c r="D91" s="265" t="s">
        <v>22742</v>
      </c>
      <c r="E91" s="84">
        <f>'PdI-riepilogo'!D54</f>
        <v>0</v>
      </c>
      <c r="I91" s="255"/>
      <c r="K91" s="255"/>
      <c r="L91" s="255"/>
      <c r="N91" s="255"/>
      <c r="P91" s="255"/>
      <c r="Q91" s="255"/>
      <c r="S91" s="255"/>
      <c r="U91" s="255"/>
      <c r="W91" s="255"/>
      <c r="Y91" s="255"/>
      <c r="AA91" s="255"/>
    </row>
    <row r="92" spans="2:44" ht="15.75" customHeight="1">
      <c r="B92" s="55"/>
      <c r="C92" s="264" t="s">
        <v>26485</v>
      </c>
      <c r="D92" s="265" t="s">
        <v>22742</v>
      </c>
      <c r="E92" s="84">
        <f>'PdI-riepilogo'!D55</f>
        <v>0</v>
      </c>
      <c r="I92" s="255"/>
      <c r="K92" s="255"/>
      <c r="L92" s="255"/>
      <c r="N92" s="255"/>
      <c r="P92" s="255"/>
      <c r="Q92" s="255"/>
      <c r="S92" s="255"/>
      <c r="U92" s="255"/>
      <c r="W92" s="255"/>
      <c r="Y92" s="255"/>
      <c r="AA92" s="255"/>
    </row>
    <row r="93" spans="2:44" ht="15.75" customHeight="1">
      <c r="B93" s="55"/>
      <c r="C93" s="264" t="s">
        <v>25444</v>
      </c>
      <c r="D93" s="265" t="s">
        <v>22742</v>
      </c>
      <c r="E93" s="84">
        <f>+E94+E95</f>
        <v>0</v>
      </c>
      <c r="I93" s="255"/>
      <c r="K93" s="255"/>
      <c r="L93" s="255"/>
      <c r="N93" s="255"/>
      <c r="P93" s="255"/>
      <c r="Q93" s="255"/>
      <c r="S93" s="255"/>
      <c r="U93" s="255"/>
      <c r="W93" s="255"/>
      <c r="Y93" s="255"/>
      <c r="AA93" s="255"/>
    </row>
    <row r="94" spans="2:44" ht="15.75" customHeight="1">
      <c r="B94" s="55"/>
      <c r="C94" s="903" t="s">
        <v>26486</v>
      </c>
      <c r="D94" s="265" t="s">
        <v>22742</v>
      </c>
      <c r="E94" s="84">
        <f>'PdI-riepilogo'!D56</f>
        <v>0</v>
      </c>
      <c r="I94" s="255"/>
      <c r="K94" s="255"/>
      <c r="L94" s="255"/>
      <c r="N94" s="255"/>
      <c r="P94" s="255"/>
      <c r="Q94" s="255"/>
      <c r="S94" s="255"/>
      <c r="U94" s="255"/>
      <c r="W94" s="255"/>
      <c r="Y94" s="255"/>
      <c r="AA94" s="255"/>
    </row>
    <row r="95" spans="2:44" ht="25.5">
      <c r="B95" s="55"/>
      <c r="C95" s="284" t="s">
        <v>26487</v>
      </c>
      <c r="D95" s="265" t="s">
        <v>22742</v>
      </c>
      <c r="E95" s="84">
        <f>'PdI-riepilogo'!D57</f>
        <v>0</v>
      </c>
      <c r="I95" s="255"/>
      <c r="K95" s="255"/>
      <c r="L95" s="255"/>
      <c r="N95" s="255"/>
      <c r="P95" s="255"/>
      <c r="Q95" s="255"/>
      <c r="S95" s="255"/>
      <c r="U95" s="255"/>
      <c r="W95" s="255"/>
      <c r="Y95" s="255"/>
      <c r="AA95" s="255"/>
    </row>
    <row r="96" spans="2:44">
      <c r="B96" s="55"/>
      <c r="I96" s="255"/>
      <c r="K96" s="255"/>
      <c r="L96" s="255"/>
      <c r="N96" s="255"/>
      <c r="P96" s="255"/>
      <c r="Q96" s="255"/>
      <c r="S96" s="255"/>
      <c r="U96" s="255"/>
      <c r="W96" s="255"/>
      <c r="Y96" s="255"/>
      <c r="AA96" s="255"/>
    </row>
    <row r="97" spans="2:44" ht="15.75" customHeight="1">
      <c r="B97" s="55"/>
      <c r="C97" s="260" t="s">
        <v>22752</v>
      </c>
      <c r="D97" s="260"/>
      <c r="E97" s="260"/>
      <c r="I97" s="255"/>
      <c r="J97" s="254"/>
      <c r="K97" s="254"/>
      <c r="L97" s="254"/>
      <c r="M97" s="254"/>
      <c r="N97" s="254"/>
      <c r="O97" s="254"/>
      <c r="P97" s="254"/>
      <c r="Q97" s="254"/>
      <c r="R97" s="254"/>
      <c r="S97" s="254"/>
      <c r="T97" s="254"/>
      <c r="U97" s="254"/>
      <c r="V97" s="254"/>
      <c r="W97" s="254"/>
      <c r="X97" s="254"/>
      <c r="Y97" s="254"/>
      <c r="Z97" s="254"/>
      <c r="AA97" s="254"/>
      <c r="AB97" s="254"/>
      <c r="AC97" s="254"/>
      <c r="AD97" s="254"/>
      <c r="AE97" s="254"/>
      <c r="AF97" s="254"/>
      <c r="AG97" s="254"/>
      <c r="AH97" s="254"/>
      <c r="AI97" s="254"/>
      <c r="AJ97" s="254"/>
      <c r="AK97" s="254"/>
      <c r="AL97" s="254"/>
      <c r="AM97" s="254"/>
      <c r="AN97" s="254"/>
      <c r="AO97" s="254"/>
      <c r="AP97" s="254"/>
      <c r="AQ97" s="254"/>
      <c r="AR97" s="254"/>
    </row>
    <row r="98" spans="2:44">
      <c r="B98" s="55"/>
      <c r="C98" s="256"/>
      <c r="D98" s="263" t="s">
        <v>22740</v>
      </c>
      <c r="E98" s="2421" t="s">
        <v>31409</v>
      </c>
      <c r="J98" s="254"/>
      <c r="K98" s="254"/>
      <c r="L98" s="254"/>
      <c r="M98" s="254"/>
      <c r="N98" s="254"/>
      <c r="O98" s="254"/>
      <c r="P98" s="254"/>
      <c r="Q98" s="254"/>
      <c r="R98" s="254"/>
      <c r="S98" s="254"/>
      <c r="T98" s="254"/>
      <c r="U98" s="254"/>
      <c r="V98" s="254"/>
      <c r="W98" s="254"/>
      <c r="X98" s="254"/>
      <c r="Y98" s="254"/>
      <c r="Z98" s="254"/>
      <c r="AA98" s="254"/>
      <c r="AB98" s="254"/>
      <c r="AC98" s="254"/>
      <c r="AD98" s="254"/>
      <c r="AE98" s="254"/>
      <c r="AF98" s="254"/>
      <c r="AG98" s="254"/>
      <c r="AH98" s="254"/>
      <c r="AI98" s="254"/>
      <c r="AJ98" s="254"/>
      <c r="AK98" s="254"/>
      <c r="AL98" s="254"/>
      <c r="AM98" s="254"/>
      <c r="AN98" s="254"/>
      <c r="AO98" s="254"/>
      <c r="AP98" s="254"/>
      <c r="AQ98" s="254"/>
      <c r="AR98" s="254"/>
    </row>
    <row r="99" spans="2:44" ht="15.75" customHeight="1">
      <c r="C99" s="264" t="s">
        <v>24778</v>
      </c>
      <c r="D99" s="265" t="s">
        <v>22742</v>
      </c>
      <c r="E99" s="84"/>
      <c r="J99" s="254"/>
      <c r="K99" s="254"/>
      <c r="L99" s="254"/>
      <c r="M99" s="254"/>
      <c r="N99" s="254"/>
      <c r="O99" s="254"/>
      <c r="P99" s="254"/>
      <c r="Q99" s="254"/>
      <c r="R99" s="254"/>
      <c r="S99" s="254"/>
      <c r="T99" s="254"/>
      <c r="U99" s="254"/>
      <c r="V99" s="254"/>
      <c r="W99" s="254"/>
      <c r="X99" s="254"/>
      <c r="Y99" s="254"/>
      <c r="Z99" s="254"/>
      <c r="AA99" s="254"/>
      <c r="AB99" s="254"/>
      <c r="AC99" s="254"/>
      <c r="AD99" s="254"/>
      <c r="AE99" s="254"/>
      <c r="AF99" s="254"/>
      <c r="AG99" s="254"/>
      <c r="AH99" s="254"/>
      <c r="AI99" s="254"/>
      <c r="AJ99" s="254"/>
      <c r="AK99" s="254"/>
      <c r="AL99" s="254"/>
      <c r="AM99" s="254"/>
      <c r="AN99" s="254"/>
      <c r="AO99" s="254"/>
      <c r="AP99" s="254"/>
      <c r="AQ99" s="254"/>
      <c r="AR99" s="254"/>
    </row>
    <row r="100" spans="2:44" ht="15.75" customHeight="1">
      <c r="C100" s="264" t="s">
        <v>24777</v>
      </c>
      <c r="D100" s="265" t="s">
        <v>22742</v>
      </c>
      <c r="E100" s="84"/>
      <c r="J100" s="254"/>
      <c r="K100" s="254"/>
      <c r="L100" s="254"/>
      <c r="M100" s="254"/>
      <c r="N100" s="254"/>
      <c r="O100" s="254"/>
      <c r="P100" s="254"/>
      <c r="Q100" s="254"/>
      <c r="R100" s="254"/>
      <c r="S100" s="254"/>
      <c r="T100" s="254"/>
      <c r="U100" s="254"/>
      <c r="V100" s="254"/>
      <c r="W100" s="254"/>
      <c r="X100" s="254"/>
      <c r="Y100" s="254"/>
      <c r="Z100" s="254"/>
      <c r="AA100" s="254"/>
      <c r="AB100" s="254"/>
      <c r="AC100" s="254"/>
      <c r="AD100" s="254"/>
      <c r="AE100" s="254"/>
      <c r="AF100" s="254"/>
      <c r="AG100" s="254"/>
      <c r="AH100" s="254"/>
      <c r="AI100" s="254"/>
      <c r="AJ100" s="254"/>
      <c r="AK100" s="254"/>
      <c r="AL100" s="254"/>
      <c r="AM100" s="254"/>
      <c r="AN100" s="254"/>
      <c r="AO100" s="254"/>
      <c r="AP100" s="254"/>
      <c r="AQ100" s="254"/>
      <c r="AR100" s="254"/>
    </row>
    <row r="101" spans="2:44" ht="15.75" customHeight="1">
      <c r="C101" s="264" t="s">
        <v>24779</v>
      </c>
      <c r="D101" s="265" t="s">
        <v>22742</v>
      </c>
      <c r="E101" s="84"/>
      <c r="J101" s="254"/>
      <c r="K101" s="254"/>
      <c r="L101" s="254"/>
      <c r="M101" s="254"/>
      <c r="N101" s="254"/>
      <c r="O101" s="254"/>
      <c r="P101" s="254"/>
      <c r="Q101" s="254"/>
      <c r="R101" s="254"/>
      <c r="S101" s="254"/>
      <c r="T101" s="254"/>
      <c r="U101" s="254"/>
      <c r="V101" s="254"/>
      <c r="W101" s="254"/>
      <c r="X101" s="254"/>
      <c r="Y101" s="254"/>
      <c r="Z101" s="254"/>
      <c r="AA101" s="254"/>
      <c r="AB101" s="254"/>
      <c r="AC101" s="254"/>
      <c r="AD101" s="254"/>
      <c r="AE101" s="254"/>
      <c r="AF101" s="254"/>
      <c r="AG101" s="254"/>
      <c r="AH101" s="254"/>
      <c r="AI101" s="254"/>
      <c r="AJ101" s="254"/>
      <c r="AK101" s="254"/>
      <c r="AL101" s="254"/>
      <c r="AM101" s="254"/>
      <c r="AN101" s="254"/>
      <c r="AO101" s="254"/>
      <c r="AP101" s="254"/>
      <c r="AQ101" s="254"/>
      <c r="AR101" s="254"/>
    </row>
    <row r="102" spans="2:44" ht="15.75" customHeight="1">
      <c r="C102" s="264" t="s">
        <v>24780</v>
      </c>
      <c r="D102" s="265" t="s">
        <v>22742</v>
      </c>
      <c r="E102" s="84"/>
      <c r="J102" s="254"/>
      <c r="K102" s="254"/>
      <c r="L102" s="254"/>
      <c r="M102" s="254"/>
      <c r="N102" s="254"/>
      <c r="O102" s="254"/>
      <c r="P102" s="254"/>
      <c r="Q102" s="254"/>
      <c r="R102" s="254"/>
      <c r="S102" s="254"/>
      <c r="T102" s="254"/>
      <c r="U102" s="254"/>
      <c r="V102" s="254"/>
      <c r="W102" s="254"/>
      <c r="X102" s="254"/>
      <c r="Y102" s="254"/>
      <c r="Z102" s="254"/>
      <c r="AA102" s="254"/>
      <c r="AB102" s="254"/>
      <c r="AC102" s="254"/>
      <c r="AD102" s="254"/>
      <c r="AE102" s="254"/>
      <c r="AF102" s="254"/>
      <c r="AG102" s="254"/>
      <c r="AH102" s="254"/>
      <c r="AI102" s="254"/>
      <c r="AJ102" s="254"/>
      <c r="AK102" s="254"/>
      <c r="AL102" s="254"/>
      <c r="AM102" s="254"/>
      <c r="AN102" s="254"/>
      <c r="AO102" s="254"/>
      <c r="AP102" s="254"/>
      <c r="AQ102" s="254"/>
      <c r="AR102" s="254"/>
    </row>
    <row r="103" spans="2:44" ht="15.75" customHeight="1">
      <c r="C103" s="292" t="s">
        <v>203</v>
      </c>
      <c r="D103" s="265" t="s">
        <v>22742</v>
      </c>
      <c r="E103" s="84"/>
      <c r="J103" s="254"/>
      <c r="K103" s="254"/>
      <c r="L103" s="254"/>
      <c r="M103" s="254"/>
      <c r="N103" s="254"/>
      <c r="O103" s="254"/>
      <c r="P103" s="254"/>
      <c r="Q103" s="254"/>
      <c r="R103" s="254"/>
      <c r="S103" s="254"/>
      <c r="T103" s="254"/>
      <c r="U103" s="254"/>
      <c r="V103" s="254"/>
      <c r="W103" s="254"/>
      <c r="X103" s="254"/>
      <c r="Y103" s="254"/>
      <c r="Z103" s="254"/>
      <c r="AA103" s="254"/>
      <c r="AB103" s="254"/>
      <c r="AC103" s="254"/>
      <c r="AD103" s="254"/>
      <c r="AE103" s="254"/>
      <c r="AF103" s="254"/>
      <c r="AG103" s="254"/>
      <c r="AH103" s="254"/>
      <c r="AI103" s="254"/>
      <c r="AJ103" s="254"/>
      <c r="AK103" s="254"/>
      <c r="AL103" s="254"/>
      <c r="AM103" s="254"/>
      <c r="AN103" s="254"/>
      <c r="AO103" s="254"/>
      <c r="AP103" s="254"/>
      <c r="AQ103" s="254"/>
      <c r="AR103" s="254"/>
    </row>
    <row r="104" spans="2:44" ht="15.75" customHeight="1">
      <c r="C104" s="274" t="s">
        <v>22753</v>
      </c>
      <c r="D104" s="277" t="s">
        <v>22742</v>
      </c>
      <c r="E104" s="85"/>
      <c r="J104" s="254"/>
      <c r="K104" s="254"/>
      <c r="L104" s="254"/>
      <c r="M104" s="254"/>
      <c r="N104" s="254"/>
      <c r="O104" s="254"/>
      <c r="P104" s="254"/>
      <c r="Q104" s="254"/>
      <c r="R104" s="254"/>
      <c r="S104" s="254"/>
      <c r="T104" s="254"/>
      <c r="U104" s="254"/>
      <c r="V104" s="254"/>
      <c r="W104" s="254"/>
      <c r="X104" s="254"/>
      <c r="Y104" s="254"/>
      <c r="Z104" s="254"/>
      <c r="AA104" s="254"/>
      <c r="AB104" s="254"/>
      <c r="AC104" s="254"/>
      <c r="AD104" s="254"/>
      <c r="AE104" s="254"/>
      <c r="AF104" s="254"/>
      <c r="AG104" s="254"/>
      <c r="AH104" s="254"/>
      <c r="AI104" s="254"/>
      <c r="AJ104" s="254"/>
      <c r="AK104" s="254"/>
      <c r="AL104" s="254"/>
      <c r="AM104" s="254"/>
      <c r="AN104" s="254"/>
      <c r="AO104" s="254"/>
      <c r="AP104" s="254"/>
      <c r="AQ104" s="254"/>
      <c r="AR104" s="254"/>
    </row>
    <row r="105" spans="2:44">
      <c r="AA105" s="255"/>
    </row>
    <row r="106" spans="2:44">
      <c r="AA106" s="255"/>
    </row>
  </sheetData>
  <sheetProtection algorithmName="SHA-512" hashValue="iU2M2LKTwxVUoQcYY2gkxdSYtAkKF2p9/ak93epw6A18rqsekNmEJStvP3/Br5wDsS+GrAQbbydDZncylh4Amg==" saltValue="UenC0qlLK8T22g9BvsamIA==" spinCount="100000" sheet="1" objects="1" scenarios="1"/>
  <customSheetViews>
    <customSheetView guid="{849F61E1-F6D3-48F4-A6FF-68F8FE186D80}" scale="85" showPageBreaks="1" showGridLines="0" fitToPage="1" printArea="1" hiddenRows="1" hiddenColumns="1">
      <pageMargins left="0.70866141732283472" right="0.70866141732283472" top="0.74803149606299213" bottom="0.74803149606299213" header="0.31496062992125984" footer="0.31496062992125984"/>
      <pageSetup paperSize="8" scale="68" orientation="portrait" r:id="rId1"/>
    </customSheetView>
    <customSheetView guid="{83029BA9-344F-4783-B8F2-6704FB40A582}" scale="85" showGridLines="0" fitToPage="1" hiddenRows="1" hiddenColumns="1">
      <pageMargins left="0.70866141732283472" right="0.70866141732283472" top="0.74803149606299213" bottom="0.74803149606299213" header="0.31496062992125984" footer="0.31496062992125984"/>
      <pageSetup paperSize="8" scale="79" orientation="portrait" r:id="rId2"/>
    </customSheetView>
  </customSheetViews>
  <phoneticPr fontId="341" type="noConversion"/>
  <pageMargins left="0.70866141732283472" right="0.70866141732283472" top="0.74803149606299213" bottom="0.74803149606299213" header="0.31496062992125984" footer="0.31496062992125984"/>
  <pageSetup paperSize="8" scale="65" orientation="portrait" r:id="rId3"/>
  <drawing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Foglio31">
    <tabColor rgb="FF92CDDC"/>
    <pageSetUpPr fitToPage="1"/>
  </sheetPr>
  <dimension ref="A1:AW25"/>
  <sheetViews>
    <sheetView showGridLines="0" zoomScale="85" zoomScaleNormal="85" workbookViewId="0"/>
  </sheetViews>
  <sheetFormatPr defaultColWidth="9.42578125" defaultRowHeight="12.75"/>
  <cols>
    <col min="1" max="1" width="2.42578125" style="144" customWidth="1"/>
    <col min="2" max="2" width="40.42578125" style="144" bestFit="1" customWidth="1"/>
    <col min="3" max="3" width="6.42578125" style="144" customWidth="1"/>
    <col min="4" max="43" width="12.5703125" style="144" customWidth="1"/>
    <col min="44" max="48" width="9.42578125" style="144"/>
    <col min="49" max="49" width="18" style="144" customWidth="1"/>
    <col min="50" max="16384" width="9.42578125" style="144"/>
  </cols>
  <sheetData>
    <row r="1" spans="1:49" ht="26.25" customHeight="1">
      <c r="B1" s="239" t="s">
        <v>22754</v>
      </c>
      <c r="C1" s="239"/>
      <c r="AW1" s="1482" t="s">
        <v>26584</v>
      </c>
    </row>
    <row r="2" spans="1:49" s="384" customFormat="1" ht="26.25" customHeight="1">
      <c r="B2" s="382" t="s">
        <v>22755</v>
      </c>
      <c r="C2" s="383" t="s">
        <v>22740</v>
      </c>
      <c r="D2" s="1626" t="s">
        <v>29767</v>
      </c>
      <c r="E2" s="1626" t="s">
        <v>29768</v>
      </c>
      <c r="F2" s="1626" t="s">
        <v>29769</v>
      </c>
      <c r="G2" s="1626" t="s">
        <v>29770</v>
      </c>
      <c r="H2" s="1626" t="s">
        <v>29771</v>
      </c>
      <c r="I2" s="1626" t="s">
        <v>29772</v>
      </c>
      <c r="J2" s="1626" t="s">
        <v>29773</v>
      </c>
      <c r="K2" s="1626" t="s">
        <v>29774</v>
      </c>
      <c r="L2" s="1626" t="s">
        <v>29775</v>
      </c>
      <c r="M2" s="1626" t="s">
        <v>29776</v>
      </c>
      <c r="N2" s="1626" t="s">
        <v>29777</v>
      </c>
      <c r="O2" s="1626" t="s">
        <v>29778</v>
      </c>
      <c r="P2" s="1626" t="s">
        <v>29779</v>
      </c>
      <c r="Q2" s="1626" t="s">
        <v>29780</v>
      </c>
      <c r="R2" s="1626" t="s">
        <v>29781</v>
      </c>
      <c r="S2" s="1626" t="s">
        <v>29782</v>
      </c>
      <c r="T2" s="1626" t="s">
        <v>29783</v>
      </c>
      <c r="U2" s="1626" t="s">
        <v>29784</v>
      </c>
      <c r="V2" s="1626" t="s">
        <v>29785</v>
      </c>
      <c r="W2" s="1626" t="s">
        <v>29786</v>
      </c>
      <c r="X2" s="1626" t="s">
        <v>29787</v>
      </c>
      <c r="Y2" s="1626" t="s">
        <v>29788</v>
      </c>
      <c r="Z2" s="1626" t="s">
        <v>29789</v>
      </c>
      <c r="AA2" s="1626" t="s">
        <v>29790</v>
      </c>
      <c r="AB2" s="1626" t="s">
        <v>29791</v>
      </c>
      <c r="AC2" s="1626" t="s">
        <v>29792</v>
      </c>
      <c r="AD2" s="1626" t="s">
        <v>29793</v>
      </c>
      <c r="AE2" s="1626" t="s">
        <v>29794</v>
      </c>
      <c r="AF2" s="1626" t="s">
        <v>29795</v>
      </c>
      <c r="AG2" s="1626" t="s">
        <v>29796</v>
      </c>
      <c r="AH2" s="1626" t="s">
        <v>29797</v>
      </c>
      <c r="AI2" s="1626" t="s">
        <v>29798</v>
      </c>
      <c r="AJ2" s="1626" t="s">
        <v>29799</v>
      </c>
      <c r="AK2" s="1626" t="s">
        <v>29800</v>
      </c>
      <c r="AL2" s="1626" t="s">
        <v>29801</v>
      </c>
      <c r="AM2" s="1626" t="s">
        <v>29802</v>
      </c>
      <c r="AN2" s="1626" t="s">
        <v>30388</v>
      </c>
      <c r="AO2" s="1626" t="s">
        <v>30389</v>
      </c>
      <c r="AP2" s="1626" t="s">
        <v>30390</v>
      </c>
      <c r="AQ2" s="1626" t="s">
        <v>30391</v>
      </c>
      <c r="AW2" s="1482" t="b">
        <f>+IF(COUNT(D3:AQ19)=0,TRUE,FALSE)</f>
        <v>1</v>
      </c>
    </row>
    <row r="3" spans="1:49" ht="18" customHeight="1">
      <c r="B3" s="242" t="s">
        <v>29650</v>
      </c>
      <c r="C3" s="293" t="s">
        <v>22742</v>
      </c>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row>
    <row r="4" spans="1:49" ht="18" customHeight="1">
      <c r="B4" s="242" t="s">
        <v>49</v>
      </c>
      <c r="C4" s="293" t="s">
        <v>22742</v>
      </c>
      <c r="D4" s="81"/>
      <c r="E4" s="81"/>
      <c r="F4" s="81"/>
      <c r="G4" s="81"/>
      <c r="H4" s="81"/>
      <c r="I4" s="81"/>
      <c r="J4" s="81"/>
      <c r="K4" s="81"/>
      <c r="L4" s="81"/>
      <c r="M4" s="81"/>
      <c r="N4" s="81"/>
      <c r="O4" s="81"/>
      <c r="P4" s="81"/>
      <c r="Q4" s="81"/>
      <c r="R4" s="81"/>
      <c r="S4" s="81"/>
      <c r="T4" s="81"/>
      <c r="U4" s="81"/>
      <c r="V4" s="81"/>
      <c r="W4" s="81"/>
      <c r="X4" s="81"/>
      <c r="Y4" s="81"/>
      <c r="Z4" s="81"/>
      <c r="AA4" s="81"/>
      <c r="AB4" s="81"/>
      <c r="AC4" s="81"/>
      <c r="AD4" s="81"/>
      <c r="AE4" s="81"/>
      <c r="AF4" s="81"/>
      <c r="AG4" s="81"/>
      <c r="AH4" s="81"/>
      <c r="AI4" s="81"/>
      <c r="AJ4" s="81"/>
      <c r="AK4" s="81"/>
      <c r="AL4" s="81"/>
      <c r="AM4" s="81"/>
      <c r="AN4" s="81"/>
      <c r="AO4" s="81"/>
      <c r="AP4" s="81"/>
      <c r="AQ4" s="81"/>
    </row>
    <row r="5" spans="1:49" ht="18" customHeight="1">
      <c r="B5" s="242" t="s">
        <v>22756</v>
      </c>
      <c r="C5" s="293" t="s">
        <v>22742</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81"/>
      <c r="AI5" s="81"/>
      <c r="AJ5" s="81"/>
      <c r="AK5" s="81"/>
      <c r="AL5" s="81"/>
      <c r="AM5" s="81"/>
      <c r="AN5" s="81"/>
      <c r="AO5" s="81"/>
      <c r="AP5" s="81"/>
      <c r="AQ5" s="81"/>
    </row>
    <row r="6" spans="1:49" ht="18" customHeight="1">
      <c r="B6" s="294" t="s">
        <v>22757</v>
      </c>
      <c r="C6" s="293" t="s">
        <v>22742</v>
      </c>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81"/>
      <c r="AI6" s="81"/>
      <c r="AJ6" s="81"/>
      <c r="AK6" s="81"/>
      <c r="AL6" s="81"/>
      <c r="AM6" s="81"/>
      <c r="AN6" s="81"/>
      <c r="AO6" s="81"/>
      <c r="AP6" s="81"/>
      <c r="AQ6" s="81"/>
    </row>
    <row r="7" spans="1:49" s="295" customFormat="1" ht="18" customHeight="1">
      <c r="A7" s="144"/>
      <c r="B7" s="2435" t="s">
        <v>22758</v>
      </c>
      <c r="C7" s="2436" t="s">
        <v>22742</v>
      </c>
      <c r="D7" s="2437"/>
      <c r="E7" s="2437"/>
      <c r="F7" s="2437"/>
      <c r="G7" s="2437"/>
      <c r="H7" s="2437"/>
      <c r="I7" s="2437"/>
      <c r="J7" s="2437"/>
      <c r="K7" s="2437"/>
      <c r="L7" s="2437"/>
      <c r="M7" s="2437"/>
      <c r="N7" s="2437"/>
      <c r="O7" s="2437"/>
      <c r="P7" s="2437"/>
      <c r="Q7" s="2437"/>
      <c r="R7" s="2437"/>
      <c r="S7" s="2437"/>
      <c r="T7" s="2437"/>
      <c r="U7" s="2437"/>
      <c r="V7" s="2437"/>
      <c r="W7" s="2437"/>
      <c r="X7" s="2437"/>
      <c r="Y7" s="2437"/>
      <c r="Z7" s="2437"/>
      <c r="AA7" s="2437"/>
      <c r="AB7" s="2437"/>
      <c r="AC7" s="2437"/>
      <c r="AD7" s="2437"/>
      <c r="AE7" s="2437"/>
      <c r="AF7" s="2437"/>
      <c r="AG7" s="2437"/>
      <c r="AH7" s="2437"/>
      <c r="AI7" s="2437"/>
      <c r="AJ7" s="2437"/>
      <c r="AK7" s="2437"/>
      <c r="AL7" s="2437"/>
      <c r="AM7" s="2437"/>
      <c r="AN7" s="2437"/>
      <c r="AO7" s="2437"/>
      <c r="AP7" s="2437"/>
      <c r="AQ7" s="2437"/>
    </row>
    <row r="8" spans="1:49" ht="18" customHeight="1">
      <c r="B8" s="242" t="s">
        <v>22759</v>
      </c>
      <c r="C8" s="293" t="s">
        <v>22742</v>
      </c>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row>
    <row r="9" spans="1:49" ht="18" customHeight="1">
      <c r="B9" s="242" t="s">
        <v>22760</v>
      </c>
      <c r="C9" s="293" t="s">
        <v>22742</v>
      </c>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row>
    <row r="10" spans="1:49" s="295" customFormat="1" ht="18" customHeight="1">
      <c r="B10" s="2435" t="s">
        <v>22761</v>
      </c>
      <c r="C10" s="2436" t="s">
        <v>22742</v>
      </c>
      <c r="D10" s="2437"/>
      <c r="E10" s="2437"/>
      <c r="F10" s="2437"/>
      <c r="G10" s="2437"/>
      <c r="H10" s="2437"/>
      <c r="I10" s="2437"/>
      <c r="J10" s="2437"/>
      <c r="K10" s="2437"/>
      <c r="L10" s="2437"/>
      <c r="M10" s="2437"/>
      <c r="N10" s="2437"/>
      <c r="O10" s="2437"/>
      <c r="P10" s="2437"/>
      <c r="Q10" s="2437"/>
      <c r="R10" s="2437"/>
      <c r="S10" s="2437"/>
      <c r="T10" s="2437"/>
      <c r="U10" s="2437"/>
      <c r="V10" s="2437"/>
      <c r="W10" s="2437"/>
      <c r="X10" s="2437"/>
      <c r="Y10" s="2437"/>
      <c r="Z10" s="2437"/>
      <c r="AA10" s="2437"/>
      <c r="AB10" s="2437"/>
      <c r="AC10" s="2437"/>
      <c r="AD10" s="2437"/>
      <c r="AE10" s="2437"/>
      <c r="AF10" s="2437"/>
      <c r="AG10" s="2437"/>
      <c r="AH10" s="2437"/>
      <c r="AI10" s="2437"/>
      <c r="AJ10" s="2437"/>
      <c r="AK10" s="2437"/>
      <c r="AL10" s="2437"/>
      <c r="AM10" s="2437"/>
      <c r="AN10" s="2437"/>
      <c r="AO10" s="2437"/>
      <c r="AP10" s="2437"/>
      <c r="AQ10" s="2437"/>
    </row>
    <row r="11" spans="1:49" s="295" customFormat="1" ht="18" customHeight="1">
      <c r="B11" s="2435" t="s">
        <v>22762</v>
      </c>
      <c r="C11" s="2436" t="s">
        <v>22742</v>
      </c>
      <c r="D11" s="2437"/>
      <c r="E11" s="2437"/>
      <c r="F11" s="2437"/>
      <c r="G11" s="2437"/>
      <c r="H11" s="2437"/>
      <c r="I11" s="2437"/>
      <c r="J11" s="2437"/>
      <c r="K11" s="2437"/>
      <c r="L11" s="2437"/>
      <c r="M11" s="2437"/>
      <c r="N11" s="2437"/>
      <c r="O11" s="2437"/>
      <c r="P11" s="2437"/>
      <c r="Q11" s="2437"/>
      <c r="R11" s="2437"/>
      <c r="S11" s="2437"/>
      <c r="T11" s="2437"/>
      <c r="U11" s="2437"/>
      <c r="V11" s="2437"/>
      <c r="W11" s="2437"/>
      <c r="X11" s="2437"/>
      <c r="Y11" s="2437"/>
      <c r="Z11" s="2437"/>
      <c r="AA11" s="2437"/>
      <c r="AB11" s="2437"/>
      <c r="AC11" s="2437"/>
      <c r="AD11" s="2437"/>
      <c r="AE11" s="2437"/>
      <c r="AF11" s="2437"/>
      <c r="AG11" s="2437"/>
      <c r="AH11" s="2437"/>
      <c r="AI11" s="2437"/>
      <c r="AJ11" s="2437"/>
      <c r="AK11" s="2437"/>
      <c r="AL11" s="2437"/>
      <c r="AM11" s="2437"/>
      <c r="AN11" s="2437"/>
      <c r="AO11" s="2437"/>
      <c r="AP11" s="2437"/>
      <c r="AQ11" s="2437"/>
    </row>
    <row r="12" spans="1:49" ht="18" customHeight="1">
      <c r="B12" s="242" t="s">
        <v>22763</v>
      </c>
      <c r="C12" s="293" t="s">
        <v>22742</v>
      </c>
      <c r="D12" s="81"/>
      <c r="E12" s="81"/>
      <c r="F12" s="81"/>
      <c r="G12" s="81"/>
      <c r="H12" s="81"/>
      <c r="I12" s="81"/>
      <c r="J12" s="81"/>
      <c r="K12" s="81"/>
      <c r="L12" s="81"/>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row>
    <row r="13" spans="1:49" s="295" customFormat="1" ht="18" customHeight="1">
      <c r="B13" s="2435" t="s">
        <v>22764</v>
      </c>
      <c r="C13" s="2436" t="s">
        <v>22742</v>
      </c>
      <c r="D13" s="2437"/>
      <c r="E13" s="2437"/>
      <c r="F13" s="2437"/>
      <c r="G13" s="2437"/>
      <c r="H13" s="2437"/>
      <c r="I13" s="2437"/>
      <c r="J13" s="2437"/>
      <c r="K13" s="2437"/>
      <c r="L13" s="2437"/>
      <c r="M13" s="2437"/>
      <c r="N13" s="2437"/>
      <c r="O13" s="2437"/>
      <c r="P13" s="2437"/>
      <c r="Q13" s="2437"/>
      <c r="R13" s="2437"/>
      <c r="S13" s="2437"/>
      <c r="T13" s="2437"/>
      <c r="U13" s="2437"/>
      <c r="V13" s="2437"/>
      <c r="W13" s="2437"/>
      <c r="X13" s="2437"/>
      <c r="Y13" s="2437"/>
      <c r="Z13" s="2437"/>
      <c r="AA13" s="2437"/>
      <c r="AB13" s="2437"/>
      <c r="AC13" s="2437"/>
      <c r="AD13" s="2437"/>
      <c r="AE13" s="2437"/>
      <c r="AF13" s="2437"/>
      <c r="AG13" s="2437"/>
      <c r="AH13" s="2437"/>
      <c r="AI13" s="2437"/>
      <c r="AJ13" s="2437"/>
      <c r="AK13" s="2437"/>
      <c r="AL13" s="2437"/>
      <c r="AM13" s="2437"/>
      <c r="AN13" s="2437"/>
      <c r="AO13" s="2437"/>
      <c r="AP13" s="2437"/>
      <c r="AQ13" s="2437"/>
    </row>
    <row r="14" spans="1:49" ht="18" customHeight="1">
      <c r="B14" s="242" t="s">
        <v>22765</v>
      </c>
      <c r="C14" s="293" t="s">
        <v>22742</v>
      </c>
      <c r="D14" s="81"/>
      <c r="E14" s="81"/>
      <c r="F14" s="81"/>
      <c r="G14" s="81"/>
      <c r="H14" s="81"/>
      <c r="I14" s="81"/>
      <c r="J14" s="81"/>
      <c r="K14" s="81"/>
      <c r="L14" s="81"/>
      <c r="M14" s="81"/>
      <c r="N14" s="81"/>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row>
    <row r="15" spans="1:49" s="295" customFormat="1" ht="18" customHeight="1">
      <c r="B15" s="2435" t="s">
        <v>22766</v>
      </c>
      <c r="C15" s="2436" t="s">
        <v>22742</v>
      </c>
      <c r="D15" s="2437"/>
      <c r="E15" s="2437"/>
      <c r="F15" s="2437"/>
      <c r="G15" s="2437"/>
      <c r="H15" s="2437"/>
      <c r="I15" s="2437"/>
      <c r="J15" s="2437"/>
      <c r="K15" s="2437"/>
      <c r="L15" s="2437"/>
      <c r="M15" s="2437"/>
      <c r="N15" s="2437"/>
      <c r="O15" s="2437"/>
      <c r="P15" s="2437"/>
      <c r="Q15" s="2437"/>
      <c r="R15" s="2437"/>
      <c r="S15" s="2437"/>
      <c r="T15" s="2437"/>
      <c r="U15" s="2437"/>
      <c r="V15" s="2437"/>
      <c r="W15" s="2437"/>
      <c r="X15" s="2437"/>
      <c r="Y15" s="2437"/>
      <c r="Z15" s="2437"/>
      <c r="AA15" s="2437"/>
      <c r="AB15" s="2437"/>
      <c r="AC15" s="2437"/>
      <c r="AD15" s="2437"/>
      <c r="AE15" s="2437"/>
      <c r="AF15" s="2437"/>
      <c r="AG15" s="2437"/>
      <c r="AH15" s="2437"/>
      <c r="AI15" s="2437"/>
      <c r="AJ15" s="2437"/>
      <c r="AK15" s="2437"/>
      <c r="AL15" s="2437"/>
      <c r="AM15" s="2437"/>
      <c r="AN15" s="2437"/>
      <c r="AO15" s="2437"/>
      <c r="AP15" s="2437"/>
      <c r="AQ15" s="2437"/>
    </row>
    <row r="16" spans="1:49" ht="18" customHeight="1">
      <c r="B16" s="242" t="s">
        <v>309</v>
      </c>
      <c r="C16" s="293" t="s">
        <v>22742</v>
      </c>
      <c r="D16" s="81"/>
      <c r="E16" s="81"/>
      <c r="F16" s="81"/>
      <c r="G16" s="81"/>
      <c r="H16" s="81"/>
      <c r="I16" s="81"/>
      <c r="J16" s="81"/>
      <c r="K16" s="81"/>
      <c r="L16" s="81"/>
      <c r="M16" s="81"/>
      <c r="N16" s="81"/>
      <c r="O16" s="81"/>
      <c r="P16" s="81"/>
      <c r="Q16" s="81"/>
      <c r="R16" s="81"/>
      <c r="S16" s="81"/>
      <c r="T16" s="81"/>
      <c r="U16" s="81"/>
      <c r="V16" s="81"/>
      <c r="W16" s="81"/>
      <c r="X16" s="81"/>
      <c r="Y16" s="81"/>
      <c r="Z16" s="81"/>
      <c r="AA16" s="81"/>
      <c r="AB16" s="81"/>
      <c r="AC16" s="81"/>
      <c r="AD16" s="81"/>
      <c r="AE16" s="81"/>
      <c r="AF16" s="81"/>
      <c r="AG16" s="81"/>
      <c r="AH16" s="81"/>
      <c r="AI16" s="81"/>
      <c r="AJ16" s="81"/>
      <c r="AK16" s="81"/>
      <c r="AL16" s="81"/>
      <c r="AM16" s="81"/>
      <c r="AN16" s="81"/>
      <c r="AO16" s="81"/>
      <c r="AP16" s="81"/>
      <c r="AQ16" s="81"/>
    </row>
    <row r="17" spans="2:43" ht="18" customHeight="1">
      <c r="B17" s="242" t="s">
        <v>310</v>
      </c>
      <c r="C17" s="293" t="s">
        <v>22742</v>
      </c>
      <c r="D17" s="81"/>
      <c r="E17" s="81"/>
      <c r="F17" s="81"/>
      <c r="G17" s="81"/>
      <c r="H17" s="81"/>
      <c r="I17" s="81"/>
      <c r="J17" s="81"/>
      <c r="K17" s="81"/>
      <c r="L17" s="81"/>
      <c r="M17" s="81"/>
      <c r="N17" s="81"/>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row>
    <row r="18" spans="2:43" s="295" customFormat="1" ht="18" customHeight="1">
      <c r="B18" s="2435" t="s">
        <v>22767</v>
      </c>
      <c r="C18" s="2436" t="s">
        <v>22742</v>
      </c>
      <c r="D18" s="2437"/>
      <c r="E18" s="2437"/>
      <c r="F18" s="2437"/>
      <c r="G18" s="2437"/>
      <c r="H18" s="2437"/>
      <c r="I18" s="2437"/>
      <c r="J18" s="2437"/>
      <c r="K18" s="2437"/>
      <c r="L18" s="2437"/>
      <c r="M18" s="2437"/>
      <c r="N18" s="2437"/>
      <c r="O18" s="2437"/>
      <c r="P18" s="2437"/>
      <c r="Q18" s="2437"/>
      <c r="R18" s="2437"/>
      <c r="S18" s="2437"/>
      <c r="T18" s="2437"/>
      <c r="U18" s="2437"/>
      <c r="V18" s="2437"/>
      <c r="W18" s="2437"/>
      <c r="X18" s="2437"/>
      <c r="Y18" s="2437"/>
      <c r="Z18" s="2437"/>
      <c r="AA18" s="2437"/>
      <c r="AB18" s="2437"/>
      <c r="AC18" s="2437"/>
      <c r="AD18" s="2437"/>
      <c r="AE18" s="2437"/>
      <c r="AF18" s="2437"/>
      <c r="AG18" s="2437"/>
      <c r="AH18" s="2437"/>
      <c r="AI18" s="2437"/>
      <c r="AJ18" s="2437"/>
      <c r="AK18" s="2437"/>
      <c r="AL18" s="2437"/>
      <c r="AM18" s="2437"/>
      <c r="AN18" s="2437"/>
      <c r="AO18" s="2437"/>
      <c r="AP18" s="2437"/>
      <c r="AQ18" s="2437"/>
    </row>
    <row r="19" spans="2:43" s="295" customFormat="1" ht="18" customHeight="1">
      <c r="B19" s="2435" t="s">
        <v>22768</v>
      </c>
      <c r="C19" s="2436" t="s">
        <v>22742</v>
      </c>
      <c r="D19" s="2437"/>
      <c r="E19" s="2437"/>
      <c r="F19" s="2437"/>
      <c r="G19" s="2437"/>
      <c r="H19" s="2437"/>
      <c r="I19" s="2437"/>
      <c r="J19" s="2437"/>
      <c r="K19" s="2437"/>
      <c r="L19" s="2437"/>
      <c r="M19" s="2437"/>
      <c r="N19" s="2437"/>
      <c r="O19" s="2437"/>
      <c r="P19" s="2437"/>
      <c r="Q19" s="2437"/>
      <c r="R19" s="2437"/>
      <c r="S19" s="2437"/>
      <c r="T19" s="2437"/>
      <c r="U19" s="2437"/>
      <c r="V19" s="2437"/>
      <c r="W19" s="2437"/>
      <c r="X19" s="2437"/>
      <c r="Y19" s="2437"/>
      <c r="Z19" s="2437"/>
      <c r="AA19" s="2437"/>
      <c r="AB19" s="2437"/>
      <c r="AC19" s="2437"/>
      <c r="AD19" s="2437"/>
      <c r="AE19" s="2437"/>
      <c r="AF19" s="2437"/>
      <c r="AG19" s="2437"/>
      <c r="AH19" s="2437"/>
      <c r="AI19" s="2437"/>
      <c r="AJ19" s="2437"/>
      <c r="AK19" s="2437"/>
      <c r="AL19" s="2437"/>
      <c r="AM19" s="2437"/>
      <c r="AN19" s="2437"/>
      <c r="AO19" s="2437"/>
      <c r="AP19" s="2437"/>
      <c r="AQ19" s="2437"/>
    </row>
    <row r="22" spans="2:43">
      <c r="D22" s="296"/>
    </row>
    <row r="23" spans="2:43">
      <c r="D23" s="296"/>
    </row>
    <row r="24" spans="2:43">
      <c r="D24" s="296"/>
    </row>
    <row r="25" spans="2:43">
      <c r="D25" s="297"/>
    </row>
  </sheetData>
  <sheetProtection algorithmName="SHA-512" hashValue="ut7acUhMpa8U80kvtwi7Ty+Vyn/yVvUZNodHGoWMlyJnIleh5EKmGarUyxh1NMBAGXjrnEr0/OSOsfbXEaYU0A==" saltValue="5+kQfI2RYx/4WG1NAqyfSw==" spinCount="100000" sheet="1" objects="1" scenarios="1"/>
  <customSheetViews>
    <customSheetView guid="{849F61E1-F6D3-48F4-A6FF-68F8FE186D80}" scale="85" showGridLines="0" fitToPage="1" hiddenColumns="1">
      <pageMargins left="0.23622047244094491" right="0.23622047244094491" top="0.74803149606299213" bottom="0.74803149606299213" header="0.31496062992125984" footer="0.31496062992125984"/>
      <printOptions horizontalCentered="1"/>
      <pageSetup paperSize="8" scale="41" fitToHeight="2" orientation="landscape" r:id="rId1"/>
      <headerFooter alignWithMargins="0">
        <oddHeader>&amp;L2. &amp;F&amp;R2.1 &amp;A</oddHeader>
        <oddFooter>&amp;Rpagina &amp;P di &amp;N</oddFooter>
      </headerFooter>
    </customSheetView>
    <customSheetView guid="{1E1889AA-9C00-49BF-A07E-295053EABBEF}" scale="85" showGridLines="0" fitToPage="1">
      <pageMargins left="0.23622047244094491" right="0.23622047244094491" top="0.74803149606299213" bottom="0.74803149606299213" header="0.31496062992125984" footer="0.31496062992125984"/>
      <printOptions horizontalCentered="1"/>
      <pageSetup paperSize="8" scale="41" fitToHeight="2" orientation="landscape" r:id="rId2"/>
      <headerFooter alignWithMargins="0">
        <oddHeader>&amp;L2. &amp;F&amp;R2.1 &amp;A</oddHeader>
        <oddFooter>&amp;Rpagina &amp;P di &amp;N</oddFooter>
      </headerFooter>
    </customSheetView>
    <customSheetView guid="{83029BA9-344F-4783-B8F2-6704FB40A582}" scale="85" showGridLines="0" fitToPage="1" hiddenColumns="1">
      <pageMargins left="0.23622047244094491" right="0.23622047244094491" top="0.74803149606299213" bottom="0.74803149606299213" header="0.31496062992125984" footer="0.31496062992125984"/>
      <printOptions horizontalCentered="1"/>
      <pageSetup paperSize="8" scale="41" fitToHeight="2" orientation="landscape" r:id="rId3"/>
      <headerFooter alignWithMargins="0">
        <oddHeader>&amp;L2. &amp;F&amp;R2.1 &amp;A</oddHeader>
        <oddFooter>&amp;Rpagina &amp;P di &amp;N</oddFooter>
      </headerFooter>
    </customSheetView>
  </customSheetViews>
  <phoneticPr fontId="341" type="noConversion"/>
  <printOptions horizontalCentered="1"/>
  <pageMargins left="0.23622047244094491" right="0.23622047244094491" top="0.74803149606299213" bottom="0.74803149606299213" header="0.31496062992125984" footer="0.31496062992125984"/>
  <pageSetup paperSize="8" scale="33" fitToHeight="2" orientation="landscape" r:id="rId4"/>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Foglio32">
    <tabColor rgb="FF92CDDC"/>
    <pageSetUpPr fitToPage="1"/>
  </sheetPr>
  <dimension ref="B1:AY45"/>
  <sheetViews>
    <sheetView showGridLines="0" zoomScale="85" zoomScaleNormal="85" workbookViewId="0"/>
  </sheetViews>
  <sheetFormatPr defaultColWidth="9.42578125" defaultRowHeight="12.75"/>
  <cols>
    <col min="1" max="1" width="3.5703125" style="144" customWidth="1"/>
    <col min="2" max="2" width="49.5703125" style="144" bestFit="1" customWidth="1"/>
    <col min="3" max="3" width="12.5703125" style="144" customWidth="1"/>
    <col min="4" max="43" width="12.42578125" style="144" customWidth="1"/>
    <col min="44" max="48" width="9.42578125" style="144"/>
    <col min="49" max="49" width="17.5703125" style="144" bestFit="1" customWidth="1"/>
    <col min="50" max="16384" width="9.42578125" style="144"/>
  </cols>
  <sheetData>
    <row r="1" spans="2:51" ht="25.35" customHeight="1">
      <c r="B1" s="295" t="s">
        <v>22769</v>
      </c>
      <c r="C1" s="295"/>
      <c r="AW1" s="1482" t="s">
        <v>26584</v>
      </c>
    </row>
    <row r="2" spans="2:51" s="384" customFormat="1" ht="34.5" customHeight="1">
      <c r="B2" s="382" t="s">
        <v>22770</v>
      </c>
      <c r="C2" s="385" t="s">
        <v>22740</v>
      </c>
      <c r="D2" s="1626" t="s">
        <v>29767</v>
      </c>
      <c r="E2" s="1626" t="s">
        <v>29768</v>
      </c>
      <c r="F2" s="1626" t="s">
        <v>29769</v>
      </c>
      <c r="G2" s="1626" t="s">
        <v>29770</v>
      </c>
      <c r="H2" s="1626" t="s">
        <v>29771</v>
      </c>
      <c r="I2" s="1626" t="s">
        <v>29772</v>
      </c>
      <c r="J2" s="1626" t="s">
        <v>29773</v>
      </c>
      <c r="K2" s="1626" t="s">
        <v>29774</v>
      </c>
      <c r="L2" s="1626" t="s">
        <v>29775</v>
      </c>
      <c r="M2" s="1626" t="s">
        <v>29776</v>
      </c>
      <c r="N2" s="1626" t="s">
        <v>29777</v>
      </c>
      <c r="O2" s="1626" t="s">
        <v>29778</v>
      </c>
      <c r="P2" s="1626" t="s">
        <v>29779</v>
      </c>
      <c r="Q2" s="1626" t="s">
        <v>29780</v>
      </c>
      <c r="R2" s="1626" t="s">
        <v>29781</v>
      </c>
      <c r="S2" s="1626" t="s">
        <v>29782</v>
      </c>
      <c r="T2" s="1626" t="s">
        <v>29783</v>
      </c>
      <c r="U2" s="1626" t="s">
        <v>29784</v>
      </c>
      <c r="V2" s="1626" t="s">
        <v>29785</v>
      </c>
      <c r="W2" s="1626" t="s">
        <v>29786</v>
      </c>
      <c r="X2" s="1626" t="s">
        <v>29787</v>
      </c>
      <c r="Y2" s="1626" t="s">
        <v>29788</v>
      </c>
      <c r="Z2" s="1626" t="s">
        <v>29789</v>
      </c>
      <c r="AA2" s="1626" t="s">
        <v>29790</v>
      </c>
      <c r="AB2" s="1626" t="s">
        <v>29791</v>
      </c>
      <c r="AC2" s="1626" t="s">
        <v>29792</v>
      </c>
      <c r="AD2" s="1626" t="s">
        <v>29793</v>
      </c>
      <c r="AE2" s="1626" t="s">
        <v>29794</v>
      </c>
      <c r="AF2" s="1626" t="s">
        <v>29795</v>
      </c>
      <c r="AG2" s="1626" t="s">
        <v>29796</v>
      </c>
      <c r="AH2" s="1626" t="s">
        <v>29797</v>
      </c>
      <c r="AI2" s="1626" t="s">
        <v>29798</v>
      </c>
      <c r="AJ2" s="1626" t="s">
        <v>29799</v>
      </c>
      <c r="AK2" s="1626" t="s">
        <v>29800</v>
      </c>
      <c r="AL2" s="1626" t="s">
        <v>29801</v>
      </c>
      <c r="AM2" s="1626" t="s">
        <v>29802</v>
      </c>
      <c r="AN2" s="1626" t="s">
        <v>30388</v>
      </c>
      <c r="AO2" s="1626" t="s">
        <v>30389</v>
      </c>
      <c r="AP2" s="1626" t="s">
        <v>30390</v>
      </c>
      <c r="AQ2" s="1626" t="s">
        <v>30391</v>
      </c>
      <c r="AW2" s="1482" t="b">
        <f>+OR(AX2,AY2)</f>
        <v>1</v>
      </c>
      <c r="AX2" s="1482" t="b">
        <f>+IF(COUNT(D3:AQ35)=0,TRUE,FALSE)</f>
        <v>1</v>
      </c>
      <c r="AY2" s="1482" t="b">
        <f>+IF(COUNT(D40:D44)=0,TRUE,FALSE)</f>
        <v>1</v>
      </c>
    </row>
    <row r="3" spans="2:51" ht="16.5" customHeight="1">
      <c r="B3" s="294" t="s">
        <v>22771</v>
      </c>
      <c r="C3" s="293" t="s">
        <v>22742</v>
      </c>
      <c r="D3" s="79"/>
      <c r="E3" s="79"/>
      <c r="F3" s="79"/>
      <c r="G3" s="79"/>
      <c r="H3" s="79"/>
      <c r="I3" s="79"/>
      <c r="J3" s="79"/>
      <c r="K3" s="79"/>
      <c r="L3" s="79"/>
      <c r="M3" s="79"/>
      <c r="N3" s="79"/>
      <c r="O3" s="79"/>
      <c r="P3" s="79"/>
      <c r="Q3" s="79"/>
      <c r="R3" s="79"/>
      <c r="S3" s="79"/>
      <c r="T3" s="79"/>
      <c r="U3" s="79"/>
      <c r="V3" s="79"/>
      <c r="W3" s="79"/>
      <c r="X3" s="79"/>
      <c r="Y3" s="79"/>
      <c r="Z3" s="79"/>
      <c r="AA3" s="79"/>
      <c r="AB3" s="79"/>
      <c r="AC3" s="79"/>
      <c r="AD3" s="79"/>
      <c r="AE3" s="79"/>
      <c r="AF3" s="79"/>
      <c r="AG3" s="79"/>
      <c r="AH3" s="79"/>
      <c r="AI3" s="79"/>
      <c r="AJ3" s="79"/>
      <c r="AK3" s="79"/>
      <c r="AL3" s="79"/>
      <c r="AM3" s="79"/>
      <c r="AN3" s="79"/>
      <c r="AO3" s="79"/>
      <c r="AP3" s="79"/>
      <c r="AQ3" s="79"/>
    </row>
    <row r="4" spans="2:51" ht="16.5" customHeight="1">
      <c r="B4" s="294" t="s">
        <v>22772</v>
      </c>
      <c r="C4" s="293" t="s">
        <v>22742</v>
      </c>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79"/>
      <c r="AF4" s="79"/>
      <c r="AG4" s="79"/>
      <c r="AH4" s="79"/>
      <c r="AI4" s="79"/>
      <c r="AJ4" s="79"/>
      <c r="AK4" s="79"/>
      <c r="AL4" s="79"/>
      <c r="AM4" s="79"/>
      <c r="AN4" s="79"/>
      <c r="AO4" s="79"/>
      <c r="AP4" s="79"/>
      <c r="AQ4" s="79"/>
    </row>
    <row r="5" spans="2:51" ht="16.5" customHeight="1">
      <c r="B5" s="242" t="s">
        <v>22756</v>
      </c>
      <c r="C5" s="293" t="s">
        <v>22742</v>
      </c>
      <c r="D5" s="79"/>
      <c r="E5" s="79"/>
      <c r="F5" s="79"/>
      <c r="G5" s="79"/>
      <c r="H5" s="79"/>
      <c r="I5" s="79"/>
      <c r="J5" s="79"/>
      <c r="K5" s="79"/>
      <c r="L5" s="79"/>
      <c r="M5" s="79"/>
      <c r="N5" s="79"/>
      <c r="O5" s="79"/>
      <c r="P5" s="79"/>
      <c r="Q5" s="79"/>
      <c r="R5" s="79"/>
      <c r="S5" s="79"/>
      <c r="T5" s="79"/>
      <c r="U5" s="79"/>
      <c r="V5" s="79"/>
      <c r="W5" s="79"/>
      <c r="X5" s="79"/>
      <c r="Y5" s="79"/>
      <c r="Z5" s="79"/>
      <c r="AA5" s="79"/>
      <c r="AB5" s="79"/>
      <c r="AC5" s="79"/>
      <c r="AD5" s="79"/>
      <c r="AE5" s="79"/>
      <c r="AF5" s="79"/>
      <c r="AG5" s="79"/>
      <c r="AH5" s="79"/>
      <c r="AI5" s="79"/>
      <c r="AJ5" s="79"/>
      <c r="AK5" s="79"/>
      <c r="AL5" s="79"/>
      <c r="AM5" s="79"/>
      <c r="AN5" s="79"/>
      <c r="AO5" s="79"/>
      <c r="AP5" s="79"/>
      <c r="AQ5" s="79"/>
    </row>
    <row r="6" spans="2:51" ht="16.5" customHeight="1">
      <c r="B6" s="294" t="s">
        <v>22757</v>
      </c>
      <c r="C6" s="293" t="s">
        <v>22742</v>
      </c>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c r="AG6" s="79"/>
      <c r="AH6" s="79"/>
      <c r="AI6" s="79"/>
      <c r="AJ6" s="79"/>
      <c r="AK6" s="79"/>
      <c r="AL6" s="79"/>
      <c r="AM6" s="79"/>
      <c r="AN6" s="79"/>
      <c r="AO6" s="79"/>
      <c r="AP6" s="79"/>
      <c r="AQ6" s="79"/>
    </row>
    <row r="7" spans="2:51" s="295" customFormat="1" ht="16.5" customHeight="1">
      <c r="B7" s="2438" t="s">
        <v>22773</v>
      </c>
      <c r="C7" s="2436" t="s">
        <v>22742</v>
      </c>
      <c r="D7" s="2439"/>
      <c r="E7" s="2439"/>
      <c r="F7" s="2439"/>
      <c r="G7" s="2439"/>
      <c r="H7" s="2439"/>
      <c r="I7" s="2439"/>
      <c r="J7" s="2439"/>
      <c r="K7" s="2439"/>
      <c r="L7" s="2439"/>
      <c r="M7" s="2439"/>
      <c r="N7" s="2439"/>
      <c r="O7" s="2439"/>
      <c r="P7" s="2439"/>
      <c r="Q7" s="2439"/>
      <c r="R7" s="2439"/>
      <c r="S7" s="2439"/>
      <c r="T7" s="2439"/>
      <c r="U7" s="2439"/>
      <c r="V7" s="2439"/>
      <c r="W7" s="2439"/>
      <c r="X7" s="2439"/>
      <c r="Y7" s="2439"/>
      <c r="Z7" s="2439"/>
      <c r="AA7" s="2439"/>
      <c r="AB7" s="2439"/>
      <c r="AC7" s="2439"/>
      <c r="AD7" s="2439"/>
      <c r="AE7" s="2439"/>
      <c r="AF7" s="2439"/>
      <c r="AG7" s="2439"/>
      <c r="AH7" s="2439"/>
      <c r="AI7" s="2439"/>
      <c r="AJ7" s="2439"/>
      <c r="AK7" s="2439"/>
      <c r="AL7" s="2439"/>
      <c r="AM7" s="2439"/>
      <c r="AN7" s="2439"/>
      <c r="AO7" s="2439"/>
      <c r="AP7" s="2439"/>
      <c r="AQ7" s="2439"/>
      <c r="AR7" s="144"/>
    </row>
    <row r="8" spans="2:51" ht="16.5" customHeight="1">
      <c r="B8" s="294" t="s">
        <v>22774</v>
      </c>
      <c r="C8" s="293" t="s">
        <v>22742</v>
      </c>
      <c r="D8" s="79"/>
      <c r="E8" s="79"/>
      <c r="F8" s="79"/>
      <c r="G8" s="79"/>
      <c r="H8" s="79"/>
      <c r="I8" s="79"/>
      <c r="J8" s="79"/>
      <c r="K8" s="79"/>
      <c r="L8" s="79"/>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row>
    <row r="9" spans="2:51" s="295" customFormat="1" ht="16.5" customHeight="1">
      <c r="B9" s="2438" t="s">
        <v>22775</v>
      </c>
      <c r="C9" s="2436" t="s">
        <v>22742</v>
      </c>
      <c r="D9" s="2439"/>
      <c r="E9" s="2439"/>
      <c r="F9" s="2439"/>
      <c r="G9" s="2439"/>
      <c r="H9" s="2439"/>
      <c r="I9" s="2439"/>
      <c r="J9" s="2439"/>
      <c r="K9" s="2439"/>
      <c r="L9" s="2439"/>
      <c r="M9" s="2439"/>
      <c r="N9" s="2439"/>
      <c r="O9" s="2439"/>
      <c r="P9" s="2439"/>
      <c r="Q9" s="2439"/>
      <c r="R9" s="2439"/>
      <c r="S9" s="2439"/>
      <c r="T9" s="2439"/>
      <c r="U9" s="2439"/>
      <c r="V9" s="2439"/>
      <c r="W9" s="2439"/>
      <c r="X9" s="2439"/>
      <c r="Y9" s="2439"/>
      <c r="Z9" s="2439"/>
      <c r="AA9" s="2439"/>
      <c r="AB9" s="2439"/>
      <c r="AC9" s="2439"/>
      <c r="AD9" s="2439"/>
      <c r="AE9" s="2439"/>
      <c r="AF9" s="2439"/>
      <c r="AG9" s="2439"/>
      <c r="AH9" s="2439"/>
      <c r="AI9" s="2439"/>
      <c r="AJ9" s="2439"/>
      <c r="AK9" s="2439"/>
      <c r="AL9" s="2439"/>
      <c r="AM9" s="2439"/>
      <c r="AN9" s="2439"/>
      <c r="AO9" s="2439"/>
      <c r="AP9" s="2439"/>
      <c r="AQ9" s="2439"/>
      <c r="AR9" s="144"/>
    </row>
    <row r="10" spans="2:51" ht="16.5" customHeight="1">
      <c r="B10" s="294" t="s">
        <v>22776</v>
      </c>
      <c r="C10" s="293" t="s">
        <v>22742</v>
      </c>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I10" s="79"/>
      <c r="AJ10" s="79"/>
      <c r="AK10" s="79"/>
      <c r="AL10" s="79"/>
      <c r="AM10" s="79"/>
      <c r="AN10" s="79"/>
      <c r="AO10" s="79"/>
      <c r="AP10" s="79"/>
      <c r="AQ10" s="79"/>
    </row>
    <row r="11" spans="2:51" s="295" customFormat="1" ht="16.5" customHeight="1">
      <c r="B11" s="2438" t="s">
        <v>22777</v>
      </c>
      <c r="C11" s="2436" t="s">
        <v>22742</v>
      </c>
      <c r="D11" s="2439"/>
      <c r="E11" s="2439"/>
      <c r="F11" s="2439"/>
      <c r="G11" s="2439"/>
      <c r="H11" s="2439"/>
      <c r="I11" s="2439"/>
      <c r="J11" s="2439"/>
      <c r="K11" s="2439"/>
      <c r="L11" s="2439"/>
      <c r="M11" s="2439"/>
      <c r="N11" s="2439"/>
      <c r="O11" s="2439"/>
      <c r="P11" s="2439"/>
      <c r="Q11" s="2439"/>
      <c r="R11" s="2439"/>
      <c r="S11" s="2439"/>
      <c r="T11" s="2439"/>
      <c r="U11" s="2439"/>
      <c r="V11" s="2439"/>
      <c r="W11" s="2439"/>
      <c r="X11" s="2439"/>
      <c r="Y11" s="2439"/>
      <c r="Z11" s="2439"/>
      <c r="AA11" s="2439"/>
      <c r="AB11" s="2439"/>
      <c r="AC11" s="2439"/>
      <c r="AD11" s="2439"/>
      <c r="AE11" s="2439"/>
      <c r="AF11" s="2439"/>
      <c r="AG11" s="2439"/>
      <c r="AH11" s="2439"/>
      <c r="AI11" s="2439"/>
      <c r="AJ11" s="2439"/>
      <c r="AK11" s="2439"/>
      <c r="AL11" s="2439"/>
      <c r="AM11" s="2439"/>
      <c r="AN11" s="2439"/>
      <c r="AO11" s="2439"/>
      <c r="AP11" s="2439"/>
      <c r="AQ11" s="2439"/>
      <c r="AR11" s="144"/>
    </row>
    <row r="12" spans="2:51" s="295" customFormat="1" ht="16.5" customHeight="1">
      <c r="B12" s="2438" t="s">
        <v>22778</v>
      </c>
      <c r="C12" s="2436" t="s">
        <v>22742</v>
      </c>
      <c r="D12" s="2439"/>
      <c r="E12" s="2439"/>
      <c r="F12" s="2439"/>
      <c r="G12" s="2439"/>
      <c r="H12" s="2439"/>
      <c r="I12" s="2439"/>
      <c r="J12" s="2439"/>
      <c r="K12" s="2439"/>
      <c r="L12" s="2439"/>
      <c r="M12" s="2439"/>
      <c r="N12" s="2439"/>
      <c r="O12" s="2439"/>
      <c r="P12" s="2439"/>
      <c r="Q12" s="2439"/>
      <c r="R12" s="2439"/>
      <c r="S12" s="2439"/>
      <c r="T12" s="2439"/>
      <c r="U12" s="2439"/>
      <c r="V12" s="2439"/>
      <c r="W12" s="2439"/>
      <c r="X12" s="2439"/>
      <c r="Y12" s="2439"/>
      <c r="Z12" s="2439"/>
      <c r="AA12" s="2439"/>
      <c r="AB12" s="2439"/>
      <c r="AC12" s="2439"/>
      <c r="AD12" s="2439"/>
      <c r="AE12" s="2439"/>
      <c r="AF12" s="2439"/>
      <c r="AG12" s="2439"/>
      <c r="AH12" s="2439"/>
      <c r="AI12" s="2439"/>
      <c r="AJ12" s="2439"/>
      <c r="AK12" s="2439"/>
      <c r="AL12" s="2439"/>
      <c r="AM12" s="2439"/>
      <c r="AN12" s="2439"/>
      <c r="AO12" s="2439"/>
      <c r="AP12" s="2439"/>
      <c r="AQ12" s="2439"/>
      <c r="AR12" s="144"/>
    </row>
    <row r="13" spans="2:51" ht="16.5" customHeight="1">
      <c r="B13" s="294" t="s">
        <v>22779</v>
      </c>
      <c r="C13" s="293" t="s">
        <v>22742</v>
      </c>
      <c r="D13" s="79"/>
      <c r="E13" s="79"/>
      <c r="F13" s="79"/>
      <c r="G13" s="79"/>
      <c r="H13" s="79"/>
      <c r="I13" s="79"/>
      <c r="J13" s="79"/>
      <c r="K13" s="79"/>
      <c r="L13" s="79"/>
      <c r="M13" s="79"/>
      <c r="N13" s="79"/>
      <c r="O13" s="79"/>
      <c r="P13" s="79"/>
      <c r="Q13" s="79"/>
      <c r="R13" s="79"/>
      <c r="S13" s="79"/>
      <c r="T13" s="79"/>
      <c r="U13" s="79"/>
      <c r="V13" s="79"/>
      <c r="W13" s="79"/>
      <c r="X13" s="79"/>
      <c r="Y13" s="79"/>
      <c r="Z13" s="79"/>
      <c r="AA13" s="79"/>
      <c r="AB13" s="79"/>
      <c r="AC13" s="79"/>
      <c r="AD13" s="79"/>
      <c r="AE13" s="79"/>
      <c r="AF13" s="79"/>
      <c r="AG13" s="79"/>
      <c r="AH13" s="79"/>
      <c r="AI13" s="79"/>
      <c r="AJ13" s="79"/>
      <c r="AK13" s="79"/>
      <c r="AL13" s="79"/>
      <c r="AM13" s="79"/>
      <c r="AN13" s="79"/>
      <c r="AO13" s="79"/>
      <c r="AP13" s="79"/>
      <c r="AQ13" s="79"/>
    </row>
    <row r="14" spans="2:51" ht="16.5" customHeight="1">
      <c r="B14" s="294" t="s">
        <v>22780</v>
      </c>
      <c r="C14" s="293" t="s">
        <v>22742</v>
      </c>
      <c r="D14" s="79"/>
      <c r="E14" s="79"/>
      <c r="F14" s="79"/>
      <c r="G14" s="79"/>
      <c r="H14" s="79"/>
      <c r="I14" s="79"/>
      <c r="J14" s="79"/>
      <c r="K14" s="79"/>
      <c r="L14" s="79"/>
      <c r="M14" s="79"/>
      <c r="N14" s="79"/>
      <c r="O14" s="79"/>
      <c r="P14" s="79"/>
      <c r="Q14" s="79"/>
      <c r="R14" s="79"/>
      <c r="S14" s="79"/>
      <c r="T14" s="79"/>
      <c r="U14" s="79"/>
      <c r="V14" s="79"/>
      <c r="W14" s="79"/>
      <c r="X14" s="79"/>
      <c r="Y14" s="79"/>
      <c r="Z14" s="79"/>
      <c r="AA14" s="79"/>
      <c r="AB14" s="79"/>
      <c r="AC14" s="79"/>
      <c r="AD14" s="79"/>
      <c r="AE14" s="79"/>
      <c r="AF14" s="79"/>
      <c r="AG14" s="79"/>
      <c r="AH14" s="79"/>
      <c r="AI14" s="79"/>
      <c r="AJ14" s="79"/>
      <c r="AK14" s="79"/>
      <c r="AL14" s="79"/>
      <c r="AM14" s="79"/>
      <c r="AN14" s="79"/>
      <c r="AO14" s="79"/>
      <c r="AP14" s="79"/>
      <c r="AQ14" s="79"/>
    </row>
    <row r="15" spans="2:51" ht="16.5" customHeight="1">
      <c r="B15" s="294" t="s">
        <v>22781</v>
      </c>
      <c r="C15" s="293" t="s">
        <v>22742</v>
      </c>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c r="AH15" s="79"/>
      <c r="AI15" s="79"/>
      <c r="AJ15" s="79"/>
      <c r="AK15" s="79"/>
      <c r="AL15" s="79"/>
      <c r="AM15" s="79"/>
      <c r="AN15" s="79"/>
      <c r="AO15" s="79"/>
      <c r="AP15" s="79"/>
      <c r="AQ15" s="79"/>
    </row>
    <row r="16" spans="2:51" s="295" customFormat="1" ht="16.5" customHeight="1">
      <c r="B16" s="2438" t="s">
        <v>22782</v>
      </c>
      <c r="C16" s="2436" t="s">
        <v>22742</v>
      </c>
      <c r="D16" s="2439"/>
      <c r="E16" s="2439"/>
      <c r="F16" s="2439"/>
      <c r="G16" s="2439"/>
      <c r="H16" s="2439"/>
      <c r="I16" s="2439"/>
      <c r="J16" s="2439"/>
      <c r="K16" s="2439"/>
      <c r="L16" s="2439"/>
      <c r="M16" s="2439"/>
      <c r="N16" s="2439"/>
      <c r="O16" s="2439"/>
      <c r="P16" s="2439"/>
      <c r="Q16" s="2439"/>
      <c r="R16" s="2439"/>
      <c r="S16" s="2439"/>
      <c r="T16" s="2439"/>
      <c r="U16" s="2439"/>
      <c r="V16" s="2439"/>
      <c r="W16" s="2439"/>
      <c r="X16" s="2439"/>
      <c r="Y16" s="2439"/>
      <c r="Z16" s="2439"/>
      <c r="AA16" s="2439"/>
      <c r="AB16" s="2439"/>
      <c r="AC16" s="2439"/>
      <c r="AD16" s="2439"/>
      <c r="AE16" s="2439"/>
      <c r="AF16" s="2439"/>
      <c r="AG16" s="2439"/>
      <c r="AH16" s="2439"/>
      <c r="AI16" s="2439"/>
      <c r="AJ16" s="2439"/>
      <c r="AK16" s="2439"/>
      <c r="AL16" s="2439"/>
      <c r="AM16" s="2439"/>
      <c r="AN16" s="2439"/>
      <c r="AO16" s="2439"/>
      <c r="AP16" s="2439"/>
      <c r="AQ16" s="2439"/>
      <c r="AR16" s="144"/>
    </row>
    <row r="17" spans="2:44" ht="16.5" customHeight="1">
      <c r="B17" s="294" t="s">
        <v>22783</v>
      </c>
      <c r="C17" s="293" t="s">
        <v>22742</v>
      </c>
      <c r="D17" s="79"/>
      <c r="E17" s="79"/>
      <c r="F17" s="79"/>
      <c r="G17" s="79"/>
      <c r="H17" s="79"/>
      <c r="I17" s="79"/>
      <c r="J17" s="79"/>
      <c r="K17" s="79"/>
      <c r="L17" s="79"/>
      <c r="M17" s="79"/>
      <c r="N17" s="79"/>
      <c r="O17" s="79"/>
      <c r="P17" s="79"/>
      <c r="Q17" s="79"/>
      <c r="R17" s="79"/>
      <c r="S17" s="79"/>
      <c r="T17" s="79"/>
      <c r="U17" s="79"/>
      <c r="V17" s="79"/>
      <c r="W17" s="79"/>
      <c r="X17" s="79"/>
      <c r="Y17" s="79"/>
      <c r="Z17" s="79"/>
      <c r="AA17" s="79"/>
      <c r="AB17" s="79"/>
      <c r="AC17" s="79"/>
      <c r="AD17" s="79"/>
      <c r="AE17" s="79"/>
      <c r="AF17" s="79"/>
      <c r="AG17" s="79"/>
      <c r="AH17" s="79"/>
      <c r="AI17" s="79"/>
      <c r="AJ17" s="79"/>
      <c r="AK17" s="79"/>
      <c r="AL17" s="79"/>
      <c r="AM17" s="79"/>
      <c r="AN17" s="79"/>
      <c r="AO17" s="79"/>
      <c r="AP17" s="79"/>
      <c r="AQ17" s="79"/>
    </row>
    <row r="18" spans="2:44" ht="16.5" customHeight="1">
      <c r="B18" s="294" t="s">
        <v>22784</v>
      </c>
      <c r="C18" s="293" t="s">
        <v>22742</v>
      </c>
      <c r="D18" s="79"/>
      <c r="E18" s="79"/>
      <c r="F18" s="79"/>
      <c r="G18" s="79"/>
      <c r="H18" s="79"/>
      <c r="I18" s="79"/>
      <c r="J18" s="79"/>
      <c r="K18" s="79"/>
      <c r="L18" s="79"/>
      <c r="M18" s="79"/>
      <c r="N18" s="79"/>
      <c r="O18" s="79"/>
      <c r="P18" s="79"/>
      <c r="Q18" s="79"/>
      <c r="R18" s="79"/>
      <c r="S18" s="79"/>
      <c r="T18" s="79"/>
      <c r="U18" s="79"/>
      <c r="V18" s="79"/>
      <c r="W18" s="79"/>
      <c r="X18" s="79"/>
      <c r="Y18" s="79"/>
      <c r="Z18" s="79"/>
      <c r="AA18" s="79"/>
      <c r="AB18" s="79"/>
      <c r="AC18" s="79"/>
      <c r="AD18" s="79"/>
      <c r="AE18" s="79"/>
      <c r="AF18" s="79"/>
      <c r="AG18" s="79"/>
      <c r="AH18" s="79"/>
      <c r="AI18" s="79"/>
      <c r="AJ18" s="79"/>
      <c r="AK18" s="79"/>
      <c r="AL18" s="79"/>
      <c r="AM18" s="79"/>
      <c r="AN18" s="79"/>
      <c r="AO18" s="79"/>
      <c r="AP18" s="79"/>
      <c r="AQ18" s="79"/>
    </row>
    <row r="19" spans="2:44" s="295" customFormat="1" ht="16.5" customHeight="1">
      <c r="B19" s="2438" t="s">
        <v>22785</v>
      </c>
      <c r="C19" s="2436" t="s">
        <v>22742</v>
      </c>
      <c r="D19" s="2439"/>
      <c r="E19" s="2439"/>
      <c r="F19" s="2439"/>
      <c r="G19" s="2439"/>
      <c r="H19" s="2439"/>
      <c r="I19" s="2439"/>
      <c r="J19" s="2439"/>
      <c r="K19" s="2439"/>
      <c r="L19" s="2439"/>
      <c r="M19" s="2439"/>
      <c r="N19" s="2439"/>
      <c r="O19" s="2439"/>
      <c r="P19" s="2439"/>
      <c r="Q19" s="2439"/>
      <c r="R19" s="2439"/>
      <c r="S19" s="2439"/>
      <c r="T19" s="2439"/>
      <c r="U19" s="2439"/>
      <c r="V19" s="2439"/>
      <c r="W19" s="2439"/>
      <c r="X19" s="2439"/>
      <c r="Y19" s="2439"/>
      <c r="Z19" s="2439"/>
      <c r="AA19" s="2439"/>
      <c r="AB19" s="2439"/>
      <c r="AC19" s="2439"/>
      <c r="AD19" s="2439"/>
      <c r="AE19" s="2439"/>
      <c r="AF19" s="2439"/>
      <c r="AG19" s="2439"/>
      <c r="AH19" s="2439"/>
      <c r="AI19" s="2439"/>
      <c r="AJ19" s="2439"/>
      <c r="AK19" s="2439"/>
      <c r="AL19" s="2439"/>
      <c r="AM19" s="2439"/>
      <c r="AN19" s="2439"/>
      <c r="AO19" s="2439"/>
      <c r="AP19" s="2439"/>
      <c r="AQ19" s="2439"/>
      <c r="AR19" s="144"/>
    </row>
    <row r="20" spans="2:44" ht="16.5" customHeight="1">
      <c r="B20" s="294" t="s">
        <v>22786</v>
      </c>
      <c r="C20" s="293" t="s">
        <v>22742</v>
      </c>
      <c r="D20" s="79"/>
      <c r="E20" s="79"/>
      <c r="F20" s="79"/>
      <c r="G20" s="79"/>
      <c r="H20" s="79"/>
      <c r="I20" s="79"/>
      <c r="J20" s="79"/>
      <c r="K20" s="79"/>
      <c r="L20" s="79"/>
      <c r="M20" s="79"/>
      <c r="N20" s="79"/>
      <c r="O20" s="79"/>
      <c r="P20" s="79"/>
      <c r="Q20" s="79"/>
      <c r="R20" s="79"/>
      <c r="S20" s="79"/>
      <c r="T20" s="79"/>
      <c r="U20" s="79"/>
      <c r="V20" s="79"/>
      <c r="W20" s="79"/>
      <c r="X20" s="79"/>
      <c r="Y20" s="79"/>
      <c r="Z20" s="79"/>
      <c r="AA20" s="79"/>
      <c r="AB20" s="79"/>
      <c r="AC20" s="79"/>
      <c r="AD20" s="79"/>
      <c r="AE20" s="79"/>
      <c r="AF20" s="79"/>
      <c r="AG20" s="79"/>
      <c r="AH20" s="79"/>
      <c r="AI20" s="79"/>
      <c r="AJ20" s="79"/>
      <c r="AK20" s="79"/>
      <c r="AL20" s="79"/>
      <c r="AM20" s="79"/>
      <c r="AN20" s="79"/>
      <c r="AO20" s="79"/>
      <c r="AP20" s="79"/>
      <c r="AQ20" s="79"/>
    </row>
    <row r="21" spans="2:44" ht="16.5" customHeight="1">
      <c r="B21" s="1582" t="s">
        <v>29745</v>
      </c>
      <c r="C21" s="293" t="s">
        <v>22742</v>
      </c>
      <c r="D21" s="1583"/>
      <c r="E21" s="1583"/>
      <c r="F21" s="1583"/>
      <c r="G21" s="1583"/>
      <c r="H21" s="1583"/>
      <c r="I21" s="1583"/>
      <c r="J21" s="1583"/>
      <c r="K21" s="1583"/>
      <c r="L21" s="1583"/>
      <c r="M21" s="1583"/>
      <c r="N21" s="1583"/>
      <c r="O21" s="1583"/>
      <c r="P21" s="1583"/>
      <c r="Q21" s="1583"/>
      <c r="R21" s="1583"/>
      <c r="S21" s="1583"/>
      <c r="T21" s="1583"/>
      <c r="U21" s="1583"/>
      <c r="V21" s="1583"/>
      <c r="W21" s="1583"/>
      <c r="X21" s="1583"/>
      <c r="Y21" s="1583"/>
      <c r="Z21" s="1583"/>
      <c r="AA21" s="1583"/>
      <c r="AB21" s="1583"/>
      <c r="AC21" s="1583"/>
      <c r="AD21" s="1583"/>
      <c r="AE21" s="1583"/>
      <c r="AF21" s="1583"/>
      <c r="AG21" s="1583"/>
      <c r="AH21" s="1583"/>
      <c r="AI21" s="1583"/>
      <c r="AJ21" s="1583"/>
      <c r="AK21" s="1583"/>
      <c r="AL21" s="1583"/>
      <c r="AM21" s="1583"/>
      <c r="AN21" s="1583"/>
      <c r="AO21" s="1583"/>
      <c r="AP21" s="1583"/>
      <c r="AQ21" s="1583"/>
    </row>
    <row r="22" spans="2:44" ht="16.5" customHeight="1">
      <c r="B22" s="294" t="s">
        <v>22787</v>
      </c>
      <c r="C22" s="293" t="s">
        <v>22742</v>
      </c>
      <c r="D22" s="79"/>
      <c r="E22" s="79"/>
      <c r="F22" s="79"/>
      <c r="G22" s="79"/>
      <c r="H22" s="79"/>
      <c r="I22" s="79"/>
      <c r="J22" s="79"/>
      <c r="K22" s="79"/>
      <c r="L22" s="79"/>
      <c r="M22" s="79"/>
      <c r="N22" s="79"/>
      <c r="O22" s="79"/>
      <c r="P22" s="79"/>
      <c r="Q22" s="79"/>
      <c r="R22" s="79"/>
      <c r="S22" s="79"/>
      <c r="T22" s="79"/>
      <c r="U22" s="79"/>
      <c r="V22" s="79"/>
      <c r="W22" s="79"/>
      <c r="X22" s="79"/>
      <c r="Y22" s="79"/>
      <c r="Z22" s="79"/>
      <c r="AA22" s="79"/>
      <c r="AB22" s="79"/>
      <c r="AC22" s="79"/>
      <c r="AD22" s="79"/>
      <c r="AE22" s="79"/>
      <c r="AF22" s="79"/>
      <c r="AG22" s="79"/>
      <c r="AH22" s="79"/>
      <c r="AI22" s="79"/>
      <c r="AJ22" s="79"/>
      <c r="AK22" s="79"/>
      <c r="AL22" s="79"/>
      <c r="AM22" s="79"/>
      <c r="AN22" s="79"/>
      <c r="AO22" s="79"/>
      <c r="AP22" s="79"/>
      <c r="AQ22" s="79"/>
    </row>
    <row r="23" spans="2:44" ht="16.5" customHeight="1">
      <c r="B23" s="294" t="s">
        <v>22788</v>
      </c>
      <c r="C23" s="293" t="s">
        <v>22742</v>
      </c>
      <c r="D23" s="79"/>
      <c r="E23" s="79"/>
      <c r="F23" s="79"/>
      <c r="G23" s="79"/>
      <c r="H23" s="79"/>
      <c r="I23" s="79"/>
      <c r="J23" s="79"/>
      <c r="K23" s="79"/>
      <c r="L23" s="79"/>
      <c r="M23" s="79"/>
      <c r="N23" s="79"/>
      <c r="O23" s="79"/>
      <c r="P23" s="79"/>
      <c r="Q23" s="79"/>
      <c r="R23" s="79"/>
      <c r="S23" s="79"/>
      <c r="T23" s="79"/>
      <c r="U23" s="79"/>
      <c r="V23" s="79"/>
      <c r="W23" s="79"/>
      <c r="X23" s="79"/>
      <c r="Y23" s="79"/>
      <c r="Z23" s="79"/>
      <c r="AA23" s="79"/>
      <c r="AB23" s="79"/>
      <c r="AC23" s="79"/>
      <c r="AD23" s="79"/>
      <c r="AE23" s="79"/>
      <c r="AF23" s="79"/>
      <c r="AG23" s="79"/>
      <c r="AH23" s="79"/>
      <c r="AI23" s="79"/>
      <c r="AJ23" s="79"/>
      <c r="AK23" s="79"/>
      <c r="AL23" s="79"/>
      <c r="AM23" s="79"/>
      <c r="AN23" s="79"/>
      <c r="AO23" s="79"/>
      <c r="AP23" s="79"/>
      <c r="AQ23" s="79"/>
    </row>
    <row r="24" spans="2:44" ht="16.5" customHeight="1">
      <c r="B24" s="294" t="s">
        <v>22789</v>
      </c>
      <c r="C24" s="293" t="s">
        <v>22742</v>
      </c>
      <c r="D24" s="79"/>
      <c r="E24" s="79"/>
      <c r="F24" s="79"/>
      <c r="G24" s="79"/>
      <c r="H24" s="79"/>
      <c r="I24" s="79"/>
      <c r="J24" s="79"/>
      <c r="K24" s="79"/>
      <c r="L24" s="79"/>
      <c r="M24" s="79"/>
      <c r="N24" s="79"/>
      <c r="O24" s="79"/>
      <c r="P24" s="79"/>
      <c r="Q24" s="79"/>
      <c r="R24" s="79"/>
      <c r="S24" s="79"/>
      <c r="T24" s="79"/>
      <c r="U24" s="79"/>
      <c r="V24" s="79"/>
      <c r="W24" s="79"/>
      <c r="X24" s="79"/>
      <c r="Y24" s="79"/>
      <c r="Z24" s="79"/>
      <c r="AA24" s="79"/>
      <c r="AB24" s="79"/>
      <c r="AC24" s="79"/>
      <c r="AD24" s="79"/>
      <c r="AE24" s="79"/>
      <c r="AF24" s="79"/>
      <c r="AG24" s="79"/>
      <c r="AH24" s="79"/>
      <c r="AI24" s="79"/>
      <c r="AJ24" s="79"/>
      <c r="AK24" s="79"/>
      <c r="AL24" s="79"/>
      <c r="AM24" s="79"/>
      <c r="AN24" s="79"/>
      <c r="AO24" s="79"/>
      <c r="AP24" s="79"/>
      <c r="AQ24" s="79"/>
    </row>
    <row r="25" spans="2:44" ht="16.5" customHeight="1">
      <c r="B25" s="294" t="s">
        <v>22790</v>
      </c>
      <c r="C25" s="293" t="s">
        <v>22742</v>
      </c>
      <c r="D25" s="79"/>
      <c r="E25" s="79"/>
      <c r="F25" s="79"/>
      <c r="G25" s="79"/>
      <c r="H25" s="79"/>
      <c r="I25" s="79"/>
      <c r="J25" s="79"/>
      <c r="K25" s="79"/>
      <c r="L25" s="79"/>
      <c r="M25" s="79"/>
      <c r="N25" s="79"/>
      <c r="O25" s="79"/>
      <c r="P25" s="79"/>
      <c r="Q25" s="79"/>
      <c r="R25" s="79"/>
      <c r="S25" s="79"/>
      <c r="T25" s="79"/>
      <c r="U25" s="79"/>
      <c r="V25" s="79"/>
      <c r="W25" s="79"/>
      <c r="X25" s="79"/>
      <c r="Y25" s="79"/>
      <c r="Z25" s="79"/>
      <c r="AA25" s="79"/>
      <c r="AB25" s="79"/>
      <c r="AC25" s="79"/>
      <c r="AD25" s="79"/>
      <c r="AE25" s="79"/>
      <c r="AF25" s="79"/>
      <c r="AG25" s="79"/>
      <c r="AH25" s="79"/>
      <c r="AI25" s="79"/>
      <c r="AJ25" s="79"/>
      <c r="AK25" s="79"/>
      <c r="AL25" s="79"/>
      <c r="AM25" s="79"/>
      <c r="AN25" s="79"/>
      <c r="AO25" s="79"/>
      <c r="AP25" s="79"/>
      <c r="AQ25" s="79"/>
    </row>
    <row r="26" spans="2:44" s="295" customFormat="1" ht="16.5" customHeight="1">
      <c r="B26" s="2438" t="s">
        <v>22791</v>
      </c>
      <c r="C26" s="2436" t="s">
        <v>22742</v>
      </c>
      <c r="D26" s="2439"/>
      <c r="E26" s="2439"/>
      <c r="F26" s="2439"/>
      <c r="G26" s="2439"/>
      <c r="H26" s="2439"/>
      <c r="I26" s="2439"/>
      <c r="J26" s="2439"/>
      <c r="K26" s="2439"/>
      <c r="L26" s="2439"/>
      <c r="M26" s="2439"/>
      <c r="N26" s="2439"/>
      <c r="O26" s="2439"/>
      <c r="P26" s="2439"/>
      <c r="Q26" s="2439"/>
      <c r="R26" s="2439"/>
      <c r="S26" s="2439"/>
      <c r="T26" s="2439"/>
      <c r="U26" s="2439"/>
      <c r="V26" s="2439"/>
      <c r="W26" s="2439"/>
      <c r="X26" s="2439"/>
      <c r="Y26" s="2439"/>
      <c r="Z26" s="2439"/>
      <c r="AA26" s="2439"/>
      <c r="AB26" s="2439"/>
      <c r="AC26" s="2439"/>
      <c r="AD26" s="2439"/>
      <c r="AE26" s="2439"/>
      <c r="AF26" s="2439"/>
      <c r="AG26" s="2439"/>
      <c r="AH26" s="2439"/>
      <c r="AI26" s="2439"/>
      <c r="AJ26" s="2439"/>
      <c r="AK26" s="2439"/>
      <c r="AL26" s="2439"/>
      <c r="AM26" s="2439"/>
      <c r="AN26" s="2439"/>
      <c r="AO26" s="2439"/>
      <c r="AP26" s="2439"/>
      <c r="AQ26" s="2439"/>
      <c r="AR26" s="144"/>
    </row>
    <row r="27" spans="2:44" ht="16.5" customHeight="1">
      <c r="B27" s="294" t="s">
        <v>22792</v>
      </c>
      <c r="C27" s="293" t="s">
        <v>22742</v>
      </c>
      <c r="D27" s="79"/>
      <c r="E27" s="79"/>
      <c r="F27" s="79"/>
      <c r="G27" s="79"/>
      <c r="H27" s="79"/>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79"/>
      <c r="AH27" s="79"/>
      <c r="AI27" s="79"/>
      <c r="AJ27" s="79"/>
      <c r="AK27" s="79"/>
      <c r="AL27" s="79"/>
      <c r="AM27" s="79"/>
      <c r="AN27" s="79"/>
      <c r="AO27" s="79"/>
      <c r="AP27" s="79"/>
      <c r="AQ27" s="79"/>
    </row>
    <row r="28" spans="2:44" ht="16.5" customHeight="1">
      <c r="B28" s="294" t="s">
        <v>22793</v>
      </c>
      <c r="C28" s="293" t="s">
        <v>22742</v>
      </c>
      <c r="D28" s="79"/>
      <c r="E28" s="79"/>
      <c r="F28" s="79"/>
      <c r="G28" s="79"/>
      <c r="H28" s="79"/>
      <c r="I28" s="79"/>
      <c r="J28" s="79"/>
      <c r="K28" s="79"/>
      <c r="L28" s="79"/>
      <c r="M28" s="79"/>
      <c r="N28" s="79"/>
      <c r="O28" s="79"/>
      <c r="P28" s="79"/>
      <c r="Q28" s="79"/>
      <c r="R28" s="79"/>
      <c r="S28" s="79"/>
      <c r="T28" s="79"/>
      <c r="U28" s="79"/>
      <c r="V28" s="79"/>
      <c r="W28" s="79"/>
      <c r="X28" s="79"/>
      <c r="Y28" s="79"/>
      <c r="Z28" s="79"/>
      <c r="AA28" s="79"/>
      <c r="AB28" s="79"/>
      <c r="AC28" s="79"/>
      <c r="AD28" s="79"/>
      <c r="AE28" s="79"/>
      <c r="AF28" s="79"/>
      <c r="AG28" s="79"/>
      <c r="AH28" s="79"/>
      <c r="AI28" s="79"/>
      <c r="AJ28" s="79"/>
      <c r="AK28" s="79"/>
      <c r="AL28" s="79"/>
      <c r="AM28" s="79"/>
      <c r="AN28" s="79"/>
      <c r="AO28" s="79"/>
      <c r="AP28" s="79"/>
      <c r="AQ28" s="79"/>
    </row>
    <row r="29" spans="2:44" ht="16.5" customHeight="1">
      <c r="B29" s="294" t="s">
        <v>22794</v>
      </c>
      <c r="C29" s="293" t="s">
        <v>22742</v>
      </c>
      <c r="D29" s="79"/>
      <c r="E29" s="79"/>
      <c r="F29" s="79"/>
      <c r="G29" s="79"/>
      <c r="H29" s="79"/>
      <c r="I29" s="79"/>
      <c r="J29" s="79"/>
      <c r="K29" s="79"/>
      <c r="L29" s="79"/>
      <c r="M29" s="79"/>
      <c r="N29" s="79"/>
      <c r="O29" s="79"/>
      <c r="P29" s="79"/>
      <c r="Q29" s="79"/>
      <c r="R29" s="79"/>
      <c r="S29" s="79"/>
      <c r="T29" s="79"/>
      <c r="U29" s="79"/>
      <c r="V29" s="79"/>
      <c r="W29" s="79"/>
      <c r="X29" s="79"/>
      <c r="Y29" s="79"/>
      <c r="Z29" s="79"/>
      <c r="AA29" s="79"/>
      <c r="AB29" s="79"/>
      <c r="AC29" s="79"/>
      <c r="AD29" s="79"/>
      <c r="AE29" s="79"/>
      <c r="AF29" s="79"/>
      <c r="AG29" s="79"/>
      <c r="AH29" s="79"/>
      <c r="AI29" s="79"/>
      <c r="AJ29" s="79"/>
      <c r="AK29" s="79"/>
      <c r="AL29" s="79"/>
      <c r="AM29" s="79"/>
      <c r="AN29" s="79"/>
      <c r="AO29" s="79"/>
      <c r="AP29" s="79"/>
      <c r="AQ29" s="79"/>
    </row>
    <row r="30" spans="2:44" ht="16.5" customHeight="1">
      <c r="B30" s="294" t="s">
        <v>22795</v>
      </c>
      <c r="C30" s="293" t="s">
        <v>22742</v>
      </c>
      <c r="D30" s="79"/>
      <c r="E30" s="79"/>
      <c r="F30" s="79"/>
      <c r="G30" s="79"/>
      <c r="H30" s="79"/>
      <c r="I30" s="79"/>
      <c r="J30" s="79"/>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79"/>
      <c r="AM30" s="79"/>
      <c r="AN30" s="79"/>
      <c r="AO30" s="79"/>
      <c r="AP30" s="79"/>
      <c r="AQ30" s="79"/>
    </row>
    <row r="31" spans="2:44" ht="16.5" customHeight="1">
      <c r="B31" s="1582" t="s">
        <v>29746</v>
      </c>
      <c r="C31" s="293" t="s">
        <v>22742</v>
      </c>
      <c r="D31" s="1583"/>
      <c r="E31" s="1583"/>
      <c r="F31" s="1583"/>
      <c r="G31" s="1583"/>
      <c r="H31" s="1583"/>
      <c r="I31" s="1583"/>
      <c r="J31" s="1583"/>
      <c r="K31" s="1583"/>
      <c r="L31" s="1583"/>
      <c r="M31" s="1583"/>
      <c r="N31" s="1583"/>
      <c r="O31" s="1583"/>
      <c r="P31" s="1583"/>
      <c r="Q31" s="1583"/>
      <c r="R31" s="1583"/>
      <c r="S31" s="1583"/>
      <c r="T31" s="1583"/>
      <c r="U31" s="1583"/>
      <c r="V31" s="1583"/>
      <c r="W31" s="1583"/>
      <c r="X31" s="1583"/>
      <c r="Y31" s="1583"/>
      <c r="Z31" s="1583"/>
      <c r="AA31" s="1583"/>
      <c r="AB31" s="1583"/>
      <c r="AC31" s="1583"/>
      <c r="AD31" s="1583"/>
      <c r="AE31" s="1583"/>
      <c r="AF31" s="1583"/>
      <c r="AG31" s="1583"/>
      <c r="AH31" s="1583"/>
      <c r="AI31" s="1583"/>
      <c r="AJ31" s="1583"/>
      <c r="AK31" s="1583"/>
      <c r="AL31" s="1583"/>
      <c r="AM31" s="1583"/>
      <c r="AN31" s="1583"/>
      <c r="AO31" s="1583"/>
      <c r="AP31" s="1583"/>
      <c r="AQ31" s="1583"/>
    </row>
    <row r="32" spans="2:44" s="295" customFormat="1" ht="16.5" customHeight="1">
      <c r="B32" s="2438" t="s">
        <v>22796</v>
      </c>
      <c r="C32" s="2436" t="s">
        <v>22742</v>
      </c>
      <c r="D32" s="2439"/>
      <c r="E32" s="2439"/>
      <c r="F32" s="2439"/>
      <c r="G32" s="2439"/>
      <c r="H32" s="2439"/>
      <c r="I32" s="2439"/>
      <c r="J32" s="2439"/>
      <c r="K32" s="2439"/>
      <c r="L32" s="2439"/>
      <c r="M32" s="2439"/>
      <c r="N32" s="2439"/>
      <c r="O32" s="2439"/>
      <c r="P32" s="2439"/>
      <c r="Q32" s="2439"/>
      <c r="R32" s="2439"/>
      <c r="S32" s="2439"/>
      <c r="T32" s="2439"/>
      <c r="U32" s="2439"/>
      <c r="V32" s="2439"/>
      <c r="W32" s="2439"/>
      <c r="X32" s="2439"/>
      <c r="Y32" s="2439"/>
      <c r="Z32" s="2439"/>
      <c r="AA32" s="2439"/>
      <c r="AB32" s="2439"/>
      <c r="AC32" s="2439"/>
      <c r="AD32" s="2439"/>
      <c r="AE32" s="2439"/>
      <c r="AF32" s="2439"/>
      <c r="AG32" s="2439"/>
      <c r="AH32" s="2439"/>
      <c r="AI32" s="2439"/>
      <c r="AJ32" s="2439"/>
      <c r="AK32" s="2439"/>
      <c r="AL32" s="2439"/>
      <c r="AM32" s="2439"/>
      <c r="AN32" s="2439"/>
      <c r="AO32" s="2439"/>
      <c r="AP32" s="2439"/>
      <c r="AQ32" s="2439"/>
      <c r="AR32" s="144"/>
    </row>
    <row r="33" spans="2:44" s="295" customFormat="1" ht="16.5" customHeight="1">
      <c r="B33" s="2438" t="s">
        <v>22797</v>
      </c>
      <c r="C33" s="2436" t="s">
        <v>22742</v>
      </c>
      <c r="D33" s="2439"/>
      <c r="E33" s="2439"/>
      <c r="F33" s="2439"/>
      <c r="G33" s="2439"/>
      <c r="H33" s="2439"/>
      <c r="I33" s="2439"/>
      <c r="J33" s="2439"/>
      <c r="K33" s="2439"/>
      <c r="L33" s="2439"/>
      <c r="M33" s="2439"/>
      <c r="N33" s="2439"/>
      <c r="O33" s="2439"/>
      <c r="P33" s="2439"/>
      <c r="Q33" s="2439"/>
      <c r="R33" s="2439"/>
      <c r="S33" s="2439"/>
      <c r="T33" s="2439"/>
      <c r="U33" s="2439"/>
      <c r="V33" s="2439"/>
      <c r="W33" s="2439"/>
      <c r="X33" s="2439"/>
      <c r="Y33" s="2439"/>
      <c r="Z33" s="2439"/>
      <c r="AA33" s="2439"/>
      <c r="AB33" s="2439"/>
      <c r="AC33" s="2439"/>
      <c r="AD33" s="2439"/>
      <c r="AE33" s="2439"/>
      <c r="AF33" s="2439"/>
      <c r="AG33" s="2439"/>
      <c r="AH33" s="2439"/>
      <c r="AI33" s="2439"/>
      <c r="AJ33" s="2439"/>
      <c r="AK33" s="2439"/>
      <c r="AL33" s="2439"/>
      <c r="AM33" s="2439"/>
      <c r="AN33" s="2439"/>
      <c r="AO33" s="2439"/>
      <c r="AP33" s="2439"/>
      <c r="AQ33" s="2439"/>
      <c r="AR33" s="144"/>
    </row>
    <row r="34" spans="2:44" ht="16.5" customHeight="1">
      <c r="B34" s="294" t="s">
        <v>22798</v>
      </c>
      <c r="C34" s="293" t="s">
        <v>22742</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row>
    <row r="35" spans="2:44" ht="16.5" customHeight="1">
      <c r="B35" s="294" t="s">
        <v>22799</v>
      </c>
      <c r="C35" s="293" t="s">
        <v>22742</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row>
    <row r="38" spans="2:44">
      <c r="B38" s="295" t="s">
        <v>22800</v>
      </c>
    </row>
    <row r="39" spans="2:44">
      <c r="B39" s="298" t="s">
        <v>22801</v>
      </c>
      <c r="C39" s="240" t="s">
        <v>22802</v>
      </c>
      <c r="D39" s="240"/>
    </row>
    <row r="40" spans="2:44" ht="19.5" customHeight="1">
      <c r="B40" s="243" t="s">
        <v>22803</v>
      </c>
      <c r="C40" s="293" t="s">
        <v>30</v>
      </c>
      <c r="D40" s="1576"/>
    </row>
    <row r="41" spans="2:44" ht="19.5" customHeight="1">
      <c r="B41" s="243" t="s">
        <v>22804</v>
      </c>
      <c r="C41" s="293" t="s">
        <v>30</v>
      </c>
      <c r="D41" s="1576"/>
    </row>
    <row r="42" spans="2:44" ht="19.5" customHeight="1">
      <c r="B42" s="243" t="s">
        <v>22805</v>
      </c>
      <c r="C42" s="293" t="s">
        <v>22744</v>
      </c>
      <c r="D42" s="1577"/>
    </row>
    <row r="43" spans="2:44" ht="19.5" customHeight="1">
      <c r="B43" s="243" t="s">
        <v>22806</v>
      </c>
      <c r="C43" s="293" t="s">
        <v>22744</v>
      </c>
      <c r="D43" s="1577"/>
    </row>
    <row r="44" spans="2:44" ht="19.5" customHeight="1">
      <c r="B44" s="243" t="s">
        <v>22807</v>
      </c>
      <c r="C44" s="293" t="s">
        <v>22744</v>
      </c>
      <c r="D44" s="1577"/>
    </row>
    <row r="45" spans="2:44" ht="19.5" customHeight="1"/>
  </sheetData>
  <sheetProtection algorithmName="SHA-512" hashValue="+pK0+RQh5sxB+9IRgsr6Lpop7i4sKmxJHEMmWzuy1RtYeR+duyX0K+xnXkrvjlRmiuCCQlPQ/ploUtv6MzV5aQ==" saltValue="msz5xlvXUvp0c+EFBjhYrA==" spinCount="100000" sheet="1" objects="1" scenarios="1"/>
  <customSheetViews>
    <customSheetView guid="{849F61E1-F6D3-48F4-A6FF-68F8FE186D80}" scale="85" showGridLines="0" fitToPage="1" hiddenColumns="1">
      <pageMargins left="0.23622047244094491" right="0.23622047244094491" top="0.74803149606299213" bottom="0.74803149606299213" header="0.31496062992125984" footer="0.31496062992125984"/>
      <printOptions horizontalCentered="1"/>
      <pageSetup paperSize="8" scale="40" fitToHeight="2" orientation="landscape" r:id="rId1"/>
      <headerFooter alignWithMargins="0">
        <oddHeader>&amp;L2. &amp;F&amp;R2.1 &amp;A</oddHeader>
        <oddFooter>&amp;Rpagina &amp;P di &amp;N</oddFooter>
      </headerFooter>
    </customSheetView>
    <customSheetView guid="{1E1889AA-9C00-49BF-A07E-295053EABBEF}" scale="85" showGridLines="0" fitToPage="1" hiddenColumns="1">
      <pageMargins left="0.23622047244094491" right="0.23622047244094491" top="0.74803149606299213" bottom="0.74803149606299213" header="0.31496062992125984" footer="0.31496062992125984"/>
      <printOptions horizontalCentered="1"/>
      <pageSetup paperSize="8" scale="40" fitToHeight="2" orientation="landscape" r:id="rId2"/>
      <headerFooter alignWithMargins="0">
        <oddHeader>&amp;L2. &amp;F&amp;R2.1 &amp;A</oddHeader>
        <oddFooter>&amp;Rpagina &amp;P di &amp;N</oddFooter>
      </headerFooter>
    </customSheetView>
    <customSheetView guid="{83029BA9-344F-4783-B8F2-6704FB40A582}" scale="85" showGridLines="0" fitToPage="1" hiddenColumns="1">
      <pageMargins left="0.23622047244094491" right="0.23622047244094491" top="0.74803149606299213" bottom="0.74803149606299213" header="0.31496062992125984" footer="0.31496062992125984"/>
      <printOptions horizontalCentered="1"/>
      <pageSetup paperSize="8" scale="40" fitToHeight="2" orientation="landscape" r:id="rId3"/>
      <headerFooter alignWithMargins="0">
        <oddHeader>&amp;L2. &amp;F&amp;R2.1 &amp;A</oddHeader>
        <oddFooter>&amp;Rpagina &amp;P di &amp;N</oddFooter>
      </headerFooter>
    </customSheetView>
  </customSheetViews>
  <phoneticPr fontId="341" type="noConversion"/>
  <printOptions horizontalCentered="1"/>
  <pageMargins left="0.23622047244094491" right="0.23622047244094491" top="0.74803149606299213" bottom="0.74803149606299213" header="0.31496062992125984" footer="0.31496062992125984"/>
  <pageSetup paperSize="8" scale="31" fitToHeight="2" orientation="landscape" r:id="rId4"/>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F92F4-C442-4D1A-B306-8F1C300D46D6}">
  <sheetPr codeName="Foglio59">
    <tabColor rgb="FF92CDDC"/>
  </sheetPr>
  <dimension ref="A1:AW52"/>
  <sheetViews>
    <sheetView showGridLines="0" zoomScale="85" zoomScaleNormal="85" workbookViewId="0">
      <pane ySplit="4" topLeftCell="A5" activePane="bottomLeft" state="frozen"/>
      <selection pane="bottomLeft"/>
    </sheetView>
  </sheetViews>
  <sheetFormatPr defaultRowHeight="12.75"/>
  <cols>
    <col min="1" max="1" width="53.5703125" style="1025" customWidth="1"/>
    <col min="2" max="41" width="12.5703125" style="1433" customWidth="1"/>
    <col min="42" max="48" width="9.42578125" style="1025"/>
    <col min="49" max="49" width="17.5703125" style="1025" bestFit="1" customWidth="1"/>
    <col min="50" max="246" width="9.42578125" style="1025"/>
    <col min="247" max="247" width="68.5703125" style="1025" customWidth="1"/>
    <col min="248" max="248" width="11.5703125" style="1025" customWidth="1"/>
    <col min="249" max="249" width="3.42578125" style="1025" customWidth="1"/>
    <col min="250" max="253" width="11.5703125" style="1025" customWidth="1"/>
    <col min="254" max="254" width="9.42578125" style="1025"/>
    <col min="255" max="255" width="39.42578125" style="1025" customWidth="1"/>
    <col min="256" max="502" width="9.42578125" style="1025"/>
    <col min="503" max="503" width="68.5703125" style="1025" customWidth="1"/>
    <col min="504" max="504" width="11.5703125" style="1025" customWidth="1"/>
    <col min="505" max="505" width="3.42578125" style="1025" customWidth="1"/>
    <col min="506" max="509" width="11.5703125" style="1025" customWidth="1"/>
    <col min="510" max="510" width="9.42578125" style="1025"/>
    <col min="511" max="511" width="39.42578125" style="1025" customWidth="1"/>
    <col min="512" max="758" width="9.42578125" style="1025"/>
    <col min="759" max="759" width="68.5703125" style="1025" customWidth="1"/>
    <col min="760" max="760" width="11.5703125" style="1025" customWidth="1"/>
    <col min="761" max="761" width="3.42578125" style="1025" customWidth="1"/>
    <col min="762" max="765" width="11.5703125" style="1025" customWidth="1"/>
    <col min="766" max="766" width="9.42578125" style="1025"/>
    <col min="767" max="767" width="39.42578125" style="1025" customWidth="1"/>
    <col min="768" max="1014" width="9.42578125" style="1025"/>
    <col min="1015" max="1015" width="68.5703125" style="1025" customWidth="1"/>
    <col min="1016" max="1016" width="11.5703125" style="1025" customWidth="1"/>
    <col min="1017" max="1017" width="3.42578125" style="1025" customWidth="1"/>
    <col min="1018" max="1021" width="11.5703125" style="1025" customWidth="1"/>
    <col min="1022" max="1022" width="9.42578125" style="1025"/>
    <col min="1023" max="1023" width="39.42578125" style="1025" customWidth="1"/>
    <col min="1024" max="1270" width="9.42578125" style="1025"/>
    <col min="1271" max="1271" width="68.5703125" style="1025" customWidth="1"/>
    <col min="1272" max="1272" width="11.5703125" style="1025" customWidth="1"/>
    <col min="1273" max="1273" width="3.42578125" style="1025" customWidth="1"/>
    <col min="1274" max="1277" width="11.5703125" style="1025" customWidth="1"/>
    <col min="1278" max="1278" width="9.42578125" style="1025"/>
    <col min="1279" max="1279" width="39.42578125" style="1025" customWidth="1"/>
    <col min="1280" max="1526" width="9.42578125" style="1025"/>
    <col min="1527" max="1527" width="68.5703125" style="1025" customWidth="1"/>
    <col min="1528" max="1528" width="11.5703125" style="1025" customWidth="1"/>
    <col min="1529" max="1529" width="3.42578125" style="1025" customWidth="1"/>
    <col min="1530" max="1533" width="11.5703125" style="1025" customWidth="1"/>
    <col min="1534" max="1534" width="9.42578125" style="1025"/>
    <col min="1535" max="1535" width="39.42578125" style="1025" customWidth="1"/>
    <col min="1536" max="1782" width="9.42578125" style="1025"/>
    <col min="1783" max="1783" width="68.5703125" style="1025" customWidth="1"/>
    <col min="1784" max="1784" width="11.5703125" style="1025" customWidth="1"/>
    <col min="1785" max="1785" width="3.42578125" style="1025" customWidth="1"/>
    <col min="1786" max="1789" width="11.5703125" style="1025" customWidth="1"/>
    <col min="1790" max="1790" width="9.42578125" style="1025"/>
    <col min="1791" max="1791" width="39.42578125" style="1025" customWidth="1"/>
    <col min="1792" max="2038" width="9.42578125" style="1025"/>
    <col min="2039" max="2039" width="68.5703125" style="1025" customWidth="1"/>
    <col min="2040" max="2040" width="11.5703125" style="1025" customWidth="1"/>
    <col min="2041" max="2041" width="3.42578125" style="1025" customWidth="1"/>
    <col min="2042" max="2045" width="11.5703125" style="1025" customWidth="1"/>
    <col min="2046" max="2046" width="9.42578125" style="1025"/>
    <col min="2047" max="2047" width="39.42578125" style="1025" customWidth="1"/>
    <col min="2048" max="2294" width="9.42578125" style="1025"/>
    <col min="2295" max="2295" width="68.5703125" style="1025" customWidth="1"/>
    <col min="2296" max="2296" width="11.5703125" style="1025" customWidth="1"/>
    <col min="2297" max="2297" width="3.42578125" style="1025" customWidth="1"/>
    <col min="2298" max="2301" width="11.5703125" style="1025" customWidth="1"/>
    <col min="2302" max="2302" width="9.42578125" style="1025"/>
    <col min="2303" max="2303" width="39.42578125" style="1025" customWidth="1"/>
    <col min="2304" max="2550" width="9.42578125" style="1025"/>
    <col min="2551" max="2551" width="68.5703125" style="1025" customWidth="1"/>
    <col min="2552" max="2552" width="11.5703125" style="1025" customWidth="1"/>
    <col min="2553" max="2553" width="3.42578125" style="1025" customWidth="1"/>
    <col min="2554" max="2557" width="11.5703125" style="1025" customWidth="1"/>
    <col min="2558" max="2558" width="9.42578125" style="1025"/>
    <col min="2559" max="2559" width="39.42578125" style="1025" customWidth="1"/>
    <col min="2560" max="2806" width="9.42578125" style="1025"/>
    <col min="2807" max="2807" width="68.5703125" style="1025" customWidth="1"/>
    <col min="2808" max="2808" width="11.5703125" style="1025" customWidth="1"/>
    <col min="2809" max="2809" width="3.42578125" style="1025" customWidth="1"/>
    <col min="2810" max="2813" width="11.5703125" style="1025" customWidth="1"/>
    <col min="2814" max="2814" width="9.42578125" style="1025"/>
    <col min="2815" max="2815" width="39.42578125" style="1025" customWidth="1"/>
    <col min="2816" max="3062" width="9.42578125" style="1025"/>
    <col min="3063" max="3063" width="68.5703125" style="1025" customWidth="1"/>
    <col min="3064" max="3064" width="11.5703125" style="1025" customWidth="1"/>
    <col min="3065" max="3065" width="3.42578125" style="1025" customWidth="1"/>
    <col min="3066" max="3069" width="11.5703125" style="1025" customWidth="1"/>
    <col min="3070" max="3070" width="9.42578125" style="1025"/>
    <col min="3071" max="3071" width="39.42578125" style="1025" customWidth="1"/>
    <col min="3072" max="3318" width="9.42578125" style="1025"/>
    <col min="3319" max="3319" width="68.5703125" style="1025" customWidth="1"/>
    <col min="3320" max="3320" width="11.5703125" style="1025" customWidth="1"/>
    <col min="3321" max="3321" width="3.42578125" style="1025" customWidth="1"/>
    <col min="3322" max="3325" width="11.5703125" style="1025" customWidth="1"/>
    <col min="3326" max="3326" width="9.42578125" style="1025"/>
    <col min="3327" max="3327" width="39.42578125" style="1025" customWidth="1"/>
    <col min="3328" max="3574" width="9.42578125" style="1025"/>
    <col min="3575" max="3575" width="68.5703125" style="1025" customWidth="1"/>
    <col min="3576" max="3576" width="11.5703125" style="1025" customWidth="1"/>
    <col min="3577" max="3577" width="3.42578125" style="1025" customWidth="1"/>
    <col min="3578" max="3581" width="11.5703125" style="1025" customWidth="1"/>
    <col min="3582" max="3582" width="9.42578125" style="1025"/>
    <col min="3583" max="3583" width="39.42578125" style="1025" customWidth="1"/>
    <col min="3584" max="3830" width="9.42578125" style="1025"/>
    <col min="3831" max="3831" width="68.5703125" style="1025" customWidth="1"/>
    <col min="3832" max="3832" width="11.5703125" style="1025" customWidth="1"/>
    <col min="3833" max="3833" width="3.42578125" style="1025" customWidth="1"/>
    <col min="3834" max="3837" width="11.5703125" style="1025" customWidth="1"/>
    <col min="3838" max="3838" width="9.42578125" style="1025"/>
    <col min="3839" max="3839" width="39.42578125" style="1025" customWidth="1"/>
    <col min="3840" max="4086" width="9.42578125" style="1025"/>
    <col min="4087" max="4087" width="68.5703125" style="1025" customWidth="1"/>
    <col min="4088" max="4088" width="11.5703125" style="1025" customWidth="1"/>
    <col min="4089" max="4089" width="3.42578125" style="1025" customWidth="1"/>
    <col min="4090" max="4093" width="11.5703125" style="1025" customWidth="1"/>
    <col min="4094" max="4094" width="9.42578125" style="1025"/>
    <col min="4095" max="4095" width="39.42578125" style="1025" customWidth="1"/>
    <col min="4096" max="4342" width="9.42578125" style="1025"/>
    <col min="4343" max="4343" width="68.5703125" style="1025" customWidth="1"/>
    <col min="4344" max="4344" width="11.5703125" style="1025" customWidth="1"/>
    <col min="4345" max="4345" width="3.42578125" style="1025" customWidth="1"/>
    <col min="4346" max="4349" width="11.5703125" style="1025" customWidth="1"/>
    <col min="4350" max="4350" width="9.42578125" style="1025"/>
    <col min="4351" max="4351" width="39.42578125" style="1025" customWidth="1"/>
    <col min="4352" max="4598" width="9.42578125" style="1025"/>
    <col min="4599" max="4599" width="68.5703125" style="1025" customWidth="1"/>
    <col min="4600" max="4600" width="11.5703125" style="1025" customWidth="1"/>
    <col min="4601" max="4601" width="3.42578125" style="1025" customWidth="1"/>
    <col min="4602" max="4605" width="11.5703125" style="1025" customWidth="1"/>
    <col min="4606" max="4606" width="9.42578125" style="1025"/>
    <col min="4607" max="4607" width="39.42578125" style="1025" customWidth="1"/>
    <col min="4608" max="4854" width="9.42578125" style="1025"/>
    <col min="4855" max="4855" width="68.5703125" style="1025" customWidth="1"/>
    <col min="4856" max="4856" width="11.5703125" style="1025" customWidth="1"/>
    <col min="4857" max="4857" width="3.42578125" style="1025" customWidth="1"/>
    <col min="4858" max="4861" width="11.5703125" style="1025" customWidth="1"/>
    <col min="4862" max="4862" width="9.42578125" style="1025"/>
    <col min="4863" max="4863" width="39.42578125" style="1025" customWidth="1"/>
    <col min="4864" max="5110" width="9.42578125" style="1025"/>
    <col min="5111" max="5111" width="68.5703125" style="1025" customWidth="1"/>
    <col min="5112" max="5112" width="11.5703125" style="1025" customWidth="1"/>
    <col min="5113" max="5113" width="3.42578125" style="1025" customWidth="1"/>
    <col min="5114" max="5117" width="11.5703125" style="1025" customWidth="1"/>
    <col min="5118" max="5118" width="9.42578125" style="1025"/>
    <col min="5119" max="5119" width="39.42578125" style="1025" customWidth="1"/>
    <col min="5120" max="5366" width="9.42578125" style="1025"/>
    <col min="5367" max="5367" width="68.5703125" style="1025" customWidth="1"/>
    <col min="5368" max="5368" width="11.5703125" style="1025" customWidth="1"/>
    <col min="5369" max="5369" width="3.42578125" style="1025" customWidth="1"/>
    <col min="5370" max="5373" width="11.5703125" style="1025" customWidth="1"/>
    <col min="5374" max="5374" width="9.42578125" style="1025"/>
    <col min="5375" max="5375" width="39.42578125" style="1025" customWidth="1"/>
    <col min="5376" max="5622" width="9.42578125" style="1025"/>
    <col min="5623" max="5623" width="68.5703125" style="1025" customWidth="1"/>
    <col min="5624" max="5624" width="11.5703125" style="1025" customWidth="1"/>
    <col min="5625" max="5625" width="3.42578125" style="1025" customWidth="1"/>
    <col min="5626" max="5629" width="11.5703125" style="1025" customWidth="1"/>
    <col min="5630" max="5630" width="9.42578125" style="1025"/>
    <col min="5631" max="5631" width="39.42578125" style="1025" customWidth="1"/>
    <col min="5632" max="5878" width="9.42578125" style="1025"/>
    <col min="5879" max="5879" width="68.5703125" style="1025" customWidth="1"/>
    <col min="5880" max="5880" width="11.5703125" style="1025" customWidth="1"/>
    <col min="5881" max="5881" width="3.42578125" style="1025" customWidth="1"/>
    <col min="5882" max="5885" width="11.5703125" style="1025" customWidth="1"/>
    <col min="5886" max="5886" width="9.42578125" style="1025"/>
    <col min="5887" max="5887" width="39.42578125" style="1025" customWidth="1"/>
    <col min="5888" max="6134" width="9.42578125" style="1025"/>
    <col min="6135" max="6135" width="68.5703125" style="1025" customWidth="1"/>
    <col min="6136" max="6136" width="11.5703125" style="1025" customWidth="1"/>
    <col min="6137" max="6137" width="3.42578125" style="1025" customWidth="1"/>
    <col min="6138" max="6141" width="11.5703125" style="1025" customWidth="1"/>
    <col min="6142" max="6142" width="9.42578125" style="1025"/>
    <col min="6143" max="6143" width="39.42578125" style="1025" customWidth="1"/>
    <col min="6144" max="6390" width="9.42578125" style="1025"/>
    <col min="6391" max="6391" width="68.5703125" style="1025" customWidth="1"/>
    <col min="6392" max="6392" width="11.5703125" style="1025" customWidth="1"/>
    <col min="6393" max="6393" width="3.42578125" style="1025" customWidth="1"/>
    <col min="6394" max="6397" width="11.5703125" style="1025" customWidth="1"/>
    <col min="6398" max="6398" width="9.42578125" style="1025"/>
    <col min="6399" max="6399" width="39.42578125" style="1025" customWidth="1"/>
    <col min="6400" max="6646" width="9.42578125" style="1025"/>
    <col min="6647" max="6647" width="68.5703125" style="1025" customWidth="1"/>
    <col min="6648" max="6648" width="11.5703125" style="1025" customWidth="1"/>
    <col min="6649" max="6649" width="3.42578125" style="1025" customWidth="1"/>
    <col min="6650" max="6653" width="11.5703125" style="1025" customWidth="1"/>
    <col min="6654" max="6654" width="9.42578125" style="1025"/>
    <col min="6655" max="6655" width="39.42578125" style="1025" customWidth="1"/>
    <col min="6656" max="6902" width="9.42578125" style="1025"/>
    <col min="6903" max="6903" width="68.5703125" style="1025" customWidth="1"/>
    <col min="6904" max="6904" width="11.5703125" style="1025" customWidth="1"/>
    <col min="6905" max="6905" width="3.42578125" style="1025" customWidth="1"/>
    <col min="6906" max="6909" width="11.5703125" style="1025" customWidth="1"/>
    <col min="6910" max="6910" width="9.42578125" style="1025"/>
    <col min="6911" max="6911" width="39.42578125" style="1025" customWidth="1"/>
    <col min="6912" max="7158" width="9.42578125" style="1025"/>
    <col min="7159" max="7159" width="68.5703125" style="1025" customWidth="1"/>
    <col min="7160" max="7160" width="11.5703125" style="1025" customWidth="1"/>
    <col min="7161" max="7161" width="3.42578125" style="1025" customWidth="1"/>
    <col min="7162" max="7165" width="11.5703125" style="1025" customWidth="1"/>
    <col min="7166" max="7166" width="9.42578125" style="1025"/>
    <col min="7167" max="7167" width="39.42578125" style="1025" customWidth="1"/>
    <col min="7168" max="7414" width="9.42578125" style="1025"/>
    <col min="7415" max="7415" width="68.5703125" style="1025" customWidth="1"/>
    <col min="7416" max="7416" width="11.5703125" style="1025" customWidth="1"/>
    <col min="7417" max="7417" width="3.42578125" style="1025" customWidth="1"/>
    <col min="7418" max="7421" width="11.5703125" style="1025" customWidth="1"/>
    <col min="7422" max="7422" width="9.42578125" style="1025"/>
    <col min="7423" max="7423" width="39.42578125" style="1025" customWidth="1"/>
    <col min="7424" max="7670" width="9.42578125" style="1025"/>
    <col min="7671" max="7671" width="68.5703125" style="1025" customWidth="1"/>
    <col min="7672" max="7672" width="11.5703125" style="1025" customWidth="1"/>
    <col min="7673" max="7673" width="3.42578125" style="1025" customWidth="1"/>
    <col min="7674" max="7677" width="11.5703125" style="1025" customWidth="1"/>
    <col min="7678" max="7678" width="9.42578125" style="1025"/>
    <col min="7679" max="7679" width="39.42578125" style="1025" customWidth="1"/>
    <col min="7680" max="7926" width="9.42578125" style="1025"/>
    <col min="7927" max="7927" width="68.5703125" style="1025" customWidth="1"/>
    <col min="7928" max="7928" width="11.5703125" style="1025" customWidth="1"/>
    <col min="7929" max="7929" width="3.42578125" style="1025" customWidth="1"/>
    <col min="7930" max="7933" width="11.5703125" style="1025" customWidth="1"/>
    <col min="7934" max="7934" width="9.42578125" style="1025"/>
    <col min="7935" max="7935" width="39.42578125" style="1025" customWidth="1"/>
    <col min="7936" max="8182" width="9.42578125" style="1025"/>
    <col min="8183" max="8183" width="68.5703125" style="1025" customWidth="1"/>
    <col min="8184" max="8184" width="11.5703125" style="1025" customWidth="1"/>
    <col min="8185" max="8185" width="3.42578125" style="1025" customWidth="1"/>
    <col min="8186" max="8189" width="11.5703125" style="1025" customWidth="1"/>
    <col min="8190" max="8190" width="9.42578125" style="1025"/>
    <col min="8191" max="8191" width="39.42578125" style="1025" customWidth="1"/>
    <col min="8192" max="8438" width="9.42578125" style="1025"/>
    <col min="8439" max="8439" width="68.5703125" style="1025" customWidth="1"/>
    <col min="8440" max="8440" width="11.5703125" style="1025" customWidth="1"/>
    <col min="8441" max="8441" width="3.42578125" style="1025" customWidth="1"/>
    <col min="8442" max="8445" width="11.5703125" style="1025" customWidth="1"/>
    <col min="8446" max="8446" width="9.42578125" style="1025"/>
    <col min="8447" max="8447" width="39.42578125" style="1025" customWidth="1"/>
    <col min="8448" max="8694" width="9.42578125" style="1025"/>
    <col min="8695" max="8695" width="68.5703125" style="1025" customWidth="1"/>
    <col min="8696" max="8696" width="11.5703125" style="1025" customWidth="1"/>
    <col min="8697" max="8697" width="3.42578125" style="1025" customWidth="1"/>
    <col min="8698" max="8701" width="11.5703125" style="1025" customWidth="1"/>
    <col min="8702" max="8702" width="9.42578125" style="1025"/>
    <col min="8703" max="8703" width="39.42578125" style="1025" customWidth="1"/>
    <col min="8704" max="8950" width="9.42578125" style="1025"/>
    <col min="8951" max="8951" width="68.5703125" style="1025" customWidth="1"/>
    <col min="8952" max="8952" width="11.5703125" style="1025" customWidth="1"/>
    <col min="8953" max="8953" width="3.42578125" style="1025" customWidth="1"/>
    <col min="8954" max="8957" width="11.5703125" style="1025" customWidth="1"/>
    <col min="8958" max="8958" width="9.42578125" style="1025"/>
    <col min="8959" max="8959" width="39.42578125" style="1025" customWidth="1"/>
    <col min="8960" max="9206" width="9.42578125" style="1025"/>
    <col min="9207" max="9207" width="68.5703125" style="1025" customWidth="1"/>
    <col min="9208" max="9208" width="11.5703125" style="1025" customWidth="1"/>
    <col min="9209" max="9209" width="3.42578125" style="1025" customWidth="1"/>
    <col min="9210" max="9213" width="11.5703125" style="1025" customWidth="1"/>
    <col min="9214" max="9214" width="9.42578125" style="1025"/>
    <col min="9215" max="9215" width="39.42578125" style="1025" customWidth="1"/>
    <col min="9216" max="9462" width="9.42578125" style="1025"/>
    <col min="9463" max="9463" width="68.5703125" style="1025" customWidth="1"/>
    <col min="9464" max="9464" width="11.5703125" style="1025" customWidth="1"/>
    <col min="9465" max="9465" width="3.42578125" style="1025" customWidth="1"/>
    <col min="9466" max="9469" width="11.5703125" style="1025" customWidth="1"/>
    <col min="9470" max="9470" width="9.42578125" style="1025"/>
    <col min="9471" max="9471" width="39.42578125" style="1025" customWidth="1"/>
    <col min="9472" max="9718" width="9.42578125" style="1025"/>
    <col min="9719" max="9719" width="68.5703125" style="1025" customWidth="1"/>
    <col min="9720" max="9720" width="11.5703125" style="1025" customWidth="1"/>
    <col min="9721" max="9721" width="3.42578125" style="1025" customWidth="1"/>
    <col min="9722" max="9725" width="11.5703125" style="1025" customWidth="1"/>
    <col min="9726" max="9726" width="9.42578125" style="1025"/>
    <col min="9727" max="9727" width="39.42578125" style="1025" customWidth="1"/>
    <col min="9728" max="9974" width="9.42578125" style="1025"/>
    <col min="9975" max="9975" width="68.5703125" style="1025" customWidth="1"/>
    <col min="9976" max="9976" width="11.5703125" style="1025" customWidth="1"/>
    <col min="9977" max="9977" width="3.42578125" style="1025" customWidth="1"/>
    <col min="9978" max="9981" width="11.5703125" style="1025" customWidth="1"/>
    <col min="9982" max="9982" width="9.42578125" style="1025"/>
    <col min="9983" max="9983" width="39.42578125" style="1025" customWidth="1"/>
    <col min="9984" max="10230" width="9.42578125" style="1025"/>
    <col min="10231" max="10231" width="68.5703125" style="1025" customWidth="1"/>
    <col min="10232" max="10232" width="11.5703125" style="1025" customWidth="1"/>
    <col min="10233" max="10233" width="3.42578125" style="1025" customWidth="1"/>
    <col min="10234" max="10237" width="11.5703125" style="1025" customWidth="1"/>
    <col min="10238" max="10238" width="9.42578125" style="1025"/>
    <col min="10239" max="10239" width="39.42578125" style="1025" customWidth="1"/>
    <col min="10240" max="10486" width="9.42578125" style="1025"/>
    <col min="10487" max="10487" width="68.5703125" style="1025" customWidth="1"/>
    <col min="10488" max="10488" width="11.5703125" style="1025" customWidth="1"/>
    <col min="10489" max="10489" width="3.42578125" style="1025" customWidth="1"/>
    <col min="10490" max="10493" width="11.5703125" style="1025" customWidth="1"/>
    <col min="10494" max="10494" width="9.42578125" style="1025"/>
    <col min="10495" max="10495" width="39.42578125" style="1025" customWidth="1"/>
    <col min="10496" max="10742" width="9.42578125" style="1025"/>
    <col min="10743" max="10743" width="68.5703125" style="1025" customWidth="1"/>
    <col min="10744" max="10744" width="11.5703125" style="1025" customWidth="1"/>
    <col min="10745" max="10745" width="3.42578125" style="1025" customWidth="1"/>
    <col min="10746" max="10749" width="11.5703125" style="1025" customWidth="1"/>
    <col min="10750" max="10750" width="9.42578125" style="1025"/>
    <col min="10751" max="10751" width="39.42578125" style="1025" customWidth="1"/>
    <col min="10752" max="10998" width="9.42578125" style="1025"/>
    <col min="10999" max="10999" width="68.5703125" style="1025" customWidth="1"/>
    <col min="11000" max="11000" width="11.5703125" style="1025" customWidth="1"/>
    <col min="11001" max="11001" width="3.42578125" style="1025" customWidth="1"/>
    <col min="11002" max="11005" width="11.5703125" style="1025" customWidth="1"/>
    <col min="11006" max="11006" width="9.42578125" style="1025"/>
    <col min="11007" max="11007" width="39.42578125" style="1025" customWidth="1"/>
    <col min="11008" max="11254" width="9.42578125" style="1025"/>
    <col min="11255" max="11255" width="68.5703125" style="1025" customWidth="1"/>
    <col min="11256" max="11256" width="11.5703125" style="1025" customWidth="1"/>
    <col min="11257" max="11257" width="3.42578125" style="1025" customWidth="1"/>
    <col min="11258" max="11261" width="11.5703125" style="1025" customWidth="1"/>
    <col min="11262" max="11262" width="9.42578125" style="1025"/>
    <col min="11263" max="11263" width="39.42578125" style="1025" customWidth="1"/>
    <col min="11264" max="11510" width="9.42578125" style="1025"/>
    <col min="11511" max="11511" width="68.5703125" style="1025" customWidth="1"/>
    <col min="11512" max="11512" width="11.5703125" style="1025" customWidth="1"/>
    <col min="11513" max="11513" width="3.42578125" style="1025" customWidth="1"/>
    <col min="11514" max="11517" width="11.5703125" style="1025" customWidth="1"/>
    <col min="11518" max="11518" width="9.42578125" style="1025"/>
    <col min="11519" max="11519" width="39.42578125" style="1025" customWidth="1"/>
    <col min="11520" max="11766" width="9.42578125" style="1025"/>
    <col min="11767" max="11767" width="68.5703125" style="1025" customWidth="1"/>
    <col min="11768" max="11768" width="11.5703125" style="1025" customWidth="1"/>
    <col min="11769" max="11769" width="3.42578125" style="1025" customWidth="1"/>
    <col min="11770" max="11773" width="11.5703125" style="1025" customWidth="1"/>
    <col min="11774" max="11774" width="9.42578125" style="1025"/>
    <col min="11775" max="11775" width="39.42578125" style="1025" customWidth="1"/>
    <col min="11776" max="12022" width="9.42578125" style="1025"/>
    <col min="12023" max="12023" width="68.5703125" style="1025" customWidth="1"/>
    <col min="12024" max="12024" width="11.5703125" style="1025" customWidth="1"/>
    <col min="12025" max="12025" width="3.42578125" style="1025" customWidth="1"/>
    <col min="12026" max="12029" width="11.5703125" style="1025" customWidth="1"/>
    <col min="12030" max="12030" width="9.42578125" style="1025"/>
    <col min="12031" max="12031" width="39.42578125" style="1025" customWidth="1"/>
    <col min="12032" max="12278" width="9.42578125" style="1025"/>
    <col min="12279" max="12279" width="68.5703125" style="1025" customWidth="1"/>
    <col min="12280" max="12280" width="11.5703125" style="1025" customWidth="1"/>
    <col min="12281" max="12281" width="3.42578125" style="1025" customWidth="1"/>
    <col min="12282" max="12285" width="11.5703125" style="1025" customWidth="1"/>
    <col min="12286" max="12286" width="9.42578125" style="1025"/>
    <col min="12287" max="12287" width="39.42578125" style="1025" customWidth="1"/>
    <col min="12288" max="12534" width="9.42578125" style="1025"/>
    <col min="12535" max="12535" width="68.5703125" style="1025" customWidth="1"/>
    <col min="12536" max="12536" width="11.5703125" style="1025" customWidth="1"/>
    <col min="12537" max="12537" width="3.42578125" style="1025" customWidth="1"/>
    <col min="12538" max="12541" width="11.5703125" style="1025" customWidth="1"/>
    <col min="12542" max="12542" width="9.42578125" style="1025"/>
    <col min="12543" max="12543" width="39.42578125" style="1025" customWidth="1"/>
    <col min="12544" max="12790" width="9.42578125" style="1025"/>
    <col min="12791" max="12791" width="68.5703125" style="1025" customWidth="1"/>
    <col min="12792" max="12792" width="11.5703125" style="1025" customWidth="1"/>
    <col min="12793" max="12793" width="3.42578125" style="1025" customWidth="1"/>
    <col min="12794" max="12797" width="11.5703125" style="1025" customWidth="1"/>
    <col min="12798" max="12798" width="9.42578125" style="1025"/>
    <col min="12799" max="12799" width="39.42578125" style="1025" customWidth="1"/>
    <col min="12800" max="13046" width="9.42578125" style="1025"/>
    <col min="13047" max="13047" width="68.5703125" style="1025" customWidth="1"/>
    <col min="13048" max="13048" width="11.5703125" style="1025" customWidth="1"/>
    <col min="13049" max="13049" width="3.42578125" style="1025" customWidth="1"/>
    <col min="13050" max="13053" width="11.5703125" style="1025" customWidth="1"/>
    <col min="13054" max="13054" width="9.42578125" style="1025"/>
    <col min="13055" max="13055" width="39.42578125" style="1025" customWidth="1"/>
    <col min="13056" max="13302" width="9.42578125" style="1025"/>
    <col min="13303" max="13303" width="68.5703125" style="1025" customWidth="1"/>
    <col min="13304" max="13304" width="11.5703125" style="1025" customWidth="1"/>
    <col min="13305" max="13305" width="3.42578125" style="1025" customWidth="1"/>
    <col min="13306" max="13309" width="11.5703125" style="1025" customWidth="1"/>
    <col min="13310" max="13310" width="9.42578125" style="1025"/>
    <col min="13311" max="13311" width="39.42578125" style="1025" customWidth="1"/>
    <col min="13312" max="13558" width="9.42578125" style="1025"/>
    <col min="13559" max="13559" width="68.5703125" style="1025" customWidth="1"/>
    <col min="13560" max="13560" width="11.5703125" style="1025" customWidth="1"/>
    <col min="13561" max="13561" width="3.42578125" style="1025" customWidth="1"/>
    <col min="13562" max="13565" width="11.5703125" style="1025" customWidth="1"/>
    <col min="13566" max="13566" width="9.42578125" style="1025"/>
    <col min="13567" max="13567" width="39.42578125" style="1025" customWidth="1"/>
    <col min="13568" max="13814" width="9.42578125" style="1025"/>
    <col min="13815" max="13815" width="68.5703125" style="1025" customWidth="1"/>
    <col min="13816" max="13816" width="11.5703125" style="1025" customWidth="1"/>
    <col min="13817" max="13817" width="3.42578125" style="1025" customWidth="1"/>
    <col min="13818" max="13821" width="11.5703125" style="1025" customWidth="1"/>
    <col min="13822" max="13822" width="9.42578125" style="1025"/>
    <col min="13823" max="13823" width="39.42578125" style="1025" customWidth="1"/>
    <col min="13824" max="14070" width="9.42578125" style="1025"/>
    <col min="14071" max="14071" width="68.5703125" style="1025" customWidth="1"/>
    <col min="14072" max="14072" width="11.5703125" style="1025" customWidth="1"/>
    <col min="14073" max="14073" width="3.42578125" style="1025" customWidth="1"/>
    <col min="14074" max="14077" width="11.5703125" style="1025" customWidth="1"/>
    <col min="14078" max="14078" width="9.42578125" style="1025"/>
    <col min="14079" max="14079" width="39.42578125" style="1025" customWidth="1"/>
    <col min="14080" max="14326" width="9.42578125" style="1025"/>
    <col min="14327" max="14327" width="68.5703125" style="1025" customWidth="1"/>
    <col min="14328" max="14328" width="11.5703125" style="1025" customWidth="1"/>
    <col min="14329" max="14329" width="3.42578125" style="1025" customWidth="1"/>
    <col min="14330" max="14333" width="11.5703125" style="1025" customWidth="1"/>
    <col min="14334" max="14334" width="9.42578125" style="1025"/>
    <col min="14335" max="14335" width="39.42578125" style="1025" customWidth="1"/>
    <col min="14336" max="14582" width="9.42578125" style="1025"/>
    <col min="14583" max="14583" width="68.5703125" style="1025" customWidth="1"/>
    <col min="14584" max="14584" width="11.5703125" style="1025" customWidth="1"/>
    <col min="14585" max="14585" width="3.42578125" style="1025" customWidth="1"/>
    <col min="14586" max="14589" width="11.5703125" style="1025" customWidth="1"/>
    <col min="14590" max="14590" width="9.42578125" style="1025"/>
    <col min="14591" max="14591" width="39.42578125" style="1025" customWidth="1"/>
    <col min="14592" max="14838" width="9.42578125" style="1025"/>
    <col min="14839" max="14839" width="68.5703125" style="1025" customWidth="1"/>
    <col min="14840" max="14840" width="11.5703125" style="1025" customWidth="1"/>
    <col min="14841" max="14841" width="3.42578125" style="1025" customWidth="1"/>
    <col min="14842" max="14845" width="11.5703125" style="1025" customWidth="1"/>
    <col min="14846" max="14846" width="9.42578125" style="1025"/>
    <col min="14847" max="14847" width="39.42578125" style="1025" customWidth="1"/>
    <col min="14848" max="15094" width="9.42578125" style="1025"/>
    <col min="15095" max="15095" width="68.5703125" style="1025" customWidth="1"/>
    <col min="15096" max="15096" width="11.5703125" style="1025" customWidth="1"/>
    <col min="15097" max="15097" width="3.42578125" style="1025" customWidth="1"/>
    <col min="15098" max="15101" width="11.5703125" style="1025" customWidth="1"/>
    <col min="15102" max="15102" width="9.42578125" style="1025"/>
    <col min="15103" max="15103" width="39.42578125" style="1025" customWidth="1"/>
    <col min="15104" max="15350" width="9.42578125" style="1025"/>
    <col min="15351" max="15351" width="68.5703125" style="1025" customWidth="1"/>
    <col min="15352" max="15352" width="11.5703125" style="1025" customWidth="1"/>
    <col min="15353" max="15353" width="3.42578125" style="1025" customWidth="1"/>
    <col min="15354" max="15357" width="11.5703125" style="1025" customWidth="1"/>
    <col min="15358" max="15358" width="9.42578125" style="1025"/>
    <col min="15359" max="15359" width="39.42578125" style="1025" customWidth="1"/>
    <col min="15360" max="15606" width="9.42578125" style="1025"/>
    <col min="15607" max="15607" width="68.5703125" style="1025" customWidth="1"/>
    <col min="15608" max="15608" width="11.5703125" style="1025" customWidth="1"/>
    <col min="15609" max="15609" width="3.42578125" style="1025" customWidth="1"/>
    <col min="15610" max="15613" width="11.5703125" style="1025" customWidth="1"/>
    <col min="15614" max="15614" width="9.42578125" style="1025"/>
    <col min="15615" max="15615" width="39.42578125" style="1025" customWidth="1"/>
    <col min="15616" max="15862" width="9.42578125" style="1025"/>
    <col min="15863" max="15863" width="68.5703125" style="1025" customWidth="1"/>
    <col min="15864" max="15864" width="11.5703125" style="1025" customWidth="1"/>
    <col min="15865" max="15865" width="3.42578125" style="1025" customWidth="1"/>
    <col min="15866" max="15869" width="11.5703125" style="1025" customWidth="1"/>
    <col min="15870" max="15870" width="9.42578125" style="1025"/>
    <col min="15871" max="15871" width="39.42578125" style="1025" customWidth="1"/>
    <col min="15872" max="16118" width="9.42578125" style="1025"/>
    <col min="16119" max="16119" width="68.5703125" style="1025" customWidth="1"/>
    <col min="16120" max="16120" width="11.5703125" style="1025" customWidth="1"/>
    <col min="16121" max="16121" width="3.42578125" style="1025" customWidth="1"/>
    <col min="16122" max="16125" width="11.5703125" style="1025" customWidth="1"/>
    <col min="16126" max="16126" width="9.42578125" style="1025"/>
    <col min="16127" max="16127" width="39.42578125" style="1025" customWidth="1"/>
    <col min="16128" max="16384" width="9.42578125" style="1025"/>
  </cols>
  <sheetData>
    <row r="1" spans="1:49" ht="25.35" customHeight="1">
      <c r="A1" s="295" t="s">
        <v>28864</v>
      </c>
      <c r="AW1" s="1482" t="s">
        <v>26584</v>
      </c>
    </row>
    <row r="2" spans="1:49" ht="15">
      <c r="AW2" s="1482" t="b">
        <f>+IF(COUNT(B5:AO50)=0,TRUE,FALSE)</f>
        <v>1</v>
      </c>
    </row>
    <row r="4" spans="1:49" ht="18" customHeight="1">
      <c r="A4" s="1427"/>
      <c r="B4" s="1626" t="s">
        <v>29767</v>
      </c>
      <c r="C4" s="1626" t="s">
        <v>29768</v>
      </c>
      <c r="D4" s="1626" t="s">
        <v>29769</v>
      </c>
      <c r="E4" s="1626" t="s">
        <v>29770</v>
      </c>
      <c r="F4" s="1626" t="s">
        <v>29771</v>
      </c>
      <c r="G4" s="1626" t="s">
        <v>29772</v>
      </c>
      <c r="H4" s="1626" t="s">
        <v>29773</v>
      </c>
      <c r="I4" s="1626" t="s">
        <v>29774</v>
      </c>
      <c r="J4" s="1626" t="s">
        <v>29775</v>
      </c>
      <c r="K4" s="1626" t="s">
        <v>29776</v>
      </c>
      <c r="L4" s="1626" t="s">
        <v>29777</v>
      </c>
      <c r="M4" s="1626" t="s">
        <v>29778</v>
      </c>
      <c r="N4" s="1626" t="s">
        <v>29779</v>
      </c>
      <c r="O4" s="1626" t="s">
        <v>29780</v>
      </c>
      <c r="P4" s="1626" t="s">
        <v>29781</v>
      </c>
      <c r="Q4" s="1626" t="s">
        <v>29782</v>
      </c>
      <c r="R4" s="1626" t="s">
        <v>29783</v>
      </c>
      <c r="S4" s="1626" t="s">
        <v>29784</v>
      </c>
      <c r="T4" s="1626" t="s">
        <v>29785</v>
      </c>
      <c r="U4" s="1626" t="s">
        <v>29786</v>
      </c>
      <c r="V4" s="1626" t="s">
        <v>29787</v>
      </c>
      <c r="W4" s="1626" t="s">
        <v>29788</v>
      </c>
      <c r="X4" s="1626" t="s">
        <v>29789</v>
      </c>
      <c r="Y4" s="1626" t="s">
        <v>29790</v>
      </c>
      <c r="Z4" s="1626" t="s">
        <v>29791</v>
      </c>
      <c r="AA4" s="1626" t="s">
        <v>29792</v>
      </c>
      <c r="AB4" s="1626" t="s">
        <v>29793</v>
      </c>
      <c r="AC4" s="1626" t="s">
        <v>29794</v>
      </c>
      <c r="AD4" s="1626" t="s">
        <v>29795</v>
      </c>
      <c r="AE4" s="1626" t="s">
        <v>29796</v>
      </c>
      <c r="AF4" s="1626" t="s">
        <v>29797</v>
      </c>
      <c r="AG4" s="1626" t="s">
        <v>29798</v>
      </c>
      <c r="AH4" s="1626" t="s">
        <v>29799</v>
      </c>
      <c r="AI4" s="1626" t="s">
        <v>29800</v>
      </c>
      <c r="AJ4" s="1626" t="s">
        <v>29801</v>
      </c>
      <c r="AK4" s="1626" t="s">
        <v>29802</v>
      </c>
      <c r="AL4" s="1626" t="s">
        <v>30388</v>
      </c>
      <c r="AM4" s="1626" t="s">
        <v>30389</v>
      </c>
      <c r="AN4" s="1626" t="s">
        <v>30390</v>
      </c>
      <c r="AO4" s="1626" t="s">
        <v>30391</v>
      </c>
    </row>
    <row r="5" spans="1:49" ht="18" customHeight="1">
      <c r="A5" s="1430" t="s">
        <v>29679</v>
      </c>
      <c r="B5" s="1501"/>
      <c r="C5" s="1501"/>
      <c r="D5" s="1501"/>
      <c r="E5" s="1501"/>
      <c r="F5" s="1501"/>
      <c r="G5" s="1501"/>
      <c r="H5" s="1501"/>
      <c r="I5" s="1501"/>
      <c r="J5" s="1501"/>
      <c r="K5" s="1501"/>
      <c r="L5" s="1501"/>
      <c r="M5" s="1501"/>
      <c r="N5" s="1501"/>
      <c r="O5" s="1501"/>
      <c r="P5" s="1501"/>
      <c r="Q5" s="1501"/>
      <c r="R5" s="1501"/>
      <c r="S5" s="1501"/>
      <c r="T5" s="1501"/>
      <c r="U5" s="1501"/>
      <c r="V5" s="1501"/>
      <c r="W5" s="1501"/>
      <c r="X5" s="1501"/>
      <c r="Y5" s="1501"/>
      <c r="Z5" s="1501"/>
      <c r="AA5" s="1501"/>
      <c r="AB5" s="1501"/>
      <c r="AC5" s="1501"/>
      <c r="AD5" s="1501"/>
      <c r="AE5" s="1501"/>
      <c r="AF5" s="1501"/>
      <c r="AG5" s="1501"/>
      <c r="AH5" s="1501"/>
      <c r="AI5" s="1501"/>
      <c r="AJ5" s="1501"/>
      <c r="AK5" s="1501"/>
      <c r="AL5" s="1501"/>
      <c r="AM5" s="1501"/>
      <c r="AN5" s="1501"/>
      <c r="AO5" s="1501"/>
    </row>
    <row r="6" spans="1:49" s="1432" customFormat="1" ht="27" customHeight="1">
      <c r="A6" s="2440" t="s">
        <v>29706</v>
      </c>
      <c r="B6" s="2442"/>
      <c r="C6" s="2442"/>
      <c r="D6" s="2442"/>
      <c r="E6" s="2442"/>
      <c r="F6" s="2442"/>
      <c r="G6" s="2442"/>
      <c r="H6" s="2442"/>
      <c r="I6" s="2442"/>
      <c r="J6" s="2442"/>
      <c r="K6" s="2442"/>
      <c r="L6" s="2442"/>
      <c r="M6" s="2442"/>
      <c r="N6" s="2442"/>
      <c r="O6" s="2442"/>
      <c r="P6" s="2442"/>
      <c r="Q6" s="2442"/>
      <c r="R6" s="2442"/>
      <c r="S6" s="2442"/>
      <c r="T6" s="2442"/>
      <c r="U6" s="2442"/>
      <c r="V6" s="2442"/>
      <c r="W6" s="2442"/>
      <c r="X6" s="2442"/>
      <c r="Y6" s="2442"/>
      <c r="Z6" s="2442"/>
      <c r="AA6" s="2442"/>
      <c r="AB6" s="2442"/>
      <c r="AC6" s="2442"/>
      <c r="AD6" s="2442"/>
      <c r="AE6" s="2442"/>
      <c r="AF6" s="2442"/>
      <c r="AG6" s="2442"/>
      <c r="AH6" s="2442"/>
      <c r="AI6" s="2442"/>
      <c r="AJ6" s="2442"/>
      <c r="AK6" s="2442"/>
      <c r="AL6" s="2442"/>
      <c r="AM6" s="2442"/>
      <c r="AN6" s="2442"/>
      <c r="AO6" s="2442"/>
    </row>
    <row r="7" spans="1:49" s="1432" customFormat="1" ht="27.75" customHeight="1">
      <c r="A7" s="2440" t="s">
        <v>29676</v>
      </c>
      <c r="B7" s="2442"/>
      <c r="C7" s="2442"/>
      <c r="D7" s="2442"/>
      <c r="E7" s="2442"/>
      <c r="F7" s="2442"/>
      <c r="G7" s="2442"/>
      <c r="H7" s="2442"/>
      <c r="I7" s="2442"/>
      <c r="J7" s="2442"/>
      <c r="K7" s="2442"/>
      <c r="L7" s="2442"/>
      <c r="M7" s="2442"/>
      <c r="N7" s="2442"/>
      <c r="O7" s="2442"/>
      <c r="P7" s="2442"/>
      <c r="Q7" s="2442"/>
      <c r="R7" s="2442"/>
      <c r="S7" s="2442"/>
      <c r="T7" s="2442"/>
      <c r="U7" s="2442"/>
      <c r="V7" s="2442"/>
      <c r="W7" s="2442"/>
      <c r="X7" s="2442"/>
      <c r="Y7" s="2442"/>
      <c r="Z7" s="2442"/>
      <c r="AA7" s="2442"/>
      <c r="AB7" s="2442"/>
      <c r="AC7" s="2442"/>
      <c r="AD7" s="2442"/>
      <c r="AE7" s="2442"/>
      <c r="AF7" s="2442"/>
      <c r="AG7" s="2442"/>
      <c r="AH7" s="2442"/>
      <c r="AI7" s="2442"/>
      <c r="AJ7" s="2442"/>
      <c r="AK7" s="2442"/>
      <c r="AL7" s="2442"/>
      <c r="AM7" s="2442"/>
      <c r="AN7" s="2442"/>
      <c r="AO7" s="2442"/>
    </row>
    <row r="8" spans="1:49" ht="18" customHeight="1">
      <c r="A8" s="1428" t="s">
        <v>29641</v>
      </c>
      <c r="B8" s="241"/>
      <c r="C8" s="241"/>
      <c r="D8" s="241"/>
      <c r="E8" s="241"/>
      <c r="F8" s="241"/>
      <c r="G8" s="241"/>
      <c r="H8" s="241"/>
      <c r="I8" s="241"/>
      <c r="J8" s="241"/>
      <c r="K8" s="241"/>
      <c r="L8" s="241"/>
      <c r="M8" s="241"/>
      <c r="N8" s="241"/>
      <c r="O8" s="241"/>
      <c r="P8" s="241"/>
      <c r="Q8" s="241"/>
      <c r="R8" s="241"/>
      <c r="S8" s="241"/>
      <c r="T8" s="241"/>
      <c r="U8" s="241"/>
      <c r="V8" s="241"/>
      <c r="W8" s="241"/>
      <c r="X8" s="241"/>
      <c r="Y8" s="241"/>
      <c r="Z8" s="241"/>
      <c r="AA8" s="241"/>
      <c r="AB8" s="241"/>
      <c r="AC8" s="241"/>
      <c r="AD8" s="241"/>
      <c r="AE8" s="241"/>
      <c r="AF8" s="241"/>
      <c r="AG8" s="241"/>
      <c r="AH8" s="241"/>
      <c r="AI8" s="241"/>
      <c r="AJ8" s="241"/>
      <c r="AK8" s="241"/>
      <c r="AL8" s="241"/>
      <c r="AM8" s="241"/>
      <c r="AN8" s="241"/>
      <c r="AO8" s="241"/>
    </row>
    <row r="9" spans="1:49" ht="18" customHeight="1">
      <c r="A9" s="1428" t="s">
        <v>29642</v>
      </c>
      <c r="B9" s="241"/>
      <c r="C9" s="241"/>
      <c r="D9" s="241"/>
      <c r="E9" s="241"/>
      <c r="F9" s="241"/>
      <c r="G9" s="241"/>
      <c r="H9" s="241"/>
      <c r="I9" s="241"/>
      <c r="J9" s="241"/>
      <c r="K9" s="241"/>
      <c r="L9" s="241"/>
      <c r="M9" s="241"/>
      <c r="N9" s="241"/>
      <c r="O9" s="241"/>
      <c r="P9" s="241"/>
      <c r="Q9" s="241"/>
      <c r="R9" s="241"/>
      <c r="S9" s="241"/>
      <c r="T9" s="241"/>
      <c r="U9" s="241"/>
      <c r="V9" s="241"/>
      <c r="W9" s="241"/>
      <c r="X9" s="241"/>
      <c r="Y9" s="241"/>
      <c r="Z9" s="241"/>
      <c r="AA9" s="241"/>
      <c r="AB9" s="241"/>
      <c r="AC9" s="241"/>
      <c r="AD9" s="241"/>
      <c r="AE9" s="241"/>
      <c r="AF9" s="241"/>
      <c r="AG9" s="241"/>
      <c r="AH9" s="241"/>
      <c r="AI9" s="241"/>
      <c r="AJ9" s="241"/>
      <c r="AK9" s="241"/>
      <c r="AL9" s="241"/>
      <c r="AM9" s="241"/>
      <c r="AN9" s="241"/>
      <c r="AO9" s="241"/>
    </row>
    <row r="10" spans="1:49" ht="30" customHeight="1">
      <c r="A10" s="1428" t="s">
        <v>29707</v>
      </c>
      <c r="B10" s="241"/>
      <c r="C10" s="241"/>
      <c r="D10" s="241"/>
      <c r="E10" s="241"/>
      <c r="F10" s="241"/>
      <c r="G10" s="241"/>
      <c r="H10" s="241"/>
      <c r="I10" s="241"/>
      <c r="J10" s="241"/>
      <c r="K10" s="241"/>
      <c r="L10" s="241"/>
      <c r="M10" s="241"/>
      <c r="N10" s="241"/>
      <c r="O10" s="241"/>
      <c r="P10" s="241"/>
      <c r="Q10" s="241"/>
      <c r="R10" s="241"/>
      <c r="S10" s="241"/>
      <c r="T10" s="241"/>
      <c r="U10" s="241"/>
      <c r="V10" s="241"/>
      <c r="W10" s="241"/>
      <c r="X10" s="241"/>
      <c r="Y10" s="241"/>
      <c r="Z10" s="241"/>
      <c r="AA10" s="241"/>
      <c r="AB10" s="241"/>
      <c r="AC10" s="241"/>
      <c r="AD10" s="241"/>
      <c r="AE10" s="241"/>
      <c r="AF10" s="241"/>
      <c r="AG10" s="241"/>
      <c r="AH10" s="241"/>
      <c r="AI10" s="241"/>
      <c r="AJ10" s="241"/>
      <c r="AK10" s="241"/>
      <c r="AL10" s="241"/>
      <c r="AM10" s="241"/>
      <c r="AN10" s="241"/>
      <c r="AO10" s="241"/>
    </row>
    <row r="11" spans="1:49" s="1432" customFormat="1" ht="27.75" customHeight="1">
      <c r="A11" s="2440" t="s">
        <v>29643</v>
      </c>
      <c r="B11" s="2442"/>
      <c r="C11" s="2442"/>
      <c r="D11" s="2442"/>
      <c r="E11" s="2442"/>
      <c r="F11" s="2442"/>
      <c r="G11" s="2442"/>
      <c r="H11" s="2442"/>
      <c r="I11" s="2442"/>
      <c r="J11" s="2442"/>
      <c r="K11" s="2442"/>
      <c r="L11" s="2442"/>
      <c r="M11" s="2442"/>
      <c r="N11" s="2442"/>
      <c r="O11" s="2442"/>
      <c r="P11" s="2442"/>
      <c r="Q11" s="2442"/>
      <c r="R11" s="2442"/>
      <c r="S11" s="2442"/>
      <c r="T11" s="2442"/>
      <c r="U11" s="2442"/>
      <c r="V11" s="2442"/>
      <c r="W11" s="2442"/>
      <c r="X11" s="2442"/>
      <c r="Y11" s="2442"/>
      <c r="Z11" s="2442"/>
      <c r="AA11" s="2442"/>
      <c r="AB11" s="2442"/>
      <c r="AC11" s="2442"/>
      <c r="AD11" s="2442"/>
      <c r="AE11" s="2442"/>
      <c r="AF11" s="2442"/>
      <c r="AG11" s="2442"/>
      <c r="AH11" s="2442"/>
      <c r="AI11" s="2442"/>
      <c r="AJ11" s="2442"/>
      <c r="AK11" s="2442"/>
      <c r="AL11" s="2442"/>
      <c r="AM11" s="2442"/>
      <c r="AN11" s="2442"/>
      <c r="AO11" s="2442"/>
    </row>
    <row r="12" spans="1:49" ht="18" customHeight="1">
      <c r="A12" s="1428" t="s">
        <v>29644</v>
      </c>
      <c r="B12" s="241"/>
      <c r="C12" s="241"/>
      <c r="D12" s="241"/>
      <c r="E12" s="241"/>
      <c r="F12" s="241"/>
      <c r="G12" s="241"/>
      <c r="H12" s="241"/>
      <c r="I12" s="241"/>
      <c r="J12" s="241"/>
      <c r="K12" s="241"/>
      <c r="L12" s="241"/>
      <c r="M12" s="241"/>
      <c r="N12" s="241"/>
      <c r="O12" s="241"/>
      <c r="P12" s="241"/>
      <c r="Q12" s="241"/>
      <c r="R12" s="241"/>
      <c r="S12" s="241"/>
      <c r="T12" s="241"/>
      <c r="U12" s="241"/>
      <c r="V12" s="241"/>
      <c r="W12" s="241"/>
      <c r="X12" s="241"/>
      <c r="Y12" s="241"/>
      <c r="Z12" s="241"/>
      <c r="AA12" s="241"/>
      <c r="AB12" s="241"/>
      <c r="AC12" s="241"/>
      <c r="AD12" s="241"/>
      <c r="AE12" s="241"/>
      <c r="AF12" s="241"/>
      <c r="AG12" s="241"/>
      <c r="AH12" s="241"/>
      <c r="AI12" s="241"/>
      <c r="AJ12" s="241"/>
      <c r="AK12" s="241"/>
      <c r="AL12" s="241"/>
      <c r="AM12" s="241"/>
      <c r="AN12" s="241"/>
      <c r="AO12" s="241"/>
    </row>
    <row r="13" spans="1:49" ht="24.75" customHeight="1">
      <c r="A13" s="1428" t="s">
        <v>29708</v>
      </c>
      <c r="B13" s="241"/>
      <c r="C13" s="241"/>
      <c r="D13" s="241"/>
      <c r="E13" s="241"/>
      <c r="F13" s="241"/>
      <c r="G13" s="241"/>
      <c r="H13" s="241"/>
      <c r="I13" s="241"/>
      <c r="J13" s="241"/>
      <c r="K13" s="241"/>
      <c r="L13" s="241"/>
      <c r="M13" s="241"/>
      <c r="N13" s="241"/>
      <c r="O13" s="241"/>
      <c r="P13" s="241"/>
      <c r="Q13" s="241"/>
      <c r="R13" s="241"/>
      <c r="S13" s="241"/>
      <c r="T13" s="241"/>
      <c r="U13" s="241"/>
      <c r="V13" s="241"/>
      <c r="W13" s="241"/>
      <c r="X13" s="241"/>
      <c r="Y13" s="241"/>
      <c r="Z13" s="241"/>
      <c r="AA13" s="241"/>
      <c r="AB13" s="241"/>
      <c r="AC13" s="241"/>
      <c r="AD13" s="241"/>
      <c r="AE13" s="241"/>
      <c r="AF13" s="241"/>
      <c r="AG13" s="241"/>
      <c r="AH13" s="241"/>
      <c r="AI13" s="241"/>
      <c r="AJ13" s="241"/>
      <c r="AK13" s="241"/>
      <c r="AL13" s="241"/>
      <c r="AM13" s="241"/>
      <c r="AN13" s="241"/>
      <c r="AO13" s="241"/>
    </row>
    <row r="14" spans="1:49" ht="18" customHeight="1">
      <c r="A14" s="1428" t="s">
        <v>29645</v>
      </c>
      <c r="B14" s="241"/>
      <c r="C14" s="241"/>
      <c r="D14" s="241"/>
      <c r="E14" s="241"/>
      <c r="F14" s="241"/>
      <c r="G14" s="241"/>
      <c r="H14" s="241"/>
      <c r="I14" s="241"/>
      <c r="J14" s="241"/>
      <c r="K14" s="241"/>
      <c r="L14" s="241"/>
      <c r="M14" s="241"/>
      <c r="N14" s="241"/>
      <c r="O14" s="241"/>
      <c r="P14" s="241"/>
      <c r="Q14" s="241"/>
      <c r="R14" s="241"/>
      <c r="S14" s="241"/>
      <c r="T14" s="241"/>
      <c r="U14" s="241"/>
      <c r="V14" s="241"/>
      <c r="W14" s="241"/>
      <c r="X14" s="241"/>
      <c r="Y14" s="241"/>
      <c r="Z14" s="241"/>
      <c r="AA14" s="241"/>
      <c r="AB14" s="241"/>
      <c r="AC14" s="241"/>
      <c r="AD14" s="241"/>
      <c r="AE14" s="241"/>
      <c r="AF14" s="241"/>
      <c r="AG14" s="241"/>
      <c r="AH14" s="241"/>
      <c r="AI14" s="241"/>
      <c r="AJ14" s="241"/>
      <c r="AK14" s="241"/>
      <c r="AL14" s="241"/>
      <c r="AM14" s="241"/>
      <c r="AN14" s="241"/>
      <c r="AO14" s="241"/>
    </row>
    <row r="15" spans="1:49" ht="18" customHeight="1">
      <c r="A15" s="1428" t="s">
        <v>29646</v>
      </c>
      <c r="B15" s="241"/>
      <c r="C15" s="241"/>
      <c r="D15" s="241"/>
      <c r="E15" s="241"/>
      <c r="F15" s="241"/>
      <c r="G15" s="241"/>
      <c r="H15" s="241"/>
      <c r="I15" s="241"/>
      <c r="J15" s="241"/>
      <c r="K15" s="241"/>
      <c r="L15" s="241"/>
      <c r="M15" s="241"/>
      <c r="N15" s="241"/>
      <c r="O15" s="241"/>
      <c r="P15" s="241"/>
      <c r="Q15" s="241"/>
      <c r="R15" s="241"/>
      <c r="S15" s="241"/>
      <c r="T15" s="241"/>
      <c r="U15" s="241"/>
      <c r="V15" s="241"/>
      <c r="W15" s="241"/>
      <c r="X15" s="241"/>
      <c r="Y15" s="241"/>
      <c r="Z15" s="241"/>
      <c r="AA15" s="241"/>
      <c r="AB15" s="241"/>
      <c r="AC15" s="241"/>
      <c r="AD15" s="241"/>
      <c r="AE15" s="241"/>
      <c r="AF15" s="241"/>
      <c r="AG15" s="241"/>
      <c r="AH15" s="241"/>
      <c r="AI15" s="241"/>
      <c r="AJ15" s="241"/>
      <c r="AK15" s="241"/>
      <c r="AL15" s="241"/>
      <c r="AM15" s="241"/>
      <c r="AN15" s="241"/>
      <c r="AO15" s="241"/>
    </row>
    <row r="16" spans="1:49" s="1432" customFormat="1" ht="27.75" customHeight="1">
      <c r="A16" s="2440" t="s">
        <v>29647</v>
      </c>
      <c r="B16" s="2442"/>
      <c r="C16" s="2442"/>
      <c r="D16" s="2442"/>
      <c r="E16" s="2442"/>
      <c r="F16" s="2442"/>
      <c r="G16" s="2442"/>
      <c r="H16" s="2442"/>
      <c r="I16" s="2442"/>
      <c r="J16" s="2442"/>
      <c r="K16" s="2442"/>
      <c r="L16" s="2442"/>
      <c r="M16" s="2442"/>
      <c r="N16" s="2442"/>
      <c r="O16" s="2442"/>
      <c r="P16" s="2442"/>
      <c r="Q16" s="2442"/>
      <c r="R16" s="2442"/>
      <c r="S16" s="2442"/>
      <c r="T16" s="2442"/>
      <c r="U16" s="2442"/>
      <c r="V16" s="2442"/>
      <c r="W16" s="2442"/>
      <c r="X16" s="2442"/>
      <c r="Y16" s="2442"/>
      <c r="Z16" s="2442"/>
      <c r="AA16" s="2442"/>
      <c r="AB16" s="2442"/>
      <c r="AC16" s="2442"/>
      <c r="AD16" s="2442"/>
      <c r="AE16" s="2442"/>
      <c r="AF16" s="2442"/>
      <c r="AG16" s="2442"/>
      <c r="AH16" s="2442"/>
      <c r="AI16" s="2442"/>
      <c r="AJ16" s="2442"/>
      <c r="AK16" s="2442"/>
      <c r="AL16" s="2442"/>
      <c r="AM16" s="2442"/>
      <c r="AN16" s="2442"/>
      <c r="AO16" s="2442"/>
    </row>
    <row r="17" spans="1:41" customFormat="1" ht="18" customHeight="1">
      <c r="B17" s="1081"/>
      <c r="C17" s="1081"/>
      <c r="D17" s="1081"/>
      <c r="E17" s="1081"/>
      <c r="F17" s="1081"/>
      <c r="G17" s="1081"/>
      <c r="H17" s="1081"/>
      <c r="I17" s="1081"/>
      <c r="J17" s="1081"/>
      <c r="K17" s="1081"/>
      <c r="L17" s="1081"/>
      <c r="M17" s="1081"/>
      <c r="N17" s="1081"/>
      <c r="O17" s="1081"/>
      <c r="P17" s="1081"/>
      <c r="Q17" s="1081"/>
      <c r="R17" s="1081"/>
      <c r="S17" s="1081"/>
      <c r="T17" s="1081"/>
      <c r="U17" s="1081"/>
      <c r="V17" s="1081"/>
      <c r="W17" s="1081"/>
      <c r="X17" s="1081"/>
      <c r="Y17" s="1081"/>
      <c r="Z17" s="1081"/>
      <c r="AA17" s="1081"/>
      <c r="AB17" s="1081"/>
      <c r="AC17" s="1081"/>
      <c r="AD17" s="1081"/>
      <c r="AE17" s="1081"/>
      <c r="AF17" s="1081"/>
      <c r="AG17" s="1081"/>
      <c r="AH17" s="1081"/>
      <c r="AI17" s="1081"/>
      <c r="AJ17" s="1081"/>
      <c r="AK17" s="1081"/>
      <c r="AL17" s="1081"/>
      <c r="AM17" s="1081"/>
      <c r="AN17" s="1081"/>
      <c r="AO17" s="1081"/>
    </row>
    <row r="18" spans="1:41" ht="18" customHeight="1">
      <c r="A18" s="1430" t="s">
        <v>29678</v>
      </c>
      <c r="B18" s="1542"/>
      <c r="C18" s="1542"/>
      <c r="D18" s="1542"/>
      <c r="E18" s="1542"/>
      <c r="F18" s="1542"/>
      <c r="G18" s="1542"/>
      <c r="H18" s="1542"/>
      <c r="I18" s="1542"/>
      <c r="J18" s="1542"/>
      <c r="K18" s="1542"/>
      <c r="L18" s="1542"/>
      <c r="M18" s="1542"/>
      <c r="N18" s="1542"/>
      <c r="O18" s="1542"/>
      <c r="P18" s="1542"/>
      <c r="Q18" s="1542"/>
      <c r="R18" s="1542"/>
      <c r="S18" s="1542"/>
      <c r="T18" s="1542"/>
      <c r="U18" s="1542"/>
      <c r="V18" s="1542"/>
      <c r="W18" s="1542"/>
      <c r="X18" s="1542"/>
      <c r="Y18" s="1542"/>
      <c r="Z18" s="1542"/>
      <c r="AA18" s="1542"/>
      <c r="AB18" s="1542"/>
      <c r="AC18" s="1542"/>
      <c r="AD18" s="1542"/>
      <c r="AE18" s="1542"/>
      <c r="AF18" s="1542"/>
      <c r="AG18" s="1542"/>
      <c r="AH18" s="1542"/>
      <c r="AI18" s="1542"/>
      <c r="AJ18" s="1542"/>
      <c r="AK18" s="1542"/>
      <c r="AL18" s="1542"/>
      <c r="AM18" s="1542"/>
      <c r="AN18" s="1542"/>
      <c r="AO18" s="1542"/>
    </row>
    <row r="19" spans="1:41" s="1432" customFormat="1" ht="18" customHeight="1">
      <c r="A19" s="2443" t="s">
        <v>29677</v>
      </c>
      <c r="B19" s="2442"/>
      <c r="C19" s="2442"/>
      <c r="D19" s="2442"/>
      <c r="E19" s="2442"/>
      <c r="F19" s="2442"/>
      <c r="G19" s="2442"/>
      <c r="H19" s="2442"/>
      <c r="I19" s="2442"/>
      <c r="J19" s="2442"/>
      <c r="K19" s="2442"/>
      <c r="L19" s="2442"/>
      <c r="M19" s="2442"/>
      <c r="N19" s="2442"/>
      <c r="O19" s="2442"/>
      <c r="P19" s="2442"/>
      <c r="Q19" s="2442"/>
      <c r="R19" s="2442"/>
      <c r="S19" s="2442"/>
      <c r="T19" s="2442"/>
      <c r="U19" s="2442"/>
      <c r="V19" s="2442"/>
      <c r="W19" s="2442"/>
      <c r="X19" s="2442"/>
      <c r="Y19" s="2442"/>
      <c r="Z19" s="2442"/>
      <c r="AA19" s="2442"/>
      <c r="AB19" s="2442"/>
      <c r="AC19" s="2442"/>
      <c r="AD19" s="2442"/>
      <c r="AE19" s="2442"/>
      <c r="AF19" s="2442"/>
      <c r="AG19" s="2442"/>
      <c r="AH19" s="2442"/>
      <c r="AI19" s="2442"/>
      <c r="AJ19" s="2442"/>
      <c r="AK19" s="2442"/>
      <c r="AL19" s="2442"/>
      <c r="AM19" s="2442"/>
      <c r="AN19" s="2442"/>
      <c r="AO19" s="2442"/>
    </row>
    <row r="20" spans="1:41" ht="18" customHeight="1">
      <c r="A20" s="1429" t="s">
        <v>29651</v>
      </c>
      <c r="B20" s="241"/>
      <c r="C20" s="241"/>
      <c r="D20" s="241"/>
      <c r="E20" s="241"/>
      <c r="F20" s="241"/>
      <c r="G20" s="241"/>
      <c r="H20" s="241"/>
      <c r="I20" s="241"/>
      <c r="J20" s="241"/>
      <c r="K20" s="241"/>
      <c r="L20" s="241"/>
      <c r="M20" s="241"/>
      <c r="N20" s="241"/>
      <c r="O20" s="241"/>
      <c r="P20" s="241"/>
      <c r="Q20" s="241"/>
      <c r="R20" s="241"/>
      <c r="S20" s="241"/>
      <c r="T20" s="241"/>
      <c r="U20" s="241"/>
      <c r="V20" s="241"/>
      <c r="W20" s="241"/>
      <c r="X20" s="241"/>
      <c r="Y20" s="241"/>
      <c r="Z20" s="241"/>
      <c r="AA20" s="241"/>
      <c r="AB20" s="241"/>
      <c r="AC20" s="241"/>
      <c r="AD20" s="241"/>
      <c r="AE20" s="241"/>
      <c r="AF20" s="241"/>
      <c r="AG20" s="241"/>
      <c r="AH20" s="241"/>
      <c r="AI20" s="241"/>
      <c r="AJ20" s="241"/>
      <c r="AK20" s="241"/>
      <c r="AL20" s="241"/>
      <c r="AM20" s="241"/>
      <c r="AN20" s="241"/>
      <c r="AO20" s="241"/>
    </row>
    <row r="21" spans="1:41" ht="18" customHeight="1">
      <c r="A21" s="1431" t="s">
        <v>29652</v>
      </c>
      <c r="B21" s="1541"/>
      <c r="C21" s="1541"/>
      <c r="D21" s="1541"/>
      <c r="E21" s="1541"/>
      <c r="F21" s="1541"/>
      <c r="G21" s="1541"/>
      <c r="H21" s="1541"/>
      <c r="I21" s="1541"/>
      <c r="J21" s="1541"/>
      <c r="K21" s="1541"/>
      <c r="L21" s="1541"/>
      <c r="M21" s="1541"/>
      <c r="N21" s="1541"/>
      <c r="O21" s="1541"/>
      <c r="P21" s="1541"/>
      <c r="Q21" s="1541"/>
      <c r="R21" s="1541"/>
      <c r="S21" s="1541"/>
      <c r="T21" s="1541"/>
      <c r="U21" s="1541"/>
      <c r="V21" s="1541"/>
      <c r="W21" s="1541"/>
      <c r="X21" s="1541"/>
      <c r="Y21" s="1541"/>
      <c r="Z21" s="1541"/>
      <c r="AA21" s="1541"/>
      <c r="AB21" s="1541"/>
      <c r="AC21" s="1541"/>
      <c r="AD21" s="1541"/>
      <c r="AE21" s="1541"/>
      <c r="AF21" s="1541"/>
      <c r="AG21" s="1541"/>
      <c r="AH21" s="1541"/>
      <c r="AI21" s="1541"/>
      <c r="AJ21" s="1541"/>
      <c r="AK21" s="1541"/>
      <c r="AL21" s="1541"/>
      <c r="AM21" s="1541"/>
      <c r="AN21" s="1541"/>
      <c r="AO21" s="1541"/>
    </row>
    <row r="22" spans="1:41" ht="18" customHeight="1">
      <c r="A22" s="1429" t="s">
        <v>29653</v>
      </c>
      <c r="B22" s="241"/>
      <c r="C22" s="241"/>
      <c r="D22" s="241"/>
      <c r="E22" s="241"/>
      <c r="F22" s="241"/>
      <c r="G22" s="241"/>
      <c r="H22" s="241"/>
      <c r="I22" s="241"/>
      <c r="J22" s="241"/>
      <c r="K22" s="241"/>
      <c r="L22" s="241"/>
      <c r="M22" s="241"/>
      <c r="N22" s="241"/>
      <c r="O22" s="241"/>
      <c r="P22" s="241"/>
      <c r="Q22" s="241"/>
      <c r="R22" s="241"/>
      <c r="S22" s="241"/>
      <c r="T22" s="241"/>
      <c r="U22" s="241"/>
      <c r="V22" s="241"/>
      <c r="W22" s="241"/>
      <c r="X22" s="241"/>
      <c r="Y22" s="241"/>
      <c r="Z22" s="241"/>
      <c r="AA22" s="241"/>
      <c r="AB22" s="241"/>
      <c r="AC22" s="241"/>
      <c r="AD22" s="241"/>
      <c r="AE22" s="241"/>
      <c r="AF22" s="241"/>
      <c r="AG22" s="241"/>
      <c r="AH22" s="241"/>
      <c r="AI22" s="241"/>
      <c r="AJ22" s="241"/>
      <c r="AK22" s="241"/>
      <c r="AL22" s="241"/>
      <c r="AM22" s="241"/>
      <c r="AN22" s="241"/>
      <c r="AO22" s="241"/>
    </row>
    <row r="23" spans="1:41" ht="18" customHeight="1">
      <c r="A23" s="1431" t="s">
        <v>29654</v>
      </c>
      <c r="B23" s="1541"/>
      <c r="C23" s="1541"/>
      <c r="D23" s="1541"/>
      <c r="E23" s="1541"/>
      <c r="F23" s="1541"/>
      <c r="G23" s="1541"/>
      <c r="H23" s="1541"/>
      <c r="I23" s="1541"/>
      <c r="J23" s="1541"/>
      <c r="K23" s="1541"/>
      <c r="L23" s="1541"/>
      <c r="M23" s="1541"/>
      <c r="N23" s="1541"/>
      <c r="O23" s="1541"/>
      <c r="P23" s="1541"/>
      <c r="Q23" s="1541"/>
      <c r="R23" s="1541"/>
      <c r="S23" s="1541"/>
      <c r="T23" s="1541"/>
      <c r="U23" s="1541"/>
      <c r="V23" s="1541"/>
      <c r="W23" s="1541"/>
      <c r="X23" s="1541"/>
      <c r="Y23" s="1541"/>
      <c r="Z23" s="1541"/>
      <c r="AA23" s="1541"/>
      <c r="AB23" s="1541"/>
      <c r="AC23" s="1541"/>
      <c r="AD23" s="1541"/>
      <c r="AE23" s="1541"/>
      <c r="AF23" s="1541"/>
      <c r="AG23" s="1541"/>
      <c r="AH23" s="1541"/>
      <c r="AI23" s="1541"/>
      <c r="AJ23" s="1541"/>
      <c r="AK23" s="1541"/>
      <c r="AL23" s="1541"/>
      <c r="AM23" s="1541"/>
      <c r="AN23" s="1541"/>
      <c r="AO23" s="1541"/>
    </row>
    <row r="24" spans="1:41" ht="18" customHeight="1">
      <c r="A24" s="1429" t="s">
        <v>29655</v>
      </c>
      <c r="B24" s="241"/>
      <c r="C24" s="241"/>
      <c r="D24" s="241"/>
      <c r="E24" s="241"/>
      <c r="F24" s="241"/>
      <c r="G24" s="241"/>
      <c r="H24" s="241"/>
      <c r="I24" s="241"/>
      <c r="J24" s="241"/>
      <c r="K24" s="241"/>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row>
    <row r="25" spans="1:41" ht="18" customHeight="1">
      <c r="A25" s="1431" t="s">
        <v>29709</v>
      </c>
      <c r="B25" s="1541"/>
      <c r="C25" s="1541"/>
      <c r="D25" s="1541"/>
      <c r="E25" s="1541"/>
      <c r="F25" s="1541"/>
      <c r="G25" s="1541"/>
      <c r="H25" s="1541"/>
      <c r="I25" s="1541"/>
      <c r="J25" s="1541"/>
      <c r="K25" s="1541"/>
      <c r="L25" s="1541"/>
      <c r="M25" s="1541"/>
      <c r="N25" s="1541"/>
      <c r="O25" s="1541"/>
      <c r="P25" s="1541"/>
      <c r="Q25" s="1541"/>
      <c r="R25" s="1541"/>
      <c r="S25" s="1541"/>
      <c r="T25" s="1541"/>
      <c r="U25" s="1541"/>
      <c r="V25" s="1541"/>
      <c r="W25" s="1541"/>
      <c r="X25" s="1541"/>
      <c r="Y25" s="1541"/>
      <c r="Z25" s="1541"/>
      <c r="AA25" s="1541"/>
      <c r="AB25" s="1541"/>
      <c r="AC25" s="1541"/>
      <c r="AD25" s="1541"/>
      <c r="AE25" s="1541"/>
      <c r="AF25" s="1541"/>
      <c r="AG25" s="1541"/>
      <c r="AH25" s="1541"/>
      <c r="AI25" s="1541"/>
      <c r="AJ25" s="1541"/>
      <c r="AK25" s="1541"/>
      <c r="AL25" s="1541"/>
      <c r="AM25" s="1541"/>
      <c r="AN25" s="1541"/>
      <c r="AO25" s="1541"/>
    </row>
    <row r="26" spans="1:41" ht="18" customHeight="1">
      <c r="A26" s="1429" t="s">
        <v>29656</v>
      </c>
      <c r="B26" s="241"/>
      <c r="C26" s="241"/>
      <c r="D26" s="241"/>
      <c r="E26" s="241"/>
      <c r="F26" s="241"/>
      <c r="G26" s="241"/>
      <c r="H26" s="241"/>
      <c r="I26" s="241"/>
      <c r="J26" s="241"/>
      <c r="K26" s="241"/>
      <c r="L26" s="241"/>
      <c r="M26" s="241"/>
      <c r="N26" s="241"/>
      <c r="O26" s="241"/>
      <c r="P26" s="241"/>
      <c r="Q26" s="241"/>
      <c r="R26" s="241"/>
      <c r="S26" s="241"/>
      <c r="T26" s="241"/>
      <c r="U26" s="241"/>
      <c r="V26" s="241"/>
      <c r="W26" s="241"/>
      <c r="X26" s="241"/>
      <c r="Y26" s="241"/>
      <c r="Z26" s="241"/>
      <c r="AA26" s="241"/>
      <c r="AB26" s="241"/>
      <c r="AC26" s="241"/>
      <c r="AD26" s="241"/>
      <c r="AE26" s="241"/>
      <c r="AF26" s="241"/>
      <c r="AG26" s="241"/>
      <c r="AH26" s="241"/>
      <c r="AI26" s="241"/>
      <c r="AJ26" s="241"/>
      <c r="AK26" s="241"/>
      <c r="AL26" s="241"/>
      <c r="AM26" s="241"/>
      <c r="AN26" s="241"/>
      <c r="AO26" s="241"/>
    </row>
    <row r="27" spans="1:41" ht="18" customHeight="1">
      <c r="A27" s="1431" t="s">
        <v>29657</v>
      </c>
      <c r="B27" s="1541"/>
      <c r="C27" s="1541"/>
      <c r="D27" s="1541"/>
      <c r="E27" s="1541"/>
      <c r="F27" s="1541"/>
      <c r="G27" s="1541"/>
      <c r="H27" s="1541"/>
      <c r="I27" s="1541"/>
      <c r="J27" s="1541"/>
      <c r="K27" s="1541"/>
      <c r="L27" s="1541"/>
      <c r="M27" s="1541"/>
      <c r="N27" s="1541"/>
      <c r="O27" s="1541"/>
      <c r="P27" s="1541"/>
      <c r="Q27" s="1541"/>
      <c r="R27" s="1541"/>
      <c r="S27" s="1541"/>
      <c r="T27" s="1541"/>
      <c r="U27" s="1541"/>
      <c r="V27" s="1541"/>
      <c r="W27" s="1541"/>
      <c r="X27" s="1541"/>
      <c r="Y27" s="1541"/>
      <c r="Z27" s="1541"/>
      <c r="AA27" s="1541"/>
      <c r="AB27" s="1541"/>
      <c r="AC27" s="1541"/>
      <c r="AD27" s="1541"/>
      <c r="AE27" s="1541"/>
      <c r="AF27" s="1541"/>
      <c r="AG27" s="1541"/>
      <c r="AH27" s="1541"/>
      <c r="AI27" s="1541"/>
      <c r="AJ27" s="1541"/>
      <c r="AK27" s="1541"/>
      <c r="AL27" s="1541"/>
      <c r="AM27" s="1541"/>
      <c r="AN27" s="1541"/>
      <c r="AO27" s="1541"/>
    </row>
    <row r="28" spans="1:41" ht="18" customHeight="1">
      <c r="A28" s="1429" t="s">
        <v>29658</v>
      </c>
      <c r="B28" s="241"/>
      <c r="C28" s="241"/>
      <c r="D28" s="241"/>
      <c r="E28" s="241"/>
      <c r="F28" s="241"/>
      <c r="G28" s="241"/>
      <c r="H28" s="241"/>
      <c r="I28" s="241"/>
      <c r="J28" s="241"/>
      <c r="K28" s="241"/>
      <c r="L28" s="241"/>
      <c r="M28" s="241"/>
      <c r="N28" s="241"/>
      <c r="O28" s="241"/>
      <c r="P28" s="241"/>
      <c r="Q28" s="241"/>
      <c r="R28" s="241"/>
      <c r="S28" s="241"/>
      <c r="T28" s="241"/>
      <c r="U28" s="241"/>
      <c r="V28" s="241"/>
      <c r="W28" s="241"/>
      <c r="X28" s="241"/>
      <c r="Y28" s="241"/>
      <c r="Z28" s="241"/>
      <c r="AA28" s="241"/>
      <c r="AB28" s="241"/>
      <c r="AC28" s="241"/>
      <c r="AD28" s="241"/>
      <c r="AE28" s="241"/>
      <c r="AF28" s="241"/>
      <c r="AG28" s="241"/>
      <c r="AH28" s="241"/>
      <c r="AI28" s="241"/>
      <c r="AJ28" s="241"/>
      <c r="AK28" s="241"/>
      <c r="AL28" s="241"/>
      <c r="AM28" s="241"/>
      <c r="AN28" s="241"/>
      <c r="AO28" s="241"/>
    </row>
    <row r="29" spans="1:41" ht="18" customHeight="1">
      <c r="A29" s="1431" t="s">
        <v>29659</v>
      </c>
      <c r="B29" s="1541"/>
      <c r="C29" s="1541"/>
      <c r="D29" s="1541"/>
      <c r="E29" s="1541"/>
      <c r="F29" s="1541"/>
      <c r="G29" s="1541"/>
      <c r="H29" s="1541"/>
      <c r="I29" s="1541"/>
      <c r="J29" s="1541"/>
      <c r="K29" s="1541"/>
      <c r="L29" s="1541"/>
      <c r="M29" s="1541"/>
      <c r="N29" s="1541"/>
      <c r="O29" s="1541"/>
      <c r="P29" s="1541"/>
      <c r="Q29" s="1541"/>
      <c r="R29" s="1541"/>
      <c r="S29" s="1541"/>
      <c r="T29" s="1541"/>
      <c r="U29" s="1541"/>
      <c r="V29" s="1541"/>
      <c r="W29" s="1541"/>
      <c r="X29" s="1541"/>
      <c r="Y29" s="1541"/>
      <c r="Z29" s="1541"/>
      <c r="AA29" s="1541"/>
      <c r="AB29" s="1541"/>
      <c r="AC29" s="1541"/>
      <c r="AD29" s="1541"/>
      <c r="AE29" s="1541"/>
      <c r="AF29" s="1541"/>
      <c r="AG29" s="1541"/>
      <c r="AH29" s="1541"/>
      <c r="AI29" s="1541"/>
      <c r="AJ29" s="1541"/>
      <c r="AK29" s="1541"/>
      <c r="AL29" s="1541"/>
      <c r="AM29" s="1541"/>
      <c r="AN29" s="1541"/>
      <c r="AO29" s="1541"/>
    </row>
    <row r="30" spans="1:41" s="1432" customFormat="1" ht="18" customHeight="1">
      <c r="A30" s="2443" t="s">
        <v>29648</v>
      </c>
      <c r="B30" s="2442"/>
      <c r="C30" s="2442"/>
      <c r="D30" s="2442"/>
      <c r="E30" s="2442"/>
      <c r="F30" s="2442"/>
      <c r="G30" s="2442"/>
      <c r="H30" s="2442"/>
      <c r="I30" s="2442"/>
      <c r="J30" s="2442"/>
      <c r="K30" s="2442"/>
      <c r="L30" s="2442"/>
      <c r="M30" s="2442"/>
      <c r="N30" s="2442"/>
      <c r="O30" s="2442"/>
      <c r="P30" s="2442"/>
      <c r="Q30" s="2442"/>
      <c r="R30" s="2442"/>
      <c r="S30" s="2442"/>
      <c r="T30" s="2442"/>
      <c r="U30" s="2442"/>
      <c r="V30" s="2442"/>
      <c r="W30" s="2442"/>
      <c r="X30" s="2442"/>
      <c r="Y30" s="2442"/>
      <c r="Z30" s="2442"/>
      <c r="AA30" s="2442"/>
      <c r="AB30" s="2442"/>
      <c r="AC30" s="2442"/>
      <c r="AD30" s="2442"/>
      <c r="AE30" s="2442"/>
      <c r="AF30" s="2442"/>
      <c r="AG30" s="2442"/>
      <c r="AH30" s="2442"/>
      <c r="AI30" s="2442"/>
      <c r="AJ30" s="2442"/>
      <c r="AK30" s="2442"/>
      <c r="AL30" s="2442"/>
      <c r="AM30" s="2442"/>
      <c r="AN30" s="2442"/>
      <c r="AO30" s="2442"/>
    </row>
    <row r="31" spans="1:41" s="1432" customFormat="1" ht="18" customHeight="1">
      <c r="A31" s="2440" t="s">
        <v>29660</v>
      </c>
      <c r="B31" s="2442"/>
      <c r="C31" s="2442"/>
      <c r="D31" s="2442"/>
      <c r="E31" s="2442"/>
      <c r="F31" s="2442"/>
      <c r="G31" s="2442"/>
      <c r="H31" s="2442"/>
      <c r="I31" s="2442"/>
      <c r="J31" s="2442"/>
      <c r="K31" s="2442"/>
      <c r="L31" s="2442"/>
      <c r="M31" s="2442"/>
      <c r="N31" s="2442"/>
      <c r="O31" s="2442"/>
      <c r="P31" s="2442"/>
      <c r="Q31" s="2442"/>
      <c r="R31" s="2442"/>
      <c r="S31" s="2442"/>
      <c r="T31" s="2442"/>
      <c r="U31" s="2442"/>
      <c r="V31" s="2442"/>
      <c r="W31" s="2442"/>
      <c r="X31" s="2442"/>
      <c r="Y31" s="2442"/>
      <c r="Z31" s="2442"/>
      <c r="AA31" s="2442"/>
      <c r="AB31" s="2442"/>
      <c r="AC31" s="2442"/>
      <c r="AD31" s="2442"/>
      <c r="AE31" s="2442"/>
      <c r="AF31" s="2442"/>
      <c r="AG31" s="2442"/>
      <c r="AH31" s="2442"/>
      <c r="AI31" s="2442"/>
      <c r="AJ31" s="2442"/>
      <c r="AK31" s="2442"/>
      <c r="AL31" s="2442"/>
      <c r="AM31" s="2442"/>
      <c r="AN31" s="2442"/>
      <c r="AO31" s="2442"/>
    </row>
    <row r="32" spans="1:41" s="1432" customFormat="1">
      <c r="A32" s="2440" t="s">
        <v>29710</v>
      </c>
      <c r="B32" s="2442"/>
      <c r="C32" s="2442"/>
      <c r="D32" s="2442"/>
      <c r="E32" s="2442"/>
      <c r="F32" s="2442"/>
      <c r="G32" s="2442"/>
      <c r="H32" s="2442"/>
      <c r="I32" s="2442"/>
      <c r="J32" s="2442"/>
      <c r="K32" s="2442"/>
      <c r="L32" s="2442"/>
      <c r="M32" s="2442"/>
      <c r="N32" s="2442"/>
      <c r="O32" s="2442"/>
      <c r="P32" s="2442"/>
      <c r="Q32" s="2442"/>
      <c r="R32" s="2442"/>
      <c r="S32" s="2442"/>
      <c r="T32" s="2442"/>
      <c r="U32" s="2442"/>
      <c r="V32" s="2442"/>
      <c r="W32" s="2442"/>
      <c r="X32" s="2442"/>
      <c r="Y32" s="2442"/>
      <c r="Z32" s="2442"/>
      <c r="AA32" s="2442"/>
      <c r="AB32" s="2442"/>
      <c r="AC32" s="2442"/>
      <c r="AD32" s="2442"/>
      <c r="AE32" s="2442"/>
      <c r="AF32" s="2442"/>
      <c r="AG32" s="2442"/>
      <c r="AH32" s="2442"/>
      <c r="AI32" s="2442"/>
      <c r="AJ32" s="2442"/>
      <c r="AK32" s="2442"/>
      <c r="AL32" s="2442"/>
      <c r="AM32" s="2442"/>
      <c r="AN32" s="2442"/>
      <c r="AO32" s="2442"/>
    </row>
    <row r="33" spans="1:41" ht="18" customHeight="1">
      <c r="A33" s="1429" t="s">
        <v>29661</v>
      </c>
      <c r="B33" s="241"/>
      <c r="C33" s="241"/>
      <c r="D33" s="241"/>
      <c r="E33" s="241"/>
      <c r="F33" s="241"/>
      <c r="G33" s="241"/>
      <c r="H33" s="241"/>
      <c r="I33" s="241"/>
      <c r="J33" s="241"/>
      <c r="K33" s="241"/>
      <c r="L33" s="241"/>
      <c r="M33" s="241"/>
      <c r="N33" s="241"/>
      <c r="O33" s="241"/>
      <c r="P33" s="241"/>
      <c r="Q33" s="241"/>
      <c r="R33" s="241"/>
      <c r="S33" s="241"/>
      <c r="T33" s="241"/>
      <c r="U33" s="241"/>
      <c r="V33" s="241"/>
      <c r="W33" s="241"/>
      <c r="X33" s="241"/>
      <c r="Y33" s="241"/>
      <c r="Z33" s="241"/>
      <c r="AA33" s="241"/>
      <c r="AB33" s="241"/>
      <c r="AC33" s="241"/>
      <c r="AD33" s="241"/>
      <c r="AE33" s="241"/>
      <c r="AF33" s="241"/>
      <c r="AG33" s="241"/>
      <c r="AH33" s="241"/>
      <c r="AI33" s="241"/>
      <c r="AJ33" s="241"/>
      <c r="AK33" s="241"/>
      <c r="AL33" s="241"/>
      <c r="AM33" s="241"/>
      <c r="AN33" s="241"/>
      <c r="AO33" s="241"/>
    </row>
    <row r="34" spans="1:41" ht="18" customHeight="1">
      <c r="A34" s="1431" t="s">
        <v>29662</v>
      </c>
      <c r="B34" s="1541"/>
      <c r="C34" s="1541"/>
      <c r="D34" s="1541"/>
      <c r="E34" s="1541"/>
      <c r="F34" s="1541"/>
      <c r="G34" s="1541"/>
      <c r="H34" s="1541"/>
      <c r="I34" s="1541"/>
      <c r="J34" s="1541"/>
      <c r="K34" s="1541"/>
      <c r="L34" s="1541"/>
      <c r="M34" s="1541"/>
      <c r="N34" s="1541"/>
      <c r="O34" s="1541"/>
      <c r="P34" s="1541"/>
      <c r="Q34" s="1541"/>
      <c r="R34" s="1541"/>
      <c r="S34" s="1541"/>
      <c r="T34" s="1541"/>
      <c r="U34" s="1541"/>
      <c r="V34" s="1541"/>
      <c r="W34" s="1541"/>
      <c r="X34" s="1541"/>
      <c r="Y34" s="1541"/>
      <c r="Z34" s="1541"/>
      <c r="AA34" s="1541"/>
      <c r="AB34" s="1541"/>
      <c r="AC34" s="1541"/>
      <c r="AD34" s="1541"/>
      <c r="AE34" s="1541"/>
      <c r="AF34" s="1541"/>
      <c r="AG34" s="1541"/>
      <c r="AH34" s="1541"/>
      <c r="AI34" s="1541"/>
      <c r="AJ34" s="1541"/>
      <c r="AK34" s="1541"/>
      <c r="AL34" s="1541"/>
      <c r="AM34" s="1541"/>
      <c r="AN34" s="1541"/>
      <c r="AO34" s="1541"/>
    </row>
    <row r="35" spans="1:41" ht="18" customHeight="1">
      <c r="A35" s="1429" t="s">
        <v>29663</v>
      </c>
      <c r="B35" s="241"/>
      <c r="C35" s="241"/>
      <c r="D35" s="241"/>
      <c r="E35" s="241"/>
      <c r="F35" s="241"/>
      <c r="G35" s="241"/>
      <c r="H35" s="241"/>
      <c r="I35" s="241"/>
      <c r="J35" s="241"/>
      <c r="K35" s="241"/>
      <c r="L35" s="241"/>
      <c r="M35" s="241"/>
      <c r="N35" s="241"/>
      <c r="O35" s="241"/>
      <c r="P35" s="241"/>
      <c r="Q35" s="241"/>
      <c r="R35" s="241"/>
      <c r="S35" s="241"/>
      <c r="T35" s="241"/>
      <c r="U35" s="241"/>
      <c r="V35" s="241"/>
      <c r="W35" s="241"/>
      <c r="X35" s="241"/>
      <c r="Y35" s="241"/>
      <c r="Z35" s="241"/>
      <c r="AA35" s="241"/>
      <c r="AB35" s="241"/>
      <c r="AC35" s="241"/>
      <c r="AD35" s="241"/>
      <c r="AE35" s="241"/>
      <c r="AF35" s="241"/>
      <c r="AG35" s="241"/>
      <c r="AH35" s="241"/>
      <c r="AI35" s="241"/>
      <c r="AJ35" s="241"/>
      <c r="AK35" s="241"/>
      <c r="AL35" s="241"/>
      <c r="AM35" s="241"/>
      <c r="AN35" s="241"/>
      <c r="AO35" s="241"/>
    </row>
    <row r="36" spans="1:41" ht="18" customHeight="1">
      <c r="A36" s="1431" t="s">
        <v>29664</v>
      </c>
      <c r="B36" s="1541"/>
      <c r="C36" s="1541"/>
      <c r="D36" s="1541"/>
      <c r="E36" s="1541"/>
      <c r="F36" s="1541"/>
      <c r="G36" s="1541"/>
      <c r="H36" s="1541"/>
      <c r="I36" s="1541"/>
      <c r="J36" s="1541"/>
      <c r="K36" s="1541"/>
      <c r="L36" s="1541"/>
      <c r="M36" s="1541"/>
      <c r="N36" s="1541"/>
      <c r="O36" s="1541"/>
      <c r="P36" s="1541"/>
      <c r="Q36" s="1541"/>
      <c r="R36" s="1541"/>
      <c r="S36" s="1541"/>
      <c r="T36" s="1541"/>
      <c r="U36" s="1541"/>
      <c r="V36" s="1541"/>
      <c r="W36" s="1541"/>
      <c r="X36" s="1541"/>
      <c r="Y36" s="1541"/>
      <c r="Z36" s="1541"/>
      <c r="AA36" s="1541"/>
      <c r="AB36" s="1541"/>
      <c r="AC36" s="1541"/>
      <c r="AD36" s="1541"/>
      <c r="AE36" s="1541"/>
      <c r="AF36" s="1541"/>
      <c r="AG36" s="1541"/>
      <c r="AH36" s="1541"/>
      <c r="AI36" s="1541"/>
      <c r="AJ36" s="1541"/>
      <c r="AK36" s="1541"/>
      <c r="AL36" s="1541"/>
      <c r="AM36" s="1541"/>
      <c r="AN36" s="1541"/>
      <c r="AO36" s="1541"/>
    </row>
    <row r="37" spans="1:41" ht="18" customHeight="1">
      <c r="A37" s="1429" t="s">
        <v>29665</v>
      </c>
      <c r="B37" s="241"/>
      <c r="C37" s="241"/>
      <c r="D37" s="241"/>
      <c r="E37" s="241"/>
      <c r="F37" s="241"/>
      <c r="G37" s="241"/>
      <c r="H37" s="241"/>
      <c r="I37" s="241"/>
      <c r="J37" s="241"/>
      <c r="K37" s="241"/>
      <c r="L37" s="241"/>
      <c r="M37" s="241"/>
      <c r="N37" s="241"/>
      <c r="O37" s="241"/>
      <c r="P37" s="241"/>
      <c r="Q37" s="241"/>
      <c r="R37" s="241"/>
      <c r="S37" s="241"/>
      <c r="T37" s="241"/>
      <c r="U37" s="241"/>
      <c r="V37" s="241"/>
      <c r="W37" s="241"/>
      <c r="X37" s="241"/>
      <c r="Y37" s="241"/>
      <c r="Z37" s="241"/>
      <c r="AA37" s="241"/>
      <c r="AB37" s="241"/>
      <c r="AC37" s="241"/>
      <c r="AD37" s="241"/>
      <c r="AE37" s="241"/>
      <c r="AF37" s="241"/>
      <c r="AG37" s="241"/>
      <c r="AH37" s="241"/>
      <c r="AI37" s="241"/>
      <c r="AJ37" s="241"/>
      <c r="AK37" s="241"/>
      <c r="AL37" s="241"/>
      <c r="AM37" s="241"/>
      <c r="AN37" s="241"/>
      <c r="AO37" s="241"/>
    </row>
    <row r="38" spans="1:41" ht="18" customHeight="1">
      <c r="A38" s="1431" t="s">
        <v>29666</v>
      </c>
      <c r="B38" s="1541"/>
      <c r="C38" s="1541"/>
      <c r="D38" s="1541"/>
      <c r="E38" s="1541"/>
      <c r="F38" s="1541"/>
      <c r="G38" s="1541"/>
      <c r="H38" s="1541"/>
      <c r="I38" s="1541"/>
      <c r="J38" s="1541"/>
      <c r="K38" s="1541"/>
      <c r="L38" s="1541"/>
      <c r="M38" s="1541"/>
      <c r="N38" s="1541"/>
      <c r="O38" s="1541"/>
      <c r="P38" s="1541"/>
      <c r="Q38" s="1541"/>
      <c r="R38" s="1541"/>
      <c r="S38" s="1541"/>
      <c r="T38" s="1541"/>
      <c r="U38" s="1541"/>
      <c r="V38" s="1541"/>
      <c r="W38" s="1541"/>
      <c r="X38" s="1541"/>
      <c r="Y38" s="1541"/>
      <c r="Z38" s="1541"/>
      <c r="AA38" s="1541"/>
      <c r="AB38" s="1541"/>
      <c r="AC38" s="1541"/>
      <c r="AD38" s="1541"/>
      <c r="AE38" s="1541"/>
      <c r="AF38" s="1541"/>
      <c r="AG38" s="1541"/>
      <c r="AH38" s="1541"/>
      <c r="AI38" s="1541"/>
      <c r="AJ38" s="1541"/>
      <c r="AK38" s="1541"/>
      <c r="AL38" s="1541"/>
      <c r="AM38" s="1541"/>
      <c r="AN38" s="1541"/>
      <c r="AO38" s="1541"/>
    </row>
    <row r="39" spans="1:41" ht="18" customHeight="1">
      <c r="A39" s="1429" t="s">
        <v>29667</v>
      </c>
      <c r="B39" s="241"/>
      <c r="C39" s="241"/>
      <c r="D39" s="241"/>
      <c r="E39" s="241"/>
      <c r="F39" s="241"/>
      <c r="G39" s="241"/>
      <c r="H39" s="241"/>
      <c r="I39" s="241"/>
      <c r="J39" s="241"/>
      <c r="K39" s="241"/>
      <c r="L39" s="241"/>
      <c r="M39" s="241"/>
      <c r="N39" s="241"/>
      <c r="O39" s="241"/>
      <c r="P39" s="241"/>
      <c r="Q39" s="241"/>
      <c r="R39" s="241"/>
      <c r="S39" s="241"/>
      <c r="T39" s="241"/>
      <c r="U39" s="241"/>
      <c r="V39" s="241"/>
      <c r="W39" s="241"/>
      <c r="X39" s="241"/>
      <c r="Y39" s="241"/>
      <c r="Z39" s="241"/>
      <c r="AA39" s="241"/>
      <c r="AB39" s="241"/>
      <c r="AC39" s="241"/>
      <c r="AD39" s="241"/>
      <c r="AE39" s="241"/>
      <c r="AF39" s="241"/>
      <c r="AG39" s="241"/>
      <c r="AH39" s="241"/>
      <c r="AI39" s="241"/>
      <c r="AJ39" s="241"/>
      <c r="AK39" s="241"/>
      <c r="AL39" s="241"/>
      <c r="AM39" s="241"/>
      <c r="AN39" s="241"/>
      <c r="AO39" s="241"/>
    </row>
    <row r="40" spans="1:41" ht="18" customHeight="1">
      <c r="A40" s="1431" t="s">
        <v>29668</v>
      </c>
      <c r="B40" s="1541"/>
      <c r="C40" s="1541"/>
      <c r="D40" s="1541"/>
      <c r="E40" s="1541"/>
      <c r="F40" s="1541"/>
      <c r="G40" s="1541"/>
      <c r="H40" s="1541"/>
      <c r="I40" s="1541"/>
      <c r="J40" s="1541"/>
      <c r="K40" s="1541"/>
      <c r="L40" s="1541"/>
      <c r="M40" s="1541"/>
      <c r="N40" s="1541"/>
      <c r="O40" s="1541"/>
      <c r="P40" s="1541"/>
      <c r="Q40" s="1541"/>
      <c r="R40" s="1541"/>
      <c r="S40" s="1541"/>
      <c r="T40" s="1541"/>
      <c r="U40" s="1541"/>
      <c r="V40" s="1541"/>
      <c r="W40" s="1541"/>
      <c r="X40" s="1541"/>
      <c r="Y40" s="1541"/>
      <c r="Z40" s="1541"/>
      <c r="AA40" s="1541"/>
      <c r="AB40" s="1541"/>
      <c r="AC40" s="1541"/>
      <c r="AD40" s="1541"/>
      <c r="AE40" s="1541"/>
      <c r="AF40" s="1541"/>
      <c r="AG40" s="1541"/>
      <c r="AH40" s="1541"/>
      <c r="AI40" s="1541"/>
      <c r="AJ40" s="1541"/>
      <c r="AK40" s="1541"/>
      <c r="AL40" s="1541"/>
      <c r="AM40" s="1541"/>
      <c r="AN40" s="1541"/>
      <c r="AO40" s="1541"/>
    </row>
    <row r="41" spans="1:41" ht="18" customHeight="1">
      <c r="A41" s="1429" t="s">
        <v>29669</v>
      </c>
      <c r="B41" s="241"/>
      <c r="C41" s="241"/>
      <c r="D41" s="241"/>
      <c r="E41" s="241"/>
      <c r="F41" s="241"/>
      <c r="G41" s="241"/>
      <c r="H41" s="241"/>
      <c r="I41" s="241"/>
      <c r="J41" s="241"/>
      <c r="K41" s="241"/>
      <c r="L41" s="241"/>
      <c r="M41" s="241"/>
      <c r="N41" s="241"/>
      <c r="O41" s="241"/>
      <c r="P41" s="241"/>
      <c r="Q41" s="241"/>
      <c r="R41" s="241"/>
      <c r="S41" s="241"/>
      <c r="T41" s="241"/>
      <c r="U41" s="241"/>
      <c r="V41" s="241"/>
      <c r="W41" s="241"/>
      <c r="X41" s="241"/>
      <c r="Y41" s="241"/>
      <c r="Z41" s="241"/>
      <c r="AA41" s="241"/>
      <c r="AB41" s="241"/>
      <c r="AC41" s="241"/>
      <c r="AD41" s="241"/>
      <c r="AE41" s="241"/>
      <c r="AF41" s="241"/>
      <c r="AG41" s="241"/>
      <c r="AH41" s="241"/>
      <c r="AI41" s="241"/>
      <c r="AJ41" s="241"/>
      <c r="AK41" s="241"/>
      <c r="AL41" s="241"/>
      <c r="AM41" s="241"/>
      <c r="AN41" s="241"/>
      <c r="AO41" s="241"/>
    </row>
    <row r="42" spans="1:41" ht="18" customHeight="1">
      <c r="A42" s="1431" t="s">
        <v>29670</v>
      </c>
      <c r="B42" s="1541"/>
      <c r="C42" s="1541"/>
      <c r="D42" s="1541"/>
      <c r="E42" s="1541"/>
      <c r="F42" s="1541"/>
      <c r="G42" s="1541"/>
      <c r="H42" s="1541"/>
      <c r="I42" s="1541"/>
      <c r="J42" s="1541"/>
      <c r="K42" s="1541"/>
      <c r="L42" s="1541"/>
      <c r="M42" s="1541"/>
      <c r="N42" s="1541"/>
      <c r="O42" s="1541"/>
      <c r="P42" s="1541"/>
      <c r="Q42" s="1541"/>
      <c r="R42" s="1541"/>
      <c r="S42" s="1541"/>
      <c r="T42" s="1541"/>
      <c r="U42" s="1541"/>
      <c r="V42" s="1541"/>
      <c r="W42" s="1541"/>
      <c r="X42" s="1541"/>
      <c r="Y42" s="1541"/>
      <c r="Z42" s="1541"/>
      <c r="AA42" s="1541"/>
      <c r="AB42" s="1541"/>
      <c r="AC42" s="1541"/>
      <c r="AD42" s="1541"/>
      <c r="AE42" s="1541"/>
      <c r="AF42" s="1541"/>
      <c r="AG42" s="1541"/>
      <c r="AH42" s="1541"/>
      <c r="AI42" s="1541"/>
      <c r="AJ42" s="1541"/>
      <c r="AK42" s="1541"/>
      <c r="AL42" s="1541"/>
      <c r="AM42" s="1541"/>
      <c r="AN42" s="1541"/>
      <c r="AO42" s="1541"/>
    </row>
    <row r="43" spans="1:41" ht="18" customHeight="1">
      <c r="A43" s="1429" t="s">
        <v>29671</v>
      </c>
      <c r="B43" s="241"/>
      <c r="C43" s="241"/>
      <c r="D43" s="241"/>
      <c r="E43" s="241"/>
      <c r="F43" s="241"/>
      <c r="G43" s="241"/>
      <c r="H43" s="241"/>
      <c r="I43" s="241"/>
      <c r="J43" s="241"/>
      <c r="K43" s="241"/>
      <c r="L43" s="241"/>
      <c r="M43" s="241"/>
      <c r="N43" s="241"/>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row>
    <row r="44" spans="1:41" ht="27.75" customHeight="1">
      <c r="A44" s="1431" t="s">
        <v>29672</v>
      </c>
      <c r="B44" s="1541"/>
      <c r="C44" s="1541"/>
      <c r="D44" s="1541"/>
      <c r="E44" s="1541"/>
      <c r="F44" s="1541"/>
      <c r="G44" s="1541"/>
      <c r="H44" s="1541"/>
      <c r="I44" s="1541"/>
      <c r="J44" s="1541"/>
      <c r="K44" s="1541"/>
      <c r="L44" s="1541"/>
      <c r="M44" s="1541"/>
      <c r="N44" s="1541"/>
      <c r="O44" s="1541"/>
      <c r="P44" s="1541"/>
      <c r="Q44" s="1541"/>
      <c r="R44" s="1541"/>
      <c r="S44" s="1541"/>
      <c r="T44" s="1541"/>
      <c r="U44" s="1541"/>
      <c r="V44" s="1541"/>
      <c r="W44" s="1541"/>
      <c r="X44" s="1541"/>
      <c r="Y44" s="1541"/>
      <c r="Z44" s="1541"/>
      <c r="AA44" s="1541"/>
      <c r="AB44" s="1541"/>
      <c r="AC44" s="1541"/>
      <c r="AD44" s="1541"/>
      <c r="AE44" s="1541"/>
      <c r="AF44" s="1541"/>
      <c r="AG44" s="1541"/>
      <c r="AH44" s="1541"/>
      <c r="AI44" s="1541"/>
      <c r="AJ44" s="1541"/>
      <c r="AK44" s="1541"/>
      <c r="AL44" s="1541"/>
      <c r="AM44" s="1541"/>
      <c r="AN44" s="1541"/>
      <c r="AO44" s="1541"/>
    </row>
    <row r="45" spans="1:41" ht="18" customHeight="1">
      <c r="A45" s="1429" t="s">
        <v>29673</v>
      </c>
      <c r="B45" s="241"/>
      <c r="C45" s="241"/>
      <c r="D45" s="241"/>
      <c r="E45" s="241"/>
      <c r="F45" s="241"/>
      <c r="G45" s="241"/>
      <c r="H45" s="241"/>
      <c r="I45" s="241"/>
      <c r="J45" s="241"/>
      <c r="K45" s="241"/>
      <c r="L45" s="241"/>
      <c r="M45" s="241"/>
      <c r="N45" s="241"/>
      <c r="O45" s="241"/>
      <c r="P45" s="241"/>
      <c r="Q45" s="241"/>
      <c r="R45" s="241"/>
      <c r="S45" s="241"/>
      <c r="T45" s="241"/>
      <c r="U45" s="241"/>
      <c r="V45" s="241"/>
      <c r="W45" s="241"/>
      <c r="X45" s="241"/>
      <c r="Y45" s="241"/>
      <c r="Z45" s="241"/>
      <c r="AA45" s="241"/>
      <c r="AB45" s="241"/>
      <c r="AC45" s="241"/>
      <c r="AD45" s="241"/>
      <c r="AE45" s="241"/>
      <c r="AF45" s="241"/>
      <c r="AG45" s="241"/>
      <c r="AH45" s="241"/>
      <c r="AI45" s="241"/>
      <c r="AJ45" s="241"/>
      <c r="AK45" s="241"/>
      <c r="AL45" s="241"/>
      <c r="AM45" s="241"/>
      <c r="AN45" s="241"/>
      <c r="AO45" s="241"/>
    </row>
    <row r="46" spans="1:41" ht="18" customHeight="1">
      <c r="A46" s="1431" t="s">
        <v>29674</v>
      </c>
      <c r="B46" s="1541"/>
      <c r="C46" s="1541"/>
      <c r="D46" s="1541"/>
      <c r="E46" s="1541"/>
      <c r="F46" s="1541"/>
      <c r="G46" s="1541"/>
      <c r="H46" s="1541"/>
      <c r="I46" s="1541"/>
      <c r="J46" s="1541"/>
      <c r="K46" s="1541"/>
      <c r="L46" s="1541"/>
      <c r="M46" s="1541"/>
      <c r="N46" s="1541"/>
      <c r="O46" s="1541"/>
      <c r="P46" s="1541"/>
      <c r="Q46" s="1541"/>
      <c r="R46" s="1541"/>
      <c r="S46" s="1541"/>
      <c r="T46" s="1541"/>
      <c r="U46" s="1541"/>
      <c r="V46" s="1541"/>
      <c r="W46" s="1541"/>
      <c r="X46" s="1541"/>
      <c r="Y46" s="1541"/>
      <c r="Z46" s="1541"/>
      <c r="AA46" s="1541"/>
      <c r="AB46" s="1541"/>
      <c r="AC46" s="1541"/>
      <c r="AD46" s="1541"/>
      <c r="AE46" s="1541"/>
      <c r="AF46" s="1541"/>
      <c r="AG46" s="1541"/>
      <c r="AH46" s="1541"/>
      <c r="AI46" s="1541"/>
      <c r="AJ46" s="1541"/>
      <c r="AK46" s="1541"/>
      <c r="AL46" s="1541"/>
      <c r="AM46" s="1541"/>
      <c r="AN46" s="1541"/>
      <c r="AO46" s="1541"/>
    </row>
    <row r="47" spans="1:41" ht="18" customHeight="1">
      <c r="A47" s="1429" t="s">
        <v>29675</v>
      </c>
      <c r="B47" s="241"/>
      <c r="C47" s="241"/>
      <c r="D47" s="241"/>
      <c r="E47" s="241"/>
      <c r="F47" s="241"/>
      <c r="G47" s="241"/>
      <c r="H47" s="241"/>
      <c r="I47" s="241"/>
      <c r="J47" s="241"/>
      <c r="K47" s="241"/>
      <c r="L47" s="241"/>
      <c r="M47" s="241"/>
      <c r="N47" s="241"/>
      <c r="O47" s="241"/>
      <c r="P47" s="241"/>
      <c r="Q47" s="241"/>
      <c r="R47" s="241"/>
      <c r="S47" s="241"/>
      <c r="T47" s="241"/>
      <c r="U47" s="241"/>
      <c r="V47" s="241"/>
      <c r="W47" s="241"/>
      <c r="X47" s="241"/>
      <c r="Y47" s="241"/>
      <c r="Z47" s="241"/>
      <c r="AA47" s="241"/>
      <c r="AB47" s="241"/>
      <c r="AC47" s="241"/>
      <c r="AD47" s="241"/>
      <c r="AE47" s="241"/>
      <c r="AF47" s="241"/>
      <c r="AG47" s="241"/>
      <c r="AH47" s="241"/>
      <c r="AI47" s="241"/>
      <c r="AJ47" s="241"/>
      <c r="AK47" s="241"/>
      <c r="AL47" s="241"/>
      <c r="AM47" s="241"/>
      <c r="AN47" s="241"/>
      <c r="AO47" s="241"/>
    </row>
    <row r="48" spans="1:41" s="1432" customFormat="1" ht="18" customHeight="1">
      <c r="A48" s="2440" t="s">
        <v>29649</v>
      </c>
      <c r="B48" s="2442"/>
      <c r="C48" s="2442"/>
      <c r="D48" s="2442"/>
      <c r="E48" s="2442"/>
      <c r="F48" s="2442"/>
      <c r="G48" s="2442"/>
      <c r="H48" s="2442"/>
      <c r="I48" s="2442"/>
      <c r="J48" s="2442"/>
      <c r="K48" s="2442"/>
      <c r="L48" s="2442"/>
      <c r="M48" s="2442"/>
      <c r="N48" s="2442"/>
      <c r="O48" s="2442"/>
      <c r="P48" s="2442"/>
      <c r="Q48" s="2442"/>
      <c r="R48" s="2442"/>
      <c r="S48" s="2442"/>
      <c r="T48" s="2442"/>
      <c r="U48" s="2442"/>
      <c r="V48" s="2442"/>
      <c r="W48" s="2442"/>
      <c r="X48" s="2442"/>
      <c r="Y48" s="2442"/>
      <c r="Z48" s="2442"/>
      <c r="AA48" s="2442"/>
      <c r="AB48" s="2442"/>
      <c r="AC48" s="2442"/>
      <c r="AD48" s="2442"/>
      <c r="AE48" s="2442"/>
      <c r="AF48" s="2442"/>
      <c r="AG48" s="2442"/>
      <c r="AH48" s="2442"/>
      <c r="AI48" s="2442"/>
      <c r="AJ48" s="2442"/>
      <c r="AK48" s="2442"/>
      <c r="AL48" s="2442"/>
      <c r="AM48" s="2442"/>
      <c r="AN48" s="2442"/>
      <c r="AO48" s="2442"/>
    </row>
    <row r="49" spans="1:41">
      <c r="B49" s="1543"/>
      <c r="C49" s="1543"/>
      <c r="D49" s="1543"/>
      <c r="E49" s="1543"/>
      <c r="F49" s="1543"/>
      <c r="G49" s="1543"/>
      <c r="H49" s="1543"/>
      <c r="I49" s="1543"/>
      <c r="J49" s="1543"/>
      <c r="K49" s="1543"/>
      <c r="L49" s="1543"/>
      <c r="M49" s="1543"/>
      <c r="N49" s="1543"/>
      <c r="O49" s="1543"/>
      <c r="P49" s="1543"/>
      <c r="Q49" s="1543"/>
      <c r="R49" s="1543"/>
      <c r="S49" s="1543"/>
      <c r="T49" s="1543"/>
      <c r="U49" s="1543"/>
      <c r="V49" s="1543"/>
      <c r="W49" s="1543"/>
      <c r="X49" s="1543"/>
      <c r="Y49" s="1543"/>
      <c r="Z49" s="1543"/>
      <c r="AA49" s="1543"/>
      <c r="AB49" s="1543"/>
      <c r="AC49" s="1543"/>
      <c r="AD49" s="1543"/>
      <c r="AE49" s="1543"/>
      <c r="AF49" s="1543"/>
      <c r="AG49" s="1543"/>
      <c r="AH49" s="1543"/>
      <c r="AI49" s="1543"/>
      <c r="AJ49" s="1543"/>
      <c r="AK49" s="1543"/>
      <c r="AL49" s="1543"/>
      <c r="AM49" s="1543"/>
      <c r="AN49" s="1543"/>
      <c r="AO49" s="1543"/>
    </row>
    <row r="50" spans="1:41" s="1432" customFormat="1" ht="18" customHeight="1">
      <c r="A50" s="2440" t="s">
        <v>29640</v>
      </c>
      <c r="B50" s="2441"/>
      <c r="C50" s="2441"/>
      <c r="D50" s="2441"/>
      <c r="E50" s="2441"/>
      <c r="F50" s="2441"/>
      <c r="G50" s="2441"/>
      <c r="H50" s="2441"/>
      <c r="I50" s="2441"/>
      <c r="J50" s="2441"/>
      <c r="K50" s="2441"/>
      <c r="L50" s="2441"/>
      <c r="M50" s="2441"/>
      <c r="N50" s="2441"/>
      <c r="O50" s="2441"/>
      <c r="P50" s="2441"/>
      <c r="Q50" s="2441"/>
      <c r="R50" s="2441"/>
      <c r="S50" s="2441"/>
      <c r="T50" s="2441"/>
      <c r="U50" s="2441"/>
      <c r="V50" s="2441"/>
      <c r="W50" s="2441"/>
      <c r="X50" s="2441"/>
      <c r="Y50" s="2441"/>
      <c r="Z50" s="2441"/>
      <c r="AA50" s="2441"/>
      <c r="AB50" s="2441"/>
      <c r="AC50" s="2441"/>
      <c r="AD50" s="2441"/>
      <c r="AE50" s="2441"/>
      <c r="AF50" s="2441"/>
      <c r="AG50" s="2441"/>
      <c r="AH50" s="2441"/>
      <c r="AI50" s="2441"/>
      <c r="AJ50" s="2441"/>
      <c r="AK50" s="2441"/>
      <c r="AL50" s="2441"/>
      <c r="AM50" s="2441"/>
      <c r="AN50" s="2441"/>
      <c r="AO50" s="2441"/>
    </row>
    <row r="51" spans="1:41">
      <c r="B51" s="1543"/>
      <c r="C51" s="1543"/>
      <c r="D51" s="1543"/>
      <c r="E51" s="1543"/>
      <c r="F51" s="1543"/>
      <c r="G51" s="1543"/>
      <c r="H51" s="1543"/>
      <c r="I51" s="1543"/>
      <c r="J51" s="1543"/>
      <c r="K51" s="1543"/>
      <c r="L51" s="1543"/>
      <c r="M51" s="1543"/>
      <c r="N51" s="1543"/>
      <c r="O51" s="1543"/>
      <c r="P51" s="1543"/>
      <c r="Q51" s="1543"/>
      <c r="R51" s="1543"/>
      <c r="S51" s="1543"/>
      <c r="T51" s="1543"/>
      <c r="U51" s="1543"/>
      <c r="V51" s="1543"/>
      <c r="W51" s="1543"/>
      <c r="X51" s="1543"/>
      <c r="Y51" s="1543"/>
      <c r="Z51" s="1543"/>
      <c r="AA51" s="1543"/>
      <c r="AB51" s="1543"/>
      <c r="AC51" s="1543"/>
      <c r="AD51" s="1543"/>
      <c r="AE51" s="1543"/>
      <c r="AF51" s="1543"/>
      <c r="AG51" s="1543"/>
      <c r="AH51" s="1543"/>
      <c r="AI51" s="1543"/>
      <c r="AJ51" s="1543"/>
      <c r="AK51" s="1543"/>
      <c r="AL51" s="1543"/>
      <c r="AM51" s="1543"/>
      <c r="AN51" s="1543"/>
      <c r="AO51" s="1543"/>
    </row>
    <row r="52" spans="1:41">
      <c r="B52" s="1543"/>
      <c r="C52" s="1543"/>
      <c r="D52" s="1543"/>
      <c r="E52" s="1543"/>
      <c r="F52" s="1543"/>
      <c r="G52" s="1543"/>
      <c r="H52" s="1543"/>
      <c r="I52" s="1543"/>
      <c r="J52" s="1543"/>
      <c r="K52" s="1543"/>
      <c r="L52" s="1543"/>
      <c r="M52" s="1543"/>
      <c r="N52" s="1543"/>
      <c r="O52" s="1543"/>
      <c r="P52" s="1543"/>
      <c r="Q52" s="1543"/>
      <c r="R52" s="1543"/>
      <c r="S52" s="1543"/>
      <c r="T52" s="1543"/>
      <c r="U52" s="1543"/>
      <c r="V52" s="1543"/>
      <c r="W52" s="1543"/>
      <c r="X52" s="1543"/>
      <c r="Y52" s="1543"/>
      <c r="Z52" s="1543"/>
      <c r="AA52" s="1543"/>
      <c r="AB52" s="1543"/>
      <c r="AC52" s="1543"/>
      <c r="AD52" s="1543"/>
      <c r="AE52" s="1543"/>
      <c r="AF52" s="1543"/>
      <c r="AG52" s="1543"/>
      <c r="AH52" s="1543"/>
      <c r="AI52" s="1543"/>
      <c r="AJ52" s="1543"/>
      <c r="AK52" s="1543"/>
      <c r="AL52" s="1543"/>
      <c r="AM52" s="1543"/>
      <c r="AN52" s="1543"/>
      <c r="AO52" s="1543"/>
    </row>
  </sheetData>
  <sheetProtection algorithmName="SHA-512" hashValue="RBMHNbvUmlwcNKkwGledTW3yB5vHoUqSW9k9rSvl7EXGlBPFSdToOKmpBFwuZtbd0wAjldMOnueTUfNwIL9Wxg==" saltValue="gPNIE76xupc/uIqrctAVSA==" spinCount="100000" sheet="1" objects="1" scenarios="1"/>
  <phoneticPr fontId="341" type="noConversion"/>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Foglio36">
    <tabColor rgb="FFE4DFEC"/>
  </sheetPr>
  <dimension ref="A6:D2235"/>
  <sheetViews>
    <sheetView showGridLines="0" zoomScale="85" zoomScaleNormal="85" workbookViewId="0"/>
  </sheetViews>
  <sheetFormatPr defaultColWidth="9.42578125" defaultRowHeight="12.75"/>
  <cols>
    <col min="1" max="1" width="21.42578125" style="978" customWidth="1"/>
    <col min="2" max="2" width="20.42578125" style="978" customWidth="1"/>
    <col min="3" max="3" width="34.5703125" style="978" bestFit="1" customWidth="1"/>
    <col min="4" max="4" width="9.42578125" style="981"/>
    <col min="5" max="16384" width="9.42578125" style="978"/>
  </cols>
  <sheetData>
    <row r="6" spans="1:4" ht="25.5">
      <c r="A6" s="1558" t="s">
        <v>29727</v>
      </c>
      <c r="C6" s="980" t="s">
        <v>31993</v>
      </c>
    </row>
    <row r="7" spans="1:4">
      <c r="A7" s="982" t="s">
        <v>27124</v>
      </c>
      <c r="B7" s="983" t="s">
        <v>22896</v>
      </c>
      <c r="C7" s="983" t="s">
        <v>22897</v>
      </c>
      <c r="D7" s="981" t="str">
        <f>+A7</f>
        <v>IDARERA</v>
      </c>
    </row>
    <row r="8" spans="1:4">
      <c r="A8" s="2356">
        <v>39551</v>
      </c>
      <c r="B8" s="984" t="s">
        <v>30995</v>
      </c>
      <c r="C8" s="984" t="s">
        <v>31035</v>
      </c>
      <c r="D8" s="981">
        <f>+A8</f>
        <v>39551</v>
      </c>
    </row>
    <row r="9" spans="1:4">
      <c r="A9" s="2356">
        <v>43888</v>
      </c>
      <c r="B9" s="984" t="s">
        <v>31903</v>
      </c>
      <c r="C9" s="984" t="s">
        <v>31904</v>
      </c>
      <c r="D9" s="981">
        <f t="shared" ref="D9:D72" si="0">+A9</f>
        <v>43888</v>
      </c>
    </row>
    <row r="10" spans="1:4">
      <c r="A10" s="2356">
        <v>41131</v>
      </c>
      <c r="B10" s="984" t="s">
        <v>31905</v>
      </c>
      <c r="C10" s="984" t="s">
        <v>31906</v>
      </c>
      <c r="D10" s="981">
        <f t="shared" si="0"/>
        <v>41131</v>
      </c>
    </row>
    <row r="11" spans="1:4">
      <c r="A11" s="2356">
        <v>41229</v>
      </c>
      <c r="B11" s="984" t="s">
        <v>31907</v>
      </c>
      <c r="C11" s="984" t="s">
        <v>31908</v>
      </c>
      <c r="D11" s="981">
        <f t="shared" si="0"/>
        <v>41229</v>
      </c>
    </row>
    <row r="12" spans="1:4">
      <c r="A12" s="2356">
        <v>34679</v>
      </c>
      <c r="B12" s="984" t="s">
        <v>29950</v>
      </c>
      <c r="C12" s="984" t="s">
        <v>29874</v>
      </c>
      <c r="D12" s="981">
        <f t="shared" si="0"/>
        <v>34679</v>
      </c>
    </row>
    <row r="13" spans="1:4">
      <c r="A13" s="2356">
        <v>34751</v>
      </c>
      <c r="B13" s="984" t="s">
        <v>29945</v>
      </c>
      <c r="C13" s="984" t="s">
        <v>29868</v>
      </c>
      <c r="D13" s="981">
        <f t="shared" si="0"/>
        <v>34751</v>
      </c>
    </row>
    <row r="14" spans="1:4">
      <c r="A14" s="2356">
        <v>38603</v>
      </c>
      <c r="B14" s="984" t="s">
        <v>30996</v>
      </c>
      <c r="C14" s="984" t="s">
        <v>31036</v>
      </c>
      <c r="D14" s="981">
        <f t="shared" si="0"/>
        <v>38603</v>
      </c>
    </row>
    <row r="15" spans="1:4">
      <c r="A15" s="2356">
        <v>36847</v>
      </c>
      <c r="B15" s="984" t="s">
        <v>29925</v>
      </c>
      <c r="C15" s="984" t="s">
        <v>29823</v>
      </c>
      <c r="D15" s="981">
        <f t="shared" si="0"/>
        <v>36847</v>
      </c>
    </row>
    <row r="16" spans="1:4">
      <c r="A16" s="2356">
        <v>37366</v>
      </c>
      <c r="B16" s="984" t="s">
        <v>29919</v>
      </c>
      <c r="C16" s="984" t="s">
        <v>29811</v>
      </c>
      <c r="D16" s="981">
        <f t="shared" si="0"/>
        <v>37366</v>
      </c>
    </row>
    <row r="17" spans="1:4">
      <c r="A17" s="2356">
        <v>36086</v>
      </c>
      <c r="B17" s="984" t="s">
        <v>29924</v>
      </c>
      <c r="C17" s="984" t="s">
        <v>29821</v>
      </c>
      <c r="D17" s="981">
        <f t="shared" si="0"/>
        <v>36086</v>
      </c>
    </row>
    <row r="18" spans="1:4">
      <c r="A18" s="2356">
        <v>36120</v>
      </c>
      <c r="B18" s="984" t="s">
        <v>29966</v>
      </c>
      <c r="C18" s="984" t="s">
        <v>29906</v>
      </c>
      <c r="D18" s="981">
        <f t="shared" si="0"/>
        <v>36120</v>
      </c>
    </row>
    <row r="19" spans="1:4">
      <c r="A19" s="2356">
        <v>30232</v>
      </c>
      <c r="B19" s="984" t="s">
        <v>29921</v>
      </c>
      <c r="C19" s="984" t="s">
        <v>29816</v>
      </c>
      <c r="D19" s="981">
        <f t="shared" si="0"/>
        <v>30232</v>
      </c>
    </row>
    <row r="20" spans="1:4">
      <c r="A20" s="2356">
        <v>28831</v>
      </c>
      <c r="B20" s="984" t="s">
        <v>28299</v>
      </c>
      <c r="C20" s="984" t="s">
        <v>27565</v>
      </c>
      <c r="D20" s="981">
        <f t="shared" si="0"/>
        <v>28831</v>
      </c>
    </row>
    <row r="21" spans="1:4">
      <c r="A21" s="2356">
        <v>30059</v>
      </c>
      <c r="B21" s="984" t="s">
        <v>28571</v>
      </c>
      <c r="C21" s="984" t="s">
        <v>27829</v>
      </c>
      <c r="D21" s="981">
        <f t="shared" si="0"/>
        <v>30059</v>
      </c>
    </row>
    <row r="22" spans="1:4">
      <c r="A22" s="2356">
        <v>29704</v>
      </c>
      <c r="B22" s="984" t="s">
        <v>28522</v>
      </c>
      <c r="C22" s="984" t="s">
        <v>27780</v>
      </c>
      <c r="D22" s="981">
        <f t="shared" si="0"/>
        <v>29704</v>
      </c>
    </row>
    <row r="23" spans="1:4">
      <c r="A23" s="2356">
        <v>29500</v>
      </c>
      <c r="B23" s="984" t="s">
        <v>28453</v>
      </c>
      <c r="C23" s="984" t="s">
        <v>27711</v>
      </c>
      <c r="D23" s="981">
        <f t="shared" si="0"/>
        <v>29500</v>
      </c>
    </row>
    <row r="24" spans="1:4">
      <c r="A24" s="2356">
        <v>29395</v>
      </c>
      <c r="B24" s="984" t="s">
        <v>28400</v>
      </c>
      <c r="C24" s="984" t="s">
        <v>27660</v>
      </c>
      <c r="D24" s="981">
        <f t="shared" si="0"/>
        <v>29395</v>
      </c>
    </row>
    <row r="25" spans="1:4">
      <c r="A25" s="2356">
        <v>28861</v>
      </c>
      <c r="B25" s="984" t="s">
        <v>28306</v>
      </c>
      <c r="C25" s="984" t="s">
        <v>27571</v>
      </c>
      <c r="D25" s="981">
        <f t="shared" si="0"/>
        <v>28861</v>
      </c>
    </row>
    <row r="26" spans="1:4">
      <c r="A26" s="2356">
        <v>29530</v>
      </c>
      <c r="B26" s="984" t="s">
        <v>28469</v>
      </c>
      <c r="C26" s="984" t="s">
        <v>27727</v>
      </c>
      <c r="D26" s="981">
        <f t="shared" si="0"/>
        <v>29530</v>
      </c>
    </row>
    <row r="27" spans="1:4">
      <c r="A27" s="2356">
        <v>29581</v>
      </c>
      <c r="B27" s="984" t="s">
        <v>28493</v>
      </c>
      <c r="C27" s="984" t="s">
        <v>27751</v>
      </c>
      <c r="D27" s="981">
        <f t="shared" si="0"/>
        <v>29581</v>
      </c>
    </row>
    <row r="28" spans="1:4">
      <c r="A28" s="2356">
        <v>29356</v>
      </c>
      <c r="B28" s="984" t="s">
        <v>28379</v>
      </c>
      <c r="C28" s="984" t="s">
        <v>27639</v>
      </c>
      <c r="D28" s="981">
        <f t="shared" si="0"/>
        <v>29356</v>
      </c>
    </row>
    <row r="29" spans="1:4">
      <c r="A29" s="2356">
        <v>28730</v>
      </c>
      <c r="B29" s="984" t="s">
        <v>28255</v>
      </c>
      <c r="C29" s="984" t="s">
        <v>27522</v>
      </c>
      <c r="D29" s="981">
        <f t="shared" si="0"/>
        <v>28730</v>
      </c>
    </row>
    <row r="30" spans="1:4">
      <c r="A30" s="2356">
        <v>28686</v>
      </c>
      <c r="B30" s="984" t="s">
        <v>28244</v>
      </c>
      <c r="C30" s="984" t="s">
        <v>27512</v>
      </c>
      <c r="D30" s="981">
        <f t="shared" si="0"/>
        <v>28686</v>
      </c>
    </row>
    <row r="31" spans="1:4">
      <c r="A31" s="2356">
        <v>29497</v>
      </c>
      <c r="B31" s="984" t="s">
        <v>28452</v>
      </c>
      <c r="C31" s="984" t="s">
        <v>27710</v>
      </c>
      <c r="D31" s="981">
        <f t="shared" si="0"/>
        <v>29497</v>
      </c>
    </row>
    <row r="32" spans="1:4">
      <c r="A32" s="2356">
        <v>29546</v>
      </c>
      <c r="B32" s="984" t="s">
        <v>28475</v>
      </c>
      <c r="C32" s="984" t="s">
        <v>27733</v>
      </c>
      <c r="D32" s="981">
        <f t="shared" si="0"/>
        <v>29546</v>
      </c>
    </row>
    <row r="33" spans="1:4">
      <c r="A33" s="2356">
        <v>28332</v>
      </c>
      <c r="B33" s="984" t="s">
        <v>28160</v>
      </c>
      <c r="C33" s="984" t="s">
        <v>27433</v>
      </c>
      <c r="D33" s="981">
        <f t="shared" si="0"/>
        <v>28332</v>
      </c>
    </row>
    <row r="34" spans="1:4">
      <c r="A34" s="2356">
        <v>28788</v>
      </c>
      <c r="B34" s="984" t="s">
        <v>28282</v>
      </c>
      <c r="C34" s="984" t="s">
        <v>27549</v>
      </c>
      <c r="D34" s="981">
        <f t="shared" si="0"/>
        <v>28788</v>
      </c>
    </row>
    <row r="35" spans="1:4">
      <c r="A35" s="2356">
        <v>28726</v>
      </c>
      <c r="B35" s="984" t="s">
        <v>28254</v>
      </c>
      <c r="C35" s="984" t="s">
        <v>27521</v>
      </c>
      <c r="D35" s="981">
        <f t="shared" si="0"/>
        <v>28726</v>
      </c>
    </row>
    <row r="36" spans="1:4">
      <c r="A36" s="2356">
        <v>28379</v>
      </c>
      <c r="B36" s="984" t="s">
        <v>28185</v>
      </c>
      <c r="C36" s="984" t="s">
        <v>27458</v>
      </c>
      <c r="D36" s="981">
        <f t="shared" si="0"/>
        <v>28379</v>
      </c>
    </row>
    <row r="37" spans="1:4">
      <c r="A37" s="2356">
        <v>29762</v>
      </c>
      <c r="B37" s="984" t="s">
        <v>28530</v>
      </c>
      <c r="C37" s="984" t="s">
        <v>27788</v>
      </c>
      <c r="D37" s="981">
        <f t="shared" si="0"/>
        <v>29762</v>
      </c>
    </row>
    <row r="38" spans="1:4">
      <c r="A38" s="2356">
        <v>28785</v>
      </c>
      <c r="B38" s="984" t="s">
        <v>28280</v>
      </c>
      <c r="C38" s="984" t="s">
        <v>27547</v>
      </c>
      <c r="D38" s="981">
        <f t="shared" si="0"/>
        <v>28785</v>
      </c>
    </row>
    <row r="39" spans="1:4">
      <c r="A39" s="2356">
        <v>28367</v>
      </c>
      <c r="B39" s="984" t="s">
        <v>28180</v>
      </c>
      <c r="C39" s="984" t="s">
        <v>27453</v>
      </c>
      <c r="D39" s="981">
        <f t="shared" si="0"/>
        <v>28367</v>
      </c>
    </row>
    <row r="40" spans="1:4">
      <c r="A40" s="2356">
        <v>29565</v>
      </c>
      <c r="B40" s="984" t="s">
        <v>28484</v>
      </c>
      <c r="C40" s="984" t="s">
        <v>27742</v>
      </c>
      <c r="D40" s="981">
        <f t="shared" si="0"/>
        <v>29565</v>
      </c>
    </row>
    <row r="41" spans="1:4">
      <c r="A41" s="2356">
        <v>28659</v>
      </c>
      <c r="B41" s="984" t="s">
        <v>28236</v>
      </c>
      <c r="C41" s="984" t="s">
        <v>27505</v>
      </c>
      <c r="D41" s="981">
        <f t="shared" si="0"/>
        <v>28659</v>
      </c>
    </row>
    <row r="42" spans="1:4">
      <c r="A42" s="2356">
        <v>29692</v>
      </c>
      <c r="B42" s="984" t="s">
        <v>28519</v>
      </c>
      <c r="C42" s="984" t="s">
        <v>27777</v>
      </c>
      <c r="D42" s="981">
        <f t="shared" si="0"/>
        <v>29692</v>
      </c>
    </row>
    <row r="43" spans="1:4">
      <c r="A43" s="2356">
        <v>28740</v>
      </c>
      <c r="B43" s="984" t="s">
        <v>28262</v>
      </c>
      <c r="C43" s="984" t="s">
        <v>27529</v>
      </c>
      <c r="D43" s="981">
        <f t="shared" si="0"/>
        <v>28740</v>
      </c>
    </row>
    <row r="44" spans="1:4">
      <c r="A44" s="2356">
        <v>29593</v>
      </c>
      <c r="B44" s="984" t="s">
        <v>28500</v>
      </c>
      <c r="C44" s="984" t="s">
        <v>27758</v>
      </c>
      <c r="D44" s="981">
        <f t="shared" si="0"/>
        <v>29593</v>
      </c>
    </row>
    <row r="45" spans="1:4">
      <c r="A45" s="2356">
        <v>29647</v>
      </c>
      <c r="B45" s="984" t="s">
        <v>28513</v>
      </c>
      <c r="C45" s="984" t="s">
        <v>27771</v>
      </c>
      <c r="D45" s="981">
        <f t="shared" si="0"/>
        <v>29647</v>
      </c>
    </row>
    <row r="46" spans="1:4">
      <c r="A46" s="2356">
        <v>28507</v>
      </c>
      <c r="B46" s="984" t="s">
        <v>28204</v>
      </c>
      <c r="C46" s="984" t="s">
        <v>27475</v>
      </c>
      <c r="D46" s="981">
        <f t="shared" si="0"/>
        <v>28507</v>
      </c>
    </row>
    <row r="47" spans="1:4">
      <c r="A47" s="2356">
        <v>29454</v>
      </c>
      <c r="B47" s="984" t="s">
        <v>28425</v>
      </c>
      <c r="C47" s="984" t="s">
        <v>27684</v>
      </c>
      <c r="D47" s="981">
        <f t="shared" si="0"/>
        <v>29454</v>
      </c>
    </row>
    <row r="48" spans="1:4">
      <c r="A48" s="2356">
        <v>28994</v>
      </c>
      <c r="B48" s="984" t="s">
        <v>28329</v>
      </c>
      <c r="C48" s="984" t="s">
        <v>27592</v>
      </c>
      <c r="D48" s="981">
        <f t="shared" si="0"/>
        <v>28994</v>
      </c>
    </row>
    <row r="49" spans="1:4">
      <c r="A49" s="2356">
        <v>29274</v>
      </c>
      <c r="B49" s="984" t="s">
        <v>28349</v>
      </c>
      <c r="C49" s="984" t="s">
        <v>27612</v>
      </c>
      <c r="D49" s="981">
        <f t="shared" si="0"/>
        <v>29274</v>
      </c>
    </row>
    <row r="50" spans="1:4">
      <c r="A50" s="2356">
        <v>28419</v>
      </c>
      <c r="B50" s="984" t="s">
        <v>28190</v>
      </c>
      <c r="C50" s="984" t="s">
        <v>29899</v>
      </c>
      <c r="D50" s="981">
        <f t="shared" si="0"/>
        <v>28419</v>
      </c>
    </row>
    <row r="51" spans="1:4">
      <c r="A51" s="2356">
        <v>28967</v>
      </c>
      <c r="B51" s="984" t="s">
        <v>28324</v>
      </c>
      <c r="C51" s="984" t="s">
        <v>27587</v>
      </c>
      <c r="D51" s="981">
        <f t="shared" si="0"/>
        <v>28967</v>
      </c>
    </row>
    <row r="52" spans="1:4">
      <c r="A52" s="2356">
        <v>29476</v>
      </c>
      <c r="B52" s="984" t="s">
        <v>28438</v>
      </c>
      <c r="C52" s="984" t="s">
        <v>27697</v>
      </c>
      <c r="D52" s="981">
        <f t="shared" si="0"/>
        <v>29476</v>
      </c>
    </row>
    <row r="53" spans="1:4">
      <c r="A53" s="2356">
        <v>28537</v>
      </c>
      <c r="B53" s="984" t="s">
        <v>28209</v>
      </c>
      <c r="C53" s="984" t="s">
        <v>27480</v>
      </c>
      <c r="D53" s="981">
        <f t="shared" si="0"/>
        <v>28537</v>
      </c>
    </row>
    <row r="54" spans="1:4">
      <c r="A54" s="2356">
        <v>33240</v>
      </c>
      <c r="B54" s="984" t="s">
        <v>28597</v>
      </c>
      <c r="C54" s="984" t="s">
        <v>27853</v>
      </c>
      <c r="D54" s="981">
        <f t="shared" si="0"/>
        <v>33240</v>
      </c>
    </row>
    <row r="55" spans="1:4">
      <c r="A55" s="2356">
        <v>30189</v>
      </c>
      <c r="B55" s="984" t="s">
        <v>28581</v>
      </c>
      <c r="C55" s="984" t="s">
        <v>27839</v>
      </c>
      <c r="D55" s="981">
        <f t="shared" si="0"/>
        <v>30189</v>
      </c>
    </row>
    <row r="56" spans="1:4">
      <c r="A56" s="2356">
        <v>28629</v>
      </c>
      <c r="B56" s="984" t="s">
        <v>28231</v>
      </c>
      <c r="C56" s="984" t="s">
        <v>27501</v>
      </c>
      <c r="D56" s="981">
        <f t="shared" si="0"/>
        <v>28629</v>
      </c>
    </row>
    <row r="57" spans="1:4">
      <c r="A57" s="2356">
        <v>29312</v>
      </c>
      <c r="B57" s="984" t="s">
        <v>28360</v>
      </c>
      <c r="C57" s="984" t="s">
        <v>27622</v>
      </c>
      <c r="D57" s="981">
        <f t="shared" si="0"/>
        <v>29312</v>
      </c>
    </row>
    <row r="58" spans="1:4">
      <c r="A58" s="2356">
        <v>28388</v>
      </c>
      <c r="B58" s="984" t="s">
        <v>28187</v>
      </c>
      <c r="C58" s="984" t="s">
        <v>27460</v>
      </c>
      <c r="D58" s="981">
        <f t="shared" si="0"/>
        <v>28388</v>
      </c>
    </row>
    <row r="59" spans="1:4">
      <c r="A59" s="2356">
        <v>29563</v>
      </c>
      <c r="B59" s="984" t="s">
        <v>28483</v>
      </c>
      <c r="C59" s="984" t="s">
        <v>27741</v>
      </c>
      <c r="D59" s="981">
        <f t="shared" si="0"/>
        <v>29563</v>
      </c>
    </row>
    <row r="60" spans="1:4">
      <c r="A60" s="2356">
        <v>29469</v>
      </c>
      <c r="B60" s="984" t="s">
        <v>28433</v>
      </c>
      <c r="C60" s="984" t="s">
        <v>27692</v>
      </c>
      <c r="D60" s="981">
        <f t="shared" si="0"/>
        <v>29469</v>
      </c>
    </row>
    <row r="61" spans="1:4">
      <c r="A61" s="2356">
        <v>28664</v>
      </c>
      <c r="B61" s="984" t="s">
        <v>28238</v>
      </c>
      <c r="C61" s="984" t="s">
        <v>27507</v>
      </c>
      <c r="D61" s="981">
        <f t="shared" si="0"/>
        <v>28664</v>
      </c>
    </row>
    <row r="62" spans="1:4">
      <c r="A62" s="2356">
        <v>28615</v>
      </c>
      <c r="B62" s="984" t="s">
        <v>28225</v>
      </c>
      <c r="C62" s="984" t="s">
        <v>27495</v>
      </c>
      <c r="D62" s="981">
        <f t="shared" si="0"/>
        <v>28615</v>
      </c>
    </row>
    <row r="63" spans="1:4">
      <c r="A63" s="2356">
        <v>29665</v>
      </c>
      <c r="B63" s="984" t="s">
        <v>28516</v>
      </c>
      <c r="C63" s="984" t="s">
        <v>27774</v>
      </c>
      <c r="D63" s="981">
        <f t="shared" si="0"/>
        <v>29665</v>
      </c>
    </row>
    <row r="64" spans="1:4">
      <c r="A64" s="2356">
        <v>28687</v>
      </c>
      <c r="B64" s="984" t="s">
        <v>28245</v>
      </c>
      <c r="C64" s="984" t="s">
        <v>27513</v>
      </c>
      <c r="D64" s="981">
        <f t="shared" si="0"/>
        <v>28687</v>
      </c>
    </row>
    <row r="65" spans="1:4">
      <c r="A65" s="2356">
        <v>29467</v>
      </c>
      <c r="B65" s="984" t="s">
        <v>28432</v>
      </c>
      <c r="C65" s="984" t="s">
        <v>27691</v>
      </c>
      <c r="D65" s="981">
        <f t="shared" si="0"/>
        <v>29467</v>
      </c>
    </row>
    <row r="66" spans="1:4">
      <c r="A66" s="2356">
        <v>29011</v>
      </c>
      <c r="B66" s="984" t="s">
        <v>28330</v>
      </c>
      <c r="C66" s="984" t="s">
        <v>27593</v>
      </c>
      <c r="D66" s="981">
        <f t="shared" si="0"/>
        <v>29011</v>
      </c>
    </row>
    <row r="67" spans="1:4">
      <c r="A67" s="2356">
        <v>28489</v>
      </c>
      <c r="B67" s="984" t="s">
        <v>28202</v>
      </c>
      <c r="C67" s="984" t="s">
        <v>27473</v>
      </c>
      <c r="D67" s="981">
        <f t="shared" si="0"/>
        <v>28489</v>
      </c>
    </row>
    <row r="68" spans="1:4">
      <c r="A68" s="2356">
        <v>32869</v>
      </c>
      <c r="B68" s="984" t="s">
        <v>28594</v>
      </c>
      <c r="C68" s="984" t="s">
        <v>29838</v>
      </c>
      <c r="D68" s="981">
        <f t="shared" si="0"/>
        <v>32869</v>
      </c>
    </row>
    <row r="69" spans="1:4">
      <c r="A69" s="2356">
        <v>31548</v>
      </c>
      <c r="B69" s="984" t="s">
        <v>28592</v>
      </c>
      <c r="C69" s="984" t="s">
        <v>27849</v>
      </c>
      <c r="D69" s="981">
        <f t="shared" si="0"/>
        <v>31548</v>
      </c>
    </row>
    <row r="70" spans="1:4">
      <c r="A70" s="2356">
        <v>28764</v>
      </c>
      <c r="B70" s="984" t="s">
        <v>28272</v>
      </c>
      <c r="C70" s="984" t="s">
        <v>27539</v>
      </c>
      <c r="D70" s="981">
        <f t="shared" si="0"/>
        <v>28764</v>
      </c>
    </row>
    <row r="71" spans="1:4">
      <c r="A71" s="2356">
        <v>29421</v>
      </c>
      <c r="B71" s="984" t="s">
        <v>28417</v>
      </c>
      <c r="C71" s="984" t="s">
        <v>27677</v>
      </c>
      <c r="D71" s="981">
        <f t="shared" si="0"/>
        <v>29421</v>
      </c>
    </row>
    <row r="72" spans="1:4">
      <c r="A72" s="2356">
        <v>29455</v>
      </c>
      <c r="B72" s="984" t="s">
        <v>28426</v>
      </c>
      <c r="C72" s="984" t="s">
        <v>27685</v>
      </c>
      <c r="D72" s="981">
        <f t="shared" si="0"/>
        <v>29455</v>
      </c>
    </row>
    <row r="73" spans="1:4">
      <c r="A73" s="2356">
        <v>24615</v>
      </c>
      <c r="B73" s="984" t="s">
        <v>25090</v>
      </c>
      <c r="C73" s="984" t="s">
        <v>25091</v>
      </c>
      <c r="D73" s="981">
        <f t="shared" ref="D73:D136" si="1">+A73</f>
        <v>24615</v>
      </c>
    </row>
    <row r="74" spans="1:4">
      <c r="A74" s="2356">
        <v>27862</v>
      </c>
      <c r="B74" s="984" t="s">
        <v>27955</v>
      </c>
      <c r="C74" s="984" t="s">
        <v>27245</v>
      </c>
      <c r="D74" s="981">
        <f t="shared" si="1"/>
        <v>27862</v>
      </c>
    </row>
    <row r="75" spans="1:4">
      <c r="A75" s="2356">
        <v>28045</v>
      </c>
      <c r="B75" s="984" t="s">
        <v>28053</v>
      </c>
      <c r="C75" s="984" t="s">
        <v>27336</v>
      </c>
      <c r="D75" s="981">
        <f t="shared" si="1"/>
        <v>28045</v>
      </c>
    </row>
    <row r="76" spans="1:4">
      <c r="A76" s="2356">
        <v>26637</v>
      </c>
      <c r="B76" s="984" t="s">
        <v>26012</v>
      </c>
      <c r="C76" s="984" t="s">
        <v>26011</v>
      </c>
      <c r="D76" s="981">
        <f t="shared" si="1"/>
        <v>26637</v>
      </c>
    </row>
    <row r="77" spans="1:4">
      <c r="A77" s="2356">
        <v>28170</v>
      </c>
      <c r="B77" s="984" t="s">
        <v>28120</v>
      </c>
      <c r="C77" s="984" t="s">
        <v>27398</v>
      </c>
      <c r="D77" s="981">
        <f t="shared" si="1"/>
        <v>28170</v>
      </c>
    </row>
    <row r="78" spans="1:4">
      <c r="A78" s="2356">
        <v>24212</v>
      </c>
      <c r="B78" s="984" t="s">
        <v>22982</v>
      </c>
      <c r="C78" s="984" t="s">
        <v>23930</v>
      </c>
      <c r="D78" s="981">
        <f t="shared" si="1"/>
        <v>24212</v>
      </c>
    </row>
    <row r="79" spans="1:4">
      <c r="A79" s="2356">
        <v>28364</v>
      </c>
      <c r="B79" s="984" t="s">
        <v>28177</v>
      </c>
      <c r="C79" s="984" t="s">
        <v>27450</v>
      </c>
      <c r="D79" s="981">
        <f t="shared" si="1"/>
        <v>28364</v>
      </c>
    </row>
    <row r="80" spans="1:4">
      <c r="A80" s="2356">
        <v>28161</v>
      </c>
      <c r="B80" s="984" t="s">
        <v>28119</v>
      </c>
      <c r="C80" s="984" t="s">
        <v>27397</v>
      </c>
      <c r="D80" s="981">
        <f t="shared" si="1"/>
        <v>28161</v>
      </c>
    </row>
    <row r="81" spans="1:4">
      <c r="A81" s="2356">
        <v>28085</v>
      </c>
      <c r="B81" s="984" t="s">
        <v>28081</v>
      </c>
      <c r="C81" s="984" t="s">
        <v>27361</v>
      </c>
      <c r="D81" s="981">
        <f t="shared" si="1"/>
        <v>28085</v>
      </c>
    </row>
    <row r="82" spans="1:4">
      <c r="A82" s="2356">
        <v>28036</v>
      </c>
      <c r="B82" s="984" t="s">
        <v>28045</v>
      </c>
      <c r="C82" s="984" t="s">
        <v>27328</v>
      </c>
      <c r="D82" s="981">
        <f t="shared" si="1"/>
        <v>28036</v>
      </c>
    </row>
    <row r="83" spans="1:4">
      <c r="A83" s="2356">
        <v>28206</v>
      </c>
      <c r="B83" s="984" t="s">
        <v>28131</v>
      </c>
      <c r="C83" s="984" t="s">
        <v>27409</v>
      </c>
      <c r="D83" s="981">
        <f t="shared" si="1"/>
        <v>28206</v>
      </c>
    </row>
    <row r="84" spans="1:4">
      <c r="A84" s="2356">
        <v>24179</v>
      </c>
      <c r="B84" s="984" t="s">
        <v>23234</v>
      </c>
      <c r="C84" s="984" t="s">
        <v>24159</v>
      </c>
      <c r="D84" s="981">
        <f t="shared" si="1"/>
        <v>24179</v>
      </c>
    </row>
    <row r="85" spans="1:4">
      <c r="A85" s="2356">
        <v>25861</v>
      </c>
      <c r="B85" s="984" t="s">
        <v>25853</v>
      </c>
      <c r="C85" s="984" t="s">
        <v>25852</v>
      </c>
      <c r="D85" s="981">
        <f t="shared" si="1"/>
        <v>25861</v>
      </c>
    </row>
    <row r="86" spans="1:4">
      <c r="A86" s="2356">
        <v>25815</v>
      </c>
      <c r="B86" s="984" t="s">
        <v>25825</v>
      </c>
      <c r="C86" s="984" t="s">
        <v>25824</v>
      </c>
      <c r="D86" s="981">
        <f t="shared" si="1"/>
        <v>25815</v>
      </c>
    </row>
    <row r="87" spans="1:4">
      <c r="A87" s="2356">
        <v>28171</v>
      </c>
      <c r="B87" s="984" t="s">
        <v>28121</v>
      </c>
      <c r="C87" s="984" t="s">
        <v>27399</v>
      </c>
      <c r="D87" s="981">
        <f t="shared" si="1"/>
        <v>28171</v>
      </c>
    </row>
    <row r="88" spans="1:4">
      <c r="A88" s="2356">
        <v>24734</v>
      </c>
      <c r="B88" s="984" t="s">
        <v>25115</v>
      </c>
      <c r="C88" s="984" t="s">
        <v>25116</v>
      </c>
      <c r="D88" s="981">
        <f t="shared" si="1"/>
        <v>24734</v>
      </c>
    </row>
    <row r="89" spans="1:4">
      <c r="A89" s="2356">
        <v>25313</v>
      </c>
      <c r="B89" s="984" t="s">
        <v>27905</v>
      </c>
      <c r="C89" s="984" t="s">
        <v>27195</v>
      </c>
      <c r="D89" s="981">
        <f t="shared" si="1"/>
        <v>25313</v>
      </c>
    </row>
    <row r="90" spans="1:4">
      <c r="A90" s="2356">
        <v>28316</v>
      </c>
      <c r="B90" s="984" t="s">
        <v>28153</v>
      </c>
      <c r="C90" s="984" t="s">
        <v>27427</v>
      </c>
      <c r="D90" s="981">
        <f t="shared" si="1"/>
        <v>28316</v>
      </c>
    </row>
    <row r="91" spans="1:4">
      <c r="A91" s="2356">
        <v>28186</v>
      </c>
      <c r="B91" s="984" t="s">
        <v>28127</v>
      </c>
      <c r="C91" s="984" t="s">
        <v>27405</v>
      </c>
      <c r="D91" s="981">
        <f t="shared" si="1"/>
        <v>28186</v>
      </c>
    </row>
    <row r="92" spans="1:4">
      <c r="A92" s="2356">
        <v>24429</v>
      </c>
      <c r="B92" s="984" t="s">
        <v>23823</v>
      </c>
      <c r="C92" s="984" t="s">
        <v>24689</v>
      </c>
      <c r="D92" s="981">
        <f t="shared" si="1"/>
        <v>24429</v>
      </c>
    </row>
    <row r="93" spans="1:4">
      <c r="A93" s="2356">
        <v>28306</v>
      </c>
      <c r="B93" s="984" t="s">
        <v>28147</v>
      </c>
      <c r="C93" s="984" t="s">
        <v>27423</v>
      </c>
      <c r="D93" s="981">
        <f t="shared" si="1"/>
        <v>28306</v>
      </c>
    </row>
    <row r="94" spans="1:4">
      <c r="A94" s="2356">
        <v>27890</v>
      </c>
      <c r="B94" s="984" t="s">
        <v>27966</v>
      </c>
      <c r="C94" s="984" t="s">
        <v>27256</v>
      </c>
      <c r="D94" s="981">
        <f t="shared" si="1"/>
        <v>27890</v>
      </c>
    </row>
    <row r="95" spans="1:4">
      <c r="A95" s="2356">
        <v>25923</v>
      </c>
      <c r="B95" s="984" t="s">
        <v>25885</v>
      </c>
      <c r="C95" s="984" t="s">
        <v>25884</v>
      </c>
      <c r="D95" s="981">
        <f t="shared" si="1"/>
        <v>25923</v>
      </c>
    </row>
    <row r="96" spans="1:4">
      <c r="A96" s="2356">
        <v>25768</v>
      </c>
      <c r="B96" s="984" t="s">
        <v>25807</v>
      </c>
      <c r="C96" s="984" t="s">
        <v>25806</v>
      </c>
      <c r="D96" s="981">
        <f t="shared" si="1"/>
        <v>25768</v>
      </c>
    </row>
    <row r="97" spans="1:4">
      <c r="A97" s="2356">
        <v>28182</v>
      </c>
      <c r="B97" s="984" t="s">
        <v>28125</v>
      </c>
      <c r="C97" s="984" t="s">
        <v>27403</v>
      </c>
      <c r="D97" s="981">
        <f t="shared" si="1"/>
        <v>28182</v>
      </c>
    </row>
    <row r="98" spans="1:4">
      <c r="A98" s="2356">
        <v>28324</v>
      </c>
      <c r="B98" s="984" t="s">
        <v>28157</v>
      </c>
      <c r="C98" s="984" t="s">
        <v>27430</v>
      </c>
      <c r="D98" s="981">
        <f t="shared" si="1"/>
        <v>28324</v>
      </c>
    </row>
    <row r="99" spans="1:4">
      <c r="A99" s="2356">
        <v>28309</v>
      </c>
      <c r="B99" s="984" t="s">
        <v>28150</v>
      </c>
      <c r="C99" s="984" t="s">
        <v>27425</v>
      </c>
      <c r="D99" s="981">
        <f t="shared" si="1"/>
        <v>28309</v>
      </c>
    </row>
    <row r="100" spans="1:4">
      <c r="A100" s="2356">
        <v>28308</v>
      </c>
      <c r="B100" s="984" t="s">
        <v>28149</v>
      </c>
      <c r="C100" s="984" t="s">
        <v>27424</v>
      </c>
      <c r="D100" s="981">
        <f t="shared" si="1"/>
        <v>28308</v>
      </c>
    </row>
    <row r="101" spans="1:4">
      <c r="A101" s="2356">
        <v>28136</v>
      </c>
      <c r="B101" s="984" t="s">
        <v>28109</v>
      </c>
      <c r="C101" s="984" t="s">
        <v>27388</v>
      </c>
      <c r="D101" s="981">
        <f t="shared" si="1"/>
        <v>28136</v>
      </c>
    </row>
    <row r="102" spans="1:4">
      <c r="A102" s="2356">
        <v>28054</v>
      </c>
      <c r="B102" s="984" t="s">
        <v>28059</v>
      </c>
      <c r="C102" s="984" t="s">
        <v>29835</v>
      </c>
      <c r="D102" s="981">
        <f t="shared" si="1"/>
        <v>28054</v>
      </c>
    </row>
    <row r="103" spans="1:4">
      <c r="A103" s="2356">
        <v>28034</v>
      </c>
      <c r="B103" s="984" t="s">
        <v>28043</v>
      </c>
      <c r="C103" s="984" t="s">
        <v>27326</v>
      </c>
      <c r="D103" s="981">
        <f t="shared" si="1"/>
        <v>28034</v>
      </c>
    </row>
    <row r="104" spans="1:4">
      <c r="A104" s="2356">
        <v>28018</v>
      </c>
      <c r="B104" s="984" t="s">
        <v>28032</v>
      </c>
      <c r="C104" s="984" t="s">
        <v>27315</v>
      </c>
      <c r="D104" s="981">
        <f t="shared" si="1"/>
        <v>28018</v>
      </c>
    </row>
    <row r="105" spans="1:4">
      <c r="A105" s="2356">
        <v>28055</v>
      </c>
      <c r="B105" s="984" t="s">
        <v>28060</v>
      </c>
      <c r="C105" s="984" t="s">
        <v>27342</v>
      </c>
      <c r="D105" s="981">
        <f t="shared" si="1"/>
        <v>28055</v>
      </c>
    </row>
    <row r="106" spans="1:4">
      <c r="A106" s="2356">
        <v>28009</v>
      </c>
      <c r="B106" s="984" t="s">
        <v>28025</v>
      </c>
      <c r="C106" s="984" t="s">
        <v>27309</v>
      </c>
      <c r="D106" s="981">
        <f t="shared" si="1"/>
        <v>28009</v>
      </c>
    </row>
    <row r="107" spans="1:4">
      <c r="A107" s="2356">
        <v>27228</v>
      </c>
      <c r="B107" s="984" t="s">
        <v>26047</v>
      </c>
      <c r="C107" s="984" t="s">
        <v>26046</v>
      </c>
      <c r="D107" s="981">
        <f t="shared" si="1"/>
        <v>27228</v>
      </c>
    </row>
    <row r="108" spans="1:4">
      <c r="A108" s="2356">
        <v>26590</v>
      </c>
      <c r="B108" s="984" t="s">
        <v>26006</v>
      </c>
      <c r="C108" s="984" t="s">
        <v>26005</v>
      </c>
      <c r="D108" s="981">
        <f t="shared" si="1"/>
        <v>26590</v>
      </c>
    </row>
    <row r="109" spans="1:4">
      <c r="A109" s="2356">
        <v>24810</v>
      </c>
      <c r="B109" s="984" t="s">
        <v>25728</v>
      </c>
      <c r="C109" s="984" t="s">
        <v>25727</v>
      </c>
      <c r="D109" s="981">
        <f t="shared" si="1"/>
        <v>24810</v>
      </c>
    </row>
    <row r="110" spans="1:4">
      <c r="A110" s="2356">
        <v>26019</v>
      </c>
      <c r="B110" s="984" t="s">
        <v>25948</v>
      </c>
      <c r="C110" s="984" t="s">
        <v>25947</v>
      </c>
      <c r="D110" s="981">
        <f t="shared" si="1"/>
        <v>26019</v>
      </c>
    </row>
    <row r="111" spans="1:4">
      <c r="A111" s="2356">
        <v>25304</v>
      </c>
      <c r="B111" s="984" t="s">
        <v>25756</v>
      </c>
      <c r="C111" s="984" t="s">
        <v>25755</v>
      </c>
      <c r="D111" s="981">
        <f t="shared" si="1"/>
        <v>25304</v>
      </c>
    </row>
    <row r="112" spans="1:4">
      <c r="A112" s="2356">
        <v>24423</v>
      </c>
      <c r="B112" s="984" t="s">
        <v>27901</v>
      </c>
      <c r="C112" s="984" t="s">
        <v>27189</v>
      </c>
      <c r="D112" s="981">
        <f t="shared" si="1"/>
        <v>24423</v>
      </c>
    </row>
    <row r="113" spans="1:4">
      <c r="A113" s="2356">
        <v>26226</v>
      </c>
      <c r="B113" s="984" t="s">
        <v>25980</v>
      </c>
      <c r="C113" s="984" t="s">
        <v>25979</v>
      </c>
      <c r="D113" s="981">
        <f t="shared" si="1"/>
        <v>26226</v>
      </c>
    </row>
    <row r="114" spans="1:4">
      <c r="A114" s="2356">
        <v>25789</v>
      </c>
      <c r="B114" s="984" t="s">
        <v>25809</v>
      </c>
      <c r="C114" s="984" t="s">
        <v>25808</v>
      </c>
      <c r="D114" s="981">
        <f t="shared" si="1"/>
        <v>25789</v>
      </c>
    </row>
    <row r="115" spans="1:4">
      <c r="A115" s="2356">
        <v>25352</v>
      </c>
      <c r="B115" s="984" t="s">
        <v>25778</v>
      </c>
      <c r="C115" s="984" t="s">
        <v>25777</v>
      </c>
      <c r="D115" s="981">
        <f t="shared" si="1"/>
        <v>25352</v>
      </c>
    </row>
    <row r="116" spans="1:4">
      <c r="A116" s="2356">
        <v>25274</v>
      </c>
      <c r="B116" s="984" t="s">
        <v>27904</v>
      </c>
      <c r="C116" s="984" t="s">
        <v>27194</v>
      </c>
      <c r="D116" s="981">
        <f t="shared" si="1"/>
        <v>25274</v>
      </c>
    </row>
    <row r="117" spans="1:4">
      <c r="A117" s="2356">
        <v>25329</v>
      </c>
      <c r="B117" s="984" t="s">
        <v>25770</v>
      </c>
      <c r="C117" s="984" t="s">
        <v>25769</v>
      </c>
      <c r="D117" s="981">
        <f t="shared" si="1"/>
        <v>25329</v>
      </c>
    </row>
    <row r="118" spans="1:4">
      <c r="A118" s="2356">
        <v>27576</v>
      </c>
      <c r="B118" s="984" t="s">
        <v>27913</v>
      </c>
      <c r="C118" s="984" t="s">
        <v>27204</v>
      </c>
      <c r="D118" s="981">
        <f t="shared" si="1"/>
        <v>27576</v>
      </c>
    </row>
    <row r="119" spans="1:4">
      <c r="A119" s="2356">
        <v>27834</v>
      </c>
      <c r="B119" s="984" t="s">
        <v>27942</v>
      </c>
      <c r="C119" s="984" t="s">
        <v>27232</v>
      </c>
      <c r="D119" s="981">
        <f t="shared" si="1"/>
        <v>27834</v>
      </c>
    </row>
    <row r="120" spans="1:4">
      <c r="A120" s="2356">
        <v>25932</v>
      </c>
      <c r="B120" s="984" t="s">
        <v>25889</v>
      </c>
      <c r="C120" s="984" t="s">
        <v>25888</v>
      </c>
      <c r="D120" s="981">
        <f t="shared" si="1"/>
        <v>25932</v>
      </c>
    </row>
    <row r="121" spans="1:4">
      <c r="A121" s="2356">
        <v>24613</v>
      </c>
      <c r="B121" s="984" t="s">
        <v>25086</v>
      </c>
      <c r="C121" s="984" t="s">
        <v>25087</v>
      </c>
      <c r="D121" s="981">
        <f t="shared" si="1"/>
        <v>24613</v>
      </c>
    </row>
    <row r="122" spans="1:4">
      <c r="A122" s="2356">
        <v>27937</v>
      </c>
      <c r="B122" s="984" t="s">
        <v>27989</v>
      </c>
      <c r="C122" s="984" t="s">
        <v>27276</v>
      </c>
      <c r="D122" s="981">
        <f t="shared" si="1"/>
        <v>27937</v>
      </c>
    </row>
    <row r="123" spans="1:4">
      <c r="A123" s="2356">
        <v>28041</v>
      </c>
      <c r="B123" s="984" t="s">
        <v>28049</v>
      </c>
      <c r="C123" s="984" t="s">
        <v>27332</v>
      </c>
      <c r="D123" s="981">
        <f t="shared" si="1"/>
        <v>28041</v>
      </c>
    </row>
    <row r="124" spans="1:4">
      <c r="A124" s="2356">
        <v>26014</v>
      </c>
      <c r="B124" s="984" t="s">
        <v>25946</v>
      </c>
      <c r="C124" s="984" t="s">
        <v>25945</v>
      </c>
      <c r="D124" s="981">
        <f t="shared" si="1"/>
        <v>26014</v>
      </c>
    </row>
    <row r="125" spans="1:4">
      <c r="A125" s="2356">
        <v>27923</v>
      </c>
      <c r="B125" s="984" t="s">
        <v>27982</v>
      </c>
      <c r="C125" s="984" t="s">
        <v>27270</v>
      </c>
      <c r="D125" s="981">
        <f t="shared" si="1"/>
        <v>27923</v>
      </c>
    </row>
    <row r="126" spans="1:4">
      <c r="A126" s="2356">
        <v>27953</v>
      </c>
      <c r="B126" s="984" t="s">
        <v>27996</v>
      </c>
      <c r="C126" s="984" t="s">
        <v>27282</v>
      </c>
      <c r="D126" s="981">
        <f t="shared" si="1"/>
        <v>27953</v>
      </c>
    </row>
    <row r="127" spans="1:4">
      <c r="A127" s="2356">
        <v>24725</v>
      </c>
      <c r="B127" s="984" t="s">
        <v>25111</v>
      </c>
      <c r="C127" s="984" t="s">
        <v>24611</v>
      </c>
      <c r="D127" s="981">
        <f t="shared" si="1"/>
        <v>24725</v>
      </c>
    </row>
    <row r="128" spans="1:4">
      <c r="A128" s="2356">
        <v>28116</v>
      </c>
      <c r="B128" s="984" t="s">
        <v>28098</v>
      </c>
      <c r="C128" s="984" t="s">
        <v>27378</v>
      </c>
      <c r="D128" s="981">
        <f t="shared" si="1"/>
        <v>28116</v>
      </c>
    </row>
    <row r="129" spans="1:4">
      <c r="A129" s="2356">
        <v>25938</v>
      </c>
      <c r="B129" s="984" t="s">
        <v>25897</v>
      </c>
      <c r="C129" s="984" t="s">
        <v>25896</v>
      </c>
      <c r="D129" s="981">
        <f t="shared" si="1"/>
        <v>25938</v>
      </c>
    </row>
    <row r="130" spans="1:4">
      <c r="A130" s="2356">
        <v>25920</v>
      </c>
      <c r="B130" s="984" t="s">
        <v>25883</v>
      </c>
      <c r="C130" s="984" t="s">
        <v>25882</v>
      </c>
      <c r="D130" s="981">
        <f t="shared" si="1"/>
        <v>25920</v>
      </c>
    </row>
    <row r="131" spans="1:4">
      <c r="A131" s="2356">
        <v>24394</v>
      </c>
      <c r="B131" s="984" t="s">
        <v>23760</v>
      </c>
      <c r="C131" s="984" t="s">
        <v>24642</v>
      </c>
      <c r="D131" s="981">
        <f t="shared" si="1"/>
        <v>24394</v>
      </c>
    </row>
    <row r="132" spans="1:4">
      <c r="A132" s="2356">
        <v>26053</v>
      </c>
      <c r="B132" s="984" t="s">
        <v>25958</v>
      </c>
      <c r="C132" s="984" t="s">
        <v>25957</v>
      </c>
      <c r="D132" s="981">
        <f t="shared" si="1"/>
        <v>26053</v>
      </c>
    </row>
    <row r="133" spans="1:4">
      <c r="A133" s="2356">
        <v>27473</v>
      </c>
      <c r="B133" s="984" t="s">
        <v>26536</v>
      </c>
      <c r="C133" s="984" t="s">
        <v>26542</v>
      </c>
      <c r="D133" s="981">
        <f t="shared" si="1"/>
        <v>27473</v>
      </c>
    </row>
    <row r="134" spans="1:4">
      <c r="A134" s="2356">
        <v>27875</v>
      </c>
      <c r="B134" s="984" t="s">
        <v>27961</v>
      </c>
      <c r="C134" s="984" t="s">
        <v>27251</v>
      </c>
      <c r="D134" s="981">
        <f t="shared" si="1"/>
        <v>27875</v>
      </c>
    </row>
    <row r="135" spans="1:4">
      <c r="A135" s="2356">
        <v>25259</v>
      </c>
      <c r="B135" s="984" t="s">
        <v>25752</v>
      </c>
      <c r="C135" s="984" t="s">
        <v>25751</v>
      </c>
      <c r="D135" s="981">
        <f t="shared" si="1"/>
        <v>25259</v>
      </c>
    </row>
    <row r="136" spans="1:4">
      <c r="A136" s="2356">
        <v>25327</v>
      </c>
      <c r="B136" s="984" t="s">
        <v>25766</v>
      </c>
      <c r="C136" s="984" t="s">
        <v>25765</v>
      </c>
      <c r="D136" s="981">
        <f t="shared" si="1"/>
        <v>25327</v>
      </c>
    </row>
    <row r="137" spans="1:4">
      <c r="A137" s="2356">
        <v>24920</v>
      </c>
      <c r="B137" s="984" t="s">
        <v>25743</v>
      </c>
      <c r="C137" s="984" t="s">
        <v>25742</v>
      </c>
      <c r="D137" s="981">
        <f t="shared" ref="D137:D200" si="2">+A137</f>
        <v>24920</v>
      </c>
    </row>
    <row r="138" spans="1:4">
      <c r="A138" s="2356">
        <v>25911</v>
      </c>
      <c r="B138" s="984" t="s">
        <v>25879</v>
      </c>
      <c r="C138" s="984" t="s">
        <v>25878</v>
      </c>
      <c r="D138" s="981">
        <f t="shared" si="2"/>
        <v>25911</v>
      </c>
    </row>
    <row r="139" spans="1:4">
      <c r="A139" s="2356">
        <v>25873</v>
      </c>
      <c r="B139" s="984" t="s">
        <v>25863</v>
      </c>
      <c r="C139" s="984" t="s">
        <v>25862</v>
      </c>
      <c r="D139" s="981">
        <f t="shared" si="2"/>
        <v>25873</v>
      </c>
    </row>
    <row r="140" spans="1:4">
      <c r="A140" s="2356">
        <v>25340</v>
      </c>
      <c r="B140" s="984" t="s">
        <v>25772</v>
      </c>
      <c r="C140" s="984" t="s">
        <v>25771</v>
      </c>
      <c r="D140" s="981">
        <f t="shared" si="2"/>
        <v>25340</v>
      </c>
    </row>
    <row r="141" spans="1:4">
      <c r="A141" s="2356">
        <v>25616</v>
      </c>
      <c r="B141" s="984" t="s">
        <v>25794</v>
      </c>
      <c r="C141" s="984" t="s">
        <v>25793</v>
      </c>
      <c r="D141" s="981">
        <f t="shared" si="2"/>
        <v>25616</v>
      </c>
    </row>
    <row r="142" spans="1:4">
      <c r="A142" s="2356">
        <v>26645</v>
      </c>
      <c r="B142" s="984" t="s">
        <v>26014</v>
      </c>
      <c r="C142" s="984" t="s">
        <v>26013</v>
      </c>
      <c r="D142" s="981">
        <f t="shared" si="2"/>
        <v>26645</v>
      </c>
    </row>
    <row r="143" spans="1:4">
      <c r="A143" s="2356">
        <v>26592</v>
      </c>
      <c r="B143" s="984" t="s">
        <v>26008</v>
      </c>
      <c r="C143" s="984" t="s">
        <v>26007</v>
      </c>
      <c r="D143" s="981">
        <f t="shared" si="2"/>
        <v>26592</v>
      </c>
    </row>
    <row r="144" spans="1:4">
      <c r="A144" s="2356">
        <v>26568</v>
      </c>
      <c r="B144" s="984" t="s">
        <v>26000</v>
      </c>
      <c r="C144" s="984" t="s">
        <v>25999</v>
      </c>
      <c r="D144" s="981">
        <f t="shared" si="2"/>
        <v>26568</v>
      </c>
    </row>
    <row r="145" spans="1:4">
      <c r="A145" s="2356">
        <v>25857</v>
      </c>
      <c r="B145" s="984" t="s">
        <v>25849</v>
      </c>
      <c r="C145" s="984" t="s">
        <v>25848</v>
      </c>
      <c r="D145" s="981">
        <f t="shared" si="2"/>
        <v>25857</v>
      </c>
    </row>
    <row r="146" spans="1:4">
      <c r="A146" s="2356">
        <v>25796</v>
      </c>
      <c r="B146" s="984" t="s">
        <v>25811</v>
      </c>
      <c r="C146" s="984" t="s">
        <v>25810</v>
      </c>
      <c r="D146" s="981">
        <f t="shared" si="2"/>
        <v>25796</v>
      </c>
    </row>
    <row r="147" spans="1:4">
      <c r="A147" s="2356">
        <v>24849</v>
      </c>
      <c r="B147" s="984" t="s">
        <v>25731</v>
      </c>
      <c r="C147" s="984" t="s">
        <v>25730</v>
      </c>
      <c r="D147" s="981">
        <f t="shared" si="2"/>
        <v>24849</v>
      </c>
    </row>
    <row r="148" spans="1:4">
      <c r="A148" s="2356">
        <v>26135</v>
      </c>
      <c r="B148" s="984" t="s">
        <v>25968</v>
      </c>
      <c r="C148" s="984" t="s">
        <v>25967</v>
      </c>
      <c r="D148" s="981">
        <f t="shared" si="2"/>
        <v>26135</v>
      </c>
    </row>
    <row r="149" spans="1:4">
      <c r="A149" s="2356">
        <v>25813</v>
      </c>
      <c r="B149" s="984" t="s">
        <v>25821</v>
      </c>
      <c r="C149" s="984" t="s">
        <v>25820</v>
      </c>
      <c r="D149" s="981">
        <f t="shared" si="2"/>
        <v>25813</v>
      </c>
    </row>
    <row r="150" spans="1:4">
      <c r="A150" s="2356">
        <v>23881</v>
      </c>
      <c r="B150" s="984" t="s">
        <v>23176</v>
      </c>
      <c r="C150" s="984" t="s">
        <v>24103</v>
      </c>
      <c r="D150" s="981">
        <f t="shared" si="2"/>
        <v>23881</v>
      </c>
    </row>
    <row r="151" spans="1:4">
      <c r="A151" s="2356">
        <v>23841</v>
      </c>
      <c r="B151" s="984" t="s">
        <v>23376</v>
      </c>
      <c r="C151" s="984" t="s">
        <v>24300</v>
      </c>
      <c r="D151" s="981">
        <f t="shared" si="2"/>
        <v>23841</v>
      </c>
    </row>
    <row r="152" spans="1:4">
      <c r="A152" s="2356">
        <v>22995</v>
      </c>
      <c r="B152" s="984" t="s">
        <v>23696</v>
      </c>
      <c r="C152" s="984" t="s">
        <v>25709</v>
      </c>
      <c r="D152" s="981">
        <f t="shared" si="2"/>
        <v>22995</v>
      </c>
    </row>
    <row r="153" spans="1:4">
      <c r="A153" s="2356">
        <v>23146</v>
      </c>
      <c r="B153" s="984" t="s">
        <v>23291</v>
      </c>
      <c r="C153" s="984" t="s">
        <v>24214</v>
      </c>
      <c r="D153" s="981">
        <f t="shared" si="2"/>
        <v>23146</v>
      </c>
    </row>
    <row r="154" spans="1:4">
      <c r="A154" s="2356">
        <v>22990</v>
      </c>
      <c r="B154" s="984" t="s">
        <v>23582</v>
      </c>
      <c r="C154" s="984" t="s">
        <v>24499</v>
      </c>
      <c r="D154" s="981">
        <f t="shared" si="2"/>
        <v>22990</v>
      </c>
    </row>
    <row r="155" spans="1:4">
      <c r="A155" s="2356">
        <v>23724</v>
      </c>
      <c r="B155" s="984" t="s">
        <v>25713</v>
      </c>
      <c r="C155" s="984" t="s">
        <v>25712</v>
      </c>
      <c r="D155" s="981">
        <f t="shared" si="2"/>
        <v>23724</v>
      </c>
    </row>
    <row r="156" spans="1:4">
      <c r="A156" s="2356">
        <v>23922</v>
      </c>
      <c r="B156" s="984" t="s">
        <v>23193</v>
      </c>
      <c r="C156" s="984" t="s">
        <v>24119</v>
      </c>
      <c r="D156" s="981">
        <f t="shared" si="2"/>
        <v>23922</v>
      </c>
    </row>
    <row r="157" spans="1:4">
      <c r="A157" s="2356">
        <v>24054</v>
      </c>
      <c r="B157" s="984" t="s">
        <v>23321</v>
      </c>
      <c r="C157" s="984" t="s">
        <v>24245</v>
      </c>
      <c r="D157" s="981">
        <f t="shared" si="2"/>
        <v>24054</v>
      </c>
    </row>
    <row r="158" spans="1:4">
      <c r="A158" s="2356">
        <v>23838</v>
      </c>
      <c r="B158" s="984" t="s">
        <v>23462</v>
      </c>
      <c r="C158" s="984" t="s">
        <v>24381</v>
      </c>
      <c r="D158" s="981">
        <f t="shared" si="2"/>
        <v>23838</v>
      </c>
    </row>
    <row r="159" spans="1:4">
      <c r="A159" s="2356">
        <v>23806</v>
      </c>
      <c r="B159" s="984" t="s">
        <v>23517</v>
      </c>
      <c r="C159" s="984" t="s">
        <v>24435</v>
      </c>
      <c r="D159" s="981">
        <f t="shared" si="2"/>
        <v>23806</v>
      </c>
    </row>
    <row r="160" spans="1:4">
      <c r="A160" s="2356">
        <v>23002</v>
      </c>
      <c r="B160" s="984" t="s">
        <v>23270</v>
      </c>
      <c r="C160" s="984" t="s">
        <v>24193</v>
      </c>
      <c r="D160" s="981">
        <f t="shared" si="2"/>
        <v>23002</v>
      </c>
    </row>
    <row r="161" spans="1:4">
      <c r="A161" s="2356">
        <v>23150</v>
      </c>
      <c r="B161" s="984" t="s">
        <v>23615</v>
      </c>
      <c r="C161" s="984" t="s">
        <v>24531</v>
      </c>
      <c r="D161" s="981">
        <f t="shared" si="2"/>
        <v>23150</v>
      </c>
    </row>
    <row r="162" spans="1:4">
      <c r="A162" s="2356">
        <v>23863</v>
      </c>
      <c r="B162" s="984" t="s">
        <v>23183</v>
      </c>
      <c r="C162" s="984" t="s">
        <v>24109</v>
      </c>
      <c r="D162" s="981">
        <f t="shared" si="2"/>
        <v>23863</v>
      </c>
    </row>
    <row r="163" spans="1:4">
      <c r="A163" s="2356">
        <v>23904</v>
      </c>
      <c r="B163" s="984" t="s">
        <v>23274</v>
      </c>
      <c r="C163" s="984" t="s">
        <v>24197</v>
      </c>
      <c r="D163" s="981">
        <f t="shared" si="2"/>
        <v>23904</v>
      </c>
    </row>
    <row r="164" spans="1:4">
      <c r="A164" s="2356">
        <v>23068</v>
      </c>
      <c r="B164" s="984" t="s">
        <v>23102</v>
      </c>
      <c r="C164" s="984" t="s">
        <v>24031</v>
      </c>
      <c r="D164" s="981">
        <f t="shared" si="2"/>
        <v>23068</v>
      </c>
    </row>
    <row r="165" spans="1:4">
      <c r="A165" s="2356">
        <v>23798</v>
      </c>
      <c r="B165" s="984" t="s">
        <v>23331</v>
      </c>
      <c r="C165" s="984" t="s">
        <v>24255</v>
      </c>
      <c r="D165" s="981">
        <f t="shared" si="2"/>
        <v>23798</v>
      </c>
    </row>
    <row r="166" spans="1:4">
      <c r="A166" s="2356">
        <v>22870</v>
      </c>
      <c r="B166" s="984" t="s">
        <v>27894</v>
      </c>
      <c r="C166" s="984" t="s">
        <v>27180</v>
      </c>
      <c r="D166" s="981">
        <f t="shared" si="2"/>
        <v>22870</v>
      </c>
    </row>
    <row r="167" spans="1:4">
      <c r="A167" s="2356">
        <v>21504</v>
      </c>
      <c r="B167" s="984" t="s">
        <v>23035</v>
      </c>
      <c r="C167" s="984" t="s">
        <v>23965</v>
      </c>
      <c r="D167" s="981">
        <f t="shared" si="2"/>
        <v>21504</v>
      </c>
    </row>
    <row r="168" spans="1:4">
      <c r="A168" s="2356">
        <v>20096</v>
      </c>
      <c r="B168" s="984" t="s">
        <v>23446</v>
      </c>
      <c r="C168" s="984" t="s">
        <v>24366</v>
      </c>
      <c r="D168" s="981">
        <f t="shared" si="2"/>
        <v>20096</v>
      </c>
    </row>
    <row r="169" spans="1:4">
      <c r="A169" s="2356">
        <v>21466</v>
      </c>
      <c r="B169" s="984" t="s">
        <v>23311</v>
      </c>
      <c r="C169" s="984" t="s">
        <v>24235</v>
      </c>
      <c r="D169" s="981">
        <f t="shared" si="2"/>
        <v>21466</v>
      </c>
    </row>
    <row r="170" spans="1:4">
      <c r="A170" s="2356">
        <v>22161</v>
      </c>
      <c r="B170" s="984" t="s">
        <v>23375</v>
      </c>
      <c r="C170" s="984" t="s">
        <v>24299</v>
      </c>
      <c r="D170" s="981">
        <f t="shared" si="2"/>
        <v>22161</v>
      </c>
    </row>
    <row r="171" spans="1:4">
      <c r="A171" s="2356">
        <v>21804</v>
      </c>
      <c r="B171" s="984" t="s">
        <v>23366</v>
      </c>
      <c r="C171" s="984" t="s">
        <v>24290</v>
      </c>
      <c r="D171" s="981">
        <f t="shared" si="2"/>
        <v>21804</v>
      </c>
    </row>
    <row r="172" spans="1:4">
      <c r="A172" s="2356">
        <v>21733</v>
      </c>
      <c r="B172" s="984" t="s">
        <v>23495</v>
      </c>
      <c r="C172" s="984" t="s">
        <v>24413</v>
      </c>
      <c r="D172" s="981">
        <f t="shared" si="2"/>
        <v>21733</v>
      </c>
    </row>
    <row r="173" spans="1:4">
      <c r="A173" s="2356">
        <v>22128</v>
      </c>
      <c r="B173" s="984" t="s">
        <v>23179</v>
      </c>
      <c r="C173" s="984" t="s">
        <v>24105</v>
      </c>
      <c r="D173" s="981">
        <f t="shared" si="2"/>
        <v>22128</v>
      </c>
    </row>
    <row r="174" spans="1:4">
      <c r="A174" s="2356">
        <v>22916</v>
      </c>
      <c r="B174" s="984" t="s">
        <v>25704</v>
      </c>
      <c r="C174" s="984" t="s">
        <v>25703</v>
      </c>
      <c r="D174" s="981">
        <f t="shared" si="2"/>
        <v>22916</v>
      </c>
    </row>
    <row r="175" spans="1:4">
      <c r="A175" s="2356">
        <v>22781</v>
      </c>
      <c r="B175" s="984" t="s">
        <v>23406</v>
      </c>
      <c r="C175" s="984" t="s">
        <v>24327</v>
      </c>
      <c r="D175" s="981">
        <f t="shared" si="2"/>
        <v>22781</v>
      </c>
    </row>
    <row r="176" spans="1:4">
      <c r="A176" s="2356">
        <v>22755</v>
      </c>
      <c r="B176" s="984" t="s">
        <v>23334</v>
      </c>
      <c r="C176" s="984" t="s">
        <v>24258</v>
      </c>
      <c r="D176" s="981">
        <f t="shared" si="2"/>
        <v>22755</v>
      </c>
    </row>
    <row r="177" spans="1:4">
      <c r="A177" s="2356">
        <v>21461</v>
      </c>
      <c r="B177" s="984" t="s">
        <v>23469</v>
      </c>
      <c r="C177" s="984" t="s">
        <v>24387</v>
      </c>
      <c r="D177" s="981">
        <f t="shared" si="2"/>
        <v>21461</v>
      </c>
    </row>
    <row r="178" spans="1:4">
      <c r="A178" s="2356">
        <v>22831</v>
      </c>
      <c r="B178" s="984" t="s">
        <v>23232</v>
      </c>
      <c r="C178" s="984" t="s">
        <v>24157</v>
      </c>
      <c r="D178" s="981">
        <f t="shared" si="2"/>
        <v>22831</v>
      </c>
    </row>
    <row r="179" spans="1:4">
      <c r="A179" s="2356">
        <v>22808</v>
      </c>
      <c r="B179" s="984" t="s">
        <v>23633</v>
      </c>
      <c r="C179" s="984" t="s">
        <v>24548</v>
      </c>
      <c r="D179" s="981">
        <f t="shared" si="2"/>
        <v>22808</v>
      </c>
    </row>
    <row r="180" spans="1:4">
      <c r="A180" s="2356">
        <v>22782</v>
      </c>
      <c r="B180" s="984" t="s">
        <v>23304</v>
      </c>
      <c r="C180" s="984" t="s">
        <v>24228</v>
      </c>
      <c r="D180" s="981">
        <f t="shared" si="2"/>
        <v>22782</v>
      </c>
    </row>
    <row r="181" spans="1:4">
      <c r="A181" s="2356">
        <v>22775</v>
      </c>
      <c r="B181" s="984" t="s">
        <v>23009</v>
      </c>
      <c r="C181" s="984" t="s">
        <v>29818</v>
      </c>
      <c r="D181" s="981">
        <f t="shared" si="2"/>
        <v>22775</v>
      </c>
    </row>
    <row r="182" spans="1:4">
      <c r="A182" s="2356">
        <v>22780</v>
      </c>
      <c r="B182" s="984" t="s">
        <v>23087</v>
      </c>
      <c r="C182" s="984" t="s">
        <v>24016</v>
      </c>
      <c r="D182" s="981">
        <f t="shared" si="2"/>
        <v>22780</v>
      </c>
    </row>
    <row r="183" spans="1:4">
      <c r="A183" s="2356">
        <v>22765</v>
      </c>
      <c r="B183" s="984" t="s">
        <v>23240</v>
      </c>
      <c r="C183" s="984" t="s">
        <v>24165</v>
      </c>
      <c r="D183" s="981">
        <f t="shared" si="2"/>
        <v>22765</v>
      </c>
    </row>
    <row r="184" spans="1:4">
      <c r="A184" s="2356">
        <v>21432</v>
      </c>
      <c r="B184" s="984" t="s">
        <v>23077</v>
      </c>
      <c r="C184" s="984" t="s">
        <v>24007</v>
      </c>
      <c r="D184" s="981">
        <f t="shared" si="2"/>
        <v>21432</v>
      </c>
    </row>
    <row r="185" spans="1:4">
      <c r="A185" s="2356">
        <v>21401</v>
      </c>
      <c r="B185" s="984" t="s">
        <v>26531</v>
      </c>
      <c r="C185" s="984" t="s">
        <v>26537</v>
      </c>
      <c r="D185" s="981">
        <f t="shared" si="2"/>
        <v>21401</v>
      </c>
    </row>
    <row r="186" spans="1:4">
      <c r="A186" s="2356">
        <v>22245</v>
      </c>
      <c r="B186" s="984" t="s">
        <v>23371</v>
      </c>
      <c r="C186" s="984" t="s">
        <v>24295</v>
      </c>
      <c r="D186" s="981">
        <f t="shared" si="2"/>
        <v>22245</v>
      </c>
    </row>
    <row r="187" spans="1:4">
      <c r="A187" s="2356">
        <v>21833</v>
      </c>
      <c r="B187" s="984" t="s">
        <v>23506</v>
      </c>
      <c r="C187" s="984" t="s">
        <v>24423</v>
      </c>
      <c r="D187" s="981">
        <f t="shared" si="2"/>
        <v>21833</v>
      </c>
    </row>
    <row r="188" spans="1:4">
      <c r="A188" s="2356">
        <v>21387</v>
      </c>
      <c r="B188" s="984" t="s">
        <v>23419</v>
      </c>
      <c r="C188" s="984" t="s">
        <v>24339</v>
      </c>
      <c r="D188" s="981">
        <f t="shared" si="2"/>
        <v>21387</v>
      </c>
    </row>
    <row r="189" spans="1:4">
      <c r="A189" s="2356">
        <v>21543</v>
      </c>
      <c r="B189" s="984" t="s">
        <v>23558</v>
      </c>
      <c r="C189" s="984" t="s">
        <v>24475</v>
      </c>
      <c r="D189" s="981">
        <f t="shared" si="2"/>
        <v>21543</v>
      </c>
    </row>
    <row r="190" spans="1:4">
      <c r="A190" s="2356">
        <v>21834</v>
      </c>
      <c r="B190" s="984" t="s">
        <v>23413</v>
      </c>
      <c r="C190" s="984" t="s">
        <v>24333</v>
      </c>
      <c r="D190" s="981">
        <f t="shared" si="2"/>
        <v>21834</v>
      </c>
    </row>
    <row r="191" spans="1:4">
      <c r="A191" s="2356">
        <v>20458</v>
      </c>
      <c r="B191" s="984" t="s">
        <v>23490</v>
      </c>
      <c r="C191" s="984" t="s">
        <v>24408</v>
      </c>
      <c r="D191" s="981">
        <f t="shared" si="2"/>
        <v>20458</v>
      </c>
    </row>
    <row r="192" spans="1:4">
      <c r="A192" s="2356">
        <v>22777</v>
      </c>
      <c r="B192" s="984" t="s">
        <v>23662</v>
      </c>
      <c r="C192" s="984" t="s">
        <v>24576</v>
      </c>
      <c r="D192" s="981">
        <f t="shared" si="2"/>
        <v>22777</v>
      </c>
    </row>
    <row r="193" spans="1:4">
      <c r="A193" s="2356">
        <v>21567</v>
      </c>
      <c r="B193" s="984" t="s">
        <v>23519</v>
      </c>
      <c r="C193" s="984" t="s">
        <v>24437</v>
      </c>
      <c r="D193" s="981">
        <f t="shared" si="2"/>
        <v>21567</v>
      </c>
    </row>
    <row r="194" spans="1:4">
      <c r="A194" s="2356">
        <v>22757</v>
      </c>
      <c r="B194" s="984" t="s">
        <v>23163</v>
      </c>
      <c r="C194" s="984" t="s">
        <v>24090</v>
      </c>
      <c r="D194" s="981">
        <f t="shared" si="2"/>
        <v>22757</v>
      </c>
    </row>
    <row r="195" spans="1:4">
      <c r="A195" s="2356">
        <v>20074</v>
      </c>
      <c r="B195" s="984" t="s">
        <v>23428</v>
      </c>
      <c r="C195" s="984" t="s">
        <v>24348</v>
      </c>
      <c r="D195" s="981">
        <f t="shared" si="2"/>
        <v>20074</v>
      </c>
    </row>
    <row r="196" spans="1:4">
      <c r="A196" s="2356">
        <v>22920</v>
      </c>
      <c r="B196" s="984" t="s">
        <v>23239</v>
      </c>
      <c r="C196" s="984" t="s">
        <v>24164</v>
      </c>
      <c r="D196" s="981">
        <f t="shared" si="2"/>
        <v>22920</v>
      </c>
    </row>
    <row r="197" spans="1:4">
      <c r="A197" s="2356">
        <v>22878</v>
      </c>
      <c r="B197" s="984" t="s">
        <v>23068</v>
      </c>
      <c r="C197" s="984" t="s">
        <v>23998</v>
      </c>
      <c r="D197" s="981">
        <f t="shared" si="2"/>
        <v>22878</v>
      </c>
    </row>
    <row r="198" spans="1:4">
      <c r="A198" s="2356">
        <v>22844</v>
      </c>
      <c r="B198" s="984" t="s">
        <v>23150</v>
      </c>
      <c r="C198" s="984" t="s">
        <v>24078</v>
      </c>
      <c r="D198" s="981">
        <f t="shared" si="2"/>
        <v>22844</v>
      </c>
    </row>
    <row r="199" spans="1:4">
      <c r="A199" s="2356">
        <v>22711</v>
      </c>
      <c r="B199" s="984" t="s">
        <v>23029</v>
      </c>
      <c r="C199" s="984" t="s">
        <v>23959</v>
      </c>
      <c r="D199" s="981">
        <f t="shared" si="2"/>
        <v>22711</v>
      </c>
    </row>
    <row r="200" spans="1:4">
      <c r="A200" s="2356">
        <v>19641</v>
      </c>
      <c r="B200" s="984" t="s">
        <v>23373</v>
      </c>
      <c r="C200" s="984" t="s">
        <v>24297</v>
      </c>
      <c r="D200" s="981">
        <f t="shared" si="2"/>
        <v>19641</v>
      </c>
    </row>
    <row r="201" spans="1:4">
      <c r="A201" s="2356">
        <v>20279</v>
      </c>
      <c r="B201" s="984" t="s">
        <v>23075</v>
      </c>
      <c r="C201" s="984" t="s">
        <v>24005</v>
      </c>
      <c r="D201" s="981">
        <f t="shared" ref="D201:D264" si="3">+A201</f>
        <v>20279</v>
      </c>
    </row>
    <row r="202" spans="1:4">
      <c r="A202" s="2356">
        <v>17435</v>
      </c>
      <c r="B202" s="984" t="s">
        <v>23566</v>
      </c>
      <c r="C202" s="984" t="s">
        <v>24482</v>
      </c>
      <c r="D202" s="981">
        <f t="shared" si="3"/>
        <v>17435</v>
      </c>
    </row>
    <row r="203" spans="1:4">
      <c r="A203" s="2356">
        <v>17431</v>
      </c>
      <c r="B203" s="984" t="s">
        <v>23564</v>
      </c>
      <c r="C203" s="984" t="s">
        <v>24481</v>
      </c>
      <c r="D203" s="981">
        <f t="shared" si="3"/>
        <v>17431</v>
      </c>
    </row>
    <row r="204" spans="1:4">
      <c r="A204" s="2356">
        <v>17268</v>
      </c>
      <c r="B204" s="984" t="s">
        <v>23213</v>
      </c>
      <c r="C204" s="984" t="s">
        <v>24138</v>
      </c>
      <c r="D204" s="981">
        <f t="shared" si="3"/>
        <v>17268</v>
      </c>
    </row>
    <row r="205" spans="1:4">
      <c r="A205" s="2356">
        <v>17169</v>
      </c>
      <c r="B205" s="984" t="s">
        <v>23721</v>
      </c>
      <c r="C205" s="984" t="s">
        <v>24619</v>
      </c>
      <c r="D205" s="981">
        <f t="shared" si="3"/>
        <v>17169</v>
      </c>
    </row>
    <row r="206" spans="1:4">
      <c r="A206" s="2356">
        <v>19967</v>
      </c>
      <c r="B206" s="984" t="s">
        <v>23272</v>
      </c>
      <c r="C206" s="984" t="s">
        <v>24195</v>
      </c>
      <c r="D206" s="981">
        <f t="shared" si="3"/>
        <v>19967</v>
      </c>
    </row>
    <row r="207" spans="1:4">
      <c r="A207" s="2356">
        <v>19807</v>
      </c>
      <c r="B207" s="984" t="s">
        <v>27879</v>
      </c>
      <c r="C207" s="984" t="s">
        <v>27160</v>
      </c>
      <c r="D207" s="981">
        <f t="shared" si="3"/>
        <v>19807</v>
      </c>
    </row>
    <row r="208" spans="1:4">
      <c r="A208" s="2356">
        <v>18864</v>
      </c>
      <c r="B208" s="984" t="s">
        <v>23551</v>
      </c>
      <c r="C208" s="984" t="s">
        <v>24468</v>
      </c>
      <c r="D208" s="981">
        <f t="shared" si="3"/>
        <v>18864</v>
      </c>
    </row>
    <row r="209" spans="1:4">
      <c r="A209" s="2356">
        <v>17796</v>
      </c>
      <c r="B209" s="984" t="s">
        <v>22968</v>
      </c>
      <c r="C209" s="984" t="s">
        <v>23921</v>
      </c>
      <c r="D209" s="981">
        <f t="shared" si="3"/>
        <v>17796</v>
      </c>
    </row>
    <row r="210" spans="1:4">
      <c r="A210" s="2356">
        <v>18756</v>
      </c>
      <c r="B210" s="984" t="s">
        <v>23463</v>
      </c>
      <c r="C210" s="984" t="s">
        <v>24382</v>
      </c>
      <c r="D210" s="981">
        <f t="shared" si="3"/>
        <v>18756</v>
      </c>
    </row>
    <row r="211" spans="1:4">
      <c r="A211" s="2356">
        <v>17527</v>
      </c>
      <c r="B211" s="984" t="s">
        <v>29922</v>
      </c>
      <c r="C211" s="984" t="s">
        <v>29817</v>
      </c>
      <c r="D211" s="981">
        <f t="shared" si="3"/>
        <v>17527</v>
      </c>
    </row>
    <row r="212" spans="1:4">
      <c r="A212" s="2356">
        <v>18541</v>
      </c>
      <c r="B212" s="984" t="s">
        <v>27878</v>
      </c>
      <c r="C212" s="984" t="s">
        <v>27158</v>
      </c>
      <c r="D212" s="981">
        <f t="shared" si="3"/>
        <v>18541</v>
      </c>
    </row>
    <row r="213" spans="1:4">
      <c r="A213" s="2356">
        <v>17168</v>
      </c>
      <c r="B213" s="984" t="s">
        <v>23264</v>
      </c>
      <c r="C213" s="984" t="s">
        <v>24187</v>
      </c>
      <c r="D213" s="981">
        <f t="shared" si="3"/>
        <v>17168</v>
      </c>
    </row>
    <row r="214" spans="1:4">
      <c r="A214" s="2356">
        <v>19617</v>
      </c>
      <c r="B214" s="984" t="s">
        <v>23679</v>
      </c>
      <c r="C214" s="984" t="s">
        <v>24593</v>
      </c>
      <c r="D214" s="981">
        <f t="shared" si="3"/>
        <v>19617</v>
      </c>
    </row>
    <row r="215" spans="1:4">
      <c r="A215" s="2356">
        <v>17448</v>
      </c>
      <c r="B215" s="984" t="s">
        <v>22948</v>
      </c>
      <c r="C215" s="984" t="s">
        <v>23905</v>
      </c>
      <c r="D215" s="981">
        <f t="shared" si="3"/>
        <v>17448</v>
      </c>
    </row>
    <row r="216" spans="1:4">
      <c r="A216" s="2356">
        <v>16947</v>
      </c>
      <c r="B216" s="984" t="s">
        <v>23168</v>
      </c>
      <c r="C216" s="984" t="s">
        <v>24095</v>
      </c>
      <c r="D216" s="981">
        <f t="shared" si="3"/>
        <v>16947</v>
      </c>
    </row>
    <row r="217" spans="1:4">
      <c r="A217" s="2356">
        <v>17497</v>
      </c>
      <c r="B217" s="984" t="s">
        <v>23173</v>
      </c>
      <c r="C217" s="984" t="s">
        <v>24100</v>
      </c>
      <c r="D217" s="981">
        <f t="shared" si="3"/>
        <v>17497</v>
      </c>
    </row>
    <row r="218" spans="1:4">
      <c r="A218" s="2356">
        <v>17355</v>
      </c>
      <c r="B218" s="984" t="s">
        <v>23627</v>
      </c>
      <c r="C218" s="984" t="s">
        <v>24542</v>
      </c>
      <c r="D218" s="981">
        <f t="shared" si="3"/>
        <v>17355</v>
      </c>
    </row>
    <row r="219" spans="1:4">
      <c r="A219" s="2356">
        <v>17175</v>
      </c>
      <c r="B219" s="984" t="s">
        <v>30992</v>
      </c>
      <c r="C219" s="984" t="s">
        <v>31029</v>
      </c>
      <c r="D219" s="981">
        <f t="shared" si="3"/>
        <v>17175</v>
      </c>
    </row>
    <row r="220" spans="1:4">
      <c r="A220" s="2356">
        <v>17123</v>
      </c>
      <c r="B220" s="984" t="s">
        <v>23070</v>
      </c>
      <c r="C220" s="984" t="s">
        <v>24000</v>
      </c>
      <c r="D220" s="981">
        <f t="shared" si="3"/>
        <v>17123</v>
      </c>
    </row>
    <row r="221" spans="1:4">
      <c r="A221" s="2356">
        <v>15700</v>
      </c>
      <c r="B221" s="984" t="s">
        <v>23391</v>
      </c>
      <c r="C221" s="984" t="s">
        <v>24315</v>
      </c>
      <c r="D221" s="981">
        <f t="shared" si="3"/>
        <v>15700</v>
      </c>
    </row>
    <row r="222" spans="1:4">
      <c r="A222" s="2356">
        <v>18590</v>
      </c>
      <c r="B222" s="984" t="s">
        <v>23649</v>
      </c>
      <c r="C222" s="984" t="s">
        <v>24563</v>
      </c>
      <c r="D222" s="981">
        <f t="shared" si="3"/>
        <v>18590</v>
      </c>
    </row>
    <row r="223" spans="1:4">
      <c r="A223" s="2356">
        <v>18586</v>
      </c>
      <c r="B223" s="984" t="s">
        <v>23537</v>
      </c>
      <c r="C223" s="984" t="s">
        <v>24455</v>
      </c>
      <c r="D223" s="981">
        <f t="shared" si="3"/>
        <v>18586</v>
      </c>
    </row>
    <row r="224" spans="1:4">
      <c r="A224" s="2356">
        <v>17416</v>
      </c>
      <c r="B224" s="984" t="s">
        <v>23669</v>
      </c>
      <c r="C224" s="984" t="s">
        <v>24583</v>
      </c>
      <c r="D224" s="981">
        <f t="shared" si="3"/>
        <v>17416</v>
      </c>
    </row>
    <row r="225" spans="1:4">
      <c r="A225" s="2356">
        <v>17673</v>
      </c>
      <c r="B225" s="984" t="s">
        <v>23312</v>
      </c>
      <c r="C225" s="984" t="s">
        <v>24236</v>
      </c>
      <c r="D225" s="981">
        <f t="shared" si="3"/>
        <v>17673</v>
      </c>
    </row>
    <row r="226" spans="1:4">
      <c r="A226" s="2356">
        <v>17241</v>
      </c>
      <c r="B226" s="984" t="s">
        <v>23480</v>
      </c>
      <c r="C226" s="984" t="s">
        <v>24398</v>
      </c>
      <c r="D226" s="981">
        <f t="shared" si="3"/>
        <v>17241</v>
      </c>
    </row>
    <row r="227" spans="1:4">
      <c r="A227" s="2356">
        <v>16769</v>
      </c>
      <c r="B227" s="984" t="s">
        <v>23828</v>
      </c>
      <c r="C227" s="984" t="s">
        <v>24694</v>
      </c>
      <c r="D227" s="981">
        <f t="shared" si="3"/>
        <v>16769</v>
      </c>
    </row>
    <row r="228" spans="1:4">
      <c r="A228" s="2356">
        <v>13708</v>
      </c>
      <c r="B228" s="984" t="s">
        <v>23017</v>
      </c>
      <c r="C228" s="984" t="s">
        <v>23947</v>
      </c>
      <c r="D228" s="981">
        <f t="shared" si="3"/>
        <v>13708</v>
      </c>
    </row>
    <row r="229" spans="1:4">
      <c r="A229" s="2356">
        <v>14197</v>
      </c>
      <c r="B229" s="984" t="s">
        <v>22944</v>
      </c>
      <c r="C229" s="984" t="s">
        <v>23901</v>
      </c>
      <c r="D229" s="981">
        <f t="shared" si="3"/>
        <v>14197</v>
      </c>
    </row>
    <row r="230" spans="1:4">
      <c r="A230" s="2356">
        <v>19555</v>
      </c>
      <c r="B230" s="984" t="s">
        <v>23114</v>
      </c>
      <c r="C230" s="984" t="s">
        <v>24043</v>
      </c>
      <c r="D230" s="981">
        <f t="shared" si="3"/>
        <v>19555</v>
      </c>
    </row>
    <row r="231" spans="1:4">
      <c r="A231" s="2356">
        <v>15111</v>
      </c>
      <c r="B231" s="984" t="s">
        <v>23667</v>
      </c>
      <c r="C231" s="984" t="s">
        <v>24581</v>
      </c>
      <c r="D231" s="981">
        <f t="shared" si="3"/>
        <v>15111</v>
      </c>
    </row>
    <row r="232" spans="1:4">
      <c r="A232" s="2356">
        <v>14393</v>
      </c>
      <c r="B232" s="984" t="s">
        <v>23254</v>
      </c>
      <c r="C232" s="984" t="s">
        <v>24177</v>
      </c>
      <c r="D232" s="981">
        <f t="shared" si="3"/>
        <v>14393</v>
      </c>
    </row>
    <row r="233" spans="1:4">
      <c r="A233" s="2356">
        <v>14630</v>
      </c>
      <c r="B233" s="984" t="s">
        <v>23316</v>
      </c>
      <c r="C233" s="984" t="s">
        <v>24240</v>
      </c>
      <c r="D233" s="981">
        <f t="shared" si="3"/>
        <v>14630</v>
      </c>
    </row>
    <row r="234" spans="1:4">
      <c r="A234" s="2356">
        <v>14403</v>
      </c>
      <c r="B234" s="984" t="s">
        <v>23027</v>
      </c>
      <c r="C234" s="984" t="s">
        <v>23957</v>
      </c>
      <c r="D234" s="981">
        <f t="shared" si="3"/>
        <v>14403</v>
      </c>
    </row>
    <row r="235" spans="1:4">
      <c r="A235" s="2356">
        <v>14348</v>
      </c>
      <c r="B235" s="984" t="s">
        <v>23135</v>
      </c>
      <c r="C235" s="984" t="s">
        <v>24063</v>
      </c>
      <c r="D235" s="981">
        <f t="shared" si="3"/>
        <v>14348</v>
      </c>
    </row>
    <row r="236" spans="1:4">
      <c r="A236" s="2356">
        <v>13991</v>
      </c>
      <c r="B236" s="984" t="s">
        <v>23120</v>
      </c>
      <c r="C236" s="984" t="s">
        <v>31909</v>
      </c>
      <c r="D236" s="981">
        <f t="shared" si="3"/>
        <v>13991</v>
      </c>
    </row>
    <row r="237" spans="1:4">
      <c r="A237" s="2356">
        <v>13662</v>
      </c>
      <c r="B237" s="984" t="s">
        <v>23767</v>
      </c>
      <c r="C237" s="984" t="s">
        <v>24646</v>
      </c>
      <c r="D237" s="981">
        <f t="shared" si="3"/>
        <v>13662</v>
      </c>
    </row>
    <row r="238" spans="1:4">
      <c r="A238" s="2356">
        <v>14639</v>
      </c>
      <c r="B238" s="984" t="s">
        <v>23603</v>
      </c>
      <c r="C238" s="984" t="s">
        <v>24520</v>
      </c>
      <c r="D238" s="981">
        <f t="shared" si="3"/>
        <v>14639</v>
      </c>
    </row>
    <row r="239" spans="1:4">
      <c r="A239" s="2356">
        <v>14460</v>
      </c>
      <c r="B239" s="984" t="s">
        <v>23007</v>
      </c>
      <c r="C239" s="984" t="s">
        <v>29881</v>
      </c>
      <c r="D239" s="981">
        <f t="shared" si="3"/>
        <v>14460</v>
      </c>
    </row>
    <row r="240" spans="1:4">
      <c r="A240" s="2356">
        <v>14370</v>
      </c>
      <c r="B240" s="984" t="s">
        <v>23222</v>
      </c>
      <c r="C240" s="984" t="s">
        <v>24147</v>
      </c>
      <c r="D240" s="981">
        <f t="shared" si="3"/>
        <v>14370</v>
      </c>
    </row>
    <row r="241" spans="1:4">
      <c r="A241" s="2356">
        <v>14300</v>
      </c>
      <c r="B241" s="984" t="s">
        <v>23801</v>
      </c>
      <c r="C241" s="984" t="s">
        <v>24671</v>
      </c>
      <c r="D241" s="981">
        <f t="shared" si="3"/>
        <v>14300</v>
      </c>
    </row>
    <row r="242" spans="1:4">
      <c r="A242" s="2356">
        <v>14211</v>
      </c>
      <c r="B242" s="984" t="s">
        <v>22965</v>
      </c>
      <c r="C242" s="984" t="s">
        <v>29887</v>
      </c>
      <c r="D242" s="981">
        <f t="shared" si="3"/>
        <v>14211</v>
      </c>
    </row>
    <row r="243" spans="1:4">
      <c r="A243" s="2356">
        <v>13837</v>
      </c>
      <c r="B243" s="984" t="s">
        <v>23836</v>
      </c>
      <c r="C243" s="984" t="s">
        <v>24700</v>
      </c>
      <c r="D243" s="981">
        <f t="shared" si="3"/>
        <v>13837</v>
      </c>
    </row>
    <row r="244" spans="1:4">
      <c r="A244" s="2356">
        <v>14413</v>
      </c>
      <c r="B244" s="984" t="s">
        <v>23735</v>
      </c>
      <c r="C244" s="984" t="s">
        <v>24627</v>
      </c>
      <c r="D244" s="981">
        <f t="shared" si="3"/>
        <v>14413</v>
      </c>
    </row>
    <row r="245" spans="1:4">
      <c r="A245" s="2356">
        <v>14938</v>
      </c>
      <c r="B245" s="984" t="s">
        <v>23623</v>
      </c>
      <c r="C245" s="984" t="s">
        <v>24538</v>
      </c>
      <c r="D245" s="981">
        <f t="shared" si="3"/>
        <v>14938</v>
      </c>
    </row>
    <row r="246" spans="1:4">
      <c r="A246" s="2356">
        <v>14379</v>
      </c>
      <c r="B246" s="984" t="s">
        <v>23625</v>
      </c>
      <c r="C246" s="984" t="s">
        <v>24540</v>
      </c>
      <c r="D246" s="981">
        <f t="shared" si="3"/>
        <v>14379</v>
      </c>
    </row>
    <row r="247" spans="1:4">
      <c r="A247" s="2356">
        <v>14984</v>
      </c>
      <c r="B247" s="984" t="s">
        <v>23343</v>
      </c>
      <c r="C247" s="984" t="s">
        <v>24267</v>
      </c>
      <c r="D247" s="981">
        <f t="shared" si="3"/>
        <v>14984</v>
      </c>
    </row>
    <row r="248" spans="1:4">
      <c r="A248" s="2356">
        <v>15237</v>
      </c>
      <c r="B248" s="984" t="s">
        <v>23131</v>
      </c>
      <c r="C248" s="984" t="s">
        <v>24059</v>
      </c>
      <c r="D248" s="981">
        <f t="shared" si="3"/>
        <v>15237</v>
      </c>
    </row>
    <row r="249" spans="1:4">
      <c r="A249" s="2356">
        <v>14772</v>
      </c>
      <c r="B249" s="984" t="s">
        <v>23223</v>
      </c>
      <c r="C249" s="984" t="s">
        <v>24148</v>
      </c>
      <c r="D249" s="981">
        <f t="shared" si="3"/>
        <v>14772</v>
      </c>
    </row>
    <row r="250" spans="1:4">
      <c r="A250" s="2356">
        <v>14556</v>
      </c>
      <c r="B250" s="984" t="s">
        <v>23540</v>
      </c>
      <c r="C250" s="984" t="s">
        <v>24458</v>
      </c>
      <c r="D250" s="981">
        <f t="shared" si="3"/>
        <v>14556</v>
      </c>
    </row>
    <row r="251" spans="1:4">
      <c r="A251" s="2356">
        <v>14354</v>
      </c>
      <c r="B251" s="984" t="s">
        <v>23202</v>
      </c>
      <c r="C251" s="984" t="s">
        <v>24127</v>
      </c>
      <c r="D251" s="981">
        <f t="shared" si="3"/>
        <v>14354</v>
      </c>
    </row>
    <row r="252" spans="1:4">
      <c r="A252" s="2356">
        <v>14231</v>
      </c>
      <c r="B252" s="984" t="s">
        <v>23034</v>
      </c>
      <c r="C252" s="984" t="s">
        <v>23964</v>
      </c>
      <c r="D252" s="981">
        <f t="shared" si="3"/>
        <v>14231</v>
      </c>
    </row>
    <row r="253" spans="1:4">
      <c r="A253" s="2356">
        <v>14562</v>
      </c>
      <c r="B253" s="984" t="s">
        <v>23280</v>
      </c>
      <c r="C253" s="984" t="s">
        <v>24203</v>
      </c>
      <c r="D253" s="981">
        <f t="shared" si="3"/>
        <v>14562</v>
      </c>
    </row>
    <row r="254" spans="1:4">
      <c r="A254" s="2356">
        <v>14417</v>
      </c>
      <c r="B254" s="984" t="s">
        <v>23052</v>
      </c>
      <c r="C254" s="984" t="s">
        <v>23982</v>
      </c>
      <c r="D254" s="981">
        <f t="shared" si="3"/>
        <v>14417</v>
      </c>
    </row>
    <row r="255" spans="1:4">
      <c r="A255" s="2356">
        <v>14420</v>
      </c>
      <c r="B255" s="984" t="s">
        <v>23652</v>
      </c>
      <c r="C255" s="984" t="s">
        <v>24566</v>
      </c>
      <c r="D255" s="981">
        <f t="shared" si="3"/>
        <v>14420</v>
      </c>
    </row>
    <row r="256" spans="1:4">
      <c r="A256" s="2356">
        <v>13795</v>
      </c>
      <c r="B256" s="984" t="s">
        <v>23020</v>
      </c>
      <c r="C256" s="984" t="s">
        <v>23950</v>
      </c>
      <c r="D256" s="981">
        <f t="shared" si="3"/>
        <v>13795</v>
      </c>
    </row>
    <row r="257" spans="1:4">
      <c r="A257" s="2356">
        <v>13781</v>
      </c>
      <c r="B257" s="984" t="s">
        <v>29947</v>
      </c>
      <c r="C257" s="984" t="s">
        <v>29871</v>
      </c>
      <c r="D257" s="981">
        <f t="shared" si="3"/>
        <v>13781</v>
      </c>
    </row>
    <row r="258" spans="1:4">
      <c r="A258" s="2356">
        <v>14140</v>
      </c>
      <c r="B258" s="984" t="s">
        <v>23512</v>
      </c>
      <c r="C258" s="984" t="s">
        <v>24429</v>
      </c>
      <c r="D258" s="981">
        <f t="shared" si="3"/>
        <v>14140</v>
      </c>
    </row>
    <row r="259" spans="1:4">
      <c r="A259" s="2356">
        <v>14099</v>
      </c>
      <c r="B259" s="984" t="s">
        <v>23465</v>
      </c>
      <c r="C259" s="984" t="s">
        <v>24384</v>
      </c>
      <c r="D259" s="981">
        <f t="shared" si="3"/>
        <v>14099</v>
      </c>
    </row>
    <row r="260" spans="1:4">
      <c r="A260" s="2356">
        <v>14083</v>
      </c>
      <c r="B260" s="984" t="s">
        <v>23827</v>
      </c>
      <c r="C260" s="984" t="s">
        <v>24693</v>
      </c>
      <c r="D260" s="981">
        <f t="shared" si="3"/>
        <v>14083</v>
      </c>
    </row>
    <row r="261" spans="1:4">
      <c r="A261" s="2356">
        <v>13902</v>
      </c>
      <c r="B261" s="984" t="s">
        <v>23690</v>
      </c>
      <c r="C261" s="984" t="s">
        <v>24604</v>
      </c>
      <c r="D261" s="981">
        <f t="shared" si="3"/>
        <v>13902</v>
      </c>
    </row>
    <row r="262" spans="1:4">
      <c r="A262" s="2356">
        <v>13757</v>
      </c>
      <c r="B262" s="984" t="s">
        <v>23471</v>
      </c>
      <c r="C262" s="984" t="s">
        <v>24389</v>
      </c>
      <c r="D262" s="981">
        <f t="shared" si="3"/>
        <v>13757</v>
      </c>
    </row>
    <row r="263" spans="1:4">
      <c r="A263" s="2356">
        <v>13752</v>
      </c>
      <c r="B263" s="984" t="s">
        <v>22927</v>
      </c>
      <c r="C263" s="984" t="s">
        <v>23887</v>
      </c>
      <c r="D263" s="981">
        <f t="shared" si="3"/>
        <v>13752</v>
      </c>
    </row>
    <row r="264" spans="1:4">
      <c r="A264" s="2356">
        <v>12936</v>
      </c>
      <c r="B264" s="984" t="s">
        <v>23245</v>
      </c>
      <c r="C264" s="984" t="s">
        <v>31910</v>
      </c>
      <c r="D264" s="981">
        <f t="shared" si="3"/>
        <v>12936</v>
      </c>
    </row>
    <row r="265" spans="1:4">
      <c r="A265" s="2356">
        <v>14317</v>
      </c>
      <c r="B265" s="984" t="s">
        <v>23203</v>
      </c>
      <c r="C265" s="984" t="s">
        <v>24128</v>
      </c>
      <c r="D265" s="981">
        <f t="shared" ref="D265:D328" si="4">+A265</f>
        <v>14317</v>
      </c>
    </row>
    <row r="266" spans="1:4">
      <c r="A266" s="2356">
        <v>7331</v>
      </c>
      <c r="B266" s="984" t="s">
        <v>22999</v>
      </c>
      <c r="C266" s="984" t="s">
        <v>23943</v>
      </c>
      <c r="D266" s="981">
        <f t="shared" si="4"/>
        <v>7331</v>
      </c>
    </row>
    <row r="267" spans="1:4">
      <c r="A267" s="2356">
        <v>5096</v>
      </c>
      <c r="B267" s="984" t="s">
        <v>23340</v>
      </c>
      <c r="C267" s="984" t="s">
        <v>24264</v>
      </c>
      <c r="D267" s="981">
        <f t="shared" si="4"/>
        <v>5096</v>
      </c>
    </row>
    <row r="268" spans="1:4">
      <c r="A268" s="2356">
        <v>3659</v>
      </c>
      <c r="B268" s="984" t="s">
        <v>23217</v>
      </c>
      <c r="C268" s="984" t="s">
        <v>24142</v>
      </c>
      <c r="D268" s="981">
        <f t="shared" si="4"/>
        <v>3659</v>
      </c>
    </row>
    <row r="269" spans="1:4">
      <c r="A269" s="2356">
        <v>3720</v>
      </c>
      <c r="B269" s="984" t="s">
        <v>23593</v>
      </c>
      <c r="C269" s="984" t="s">
        <v>24510</v>
      </c>
      <c r="D269" s="981">
        <f t="shared" si="4"/>
        <v>3720</v>
      </c>
    </row>
    <row r="270" spans="1:4">
      <c r="A270" s="2356">
        <v>245</v>
      </c>
      <c r="B270" s="984" t="s">
        <v>23059</v>
      </c>
      <c r="C270" s="984" t="s">
        <v>23989</v>
      </c>
      <c r="D270" s="981">
        <f t="shared" si="4"/>
        <v>245</v>
      </c>
    </row>
    <row r="271" spans="1:4">
      <c r="A271" s="2356">
        <v>542</v>
      </c>
      <c r="B271" s="984" t="s">
        <v>23036</v>
      </c>
      <c r="C271" s="984" t="s">
        <v>23966</v>
      </c>
      <c r="D271" s="981">
        <f t="shared" si="4"/>
        <v>542</v>
      </c>
    </row>
    <row r="272" spans="1:4">
      <c r="A272" s="2356">
        <v>2332</v>
      </c>
      <c r="B272" s="984" t="s">
        <v>23772</v>
      </c>
      <c r="C272" s="984" t="s">
        <v>29877</v>
      </c>
      <c r="D272" s="981">
        <f t="shared" si="4"/>
        <v>2332</v>
      </c>
    </row>
    <row r="273" spans="1:4">
      <c r="A273" s="2356">
        <v>298</v>
      </c>
      <c r="B273" s="984" t="s">
        <v>30991</v>
      </c>
      <c r="C273" s="984" t="s">
        <v>31028</v>
      </c>
      <c r="D273" s="981">
        <f t="shared" si="4"/>
        <v>298</v>
      </c>
    </row>
    <row r="274" spans="1:4">
      <c r="A274" s="2356">
        <v>259</v>
      </c>
      <c r="B274" s="984" t="s">
        <v>23194</v>
      </c>
      <c r="C274" s="984" t="s">
        <v>24120</v>
      </c>
      <c r="D274" s="981">
        <f t="shared" si="4"/>
        <v>259</v>
      </c>
    </row>
    <row r="275" spans="1:4">
      <c r="A275" s="2356">
        <v>1310</v>
      </c>
      <c r="B275" s="984" t="s">
        <v>23300</v>
      </c>
      <c r="C275" s="984" t="s">
        <v>24224</v>
      </c>
      <c r="D275" s="981">
        <f t="shared" si="4"/>
        <v>1310</v>
      </c>
    </row>
    <row r="276" spans="1:4">
      <c r="A276" s="2356">
        <v>1927</v>
      </c>
      <c r="B276" s="984" t="s">
        <v>23369</v>
      </c>
      <c r="C276" s="984" t="s">
        <v>24293</v>
      </c>
      <c r="D276" s="981">
        <f t="shared" si="4"/>
        <v>1927</v>
      </c>
    </row>
    <row r="277" spans="1:4">
      <c r="A277" s="2356">
        <v>805</v>
      </c>
      <c r="B277" s="984" t="s">
        <v>22978</v>
      </c>
      <c r="C277" s="984" t="s">
        <v>31046</v>
      </c>
      <c r="D277" s="981">
        <f t="shared" si="4"/>
        <v>805</v>
      </c>
    </row>
    <row r="278" spans="1:4">
      <c r="A278" s="2356">
        <v>630</v>
      </c>
      <c r="B278" s="984" t="s">
        <v>22930</v>
      </c>
      <c r="C278" s="984" t="s">
        <v>31911</v>
      </c>
      <c r="D278" s="981">
        <f t="shared" si="4"/>
        <v>630</v>
      </c>
    </row>
    <row r="279" spans="1:4">
      <c r="A279" s="2356">
        <v>2967</v>
      </c>
      <c r="B279" s="984" t="s">
        <v>23763</v>
      </c>
      <c r="C279" s="984" t="s">
        <v>24643</v>
      </c>
      <c r="D279" s="981">
        <f t="shared" si="4"/>
        <v>2967</v>
      </c>
    </row>
    <row r="280" spans="1:4">
      <c r="A280" s="2356">
        <v>12911</v>
      </c>
      <c r="B280" s="984" t="s">
        <v>22962</v>
      </c>
      <c r="C280" s="984" t="s">
        <v>23916</v>
      </c>
      <c r="D280" s="981">
        <f t="shared" si="4"/>
        <v>12911</v>
      </c>
    </row>
    <row r="281" spans="1:4">
      <c r="A281" s="2356">
        <v>12905</v>
      </c>
      <c r="B281" s="984" t="s">
        <v>22961</v>
      </c>
      <c r="C281" s="984" t="s">
        <v>23915</v>
      </c>
      <c r="D281" s="981">
        <f t="shared" si="4"/>
        <v>12905</v>
      </c>
    </row>
    <row r="282" spans="1:4">
      <c r="A282" s="2356">
        <v>43965</v>
      </c>
      <c r="B282" s="984" t="s">
        <v>31912</v>
      </c>
      <c r="C282" s="984" t="s">
        <v>31913</v>
      </c>
      <c r="D282" s="981">
        <f t="shared" si="4"/>
        <v>43965</v>
      </c>
    </row>
    <row r="283" spans="1:4">
      <c r="A283" s="2356">
        <v>2468</v>
      </c>
      <c r="B283" s="984" t="s">
        <v>25674</v>
      </c>
      <c r="C283" s="984" t="s">
        <v>25673</v>
      </c>
      <c r="D283" s="981">
        <f t="shared" si="4"/>
        <v>2468</v>
      </c>
    </row>
    <row r="284" spans="1:4">
      <c r="A284" s="2356">
        <v>27152</v>
      </c>
      <c r="B284" s="984" t="s">
        <v>26040</v>
      </c>
      <c r="C284" s="984" t="s">
        <v>31086</v>
      </c>
      <c r="D284" s="981">
        <f t="shared" si="4"/>
        <v>27152</v>
      </c>
    </row>
    <row r="285" spans="1:4">
      <c r="A285" s="2356">
        <v>18915</v>
      </c>
      <c r="B285" s="984" t="s">
        <v>23816</v>
      </c>
      <c r="C285" s="984" t="s">
        <v>29904</v>
      </c>
      <c r="D285" s="981">
        <f t="shared" si="4"/>
        <v>18915</v>
      </c>
    </row>
    <row r="286" spans="1:4">
      <c r="A286" s="2356">
        <v>42010</v>
      </c>
      <c r="B286" s="984" t="s">
        <v>31914</v>
      </c>
      <c r="C286" s="984" t="s">
        <v>31915</v>
      </c>
      <c r="D286" s="981">
        <f t="shared" si="4"/>
        <v>42010</v>
      </c>
    </row>
    <row r="287" spans="1:4">
      <c r="A287" s="2356">
        <v>38194</v>
      </c>
      <c r="B287" s="984" t="s">
        <v>31000</v>
      </c>
      <c r="C287" s="984" t="s">
        <v>31042</v>
      </c>
      <c r="D287" s="981">
        <f t="shared" si="4"/>
        <v>38194</v>
      </c>
    </row>
    <row r="288" spans="1:4">
      <c r="A288" s="2356">
        <v>38992</v>
      </c>
      <c r="B288" s="984" t="s">
        <v>31006</v>
      </c>
      <c r="C288" s="984" t="s">
        <v>31055</v>
      </c>
      <c r="D288" s="981">
        <f t="shared" si="4"/>
        <v>38992</v>
      </c>
    </row>
    <row r="289" spans="1:4">
      <c r="A289" s="2356">
        <v>36267</v>
      </c>
      <c r="B289" s="984" t="s">
        <v>29932</v>
      </c>
      <c r="C289" s="984" t="s">
        <v>29842</v>
      </c>
      <c r="D289" s="981">
        <f t="shared" si="4"/>
        <v>36267</v>
      </c>
    </row>
    <row r="290" spans="1:4">
      <c r="A290" s="2356">
        <v>37076</v>
      </c>
      <c r="B290" s="984" t="s">
        <v>29965</v>
      </c>
      <c r="C290" s="984" t="s">
        <v>29903</v>
      </c>
      <c r="D290" s="981">
        <f t="shared" si="4"/>
        <v>37076</v>
      </c>
    </row>
    <row r="291" spans="1:4">
      <c r="A291" s="2356">
        <v>35396</v>
      </c>
      <c r="B291" s="984" t="s">
        <v>30998</v>
      </c>
      <c r="C291" s="984" t="s">
        <v>31040</v>
      </c>
      <c r="D291" s="981">
        <f t="shared" si="4"/>
        <v>35396</v>
      </c>
    </row>
    <row r="292" spans="1:4">
      <c r="A292" s="2356">
        <v>36162</v>
      </c>
      <c r="B292" s="984" t="s">
        <v>29948</v>
      </c>
      <c r="C292" s="984" t="s">
        <v>29872</v>
      </c>
      <c r="D292" s="981">
        <f t="shared" si="4"/>
        <v>36162</v>
      </c>
    </row>
    <row r="293" spans="1:4">
      <c r="A293" s="2356">
        <v>34360</v>
      </c>
      <c r="B293" s="984" t="s">
        <v>28601</v>
      </c>
      <c r="C293" s="984" t="s">
        <v>27857</v>
      </c>
      <c r="D293" s="981">
        <f t="shared" si="4"/>
        <v>34360</v>
      </c>
    </row>
    <row r="294" spans="1:4">
      <c r="A294" s="2356">
        <v>38285</v>
      </c>
      <c r="B294" s="984" t="s">
        <v>30999</v>
      </c>
      <c r="C294" s="984" t="s">
        <v>31041</v>
      </c>
      <c r="D294" s="981">
        <f t="shared" si="4"/>
        <v>38285</v>
      </c>
    </row>
    <row r="295" spans="1:4">
      <c r="A295" s="2356">
        <v>34861</v>
      </c>
      <c r="B295" s="984" t="s">
        <v>29956</v>
      </c>
      <c r="C295" s="984" t="s">
        <v>29889</v>
      </c>
      <c r="D295" s="981">
        <f t="shared" si="4"/>
        <v>34861</v>
      </c>
    </row>
    <row r="296" spans="1:4">
      <c r="A296" s="2356">
        <v>38387</v>
      </c>
      <c r="B296" s="984" t="s">
        <v>31003</v>
      </c>
      <c r="C296" s="984" t="s">
        <v>31052</v>
      </c>
      <c r="D296" s="981">
        <f t="shared" si="4"/>
        <v>38387</v>
      </c>
    </row>
    <row r="297" spans="1:4">
      <c r="A297" s="2356">
        <v>28722</v>
      </c>
      <c r="B297" s="984" t="s">
        <v>28252</v>
      </c>
      <c r="C297" s="984" t="s">
        <v>31916</v>
      </c>
      <c r="D297" s="981">
        <f t="shared" si="4"/>
        <v>28722</v>
      </c>
    </row>
    <row r="298" spans="1:4">
      <c r="A298" s="2356">
        <v>28805</v>
      </c>
      <c r="B298" s="984" t="s">
        <v>28289</v>
      </c>
      <c r="C298" s="984" t="s">
        <v>27556</v>
      </c>
      <c r="D298" s="981">
        <f t="shared" si="4"/>
        <v>28805</v>
      </c>
    </row>
    <row r="299" spans="1:4">
      <c r="A299" s="2356">
        <v>28616</v>
      </c>
      <c r="B299" s="984" t="s">
        <v>28226</v>
      </c>
      <c r="C299" s="984" t="s">
        <v>27496</v>
      </c>
      <c r="D299" s="981">
        <f t="shared" si="4"/>
        <v>28616</v>
      </c>
    </row>
    <row r="300" spans="1:4">
      <c r="A300" s="2356">
        <v>29169</v>
      </c>
      <c r="B300" s="984" t="s">
        <v>28338</v>
      </c>
      <c r="C300" s="984" t="s">
        <v>27601</v>
      </c>
      <c r="D300" s="981">
        <f t="shared" si="4"/>
        <v>29169</v>
      </c>
    </row>
    <row r="301" spans="1:4">
      <c r="A301" s="2356">
        <v>28750</v>
      </c>
      <c r="B301" s="984" t="s">
        <v>28266</v>
      </c>
      <c r="C301" s="984" t="s">
        <v>27533</v>
      </c>
      <c r="D301" s="981">
        <f t="shared" si="4"/>
        <v>28750</v>
      </c>
    </row>
    <row r="302" spans="1:4">
      <c r="A302" s="2356">
        <v>29168</v>
      </c>
      <c r="B302" s="984" t="s">
        <v>28337</v>
      </c>
      <c r="C302" s="984" t="s">
        <v>27600</v>
      </c>
      <c r="D302" s="981">
        <f t="shared" si="4"/>
        <v>29168</v>
      </c>
    </row>
    <row r="303" spans="1:4">
      <c r="A303" s="2356">
        <v>29409</v>
      </c>
      <c r="B303" s="984" t="s">
        <v>28411</v>
      </c>
      <c r="C303" s="984" t="s">
        <v>27671</v>
      </c>
      <c r="D303" s="981">
        <f t="shared" si="4"/>
        <v>29409</v>
      </c>
    </row>
    <row r="304" spans="1:4">
      <c r="A304" s="2356">
        <v>28624</v>
      </c>
      <c r="B304" s="984" t="s">
        <v>28230</v>
      </c>
      <c r="C304" s="984" t="s">
        <v>27500</v>
      </c>
      <c r="D304" s="981">
        <f t="shared" si="4"/>
        <v>28624</v>
      </c>
    </row>
    <row r="305" spans="1:4">
      <c r="A305" s="2356">
        <v>28522</v>
      </c>
      <c r="B305" s="984" t="s">
        <v>28206</v>
      </c>
      <c r="C305" s="984" t="s">
        <v>27477</v>
      </c>
      <c r="D305" s="981">
        <f t="shared" si="4"/>
        <v>28522</v>
      </c>
    </row>
    <row r="306" spans="1:4">
      <c r="A306" s="2356">
        <v>28341</v>
      </c>
      <c r="B306" s="984" t="s">
        <v>28165</v>
      </c>
      <c r="C306" s="984" t="s">
        <v>27438</v>
      </c>
      <c r="D306" s="981">
        <f t="shared" si="4"/>
        <v>28341</v>
      </c>
    </row>
    <row r="307" spans="1:4">
      <c r="A307" s="2356">
        <v>28362</v>
      </c>
      <c r="B307" s="984" t="s">
        <v>28176</v>
      </c>
      <c r="C307" s="984" t="s">
        <v>27449</v>
      </c>
      <c r="D307" s="981">
        <f t="shared" si="4"/>
        <v>28362</v>
      </c>
    </row>
    <row r="308" spans="1:4">
      <c r="A308" s="2356">
        <v>28732</v>
      </c>
      <c r="B308" s="984" t="s">
        <v>28256</v>
      </c>
      <c r="C308" s="984" t="s">
        <v>27523</v>
      </c>
      <c r="D308" s="981">
        <f t="shared" si="4"/>
        <v>28732</v>
      </c>
    </row>
    <row r="309" spans="1:4">
      <c r="A309" s="2356">
        <v>29413</v>
      </c>
      <c r="B309" s="984" t="s">
        <v>28413</v>
      </c>
      <c r="C309" s="984" t="s">
        <v>27673</v>
      </c>
      <c r="D309" s="981">
        <f t="shared" si="4"/>
        <v>29413</v>
      </c>
    </row>
    <row r="310" spans="1:4">
      <c r="A310" s="2356">
        <v>28779</v>
      </c>
      <c r="B310" s="984" t="s">
        <v>28278</v>
      </c>
      <c r="C310" s="984" t="s">
        <v>27545</v>
      </c>
      <c r="D310" s="981">
        <f t="shared" si="4"/>
        <v>28779</v>
      </c>
    </row>
    <row r="311" spans="1:4">
      <c r="A311" s="2356">
        <v>29393</v>
      </c>
      <c r="B311" s="984" t="s">
        <v>28399</v>
      </c>
      <c r="C311" s="984" t="s">
        <v>27659</v>
      </c>
      <c r="D311" s="981">
        <f t="shared" si="4"/>
        <v>29393</v>
      </c>
    </row>
    <row r="312" spans="1:4">
      <c r="A312" s="2356">
        <v>29703</v>
      </c>
      <c r="B312" s="984" t="s">
        <v>28521</v>
      </c>
      <c r="C312" s="984" t="s">
        <v>27779</v>
      </c>
      <c r="D312" s="981">
        <f t="shared" si="4"/>
        <v>29703</v>
      </c>
    </row>
    <row r="313" spans="1:4">
      <c r="A313" s="2356">
        <v>29755</v>
      </c>
      <c r="B313" s="984" t="s">
        <v>28529</v>
      </c>
      <c r="C313" s="984" t="s">
        <v>27787</v>
      </c>
      <c r="D313" s="981">
        <f t="shared" si="4"/>
        <v>29755</v>
      </c>
    </row>
    <row r="314" spans="1:4">
      <c r="A314" s="2356">
        <v>28948</v>
      </c>
      <c r="B314" s="984" t="s">
        <v>28322</v>
      </c>
      <c r="C314" s="984" t="s">
        <v>27585</v>
      </c>
      <c r="D314" s="981">
        <f t="shared" si="4"/>
        <v>28948</v>
      </c>
    </row>
    <row r="315" spans="1:4">
      <c r="A315" s="2356">
        <v>29572</v>
      </c>
      <c r="B315" s="984" t="s">
        <v>28489</v>
      </c>
      <c r="C315" s="984" t="s">
        <v>27747</v>
      </c>
      <c r="D315" s="981">
        <f t="shared" si="4"/>
        <v>29572</v>
      </c>
    </row>
    <row r="316" spans="1:4">
      <c r="A316" s="2356">
        <v>29272</v>
      </c>
      <c r="B316" s="984" t="s">
        <v>28347</v>
      </c>
      <c r="C316" s="984" t="s">
        <v>27610</v>
      </c>
      <c r="D316" s="981">
        <f t="shared" si="4"/>
        <v>29272</v>
      </c>
    </row>
    <row r="317" spans="1:4">
      <c r="A317" s="2356">
        <v>28834</v>
      </c>
      <c r="B317" s="984" t="s">
        <v>28301</v>
      </c>
      <c r="C317" s="984" t="s">
        <v>27567</v>
      </c>
      <c r="D317" s="981">
        <f t="shared" si="4"/>
        <v>28834</v>
      </c>
    </row>
    <row r="318" spans="1:4">
      <c r="A318" s="2356">
        <v>33936</v>
      </c>
      <c r="B318" s="984" t="s">
        <v>28599</v>
      </c>
      <c r="C318" s="984" t="s">
        <v>27855</v>
      </c>
      <c r="D318" s="981">
        <f t="shared" si="4"/>
        <v>33936</v>
      </c>
    </row>
    <row r="319" spans="1:4">
      <c r="A319" s="2356">
        <v>30318</v>
      </c>
      <c r="B319" s="984" t="s">
        <v>28586</v>
      </c>
      <c r="C319" s="984" t="s">
        <v>27843</v>
      </c>
      <c r="D319" s="981">
        <f t="shared" si="4"/>
        <v>30318</v>
      </c>
    </row>
    <row r="320" spans="1:4">
      <c r="A320" s="2356">
        <v>28812</v>
      </c>
      <c r="B320" s="984" t="s">
        <v>28293</v>
      </c>
      <c r="C320" s="984" t="s">
        <v>27559</v>
      </c>
      <c r="D320" s="981">
        <f t="shared" si="4"/>
        <v>28812</v>
      </c>
    </row>
    <row r="321" spans="1:4">
      <c r="A321" s="2356">
        <v>29229</v>
      </c>
      <c r="B321" s="984" t="s">
        <v>28341</v>
      </c>
      <c r="C321" s="984" t="s">
        <v>27604</v>
      </c>
      <c r="D321" s="981">
        <f t="shared" si="4"/>
        <v>29229</v>
      </c>
    </row>
    <row r="322" spans="1:4">
      <c r="A322" s="2356">
        <v>28528</v>
      </c>
      <c r="B322" s="984" t="s">
        <v>28207</v>
      </c>
      <c r="C322" s="984" t="s">
        <v>27478</v>
      </c>
      <c r="D322" s="981">
        <f t="shared" si="4"/>
        <v>28528</v>
      </c>
    </row>
    <row r="323" spans="1:4">
      <c r="A323" s="2356">
        <v>28733</v>
      </c>
      <c r="B323" s="984" t="s">
        <v>28257</v>
      </c>
      <c r="C323" s="984" t="s">
        <v>27524</v>
      </c>
      <c r="D323" s="981">
        <f t="shared" si="4"/>
        <v>28733</v>
      </c>
    </row>
    <row r="324" spans="1:4">
      <c r="A324" s="2356">
        <v>29486</v>
      </c>
      <c r="B324" s="984" t="s">
        <v>28444</v>
      </c>
      <c r="C324" s="984" t="s">
        <v>27703</v>
      </c>
      <c r="D324" s="981">
        <f t="shared" si="4"/>
        <v>29486</v>
      </c>
    </row>
    <row r="325" spans="1:4">
      <c r="A325" s="2356">
        <v>28887</v>
      </c>
      <c r="B325" s="984" t="s">
        <v>28313</v>
      </c>
      <c r="C325" s="984" t="s">
        <v>27577</v>
      </c>
      <c r="D325" s="981">
        <f t="shared" si="4"/>
        <v>28887</v>
      </c>
    </row>
    <row r="326" spans="1:4">
      <c r="A326" s="2356">
        <v>29369</v>
      </c>
      <c r="B326" s="984" t="s">
        <v>28384</v>
      </c>
      <c r="C326" s="984" t="s">
        <v>27644</v>
      </c>
      <c r="D326" s="981">
        <f t="shared" si="4"/>
        <v>29369</v>
      </c>
    </row>
    <row r="327" spans="1:4">
      <c r="A327" s="2356">
        <v>32984</v>
      </c>
      <c r="B327" s="984" t="s">
        <v>28595</v>
      </c>
      <c r="C327" s="984" t="s">
        <v>27851</v>
      </c>
      <c r="D327" s="981">
        <f t="shared" si="4"/>
        <v>32984</v>
      </c>
    </row>
    <row r="328" spans="1:4">
      <c r="A328" s="2356">
        <v>29545</v>
      </c>
      <c r="B328" s="984" t="s">
        <v>28474</v>
      </c>
      <c r="C328" s="984" t="s">
        <v>27732</v>
      </c>
      <c r="D328" s="981">
        <f t="shared" si="4"/>
        <v>29545</v>
      </c>
    </row>
    <row r="329" spans="1:4">
      <c r="A329" s="2356">
        <v>29697</v>
      </c>
      <c r="B329" s="984" t="s">
        <v>28520</v>
      </c>
      <c r="C329" s="984" t="s">
        <v>27778</v>
      </c>
      <c r="D329" s="981">
        <f t="shared" ref="D329:D392" si="5">+A329</f>
        <v>29697</v>
      </c>
    </row>
    <row r="330" spans="1:4">
      <c r="A330" s="2356">
        <v>28795</v>
      </c>
      <c r="B330" s="984" t="s">
        <v>28287</v>
      </c>
      <c r="C330" s="984" t="s">
        <v>27554</v>
      </c>
      <c r="D330" s="981">
        <f t="shared" si="5"/>
        <v>28795</v>
      </c>
    </row>
    <row r="331" spans="1:4">
      <c r="A331" s="2356">
        <v>29473</v>
      </c>
      <c r="B331" s="984" t="s">
        <v>28436</v>
      </c>
      <c r="C331" s="984" t="s">
        <v>27695</v>
      </c>
      <c r="D331" s="981">
        <f t="shared" si="5"/>
        <v>29473</v>
      </c>
    </row>
    <row r="332" spans="1:4">
      <c r="A332" s="2356">
        <v>30240</v>
      </c>
      <c r="B332" s="984" t="s">
        <v>29952</v>
      </c>
      <c r="C332" s="984" t="s">
        <v>29876</v>
      </c>
      <c r="D332" s="981">
        <f t="shared" si="5"/>
        <v>30240</v>
      </c>
    </row>
    <row r="333" spans="1:4">
      <c r="A333" s="2356">
        <v>29410</v>
      </c>
      <c r="B333" s="984" t="s">
        <v>28412</v>
      </c>
      <c r="C333" s="984" t="s">
        <v>27672</v>
      </c>
      <c r="D333" s="981">
        <f t="shared" si="5"/>
        <v>29410</v>
      </c>
    </row>
    <row r="334" spans="1:4">
      <c r="A334" s="2356">
        <v>32027</v>
      </c>
      <c r="B334" s="984" t="s">
        <v>29942</v>
      </c>
      <c r="C334" s="984" t="s">
        <v>29861</v>
      </c>
      <c r="D334" s="981">
        <f t="shared" si="5"/>
        <v>32027</v>
      </c>
    </row>
    <row r="335" spans="1:4">
      <c r="A335" s="2356">
        <v>30097</v>
      </c>
      <c r="B335" s="984" t="s">
        <v>29972</v>
      </c>
      <c r="C335" s="984" t="s">
        <v>29915</v>
      </c>
      <c r="D335" s="981">
        <f t="shared" si="5"/>
        <v>30097</v>
      </c>
    </row>
    <row r="336" spans="1:4">
      <c r="A336" s="2356">
        <v>29365</v>
      </c>
      <c r="B336" s="984" t="s">
        <v>28381</v>
      </c>
      <c r="C336" s="984" t="s">
        <v>27641</v>
      </c>
      <c r="D336" s="981">
        <f t="shared" si="5"/>
        <v>29365</v>
      </c>
    </row>
    <row r="337" spans="1:4">
      <c r="A337" s="2356">
        <v>28828</v>
      </c>
      <c r="B337" s="984" t="s">
        <v>28298</v>
      </c>
      <c r="C337" s="984" t="s">
        <v>27564</v>
      </c>
      <c r="D337" s="981">
        <f t="shared" si="5"/>
        <v>28828</v>
      </c>
    </row>
    <row r="338" spans="1:4">
      <c r="A338" s="2356">
        <v>28925</v>
      </c>
      <c r="B338" s="984" t="s">
        <v>28318</v>
      </c>
      <c r="C338" s="984" t="s">
        <v>27581</v>
      </c>
      <c r="D338" s="981">
        <f t="shared" si="5"/>
        <v>28925</v>
      </c>
    </row>
    <row r="339" spans="1:4">
      <c r="A339" s="2356">
        <v>28944</v>
      </c>
      <c r="B339" s="984" t="s">
        <v>28321</v>
      </c>
      <c r="C339" s="984" t="s">
        <v>27584</v>
      </c>
      <c r="D339" s="981">
        <f t="shared" si="5"/>
        <v>28944</v>
      </c>
    </row>
    <row r="340" spans="1:4">
      <c r="A340" s="2356">
        <v>28211</v>
      </c>
      <c r="B340" s="984" t="s">
        <v>28134</v>
      </c>
      <c r="C340" s="984" t="s">
        <v>27412</v>
      </c>
      <c r="D340" s="981">
        <f t="shared" si="5"/>
        <v>28211</v>
      </c>
    </row>
    <row r="341" spans="1:4">
      <c r="A341" s="2356">
        <v>28031</v>
      </c>
      <c r="B341" s="984" t="s">
        <v>28042</v>
      </c>
      <c r="C341" s="984" t="s">
        <v>27325</v>
      </c>
      <c r="D341" s="981">
        <f t="shared" si="5"/>
        <v>28031</v>
      </c>
    </row>
    <row r="342" spans="1:4">
      <c r="A342" s="2356">
        <v>24649</v>
      </c>
      <c r="B342" s="984" t="s">
        <v>25093</v>
      </c>
      <c r="C342" s="984" t="s">
        <v>25094</v>
      </c>
      <c r="D342" s="981">
        <f t="shared" si="5"/>
        <v>24649</v>
      </c>
    </row>
    <row r="343" spans="1:4">
      <c r="A343" s="2356">
        <v>25846</v>
      </c>
      <c r="B343" s="984" t="s">
        <v>27906</v>
      </c>
      <c r="C343" s="984" t="s">
        <v>27196</v>
      </c>
      <c r="D343" s="981">
        <f t="shared" si="5"/>
        <v>25846</v>
      </c>
    </row>
    <row r="344" spans="1:4">
      <c r="A344" s="2356">
        <v>28172</v>
      </c>
      <c r="B344" s="984" t="s">
        <v>28122</v>
      </c>
      <c r="C344" s="984" t="s">
        <v>27400</v>
      </c>
      <c r="D344" s="981">
        <f t="shared" si="5"/>
        <v>28172</v>
      </c>
    </row>
    <row r="345" spans="1:4">
      <c r="A345" s="2356">
        <v>27915</v>
      </c>
      <c r="B345" s="984" t="s">
        <v>27977</v>
      </c>
      <c r="C345" s="984" t="s">
        <v>27265</v>
      </c>
      <c r="D345" s="981">
        <f t="shared" si="5"/>
        <v>27915</v>
      </c>
    </row>
    <row r="346" spans="1:4">
      <c r="A346" s="2356">
        <v>28125</v>
      </c>
      <c r="B346" s="984" t="s">
        <v>28102</v>
      </c>
      <c r="C346" s="984" t="s">
        <v>27382</v>
      </c>
      <c r="D346" s="981">
        <f t="shared" si="5"/>
        <v>28125</v>
      </c>
    </row>
    <row r="347" spans="1:4">
      <c r="A347" s="2356">
        <v>28122</v>
      </c>
      <c r="B347" s="984" t="s">
        <v>28100</v>
      </c>
      <c r="C347" s="984" t="s">
        <v>27380</v>
      </c>
      <c r="D347" s="981">
        <f t="shared" si="5"/>
        <v>28122</v>
      </c>
    </row>
    <row r="348" spans="1:4">
      <c r="A348" s="2356">
        <v>27866</v>
      </c>
      <c r="B348" s="984" t="s">
        <v>27956</v>
      </c>
      <c r="C348" s="984" t="s">
        <v>27246</v>
      </c>
      <c r="D348" s="981">
        <f t="shared" si="5"/>
        <v>27866</v>
      </c>
    </row>
    <row r="349" spans="1:4">
      <c r="A349" s="2356">
        <v>27910</v>
      </c>
      <c r="B349" s="984" t="s">
        <v>27974</v>
      </c>
      <c r="C349" s="984" t="s">
        <v>27262</v>
      </c>
      <c r="D349" s="981">
        <f t="shared" si="5"/>
        <v>27910</v>
      </c>
    </row>
    <row r="350" spans="1:4">
      <c r="A350" s="2356">
        <v>24910</v>
      </c>
      <c r="B350" s="984" t="s">
        <v>25739</v>
      </c>
      <c r="C350" s="984" t="s">
        <v>25738</v>
      </c>
      <c r="D350" s="981">
        <f t="shared" si="5"/>
        <v>24910</v>
      </c>
    </row>
    <row r="351" spans="1:4">
      <c r="A351" s="2356">
        <v>26032</v>
      </c>
      <c r="B351" s="984" t="s">
        <v>25952</v>
      </c>
      <c r="C351" s="984" t="s">
        <v>25951</v>
      </c>
      <c r="D351" s="981">
        <f t="shared" si="5"/>
        <v>26032</v>
      </c>
    </row>
    <row r="352" spans="1:4">
      <c r="A352" s="2356">
        <v>26010</v>
      </c>
      <c r="B352" s="984" t="s">
        <v>25943</v>
      </c>
      <c r="C352" s="984" t="s">
        <v>25942</v>
      </c>
      <c r="D352" s="981">
        <f t="shared" si="5"/>
        <v>26010</v>
      </c>
    </row>
    <row r="353" spans="1:4">
      <c r="A353" s="2356">
        <v>25827</v>
      </c>
      <c r="B353" s="984" t="s">
        <v>25835</v>
      </c>
      <c r="C353" s="984" t="s">
        <v>25834</v>
      </c>
      <c r="D353" s="981">
        <f t="shared" si="5"/>
        <v>25827</v>
      </c>
    </row>
    <row r="354" spans="1:4">
      <c r="A354" s="2356">
        <v>28154</v>
      </c>
      <c r="B354" s="984" t="s">
        <v>28116</v>
      </c>
      <c r="C354" s="984" t="s">
        <v>27394</v>
      </c>
      <c r="D354" s="981">
        <f t="shared" si="5"/>
        <v>28154</v>
      </c>
    </row>
    <row r="355" spans="1:4">
      <c r="A355" s="2356">
        <v>27999</v>
      </c>
      <c r="B355" s="984" t="s">
        <v>28018</v>
      </c>
      <c r="C355" s="984" t="s">
        <v>27303</v>
      </c>
      <c r="D355" s="981">
        <f t="shared" si="5"/>
        <v>27999</v>
      </c>
    </row>
    <row r="356" spans="1:4">
      <c r="A356" s="2356">
        <v>25968</v>
      </c>
      <c r="B356" s="984" t="s">
        <v>25916</v>
      </c>
      <c r="C356" s="984" t="s">
        <v>25915</v>
      </c>
      <c r="D356" s="981">
        <f t="shared" si="5"/>
        <v>25968</v>
      </c>
    </row>
    <row r="357" spans="1:4">
      <c r="A357" s="2356">
        <v>24730</v>
      </c>
      <c r="B357" s="984" t="s">
        <v>25113</v>
      </c>
      <c r="C357" s="984" t="s">
        <v>25114</v>
      </c>
      <c r="D357" s="981">
        <f t="shared" si="5"/>
        <v>24730</v>
      </c>
    </row>
    <row r="358" spans="1:4">
      <c r="A358" s="2356">
        <v>29763</v>
      </c>
      <c r="B358" s="984" t="s">
        <v>28531</v>
      </c>
      <c r="C358" s="984" t="s">
        <v>27789</v>
      </c>
      <c r="D358" s="981">
        <f t="shared" si="5"/>
        <v>29763</v>
      </c>
    </row>
    <row r="359" spans="1:4">
      <c r="A359" s="2356">
        <v>27842</v>
      </c>
      <c r="B359" s="984" t="s">
        <v>27947</v>
      </c>
      <c r="C359" s="984" t="s">
        <v>27237</v>
      </c>
      <c r="D359" s="981">
        <f t="shared" si="5"/>
        <v>27842</v>
      </c>
    </row>
    <row r="360" spans="1:4">
      <c r="A360" s="2356">
        <v>25407</v>
      </c>
      <c r="B360" s="984" t="s">
        <v>25788</v>
      </c>
      <c r="C360" s="984" t="s">
        <v>25787</v>
      </c>
      <c r="D360" s="981">
        <f t="shared" si="5"/>
        <v>25407</v>
      </c>
    </row>
    <row r="361" spans="1:4">
      <c r="A361" s="2356">
        <v>28157</v>
      </c>
      <c r="B361" s="984" t="s">
        <v>28117</v>
      </c>
      <c r="C361" s="984" t="s">
        <v>27395</v>
      </c>
      <c r="D361" s="981">
        <f t="shared" si="5"/>
        <v>28157</v>
      </c>
    </row>
    <row r="362" spans="1:4">
      <c r="A362" s="2356">
        <v>28020</v>
      </c>
      <c r="B362" s="984" t="s">
        <v>28034</v>
      </c>
      <c r="C362" s="984" t="s">
        <v>27317</v>
      </c>
      <c r="D362" s="981">
        <f t="shared" si="5"/>
        <v>28020</v>
      </c>
    </row>
    <row r="363" spans="1:4">
      <c r="A363" s="2356">
        <v>28107</v>
      </c>
      <c r="B363" s="984" t="s">
        <v>28093</v>
      </c>
      <c r="C363" s="984" t="s">
        <v>27373</v>
      </c>
      <c r="D363" s="981">
        <f t="shared" si="5"/>
        <v>28107</v>
      </c>
    </row>
    <row r="364" spans="1:4">
      <c r="A364" s="2356">
        <v>28050</v>
      </c>
      <c r="B364" s="984" t="s">
        <v>28056</v>
      </c>
      <c r="C364" s="984" t="s">
        <v>27339</v>
      </c>
      <c r="D364" s="981">
        <f t="shared" si="5"/>
        <v>28050</v>
      </c>
    </row>
    <row r="365" spans="1:4">
      <c r="A365" s="2356">
        <v>28047</v>
      </c>
      <c r="B365" s="984" t="s">
        <v>28055</v>
      </c>
      <c r="C365" s="984" t="s">
        <v>27338</v>
      </c>
      <c r="D365" s="981">
        <f t="shared" si="5"/>
        <v>28047</v>
      </c>
    </row>
    <row r="366" spans="1:4">
      <c r="A366" s="2356">
        <v>28037</v>
      </c>
      <c r="B366" s="984" t="s">
        <v>28046</v>
      </c>
      <c r="C366" s="984" t="s">
        <v>27329</v>
      </c>
      <c r="D366" s="981">
        <f t="shared" si="5"/>
        <v>28037</v>
      </c>
    </row>
    <row r="367" spans="1:4">
      <c r="A367" s="2356">
        <v>28025</v>
      </c>
      <c r="B367" s="984" t="s">
        <v>28038</v>
      </c>
      <c r="C367" s="984" t="s">
        <v>27321</v>
      </c>
      <c r="D367" s="981">
        <f t="shared" si="5"/>
        <v>28025</v>
      </c>
    </row>
    <row r="368" spans="1:4">
      <c r="A368" s="2356">
        <v>28022</v>
      </c>
      <c r="B368" s="984" t="s">
        <v>28036</v>
      </c>
      <c r="C368" s="984" t="s">
        <v>27319</v>
      </c>
      <c r="D368" s="981">
        <f t="shared" si="5"/>
        <v>28022</v>
      </c>
    </row>
    <row r="369" spans="1:4">
      <c r="A369" s="2356">
        <v>27964</v>
      </c>
      <c r="B369" s="984" t="s">
        <v>28004</v>
      </c>
      <c r="C369" s="984" t="s">
        <v>27290</v>
      </c>
      <c r="D369" s="981">
        <f t="shared" si="5"/>
        <v>27964</v>
      </c>
    </row>
    <row r="370" spans="1:4">
      <c r="A370" s="2356">
        <v>25328</v>
      </c>
      <c r="B370" s="984" t="s">
        <v>25768</v>
      </c>
      <c r="C370" s="984" t="s">
        <v>25767</v>
      </c>
      <c r="D370" s="981">
        <f t="shared" si="5"/>
        <v>25328</v>
      </c>
    </row>
    <row r="371" spans="1:4">
      <c r="A371" s="2356">
        <v>27441</v>
      </c>
      <c r="B371" s="984" t="s">
        <v>26533</v>
      </c>
      <c r="C371" s="984" t="s">
        <v>26539</v>
      </c>
      <c r="D371" s="981">
        <f t="shared" si="5"/>
        <v>27441</v>
      </c>
    </row>
    <row r="372" spans="1:4">
      <c r="A372" s="2356">
        <v>24565</v>
      </c>
      <c r="B372" s="984" t="s">
        <v>25031</v>
      </c>
      <c r="C372" s="984" t="s">
        <v>25032</v>
      </c>
      <c r="D372" s="981">
        <f t="shared" si="5"/>
        <v>24565</v>
      </c>
    </row>
    <row r="373" spans="1:4">
      <c r="A373" s="2356">
        <v>27898</v>
      </c>
      <c r="B373" s="984" t="s">
        <v>27970</v>
      </c>
      <c r="C373" s="984" t="s">
        <v>27260</v>
      </c>
      <c r="D373" s="981">
        <f t="shared" si="5"/>
        <v>27898</v>
      </c>
    </row>
    <row r="374" spans="1:4">
      <c r="A374" s="2356">
        <v>29897</v>
      </c>
      <c r="B374" s="984" t="s">
        <v>28543</v>
      </c>
      <c r="C374" s="984" t="s">
        <v>27801</v>
      </c>
      <c r="D374" s="981">
        <f t="shared" si="5"/>
        <v>29897</v>
      </c>
    </row>
    <row r="375" spans="1:4">
      <c r="A375" s="2356">
        <v>27932</v>
      </c>
      <c r="B375" s="984" t="s">
        <v>27987</v>
      </c>
      <c r="C375" s="984" t="s">
        <v>27274</v>
      </c>
      <c r="D375" s="981">
        <f t="shared" si="5"/>
        <v>27932</v>
      </c>
    </row>
    <row r="376" spans="1:4">
      <c r="A376" s="2356">
        <v>26061</v>
      </c>
      <c r="B376" s="984" t="s">
        <v>25960</v>
      </c>
      <c r="C376" s="984" t="s">
        <v>25959</v>
      </c>
      <c r="D376" s="981">
        <f t="shared" si="5"/>
        <v>26061</v>
      </c>
    </row>
    <row r="377" spans="1:4">
      <c r="A377" s="2356">
        <v>24486</v>
      </c>
      <c r="B377" s="984" t="s">
        <v>23252</v>
      </c>
      <c r="C377" s="984" t="s">
        <v>24175</v>
      </c>
      <c r="D377" s="981">
        <f t="shared" si="5"/>
        <v>24486</v>
      </c>
    </row>
    <row r="378" spans="1:4">
      <c r="A378" s="2356">
        <v>25539</v>
      </c>
      <c r="B378" s="984" t="s">
        <v>25790</v>
      </c>
      <c r="C378" s="984" t="s">
        <v>25789</v>
      </c>
      <c r="D378" s="981">
        <f t="shared" si="5"/>
        <v>25539</v>
      </c>
    </row>
    <row r="379" spans="1:4">
      <c r="A379" s="2356">
        <v>27845</v>
      </c>
      <c r="B379" s="984" t="s">
        <v>27949</v>
      </c>
      <c r="C379" s="984" t="s">
        <v>27239</v>
      </c>
      <c r="D379" s="981">
        <f t="shared" si="5"/>
        <v>27845</v>
      </c>
    </row>
    <row r="380" spans="1:4">
      <c r="A380" s="2356">
        <v>25812</v>
      </c>
      <c r="B380" s="984" t="s">
        <v>25819</v>
      </c>
      <c r="C380" s="984" t="s">
        <v>25818</v>
      </c>
      <c r="D380" s="981">
        <f t="shared" si="5"/>
        <v>25812</v>
      </c>
    </row>
    <row r="381" spans="1:4">
      <c r="A381" s="2356">
        <v>30007</v>
      </c>
      <c r="B381" s="984" t="s">
        <v>28554</v>
      </c>
      <c r="C381" s="984" t="s">
        <v>27812</v>
      </c>
      <c r="D381" s="981">
        <f t="shared" si="5"/>
        <v>30007</v>
      </c>
    </row>
    <row r="382" spans="1:4">
      <c r="A382" s="2356">
        <v>27818</v>
      </c>
      <c r="B382" s="984" t="s">
        <v>27936</v>
      </c>
      <c r="C382" s="984" t="s">
        <v>27227</v>
      </c>
      <c r="D382" s="981">
        <f t="shared" si="5"/>
        <v>27818</v>
      </c>
    </row>
    <row r="383" spans="1:4">
      <c r="A383" s="2356">
        <v>28039</v>
      </c>
      <c r="B383" s="984" t="s">
        <v>28047</v>
      </c>
      <c r="C383" s="984" t="s">
        <v>27330</v>
      </c>
      <c r="D383" s="981">
        <f t="shared" si="5"/>
        <v>28039</v>
      </c>
    </row>
    <row r="384" spans="1:4">
      <c r="A384" s="2356">
        <v>28028</v>
      </c>
      <c r="B384" s="984" t="s">
        <v>28041</v>
      </c>
      <c r="C384" s="984" t="s">
        <v>27324</v>
      </c>
      <c r="D384" s="981">
        <f t="shared" si="5"/>
        <v>28028</v>
      </c>
    </row>
    <row r="385" spans="1:4">
      <c r="A385" s="2356">
        <v>27100</v>
      </c>
      <c r="B385" s="984" t="s">
        <v>27909</v>
      </c>
      <c r="C385" s="984" t="s">
        <v>27200</v>
      </c>
      <c r="D385" s="981">
        <f t="shared" si="5"/>
        <v>27100</v>
      </c>
    </row>
    <row r="386" spans="1:4">
      <c r="A386" s="2356">
        <v>27983</v>
      </c>
      <c r="B386" s="984" t="s">
        <v>28009</v>
      </c>
      <c r="C386" s="984" t="s">
        <v>27295</v>
      </c>
      <c r="D386" s="981">
        <f t="shared" si="5"/>
        <v>27983</v>
      </c>
    </row>
    <row r="387" spans="1:4">
      <c r="A387" s="2356">
        <v>24604</v>
      </c>
      <c r="B387" s="984" t="s">
        <v>25073</v>
      </c>
      <c r="C387" s="984" t="s">
        <v>25074</v>
      </c>
      <c r="D387" s="981">
        <f t="shared" si="5"/>
        <v>24604</v>
      </c>
    </row>
    <row r="388" spans="1:4">
      <c r="A388" s="2356">
        <v>30016</v>
      </c>
      <c r="B388" s="984" t="s">
        <v>28558</v>
      </c>
      <c r="C388" s="984" t="s">
        <v>27816</v>
      </c>
      <c r="D388" s="981">
        <f t="shared" si="5"/>
        <v>30016</v>
      </c>
    </row>
    <row r="389" spans="1:4">
      <c r="A389" s="2356">
        <v>24593</v>
      </c>
      <c r="B389" s="984" t="s">
        <v>25059</v>
      </c>
      <c r="C389" s="984" t="s">
        <v>25060</v>
      </c>
      <c r="D389" s="981">
        <f t="shared" si="5"/>
        <v>24593</v>
      </c>
    </row>
    <row r="390" spans="1:4">
      <c r="A390" s="2356">
        <v>24215</v>
      </c>
      <c r="B390" s="984" t="s">
        <v>23175</v>
      </c>
      <c r="C390" s="984" t="s">
        <v>24102</v>
      </c>
      <c r="D390" s="981">
        <f t="shared" si="5"/>
        <v>24215</v>
      </c>
    </row>
    <row r="391" spans="1:4">
      <c r="A391" s="2356">
        <v>28072</v>
      </c>
      <c r="B391" s="984" t="s">
        <v>28071</v>
      </c>
      <c r="C391" s="984" t="s">
        <v>27352</v>
      </c>
      <c r="D391" s="981">
        <f t="shared" si="5"/>
        <v>28072</v>
      </c>
    </row>
    <row r="392" spans="1:4">
      <c r="A392" s="2356">
        <v>27366</v>
      </c>
      <c r="B392" s="984" t="s">
        <v>27910</v>
      </c>
      <c r="C392" s="984" t="s">
        <v>27201</v>
      </c>
      <c r="D392" s="981">
        <f t="shared" si="5"/>
        <v>27366</v>
      </c>
    </row>
    <row r="393" spans="1:4">
      <c r="A393" s="2356">
        <v>27921</v>
      </c>
      <c r="B393" s="984" t="s">
        <v>27980</v>
      </c>
      <c r="C393" s="984" t="s">
        <v>27268</v>
      </c>
      <c r="D393" s="981">
        <f t="shared" ref="D393:D456" si="6">+A393</f>
        <v>27921</v>
      </c>
    </row>
    <row r="394" spans="1:4">
      <c r="A394" s="2356">
        <v>26913</v>
      </c>
      <c r="B394" s="984" t="s">
        <v>26027</v>
      </c>
      <c r="C394" s="984" t="s">
        <v>26026</v>
      </c>
      <c r="D394" s="981">
        <f t="shared" si="6"/>
        <v>26913</v>
      </c>
    </row>
    <row r="395" spans="1:4">
      <c r="A395" s="2356">
        <v>25892</v>
      </c>
      <c r="B395" s="984" t="s">
        <v>25873</v>
      </c>
      <c r="C395" s="984" t="s">
        <v>31917</v>
      </c>
      <c r="D395" s="981">
        <f t="shared" si="6"/>
        <v>25892</v>
      </c>
    </row>
    <row r="396" spans="1:4">
      <c r="A396" s="2356">
        <v>26215</v>
      </c>
      <c r="B396" s="984" t="s">
        <v>25978</v>
      </c>
      <c r="C396" s="984" t="s">
        <v>25977</v>
      </c>
      <c r="D396" s="981">
        <f t="shared" si="6"/>
        <v>26215</v>
      </c>
    </row>
    <row r="397" spans="1:4">
      <c r="A397" s="2356">
        <v>26270</v>
      </c>
      <c r="B397" s="984" t="s">
        <v>25984</v>
      </c>
      <c r="C397" s="984" t="s">
        <v>25983</v>
      </c>
      <c r="D397" s="981">
        <f t="shared" si="6"/>
        <v>26270</v>
      </c>
    </row>
    <row r="398" spans="1:4">
      <c r="A398" s="2356">
        <v>26086</v>
      </c>
      <c r="B398" s="984" t="s">
        <v>25962</v>
      </c>
      <c r="C398" s="984" t="s">
        <v>25961</v>
      </c>
      <c r="D398" s="981">
        <f t="shared" si="6"/>
        <v>26086</v>
      </c>
    </row>
    <row r="399" spans="1:4">
      <c r="A399" s="2356">
        <v>25889</v>
      </c>
      <c r="B399" s="984" t="s">
        <v>25872</v>
      </c>
      <c r="C399" s="984" t="s">
        <v>25871</v>
      </c>
      <c r="D399" s="981">
        <f t="shared" si="6"/>
        <v>25889</v>
      </c>
    </row>
    <row r="400" spans="1:4">
      <c r="A400" s="2356">
        <v>25962</v>
      </c>
      <c r="B400" s="984" t="s">
        <v>25910</v>
      </c>
      <c r="C400" s="984" t="s">
        <v>25909</v>
      </c>
      <c r="D400" s="981">
        <f t="shared" si="6"/>
        <v>25962</v>
      </c>
    </row>
    <row r="401" spans="1:4">
      <c r="A401" s="2356">
        <v>23926</v>
      </c>
      <c r="B401" s="984" t="s">
        <v>23332</v>
      </c>
      <c r="C401" s="984" t="s">
        <v>24256</v>
      </c>
      <c r="D401" s="981">
        <f t="shared" si="6"/>
        <v>23926</v>
      </c>
    </row>
    <row r="402" spans="1:4">
      <c r="A402" s="2356">
        <v>23906</v>
      </c>
      <c r="B402" s="984" t="s">
        <v>22907</v>
      </c>
      <c r="C402" s="984" t="s">
        <v>23867</v>
      </c>
      <c r="D402" s="981">
        <f t="shared" si="6"/>
        <v>23906</v>
      </c>
    </row>
    <row r="403" spans="1:4">
      <c r="A403" s="2356">
        <v>23782</v>
      </c>
      <c r="B403" s="984" t="s">
        <v>23504</v>
      </c>
      <c r="C403" s="984" t="s">
        <v>24421</v>
      </c>
      <c r="D403" s="981">
        <f t="shared" si="6"/>
        <v>23782</v>
      </c>
    </row>
    <row r="404" spans="1:4">
      <c r="A404" s="2356">
        <v>23888</v>
      </c>
      <c r="B404" s="984" t="s">
        <v>23476</v>
      </c>
      <c r="C404" s="984" t="s">
        <v>24394</v>
      </c>
      <c r="D404" s="981">
        <f t="shared" si="6"/>
        <v>23888</v>
      </c>
    </row>
    <row r="405" spans="1:4">
      <c r="A405" s="2356">
        <v>23927</v>
      </c>
      <c r="B405" s="984" t="s">
        <v>23824</v>
      </c>
      <c r="C405" s="984" t="s">
        <v>24690</v>
      </c>
      <c r="D405" s="981">
        <f t="shared" si="6"/>
        <v>23927</v>
      </c>
    </row>
    <row r="406" spans="1:4">
      <c r="A406" s="2356">
        <v>24019</v>
      </c>
      <c r="B406" s="984" t="s">
        <v>23814</v>
      </c>
      <c r="C406" s="984" t="s">
        <v>24682</v>
      </c>
      <c r="D406" s="981">
        <f t="shared" si="6"/>
        <v>24019</v>
      </c>
    </row>
    <row r="407" spans="1:4">
      <c r="A407" s="2356">
        <v>23586</v>
      </c>
      <c r="B407" s="984" t="s">
        <v>23777</v>
      </c>
      <c r="C407" s="984" t="s">
        <v>24651</v>
      </c>
      <c r="D407" s="981">
        <f t="shared" si="6"/>
        <v>23586</v>
      </c>
    </row>
    <row r="408" spans="1:4">
      <c r="A408" s="2356">
        <v>23137</v>
      </c>
      <c r="B408" s="984" t="s">
        <v>23492</v>
      </c>
      <c r="C408" s="984" t="s">
        <v>24410</v>
      </c>
      <c r="D408" s="981">
        <f t="shared" si="6"/>
        <v>23137</v>
      </c>
    </row>
    <row r="409" spans="1:4">
      <c r="A409" s="2356">
        <v>22114</v>
      </c>
      <c r="B409" s="984" t="s">
        <v>23188</v>
      </c>
      <c r="C409" s="984" t="s">
        <v>24114</v>
      </c>
      <c r="D409" s="981">
        <f t="shared" si="6"/>
        <v>22114</v>
      </c>
    </row>
    <row r="410" spans="1:4">
      <c r="A410" s="2356">
        <v>22186</v>
      </c>
      <c r="B410" s="984" t="s">
        <v>23587</v>
      </c>
      <c r="C410" s="984" t="s">
        <v>24505</v>
      </c>
      <c r="D410" s="981">
        <f t="shared" si="6"/>
        <v>22186</v>
      </c>
    </row>
    <row r="411" spans="1:4">
      <c r="A411" s="2356">
        <v>22788</v>
      </c>
      <c r="B411" s="984" t="s">
        <v>23195</v>
      </c>
      <c r="C411" s="984" t="s">
        <v>24121</v>
      </c>
      <c r="D411" s="981">
        <f t="shared" si="6"/>
        <v>22788</v>
      </c>
    </row>
    <row r="412" spans="1:4">
      <c r="A412" s="2356">
        <v>22747</v>
      </c>
      <c r="B412" s="984" t="s">
        <v>23380</v>
      </c>
      <c r="C412" s="984" t="s">
        <v>24304</v>
      </c>
      <c r="D412" s="981">
        <f t="shared" si="6"/>
        <v>22747</v>
      </c>
    </row>
    <row r="413" spans="1:4">
      <c r="A413" s="2356">
        <v>22967</v>
      </c>
      <c r="B413" s="984" t="s">
        <v>23569</v>
      </c>
      <c r="C413" s="984" t="s">
        <v>24485</v>
      </c>
      <c r="D413" s="981">
        <f t="shared" si="6"/>
        <v>22967</v>
      </c>
    </row>
    <row r="414" spans="1:4">
      <c r="A414" s="2356">
        <v>22859</v>
      </c>
      <c r="B414" s="984" t="s">
        <v>23177</v>
      </c>
      <c r="C414" s="984" t="s">
        <v>29883</v>
      </c>
      <c r="D414" s="981">
        <f t="shared" si="6"/>
        <v>22859</v>
      </c>
    </row>
    <row r="415" spans="1:4">
      <c r="A415" s="2356">
        <v>22825</v>
      </c>
      <c r="B415" s="984" t="s">
        <v>23687</v>
      </c>
      <c r="C415" s="984" t="s">
        <v>24601</v>
      </c>
      <c r="D415" s="981">
        <f t="shared" si="6"/>
        <v>22825</v>
      </c>
    </row>
    <row r="416" spans="1:4">
      <c r="A416" s="2356">
        <v>21969</v>
      </c>
      <c r="B416" s="984" t="s">
        <v>23263</v>
      </c>
      <c r="C416" s="984" t="s">
        <v>24186</v>
      </c>
      <c r="D416" s="981">
        <f t="shared" si="6"/>
        <v>21969</v>
      </c>
    </row>
    <row r="417" spans="1:4">
      <c r="A417" s="2356">
        <v>21428</v>
      </c>
      <c r="B417" s="984" t="s">
        <v>23293</v>
      </c>
      <c r="C417" s="984" t="s">
        <v>24217</v>
      </c>
      <c r="D417" s="981">
        <f t="shared" si="6"/>
        <v>21428</v>
      </c>
    </row>
    <row r="418" spans="1:4">
      <c r="A418" s="2356">
        <v>22778</v>
      </c>
      <c r="B418" s="984" t="s">
        <v>23250</v>
      </c>
      <c r="C418" s="984" t="s">
        <v>24174</v>
      </c>
      <c r="D418" s="981">
        <f t="shared" si="6"/>
        <v>22778</v>
      </c>
    </row>
    <row r="419" spans="1:4">
      <c r="A419" s="2356">
        <v>22763</v>
      </c>
      <c r="B419" s="984" t="s">
        <v>23137</v>
      </c>
      <c r="C419" s="984" t="s">
        <v>24065</v>
      </c>
      <c r="D419" s="981">
        <f t="shared" si="6"/>
        <v>22763</v>
      </c>
    </row>
    <row r="420" spans="1:4">
      <c r="A420" s="2356">
        <v>20752</v>
      </c>
      <c r="B420" s="984" t="s">
        <v>27882</v>
      </c>
      <c r="C420" s="984" t="s">
        <v>27163</v>
      </c>
      <c r="D420" s="981">
        <f t="shared" si="6"/>
        <v>20752</v>
      </c>
    </row>
    <row r="421" spans="1:4">
      <c r="A421" s="2356">
        <v>22786</v>
      </c>
      <c r="B421" s="984" t="s">
        <v>23485</v>
      </c>
      <c r="C421" s="984" t="s">
        <v>24403</v>
      </c>
      <c r="D421" s="981">
        <f t="shared" si="6"/>
        <v>22786</v>
      </c>
    </row>
    <row r="422" spans="1:4">
      <c r="A422" s="2356">
        <v>22766</v>
      </c>
      <c r="B422" s="984" t="s">
        <v>23117</v>
      </c>
      <c r="C422" s="984" t="s">
        <v>24046</v>
      </c>
      <c r="D422" s="981">
        <f t="shared" si="6"/>
        <v>22766</v>
      </c>
    </row>
    <row r="423" spans="1:4">
      <c r="A423" s="2356">
        <v>22126</v>
      </c>
      <c r="B423" s="984" t="s">
        <v>27888</v>
      </c>
      <c r="C423" s="984" t="s">
        <v>27171</v>
      </c>
      <c r="D423" s="981">
        <f t="shared" si="6"/>
        <v>22126</v>
      </c>
    </row>
    <row r="424" spans="1:4">
      <c r="A424" s="2356">
        <v>20331</v>
      </c>
      <c r="B424" s="984" t="s">
        <v>23820</v>
      </c>
      <c r="C424" s="984" t="s">
        <v>24686</v>
      </c>
      <c r="D424" s="981">
        <f t="shared" si="6"/>
        <v>20331</v>
      </c>
    </row>
    <row r="425" spans="1:4">
      <c r="A425" s="2356">
        <v>22962</v>
      </c>
      <c r="B425" s="984" t="s">
        <v>23509</v>
      </c>
      <c r="C425" s="984" t="s">
        <v>24426</v>
      </c>
      <c r="D425" s="981">
        <f t="shared" si="6"/>
        <v>22962</v>
      </c>
    </row>
    <row r="426" spans="1:4">
      <c r="A426" s="2356">
        <v>22749</v>
      </c>
      <c r="B426" s="984" t="s">
        <v>23256</v>
      </c>
      <c r="C426" s="984" t="s">
        <v>24179</v>
      </c>
      <c r="D426" s="981">
        <f t="shared" si="6"/>
        <v>22749</v>
      </c>
    </row>
    <row r="427" spans="1:4">
      <c r="A427" s="2356">
        <v>22580</v>
      </c>
      <c r="B427" s="984" t="s">
        <v>23220</v>
      </c>
      <c r="C427" s="984" t="s">
        <v>24145</v>
      </c>
      <c r="D427" s="981">
        <f t="shared" si="6"/>
        <v>22580</v>
      </c>
    </row>
    <row r="428" spans="1:4">
      <c r="A428" s="2356">
        <v>22446</v>
      </c>
      <c r="B428" s="984" t="s">
        <v>23613</v>
      </c>
      <c r="C428" s="984" t="s">
        <v>24530</v>
      </c>
      <c r="D428" s="981">
        <f t="shared" si="6"/>
        <v>22446</v>
      </c>
    </row>
    <row r="429" spans="1:4">
      <c r="A429" s="2356">
        <v>21609</v>
      </c>
      <c r="B429" s="984" t="s">
        <v>23529</v>
      </c>
      <c r="C429" s="984" t="s">
        <v>24447</v>
      </c>
      <c r="D429" s="981">
        <f t="shared" si="6"/>
        <v>21609</v>
      </c>
    </row>
    <row r="430" spans="1:4">
      <c r="A430" s="2356">
        <v>21726</v>
      </c>
      <c r="B430" s="984" t="s">
        <v>23318</v>
      </c>
      <c r="C430" s="984" t="s">
        <v>24242</v>
      </c>
      <c r="D430" s="981">
        <f t="shared" si="6"/>
        <v>21726</v>
      </c>
    </row>
    <row r="431" spans="1:4">
      <c r="A431" s="2356">
        <v>22308</v>
      </c>
      <c r="B431" s="984" t="s">
        <v>23706</v>
      </c>
      <c r="C431" s="984" t="s">
        <v>29827</v>
      </c>
      <c r="D431" s="981">
        <f t="shared" si="6"/>
        <v>22308</v>
      </c>
    </row>
    <row r="432" spans="1:4">
      <c r="A432" s="2356">
        <v>21586</v>
      </c>
      <c r="B432" s="984" t="s">
        <v>23790</v>
      </c>
      <c r="C432" s="984" t="s">
        <v>24662</v>
      </c>
      <c r="D432" s="981">
        <f t="shared" si="6"/>
        <v>21586</v>
      </c>
    </row>
    <row r="433" spans="1:4">
      <c r="A433" s="2356">
        <v>21562</v>
      </c>
      <c r="B433" s="984" t="s">
        <v>23004</v>
      </c>
      <c r="C433" s="984" t="s">
        <v>29829</v>
      </c>
      <c r="D433" s="981">
        <f t="shared" si="6"/>
        <v>21562</v>
      </c>
    </row>
    <row r="434" spans="1:4">
      <c r="A434" s="2356">
        <v>21503</v>
      </c>
      <c r="B434" s="984" t="s">
        <v>23058</v>
      </c>
      <c r="C434" s="984" t="s">
        <v>23988</v>
      </c>
      <c r="D434" s="981">
        <f t="shared" si="6"/>
        <v>21503</v>
      </c>
    </row>
    <row r="435" spans="1:4">
      <c r="A435" s="2356">
        <v>22965</v>
      </c>
      <c r="B435" s="984" t="s">
        <v>23365</v>
      </c>
      <c r="C435" s="984" t="s">
        <v>24289</v>
      </c>
      <c r="D435" s="981">
        <f t="shared" si="6"/>
        <v>22965</v>
      </c>
    </row>
    <row r="436" spans="1:4">
      <c r="A436" s="2356">
        <v>22855</v>
      </c>
      <c r="B436" s="984" t="s">
        <v>23072</v>
      </c>
      <c r="C436" s="984" t="s">
        <v>24002</v>
      </c>
      <c r="D436" s="981">
        <f t="shared" si="6"/>
        <v>22855</v>
      </c>
    </row>
    <row r="437" spans="1:4">
      <c r="A437" s="2356">
        <v>22841</v>
      </c>
      <c r="B437" s="984" t="s">
        <v>31918</v>
      </c>
      <c r="C437" s="984" t="s">
        <v>31919</v>
      </c>
      <c r="D437" s="981">
        <f t="shared" si="6"/>
        <v>22841</v>
      </c>
    </row>
    <row r="438" spans="1:4">
      <c r="A438" s="2356">
        <v>22185</v>
      </c>
      <c r="B438" s="984" t="s">
        <v>23525</v>
      </c>
      <c r="C438" s="984" t="s">
        <v>24443</v>
      </c>
      <c r="D438" s="981">
        <f t="shared" si="6"/>
        <v>22185</v>
      </c>
    </row>
    <row r="439" spans="1:4">
      <c r="A439" s="2356">
        <v>22807</v>
      </c>
      <c r="B439" s="984" t="s">
        <v>23530</v>
      </c>
      <c r="C439" s="984" t="s">
        <v>24448</v>
      </c>
      <c r="D439" s="981">
        <f t="shared" si="6"/>
        <v>22807</v>
      </c>
    </row>
    <row r="440" spans="1:4">
      <c r="A440" s="2356">
        <v>22754</v>
      </c>
      <c r="B440" s="984" t="s">
        <v>23658</v>
      </c>
      <c r="C440" s="984" t="s">
        <v>24572</v>
      </c>
      <c r="D440" s="981">
        <f t="shared" si="6"/>
        <v>22754</v>
      </c>
    </row>
    <row r="441" spans="1:4">
      <c r="A441" s="2356">
        <v>22688</v>
      </c>
      <c r="B441" s="984" t="s">
        <v>25694</v>
      </c>
      <c r="C441" s="984" t="s">
        <v>25693</v>
      </c>
      <c r="D441" s="981">
        <f t="shared" si="6"/>
        <v>22688</v>
      </c>
    </row>
    <row r="442" spans="1:4">
      <c r="A442" s="2356">
        <v>22175</v>
      </c>
      <c r="B442" s="984" t="s">
        <v>23081</v>
      </c>
      <c r="C442" s="984" t="s">
        <v>27174</v>
      </c>
      <c r="D442" s="981">
        <f t="shared" si="6"/>
        <v>22175</v>
      </c>
    </row>
    <row r="443" spans="1:4">
      <c r="A443" s="2356">
        <v>22898</v>
      </c>
      <c r="B443" s="984" t="s">
        <v>23526</v>
      </c>
      <c r="C443" s="984" t="s">
        <v>24444</v>
      </c>
      <c r="D443" s="981">
        <f t="shared" si="6"/>
        <v>22898</v>
      </c>
    </row>
    <row r="444" spans="1:4">
      <c r="A444" s="2356">
        <v>22860</v>
      </c>
      <c r="B444" s="984" t="s">
        <v>23702</v>
      </c>
      <c r="C444" s="984" t="s">
        <v>24615</v>
      </c>
      <c r="D444" s="981">
        <f t="shared" si="6"/>
        <v>22860</v>
      </c>
    </row>
    <row r="445" spans="1:4">
      <c r="A445" s="2356">
        <v>22845</v>
      </c>
      <c r="B445" s="984" t="s">
        <v>25698</v>
      </c>
      <c r="C445" s="984" t="s">
        <v>25697</v>
      </c>
      <c r="D445" s="981">
        <f t="shared" si="6"/>
        <v>22845</v>
      </c>
    </row>
    <row r="446" spans="1:4">
      <c r="A446" s="2356">
        <v>22923</v>
      </c>
      <c r="B446" s="984" t="s">
        <v>23685</v>
      </c>
      <c r="C446" s="984" t="s">
        <v>24599</v>
      </c>
      <c r="D446" s="981">
        <f t="shared" si="6"/>
        <v>22923</v>
      </c>
    </row>
    <row r="447" spans="1:4">
      <c r="A447" s="2356">
        <v>22796</v>
      </c>
      <c r="B447" s="984" t="s">
        <v>23308</v>
      </c>
      <c r="C447" s="984" t="s">
        <v>24232</v>
      </c>
      <c r="D447" s="981">
        <f t="shared" si="6"/>
        <v>22796</v>
      </c>
    </row>
    <row r="448" spans="1:4">
      <c r="A448" s="2356">
        <v>22351</v>
      </c>
      <c r="B448" s="984" t="s">
        <v>23171</v>
      </c>
      <c r="C448" s="984" t="s">
        <v>24098</v>
      </c>
      <c r="D448" s="981">
        <f t="shared" si="6"/>
        <v>22351</v>
      </c>
    </row>
    <row r="449" spans="1:4">
      <c r="A449" s="2356">
        <v>22734</v>
      </c>
      <c r="B449" s="984" t="s">
        <v>23524</v>
      </c>
      <c r="C449" s="984" t="s">
        <v>24442</v>
      </c>
      <c r="D449" s="981">
        <f t="shared" si="6"/>
        <v>22734</v>
      </c>
    </row>
    <row r="450" spans="1:4">
      <c r="A450" s="2356">
        <v>21591</v>
      </c>
      <c r="B450" s="984" t="s">
        <v>23047</v>
      </c>
      <c r="C450" s="984" t="s">
        <v>23977</v>
      </c>
      <c r="D450" s="981">
        <f t="shared" si="6"/>
        <v>21591</v>
      </c>
    </row>
    <row r="451" spans="1:4">
      <c r="A451" s="2356">
        <v>21540</v>
      </c>
      <c r="B451" s="984" t="s">
        <v>23091</v>
      </c>
      <c r="C451" s="984" t="s">
        <v>24020</v>
      </c>
      <c r="D451" s="981">
        <f t="shared" si="6"/>
        <v>21540</v>
      </c>
    </row>
    <row r="452" spans="1:4">
      <c r="A452" s="2356">
        <v>19775</v>
      </c>
      <c r="B452" s="984" t="s">
        <v>23066</v>
      </c>
      <c r="C452" s="984" t="s">
        <v>23996</v>
      </c>
      <c r="D452" s="981">
        <f t="shared" si="6"/>
        <v>19775</v>
      </c>
    </row>
    <row r="453" spans="1:4">
      <c r="A453" s="2356">
        <v>17452</v>
      </c>
      <c r="B453" s="984" t="s">
        <v>23692</v>
      </c>
      <c r="C453" s="984" t="s">
        <v>24606</v>
      </c>
      <c r="D453" s="981">
        <f t="shared" si="6"/>
        <v>17452</v>
      </c>
    </row>
    <row r="454" spans="1:4">
      <c r="A454" s="2356">
        <v>15984</v>
      </c>
      <c r="B454" s="984" t="s">
        <v>23267</v>
      </c>
      <c r="C454" s="984" t="s">
        <v>24190</v>
      </c>
      <c r="D454" s="981">
        <f t="shared" si="6"/>
        <v>15984</v>
      </c>
    </row>
    <row r="455" spans="1:4">
      <c r="A455" s="2356">
        <v>20171</v>
      </c>
      <c r="B455" s="984" t="s">
        <v>23493</v>
      </c>
      <c r="C455" s="984" t="s">
        <v>24411</v>
      </c>
      <c r="D455" s="981">
        <f t="shared" si="6"/>
        <v>20171</v>
      </c>
    </row>
    <row r="456" spans="1:4">
      <c r="A456" s="2356">
        <v>19771</v>
      </c>
      <c r="B456" s="984" t="s">
        <v>23142</v>
      </c>
      <c r="C456" s="984" t="s">
        <v>24070</v>
      </c>
      <c r="D456" s="981">
        <f t="shared" si="6"/>
        <v>19771</v>
      </c>
    </row>
    <row r="457" spans="1:4">
      <c r="A457" s="2356">
        <v>19892</v>
      </c>
      <c r="B457" s="984" t="s">
        <v>23411</v>
      </c>
      <c r="C457" s="984" t="s">
        <v>24332</v>
      </c>
      <c r="D457" s="981">
        <f t="shared" ref="D457:D520" si="7">+A457</f>
        <v>19892</v>
      </c>
    </row>
    <row r="458" spans="1:4">
      <c r="A458" s="2356">
        <v>19734</v>
      </c>
      <c r="B458" s="984" t="s">
        <v>23350</v>
      </c>
      <c r="C458" s="984" t="s">
        <v>24274</v>
      </c>
      <c r="D458" s="981">
        <f t="shared" si="7"/>
        <v>19734</v>
      </c>
    </row>
    <row r="459" spans="1:4">
      <c r="A459" s="2356">
        <v>19852</v>
      </c>
      <c r="B459" s="984" t="s">
        <v>23532</v>
      </c>
      <c r="C459" s="984" t="s">
        <v>24450</v>
      </c>
      <c r="D459" s="981">
        <f t="shared" si="7"/>
        <v>19852</v>
      </c>
    </row>
    <row r="460" spans="1:4">
      <c r="A460" s="2356">
        <v>17423</v>
      </c>
      <c r="B460" s="984" t="s">
        <v>23604</v>
      </c>
      <c r="C460" s="984" t="s">
        <v>24521</v>
      </c>
      <c r="D460" s="981">
        <f t="shared" si="7"/>
        <v>17423</v>
      </c>
    </row>
    <row r="461" spans="1:4">
      <c r="A461" s="2356">
        <v>20010</v>
      </c>
      <c r="B461" s="984" t="s">
        <v>23677</v>
      </c>
      <c r="C461" s="984" t="s">
        <v>24591</v>
      </c>
      <c r="D461" s="981">
        <f t="shared" si="7"/>
        <v>20010</v>
      </c>
    </row>
    <row r="462" spans="1:4">
      <c r="A462" s="2356">
        <v>19777</v>
      </c>
      <c r="B462" s="984" t="s">
        <v>23309</v>
      </c>
      <c r="C462" s="984" t="s">
        <v>24233</v>
      </c>
      <c r="D462" s="981">
        <f t="shared" si="7"/>
        <v>19777</v>
      </c>
    </row>
    <row r="463" spans="1:4">
      <c r="A463" s="2356">
        <v>16977</v>
      </c>
      <c r="B463" s="984" t="s">
        <v>23812</v>
      </c>
      <c r="C463" s="984" t="s">
        <v>24680</v>
      </c>
      <c r="D463" s="981">
        <f t="shared" si="7"/>
        <v>16977</v>
      </c>
    </row>
    <row r="464" spans="1:4">
      <c r="A464" s="2356">
        <v>16919</v>
      </c>
      <c r="B464" s="984" t="s">
        <v>23716</v>
      </c>
      <c r="C464" s="984" t="s">
        <v>24618</v>
      </c>
      <c r="D464" s="981">
        <f t="shared" si="7"/>
        <v>16919</v>
      </c>
    </row>
    <row r="465" spans="1:4">
      <c r="A465" s="2356">
        <v>17514</v>
      </c>
      <c r="B465" s="984" t="s">
        <v>22988</v>
      </c>
      <c r="C465" s="984" t="s">
        <v>23933</v>
      </c>
      <c r="D465" s="981">
        <f t="shared" si="7"/>
        <v>17514</v>
      </c>
    </row>
    <row r="466" spans="1:4">
      <c r="A466" s="2356">
        <v>17126</v>
      </c>
      <c r="B466" s="984" t="s">
        <v>23672</v>
      </c>
      <c r="C466" s="984" t="s">
        <v>24586</v>
      </c>
      <c r="D466" s="981">
        <f t="shared" si="7"/>
        <v>17126</v>
      </c>
    </row>
    <row r="467" spans="1:4">
      <c r="A467" s="2356">
        <v>17489</v>
      </c>
      <c r="B467" s="984" t="s">
        <v>30997</v>
      </c>
      <c r="C467" s="984" t="s">
        <v>31038</v>
      </c>
      <c r="D467" s="981">
        <f t="shared" si="7"/>
        <v>17489</v>
      </c>
    </row>
    <row r="468" spans="1:4">
      <c r="A468" s="2356">
        <v>16851</v>
      </c>
      <c r="B468" s="984" t="s">
        <v>23460</v>
      </c>
      <c r="C468" s="984" t="s">
        <v>24379</v>
      </c>
      <c r="D468" s="981">
        <f t="shared" si="7"/>
        <v>16851</v>
      </c>
    </row>
    <row r="469" spans="1:4">
      <c r="A469" s="2356">
        <v>17526</v>
      </c>
      <c r="B469" s="984" t="s">
        <v>23178</v>
      </c>
      <c r="C469" s="984" t="s">
        <v>24104</v>
      </c>
      <c r="D469" s="981">
        <f t="shared" si="7"/>
        <v>17526</v>
      </c>
    </row>
    <row r="470" spans="1:4">
      <c r="A470" s="2356">
        <v>17528</v>
      </c>
      <c r="B470" s="984" t="s">
        <v>23804</v>
      </c>
      <c r="C470" s="984" t="s">
        <v>24673</v>
      </c>
      <c r="D470" s="981">
        <f t="shared" si="7"/>
        <v>17528</v>
      </c>
    </row>
    <row r="471" spans="1:4">
      <c r="A471" s="2356">
        <v>19076</v>
      </c>
      <c r="B471" s="984" t="s">
        <v>23497</v>
      </c>
      <c r="C471" s="984" t="s">
        <v>24415</v>
      </c>
      <c r="D471" s="981">
        <f t="shared" si="7"/>
        <v>19076</v>
      </c>
    </row>
    <row r="472" spans="1:4">
      <c r="A472" s="2356">
        <v>17467</v>
      </c>
      <c r="B472" s="984" t="s">
        <v>27877</v>
      </c>
      <c r="C472" s="984" t="s">
        <v>27156</v>
      </c>
      <c r="D472" s="981">
        <f t="shared" si="7"/>
        <v>17467</v>
      </c>
    </row>
    <row r="473" spans="1:4">
      <c r="A473" s="2356">
        <v>17055</v>
      </c>
      <c r="B473" s="984" t="s">
        <v>23192</v>
      </c>
      <c r="C473" s="984" t="s">
        <v>24118</v>
      </c>
      <c r="D473" s="981">
        <f t="shared" si="7"/>
        <v>17055</v>
      </c>
    </row>
    <row r="474" spans="1:4">
      <c r="A474" s="2356">
        <v>17422</v>
      </c>
      <c r="B474" s="984" t="s">
        <v>23607</v>
      </c>
      <c r="C474" s="984" t="s">
        <v>24524</v>
      </c>
      <c r="D474" s="981">
        <f t="shared" si="7"/>
        <v>17422</v>
      </c>
    </row>
    <row r="475" spans="1:4">
      <c r="A475" s="2356">
        <v>17368</v>
      </c>
      <c r="B475" s="984" t="s">
        <v>31920</v>
      </c>
      <c r="C475" s="984" t="s">
        <v>31921</v>
      </c>
      <c r="D475" s="981">
        <f t="shared" si="7"/>
        <v>17368</v>
      </c>
    </row>
    <row r="476" spans="1:4">
      <c r="A476" s="2356">
        <v>17297</v>
      </c>
      <c r="B476" s="984" t="s">
        <v>23552</v>
      </c>
      <c r="C476" s="984" t="s">
        <v>24469</v>
      </c>
      <c r="D476" s="981">
        <f t="shared" si="7"/>
        <v>17297</v>
      </c>
    </row>
    <row r="477" spans="1:4">
      <c r="A477" s="2356">
        <v>17151</v>
      </c>
      <c r="B477" s="984" t="s">
        <v>27875</v>
      </c>
      <c r="C477" s="984" t="s">
        <v>27153</v>
      </c>
      <c r="D477" s="981">
        <f t="shared" si="7"/>
        <v>17151</v>
      </c>
    </row>
    <row r="478" spans="1:4">
      <c r="A478" s="2356">
        <v>17532</v>
      </c>
      <c r="B478" s="984" t="s">
        <v>23748</v>
      </c>
      <c r="C478" s="984" t="s">
        <v>24636</v>
      </c>
      <c r="D478" s="981">
        <f t="shared" si="7"/>
        <v>17532</v>
      </c>
    </row>
    <row r="479" spans="1:4">
      <c r="A479" s="2356">
        <v>17442</v>
      </c>
      <c r="B479" s="984" t="s">
        <v>29928</v>
      </c>
      <c r="C479" s="984" t="s">
        <v>29836</v>
      </c>
      <c r="D479" s="981">
        <f t="shared" si="7"/>
        <v>17442</v>
      </c>
    </row>
    <row r="480" spans="1:4">
      <c r="A480" s="2356">
        <v>16925</v>
      </c>
      <c r="B480" s="984" t="s">
        <v>23136</v>
      </c>
      <c r="C480" s="984" t="s">
        <v>24064</v>
      </c>
      <c r="D480" s="981">
        <f t="shared" si="7"/>
        <v>16925</v>
      </c>
    </row>
    <row r="481" spans="1:4">
      <c r="A481" s="2356">
        <v>16673</v>
      </c>
      <c r="B481" s="984" t="s">
        <v>23499</v>
      </c>
      <c r="C481" s="984" t="s">
        <v>24417</v>
      </c>
      <c r="D481" s="981">
        <f t="shared" si="7"/>
        <v>16673</v>
      </c>
    </row>
    <row r="482" spans="1:4">
      <c r="A482" s="2356">
        <v>17376</v>
      </c>
      <c r="B482" s="984" t="s">
        <v>23554</v>
      </c>
      <c r="C482" s="984" t="s">
        <v>24471</v>
      </c>
      <c r="D482" s="981">
        <f t="shared" si="7"/>
        <v>17376</v>
      </c>
    </row>
    <row r="483" spans="1:4">
      <c r="A483" s="2356">
        <v>17258</v>
      </c>
      <c r="B483" s="984" t="s">
        <v>23344</v>
      </c>
      <c r="C483" s="984" t="s">
        <v>24268</v>
      </c>
      <c r="D483" s="981">
        <f t="shared" si="7"/>
        <v>17258</v>
      </c>
    </row>
    <row r="484" spans="1:4">
      <c r="A484" s="2356">
        <v>17100</v>
      </c>
      <c r="B484" s="984" t="s">
        <v>23057</v>
      </c>
      <c r="C484" s="984" t="s">
        <v>23987</v>
      </c>
      <c r="D484" s="981">
        <f t="shared" si="7"/>
        <v>17100</v>
      </c>
    </row>
    <row r="485" spans="1:4">
      <c r="A485" s="2356">
        <v>14923</v>
      </c>
      <c r="B485" s="984" t="s">
        <v>23127</v>
      </c>
      <c r="C485" s="984" t="s">
        <v>24055</v>
      </c>
      <c r="D485" s="981">
        <f t="shared" si="7"/>
        <v>14923</v>
      </c>
    </row>
    <row r="486" spans="1:4">
      <c r="A486" s="2356">
        <v>12341</v>
      </c>
      <c r="B486" s="984" t="s">
        <v>22989</v>
      </c>
      <c r="C486" s="984" t="s">
        <v>23934</v>
      </c>
      <c r="D486" s="981">
        <f t="shared" si="7"/>
        <v>12341</v>
      </c>
    </row>
    <row r="487" spans="1:4">
      <c r="A487" s="2356">
        <v>12622</v>
      </c>
      <c r="B487" s="984" t="s">
        <v>23296</v>
      </c>
      <c r="C487" s="984" t="s">
        <v>24220</v>
      </c>
      <c r="D487" s="981">
        <f t="shared" si="7"/>
        <v>12622</v>
      </c>
    </row>
    <row r="488" spans="1:4">
      <c r="A488" s="2356">
        <v>13707</v>
      </c>
      <c r="B488" s="984" t="s">
        <v>23363</v>
      </c>
      <c r="C488" s="984" t="s">
        <v>24287</v>
      </c>
      <c r="D488" s="981">
        <f t="shared" si="7"/>
        <v>13707</v>
      </c>
    </row>
    <row r="489" spans="1:4">
      <c r="A489" s="2356">
        <v>15124</v>
      </c>
      <c r="B489" s="984" t="s">
        <v>23030</v>
      </c>
      <c r="C489" s="984" t="s">
        <v>23960</v>
      </c>
      <c r="D489" s="981">
        <f t="shared" si="7"/>
        <v>15124</v>
      </c>
    </row>
    <row r="490" spans="1:4">
      <c r="A490" s="2356">
        <v>14895</v>
      </c>
      <c r="B490" s="984" t="s">
        <v>23393</v>
      </c>
      <c r="C490" s="984" t="s">
        <v>24317</v>
      </c>
      <c r="D490" s="981">
        <f t="shared" si="7"/>
        <v>14895</v>
      </c>
    </row>
    <row r="491" spans="1:4">
      <c r="A491" s="2356">
        <v>13658</v>
      </c>
      <c r="B491" s="984" t="s">
        <v>27866</v>
      </c>
      <c r="C491" s="984" t="s">
        <v>27139</v>
      </c>
      <c r="D491" s="981">
        <f t="shared" si="7"/>
        <v>13658</v>
      </c>
    </row>
    <row r="492" spans="1:4">
      <c r="A492" s="2356">
        <v>15280</v>
      </c>
      <c r="B492" s="984" t="s">
        <v>23438</v>
      </c>
      <c r="C492" s="984" t="s">
        <v>24358</v>
      </c>
      <c r="D492" s="981">
        <f t="shared" si="7"/>
        <v>15280</v>
      </c>
    </row>
    <row r="493" spans="1:4">
      <c r="A493" s="2356">
        <v>14564</v>
      </c>
      <c r="B493" s="984" t="s">
        <v>23283</v>
      </c>
      <c r="C493" s="984" t="s">
        <v>24206</v>
      </c>
      <c r="D493" s="981">
        <f t="shared" si="7"/>
        <v>14564</v>
      </c>
    </row>
    <row r="494" spans="1:4">
      <c r="A494" s="2356">
        <v>13591</v>
      </c>
      <c r="B494" s="984" t="s">
        <v>23085</v>
      </c>
      <c r="C494" s="984" t="s">
        <v>24014</v>
      </c>
      <c r="D494" s="981">
        <f t="shared" si="7"/>
        <v>13591</v>
      </c>
    </row>
    <row r="495" spans="1:4">
      <c r="A495" s="2356">
        <v>14212</v>
      </c>
      <c r="B495" s="984" t="s">
        <v>22954</v>
      </c>
      <c r="C495" s="984" t="s">
        <v>25687</v>
      </c>
      <c r="D495" s="981">
        <f t="shared" si="7"/>
        <v>14212</v>
      </c>
    </row>
    <row r="496" spans="1:4">
      <c r="A496" s="2356">
        <v>14365</v>
      </c>
      <c r="B496" s="984" t="s">
        <v>22915</v>
      </c>
      <c r="C496" s="984" t="s">
        <v>23875</v>
      </c>
      <c r="D496" s="981">
        <f t="shared" si="7"/>
        <v>14365</v>
      </c>
    </row>
    <row r="497" spans="1:4">
      <c r="A497" s="2356">
        <v>14286</v>
      </c>
      <c r="B497" s="984" t="s">
        <v>23601</v>
      </c>
      <c r="C497" s="984" t="s">
        <v>24518</v>
      </c>
      <c r="D497" s="981">
        <f t="shared" si="7"/>
        <v>14286</v>
      </c>
    </row>
    <row r="498" spans="1:4">
      <c r="A498" s="2356">
        <v>14240</v>
      </c>
      <c r="B498" s="984" t="s">
        <v>22935</v>
      </c>
      <c r="C498" s="984" t="s">
        <v>23893</v>
      </c>
      <c r="D498" s="981">
        <f t="shared" si="7"/>
        <v>14240</v>
      </c>
    </row>
    <row r="499" spans="1:4">
      <c r="A499" s="2356">
        <v>14033</v>
      </c>
      <c r="B499" s="984" t="s">
        <v>23449</v>
      </c>
      <c r="C499" s="984" t="s">
        <v>24369</v>
      </c>
      <c r="D499" s="981">
        <f t="shared" si="7"/>
        <v>14033</v>
      </c>
    </row>
    <row r="500" spans="1:4">
      <c r="A500" s="2356">
        <v>13918</v>
      </c>
      <c r="B500" s="984" t="s">
        <v>23701</v>
      </c>
      <c r="C500" s="984" t="s">
        <v>24614</v>
      </c>
      <c r="D500" s="981">
        <f t="shared" si="7"/>
        <v>13918</v>
      </c>
    </row>
    <row r="501" spans="1:4">
      <c r="A501" s="2356">
        <v>13800</v>
      </c>
      <c r="B501" s="984" t="s">
        <v>23796</v>
      </c>
      <c r="C501" s="984" t="s">
        <v>24668</v>
      </c>
      <c r="D501" s="981">
        <f t="shared" si="7"/>
        <v>13800</v>
      </c>
    </row>
    <row r="502" spans="1:4">
      <c r="A502" s="2356">
        <v>14782</v>
      </c>
      <c r="B502" s="984" t="s">
        <v>23204</v>
      </c>
      <c r="C502" s="984" t="s">
        <v>24129</v>
      </c>
      <c r="D502" s="981">
        <f t="shared" si="7"/>
        <v>14782</v>
      </c>
    </row>
    <row r="503" spans="1:4">
      <c r="A503" s="2356">
        <v>14351</v>
      </c>
      <c r="B503" s="984" t="s">
        <v>27870</v>
      </c>
      <c r="C503" s="984" t="s">
        <v>27147</v>
      </c>
      <c r="D503" s="981">
        <f t="shared" si="7"/>
        <v>14351</v>
      </c>
    </row>
    <row r="504" spans="1:4">
      <c r="A504" s="2356">
        <v>13836</v>
      </c>
      <c r="B504" s="984" t="s">
        <v>23184</v>
      </c>
      <c r="C504" s="984" t="s">
        <v>24110</v>
      </c>
      <c r="D504" s="981">
        <f t="shared" si="7"/>
        <v>13836</v>
      </c>
    </row>
    <row r="505" spans="1:4">
      <c r="A505" s="2356">
        <v>14159</v>
      </c>
      <c r="B505" s="984" t="s">
        <v>22942</v>
      </c>
      <c r="C505" s="984" t="s">
        <v>25686</v>
      </c>
      <c r="D505" s="981">
        <f t="shared" si="7"/>
        <v>14159</v>
      </c>
    </row>
    <row r="506" spans="1:4">
      <c r="A506" s="2356">
        <v>14910</v>
      </c>
      <c r="B506" s="984" t="s">
        <v>23354</v>
      </c>
      <c r="C506" s="984" t="s">
        <v>24278</v>
      </c>
      <c r="D506" s="981">
        <f t="shared" si="7"/>
        <v>14910</v>
      </c>
    </row>
    <row r="507" spans="1:4">
      <c r="A507" s="2356">
        <v>15227</v>
      </c>
      <c r="B507" s="984" t="s">
        <v>23166</v>
      </c>
      <c r="C507" s="984" t="s">
        <v>24093</v>
      </c>
      <c r="D507" s="981">
        <f t="shared" si="7"/>
        <v>15227</v>
      </c>
    </row>
    <row r="508" spans="1:4">
      <c r="A508" s="2356">
        <v>14833</v>
      </c>
      <c r="B508" s="984" t="s">
        <v>23258</v>
      </c>
      <c r="C508" s="984" t="s">
        <v>24181</v>
      </c>
      <c r="D508" s="981">
        <f t="shared" si="7"/>
        <v>14833</v>
      </c>
    </row>
    <row r="509" spans="1:4">
      <c r="A509" s="2356">
        <v>14352</v>
      </c>
      <c r="B509" s="984" t="s">
        <v>23725</v>
      </c>
      <c r="C509" s="984" t="s">
        <v>24621</v>
      </c>
      <c r="D509" s="981">
        <f t="shared" si="7"/>
        <v>14352</v>
      </c>
    </row>
    <row r="510" spans="1:4">
      <c r="A510" s="2356">
        <v>14611</v>
      </c>
      <c r="B510" s="984" t="s">
        <v>23121</v>
      </c>
      <c r="C510" s="984" t="s">
        <v>24049</v>
      </c>
      <c r="D510" s="981">
        <f t="shared" si="7"/>
        <v>14611</v>
      </c>
    </row>
    <row r="511" spans="1:4">
      <c r="A511" s="2356">
        <v>14531</v>
      </c>
      <c r="B511" s="984" t="s">
        <v>23694</v>
      </c>
      <c r="C511" s="984" t="s">
        <v>24608</v>
      </c>
      <c r="D511" s="981">
        <f t="shared" si="7"/>
        <v>14531</v>
      </c>
    </row>
    <row r="512" spans="1:4">
      <c r="A512" s="2356">
        <v>14208</v>
      </c>
      <c r="B512" s="984" t="s">
        <v>22995</v>
      </c>
      <c r="C512" s="984" t="s">
        <v>23940</v>
      </c>
      <c r="D512" s="981">
        <f t="shared" si="7"/>
        <v>14208</v>
      </c>
    </row>
    <row r="513" spans="1:4">
      <c r="A513" s="2356">
        <v>14428</v>
      </c>
      <c r="B513" s="984" t="s">
        <v>23591</v>
      </c>
      <c r="C513" s="984" t="s">
        <v>31922</v>
      </c>
      <c r="D513" s="981">
        <f t="shared" si="7"/>
        <v>14428</v>
      </c>
    </row>
    <row r="514" spans="1:4">
      <c r="A514" s="2356">
        <v>14200</v>
      </c>
      <c r="B514" s="984" t="s">
        <v>23378</v>
      </c>
      <c r="C514" s="984" t="s">
        <v>24302</v>
      </c>
      <c r="D514" s="981">
        <f t="shared" si="7"/>
        <v>14200</v>
      </c>
    </row>
    <row r="515" spans="1:4">
      <c r="A515" s="2356">
        <v>14139</v>
      </c>
      <c r="B515" s="984" t="s">
        <v>23547</v>
      </c>
      <c r="C515" s="984" t="s">
        <v>24465</v>
      </c>
      <c r="D515" s="981">
        <f t="shared" si="7"/>
        <v>14139</v>
      </c>
    </row>
    <row r="516" spans="1:4">
      <c r="A516" s="2356">
        <v>13700</v>
      </c>
      <c r="B516" s="984" t="s">
        <v>23407</v>
      </c>
      <c r="C516" s="984" t="s">
        <v>24328</v>
      </c>
      <c r="D516" s="981">
        <f t="shared" si="7"/>
        <v>13700</v>
      </c>
    </row>
    <row r="517" spans="1:4">
      <c r="A517" s="2356">
        <v>13976</v>
      </c>
      <c r="B517" s="984" t="s">
        <v>22934</v>
      </c>
      <c r="C517" s="984" t="s">
        <v>31037</v>
      </c>
      <c r="D517" s="981">
        <f t="shared" si="7"/>
        <v>13976</v>
      </c>
    </row>
    <row r="518" spans="1:4">
      <c r="A518" s="2356">
        <v>13851</v>
      </c>
      <c r="B518" s="984" t="s">
        <v>23746</v>
      </c>
      <c r="C518" s="984" t="s">
        <v>24634</v>
      </c>
      <c r="D518" s="981">
        <f t="shared" si="7"/>
        <v>13851</v>
      </c>
    </row>
    <row r="519" spans="1:4">
      <c r="A519" s="2356">
        <v>12790</v>
      </c>
      <c r="B519" s="984" t="s">
        <v>22923</v>
      </c>
      <c r="C519" s="984" t="s">
        <v>23883</v>
      </c>
      <c r="D519" s="981">
        <f t="shared" si="7"/>
        <v>12790</v>
      </c>
    </row>
    <row r="520" spans="1:4">
      <c r="A520" s="2356">
        <v>7702</v>
      </c>
      <c r="B520" s="984" t="s">
        <v>23734</v>
      </c>
      <c r="C520" s="984" t="s">
        <v>24626</v>
      </c>
      <c r="D520" s="981">
        <f t="shared" si="7"/>
        <v>7702</v>
      </c>
    </row>
    <row r="521" spans="1:4">
      <c r="A521" s="2356">
        <v>7700</v>
      </c>
      <c r="B521" s="984" t="s">
        <v>22991</v>
      </c>
      <c r="C521" s="984" t="s">
        <v>23936</v>
      </c>
      <c r="D521" s="981">
        <f t="shared" ref="D521:D584" si="8">+A521</f>
        <v>7700</v>
      </c>
    </row>
    <row r="522" spans="1:4">
      <c r="A522" s="2356">
        <v>5452</v>
      </c>
      <c r="B522" s="984" t="s">
        <v>29938</v>
      </c>
      <c r="C522" s="984" t="s">
        <v>29853</v>
      </c>
      <c r="D522" s="981">
        <f t="shared" si="8"/>
        <v>5452</v>
      </c>
    </row>
    <row r="523" spans="1:4">
      <c r="A523" s="2356">
        <v>8054</v>
      </c>
      <c r="B523" s="984" t="s">
        <v>23859</v>
      </c>
      <c r="C523" s="984" t="s">
        <v>24719</v>
      </c>
      <c r="D523" s="981">
        <f t="shared" si="8"/>
        <v>8054</v>
      </c>
    </row>
    <row r="524" spans="1:4">
      <c r="A524" s="2356">
        <v>3714</v>
      </c>
      <c r="B524" s="984" t="s">
        <v>27862</v>
      </c>
      <c r="C524" s="984" t="s">
        <v>27133</v>
      </c>
      <c r="D524" s="981">
        <f t="shared" si="8"/>
        <v>3714</v>
      </c>
    </row>
    <row r="525" spans="1:4">
      <c r="A525" s="2356">
        <v>2872</v>
      </c>
      <c r="B525" s="984" t="s">
        <v>23076</v>
      </c>
      <c r="C525" s="984" t="s">
        <v>24006</v>
      </c>
      <c r="D525" s="981">
        <f t="shared" si="8"/>
        <v>2872</v>
      </c>
    </row>
    <row r="526" spans="1:4">
      <c r="A526" s="2356">
        <v>349</v>
      </c>
      <c r="B526" s="984" t="s">
        <v>23169</v>
      </c>
      <c r="C526" s="984" t="s">
        <v>24096</v>
      </c>
      <c r="D526" s="981">
        <f t="shared" si="8"/>
        <v>349</v>
      </c>
    </row>
    <row r="527" spans="1:4">
      <c r="A527" s="2356">
        <v>1211</v>
      </c>
      <c r="B527" s="984" t="s">
        <v>23693</v>
      </c>
      <c r="C527" s="984" t="s">
        <v>24607</v>
      </c>
      <c r="D527" s="981">
        <f t="shared" si="8"/>
        <v>1211</v>
      </c>
    </row>
    <row r="528" spans="1:4">
      <c r="A528" s="2356">
        <v>1301</v>
      </c>
      <c r="B528" s="984" t="s">
        <v>29923</v>
      </c>
      <c r="C528" s="984" t="s">
        <v>29820</v>
      </c>
      <c r="D528" s="981">
        <f t="shared" si="8"/>
        <v>1301</v>
      </c>
    </row>
    <row r="529" spans="1:4">
      <c r="A529" s="2356">
        <v>1761</v>
      </c>
      <c r="B529" s="984" t="s">
        <v>22921</v>
      </c>
      <c r="C529" s="984" t="s">
        <v>23881</v>
      </c>
      <c r="D529" s="981">
        <f t="shared" si="8"/>
        <v>1761</v>
      </c>
    </row>
    <row r="530" spans="1:4">
      <c r="A530" s="2356">
        <v>1879</v>
      </c>
      <c r="B530" s="984" t="s">
        <v>23522</v>
      </c>
      <c r="C530" s="984" t="s">
        <v>24440</v>
      </c>
      <c r="D530" s="981">
        <f t="shared" si="8"/>
        <v>1879</v>
      </c>
    </row>
    <row r="531" spans="1:4">
      <c r="A531" s="2356">
        <v>14172</v>
      </c>
      <c r="B531" s="984" t="s">
        <v>22917</v>
      </c>
      <c r="C531" s="984" t="s">
        <v>23877</v>
      </c>
      <c r="D531" s="981">
        <f t="shared" si="8"/>
        <v>14172</v>
      </c>
    </row>
    <row r="532" spans="1:4">
      <c r="A532" s="2356">
        <v>3045</v>
      </c>
      <c r="B532" s="984" t="s">
        <v>23787</v>
      </c>
      <c r="C532" s="984" t="s">
        <v>24660</v>
      </c>
      <c r="D532" s="981">
        <f t="shared" si="8"/>
        <v>3045</v>
      </c>
    </row>
    <row r="533" spans="1:4">
      <c r="A533" s="2356">
        <v>37011</v>
      </c>
      <c r="B533" s="984" t="s">
        <v>29943</v>
      </c>
      <c r="C533" s="984" t="s">
        <v>29864</v>
      </c>
      <c r="D533" s="981">
        <f t="shared" si="8"/>
        <v>37011</v>
      </c>
    </row>
    <row r="534" spans="1:4">
      <c r="A534" s="2356">
        <v>1439</v>
      </c>
      <c r="B534" s="984" t="s">
        <v>25021</v>
      </c>
      <c r="C534" s="984" t="s">
        <v>25022</v>
      </c>
      <c r="D534" s="981">
        <f t="shared" si="8"/>
        <v>1439</v>
      </c>
    </row>
    <row r="535" spans="1:4">
      <c r="A535" s="2356">
        <v>24816</v>
      </c>
      <c r="B535" s="984" t="s">
        <v>25729</v>
      </c>
      <c r="C535" s="984" t="s">
        <v>31075</v>
      </c>
      <c r="D535" s="981">
        <f t="shared" si="8"/>
        <v>24816</v>
      </c>
    </row>
    <row r="536" spans="1:4">
      <c r="A536" s="2356">
        <v>21358</v>
      </c>
      <c r="B536" s="984" t="s">
        <v>23750</v>
      </c>
      <c r="C536" s="984" t="s">
        <v>24638</v>
      </c>
      <c r="D536" s="981">
        <f t="shared" si="8"/>
        <v>21358</v>
      </c>
    </row>
    <row r="537" spans="1:4">
      <c r="A537" s="2356">
        <v>308</v>
      </c>
      <c r="B537" s="984" t="s">
        <v>23799</v>
      </c>
      <c r="C537" s="984" t="s">
        <v>27128</v>
      </c>
      <c r="D537" s="981">
        <f t="shared" si="8"/>
        <v>308</v>
      </c>
    </row>
    <row r="538" spans="1:4">
      <c r="A538" s="2356">
        <v>39381</v>
      </c>
      <c r="B538" s="984" t="s">
        <v>31027</v>
      </c>
      <c r="C538" s="984" t="s">
        <v>31099</v>
      </c>
      <c r="D538" s="981">
        <f t="shared" si="8"/>
        <v>39381</v>
      </c>
    </row>
    <row r="539" spans="1:4">
      <c r="A539" s="2356">
        <v>39264</v>
      </c>
      <c r="B539" s="984" t="s">
        <v>31005</v>
      </c>
      <c r="C539" s="984" t="s">
        <v>31054</v>
      </c>
      <c r="D539" s="981">
        <f t="shared" si="8"/>
        <v>39264</v>
      </c>
    </row>
    <row r="540" spans="1:4">
      <c r="A540" s="2356">
        <v>43766</v>
      </c>
      <c r="B540" s="984" t="s">
        <v>31923</v>
      </c>
      <c r="C540" s="984" t="s">
        <v>31924</v>
      </c>
      <c r="D540" s="981">
        <f t="shared" si="8"/>
        <v>43766</v>
      </c>
    </row>
    <row r="541" spans="1:4">
      <c r="A541" s="2356">
        <v>44041</v>
      </c>
      <c r="B541" s="984" t="s">
        <v>31925</v>
      </c>
      <c r="C541" s="984" t="s">
        <v>31926</v>
      </c>
      <c r="D541" s="981">
        <f t="shared" si="8"/>
        <v>44041</v>
      </c>
    </row>
    <row r="542" spans="1:4">
      <c r="A542" s="2356">
        <v>43740</v>
      </c>
      <c r="B542" s="984" t="s">
        <v>31927</v>
      </c>
      <c r="C542" s="984" t="s">
        <v>31928</v>
      </c>
      <c r="D542" s="981">
        <f t="shared" si="8"/>
        <v>43740</v>
      </c>
    </row>
    <row r="543" spans="1:4">
      <c r="A543" s="2356">
        <v>44343</v>
      </c>
      <c r="B543" s="984" t="s">
        <v>31929</v>
      </c>
      <c r="C543" s="984" t="s">
        <v>31930</v>
      </c>
      <c r="D543" s="981">
        <f t="shared" si="8"/>
        <v>44343</v>
      </c>
    </row>
    <row r="544" spans="1:4">
      <c r="A544" s="2356">
        <v>34382</v>
      </c>
      <c r="B544" s="984" t="s">
        <v>31020</v>
      </c>
      <c r="C544" s="984" t="s">
        <v>31088</v>
      </c>
      <c r="D544" s="981">
        <f t="shared" si="8"/>
        <v>34382</v>
      </c>
    </row>
    <row r="545" spans="1:4">
      <c r="A545" s="2356">
        <v>35489</v>
      </c>
      <c r="B545" s="984" t="s">
        <v>29960</v>
      </c>
      <c r="C545" s="984" t="s">
        <v>29895</v>
      </c>
      <c r="D545" s="981">
        <f t="shared" si="8"/>
        <v>35489</v>
      </c>
    </row>
    <row r="546" spans="1:4">
      <c r="A546" s="2356">
        <v>38158</v>
      </c>
      <c r="B546" s="984" t="s">
        <v>31002</v>
      </c>
      <c r="C546" s="984" t="s">
        <v>31044</v>
      </c>
      <c r="D546" s="981">
        <f t="shared" si="8"/>
        <v>38158</v>
      </c>
    </row>
    <row r="547" spans="1:4">
      <c r="A547" s="2356">
        <v>34672</v>
      </c>
      <c r="B547" s="984" t="s">
        <v>29939</v>
      </c>
      <c r="C547" s="984" t="s">
        <v>29856</v>
      </c>
      <c r="D547" s="981">
        <f t="shared" si="8"/>
        <v>34672</v>
      </c>
    </row>
    <row r="548" spans="1:4">
      <c r="A548" s="2356">
        <v>36452</v>
      </c>
      <c r="B548" s="984" t="s">
        <v>29961</v>
      </c>
      <c r="C548" s="984" t="s">
        <v>29897</v>
      </c>
      <c r="D548" s="981">
        <f t="shared" si="8"/>
        <v>36452</v>
      </c>
    </row>
    <row r="549" spans="1:4">
      <c r="A549" s="2356">
        <v>35731</v>
      </c>
      <c r="B549" s="984" t="s">
        <v>29958</v>
      </c>
      <c r="C549" s="984" t="s">
        <v>29893</v>
      </c>
      <c r="D549" s="981">
        <f t="shared" si="8"/>
        <v>35731</v>
      </c>
    </row>
    <row r="550" spans="1:4">
      <c r="A550" s="2356">
        <v>34441</v>
      </c>
      <c r="B550" s="984" t="s">
        <v>28602</v>
      </c>
      <c r="C550" s="984" t="s">
        <v>27858</v>
      </c>
      <c r="D550" s="981">
        <f t="shared" si="8"/>
        <v>34441</v>
      </c>
    </row>
    <row r="551" spans="1:4">
      <c r="A551" s="2356">
        <v>29514</v>
      </c>
      <c r="B551" s="984" t="s">
        <v>28461</v>
      </c>
      <c r="C551" s="984" t="s">
        <v>27719</v>
      </c>
      <c r="D551" s="981">
        <f t="shared" si="8"/>
        <v>29514</v>
      </c>
    </row>
    <row r="552" spans="1:4">
      <c r="A552" s="2356">
        <v>29731</v>
      </c>
      <c r="B552" s="984" t="s">
        <v>28526</v>
      </c>
      <c r="C552" s="984" t="s">
        <v>27784</v>
      </c>
      <c r="D552" s="981">
        <f t="shared" si="8"/>
        <v>29731</v>
      </c>
    </row>
    <row r="553" spans="1:4">
      <c r="A553" s="2356">
        <v>30324</v>
      </c>
      <c r="B553" s="984" t="s">
        <v>28587</v>
      </c>
      <c r="C553" s="984" t="s">
        <v>27844</v>
      </c>
      <c r="D553" s="981">
        <f t="shared" si="8"/>
        <v>30324</v>
      </c>
    </row>
    <row r="554" spans="1:4">
      <c r="A554" s="2356">
        <v>28443</v>
      </c>
      <c r="B554" s="984" t="s">
        <v>28194</v>
      </c>
      <c r="C554" s="984" t="s">
        <v>27465</v>
      </c>
      <c r="D554" s="981">
        <f t="shared" si="8"/>
        <v>28443</v>
      </c>
    </row>
    <row r="555" spans="1:4">
      <c r="A555" s="2356">
        <v>29571</v>
      </c>
      <c r="B555" s="984" t="s">
        <v>28488</v>
      </c>
      <c r="C555" s="984" t="s">
        <v>27746</v>
      </c>
      <c r="D555" s="981">
        <f t="shared" si="8"/>
        <v>29571</v>
      </c>
    </row>
    <row r="556" spans="1:4">
      <c r="A556" s="2356">
        <v>28807</v>
      </c>
      <c r="B556" s="984" t="s">
        <v>28290</v>
      </c>
      <c r="C556" s="984" t="s">
        <v>31931</v>
      </c>
      <c r="D556" s="981">
        <f t="shared" si="8"/>
        <v>28807</v>
      </c>
    </row>
    <row r="557" spans="1:4">
      <c r="A557" s="2356">
        <v>29622</v>
      </c>
      <c r="B557" s="984" t="s">
        <v>28509</v>
      </c>
      <c r="C557" s="984" t="s">
        <v>27767</v>
      </c>
      <c r="D557" s="981">
        <f t="shared" si="8"/>
        <v>29622</v>
      </c>
    </row>
    <row r="558" spans="1:4">
      <c r="A558" s="2356">
        <v>33069</v>
      </c>
      <c r="B558" s="984" t="s">
        <v>29918</v>
      </c>
      <c r="C558" s="984" t="s">
        <v>29810</v>
      </c>
      <c r="D558" s="981">
        <f t="shared" si="8"/>
        <v>33069</v>
      </c>
    </row>
    <row r="559" spans="1:4">
      <c r="A559" s="2356">
        <v>29853</v>
      </c>
      <c r="B559" s="984" t="s">
        <v>28541</v>
      </c>
      <c r="C559" s="984" t="s">
        <v>27799</v>
      </c>
      <c r="D559" s="981">
        <f t="shared" si="8"/>
        <v>29853</v>
      </c>
    </row>
    <row r="560" spans="1:4">
      <c r="A560" s="2356">
        <v>28753</v>
      </c>
      <c r="B560" s="984" t="s">
        <v>28268</v>
      </c>
      <c r="C560" s="984" t="s">
        <v>27535</v>
      </c>
      <c r="D560" s="981">
        <f t="shared" si="8"/>
        <v>28753</v>
      </c>
    </row>
    <row r="561" spans="1:4">
      <c r="A561" s="2356">
        <v>29490</v>
      </c>
      <c r="B561" s="984" t="s">
        <v>28446</v>
      </c>
      <c r="C561" s="984" t="s">
        <v>27705</v>
      </c>
      <c r="D561" s="981">
        <f t="shared" si="8"/>
        <v>29490</v>
      </c>
    </row>
    <row r="562" spans="1:4">
      <c r="A562" s="2356">
        <v>28618</v>
      </c>
      <c r="B562" s="984" t="s">
        <v>28227</v>
      </c>
      <c r="C562" s="984" t="s">
        <v>27497</v>
      </c>
      <c r="D562" s="981">
        <f t="shared" si="8"/>
        <v>28618</v>
      </c>
    </row>
    <row r="563" spans="1:4">
      <c r="A563" s="2356">
        <v>28980</v>
      </c>
      <c r="B563" s="984" t="s">
        <v>28326</v>
      </c>
      <c r="C563" s="984" t="s">
        <v>27589</v>
      </c>
      <c r="D563" s="981">
        <f t="shared" si="8"/>
        <v>28980</v>
      </c>
    </row>
    <row r="564" spans="1:4">
      <c r="A564" s="2356">
        <v>29552</v>
      </c>
      <c r="B564" s="984" t="s">
        <v>28478</v>
      </c>
      <c r="C564" s="984" t="s">
        <v>27736</v>
      </c>
      <c r="D564" s="981">
        <f t="shared" si="8"/>
        <v>29552</v>
      </c>
    </row>
    <row r="565" spans="1:4">
      <c r="A565" s="2356">
        <v>29511</v>
      </c>
      <c r="B565" s="984" t="s">
        <v>28459</v>
      </c>
      <c r="C565" s="984" t="s">
        <v>27717</v>
      </c>
      <c r="D565" s="981">
        <f t="shared" si="8"/>
        <v>29511</v>
      </c>
    </row>
    <row r="566" spans="1:4">
      <c r="A566" s="2356">
        <v>28676</v>
      </c>
      <c r="B566" s="984" t="s">
        <v>28243</v>
      </c>
      <c r="C566" s="984" t="s">
        <v>27511</v>
      </c>
      <c r="D566" s="981">
        <f t="shared" si="8"/>
        <v>28676</v>
      </c>
    </row>
    <row r="567" spans="1:4">
      <c r="A567" s="2356">
        <v>28663</v>
      </c>
      <c r="B567" s="984" t="s">
        <v>28237</v>
      </c>
      <c r="C567" s="984" t="s">
        <v>27506</v>
      </c>
      <c r="D567" s="981">
        <f t="shared" si="8"/>
        <v>28663</v>
      </c>
    </row>
    <row r="568" spans="1:4">
      <c r="A568" s="2356">
        <v>29765</v>
      </c>
      <c r="B568" s="984" t="s">
        <v>28532</v>
      </c>
      <c r="C568" s="984" t="s">
        <v>27790</v>
      </c>
      <c r="D568" s="981">
        <f t="shared" si="8"/>
        <v>29765</v>
      </c>
    </row>
    <row r="569" spans="1:4">
      <c r="A569" s="2356">
        <v>29341</v>
      </c>
      <c r="B569" s="984" t="s">
        <v>28370</v>
      </c>
      <c r="C569" s="984" t="s">
        <v>27632</v>
      </c>
      <c r="D569" s="981">
        <f t="shared" si="8"/>
        <v>29341</v>
      </c>
    </row>
    <row r="570" spans="1:4">
      <c r="A570" s="2356">
        <v>28735</v>
      </c>
      <c r="B570" s="984" t="s">
        <v>28258</v>
      </c>
      <c r="C570" s="984" t="s">
        <v>27525</v>
      </c>
      <c r="D570" s="981">
        <f t="shared" si="8"/>
        <v>28735</v>
      </c>
    </row>
    <row r="571" spans="1:4">
      <c r="A571" s="2356">
        <v>28692</v>
      </c>
      <c r="B571" s="984" t="s">
        <v>28246</v>
      </c>
      <c r="C571" s="984" t="s">
        <v>27514</v>
      </c>
      <c r="D571" s="981">
        <f t="shared" si="8"/>
        <v>28692</v>
      </c>
    </row>
    <row r="572" spans="1:4">
      <c r="A572" s="2356">
        <v>28376</v>
      </c>
      <c r="B572" s="984" t="s">
        <v>28183</v>
      </c>
      <c r="C572" s="984" t="s">
        <v>27456</v>
      </c>
      <c r="D572" s="981">
        <f t="shared" si="8"/>
        <v>28376</v>
      </c>
    </row>
    <row r="573" spans="1:4">
      <c r="A573" s="2356">
        <v>29576</v>
      </c>
      <c r="B573" s="984" t="s">
        <v>28491</v>
      </c>
      <c r="C573" s="984" t="s">
        <v>27749</v>
      </c>
      <c r="D573" s="981">
        <f t="shared" si="8"/>
        <v>29576</v>
      </c>
    </row>
    <row r="574" spans="1:4">
      <c r="A574" s="2356">
        <v>29484</v>
      </c>
      <c r="B574" s="984" t="s">
        <v>28443</v>
      </c>
      <c r="C574" s="984" t="s">
        <v>27702</v>
      </c>
      <c r="D574" s="981">
        <f t="shared" si="8"/>
        <v>29484</v>
      </c>
    </row>
    <row r="575" spans="1:4">
      <c r="A575" s="2356">
        <v>28874</v>
      </c>
      <c r="B575" s="984" t="s">
        <v>28308</v>
      </c>
      <c r="C575" s="984" t="s">
        <v>27573</v>
      </c>
      <c r="D575" s="981">
        <f t="shared" si="8"/>
        <v>28874</v>
      </c>
    </row>
    <row r="576" spans="1:4">
      <c r="A576" s="2356">
        <v>28889</v>
      </c>
      <c r="B576" s="984" t="s">
        <v>28314</v>
      </c>
      <c r="C576" s="984" t="s">
        <v>27578</v>
      </c>
      <c r="D576" s="981">
        <f t="shared" si="8"/>
        <v>28889</v>
      </c>
    </row>
    <row r="577" spans="1:4">
      <c r="A577" s="2356">
        <v>28826</v>
      </c>
      <c r="B577" s="984" t="s">
        <v>28296</v>
      </c>
      <c r="C577" s="984" t="s">
        <v>27562</v>
      </c>
      <c r="D577" s="981">
        <f t="shared" si="8"/>
        <v>28826</v>
      </c>
    </row>
    <row r="578" spans="1:4">
      <c r="A578" s="2356">
        <v>30177</v>
      </c>
      <c r="B578" s="984" t="s">
        <v>28580</v>
      </c>
      <c r="C578" s="984" t="s">
        <v>27838</v>
      </c>
      <c r="D578" s="981">
        <f t="shared" si="8"/>
        <v>30177</v>
      </c>
    </row>
    <row r="579" spans="1:4">
      <c r="A579" s="2356">
        <v>28955</v>
      </c>
      <c r="B579" s="984" t="s">
        <v>28323</v>
      </c>
      <c r="C579" s="984" t="s">
        <v>27586</v>
      </c>
      <c r="D579" s="981">
        <f t="shared" si="8"/>
        <v>28955</v>
      </c>
    </row>
    <row r="580" spans="1:4">
      <c r="A580" s="2356">
        <v>28631</v>
      </c>
      <c r="B580" s="984" t="s">
        <v>28232</v>
      </c>
      <c r="C580" s="984" t="s">
        <v>27502</v>
      </c>
      <c r="D580" s="981">
        <f t="shared" si="8"/>
        <v>28631</v>
      </c>
    </row>
    <row r="581" spans="1:4">
      <c r="A581" s="2356">
        <v>28390</v>
      </c>
      <c r="B581" s="984" t="s">
        <v>28188</v>
      </c>
      <c r="C581" s="984" t="s">
        <v>27461</v>
      </c>
      <c r="D581" s="981">
        <f t="shared" si="8"/>
        <v>28390</v>
      </c>
    </row>
    <row r="582" spans="1:4">
      <c r="A582" s="2356">
        <v>30197</v>
      </c>
      <c r="B582" s="984" t="s">
        <v>28583</v>
      </c>
      <c r="C582" s="984" t="s">
        <v>27841</v>
      </c>
      <c r="D582" s="981">
        <f t="shared" si="8"/>
        <v>30197</v>
      </c>
    </row>
    <row r="583" spans="1:4">
      <c r="A583" s="2356">
        <v>28789</v>
      </c>
      <c r="B583" s="984" t="s">
        <v>28283</v>
      </c>
      <c r="C583" s="984" t="s">
        <v>27550</v>
      </c>
      <c r="D583" s="981">
        <f t="shared" si="8"/>
        <v>28789</v>
      </c>
    </row>
    <row r="584" spans="1:4">
      <c r="A584" s="2356">
        <v>29638</v>
      </c>
      <c r="B584" s="984" t="s">
        <v>28511</v>
      </c>
      <c r="C584" s="984" t="s">
        <v>27769</v>
      </c>
      <c r="D584" s="981">
        <f t="shared" si="8"/>
        <v>29638</v>
      </c>
    </row>
    <row r="585" spans="1:4">
      <c r="A585" s="2356">
        <v>29349</v>
      </c>
      <c r="B585" s="984" t="s">
        <v>28374</v>
      </c>
      <c r="C585" s="984" t="s">
        <v>24277</v>
      </c>
      <c r="D585" s="981">
        <f t="shared" ref="D585:D648" si="9">+A585</f>
        <v>29349</v>
      </c>
    </row>
    <row r="586" spans="1:4">
      <c r="A586" s="2356">
        <v>28343</v>
      </c>
      <c r="B586" s="984" t="s">
        <v>28167</v>
      </c>
      <c r="C586" s="984" t="s">
        <v>27440</v>
      </c>
      <c r="D586" s="981">
        <f t="shared" si="9"/>
        <v>28343</v>
      </c>
    </row>
    <row r="587" spans="1:4">
      <c r="A587" s="2356">
        <v>30209</v>
      </c>
      <c r="B587" s="984" t="s">
        <v>28584</v>
      </c>
      <c r="C587" s="984" t="s">
        <v>29824</v>
      </c>
      <c r="D587" s="981">
        <f t="shared" si="9"/>
        <v>30209</v>
      </c>
    </row>
    <row r="588" spans="1:4">
      <c r="A588" s="2356">
        <v>29603</v>
      </c>
      <c r="B588" s="984" t="s">
        <v>28504</v>
      </c>
      <c r="C588" s="984" t="s">
        <v>27762</v>
      </c>
      <c r="D588" s="981">
        <f t="shared" si="9"/>
        <v>29603</v>
      </c>
    </row>
    <row r="589" spans="1:4">
      <c r="A589" s="2356">
        <v>29996</v>
      </c>
      <c r="B589" s="984" t="s">
        <v>28550</v>
      </c>
      <c r="C589" s="984" t="s">
        <v>27808</v>
      </c>
      <c r="D589" s="981">
        <f t="shared" si="9"/>
        <v>29996</v>
      </c>
    </row>
    <row r="590" spans="1:4">
      <c r="A590" s="2356">
        <v>28573</v>
      </c>
      <c r="B590" s="984" t="s">
        <v>28218</v>
      </c>
      <c r="C590" s="984" t="s">
        <v>27488</v>
      </c>
      <c r="D590" s="981">
        <f t="shared" si="9"/>
        <v>28573</v>
      </c>
    </row>
    <row r="591" spans="1:4">
      <c r="A591" s="2356">
        <v>29772</v>
      </c>
      <c r="B591" s="984" t="s">
        <v>28534</v>
      </c>
      <c r="C591" s="984" t="s">
        <v>27792</v>
      </c>
      <c r="D591" s="981">
        <f t="shared" si="9"/>
        <v>29772</v>
      </c>
    </row>
    <row r="592" spans="1:4">
      <c r="A592" s="2356">
        <v>30152</v>
      </c>
      <c r="B592" s="984" t="s">
        <v>28576</v>
      </c>
      <c r="C592" s="984" t="s">
        <v>27834</v>
      </c>
      <c r="D592" s="981">
        <f t="shared" si="9"/>
        <v>30152</v>
      </c>
    </row>
    <row r="593" spans="1:4">
      <c r="A593" s="2356">
        <v>29458</v>
      </c>
      <c r="B593" s="984" t="s">
        <v>28427</v>
      </c>
      <c r="C593" s="984" t="s">
        <v>27686</v>
      </c>
      <c r="D593" s="981">
        <f t="shared" si="9"/>
        <v>29458</v>
      </c>
    </row>
    <row r="594" spans="1:4">
      <c r="A594" s="2356">
        <v>29372</v>
      </c>
      <c r="B594" s="984" t="s">
        <v>28385</v>
      </c>
      <c r="C594" s="984" t="s">
        <v>27645</v>
      </c>
      <c r="D594" s="981">
        <f t="shared" si="9"/>
        <v>29372</v>
      </c>
    </row>
    <row r="595" spans="1:4">
      <c r="A595" s="2356">
        <v>24373</v>
      </c>
      <c r="B595" s="984" t="s">
        <v>25716</v>
      </c>
      <c r="C595" s="984" t="s">
        <v>25715</v>
      </c>
      <c r="D595" s="981">
        <f t="shared" si="9"/>
        <v>24373</v>
      </c>
    </row>
    <row r="596" spans="1:4">
      <c r="A596" s="2356">
        <v>28076</v>
      </c>
      <c r="B596" s="984" t="s">
        <v>28074</v>
      </c>
      <c r="C596" s="984" t="s">
        <v>27354</v>
      </c>
      <c r="D596" s="981">
        <f t="shared" si="9"/>
        <v>28076</v>
      </c>
    </row>
    <row r="597" spans="1:4">
      <c r="A597" s="2356">
        <v>27792</v>
      </c>
      <c r="B597" s="984" t="s">
        <v>27920</v>
      </c>
      <c r="C597" s="984" t="s">
        <v>27211</v>
      </c>
      <c r="D597" s="981">
        <f t="shared" si="9"/>
        <v>27792</v>
      </c>
    </row>
    <row r="598" spans="1:4">
      <c r="A598" s="2356">
        <v>27861</v>
      </c>
      <c r="B598" s="984" t="s">
        <v>27954</v>
      </c>
      <c r="C598" s="984" t="s">
        <v>27244</v>
      </c>
      <c r="D598" s="981">
        <f t="shared" si="9"/>
        <v>27861</v>
      </c>
    </row>
    <row r="599" spans="1:4">
      <c r="A599" s="2356">
        <v>27809</v>
      </c>
      <c r="B599" s="984" t="s">
        <v>27929</v>
      </c>
      <c r="C599" s="984" t="s">
        <v>27220</v>
      </c>
      <c r="D599" s="981">
        <f t="shared" si="9"/>
        <v>27809</v>
      </c>
    </row>
    <row r="600" spans="1:4">
      <c r="A600" s="2356">
        <v>26037</v>
      </c>
      <c r="B600" s="984" t="s">
        <v>25956</v>
      </c>
      <c r="C600" s="984" t="s">
        <v>25955</v>
      </c>
      <c r="D600" s="981">
        <f t="shared" si="9"/>
        <v>26037</v>
      </c>
    </row>
    <row r="601" spans="1:4">
      <c r="A601" s="2356">
        <v>25997</v>
      </c>
      <c r="B601" s="984" t="s">
        <v>25936</v>
      </c>
      <c r="C601" s="984" t="s">
        <v>25935</v>
      </c>
      <c r="D601" s="981">
        <f t="shared" si="9"/>
        <v>25997</v>
      </c>
    </row>
    <row r="602" spans="1:4">
      <c r="A602" s="2356">
        <v>25957</v>
      </c>
      <c r="B602" s="984" t="s">
        <v>25907</v>
      </c>
      <c r="C602" s="984" t="s">
        <v>25906</v>
      </c>
      <c r="D602" s="981">
        <f t="shared" si="9"/>
        <v>25957</v>
      </c>
    </row>
    <row r="603" spans="1:4">
      <c r="A603" s="2356">
        <v>24703</v>
      </c>
      <c r="B603" s="984" t="s">
        <v>25109</v>
      </c>
      <c r="C603" s="984" t="s">
        <v>25110</v>
      </c>
      <c r="D603" s="981">
        <f t="shared" si="9"/>
        <v>24703</v>
      </c>
    </row>
    <row r="604" spans="1:4">
      <c r="A604" s="2356">
        <v>24419</v>
      </c>
      <c r="B604" s="984" t="s">
        <v>23573</v>
      </c>
      <c r="C604" s="984" t="s">
        <v>24490</v>
      </c>
      <c r="D604" s="981">
        <f t="shared" si="9"/>
        <v>24419</v>
      </c>
    </row>
    <row r="605" spans="1:4">
      <c r="A605" s="2356">
        <v>27840</v>
      </c>
      <c r="B605" s="984" t="s">
        <v>27945</v>
      </c>
      <c r="C605" s="984" t="s">
        <v>27235</v>
      </c>
      <c r="D605" s="981">
        <f t="shared" si="9"/>
        <v>27840</v>
      </c>
    </row>
    <row r="606" spans="1:4">
      <c r="A606" s="2356">
        <v>24598</v>
      </c>
      <c r="B606" s="984" t="s">
        <v>25065</v>
      </c>
      <c r="C606" s="984" t="s">
        <v>25066</v>
      </c>
      <c r="D606" s="981">
        <f t="shared" si="9"/>
        <v>24598</v>
      </c>
    </row>
    <row r="607" spans="1:4">
      <c r="A607" s="2356">
        <v>24109</v>
      </c>
      <c r="B607" s="984" t="s">
        <v>23580</v>
      </c>
      <c r="C607" s="984" t="s">
        <v>24497</v>
      </c>
      <c r="D607" s="981">
        <f t="shared" si="9"/>
        <v>24109</v>
      </c>
    </row>
    <row r="608" spans="1:4">
      <c r="A608" s="2356">
        <v>28061</v>
      </c>
      <c r="B608" s="984" t="s">
        <v>28063</v>
      </c>
      <c r="C608" s="984" t="s">
        <v>27345</v>
      </c>
      <c r="D608" s="981">
        <f t="shared" si="9"/>
        <v>28061</v>
      </c>
    </row>
    <row r="609" spans="1:4">
      <c r="A609" s="2356">
        <v>29373</v>
      </c>
      <c r="B609" s="984" t="s">
        <v>28386</v>
      </c>
      <c r="C609" s="984" t="s">
        <v>27646</v>
      </c>
      <c r="D609" s="981">
        <f t="shared" si="9"/>
        <v>29373</v>
      </c>
    </row>
    <row r="610" spans="1:4">
      <c r="A610" s="2356">
        <v>27329</v>
      </c>
      <c r="B610" s="984" t="s">
        <v>26532</v>
      </c>
      <c r="C610" s="984" t="s">
        <v>26538</v>
      </c>
      <c r="D610" s="981">
        <f t="shared" si="9"/>
        <v>27329</v>
      </c>
    </row>
    <row r="611" spans="1:4">
      <c r="A611" s="2356">
        <v>26688</v>
      </c>
      <c r="B611" s="984" t="s">
        <v>26020</v>
      </c>
      <c r="C611" s="984" t="s">
        <v>26019</v>
      </c>
      <c r="D611" s="981">
        <f t="shared" si="9"/>
        <v>26688</v>
      </c>
    </row>
    <row r="612" spans="1:4">
      <c r="A612" s="2356">
        <v>26582</v>
      </c>
      <c r="B612" s="984" t="s">
        <v>26004</v>
      </c>
      <c r="C612" s="984" t="s">
        <v>26003</v>
      </c>
      <c r="D612" s="981">
        <f t="shared" si="9"/>
        <v>26582</v>
      </c>
    </row>
    <row r="613" spans="1:4">
      <c r="A613" s="2356">
        <v>25866</v>
      </c>
      <c r="B613" s="984" t="s">
        <v>25857</v>
      </c>
      <c r="C613" s="984" t="s">
        <v>25856</v>
      </c>
      <c r="D613" s="981">
        <f t="shared" si="9"/>
        <v>25866</v>
      </c>
    </row>
    <row r="614" spans="1:4">
      <c r="A614" s="2356">
        <v>24570</v>
      </c>
      <c r="B614" s="984" t="s">
        <v>25035</v>
      </c>
      <c r="C614" s="984" t="s">
        <v>25036</v>
      </c>
      <c r="D614" s="981">
        <f t="shared" si="9"/>
        <v>24570</v>
      </c>
    </row>
    <row r="615" spans="1:4">
      <c r="A615" s="2356">
        <v>28113</v>
      </c>
      <c r="B615" s="984" t="s">
        <v>28096</v>
      </c>
      <c r="C615" s="984" t="s">
        <v>27376</v>
      </c>
      <c r="D615" s="981">
        <f t="shared" si="9"/>
        <v>28113</v>
      </c>
    </row>
    <row r="616" spans="1:4">
      <c r="A616" s="2356">
        <v>27215</v>
      </c>
      <c r="B616" s="984" t="s">
        <v>26045</v>
      </c>
      <c r="C616" s="984" t="s">
        <v>26044</v>
      </c>
      <c r="D616" s="981">
        <f t="shared" si="9"/>
        <v>27215</v>
      </c>
    </row>
    <row r="617" spans="1:4">
      <c r="A617" s="2356">
        <v>25979</v>
      </c>
      <c r="B617" s="984" t="s">
        <v>25923</v>
      </c>
      <c r="C617" s="984" t="s">
        <v>25922</v>
      </c>
      <c r="D617" s="981">
        <f t="shared" si="9"/>
        <v>25979</v>
      </c>
    </row>
    <row r="618" spans="1:4">
      <c r="A618" s="2356">
        <v>28323</v>
      </c>
      <c r="B618" s="984" t="s">
        <v>28156</v>
      </c>
      <c r="C618" s="984" t="s">
        <v>27429</v>
      </c>
      <c r="D618" s="981">
        <f t="shared" si="9"/>
        <v>28323</v>
      </c>
    </row>
    <row r="619" spans="1:4">
      <c r="A619" s="2356">
        <v>24562</v>
      </c>
      <c r="B619" s="984" t="s">
        <v>25029</v>
      </c>
      <c r="C619" s="984" t="s">
        <v>25030</v>
      </c>
      <c r="D619" s="981">
        <f t="shared" si="9"/>
        <v>24562</v>
      </c>
    </row>
    <row r="620" spans="1:4">
      <c r="A620" s="2356">
        <v>27794</v>
      </c>
      <c r="B620" s="984" t="s">
        <v>27921</v>
      </c>
      <c r="C620" s="984" t="s">
        <v>27212</v>
      </c>
      <c r="D620" s="981">
        <f t="shared" si="9"/>
        <v>27794</v>
      </c>
    </row>
    <row r="621" spans="1:4">
      <c r="A621" s="2356">
        <v>29774</v>
      </c>
      <c r="B621" s="984" t="s">
        <v>28536</v>
      </c>
      <c r="C621" s="984" t="s">
        <v>27794</v>
      </c>
      <c r="D621" s="981">
        <f t="shared" si="9"/>
        <v>29774</v>
      </c>
    </row>
    <row r="622" spans="1:4">
      <c r="A622" s="2356">
        <v>27872</v>
      </c>
      <c r="B622" s="984" t="s">
        <v>27959</v>
      </c>
      <c r="C622" s="984" t="s">
        <v>27249</v>
      </c>
      <c r="D622" s="981">
        <f t="shared" si="9"/>
        <v>27872</v>
      </c>
    </row>
    <row r="623" spans="1:4">
      <c r="A623" s="2356">
        <v>27799</v>
      </c>
      <c r="B623" s="984" t="s">
        <v>27924</v>
      </c>
      <c r="C623" s="984" t="s">
        <v>27215</v>
      </c>
      <c r="D623" s="981">
        <f t="shared" si="9"/>
        <v>27799</v>
      </c>
    </row>
    <row r="624" spans="1:4">
      <c r="A624" s="2356">
        <v>27813</v>
      </c>
      <c r="B624" s="984" t="s">
        <v>27932</v>
      </c>
      <c r="C624" s="984" t="s">
        <v>27223</v>
      </c>
      <c r="D624" s="981">
        <f t="shared" si="9"/>
        <v>27813</v>
      </c>
    </row>
    <row r="625" spans="1:4">
      <c r="A625" s="2356">
        <v>28014</v>
      </c>
      <c r="B625" s="984" t="s">
        <v>28028</v>
      </c>
      <c r="C625" s="984" t="s">
        <v>27312</v>
      </c>
      <c r="D625" s="981">
        <f t="shared" si="9"/>
        <v>28014</v>
      </c>
    </row>
    <row r="626" spans="1:4">
      <c r="A626" s="2356">
        <v>25831</v>
      </c>
      <c r="B626" s="984" t="s">
        <v>25839</v>
      </c>
      <c r="C626" s="984" t="s">
        <v>25838</v>
      </c>
      <c r="D626" s="981">
        <f t="shared" si="9"/>
        <v>25831</v>
      </c>
    </row>
    <row r="627" spans="1:4">
      <c r="A627" s="2356">
        <v>28295</v>
      </c>
      <c r="B627" s="984" t="s">
        <v>28146</v>
      </c>
      <c r="C627" s="984" t="s">
        <v>27422</v>
      </c>
      <c r="D627" s="981">
        <f t="shared" si="9"/>
        <v>28295</v>
      </c>
    </row>
    <row r="628" spans="1:4">
      <c r="A628" s="2356">
        <v>27963</v>
      </c>
      <c r="B628" s="984" t="s">
        <v>28003</v>
      </c>
      <c r="C628" s="984" t="s">
        <v>27289</v>
      </c>
      <c r="D628" s="981">
        <f t="shared" si="9"/>
        <v>27963</v>
      </c>
    </row>
    <row r="629" spans="1:4">
      <c r="A629" s="2356">
        <v>28090</v>
      </c>
      <c r="B629" s="984" t="s">
        <v>28084</v>
      </c>
      <c r="C629" s="984" t="s">
        <v>27364</v>
      </c>
      <c r="D629" s="981">
        <f t="shared" si="9"/>
        <v>28090</v>
      </c>
    </row>
    <row r="630" spans="1:4">
      <c r="A630" s="2356">
        <v>28017</v>
      </c>
      <c r="B630" s="984" t="s">
        <v>28031</v>
      </c>
      <c r="C630" s="984" t="s">
        <v>27314</v>
      </c>
      <c r="D630" s="981">
        <f t="shared" si="9"/>
        <v>28017</v>
      </c>
    </row>
    <row r="631" spans="1:4">
      <c r="A631" s="2356">
        <v>28110</v>
      </c>
      <c r="B631" s="984" t="s">
        <v>28095</v>
      </c>
      <c r="C631" s="984" t="s">
        <v>27375</v>
      </c>
      <c r="D631" s="981">
        <f t="shared" si="9"/>
        <v>28110</v>
      </c>
    </row>
    <row r="632" spans="1:4">
      <c r="A632" s="2356">
        <v>25365</v>
      </c>
      <c r="B632" s="984" t="s">
        <v>25782</v>
      </c>
      <c r="C632" s="984" t="s">
        <v>25781</v>
      </c>
      <c r="D632" s="981">
        <f t="shared" si="9"/>
        <v>25365</v>
      </c>
    </row>
    <row r="633" spans="1:4">
      <c r="A633" s="2356">
        <v>25324</v>
      </c>
      <c r="B633" s="984" t="s">
        <v>25764</v>
      </c>
      <c r="C633" s="984" t="s">
        <v>25763</v>
      </c>
      <c r="D633" s="981">
        <f t="shared" si="9"/>
        <v>25324</v>
      </c>
    </row>
    <row r="634" spans="1:4">
      <c r="A634" s="2356">
        <v>27183</v>
      </c>
      <c r="B634" s="984" t="s">
        <v>26042</v>
      </c>
      <c r="C634" s="984" t="s">
        <v>26041</v>
      </c>
      <c r="D634" s="981">
        <f t="shared" si="9"/>
        <v>27183</v>
      </c>
    </row>
    <row r="635" spans="1:4">
      <c r="A635" s="2356">
        <v>25391</v>
      </c>
      <c r="B635" s="984" t="s">
        <v>25784</v>
      </c>
      <c r="C635" s="984" t="s">
        <v>25783</v>
      </c>
      <c r="D635" s="981">
        <f t="shared" si="9"/>
        <v>25391</v>
      </c>
    </row>
    <row r="636" spans="1:4">
      <c r="A636" s="2356">
        <v>24907</v>
      </c>
      <c r="B636" s="984" t="s">
        <v>25737</v>
      </c>
      <c r="C636" s="984" t="s">
        <v>25736</v>
      </c>
      <c r="D636" s="981">
        <f t="shared" si="9"/>
        <v>24907</v>
      </c>
    </row>
    <row r="637" spans="1:4">
      <c r="A637" s="2356">
        <v>25934</v>
      </c>
      <c r="B637" s="984" t="s">
        <v>25893</v>
      </c>
      <c r="C637" s="984" t="s">
        <v>25892</v>
      </c>
      <c r="D637" s="981">
        <f t="shared" si="9"/>
        <v>25934</v>
      </c>
    </row>
    <row r="638" spans="1:4">
      <c r="A638" s="2356">
        <v>24745</v>
      </c>
      <c r="B638" s="984" t="s">
        <v>25718</v>
      </c>
      <c r="C638" s="984" t="s">
        <v>25717</v>
      </c>
      <c r="D638" s="981">
        <f t="shared" si="9"/>
        <v>24745</v>
      </c>
    </row>
    <row r="639" spans="1:4">
      <c r="A639" s="2356">
        <v>25578</v>
      </c>
      <c r="B639" s="984" t="s">
        <v>25792</v>
      </c>
      <c r="C639" s="984" t="s">
        <v>25791</v>
      </c>
      <c r="D639" s="981">
        <f t="shared" si="9"/>
        <v>25578</v>
      </c>
    </row>
    <row r="640" spans="1:4">
      <c r="A640" s="2356">
        <v>27930</v>
      </c>
      <c r="B640" s="984" t="s">
        <v>27985</v>
      </c>
      <c r="C640" s="984" t="s">
        <v>27273</v>
      </c>
      <c r="D640" s="981">
        <f t="shared" si="9"/>
        <v>27930</v>
      </c>
    </row>
    <row r="641" spans="1:4">
      <c r="A641" s="2356">
        <v>27507</v>
      </c>
      <c r="B641" s="984" t="s">
        <v>27911</v>
      </c>
      <c r="C641" s="984" t="s">
        <v>27202</v>
      </c>
      <c r="D641" s="981">
        <f t="shared" si="9"/>
        <v>27507</v>
      </c>
    </row>
    <row r="642" spans="1:4">
      <c r="A642" s="2356">
        <v>27839</v>
      </c>
      <c r="B642" s="984" t="s">
        <v>27944</v>
      </c>
      <c r="C642" s="984" t="s">
        <v>27234</v>
      </c>
      <c r="D642" s="981">
        <f t="shared" si="9"/>
        <v>27839</v>
      </c>
    </row>
    <row r="643" spans="1:4">
      <c r="A643" s="2356">
        <v>27931</v>
      </c>
      <c r="B643" s="984" t="s">
        <v>27986</v>
      </c>
      <c r="C643" s="984" t="s">
        <v>31932</v>
      </c>
      <c r="D643" s="981">
        <f t="shared" si="9"/>
        <v>27931</v>
      </c>
    </row>
    <row r="644" spans="1:4">
      <c r="A644" s="2356">
        <v>24610</v>
      </c>
      <c r="B644" s="984" t="s">
        <v>25080</v>
      </c>
      <c r="C644" s="984" t="s">
        <v>25081</v>
      </c>
      <c r="D644" s="981">
        <f t="shared" si="9"/>
        <v>24610</v>
      </c>
    </row>
    <row r="645" spans="1:4">
      <c r="A645" s="2356">
        <v>27810</v>
      </c>
      <c r="B645" s="984" t="s">
        <v>27930</v>
      </c>
      <c r="C645" s="984" t="s">
        <v>27221</v>
      </c>
      <c r="D645" s="981">
        <f t="shared" si="9"/>
        <v>27810</v>
      </c>
    </row>
    <row r="646" spans="1:4">
      <c r="A646" s="2356">
        <v>28043</v>
      </c>
      <c r="B646" s="984" t="s">
        <v>28051</v>
      </c>
      <c r="C646" s="984" t="s">
        <v>27334</v>
      </c>
      <c r="D646" s="981">
        <f t="shared" si="9"/>
        <v>28043</v>
      </c>
    </row>
    <row r="647" spans="1:4">
      <c r="A647" s="2356">
        <v>28000</v>
      </c>
      <c r="B647" s="984" t="s">
        <v>28019</v>
      </c>
      <c r="C647" s="984" t="s">
        <v>27304</v>
      </c>
      <c r="D647" s="981">
        <f t="shared" si="9"/>
        <v>28000</v>
      </c>
    </row>
    <row r="648" spans="1:4">
      <c r="A648" s="2356">
        <v>27996</v>
      </c>
      <c r="B648" s="984" t="s">
        <v>28017</v>
      </c>
      <c r="C648" s="984" t="s">
        <v>27302</v>
      </c>
      <c r="D648" s="981">
        <f t="shared" si="9"/>
        <v>27996</v>
      </c>
    </row>
    <row r="649" spans="1:4">
      <c r="A649" s="2356">
        <v>27914</v>
      </c>
      <c r="B649" s="984" t="s">
        <v>27976</v>
      </c>
      <c r="C649" s="984" t="s">
        <v>27264</v>
      </c>
      <c r="D649" s="981">
        <f t="shared" ref="D649:D712" si="10">+A649</f>
        <v>27914</v>
      </c>
    </row>
    <row r="650" spans="1:4">
      <c r="A650" s="2356">
        <v>27812</v>
      </c>
      <c r="B650" s="984" t="s">
        <v>27931</v>
      </c>
      <c r="C650" s="984" t="s">
        <v>27222</v>
      </c>
      <c r="D650" s="981">
        <f t="shared" si="10"/>
        <v>27812</v>
      </c>
    </row>
    <row r="651" spans="1:4">
      <c r="A651" s="2356">
        <v>24093</v>
      </c>
      <c r="B651" s="984" t="s">
        <v>23162</v>
      </c>
      <c r="C651" s="984" t="s">
        <v>24089</v>
      </c>
      <c r="D651" s="981">
        <f t="shared" si="10"/>
        <v>24093</v>
      </c>
    </row>
    <row r="652" spans="1:4">
      <c r="A652" s="2356">
        <v>27883</v>
      </c>
      <c r="B652" s="984" t="s">
        <v>27963</v>
      </c>
      <c r="C652" s="984" t="s">
        <v>27253</v>
      </c>
      <c r="D652" s="981">
        <f t="shared" si="10"/>
        <v>27883</v>
      </c>
    </row>
    <row r="653" spans="1:4">
      <c r="A653" s="2356">
        <v>27081</v>
      </c>
      <c r="B653" s="984" t="s">
        <v>26035</v>
      </c>
      <c r="C653" s="984" t="s">
        <v>26034</v>
      </c>
      <c r="D653" s="981">
        <f t="shared" si="10"/>
        <v>27081</v>
      </c>
    </row>
    <row r="654" spans="1:4">
      <c r="A654" s="2356">
        <v>26000</v>
      </c>
      <c r="B654" s="984" t="s">
        <v>25938</v>
      </c>
      <c r="C654" s="984" t="s">
        <v>25937</v>
      </c>
      <c r="D654" s="981">
        <f t="shared" si="10"/>
        <v>26000</v>
      </c>
    </row>
    <row r="655" spans="1:4">
      <c r="A655" s="2356">
        <v>24597</v>
      </c>
      <c r="B655" s="984" t="s">
        <v>25063</v>
      </c>
      <c r="C655" s="984" t="s">
        <v>25064</v>
      </c>
      <c r="D655" s="981">
        <f t="shared" si="10"/>
        <v>24597</v>
      </c>
    </row>
    <row r="656" spans="1:4">
      <c r="A656" s="2356">
        <v>24760</v>
      </c>
      <c r="B656" s="984" t="s">
        <v>25722</v>
      </c>
      <c r="C656" s="984" t="s">
        <v>25721</v>
      </c>
      <c r="D656" s="981">
        <f t="shared" si="10"/>
        <v>24760</v>
      </c>
    </row>
    <row r="657" spans="1:4">
      <c r="A657" s="2356">
        <v>28098</v>
      </c>
      <c r="B657" s="984" t="s">
        <v>28090</v>
      </c>
      <c r="C657" s="984" t="s">
        <v>27370</v>
      </c>
      <c r="D657" s="981">
        <f t="shared" si="10"/>
        <v>28098</v>
      </c>
    </row>
    <row r="658" spans="1:4">
      <c r="A658" s="2356">
        <v>27906</v>
      </c>
      <c r="B658" s="984" t="s">
        <v>27972</v>
      </c>
      <c r="C658" s="984" t="s">
        <v>27261</v>
      </c>
      <c r="D658" s="981">
        <f t="shared" si="10"/>
        <v>27906</v>
      </c>
    </row>
    <row r="659" spans="1:4">
      <c r="A659" s="2356">
        <v>28083</v>
      </c>
      <c r="B659" s="984" t="s">
        <v>28079</v>
      </c>
      <c r="C659" s="984" t="s">
        <v>27359</v>
      </c>
      <c r="D659" s="981">
        <f t="shared" si="10"/>
        <v>28083</v>
      </c>
    </row>
    <row r="660" spans="1:4">
      <c r="A660" s="2356">
        <v>28062</v>
      </c>
      <c r="B660" s="984" t="s">
        <v>28064</v>
      </c>
      <c r="C660" s="984" t="s">
        <v>27346</v>
      </c>
      <c r="D660" s="981">
        <f t="shared" si="10"/>
        <v>28062</v>
      </c>
    </row>
    <row r="661" spans="1:4">
      <c r="A661" s="2356">
        <v>28057</v>
      </c>
      <c r="B661" s="984" t="s">
        <v>28061</v>
      </c>
      <c r="C661" s="984" t="s">
        <v>27343</v>
      </c>
      <c r="D661" s="981">
        <f t="shared" si="10"/>
        <v>28057</v>
      </c>
    </row>
    <row r="662" spans="1:4">
      <c r="A662" s="2356">
        <v>26300</v>
      </c>
      <c r="B662" s="984" t="s">
        <v>25988</v>
      </c>
      <c r="C662" s="984" t="s">
        <v>25987</v>
      </c>
      <c r="D662" s="981">
        <f t="shared" si="10"/>
        <v>26300</v>
      </c>
    </row>
    <row r="663" spans="1:4">
      <c r="A663" s="2356">
        <v>26156</v>
      </c>
      <c r="B663" s="984" t="s">
        <v>25972</v>
      </c>
      <c r="C663" s="984" t="s">
        <v>25971</v>
      </c>
      <c r="D663" s="981">
        <f t="shared" si="10"/>
        <v>26156</v>
      </c>
    </row>
    <row r="664" spans="1:4">
      <c r="A664" s="2356">
        <v>25994</v>
      </c>
      <c r="B664" s="984" t="s">
        <v>25931</v>
      </c>
      <c r="C664" s="984" t="s">
        <v>25930</v>
      </c>
      <c r="D664" s="981">
        <f t="shared" si="10"/>
        <v>25994</v>
      </c>
    </row>
    <row r="665" spans="1:4">
      <c r="A665" s="2356">
        <v>25868</v>
      </c>
      <c r="B665" s="984" t="s">
        <v>25859</v>
      </c>
      <c r="C665" s="984" t="s">
        <v>25858</v>
      </c>
      <c r="D665" s="981">
        <f t="shared" si="10"/>
        <v>25868</v>
      </c>
    </row>
    <row r="666" spans="1:4">
      <c r="A666" s="2356">
        <v>24614</v>
      </c>
      <c r="B666" s="984" t="s">
        <v>25088</v>
      </c>
      <c r="C666" s="984" t="s">
        <v>25089</v>
      </c>
      <c r="D666" s="981">
        <f t="shared" si="10"/>
        <v>24614</v>
      </c>
    </row>
    <row r="667" spans="1:4">
      <c r="A667" s="2356">
        <v>23807</v>
      </c>
      <c r="B667" s="984" t="s">
        <v>23577</v>
      </c>
      <c r="C667" s="984" t="s">
        <v>24494</v>
      </c>
      <c r="D667" s="981">
        <f t="shared" si="10"/>
        <v>23807</v>
      </c>
    </row>
    <row r="668" spans="1:4">
      <c r="A668" s="2356">
        <v>23018</v>
      </c>
      <c r="B668" s="984" t="s">
        <v>27895</v>
      </c>
      <c r="C668" s="984" t="s">
        <v>27181</v>
      </c>
      <c r="D668" s="981">
        <f t="shared" si="10"/>
        <v>23018</v>
      </c>
    </row>
    <row r="669" spans="1:4">
      <c r="A669" s="2356">
        <v>23843</v>
      </c>
      <c r="B669" s="984" t="s">
        <v>23644</v>
      </c>
      <c r="C669" s="984" t="s">
        <v>24559</v>
      </c>
      <c r="D669" s="981">
        <f t="shared" si="10"/>
        <v>23843</v>
      </c>
    </row>
    <row r="670" spans="1:4">
      <c r="A670" s="2356">
        <v>23010</v>
      </c>
      <c r="B670" s="984" t="s">
        <v>23435</v>
      </c>
      <c r="C670" s="984" t="s">
        <v>24355</v>
      </c>
      <c r="D670" s="981">
        <f t="shared" si="10"/>
        <v>23010</v>
      </c>
    </row>
    <row r="671" spans="1:4">
      <c r="A671" s="2356">
        <v>23934</v>
      </c>
      <c r="B671" s="984" t="s">
        <v>23508</v>
      </c>
      <c r="C671" s="984" t="s">
        <v>24425</v>
      </c>
      <c r="D671" s="981">
        <f t="shared" si="10"/>
        <v>23934</v>
      </c>
    </row>
    <row r="672" spans="1:4">
      <c r="A672" s="2356">
        <v>23893</v>
      </c>
      <c r="B672" s="984" t="s">
        <v>23448</v>
      </c>
      <c r="C672" s="984" t="s">
        <v>24368</v>
      </c>
      <c r="D672" s="981">
        <f t="shared" si="10"/>
        <v>23893</v>
      </c>
    </row>
    <row r="673" spans="1:4">
      <c r="A673" s="2356">
        <v>23698</v>
      </c>
      <c r="B673" s="984" t="s">
        <v>25711</v>
      </c>
      <c r="C673" s="984" t="s">
        <v>25710</v>
      </c>
      <c r="D673" s="981">
        <f t="shared" si="10"/>
        <v>23698</v>
      </c>
    </row>
    <row r="674" spans="1:4">
      <c r="A674" s="2356">
        <v>23949</v>
      </c>
      <c r="B674" s="984" t="s">
        <v>23342</v>
      </c>
      <c r="C674" s="984" t="s">
        <v>24266</v>
      </c>
      <c r="D674" s="981">
        <f t="shared" si="10"/>
        <v>23949</v>
      </c>
    </row>
    <row r="675" spans="1:4">
      <c r="A675" s="2356">
        <v>23952</v>
      </c>
      <c r="B675" s="984" t="s">
        <v>23475</v>
      </c>
      <c r="C675" s="984" t="s">
        <v>24393</v>
      </c>
      <c r="D675" s="981">
        <f t="shared" si="10"/>
        <v>23952</v>
      </c>
    </row>
    <row r="676" spans="1:4">
      <c r="A676" s="2356">
        <v>23967</v>
      </c>
      <c r="B676" s="984" t="s">
        <v>27900</v>
      </c>
      <c r="C676" s="984" t="s">
        <v>27187</v>
      </c>
      <c r="D676" s="981">
        <f t="shared" si="10"/>
        <v>23967</v>
      </c>
    </row>
    <row r="677" spans="1:4">
      <c r="A677" s="2356">
        <v>23920</v>
      </c>
      <c r="B677" s="984" t="s">
        <v>23688</v>
      </c>
      <c r="C677" s="984" t="s">
        <v>24602</v>
      </c>
      <c r="D677" s="981">
        <f t="shared" si="10"/>
        <v>23920</v>
      </c>
    </row>
    <row r="678" spans="1:4">
      <c r="A678" s="2356">
        <v>21460</v>
      </c>
      <c r="B678" s="984" t="s">
        <v>27885</v>
      </c>
      <c r="C678" s="984" t="s">
        <v>27166</v>
      </c>
      <c r="D678" s="981">
        <f t="shared" si="10"/>
        <v>21460</v>
      </c>
    </row>
    <row r="679" spans="1:4">
      <c r="A679" s="2356">
        <v>22515</v>
      </c>
      <c r="B679" s="984" t="s">
        <v>23174</v>
      </c>
      <c r="C679" s="984" t="s">
        <v>24101</v>
      </c>
      <c r="D679" s="981">
        <f t="shared" si="10"/>
        <v>22515</v>
      </c>
    </row>
    <row r="680" spans="1:4">
      <c r="A680" s="2356">
        <v>22925</v>
      </c>
      <c r="B680" s="984" t="s">
        <v>25706</v>
      </c>
      <c r="C680" s="984" t="s">
        <v>25705</v>
      </c>
      <c r="D680" s="981">
        <f t="shared" si="10"/>
        <v>22925</v>
      </c>
    </row>
    <row r="681" spans="1:4">
      <c r="A681" s="2356">
        <v>21489</v>
      </c>
      <c r="B681" s="984" t="s">
        <v>23574</v>
      </c>
      <c r="C681" s="984" t="s">
        <v>24491</v>
      </c>
      <c r="D681" s="981">
        <f t="shared" si="10"/>
        <v>21489</v>
      </c>
    </row>
    <row r="682" spans="1:4">
      <c r="A682" s="2356">
        <v>22785</v>
      </c>
      <c r="B682" s="984" t="s">
        <v>23074</v>
      </c>
      <c r="C682" s="984" t="s">
        <v>24004</v>
      </c>
      <c r="D682" s="981">
        <f t="shared" si="10"/>
        <v>22785</v>
      </c>
    </row>
    <row r="683" spans="1:4">
      <c r="A683" s="2356">
        <v>22889</v>
      </c>
      <c r="B683" s="984" t="s">
        <v>25700</v>
      </c>
      <c r="C683" s="984" t="s">
        <v>25699</v>
      </c>
      <c r="D683" s="981">
        <f t="shared" si="10"/>
        <v>22889</v>
      </c>
    </row>
    <row r="684" spans="1:4">
      <c r="A684" s="2356">
        <v>21438</v>
      </c>
      <c r="B684" s="984" t="s">
        <v>23241</v>
      </c>
      <c r="C684" s="984" t="s">
        <v>24166</v>
      </c>
      <c r="D684" s="981">
        <f t="shared" si="10"/>
        <v>21438</v>
      </c>
    </row>
    <row r="685" spans="1:4">
      <c r="A685" s="2356">
        <v>22904</v>
      </c>
      <c r="B685" s="984" t="s">
        <v>23395</v>
      </c>
      <c r="C685" s="984" t="s">
        <v>31095</v>
      </c>
      <c r="D685" s="981">
        <f t="shared" si="10"/>
        <v>22904</v>
      </c>
    </row>
    <row r="686" spans="1:4">
      <c r="A686" s="2356">
        <v>22890</v>
      </c>
      <c r="B686" s="984" t="s">
        <v>23113</v>
      </c>
      <c r="C686" s="984" t="s">
        <v>24042</v>
      </c>
      <c r="D686" s="981">
        <f t="shared" si="10"/>
        <v>22890</v>
      </c>
    </row>
    <row r="687" spans="1:4">
      <c r="A687" s="2356">
        <v>22263</v>
      </c>
      <c r="B687" s="984" t="s">
        <v>23155</v>
      </c>
      <c r="C687" s="984" t="s">
        <v>24083</v>
      </c>
      <c r="D687" s="981">
        <f t="shared" si="10"/>
        <v>22263</v>
      </c>
    </row>
    <row r="688" spans="1:4">
      <c r="A688" s="2356">
        <v>20136</v>
      </c>
      <c r="B688" s="984" t="s">
        <v>25691</v>
      </c>
      <c r="C688" s="984" t="s">
        <v>25690</v>
      </c>
      <c r="D688" s="981">
        <f t="shared" si="10"/>
        <v>20136</v>
      </c>
    </row>
    <row r="689" spans="1:4">
      <c r="A689" s="2356">
        <v>21549</v>
      </c>
      <c r="B689" s="984" t="s">
        <v>23528</v>
      </c>
      <c r="C689" s="984" t="s">
        <v>24446</v>
      </c>
      <c r="D689" s="981">
        <f t="shared" si="10"/>
        <v>21549</v>
      </c>
    </row>
    <row r="690" spans="1:4">
      <c r="A690" s="2356">
        <v>21831</v>
      </c>
      <c r="B690" s="984" t="s">
        <v>23161</v>
      </c>
      <c r="C690" s="984" t="s">
        <v>24088</v>
      </c>
      <c r="D690" s="981">
        <f t="shared" si="10"/>
        <v>21831</v>
      </c>
    </row>
    <row r="691" spans="1:4">
      <c r="A691" s="2356">
        <v>22207</v>
      </c>
      <c r="B691" s="984" t="s">
        <v>23707</v>
      </c>
      <c r="C691" s="984" t="s">
        <v>29892</v>
      </c>
      <c r="D691" s="981">
        <f t="shared" si="10"/>
        <v>22207</v>
      </c>
    </row>
    <row r="692" spans="1:4">
      <c r="A692" s="2356">
        <v>21424</v>
      </c>
      <c r="B692" s="984" t="s">
        <v>23450</v>
      </c>
      <c r="C692" s="984" t="s">
        <v>24370</v>
      </c>
      <c r="D692" s="981">
        <f t="shared" si="10"/>
        <v>21424</v>
      </c>
    </row>
    <row r="693" spans="1:4">
      <c r="A693" s="2356">
        <v>21386</v>
      </c>
      <c r="B693" s="984" t="s">
        <v>23242</v>
      </c>
      <c r="C693" s="984" t="s">
        <v>24167</v>
      </c>
      <c r="D693" s="981">
        <f t="shared" si="10"/>
        <v>21386</v>
      </c>
    </row>
    <row r="694" spans="1:4">
      <c r="A694" s="2356">
        <v>21471</v>
      </c>
      <c r="B694" s="984" t="s">
        <v>23757</v>
      </c>
      <c r="C694" s="984" t="s">
        <v>25692</v>
      </c>
      <c r="D694" s="981">
        <f t="shared" si="10"/>
        <v>21471</v>
      </c>
    </row>
    <row r="695" spans="1:4">
      <c r="A695" s="2356">
        <v>22171</v>
      </c>
      <c r="B695" s="984" t="s">
        <v>23269</v>
      </c>
      <c r="C695" s="984" t="s">
        <v>24192</v>
      </c>
      <c r="D695" s="981">
        <f t="shared" si="10"/>
        <v>22171</v>
      </c>
    </row>
    <row r="696" spans="1:4">
      <c r="A696" s="2356">
        <v>21528</v>
      </c>
      <c r="B696" s="984" t="s">
        <v>23275</v>
      </c>
      <c r="C696" s="984" t="s">
        <v>24198</v>
      </c>
      <c r="D696" s="981">
        <f t="shared" si="10"/>
        <v>21528</v>
      </c>
    </row>
    <row r="697" spans="1:4">
      <c r="A697" s="2356">
        <v>20831</v>
      </c>
      <c r="B697" s="984" t="s">
        <v>23368</v>
      </c>
      <c r="C697" s="984" t="s">
        <v>24292</v>
      </c>
      <c r="D697" s="981">
        <f t="shared" si="10"/>
        <v>20831</v>
      </c>
    </row>
    <row r="698" spans="1:4">
      <c r="A698" s="2356">
        <v>20035</v>
      </c>
      <c r="B698" s="984" t="s">
        <v>23466</v>
      </c>
      <c r="C698" s="984" t="s">
        <v>24385</v>
      </c>
      <c r="D698" s="981">
        <f t="shared" si="10"/>
        <v>20035</v>
      </c>
    </row>
    <row r="699" spans="1:4">
      <c r="A699" s="2356">
        <v>22956</v>
      </c>
      <c r="B699" s="984" t="s">
        <v>23666</v>
      </c>
      <c r="C699" s="984" t="s">
        <v>24580</v>
      </c>
      <c r="D699" s="981">
        <f t="shared" si="10"/>
        <v>22956</v>
      </c>
    </row>
    <row r="700" spans="1:4">
      <c r="A700" s="2356">
        <v>22938</v>
      </c>
      <c r="B700" s="984" t="s">
        <v>23198</v>
      </c>
      <c r="C700" s="984" t="s">
        <v>24124</v>
      </c>
      <c r="D700" s="981">
        <f t="shared" si="10"/>
        <v>22938</v>
      </c>
    </row>
    <row r="701" spans="1:4">
      <c r="A701" s="2356">
        <v>21507</v>
      </c>
      <c r="B701" s="984" t="s">
        <v>23655</v>
      </c>
      <c r="C701" s="984" t="s">
        <v>24569</v>
      </c>
      <c r="D701" s="981">
        <f t="shared" si="10"/>
        <v>21507</v>
      </c>
    </row>
    <row r="702" spans="1:4">
      <c r="A702" s="2356">
        <v>21565</v>
      </c>
      <c r="B702" s="984" t="s">
        <v>23149</v>
      </c>
      <c r="C702" s="984" t="s">
        <v>24077</v>
      </c>
      <c r="D702" s="981">
        <f t="shared" si="10"/>
        <v>21565</v>
      </c>
    </row>
    <row r="703" spans="1:4">
      <c r="A703" s="2356">
        <v>21445</v>
      </c>
      <c r="B703" s="984" t="s">
        <v>23467</v>
      </c>
      <c r="C703" s="984" t="s">
        <v>24386</v>
      </c>
      <c r="D703" s="981">
        <f t="shared" si="10"/>
        <v>21445</v>
      </c>
    </row>
    <row r="704" spans="1:4">
      <c r="A704" s="2356">
        <v>22900</v>
      </c>
      <c r="B704" s="984" t="s">
        <v>23523</v>
      </c>
      <c r="C704" s="984" t="s">
        <v>24441</v>
      </c>
      <c r="D704" s="981">
        <f t="shared" si="10"/>
        <v>22900</v>
      </c>
    </row>
    <row r="705" spans="1:4">
      <c r="A705" s="2356">
        <v>21391</v>
      </c>
      <c r="B705" s="984" t="s">
        <v>27883</v>
      </c>
      <c r="C705" s="984" t="s">
        <v>27164</v>
      </c>
      <c r="D705" s="981">
        <f t="shared" si="10"/>
        <v>21391</v>
      </c>
    </row>
    <row r="706" spans="1:4">
      <c r="A706" s="2356">
        <v>19779</v>
      </c>
      <c r="B706" s="984" t="s">
        <v>23053</v>
      </c>
      <c r="C706" s="984" t="s">
        <v>23983</v>
      </c>
      <c r="D706" s="981">
        <f t="shared" si="10"/>
        <v>19779</v>
      </c>
    </row>
    <row r="707" spans="1:4">
      <c r="A707" s="2356">
        <v>19760</v>
      </c>
      <c r="B707" s="984" t="s">
        <v>23099</v>
      </c>
      <c r="C707" s="984" t="s">
        <v>24028</v>
      </c>
      <c r="D707" s="981">
        <f t="shared" si="10"/>
        <v>19760</v>
      </c>
    </row>
    <row r="708" spans="1:4">
      <c r="A708" s="2356">
        <v>19751</v>
      </c>
      <c r="B708" s="984" t="s">
        <v>23661</v>
      </c>
      <c r="C708" s="984" t="s">
        <v>24575</v>
      </c>
      <c r="D708" s="981">
        <f t="shared" si="10"/>
        <v>19751</v>
      </c>
    </row>
    <row r="709" spans="1:4">
      <c r="A709" s="2356">
        <v>17522</v>
      </c>
      <c r="B709" s="984" t="s">
        <v>23572</v>
      </c>
      <c r="C709" s="984" t="s">
        <v>24489</v>
      </c>
      <c r="D709" s="981">
        <f t="shared" si="10"/>
        <v>17522</v>
      </c>
    </row>
    <row r="710" spans="1:4">
      <c r="A710" s="2356">
        <v>17506</v>
      </c>
      <c r="B710" s="984" t="s">
        <v>23553</v>
      </c>
      <c r="C710" s="984" t="s">
        <v>24470</v>
      </c>
      <c r="D710" s="981">
        <f t="shared" si="10"/>
        <v>17506</v>
      </c>
    </row>
    <row r="711" spans="1:4">
      <c r="A711" s="2356">
        <v>19809</v>
      </c>
      <c r="B711" s="984" t="s">
        <v>23360</v>
      </c>
      <c r="C711" s="984" t="s">
        <v>24284</v>
      </c>
      <c r="D711" s="981">
        <f t="shared" si="10"/>
        <v>19809</v>
      </c>
    </row>
    <row r="712" spans="1:4">
      <c r="A712" s="2356">
        <v>19781</v>
      </c>
      <c r="B712" s="984" t="s">
        <v>23470</v>
      </c>
      <c r="C712" s="984" t="s">
        <v>24388</v>
      </c>
      <c r="D712" s="981">
        <f t="shared" si="10"/>
        <v>19781</v>
      </c>
    </row>
    <row r="713" spans="1:4">
      <c r="A713" s="2356">
        <v>16955</v>
      </c>
      <c r="B713" s="984" t="s">
        <v>23640</v>
      </c>
      <c r="C713" s="984" t="s">
        <v>24555</v>
      </c>
      <c r="D713" s="981">
        <f t="shared" ref="D713:D776" si="11">+A713</f>
        <v>16955</v>
      </c>
    </row>
    <row r="714" spans="1:4">
      <c r="A714" s="2356">
        <v>16952</v>
      </c>
      <c r="B714" s="984" t="s">
        <v>23695</v>
      </c>
      <c r="C714" s="984" t="s">
        <v>24609</v>
      </c>
      <c r="D714" s="981">
        <f t="shared" si="11"/>
        <v>16952</v>
      </c>
    </row>
    <row r="715" spans="1:4">
      <c r="A715" s="2356">
        <v>19786</v>
      </c>
      <c r="B715" s="984" t="s">
        <v>23191</v>
      </c>
      <c r="C715" s="984" t="s">
        <v>24117</v>
      </c>
      <c r="D715" s="981">
        <f t="shared" si="11"/>
        <v>19786</v>
      </c>
    </row>
    <row r="716" spans="1:4">
      <c r="A716" s="2356">
        <v>17436</v>
      </c>
      <c r="B716" s="984" t="s">
        <v>23518</v>
      </c>
      <c r="C716" s="984" t="s">
        <v>24436</v>
      </c>
      <c r="D716" s="981">
        <f t="shared" si="11"/>
        <v>17436</v>
      </c>
    </row>
    <row r="717" spans="1:4">
      <c r="A717" s="2356">
        <v>17049</v>
      </c>
      <c r="B717" s="984" t="s">
        <v>23014</v>
      </c>
      <c r="C717" s="984" t="s">
        <v>31933</v>
      </c>
      <c r="D717" s="981">
        <f t="shared" si="11"/>
        <v>17049</v>
      </c>
    </row>
    <row r="718" spans="1:4">
      <c r="A718" s="2356">
        <v>17534</v>
      </c>
      <c r="B718" s="984" t="s">
        <v>23559</v>
      </c>
      <c r="C718" s="984" t="s">
        <v>24476</v>
      </c>
      <c r="D718" s="981">
        <f t="shared" si="11"/>
        <v>17534</v>
      </c>
    </row>
    <row r="719" spans="1:4">
      <c r="A719" s="2356">
        <v>17380</v>
      </c>
      <c r="B719" s="984" t="s">
        <v>23614</v>
      </c>
      <c r="C719" s="984" t="s">
        <v>29912</v>
      </c>
      <c r="D719" s="981">
        <f t="shared" si="11"/>
        <v>17380</v>
      </c>
    </row>
    <row r="720" spans="1:4">
      <c r="A720" s="2356">
        <v>19799</v>
      </c>
      <c r="B720" s="984" t="s">
        <v>23678</v>
      </c>
      <c r="C720" s="984" t="s">
        <v>24592</v>
      </c>
      <c r="D720" s="981">
        <f t="shared" si="11"/>
        <v>19799</v>
      </c>
    </row>
    <row r="721" spans="1:4">
      <c r="A721" s="2356">
        <v>17445</v>
      </c>
      <c r="B721" s="984" t="s">
        <v>23852</v>
      </c>
      <c r="C721" s="984" t="s">
        <v>24712</v>
      </c>
      <c r="D721" s="981">
        <f t="shared" si="11"/>
        <v>17445</v>
      </c>
    </row>
    <row r="722" spans="1:4">
      <c r="A722" s="2356">
        <v>17209</v>
      </c>
      <c r="B722" s="984" t="s">
        <v>23546</v>
      </c>
      <c r="C722" s="984" t="s">
        <v>24464</v>
      </c>
      <c r="D722" s="981">
        <f t="shared" si="11"/>
        <v>17209</v>
      </c>
    </row>
    <row r="723" spans="1:4">
      <c r="A723" s="2356">
        <v>17379</v>
      </c>
      <c r="B723" s="984" t="s">
        <v>23642</v>
      </c>
      <c r="C723" s="984" t="s">
        <v>24557</v>
      </c>
      <c r="D723" s="981">
        <f t="shared" si="11"/>
        <v>17379</v>
      </c>
    </row>
    <row r="724" spans="1:4">
      <c r="A724" s="2356">
        <v>17407</v>
      </c>
      <c r="B724" s="984" t="s">
        <v>23699</v>
      </c>
      <c r="C724" s="984" t="s">
        <v>27154</v>
      </c>
      <c r="D724" s="981">
        <f t="shared" si="11"/>
        <v>17407</v>
      </c>
    </row>
    <row r="725" spans="1:4">
      <c r="A725" s="2356">
        <v>17501</v>
      </c>
      <c r="B725" s="984" t="s">
        <v>23231</v>
      </c>
      <c r="C725" s="984" t="s">
        <v>24156</v>
      </c>
      <c r="D725" s="981">
        <f t="shared" si="11"/>
        <v>17501</v>
      </c>
    </row>
    <row r="726" spans="1:4">
      <c r="A726" s="2356">
        <v>17415</v>
      </c>
      <c r="B726" s="984" t="s">
        <v>23103</v>
      </c>
      <c r="C726" s="984" t="s">
        <v>24032</v>
      </c>
      <c r="D726" s="981">
        <f t="shared" si="11"/>
        <v>17415</v>
      </c>
    </row>
    <row r="727" spans="1:4">
      <c r="A727" s="2356">
        <v>17383</v>
      </c>
      <c r="B727" s="984" t="s">
        <v>23041</v>
      </c>
      <c r="C727" s="984" t="s">
        <v>23971</v>
      </c>
      <c r="D727" s="981">
        <f t="shared" si="11"/>
        <v>17383</v>
      </c>
    </row>
    <row r="728" spans="1:4">
      <c r="A728" s="2356">
        <v>17369</v>
      </c>
      <c r="B728" s="984" t="s">
        <v>23697</v>
      </c>
      <c r="C728" s="984" t="s">
        <v>24610</v>
      </c>
      <c r="D728" s="981">
        <f t="shared" si="11"/>
        <v>17369</v>
      </c>
    </row>
    <row r="729" spans="1:4">
      <c r="A729" s="2356">
        <v>16949</v>
      </c>
      <c r="B729" s="984" t="s">
        <v>23089</v>
      </c>
      <c r="C729" s="984" t="s">
        <v>24018</v>
      </c>
      <c r="D729" s="981">
        <f t="shared" si="11"/>
        <v>16949</v>
      </c>
    </row>
    <row r="730" spans="1:4">
      <c r="A730" s="2356">
        <v>16958</v>
      </c>
      <c r="B730" s="984" t="s">
        <v>23092</v>
      </c>
      <c r="C730" s="984" t="s">
        <v>24021</v>
      </c>
      <c r="D730" s="981">
        <f t="shared" si="11"/>
        <v>16958</v>
      </c>
    </row>
    <row r="731" spans="1:4">
      <c r="A731" s="2356">
        <v>17364</v>
      </c>
      <c r="B731" s="984" t="s">
        <v>23276</v>
      </c>
      <c r="C731" s="984" t="s">
        <v>24199</v>
      </c>
      <c r="D731" s="981">
        <f t="shared" si="11"/>
        <v>17364</v>
      </c>
    </row>
    <row r="732" spans="1:4">
      <c r="A732" s="2356">
        <v>15276</v>
      </c>
      <c r="B732" s="984" t="s">
        <v>23683</v>
      </c>
      <c r="C732" s="984" t="s">
        <v>24597</v>
      </c>
      <c r="D732" s="981">
        <f t="shared" si="11"/>
        <v>15276</v>
      </c>
    </row>
    <row r="733" spans="1:4">
      <c r="A733" s="2356">
        <v>14145</v>
      </c>
      <c r="B733" s="984" t="s">
        <v>23608</v>
      </c>
      <c r="C733" s="984" t="s">
        <v>24525</v>
      </c>
      <c r="D733" s="981">
        <f t="shared" si="11"/>
        <v>14145</v>
      </c>
    </row>
    <row r="734" spans="1:4">
      <c r="A734" s="2356">
        <v>13325</v>
      </c>
      <c r="B734" s="984" t="s">
        <v>22908</v>
      </c>
      <c r="C734" s="984" t="s">
        <v>23868</v>
      </c>
      <c r="D734" s="981">
        <f t="shared" si="11"/>
        <v>13325</v>
      </c>
    </row>
    <row r="735" spans="1:4">
      <c r="A735" s="2356">
        <v>14405</v>
      </c>
      <c r="B735" s="984" t="s">
        <v>23336</v>
      </c>
      <c r="C735" s="984" t="s">
        <v>24260</v>
      </c>
      <c r="D735" s="981">
        <f t="shared" si="11"/>
        <v>14405</v>
      </c>
    </row>
    <row r="736" spans="1:4">
      <c r="A736" s="2356">
        <v>13874</v>
      </c>
      <c r="B736" s="984" t="s">
        <v>23478</v>
      </c>
      <c r="C736" s="984" t="s">
        <v>24396</v>
      </c>
      <c r="D736" s="981">
        <f t="shared" si="11"/>
        <v>13874</v>
      </c>
    </row>
    <row r="737" spans="1:4">
      <c r="A737" s="2356">
        <v>14361</v>
      </c>
      <c r="B737" s="984" t="s">
        <v>23786</v>
      </c>
      <c r="C737" s="984" t="s">
        <v>24659</v>
      </c>
      <c r="D737" s="981">
        <f t="shared" si="11"/>
        <v>14361</v>
      </c>
    </row>
    <row r="738" spans="1:4">
      <c r="A738" s="2356">
        <v>14553</v>
      </c>
      <c r="B738" s="984" t="s">
        <v>23314</v>
      </c>
      <c r="C738" s="984" t="s">
        <v>24238</v>
      </c>
      <c r="D738" s="981">
        <f t="shared" si="11"/>
        <v>14553</v>
      </c>
    </row>
    <row r="739" spans="1:4">
      <c r="A739" s="2356">
        <v>14318</v>
      </c>
      <c r="B739" s="984" t="s">
        <v>23620</v>
      </c>
      <c r="C739" s="984" t="s">
        <v>24536</v>
      </c>
      <c r="D739" s="981">
        <f t="shared" si="11"/>
        <v>14318</v>
      </c>
    </row>
    <row r="740" spans="1:4">
      <c r="A740" s="2356">
        <v>14230</v>
      </c>
      <c r="B740" s="984" t="s">
        <v>23549</v>
      </c>
      <c r="C740" s="984" t="s">
        <v>24467</v>
      </c>
      <c r="D740" s="981">
        <f t="shared" si="11"/>
        <v>14230</v>
      </c>
    </row>
    <row r="741" spans="1:4">
      <c r="A741" s="2356">
        <v>14192</v>
      </c>
      <c r="B741" s="984" t="s">
        <v>23003</v>
      </c>
      <c r="C741" s="984" t="s">
        <v>23944</v>
      </c>
      <c r="D741" s="981">
        <f t="shared" si="11"/>
        <v>14192</v>
      </c>
    </row>
    <row r="742" spans="1:4">
      <c r="A742" s="2356">
        <v>15023</v>
      </c>
      <c r="B742" s="984" t="s">
        <v>23104</v>
      </c>
      <c r="C742" s="984" t="s">
        <v>24033</v>
      </c>
      <c r="D742" s="981">
        <f t="shared" si="11"/>
        <v>15023</v>
      </c>
    </row>
    <row r="743" spans="1:4">
      <c r="A743" s="2356">
        <v>13618</v>
      </c>
      <c r="B743" s="984" t="s">
        <v>27865</v>
      </c>
      <c r="C743" s="984" t="s">
        <v>27138</v>
      </c>
      <c r="D743" s="981">
        <f t="shared" si="11"/>
        <v>13618</v>
      </c>
    </row>
    <row r="744" spans="1:4">
      <c r="A744" s="2356">
        <v>13968</v>
      </c>
      <c r="B744" s="984" t="s">
        <v>23282</v>
      </c>
      <c r="C744" s="984" t="s">
        <v>24205</v>
      </c>
      <c r="D744" s="981">
        <f t="shared" si="11"/>
        <v>13968</v>
      </c>
    </row>
    <row r="745" spans="1:4">
      <c r="A745" s="2356">
        <v>13397</v>
      </c>
      <c r="B745" s="984" t="s">
        <v>23755</v>
      </c>
      <c r="C745" s="984" t="s">
        <v>24640</v>
      </c>
      <c r="D745" s="981">
        <f t="shared" si="11"/>
        <v>13397</v>
      </c>
    </row>
    <row r="746" spans="1:4">
      <c r="A746" s="2356">
        <v>12850</v>
      </c>
      <c r="B746" s="984" t="s">
        <v>23600</v>
      </c>
      <c r="C746" s="984" t="s">
        <v>24517</v>
      </c>
      <c r="D746" s="981">
        <f t="shared" si="11"/>
        <v>12850</v>
      </c>
    </row>
    <row r="747" spans="1:4">
      <c r="A747" s="2356">
        <v>15115</v>
      </c>
      <c r="B747" s="984" t="s">
        <v>22943</v>
      </c>
      <c r="C747" s="984" t="s">
        <v>23900</v>
      </c>
      <c r="D747" s="981">
        <f t="shared" si="11"/>
        <v>15115</v>
      </c>
    </row>
    <row r="748" spans="1:4">
      <c r="A748" s="2356">
        <v>14400</v>
      </c>
      <c r="B748" s="984" t="s">
        <v>23285</v>
      </c>
      <c r="C748" s="984" t="s">
        <v>24208</v>
      </c>
      <c r="D748" s="981">
        <f t="shared" si="11"/>
        <v>14400</v>
      </c>
    </row>
    <row r="749" spans="1:4">
      <c r="A749" s="2356">
        <v>15031</v>
      </c>
      <c r="B749" s="984" t="s">
        <v>23259</v>
      </c>
      <c r="C749" s="984" t="s">
        <v>24182</v>
      </c>
      <c r="D749" s="981">
        <f t="shared" si="11"/>
        <v>15031</v>
      </c>
    </row>
    <row r="750" spans="1:4">
      <c r="A750" s="2356">
        <v>14717</v>
      </c>
      <c r="B750" s="984" t="s">
        <v>23637</v>
      </c>
      <c r="C750" s="984" t="s">
        <v>24552</v>
      </c>
      <c r="D750" s="981">
        <f t="shared" si="11"/>
        <v>14717</v>
      </c>
    </row>
    <row r="751" spans="1:4">
      <c r="A751" s="2356">
        <v>14415</v>
      </c>
      <c r="B751" s="984" t="s">
        <v>23196</v>
      </c>
      <c r="C751" s="984" t="s">
        <v>24122</v>
      </c>
      <c r="D751" s="981">
        <f t="shared" si="11"/>
        <v>14415</v>
      </c>
    </row>
    <row r="752" spans="1:4">
      <c r="A752" s="2356">
        <v>14346</v>
      </c>
      <c r="B752" s="984" t="s">
        <v>23327</v>
      </c>
      <c r="C752" s="984" t="s">
        <v>24251</v>
      </c>
      <c r="D752" s="981">
        <f t="shared" si="11"/>
        <v>14346</v>
      </c>
    </row>
    <row r="753" spans="1:4">
      <c r="A753" s="2356">
        <v>14310</v>
      </c>
      <c r="B753" s="984" t="s">
        <v>23359</v>
      </c>
      <c r="C753" s="984" t="s">
        <v>24283</v>
      </c>
      <c r="D753" s="981">
        <f t="shared" si="11"/>
        <v>14310</v>
      </c>
    </row>
    <row r="754" spans="1:4">
      <c r="A754" s="2356">
        <v>14274</v>
      </c>
      <c r="B754" s="984" t="s">
        <v>23684</v>
      </c>
      <c r="C754" s="984" t="s">
        <v>24598</v>
      </c>
      <c r="D754" s="981">
        <f t="shared" si="11"/>
        <v>14274</v>
      </c>
    </row>
    <row r="755" spans="1:4">
      <c r="A755" s="2356">
        <v>14666</v>
      </c>
      <c r="B755" s="984" t="s">
        <v>23602</v>
      </c>
      <c r="C755" s="984" t="s">
        <v>24519</v>
      </c>
      <c r="D755" s="981">
        <f t="shared" si="11"/>
        <v>14666</v>
      </c>
    </row>
    <row r="756" spans="1:4">
      <c r="A756" s="2356">
        <v>14170</v>
      </c>
      <c r="B756" s="984" t="s">
        <v>23286</v>
      </c>
      <c r="C756" s="984" t="s">
        <v>24209</v>
      </c>
      <c r="D756" s="981">
        <f t="shared" si="11"/>
        <v>14170</v>
      </c>
    </row>
    <row r="757" spans="1:4">
      <c r="A757" s="2356">
        <v>17235</v>
      </c>
      <c r="B757" s="984" t="s">
        <v>23028</v>
      </c>
      <c r="C757" s="984" t="s">
        <v>23958</v>
      </c>
      <c r="D757" s="981">
        <f t="shared" si="11"/>
        <v>17235</v>
      </c>
    </row>
    <row r="758" spans="1:4">
      <c r="A758" s="2356">
        <v>13792</v>
      </c>
      <c r="B758" s="984" t="s">
        <v>23226</v>
      </c>
      <c r="C758" s="984" t="s">
        <v>24151</v>
      </c>
      <c r="D758" s="981">
        <f t="shared" si="11"/>
        <v>13792</v>
      </c>
    </row>
    <row r="759" spans="1:4">
      <c r="A759" s="2356">
        <v>14002</v>
      </c>
      <c r="B759" s="984" t="s">
        <v>23714</v>
      </c>
      <c r="C759" s="984" t="s">
        <v>29878</v>
      </c>
      <c r="D759" s="981">
        <f t="shared" si="11"/>
        <v>14002</v>
      </c>
    </row>
    <row r="760" spans="1:4">
      <c r="A760" s="2356">
        <v>13629</v>
      </c>
      <c r="B760" s="984" t="s">
        <v>23266</v>
      </c>
      <c r="C760" s="984" t="s">
        <v>24189</v>
      </c>
      <c r="D760" s="981">
        <f t="shared" si="11"/>
        <v>13629</v>
      </c>
    </row>
    <row r="761" spans="1:4">
      <c r="A761" s="2356">
        <v>13186</v>
      </c>
      <c r="B761" s="984" t="s">
        <v>23486</v>
      </c>
      <c r="C761" s="984" t="s">
        <v>24404</v>
      </c>
      <c r="D761" s="981">
        <f t="shared" si="11"/>
        <v>13186</v>
      </c>
    </row>
    <row r="762" spans="1:4">
      <c r="A762" s="2356">
        <v>13117</v>
      </c>
      <c r="B762" s="984" t="s">
        <v>23782</v>
      </c>
      <c r="C762" s="984" t="s">
        <v>24656</v>
      </c>
      <c r="D762" s="981">
        <f t="shared" si="11"/>
        <v>13117</v>
      </c>
    </row>
    <row r="763" spans="1:4">
      <c r="A763" s="2356">
        <v>13014</v>
      </c>
      <c r="B763" s="984" t="s">
        <v>23181</v>
      </c>
      <c r="C763" s="984" t="s">
        <v>24107</v>
      </c>
      <c r="D763" s="981">
        <f t="shared" si="11"/>
        <v>13014</v>
      </c>
    </row>
    <row r="764" spans="1:4">
      <c r="A764" s="2356">
        <v>12619</v>
      </c>
      <c r="B764" s="984" t="s">
        <v>22984</v>
      </c>
      <c r="C764" s="984" t="s">
        <v>23931</v>
      </c>
      <c r="D764" s="981">
        <f t="shared" si="11"/>
        <v>12619</v>
      </c>
    </row>
    <row r="765" spans="1:4">
      <c r="A765" s="2356">
        <v>8246</v>
      </c>
      <c r="B765" s="984" t="s">
        <v>22980</v>
      </c>
      <c r="C765" s="984" t="s">
        <v>23928</v>
      </c>
      <c r="D765" s="981">
        <f t="shared" si="11"/>
        <v>8246</v>
      </c>
    </row>
    <row r="766" spans="1:4">
      <c r="A766" s="2356">
        <v>7396</v>
      </c>
      <c r="B766" s="984" t="s">
        <v>23788</v>
      </c>
      <c r="C766" s="984" t="s">
        <v>24661</v>
      </c>
      <c r="D766" s="981">
        <f t="shared" si="11"/>
        <v>7396</v>
      </c>
    </row>
    <row r="767" spans="1:4">
      <c r="A767" s="2356">
        <v>14854</v>
      </c>
      <c r="B767" s="984" t="s">
        <v>23124</v>
      </c>
      <c r="C767" s="984" t="s">
        <v>24052</v>
      </c>
      <c r="D767" s="981">
        <f t="shared" si="11"/>
        <v>14854</v>
      </c>
    </row>
    <row r="768" spans="1:4">
      <c r="A768" s="2356">
        <v>7778</v>
      </c>
      <c r="B768" s="984" t="s">
        <v>23815</v>
      </c>
      <c r="C768" s="984" t="s">
        <v>24683</v>
      </c>
      <c r="D768" s="981">
        <f t="shared" si="11"/>
        <v>7778</v>
      </c>
    </row>
    <row r="769" spans="1:4">
      <c r="A769" s="2356">
        <v>5516</v>
      </c>
      <c r="B769" s="984" t="s">
        <v>23182</v>
      </c>
      <c r="C769" s="984" t="s">
        <v>24108</v>
      </c>
      <c r="D769" s="981">
        <f t="shared" si="11"/>
        <v>5516</v>
      </c>
    </row>
    <row r="770" spans="1:4">
      <c r="A770" s="2356">
        <v>5093</v>
      </c>
      <c r="B770" s="984" t="s">
        <v>29935</v>
      </c>
      <c r="C770" s="984" t="s">
        <v>29848</v>
      </c>
      <c r="D770" s="981">
        <f t="shared" si="11"/>
        <v>5093</v>
      </c>
    </row>
    <row r="771" spans="1:4">
      <c r="A771" s="2356">
        <v>2946</v>
      </c>
      <c r="B771" s="984" t="s">
        <v>25676</v>
      </c>
      <c r="C771" s="984" t="s">
        <v>25675</v>
      </c>
      <c r="D771" s="981">
        <f t="shared" si="11"/>
        <v>2946</v>
      </c>
    </row>
    <row r="772" spans="1:4">
      <c r="A772" s="2356">
        <v>2326</v>
      </c>
      <c r="B772" s="984" t="s">
        <v>23773</v>
      </c>
      <c r="C772" s="984" t="s">
        <v>29826</v>
      </c>
      <c r="D772" s="981">
        <f t="shared" si="11"/>
        <v>2326</v>
      </c>
    </row>
    <row r="773" spans="1:4">
      <c r="A773" s="2356">
        <v>2323</v>
      </c>
      <c r="B773" s="984" t="s">
        <v>23715</v>
      </c>
      <c r="C773" s="984" t="s">
        <v>31067</v>
      </c>
      <c r="D773" s="981">
        <f t="shared" si="11"/>
        <v>2323</v>
      </c>
    </row>
    <row r="774" spans="1:4">
      <c r="A774" s="2356">
        <v>1280</v>
      </c>
      <c r="B774" s="984" t="s">
        <v>23794</v>
      </c>
      <c r="C774" s="984" t="s">
        <v>24666</v>
      </c>
      <c r="D774" s="981">
        <f t="shared" si="11"/>
        <v>1280</v>
      </c>
    </row>
    <row r="775" spans="1:4">
      <c r="A775" s="2356">
        <v>2149</v>
      </c>
      <c r="B775" s="984" t="s">
        <v>23243</v>
      </c>
      <c r="C775" s="984" t="s">
        <v>24168</v>
      </c>
      <c r="D775" s="981">
        <f t="shared" si="11"/>
        <v>2149</v>
      </c>
    </row>
    <row r="776" spans="1:4">
      <c r="A776" s="2356">
        <v>990</v>
      </c>
      <c r="B776" s="984" t="s">
        <v>22976</v>
      </c>
      <c r="C776" s="984" t="s">
        <v>25668</v>
      </c>
      <c r="D776" s="981">
        <f t="shared" si="11"/>
        <v>990</v>
      </c>
    </row>
    <row r="777" spans="1:4">
      <c r="A777" s="2356">
        <v>13656</v>
      </c>
      <c r="B777" s="984" t="s">
        <v>22949</v>
      </c>
      <c r="C777" s="984" t="s">
        <v>23906</v>
      </c>
      <c r="D777" s="981">
        <f t="shared" ref="D777:D840" si="12">+A777</f>
        <v>13656</v>
      </c>
    </row>
    <row r="778" spans="1:4">
      <c r="A778" s="2356">
        <v>2937</v>
      </c>
      <c r="B778" s="984" t="s">
        <v>23842</v>
      </c>
      <c r="C778" s="984" t="s">
        <v>24705</v>
      </c>
      <c r="D778" s="981">
        <f t="shared" si="12"/>
        <v>2937</v>
      </c>
    </row>
    <row r="779" spans="1:4">
      <c r="A779" s="2356">
        <v>841</v>
      </c>
      <c r="B779" s="984" t="s">
        <v>23780</v>
      </c>
      <c r="C779" s="984" t="s">
        <v>24654</v>
      </c>
      <c r="D779" s="981">
        <f t="shared" si="12"/>
        <v>841</v>
      </c>
    </row>
    <row r="780" spans="1:4">
      <c r="A780" s="2356">
        <v>8092</v>
      </c>
      <c r="B780" s="984" t="s">
        <v>23845</v>
      </c>
      <c r="C780" s="984" t="s">
        <v>24708</v>
      </c>
      <c r="D780" s="981">
        <f t="shared" si="12"/>
        <v>8092</v>
      </c>
    </row>
    <row r="781" spans="1:4">
      <c r="A781" s="2356">
        <v>26004</v>
      </c>
      <c r="B781" s="984" t="s">
        <v>25939</v>
      </c>
      <c r="C781" s="984" t="s">
        <v>31934</v>
      </c>
      <c r="D781" s="981">
        <f t="shared" si="12"/>
        <v>26004</v>
      </c>
    </row>
    <row r="782" spans="1:4">
      <c r="A782" s="2356">
        <v>12816</v>
      </c>
      <c r="B782" s="984" t="s">
        <v>22993</v>
      </c>
      <c r="C782" s="984" t="s">
        <v>23938</v>
      </c>
      <c r="D782" s="981">
        <f t="shared" si="12"/>
        <v>12816</v>
      </c>
    </row>
    <row r="783" spans="1:4">
      <c r="A783" s="2356">
        <v>14138</v>
      </c>
      <c r="B783" s="984" t="s">
        <v>22922</v>
      </c>
      <c r="C783" s="984" t="s">
        <v>23882</v>
      </c>
      <c r="D783" s="981">
        <f t="shared" si="12"/>
        <v>14138</v>
      </c>
    </row>
    <row r="784" spans="1:4">
      <c r="A784" s="2356">
        <v>43963</v>
      </c>
      <c r="B784" s="984" t="s">
        <v>31935</v>
      </c>
      <c r="C784" s="984" t="s">
        <v>24216</v>
      </c>
      <c r="D784" s="981">
        <f t="shared" si="12"/>
        <v>43963</v>
      </c>
    </row>
    <row r="785" spans="1:4">
      <c r="A785" s="2356">
        <v>43731</v>
      </c>
      <c r="B785" s="984" t="s">
        <v>31936</v>
      </c>
      <c r="C785" s="984" t="s">
        <v>31937</v>
      </c>
      <c r="D785" s="981">
        <f t="shared" si="12"/>
        <v>43731</v>
      </c>
    </row>
    <row r="786" spans="1:4">
      <c r="A786" s="2356">
        <v>39187</v>
      </c>
      <c r="B786" s="984" t="s">
        <v>31008</v>
      </c>
      <c r="C786" s="984" t="s">
        <v>31062</v>
      </c>
      <c r="D786" s="981">
        <f t="shared" si="12"/>
        <v>39187</v>
      </c>
    </row>
    <row r="787" spans="1:4">
      <c r="A787" s="2356">
        <v>34869</v>
      </c>
      <c r="B787" s="984" t="s">
        <v>29970</v>
      </c>
      <c r="C787" s="984" t="s">
        <v>29913</v>
      </c>
      <c r="D787" s="981">
        <f t="shared" si="12"/>
        <v>34869</v>
      </c>
    </row>
    <row r="788" spans="1:4">
      <c r="A788" s="2356">
        <v>36283</v>
      </c>
      <c r="B788" s="984" t="s">
        <v>29959</v>
      </c>
      <c r="C788" s="984" t="s">
        <v>29894</v>
      </c>
      <c r="D788" s="981">
        <f t="shared" si="12"/>
        <v>36283</v>
      </c>
    </row>
    <row r="789" spans="1:4">
      <c r="A789" s="2356">
        <v>37275</v>
      </c>
      <c r="B789" s="984" t="s">
        <v>29940</v>
      </c>
      <c r="C789" s="984" t="s">
        <v>29858</v>
      </c>
      <c r="D789" s="981">
        <f t="shared" si="12"/>
        <v>37275</v>
      </c>
    </row>
    <row r="790" spans="1:4">
      <c r="A790" s="2356">
        <v>38755</v>
      </c>
      <c r="B790" s="984" t="s">
        <v>31025</v>
      </c>
      <c r="C790" s="984" t="s">
        <v>31097</v>
      </c>
      <c r="D790" s="981">
        <f t="shared" si="12"/>
        <v>38755</v>
      </c>
    </row>
    <row r="791" spans="1:4">
      <c r="A791" s="2356">
        <v>29496</v>
      </c>
      <c r="B791" s="984" t="s">
        <v>28451</v>
      </c>
      <c r="C791" s="984" t="s">
        <v>27709</v>
      </c>
      <c r="D791" s="981">
        <f t="shared" si="12"/>
        <v>29496</v>
      </c>
    </row>
    <row r="792" spans="1:4">
      <c r="A792" s="2356">
        <v>29453</v>
      </c>
      <c r="B792" s="984" t="s">
        <v>28424</v>
      </c>
      <c r="C792" s="984" t="s">
        <v>27683</v>
      </c>
      <c r="D792" s="981">
        <f t="shared" si="12"/>
        <v>29453</v>
      </c>
    </row>
    <row r="793" spans="1:4">
      <c r="A793" s="2356">
        <v>29291</v>
      </c>
      <c r="B793" s="984" t="s">
        <v>28354</v>
      </c>
      <c r="C793" s="984" t="s">
        <v>27617</v>
      </c>
      <c r="D793" s="981">
        <f t="shared" si="12"/>
        <v>29291</v>
      </c>
    </row>
    <row r="794" spans="1:4">
      <c r="A794" s="2356">
        <v>30002</v>
      </c>
      <c r="B794" s="984" t="s">
        <v>28552</v>
      </c>
      <c r="C794" s="984" t="s">
        <v>27810</v>
      </c>
      <c r="D794" s="981">
        <f t="shared" si="12"/>
        <v>30002</v>
      </c>
    </row>
    <row r="795" spans="1:4">
      <c r="A795" s="2356">
        <v>28452</v>
      </c>
      <c r="B795" s="984" t="s">
        <v>28195</v>
      </c>
      <c r="C795" s="984" t="s">
        <v>27466</v>
      </c>
      <c r="D795" s="981">
        <f t="shared" si="12"/>
        <v>28452</v>
      </c>
    </row>
    <row r="796" spans="1:4">
      <c r="A796" s="2356">
        <v>29600</v>
      </c>
      <c r="B796" s="984" t="s">
        <v>28503</v>
      </c>
      <c r="C796" s="984" t="s">
        <v>27761</v>
      </c>
      <c r="D796" s="981">
        <f t="shared" si="12"/>
        <v>29600</v>
      </c>
    </row>
    <row r="797" spans="1:4">
      <c r="A797" s="2356">
        <v>29296</v>
      </c>
      <c r="B797" s="984" t="s">
        <v>28356</v>
      </c>
      <c r="C797" s="984" t="s">
        <v>27619</v>
      </c>
      <c r="D797" s="981">
        <f t="shared" si="12"/>
        <v>29296</v>
      </c>
    </row>
    <row r="798" spans="1:4">
      <c r="A798" s="2356">
        <v>30279</v>
      </c>
      <c r="B798" s="984" t="s">
        <v>28585</v>
      </c>
      <c r="C798" s="984" t="s">
        <v>27842</v>
      </c>
      <c r="D798" s="981">
        <f t="shared" si="12"/>
        <v>30279</v>
      </c>
    </row>
    <row r="799" spans="1:4">
      <c r="A799" s="2356">
        <v>29502</v>
      </c>
      <c r="B799" s="984" t="s">
        <v>28455</v>
      </c>
      <c r="C799" s="984" t="s">
        <v>27713</v>
      </c>
      <c r="D799" s="981">
        <f t="shared" si="12"/>
        <v>29502</v>
      </c>
    </row>
    <row r="800" spans="1:4">
      <c r="A800" s="2356">
        <v>29386</v>
      </c>
      <c r="B800" s="984" t="s">
        <v>28393</v>
      </c>
      <c r="C800" s="984" t="s">
        <v>27653</v>
      </c>
      <c r="D800" s="981">
        <f t="shared" si="12"/>
        <v>29386</v>
      </c>
    </row>
    <row r="801" spans="1:4">
      <c r="A801" s="2356">
        <v>29367</v>
      </c>
      <c r="B801" s="984" t="s">
        <v>28383</v>
      </c>
      <c r="C801" s="984" t="s">
        <v>27643</v>
      </c>
      <c r="D801" s="981">
        <f t="shared" si="12"/>
        <v>29367</v>
      </c>
    </row>
    <row r="802" spans="1:4">
      <c r="A802" s="2356">
        <v>29366</v>
      </c>
      <c r="B802" s="984" t="s">
        <v>28382</v>
      </c>
      <c r="C802" s="984" t="s">
        <v>27642</v>
      </c>
      <c r="D802" s="981">
        <f t="shared" si="12"/>
        <v>29366</v>
      </c>
    </row>
    <row r="803" spans="1:4">
      <c r="A803" s="2356">
        <v>28790</v>
      </c>
      <c r="B803" s="984" t="s">
        <v>28284</v>
      </c>
      <c r="C803" s="984" t="s">
        <v>27551</v>
      </c>
      <c r="D803" s="981">
        <f t="shared" si="12"/>
        <v>28790</v>
      </c>
    </row>
    <row r="804" spans="1:4">
      <c r="A804" s="2356">
        <v>28479</v>
      </c>
      <c r="B804" s="984" t="s">
        <v>28200</v>
      </c>
      <c r="C804" s="984" t="s">
        <v>27471</v>
      </c>
      <c r="D804" s="981">
        <f t="shared" si="12"/>
        <v>28479</v>
      </c>
    </row>
    <row r="805" spans="1:4">
      <c r="A805" s="2356">
        <v>30004</v>
      </c>
      <c r="B805" s="984" t="s">
        <v>28553</v>
      </c>
      <c r="C805" s="984" t="s">
        <v>27811</v>
      </c>
      <c r="D805" s="981">
        <f t="shared" si="12"/>
        <v>30004</v>
      </c>
    </row>
    <row r="806" spans="1:4">
      <c r="A806" s="2356">
        <v>29805</v>
      </c>
      <c r="B806" s="984" t="s">
        <v>28539</v>
      </c>
      <c r="C806" s="984" t="s">
        <v>27797</v>
      </c>
      <c r="D806" s="981">
        <f t="shared" si="12"/>
        <v>29805</v>
      </c>
    </row>
    <row r="807" spans="1:4">
      <c r="A807" s="2356">
        <v>29405</v>
      </c>
      <c r="B807" s="984" t="s">
        <v>28407</v>
      </c>
      <c r="C807" s="984" t="s">
        <v>27667</v>
      </c>
      <c r="D807" s="981">
        <f t="shared" si="12"/>
        <v>29405</v>
      </c>
    </row>
    <row r="808" spans="1:4">
      <c r="A808" s="2356">
        <v>29553</v>
      </c>
      <c r="B808" s="984" t="s">
        <v>28479</v>
      </c>
      <c r="C808" s="984" t="s">
        <v>27737</v>
      </c>
      <c r="D808" s="981">
        <f t="shared" si="12"/>
        <v>29553</v>
      </c>
    </row>
    <row r="809" spans="1:4">
      <c r="A809" s="2356">
        <v>29271</v>
      </c>
      <c r="B809" s="984" t="s">
        <v>28346</v>
      </c>
      <c r="C809" s="984" t="s">
        <v>27609</v>
      </c>
      <c r="D809" s="981">
        <f t="shared" si="12"/>
        <v>29271</v>
      </c>
    </row>
    <row r="810" spans="1:4">
      <c r="A810" s="2356">
        <v>29095</v>
      </c>
      <c r="B810" s="984" t="s">
        <v>28332</v>
      </c>
      <c r="C810" s="984" t="s">
        <v>27595</v>
      </c>
      <c r="D810" s="981">
        <f t="shared" si="12"/>
        <v>29095</v>
      </c>
    </row>
    <row r="811" spans="1:4">
      <c r="A811" s="2356">
        <v>29354</v>
      </c>
      <c r="B811" s="984" t="s">
        <v>28378</v>
      </c>
      <c r="C811" s="984" t="s">
        <v>31034</v>
      </c>
      <c r="D811" s="981">
        <f t="shared" si="12"/>
        <v>29354</v>
      </c>
    </row>
    <row r="812" spans="1:4">
      <c r="A812" s="2356">
        <v>29400</v>
      </c>
      <c r="B812" s="984" t="s">
        <v>28404</v>
      </c>
      <c r="C812" s="984" t="s">
        <v>27664</v>
      </c>
      <c r="D812" s="981">
        <f t="shared" si="12"/>
        <v>29400</v>
      </c>
    </row>
    <row r="813" spans="1:4">
      <c r="A813" s="2356">
        <v>28700</v>
      </c>
      <c r="B813" s="984" t="s">
        <v>28247</v>
      </c>
      <c r="C813" s="984" t="s">
        <v>27515</v>
      </c>
      <c r="D813" s="981">
        <f t="shared" si="12"/>
        <v>28700</v>
      </c>
    </row>
    <row r="814" spans="1:4">
      <c r="A814" s="2356">
        <v>29670</v>
      </c>
      <c r="B814" s="984" t="s">
        <v>28517</v>
      </c>
      <c r="C814" s="984" t="s">
        <v>27775</v>
      </c>
      <c r="D814" s="981">
        <f t="shared" si="12"/>
        <v>29670</v>
      </c>
    </row>
    <row r="815" spans="1:4">
      <c r="A815" s="2356">
        <v>29323</v>
      </c>
      <c r="B815" s="984" t="s">
        <v>28362</v>
      </c>
      <c r="C815" s="984" t="s">
        <v>27624</v>
      </c>
      <c r="D815" s="981">
        <f t="shared" si="12"/>
        <v>29323</v>
      </c>
    </row>
    <row r="816" spans="1:4">
      <c r="A816" s="2356">
        <v>29592</v>
      </c>
      <c r="B816" s="984" t="s">
        <v>28499</v>
      </c>
      <c r="C816" s="984" t="s">
        <v>27757</v>
      </c>
      <c r="D816" s="981">
        <f t="shared" si="12"/>
        <v>29592</v>
      </c>
    </row>
    <row r="817" spans="1:4">
      <c r="A817" s="2356">
        <v>28924</v>
      </c>
      <c r="B817" s="984" t="s">
        <v>28317</v>
      </c>
      <c r="C817" s="984" t="s">
        <v>31938</v>
      </c>
      <c r="D817" s="981">
        <f t="shared" si="12"/>
        <v>28924</v>
      </c>
    </row>
    <row r="818" spans="1:4">
      <c r="A818" s="2356">
        <v>29494</v>
      </c>
      <c r="B818" s="984" t="s">
        <v>28449</v>
      </c>
      <c r="C818" s="984" t="s">
        <v>27708</v>
      </c>
      <c r="D818" s="981">
        <f t="shared" si="12"/>
        <v>29494</v>
      </c>
    </row>
    <row r="819" spans="1:4">
      <c r="A819" s="2356">
        <v>29347</v>
      </c>
      <c r="B819" s="984" t="s">
        <v>28373</v>
      </c>
      <c r="C819" s="984" t="s">
        <v>27635</v>
      </c>
      <c r="D819" s="981">
        <f t="shared" si="12"/>
        <v>29347</v>
      </c>
    </row>
    <row r="820" spans="1:4">
      <c r="A820" s="2356">
        <v>28770</v>
      </c>
      <c r="B820" s="984" t="s">
        <v>28274</v>
      </c>
      <c r="C820" s="984" t="s">
        <v>27541</v>
      </c>
      <c r="D820" s="981">
        <f t="shared" si="12"/>
        <v>28770</v>
      </c>
    </row>
    <row r="821" spans="1:4">
      <c r="A821" s="2356">
        <v>29525</v>
      </c>
      <c r="B821" s="984" t="s">
        <v>28467</v>
      </c>
      <c r="C821" s="984" t="s">
        <v>27725</v>
      </c>
      <c r="D821" s="981">
        <f t="shared" si="12"/>
        <v>29525</v>
      </c>
    </row>
    <row r="822" spans="1:4">
      <c r="A822" s="2356">
        <v>29287</v>
      </c>
      <c r="B822" s="984" t="s">
        <v>28353</v>
      </c>
      <c r="C822" s="984" t="s">
        <v>27616</v>
      </c>
      <c r="D822" s="981">
        <f t="shared" si="12"/>
        <v>29287</v>
      </c>
    </row>
    <row r="823" spans="1:4">
      <c r="A823" s="2356">
        <v>29716</v>
      </c>
      <c r="B823" s="984" t="s">
        <v>28523</v>
      </c>
      <c r="C823" s="984" t="s">
        <v>27781</v>
      </c>
      <c r="D823" s="981">
        <f t="shared" si="12"/>
        <v>29716</v>
      </c>
    </row>
    <row r="824" spans="1:4">
      <c r="A824" s="2356">
        <v>28746</v>
      </c>
      <c r="B824" s="984" t="s">
        <v>28265</v>
      </c>
      <c r="C824" s="984" t="s">
        <v>27532</v>
      </c>
      <c r="D824" s="981">
        <f t="shared" si="12"/>
        <v>28746</v>
      </c>
    </row>
    <row r="825" spans="1:4">
      <c r="A825" s="2356">
        <v>28442</v>
      </c>
      <c r="B825" s="984" t="s">
        <v>28193</v>
      </c>
      <c r="C825" s="984" t="s">
        <v>31939</v>
      </c>
      <c r="D825" s="981">
        <f t="shared" si="12"/>
        <v>28442</v>
      </c>
    </row>
    <row r="826" spans="1:4">
      <c r="A826" s="2356">
        <v>29556</v>
      </c>
      <c r="B826" s="984" t="s">
        <v>28480</v>
      </c>
      <c r="C826" s="984" t="s">
        <v>27738</v>
      </c>
      <c r="D826" s="981">
        <f t="shared" si="12"/>
        <v>29556</v>
      </c>
    </row>
    <row r="827" spans="1:4">
      <c r="A827" s="2356">
        <v>29334</v>
      </c>
      <c r="B827" s="984" t="s">
        <v>28366</v>
      </c>
      <c r="C827" s="984" t="s">
        <v>27628</v>
      </c>
      <c r="D827" s="981">
        <f t="shared" si="12"/>
        <v>29334</v>
      </c>
    </row>
    <row r="828" spans="1:4">
      <c r="A828" s="2356">
        <v>29526</v>
      </c>
      <c r="B828" s="984" t="s">
        <v>28468</v>
      </c>
      <c r="C828" s="984" t="s">
        <v>27726</v>
      </c>
      <c r="D828" s="981">
        <f t="shared" si="12"/>
        <v>29526</v>
      </c>
    </row>
    <row r="829" spans="1:4">
      <c r="A829" s="2356">
        <v>28875</v>
      </c>
      <c r="B829" s="984" t="s">
        <v>28309</v>
      </c>
      <c r="C829" s="984" t="s">
        <v>31940</v>
      </c>
      <c r="D829" s="981">
        <f t="shared" si="12"/>
        <v>28875</v>
      </c>
    </row>
    <row r="830" spans="1:4">
      <c r="A830" s="2356">
        <v>29595</v>
      </c>
      <c r="B830" s="984" t="s">
        <v>28502</v>
      </c>
      <c r="C830" s="984" t="s">
        <v>27760</v>
      </c>
      <c r="D830" s="981">
        <f t="shared" si="12"/>
        <v>29595</v>
      </c>
    </row>
    <row r="831" spans="1:4">
      <c r="A831" s="2356">
        <v>29482</v>
      </c>
      <c r="B831" s="984" t="s">
        <v>28441</v>
      </c>
      <c r="C831" s="984" t="s">
        <v>27700</v>
      </c>
      <c r="D831" s="981">
        <f t="shared" si="12"/>
        <v>29482</v>
      </c>
    </row>
    <row r="832" spans="1:4">
      <c r="A832" s="2356">
        <v>29352</v>
      </c>
      <c r="B832" s="984" t="s">
        <v>28376</v>
      </c>
      <c r="C832" s="984" t="s">
        <v>27637</v>
      </c>
      <c r="D832" s="981">
        <f t="shared" si="12"/>
        <v>29352</v>
      </c>
    </row>
    <row r="833" spans="1:4">
      <c r="A833" s="2356">
        <v>28467</v>
      </c>
      <c r="B833" s="984" t="s">
        <v>28198</v>
      </c>
      <c r="C833" s="984" t="s">
        <v>27469</v>
      </c>
      <c r="D833" s="981">
        <f t="shared" si="12"/>
        <v>28467</v>
      </c>
    </row>
    <row r="834" spans="1:4">
      <c r="A834" s="2356">
        <v>30021</v>
      </c>
      <c r="B834" s="984" t="s">
        <v>28559</v>
      </c>
      <c r="C834" s="984" t="s">
        <v>27817</v>
      </c>
      <c r="D834" s="981">
        <f t="shared" si="12"/>
        <v>30021</v>
      </c>
    </row>
    <row r="835" spans="1:4">
      <c r="A835" s="2356">
        <v>30000</v>
      </c>
      <c r="B835" s="984" t="s">
        <v>28551</v>
      </c>
      <c r="C835" s="984" t="s">
        <v>27809</v>
      </c>
      <c r="D835" s="981">
        <f t="shared" si="12"/>
        <v>30000</v>
      </c>
    </row>
    <row r="836" spans="1:4">
      <c r="A836" s="2356">
        <v>29908</v>
      </c>
      <c r="B836" s="984" t="s">
        <v>28545</v>
      </c>
      <c r="C836" s="984" t="s">
        <v>27803</v>
      </c>
      <c r="D836" s="981">
        <f t="shared" si="12"/>
        <v>29908</v>
      </c>
    </row>
    <row r="837" spans="1:4">
      <c r="A837" s="2356">
        <v>29594</v>
      </c>
      <c r="B837" s="984" t="s">
        <v>28501</v>
      </c>
      <c r="C837" s="984" t="s">
        <v>27759</v>
      </c>
      <c r="D837" s="981">
        <f t="shared" si="12"/>
        <v>29594</v>
      </c>
    </row>
    <row r="838" spans="1:4">
      <c r="A838" s="2356">
        <v>29568</v>
      </c>
      <c r="B838" s="984" t="s">
        <v>28486</v>
      </c>
      <c r="C838" s="984" t="s">
        <v>27744</v>
      </c>
      <c r="D838" s="981">
        <f t="shared" si="12"/>
        <v>29568</v>
      </c>
    </row>
    <row r="839" spans="1:4">
      <c r="A839" s="2356">
        <v>28977</v>
      </c>
      <c r="B839" s="984" t="s">
        <v>28325</v>
      </c>
      <c r="C839" s="984" t="s">
        <v>27588</v>
      </c>
      <c r="D839" s="981">
        <f t="shared" si="12"/>
        <v>28977</v>
      </c>
    </row>
    <row r="840" spans="1:4">
      <c r="A840" s="2356">
        <v>28339</v>
      </c>
      <c r="B840" s="984" t="s">
        <v>28163</v>
      </c>
      <c r="C840" s="984" t="s">
        <v>27436</v>
      </c>
      <c r="D840" s="981">
        <f t="shared" si="12"/>
        <v>28339</v>
      </c>
    </row>
    <row r="841" spans="1:4">
      <c r="A841" s="2356">
        <v>29406</v>
      </c>
      <c r="B841" s="984" t="s">
        <v>28408</v>
      </c>
      <c r="C841" s="984" t="s">
        <v>27668</v>
      </c>
      <c r="D841" s="981">
        <f t="shared" ref="D841:D904" si="13">+A841</f>
        <v>29406</v>
      </c>
    </row>
    <row r="842" spans="1:4">
      <c r="A842" s="2356">
        <v>22899</v>
      </c>
      <c r="B842" s="984" t="s">
        <v>23000</v>
      </c>
      <c r="C842" s="984" t="s">
        <v>31083</v>
      </c>
      <c r="D842" s="981">
        <f t="shared" si="13"/>
        <v>22899</v>
      </c>
    </row>
    <row r="843" spans="1:4">
      <c r="A843" s="2356">
        <v>29463</v>
      </c>
      <c r="B843" s="984" t="s">
        <v>28431</v>
      </c>
      <c r="C843" s="984" t="s">
        <v>27690</v>
      </c>
      <c r="D843" s="981">
        <f t="shared" si="13"/>
        <v>29463</v>
      </c>
    </row>
    <row r="844" spans="1:4">
      <c r="A844" s="2356">
        <v>28472</v>
      </c>
      <c r="B844" s="984" t="s">
        <v>28199</v>
      </c>
      <c r="C844" s="984" t="s">
        <v>27470</v>
      </c>
      <c r="D844" s="981">
        <f t="shared" si="13"/>
        <v>28472</v>
      </c>
    </row>
    <row r="845" spans="1:4">
      <c r="A845" s="2356">
        <v>29523</v>
      </c>
      <c r="B845" s="984" t="s">
        <v>28466</v>
      </c>
      <c r="C845" s="984" t="s">
        <v>27724</v>
      </c>
      <c r="D845" s="981">
        <f t="shared" si="13"/>
        <v>29523</v>
      </c>
    </row>
    <row r="846" spans="1:4">
      <c r="A846" s="2356">
        <v>28612</v>
      </c>
      <c r="B846" s="984" t="s">
        <v>28224</v>
      </c>
      <c r="C846" s="984" t="s">
        <v>27494</v>
      </c>
      <c r="D846" s="981">
        <f t="shared" si="13"/>
        <v>28612</v>
      </c>
    </row>
    <row r="847" spans="1:4">
      <c r="A847" s="2356">
        <v>29479</v>
      </c>
      <c r="B847" s="984" t="s">
        <v>28439</v>
      </c>
      <c r="C847" s="984" t="s">
        <v>27698</v>
      </c>
      <c r="D847" s="981">
        <f t="shared" si="13"/>
        <v>29479</v>
      </c>
    </row>
    <row r="848" spans="1:4">
      <c r="A848" s="2356">
        <v>29459</v>
      </c>
      <c r="B848" s="984" t="s">
        <v>28428</v>
      </c>
      <c r="C848" s="984" t="s">
        <v>27687</v>
      </c>
      <c r="D848" s="981">
        <f t="shared" si="13"/>
        <v>29459</v>
      </c>
    </row>
    <row r="849" spans="1:4">
      <c r="A849" s="2356">
        <v>28670</v>
      </c>
      <c r="B849" s="984" t="s">
        <v>28241</v>
      </c>
      <c r="C849" s="984" t="s">
        <v>27509</v>
      </c>
      <c r="D849" s="981">
        <f t="shared" si="13"/>
        <v>28670</v>
      </c>
    </row>
    <row r="850" spans="1:4">
      <c r="A850" s="2356">
        <v>28550</v>
      </c>
      <c r="B850" s="984" t="s">
        <v>28212</v>
      </c>
      <c r="C850" s="984" t="s">
        <v>27483</v>
      </c>
      <c r="D850" s="981">
        <f t="shared" si="13"/>
        <v>28550</v>
      </c>
    </row>
    <row r="851" spans="1:4">
      <c r="A851" s="2356">
        <v>29331</v>
      </c>
      <c r="B851" s="984" t="s">
        <v>28365</v>
      </c>
      <c r="C851" s="984" t="s">
        <v>27627</v>
      </c>
      <c r="D851" s="981">
        <f t="shared" si="13"/>
        <v>29331</v>
      </c>
    </row>
    <row r="852" spans="1:4">
      <c r="A852" s="2356">
        <v>29460</v>
      </c>
      <c r="B852" s="984" t="s">
        <v>28429</v>
      </c>
      <c r="C852" s="984" t="s">
        <v>27688</v>
      </c>
      <c r="D852" s="981">
        <f t="shared" si="13"/>
        <v>29460</v>
      </c>
    </row>
    <row r="853" spans="1:4">
      <c r="A853" s="2356">
        <v>30071</v>
      </c>
      <c r="B853" s="984" t="s">
        <v>28573</v>
      </c>
      <c r="C853" s="984" t="s">
        <v>27831</v>
      </c>
      <c r="D853" s="981">
        <f t="shared" si="13"/>
        <v>30071</v>
      </c>
    </row>
    <row r="854" spans="1:4">
      <c r="A854" s="2356">
        <v>29130</v>
      </c>
      <c r="B854" s="984" t="s">
        <v>28336</v>
      </c>
      <c r="C854" s="984" t="s">
        <v>27599</v>
      </c>
      <c r="D854" s="981">
        <f t="shared" si="13"/>
        <v>29130</v>
      </c>
    </row>
    <row r="855" spans="1:4">
      <c r="A855" s="2356">
        <v>26194</v>
      </c>
      <c r="B855" s="984" t="s">
        <v>25974</v>
      </c>
      <c r="C855" s="984" t="s">
        <v>25973</v>
      </c>
      <c r="D855" s="981">
        <f t="shared" si="13"/>
        <v>26194</v>
      </c>
    </row>
    <row r="856" spans="1:4">
      <c r="A856" s="2356">
        <v>28188</v>
      </c>
      <c r="B856" s="984" t="s">
        <v>28129</v>
      </c>
      <c r="C856" s="984" t="s">
        <v>27407</v>
      </c>
      <c r="D856" s="981">
        <f t="shared" si="13"/>
        <v>28188</v>
      </c>
    </row>
    <row r="857" spans="1:4">
      <c r="A857" s="2356">
        <v>27849</v>
      </c>
      <c r="B857" s="984" t="s">
        <v>27950</v>
      </c>
      <c r="C857" s="984" t="s">
        <v>27240</v>
      </c>
      <c r="D857" s="981">
        <f t="shared" si="13"/>
        <v>27849</v>
      </c>
    </row>
    <row r="858" spans="1:4">
      <c r="A858" s="2356">
        <v>25819</v>
      </c>
      <c r="B858" s="984" t="s">
        <v>25827</v>
      </c>
      <c r="C858" s="984" t="s">
        <v>25826</v>
      </c>
      <c r="D858" s="981">
        <f t="shared" si="13"/>
        <v>25819</v>
      </c>
    </row>
    <row r="859" spans="1:4">
      <c r="A859" s="2356">
        <v>24581</v>
      </c>
      <c r="B859" s="984" t="s">
        <v>25045</v>
      </c>
      <c r="C859" s="984" t="s">
        <v>25046</v>
      </c>
      <c r="D859" s="981">
        <f t="shared" si="13"/>
        <v>24581</v>
      </c>
    </row>
    <row r="860" spans="1:4">
      <c r="A860" s="2356">
        <v>24759</v>
      </c>
      <c r="B860" s="984" t="s">
        <v>25720</v>
      </c>
      <c r="C860" s="984" t="s">
        <v>25719</v>
      </c>
      <c r="D860" s="981">
        <f t="shared" si="13"/>
        <v>24759</v>
      </c>
    </row>
    <row r="861" spans="1:4">
      <c r="A861" s="2356">
        <v>27948</v>
      </c>
      <c r="B861" s="984" t="s">
        <v>27993</v>
      </c>
      <c r="C861" s="984" t="s">
        <v>27279</v>
      </c>
      <c r="D861" s="981">
        <f t="shared" si="13"/>
        <v>27948</v>
      </c>
    </row>
    <row r="862" spans="1:4">
      <c r="A862" s="2356">
        <v>24729</v>
      </c>
      <c r="B862" s="984" t="s">
        <v>25112</v>
      </c>
      <c r="C862" s="984" t="s">
        <v>31085</v>
      </c>
      <c r="D862" s="981">
        <f t="shared" si="13"/>
        <v>24729</v>
      </c>
    </row>
    <row r="863" spans="1:4">
      <c r="A863" s="2356">
        <v>25650</v>
      </c>
      <c r="B863" s="984" t="s">
        <v>25799</v>
      </c>
      <c r="C863" s="984" t="s">
        <v>24434</v>
      </c>
      <c r="D863" s="981">
        <f t="shared" si="13"/>
        <v>25650</v>
      </c>
    </row>
    <row r="864" spans="1:4">
      <c r="A864" s="2356">
        <v>25914</v>
      </c>
      <c r="B864" s="984" t="s">
        <v>25881</v>
      </c>
      <c r="C864" s="984" t="s">
        <v>25880</v>
      </c>
      <c r="D864" s="981">
        <f t="shared" si="13"/>
        <v>25914</v>
      </c>
    </row>
    <row r="865" spans="1:4">
      <c r="A865" s="2356">
        <v>27876</v>
      </c>
      <c r="B865" s="984" t="s">
        <v>27962</v>
      </c>
      <c r="C865" s="984" t="s">
        <v>27252</v>
      </c>
      <c r="D865" s="981">
        <f t="shared" si="13"/>
        <v>27876</v>
      </c>
    </row>
    <row r="866" spans="1:4">
      <c r="A866" s="2356">
        <v>24317</v>
      </c>
      <c r="B866" s="984" t="s">
        <v>23798</v>
      </c>
      <c r="C866" s="984" t="s">
        <v>27188</v>
      </c>
      <c r="D866" s="981">
        <f t="shared" si="13"/>
        <v>24317</v>
      </c>
    </row>
    <row r="867" spans="1:4">
      <c r="A867" s="2356">
        <v>28129</v>
      </c>
      <c r="B867" s="984" t="s">
        <v>28106</v>
      </c>
      <c r="C867" s="984" t="s">
        <v>27386</v>
      </c>
      <c r="D867" s="981">
        <f t="shared" si="13"/>
        <v>28129</v>
      </c>
    </row>
    <row r="868" spans="1:4">
      <c r="A868" s="2356">
        <v>27897</v>
      </c>
      <c r="B868" s="984" t="s">
        <v>27969</v>
      </c>
      <c r="C868" s="984" t="s">
        <v>27259</v>
      </c>
      <c r="D868" s="981">
        <f t="shared" si="13"/>
        <v>27897</v>
      </c>
    </row>
    <row r="869" spans="1:4">
      <c r="A869" s="2356">
        <v>25755</v>
      </c>
      <c r="B869" s="984" t="s">
        <v>25803</v>
      </c>
      <c r="C869" s="984" t="s">
        <v>25802</v>
      </c>
      <c r="D869" s="981">
        <f t="shared" si="13"/>
        <v>25755</v>
      </c>
    </row>
    <row r="870" spans="1:4">
      <c r="A870" s="2356">
        <v>28117</v>
      </c>
      <c r="B870" s="984" t="s">
        <v>28099</v>
      </c>
      <c r="C870" s="984" t="s">
        <v>27379</v>
      </c>
      <c r="D870" s="981">
        <f t="shared" si="13"/>
        <v>28117</v>
      </c>
    </row>
    <row r="871" spans="1:4">
      <c r="A871" s="2356">
        <v>28138</v>
      </c>
      <c r="B871" s="984" t="s">
        <v>28110</v>
      </c>
      <c r="C871" s="984" t="s">
        <v>27389</v>
      </c>
      <c r="D871" s="981">
        <f t="shared" si="13"/>
        <v>28138</v>
      </c>
    </row>
    <row r="872" spans="1:4">
      <c r="A872" s="2356">
        <v>27970</v>
      </c>
      <c r="B872" s="984" t="s">
        <v>28006</v>
      </c>
      <c r="C872" s="984" t="s">
        <v>27292</v>
      </c>
      <c r="D872" s="981">
        <f t="shared" si="13"/>
        <v>27970</v>
      </c>
    </row>
    <row r="873" spans="1:4">
      <c r="A873" s="2356">
        <v>27918</v>
      </c>
      <c r="B873" s="984" t="s">
        <v>27978</v>
      </c>
      <c r="C873" s="984" t="s">
        <v>27266</v>
      </c>
      <c r="D873" s="981">
        <f t="shared" si="13"/>
        <v>27918</v>
      </c>
    </row>
    <row r="874" spans="1:4">
      <c r="A874" s="2356">
        <v>26718</v>
      </c>
      <c r="B874" s="984" t="s">
        <v>26024</v>
      </c>
      <c r="C874" s="984" t="s">
        <v>26023</v>
      </c>
      <c r="D874" s="981">
        <f t="shared" si="13"/>
        <v>26718</v>
      </c>
    </row>
    <row r="875" spans="1:4">
      <c r="A875" s="2356">
        <v>28315</v>
      </c>
      <c r="B875" s="984" t="s">
        <v>28152</v>
      </c>
      <c r="C875" s="984" t="s">
        <v>31033</v>
      </c>
      <c r="D875" s="981">
        <f t="shared" si="13"/>
        <v>28315</v>
      </c>
    </row>
    <row r="876" spans="1:4">
      <c r="A876" s="2356">
        <v>27788</v>
      </c>
      <c r="B876" s="984" t="s">
        <v>27918</v>
      </c>
      <c r="C876" s="984" t="s">
        <v>27209</v>
      </c>
      <c r="D876" s="981">
        <f t="shared" si="13"/>
        <v>27788</v>
      </c>
    </row>
    <row r="877" spans="1:4">
      <c r="A877" s="2356">
        <v>24600</v>
      </c>
      <c r="B877" s="984" t="s">
        <v>25069</v>
      </c>
      <c r="C877" s="984" t="s">
        <v>25070</v>
      </c>
      <c r="D877" s="981">
        <f t="shared" si="13"/>
        <v>24600</v>
      </c>
    </row>
    <row r="878" spans="1:4">
      <c r="A878" s="2356">
        <v>28289</v>
      </c>
      <c r="B878" s="984" t="s">
        <v>28144</v>
      </c>
      <c r="C878" s="984" t="s">
        <v>31069</v>
      </c>
      <c r="D878" s="981">
        <f t="shared" si="13"/>
        <v>28289</v>
      </c>
    </row>
    <row r="879" spans="1:4">
      <c r="A879" s="2356">
        <v>28126</v>
      </c>
      <c r="B879" s="984" t="s">
        <v>28103</v>
      </c>
      <c r="C879" s="984" t="s">
        <v>27383</v>
      </c>
      <c r="D879" s="981">
        <f t="shared" si="13"/>
        <v>28126</v>
      </c>
    </row>
    <row r="880" spans="1:4">
      <c r="A880" s="2356">
        <v>28027</v>
      </c>
      <c r="B880" s="984" t="s">
        <v>28040</v>
      </c>
      <c r="C880" s="984" t="s">
        <v>27323</v>
      </c>
      <c r="D880" s="981">
        <f t="shared" si="13"/>
        <v>28027</v>
      </c>
    </row>
    <row r="881" spans="1:4">
      <c r="A881" s="2356">
        <v>28019</v>
      </c>
      <c r="B881" s="984" t="s">
        <v>28033</v>
      </c>
      <c r="C881" s="984" t="s">
        <v>27316</v>
      </c>
      <c r="D881" s="981">
        <f t="shared" si="13"/>
        <v>28019</v>
      </c>
    </row>
    <row r="882" spans="1:4">
      <c r="A882" s="2356">
        <v>27805</v>
      </c>
      <c r="B882" s="984" t="s">
        <v>27926</v>
      </c>
      <c r="C882" s="984" t="s">
        <v>27217</v>
      </c>
      <c r="D882" s="981">
        <f t="shared" si="13"/>
        <v>27805</v>
      </c>
    </row>
    <row r="883" spans="1:4">
      <c r="A883" s="2356">
        <v>27202</v>
      </c>
      <c r="B883" s="984" t="s">
        <v>26043</v>
      </c>
      <c r="C883" s="984" t="s">
        <v>24487</v>
      </c>
      <c r="D883" s="981">
        <f t="shared" si="13"/>
        <v>27202</v>
      </c>
    </row>
    <row r="884" spans="1:4">
      <c r="A884" s="2356">
        <v>26012</v>
      </c>
      <c r="B884" s="984" t="s">
        <v>25944</v>
      </c>
      <c r="C884" s="984" t="s">
        <v>27198</v>
      </c>
      <c r="D884" s="981">
        <f t="shared" si="13"/>
        <v>26012</v>
      </c>
    </row>
    <row r="885" spans="1:4">
      <c r="A885" s="2356">
        <v>24764</v>
      </c>
      <c r="B885" s="984" t="s">
        <v>25724</v>
      </c>
      <c r="C885" s="984" t="s">
        <v>25723</v>
      </c>
      <c r="D885" s="981">
        <f t="shared" si="13"/>
        <v>24764</v>
      </c>
    </row>
    <row r="886" spans="1:4">
      <c r="A886" s="2356">
        <v>24663</v>
      </c>
      <c r="B886" s="984" t="s">
        <v>25097</v>
      </c>
      <c r="C886" s="984" t="s">
        <v>25098</v>
      </c>
      <c r="D886" s="981">
        <f t="shared" si="13"/>
        <v>24663</v>
      </c>
    </row>
    <row r="887" spans="1:4">
      <c r="A887" s="2356">
        <v>28003</v>
      </c>
      <c r="B887" s="984" t="s">
        <v>28021</v>
      </c>
      <c r="C887" s="984" t="s">
        <v>27306</v>
      </c>
      <c r="D887" s="981">
        <f t="shared" si="13"/>
        <v>28003</v>
      </c>
    </row>
    <row r="888" spans="1:4">
      <c r="A888" s="2356">
        <v>27961</v>
      </c>
      <c r="B888" s="984" t="s">
        <v>28002</v>
      </c>
      <c r="C888" s="984" t="s">
        <v>27288</v>
      </c>
      <c r="D888" s="981">
        <f t="shared" si="13"/>
        <v>27961</v>
      </c>
    </row>
    <row r="889" spans="1:4">
      <c r="A889" s="2356">
        <v>25684</v>
      </c>
      <c r="B889" s="984" t="s">
        <v>25801</v>
      </c>
      <c r="C889" s="984" t="s">
        <v>25800</v>
      </c>
      <c r="D889" s="981">
        <f t="shared" si="13"/>
        <v>25684</v>
      </c>
    </row>
    <row r="890" spans="1:4">
      <c r="A890" s="2356">
        <v>27945</v>
      </c>
      <c r="B890" s="984" t="s">
        <v>27992</v>
      </c>
      <c r="C890" s="984" t="s">
        <v>27278</v>
      </c>
      <c r="D890" s="981">
        <f t="shared" si="13"/>
        <v>27945</v>
      </c>
    </row>
    <row r="891" spans="1:4">
      <c r="A891" s="2356">
        <v>27823</v>
      </c>
      <c r="B891" s="984" t="s">
        <v>27937</v>
      </c>
      <c r="C891" s="984" t="s">
        <v>27228</v>
      </c>
      <c r="D891" s="981">
        <f t="shared" si="13"/>
        <v>27823</v>
      </c>
    </row>
    <row r="892" spans="1:4">
      <c r="A892" s="2356">
        <v>27893</v>
      </c>
      <c r="B892" s="984" t="s">
        <v>27968</v>
      </c>
      <c r="C892" s="984" t="s">
        <v>27258</v>
      </c>
      <c r="D892" s="981">
        <f t="shared" si="13"/>
        <v>27893</v>
      </c>
    </row>
    <row r="893" spans="1:4">
      <c r="A893" s="2356">
        <v>27806</v>
      </c>
      <c r="B893" s="984" t="s">
        <v>27927</v>
      </c>
      <c r="C893" s="984" t="s">
        <v>27218</v>
      </c>
      <c r="D893" s="981">
        <f t="shared" si="13"/>
        <v>27806</v>
      </c>
    </row>
    <row r="894" spans="1:4">
      <c r="A894" s="2356">
        <v>25320</v>
      </c>
      <c r="B894" s="984" t="s">
        <v>25760</v>
      </c>
      <c r="C894" s="984" t="s">
        <v>25759</v>
      </c>
      <c r="D894" s="981">
        <f t="shared" si="13"/>
        <v>25320</v>
      </c>
    </row>
    <row r="895" spans="1:4">
      <c r="A895" s="2356">
        <v>27446</v>
      </c>
      <c r="B895" s="984" t="s">
        <v>26534</v>
      </c>
      <c r="C895" s="984" t="s">
        <v>26540</v>
      </c>
      <c r="D895" s="981">
        <f t="shared" si="13"/>
        <v>27446</v>
      </c>
    </row>
    <row r="896" spans="1:4">
      <c r="A896" s="2356">
        <v>27950</v>
      </c>
      <c r="B896" s="984" t="s">
        <v>27995</v>
      </c>
      <c r="C896" s="984" t="s">
        <v>27281</v>
      </c>
      <c r="D896" s="981">
        <f t="shared" si="13"/>
        <v>27950</v>
      </c>
    </row>
    <row r="897" spans="1:4">
      <c r="A897" s="2356">
        <v>27858</v>
      </c>
      <c r="B897" s="984" t="s">
        <v>27953</v>
      </c>
      <c r="C897" s="984" t="s">
        <v>27243</v>
      </c>
      <c r="D897" s="981">
        <f t="shared" si="13"/>
        <v>27858</v>
      </c>
    </row>
    <row r="898" spans="1:4">
      <c r="A898" s="2356">
        <v>27783</v>
      </c>
      <c r="B898" s="984" t="s">
        <v>27917</v>
      </c>
      <c r="C898" s="984" t="s">
        <v>27208</v>
      </c>
      <c r="D898" s="981">
        <f t="shared" si="13"/>
        <v>27783</v>
      </c>
    </row>
    <row r="899" spans="1:4">
      <c r="A899" s="2356">
        <v>27992</v>
      </c>
      <c r="B899" s="984" t="s">
        <v>28015</v>
      </c>
      <c r="C899" s="984" t="s">
        <v>27301</v>
      </c>
      <c r="D899" s="981">
        <f t="shared" si="13"/>
        <v>27992</v>
      </c>
    </row>
    <row r="900" spans="1:4">
      <c r="A900" s="2356">
        <v>27844</v>
      </c>
      <c r="B900" s="984" t="s">
        <v>27948</v>
      </c>
      <c r="C900" s="984" t="s">
        <v>27238</v>
      </c>
      <c r="D900" s="981">
        <f t="shared" si="13"/>
        <v>27844</v>
      </c>
    </row>
    <row r="901" spans="1:4">
      <c r="A901" s="2356">
        <v>27988</v>
      </c>
      <c r="B901" s="984" t="s">
        <v>28012</v>
      </c>
      <c r="C901" s="984" t="s">
        <v>27298</v>
      </c>
      <c r="D901" s="981">
        <f t="shared" si="13"/>
        <v>27988</v>
      </c>
    </row>
    <row r="902" spans="1:4">
      <c r="A902" s="2356">
        <v>27954</v>
      </c>
      <c r="B902" s="984" t="s">
        <v>27997</v>
      </c>
      <c r="C902" s="984" t="s">
        <v>27283</v>
      </c>
      <c r="D902" s="981">
        <f t="shared" si="13"/>
        <v>27954</v>
      </c>
    </row>
    <row r="903" spans="1:4">
      <c r="A903" s="2356">
        <v>27929</v>
      </c>
      <c r="B903" s="984" t="s">
        <v>27984</v>
      </c>
      <c r="C903" s="984" t="s">
        <v>27272</v>
      </c>
      <c r="D903" s="981">
        <f t="shared" si="13"/>
        <v>27929</v>
      </c>
    </row>
    <row r="904" spans="1:4">
      <c r="A904" s="2356">
        <v>27922</v>
      </c>
      <c r="B904" s="984" t="s">
        <v>27981</v>
      </c>
      <c r="C904" s="984" t="s">
        <v>27269</v>
      </c>
      <c r="D904" s="981">
        <f t="shared" si="13"/>
        <v>27922</v>
      </c>
    </row>
    <row r="905" spans="1:4">
      <c r="A905" s="2356">
        <v>27936</v>
      </c>
      <c r="B905" s="984" t="s">
        <v>27988</v>
      </c>
      <c r="C905" s="984" t="s">
        <v>27275</v>
      </c>
      <c r="D905" s="981">
        <f t="shared" ref="D905:D968" si="14">+A905</f>
        <v>27936</v>
      </c>
    </row>
    <row r="906" spans="1:4">
      <c r="A906" s="2356">
        <v>24580</v>
      </c>
      <c r="B906" s="984" t="s">
        <v>25043</v>
      </c>
      <c r="C906" s="984" t="s">
        <v>25044</v>
      </c>
      <c r="D906" s="981">
        <f t="shared" si="14"/>
        <v>24580</v>
      </c>
    </row>
    <row r="907" spans="1:4">
      <c r="A907" s="2356">
        <v>28082</v>
      </c>
      <c r="B907" s="984" t="s">
        <v>28078</v>
      </c>
      <c r="C907" s="984" t="s">
        <v>27358</v>
      </c>
      <c r="D907" s="981">
        <f t="shared" si="14"/>
        <v>28082</v>
      </c>
    </row>
    <row r="908" spans="1:4">
      <c r="A908" s="2356">
        <v>25801</v>
      </c>
      <c r="B908" s="984" t="s">
        <v>25815</v>
      </c>
      <c r="C908" s="984" t="s">
        <v>25814</v>
      </c>
      <c r="D908" s="981">
        <f t="shared" si="14"/>
        <v>25801</v>
      </c>
    </row>
    <row r="909" spans="1:4">
      <c r="A909" s="2356">
        <v>24585</v>
      </c>
      <c r="B909" s="984" t="s">
        <v>25049</v>
      </c>
      <c r="C909" s="984" t="s">
        <v>25050</v>
      </c>
      <c r="D909" s="981">
        <f t="shared" si="14"/>
        <v>24585</v>
      </c>
    </row>
    <row r="910" spans="1:4">
      <c r="A910" s="2356">
        <v>24576</v>
      </c>
      <c r="B910" s="984" t="s">
        <v>25039</v>
      </c>
      <c r="C910" s="984" t="s">
        <v>25040</v>
      </c>
      <c r="D910" s="981">
        <f t="shared" si="14"/>
        <v>24576</v>
      </c>
    </row>
    <row r="911" spans="1:4">
      <c r="A911" s="2356">
        <v>24693</v>
      </c>
      <c r="B911" s="984" t="s">
        <v>25105</v>
      </c>
      <c r="C911" s="984" t="s">
        <v>25106</v>
      </c>
      <c r="D911" s="981">
        <f t="shared" si="14"/>
        <v>24693</v>
      </c>
    </row>
    <row r="912" spans="1:4">
      <c r="A912" s="2356">
        <v>26368</v>
      </c>
      <c r="B912" s="984" t="s">
        <v>25992</v>
      </c>
      <c r="C912" s="984" t="s">
        <v>25991</v>
      </c>
      <c r="D912" s="981">
        <f t="shared" si="14"/>
        <v>26368</v>
      </c>
    </row>
    <row r="913" spans="1:4">
      <c r="A913" s="2356">
        <v>25832</v>
      </c>
      <c r="B913" s="984" t="s">
        <v>25841</v>
      </c>
      <c r="C913" s="984" t="s">
        <v>25840</v>
      </c>
      <c r="D913" s="981">
        <f t="shared" si="14"/>
        <v>25832</v>
      </c>
    </row>
    <row r="914" spans="1:4">
      <c r="A914" s="2356">
        <v>26136</v>
      </c>
      <c r="B914" s="984" t="s">
        <v>25970</v>
      </c>
      <c r="C914" s="984" t="s">
        <v>25969</v>
      </c>
      <c r="D914" s="981">
        <f t="shared" si="14"/>
        <v>26136</v>
      </c>
    </row>
    <row r="915" spans="1:4">
      <c r="A915" s="2356">
        <v>25995</v>
      </c>
      <c r="B915" s="984" t="s">
        <v>25933</v>
      </c>
      <c r="C915" s="984" t="s">
        <v>25932</v>
      </c>
      <c r="D915" s="981">
        <f t="shared" si="14"/>
        <v>25995</v>
      </c>
    </row>
    <row r="916" spans="1:4">
      <c r="A916" s="2356">
        <v>23989</v>
      </c>
      <c r="B916" s="984" t="s">
        <v>23119</v>
      </c>
      <c r="C916" s="984" t="s">
        <v>24048</v>
      </c>
      <c r="D916" s="981">
        <f t="shared" si="14"/>
        <v>23989</v>
      </c>
    </row>
    <row r="917" spans="1:4">
      <c r="A917" s="2356">
        <v>23907</v>
      </c>
      <c r="B917" s="984" t="s">
        <v>23145</v>
      </c>
      <c r="C917" s="984" t="s">
        <v>24073</v>
      </c>
      <c r="D917" s="981">
        <f t="shared" si="14"/>
        <v>23907</v>
      </c>
    </row>
    <row r="918" spans="1:4">
      <c r="A918" s="2356">
        <v>23791</v>
      </c>
      <c r="B918" s="984" t="s">
        <v>23630</v>
      </c>
      <c r="C918" s="984" t="s">
        <v>24545</v>
      </c>
      <c r="D918" s="981">
        <f t="shared" si="14"/>
        <v>23791</v>
      </c>
    </row>
    <row r="919" spans="1:4">
      <c r="A919" s="2356">
        <v>23113</v>
      </c>
      <c r="B919" s="984" t="s">
        <v>23742</v>
      </c>
      <c r="C919" s="984" t="s">
        <v>24630</v>
      </c>
      <c r="D919" s="981">
        <f t="shared" si="14"/>
        <v>23113</v>
      </c>
    </row>
    <row r="920" spans="1:4">
      <c r="A920" s="2356">
        <v>23878</v>
      </c>
      <c r="B920" s="984" t="s">
        <v>23347</v>
      </c>
      <c r="C920" s="984" t="s">
        <v>24271</v>
      </c>
      <c r="D920" s="981">
        <f t="shared" si="14"/>
        <v>23878</v>
      </c>
    </row>
    <row r="921" spans="1:4">
      <c r="A921" s="2356">
        <v>23860</v>
      </c>
      <c r="B921" s="984" t="s">
        <v>23116</v>
      </c>
      <c r="C921" s="984" t="s">
        <v>24045</v>
      </c>
      <c r="D921" s="981">
        <f t="shared" si="14"/>
        <v>23860</v>
      </c>
    </row>
    <row r="922" spans="1:4">
      <c r="A922" s="2356">
        <v>23717</v>
      </c>
      <c r="B922" s="984" t="s">
        <v>23698</v>
      </c>
      <c r="C922" s="984" t="s">
        <v>24612</v>
      </c>
      <c r="D922" s="981">
        <f t="shared" si="14"/>
        <v>23717</v>
      </c>
    </row>
    <row r="923" spans="1:4">
      <c r="A923" s="2356">
        <v>23846</v>
      </c>
      <c r="B923" s="984" t="s">
        <v>23348</v>
      </c>
      <c r="C923" s="984" t="s">
        <v>24272</v>
      </c>
      <c r="D923" s="981">
        <f t="shared" si="14"/>
        <v>23846</v>
      </c>
    </row>
    <row r="924" spans="1:4">
      <c r="A924" s="2356">
        <v>23865</v>
      </c>
      <c r="B924" s="984" t="s">
        <v>23737</v>
      </c>
      <c r="C924" s="984" t="s">
        <v>25714</v>
      </c>
      <c r="D924" s="981">
        <f t="shared" si="14"/>
        <v>23865</v>
      </c>
    </row>
    <row r="925" spans="1:4">
      <c r="A925" s="2356">
        <v>23839</v>
      </c>
      <c r="B925" s="984" t="s">
        <v>23581</v>
      </c>
      <c r="C925" s="984" t="s">
        <v>24498</v>
      </c>
      <c r="D925" s="981">
        <f t="shared" si="14"/>
        <v>23839</v>
      </c>
    </row>
    <row r="926" spans="1:4">
      <c r="A926" s="2356">
        <v>23913</v>
      </c>
      <c r="B926" s="984" t="s">
        <v>31007</v>
      </c>
      <c r="C926" s="984" t="s">
        <v>31061</v>
      </c>
      <c r="D926" s="981">
        <f t="shared" si="14"/>
        <v>23913</v>
      </c>
    </row>
    <row r="927" spans="1:4">
      <c r="A927" s="2356">
        <v>21574</v>
      </c>
      <c r="B927" s="984" t="s">
        <v>23015</v>
      </c>
      <c r="C927" s="984" t="s">
        <v>29898</v>
      </c>
      <c r="D927" s="981">
        <f t="shared" si="14"/>
        <v>21574</v>
      </c>
    </row>
    <row r="928" spans="1:4">
      <c r="A928" s="2356">
        <v>21622</v>
      </c>
      <c r="B928" s="984" t="s">
        <v>23172</v>
      </c>
      <c r="C928" s="984" t="s">
        <v>24099</v>
      </c>
      <c r="D928" s="981">
        <f t="shared" si="14"/>
        <v>21622</v>
      </c>
    </row>
    <row r="929" spans="1:4">
      <c r="A929" s="2356">
        <v>21686</v>
      </c>
      <c r="B929" s="984" t="s">
        <v>23078</v>
      </c>
      <c r="C929" s="984" t="s">
        <v>24008</v>
      </c>
      <c r="D929" s="981">
        <f t="shared" si="14"/>
        <v>21686</v>
      </c>
    </row>
    <row r="930" spans="1:4">
      <c r="A930" s="2356">
        <v>21506</v>
      </c>
      <c r="B930" s="984" t="s">
        <v>23088</v>
      </c>
      <c r="C930" s="984" t="s">
        <v>24017</v>
      </c>
      <c r="D930" s="981">
        <f t="shared" si="14"/>
        <v>21506</v>
      </c>
    </row>
    <row r="931" spans="1:4">
      <c r="A931" s="2356">
        <v>21614</v>
      </c>
      <c r="B931" s="984" t="s">
        <v>23056</v>
      </c>
      <c r="C931" s="984" t="s">
        <v>23986</v>
      </c>
      <c r="D931" s="981">
        <f t="shared" si="14"/>
        <v>21614</v>
      </c>
    </row>
    <row r="932" spans="1:4">
      <c r="A932" s="2356">
        <v>22839</v>
      </c>
      <c r="B932" s="984" t="s">
        <v>23377</v>
      </c>
      <c r="C932" s="984" t="s">
        <v>24301</v>
      </c>
      <c r="D932" s="981">
        <f t="shared" si="14"/>
        <v>22839</v>
      </c>
    </row>
    <row r="933" spans="1:4">
      <c r="A933" s="2356">
        <v>21601</v>
      </c>
      <c r="B933" s="984" t="s">
        <v>23502</v>
      </c>
      <c r="C933" s="984" t="s">
        <v>24419</v>
      </c>
      <c r="D933" s="981">
        <f t="shared" si="14"/>
        <v>21601</v>
      </c>
    </row>
    <row r="934" spans="1:4">
      <c r="A934" s="2356">
        <v>21464</v>
      </c>
      <c r="B934" s="984" t="s">
        <v>23011</v>
      </c>
      <c r="C934" s="984" t="s">
        <v>29854</v>
      </c>
      <c r="D934" s="981">
        <f t="shared" si="14"/>
        <v>21464</v>
      </c>
    </row>
    <row r="935" spans="1:4">
      <c r="A935" s="2356">
        <v>22129</v>
      </c>
      <c r="B935" s="984" t="s">
        <v>23298</v>
      </c>
      <c r="C935" s="984" t="s">
        <v>24222</v>
      </c>
      <c r="D935" s="981">
        <f t="shared" si="14"/>
        <v>22129</v>
      </c>
    </row>
    <row r="936" spans="1:4">
      <c r="A936" s="2356">
        <v>22858</v>
      </c>
      <c r="B936" s="984" t="s">
        <v>23709</v>
      </c>
      <c r="C936" s="984" t="s">
        <v>31094</v>
      </c>
      <c r="D936" s="981">
        <f t="shared" si="14"/>
        <v>22858</v>
      </c>
    </row>
    <row r="937" spans="1:4">
      <c r="A937" s="2356">
        <v>22751</v>
      </c>
      <c r="B937" s="984" t="s">
        <v>23148</v>
      </c>
      <c r="C937" s="984" t="s">
        <v>24076</v>
      </c>
      <c r="D937" s="981">
        <f t="shared" si="14"/>
        <v>22751</v>
      </c>
    </row>
    <row r="938" spans="1:4">
      <c r="A938" s="2356">
        <v>21566</v>
      </c>
      <c r="B938" s="984" t="s">
        <v>23686</v>
      </c>
      <c r="C938" s="984" t="s">
        <v>24600</v>
      </c>
      <c r="D938" s="981">
        <f t="shared" si="14"/>
        <v>21566</v>
      </c>
    </row>
    <row r="939" spans="1:4">
      <c r="A939" s="2356">
        <v>21431</v>
      </c>
      <c r="B939" s="984" t="s">
        <v>23405</v>
      </c>
      <c r="C939" s="984" t="s">
        <v>24326</v>
      </c>
      <c r="D939" s="981">
        <f t="shared" si="14"/>
        <v>21431</v>
      </c>
    </row>
    <row r="940" spans="1:4">
      <c r="A940" s="2356">
        <v>22728</v>
      </c>
      <c r="B940" s="984" t="s">
        <v>23445</v>
      </c>
      <c r="C940" s="984" t="s">
        <v>24365</v>
      </c>
      <c r="D940" s="981">
        <f t="shared" si="14"/>
        <v>22728</v>
      </c>
    </row>
    <row r="941" spans="1:4">
      <c r="A941" s="2356">
        <v>22721</v>
      </c>
      <c r="B941" s="984" t="s">
        <v>23045</v>
      </c>
      <c r="C941" s="984" t="s">
        <v>23975</v>
      </c>
      <c r="D941" s="981">
        <f t="shared" si="14"/>
        <v>22721</v>
      </c>
    </row>
    <row r="942" spans="1:4">
      <c r="A942" s="2356">
        <v>22706</v>
      </c>
      <c r="B942" s="984" t="s">
        <v>23108</v>
      </c>
      <c r="C942" s="984" t="s">
        <v>24037</v>
      </c>
      <c r="D942" s="981">
        <f t="shared" si="14"/>
        <v>22706</v>
      </c>
    </row>
    <row r="943" spans="1:4">
      <c r="A943" s="2356">
        <v>21569</v>
      </c>
      <c r="B943" s="984" t="s">
        <v>23025</v>
      </c>
      <c r="C943" s="984" t="s">
        <v>23955</v>
      </c>
      <c r="D943" s="981">
        <f t="shared" si="14"/>
        <v>21569</v>
      </c>
    </row>
    <row r="944" spans="1:4">
      <c r="A944" s="2356">
        <v>22793</v>
      </c>
      <c r="B944" s="984" t="s">
        <v>23021</v>
      </c>
      <c r="C944" s="984" t="s">
        <v>23951</v>
      </c>
      <c r="D944" s="981">
        <f t="shared" si="14"/>
        <v>22793</v>
      </c>
    </row>
    <row r="945" spans="1:4">
      <c r="A945" s="2356">
        <v>21617</v>
      </c>
      <c r="B945" s="984" t="s">
        <v>23481</v>
      </c>
      <c r="C945" s="984" t="s">
        <v>24399</v>
      </c>
      <c r="D945" s="981">
        <f t="shared" si="14"/>
        <v>21617</v>
      </c>
    </row>
    <row r="946" spans="1:4">
      <c r="A946" s="2356">
        <v>21599</v>
      </c>
      <c r="B946" s="984" t="s">
        <v>23067</v>
      </c>
      <c r="C946" s="984" t="s">
        <v>23997</v>
      </c>
      <c r="D946" s="981">
        <f t="shared" si="14"/>
        <v>21599</v>
      </c>
    </row>
    <row r="947" spans="1:4">
      <c r="A947" s="2356">
        <v>21500</v>
      </c>
      <c r="B947" s="984" t="s">
        <v>23720</v>
      </c>
      <c r="C947" s="984" t="s">
        <v>27167</v>
      </c>
      <c r="D947" s="981">
        <f t="shared" si="14"/>
        <v>21500</v>
      </c>
    </row>
    <row r="948" spans="1:4">
      <c r="A948" s="2356">
        <v>22131</v>
      </c>
      <c r="B948" s="984" t="s">
        <v>23560</v>
      </c>
      <c r="C948" s="984" t="s">
        <v>24477</v>
      </c>
      <c r="D948" s="981">
        <f t="shared" si="14"/>
        <v>22131</v>
      </c>
    </row>
    <row r="949" spans="1:4">
      <c r="A949" s="2356">
        <v>22146</v>
      </c>
      <c r="B949" s="984" t="s">
        <v>23588</v>
      </c>
      <c r="C949" s="984" t="s">
        <v>24506</v>
      </c>
      <c r="D949" s="981">
        <f t="shared" si="14"/>
        <v>22146</v>
      </c>
    </row>
    <row r="950" spans="1:4">
      <c r="A950" s="2356">
        <v>21643</v>
      </c>
      <c r="B950" s="984" t="s">
        <v>23483</v>
      </c>
      <c r="C950" s="984" t="s">
        <v>24401</v>
      </c>
      <c r="D950" s="981">
        <f t="shared" si="14"/>
        <v>21643</v>
      </c>
    </row>
    <row r="951" spans="1:4">
      <c r="A951" s="2356">
        <v>21470</v>
      </c>
      <c r="B951" s="984" t="s">
        <v>23491</v>
      </c>
      <c r="C951" s="984" t="s">
        <v>24409</v>
      </c>
      <c r="D951" s="981">
        <f t="shared" si="14"/>
        <v>21470</v>
      </c>
    </row>
    <row r="952" spans="1:4">
      <c r="A952" s="2356">
        <v>21551</v>
      </c>
      <c r="B952" s="984" t="s">
        <v>23402</v>
      </c>
      <c r="C952" s="984" t="s">
        <v>24323</v>
      </c>
      <c r="D952" s="981">
        <f t="shared" si="14"/>
        <v>21551</v>
      </c>
    </row>
    <row r="953" spans="1:4">
      <c r="A953" s="2356">
        <v>22072</v>
      </c>
      <c r="B953" s="984" t="s">
        <v>23496</v>
      </c>
      <c r="C953" s="984" t="s">
        <v>24414</v>
      </c>
      <c r="D953" s="981">
        <f t="shared" si="14"/>
        <v>22072</v>
      </c>
    </row>
    <row r="954" spans="1:4">
      <c r="A954" s="2356">
        <v>21570</v>
      </c>
      <c r="B954" s="984" t="s">
        <v>23722</v>
      </c>
      <c r="C954" s="984" t="s">
        <v>24620</v>
      </c>
      <c r="D954" s="981">
        <f t="shared" si="14"/>
        <v>21570</v>
      </c>
    </row>
    <row r="955" spans="1:4">
      <c r="A955" s="2356">
        <v>22856</v>
      </c>
      <c r="B955" s="984" t="s">
        <v>23372</v>
      </c>
      <c r="C955" s="984" t="s">
        <v>24296</v>
      </c>
      <c r="D955" s="981">
        <f t="shared" si="14"/>
        <v>22856</v>
      </c>
    </row>
    <row r="956" spans="1:4">
      <c r="A956" s="2356">
        <v>22826</v>
      </c>
      <c r="B956" s="984" t="s">
        <v>27893</v>
      </c>
      <c r="C956" s="984" t="s">
        <v>27178</v>
      </c>
      <c r="D956" s="981">
        <f t="shared" si="14"/>
        <v>22826</v>
      </c>
    </row>
    <row r="957" spans="1:4">
      <c r="A957" s="2356">
        <v>22143</v>
      </c>
      <c r="B957" s="984" t="s">
        <v>27890</v>
      </c>
      <c r="C957" s="984" t="s">
        <v>27173</v>
      </c>
      <c r="D957" s="981">
        <f t="shared" si="14"/>
        <v>22143</v>
      </c>
    </row>
    <row r="958" spans="1:4">
      <c r="A958" s="2356">
        <v>22814</v>
      </c>
      <c r="B958" s="984" t="s">
        <v>23659</v>
      </c>
      <c r="C958" s="984" t="s">
        <v>24573</v>
      </c>
      <c r="D958" s="981">
        <f t="shared" si="14"/>
        <v>22814</v>
      </c>
    </row>
    <row r="959" spans="1:4">
      <c r="A959" s="2356">
        <v>22794</v>
      </c>
      <c r="B959" s="984" t="s">
        <v>25696</v>
      </c>
      <c r="C959" s="984" t="s">
        <v>25695</v>
      </c>
      <c r="D959" s="981">
        <f t="shared" si="14"/>
        <v>22794</v>
      </c>
    </row>
    <row r="960" spans="1:4">
      <c r="A960" s="2356">
        <v>22697</v>
      </c>
      <c r="B960" s="984" t="s">
        <v>23626</v>
      </c>
      <c r="C960" s="984" t="s">
        <v>24541</v>
      </c>
      <c r="D960" s="981">
        <f t="shared" si="14"/>
        <v>22697</v>
      </c>
    </row>
    <row r="961" spans="1:4">
      <c r="A961" s="2356">
        <v>22932</v>
      </c>
      <c r="B961" s="984" t="s">
        <v>25708</v>
      </c>
      <c r="C961" s="984" t="s">
        <v>25707</v>
      </c>
      <c r="D961" s="981">
        <f t="shared" si="14"/>
        <v>22932</v>
      </c>
    </row>
    <row r="962" spans="1:4">
      <c r="A962" s="2356">
        <v>22912</v>
      </c>
      <c r="B962" s="984" t="s">
        <v>23412</v>
      </c>
      <c r="C962" s="984" t="s">
        <v>29830</v>
      </c>
      <c r="D962" s="981">
        <f t="shared" si="14"/>
        <v>22912</v>
      </c>
    </row>
    <row r="963" spans="1:4">
      <c r="A963" s="2356">
        <v>17357</v>
      </c>
      <c r="B963" s="984" t="s">
        <v>23382</v>
      </c>
      <c r="C963" s="984" t="s">
        <v>24306</v>
      </c>
      <c r="D963" s="981">
        <f t="shared" si="14"/>
        <v>17357</v>
      </c>
    </row>
    <row r="964" spans="1:4">
      <c r="A964" s="2356">
        <v>16880</v>
      </c>
      <c r="B964" s="984" t="s">
        <v>23629</v>
      </c>
      <c r="C964" s="984" t="s">
        <v>24544</v>
      </c>
      <c r="D964" s="981">
        <f t="shared" si="14"/>
        <v>16880</v>
      </c>
    </row>
    <row r="965" spans="1:4">
      <c r="A965" s="2356">
        <v>19919</v>
      </c>
      <c r="B965" s="984" t="s">
        <v>23133</v>
      </c>
      <c r="C965" s="984" t="s">
        <v>24061</v>
      </c>
      <c r="D965" s="981">
        <f t="shared" si="14"/>
        <v>19919</v>
      </c>
    </row>
    <row r="966" spans="1:4">
      <c r="A966" s="2356">
        <v>19952</v>
      </c>
      <c r="B966" s="984" t="s">
        <v>23082</v>
      </c>
      <c r="C966" s="984" t="s">
        <v>24011</v>
      </c>
      <c r="D966" s="981">
        <f t="shared" si="14"/>
        <v>19952</v>
      </c>
    </row>
    <row r="967" spans="1:4">
      <c r="A967" s="2356">
        <v>19802</v>
      </c>
      <c r="B967" s="984" t="s">
        <v>23507</v>
      </c>
      <c r="C967" s="984" t="s">
        <v>24424</v>
      </c>
      <c r="D967" s="981">
        <f t="shared" si="14"/>
        <v>19802</v>
      </c>
    </row>
    <row r="968" spans="1:4">
      <c r="A968" s="2356">
        <v>15486</v>
      </c>
      <c r="B968" s="984" t="s">
        <v>23810</v>
      </c>
      <c r="C968" s="984" t="s">
        <v>24678</v>
      </c>
      <c r="D968" s="981">
        <f t="shared" si="14"/>
        <v>15486</v>
      </c>
    </row>
    <row r="969" spans="1:4">
      <c r="A969" s="2356">
        <v>19816</v>
      </c>
      <c r="B969" s="984" t="s">
        <v>23083</v>
      </c>
      <c r="C969" s="984" t="s">
        <v>24012</v>
      </c>
      <c r="D969" s="981">
        <f t="shared" ref="D969:D1032" si="15">+A969</f>
        <v>19816</v>
      </c>
    </row>
    <row r="970" spans="1:4">
      <c r="A970" s="2356">
        <v>16978</v>
      </c>
      <c r="B970" s="984" t="s">
        <v>23326</v>
      </c>
      <c r="C970" s="984" t="s">
        <v>24250</v>
      </c>
      <c r="D970" s="981">
        <f t="shared" si="15"/>
        <v>16978</v>
      </c>
    </row>
    <row r="971" spans="1:4">
      <c r="A971" s="2356">
        <v>19891</v>
      </c>
      <c r="B971" s="984" t="s">
        <v>23458</v>
      </c>
      <c r="C971" s="984" t="s">
        <v>24377</v>
      </c>
      <c r="D971" s="981">
        <f t="shared" si="15"/>
        <v>19891</v>
      </c>
    </row>
    <row r="972" spans="1:4">
      <c r="A972" s="2356">
        <v>19815</v>
      </c>
      <c r="B972" s="984" t="s">
        <v>23024</v>
      </c>
      <c r="C972" s="984" t="s">
        <v>23954</v>
      </c>
      <c r="D972" s="981">
        <f t="shared" si="15"/>
        <v>19815</v>
      </c>
    </row>
    <row r="973" spans="1:4">
      <c r="A973" s="2356">
        <v>17440</v>
      </c>
      <c r="B973" s="984" t="s">
        <v>30993</v>
      </c>
      <c r="C973" s="984" t="s">
        <v>31030</v>
      </c>
      <c r="D973" s="981">
        <f t="shared" si="15"/>
        <v>17440</v>
      </c>
    </row>
    <row r="974" spans="1:4">
      <c r="A974" s="2356">
        <v>17686</v>
      </c>
      <c r="B974" s="984" t="s">
        <v>23249</v>
      </c>
      <c r="C974" s="984" t="s">
        <v>24173</v>
      </c>
      <c r="D974" s="981">
        <f t="shared" si="15"/>
        <v>17686</v>
      </c>
    </row>
    <row r="975" spans="1:4">
      <c r="A975" s="2356">
        <v>17231</v>
      </c>
      <c r="B975" s="984" t="s">
        <v>23212</v>
      </c>
      <c r="C975" s="984" t="s">
        <v>24137</v>
      </c>
      <c r="D975" s="981">
        <f t="shared" si="15"/>
        <v>17231</v>
      </c>
    </row>
    <row r="976" spans="1:4">
      <c r="A976" s="2356">
        <v>18604</v>
      </c>
      <c r="B976" s="984" t="s">
        <v>23302</v>
      </c>
      <c r="C976" s="984" t="s">
        <v>24226</v>
      </c>
      <c r="D976" s="981">
        <f t="shared" si="15"/>
        <v>18604</v>
      </c>
    </row>
    <row r="977" spans="1:4">
      <c r="A977" s="2356">
        <v>17410</v>
      </c>
      <c r="B977" s="984" t="s">
        <v>23531</v>
      </c>
      <c r="C977" s="984" t="s">
        <v>24449</v>
      </c>
      <c r="D977" s="981">
        <f t="shared" si="15"/>
        <v>17410</v>
      </c>
    </row>
    <row r="978" spans="1:4">
      <c r="A978" s="2356">
        <v>17402</v>
      </c>
      <c r="B978" s="984" t="s">
        <v>23579</v>
      </c>
      <c r="C978" s="984" t="s">
        <v>24496</v>
      </c>
      <c r="D978" s="981">
        <f t="shared" si="15"/>
        <v>17402</v>
      </c>
    </row>
    <row r="979" spans="1:4">
      <c r="A979" s="2356">
        <v>17525</v>
      </c>
      <c r="B979" s="984" t="s">
        <v>23854</v>
      </c>
      <c r="C979" s="984" t="s">
        <v>24714</v>
      </c>
      <c r="D979" s="981">
        <f t="shared" si="15"/>
        <v>17525</v>
      </c>
    </row>
    <row r="980" spans="1:4">
      <c r="A980" s="2356">
        <v>17502</v>
      </c>
      <c r="B980" s="984" t="s">
        <v>23713</v>
      </c>
      <c r="C980" s="984" t="s">
        <v>27157</v>
      </c>
      <c r="D980" s="981">
        <f t="shared" si="15"/>
        <v>17502</v>
      </c>
    </row>
    <row r="981" spans="1:4">
      <c r="A981" s="2356">
        <v>17139</v>
      </c>
      <c r="B981" s="984" t="s">
        <v>23008</v>
      </c>
      <c r="C981" s="984" t="s">
        <v>29845</v>
      </c>
      <c r="D981" s="981">
        <f t="shared" si="15"/>
        <v>17139</v>
      </c>
    </row>
    <row r="982" spans="1:4">
      <c r="A982" s="2356">
        <v>18822</v>
      </c>
      <c r="B982" s="984" t="s">
        <v>23277</v>
      </c>
      <c r="C982" s="984" t="s">
        <v>24200</v>
      </c>
      <c r="D982" s="981">
        <f t="shared" si="15"/>
        <v>18822</v>
      </c>
    </row>
    <row r="983" spans="1:4">
      <c r="A983" s="2356">
        <v>16971</v>
      </c>
      <c r="B983" s="984" t="s">
        <v>23235</v>
      </c>
      <c r="C983" s="984" t="s">
        <v>24160</v>
      </c>
      <c r="D983" s="981">
        <f t="shared" si="15"/>
        <v>16971</v>
      </c>
    </row>
    <row r="984" spans="1:4">
      <c r="A984" s="2356">
        <v>17430</v>
      </c>
      <c r="B984" s="984" t="s">
        <v>23839</v>
      </c>
      <c r="C984" s="984" t="s">
        <v>31058</v>
      </c>
      <c r="D984" s="981">
        <f t="shared" si="15"/>
        <v>17430</v>
      </c>
    </row>
    <row r="985" spans="1:4">
      <c r="A985" s="2356">
        <v>17472</v>
      </c>
      <c r="B985" s="984" t="s">
        <v>23140</v>
      </c>
      <c r="C985" s="984" t="s">
        <v>24068</v>
      </c>
      <c r="D985" s="981">
        <f t="shared" si="15"/>
        <v>17472</v>
      </c>
    </row>
    <row r="986" spans="1:4">
      <c r="A986" s="2356">
        <v>16965</v>
      </c>
      <c r="B986" s="984" t="s">
        <v>23488</v>
      </c>
      <c r="C986" s="984" t="s">
        <v>24406</v>
      </c>
      <c r="D986" s="981">
        <f t="shared" si="15"/>
        <v>16965</v>
      </c>
    </row>
    <row r="987" spans="1:4">
      <c r="A987" s="2356">
        <v>17696</v>
      </c>
      <c r="B987" s="984" t="s">
        <v>23037</v>
      </c>
      <c r="C987" s="984" t="s">
        <v>23967</v>
      </c>
      <c r="D987" s="981">
        <f t="shared" si="15"/>
        <v>17696</v>
      </c>
    </row>
    <row r="988" spans="1:4">
      <c r="A988" s="2356">
        <v>17665</v>
      </c>
      <c r="B988" s="984" t="s">
        <v>23534</v>
      </c>
      <c r="C988" s="984" t="s">
        <v>24452</v>
      </c>
      <c r="D988" s="981">
        <f t="shared" si="15"/>
        <v>17665</v>
      </c>
    </row>
    <row r="989" spans="1:4">
      <c r="A989" s="2356">
        <v>17656</v>
      </c>
      <c r="B989" s="984" t="s">
        <v>23856</v>
      </c>
      <c r="C989" s="984" t="s">
        <v>24716</v>
      </c>
      <c r="D989" s="981">
        <f t="shared" si="15"/>
        <v>17656</v>
      </c>
    </row>
    <row r="990" spans="1:4">
      <c r="A990" s="2356">
        <v>16770</v>
      </c>
      <c r="B990" s="984" t="s">
        <v>23511</v>
      </c>
      <c r="C990" s="984" t="s">
        <v>24428</v>
      </c>
      <c r="D990" s="981">
        <f t="shared" si="15"/>
        <v>16770</v>
      </c>
    </row>
    <row r="991" spans="1:4">
      <c r="A991" s="2356">
        <v>14399</v>
      </c>
      <c r="B991" s="984" t="s">
        <v>23386</v>
      </c>
      <c r="C991" s="984" t="s">
        <v>24310</v>
      </c>
      <c r="D991" s="981">
        <f t="shared" si="15"/>
        <v>14399</v>
      </c>
    </row>
    <row r="992" spans="1:4">
      <c r="A992" s="2356">
        <v>15328</v>
      </c>
      <c r="B992" s="984" t="s">
        <v>23764</v>
      </c>
      <c r="C992" s="984" t="s">
        <v>24644</v>
      </c>
      <c r="D992" s="981">
        <f t="shared" si="15"/>
        <v>15328</v>
      </c>
    </row>
    <row r="993" spans="1:4">
      <c r="A993" s="2356">
        <v>14875</v>
      </c>
      <c r="B993" s="984" t="s">
        <v>23237</v>
      </c>
      <c r="C993" s="984" t="s">
        <v>24162</v>
      </c>
      <c r="D993" s="981">
        <f t="shared" si="15"/>
        <v>14875</v>
      </c>
    </row>
    <row r="994" spans="1:4">
      <c r="A994" s="2356">
        <v>13613</v>
      </c>
      <c r="B994" s="984" t="s">
        <v>22938</v>
      </c>
      <c r="C994" s="984" t="s">
        <v>23896</v>
      </c>
      <c r="D994" s="981">
        <f t="shared" si="15"/>
        <v>13613</v>
      </c>
    </row>
    <row r="995" spans="1:4">
      <c r="A995" s="2356">
        <v>13691</v>
      </c>
      <c r="B995" s="984" t="s">
        <v>22997</v>
      </c>
      <c r="C995" s="984" t="s">
        <v>23941</v>
      </c>
      <c r="D995" s="981">
        <f t="shared" si="15"/>
        <v>13691</v>
      </c>
    </row>
    <row r="996" spans="1:4">
      <c r="A996" s="2356">
        <v>14234</v>
      </c>
      <c r="B996" s="984" t="s">
        <v>23118</v>
      </c>
      <c r="C996" s="984" t="s">
        <v>24047</v>
      </c>
      <c r="D996" s="981">
        <f t="shared" si="15"/>
        <v>14234</v>
      </c>
    </row>
    <row r="997" spans="1:4">
      <c r="A997" s="2356">
        <v>14883</v>
      </c>
      <c r="B997" s="984" t="s">
        <v>23638</v>
      </c>
      <c r="C997" s="984" t="s">
        <v>24553</v>
      </c>
      <c r="D997" s="981">
        <f t="shared" si="15"/>
        <v>14883</v>
      </c>
    </row>
    <row r="998" spans="1:4">
      <c r="A998" s="2356">
        <v>14435</v>
      </c>
      <c r="B998" s="984" t="s">
        <v>22914</v>
      </c>
      <c r="C998" s="984" t="s">
        <v>23874</v>
      </c>
      <c r="D998" s="981">
        <f t="shared" si="15"/>
        <v>14435</v>
      </c>
    </row>
    <row r="999" spans="1:4">
      <c r="A999" s="2356">
        <v>14236</v>
      </c>
      <c r="B999" s="984" t="s">
        <v>23548</v>
      </c>
      <c r="C999" s="984" t="s">
        <v>24466</v>
      </c>
      <c r="D999" s="981">
        <f t="shared" si="15"/>
        <v>14236</v>
      </c>
    </row>
    <row r="1000" spans="1:4">
      <c r="A1000" s="2356">
        <v>14101</v>
      </c>
      <c r="B1000" s="984" t="s">
        <v>23861</v>
      </c>
      <c r="C1000" s="984" t="s">
        <v>24721</v>
      </c>
      <c r="D1000" s="981">
        <f t="shared" si="15"/>
        <v>14101</v>
      </c>
    </row>
    <row r="1001" spans="1:4">
      <c r="A1001" s="2356">
        <v>14514</v>
      </c>
      <c r="B1001" s="984" t="s">
        <v>23654</v>
      </c>
      <c r="C1001" s="984" t="s">
        <v>24568</v>
      </c>
      <c r="D1001" s="981">
        <f t="shared" si="15"/>
        <v>14514</v>
      </c>
    </row>
    <row r="1002" spans="1:4">
      <c r="A1002" s="2356">
        <v>11605</v>
      </c>
      <c r="B1002" s="984" t="s">
        <v>23797</v>
      </c>
      <c r="C1002" s="984" t="s">
        <v>24669</v>
      </c>
      <c r="D1002" s="981">
        <f t="shared" si="15"/>
        <v>11605</v>
      </c>
    </row>
    <row r="1003" spans="1:4">
      <c r="A1003" s="2356">
        <v>14323</v>
      </c>
      <c r="B1003" s="984" t="s">
        <v>23219</v>
      </c>
      <c r="C1003" s="984" t="s">
        <v>24144</v>
      </c>
      <c r="D1003" s="981">
        <f t="shared" si="15"/>
        <v>14323</v>
      </c>
    </row>
    <row r="1004" spans="1:4">
      <c r="A1004" s="2356">
        <v>14307</v>
      </c>
      <c r="B1004" s="984" t="s">
        <v>23621</v>
      </c>
      <c r="C1004" s="984" t="s">
        <v>27146</v>
      </c>
      <c r="D1004" s="981">
        <f t="shared" si="15"/>
        <v>14307</v>
      </c>
    </row>
    <row r="1005" spans="1:4">
      <c r="A1005" s="2356">
        <v>14196</v>
      </c>
      <c r="B1005" s="984" t="s">
        <v>23271</v>
      </c>
      <c r="C1005" s="984" t="s">
        <v>24194</v>
      </c>
      <c r="D1005" s="981">
        <f t="shared" si="15"/>
        <v>14196</v>
      </c>
    </row>
    <row r="1006" spans="1:4">
      <c r="A1006" s="2356">
        <v>13873</v>
      </c>
      <c r="B1006" s="984" t="s">
        <v>23830</v>
      </c>
      <c r="C1006" s="984" t="s">
        <v>24696</v>
      </c>
      <c r="D1006" s="981">
        <f t="shared" si="15"/>
        <v>13873</v>
      </c>
    </row>
    <row r="1007" spans="1:4">
      <c r="A1007" s="2356">
        <v>13782</v>
      </c>
      <c r="B1007" s="984" t="s">
        <v>23635</v>
      </c>
      <c r="C1007" s="984" t="s">
        <v>24550</v>
      </c>
      <c r="D1007" s="981">
        <f t="shared" si="15"/>
        <v>13782</v>
      </c>
    </row>
    <row r="1008" spans="1:4">
      <c r="A1008" s="2356">
        <v>13760</v>
      </c>
      <c r="B1008" s="984" t="s">
        <v>23305</v>
      </c>
      <c r="C1008" s="984" t="s">
        <v>24229</v>
      </c>
      <c r="D1008" s="981">
        <f t="shared" si="15"/>
        <v>13760</v>
      </c>
    </row>
    <row r="1009" spans="1:4">
      <c r="A1009" s="2356">
        <v>14143</v>
      </c>
      <c r="B1009" s="984" t="s">
        <v>23719</v>
      </c>
      <c r="C1009" s="984" t="s">
        <v>29907</v>
      </c>
      <c r="D1009" s="981">
        <f t="shared" si="15"/>
        <v>14143</v>
      </c>
    </row>
    <row r="1010" spans="1:4">
      <c r="A1010" s="2356">
        <v>14133</v>
      </c>
      <c r="B1010" s="984" t="s">
        <v>23472</v>
      </c>
      <c r="C1010" s="984" t="s">
        <v>24390</v>
      </c>
      <c r="D1010" s="981">
        <f t="shared" si="15"/>
        <v>14133</v>
      </c>
    </row>
    <row r="1011" spans="1:4">
      <c r="A1011" s="2356">
        <v>13455</v>
      </c>
      <c r="B1011" s="984" t="s">
        <v>23206</v>
      </c>
      <c r="C1011" s="984" t="s">
        <v>24131</v>
      </c>
      <c r="D1011" s="981">
        <f t="shared" si="15"/>
        <v>13455</v>
      </c>
    </row>
    <row r="1012" spans="1:4">
      <c r="A1012" s="2356">
        <v>10612</v>
      </c>
      <c r="B1012" s="984" t="s">
        <v>22996</v>
      </c>
      <c r="C1012" s="984" t="s">
        <v>25682</v>
      </c>
      <c r="D1012" s="981">
        <f t="shared" si="15"/>
        <v>10612</v>
      </c>
    </row>
    <row r="1013" spans="1:4">
      <c r="A1013" s="2356">
        <v>13573</v>
      </c>
      <c r="B1013" s="984" t="s">
        <v>23800</v>
      </c>
      <c r="C1013" s="984" t="s">
        <v>24670</v>
      </c>
      <c r="D1013" s="981">
        <f t="shared" si="15"/>
        <v>13573</v>
      </c>
    </row>
    <row r="1014" spans="1:4">
      <c r="A1014" s="2356">
        <v>13146</v>
      </c>
      <c r="B1014" s="984" t="s">
        <v>23781</v>
      </c>
      <c r="C1014" s="984" t="s">
        <v>24655</v>
      </c>
      <c r="D1014" s="981">
        <f t="shared" si="15"/>
        <v>13146</v>
      </c>
    </row>
    <row r="1015" spans="1:4">
      <c r="A1015" s="2356">
        <v>13712</v>
      </c>
      <c r="B1015" s="984" t="s">
        <v>23565</v>
      </c>
      <c r="C1015" s="984" t="s">
        <v>31056</v>
      </c>
      <c r="D1015" s="981">
        <f t="shared" si="15"/>
        <v>13712</v>
      </c>
    </row>
    <row r="1016" spans="1:4">
      <c r="A1016" s="2356">
        <v>13702</v>
      </c>
      <c r="B1016" s="984" t="s">
        <v>23622</v>
      </c>
      <c r="C1016" s="984" t="s">
        <v>24537</v>
      </c>
      <c r="D1016" s="981">
        <f t="shared" si="15"/>
        <v>13702</v>
      </c>
    </row>
    <row r="1017" spans="1:4">
      <c r="A1017" s="2356">
        <v>5657</v>
      </c>
      <c r="B1017" s="984" t="s">
        <v>27863</v>
      </c>
      <c r="C1017" s="984" t="s">
        <v>27134</v>
      </c>
      <c r="D1017" s="981">
        <f t="shared" si="15"/>
        <v>5657</v>
      </c>
    </row>
    <row r="1018" spans="1:4">
      <c r="A1018" s="2356">
        <v>8294</v>
      </c>
      <c r="B1018" s="984" t="s">
        <v>23739</v>
      </c>
      <c r="C1018" s="984" t="s">
        <v>25681</v>
      </c>
      <c r="D1018" s="981">
        <f t="shared" si="15"/>
        <v>8294</v>
      </c>
    </row>
    <row r="1019" spans="1:4">
      <c r="A1019" s="2356">
        <v>7391</v>
      </c>
      <c r="B1019" s="984" t="s">
        <v>23110</v>
      </c>
      <c r="C1019" s="984" t="s">
        <v>24039</v>
      </c>
      <c r="D1019" s="981">
        <f t="shared" si="15"/>
        <v>7391</v>
      </c>
    </row>
    <row r="1020" spans="1:4">
      <c r="A1020" s="2356">
        <v>9039</v>
      </c>
      <c r="B1020" s="984" t="s">
        <v>22906</v>
      </c>
      <c r="C1020" s="984" t="s">
        <v>23866</v>
      </c>
      <c r="D1020" s="981">
        <f t="shared" si="15"/>
        <v>9039</v>
      </c>
    </row>
    <row r="1021" spans="1:4">
      <c r="A1021" s="2356">
        <v>9768</v>
      </c>
      <c r="B1021" s="984" t="s">
        <v>22977</v>
      </c>
      <c r="C1021" s="984" t="s">
        <v>23927</v>
      </c>
      <c r="D1021" s="981">
        <f t="shared" si="15"/>
        <v>9768</v>
      </c>
    </row>
    <row r="1022" spans="1:4">
      <c r="A1022" s="2356">
        <v>9369</v>
      </c>
      <c r="B1022" s="984" t="s">
        <v>23779</v>
      </c>
      <c r="C1022" s="984" t="s">
        <v>24653</v>
      </c>
      <c r="D1022" s="981">
        <f t="shared" si="15"/>
        <v>9369</v>
      </c>
    </row>
    <row r="1023" spans="1:4">
      <c r="A1023" s="2356">
        <v>7608</v>
      </c>
      <c r="B1023" s="984" t="s">
        <v>23822</v>
      </c>
      <c r="C1023" s="984" t="s">
        <v>24688</v>
      </c>
      <c r="D1023" s="981">
        <f t="shared" si="15"/>
        <v>7608</v>
      </c>
    </row>
    <row r="1024" spans="1:4">
      <c r="A1024" s="2356">
        <v>7345</v>
      </c>
      <c r="B1024" s="984" t="s">
        <v>22957</v>
      </c>
      <c r="C1024" s="984" t="s">
        <v>23913</v>
      </c>
      <c r="D1024" s="981">
        <f t="shared" si="15"/>
        <v>7345</v>
      </c>
    </row>
    <row r="1025" spans="1:4">
      <c r="A1025" s="2356">
        <v>3061</v>
      </c>
      <c r="B1025" s="984" t="s">
        <v>23729</v>
      </c>
      <c r="C1025" s="984" t="s">
        <v>24623</v>
      </c>
      <c r="D1025" s="981">
        <f t="shared" si="15"/>
        <v>3061</v>
      </c>
    </row>
    <row r="1026" spans="1:4">
      <c r="A1026" s="2356">
        <v>52</v>
      </c>
      <c r="B1026" s="984" t="s">
        <v>23844</v>
      </c>
      <c r="C1026" s="984" t="s">
        <v>24707</v>
      </c>
      <c r="D1026" s="981">
        <f t="shared" si="15"/>
        <v>52</v>
      </c>
    </row>
    <row r="1027" spans="1:4">
      <c r="A1027" s="2356">
        <v>1188</v>
      </c>
      <c r="B1027" s="984" t="s">
        <v>22975</v>
      </c>
      <c r="C1027" s="984" t="s">
        <v>29844</v>
      </c>
      <c r="D1027" s="981">
        <f t="shared" si="15"/>
        <v>1188</v>
      </c>
    </row>
    <row r="1028" spans="1:4">
      <c r="A1028" s="2356">
        <v>1417</v>
      </c>
      <c r="B1028" s="984" t="s">
        <v>22905</v>
      </c>
      <c r="C1028" s="984" t="s">
        <v>29814</v>
      </c>
      <c r="D1028" s="981">
        <f t="shared" si="15"/>
        <v>1417</v>
      </c>
    </row>
    <row r="1029" spans="1:4">
      <c r="A1029" s="2356">
        <v>1352</v>
      </c>
      <c r="B1029" s="984" t="s">
        <v>23589</v>
      </c>
      <c r="C1029" s="984" t="s">
        <v>24507</v>
      </c>
      <c r="D1029" s="981">
        <f t="shared" si="15"/>
        <v>1352</v>
      </c>
    </row>
    <row r="1030" spans="1:4">
      <c r="A1030" s="2356">
        <v>1657</v>
      </c>
      <c r="B1030" s="984" t="s">
        <v>22910</v>
      </c>
      <c r="C1030" s="984" t="s">
        <v>23870</v>
      </c>
      <c r="D1030" s="981">
        <f t="shared" si="15"/>
        <v>1657</v>
      </c>
    </row>
    <row r="1031" spans="1:4">
      <c r="A1031" s="2356">
        <v>1953</v>
      </c>
      <c r="B1031" s="984" t="s">
        <v>25672</v>
      </c>
      <c r="C1031" s="984" t="s">
        <v>25671</v>
      </c>
      <c r="D1031" s="981">
        <f t="shared" si="15"/>
        <v>1953</v>
      </c>
    </row>
    <row r="1032" spans="1:4">
      <c r="A1032" s="2356">
        <v>779</v>
      </c>
      <c r="B1032" s="984" t="s">
        <v>23619</v>
      </c>
      <c r="C1032" s="984" t="s">
        <v>24535</v>
      </c>
      <c r="D1032" s="981">
        <f t="shared" si="15"/>
        <v>779</v>
      </c>
    </row>
    <row r="1033" spans="1:4">
      <c r="A1033" s="2356">
        <v>723</v>
      </c>
      <c r="B1033" s="984" t="s">
        <v>23665</v>
      </c>
      <c r="C1033" s="984" t="s">
        <v>24579</v>
      </c>
      <c r="D1033" s="981">
        <f t="shared" ref="D1033:D1096" si="16">+A1033</f>
        <v>723</v>
      </c>
    </row>
    <row r="1034" spans="1:4">
      <c r="A1034" s="2356">
        <v>7725</v>
      </c>
      <c r="B1034" s="984" t="s">
        <v>23778</v>
      </c>
      <c r="C1034" s="984" t="s">
        <v>24652</v>
      </c>
      <c r="D1034" s="981">
        <f t="shared" si="16"/>
        <v>7725</v>
      </c>
    </row>
    <row r="1035" spans="1:4">
      <c r="A1035" s="2356">
        <v>12938</v>
      </c>
      <c r="B1035" s="984" t="s">
        <v>23849</v>
      </c>
      <c r="C1035" s="984" t="s">
        <v>31057</v>
      </c>
      <c r="D1035" s="981">
        <f t="shared" si="16"/>
        <v>12938</v>
      </c>
    </row>
    <row r="1036" spans="1:4">
      <c r="A1036" s="2356">
        <v>1161</v>
      </c>
      <c r="B1036" s="984" t="s">
        <v>23862</v>
      </c>
      <c r="C1036" s="984" t="s">
        <v>24722</v>
      </c>
      <c r="D1036" s="981">
        <f t="shared" si="16"/>
        <v>1161</v>
      </c>
    </row>
    <row r="1037" spans="1:4">
      <c r="A1037" s="2356">
        <v>1348</v>
      </c>
      <c r="B1037" s="984" t="s">
        <v>23811</v>
      </c>
      <c r="C1037" s="984" t="s">
        <v>24679</v>
      </c>
      <c r="D1037" s="981">
        <f t="shared" si="16"/>
        <v>1348</v>
      </c>
    </row>
    <row r="1038" spans="1:4">
      <c r="A1038" s="2356">
        <v>44911</v>
      </c>
      <c r="B1038" s="984" t="s">
        <v>31941</v>
      </c>
      <c r="C1038" s="984" t="s">
        <v>31942</v>
      </c>
      <c r="D1038" s="981">
        <f t="shared" si="16"/>
        <v>44911</v>
      </c>
    </row>
    <row r="1039" spans="1:4">
      <c r="A1039" s="2356">
        <v>44740</v>
      </c>
      <c r="B1039" s="984" t="s">
        <v>31943</v>
      </c>
      <c r="C1039" s="984" t="s">
        <v>31944</v>
      </c>
      <c r="D1039" s="981">
        <f t="shared" si="16"/>
        <v>44740</v>
      </c>
    </row>
    <row r="1040" spans="1:4">
      <c r="A1040" s="2356">
        <v>42950</v>
      </c>
      <c r="B1040" s="984" t="s">
        <v>31945</v>
      </c>
      <c r="C1040" s="984" t="s">
        <v>24501</v>
      </c>
      <c r="D1040" s="981">
        <f t="shared" si="16"/>
        <v>42950</v>
      </c>
    </row>
    <row r="1041" spans="1:4">
      <c r="A1041" s="2356">
        <v>39382</v>
      </c>
      <c r="B1041" s="984" t="s">
        <v>31946</v>
      </c>
      <c r="C1041" s="984" t="s">
        <v>31947</v>
      </c>
      <c r="D1041" s="981">
        <f t="shared" si="16"/>
        <v>39382</v>
      </c>
    </row>
    <row r="1042" spans="1:4">
      <c r="A1042" s="2356">
        <v>34874</v>
      </c>
      <c r="B1042" s="984" t="s">
        <v>29963</v>
      </c>
      <c r="C1042" s="984" t="s">
        <v>29901</v>
      </c>
      <c r="D1042" s="981">
        <f t="shared" si="16"/>
        <v>34874</v>
      </c>
    </row>
    <row r="1043" spans="1:4">
      <c r="A1043" s="2356">
        <v>34455</v>
      </c>
      <c r="B1043" s="984" t="s">
        <v>28603</v>
      </c>
      <c r="C1043" s="984" t="s">
        <v>27859</v>
      </c>
      <c r="D1043" s="981">
        <f t="shared" si="16"/>
        <v>34455</v>
      </c>
    </row>
    <row r="1044" spans="1:4">
      <c r="A1044" s="2356">
        <v>37429</v>
      </c>
      <c r="B1044" s="984" t="s">
        <v>29930</v>
      </c>
      <c r="C1044" s="984" t="s">
        <v>29840</v>
      </c>
      <c r="D1044" s="981">
        <f t="shared" si="16"/>
        <v>37429</v>
      </c>
    </row>
    <row r="1045" spans="1:4">
      <c r="A1045" s="2356">
        <v>35793</v>
      </c>
      <c r="B1045" s="984" t="s">
        <v>29936</v>
      </c>
      <c r="C1045" s="984" t="s">
        <v>29850</v>
      </c>
      <c r="D1045" s="981">
        <f t="shared" si="16"/>
        <v>35793</v>
      </c>
    </row>
    <row r="1046" spans="1:4">
      <c r="A1046" s="2356">
        <v>36247</v>
      </c>
      <c r="B1046" s="984" t="s">
        <v>29926</v>
      </c>
      <c r="C1046" s="984" t="s">
        <v>29832</v>
      </c>
      <c r="D1046" s="981">
        <f t="shared" si="16"/>
        <v>36247</v>
      </c>
    </row>
    <row r="1047" spans="1:4">
      <c r="A1047" s="2356">
        <v>36302</v>
      </c>
      <c r="B1047" s="984" t="s">
        <v>29941</v>
      </c>
      <c r="C1047" s="984" t="s">
        <v>29860</v>
      </c>
      <c r="D1047" s="981">
        <f t="shared" si="16"/>
        <v>36302</v>
      </c>
    </row>
    <row r="1048" spans="1:4">
      <c r="A1048" s="2356">
        <v>38233</v>
      </c>
      <c r="B1048" s="984" t="s">
        <v>31016</v>
      </c>
      <c r="C1048" s="984" t="s">
        <v>31076</v>
      </c>
      <c r="D1048" s="981">
        <f t="shared" si="16"/>
        <v>38233</v>
      </c>
    </row>
    <row r="1049" spans="1:4">
      <c r="A1049" s="2356">
        <v>34490</v>
      </c>
      <c r="B1049" s="984" t="s">
        <v>31013</v>
      </c>
      <c r="C1049" s="984" t="s">
        <v>31071</v>
      </c>
      <c r="D1049" s="981">
        <f t="shared" si="16"/>
        <v>34490</v>
      </c>
    </row>
    <row r="1050" spans="1:4">
      <c r="A1050" s="2356">
        <v>29541</v>
      </c>
      <c r="B1050" s="984" t="s">
        <v>28473</v>
      </c>
      <c r="C1050" s="984" t="s">
        <v>27731</v>
      </c>
      <c r="D1050" s="981">
        <f t="shared" si="16"/>
        <v>29541</v>
      </c>
    </row>
    <row r="1051" spans="1:4">
      <c r="A1051" s="2356">
        <v>29282</v>
      </c>
      <c r="B1051" s="984" t="s">
        <v>28351</v>
      </c>
      <c r="C1051" s="984" t="s">
        <v>27614</v>
      </c>
      <c r="D1051" s="981">
        <f t="shared" si="16"/>
        <v>29282</v>
      </c>
    </row>
    <row r="1052" spans="1:4">
      <c r="A1052" s="2356">
        <v>29643</v>
      </c>
      <c r="B1052" s="984" t="s">
        <v>28512</v>
      </c>
      <c r="C1052" s="984" t="s">
        <v>27770</v>
      </c>
      <c r="D1052" s="981">
        <f t="shared" si="16"/>
        <v>29643</v>
      </c>
    </row>
    <row r="1053" spans="1:4">
      <c r="A1053" s="2356">
        <v>29591</v>
      </c>
      <c r="B1053" s="984" t="s">
        <v>28498</v>
      </c>
      <c r="C1053" s="984" t="s">
        <v>27756</v>
      </c>
      <c r="D1053" s="981">
        <f t="shared" si="16"/>
        <v>29591</v>
      </c>
    </row>
    <row r="1054" spans="1:4">
      <c r="A1054" s="2356">
        <v>30065</v>
      </c>
      <c r="B1054" s="984" t="s">
        <v>28572</v>
      </c>
      <c r="C1054" s="984" t="s">
        <v>27830</v>
      </c>
      <c r="D1054" s="981">
        <f t="shared" si="16"/>
        <v>30065</v>
      </c>
    </row>
    <row r="1055" spans="1:4">
      <c r="A1055" s="2356">
        <v>28897</v>
      </c>
      <c r="B1055" s="984" t="s">
        <v>28315</v>
      </c>
      <c r="C1055" s="984" t="s">
        <v>27579</v>
      </c>
      <c r="D1055" s="981">
        <f t="shared" si="16"/>
        <v>28897</v>
      </c>
    </row>
    <row r="1056" spans="1:4">
      <c r="A1056" s="2356">
        <v>34190</v>
      </c>
      <c r="B1056" s="984" t="s">
        <v>28600</v>
      </c>
      <c r="C1056" s="984" t="s">
        <v>27856</v>
      </c>
      <c r="D1056" s="981">
        <f t="shared" si="16"/>
        <v>34190</v>
      </c>
    </row>
    <row r="1057" spans="1:4">
      <c r="A1057" s="2356">
        <v>30169</v>
      </c>
      <c r="B1057" s="984" t="s">
        <v>28577</v>
      </c>
      <c r="C1057" s="984" t="s">
        <v>27835</v>
      </c>
      <c r="D1057" s="981">
        <f t="shared" si="16"/>
        <v>30169</v>
      </c>
    </row>
    <row r="1058" spans="1:4">
      <c r="A1058" s="2356">
        <v>28743</v>
      </c>
      <c r="B1058" s="984" t="s">
        <v>28264</v>
      </c>
      <c r="C1058" s="984" t="s">
        <v>27531</v>
      </c>
      <c r="D1058" s="981">
        <f t="shared" si="16"/>
        <v>28743</v>
      </c>
    </row>
    <row r="1059" spans="1:4">
      <c r="A1059" s="2356">
        <v>28658</v>
      </c>
      <c r="B1059" s="984" t="s">
        <v>28235</v>
      </c>
      <c r="C1059" s="984" t="s">
        <v>27504</v>
      </c>
      <c r="D1059" s="981">
        <f t="shared" si="16"/>
        <v>28658</v>
      </c>
    </row>
    <row r="1060" spans="1:4">
      <c r="A1060" s="2356">
        <v>29353</v>
      </c>
      <c r="B1060" s="984" t="s">
        <v>28377</v>
      </c>
      <c r="C1060" s="984" t="s">
        <v>27638</v>
      </c>
      <c r="D1060" s="981">
        <f t="shared" si="16"/>
        <v>29353</v>
      </c>
    </row>
    <row r="1061" spans="1:4">
      <c r="A1061" s="2356">
        <v>30176</v>
      </c>
      <c r="B1061" s="984" t="s">
        <v>28579</v>
      </c>
      <c r="C1061" s="984" t="s">
        <v>27837</v>
      </c>
      <c r="D1061" s="981">
        <f t="shared" si="16"/>
        <v>30176</v>
      </c>
    </row>
    <row r="1062" spans="1:4">
      <c r="A1062" s="2356">
        <v>29533</v>
      </c>
      <c r="B1062" s="984" t="s">
        <v>28471</v>
      </c>
      <c r="C1062" s="984" t="s">
        <v>27729</v>
      </c>
      <c r="D1062" s="981">
        <f t="shared" si="16"/>
        <v>29533</v>
      </c>
    </row>
    <row r="1063" spans="1:4">
      <c r="A1063" s="2356">
        <v>29508</v>
      </c>
      <c r="B1063" s="984" t="s">
        <v>28457</v>
      </c>
      <c r="C1063" s="984" t="s">
        <v>27715</v>
      </c>
      <c r="D1063" s="981">
        <f t="shared" si="16"/>
        <v>29508</v>
      </c>
    </row>
    <row r="1064" spans="1:4">
      <c r="A1064" s="2356">
        <v>28880</v>
      </c>
      <c r="B1064" s="984" t="s">
        <v>28311</v>
      </c>
      <c r="C1064" s="984" t="s">
        <v>27575</v>
      </c>
      <c r="D1064" s="981">
        <f t="shared" si="16"/>
        <v>28880</v>
      </c>
    </row>
    <row r="1065" spans="1:4">
      <c r="A1065" s="2356">
        <v>28756</v>
      </c>
      <c r="B1065" s="984" t="s">
        <v>28269</v>
      </c>
      <c r="C1065" s="984" t="s">
        <v>27536</v>
      </c>
      <c r="D1065" s="981">
        <f t="shared" si="16"/>
        <v>28756</v>
      </c>
    </row>
    <row r="1066" spans="1:4">
      <c r="A1066" s="2356">
        <v>28622</v>
      </c>
      <c r="B1066" s="984" t="s">
        <v>28228</v>
      </c>
      <c r="C1066" s="984" t="s">
        <v>27498</v>
      </c>
      <c r="D1066" s="981">
        <f t="shared" si="16"/>
        <v>28622</v>
      </c>
    </row>
    <row r="1067" spans="1:4">
      <c r="A1067" s="2356">
        <v>29432</v>
      </c>
      <c r="B1067" s="984" t="s">
        <v>28418</v>
      </c>
      <c r="C1067" s="984" t="s">
        <v>27678</v>
      </c>
      <c r="D1067" s="981">
        <f t="shared" si="16"/>
        <v>29432</v>
      </c>
    </row>
    <row r="1068" spans="1:4">
      <c r="A1068" s="2356">
        <v>28912</v>
      </c>
      <c r="B1068" s="984" t="s">
        <v>28316</v>
      </c>
      <c r="C1068" s="984" t="s">
        <v>27580</v>
      </c>
      <c r="D1068" s="981">
        <f t="shared" si="16"/>
        <v>28912</v>
      </c>
    </row>
    <row r="1069" spans="1:4">
      <c r="A1069" s="2356">
        <v>29292</v>
      </c>
      <c r="B1069" s="984" t="s">
        <v>28355</v>
      </c>
      <c r="C1069" s="984" t="s">
        <v>27618</v>
      </c>
      <c r="D1069" s="981">
        <f t="shared" si="16"/>
        <v>29292</v>
      </c>
    </row>
    <row r="1070" spans="1:4">
      <c r="A1070" s="2356">
        <v>29605</v>
      </c>
      <c r="B1070" s="984" t="s">
        <v>28505</v>
      </c>
      <c r="C1070" s="984" t="s">
        <v>27763</v>
      </c>
      <c r="D1070" s="981">
        <f t="shared" si="16"/>
        <v>29605</v>
      </c>
    </row>
    <row r="1071" spans="1:4">
      <c r="A1071" s="2356">
        <v>28453</v>
      </c>
      <c r="B1071" s="984" t="s">
        <v>28196</v>
      </c>
      <c r="C1071" s="984" t="s">
        <v>27467</v>
      </c>
      <c r="D1071" s="981">
        <f t="shared" si="16"/>
        <v>28453</v>
      </c>
    </row>
    <row r="1072" spans="1:4">
      <c r="A1072" s="2356">
        <v>28557</v>
      </c>
      <c r="B1072" s="984" t="s">
        <v>28215</v>
      </c>
      <c r="C1072" s="984" t="s">
        <v>27486</v>
      </c>
      <c r="D1072" s="981">
        <f t="shared" si="16"/>
        <v>28557</v>
      </c>
    </row>
    <row r="1073" spans="1:4">
      <c r="A1073" s="2356">
        <v>29513</v>
      </c>
      <c r="B1073" s="984" t="s">
        <v>28460</v>
      </c>
      <c r="C1073" s="984" t="s">
        <v>27718</v>
      </c>
      <c r="D1073" s="981">
        <f t="shared" si="16"/>
        <v>29513</v>
      </c>
    </row>
    <row r="1074" spans="1:4">
      <c r="A1074" s="2356">
        <v>28427</v>
      </c>
      <c r="B1074" s="984" t="s">
        <v>28192</v>
      </c>
      <c r="C1074" s="984" t="s">
        <v>27464</v>
      </c>
      <c r="D1074" s="981">
        <f t="shared" si="16"/>
        <v>28427</v>
      </c>
    </row>
    <row r="1075" spans="1:4">
      <c r="A1075" s="2356">
        <v>28809</v>
      </c>
      <c r="B1075" s="984" t="s">
        <v>28291</v>
      </c>
      <c r="C1075" s="984" t="s">
        <v>27557</v>
      </c>
      <c r="D1075" s="981">
        <f t="shared" si="16"/>
        <v>28809</v>
      </c>
    </row>
    <row r="1076" spans="1:4">
      <c r="A1076" s="2356">
        <v>28787</v>
      </c>
      <c r="B1076" s="984" t="s">
        <v>28281</v>
      </c>
      <c r="C1076" s="984" t="s">
        <v>27548</v>
      </c>
      <c r="D1076" s="981">
        <f t="shared" si="16"/>
        <v>28787</v>
      </c>
    </row>
    <row r="1077" spans="1:4">
      <c r="A1077" s="2356">
        <v>28636</v>
      </c>
      <c r="B1077" s="984" t="s">
        <v>28233</v>
      </c>
      <c r="C1077" s="984" t="s">
        <v>27503</v>
      </c>
      <c r="D1077" s="981">
        <f t="shared" si="16"/>
        <v>28636</v>
      </c>
    </row>
    <row r="1078" spans="1:4">
      <c r="A1078" s="2356">
        <v>29388</v>
      </c>
      <c r="B1078" s="984" t="s">
        <v>28395</v>
      </c>
      <c r="C1078" s="984" t="s">
        <v>27655</v>
      </c>
      <c r="D1078" s="981">
        <f t="shared" si="16"/>
        <v>29388</v>
      </c>
    </row>
    <row r="1079" spans="1:4">
      <c r="A1079" s="2356">
        <v>29344</v>
      </c>
      <c r="B1079" s="984" t="s">
        <v>28371</v>
      </c>
      <c r="C1079" s="984" t="s">
        <v>27633</v>
      </c>
      <c r="D1079" s="981">
        <f t="shared" si="16"/>
        <v>29344</v>
      </c>
    </row>
    <row r="1080" spans="1:4">
      <c r="A1080" s="2356">
        <v>28932</v>
      </c>
      <c r="B1080" s="984" t="s">
        <v>28319</v>
      </c>
      <c r="C1080" s="984" t="s">
        <v>27582</v>
      </c>
      <c r="D1080" s="981">
        <f t="shared" si="16"/>
        <v>28932</v>
      </c>
    </row>
    <row r="1081" spans="1:4">
      <c r="A1081" s="2356">
        <v>28505</v>
      </c>
      <c r="B1081" s="984" t="s">
        <v>28203</v>
      </c>
      <c r="C1081" s="984" t="s">
        <v>27474</v>
      </c>
      <c r="D1081" s="981">
        <f t="shared" si="16"/>
        <v>28505</v>
      </c>
    </row>
    <row r="1082" spans="1:4">
      <c r="A1082" s="2356">
        <v>28839</v>
      </c>
      <c r="B1082" s="984" t="s">
        <v>28302</v>
      </c>
      <c r="C1082" s="984" t="s">
        <v>31051</v>
      </c>
      <c r="D1082" s="981">
        <f t="shared" si="16"/>
        <v>28839</v>
      </c>
    </row>
    <row r="1083" spans="1:4">
      <c r="A1083" s="2356">
        <v>28742</v>
      </c>
      <c r="B1083" s="984" t="s">
        <v>28263</v>
      </c>
      <c r="C1083" s="984" t="s">
        <v>27530</v>
      </c>
      <c r="D1083" s="981">
        <f t="shared" si="16"/>
        <v>28742</v>
      </c>
    </row>
    <row r="1084" spans="1:4">
      <c r="A1084" s="2356">
        <v>28737</v>
      </c>
      <c r="B1084" s="984" t="s">
        <v>28259</v>
      </c>
      <c r="C1084" s="984" t="s">
        <v>27526</v>
      </c>
      <c r="D1084" s="981">
        <f t="shared" si="16"/>
        <v>28737</v>
      </c>
    </row>
    <row r="1085" spans="1:4">
      <c r="A1085" s="2356">
        <v>29582</v>
      </c>
      <c r="B1085" s="984" t="s">
        <v>28494</v>
      </c>
      <c r="C1085" s="984" t="s">
        <v>27752</v>
      </c>
      <c r="D1085" s="981">
        <f t="shared" si="16"/>
        <v>29582</v>
      </c>
    </row>
    <row r="1086" spans="1:4">
      <c r="A1086" s="2356">
        <v>29627</v>
      </c>
      <c r="B1086" s="984" t="s">
        <v>28510</v>
      </c>
      <c r="C1086" s="984" t="s">
        <v>27768</v>
      </c>
      <c r="D1086" s="981">
        <f t="shared" si="16"/>
        <v>29627</v>
      </c>
    </row>
    <row r="1087" spans="1:4">
      <c r="A1087" s="2356">
        <v>29452</v>
      </c>
      <c r="B1087" s="984" t="s">
        <v>28423</v>
      </c>
      <c r="C1087" s="984" t="s">
        <v>31948</v>
      </c>
      <c r="D1087" s="981">
        <f t="shared" si="16"/>
        <v>29452</v>
      </c>
    </row>
    <row r="1088" spans="1:4">
      <c r="A1088" s="2356">
        <v>29252</v>
      </c>
      <c r="B1088" s="984" t="s">
        <v>28343</v>
      </c>
      <c r="C1088" s="984" t="s">
        <v>27606</v>
      </c>
      <c r="D1088" s="981">
        <f t="shared" si="16"/>
        <v>29252</v>
      </c>
    </row>
    <row r="1089" spans="1:4">
      <c r="A1089" s="2356">
        <v>28738</v>
      </c>
      <c r="B1089" s="984" t="s">
        <v>28260</v>
      </c>
      <c r="C1089" s="984" t="s">
        <v>27527</v>
      </c>
      <c r="D1089" s="981">
        <f t="shared" si="16"/>
        <v>28738</v>
      </c>
    </row>
    <row r="1090" spans="1:4">
      <c r="A1090" s="2356">
        <v>29887</v>
      </c>
      <c r="B1090" s="984" t="s">
        <v>28542</v>
      </c>
      <c r="C1090" s="984" t="s">
        <v>27800</v>
      </c>
      <c r="D1090" s="981">
        <f t="shared" si="16"/>
        <v>29887</v>
      </c>
    </row>
    <row r="1091" spans="1:4">
      <c r="A1091" s="2356">
        <v>29316</v>
      </c>
      <c r="B1091" s="984" t="s">
        <v>28361</v>
      </c>
      <c r="C1091" s="984" t="s">
        <v>27623</v>
      </c>
      <c r="D1091" s="981">
        <f t="shared" si="16"/>
        <v>29316</v>
      </c>
    </row>
    <row r="1092" spans="1:4">
      <c r="A1092" s="2356">
        <v>28761</v>
      </c>
      <c r="B1092" s="984" t="s">
        <v>28271</v>
      </c>
      <c r="C1092" s="984" t="s">
        <v>27538</v>
      </c>
      <c r="D1092" s="981">
        <f t="shared" si="16"/>
        <v>28761</v>
      </c>
    </row>
    <row r="1093" spans="1:4">
      <c r="A1093" s="2356">
        <v>29398</v>
      </c>
      <c r="B1093" s="984" t="s">
        <v>28403</v>
      </c>
      <c r="C1093" s="984" t="s">
        <v>27663</v>
      </c>
      <c r="D1093" s="981">
        <f t="shared" si="16"/>
        <v>29398</v>
      </c>
    </row>
    <row r="1094" spans="1:4">
      <c r="A1094" s="2356">
        <v>28556</v>
      </c>
      <c r="B1094" s="984" t="s">
        <v>28214</v>
      </c>
      <c r="C1094" s="984" t="s">
        <v>27485</v>
      </c>
      <c r="D1094" s="981">
        <f t="shared" si="16"/>
        <v>28556</v>
      </c>
    </row>
    <row r="1095" spans="1:4">
      <c r="A1095" s="2356">
        <v>30039</v>
      </c>
      <c r="B1095" s="984" t="s">
        <v>28563</v>
      </c>
      <c r="C1095" s="984" t="s">
        <v>27821</v>
      </c>
      <c r="D1095" s="981">
        <f t="shared" si="16"/>
        <v>30039</v>
      </c>
    </row>
    <row r="1096" spans="1:4">
      <c r="A1096" s="2356">
        <v>29285</v>
      </c>
      <c r="B1096" s="984" t="s">
        <v>28352</v>
      </c>
      <c r="C1096" s="984" t="s">
        <v>27615</v>
      </c>
      <c r="D1096" s="981">
        <f t="shared" si="16"/>
        <v>29285</v>
      </c>
    </row>
    <row r="1097" spans="1:4">
      <c r="A1097" s="2356">
        <v>33662</v>
      </c>
      <c r="B1097" s="984" t="s">
        <v>28598</v>
      </c>
      <c r="C1097" s="984" t="s">
        <v>27854</v>
      </c>
      <c r="D1097" s="981">
        <f t="shared" ref="D1097:D1160" si="17">+A1097</f>
        <v>33662</v>
      </c>
    </row>
    <row r="1098" spans="1:4">
      <c r="A1098" s="2356">
        <v>29570</v>
      </c>
      <c r="B1098" s="984" t="s">
        <v>28487</v>
      </c>
      <c r="C1098" s="984" t="s">
        <v>27745</v>
      </c>
      <c r="D1098" s="981">
        <f t="shared" si="17"/>
        <v>29570</v>
      </c>
    </row>
    <row r="1099" spans="1:4">
      <c r="A1099" s="2356">
        <v>29472</v>
      </c>
      <c r="B1099" s="984" t="s">
        <v>28435</v>
      </c>
      <c r="C1099" s="984" t="s">
        <v>27694</v>
      </c>
      <c r="D1099" s="981">
        <f t="shared" si="17"/>
        <v>29472</v>
      </c>
    </row>
    <row r="1100" spans="1:4">
      <c r="A1100" s="2356">
        <v>29736</v>
      </c>
      <c r="B1100" s="984" t="s">
        <v>28527</v>
      </c>
      <c r="C1100" s="984" t="s">
        <v>27785</v>
      </c>
      <c r="D1100" s="981">
        <f t="shared" si="17"/>
        <v>29736</v>
      </c>
    </row>
    <row r="1101" spans="1:4">
      <c r="A1101" s="2356">
        <v>28811</v>
      </c>
      <c r="B1101" s="984" t="s">
        <v>28292</v>
      </c>
      <c r="C1101" s="984" t="s">
        <v>27558</v>
      </c>
      <c r="D1101" s="981">
        <f t="shared" si="17"/>
        <v>28811</v>
      </c>
    </row>
    <row r="1102" spans="1:4">
      <c r="A1102" s="2356">
        <v>29914</v>
      </c>
      <c r="B1102" s="984" t="s">
        <v>28546</v>
      </c>
      <c r="C1102" s="984" t="s">
        <v>27804</v>
      </c>
      <c r="D1102" s="981">
        <f t="shared" si="17"/>
        <v>29914</v>
      </c>
    </row>
    <row r="1103" spans="1:4">
      <c r="A1103" s="2356">
        <v>29549</v>
      </c>
      <c r="B1103" s="984" t="s">
        <v>28477</v>
      </c>
      <c r="C1103" s="984" t="s">
        <v>27735</v>
      </c>
      <c r="D1103" s="981">
        <f t="shared" si="17"/>
        <v>29549</v>
      </c>
    </row>
    <row r="1104" spans="1:4">
      <c r="A1104" s="2356">
        <v>29517</v>
      </c>
      <c r="B1104" s="984" t="s">
        <v>28463</v>
      </c>
      <c r="C1104" s="984" t="s">
        <v>27721</v>
      </c>
      <c r="D1104" s="981">
        <f t="shared" si="17"/>
        <v>29517</v>
      </c>
    </row>
    <row r="1105" spans="1:4">
      <c r="A1105" s="2356">
        <v>29127</v>
      </c>
      <c r="B1105" s="984" t="s">
        <v>28335</v>
      </c>
      <c r="C1105" s="984" t="s">
        <v>27598</v>
      </c>
      <c r="D1105" s="981">
        <f t="shared" si="17"/>
        <v>29127</v>
      </c>
    </row>
    <row r="1106" spans="1:4">
      <c r="A1106" s="2356">
        <v>28558</v>
      </c>
      <c r="B1106" s="984" t="s">
        <v>28216</v>
      </c>
      <c r="C1106" s="984" t="s">
        <v>29862</v>
      </c>
      <c r="D1106" s="981">
        <f t="shared" si="17"/>
        <v>28558</v>
      </c>
    </row>
    <row r="1107" spans="1:4">
      <c r="A1107" s="2356">
        <v>29401</v>
      </c>
      <c r="B1107" s="984" t="s">
        <v>28405</v>
      </c>
      <c r="C1107" s="984" t="s">
        <v>27665</v>
      </c>
      <c r="D1107" s="981">
        <f t="shared" si="17"/>
        <v>29401</v>
      </c>
    </row>
    <row r="1108" spans="1:4">
      <c r="A1108" s="2356">
        <v>29350</v>
      </c>
      <c r="B1108" s="984" t="s">
        <v>28375</v>
      </c>
      <c r="C1108" s="984" t="s">
        <v>27636</v>
      </c>
      <c r="D1108" s="981">
        <f t="shared" si="17"/>
        <v>29350</v>
      </c>
    </row>
    <row r="1109" spans="1:4">
      <c r="A1109" s="2356">
        <v>28793</v>
      </c>
      <c r="B1109" s="984" t="s">
        <v>28286</v>
      </c>
      <c r="C1109" s="984" t="s">
        <v>27553</v>
      </c>
      <c r="D1109" s="981">
        <f t="shared" si="17"/>
        <v>28793</v>
      </c>
    </row>
    <row r="1110" spans="1:4">
      <c r="A1110" s="2356">
        <v>31409</v>
      </c>
      <c r="B1110" s="984" t="s">
        <v>31012</v>
      </c>
      <c r="C1110" s="984" t="s">
        <v>31070</v>
      </c>
      <c r="D1110" s="981">
        <f t="shared" si="17"/>
        <v>31409</v>
      </c>
    </row>
    <row r="1111" spans="1:4">
      <c r="A1111" s="2356">
        <v>28345</v>
      </c>
      <c r="B1111" s="984" t="s">
        <v>28168</v>
      </c>
      <c r="C1111" s="984" t="s">
        <v>27441</v>
      </c>
      <c r="D1111" s="981">
        <f t="shared" si="17"/>
        <v>28345</v>
      </c>
    </row>
    <row r="1112" spans="1:4">
      <c r="A1112" s="2356">
        <v>31499</v>
      </c>
      <c r="B1112" s="984" t="s">
        <v>28591</v>
      </c>
      <c r="C1112" s="984" t="s">
        <v>27848</v>
      </c>
      <c r="D1112" s="981">
        <f t="shared" si="17"/>
        <v>31499</v>
      </c>
    </row>
    <row r="1113" spans="1:4">
      <c r="A1113" s="2356">
        <v>29440</v>
      </c>
      <c r="B1113" s="984" t="s">
        <v>28420</v>
      </c>
      <c r="C1113" s="984" t="s">
        <v>27680</v>
      </c>
      <c r="D1113" s="981">
        <f t="shared" si="17"/>
        <v>29440</v>
      </c>
    </row>
    <row r="1114" spans="1:4">
      <c r="A1114" s="2356">
        <v>28777</v>
      </c>
      <c r="B1114" s="984" t="s">
        <v>28277</v>
      </c>
      <c r="C1114" s="984" t="s">
        <v>27544</v>
      </c>
      <c r="D1114" s="981">
        <f t="shared" si="17"/>
        <v>28777</v>
      </c>
    </row>
    <row r="1115" spans="1:4">
      <c r="A1115" s="2356">
        <v>28342</v>
      </c>
      <c r="B1115" s="984" t="s">
        <v>28166</v>
      </c>
      <c r="C1115" s="984" t="s">
        <v>27439</v>
      </c>
      <c r="D1115" s="981">
        <f t="shared" si="17"/>
        <v>28342</v>
      </c>
    </row>
    <row r="1116" spans="1:4">
      <c r="A1116" s="2356">
        <v>29583</v>
      </c>
      <c r="B1116" s="984" t="s">
        <v>28495</v>
      </c>
      <c r="C1116" s="984" t="s">
        <v>27753</v>
      </c>
      <c r="D1116" s="981">
        <f t="shared" si="17"/>
        <v>29583</v>
      </c>
    </row>
    <row r="1117" spans="1:4">
      <c r="A1117" s="2356">
        <v>29301</v>
      </c>
      <c r="B1117" s="984" t="s">
        <v>28357</v>
      </c>
      <c r="C1117" s="984" t="s">
        <v>27620</v>
      </c>
      <c r="D1117" s="981">
        <f t="shared" si="17"/>
        <v>29301</v>
      </c>
    </row>
    <row r="1118" spans="1:4">
      <c r="A1118" s="2356">
        <v>32054</v>
      </c>
      <c r="B1118" s="984" t="s">
        <v>31024</v>
      </c>
      <c r="C1118" s="984" t="s">
        <v>31096</v>
      </c>
      <c r="D1118" s="981">
        <f t="shared" si="17"/>
        <v>32054</v>
      </c>
    </row>
    <row r="1119" spans="1:4">
      <c r="A1119" s="2356">
        <v>28716</v>
      </c>
      <c r="B1119" s="984" t="s">
        <v>28250</v>
      </c>
      <c r="C1119" s="984" t="s">
        <v>27518</v>
      </c>
      <c r="D1119" s="981">
        <f t="shared" si="17"/>
        <v>28716</v>
      </c>
    </row>
    <row r="1120" spans="1:4">
      <c r="A1120" s="2356">
        <v>28549</v>
      </c>
      <c r="B1120" s="984" t="s">
        <v>28211</v>
      </c>
      <c r="C1120" s="984" t="s">
        <v>27482</v>
      </c>
      <c r="D1120" s="981">
        <f t="shared" si="17"/>
        <v>28549</v>
      </c>
    </row>
    <row r="1121" spans="1:4">
      <c r="A1121" s="2356">
        <v>29304</v>
      </c>
      <c r="B1121" s="984" t="s">
        <v>28358</v>
      </c>
      <c r="C1121" s="984" t="s">
        <v>27621</v>
      </c>
      <c r="D1121" s="981">
        <f t="shared" si="17"/>
        <v>29304</v>
      </c>
    </row>
    <row r="1122" spans="1:4">
      <c r="A1122" s="2356">
        <v>28229</v>
      </c>
      <c r="B1122" s="984" t="s">
        <v>28138</v>
      </c>
      <c r="C1122" s="984" t="s">
        <v>27416</v>
      </c>
      <c r="D1122" s="981">
        <f t="shared" si="17"/>
        <v>28229</v>
      </c>
    </row>
    <row r="1123" spans="1:4">
      <c r="A1123" s="2356">
        <v>28074</v>
      </c>
      <c r="B1123" s="984" t="s">
        <v>28073</v>
      </c>
      <c r="C1123" s="984" t="s">
        <v>31949</v>
      </c>
      <c r="D1123" s="981">
        <f t="shared" si="17"/>
        <v>28074</v>
      </c>
    </row>
    <row r="1124" spans="1:4">
      <c r="A1124" s="2356">
        <v>28073</v>
      </c>
      <c r="B1124" s="984" t="s">
        <v>28072</v>
      </c>
      <c r="C1124" s="984" t="s">
        <v>27353</v>
      </c>
      <c r="D1124" s="981">
        <f t="shared" si="17"/>
        <v>28073</v>
      </c>
    </row>
    <row r="1125" spans="1:4">
      <c r="A1125" s="2356">
        <v>27941</v>
      </c>
      <c r="B1125" s="984" t="s">
        <v>27991</v>
      </c>
      <c r="C1125" s="984" t="s">
        <v>27277</v>
      </c>
      <c r="D1125" s="981">
        <f t="shared" si="17"/>
        <v>27941</v>
      </c>
    </row>
    <row r="1126" spans="1:4">
      <c r="A1126" s="2356">
        <v>24211</v>
      </c>
      <c r="B1126" s="984" t="s">
        <v>23381</v>
      </c>
      <c r="C1126" s="984" t="s">
        <v>24305</v>
      </c>
      <c r="D1126" s="981">
        <f t="shared" si="17"/>
        <v>24211</v>
      </c>
    </row>
    <row r="1127" spans="1:4">
      <c r="A1127" s="2356">
        <v>26652</v>
      </c>
      <c r="B1127" s="984" t="s">
        <v>26016</v>
      </c>
      <c r="C1127" s="984" t="s">
        <v>26015</v>
      </c>
      <c r="D1127" s="981">
        <f t="shared" si="17"/>
        <v>26652</v>
      </c>
    </row>
    <row r="1128" spans="1:4">
      <c r="A1128" s="2356">
        <v>24596</v>
      </c>
      <c r="B1128" s="984" t="s">
        <v>25061</v>
      </c>
      <c r="C1128" s="984" t="s">
        <v>25062</v>
      </c>
      <c r="D1128" s="981">
        <f t="shared" si="17"/>
        <v>24596</v>
      </c>
    </row>
    <row r="1129" spans="1:4">
      <c r="A1129" s="2356">
        <v>28349</v>
      </c>
      <c r="B1129" s="984" t="s">
        <v>28170</v>
      </c>
      <c r="C1129" s="984" t="s">
        <v>27443</v>
      </c>
      <c r="D1129" s="981">
        <f t="shared" si="17"/>
        <v>28349</v>
      </c>
    </row>
    <row r="1130" spans="1:4">
      <c r="A1130" s="2356">
        <v>28135</v>
      </c>
      <c r="B1130" s="984" t="s">
        <v>28108</v>
      </c>
      <c r="C1130" s="984" t="s">
        <v>27387</v>
      </c>
      <c r="D1130" s="981">
        <f t="shared" si="17"/>
        <v>28135</v>
      </c>
    </row>
    <row r="1131" spans="1:4">
      <c r="A1131" s="2356">
        <v>27797</v>
      </c>
      <c r="B1131" s="984" t="s">
        <v>27922</v>
      </c>
      <c r="C1131" s="984" t="s">
        <v>27213</v>
      </c>
      <c r="D1131" s="981">
        <f t="shared" si="17"/>
        <v>27797</v>
      </c>
    </row>
    <row r="1132" spans="1:4">
      <c r="A1132" s="2356">
        <v>28230</v>
      </c>
      <c r="B1132" s="984" t="s">
        <v>28139</v>
      </c>
      <c r="C1132" s="984" t="s">
        <v>27417</v>
      </c>
      <c r="D1132" s="981">
        <f t="shared" si="17"/>
        <v>28230</v>
      </c>
    </row>
    <row r="1133" spans="1:4">
      <c r="A1133" s="2356">
        <v>28181</v>
      </c>
      <c r="B1133" s="984" t="s">
        <v>28124</v>
      </c>
      <c r="C1133" s="984" t="s">
        <v>27402</v>
      </c>
      <c r="D1133" s="981">
        <f t="shared" si="17"/>
        <v>28181</v>
      </c>
    </row>
    <row r="1134" spans="1:4">
      <c r="A1134" s="2356">
        <v>25978</v>
      </c>
      <c r="B1134" s="984" t="s">
        <v>25921</v>
      </c>
      <c r="C1134" s="984" t="s">
        <v>25920</v>
      </c>
      <c r="D1134" s="981">
        <f t="shared" si="17"/>
        <v>25978</v>
      </c>
    </row>
    <row r="1135" spans="1:4">
      <c r="A1135" s="2356">
        <v>28212</v>
      </c>
      <c r="B1135" s="984" t="s">
        <v>28135</v>
      </c>
      <c r="C1135" s="984" t="s">
        <v>27413</v>
      </c>
      <c r="D1135" s="981">
        <f t="shared" si="17"/>
        <v>28212</v>
      </c>
    </row>
    <row r="1136" spans="1:4">
      <c r="A1136" s="2356">
        <v>28179</v>
      </c>
      <c r="B1136" s="984" t="s">
        <v>28123</v>
      </c>
      <c r="C1136" s="984" t="s">
        <v>27401</v>
      </c>
      <c r="D1136" s="981">
        <f t="shared" si="17"/>
        <v>28179</v>
      </c>
    </row>
    <row r="1137" spans="1:4">
      <c r="A1137" s="2356">
        <v>24912</v>
      </c>
      <c r="B1137" s="984" t="s">
        <v>25741</v>
      </c>
      <c r="C1137" s="984" t="s">
        <v>25740</v>
      </c>
      <c r="D1137" s="981">
        <f t="shared" si="17"/>
        <v>24912</v>
      </c>
    </row>
    <row r="1138" spans="1:4">
      <c r="A1138" s="2356">
        <v>28327</v>
      </c>
      <c r="B1138" s="984" t="s">
        <v>28159</v>
      </c>
      <c r="C1138" s="984" t="s">
        <v>27432</v>
      </c>
      <c r="D1138" s="981">
        <f t="shared" si="17"/>
        <v>28327</v>
      </c>
    </row>
    <row r="1139" spans="1:4">
      <c r="A1139" s="2356">
        <v>27814</v>
      </c>
      <c r="B1139" s="984" t="s">
        <v>27933</v>
      </c>
      <c r="C1139" s="984" t="s">
        <v>27224</v>
      </c>
      <c r="D1139" s="981">
        <f t="shared" si="17"/>
        <v>27814</v>
      </c>
    </row>
    <row r="1140" spans="1:4">
      <c r="A1140" s="2356">
        <v>28307</v>
      </c>
      <c r="B1140" s="984" t="s">
        <v>28148</v>
      </c>
      <c r="C1140" s="984" t="s">
        <v>29834</v>
      </c>
      <c r="D1140" s="981">
        <f t="shared" si="17"/>
        <v>28307</v>
      </c>
    </row>
    <row r="1141" spans="1:4">
      <c r="A1141" s="2356">
        <v>27957</v>
      </c>
      <c r="B1141" s="984" t="s">
        <v>27999</v>
      </c>
      <c r="C1141" s="984" t="s">
        <v>27285</v>
      </c>
      <c r="D1141" s="981">
        <f t="shared" si="17"/>
        <v>27957</v>
      </c>
    </row>
    <row r="1142" spans="1:4">
      <c r="A1142" s="2356">
        <v>28319</v>
      </c>
      <c r="B1142" s="984" t="s">
        <v>28155</v>
      </c>
      <c r="C1142" s="984" t="s">
        <v>29846</v>
      </c>
      <c r="D1142" s="981">
        <f t="shared" si="17"/>
        <v>28319</v>
      </c>
    </row>
    <row r="1143" spans="1:4">
      <c r="A1143" s="2356">
        <v>28059</v>
      </c>
      <c r="B1143" s="984" t="s">
        <v>28062</v>
      </c>
      <c r="C1143" s="984" t="s">
        <v>27344</v>
      </c>
      <c r="D1143" s="981">
        <f t="shared" si="17"/>
        <v>28059</v>
      </c>
    </row>
    <row r="1144" spans="1:4">
      <c r="A1144" s="2356">
        <v>24800</v>
      </c>
      <c r="B1144" s="984" t="s">
        <v>25726</v>
      </c>
      <c r="C1144" s="984" t="s">
        <v>25725</v>
      </c>
      <c r="D1144" s="981">
        <f t="shared" si="17"/>
        <v>24800</v>
      </c>
    </row>
    <row r="1145" spans="1:4">
      <c r="A1145" s="2356">
        <v>24552</v>
      </c>
      <c r="B1145" s="984" t="s">
        <v>27902</v>
      </c>
      <c r="C1145" s="984" t="s">
        <v>27191</v>
      </c>
      <c r="D1145" s="981">
        <f t="shared" si="17"/>
        <v>24552</v>
      </c>
    </row>
    <row r="1146" spans="1:4">
      <c r="A1146" s="2356">
        <v>28013</v>
      </c>
      <c r="B1146" s="984" t="s">
        <v>28027</v>
      </c>
      <c r="C1146" s="984" t="s">
        <v>27311</v>
      </c>
      <c r="D1146" s="981">
        <f t="shared" si="17"/>
        <v>28013</v>
      </c>
    </row>
    <row r="1147" spans="1:4">
      <c r="A1147" s="2356">
        <v>28012</v>
      </c>
      <c r="B1147" s="984" t="s">
        <v>28026</v>
      </c>
      <c r="C1147" s="984" t="s">
        <v>27310</v>
      </c>
      <c r="D1147" s="981">
        <f t="shared" si="17"/>
        <v>28012</v>
      </c>
    </row>
    <row r="1148" spans="1:4">
      <c r="A1148" s="2356">
        <v>28215</v>
      </c>
      <c r="B1148" s="984" t="s">
        <v>28136</v>
      </c>
      <c r="C1148" s="984" t="s">
        <v>27414</v>
      </c>
      <c r="D1148" s="981">
        <f t="shared" si="17"/>
        <v>28215</v>
      </c>
    </row>
    <row r="1149" spans="1:4">
      <c r="A1149" s="2356">
        <v>28134</v>
      </c>
      <c r="B1149" s="984" t="s">
        <v>28107</v>
      </c>
      <c r="C1149" s="984" t="s">
        <v>29837</v>
      </c>
      <c r="D1149" s="981">
        <f t="shared" si="17"/>
        <v>28134</v>
      </c>
    </row>
    <row r="1150" spans="1:4">
      <c r="A1150" s="2356">
        <v>28095</v>
      </c>
      <c r="B1150" s="984" t="s">
        <v>28088</v>
      </c>
      <c r="C1150" s="984" t="s">
        <v>27368</v>
      </c>
      <c r="D1150" s="981">
        <f t="shared" si="17"/>
        <v>28095</v>
      </c>
    </row>
    <row r="1151" spans="1:4">
      <c r="A1151" s="2356">
        <v>28089</v>
      </c>
      <c r="B1151" s="984" t="s">
        <v>28083</v>
      </c>
      <c r="C1151" s="984" t="s">
        <v>27363</v>
      </c>
      <c r="D1151" s="981">
        <f t="shared" si="17"/>
        <v>28089</v>
      </c>
    </row>
    <row r="1152" spans="1:4">
      <c r="A1152" s="2356">
        <v>28016</v>
      </c>
      <c r="B1152" s="984" t="s">
        <v>28030</v>
      </c>
      <c r="C1152" s="984" t="s">
        <v>27313</v>
      </c>
      <c r="D1152" s="981">
        <f t="shared" si="17"/>
        <v>28016</v>
      </c>
    </row>
    <row r="1153" spans="1:4">
      <c r="A1153" s="2356">
        <v>24582</v>
      </c>
      <c r="B1153" s="984" t="s">
        <v>25047</v>
      </c>
      <c r="C1153" s="984" t="s">
        <v>25048</v>
      </c>
      <c r="D1153" s="981">
        <f t="shared" si="17"/>
        <v>24582</v>
      </c>
    </row>
    <row r="1154" spans="1:4">
      <c r="A1154" s="2356">
        <v>24218</v>
      </c>
      <c r="B1154" s="984" t="s">
        <v>23006</v>
      </c>
      <c r="C1154" s="984" t="s">
        <v>29909</v>
      </c>
      <c r="D1154" s="981">
        <f t="shared" si="17"/>
        <v>24218</v>
      </c>
    </row>
    <row r="1155" spans="1:4">
      <c r="A1155" s="2356">
        <v>25974</v>
      </c>
      <c r="B1155" s="984" t="s">
        <v>25919</v>
      </c>
      <c r="C1155" s="984" t="s">
        <v>25918</v>
      </c>
      <c r="D1155" s="981">
        <f t="shared" si="17"/>
        <v>25974</v>
      </c>
    </row>
    <row r="1156" spans="1:4">
      <c r="A1156" s="2356">
        <v>24669</v>
      </c>
      <c r="B1156" s="984" t="s">
        <v>25099</v>
      </c>
      <c r="C1156" s="984" t="s">
        <v>25100</v>
      </c>
      <c r="D1156" s="981">
        <f t="shared" si="17"/>
        <v>24669</v>
      </c>
    </row>
    <row r="1157" spans="1:4">
      <c r="A1157" s="2356">
        <v>28004</v>
      </c>
      <c r="B1157" s="984" t="s">
        <v>28022</v>
      </c>
      <c r="C1157" s="984" t="s">
        <v>31950</v>
      </c>
      <c r="D1157" s="981">
        <f t="shared" si="17"/>
        <v>28004</v>
      </c>
    </row>
    <row r="1158" spans="1:4">
      <c r="A1158" s="2356">
        <v>27801</v>
      </c>
      <c r="B1158" s="984" t="s">
        <v>27925</v>
      </c>
      <c r="C1158" s="984" t="s">
        <v>27216</v>
      </c>
      <c r="D1158" s="981">
        <f t="shared" si="17"/>
        <v>27801</v>
      </c>
    </row>
    <row r="1159" spans="1:4">
      <c r="A1159" s="2356">
        <v>27824</v>
      </c>
      <c r="B1159" s="984" t="s">
        <v>27938</v>
      </c>
      <c r="C1159" s="984" t="s">
        <v>29884</v>
      </c>
      <c r="D1159" s="981">
        <f t="shared" si="17"/>
        <v>27824</v>
      </c>
    </row>
    <row r="1160" spans="1:4">
      <c r="A1160" s="2356">
        <v>25862</v>
      </c>
      <c r="B1160" s="984" t="s">
        <v>25855</v>
      </c>
      <c r="C1160" s="984" t="s">
        <v>25854</v>
      </c>
      <c r="D1160" s="981">
        <f t="shared" si="17"/>
        <v>25862</v>
      </c>
    </row>
    <row r="1161" spans="1:4">
      <c r="A1161" s="2356">
        <v>25884</v>
      </c>
      <c r="B1161" s="984" t="s">
        <v>25870</v>
      </c>
      <c r="C1161" s="984" t="s">
        <v>25869</v>
      </c>
      <c r="D1161" s="981">
        <f t="shared" ref="D1161:D1224" si="18">+A1161</f>
        <v>25884</v>
      </c>
    </row>
    <row r="1162" spans="1:4">
      <c r="A1162" s="2356">
        <v>28044</v>
      </c>
      <c r="B1162" s="984" t="s">
        <v>28052</v>
      </c>
      <c r="C1162" s="984" t="s">
        <v>27335</v>
      </c>
      <c r="D1162" s="981">
        <f t="shared" si="18"/>
        <v>28044</v>
      </c>
    </row>
    <row r="1163" spans="1:4">
      <c r="A1163" s="2356">
        <v>28042</v>
      </c>
      <c r="B1163" s="984" t="s">
        <v>28050</v>
      </c>
      <c r="C1163" s="984" t="s">
        <v>27333</v>
      </c>
      <c r="D1163" s="981">
        <f t="shared" si="18"/>
        <v>28042</v>
      </c>
    </row>
    <row r="1164" spans="1:4">
      <c r="A1164" s="2356">
        <v>28001</v>
      </c>
      <c r="B1164" s="984" t="s">
        <v>28020</v>
      </c>
      <c r="C1164" s="984" t="s">
        <v>27305</v>
      </c>
      <c r="D1164" s="981">
        <f t="shared" si="18"/>
        <v>28001</v>
      </c>
    </row>
    <row r="1165" spans="1:4">
      <c r="A1165" s="2356">
        <v>25822</v>
      </c>
      <c r="B1165" s="984" t="s">
        <v>25833</v>
      </c>
      <c r="C1165" s="984" t="s">
        <v>25832</v>
      </c>
      <c r="D1165" s="981">
        <f t="shared" si="18"/>
        <v>25822</v>
      </c>
    </row>
    <row r="1166" spans="1:4">
      <c r="A1166" s="2356">
        <v>27975</v>
      </c>
      <c r="B1166" s="984" t="s">
        <v>28008</v>
      </c>
      <c r="C1166" s="984" t="s">
        <v>27294</v>
      </c>
      <c r="D1166" s="981">
        <f t="shared" si="18"/>
        <v>27975</v>
      </c>
    </row>
    <row r="1167" spans="1:4">
      <c r="A1167" s="2356">
        <v>27956</v>
      </c>
      <c r="B1167" s="984" t="s">
        <v>27998</v>
      </c>
      <c r="C1167" s="984" t="s">
        <v>27284</v>
      </c>
      <c r="D1167" s="981">
        <f t="shared" si="18"/>
        <v>27956</v>
      </c>
    </row>
    <row r="1168" spans="1:4">
      <c r="A1168" s="2356">
        <v>28063</v>
      </c>
      <c r="B1168" s="984" t="s">
        <v>28065</v>
      </c>
      <c r="C1168" s="984" t="s">
        <v>27347</v>
      </c>
      <c r="D1168" s="981">
        <f t="shared" si="18"/>
        <v>28063</v>
      </c>
    </row>
    <row r="1169" spans="1:4">
      <c r="A1169" s="2356">
        <v>27972</v>
      </c>
      <c r="B1169" s="984" t="s">
        <v>28007</v>
      </c>
      <c r="C1169" s="984" t="s">
        <v>27293</v>
      </c>
      <c r="D1169" s="981">
        <f t="shared" si="18"/>
        <v>27972</v>
      </c>
    </row>
    <row r="1170" spans="1:4">
      <c r="A1170" s="2356">
        <v>25838</v>
      </c>
      <c r="B1170" s="984" t="s">
        <v>25845</v>
      </c>
      <c r="C1170" s="984" t="s">
        <v>25844</v>
      </c>
      <c r="D1170" s="981">
        <f t="shared" si="18"/>
        <v>25838</v>
      </c>
    </row>
    <row r="1171" spans="1:4">
      <c r="A1171" s="2356">
        <v>25821</v>
      </c>
      <c r="B1171" s="984" t="s">
        <v>25831</v>
      </c>
      <c r="C1171" s="984" t="s">
        <v>25830</v>
      </c>
      <c r="D1171" s="981">
        <f t="shared" si="18"/>
        <v>25821</v>
      </c>
    </row>
    <row r="1172" spans="1:4">
      <c r="A1172" s="2356">
        <v>25954</v>
      </c>
      <c r="B1172" s="984" t="s">
        <v>25905</v>
      </c>
      <c r="C1172" s="984" t="s">
        <v>25904</v>
      </c>
      <c r="D1172" s="981">
        <f t="shared" si="18"/>
        <v>25954</v>
      </c>
    </row>
    <row r="1173" spans="1:4">
      <c r="A1173" s="2356">
        <v>25761</v>
      </c>
      <c r="B1173" s="984" t="s">
        <v>25805</v>
      </c>
      <c r="C1173" s="984" t="s">
        <v>25804</v>
      </c>
      <c r="D1173" s="981">
        <f t="shared" si="18"/>
        <v>25761</v>
      </c>
    </row>
    <row r="1174" spans="1:4">
      <c r="A1174" s="2356">
        <v>25315</v>
      </c>
      <c r="B1174" s="984" t="s">
        <v>25758</v>
      </c>
      <c r="C1174" s="984" t="s">
        <v>25757</v>
      </c>
      <c r="D1174" s="981">
        <f t="shared" si="18"/>
        <v>25315</v>
      </c>
    </row>
    <row r="1175" spans="1:4">
      <c r="A1175" s="2356">
        <v>24603</v>
      </c>
      <c r="B1175" s="984" t="s">
        <v>25071</v>
      </c>
      <c r="C1175" s="984" t="s">
        <v>25072</v>
      </c>
      <c r="D1175" s="981">
        <f t="shared" si="18"/>
        <v>24603</v>
      </c>
    </row>
    <row r="1176" spans="1:4">
      <c r="A1176" s="2356">
        <v>26340</v>
      </c>
      <c r="B1176" s="984" t="s">
        <v>25990</v>
      </c>
      <c r="C1176" s="984" t="s">
        <v>25989</v>
      </c>
      <c r="D1176" s="981">
        <f t="shared" si="18"/>
        <v>26340</v>
      </c>
    </row>
    <row r="1177" spans="1:4">
      <c r="A1177" s="2356">
        <v>26252</v>
      </c>
      <c r="B1177" s="984" t="s">
        <v>25982</v>
      </c>
      <c r="C1177" s="984" t="s">
        <v>25981</v>
      </c>
      <c r="D1177" s="981">
        <f t="shared" si="18"/>
        <v>26252</v>
      </c>
    </row>
    <row r="1178" spans="1:4">
      <c r="A1178" s="2356">
        <v>23875</v>
      </c>
      <c r="B1178" s="984" t="s">
        <v>23310</v>
      </c>
      <c r="C1178" s="984" t="s">
        <v>24234</v>
      </c>
      <c r="D1178" s="981">
        <f t="shared" si="18"/>
        <v>23875</v>
      </c>
    </row>
    <row r="1179" spans="1:4">
      <c r="A1179" s="2356">
        <v>23808</v>
      </c>
      <c r="B1179" s="984" t="s">
        <v>23351</v>
      </c>
      <c r="C1179" s="984" t="s">
        <v>24275</v>
      </c>
      <c r="D1179" s="981">
        <f t="shared" si="18"/>
        <v>23808</v>
      </c>
    </row>
    <row r="1180" spans="1:4">
      <c r="A1180" s="2356">
        <v>23935</v>
      </c>
      <c r="B1180" s="984" t="s">
        <v>22992</v>
      </c>
      <c r="C1180" s="984" t="s">
        <v>23937</v>
      </c>
      <c r="D1180" s="981">
        <f t="shared" si="18"/>
        <v>23935</v>
      </c>
    </row>
    <row r="1181" spans="1:4">
      <c r="A1181" s="2356">
        <v>23859</v>
      </c>
      <c r="B1181" s="984" t="s">
        <v>23101</v>
      </c>
      <c r="C1181" s="984" t="s">
        <v>24030</v>
      </c>
      <c r="D1181" s="981">
        <f t="shared" si="18"/>
        <v>23859</v>
      </c>
    </row>
    <row r="1182" spans="1:4">
      <c r="A1182" s="2356">
        <v>23953</v>
      </c>
      <c r="B1182" s="984" t="s">
        <v>23215</v>
      </c>
      <c r="C1182" s="984" t="s">
        <v>24140</v>
      </c>
      <c r="D1182" s="981">
        <f t="shared" si="18"/>
        <v>23953</v>
      </c>
    </row>
    <row r="1183" spans="1:4">
      <c r="A1183" s="2356">
        <v>22999</v>
      </c>
      <c r="B1183" s="984" t="s">
        <v>23290</v>
      </c>
      <c r="C1183" s="984" t="s">
        <v>24213</v>
      </c>
      <c r="D1183" s="981">
        <f t="shared" si="18"/>
        <v>22999</v>
      </c>
    </row>
    <row r="1184" spans="1:4">
      <c r="A1184" s="2356">
        <v>23948</v>
      </c>
      <c r="B1184" s="984" t="s">
        <v>23389</v>
      </c>
      <c r="C1184" s="984" t="s">
        <v>24313</v>
      </c>
      <c r="D1184" s="981">
        <f t="shared" si="18"/>
        <v>23948</v>
      </c>
    </row>
    <row r="1185" spans="1:4">
      <c r="A1185" s="2356">
        <v>22168</v>
      </c>
      <c r="B1185" s="984" t="s">
        <v>23675</v>
      </c>
      <c r="C1185" s="984" t="s">
        <v>24589</v>
      </c>
      <c r="D1185" s="981">
        <f t="shared" si="18"/>
        <v>22168</v>
      </c>
    </row>
    <row r="1186" spans="1:4">
      <c r="A1186" s="2356">
        <v>20262</v>
      </c>
      <c r="B1186" s="984" t="s">
        <v>23320</v>
      </c>
      <c r="C1186" s="984" t="s">
        <v>24244</v>
      </c>
      <c r="D1186" s="981">
        <f t="shared" si="18"/>
        <v>20262</v>
      </c>
    </row>
    <row r="1187" spans="1:4">
      <c r="A1187" s="2356">
        <v>22021</v>
      </c>
      <c r="B1187" s="984" t="s">
        <v>23362</v>
      </c>
      <c r="C1187" s="984" t="s">
        <v>24286</v>
      </c>
      <c r="D1187" s="981">
        <f t="shared" si="18"/>
        <v>22021</v>
      </c>
    </row>
    <row r="1188" spans="1:4">
      <c r="A1188" s="2356">
        <v>21513</v>
      </c>
      <c r="B1188" s="984" t="s">
        <v>23409</v>
      </c>
      <c r="C1188" s="984" t="s">
        <v>24330</v>
      </c>
      <c r="D1188" s="981">
        <f t="shared" si="18"/>
        <v>21513</v>
      </c>
    </row>
    <row r="1189" spans="1:4">
      <c r="A1189" s="2356">
        <v>21427</v>
      </c>
      <c r="B1189" s="984" t="s">
        <v>27884</v>
      </c>
      <c r="C1189" s="984" t="s">
        <v>27165</v>
      </c>
      <c r="D1189" s="981">
        <f t="shared" si="18"/>
        <v>21427</v>
      </c>
    </row>
    <row r="1190" spans="1:4">
      <c r="A1190" s="2356">
        <v>21522</v>
      </c>
      <c r="B1190" s="984" t="s">
        <v>23584</v>
      </c>
      <c r="C1190" s="984" t="s">
        <v>24502</v>
      </c>
      <c r="D1190" s="981">
        <f t="shared" si="18"/>
        <v>21522</v>
      </c>
    </row>
    <row r="1191" spans="1:4">
      <c r="A1191" s="2356">
        <v>21604</v>
      </c>
      <c r="B1191" s="984" t="s">
        <v>23841</v>
      </c>
      <c r="C1191" s="984" t="s">
        <v>24704</v>
      </c>
      <c r="D1191" s="981">
        <f t="shared" si="18"/>
        <v>21604</v>
      </c>
    </row>
    <row r="1192" spans="1:4">
      <c r="A1192" s="2356">
        <v>22098</v>
      </c>
      <c r="B1192" s="984" t="s">
        <v>23339</v>
      </c>
      <c r="C1192" s="984" t="s">
        <v>24263</v>
      </c>
      <c r="D1192" s="981">
        <f t="shared" si="18"/>
        <v>22098</v>
      </c>
    </row>
    <row r="1193" spans="1:4">
      <c r="A1193" s="2356">
        <v>21550</v>
      </c>
      <c r="B1193" s="984" t="s">
        <v>23609</v>
      </c>
      <c r="C1193" s="984" t="s">
        <v>24526</v>
      </c>
      <c r="D1193" s="981">
        <f t="shared" si="18"/>
        <v>21550</v>
      </c>
    </row>
    <row r="1194" spans="1:4">
      <c r="A1194" s="2356">
        <v>22948</v>
      </c>
      <c r="B1194" s="984" t="s">
        <v>30994</v>
      </c>
      <c r="C1194" s="984" t="s">
        <v>31031</v>
      </c>
      <c r="D1194" s="981">
        <f t="shared" si="18"/>
        <v>22948</v>
      </c>
    </row>
    <row r="1195" spans="1:4">
      <c r="A1195" s="2356">
        <v>22940</v>
      </c>
      <c r="B1195" s="984" t="s">
        <v>23424</v>
      </c>
      <c r="C1195" s="984" t="s">
        <v>24344</v>
      </c>
      <c r="D1195" s="981">
        <f t="shared" si="18"/>
        <v>22940</v>
      </c>
    </row>
    <row r="1196" spans="1:4">
      <c r="A1196" s="2356">
        <v>22725</v>
      </c>
      <c r="B1196" s="984" t="s">
        <v>23040</v>
      </c>
      <c r="C1196" s="984" t="s">
        <v>23970</v>
      </c>
      <c r="D1196" s="981">
        <f t="shared" si="18"/>
        <v>22725</v>
      </c>
    </row>
    <row r="1197" spans="1:4">
      <c r="A1197" s="2356">
        <v>22714</v>
      </c>
      <c r="B1197" s="984" t="s">
        <v>23229</v>
      </c>
      <c r="C1197" s="984" t="s">
        <v>24154</v>
      </c>
      <c r="D1197" s="981">
        <f t="shared" si="18"/>
        <v>22714</v>
      </c>
    </row>
    <row r="1198" spans="1:4">
      <c r="A1198" s="2356">
        <v>21473</v>
      </c>
      <c r="B1198" s="984" t="s">
        <v>23498</v>
      </c>
      <c r="C1198" s="984" t="s">
        <v>24416</v>
      </c>
      <c r="D1198" s="981">
        <f t="shared" si="18"/>
        <v>21473</v>
      </c>
    </row>
    <row r="1199" spans="1:4">
      <c r="A1199" s="2356">
        <v>22226</v>
      </c>
      <c r="B1199" s="984" t="s">
        <v>27891</v>
      </c>
      <c r="C1199" s="984" t="s">
        <v>27175</v>
      </c>
      <c r="D1199" s="981">
        <f t="shared" si="18"/>
        <v>22226</v>
      </c>
    </row>
    <row r="1200" spans="1:4">
      <c r="A1200" s="2356">
        <v>20952</v>
      </c>
      <c r="B1200" s="984" t="s">
        <v>23447</v>
      </c>
      <c r="C1200" s="984" t="s">
        <v>24367</v>
      </c>
      <c r="D1200" s="981">
        <f t="shared" si="18"/>
        <v>20952</v>
      </c>
    </row>
    <row r="1201" spans="1:4">
      <c r="A1201" s="2356">
        <v>22166</v>
      </c>
      <c r="B1201" s="984" t="s">
        <v>23126</v>
      </c>
      <c r="C1201" s="984" t="s">
        <v>24054</v>
      </c>
      <c r="D1201" s="981">
        <f t="shared" si="18"/>
        <v>22166</v>
      </c>
    </row>
    <row r="1202" spans="1:4">
      <c r="A1202" s="2356">
        <v>21544</v>
      </c>
      <c r="B1202" s="984" t="s">
        <v>23319</v>
      </c>
      <c r="C1202" s="984" t="s">
        <v>24243</v>
      </c>
      <c r="D1202" s="981">
        <f t="shared" si="18"/>
        <v>21544</v>
      </c>
    </row>
    <row r="1203" spans="1:4">
      <c r="A1203" s="2356">
        <v>21742</v>
      </c>
      <c r="B1203" s="984" t="s">
        <v>23345</v>
      </c>
      <c r="C1203" s="984" t="s">
        <v>24269</v>
      </c>
      <c r="D1203" s="981">
        <f t="shared" si="18"/>
        <v>21742</v>
      </c>
    </row>
    <row r="1204" spans="1:4">
      <c r="A1204" s="2356">
        <v>22539</v>
      </c>
      <c r="B1204" s="984" t="s">
        <v>23762</v>
      </c>
      <c r="C1204" s="984" t="s">
        <v>27176</v>
      </c>
      <c r="D1204" s="981">
        <f t="shared" si="18"/>
        <v>22539</v>
      </c>
    </row>
    <row r="1205" spans="1:4">
      <c r="A1205" s="2356">
        <v>22158</v>
      </c>
      <c r="B1205" s="984" t="s">
        <v>23288</v>
      </c>
      <c r="C1205" s="984" t="s">
        <v>24211</v>
      </c>
      <c r="D1205" s="981">
        <f t="shared" si="18"/>
        <v>22158</v>
      </c>
    </row>
    <row r="1206" spans="1:4">
      <c r="A1206" s="2356">
        <v>22815</v>
      </c>
      <c r="B1206" s="984" t="s">
        <v>23002</v>
      </c>
      <c r="C1206" s="984" t="s">
        <v>29905</v>
      </c>
      <c r="D1206" s="981">
        <f t="shared" si="18"/>
        <v>22815</v>
      </c>
    </row>
    <row r="1207" spans="1:4">
      <c r="A1207" s="2356">
        <v>22811</v>
      </c>
      <c r="B1207" s="984" t="s">
        <v>31951</v>
      </c>
      <c r="C1207" s="984" t="s">
        <v>31952</v>
      </c>
      <c r="D1207" s="981">
        <f t="shared" si="18"/>
        <v>22811</v>
      </c>
    </row>
    <row r="1208" spans="1:4">
      <c r="A1208" s="2356">
        <v>22906</v>
      </c>
      <c r="B1208" s="984" t="s">
        <v>25702</v>
      </c>
      <c r="C1208" s="984" t="s">
        <v>25701</v>
      </c>
      <c r="D1208" s="981">
        <f t="shared" si="18"/>
        <v>22906</v>
      </c>
    </row>
    <row r="1209" spans="1:4">
      <c r="A1209" s="2356">
        <v>22863</v>
      </c>
      <c r="B1209" s="984" t="s">
        <v>23095</v>
      </c>
      <c r="C1209" s="984" t="s">
        <v>24024</v>
      </c>
      <c r="D1209" s="981">
        <f t="shared" si="18"/>
        <v>22863</v>
      </c>
    </row>
    <row r="1210" spans="1:4">
      <c r="A1210" s="2356">
        <v>22936</v>
      </c>
      <c r="B1210" s="984" t="s">
        <v>23408</v>
      </c>
      <c r="C1210" s="984" t="s">
        <v>24329</v>
      </c>
      <c r="D1210" s="981">
        <f t="shared" si="18"/>
        <v>22936</v>
      </c>
    </row>
    <row r="1211" spans="1:4">
      <c r="A1211" s="2356">
        <v>22819</v>
      </c>
      <c r="B1211" s="984" t="s">
        <v>23281</v>
      </c>
      <c r="C1211" s="984" t="s">
        <v>24204</v>
      </c>
      <c r="D1211" s="981">
        <f t="shared" si="18"/>
        <v>22819</v>
      </c>
    </row>
    <row r="1212" spans="1:4">
      <c r="A1212" s="2356">
        <v>21442</v>
      </c>
      <c r="B1212" s="984" t="s">
        <v>23358</v>
      </c>
      <c r="C1212" s="984" t="s">
        <v>24282</v>
      </c>
      <c r="D1212" s="981">
        <f t="shared" si="18"/>
        <v>21442</v>
      </c>
    </row>
    <row r="1213" spans="1:4">
      <c r="A1213" s="2356">
        <v>20072</v>
      </c>
      <c r="B1213" s="984" t="s">
        <v>23632</v>
      </c>
      <c r="C1213" s="984" t="s">
        <v>24547</v>
      </c>
      <c r="D1213" s="981">
        <f t="shared" si="18"/>
        <v>20072</v>
      </c>
    </row>
    <row r="1214" spans="1:4">
      <c r="A1214" s="2356">
        <v>19795</v>
      </c>
      <c r="B1214" s="984" t="s">
        <v>23563</v>
      </c>
      <c r="C1214" s="984" t="s">
        <v>24480</v>
      </c>
      <c r="D1214" s="981">
        <f t="shared" si="18"/>
        <v>19795</v>
      </c>
    </row>
    <row r="1215" spans="1:4">
      <c r="A1215" s="2356">
        <v>19797</v>
      </c>
      <c r="B1215" s="984" t="s">
        <v>23160</v>
      </c>
      <c r="C1215" s="984" t="s">
        <v>24087</v>
      </c>
      <c r="D1215" s="981">
        <f t="shared" si="18"/>
        <v>19797</v>
      </c>
    </row>
    <row r="1216" spans="1:4">
      <c r="A1216" s="2356">
        <v>17399</v>
      </c>
      <c r="B1216" s="984" t="s">
        <v>23301</v>
      </c>
      <c r="C1216" s="984" t="s">
        <v>24225</v>
      </c>
      <c r="D1216" s="981">
        <f t="shared" si="18"/>
        <v>17399</v>
      </c>
    </row>
    <row r="1217" spans="1:4">
      <c r="A1217" s="2356">
        <v>16858</v>
      </c>
      <c r="B1217" s="984" t="s">
        <v>23022</v>
      </c>
      <c r="C1217" s="984" t="s">
        <v>23952</v>
      </c>
      <c r="D1217" s="981">
        <f t="shared" si="18"/>
        <v>16858</v>
      </c>
    </row>
    <row r="1218" spans="1:4">
      <c r="A1218" s="2356">
        <v>19812</v>
      </c>
      <c r="B1218" s="984" t="s">
        <v>23394</v>
      </c>
      <c r="C1218" s="984" t="s">
        <v>24318</v>
      </c>
      <c r="D1218" s="981">
        <f t="shared" si="18"/>
        <v>19812</v>
      </c>
    </row>
    <row r="1219" spans="1:4">
      <c r="A1219" s="2356">
        <v>17396</v>
      </c>
      <c r="B1219" s="984" t="s">
        <v>23645</v>
      </c>
      <c r="C1219" s="984" t="s">
        <v>24560</v>
      </c>
      <c r="D1219" s="981">
        <f t="shared" si="18"/>
        <v>17396</v>
      </c>
    </row>
    <row r="1220" spans="1:4">
      <c r="A1220" s="2356">
        <v>19746</v>
      </c>
      <c r="B1220" s="984" t="s">
        <v>23255</v>
      </c>
      <c r="C1220" s="984" t="s">
        <v>24178</v>
      </c>
      <c r="D1220" s="981">
        <f t="shared" si="18"/>
        <v>19746</v>
      </c>
    </row>
    <row r="1221" spans="1:4">
      <c r="A1221" s="2356">
        <v>19749</v>
      </c>
      <c r="B1221" s="984" t="s">
        <v>23660</v>
      </c>
      <c r="C1221" s="984" t="s">
        <v>24574</v>
      </c>
      <c r="D1221" s="981">
        <f t="shared" si="18"/>
        <v>19749</v>
      </c>
    </row>
    <row r="1222" spans="1:4">
      <c r="A1222" s="2356">
        <v>17159</v>
      </c>
      <c r="B1222" s="984" t="s">
        <v>23303</v>
      </c>
      <c r="C1222" s="984" t="s">
        <v>24227</v>
      </c>
      <c r="D1222" s="981">
        <f t="shared" si="18"/>
        <v>17159</v>
      </c>
    </row>
    <row r="1223" spans="1:4">
      <c r="A1223" s="2356">
        <v>16950</v>
      </c>
      <c r="B1223" s="984" t="s">
        <v>23429</v>
      </c>
      <c r="C1223" s="984" t="s">
        <v>24349</v>
      </c>
      <c r="D1223" s="981">
        <f t="shared" si="18"/>
        <v>16950</v>
      </c>
    </row>
    <row r="1224" spans="1:4">
      <c r="A1224" s="2356">
        <v>19187</v>
      </c>
      <c r="B1224" s="984" t="s">
        <v>23335</v>
      </c>
      <c r="C1224" s="984" t="s">
        <v>24259</v>
      </c>
      <c r="D1224" s="981">
        <f t="shared" si="18"/>
        <v>19187</v>
      </c>
    </row>
    <row r="1225" spans="1:4">
      <c r="A1225" s="2356">
        <v>17426</v>
      </c>
      <c r="B1225" s="984" t="s">
        <v>23246</v>
      </c>
      <c r="C1225" s="984" t="s">
        <v>24170</v>
      </c>
      <c r="D1225" s="981">
        <f t="shared" ref="D1225:D1288" si="19">+A1225</f>
        <v>17426</v>
      </c>
    </row>
    <row r="1226" spans="1:4">
      <c r="A1226" s="2356">
        <v>17500</v>
      </c>
      <c r="B1226" s="984" t="s">
        <v>23299</v>
      </c>
      <c r="C1226" s="984" t="s">
        <v>24223</v>
      </c>
      <c r="D1226" s="981">
        <f t="shared" si="19"/>
        <v>17500</v>
      </c>
    </row>
    <row r="1227" spans="1:4">
      <c r="A1227" s="2356">
        <v>17831</v>
      </c>
      <c r="B1227" s="984" t="s">
        <v>23605</v>
      </c>
      <c r="C1227" s="984" t="s">
        <v>24522</v>
      </c>
      <c r="D1227" s="981">
        <f t="shared" si="19"/>
        <v>17831</v>
      </c>
    </row>
    <row r="1228" spans="1:4">
      <c r="A1228" s="2356">
        <v>17117</v>
      </c>
      <c r="B1228" s="984" t="s">
        <v>27874</v>
      </c>
      <c r="C1228" s="984" t="s">
        <v>27152</v>
      </c>
      <c r="D1228" s="981">
        <f t="shared" si="19"/>
        <v>17117</v>
      </c>
    </row>
    <row r="1229" spans="1:4">
      <c r="A1229" s="2356">
        <v>17414</v>
      </c>
      <c r="B1229" s="984" t="s">
        <v>23536</v>
      </c>
      <c r="C1229" s="984" t="s">
        <v>24454</v>
      </c>
      <c r="D1229" s="981">
        <f t="shared" si="19"/>
        <v>17414</v>
      </c>
    </row>
    <row r="1230" spans="1:4">
      <c r="A1230" s="2356">
        <v>15899</v>
      </c>
      <c r="B1230" s="984" t="s">
        <v>23771</v>
      </c>
      <c r="C1230" s="984" t="s">
        <v>29855</v>
      </c>
      <c r="D1230" s="981">
        <f t="shared" si="19"/>
        <v>15899</v>
      </c>
    </row>
    <row r="1231" spans="1:4">
      <c r="A1231" s="2356">
        <v>17449</v>
      </c>
      <c r="B1231" s="984" t="s">
        <v>23442</v>
      </c>
      <c r="C1231" s="984" t="s">
        <v>24362</v>
      </c>
      <c r="D1231" s="981">
        <f t="shared" si="19"/>
        <v>17449</v>
      </c>
    </row>
    <row r="1232" spans="1:4">
      <c r="A1232" s="2356">
        <v>18913</v>
      </c>
      <c r="B1232" s="984" t="s">
        <v>23106</v>
      </c>
      <c r="C1232" s="984" t="s">
        <v>24035</v>
      </c>
      <c r="D1232" s="981">
        <f t="shared" si="19"/>
        <v>18913</v>
      </c>
    </row>
    <row r="1233" spans="1:4">
      <c r="A1233" s="2356">
        <v>17372</v>
      </c>
      <c r="B1233" s="984" t="s">
        <v>23440</v>
      </c>
      <c r="C1233" s="984" t="s">
        <v>24360</v>
      </c>
      <c r="D1233" s="981">
        <f t="shared" si="19"/>
        <v>17372</v>
      </c>
    </row>
    <row r="1234" spans="1:4">
      <c r="A1234" s="2356">
        <v>17184</v>
      </c>
      <c r="B1234" s="984" t="s">
        <v>23185</v>
      </c>
      <c r="C1234" s="984" t="s">
        <v>24111</v>
      </c>
      <c r="D1234" s="981">
        <f t="shared" si="19"/>
        <v>17184</v>
      </c>
    </row>
    <row r="1235" spans="1:4">
      <c r="A1235" s="2356">
        <v>17438</v>
      </c>
      <c r="B1235" s="984" t="s">
        <v>31011</v>
      </c>
      <c r="C1235" s="984" t="s">
        <v>31065</v>
      </c>
      <c r="D1235" s="981">
        <f t="shared" si="19"/>
        <v>17438</v>
      </c>
    </row>
    <row r="1236" spans="1:4">
      <c r="A1236" s="2356">
        <v>17374</v>
      </c>
      <c r="B1236" s="984" t="s">
        <v>23107</v>
      </c>
      <c r="C1236" s="984" t="s">
        <v>24036</v>
      </c>
      <c r="D1236" s="981">
        <f t="shared" si="19"/>
        <v>17374</v>
      </c>
    </row>
    <row r="1237" spans="1:4">
      <c r="A1237" s="2356">
        <v>13762</v>
      </c>
      <c r="B1237" s="984" t="s">
        <v>23094</v>
      </c>
      <c r="C1237" s="984" t="s">
        <v>24023</v>
      </c>
      <c r="D1237" s="981">
        <f t="shared" si="19"/>
        <v>13762</v>
      </c>
    </row>
    <row r="1238" spans="1:4">
      <c r="A1238" s="2356">
        <v>14532</v>
      </c>
      <c r="B1238" s="984" t="s">
        <v>23594</v>
      </c>
      <c r="C1238" s="984" t="s">
        <v>24511</v>
      </c>
      <c r="D1238" s="981">
        <f t="shared" si="19"/>
        <v>14532</v>
      </c>
    </row>
    <row r="1239" spans="1:4">
      <c r="A1239" s="2356">
        <v>13763</v>
      </c>
      <c r="B1239" s="984" t="s">
        <v>23323</v>
      </c>
      <c r="C1239" s="984" t="s">
        <v>24247</v>
      </c>
      <c r="D1239" s="981">
        <f t="shared" si="19"/>
        <v>13763</v>
      </c>
    </row>
    <row r="1240" spans="1:4">
      <c r="A1240" s="2356">
        <v>14353</v>
      </c>
      <c r="B1240" s="984" t="s">
        <v>23807</v>
      </c>
      <c r="C1240" s="984" t="s">
        <v>24675</v>
      </c>
      <c r="D1240" s="981">
        <f t="shared" si="19"/>
        <v>14353</v>
      </c>
    </row>
    <row r="1241" spans="1:4">
      <c r="A1241" s="2356">
        <v>14425</v>
      </c>
      <c r="B1241" s="984" t="s">
        <v>23157</v>
      </c>
      <c r="C1241" s="984" t="s">
        <v>27148</v>
      </c>
      <c r="D1241" s="981">
        <f t="shared" si="19"/>
        <v>14425</v>
      </c>
    </row>
    <row r="1242" spans="1:4">
      <c r="A1242" s="2356">
        <v>13941</v>
      </c>
      <c r="B1242" s="984" t="s">
        <v>23741</v>
      </c>
      <c r="C1242" s="984" t="s">
        <v>31047</v>
      </c>
      <c r="D1242" s="981">
        <f t="shared" si="19"/>
        <v>13941</v>
      </c>
    </row>
    <row r="1243" spans="1:4">
      <c r="A1243" s="2356">
        <v>14045</v>
      </c>
      <c r="B1243" s="984" t="s">
        <v>23802</v>
      </c>
      <c r="C1243" s="984" t="s">
        <v>24672</v>
      </c>
      <c r="D1243" s="981">
        <f t="shared" si="19"/>
        <v>14045</v>
      </c>
    </row>
    <row r="1244" spans="1:4">
      <c r="A1244" s="2356">
        <v>13612</v>
      </c>
      <c r="B1244" s="984" t="s">
        <v>23385</v>
      </c>
      <c r="C1244" s="984" t="s">
        <v>24309</v>
      </c>
      <c r="D1244" s="981">
        <f t="shared" si="19"/>
        <v>13612</v>
      </c>
    </row>
    <row r="1245" spans="1:4">
      <c r="A1245" s="2356">
        <v>14226</v>
      </c>
      <c r="B1245" s="984" t="s">
        <v>23167</v>
      </c>
      <c r="C1245" s="984" t="s">
        <v>24094</v>
      </c>
      <c r="D1245" s="981">
        <f t="shared" si="19"/>
        <v>14226</v>
      </c>
    </row>
    <row r="1246" spans="1:4">
      <c r="A1246" s="2356">
        <v>14157</v>
      </c>
      <c r="B1246" s="984" t="s">
        <v>27869</v>
      </c>
      <c r="C1246" s="984" t="s">
        <v>27145</v>
      </c>
      <c r="D1246" s="981">
        <f t="shared" si="19"/>
        <v>14157</v>
      </c>
    </row>
    <row r="1247" spans="1:4">
      <c r="A1247" s="2356">
        <v>13841</v>
      </c>
      <c r="B1247" s="984" t="s">
        <v>23044</v>
      </c>
      <c r="C1247" s="984" t="s">
        <v>23974</v>
      </c>
      <c r="D1247" s="981">
        <f t="shared" si="19"/>
        <v>13841</v>
      </c>
    </row>
    <row r="1248" spans="1:4">
      <c r="A1248" s="2356">
        <v>12786</v>
      </c>
      <c r="B1248" s="984" t="s">
        <v>23418</v>
      </c>
      <c r="C1248" s="984" t="s">
        <v>24338</v>
      </c>
      <c r="D1248" s="981">
        <f t="shared" si="19"/>
        <v>12786</v>
      </c>
    </row>
    <row r="1249" spans="1:4">
      <c r="A1249" s="2356">
        <v>14430</v>
      </c>
      <c r="B1249" s="984" t="s">
        <v>23201</v>
      </c>
      <c r="C1249" s="984" t="s">
        <v>24126</v>
      </c>
      <c r="D1249" s="981">
        <f t="shared" si="19"/>
        <v>14430</v>
      </c>
    </row>
    <row r="1250" spans="1:4">
      <c r="A1250" s="2356">
        <v>14530</v>
      </c>
      <c r="B1250" s="984" t="s">
        <v>23656</v>
      </c>
      <c r="C1250" s="984" t="s">
        <v>24570</v>
      </c>
      <c r="D1250" s="981">
        <f t="shared" si="19"/>
        <v>14530</v>
      </c>
    </row>
    <row r="1251" spans="1:4">
      <c r="A1251" s="2356">
        <v>14199</v>
      </c>
      <c r="B1251" s="984" t="s">
        <v>23093</v>
      </c>
      <c r="C1251" s="984" t="s">
        <v>24022</v>
      </c>
      <c r="D1251" s="981">
        <f t="shared" si="19"/>
        <v>14199</v>
      </c>
    </row>
    <row r="1252" spans="1:4">
      <c r="A1252" s="2356">
        <v>14190</v>
      </c>
      <c r="B1252" s="984" t="s">
        <v>23144</v>
      </c>
      <c r="C1252" s="984" t="s">
        <v>24072</v>
      </c>
      <c r="D1252" s="981">
        <f t="shared" si="19"/>
        <v>14190</v>
      </c>
    </row>
    <row r="1253" spans="1:4">
      <c r="A1253" s="2356">
        <v>14265</v>
      </c>
      <c r="B1253" s="984" t="s">
        <v>23596</v>
      </c>
      <c r="C1253" s="984" t="s">
        <v>24513</v>
      </c>
      <c r="D1253" s="981">
        <f t="shared" si="19"/>
        <v>14265</v>
      </c>
    </row>
    <row r="1254" spans="1:4">
      <c r="A1254" s="2356">
        <v>14198</v>
      </c>
      <c r="B1254" s="984" t="s">
        <v>23631</v>
      </c>
      <c r="C1254" s="984" t="s">
        <v>24546</v>
      </c>
      <c r="D1254" s="981">
        <f t="shared" si="19"/>
        <v>14198</v>
      </c>
    </row>
    <row r="1255" spans="1:4">
      <c r="A1255" s="2356">
        <v>13871</v>
      </c>
      <c r="B1255" s="984" t="s">
        <v>22903</v>
      </c>
      <c r="C1255" s="984" t="s">
        <v>23864</v>
      </c>
      <c r="D1255" s="981">
        <f t="shared" si="19"/>
        <v>13871</v>
      </c>
    </row>
    <row r="1256" spans="1:4">
      <c r="A1256" s="2356">
        <v>14163</v>
      </c>
      <c r="B1256" s="984" t="s">
        <v>22937</v>
      </c>
      <c r="C1256" s="984" t="s">
        <v>23895</v>
      </c>
      <c r="D1256" s="981">
        <f t="shared" si="19"/>
        <v>14163</v>
      </c>
    </row>
    <row r="1257" spans="1:4">
      <c r="A1257" s="2356">
        <v>13659</v>
      </c>
      <c r="B1257" s="984" t="s">
        <v>25684</v>
      </c>
      <c r="C1257" s="984" t="s">
        <v>25683</v>
      </c>
      <c r="D1257" s="981">
        <f t="shared" si="19"/>
        <v>13659</v>
      </c>
    </row>
    <row r="1258" spans="1:4">
      <c r="A1258" s="2356">
        <v>13925</v>
      </c>
      <c r="B1258" s="984" t="s">
        <v>23051</v>
      </c>
      <c r="C1258" s="984" t="s">
        <v>23981</v>
      </c>
      <c r="D1258" s="981">
        <f t="shared" si="19"/>
        <v>13925</v>
      </c>
    </row>
    <row r="1259" spans="1:4">
      <c r="A1259" s="2356">
        <v>13654</v>
      </c>
      <c r="B1259" s="984" t="s">
        <v>22950</v>
      </c>
      <c r="C1259" s="984" t="s">
        <v>23907</v>
      </c>
      <c r="D1259" s="981">
        <f t="shared" si="19"/>
        <v>13654</v>
      </c>
    </row>
    <row r="1260" spans="1:4">
      <c r="A1260" s="2356">
        <v>12785</v>
      </c>
      <c r="B1260" s="984" t="s">
        <v>23069</v>
      </c>
      <c r="C1260" s="984" t="s">
        <v>23999</v>
      </c>
      <c r="D1260" s="981">
        <f t="shared" si="19"/>
        <v>12785</v>
      </c>
    </row>
    <row r="1261" spans="1:4">
      <c r="A1261" s="2356">
        <v>14298</v>
      </c>
      <c r="B1261" s="984" t="s">
        <v>23422</v>
      </c>
      <c r="C1261" s="984" t="s">
        <v>24342</v>
      </c>
      <c r="D1261" s="981">
        <f t="shared" si="19"/>
        <v>14298</v>
      </c>
    </row>
    <row r="1262" spans="1:4">
      <c r="A1262" s="2356">
        <v>9229</v>
      </c>
      <c r="B1262" s="984" t="s">
        <v>23758</v>
      </c>
      <c r="C1262" s="984" t="s">
        <v>24641</v>
      </c>
      <c r="D1262" s="981">
        <f t="shared" si="19"/>
        <v>9229</v>
      </c>
    </row>
    <row r="1263" spans="1:4">
      <c r="A1263" s="2356">
        <v>7942</v>
      </c>
      <c r="B1263" s="984" t="s">
        <v>22932</v>
      </c>
      <c r="C1263" s="984" t="s">
        <v>23891</v>
      </c>
      <c r="D1263" s="981">
        <f t="shared" si="19"/>
        <v>7942</v>
      </c>
    </row>
    <row r="1264" spans="1:4">
      <c r="A1264" s="2356">
        <v>5461</v>
      </c>
      <c r="B1264" s="984" t="s">
        <v>23046</v>
      </c>
      <c r="C1264" s="984" t="s">
        <v>23976</v>
      </c>
      <c r="D1264" s="981">
        <f t="shared" si="19"/>
        <v>5461</v>
      </c>
    </row>
    <row r="1265" spans="1:4">
      <c r="A1265" s="2356">
        <v>7373</v>
      </c>
      <c r="B1265" s="984" t="s">
        <v>23759</v>
      </c>
      <c r="C1265" s="984" t="s">
        <v>31080</v>
      </c>
      <c r="D1265" s="981">
        <f t="shared" si="19"/>
        <v>7373</v>
      </c>
    </row>
    <row r="1266" spans="1:4">
      <c r="A1266" s="2356">
        <v>4080</v>
      </c>
      <c r="B1266" s="984" t="s">
        <v>23374</v>
      </c>
      <c r="C1266" s="984" t="s">
        <v>24298</v>
      </c>
      <c r="D1266" s="981">
        <f t="shared" si="19"/>
        <v>4080</v>
      </c>
    </row>
    <row r="1267" spans="1:4">
      <c r="A1267" s="2356">
        <v>3913</v>
      </c>
      <c r="B1267" s="984" t="s">
        <v>25023</v>
      </c>
      <c r="C1267" s="984" t="s">
        <v>25024</v>
      </c>
      <c r="D1267" s="981">
        <f t="shared" si="19"/>
        <v>3913</v>
      </c>
    </row>
    <row r="1268" spans="1:4">
      <c r="A1268" s="2356">
        <v>2958</v>
      </c>
      <c r="B1268" s="984" t="s">
        <v>23016</v>
      </c>
      <c r="C1268" s="984" t="s">
        <v>23946</v>
      </c>
      <c r="D1268" s="981">
        <f t="shared" si="19"/>
        <v>2958</v>
      </c>
    </row>
    <row r="1269" spans="1:4">
      <c r="A1269" s="2356">
        <v>2572</v>
      </c>
      <c r="B1269" s="984" t="s">
        <v>23516</v>
      </c>
      <c r="C1269" s="984" t="s">
        <v>24433</v>
      </c>
      <c r="D1269" s="981">
        <f t="shared" si="19"/>
        <v>2572</v>
      </c>
    </row>
    <row r="1270" spans="1:4">
      <c r="A1270" s="2356">
        <v>2325</v>
      </c>
      <c r="B1270" s="984" t="s">
        <v>23461</v>
      </c>
      <c r="C1270" s="984" t="s">
        <v>24380</v>
      </c>
      <c r="D1270" s="981">
        <f t="shared" si="19"/>
        <v>2325</v>
      </c>
    </row>
    <row r="1271" spans="1:4">
      <c r="A1271" s="2356">
        <v>201</v>
      </c>
      <c r="B1271" s="984" t="s">
        <v>27860</v>
      </c>
      <c r="C1271" s="984" t="s">
        <v>27127</v>
      </c>
      <c r="D1271" s="981">
        <f t="shared" si="19"/>
        <v>201</v>
      </c>
    </row>
    <row r="1272" spans="1:4">
      <c r="A1272" s="2356">
        <v>544</v>
      </c>
      <c r="B1272" s="984" t="s">
        <v>23247</v>
      </c>
      <c r="C1272" s="984" t="s">
        <v>24171</v>
      </c>
      <c r="D1272" s="981">
        <f t="shared" si="19"/>
        <v>544</v>
      </c>
    </row>
    <row r="1273" spans="1:4">
      <c r="A1273" s="2356">
        <v>1440</v>
      </c>
      <c r="B1273" s="984" t="s">
        <v>23809</v>
      </c>
      <c r="C1273" s="984" t="s">
        <v>24677</v>
      </c>
      <c r="D1273" s="981">
        <f t="shared" si="19"/>
        <v>1440</v>
      </c>
    </row>
    <row r="1274" spans="1:4">
      <c r="A1274" s="2356">
        <v>1531</v>
      </c>
      <c r="B1274" s="984" t="s">
        <v>23129</v>
      </c>
      <c r="C1274" s="984" t="s">
        <v>24057</v>
      </c>
      <c r="D1274" s="981">
        <f t="shared" si="19"/>
        <v>1531</v>
      </c>
    </row>
    <row r="1275" spans="1:4">
      <c r="A1275" s="2356">
        <v>780</v>
      </c>
      <c r="B1275" s="984" t="s">
        <v>22973</v>
      </c>
      <c r="C1275" s="984" t="s">
        <v>23925</v>
      </c>
      <c r="D1275" s="981">
        <f t="shared" si="19"/>
        <v>780</v>
      </c>
    </row>
    <row r="1276" spans="1:4">
      <c r="A1276" s="2356">
        <v>199</v>
      </c>
      <c r="B1276" s="984" t="s">
        <v>23451</v>
      </c>
      <c r="C1276" s="984" t="s">
        <v>24371</v>
      </c>
      <c r="D1276" s="981">
        <f t="shared" si="19"/>
        <v>199</v>
      </c>
    </row>
    <row r="1277" spans="1:4">
      <c r="A1277" s="2356">
        <v>1392</v>
      </c>
      <c r="B1277" s="984" t="s">
        <v>22911</v>
      </c>
      <c r="C1277" s="984" t="s">
        <v>23871</v>
      </c>
      <c r="D1277" s="981">
        <f t="shared" si="19"/>
        <v>1392</v>
      </c>
    </row>
    <row r="1278" spans="1:4">
      <c r="A1278" s="2356">
        <v>2136</v>
      </c>
      <c r="B1278" s="984" t="s">
        <v>23214</v>
      </c>
      <c r="C1278" s="984" t="s">
        <v>24139</v>
      </c>
      <c r="D1278" s="981">
        <f t="shared" si="19"/>
        <v>2136</v>
      </c>
    </row>
    <row r="1279" spans="1:4">
      <c r="A1279" s="2356">
        <v>1976</v>
      </c>
      <c r="B1279" s="984" t="s">
        <v>23561</v>
      </c>
      <c r="C1279" s="984" t="s">
        <v>24478</v>
      </c>
      <c r="D1279" s="981">
        <f t="shared" si="19"/>
        <v>1976</v>
      </c>
    </row>
    <row r="1280" spans="1:4">
      <c r="A1280" s="2356">
        <v>436</v>
      </c>
      <c r="B1280" s="984" t="s">
        <v>23818</v>
      </c>
      <c r="C1280" s="984" t="s">
        <v>24684</v>
      </c>
      <c r="D1280" s="981">
        <f t="shared" si="19"/>
        <v>436</v>
      </c>
    </row>
    <row r="1281" spans="1:4">
      <c r="A1281" s="2356">
        <v>424</v>
      </c>
      <c r="B1281" s="984" t="s">
        <v>23847</v>
      </c>
      <c r="C1281" s="984" t="s">
        <v>29879</v>
      </c>
      <c r="D1281" s="981">
        <f t="shared" si="19"/>
        <v>424</v>
      </c>
    </row>
    <row r="1282" spans="1:4">
      <c r="A1282" s="2356">
        <v>7381</v>
      </c>
      <c r="B1282" s="984" t="s">
        <v>23776</v>
      </c>
      <c r="C1282" s="984" t="s">
        <v>24650</v>
      </c>
      <c r="D1282" s="981">
        <f t="shared" si="19"/>
        <v>7381</v>
      </c>
    </row>
    <row r="1283" spans="1:4">
      <c r="A1283" s="2356">
        <v>926</v>
      </c>
      <c r="B1283" s="984" t="s">
        <v>22920</v>
      </c>
      <c r="C1283" s="984" t="s">
        <v>23880</v>
      </c>
      <c r="D1283" s="981">
        <f t="shared" si="19"/>
        <v>926</v>
      </c>
    </row>
    <row r="1284" spans="1:4">
      <c r="A1284" s="2356">
        <v>992</v>
      </c>
      <c r="B1284" s="984" t="s">
        <v>23753</v>
      </c>
      <c r="C1284" s="984" t="s">
        <v>25669</v>
      </c>
      <c r="D1284" s="981">
        <f t="shared" si="19"/>
        <v>992</v>
      </c>
    </row>
    <row r="1285" spans="1:4">
      <c r="A1285" s="2356">
        <v>39924</v>
      </c>
      <c r="B1285" s="984" t="s">
        <v>31001</v>
      </c>
      <c r="C1285" s="984" t="s">
        <v>31043</v>
      </c>
      <c r="D1285" s="981">
        <f t="shared" si="19"/>
        <v>39924</v>
      </c>
    </row>
    <row r="1286" spans="1:4">
      <c r="A1286" s="2356">
        <v>37305</v>
      </c>
      <c r="B1286" s="984" t="s">
        <v>29931</v>
      </c>
      <c r="C1286" s="984" t="s">
        <v>29841</v>
      </c>
      <c r="D1286" s="981">
        <f t="shared" si="19"/>
        <v>37305</v>
      </c>
    </row>
    <row r="1287" spans="1:4">
      <c r="A1287" s="2356">
        <v>40227</v>
      </c>
      <c r="B1287" s="984" t="s">
        <v>31953</v>
      </c>
      <c r="C1287" s="984" t="s">
        <v>31954</v>
      </c>
      <c r="D1287" s="981">
        <f t="shared" si="19"/>
        <v>40227</v>
      </c>
    </row>
    <row r="1288" spans="1:4">
      <c r="A1288" s="2356">
        <v>44596</v>
      </c>
      <c r="B1288" s="984" t="s">
        <v>31955</v>
      </c>
      <c r="C1288" s="984" t="s">
        <v>31956</v>
      </c>
      <c r="D1288" s="981">
        <f t="shared" si="19"/>
        <v>44596</v>
      </c>
    </row>
    <row r="1289" spans="1:4">
      <c r="A1289" s="2356">
        <v>39290</v>
      </c>
      <c r="B1289" s="984" t="s">
        <v>31017</v>
      </c>
      <c r="C1289" s="984" t="s">
        <v>31077</v>
      </c>
      <c r="D1289" s="981">
        <f t="shared" ref="D1289:D1352" si="20">+A1289</f>
        <v>39290</v>
      </c>
    </row>
    <row r="1290" spans="1:4">
      <c r="A1290" s="2356">
        <v>44203</v>
      </c>
      <c r="B1290" s="984" t="s">
        <v>31957</v>
      </c>
      <c r="C1290" s="984" t="s">
        <v>31958</v>
      </c>
      <c r="D1290" s="981">
        <f t="shared" si="20"/>
        <v>44203</v>
      </c>
    </row>
    <row r="1291" spans="1:4">
      <c r="A1291" s="2356">
        <v>38362</v>
      </c>
      <c r="B1291" s="984" t="s">
        <v>31014</v>
      </c>
      <c r="C1291" s="984" t="s">
        <v>31072</v>
      </c>
      <c r="D1291" s="981">
        <f t="shared" si="20"/>
        <v>38362</v>
      </c>
    </row>
    <row r="1292" spans="1:4">
      <c r="A1292" s="2356">
        <v>37570</v>
      </c>
      <c r="B1292" s="984" t="s">
        <v>31018</v>
      </c>
      <c r="C1292" s="984" t="s">
        <v>31078</v>
      </c>
      <c r="D1292" s="981">
        <f t="shared" si="20"/>
        <v>37570</v>
      </c>
    </row>
    <row r="1293" spans="1:4">
      <c r="A1293" s="2356">
        <v>37081</v>
      </c>
      <c r="B1293" s="984" t="s">
        <v>29917</v>
      </c>
      <c r="C1293" s="984" t="s">
        <v>29809</v>
      </c>
      <c r="D1293" s="981">
        <f t="shared" si="20"/>
        <v>37081</v>
      </c>
    </row>
    <row r="1294" spans="1:4">
      <c r="A1294" s="2356">
        <v>34394</v>
      </c>
      <c r="B1294" s="984" t="s">
        <v>29927</v>
      </c>
      <c r="C1294" s="984" t="s">
        <v>29833</v>
      </c>
      <c r="D1294" s="981">
        <f t="shared" si="20"/>
        <v>34394</v>
      </c>
    </row>
    <row r="1295" spans="1:4">
      <c r="A1295" s="2356">
        <v>36252</v>
      </c>
      <c r="B1295" s="984" t="s">
        <v>29944</v>
      </c>
      <c r="C1295" s="984" t="s">
        <v>29866</v>
      </c>
      <c r="D1295" s="981">
        <f t="shared" si="20"/>
        <v>36252</v>
      </c>
    </row>
    <row r="1296" spans="1:4">
      <c r="A1296" s="2356">
        <v>36235</v>
      </c>
      <c r="B1296" s="984" t="s">
        <v>29957</v>
      </c>
      <c r="C1296" s="984" t="s">
        <v>29890</v>
      </c>
      <c r="D1296" s="981">
        <f t="shared" si="20"/>
        <v>36235</v>
      </c>
    </row>
    <row r="1297" spans="1:4">
      <c r="A1297" s="2356">
        <v>29387</v>
      </c>
      <c r="B1297" s="984" t="s">
        <v>28394</v>
      </c>
      <c r="C1297" s="984" t="s">
        <v>27654</v>
      </c>
      <c r="D1297" s="981">
        <f t="shared" si="20"/>
        <v>29387</v>
      </c>
    </row>
    <row r="1298" spans="1:4">
      <c r="A1298" s="2356">
        <v>30027</v>
      </c>
      <c r="B1298" s="984" t="s">
        <v>28560</v>
      </c>
      <c r="C1298" s="984" t="s">
        <v>27818</v>
      </c>
      <c r="D1298" s="981">
        <f t="shared" si="20"/>
        <v>30027</v>
      </c>
    </row>
    <row r="1299" spans="1:4">
      <c r="A1299" s="2356">
        <v>28529</v>
      </c>
      <c r="B1299" s="984" t="s">
        <v>28208</v>
      </c>
      <c r="C1299" s="984" t="s">
        <v>27479</v>
      </c>
      <c r="D1299" s="981">
        <f t="shared" si="20"/>
        <v>28529</v>
      </c>
    </row>
    <row r="1300" spans="1:4">
      <c r="A1300" s="2356">
        <v>29691</v>
      </c>
      <c r="B1300" s="984" t="s">
        <v>28518</v>
      </c>
      <c r="C1300" s="984" t="s">
        <v>27776</v>
      </c>
      <c r="D1300" s="981">
        <f t="shared" si="20"/>
        <v>29691</v>
      </c>
    </row>
    <row r="1301" spans="1:4">
      <c r="A1301" s="2356">
        <v>28488</v>
      </c>
      <c r="B1301" s="984" t="s">
        <v>28201</v>
      </c>
      <c r="C1301" s="984" t="s">
        <v>27472</v>
      </c>
      <c r="D1301" s="981">
        <f t="shared" si="20"/>
        <v>28488</v>
      </c>
    </row>
    <row r="1302" spans="1:4">
      <c r="A1302" s="2356">
        <v>30035</v>
      </c>
      <c r="B1302" s="984" t="s">
        <v>28562</v>
      </c>
      <c r="C1302" s="984" t="s">
        <v>27820</v>
      </c>
      <c r="D1302" s="981">
        <f t="shared" si="20"/>
        <v>30035</v>
      </c>
    </row>
    <row r="1303" spans="1:4">
      <c r="A1303" s="2356">
        <v>29495</v>
      </c>
      <c r="B1303" s="984" t="s">
        <v>28450</v>
      </c>
      <c r="C1303" s="984" t="s">
        <v>29865</v>
      </c>
      <c r="D1303" s="981">
        <f t="shared" si="20"/>
        <v>29495</v>
      </c>
    </row>
    <row r="1304" spans="1:4">
      <c r="A1304" s="2356">
        <v>29417</v>
      </c>
      <c r="B1304" s="984" t="s">
        <v>28415</v>
      </c>
      <c r="C1304" s="984" t="s">
        <v>27675</v>
      </c>
      <c r="D1304" s="981">
        <f t="shared" si="20"/>
        <v>29417</v>
      </c>
    </row>
    <row r="1305" spans="1:4">
      <c r="A1305" s="2356">
        <v>29279</v>
      </c>
      <c r="B1305" s="984" t="s">
        <v>28350</v>
      </c>
      <c r="C1305" s="984" t="s">
        <v>27613</v>
      </c>
      <c r="D1305" s="981">
        <f t="shared" si="20"/>
        <v>29279</v>
      </c>
    </row>
    <row r="1306" spans="1:4">
      <c r="A1306" s="2356">
        <v>33176</v>
      </c>
      <c r="B1306" s="984" t="s">
        <v>28596</v>
      </c>
      <c r="C1306" s="984" t="s">
        <v>27852</v>
      </c>
      <c r="D1306" s="981">
        <f t="shared" si="20"/>
        <v>33176</v>
      </c>
    </row>
    <row r="1307" spans="1:4">
      <c r="A1307" s="2356">
        <v>30195</v>
      </c>
      <c r="B1307" s="984" t="s">
        <v>28582</v>
      </c>
      <c r="C1307" s="984" t="s">
        <v>27840</v>
      </c>
      <c r="D1307" s="981">
        <f t="shared" si="20"/>
        <v>30195</v>
      </c>
    </row>
    <row r="1308" spans="1:4">
      <c r="A1308" s="2356">
        <v>30073</v>
      </c>
      <c r="B1308" s="984" t="s">
        <v>28574</v>
      </c>
      <c r="C1308" s="984" t="s">
        <v>27832</v>
      </c>
      <c r="D1308" s="981">
        <f t="shared" si="20"/>
        <v>30073</v>
      </c>
    </row>
    <row r="1309" spans="1:4">
      <c r="A1309" s="2356">
        <v>29096</v>
      </c>
      <c r="B1309" s="984" t="s">
        <v>28333</v>
      </c>
      <c r="C1309" s="984" t="s">
        <v>27596</v>
      </c>
      <c r="D1309" s="981">
        <f t="shared" si="20"/>
        <v>29096</v>
      </c>
    </row>
    <row r="1310" spans="1:4">
      <c r="A1310" s="2356">
        <v>28988</v>
      </c>
      <c r="B1310" s="984" t="s">
        <v>28327</v>
      </c>
      <c r="C1310" s="984" t="s">
        <v>27590</v>
      </c>
      <c r="D1310" s="981">
        <f t="shared" si="20"/>
        <v>28988</v>
      </c>
    </row>
    <row r="1311" spans="1:4">
      <c r="A1311" s="2356">
        <v>29273</v>
      </c>
      <c r="B1311" s="984" t="s">
        <v>28348</v>
      </c>
      <c r="C1311" s="984" t="s">
        <v>27611</v>
      </c>
      <c r="D1311" s="981">
        <f t="shared" si="20"/>
        <v>29273</v>
      </c>
    </row>
    <row r="1312" spans="1:4">
      <c r="A1312" s="2356">
        <v>28801</v>
      </c>
      <c r="B1312" s="984" t="s">
        <v>28288</v>
      </c>
      <c r="C1312" s="984" t="s">
        <v>27555</v>
      </c>
      <c r="D1312" s="981">
        <f t="shared" si="20"/>
        <v>28801</v>
      </c>
    </row>
    <row r="1313" spans="1:4">
      <c r="A1313" s="2356">
        <v>29380</v>
      </c>
      <c r="B1313" s="984" t="s">
        <v>28389</v>
      </c>
      <c r="C1313" s="984" t="s">
        <v>27649</v>
      </c>
      <c r="D1313" s="981">
        <f t="shared" si="20"/>
        <v>29380</v>
      </c>
    </row>
    <row r="1314" spans="1:4">
      <c r="A1314" s="2356">
        <v>28674</v>
      </c>
      <c r="B1314" s="984" t="s">
        <v>28242</v>
      </c>
      <c r="C1314" s="984" t="s">
        <v>27510</v>
      </c>
      <c r="D1314" s="981">
        <f t="shared" si="20"/>
        <v>28674</v>
      </c>
    </row>
    <row r="1315" spans="1:4">
      <c r="A1315" s="2356">
        <v>28593</v>
      </c>
      <c r="B1315" s="984" t="s">
        <v>28221</v>
      </c>
      <c r="C1315" s="984" t="s">
        <v>27491</v>
      </c>
      <c r="D1315" s="981">
        <f t="shared" si="20"/>
        <v>28593</v>
      </c>
    </row>
    <row r="1316" spans="1:4">
      <c r="A1316" s="2356">
        <v>32885</v>
      </c>
      <c r="B1316" s="984" t="s">
        <v>31959</v>
      </c>
      <c r="C1316" s="984" t="s">
        <v>31960</v>
      </c>
      <c r="D1316" s="981">
        <f t="shared" si="20"/>
        <v>32885</v>
      </c>
    </row>
    <row r="1317" spans="1:4">
      <c r="A1317" s="2356">
        <v>29377</v>
      </c>
      <c r="B1317" s="984" t="s">
        <v>28388</v>
      </c>
      <c r="C1317" s="984" t="s">
        <v>27648</v>
      </c>
      <c r="D1317" s="981">
        <f t="shared" si="20"/>
        <v>29377</v>
      </c>
    </row>
    <row r="1318" spans="1:4">
      <c r="A1318" s="2356">
        <v>28609</v>
      </c>
      <c r="B1318" s="984" t="s">
        <v>28222</v>
      </c>
      <c r="C1318" s="984" t="s">
        <v>27492</v>
      </c>
      <c r="D1318" s="981">
        <f t="shared" si="20"/>
        <v>28609</v>
      </c>
    </row>
    <row r="1319" spans="1:4">
      <c r="A1319" s="2356">
        <v>29306</v>
      </c>
      <c r="B1319" s="984" t="s">
        <v>28359</v>
      </c>
      <c r="C1319" s="984" t="s">
        <v>29863</v>
      </c>
      <c r="D1319" s="981">
        <f t="shared" si="20"/>
        <v>29306</v>
      </c>
    </row>
    <row r="1320" spans="1:4">
      <c r="A1320" s="2356">
        <v>30174</v>
      </c>
      <c r="B1320" s="984" t="s">
        <v>28578</v>
      </c>
      <c r="C1320" s="984" t="s">
        <v>27836</v>
      </c>
      <c r="D1320" s="981">
        <f t="shared" si="20"/>
        <v>30174</v>
      </c>
    </row>
    <row r="1321" spans="1:4">
      <c r="A1321" s="2356">
        <v>28371</v>
      </c>
      <c r="B1321" s="984" t="s">
        <v>28181</v>
      </c>
      <c r="C1321" s="984" t="s">
        <v>27454</v>
      </c>
      <c r="D1321" s="981">
        <f t="shared" si="20"/>
        <v>28371</v>
      </c>
    </row>
    <row r="1322" spans="1:4">
      <c r="A1322" s="2356">
        <v>30048</v>
      </c>
      <c r="B1322" s="984" t="s">
        <v>28568</v>
      </c>
      <c r="C1322" s="984" t="s">
        <v>27826</v>
      </c>
      <c r="D1322" s="981">
        <f t="shared" si="20"/>
        <v>30048</v>
      </c>
    </row>
    <row r="1323" spans="1:4">
      <c r="A1323" s="2356">
        <v>29228</v>
      </c>
      <c r="B1323" s="984" t="s">
        <v>28340</v>
      </c>
      <c r="C1323" s="984" t="s">
        <v>27603</v>
      </c>
      <c r="D1323" s="981">
        <f t="shared" si="20"/>
        <v>29228</v>
      </c>
    </row>
    <row r="1324" spans="1:4">
      <c r="A1324" s="2356">
        <v>29557</v>
      </c>
      <c r="B1324" s="984" t="s">
        <v>28481</v>
      </c>
      <c r="C1324" s="984" t="s">
        <v>27739</v>
      </c>
      <c r="D1324" s="981">
        <f t="shared" si="20"/>
        <v>29557</v>
      </c>
    </row>
    <row r="1325" spans="1:4">
      <c r="A1325" s="2356">
        <v>28360</v>
      </c>
      <c r="B1325" s="984" t="s">
        <v>28175</v>
      </c>
      <c r="C1325" s="984" t="s">
        <v>27448</v>
      </c>
      <c r="D1325" s="981">
        <f t="shared" si="20"/>
        <v>28360</v>
      </c>
    </row>
    <row r="1326" spans="1:4">
      <c r="A1326" s="2356">
        <v>28375</v>
      </c>
      <c r="B1326" s="984" t="s">
        <v>28182</v>
      </c>
      <c r="C1326" s="984" t="s">
        <v>27455</v>
      </c>
      <c r="D1326" s="981">
        <f t="shared" si="20"/>
        <v>28375</v>
      </c>
    </row>
    <row r="1327" spans="1:4">
      <c r="A1327" s="2356">
        <v>29539</v>
      </c>
      <c r="B1327" s="984" t="s">
        <v>28472</v>
      </c>
      <c r="C1327" s="984" t="s">
        <v>27730</v>
      </c>
      <c r="D1327" s="981">
        <f t="shared" si="20"/>
        <v>29539</v>
      </c>
    </row>
    <row r="1328" spans="1:4">
      <c r="A1328" s="2356">
        <v>29474</v>
      </c>
      <c r="B1328" s="984" t="s">
        <v>28437</v>
      </c>
      <c r="C1328" s="984" t="s">
        <v>27696</v>
      </c>
      <c r="D1328" s="981">
        <f t="shared" si="20"/>
        <v>29474</v>
      </c>
    </row>
    <row r="1329" spans="1:4">
      <c r="A1329" s="2356">
        <v>29245</v>
      </c>
      <c r="B1329" s="984" t="s">
        <v>28342</v>
      </c>
      <c r="C1329" s="984" t="s">
        <v>27605</v>
      </c>
      <c r="D1329" s="981">
        <f t="shared" si="20"/>
        <v>29245</v>
      </c>
    </row>
    <row r="1330" spans="1:4">
      <c r="A1330" s="2356">
        <v>29340</v>
      </c>
      <c r="B1330" s="984" t="s">
        <v>28369</v>
      </c>
      <c r="C1330" s="984" t="s">
        <v>27631</v>
      </c>
      <c r="D1330" s="981">
        <f t="shared" si="20"/>
        <v>29340</v>
      </c>
    </row>
    <row r="1331" spans="1:4">
      <c r="A1331" s="2356">
        <v>28833</v>
      </c>
      <c r="B1331" s="984" t="s">
        <v>28300</v>
      </c>
      <c r="C1331" s="984" t="s">
        <v>27566</v>
      </c>
      <c r="D1331" s="981">
        <f t="shared" si="20"/>
        <v>28833</v>
      </c>
    </row>
    <row r="1332" spans="1:4">
      <c r="A1332" s="2356">
        <v>29519</v>
      </c>
      <c r="B1332" s="984" t="s">
        <v>28464</v>
      </c>
      <c r="C1332" s="984" t="s">
        <v>27722</v>
      </c>
      <c r="D1332" s="981">
        <f t="shared" si="20"/>
        <v>29519</v>
      </c>
    </row>
    <row r="1333" spans="1:4">
      <c r="A1333" s="2356">
        <v>29470</v>
      </c>
      <c r="B1333" s="984" t="s">
        <v>28434</v>
      </c>
      <c r="C1333" s="984" t="s">
        <v>27693</v>
      </c>
      <c r="D1333" s="981">
        <f t="shared" si="20"/>
        <v>29470</v>
      </c>
    </row>
    <row r="1334" spans="1:4">
      <c r="A1334" s="2356">
        <v>29384</v>
      </c>
      <c r="B1334" s="984" t="s">
        <v>28392</v>
      </c>
      <c r="C1334" s="984" t="s">
        <v>27652</v>
      </c>
      <c r="D1334" s="981">
        <f t="shared" si="20"/>
        <v>29384</v>
      </c>
    </row>
    <row r="1335" spans="1:4">
      <c r="A1335" s="2356">
        <v>28546</v>
      </c>
      <c r="B1335" s="984" t="s">
        <v>28210</v>
      </c>
      <c r="C1335" s="984" t="s">
        <v>27481</v>
      </c>
      <c r="D1335" s="981">
        <f t="shared" si="20"/>
        <v>28546</v>
      </c>
    </row>
    <row r="1336" spans="1:4">
      <c r="A1336" s="2356">
        <v>29852</v>
      </c>
      <c r="B1336" s="984" t="s">
        <v>31961</v>
      </c>
      <c r="C1336" s="984" t="s">
        <v>31962</v>
      </c>
      <c r="D1336" s="981">
        <f t="shared" si="20"/>
        <v>29852</v>
      </c>
    </row>
    <row r="1337" spans="1:4">
      <c r="A1337" s="2356">
        <v>29719</v>
      </c>
      <c r="B1337" s="984" t="s">
        <v>28524</v>
      </c>
      <c r="C1337" s="984" t="s">
        <v>27782</v>
      </c>
      <c r="D1337" s="981">
        <f t="shared" si="20"/>
        <v>29719</v>
      </c>
    </row>
    <row r="1338" spans="1:4">
      <c r="A1338" s="2356">
        <v>29339</v>
      </c>
      <c r="B1338" s="984" t="s">
        <v>28368</v>
      </c>
      <c r="C1338" s="984" t="s">
        <v>27630</v>
      </c>
      <c r="D1338" s="981">
        <f t="shared" si="20"/>
        <v>29339</v>
      </c>
    </row>
    <row r="1339" spans="1:4">
      <c r="A1339" s="2356">
        <v>28365</v>
      </c>
      <c r="B1339" s="984" t="s">
        <v>28178</v>
      </c>
      <c r="C1339" s="984" t="s">
        <v>27451</v>
      </c>
      <c r="D1339" s="981">
        <f t="shared" si="20"/>
        <v>28365</v>
      </c>
    </row>
    <row r="1340" spans="1:4">
      <c r="A1340" s="2356">
        <v>29346</v>
      </c>
      <c r="B1340" s="984" t="s">
        <v>28372</v>
      </c>
      <c r="C1340" s="984" t="s">
        <v>27634</v>
      </c>
      <c r="D1340" s="981">
        <f t="shared" si="20"/>
        <v>29346</v>
      </c>
    </row>
    <row r="1341" spans="1:4">
      <c r="A1341" s="2356">
        <v>28711</v>
      </c>
      <c r="B1341" s="984" t="s">
        <v>28249</v>
      </c>
      <c r="C1341" s="984" t="s">
        <v>27517</v>
      </c>
      <c r="D1341" s="981">
        <f t="shared" si="20"/>
        <v>28711</v>
      </c>
    </row>
    <row r="1342" spans="1:4">
      <c r="A1342" s="2356">
        <v>28877</v>
      </c>
      <c r="B1342" s="984" t="s">
        <v>28310</v>
      </c>
      <c r="C1342" s="984" t="s">
        <v>27574</v>
      </c>
      <c r="D1342" s="981">
        <f t="shared" si="20"/>
        <v>28877</v>
      </c>
    </row>
    <row r="1343" spans="1:4">
      <c r="A1343" s="2356">
        <v>29364</v>
      </c>
      <c r="B1343" s="984" t="s">
        <v>28380</v>
      </c>
      <c r="C1343" s="984" t="s">
        <v>27640</v>
      </c>
      <c r="D1343" s="981">
        <f t="shared" si="20"/>
        <v>29364</v>
      </c>
    </row>
    <row r="1344" spans="1:4">
      <c r="A1344" s="2356">
        <v>30052</v>
      </c>
      <c r="B1344" s="984" t="s">
        <v>28569</v>
      </c>
      <c r="C1344" s="984" t="s">
        <v>27827</v>
      </c>
      <c r="D1344" s="981">
        <f t="shared" si="20"/>
        <v>30052</v>
      </c>
    </row>
    <row r="1345" spans="1:4">
      <c r="A1345" s="2356">
        <v>29531</v>
      </c>
      <c r="B1345" s="984" t="s">
        <v>28470</v>
      </c>
      <c r="C1345" s="984" t="s">
        <v>27728</v>
      </c>
      <c r="D1345" s="981">
        <f t="shared" si="20"/>
        <v>29531</v>
      </c>
    </row>
    <row r="1346" spans="1:4">
      <c r="A1346" s="2356">
        <v>29326</v>
      </c>
      <c r="B1346" s="984" t="s">
        <v>28364</v>
      </c>
      <c r="C1346" s="984" t="s">
        <v>27626</v>
      </c>
      <c r="D1346" s="981">
        <f t="shared" si="20"/>
        <v>29326</v>
      </c>
    </row>
    <row r="1347" spans="1:4">
      <c r="A1347" s="2356">
        <v>28853</v>
      </c>
      <c r="B1347" s="984" t="s">
        <v>28304</v>
      </c>
      <c r="C1347" s="984" t="s">
        <v>27569</v>
      </c>
      <c r="D1347" s="981">
        <f t="shared" si="20"/>
        <v>28853</v>
      </c>
    </row>
    <row r="1348" spans="1:4">
      <c r="A1348" s="2356">
        <v>28187</v>
      </c>
      <c r="B1348" s="984" t="s">
        <v>28128</v>
      </c>
      <c r="C1348" s="984" t="s">
        <v>27406</v>
      </c>
      <c r="D1348" s="981">
        <f t="shared" si="20"/>
        <v>28187</v>
      </c>
    </row>
    <row r="1349" spans="1:4">
      <c r="A1349" s="2356">
        <v>28208</v>
      </c>
      <c r="B1349" s="984" t="s">
        <v>28132</v>
      </c>
      <c r="C1349" s="984" t="s">
        <v>27410</v>
      </c>
      <c r="D1349" s="981">
        <f t="shared" si="20"/>
        <v>28208</v>
      </c>
    </row>
    <row r="1350" spans="1:4">
      <c r="A1350" s="2356">
        <v>28160</v>
      </c>
      <c r="B1350" s="984" t="s">
        <v>28118</v>
      </c>
      <c r="C1350" s="984" t="s">
        <v>27396</v>
      </c>
      <c r="D1350" s="981">
        <f t="shared" si="20"/>
        <v>28160</v>
      </c>
    </row>
    <row r="1351" spans="1:4">
      <c r="A1351" s="2356">
        <v>26530</v>
      </c>
      <c r="B1351" s="984" t="s">
        <v>25994</v>
      </c>
      <c r="C1351" s="984" t="s">
        <v>25993</v>
      </c>
      <c r="D1351" s="981">
        <f t="shared" si="20"/>
        <v>26530</v>
      </c>
    </row>
    <row r="1352" spans="1:4">
      <c r="A1352" s="2356">
        <v>24369</v>
      </c>
      <c r="B1352" s="984" t="s">
        <v>23111</v>
      </c>
      <c r="C1352" s="984" t="s">
        <v>24040</v>
      </c>
      <c r="D1352" s="981">
        <f t="shared" si="20"/>
        <v>24369</v>
      </c>
    </row>
    <row r="1353" spans="1:4">
      <c r="A1353" s="2356">
        <v>28127</v>
      </c>
      <c r="B1353" s="984" t="s">
        <v>28104</v>
      </c>
      <c r="C1353" s="984" t="s">
        <v>27384</v>
      </c>
      <c r="D1353" s="981">
        <f t="shared" ref="D1353:D1416" si="21">+A1353</f>
        <v>28127</v>
      </c>
    </row>
    <row r="1354" spans="1:4">
      <c r="A1354" s="2356">
        <v>28141</v>
      </c>
      <c r="B1354" s="984" t="s">
        <v>28111</v>
      </c>
      <c r="C1354" s="984" t="s">
        <v>27390</v>
      </c>
      <c r="D1354" s="981">
        <f t="shared" si="21"/>
        <v>28141</v>
      </c>
    </row>
    <row r="1355" spans="1:4">
      <c r="A1355" s="2356">
        <v>27082</v>
      </c>
      <c r="B1355" s="984" t="s">
        <v>26037</v>
      </c>
      <c r="C1355" s="984" t="s">
        <v>26036</v>
      </c>
      <c r="D1355" s="981">
        <f t="shared" si="21"/>
        <v>27082</v>
      </c>
    </row>
    <row r="1356" spans="1:4">
      <c r="A1356" s="2356">
        <v>24605</v>
      </c>
      <c r="B1356" s="984" t="s">
        <v>25075</v>
      </c>
      <c r="C1356" s="984" t="s">
        <v>31032</v>
      </c>
      <c r="D1356" s="981">
        <f t="shared" si="21"/>
        <v>24605</v>
      </c>
    </row>
    <row r="1357" spans="1:4">
      <c r="A1357" s="2356">
        <v>24086</v>
      </c>
      <c r="B1357" s="984" t="s">
        <v>23611</v>
      </c>
      <c r="C1357" s="984" t="s">
        <v>24528</v>
      </c>
      <c r="D1357" s="981">
        <f t="shared" si="21"/>
        <v>24086</v>
      </c>
    </row>
    <row r="1358" spans="1:4">
      <c r="A1358" s="2356">
        <v>24316</v>
      </c>
      <c r="B1358" s="984" t="s">
        <v>23156</v>
      </c>
      <c r="C1358" s="984" t="s">
        <v>24084</v>
      </c>
      <c r="D1358" s="981">
        <f t="shared" si="21"/>
        <v>24316</v>
      </c>
    </row>
    <row r="1359" spans="1:4">
      <c r="A1359" s="2356">
        <v>27644</v>
      </c>
      <c r="B1359" s="984" t="s">
        <v>27914</v>
      </c>
      <c r="C1359" s="984" t="s">
        <v>27205</v>
      </c>
      <c r="D1359" s="981">
        <f t="shared" si="21"/>
        <v>27644</v>
      </c>
    </row>
    <row r="1360" spans="1:4">
      <c r="A1360" s="2356">
        <v>25814</v>
      </c>
      <c r="B1360" s="984" t="s">
        <v>25823</v>
      </c>
      <c r="C1360" s="984" t="s">
        <v>25822</v>
      </c>
      <c r="D1360" s="981">
        <f t="shared" si="21"/>
        <v>25814</v>
      </c>
    </row>
    <row r="1361" spans="1:4">
      <c r="A1361" s="2356">
        <v>25232</v>
      </c>
      <c r="B1361" s="984" t="s">
        <v>25750</v>
      </c>
      <c r="C1361" s="984" t="s">
        <v>25749</v>
      </c>
      <c r="D1361" s="981">
        <f t="shared" si="21"/>
        <v>25232</v>
      </c>
    </row>
    <row r="1362" spans="1:4">
      <c r="A1362" s="2356">
        <v>27993</v>
      </c>
      <c r="B1362" s="984" t="s">
        <v>28016</v>
      </c>
      <c r="C1362" s="984" t="s">
        <v>31963</v>
      </c>
      <c r="D1362" s="981">
        <f t="shared" si="21"/>
        <v>27993</v>
      </c>
    </row>
    <row r="1363" spans="1:4">
      <c r="A1363" s="2356">
        <v>26624</v>
      </c>
      <c r="B1363" s="984" t="s">
        <v>26010</v>
      </c>
      <c r="C1363" s="984" t="s">
        <v>26009</v>
      </c>
      <c r="D1363" s="981">
        <f t="shared" si="21"/>
        <v>26624</v>
      </c>
    </row>
    <row r="1364" spans="1:4">
      <c r="A1364" s="2356">
        <v>24587</v>
      </c>
      <c r="B1364" s="984" t="s">
        <v>25051</v>
      </c>
      <c r="C1364" s="984" t="s">
        <v>25052</v>
      </c>
      <c r="D1364" s="981">
        <f t="shared" si="21"/>
        <v>24587</v>
      </c>
    </row>
    <row r="1365" spans="1:4">
      <c r="A1365" s="2356">
        <v>24122</v>
      </c>
      <c r="B1365" s="984" t="s">
        <v>23578</v>
      </c>
      <c r="C1365" s="984" t="s">
        <v>24495</v>
      </c>
      <c r="D1365" s="981">
        <f t="shared" si="21"/>
        <v>24122</v>
      </c>
    </row>
    <row r="1366" spans="1:4">
      <c r="A1366" s="2356">
        <v>25984</v>
      </c>
      <c r="B1366" s="984" t="s">
        <v>25925</v>
      </c>
      <c r="C1366" s="984" t="s">
        <v>25924</v>
      </c>
      <c r="D1366" s="981">
        <f t="shared" si="21"/>
        <v>25984</v>
      </c>
    </row>
    <row r="1367" spans="1:4">
      <c r="A1367" s="2356">
        <v>28283</v>
      </c>
      <c r="B1367" s="984" t="s">
        <v>28143</v>
      </c>
      <c r="C1367" s="984" t="s">
        <v>29813</v>
      </c>
      <c r="D1367" s="981">
        <f t="shared" si="21"/>
        <v>28283</v>
      </c>
    </row>
    <row r="1368" spans="1:4">
      <c r="A1368" s="2356">
        <v>25820</v>
      </c>
      <c r="B1368" s="984" t="s">
        <v>25829</v>
      </c>
      <c r="C1368" s="984" t="s">
        <v>25828</v>
      </c>
      <c r="D1368" s="981">
        <f t="shared" si="21"/>
        <v>25820</v>
      </c>
    </row>
    <row r="1369" spans="1:4">
      <c r="A1369" s="2356">
        <v>24692</v>
      </c>
      <c r="B1369" s="984" t="s">
        <v>25103</v>
      </c>
      <c r="C1369" s="984" t="s">
        <v>25104</v>
      </c>
      <c r="D1369" s="981">
        <f t="shared" si="21"/>
        <v>24692</v>
      </c>
    </row>
    <row r="1370" spans="1:4">
      <c r="A1370" s="2356">
        <v>28273</v>
      </c>
      <c r="B1370" s="984" t="s">
        <v>28142</v>
      </c>
      <c r="C1370" s="984" t="s">
        <v>27420</v>
      </c>
      <c r="D1370" s="981">
        <f t="shared" si="21"/>
        <v>28273</v>
      </c>
    </row>
    <row r="1371" spans="1:4">
      <c r="A1371" s="2356">
        <v>28128</v>
      </c>
      <c r="B1371" s="984" t="s">
        <v>28105</v>
      </c>
      <c r="C1371" s="984" t="s">
        <v>27385</v>
      </c>
      <c r="D1371" s="981">
        <f t="shared" si="21"/>
        <v>28128</v>
      </c>
    </row>
    <row r="1372" spans="1:4">
      <c r="A1372" s="2356">
        <v>28223</v>
      </c>
      <c r="B1372" s="984" t="s">
        <v>28137</v>
      </c>
      <c r="C1372" s="984" t="s">
        <v>27415</v>
      </c>
      <c r="D1372" s="981">
        <f t="shared" si="21"/>
        <v>28223</v>
      </c>
    </row>
    <row r="1373" spans="1:4">
      <c r="A1373" s="2356">
        <v>24599</v>
      </c>
      <c r="B1373" s="984" t="s">
        <v>25067</v>
      </c>
      <c r="C1373" s="984" t="s">
        <v>25068</v>
      </c>
      <c r="D1373" s="981">
        <f t="shared" si="21"/>
        <v>24599</v>
      </c>
    </row>
    <row r="1374" spans="1:4">
      <c r="A1374" s="2356">
        <v>24533</v>
      </c>
      <c r="B1374" s="984" t="s">
        <v>23803</v>
      </c>
      <c r="C1374" s="984" t="s">
        <v>27190</v>
      </c>
      <c r="D1374" s="981">
        <f t="shared" si="21"/>
        <v>24533</v>
      </c>
    </row>
    <row r="1375" spans="1:4">
      <c r="A1375" s="2356">
        <v>28115</v>
      </c>
      <c r="B1375" s="984" t="s">
        <v>28097</v>
      </c>
      <c r="C1375" s="984" t="s">
        <v>27377</v>
      </c>
      <c r="D1375" s="981">
        <f t="shared" si="21"/>
        <v>28115</v>
      </c>
    </row>
    <row r="1376" spans="1:4">
      <c r="A1376" s="2356">
        <v>28108</v>
      </c>
      <c r="B1376" s="984" t="s">
        <v>28094</v>
      </c>
      <c r="C1376" s="984" t="s">
        <v>27374</v>
      </c>
      <c r="D1376" s="981">
        <f t="shared" si="21"/>
        <v>28108</v>
      </c>
    </row>
    <row r="1377" spans="1:4">
      <c r="A1377" s="2356">
        <v>28021</v>
      </c>
      <c r="B1377" s="984" t="s">
        <v>28035</v>
      </c>
      <c r="C1377" s="984" t="s">
        <v>27318</v>
      </c>
      <c r="D1377" s="981">
        <f t="shared" si="21"/>
        <v>28021</v>
      </c>
    </row>
    <row r="1378" spans="1:4">
      <c r="A1378" s="2356">
        <v>27808</v>
      </c>
      <c r="B1378" s="984" t="s">
        <v>27928</v>
      </c>
      <c r="C1378" s="984" t="s">
        <v>27219</v>
      </c>
      <c r="D1378" s="981">
        <f t="shared" si="21"/>
        <v>27808</v>
      </c>
    </row>
    <row r="1379" spans="1:4">
      <c r="A1379" s="2356">
        <v>25017</v>
      </c>
      <c r="B1379" s="984" t="s">
        <v>25744</v>
      </c>
      <c r="C1379" s="984" t="s">
        <v>27193</v>
      </c>
      <c r="D1379" s="981">
        <f t="shared" si="21"/>
        <v>25017</v>
      </c>
    </row>
    <row r="1380" spans="1:4">
      <c r="A1380" s="2356">
        <v>25944</v>
      </c>
      <c r="B1380" s="984" t="s">
        <v>25899</v>
      </c>
      <c r="C1380" s="984" t="s">
        <v>25898</v>
      </c>
      <c r="D1380" s="981">
        <f t="shared" si="21"/>
        <v>25944</v>
      </c>
    </row>
    <row r="1381" spans="1:4">
      <c r="A1381" s="2356">
        <v>25830</v>
      </c>
      <c r="B1381" s="984" t="s">
        <v>25837</v>
      </c>
      <c r="C1381" s="984" t="s">
        <v>25836</v>
      </c>
      <c r="D1381" s="981">
        <f t="shared" si="21"/>
        <v>25830</v>
      </c>
    </row>
    <row r="1382" spans="1:4">
      <c r="A1382" s="2356">
        <v>25805</v>
      </c>
      <c r="B1382" s="984" t="s">
        <v>25817</v>
      </c>
      <c r="C1382" s="984" t="s">
        <v>25816</v>
      </c>
      <c r="D1382" s="981">
        <f t="shared" si="21"/>
        <v>25805</v>
      </c>
    </row>
    <row r="1383" spans="1:4">
      <c r="A1383" s="2356">
        <v>28005</v>
      </c>
      <c r="B1383" s="984" t="s">
        <v>28023</v>
      </c>
      <c r="C1383" s="984" t="s">
        <v>27307</v>
      </c>
      <c r="D1383" s="981">
        <f t="shared" si="21"/>
        <v>28005</v>
      </c>
    </row>
    <row r="1384" spans="1:4">
      <c r="A1384" s="2356">
        <v>24611</v>
      </c>
      <c r="B1384" s="984" t="s">
        <v>25082</v>
      </c>
      <c r="C1384" s="984" t="s">
        <v>25083</v>
      </c>
      <c r="D1384" s="981">
        <f t="shared" si="21"/>
        <v>24611</v>
      </c>
    </row>
    <row r="1385" spans="1:4">
      <c r="A1385" s="2356">
        <v>27885</v>
      </c>
      <c r="B1385" s="984" t="s">
        <v>27964</v>
      </c>
      <c r="C1385" s="984" t="s">
        <v>27254</v>
      </c>
      <c r="D1385" s="981">
        <f t="shared" si="21"/>
        <v>27885</v>
      </c>
    </row>
    <row r="1386" spans="1:4">
      <c r="A1386" s="2356">
        <v>25970</v>
      </c>
      <c r="B1386" s="984" t="s">
        <v>25917</v>
      </c>
      <c r="C1386" s="984" t="s">
        <v>25092</v>
      </c>
      <c r="D1386" s="981">
        <f t="shared" si="21"/>
        <v>25970</v>
      </c>
    </row>
    <row r="1387" spans="1:4">
      <c r="A1387" s="2356">
        <v>24561</v>
      </c>
      <c r="B1387" s="984" t="s">
        <v>25027</v>
      </c>
      <c r="C1387" s="984" t="s">
        <v>25028</v>
      </c>
      <c r="D1387" s="981">
        <f t="shared" si="21"/>
        <v>24561</v>
      </c>
    </row>
    <row r="1388" spans="1:4">
      <c r="A1388" s="2356">
        <v>25053</v>
      </c>
      <c r="B1388" s="984" t="s">
        <v>25746</v>
      </c>
      <c r="C1388" s="984" t="s">
        <v>25745</v>
      </c>
      <c r="D1388" s="981">
        <f t="shared" si="21"/>
        <v>25053</v>
      </c>
    </row>
    <row r="1389" spans="1:4">
      <c r="A1389" s="2356">
        <v>24590</v>
      </c>
      <c r="B1389" s="984" t="s">
        <v>25055</v>
      </c>
      <c r="C1389" s="984" t="s">
        <v>25056</v>
      </c>
      <c r="D1389" s="981">
        <f t="shared" si="21"/>
        <v>24590</v>
      </c>
    </row>
    <row r="1390" spans="1:4">
      <c r="A1390" s="2356">
        <v>28024</v>
      </c>
      <c r="B1390" s="984" t="s">
        <v>28037</v>
      </c>
      <c r="C1390" s="984" t="s">
        <v>27320</v>
      </c>
      <c r="D1390" s="981">
        <f t="shared" si="21"/>
        <v>28024</v>
      </c>
    </row>
    <row r="1391" spans="1:4">
      <c r="A1391" s="2356">
        <v>27989</v>
      </c>
      <c r="B1391" s="984" t="s">
        <v>28013</v>
      </c>
      <c r="C1391" s="984" t="s">
        <v>27299</v>
      </c>
      <c r="D1391" s="981">
        <f t="shared" si="21"/>
        <v>27989</v>
      </c>
    </row>
    <row r="1392" spans="1:4">
      <c r="A1392" s="2356">
        <v>27798</v>
      </c>
      <c r="B1392" s="984" t="s">
        <v>27923</v>
      </c>
      <c r="C1392" s="984" t="s">
        <v>27214</v>
      </c>
      <c r="D1392" s="981">
        <f t="shared" si="21"/>
        <v>27798</v>
      </c>
    </row>
    <row r="1393" spans="1:4">
      <c r="A1393" s="2356">
        <v>28105</v>
      </c>
      <c r="B1393" s="984" t="s">
        <v>28091</v>
      </c>
      <c r="C1393" s="984" t="s">
        <v>27371</v>
      </c>
      <c r="D1393" s="981">
        <f t="shared" si="21"/>
        <v>28105</v>
      </c>
    </row>
    <row r="1394" spans="1:4">
      <c r="A1394" s="2356">
        <v>28094</v>
      </c>
      <c r="B1394" s="984" t="s">
        <v>28087</v>
      </c>
      <c r="C1394" s="984" t="s">
        <v>27367</v>
      </c>
      <c r="D1394" s="981">
        <f t="shared" si="21"/>
        <v>28094</v>
      </c>
    </row>
    <row r="1395" spans="1:4">
      <c r="A1395" s="2356">
        <v>28091</v>
      </c>
      <c r="B1395" s="984" t="s">
        <v>28085</v>
      </c>
      <c r="C1395" s="984" t="s">
        <v>27365</v>
      </c>
      <c r="D1395" s="981">
        <f t="shared" si="21"/>
        <v>28091</v>
      </c>
    </row>
    <row r="1396" spans="1:4">
      <c r="A1396" s="2356">
        <v>28081</v>
      </c>
      <c r="B1396" s="984" t="s">
        <v>28077</v>
      </c>
      <c r="C1396" s="984" t="s">
        <v>27357</v>
      </c>
      <c r="D1396" s="981">
        <f t="shared" si="21"/>
        <v>28081</v>
      </c>
    </row>
    <row r="1397" spans="1:4">
      <c r="A1397" s="2356">
        <v>28068</v>
      </c>
      <c r="B1397" s="984" t="s">
        <v>28069</v>
      </c>
      <c r="C1397" s="984" t="s">
        <v>27350</v>
      </c>
      <c r="D1397" s="981">
        <f t="shared" si="21"/>
        <v>28068</v>
      </c>
    </row>
    <row r="1398" spans="1:4">
      <c r="A1398" s="2356">
        <v>27748</v>
      </c>
      <c r="B1398" s="984" t="s">
        <v>27915</v>
      </c>
      <c r="C1398" s="984" t="s">
        <v>27206</v>
      </c>
      <c r="D1398" s="981">
        <f t="shared" si="21"/>
        <v>27748</v>
      </c>
    </row>
    <row r="1399" spans="1:4">
      <c r="A1399" s="2356">
        <v>27116</v>
      </c>
      <c r="B1399" s="984" t="s">
        <v>26039</v>
      </c>
      <c r="C1399" s="984" t="s">
        <v>26038</v>
      </c>
      <c r="D1399" s="981">
        <f t="shared" si="21"/>
        <v>27116</v>
      </c>
    </row>
    <row r="1400" spans="1:4">
      <c r="A1400" s="2356">
        <v>29955</v>
      </c>
      <c r="B1400" s="984" t="s">
        <v>28549</v>
      </c>
      <c r="C1400" s="984" t="s">
        <v>27807</v>
      </c>
      <c r="D1400" s="981">
        <f t="shared" si="21"/>
        <v>29955</v>
      </c>
    </row>
    <row r="1401" spans="1:4">
      <c r="A1401" s="2356">
        <v>27920</v>
      </c>
      <c r="B1401" s="984" t="s">
        <v>27979</v>
      </c>
      <c r="C1401" s="984" t="s">
        <v>27267</v>
      </c>
      <c r="D1401" s="981">
        <f t="shared" si="21"/>
        <v>27920</v>
      </c>
    </row>
    <row r="1402" spans="1:4">
      <c r="A1402" s="2356">
        <v>25343</v>
      </c>
      <c r="B1402" s="984" t="s">
        <v>25776</v>
      </c>
      <c r="C1402" s="984" t="s">
        <v>25775</v>
      </c>
      <c r="D1402" s="981">
        <f t="shared" si="21"/>
        <v>25343</v>
      </c>
    </row>
    <row r="1403" spans="1:4">
      <c r="A1403" s="2356">
        <v>24675</v>
      </c>
      <c r="B1403" s="984" t="s">
        <v>25101</v>
      </c>
      <c r="C1403" s="984" t="s">
        <v>25102</v>
      </c>
      <c r="D1403" s="981">
        <f t="shared" si="21"/>
        <v>24675</v>
      </c>
    </row>
    <row r="1404" spans="1:4">
      <c r="A1404" s="2356">
        <v>26209</v>
      </c>
      <c r="B1404" s="984" t="s">
        <v>25976</v>
      </c>
      <c r="C1404" s="984" t="s">
        <v>25975</v>
      </c>
      <c r="D1404" s="981">
        <f t="shared" si="21"/>
        <v>26209</v>
      </c>
    </row>
    <row r="1405" spans="1:4">
      <c r="A1405" s="2356">
        <v>26025</v>
      </c>
      <c r="B1405" s="984" t="s">
        <v>25950</v>
      </c>
      <c r="C1405" s="984" t="s">
        <v>25949</v>
      </c>
      <c r="D1405" s="981">
        <f t="shared" si="21"/>
        <v>26025</v>
      </c>
    </row>
    <row r="1406" spans="1:4">
      <c r="A1406" s="2356">
        <v>26576</v>
      </c>
      <c r="B1406" s="984" t="s">
        <v>26002</v>
      </c>
      <c r="C1406" s="984" t="s">
        <v>26001</v>
      </c>
      <c r="D1406" s="981">
        <f t="shared" si="21"/>
        <v>26576</v>
      </c>
    </row>
    <row r="1407" spans="1:4">
      <c r="A1407" s="2356">
        <v>24608</v>
      </c>
      <c r="B1407" s="984" t="s">
        <v>25076</v>
      </c>
      <c r="C1407" s="984" t="s">
        <v>25077</v>
      </c>
      <c r="D1407" s="981">
        <f t="shared" si="21"/>
        <v>24608</v>
      </c>
    </row>
    <row r="1408" spans="1:4">
      <c r="A1408" s="2356">
        <v>24170</v>
      </c>
      <c r="B1408" s="984" t="s">
        <v>23071</v>
      </c>
      <c r="C1408" s="984" t="s">
        <v>24001</v>
      </c>
      <c r="D1408" s="981">
        <f t="shared" si="21"/>
        <v>24170</v>
      </c>
    </row>
    <row r="1409" spans="1:4">
      <c r="A1409" s="2356">
        <v>25959</v>
      </c>
      <c r="B1409" s="984" t="s">
        <v>25908</v>
      </c>
      <c r="C1409" s="984" t="s">
        <v>29831</v>
      </c>
      <c r="D1409" s="981">
        <f t="shared" si="21"/>
        <v>25959</v>
      </c>
    </row>
    <row r="1410" spans="1:4">
      <c r="A1410" s="2356">
        <v>25898</v>
      </c>
      <c r="B1410" s="984" t="s">
        <v>27907</v>
      </c>
      <c r="C1410" s="984" t="s">
        <v>27197</v>
      </c>
      <c r="D1410" s="981">
        <f t="shared" si="21"/>
        <v>25898</v>
      </c>
    </row>
    <row r="1411" spans="1:4">
      <c r="A1411" s="2356">
        <v>26117</v>
      </c>
      <c r="B1411" s="984" t="s">
        <v>25966</v>
      </c>
      <c r="C1411" s="984" t="s">
        <v>25965</v>
      </c>
      <c r="D1411" s="981">
        <f t="shared" si="21"/>
        <v>26117</v>
      </c>
    </row>
    <row r="1412" spans="1:4">
      <c r="A1412" s="2356">
        <v>24579</v>
      </c>
      <c r="B1412" s="984" t="s">
        <v>25041</v>
      </c>
      <c r="C1412" s="984" t="s">
        <v>25042</v>
      </c>
      <c r="D1412" s="981">
        <f t="shared" si="21"/>
        <v>24579</v>
      </c>
    </row>
    <row r="1413" spans="1:4">
      <c r="A1413" s="2356">
        <v>23940</v>
      </c>
      <c r="B1413" s="984" t="s">
        <v>23705</v>
      </c>
      <c r="C1413" s="984" t="s">
        <v>31964</v>
      </c>
      <c r="D1413" s="981">
        <f t="shared" si="21"/>
        <v>23940</v>
      </c>
    </row>
    <row r="1414" spans="1:4">
      <c r="A1414" s="2356">
        <v>23965</v>
      </c>
      <c r="B1414" s="984" t="s">
        <v>23278</v>
      </c>
      <c r="C1414" s="984" t="s">
        <v>24201</v>
      </c>
      <c r="D1414" s="981">
        <f t="shared" si="21"/>
        <v>23965</v>
      </c>
    </row>
    <row r="1415" spans="1:4">
      <c r="A1415" s="2356">
        <v>23814</v>
      </c>
      <c r="B1415" s="984" t="s">
        <v>23033</v>
      </c>
      <c r="C1415" s="984" t="s">
        <v>23963</v>
      </c>
      <c r="D1415" s="981">
        <f t="shared" si="21"/>
        <v>23814</v>
      </c>
    </row>
    <row r="1416" spans="1:4">
      <c r="A1416" s="2356">
        <v>23943</v>
      </c>
      <c r="B1416" s="984" t="s">
        <v>27899</v>
      </c>
      <c r="C1416" s="984" t="s">
        <v>27186</v>
      </c>
      <c r="D1416" s="981">
        <f t="shared" si="21"/>
        <v>23943</v>
      </c>
    </row>
    <row r="1417" spans="1:4">
      <c r="A1417" s="2356">
        <v>24062</v>
      </c>
      <c r="B1417" s="984" t="s">
        <v>23289</v>
      </c>
      <c r="C1417" s="984" t="s">
        <v>24212</v>
      </c>
      <c r="D1417" s="981">
        <f t="shared" ref="D1417:D1480" si="22">+A1417</f>
        <v>24062</v>
      </c>
    </row>
    <row r="1418" spans="1:4">
      <c r="A1418" s="2356">
        <v>23042</v>
      </c>
      <c r="B1418" s="984" t="s">
        <v>23403</v>
      </c>
      <c r="C1418" s="984" t="s">
        <v>24324</v>
      </c>
      <c r="D1418" s="981">
        <f t="shared" si="22"/>
        <v>23042</v>
      </c>
    </row>
    <row r="1419" spans="1:4">
      <c r="A1419" s="2356">
        <v>23032</v>
      </c>
      <c r="B1419" s="984" t="s">
        <v>23221</v>
      </c>
      <c r="C1419" s="984" t="s">
        <v>24146</v>
      </c>
      <c r="D1419" s="981">
        <f t="shared" si="22"/>
        <v>23032</v>
      </c>
    </row>
    <row r="1420" spans="1:4">
      <c r="A1420" s="2356">
        <v>23894</v>
      </c>
      <c r="B1420" s="984" t="s">
        <v>23287</v>
      </c>
      <c r="C1420" s="984" t="s">
        <v>24210</v>
      </c>
      <c r="D1420" s="981">
        <f t="shared" si="22"/>
        <v>23894</v>
      </c>
    </row>
    <row r="1421" spans="1:4">
      <c r="A1421" s="2356">
        <v>23007</v>
      </c>
      <c r="B1421" s="984" t="s">
        <v>23792</v>
      </c>
      <c r="C1421" s="984" t="s">
        <v>24664</v>
      </c>
      <c r="D1421" s="981">
        <f t="shared" si="22"/>
        <v>23007</v>
      </c>
    </row>
    <row r="1422" spans="1:4">
      <c r="A1422" s="2356">
        <v>23818</v>
      </c>
      <c r="B1422" s="984" t="s">
        <v>23740</v>
      </c>
      <c r="C1422" s="984" t="s">
        <v>24629</v>
      </c>
      <c r="D1422" s="981">
        <f t="shared" si="22"/>
        <v>23818</v>
      </c>
    </row>
    <row r="1423" spans="1:4">
      <c r="A1423" s="2356">
        <v>23911</v>
      </c>
      <c r="B1423" s="984" t="s">
        <v>23337</v>
      </c>
      <c r="C1423" s="984" t="s">
        <v>24261</v>
      </c>
      <c r="D1423" s="981">
        <f t="shared" si="22"/>
        <v>23911</v>
      </c>
    </row>
    <row r="1424" spans="1:4">
      <c r="A1424" s="2356">
        <v>23835</v>
      </c>
      <c r="B1424" s="984" t="s">
        <v>23128</v>
      </c>
      <c r="C1424" s="984" t="s">
        <v>24056</v>
      </c>
      <c r="D1424" s="981">
        <f t="shared" si="22"/>
        <v>23835</v>
      </c>
    </row>
    <row r="1425" spans="1:4">
      <c r="A1425" s="2356">
        <v>23354</v>
      </c>
      <c r="B1425" s="984" t="s">
        <v>23590</v>
      </c>
      <c r="C1425" s="984" t="s">
        <v>24508</v>
      </c>
      <c r="D1425" s="981">
        <f t="shared" si="22"/>
        <v>23354</v>
      </c>
    </row>
    <row r="1426" spans="1:4">
      <c r="A1426" s="2356">
        <v>23849</v>
      </c>
      <c r="B1426" s="984" t="s">
        <v>23141</v>
      </c>
      <c r="C1426" s="984" t="s">
        <v>24069</v>
      </c>
      <c r="D1426" s="981">
        <f t="shared" si="22"/>
        <v>23849</v>
      </c>
    </row>
    <row r="1427" spans="1:4">
      <c r="A1427" s="2356">
        <v>23082</v>
      </c>
      <c r="B1427" s="984" t="s">
        <v>23646</v>
      </c>
      <c r="C1427" s="984" t="s">
        <v>24561</v>
      </c>
      <c r="D1427" s="981">
        <f t="shared" si="22"/>
        <v>23082</v>
      </c>
    </row>
    <row r="1428" spans="1:4">
      <c r="A1428" s="2356">
        <v>23868</v>
      </c>
      <c r="B1428" s="984" t="s">
        <v>27897</v>
      </c>
      <c r="C1428" s="984" t="s">
        <v>27183</v>
      </c>
      <c r="D1428" s="981">
        <f t="shared" si="22"/>
        <v>23868</v>
      </c>
    </row>
    <row r="1429" spans="1:4">
      <c r="A1429" s="2356">
        <v>23991</v>
      </c>
      <c r="B1429" s="984" t="s">
        <v>29954</v>
      </c>
      <c r="C1429" s="984" t="s">
        <v>29885</v>
      </c>
      <c r="D1429" s="981">
        <f t="shared" si="22"/>
        <v>23991</v>
      </c>
    </row>
    <row r="1430" spans="1:4">
      <c r="A1430" s="2356">
        <v>23800</v>
      </c>
      <c r="B1430" s="984" t="s">
        <v>23054</v>
      </c>
      <c r="C1430" s="984" t="s">
        <v>23984</v>
      </c>
      <c r="D1430" s="981">
        <f t="shared" si="22"/>
        <v>23800</v>
      </c>
    </row>
    <row r="1431" spans="1:4">
      <c r="A1431" s="2356">
        <v>23918</v>
      </c>
      <c r="B1431" s="984" t="s">
        <v>23324</v>
      </c>
      <c r="C1431" s="984" t="s">
        <v>24248</v>
      </c>
      <c r="D1431" s="981">
        <f t="shared" si="22"/>
        <v>23918</v>
      </c>
    </row>
    <row r="1432" spans="1:4">
      <c r="A1432" s="2356">
        <v>21108</v>
      </c>
      <c r="B1432" s="984" t="s">
        <v>23514</v>
      </c>
      <c r="C1432" s="984" t="s">
        <v>24431</v>
      </c>
      <c r="D1432" s="981">
        <f t="shared" si="22"/>
        <v>21108</v>
      </c>
    </row>
    <row r="1433" spans="1:4">
      <c r="A1433" s="2356">
        <v>20736</v>
      </c>
      <c r="B1433" s="984" t="s">
        <v>27881</v>
      </c>
      <c r="C1433" s="984" t="s">
        <v>27162</v>
      </c>
      <c r="D1433" s="981">
        <f t="shared" si="22"/>
        <v>20736</v>
      </c>
    </row>
    <row r="1434" spans="1:4">
      <c r="A1434" s="2356">
        <v>20605</v>
      </c>
      <c r="B1434" s="984" t="s">
        <v>23489</v>
      </c>
      <c r="C1434" s="984" t="s">
        <v>24407</v>
      </c>
      <c r="D1434" s="981">
        <f t="shared" si="22"/>
        <v>20605</v>
      </c>
    </row>
    <row r="1435" spans="1:4">
      <c r="A1435" s="2356">
        <v>22957</v>
      </c>
      <c r="B1435" s="984" t="s">
        <v>23392</v>
      </c>
      <c r="C1435" s="984" t="s">
        <v>24316</v>
      </c>
      <c r="D1435" s="981">
        <f t="shared" si="22"/>
        <v>22957</v>
      </c>
    </row>
    <row r="1436" spans="1:4">
      <c r="A1436" s="2356">
        <v>21682</v>
      </c>
      <c r="B1436" s="984" t="s">
        <v>27886</v>
      </c>
      <c r="C1436" s="984" t="s">
        <v>27169</v>
      </c>
      <c r="D1436" s="981">
        <f t="shared" si="22"/>
        <v>21682</v>
      </c>
    </row>
    <row r="1437" spans="1:4">
      <c r="A1437" s="2356">
        <v>21485</v>
      </c>
      <c r="B1437" s="984" t="s">
        <v>23571</v>
      </c>
      <c r="C1437" s="984" t="s">
        <v>24488</v>
      </c>
      <c r="D1437" s="981">
        <f t="shared" si="22"/>
        <v>21485</v>
      </c>
    </row>
    <row r="1438" spans="1:4">
      <c r="A1438" s="2356">
        <v>21373</v>
      </c>
      <c r="B1438" s="984" t="s">
        <v>23535</v>
      </c>
      <c r="C1438" s="984" t="s">
        <v>24453</v>
      </c>
      <c r="D1438" s="981">
        <f t="shared" si="22"/>
        <v>21373</v>
      </c>
    </row>
    <row r="1439" spans="1:4">
      <c r="A1439" s="2356">
        <v>20702</v>
      </c>
      <c r="B1439" s="984" t="s">
        <v>27880</v>
      </c>
      <c r="C1439" s="984" t="s">
        <v>27161</v>
      </c>
      <c r="D1439" s="981">
        <f t="shared" si="22"/>
        <v>20702</v>
      </c>
    </row>
    <row r="1440" spans="1:4">
      <c r="A1440" s="2356">
        <v>20231</v>
      </c>
      <c r="B1440" s="984" t="s">
        <v>23086</v>
      </c>
      <c r="C1440" s="984" t="s">
        <v>24015</v>
      </c>
      <c r="D1440" s="981">
        <f t="shared" si="22"/>
        <v>20231</v>
      </c>
    </row>
    <row r="1441" spans="1:4">
      <c r="A1441" s="2356">
        <v>22822</v>
      </c>
      <c r="B1441" s="984" t="s">
        <v>23423</v>
      </c>
      <c r="C1441" s="984" t="s">
        <v>24343</v>
      </c>
      <c r="D1441" s="981">
        <f t="shared" si="22"/>
        <v>22822</v>
      </c>
    </row>
    <row r="1442" spans="1:4">
      <c r="A1442" s="2356">
        <v>21598</v>
      </c>
      <c r="B1442" s="984" t="s">
        <v>23556</v>
      </c>
      <c r="C1442" s="984" t="s">
        <v>24473</v>
      </c>
      <c r="D1442" s="981">
        <f t="shared" si="22"/>
        <v>21598</v>
      </c>
    </row>
    <row r="1443" spans="1:4">
      <c r="A1443" s="2356">
        <v>22722</v>
      </c>
      <c r="B1443" s="984" t="s">
        <v>31015</v>
      </c>
      <c r="C1443" s="984" t="s">
        <v>31074</v>
      </c>
      <c r="D1443" s="981">
        <f t="shared" si="22"/>
        <v>22722</v>
      </c>
    </row>
    <row r="1444" spans="1:4">
      <c r="A1444" s="2356">
        <v>22698</v>
      </c>
      <c r="B1444" s="984" t="s">
        <v>23664</v>
      </c>
      <c r="C1444" s="984" t="s">
        <v>24578</v>
      </c>
      <c r="D1444" s="981">
        <f t="shared" si="22"/>
        <v>22698</v>
      </c>
    </row>
    <row r="1445" spans="1:4">
      <c r="A1445" s="2356">
        <v>21576</v>
      </c>
      <c r="B1445" s="984" t="s">
        <v>23100</v>
      </c>
      <c r="C1445" s="984" t="s">
        <v>24029</v>
      </c>
      <c r="D1445" s="981">
        <f t="shared" si="22"/>
        <v>21576</v>
      </c>
    </row>
    <row r="1446" spans="1:4">
      <c r="A1446" s="2356">
        <v>22093</v>
      </c>
      <c r="B1446" s="984" t="s">
        <v>23313</v>
      </c>
      <c r="C1446" s="984" t="s">
        <v>24237</v>
      </c>
      <c r="D1446" s="981">
        <f t="shared" si="22"/>
        <v>22093</v>
      </c>
    </row>
    <row r="1447" spans="1:4">
      <c r="A1447" s="2356">
        <v>21481</v>
      </c>
      <c r="B1447" s="984" t="s">
        <v>23328</v>
      </c>
      <c r="C1447" s="984" t="s">
        <v>24252</v>
      </c>
      <c r="D1447" s="981">
        <f t="shared" si="22"/>
        <v>21481</v>
      </c>
    </row>
    <row r="1448" spans="1:4">
      <c r="A1448" s="2356">
        <v>22214</v>
      </c>
      <c r="B1448" s="984" t="s">
        <v>23390</v>
      </c>
      <c r="C1448" s="984" t="s">
        <v>24314</v>
      </c>
      <c r="D1448" s="981">
        <f t="shared" si="22"/>
        <v>22214</v>
      </c>
    </row>
    <row r="1449" spans="1:4">
      <c r="A1449" s="2356">
        <v>21648</v>
      </c>
      <c r="B1449" s="984" t="s">
        <v>23833</v>
      </c>
      <c r="C1449" s="984" t="s">
        <v>24698</v>
      </c>
      <c r="D1449" s="981">
        <f t="shared" si="22"/>
        <v>21648</v>
      </c>
    </row>
    <row r="1450" spans="1:4">
      <c r="A1450" s="2356">
        <v>22157</v>
      </c>
      <c r="B1450" s="984" t="s">
        <v>23257</v>
      </c>
      <c r="C1450" s="984" t="s">
        <v>24180</v>
      </c>
      <c r="D1450" s="981">
        <f t="shared" si="22"/>
        <v>22157</v>
      </c>
    </row>
    <row r="1451" spans="1:4">
      <c r="A1451" s="2356">
        <v>22004</v>
      </c>
      <c r="B1451" s="984" t="s">
        <v>23410</v>
      </c>
      <c r="C1451" s="984" t="s">
        <v>24331</v>
      </c>
      <c r="D1451" s="981">
        <f t="shared" si="22"/>
        <v>22004</v>
      </c>
    </row>
    <row r="1452" spans="1:4">
      <c r="A1452" s="2356">
        <v>21476</v>
      </c>
      <c r="B1452" s="984" t="s">
        <v>23704</v>
      </c>
      <c r="C1452" s="984" t="s">
        <v>24617</v>
      </c>
      <c r="D1452" s="981">
        <f t="shared" si="22"/>
        <v>21476</v>
      </c>
    </row>
    <row r="1453" spans="1:4">
      <c r="A1453" s="2356">
        <v>21661</v>
      </c>
      <c r="B1453" s="984" t="s">
        <v>23443</v>
      </c>
      <c r="C1453" s="984" t="s">
        <v>24363</v>
      </c>
      <c r="D1453" s="981">
        <f t="shared" si="22"/>
        <v>21661</v>
      </c>
    </row>
    <row r="1454" spans="1:4">
      <c r="A1454" s="2356">
        <v>21563</v>
      </c>
      <c r="B1454" s="984" t="s">
        <v>23817</v>
      </c>
      <c r="C1454" s="984" t="s">
        <v>31059</v>
      </c>
      <c r="D1454" s="981">
        <f t="shared" si="22"/>
        <v>21563</v>
      </c>
    </row>
    <row r="1455" spans="1:4">
      <c r="A1455" s="2356">
        <v>22743</v>
      </c>
      <c r="B1455" s="984" t="s">
        <v>23039</v>
      </c>
      <c r="C1455" s="984" t="s">
        <v>23969</v>
      </c>
      <c r="D1455" s="981">
        <f t="shared" si="22"/>
        <v>22743</v>
      </c>
    </row>
    <row r="1456" spans="1:4">
      <c r="A1456" s="2356">
        <v>22682</v>
      </c>
      <c r="B1456" s="984" t="s">
        <v>23236</v>
      </c>
      <c r="C1456" s="984" t="s">
        <v>24161</v>
      </c>
      <c r="D1456" s="981">
        <f t="shared" si="22"/>
        <v>22682</v>
      </c>
    </row>
    <row r="1457" spans="1:4">
      <c r="A1457" s="2356">
        <v>22877</v>
      </c>
      <c r="B1457" s="984" t="s">
        <v>23636</v>
      </c>
      <c r="C1457" s="984" t="s">
        <v>24551</v>
      </c>
      <c r="D1457" s="981">
        <f t="shared" si="22"/>
        <v>22877</v>
      </c>
    </row>
    <row r="1458" spans="1:4">
      <c r="A1458" s="2356">
        <v>22869</v>
      </c>
      <c r="B1458" s="984" t="s">
        <v>23441</v>
      </c>
      <c r="C1458" s="984" t="s">
        <v>24361</v>
      </c>
      <c r="D1458" s="981">
        <f t="shared" si="22"/>
        <v>22869</v>
      </c>
    </row>
    <row r="1459" spans="1:4">
      <c r="A1459" s="2356">
        <v>22843</v>
      </c>
      <c r="B1459" s="984" t="s">
        <v>23233</v>
      </c>
      <c r="C1459" s="984" t="s">
        <v>24158</v>
      </c>
      <c r="D1459" s="981">
        <f t="shared" si="22"/>
        <v>22843</v>
      </c>
    </row>
    <row r="1460" spans="1:4">
      <c r="A1460" s="2356">
        <v>22789</v>
      </c>
      <c r="B1460" s="984" t="s">
        <v>23357</v>
      </c>
      <c r="C1460" s="984" t="s">
        <v>24281</v>
      </c>
      <c r="D1460" s="981">
        <f t="shared" si="22"/>
        <v>22789</v>
      </c>
    </row>
    <row r="1461" spans="1:4">
      <c r="A1461" s="2356">
        <v>21666</v>
      </c>
      <c r="B1461" s="984" t="s">
        <v>23090</v>
      </c>
      <c r="C1461" s="984" t="s">
        <v>24019</v>
      </c>
      <c r="D1461" s="981">
        <f t="shared" si="22"/>
        <v>21666</v>
      </c>
    </row>
    <row r="1462" spans="1:4">
      <c r="A1462" s="2356">
        <v>21413</v>
      </c>
      <c r="B1462" s="984" t="s">
        <v>23477</v>
      </c>
      <c r="C1462" s="984" t="s">
        <v>24395</v>
      </c>
      <c r="D1462" s="981">
        <f t="shared" si="22"/>
        <v>21413</v>
      </c>
    </row>
    <row r="1463" spans="1:4">
      <c r="A1463" s="2356">
        <v>22485</v>
      </c>
      <c r="B1463" s="984" t="s">
        <v>23425</v>
      </c>
      <c r="C1463" s="984" t="s">
        <v>24345</v>
      </c>
      <c r="D1463" s="981">
        <f t="shared" si="22"/>
        <v>22485</v>
      </c>
    </row>
    <row r="1464" spans="1:4">
      <c r="A1464" s="2356">
        <v>19742</v>
      </c>
      <c r="B1464" s="984" t="s">
        <v>23227</v>
      </c>
      <c r="C1464" s="984" t="s">
        <v>24152</v>
      </c>
      <c r="D1464" s="981">
        <f t="shared" si="22"/>
        <v>19742</v>
      </c>
    </row>
    <row r="1465" spans="1:4">
      <c r="A1465" s="2356">
        <v>17545</v>
      </c>
      <c r="B1465" s="984" t="s">
        <v>23026</v>
      </c>
      <c r="C1465" s="984" t="s">
        <v>23956</v>
      </c>
      <c r="D1465" s="981">
        <f t="shared" si="22"/>
        <v>17545</v>
      </c>
    </row>
    <row r="1466" spans="1:4">
      <c r="A1466" s="2356">
        <v>17454</v>
      </c>
      <c r="B1466" s="984" t="s">
        <v>22970</v>
      </c>
      <c r="C1466" s="984" t="s">
        <v>23923</v>
      </c>
      <c r="D1466" s="981">
        <f t="shared" si="22"/>
        <v>17454</v>
      </c>
    </row>
    <row r="1467" spans="1:4">
      <c r="A1467" s="2356">
        <v>17484</v>
      </c>
      <c r="B1467" s="984" t="s">
        <v>23851</v>
      </c>
      <c r="C1467" s="984" t="s">
        <v>24711</v>
      </c>
      <c r="D1467" s="981">
        <f t="shared" si="22"/>
        <v>17484</v>
      </c>
    </row>
    <row r="1468" spans="1:4">
      <c r="A1468" s="2356">
        <v>17287</v>
      </c>
      <c r="B1468" s="984" t="s">
        <v>23060</v>
      </c>
      <c r="C1468" s="984" t="s">
        <v>23990</v>
      </c>
      <c r="D1468" s="981">
        <f t="shared" si="22"/>
        <v>17287</v>
      </c>
    </row>
    <row r="1469" spans="1:4">
      <c r="A1469" s="2356">
        <v>19828</v>
      </c>
      <c r="B1469" s="984" t="s">
        <v>23261</v>
      </c>
      <c r="C1469" s="984" t="s">
        <v>24184</v>
      </c>
      <c r="D1469" s="981">
        <f t="shared" si="22"/>
        <v>19828</v>
      </c>
    </row>
    <row r="1470" spans="1:4">
      <c r="A1470" s="2356">
        <v>19849</v>
      </c>
      <c r="B1470" s="984" t="s">
        <v>23367</v>
      </c>
      <c r="C1470" s="984" t="s">
        <v>24291</v>
      </c>
      <c r="D1470" s="981">
        <f t="shared" si="22"/>
        <v>19849</v>
      </c>
    </row>
    <row r="1471" spans="1:4">
      <c r="A1471" s="2356">
        <v>16962</v>
      </c>
      <c r="B1471" s="984" t="s">
        <v>22952</v>
      </c>
      <c r="C1471" s="984" t="s">
        <v>23909</v>
      </c>
      <c r="D1471" s="981">
        <f t="shared" si="22"/>
        <v>16962</v>
      </c>
    </row>
    <row r="1472" spans="1:4">
      <c r="A1472" s="2356">
        <v>17138</v>
      </c>
      <c r="B1472" s="984" t="s">
        <v>23032</v>
      </c>
      <c r="C1472" s="984" t="s">
        <v>23962</v>
      </c>
      <c r="D1472" s="981">
        <f t="shared" si="22"/>
        <v>17138</v>
      </c>
    </row>
    <row r="1473" spans="1:4">
      <c r="A1473" s="2356">
        <v>17146</v>
      </c>
      <c r="B1473" s="984" t="s">
        <v>23648</v>
      </c>
      <c r="C1473" s="984" t="s">
        <v>24562</v>
      </c>
      <c r="D1473" s="981">
        <f t="shared" si="22"/>
        <v>17146</v>
      </c>
    </row>
    <row r="1474" spans="1:4">
      <c r="A1474" s="2356">
        <v>17083</v>
      </c>
      <c r="B1474" s="984" t="s">
        <v>23292</v>
      </c>
      <c r="C1474" s="984" t="s">
        <v>24215</v>
      </c>
      <c r="D1474" s="981">
        <f t="shared" si="22"/>
        <v>17083</v>
      </c>
    </row>
    <row r="1475" spans="1:4">
      <c r="A1475" s="2356">
        <v>17312</v>
      </c>
      <c r="B1475" s="984" t="s">
        <v>23079</v>
      </c>
      <c r="C1475" s="984" t="s">
        <v>24009</v>
      </c>
      <c r="D1475" s="981">
        <f t="shared" si="22"/>
        <v>17312</v>
      </c>
    </row>
    <row r="1476" spans="1:4">
      <c r="A1476" s="2356">
        <v>17199</v>
      </c>
      <c r="B1476" s="984" t="s">
        <v>22969</v>
      </c>
      <c r="C1476" s="984" t="s">
        <v>23922</v>
      </c>
      <c r="D1476" s="981">
        <f t="shared" si="22"/>
        <v>17199</v>
      </c>
    </row>
    <row r="1477" spans="1:4">
      <c r="A1477" s="2356">
        <v>17232</v>
      </c>
      <c r="B1477" s="984" t="s">
        <v>23170</v>
      </c>
      <c r="C1477" s="984" t="s">
        <v>24097</v>
      </c>
      <c r="D1477" s="981">
        <f t="shared" si="22"/>
        <v>17232</v>
      </c>
    </row>
    <row r="1478" spans="1:4">
      <c r="A1478" s="2356">
        <v>17363</v>
      </c>
      <c r="B1478" s="984" t="s">
        <v>23284</v>
      </c>
      <c r="C1478" s="984" t="s">
        <v>24207</v>
      </c>
      <c r="D1478" s="981">
        <f t="shared" si="22"/>
        <v>17363</v>
      </c>
    </row>
    <row r="1479" spans="1:4">
      <c r="A1479" s="2356">
        <v>17362</v>
      </c>
      <c r="B1479" s="984" t="s">
        <v>23427</v>
      </c>
      <c r="C1479" s="984" t="s">
        <v>24347</v>
      </c>
      <c r="D1479" s="981">
        <f t="shared" si="22"/>
        <v>17362</v>
      </c>
    </row>
    <row r="1480" spans="1:4">
      <c r="A1480" s="2356">
        <v>17350</v>
      </c>
      <c r="B1480" s="984" t="s">
        <v>23322</v>
      </c>
      <c r="C1480" s="984" t="s">
        <v>24246</v>
      </c>
      <c r="D1480" s="981">
        <f t="shared" si="22"/>
        <v>17350</v>
      </c>
    </row>
    <row r="1481" spans="1:4">
      <c r="A1481" s="2356">
        <v>17523</v>
      </c>
      <c r="B1481" s="984" t="s">
        <v>23838</v>
      </c>
      <c r="C1481" s="984" t="s">
        <v>24702</v>
      </c>
      <c r="D1481" s="981">
        <f t="shared" ref="D1481:D1544" si="23">+A1481</f>
        <v>17523</v>
      </c>
    </row>
    <row r="1482" spans="1:4">
      <c r="A1482" s="2356">
        <v>17069</v>
      </c>
      <c r="B1482" s="984" t="s">
        <v>23065</v>
      </c>
      <c r="C1482" s="984" t="s">
        <v>23995</v>
      </c>
      <c r="D1482" s="981">
        <f t="shared" si="23"/>
        <v>17069</v>
      </c>
    </row>
    <row r="1483" spans="1:4">
      <c r="A1483" s="2356">
        <v>17344</v>
      </c>
      <c r="B1483" s="984" t="s">
        <v>22956</v>
      </c>
      <c r="C1483" s="984" t="s">
        <v>23912</v>
      </c>
      <c r="D1483" s="981">
        <f t="shared" si="23"/>
        <v>17344</v>
      </c>
    </row>
    <row r="1484" spans="1:4">
      <c r="A1484" s="2356">
        <v>17229</v>
      </c>
      <c r="B1484" s="984" t="s">
        <v>29920</v>
      </c>
      <c r="C1484" s="984" t="s">
        <v>29815</v>
      </c>
      <c r="D1484" s="981">
        <f t="shared" si="23"/>
        <v>17229</v>
      </c>
    </row>
    <row r="1485" spans="1:4">
      <c r="A1485" s="2356">
        <v>17531</v>
      </c>
      <c r="B1485" s="984" t="s">
        <v>23857</v>
      </c>
      <c r="C1485" s="984" t="s">
        <v>24717</v>
      </c>
      <c r="D1485" s="981">
        <f t="shared" si="23"/>
        <v>17531</v>
      </c>
    </row>
    <row r="1486" spans="1:4">
      <c r="A1486" s="2356">
        <v>17513</v>
      </c>
      <c r="B1486" s="984" t="s">
        <v>23855</v>
      </c>
      <c r="C1486" s="984" t="s">
        <v>24715</v>
      </c>
      <c r="D1486" s="981">
        <f t="shared" si="23"/>
        <v>17513</v>
      </c>
    </row>
    <row r="1487" spans="1:4">
      <c r="A1487" s="2356">
        <v>16987</v>
      </c>
      <c r="B1487" s="984" t="s">
        <v>23657</v>
      </c>
      <c r="C1487" s="984" t="s">
        <v>24571</v>
      </c>
      <c r="D1487" s="981">
        <f t="shared" si="23"/>
        <v>16987</v>
      </c>
    </row>
    <row r="1488" spans="1:4">
      <c r="A1488" s="2356">
        <v>17459</v>
      </c>
      <c r="B1488" s="984" t="s">
        <v>23671</v>
      </c>
      <c r="C1488" s="984" t="s">
        <v>24585</v>
      </c>
      <c r="D1488" s="981">
        <f t="shared" si="23"/>
        <v>17459</v>
      </c>
    </row>
    <row r="1489" spans="1:4">
      <c r="A1489" s="2356">
        <v>17340</v>
      </c>
      <c r="B1489" s="984" t="s">
        <v>23813</v>
      </c>
      <c r="C1489" s="984" t="s">
        <v>24681</v>
      </c>
      <c r="D1489" s="981">
        <f t="shared" si="23"/>
        <v>17340</v>
      </c>
    </row>
    <row r="1490" spans="1:4">
      <c r="A1490" s="2356">
        <v>17217</v>
      </c>
      <c r="B1490" s="984" t="s">
        <v>31965</v>
      </c>
      <c r="C1490" s="984" t="s">
        <v>31966</v>
      </c>
      <c r="D1490" s="981">
        <f t="shared" si="23"/>
        <v>17217</v>
      </c>
    </row>
    <row r="1491" spans="1:4">
      <c r="A1491" s="2356">
        <v>17429</v>
      </c>
      <c r="B1491" s="984" t="s">
        <v>23663</v>
      </c>
      <c r="C1491" s="984" t="s">
        <v>24577</v>
      </c>
      <c r="D1491" s="981">
        <f t="shared" si="23"/>
        <v>17429</v>
      </c>
    </row>
    <row r="1492" spans="1:4">
      <c r="A1492" s="2356">
        <v>18149</v>
      </c>
      <c r="B1492" s="984" t="s">
        <v>23717</v>
      </c>
      <c r="C1492" s="984" t="s">
        <v>29867</v>
      </c>
      <c r="D1492" s="981">
        <f t="shared" si="23"/>
        <v>18149</v>
      </c>
    </row>
    <row r="1493" spans="1:4">
      <c r="A1493" s="2356">
        <v>17160</v>
      </c>
      <c r="B1493" s="984" t="s">
        <v>29937</v>
      </c>
      <c r="C1493" s="984" t="s">
        <v>29852</v>
      </c>
      <c r="D1493" s="981">
        <f t="shared" si="23"/>
        <v>17160</v>
      </c>
    </row>
    <row r="1494" spans="1:4">
      <c r="A1494" s="2356">
        <v>17183</v>
      </c>
      <c r="B1494" s="984" t="s">
        <v>23437</v>
      </c>
      <c r="C1494" s="984" t="s">
        <v>24357</v>
      </c>
      <c r="D1494" s="981">
        <f t="shared" si="23"/>
        <v>17183</v>
      </c>
    </row>
    <row r="1495" spans="1:4">
      <c r="A1495" s="2356">
        <v>17198</v>
      </c>
      <c r="B1495" s="984" t="s">
        <v>23494</v>
      </c>
      <c r="C1495" s="984" t="s">
        <v>24412</v>
      </c>
      <c r="D1495" s="981">
        <f t="shared" si="23"/>
        <v>17198</v>
      </c>
    </row>
    <row r="1496" spans="1:4">
      <c r="A1496" s="2356">
        <v>16779</v>
      </c>
      <c r="B1496" s="984" t="s">
        <v>23832</v>
      </c>
      <c r="C1496" s="984" t="s">
        <v>24697</v>
      </c>
      <c r="D1496" s="981">
        <f t="shared" si="23"/>
        <v>16779</v>
      </c>
    </row>
    <row r="1497" spans="1:4">
      <c r="A1497" s="2356">
        <v>13767</v>
      </c>
      <c r="B1497" s="984" t="s">
        <v>23431</v>
      </c>
      <c r="C1497" s="984" t="s">
        <v>24351</v>
      </c>
      <c r="D1497" s="981">
        <f t="shared" si="23"/>
        <v>13767</v>
      </c>
    </row>
    <row r="1498" spans="1:4">
      <c r="A1498" s="2356">
        <v>14306</v>
      </c>
      <c r="B1498" s="984" t="s">
        <v>23539</v>
      </c>
      <c r="C1498" s="984" t="s">
        <v>24457</v>
      </c>
      <c r="D1498" s="981">
        <f t="shared" si="23"/>
        <v>14306</v>
      </c>
    </row>
    <row r="1499" spans="1:4">
      <c r="A1499" s="2356">
        <v>14398</v>
      </c>
      <c r="B1499" s="984" t="s">
        <v>23404</v>
      </c>
      <c r="C1499" s="984" t="s">
        <v>24325</v>
      </c>
      <c r="D1499" s="981">
        <f t="shared" si="23"/>
        <v>14398</v>
      </c>
    </row>
    <row r="1500" spans="1:4">
      <c r="A1500" s="2356">
        <v>15243</v>
      </c>
      <c r="B1500" s="984" t="s">
        <v>23165</v>
      </c>
      <c r="C1500" s="984" t="s">
        <v>24092</v>
      </c>
      <c r="D1500" s="981">
        <f t="shared" si="23"/>
        <v>15243</v>
      </c>
    </row>
    <row r="1501" spans="1:4">
      <c r="A1501" s="2356">
        <v>14644</v>
      </c>
      <c r="B1501" s="984" t="s">
        <v>23617</v>
      </c>
      <c r="C1501" s="984" t="s">
        <v>24533</v>
      </c>
      <c r="D1501" s="981">
        <f t="shared" si="23"/>
        <v>14644</v>
      </c>
    </row>
    <row r="1502" spans="1:4">
      <c r="A1502" s="2356">
        <v>13680</v>
      </c>
      <c r="B1502" s="984" t="s">
        <v>27867</v>
      </c>
      <c r="C1502" s="984" t="s">
        <v>27140</v>
      </c>
      <c r="D1502" s="981">
        <f t="shared" si="23"/>
        <v>13680</v>
      </c>
    </row>
    <row r="1503" spans="1:4">
      <c r="A1503" s="2356">
        <v>14167</v>
      </c>
      <c r="B1503" s="984" t="s">
        <v>22998</v>
      </c>
      <c r="C1503" s="984" t="s">
        <v>23942</v>
      </c>
      <c r="D1503" s="981">
        <f t="shared" si="23"/>
        <v>14167</v>
      </c>
    </row>
    <row r="1504" spans="1:4">
      <c r="A1504" s="2356">
        <v>14105</v>
      </c>
      <c r="B1504" s="984" t="s">
        <v>22946</v>
      </c>
      <c r="C1504" s="984" t="s">
        <v>23903</v>
      </c>
      <c r="D1504" s="981">
        <f t="shared" si="23"/>
        <v>14105</v>
      </c>
    </row>
    <row r="1505" spans="1:4">
      <c r="A1505" s="2356">
        <v>13898</v>
      </c>
      <c r="B1505" s="984" t="s">
        <v>23732</v>
      </c>
      <c r="C1505" s="984" t="s">
        <v>27143</v>
      </c>
      <c r="D1505" s="981">
        <f t="shared" si="23"/>
        <v>13898</v>
      </c>
    </row>
    <row r="1506" spans="1:4">
      <c r="A1506" s="2356">
        <v>13565</v>
      </c>
      <c r="B1506" s="984" t="s">
        <v>23062</v>
      </c>
      <c r="C1506" s="984" t="s">
        <v>23992</v>
      </c>
      <c r="D1506" s="981">
        <f t="shared" si="23"/>
        <v>13565</v>
      </c>
    </row>
    <row r="1507" spans="1:4">
      <c r="A1507" s="2356">
        <v>14304</v>
      </c>
      <c r="B1507" s="984" t="s">
        <v>23317</v>
      </c>
      <c r="C1507" s="984" t="s">
        <v>24241</v>
      </c>
      <c r="D1507" s="981">
        <f t="shared" si="23"/>
        <v>14304</v>
      </c>
    </row>
    <row r="1508" spans="1:4">
      <c r="A1508" s="2356">
        <v>14237</v>
      </c>
      <c r="B1508" s="984" t="s">
        <v>23769</v>
      </c>
      <c r="C1508" s="984" t="s">
        <v>24648</v>
      </c>
      <c r="D1508" s="981">
        <f t="shared" si="23"/>
        <v>14237</v>
      </c>
    </row>
    <row r="1509" spans="1:4">
      <c r="A1509" s="2356">
        <v>13645</v>
      </c>
      <c r="B1509" s="984" t="s">
        <v>23791</v>
      </c>
      <c r="C1509" s="984" t="s">
        <v>24663</v>
      </c>
      <c r="D1509" s="981">
        <f t="shared" si="23"/>
        <v>13645</v>
      </c>
    </row>
    <row r="1510" spans="1:4">
      <c r="A1510" s="2356">
        <v>13627</v>
      </c>
      <c r="B1510" s="984" t="s">
        <v>23831</v>
      </c>
      <c r="C1510" s="984" t="s">
        <v>31068</v>
      </c>
      <c r="D1510" s="981">
        <f t="shared" si="23"/>
        <v>13627</v>
      </c>
    </row>
    <row r="1511" spans="1:4">
      <c r="A1511" s="2356">
        <v>15005</v>
      </c>
      <c r="B1511" s="984" t="s">
        <v>22936</v>
      </c>
      <c r="C1511" s="984" t="s">
        <v>23894</v>
      </c>
      <c r="D1511" s="981">
        <f t="shared" si="23"/>
        <v>15005</v>
      </c>
    </row>
    <row r="1512" spans="1:4">
      <c r="A1512" s="2356">
        <v>14566</v>
      </c>
      <c r="B1512" s="984" t="s">
        <v>23112</v>
      </c>
      <c r="C1512" s="984" t="s">
        <v>24041</v>
      </c>
      <c r="D1512" s="981">
        <f t="shared" si="23"/>
        <v>14566</v>
      </c>
    </row>
    <row r="1513" spans="1:4">
      <c r="A1513" s="2356">
        <v>14309</v>
      </c>
      <c r="B1513" s="984" t="s">
        <v>23353</v>
      </c>
      <c r="C1513" s="984" t="s">
        <v>24277</v>
      </c>
      <c r="D1513" s="981">
        <f t="shared" si="23"/>
        <v>14309</v>
      </c>
    </row>
    <row r="1514" spans="1:4">
      <c r="A1514" s="2356">
        <v>14125</v>
      </c>
      <c r="B1514" s="984" t="s">
        <v>23840</v>
      </c>
      <c r="C1514" s="984" t="s">
        <v>24703</v>
      </c>
      <c r="D1514" s="981">
        <f t="shared" si="23"/>
        <v>14125</v>
      </c>
    </row>
    <row r="1515" spans="1:4">
      <c r="A1515" s="2356">
        <v>14482</v>
      </c>
      <c r="B1515" s="984" t="s">
        <v>27871</v>
      </c>
      <c r="C1515" s="984" t="s">
        <v>31073</v>
      </c>
      <c r="D1515" s="981">
        <f t="shared" si="23"/>
        <v>14482</v>
      </c>
    </row>
    <row r="1516" spans="1:4">
      <c r="A1516" s="2356">
        <v>14409</v>
      </c>
      <c r="B1516" s="984" t="s">
        <v>23125</v>
      </c>
      <c r="C1516" s="984" t="s">
        <v>24053</v>
      </c>
      <c r="D1516" s="981">
        <f t="shared" si="23"/>
        <v>14409</v>
      </c>
    </row>
    <row r="1517" spans="1:4">
      <c r="A1517" s="2356">
        <v>14388</v>
      </c>
      <c r="B1517" s="984" t="s">
        <v>23230</v>
      </c>
      <c r="C1517" s="984" t="s">
        <v>24155</v>
      </c>
      <c r="D1517" s="981">
        <f t="shared" si="23"/>
        <v>14388</v>
      </c>
    </row>
    <row r="1518" spans="1:4">
      <c r="A1518" s="2356">
        <v>14378</v>
      </c>
      <c r="B1518" s="984" t="s">
        <v>23452</v>
      </c>
      <c r="C1518" s="984" t="s">
        <v>24372</v>
      </c>
      <c r="D1518" s="981">
        <f t="shared" si="23"/>
        <v>14378</v>
      </c>
    </row>
    <row r="1519" spans="1:4">
      <c r="A1519" s="2356">
        <v>14376</v>
      </c>
      <c r="B1519" s="984" t="s">
        <v>23682</v>
      </c>
      <c r="C1519" s="984" t="s">
        <v>24596</v>
      </c>
      <c r="D1519" s="981">
        <f t="shared" si="23"/>
        <v>14376</v>
      </c>
    </row>
    <row r="1520" spans="1:4">
      <c r="A1520" s="2356">
        <v>13704</v>
      </c>
      <c r="B1520" s="984" t="s">
        <v>23555</v>
      </c>
      <c r="C1520" s="984" t="s">
        <v>24472</v>
      </c>
      <c r="D1520" s="981">
        <f t="shared" si="23"/>
        <v>13704</v>
      </c>
    </row>
    <row r="1521" spans="1:4">
      <c r="A1521" s="2356">
        <v>13524</v>
      </c>
      <c r="B1521" s="984" t="s">
        <v>23834</v>
      </c>
      <c r="C1521" s="984" t="s">
        <v>24699</v>
      </c>
      <c r="D1521" s="981">
        <f t="shared" si="23"/>
        <v>13524</v>
      </c>
    </row>
    <row r="1522" spans="1:4">
      <c r="A1522" s="2356">
        <v>13892</v>
      </c>
      <c r="B1522" s="984" t="s">
        <v>23132</v>
      </c>
      <c r="C1522" s="984" t="s">
        <v>24060</v>
      </c>
      <c r="D1522" s="981">
        <f t="shared" si="23"/>
        <v>13892</v>
      </c>
    </row>
    <row r="1523" spans="1:4">
      <c r="A1523" s="2356">
        <v>13641</v>
      </c>
      <c r="B1523" s="984" t="s">
        <v>23134</v>
      </c>
      <c r="C1523" s="984" t="s">
        <v>24062</v>
      </c>
      <c r="D1523" s="981">
        <f t="shared" si="23"/>
        <v>13641</v>
      </c>
    </row>
    <row r="1524" spans="1:4">
      <c r="A1524" s="2356">
        <v>13189</v>
      </c>
      <c r="B1524" s="984" t="s">
        <v>23738</v>
      </c>
      <c r="C1524" s="984" t="s">
        <v>24628</v>
      </c>
      <c r="D1524" s="981">
        <f t="shared" si="23"/>
        <v>13189</v>
      </c>
    </row>
    <row r="1525" spans="1:4">
      <c r="A1525" s="2356">
        <v>13149</v>
      </c>
      <c r="B1525" s="984" t="s">
        <v>23164</v>
      </c>
      <c r="C1525" s="984" t="s">
        <v>24091</v>
      </c>
      <c r="D1525" s="981">
        <f t="shared" si="23"/>
        <v>13149</v>
      </c>
    </row>
    <row r="1526" spans="1:4">
      <c r="A1526" s="2356">
        <v>12856</v>
      </c>
      <c r="B1526" s="984" t="s">
        <v>23464</v>
      </c>
      <c r="C1526" s="984" t="s">
        <v>24383</v>
      </c>
      <c r="D1526" s="981">
        <f t="shared" si="23"/>
        <v>12856</v>
      </c>
    </row>
    <row r="1527" spans="1:4">
      <c r="A1527" s="2356">
        <v>7379</v>
      </c>
      <c r="B1527" s="984" t="s">
        <v>27864</v>
      </c>
      <c r="C1527" s="984" t="s">
        <v>27135</v>
      </c>
      <c r="D1527" s="981">
        <f t="shared" si="23"/>
        <v>7379</v>
      </c>
    </row>
    <row r="1528" spans="1:4">
      <c r="A1528" s="2356">
        <v>9253</v>
      </c>
      <c r="B1528" s="984" t="s">
        <v>23749</v>
      </c>
      <c r="C1528" s="984" t="s">
        <v>24637</v>
      </c>
      <c r="D1528" s="981">
        <f t="shared" si="23"/>
        <v>9253</v>
      </c>
    </row>
    <row r="1529" spans="1:4">
      <c r="A1529" s="2356">
        <v>5462</v>
      </c>
      <c r="B1529" s="984" t="s">
        <v>23641</v>
      </c>
      <c r="C1529" s="984" t="s">
        <v>24556</v>
      </c>
      <c r="D1529" s="981">
        <f t="shared" si="23"/>
        <v>5462</v>
      </c>
    </row>
    <row r="1530" spans="1:4">
      <c r="A1530" s="2356">
        <v>5720</v>
      </c>
      <c r="B1530" s="984" t="s">
        <v>25678</v>
      </c>
      <c r="C1530" s="984" t="s">
        <v>25677</v>
      </c>
      <c r="D1530" s="981">
        <f t="shared" si="23"/>
        <v>5720</v>
      </c>
    </row>
    <row r="1531" spans="1:4">
      <c r="A1531" s="2356">
        <v>8051</v>
      </c>
      <c r="B1531" s="984" t="s">
        <v>23736</v>
      </c>
      <c r="C1531" s="984" t="s">
        <v>29859</v>
      </c>
      <c r="D1531" s="981">
        <f t="shared" si="23"/>
        <v>8051</v>
      </c>
    </row>
    <row r="1532" spans="1:4">
      <c r="A1532" s="2356">
        <v>9281</v>
      </c>
      <c r="B1532" s="984" t="s">
        <v>22940</v>
      </c>
      <c r="C1532" s="984" t="s">
        <v>23898</v>
      </c>
      <c r="D1532" s="981">
        <f t="shared" si="23"/>
        <v>9281</v>
      </c>
    </row>
    <row r="1533" spans="1:4">
      <c r="A1533" s="2356">
        <v>5098</v>
      </c>
      <c r="B1533" s="984" t="s">
        <v>23338</v>
      </c>
      <c r="C1533" s="984" t="s">
        <v>24262</v>
      </c>
      <c r="D1533" s="981">
        <f t="shared" si="23"/>
        <v>5098</v>
      </c>
    </row>
    <row r="1534" spans="1:4">
      <c r="A1534" s="2356">
        <v>4717</v>
      </c>
      <c r="B1534" s="984" t="s">
        <v>31967</v>
      </c>
      <c r="C1534" s="984" t="s">
        <v>31968</v>
      </c>
      <c r="D1534" s="981">
        <f t="shared" si="23"/>
        <v>4717</v>
      </c>
    </row>
    <row r="1535" spans="1:4">
      <c r="A1535" s="2356">
        <v>3548</v>
      </c>
      <c r="B1535" s="984" t="s">
        <v>23774</v>
      </c>
      <c r="C1535" s="984" t="s">
        <v>29916</v>
      </c>
      <c r="D1535" s="981">
        <f t="shared" si="23"/>
        <v>3548</v>
      </c>
    </row>
    <row r="1536" spans="1:4">
      <c r="A1536" s="2356">
        <v>2886</v>
      </c>
      <c r="B1536" s="984" t="s">
        <v>23152</v>
      </c>
      <c r="C1536" s="984" t="s">
        <v>24080</v>
      </c>
      <c r="D1536" s="981">
        <f t="shared" si="23"/>
        <v>2886</v>
      </c>
    </row>
    <row r="1537" spans="1:4">
      <c r="A1537" s="2356">
        <v>314</v>
      </c>
      <c r="B1537" s="984" t="s">
        <v>23297</v>
      </c>
      <c r="C1537" s="984" t="s">
        <v>24221</v>
      </c>
      <c r="D1537" s="981">
        <f t="shared" si="23"/>
        <v>314</v>
      </c>
    </row>
    <row r="1538" spans="1:4">
      <c r="A1538" s="2356">
        <v>230</v>
      </c>
      <c r="B1538" s="984" t="s">
        <v>22912</v>
      </c>
      <c r="C1538" s="984" t="s">
        <v>23872</v>
      </c>
      <c r="D1538" s="981">
        <f t="shared" si="23"/>
        <v>230</v>
      </c>
    </row>
    <row r="1539" spans="1:4">
      <c r="A1539" s="2356">
        <v>206</v>
      </c>
      <c r="B1539" s="984" t="s">
        <v>23273</v>
      </c>
      <c r="C1539" s="984" t="s">
        <v>24196</v>
      </c>
      <c r="D1539" s="981">
        <f t="shared" si="23"/>
        <v>206</v>
      </c>
    </row>
    <row r="1540" spans="1:4">
      <c r="A1540" s="2356">
        <v>55</v>
      </c>
      <c r="B1540" s="984" t="s">
        <v>23691</v>
      </c>
      <c r="C1540" s="984" t="s">
        <v>24605</v>
      </c>
      <c r="D1540" s="981">
        <f t="shared" si="23"/>
        <v>55</v>
      </c>
    </row>
    <row r="1541" spans="1:4">
      <c r="A1541" s="2356">
        <v>78</v>
      </c>
      <c r="B1541" s="984" t="s">
        <v>22979</v>
      </c>
      <c r="C1541" s="984" t="s">
        <v>27125</v>
      </c>
      <c r="D1541" s="981">
        <f t="shared" si="23"/>
        <v>78</v>
      </c>
    </row>
    <row r="1542" spans="1:4">
      <c r="A1542" s="2356">
        <v>1643</v>
      </c>
      <c r="B1542" s="984" t="s">
        <v>23756</v>
      </c>
      <c r="C1542" s="984" t="s">
        <v>29882</v>
      </c>
      <c r="D1542" s="981">
        <f t="shared" si="23"/>
        <v>1643</v>
      </c>
    </row>
    <row r="1543" spans="1:4">
      <c r="A1543" s="2356">
        <v>1330</v>
      </c>
      <c r="B1543" s="984" t="s">
        <v>23681</v>
      </c>
      <c r="C1543" s="984" t="s">
        <v>24595</v>
      </c>
      <c r="D1543" s="981">
        <f t="shared" si="23"/>
        <v>1330</v>
      </c>
    </row>
    <row r="1544" spans="1:4">
      <c r="A1544" s="2356">
        <v>1234</v>
      </c>
      <c r="B1544" s="984" t="s">
        <v>23330</v>
      </c>
      <c r="C1544" s="984" t="s">
        <v>24254</v>
      </c>
      <c r="D1544" s="981">
        <f t="shared" si="23"/>
        <v>1234</v>
      </c>
    </row>
    <row r="1545" spans="1:4">
      <c r="A1545" s="2356">
        <v>5</v>
      </c>
      <c r="B1545" s="984" t="s">
        <v>22981</v>
      </c>
      <c r="C1545" s="984" t="s">
        <v>23929</v>
      </c>
      <c r="D1545" s="981">
        <f t="shared" ref="D1545:D1608" si="24">+A1545</f>
        <v>5</v>
      </c>
    </row>
    <row r="1546" spans="1:4">
      <c r="A1546" s="2356">
        <v>1226</v>
      </c>
      <c r="B1546" s="984" t="s">
        <v>23500</v>
      </c>
      <c r="C1546" s="984" t="s">
        <v>31969</v>
      </c>
      <c r="D1546" s="981">
        <f t="shared" si="24"/>
        <v>1226</v>
      </c>
    </row>
    <row r="1547" spans="1:4">
      <c r="A1547" s="2356">
        <v>1300</v>
      </c>
      <c r="B1547" s="984" t="s">
        <v>22926</v>
      </c>
      <c r="C1547" s="984" t="s">
        <v>23886</v>
      </c>
      <c r="D1547" s="981">
        <f t="shared" si="24"/>
        <v>1300</v>
      </c>
    </row>
    <row r="1548" spans="1:4">
      <c r="A1548" s="2356">
        <v>1391</v>
      </c>
      <c r="B1548" s="984" t="s">
        <v>23444</v>
      </c>
      <c r="C1548" s="984" t="s">
        <v>24364</v>
      </c>
      <c r="D1548" s="981">
        <f t="shared" si="24"/>
        <v>1391</v>
      </c>
    </row>
    <row r="1549" spans="1:4">
      <c r="A1549" s="2356">
        <v>1362</v>
      </c>
      <c r="B1549" s="984" t="s">
        <v>23122</v>
      </c>
      <c r="C1549" s="984" t="s">
        <v>24050</v>
      </c>
      <c r="D1549" s="981">
        <f t="shared" si="24"/>
        <v>1362</v>
      </c>
    </row>
    <row r="1550" spans="1:4">
      <c r="A1550" s="2356">
        <v>1791</v>
      </c>
      <c r="B1550" s="984" t="s">
        <v>23521</v>
      </c>
      <c r="C1550" s="984" t="s">
        <v>24439</v>
      </c>
      <c r="D1550" s="981">
        <f t="shared" si="24"/>
        <v>1791</v>
      </c>
    </row>
    <row r="1551" spans="1:4">
      <c r="A1551" s="2356">
        <v>1704</v>
      </c>
      <c r="B1551" s="984" t="s">
        <v>23789</v>
      </c>
      <c r="C1551" s="984" t="s">
        <v>29888</v>
      </c>
      <c r="D1551" s="981">
        <f t="shared" si="24"/>
        <v>1704</v>
      </c>
    </row>
    <row r="1552" spans="1:4">
      <c r="A1552" s="2356">
        <v>1961</v>
      </c>
      <c r="B1552" s="984" t="s">
        <v>23808</v>
      </c>
      <c r="C1552" s="984" t="s">
        <v>24676</v>
      </c>
      <c r="D1552" s="981">
        <f t="shared" si="24"/>
        <v>1961</v>
      </c>
    </row>
    <row r="1553" spans="1:4">
      <c r="A1553" s="2356">
        <v>815</v>
      </c>
      <c r="B1553" s="984" t="s">
        <v>23333</v>
      </c>
      <c r="C1553" s="984" t="s">
        <v>24257</v>
      </c>
      <c r="D1553" s="981">
        <f t="shared" si="24"/>
        <v>815</v>
      </c>
    </row>
    <row r="1554" spans="1:4">
      <c r="A1554" s="2356">
        <v>13809</v>
      </c>
      <c r="B1554" s="984" t="s">
        <v>22924</v>
      </c>
      <c r="C1554" s="984" t="s">
        <v>23884</v>
      </c>
      <c r="D1554" s="981">
        <f t="shared" si="24"/>
        <v>13809</v>
      </c>
    </row>
    <row r="1555" spans="1:4">
      <c r="A1555" s="2356">
        <v>13989</v>
      </c>
      <c r="B1555" s="984" t="s">
        <v>22919</v>
      </c>
      <c r="C1555" s="984" t="s">
        <v>23879</v>
      </c>
      <c r="D1555" s="981">
        <f t="shared" si="24"/>
        <v>13989</v>
      </c>
    </row>
    <row r="1556" spans="1:4">
      <c r="A1556" s="2356">
        <v>13805</v>
      </c>
      <c r="B1556" s="984" t="s">
        <v>22918</v>
      </c>
      <c r="C1556" s="984" t="s">
        <v>23878</v>
      </c>
      <c r="D1556" s="981">
        <f t="shared" si="24"/>
        <v>13805</v>
      </c>
    </row>
    <row r="1557" spans="1:4">
      <c r="A1557" s="2356">
        <v>9909</v>
      </c>
      <c r="B1557" s="984" t="s">
        <v>22939</v>
      </c>
      <c r="C1557" s="984" t="s">
        <v>23897</v>
      </c>
      <c r="D1557" s="981">
        <f t="shared" si="24"/>
        <v>9909</v>
      </c>
    </row>
    <row r="1558" spans="1:4">
      <c r="A1558" s="2356">
        <v>10042</v>
      </c>
      <c r="B1558" s="984" t="s">
        <v>23765</v>
      </c>
      <c r="C1558" s="984" t="s">
        <v>24645</v>
      </c>
      <c r="D1558" s="981">
        <f t="shared" si="24"/>
        <v>10042</v>
      </c>
    </row>
    <row r="1559" spans="1:4">
      <c r="A1559" s="2356">
        <v>1090</v>
      </c>
      <c r="B1559" s="984" t="s">
        <v>22960</v>
      </c>
      <c r="C1559" s="984" t="s">
        <v>23914</v>
      </c>
      <c r="D1559" s="981">
        <f t="shared" si="24"/>
        <v>1090</v>
      </c>
    </row>
    <row r="1560" spans="1:4">
      <c r="A1560" s="2356">
        <v>927</v>
      </c>
      <c r="B1560" s="984" t="s">
        <v>22964</v>
      </c>
      <c r="C1560" s="984" t="s">
        <v>23918</v>
      </c>
      <c r="D1560" s="981">
        <f t="shared" si="24"/>
        <v>927</v>
      </c>
    </row>
    <row r="1561" spans="1:4">
      <c r="A1561" s="2356">
        <v>26656</v>
      </c>
      <c r="B1561" s="984" t="s">
        <v>26018</v>
      </c>
      <c r="C1561" s="984" t="s">
        <v>26017</v>
      </c>
      <c r="D1561" s="981">
        <f t="shared" si="24"/>
        <v>26656</v>
      </c>
    </row>
    <row r="1562" spans="1:4">
      <c r="A1562" s="2356">
        <v>24060</v>
      </c>
      <c r="B1562" s="984" t="s">
        <v>23768</v>
      </c>
      <c r="C1562" s="984" t="s">
        <v>24647</v>
      </c>
      <c r="D1562" s="981">
        <f t="shared" si="24"/>
        <v>24060</v>
      </c>
    </row>
    <row r="1563" spans="1:4">
      <c r="A1563" s="2356">
        <v>25907</v>
      </c>
      <c r="B1563" s="984" t="s">
        <v>25875</v>
      </c>
      <c r="C1563" s="984" t="s">
        <v>25874</v>
      </c>
      <c r="D1563" s="981">
        <f t="shared" si="24"/>
        <v>25907</v>
      </c>
    </row>
    <row r="1564" spans="1:4">
      <c r="A1564" s="2356">
        <v>10626</v>
      </c>
      <c r="B1564" s="984" t="s">
        <v>22916</v>
      </c>
      <c r="C1564" s="984" t="s">
        <v>23876</v>
      </c>
      <c r="D1564" s="981">
        <f t="shared" si="24"/>
        <v>10626</v>
      </c>
    </row>
    <row r="1565" spans="1:4">
      <c r="A1565" s="2356">
        <v>3125</v>
      </c>
      <c r="B1565" s="984" t="s">
        <v>22953</v>
      </c>
      <c r="C1565" s="984" t="s">
        <v>23910</v>
      </c>
      <c r="D1565" s="981">
        <f t="shared" si="24"/>
        <v>3125</v>
      </c>
    </row>
    <row r="1566" spans="1:4">
      <c r="A1566" s="2356">
        <v>44961</v>
      </c>
      <c r="B1566" s="984" t="s">
        <v>31970</v>
      </c>
      <c r="C1566" s="984" t="s">
        <v>31971</v>
      </c>
      <c r="D1566" s="981">
        <f t="shared" si="24"/>
        <v>44961</v>
      </c>
    </row>
    <row r="1567" spans="1:4">
      <c r="A1567" s="2356">
        <v>44211</v>
      </c>
      <c r="B1567" s="984" t="s">
        <v>31972</v>
      </c>
      <c r="C1567" s="984" t="s">
        <v>31973</v>
      </c>
      <c r="D1567" s="981">
        <f t="shared" si="24"/>
        <v>44211</v>
      </c>
    </row>
    <row r="1568" spans="1:4">
      <c r="A1568" s="2356">
        <v>41198</v>
      </c>
      <c r="B1568" s="984" t="s">
        <v>31974</v>
      </c>
      <c r="C1568" s="984" t="s">
        <v>31975</v>
      </c>
      <c r="D1568" s="981">
        <f t="shared" si="24"/>
        <v>41198</v>
      </c>
    </row>
    <row r="1569" spans="1:4">
      <c r="A1569" s="2356">
        <v>39422</v>
      </c>
      <c r="B1569" s="984" t="s">
        <v>31022</v>
      </c>
      <c r="C1569" s="984" t="s">
        <v>31090</v>
      </c>
      <c r="D1569" s="981">
        <f t="shared" si="24"/>
        <v>39422</v>
      </c>
    </row>
    <row r="1570" spans="1:4">
      <c r="A1570" s="2356">
        <v>39515</v>
      </c>
      <c r="B1570" s="984" t="s">
        <v>31021</v>
      </c>
      <c r="C1570" s="984" t="s">
        <v>31089</v>
      </c>
      <c r="D1570" s="981">
        <f t="shared" si="24"/>
        <v>39515</v>
      </c>
    </row>
    <row r="1571" spans="1:4">
      <c r="A1571" s="2356">
        <v>34819</v>
      </c>
      <c r="B1571" s="984" t="s">
        <v>29964</v>
      </c>
      <c r="C1571" s="984" t="s">
        <v>29902</v>
      </c>
      <c r="D1571" s="981">
        <f t="shared" si="24"/>
        <v>34819</v>
      </c>
    </row>
    <row r="1572" spans="1:4">
      <c r="A1572" s="2356">
        <v>36671</v>
      </c>
      <c r="B1572" s="984" t="s">
        <v>29929</v>
      </c>
      <c r="C1572" s="984" t="s">
        <v>29839</v>
      </c>
      <c r="D1572" s="981">
        <f t="shared" si="24"/>
        <v>36671</v>
      </c>
    </row>
    <row r="1573" spans="1:4">
      <c r="A1573" s="2356">
        <v>35474</v>
      </c>
      <c r="B1573" s="984" t="s">
        <v>29971</v>
      </c>
      <c r="C1573" s="984" t="s">
        <v>29914</v>
      </c>
      <c r="D1573" s="981">
        <f t="shared" si="24"/>
        <v>35474</v>
      </c>
    </row>
    <row r="1574" spans="1:4">
      <c r="A1574" s="2356">
        <v>36974</v>
      </c>
      <c r="B1574" s="984" t="s">
        <v>29953</v>
      </c>
      <c r="C1574" s="984" t="s">
        <v>29880</v>
      </c>
      <c r="D1574" s="981">
        <f t="shared" si="24"/>
        <v>36974</v>
      </c>
    </row>
    <row r="1575" spans="1:4">
      <c r="A1575" s="2356">
        <v>38646</v>
      </c>
      <c r="B1575" s="984" t="s">
        <v>31004</v>
      </c>
      <c r="C1575" s="984" t="s">
        <v>31053</v>
      </c>
      <c r="D1575" s="981">
        <f t="shared" si="24"/>
        <v>38646</v>
      </c>
    </row>
    <row r="1576" spans="1:4">
      <c r="A1576" s="2356">
        <v>29589</v>
      </c>
      <c r="B1576" s="984" t="s">
        <v>28497</v>
      </c>
      <c r="C1576" s="984" t="s">
        <v>27755</v>
      </c>
      <c r="D1576" s="981">
        <f t="shared" si="24"/>
        <v>29589</v>
      </c>
    </row>
    <row r="1577" spans="1:4">
      <c r="A1577" s="2356">
        <v>28646</v>
      </c>
      <c r="B1577" s="984" t="s">
        <v>28234</v>
      </c>
      <c r="C1577" s="984" t="s">
        <v>29849</v>
      </c>
      <c r="D1577" s="981">
        <f t="shared" si="24"/>
        <v>28646</v>
      </c>
    </row>
    <row r="1578" spans="1:4">
      <c r="A1578" s="2356">
        <v>28666</v>
      </c>
      <c r="B1578" s="984" t="s">
        <v>28239</v>
      </c>
      <c r="C1578" s="984" t="s">
        <v>27508</v>
      </c>
      <c r="D1578" s="981">
        <f t="shared" si="24"/>
        <v>28666</v>
      </c>
    </row>
    <row r="1579" spans="1:4">
      <c r="A1579" s="2356">
        <v>30056</v>
      </c>
      <c r="B1579" s="984" t="s">
        <v>28570</v>
      </c>
      <c r="C1579" s="984" t="s">
        <v>27828</v>
      </c>
      <c r="D1579" s="981">
        <f t="shared" si="24"/>
        <v>30056</v>
      </c>
    </row>
    <row r="1580" spans="1:4">
      <c r="A1580" s="2356">
        <v>29270</v>
      </c>
      <c r="B1580" s="984" t="s">
        <v>28345</v>
      </c>
      <c r="C1580" s="984" t="s">
        <v>27608</v>
      </c>
      <c r="D1580" s="981">
        <f t="shared" si="24"/>
        <v>29270</v>
      </c>
    </row>
    <row r="1581" spans="1:4">
      <c r="A1581" s="2356">
        <v>28827</v>
      </c>
      <c r="B1581" s="984" t="s">
        <v>28297</v>
      </c>
      <c r="C1581" s="984" t="s">
        <v>27563</v>
      </c>
      <c r="D1581" s="981">
        <f t="shared" si="24"/>
        <v>28827</v>
      </c>
    </row>
    <row r="1582" spans="1:4">
      <c r="A1582" s="2356">
        <v>28776</v>
      </c>
      <c r="B1582" s="984" t="s">
        <v>28276</v>
      </c>
      <c r="C1582" s="984" t="s">
        <v>27543</v>
      </c>
      <c r="D1582" s="981">
        <f t="shared" si="24"/>
        <v>28776</v>
      </c>
    </row>
    <row r="1583" spans="1:4">
      <c r="A1583" s="2356">
        <v>28623</v>
      </c>
      <c r="B1583" s="984" t="s">
        <v>28229</v>
      </c>
      <c r="C1583" s="984" t="s">
        <v>27499</v>
      </c>
      <c r="D1583" s="981">
        <f t="shared" si="24"/>
        <v>28623</v>
      </c>
    </row>
    <row r="1584" spans="1:4">
      <c r="A1584" s="2356">
        <v>29768</v>
      </c>
      <c r="B1584" s="984" t="s">
        <v>28533</v>
      </c>
      <c r="C1584" s="984" t="s">
        <v>27791</v>
      </c>
      <c r="D1584" s="981">
        <f t="shared" si="24"/>
        <v>29768</v>
      </c>
    </row>
    <row r="1585" spans="1:4">
      <c r="A1585" s="2356">
        <v>29649</v>
      </c>
      <c r="B1585" s="984" t="s">
        <v>28514</v>
      </c>
      <c r="C1585" s="984" t="s">
        <v>27772</v>
      </c>
      <c r="D1585" s="981">
        <f t="shared" si="24"/>
        <v>29649</v>
      </c>
    </row>
    <row r="1586" spans="1:4">
      <c r="A1586" s="2356">
        <v>29505</v>
      </c>
      <c r="B1586" s="984" t="s">
        <v>28456</v>
      </c>
      <c r="C1586" s="984" t="s">
        <v>27714</v>
      </c>
      <c r="D1586" s="981">
        <f t="shared" si="24"/>
        <v>29505</v>
      </c>
    </row>
    <row r="1587" spans="1:4">
      <c r="A1587" s="2356">
        <v>28358</v>
      </c>
      <c r="B1587" s="984" t="s">
        <v>28173</v>
      </c>
      <c r="C1587" s="984" t="s">
        <v>27446</v>
      </c>
      <c r="D1587" s="981">
        <f t="shared" si="24"/>
        <v>28358</v>
      </c>
    </row>
    <row r="1588" spans="1:4">
      <c r="A1588" s="2356">
        <v>28840</v>
      </c>
      <c r="B1588" s="984" t="s">
        <v>28303</v>
      </c>
      <c r="C1588" s="984" t="s">
        <v>27568</v>
      </c>
      <c r="D1588" s="981">
        <f t="shared" si="24"/>
        <v>28840</v>
      </c>
    </row>
    <row r="1589" spans="1:4">
      <c r="A1589" s="2356">
        <v>28669</v>
      </c>
      <c r="B1589" s="984" t="s">
        <v>28240</v>
      </c>
      <c r="C1589" s="984" t="s">
        <v>29851</v>
      </c>
      <c r="D1589" s="981">
        <f t="shared" si="24"/>
        <v>28669</v>
      </c>
    </row>
    <row r="1590" spans="1:4">
      <c r="A1590" s="2356">
        <v>28869</v>
      </c>
      <c r="B1590" s="984" t="s">
        <v>28307</v>
      </c>
      <c r="C1590" s="984" t="s">
        <v>27572</v>
      </c>
      <c r="D1590" s="981">
        <f t="shared" si="24"/>
        <v>28869</v>
      </c>
    </row>
    <row r="1591" spans="1:4">
      <c r="A1591" s="2356">
        <v>29390</v>
      </c>
      <c r="B1591" s="984" t="s">
        <v>28396</v>
      </c>
      <c r="C1591" s="984" t="s">
        <v>27656</v>
      </c>
      <c r="D1591" s="981">
        <f t="shared" si="24"/>
        <v>29390</v>
      </c>
    </row>
    <row r="1592" spans="1:4">
      <c r="A1592" s="2356">
        <v>29403</v>
      </c>
      <c r="B1592" s="984" t="s">
        <v>28406</v>
      </c>
      <c r="C1592" s="984" t="s">
        <v>27666</v>
      </c>
      <c r="D1592" s="981">
        <f t="shared" si="24"/>
        <v>29403</v>
      </c>
    </row>
    <row r="1593" spans="1:4">
      <c r="A1593" s="2356">
        <v>28383</v>
      </c>
      <c r="B1593" s="984" t="s">
        <v>28186</v>
      </c>
      <c r="C1593" s="984" t="s">
        <v>27459</v>
      </c>
      <c r="D1593" s="981">
        <f t="shared" si="24"/>
        <v>28383</v>
      </c>
    </row>
    <row r="1594" spans="1:4">
      <c r="A1594" s="2356">
        <v>29509</v>
      </c>
      <c r="B1594" s="984" t="s">
        <v>28458</v>
      </c>
      <c r="C1594" s="984" t="s">
        <v>27716</v>
      </c>
      <c r="D1594" s="981">
        <f t="shared" si="24"/>
        <v>29509</v>
      </c>
    </row>
    <row r="1595" spans="1:4">
      <c r="A1595" s="2356">
        <v>29567</v>
      </c>
      <c r="B1595" s="984" t="s">
        <v>28485</v>
      </c>
      <c r="C1595" s="984" t="s">
        <v>27743</v>
      </c>
      <c r="D1595" s="981">
        <f t="shared" si="24"/>
        <v>29567</v>
      </c>
    </row>
    <row r="1596" spans="1:4">
      <c r="A1596" s="2356">
        <v>29391</v>
      </c>
      <c r="B1596" s="984" t="s">
        <v>28397</v>
      </c>
      <c r="C1596" s="984" t="s">
        <v>27657</v>
      </c>
      <c r="D1596" s="981">
        <f t="shared" si="24"/>
        <v>29391</v>
      </c>
    </row>
    <row r="1597" spans="1:4">
      <c r="A1597" s="2356">
        <v>29501</v>
      </c>
      <c r="B1597" s="984" t="s">
        <v>28454</v>
      </c>
      <c r="C1597" s="984" t="s">
        <v>27712</v>
      </c>
      <c r="D1597" s="981">
        <f t="shared" si="24"/>
        <v>29501</v>
      </c>
    </row>
    <row r="1598" spans="1:4">
      <c r="A1598" s="2356">
        <v>28936</v>
      </c>
      <c r="B1598" s="984" t="s">
        <v>28320</v>
      </c>
      <c r="C1598" s="984" t="s">
        <v>27583</v>
      </c>
      <c r="D1598" s="981">
        <f t="shared" si="24"/>
        <v>28936</v>
      </c>
    </row>
    <row r="1599" spans="1:4">
      <c r="A1599" s="2356">
        <v>28739</v>
      </c>
      <c r="B1599" s="984" t="s">
        <v>28261</v>
      </c>
      <c r="C1599" s="984" t="s">
        <v>27528</v>
      </c>
      <c r="D1599" s="981">
        <f t="shared" si="24"/>
        <v>28739</v>
      </c>
    </row>
    <row r="1600" spans="1:4">
      <c r="A1600" s="2356">
        <v>29264</v>
      </c>
      <c r="B1600" s="984" t="s">
        <v>28344</v>
      </c>
      <c r="C1600" s="984" t="s">
        <v>27607</v>
      </c>
      <c r="D1600" s="981">
        <f t="shared" si="24"/>
        <v>29264</v>
      </c>
    </row>
    <row r="1601" spans="1:4">
      <c r="A1601" s="2356">
        <v>30010</v>
      </c>
      <c r="B1601" s="984" t="s">
        <v>28555</v>
      </c>
      <c r="C1601" s="984" t="s">
        <v>27813</v>
      </c>
      <c r="D1601" s="981">
        <f t="shared" si="24"/>
        <v>30010</v>
      </c>
    </row>
    <row r="1602" spans="1:4">
      <c r="A1602" s="2356">
        <v>28775</v>
      </c>
      <c r="B1602" s="984" t="s">
        <v>28275</v>
      </c>
      <c r="C1602" s="984" t="s">
        <v>27542</v>
      </c>
      <c r="D1602" s="981">
        <f t="shared" si="24"/>
        <v>28775</v>
      </c>
    </row>
    <row r="1603" spans="1:4">
      <c r="A1603" s="2356">
        <v>34108</v>
      </c>
      <c r="B1603" s="984" t="s">
        <v>29955</v>
      </c>
      <c r="C1603" s="984" t="s">
        <v>29886</v>
      </c>
      <c r="D1603" s="981">
        <f t="shared" si="24"/>
        <v>34108</v>
      </c>
    </row>
    <row r="1604" spans="1:4">
      <c r="A1604" s="2356">
        <v>29019</v>
      </c>
      <c r="B1604" s="984" t="s">
        <v>28331</v>
      </c>
      <c r="C1604" s="984" t="s">
        <v>27594</v>
      </c>
      <c r="D1604" s="981">
        <f t="shared" si="24"/>
        <v>29019</v>
      </c>
    </row>
    <row r="1605" spans="1:4">
      <c r="A1605" s="2356">
        <v>28520</v>
      </c>
      <c r="B1605" s="984" t="s">
        <v>28205</v>
      </c>
      <c r="C1605" s="984" t="s">
        <v>27476</v>
      </c>
      <c r="D1605" s="981">
        <f t="shared" si="24"/>
        <v>28520</v>
      </c>
    </row>
    <row r="1606" spans="1:4">
      <c r="A1606" s="2356">
        <v>28351</v>
      </c>
      <c r="B1606" s="984" t="s">
        <v>28171</v>
      </c>
      <c r="C1606" s="984" t="s">
        <v>27444</v>
      </c>
      <c r="D1606" s="981">
        <f t="shared" si="24"/>
        <v>28351</v>
      </c>
    </row>
    <row r="1607" spans="1:4">
      <c r="A1607" s="2356">
        <v>28393</v>
      </c>
      <c r="B1607" s="984" t="s">
        <v>28189</v>
      </c>
      <c r="C1607" s="984" t="s">
        <v>27462</v>
      </c>
      <c r="D1607" s="981">
        <f t="shared" si="24"/>
        <v>28393</v>
      </c>
    </row>
    <row r="1608" spans="1:4">
      <c r="A1608" s="2356">
        <v>29408</v>
      </c>
      <c r="B1608" s="984" t="s">
        <v>28410</v>
      </c>
      <c r="C1608" s="984" t="s">
        <v>27670</v>
      </c>
      <c r="D1608" s="981">
        <f t="shared" si="24"/>
        <v>29408</v>
      </c>
    </row>
    <row r="1609" spans="1:4">
      <c r="A1609" s="2356">
        <v>29447</v>
      </c>
      <c r="B1609" s="984" t="s">
        <v>28422</v>
      </c>
      <c r="C1609" s="984" t="s">
        <v>27682</v>
      </c>
      <c r="D1609" s="981">
        <f t="shared" ref="D1609:D1672" si="25">+A1609</f>
        <v>29447</v>
      </c>
    </row>
    <row r="1610" spans="1:4">
      <c r="A1610" s="2356">
        <v>28780</v>
      </c>
      <c r="B1610" s="984" t="s">
        <v>28279</v>
      </c>
      <c r="C1610" s="984" t="s">
        <v>27546</v>
      </c>
      <c r="D1610" s="981">
        <f t="shared" si="25"/>
        <v>28780</v>
      </c>
    </row>
    <row r="1611" spans="1:4">
      <c r="A1611" s="2356">
        <v>29724</v>
      </c>
      <c r="B1611" s="984" t="s">
        <v>28525</v>
      </c>
      <c r="C1611" s="984" t="s">
        <v>27783</v>
      </c>
      <c r="D1611" s="981">
        <f t="shared" si="25"/>
        <v>29724</v>
      </c>
    </row>
    <row r="1612" spans="1:4">
      <c r="A1612" s="2356">
        <v>28718</v>
      </c>
      <c r="B1612" s="984" t="s">
        <v>28251</v>
      </c>
      <c r="C1612" s="984" t="s">
        <v>27519</v>
      </c>
      <c r="D1612" s="981">
        <f t="shared" si="25"/>
        <v>28718</v>
      </c>
    </row>
    <row r="1613" spans="1:4">
      <c r="A1613" s="2356">
        <v>28584</v>
      </c>
      <c r="B1613" s="984" t="s">
        <v>28219</v>
      </c>
      <c r="C1613" s="984" t="s">
        <v>27489</v>
      </c>
      <c r="D1613" s="981">
        <f t="shared" si="25"/>
        <v>28584</v>
      </c>
    </row>
    <row r="1614" spans="1:4">
      <c r="A1614" s="2356">
        <v>28992</v>
      </c>
      <c r="B1614" s="984" t="s">
        <v>28328</v>
      </c>
      <c r="C1614" s="984" t="s">
        <v>27591</v>
      </c>
      <c r="D1614" s="981">
        <f t="shared" si="25"/>
        <v>28992</v>
      </c>
    </row>
    <row r="1615" spans="1:4">
      <c r="A1615" s="2356">
        <v>29515</v>
      </c>
      <c r="B1615" s="984" t="s">
        <v>28462</v>
      </c>
      <c r="C1615" s="984" t="s">
        <v>27720</v>
      </c>
      <c r="D1615" s="981">
        <f t="shared" si="25"/>
        <v>29515</v>
      </c>
    </row>
    <row r="1616" spans="1:4">
      <c r="A1616" s="2356">
        <v>29415</v>
      </c>
      <c r="B1616" s="984" t="s">
        <v>28414</v>
      </c>
      <c r="C1616" s="984" t="s">
        <v>27674</v>
      </c>
      <c r="D1616" s="981">
        <f t="shared" si="25"/>
        <v>29415</v>
      </c>
    </row>
    <row r="1617" spans="1:4">
      <c r="A1617" s="2356">
        <v>30041</v>
      </c>
      <c r="B1617" s="984" t="s">
        <v>28564</v>
      </c>
      <c r="C1617" s="984" t="s">
        <v>27822</v>
      </c>
      <c r="D1617" s="981">
        <f t="shared" si="25"/>
        <v>30041</v>
      </c>
    </row>
    <row r="1618" spans="1:4">
      <c r="A1618" s="2356">
        <v>29493</v>
      </c>
      <c r="B1618" s="984" t="s">
        <v>28448</v>
      </c>
      <c r="C1618" s="984" t="s">
        <v>27707</v>
      </c>
      <c r="D1618" s="981">
        <f t="shared" si="25"/>
        <v>29493</v>
      </c>
    </row>
    <row r="1619" spans="1:4">
      <c r="A1619" s="2356">
        <v>29480</v>
      </c>
      <c r="B1619" s="984" t="s">
        <v>28440</v>
      </c>
      <c r="C1619" s="984" t="s">
        <v>27699</v>
      </c>
      <c r="D1619" s="981">
        <f t="shared" si="25"/>
        <v>29480</v>
      </c>
    </row>
    <row r="1620" spans="1:4">
      <c r="A1620" s="2356">
        <v>29407</v>
      </c>
      <c r="B1620" s="984" t="s">
        <v>28409</v>
      </c>
      <c r="C1620" s="984" t="s">
        <v>27669</v>
      </c>
      <c r="D1620" s="981">
        <f t="shared" si="25"/>
        <v>29407</v>
      </c>
    </row>
    <row r="1621" spans="1:4">
      <c r="A1621" s="2356">
        <v>28610</v>
      </c>
      <c r="B1621" s="984" t="s">
        <v>28223</v>
      </c>
      <c r="C1621" s="984" t="s">
        <v>27493</v>
      </c>
      <c r="D1621" s="981">
        <f t="shared" si="25"/>
        <v>28610</v>
      </c>
    </row>
    <row r="1622" spans="1:4">
      <c r="A1622" s="2356">
        <v>29585</v>
      </c>
      <c r="B1622" s="984" t="s">
        <v>28496</v>
      </c>
      <c r="C1622" s="984" t="s">
        <v>27754</v>
      </c>
      <c r="D1622" s="981">
        <f t="shared" si="25"/>
        <v>29585</v>
      </c>
    </row>
    <row r="1623" spans="1:4">
      <c r="A1623" s="2356">
        <v>29483</v>
      </c>
      <c r="B1623" s="984" t="s">
        <v>28442</v>
      </c>
      <c r="C1623" s="984" t="s">
        <v>27701</v>
      </c>
      <c r="D1623" s="981">
        <f t="shared" si="25"/>
        <v>29483</v>
      </c>
    </row>
    <row r="1624" spans="1:4">
      <c r="A1624" s="2356">
        <v>29125</v>
      </c>
      <c r="B1624" s="984" t="s">
        <v>28334</v>
      </c>
      <c r="C1624" s="984" t="s">
        <v>27597</v>
      </c>
      <c r="D1624" s="981">
        <f t="shared" si="25"/>
        <v>29125</v>
      </c>
    </row>
    <row r="1625" spans="1:4">
      <c r="A1625" s="2356">
        <v>24612</v>
      </c>
      <c r="B1625" s="984" t="s">
        <v>25084</v>
      </c>
      <c r="C1625" s="984" t="s">
        <v>25085</v>
      </c>
      <c r="D1625" s="981">
        <f t="shared" si="25"/>
        <v>24612</v>
      </c>
    </row>
    <row r="1626" spans="1:4">
      <c r="A1626" s="2356">
        <v>28184</v>
      </c>
      <c r="B1626" s="984" t="s">
        <v>28126</v>
      </c>
      <c r="C1626" s="984" t="s">
        <v>27404</v>
      </c>
      <c r="D1626" s="981">
        <f t="shared" si="25"/>
        <v>28184</v>
      </c>
    </row>
    <row r="1627" spans="1:4">
      <c r="A1627" s="2356">
        <v>28272</v>
      </c>
      <c r="B1627" s="984" t="s">
        <v>28141</v>
      </c>
      <c r="C1627" s="984" t="s">
        <v>27419</v>
      </c>
      <c r="D1627" s="981">
        <f t="shared" si="25"/>
        <v>28272</v>
      </c>
    </row>
    <row r="1628" spans="1:4">
      <c r="A1628" s="2356">
        <v>27984</v>
      </c>
      <c r="B1628" s="984" t="s">
        <v>28010</v>
      </c>
      <c r="C1628" s="984" t="s">
        <v>27296</v>
      </c>
      <c r="D1628" s="981">
        <f t="shared" si="25"/>
        <v>27984</v>
      </c>
    </row>
    <row r="1629" spans="1:4">
      <c r="A1629" s="2356">
        <v>27008</v>
      </c>
      <c r="B1629" s="984" t="s">
        <v>26029</v>
      </c>
      <c r="C1629" s="984" t="s">
        <v>26028</v>
      </c>
      <c r="D1629" s="981">
        <f t="shared" si="25"/>
        <v>27008</v>
      </c>
    </row>
    <row r="1630" spans="1:4">
      <c r="A1630" s="2356">
        <v>29843</v>
      </c>
      <c r="B1630" s="984" t="s">
        <v>28540</v>
      </c>
      <c r="C1630" s="984" t="s">
        <v>27798</v>
      </c>
      <c r="D1630" s="981">
        <f t="shared" si="25"/>
        <v>29843</v>
      </c>
    </row>
    <row r="1631" spans="1:4">
      <c r="A1631" s="2356">
        <v>28151</v>
      </c>
      <c r="B1631" s="984" t="s">
        <v>28115</v>
      </c>
      <c r="C1631" s="984" t="s">
        <v>27393</v>
      </c>
      <c r="D1631" s="981">
        <f t="shared" si="25"/>
        <v>28151</v>
      </c>
    </row>
    <row r="1632" spans="1:4">
      <c r="A1632" s="2356">
        <v>27949</v>
      </c>
      <c r="B1632" s="984" t="s">
        <v>27994</v>
      </c>
      <c r="C1632" s="984" t="s">
        <v>27280</v>
      </c>
      <c r="D1632" s="981">
        <f t="shared" si="25"/>
        <v>27949</v>
      </c>
    </row>
    <row r="1633" spans="1:4">
      <c r="A1633" s="2356">
        <v>26705</v>
      </c>
      <c r="B1633" s="984" t="s">
        <v>26022</v>
      </c>
      <c r="C1633" s="984" t="s">
        <v>26021</v>
      </c>
      <c r="D1633" s="981">
        <f t="shared" si="25"/>
        <v>26705</v>
      </c>
    </row>
    <row r="1634" spans="1:4">
      <c r="A1634" s="2356">
        <v>25839</v>
      </c>
      <c r="B1634" s="984" t="s">
        <v>25847</v>
      </c>
      <c r="C1634" s="984" t="s">
        <v>25846</v>
      </c>
      <c r="D1634" s="981">
        <f t="shared" si="25"/>
        <v>25839</v>
      </c>
    </row>
    <row r="1635" spans="1:4">
      <c r="A1635" s="2356">
        <v>24609</v>
      </c>
      <c r="B1635" s="984" t="s">
        <v>25078</v>
      </c>
      <c r="C1635" s="984" t="s">
        <v>25079</v>
      </c>
      <c r="D1635" s="981">
        <f t="shared" si="25"/>
        <v>24609</v>
      </c>
    </row>
    <row r="1636" spans="1:4">
      <c r="A1636" s="2356">
        <v>24591</v>
      </c>
      <c r="B1636" s="984" t="s">
        <v>25057</v>
      </c>
      <c r="C1636" s="984" t="s">
        <v>25058</v>
      </c>
      <c r="D1636" s="981">
        <f t="shared" si="25"/>
        <v>24591</v>
      </c>
    </row>
    <row r="1637" spans="1:4">
      <c r="A1637" s="2356">
        <v>27901</v>
      </c>
      <c r="B1637" s="984" t="s">
        <v>27971</v>
      </c>
      <c r="C1637" s="984" t="s">
        <v>31087</v>
      </c>
      <c r="D1637" s="981">
        <f t="shared" si="25"/>
        <v>27901</v>
      </c>
    </row>
    <row r="1638" spans="1:4">
      <c r="A1638" s="2356">
        <v>27777</v>
      </c>
      <c r="B1638" s="984" t="s">
        <v>27916</v>
      </c>
      <c r="C1638" s="984" t="s">
        <v>27207</v>
      </c>
      <c r="D1638" s="981">
        <f t="shared" si="25"/>
        <v>27777</v>
      </c>
    </row>
    <row r="1639" spans="1:4">
      <c r="A1639" s="2356">
        <v>28318</v>
      </c>
      <c r="B1639" s="984" t="s">
        <v>28154</v>
      </c>
      <c r="C1639" s="984" t="s">
        <v>27428</v>
      </c>
      <c r="D1639" s="981">
        <f t="shared" si="25"/>
        <v>28318</v>
      </c>
    </row>
    <row r="1640" spans="1:4">
      <c r="A1640" s="2356">
        <v>27960</v>
      </c>
      <c r="B1640" s="984" t="s">
        <v>28001</v>
      </c>
      <c r="C1640" s="984" t="s">
        <v>27287</v>
      </c>
      <c r="D1640" s="981">
        <f t="shared" si="25"/>
        <v>27960</v>
      </c>
    </row>
    <row r="1641" spans="1:4">
      <c r="A1641" s="2356">
        <v>27841</v>
      </c>
      <c r="B1641" s="984" t="s">
        <v>27946</v>
      </c>
      <c r="C1641" s="984" t="s">
        <v>27236</v>
      </c>
      <c r="D1641" s="981">
        <f t="shared" si="25"/>
        <v>27841</v>
      </c>
    </row>
    <row r="1642" spans="1:4">
      <c r="A1642" s="2356">
        <v>25967</v>
      </c>
      <c r="B1642" s="984" t="s">
        <v>25914</v>
      </c>
      <c r="C1642" s="984" t="s">
        <v>25913</v>
      </c>
      <c r="D1642" s="981">
        <f t="shared" si="25"/>
        <v>25967</v>
      </c>
    </row>
    <row r="1643" spans="1:4">
      <c r="A1643" s="2356">
        <v>25993</v>
      </c>
      <c r="B1643" s="984" t="s">
        <v>25929</v>
      </c>
      <c r="C1643" s="984" t="s">
        <v>25928</v>
      </c>
      <c r="D1643" s="981">
        <f t="shared" si="25"/>
        <v>25993</v>
      </c>
    </row>
    <row r="1644" spans="1:4">
      <c r="A1644" s="2356">
        <v>28326</v>
      </c>
      <c r="B1644" s="984" t="s">
        <v>28158</v>
      </c>
      <c r="C1644" s="984" t="s">
        <v>27431</v>
      </c>
      <c r="D1644" s="981">
        <f t="shared" si="25"/>
        <v>28326</v>
      </c>
    </row>
    <row r="1645" spans="1:4">
      <c r="A1645" s="2356">
        <v>28053</v>
      </c>
      <c r="B1645" s="984" t="s">
        <v>28058</v>
      </c>
      <c r="C1645" s="984" t="s">
        <v>27341</v>
      </c>
      <c r="D1645" s="981">
        <f t="shared" si="25"/>
        <v>28053</v>
      </c>
    </row>
    <row r="1646" spans="1:4">
      <c r="A1646" s="2356">
        <v>27835</v>
      </c>
      <c r="B1646" s="984" t="s">
        <v>27943</v>
      </c>
      <c r="C1646" s="984" t="s">
        <v>27233</v>
      </c>
      <c r="D1646" s="981">
        <f t="shared" si="25"/>
        <v>27835</v>
      </c>
    </row>
    <row r="1647" spans="1:4">
      <c r="A1647" s="2356">
        <v>27816</v>
      </c>
      <c r="B1647" s="984" t="s">
        <v>27934</v>
      </c>
      <c r="C1647" s="984" t="s">
        <v>27225</v>
      </c>
      <c r="D1647" s="981">
        <f t="shared" si="25"/>
        <v>27816</v>
      </c>
    </row>
    <row r="1648" spans="1:4">
      <c r="A1648" s="2356">
        <v>28335</v>
      </c>
      <c r="B1648" s="984" t="s">
        <v>28162</v>
      </c>
      <c r="C1648" s="984" t="s">
        <v>27435</v>
      </c>
      <c r="D1648" s="981">
        <f t="shared" si="25"/>
        <v>28335</v>
      </c>
    </row>
    <row r="1649" spans="1:4">
      <c r="A1649" s="2356">
        <v>27873</v>
      </c>
      <c r="B1649" s="984" t="s">
        <v>27960</v>
      </c>
      <c r="C1649" s="984" t="s">
        <v>27250</v>
      </c>
      <c r="D1649" s="981">
        <f t="shared" si="25"/>
        <v>27873</v>
      </c>
    </row>
    <row r="1650" spans="1:4">
      <c r="A1650" s="2356">
        <v>28143</v>
      </c>
      <c r="B1650" s="984" t="s">
        <v>28112</v>
      </c>
      <c r="C1650" s="984" t="s">
        <v>29828</v>
      </c>
      <c r="D1650" s="981">
        <f t="shared" si="25"/>
        <v>28143</v>
      </c>
    </row>
    <row r="1651" spans="1:4">
      <c r="A1651" s="2356">
        <v>28093</v>
      </c>
      <c r="B1651" s="984" t="s">
        <v>28086</v>
      </c>
      <c r="C1651" s="984" t="s">
        <v>27366</v>
      </c>
      <c r="D1651" s="981">
        <f t="shared" si="25"/>
        <v>28093</v>
      </c>
    </row>
    <row r="1652" spans="1:4">
      <c r="A1652" s="2356">
        <v>25991</v>
      </c>
      <c r="B1652" s="984" t="s">
        <v>25927</v>
      </c>
      <c r="C1652" s="984" t="s">
        <v>25926</v>
      </c>
      <c r="D1652" s="981">
        <f t="shared" si="25"/>
        <v>25991</v>
      </c>
    </row>
    <row r="1653" spans="1:4">
      <c r="A1653" s="2356">
        <v>24894</v>
      </c>
      <c r="B1653" s="984" t="s">
        <v>25735</v>
      </c>
      <c r="C1653" s="984" t="s">
        <v>25734</v>
      </c>
      <c r="D1653" s="981">
        <f t="shared" si="25"/>
        <v>24894</v>
      </c>
    </row>
    <row r="1654" spans="1:4">
      <c r="A1654" s="2356">
        <v>28006</v>
      </c>
      <c r="B1654" s="984" t="s">
        <v>28024</v>
      </c>
      <c r="C1654" s="984" t="s">
        <v>27308</v>
      </c>
      <c r="D1654" s="981">
        <f t="shared" si="25"/>
        <v>28006</v>
      </c>
    </row>
    <row r="1655" spans="1:4">
      <c r="A1655" s="2356">
        <v>27986</v>
      </c>
      <c r="B1655" s="984" t="s">
        <v>28011</v>
      </c>
      <c r="C1655" s="984" t="s">
        <v>27297</v>
      </c>
      <c r="D1655" s="981">
        <f t="shared" si="25"/>
        <v>27986</v>
      </c>
    </row>
    <row r="1656" spans="1:4">
      <c r="A1656" s="2356">
        <v>27968</v>
      </c>
      <c r="B1656" s="984" t="s">
        <v>28005</v>
      </c>
      <c r="C1656" s="984" t="s">
        <v>27291</v>
      </c>
      <c r="D1656" s="981">
        <f t="shared" si="25"/>
        <v>27968</v>
      </c>
    </row>
    <row r="1657" spans="1:4">
      <c r="A1657" s="2356">
        <v>28209</v>
      </c>
      <c r="B1657" s="984" t="s">
        <v>28133</v>
      </c>
      <c r="C1657" s="984" t="s">
        <v>27411</v>
      </c>
      <c r="D1657" s="981">
        <f t="shared" si="25"/>
        <v>28209</v>
      </c>
    </row>
    <row r="1658" spans="1:4">
      <c r="A1658" s="2356">
        <v>28079</v>
      </c>
      <c r="B1658" s="984" t="s">
        <v>28076</v>
      </c>
      <c r="C1658" s="984" t="s">
        <v>27356</v>
      </c>
      <c r="D1658" s="981">
        <f t="shared" si="25"/>
        <v>28079</v>
      </c>
    </row>
    <row r="1659" spans="1:4">
      <c r="A1659" s="2356">
        <v>25933</v>
      </c>
      <c r="B1659" s="984" t="s">
        <v>25891</v>
      </c>
      <c r="C1659" s="984" t="s">
        <v>25890</v>
      </c>
      <c r="D1659" s="981">
        <f t="shared" si="25"/>
        <v>25933</v>
      </c>
    </row>
    <row r="1660" spans="1:4">
      <c r="A1660" s="2356">
        <v>26785</v>
      </c>
      <c r="B1660" s="984" t="s">
        <v>26025</v>
      </c>
      <c r="C1660" s="984" t="s">
        <v>31039</v>
      </c>
      <c r="D1660" s="981">
        <f t="shared" si="25"/>
        <v>26785</v>
      </c>
    </row>
    <row r="1661" spans="1:4">
      <c r="A1661" s="2356">
        <v>24589</v>
      </c>
      <c r="B1661" s="984" t="s">
        <v>25053</v>
      </c>
      <c r="C1661" s="984" t="s">
        <v>25054</v>
      </c>
      <c r="D1661" s="981">
        <f t="shared" si="25"/>
        <v>24589</v>
      </c>
    </row>
    <row r="1662" spans="1:4">
      <c r="A1662" s="2356">
        <v>25950</v>
      </c>
      <c r="B1662" s="984" t="s">
        <v>25901</v>
      </c>
      <c r="C1662" s="984" t="s">
        <v>25900</v>
      </c>
      <c r="D1662" s="981">
        <f t="shared" si="25"/>
        <v>25950</v>
      </c>
    </row>
    <row r="1663" spans="1:4">
      <c r="A1663" s="2356">
        <v>25881</v>
      </c>
      <c r="B1663" s="984" t="s">
        <v>25866</v>
      </c>
      <c r="C1663" s="984" t="s">
        <v>25865</v>
      </c>
      <c r="D1663" s="981">
        <f t="shared" si="25"/>
        <v>25881</v>
      </c>
    </row>
    <row r="1664" spans="1:4">
      <c r="A1664" s="2356">
        <v>25633</v>
      </c>
      <c r="B1664" s="984" t="s">
        <v>25798</v>
      </c>
      <c r="C1664" s="984" t="s">
        <v>25797</v>
      </c>
      <c r="D1664" s="981">
        <f t="shared" si="25"/>
        <v>25633</v>
      </c>
    </row>
    <row r="1665" spans="1:4">
      <c r="A1665" s="2356">
        <v>27889</v>
      </c>
      <c r="B1665" s="984" t="s">
        <v>27965</v>
      </c>
      <c r="C1665" s="984" t="s">
        <v>27255</v>
      </c>
      <c r="D1665" s="981">
        <f t="shared" si="25"/>
        <v>27889</v>
      </c>
    </row>
    <row r="1666" spans="1:4">
      <c r="A1666" s="2356">
        <v>27831</v>
      </c>
      <c r="B1666" s="984" t="s">
        <v>27940</v>
      </c>
      <c r="C1666" s="984" t="s">
        <v>27230</v>
      </c>
      <c r="D1666" s="981">
        <f t="shared" si="25"/>
        <v>27831</v>
      </c>
    </row>
    <row r="1667" spans="1:4">
      <c r="A1667" s="2356">
        <v>27856</v>
      </c>
      <c r="B1667" s="984" t="s">
        <v>27952</v>
      </c>
      <c r="C1667" s="984" t="s">
        <v>27242</v>
      </c>
      <c r="D1667" s="981">
        <f t="shared" si="25"/>
        <v>27856</v>
      </c>
    </row>
    <row r="1668" spans="1:4">
      <c r="A1668" s="2356">
        <v>25953</v>
      </c>
      <c r="B1668" s="984" t="s">
        <v>25903</v>
      </c>
      <c r="C1668" s="984" t="s">
        <v>25902</v>
      </c>
      <c r="D1668" s="981">
        <f t="shared" si="25"/>
        <v>25953</v>
      </c>
    </row>
    <row r="1669" spans="1:4">
      <c r="A1669" s="2356">
        <v>25875</v>
      </c>
      <c r="B1669" s="984" t="s">
        <v>25864</v>
      </c>
      <c r="C1669" s="984" t="s">
        <v>31060</v>
      </c>
      <c r="D1669" s="981">
        <f t="shared" si="25"/>
        <v>25875</v>
      </c>
    </row>
    <row r="1670" spans="1:4">
      <c r="A1670" s="2356">
        <v>27926</v>
      </c>
      <c r="B1670" s="984" t="s">
        <v>27983</v>
      </c>
      <c r="C1670" s="984" t="s">
        <v>27271</v>
      </c>
      <c r="D1670" s="981">
        <f t="shared" si="25"/>
        <v>27926</v>
      </c>
    </row>
    <row r="1671" spans="1:4">
      <c r="A1671" s="2356">
        <v>25271</v>
      </c>
      <c r="B1671" s="984" t="s">
        <v>25754</v>
      </c>
      <c r="C1671" s="984" t="s">
        <v>25753</v>
      </c>
      <c r="D1671" s="981">
        <f t="shared" si="25"/>
        <v>25271</v>
      </c>
    </row>
    <row r="1672" spans="1:4">
      <c r="A1672" s="2356">
        <v>28026</v>
      </c>
      <c r="B1672" s="984" t="s">
        <v>28039</v>
      </c>
      <c r="C1672" s="984" t="s">
        <v>27322</v>
      </c>
      <c r="D1672" s="981">
        <f t="shared" si="25"/>
        <v>28026</v>
      </c>
    </row>
    <row r="1673" spans="1:4">
      <c r="A1673" s="2356">
        <v>24960</v>
      </c>
      <c r="B1673" s="984" t="s">
        <v>27903</v>
      </c>
      <c r="C1673" s="984" t="s">
        <v>27192</v>
      </c>
      <c r="D1673" s="981">
        <f t="shared" ref="D1673:D1736" si="26">+A1673</f>
        <v>24960</v>
      </c>
    </row>
    <row r="1674" spans="1:4">
      <c r="A1674" s="2356">
        <v>25626</v>
      </c>
      <c r="B1674" s="984" t="s">
        <v>25796</v>
      </c>
      <c r="C1674" s="984" t="s">
        <v>25795</v>
      </c>
      <c r="D1674" s="981">
        <f t="shared" si="26"/>
        <v>25626</v>
      </c>
    </row>
    <row r="1675" spans="1:4">
      <c r="A1675" s="2356">
        <v>27450</v>
      </c>
      <c r="B1675" s="984" t="s">
        <v>26535</v>
      </c>
      <c r="C1675" s="984" t="s">
        <v>26541</v>
      </c>
      <c r="D1675" s="981">
        <f t="shared" si="26"/>
        <v>27450</v>
      </c>
    </row>
    <row r="1676" spans="1:4">
      <c r="A1676" s="2356">
        <v>25928</v>
      </c>
      <c r="B1676" s="984" t="s">
        <v>25887</v>
      </c>
      <c r="C1676" s="984" t="s">
        <v>25886</v>
      </c>
      <c r="D1676" s="981">
        <f t="shared" si="26"/>
        <v>25928</v>
      </c>
    </row>
    <row r="1677" spans="1:4">
      <c r="A1677" s="2356">
        <v>30013</v>
      </c>
      <c r="B1677" s="984" t="s">
        <v>28557</v>
      </c>
      <c r="C1677" s="984" t="s">
        <v>27815</v>
      </c>
      <c r="D1677" s="981">
        <f t="shared" si="26"/>
        <v>30013</v>
      </c>
    </row>
    <row r="1678" spans="1:4">
      <c r="A1678" s="2356">
        <v>28067</v>
      </c>
      <c r="B1678" s="984" t="s">
        <v>28068</v>
      </c>
      <c r="C1678" s="984" t="s">
        <v>27349</v>
      </c>
      <c r="D1678" s="981">
        <f t="shared" si="26"/>
        <v>28067</v>
      </c>
    </row>
    <row r="1679" spans="1:4">
      <c r="A1679" s="2356">
        <v>28066</v>
      </c>
      <c r="B1679" s="984" t="s">
        <v>28067</v>
      </c>
      <c r="C1679" s="984" t="s">
        <v>31976</v>
      </c>
      <c r="D1679" s="981">
        <f t="shared" si="26"/>
        <v>28066</v>
      </c>
    </row>
    <row r="1680" spans="1:4">
      <c r="A1680" s="2356">
        <v>28065</v>
      </c>
      <c r="B1680" s="984" t="s">
        <v>28066</v>
      </c>
      <c r="C1680" s="984" t="s">
        <v>27348</v>
      </c>
      <c r="D1680" s="981">
        <f t="shared" si="26"/>
        <v>28065</v>
      </c>
    </row>
    <row r="1681" spans="1:4">
      <c r="A1681" s="2356">
        <v>24658</v>
      </c>
      <c r="B1681" s="984" t="s">
        <v>25095</v>
      </c>
      <c r="C1681" s="984" t="s">
        <v>25096</v>
      </c>
      <c r="D1681" s="981">
        <f t="shared" si="26"/>
        <v>24658</v>
      </c>
    </row>
    <row r="1682" spans="1:4">
      <c r="A1682" s="2356">
        <v>25936</v>
      </c>
      <c r="B1682" s="984" t="s">
        <v>25895</v>
      </c>
      <c r="C1682" s="984" t="s">
        <v>25894</v>
      </c>
      <c r="D1682" s="981">
        <f t="shared" si="26"/>
        <v>25936</v>
      </c>
    </row>
    <row r="1683" spans="1:4">
      <c r="A1683" s="2356">
        <v>25910</v>
      </c>
      <c r="B1683" s="984" t="s">
        <v>25877</v>
      </c>
      <c r="C1683" s="984" t="s">
        <v>25876</v>
      </c>
      <c r="D1683" s="981">
        <f t="shared" si="26"/>
        <v>25910</v>
      </c>
    </row>
    <row r="1684" spans="1:4">
      <c r="A1684" s="2356">
        <v>24566</v>
      </c>
      <c r="B1684" s="984" t="s">
        <v>25033</v>
      </c>
      <c r="C1684" s="984" t="s">
        <v>25034</v>
      </c>
      <c r="D1684" s="981">
        <f t="shared" si="26"/>
        <v>24566</v>
      </c>
    </row>
    <row r="1685" spans="1:4">
      <c r="A1685" s="2356">
        <v>25323</v>
      </c>
      <c r="B1685" s="984" t="s">
        <v>25762</v>
      </c>
      <c r="C1685" s="984" t="s">
        <v>25761</v>
      </c>
      <c r="D1685" s="981">
        <f t="shared" si="26"/>
        <v>25323</v>
      </c>
    </row>
    <row r="1686" spans="1:4">
      <c r="A1686" s="2356">
        <v>25996</v>
      </c>
      <c r="B1686" s="984" t="s">
        <v>25934</v>
      </c>
      <c r="C1686" s="984" t="s">
        <v>31084</v>
      </c>
      <c r="D1686" s="981">
        <f t="shared" si="26"/>
        <v>25996</v>
      </c>
    </row>
    <row r="1687" spans="1:4">
      <c r="A1687" s="2356">
        <v>25964</v>
      </c>
      <c r="B1687" s="984" t="s">
        <v>25912</v>
      </c>
      <c r="C1687" s="984" t="s">
        <v>25911</v>
      </c>
      <c r="D1687" s="981">
        <f t="shared" si="26"/>
        <v>25964</v>
      </c>
    </row>
    <row r="1688" spans="1:4">
      <c r="A1688" s="2356">
        <v>23833</v>
      </c>
      <c r="B1688" s="984" t="s">
        <v>23097</v>
      </c>
      <c r="C1688" s="984" t="s">
        <v>24026</v>
      </c>
      <c r="D1688" s="981">
        <f t="shared" si="26"/>
        <v>23833</v>
      </c>
    </row>
    <row r="1689" spans="1:4">
      <c r="A1689" s="2356">
        <v>23914</v>
      </c>
      <c r="B1689" s="984" t="s">
        <v>27898</v>
      </c>
      <c r="C1689" s="984" t="s">
        <v>27185</v>
      </c>
      <c r="D1689" s="981">
        <f t="shared" si="26"/>
        <v>23914</v>
      </c>
    </row>
    <row r="1690" spans="1:4">
      <c r="A1690" s="2356">
        <v>23861</v>
      </c>
      <c r="B1690" s="984" t="s">
        <v>23055</v>
      </c>
      <c r="C1690" s="984" t="s">
        <v>23985</v>
      </c>
      <c r="D1690" s="981">
        <f t="shared" si="26"/>
        <v>23861</v>
      </c>
    </row>
    <row r="1691" spans="1:4">
      <c r="A1691" s="2356">
        <v>23098</v>
      </c>
      <c r="B1691" s="984" t="s">
        <v>23456</v>
      </c>
      <c r="C1691" s="984" t="s">
        <v>24375</v>
      </c>
      <c r="D1691" s="981">
        <f t="shared" si="26"/>
        <v>23098</v>
      </c>
    </row>
    <row r="1692" spans="1:4">
      <c r="A1692" s="2356">
        <v>24046</v>
      </c>
      <c r="B1692" s="984" t="s">
        <v>23265</v>
      </c>
      <c r="C1692" s="984" t="s">
        <v>24188</v>
      </c>
      <c r="D1692" s="981">
        <f t="shared" si="26"/>
        <v>24046</v>
      </c>
    </row>
    <row r="1693" spans="1:4">
      <c r="A1693" s="2356">
        <v>24027</v>
      </c>
      <c r="B1693" s="984" t="s">
        <v>22986</v>
      </c>
      <c r="C1693" s="984" t="s">
        <v>23932</v>
      </c>
      <c r="D1693" s="981">
        <f t="shared" si="26"/>
        <v>24027</v>
      </c>
    </row>
    <row r="1694" spans="1:4">
      <c r="A1694" s="2356">
        <v>23804</v>
      </c>
      <c r="B1694" s="984" t="s">
        <v>23084</v>
      </c>
      <c r="C1694" s="984" t="s">
        <v>24013</v>
      </c>
      <c r="D1694" s="981">
        <f t="shared" si="26"/>
        <v>23804</v>
      </c>
    </row>
    <row r="1695" spans="1:4">
      <c r="A1695" s="2356">
        <v>23891</v>
      </c>
      <c r="B1695" s="984" t="s">
        <v>23542</v>
      </c>
      <c r="C1695" s="984" t="s">
        <v>24460</v>
      </c>
      <c r="D1695" s="981">
        <f t="shared" si="26"/>
        <v>23891</v>
      </c>
    </row>
    <row r="1696" spans="1:4">
      <c r="A1696" s="2356">
        <v>23862</v>
      </c>
      <c r="B1696" s="984" t="s">
        <v>23598</v>
      </c>
      <c r="C1696" s="984" t="s">
        <v>24515</v>
      </c>
      <c r="D1696" s="981">
        <f t="shared" si="26"/>
        <v>23862</v>
      </c>
    </row>
    <row r="1697" spans="1:4">
      <c r="A1697" s="2356">
        <v>23850</v>
      </c>
      <c r="B1697" s="984" t="s">
        <v>23557</v>
      </c>
      <c r="C1697" s="984" t="s">
        <v>24474</v>
      </c>
      <c r="D1697" s="981">
        <f t="shared" si="26"/>
        <v>23850</v>
      </c>
    </row>
    <row r="1698" spans="1:4">
      <c r="A1698" s="2356">
        <v>23968</v>
      </c>
      <c r="B1698" s="984" t="s">
        <v>23454</v>
      </c>
      <c r="C1698" s="984" t="s">
        <v>24374</v>
      </c>
      <c r="D1698" s="981">
        <f t="shared" si="26"/>
        <v>23968</v>
      </c>
    </row>
    <row r="1699" spans="1:4">
      <c r="A1699" s="2356">
        <v>23917</v>
      </c>
      <c r="B1699" s="984" t="s">
        <v>23018</v>
      </c>
      <c r="C1699" s="984" t="s">
        <v>23948</v>
      </c>
      <c r="D1699" s="981">
        <f t="shared" si="26"/>
        <v>23917</v>
      </c>
    </row>
    <row r="1700" spans="1:4">
      <c r="A1700" s="2356">
        <v>23845</v>
      </c>
      <c r="B1700" s="984" t="s">
        <v>23388</v>
      </c>
      <c r="C1700" s="984" t="s">
        <v>24312</v>
      </c>
      <c r="D1700" s="981">
        <f t="shared" si="26"/>
        <v>23845</v>
      </c>
    </row>
    <row r="1701" spans="1:4">
      <c r="A1701" s="2356">
        <v>23097</v>
      </c>
      <c r="B1701" s="984" t="s">
        <v>23457</v>
      </c>
      <c r="C1701" s="984" t="s">
        <v>24376</v>
      </c>
      <c r="D1701" s="981">
        <f t="shared" si="26"/>
        <v>23097</v>
      </c>
    </row>
    <row r="1702" spans="1:4">
      <c r="A1702" s="2356">
        <v>20941</v>
      </c>
      <c r="B1702" s="984" t="s">
        <v>23109</v>
      </c>
      <c r="C1702" s="984" t="s">
        <v>24038</v>
      </c>
      <c r="D1702" s="981">
        <f t="shared" si="26"/>
        <v>20941</v>
      </c>
    </row>
    <row r="1703" spans="1:4">
      <c r="A1703" s="2356">
        <v>21575</v>
      </c>
      <c r="B1703" s="984" t="s">
        <v>23211</v>
      </c>
      <c r="C1703" s="984" t="s">
        <v>24136</v>
      </c>
      <c r="D1703" s="981">
        <f t="shared" si="26"/>
        <v>21575</v>
      </c>
    </row>
    <row r="1704" spans="1:4">
      <c r="A1704" s="2356">
        <v>21572</v>
      </c>
      <c r="B1704" s="984" t="s">
        <v>23050</v>
      </c>
      <c r="C1704" s="984" t="s">
        <v>23980</v>
      </c>
      <c r="D1704" s="981">
        <f t="shared" si="26"/>
        <v>21572</v>
      </c>
    </row>
    <row r="1705" spans="1:4">
      <c r="A1705" s="2356">
        <v>20380</v>
      </c>
      <c r="B1705" s="984" t="s">
        <v>23384</v>
      </c>
      <c r="C1705" s="984" t="s">
        <v>24308</v>
      </c>
      <c r="D1705" s="981">
        <f t="shared" si="26"/>
        <v>20380</v>
      </c>
    </row>
    <row r="1706" spans="1:4">
      <c r="A1706" s="2356">
        <v>21497</v>
      </c>
      <c r="B1706" s="984" t="s">
        <v>29951</v>
      </c>
      <c r="C1706" s="984" t="s">
        <v>29875</v>
      </c>
      <c r="D1706" s="981">
        <f t="shared" si="26"/>
        <v>21497</v>
      </c>
    </row>
    <row r="1707" spans="1:4">
      <c r="A1707" s="2356">
        <v>22198</v>
      </c>
      <c r="B1707" s="984" t="s">
        <v>23575</v>
      </c>
      <c r="C1707" s="984" t="s">
        <v>24492</v>
      </c>
      <c r="D1707" s="981">
        <f t="shared" si="26"/>
        <v>22198</v>
      </c>
    </row>
    <row r="1708" spans="1:4">
      <c r="A1708" s="2356">
        <v>21587</v>
      </c>
      <c r="B1708" s="984" t="s">
        <v>23473</v>
      </c>
      <c r="C1708" s="984" t="s">
        <v>24391</v>
      </c>
      <c r="D1708" s="981">
        <f t="shared" si="26"/>
        <v>21587</v>
      </c>
    </row>
    <row r="1709" spans="1:4">
      <c r="A1709" s="2356">
        <v>22684</v>
      </c>
      <c r="B1709" s="984" t="s">
        <v>23209</v>
      </c>
      <c r="C1709" s="984" t="s">
        <v>24134</v>
      </c>
      <c r="D1709" s="981">
        <f t="shared" si="26"/>
        <v>22684</v>
      </c>
    </row>
    <row r="1710" spans="1:4">
      <c r="A1710" s="2356">
        <v>22044</v>
      </c>
      <c r="B1710" s="984" t="s">
        <v>23397</v>
      </c>
      <c r="C1710" s="984" t="s">
        <v>24320</v>
      </c>
      <c r="D1710" s="981">
        <f t="shared" si="26"/>
        <v>22044</v>
      </c>
    </row>
    <row r="1711" spans="1:4">
      <c r="A1711" s="2356">
        <v>22820</v>
      </c>
      <c r="B1711" s="984" t="s">
        <v>23513</v>
      </c>
      <c r="C1711" s="984" t="s">
        <v>24430</v>
      </c>
      <c r="D1711" s="981">
        <f t="shared" si="26"/>
        <v>22820</v>
      </c>
    </row>
    <row r="1712" spans="1:4">
      <c r="A1712" s="2356">
        <v>21652</v>
      </c>
      <c r="B1712" s="984" t="s">
        <v>23186</v>
      </c>
      <c r="C1712" s="984" t="s">
        <v>24112</v>
      </c>
      <c r="D1712" s="981">
        <f t="shared" si="26"/>
        <v>21652</v>
      </c>
    </row>
    <row r="1713" spans="1:4">
      <c r="A1713" s="2356">
        <v>21472</v>
      </c>
      <c r="B1713" s="984" t="s">
        <v>23151</v>
      </c>
      <c r="C1713" s="984" t="s">
        <v>24079</v>
      </c>
      <c r="D1713" s="981">
        <f t="shared" si="26"/>
        <v>21472</v>
      </c>
    </row>
    <row r="1714" spans="1:4">
      <c r="A1714" s="2356">
        <v>22649</v>
      </c>
      <c r="B1714" s="984" t="s">
        <v>23618</v>
      </c>
      <c r="C1714" s="984" t="s">
        <v>24534</v>
      </c>
      <c r="D1714" s="981">
        <f t="shared" si="26"/>
        <v>22649</v>
      </c>
    </row>
    <row r="1715" spans="1:4">
      <c r="A1715" s="2356">
        <v>21628</v>
      </c>
      <c r="B1715" s="984" t="s">
        <v>23653</v>
      </c>
      <c r="C1715" s="984" t="s">
        <v>24567</v>
      </c>
      <c r="D1715" s="981">
        <f t="shared" si="26"/>
        <v>21628</v>
      </c>
    </row>
    <row r="1716" spans="1:4">
      <c r="A1716" s="2356">
        <v>21478</v>
      </c>
      <c r="B1716" s="984" t="s">
        <v>23364</v>
      </c>
      <c r="C1716" s="984" t="s">
        <v>24288</v>
      </c>
      <c r="D1716" s="981">
        <f t="shared" si="26"/>
        <v>21478</v>
      </c>
    </row>
    <row r="1717" spans="1:4">
      <c r="A1717" s="2356">
        <v>21629</v>
      </c>
      <c r="B1717" s="984" t="s">
        <v>23349</v>
      </c>
      <c r="C1717" s="984" t="s">
        <v>24273</v>
      </c>
      <c r="D1717" s="981">
        <f t="shared" si="26"/>
        <v>21629</v>
      </c>
    </row>
    <row r="1718" spans="1:4">
      <c r="A1718" s="2356">
        <v>21624</v>
      </c>
      <c r="B1718" s="984" t="s">
        <v>23612</v>
      </c>
      <c r="C1718" s="984" t="s">
        <v>24529</v>
      </c>
      <c r="D1718" s="981">
        <f t="shared" si="26"/>
        <v>21624</v>
      </c>
    </row>
    <row r="1719" spans="1:4">
      <c r="A1719" s="2356">
        <v>21539</v>
      </c>
      <c r="B1719" s="984" t="s">
        <v>23244</v>
      </c>
      <c r="C1719" s="984" t="s">
        <v>24169</v>
      </c>
      <c r="D1719" s="981">
        <f t="shared" si="26"/>
        <v>21539</v>
      </c>
    </row>
    <row r="1720" spans="1:4">
      <c r="A1720" s="2356">
        <v>22142</v>
      </c>
      <c r="B1720" s="984" t="s">
        <v>27889</v>
      </c>
      <c r="C1720" s="984" t="s">
        <v>27172</v>
      </c>
      <c r="D1720" s="981">
        <f t="shared" si="26"/>
        <v>22142</v>
      </c>
    </row>
    <row r="1721" spans="1:4">
      <c r="A1721" s="2356">
        <v>21600</v>
      </c>
      <c r="B1721" s="984" t="s">
        <v>23433</v>
      </c>
      <c r="C1721" s="984" t="s">
        <v>27168</v>
      </c>
      <c r="D1721" s="981">
        <f t="shared" si="26"/>
        <v>21600</v>
      </c>
    </row>
    <row r="1722" spans="1:4">
      <c r="A1722" s="2356">
        <v>21541</v>
      </c>
      <c r="B1722" s="984" t="s">
        <v>23329</v>
      </c>
      <c r="C1722" s="984" t="s">
        <v>24253</v>
      </c>
      <c r="D1722" s="981">
        <f t="shared" si="26"/>
        <v>21541</v>
      </c>
    </row>
    <row r="1723" spans="1:4">
      <c r="A1723" s="2356">
        <v>22068</v>
      </c>
      <c r="B1723" s="984" t="s">
        <v>23064</v>
      </c>
      <c r="C1723" s="984" t="s">
        <v>23994</v>
      </c>
      <c r="D1723" s="981">
        <f t="shared" si="26"/>
        <v>22068</v>
      </c>
    </row>
    <row r="1724" spans="1:4">
      <c r="A1724" s="2356">
        <v>22686</v>
      </c>
      <c r="B1724" s="984" t="s">
        <v>23190</v>
      </c>
      <c r="C1724" s="984" t="s">
        <v>24116</v>
      </c>
      <c r="D1724" s="981">
        <f t="shared" si="26"/>
        <v>22686</v>
      </c>
    </row>
    <row r="1725" spans="1:4">
      <c r="A1725" s="2356">
        <v>21433</v>
      </c>
      <c r="B1725" s="984" t="s">
        <v>23023</v>
      </c>
      <c r="C1725" s="984" t="s">
        <v>23953</v>
      </c>
      <c r="D1725" s="981">
        <f t="shared" si="26"/>
        <v>21433</v>
      </c>
    </row>
    <row r="1726" spans="1:4">
      <c r="A1726" s="2356">
        <v>22952</v>
      </c>
      <c r="B1726" s="984" t="s">
        <v>23048</v>
      </c>
      <c r="C1726" s="984" t="s">
        <v>23978</v>
      </c>
      <c r="D1726" s="981">
        <f t="shared" si="26"/>
        <v>22952</v>
      </c>
    </row>
    <row r="1727" spans="1:4">
      <c r="A1727" s="2356">
        <v>22016</v>
      </c>
      <c r="B1727" s="984" t="s">
        <v>27887</v>
      </c>
      <c r="C1727" s="984" t="s">
        <v>27170</v>
      </c>
      <c r="D1727" s="981">
        <f t="shared" si="26"/>
        <v>22016</v>
      </c>
    </row>
    <row r="1728" spans="1:4">
      <c r="A1728" s="2356">
        <v>22746</v>
      </c>
      <c r="B1728" s="984" t="s">
        <v>23315</v>
      </c>
      <c r="C1728" s="984" t="s">
        <v>24239</v>
      </c>
      <c r="D1728" s="981">
        <f t="shared" si="26"/>
        <v>22746</v>
      </c>
    </row>
    <row r="1729" spans="1:4">
      <c r="A1729" s="2356">
        <v>22362</v>
      </c>
      <c r="B1729" s="984" t="s">
        <v>23400</v>
      </c>
      <c r="C1729" s="984" t="s">
        <v>24322</v>
      </c>
      <c r="D1729" s="981">
        <f t="shared" si="26"/>
        <v>22362</v>
      </c>
    </row>
    <row r="1730" spans="1:4">
      <c r="A1730" s="2356">
        <v>22928</v>
      </c>
      <c r="B1730" s="984" t="s">
        <v>23754</v>
      </c>
      <c r="C1730" s="984" t="s">
        <v>24639</v>
      </c>
      <c r="D1730" s="981">
        <f t="shared" si="26"/>
        <v>22928</v>
      </c>
    </row>
    <row r="1731" spans="1:4">
      <c r="A1731" s="2356">
        <v>22719</v>
      </c>
      <c r="B1731" s="984" t="s">
        <v>27892</v>
      </c>
      <c r="C1731" s="984" t="s">
        <v>27177</v>
      </c>
      <c r="D1731" s="981">
        <f t="shared" si="26"/>
        <v>22719</v>
      </c>
    </row>
    <row r="1732" spans="1:4">
      <c r="A1732" s="2356">
        <v>22701</v>
      </c>
      <c r="B1732" s="984" t="s">
        <v>23207</v>
      </c>
      <c r="C1732" s="984" t="s">
        <v>24132</v>
      </c>
      <c r="D1732" s="981">
        <f t="shared" si="26"/>
        <v>22701</v>
      </c>
    </row>
    <row r="1733" spans="1:4">
      <c r="A1733" s="2356">
        <v>22696</v>
      </c>
      <c r="B1733" s="984" t="s">
        <v>23439</v>
      </c>
      <c r="C1733" s="984" t="s">
        <v>24359</v>
      </c>
      <c r="D1733" s="981">
        <f t="shared" si="26"/>
        <v>22696</v>
      </c>
    </row>
    <row r="1734" spans="1:4">
      <c r="A1734" s="2356">
        <v>17190</v>
      </c>
      <c r="B1734" s="984" t="s">
        <v>31019</v>
      </c>
      <c r="C1734" s="984" t="s">
        <v>31082</v>
      </c>
      <c r="D1734" s="981">
        <f t="shared" si="26"/>
        <v>17190</v>
      </c>
    </row>
    <row r="1735" spans="1:4">
      <c r="A1735" s="2356">
        <v>17437</v>
      </c>
      <c r="B1735" s="984" t="s">
        <v>27876</v>
      </c>
      <c r="C1735" s="984" t="s">
        <v>27155</v>
      </c>
      <c r="D1735" s="981">
        <f t="shared" si="26"/>
        <v>17437</v>
      </c>
    </row>
    <row r="1736" spans="1:4">
      <c r="A1736" s="2356">
        <v>16973</v>
      </c>
      <c r="B1736" s="984" t="s">
        <v>23703</v>
      </c>
      <c r="C1736" s="984" t="s">
        <v>24616</v>
      </c>
      <c r="D1736" s="981">
        <f t="shared" si="26"/>
        <v>16973</v>
      </c>
    </row>
    <row r="1737" spans="1:4">
      <c r="A1737" s="2356">
        <v>19851</v>
      </c>
      <c r="B1737" s="984" t="s">
        <v>23416</v>
      </c>
      <c r="C1737" s="984" t="s">
        <v>24336</v>
      </c>
      <c r="D1737" s="981">
        <f t="shared" ref="D1737:D1800" si="27">+A1737</f>
        <v>19851</v>
      </c>
    </row>
    <row r="1738" spans="1:4">
      <c r="A1738" s="2356">
        <v>17424</v>
      </c>
      <c r="B1738" s="984" t="s">
        <v>23670</v>
      </c>
      <c r="C1738" s="984" t="s">
        <v>24584</v>
      </c>
      <c r="D1738" s="981">
        <f t="shared" si="27"/>
        <v>17424</v>
      </c>
    </row>
    <row r="1739" spans="1:4">
      <c r="A1739" s="2356">
        <v>17412</v>
      </c>
      <c r="B1739" s="984" t="s">
        <v>23744</v>
      </c>
      <c r="C1739" s="984" t="s">
        <v>24632</v>
      </c>
      <c r="D1739" s="981">
        <f t="shared" si="27"/>
        <v>17412</v>
      </c>
    </row>
    <row r="1740" spans="1:4">
      <c r="A1740" s="2356">
        <v>17078</v>
      </c>
      <c r="B1740" s="984" t="s">
        <v>23487</v>
      </c>
      <c r="C1740" s="984" t="s">
        <v>24405</v>
      </c>
      <c r="D1740" s="981">
        <f t="shared" si="27"/>
        <v>17078</v>
      </c>
    </row>
    <row r="1741" spans="1:4">
      <c r="A1741" s="2356">
        <v>17394</v>
      </c>
      <c r="B1741" s="984" t="s">
        <v>23505</v>
      </c>
      <c r="C1741" s="984" t="s">
        <v>24422</v>
      </c>
      <c r="D1741" s="981">
        <f t="shared" si="27"/>
        <v>17394</v>
      </c>
    </row>
    <row r="1742" spans="1:4">
      <c r="A1742" s="2356">
        <v>19743</v>
      </c>
      <c r="B1742" s="984" t="s">
        <v>23063</v>
      </c>
      <c r="C1742" s="984" t="s">
        <v>23993</v>
      </c>
      <c r="D1742" s="981">
        <f t="shared" si="27"/>
        <v>19743</v>
      </c>
    </row>
    <row r="1743" spans="1:4">
      <c r="A1743" s="2356">
        <v>17498</v>
      </c>
      <c r="B1743" s="984" t="s">
        <v>23586</v>
      </c>
      <c r="C1743" s="984" t="s">
        <v>24504</v>
      </c>
      <c r="D1743" s="981">
        <f t="shared" si="27"/>
        <v>17498</v>
      </c>
    </row>
    <row r="1744" spans="1:4">
      <c r="A1744" s="2356">
        <v>17370</v>
      </c>
      <c r="B1744" s="984" t="s">
        <v>23268</v>
      </c>
      <c r="C1744" s="984" t="s">
        <v>24191</v>
      </c>
      <c r="D1744" s="981">
        <f t="shared" si="27"/>
        <v>17370</v>
      </c>
    </row>
    <row r="1745" spans="1:4">
      <c r="A1745" s="2356">
        <v>19844</v>
      </c>
      <c r="B1745" s="984" t="s">
        <v>23010</v>
      </c>
      <c r="C1745" s="984" t="s">
        <v>29822</v>
      </c>
      <c r="D1745" s="981">
        <f t="shared" si="27"/>
        <v>19844</v>
      </c>
    </row>
    <row r="1746" spans="1:4">
      <c r="A1746" s="2356">
        <v>17134</v>
      </c>
      <c r="B1746" s="984" t="s">
        <v>23730</v>
      </c>
      <c r="C1746" s="984" t="s">
        <v>24624</v>
      </c>
      <c r="D1746" s="981">
        <f t="shared" si="27"/>
        <v>17134</v>
      </c>
    </row>
    <row r="1747" spans="1:4">
      <c r="A1747" s="2356">
        <v>18663</v>
      </c>
      <c r="B1747" s="984" t="s">
        <v>23700</v>
      </c>
      <c r="C1747" s="984" t="s">
        <v>24613</v>
      </c>
      <c r="D1747" s="981">
        <f t="shared" si="27"/>
        <v>18663</v>
      </c>
    </row>
    <row r="1748" spans="1:4">
      <c r="A1748" s="2356">
        <v>16975</v>
      </c>
      <c r="B1748" s="984" t="s">
        <v>23019</v>
      </c>
      <c r="C1748" s="984" t="s">
        <v>23949</v>
      </c>
      <c r="D1748" s="981">
        <f t="shared" si="27"/>
        <v>16975</v>
      </c>
    </row>
    <row r="1749" spans="1:4">
      <c r="A1749" s="2356">
        <v>17595</v>
      </c>
      <c r="B1749" s="984" t="s">
        <v>23858</v>
      </c>
      <c r="C1749" s="984" t="s">
        <v>24718</v>
      </c>
      <c r="D1749" s="981">
        <f t="shared" si="27"/>
        <v>17595</v>
      </c>
    </row>
    <row r="1750" spans="1:4">
      <c r="A1750" s="2356">
        <v>17400</v>
      </c>
      <c r="B1750" s="984" t="s">
        <v>23680</v>
      </c>
      <c r="C1750" s="984" t="s">
        <v>24594</v>
      </c>
      <c r="D1750" s="981">
        <f t="shared" si="27"/>
        <v>17400</v>
      </c>
    </row>
    <row r="1751" spans="1:4">
      <c r="A1751" s="2356">
        <v>17490</v>
      </c>
      <c r="B1751" s="984" t="s">
        <v>23550</v>
      </c>
      <c r="C1751" s="984" t="s">
        <v>31977</v>
      </c>
      <c r="D1751" s="981">
        <f t="shared" si="27"/>
        <v>17490</v>
      </c>
    </row>
    <row r="1752" spans="1:4">
      <c r="A1752" s="2356">
        <v>17428</v>
      </c>
      <c r="B1752" s="984" t="s">
        <v>29962</v>
      </c>
      <c r="C1752" s="984" t="s">
        <v>29900</v>
      </c>
      <c r="D1752" s="981">
        <f t="shared" si="27"/>
        <v>17428</v>
      </c>
    </row>
    <row r="1753" spans="1:4">
      <c r="A1753" s="2356">
        <v>17373</v>
      </c>
      <c r="B1753" s="984" t="s">
        <v>25689</v>
      </c>
      <c r="C1753" s="984" t="s">
        <v>25688</v>
      </c>
      <c r="D1753" s="981">
        <f t="shared" si="27"/>
        <v>17373</v>
      </c>
    </row>
    <row r="1754" spans="1:4">
      <c r="A1754" s="2356">
        <v>17328</v>
      </c>
      <c r="B1754" s="984" t="s">
        <v>23570</v>
      </c>
      <c r="C1754" s="984" t="s">
        <v>24486</v>
      </c>
      <c r="D1754" s="981">
        <f t="shared" si="27"/>
        <v>17328</v>
      </c>
    </row>
    <row r="1755" spans="1:4">
      <c r="A1755" s="2356">
        <v>17321</v>
      </c>
      <c r="B1755" s="984" t="s">
        <v>23295</v>
      </c>
      <c r="C1755" s="984" t="s">
        <v>24219</v>
      </c>
      <c r="D1755" s="981">
        <f t="shared" si="27"/>
        <v>17321</v>
      </c>
    </row>
    <row r="1756" spans="1:4">
      <c r="A1756" s="2356">
        <v>17110</v>
      </c>
      <c r="B1756" s="984" t="s">
        <v>23723</v>
      </c>
      <c r="C1756" s="984" t="s">
        <v>27151</v>
      </c>
      <c r="D1756" s="981">
        <f t="shared" si="27"/>
        <v>17110</v>
      </c>
    </row>
    <row r="1757" spans="1:4">
      <c r="A1757" s="2356">
        <v>17366</v>
      </c>
      <c r="B1757" s="984" t="s">
        <v>29934</v>
      </c>
      <c r="C1757" s="984" t="s">
        <v>29847</v>
      </c>
      <c r="D1757" s="981">
        <f t="shared" si="27"/>
        <v>17366</v>
      </c>
    </row>
    <row r="1758" spans="1:4">
      <c r="A1758" s="2356">
        <v>17612</v>
      </c>
      <c r="B1758" s="984" t="s">
        <v>23718</v>
      </c>
      <c r="C1758" s="984" t="s">
        <v>31978</v>
      </c>
      <c r="D1758" s="981">
        <f t="shared" si="27"/>
        <v>17612</v>
      </c>
    </row>
    <row r="1759" spans="1:4">
      <c r="A1759" s="2356">
        <v>18410</v>
      </c>
      <c r="B1759" s="984" t="s">
        <v>23205</v>
      </c>
      <c r="C1759" s="984" t="s">
        <v>24130</v>
      </c>
      <c r="D1759" s="981">
        <f t="shared" si="27"/>
        <v>18410</v>
      </c>
    </row>
    <row r="1760" spans="1:4">
      <c r="A1760" s="2356">
        <v>16890</v>
      </c>
      <c r="B1760" s="984" t="s">
        <v>23387</v>
      </c>
      <c r="C1760" s="984" t="s">
        <v>24311</v>
      </c>
      <c r="D1760" s="981">
        <f t="shared" si="27"/>
        <v>16890</v>
      </c>
    </row>
    <row r="1761" spans="1:4">
      <c r="A1761" s="2356">
        <v>17152</v>
      </c>
      <c r="B1761" s="984" t="s">
        <v>31010</v>
      </c>
      <c r="C1761" s="984" t="s">
        <v>31064</v>
      </c>
      <c r="D1761" s="981">
        <f t="shared" si="27"/>
        <v>17152</v>
      </c>
    </row>
    <row r="1762" spans="1:4">
      <c r="A1762" s="2356">
        <v>16964</v>
      </c>
      <c r="B1762" s="984" t="s">
        <v>27873</v>
      </c>
      <c r="C1762" s="984" t="s">
        <v>27150</v>
      </c>
      <c r="D1762" s="981">
        <f t="shared" si="27"/>
        <v>16964</v>
      </c>
    </row>
    <row r="1763" spans="1:4">
      <c r="A1763" s="2356">
        <v>17185</v>
      </c>
      <c r="B1763" s="984" t="s">
        <v>23821</v>
      </c>
      <c r="C1763" s="984" t="s">
        <v>24687</v>
      </c>
      <c r="D1763" s="981">
        <f t="shared" si="27"/>
        <v>17185</v>
      </c>
    </row>
    <row r="1764" spans="1:4">
      <c r="A1764" s="2356">
        <v>13511</v>
      </c>
      <c r="B1764" s="984" t="s">
        <v>22985</v>
      </c>
      <c r="C1764" s="984" t="s">
        <v>31979</v>
      </c>
      <c r="D1764" s="981">
        <f t="shared" si="27"/>
        <v>13511</v>
      </c>
    </row>
    <row r="1765" spans="1:4">
      <c r="A1765" s="2356">
        <v>13649</v>
      </c>
      <c r="B1765" s="984" t="s">
        <v>22966</v>
      </c>
      <c r="C1765" s="984" t="s">
        <v>23919</v>
      </c>
      <c r="D1765" s="981">
        <f t="shared" si="27"/>
        <v>13649</v>
      </c>
    </row>
    <row r="1766" spans="1:4">
      <c r="A1766" s="2356">
        <v>14278</v>
      </c>
      <c r="B1766" s="984" t="s">
        <v>23829</v>
      </c>
      <c r="C1766" s="984" t="s">
        <v>24695</v>
      </c>
      <c r="D1766" s="981">
        <f t="shared" si="27"/>
        <v>14278</v>
      </c>
    </row>
    <row r="1767" spans="1:4">
      <c r="A1767" s="2356">
        <v>15117</v>
      </c>
      <c r="B1767" s="984" t="s">
        <v>23510</v>
      </c>
      <c r="C1767" s="984" t="s">
        <v>24427</v>
      </c>
      <c r="D1767" s="981">
        <f t="shared" si="27"/>
        <v>15117</v>
      </c>
    </row>
    <row r="1768" spans="1:4">
      <c r="A1768" s="2356">
        <v>14411</v>
      </c>
      <c r="B1768" s="984" t="s">
        <v>23123</v>
      </c>
      <c r="C1768" s="984" t="s">
        <v>24051</v>
      </c>
      <c r="D1768" s="981">
        <f t="shared" si="27"/>
        <v>14411</v>
      </c>
    </row>
    <row r="1769" spans="1:4">
      <c r="A1769" s="2356">
        <v>14517</v>
      </c>
      <c r="B1769" s="984" t="s">
        <v>23159</v>
      </c>
      <c r="C1769" s="984" t="s">
        <v>24086</v>
      </c>
      <c r="D1769" s="981">
        <f t="shared" si="27"/>
        <v>14517</v>
      </c>
    </row>
    <row r="1770" spans="1:4">
      <c r="A1770" s="2356">
        <v>14257</v>
      </c>
      <c r="B1770" s="984" t="s">
        <v>23238</v>
      </c>
      <c r="C1770" s="984" t="s">
        <v>24163</v>
      </c>
      <c r="D1770" s="981">
        <f t="shared" si="27"/>
        <v>14257</v>
      </c>
    </row>
    <row r="1771" spans="1:4">
      <c r="A1771" s="2356">
        <v>14391</v>
      </c>
      <c r="B1771" s="984" t="s">
        <v>23399</v>
      </c>
      <c r="C1771" s="984" t="s">
        <v>24321</v>
      </c>
      <c r="D1771" s="981">
        <f t="shared" si="27"/>
        <v>14391</v>
      </c>
    </row>
    <row r="1772" spans="1:4">
      <c r="A1772" s="2356">
        <v>13224</v>
      </c>
      <c r="B1772" s="984" t="s">
        <v>23724</v>
      </c>
      <c r="C1772" s="984" t="s">
        <v>31093</v>
      </c>
      <c r="D1772" s="981">
        <f t="shared" si="27"/>
        <v>13224</v>
      </c>
    </row>
    <row r="1773" spans="1:4">
      <c r="A1773" s="2356">
        <v>13731</v>
      </c>
      <c r="B1773" s="984" t="s">
        <v>23784</v>
      </c>
      <c r="C1773" s="984" t="s">
        <v>24658</v>
      </c>
      <c r="D1773" s="981">
        <f t="shared" si="27"/>
        <v>13731</v>
      </c>
    </row>
    <row r="1774" spans="1:4">
      <c r="A1774" s="2356">
        <v>14148</v>
      </c>
      <c r="B1774" s="984" t="s">
        <v>22990</v>
      </c>
      <c r="C1774" s="984" t="s">
        <v>23935</v>
      </c>
      <c r="D1774" s="981">
        <f t="shared" si="27"/>
        <v>14148</v>
      </c>
    </row>
    <row r="1775" spans="1:4">
      <c r="A1775" s="2356">
        <v>14001</v>
      </c>
      <c r="B1775" s="984" t="s">
        <v>23674</v>
      </c>
      <c r="C1775" s="984" t="s">
        <v>24588</v>
      </c>
      <c r="D1775" s="981">
        <f t="shared" si="27"/>
        <v>14001</v>
      </c>
    </row>
    <row r="1776" spans="1:4">
      <c r="A1776" s="2356">
        <v>13761</v>
      </c>
      <c r="B1776" s="984" t="s">
        <v>22925</v>
      </c>
      <c r="C1776" s="984" t="s">
        <v>23885</v>
      </c>
      <c r="D1776" s="981">
        <f t="shared" si="27"/>
        <v>13761</v>
      </c>
    </row>
    <row r="1777" spans="1:4">
      <c r="A1777" s="2356">
        <v>14856</v>
      </c>
      <c r="B1777" s="984" t="s">
        <v>23049</v>
      </c>
      <c r="C1777" s="984" t="s">
        <v>23979</v>
      </c>
      <c r="D1777" s="981">
        <f t="shared" si="27"/>
        <v>14856</v>
      </c>
    </row>
    <row r="1778" spans="1:4">
      <c r="A1778" s="2356">
        <v>14534</v>
      </c>
      <c r="B1778" s="984" t="s">
        <v>23544</v>
      </c>
      <c r="C1778" s="984" t="s">
        <v>24462</v>
      </c>
      <c r="D1778" s="981">
        <f t="shared" si="27"/>
        <v>14534</v>
      </c>
    </row>
    <row r="1779" spans="1:4">
      <c r="A1779" s="2356">
        <v>14446</v>
      </c>
      <c r="B1779" s="984" t="s">
        <v>23616</v>
      </c>
      <c r="C1779" s="984" t="s">
        <v>24532</v>
      </c>
      <c r="D1779" s="981">
        <f t="shared" si="27"/>
        <v>14446</v>
      </c>
    </row>
    <row r="1780" spans="1:4">
      <c r="A1780" s="2356">
        <v>13818</v>
      </c>
      <c r="B1780" s="984" t="s">
        <v>27868</v>
      </c>
      <c r="C1780" s="984" t="s">
        <v>27141</v>
      </c>
      <c r="D1780" s="981">
        <f t="shared" si="27"/>
        <v>13818</v>
      </c>
    </row>
    <row r="1781" spans="1:4">
      <c r="A1781" s="2356">
        <v>14209</v>
      </c>
      <c r="B1781" s="984" t="s">
        <v>23846</v>
      </c>
      <c r="C1781" s="984" t="s">
        <v>31048</v>
      </c>
      <c r="D1781" s="981">
        <f t="shared" si="27"/>
        <v>14209</v>
      </c>
    </row>
    <row r="1782" spans="1:4">
      <c r="A1782" s="2356">
        <v>14027</v>
      </c>
      <c r="B1782" s="984" t="s">
        <v>23639</v>
      </c>
      <c r="C1782" s="984" t="s">
        <v>24554</v>
      </c>
      <c r="D1782" s="981">
        <f t="shared" si="27"/>
        <v>14027</v>
      </c>
    </row>
    <row r="1783" spans="1:4">
      <c r="A1783" s="2356">
        <v>12732</v>
      </c>
      <c r="B1783" s="984" t="s">
        <v>22941</v>
      </c>
      <c r="C1783" s="984" t="s">
        <v>23899</v>
      </c>
      <c r="D1783" s="981">
        <f t="shared" si="27"/>
        <v>12732</v>
      </c>
    </row>
    <row r="1784" spans="1:4">
      <c r="A1784" s="2356">
        <v>15035</v>
      </c>
      <c r="B1784" s="984" t="s">
        <v>23848</v>
      </c>
      <c r="C1784" s="984" t="s">
        <v>24709</v>
      </c>
      <c r="D1784" s="981">
        <f t="shared" si="27"/>
        <v>15035</v>
      </c>
    </row>
    <row r="1785" spans="1:4">
      <c r="A1785" s="2356">
        <v>15233</v>
      </c>
      <c r="B1785" s="984" t="s">
        <v>27872</v>
      </c>
      <c r="C1785" s="984" t="s">
        <v>27149</v>
      </c>
      <c r="D1785" s="981">
        <f t="shared" si="27"/>
        <v>15233</v>
      </c>
    </row>
    <row r="1786" spans="1:4">
      <c r="A1786" s="2356">
        <v>14814</v>
      </c>
      <c r="B1786" s="984" t="s">
        <v>23361</v>
      </c>
      <c r="C1786" s="984" t="s">
        <v>24285</v>
      </c>
      <c r="D1786" s="981">
        <f t="shared" si="27"/>
        <v>14814</v>
      </c>
    </row>
    <row r="1787" spans="1:4">
      <c r="A1787" s="2356">
        <v>14894</v>
      </c>
      <c r="B1787" s="984" t="s">
        <v>23346</v>
      </c>
      <c r="C1787" s="984" t="s">
        <v>24270</v>
      </c>
      <c r="D1787" s="981">
        <f t="shared" si="27"/>
        <v>14894</v>
      </c>
    </row>
    <row r="1788" spans="1:4">
      <c r="A1788" s="2356">
        <v>14406</v>
      </c>
      <c r="B1788" s="984" t="s">
        <v>23158</v>
      </c>
      <c r="C1788" s="984" t="s">
        <v>24085</v>
      </c>
      <c r="D1788" s="981">
        <f t="shared" si="27"/>
        <v>14406</v>
      </c>
    </row>
    <row r="1789" spans="1:4">
      <c r="A1789" s="2356">
        <v>14345</v>
      </c>
      <c r="B1789" s="984" t="s">
        <v>23417</v>
      </c>
      <c r="C1789" s="984" t="s">
        <v>24337</v>
      </c>
      <c r="D1789" s="981">
        <f t="shared" si="27"/>
        <v>14345</v>
      </c>
    </row>
    <row r="1790" spans="1:4">
      <c r="A1790" s="2356">
        <v>14412</v>
      </c>
      <c r="B1790" s="984" t="s">
        <v>23098</v>
      </c>
      <c r="C1790" s="984" t="s">
        <v>24027</v>
      </c>
      <c r="D1790" s="981">
        <f t="shared" si="27"/>
        <v>14412</v>
      </c>
    </row>
    <row r="1791" spans="1:4">
      <c r="A1791" s="2356">
        <v>13749</v>
      </c>
      <c r="B1791" s="984" t="s">
        <v>23147</v>
      </c>
      <c r="C1791" s="984" t="s">
        <v>24075</v>
      </c>
      <c r="D1791" s="981">
        <f t="shared" si="27"/>
        <v>13749</v>
      </c>
    </row>
    <row r="1792" spans="1:4">
      <c r="A1792" s="2356">
        <v>13725</v>
      </c>
      <c r="B1792" s="984" t="s">
        <v>23745</v>
      </c>
      <c r="C1792" s="984" t="s">
        <v>24633</v>
      </c>
      <c r="D1792" s="981">
        <f t="shared" si="27"/>
        <v>13725</v>
      </c>
    </row>
    <row r="1793" spans="1:4">
      <c r="A1793" s="2356">
        <v>14168</v>
      </c>
      <c r="B1793" s="984" t="s">
        <v>23843</v>
      </c>
      <c r="C1793" s="984" t="s">
        <v>24706</v>
      </c>
      <c r="D1793" s="981">
        <f t="shared" si="27"/>
        <v>14168</v>
      </c>
    </row>
    <row r="1794" spans="1:4">
      <c r="A1794" s="2356">
        <v>13688</v>
      </c>
      <c r="B1794" s="984" t="s">
        <v>23130</v>
      </c>
      <c r="C1794" s="984" t="s">
        <v>24058</v>
      </c>
      <c r="D1794" s="981">
        <f t="shared" si="27"/>
        <v>13688</v>
      </c>
    </row>
    <row r="1795" spans="1:4">
      <c r="A1795" s="2356">
        <v>13664</v>
      </c>
      <c r="B1795" s="984" t="s">
        <v>23819</v>
      </c>
      <c r="C1795" s="984" t="s">
        <v>24685</v>
      </c>
      <c r="D1795" s="981">
        <f t="shared" si="27"/>
        <v>13664</v>
      </c>
    </row>
    <row r="1796" spans="1:4">
      <c r="A1796" s="2356">
        <v>13887</v>
      </c>
      <c r="B1796" s="984" t="s">
        <v>23835</v>
      </c>
      <c r="C1796" s="984" t="s">
        <v>27142</v>
      </c>
      <c r="D1796" s="981">
        <f t="shared" si="27"/>
        <v>13887</v>
      </c>
    </row>
    <row r="1797" spans="1:4">
      <c r="A1797" s="2356">
        <v>13807</v>
      </c>
      <c r="B1797" s="984" t="s">
        <v>22928</v>
      </c>
      <c r="C1797" s="984" t="s">
        <v>23888</v>
      </c>
      <c r="D1797" s="981">
        <f t="shared" si="27"/>
        <v>13807</v>
      </c>
    </row>
    <row r="1798" spans="1:4">
      <c r="A1798" s="2356">
        <v>13756</v>
      </c>
      <c r="B1798" s="984" t="s">
        <v>23001</v>
      </c>
      <c r="C1798" s="984" t="s">
        <v>31081</v>
      </c>
      <c r="D1798" s="981">
        <f t="shared" si="27"/>
        <v>13756</v>
      </c>
    </row>
    <row r="1799" spans="1:4">
      <c r="A1799" s="2356">
        <v>6188</v>
      </c>
      <c r="B1799" s="984" t="s">
        <v>25680</v>
      </c>
      <c r="C1799" s="984" t="s">
        <v>25679</v>
      </c>
      <c r="D1799" s="981">
        <f t="shared" si="27"/>
        <v>6188</v>
      </c>
    </row>
    <row r="1800" spans="1:4">
      <c r="A1800" s="2356">
        <v>8302</v>
      </c>
      <c r="B1800" s="984" t="s">
        <v>23727</v>
      </c>
      <c r="C1800" s="984" t="s">
        <v>24622</v>
      </c>
      <c r="D1800" s="981">
        <f t="shared" si="27"/>
        <v>8302</v>
      </c>
    </row>
    <row r="1801" spans="1:4">
      <c r="A1801" s="2356">
        <v>7806</v>
      </c>
      <c r="B1801" s="984" t="s">
        <v>22951</v>
      </c>
      <c r="C1801" s="984" t="s">
        <v>23908</v>
      </c>
      <c r="D1801" s="981">
        <f t="shared" ref="D1801:D1864" si="28">+A1801</f>
        <v>7806</v>
      </c>
    </row>
    <row r="1802" spans="1:4">
      <c r="A1802" s="2356">
        <v>7534</v>
      </c>
      <c r="B1802" s="984" t="s">
        <v>23825</v>
      </c>
      <c r="C1802" s="984" t="s">
        <v>24691</v>
      </c>
      <c r="D1802" s="981">
        <f t="shared" si="28"/>
        <v>7534</v>
      </c>
    </row>
    <row r="1803" spans="1:4">
      <c r="A1803" s="2356">
        <v>9844</v>
      </c>
      <c r="B1803" s="984" t="s">
        <v>22972</v>
      </c>
      <c r="C1803" s="984" t="s">
        <v>29896</v>
      </c>
      <c r="D1803" s="981">
        <f t="shared" si="28"/>
        <v>9844</v>
      </c>
    </row>
    <row r="1804" spans="1:4">
      <c r="A1804" s="2356">
        <v>2997</v>
      </c>
      <c r="B1804" s="984" t="s">
        <v>31009</v>
      </c>
      <c r="C1804" s="984" t="s">
        <v>31063</v>
      </c>
      <c r="D1804" s="981">
        <f t="shared" si="28"/>
        <v>2997</v>
      </c>
    </row>
    <row r="1805" spans="1:4">
      <c r="A1805" s="2356">
        <v>258</v>
      </c>
      <c r="B1805" s="984" t="s">
        <v>23042</v>
      </c>
      <c r="C1805" s="984" t="s">
        <v>23972</v>
      </c>
      <c r="D1805" s="981">
        <f t="shared" si="28"/>
        <v>258</v>
      </c>
    </row>
    <row r="1806" spans="1:4">
      <c r="A1806" s="2356">
        <v>188</v>
      </c>
      <c r="B1806" s="984" t="s">
        <v>23073</v>
      </c>
      <c r="C1806" s="984" t="s">
        <v>24003</v>
      </c>
      <c r="D1806" s="981">
        <f t="shared" si="28"/>
        <v>188</v>
      </c>
    </row>
    <row r="1807" spans="1:4">
      <c r="A1807" s="2356">
        <v>183</v>
      </c>
      <c r="B1807" s="984" t="s">
        <v>23455</v>
      </c>
      <c r="C1807" s="984" t="s">
        <v>27126</v>
      </c>
      <c r="D1807" s="981">
        <f t="shared" si="28"/>
        <v>183</v>
      </c>
    </row>
    <row r="1808" spans="1:4">
      <c r="A1808" s="2356">
        <v>1218</v>
      </c>
      <c r="B1808" s="984" t="s">
        <v>25019</v>
      </c>
      <c r="C1808" s="984" t="s">
        <v>25020</v>
      </c>
      <c r="D1808" s="981">
        <f t="shared" si="28"/>
        <v>1218</v>
      </c>
    </row>
    <row r="1809" spans="1:4">
      <c r="A1809" s="2356">
        <v>1373</v>
      </c>
      <c r="B1809" s="984" t="s">
        <v>23251</v>
      </c>
      <c r="C1809" s="984" t="s">
        <v>31079</v>
      </c>
      <c r="D1809" s="981">
        <f t="shared" si="28"/>
        <v>1373</v>
      </c>
    </row>
    <row r="1810" spans="1:4">
      <c r="A1810" s="2356">
        <v>1812</v>
      </c>
      <c r="B1810" s="984" t="s">
        <v>27861</v>
      </c>
      <c r="C1810" s="984" t="s">
        <v>27131</v>
      </c>
      <c r="D1810" s="981">
        <f t="shared" si="28"/>
        <v>1812</v>
      </c>
    </row>
    <row r="1811" spans="1:4">
      <c r="A1811" s="2356">
        <v>1859</v>
      </c>
      <c r="B1811" s="984" t="s">
        <v>29946</v>
      </c>
      <c r="C1811" s="984" t="s">
        <v>29870</v>
      </c>
      <c r="D1811" s="981">
        <f t="shared" si="28"/>
        <v>1859</v>
      </c>
    </row>
    <row r="1812" spans="1:4">
      <c r="A1812" s="2356">
        <v>1042</v>
      </c>
      <c r="B1812" s="984" t="s">
        <v>23426</v>
      </c>
      <c r="C1812" s="984" t="s">
        <v>24346</v>
      </c>
      <c r="D1812" s="981">
        <f t="shared" si="28"/>
        <v>1042</v>
      </c>
    </row>
    <row r="1813" spans="1:4">
      <c r="A1813" s="2356">
        <v>650</v>
      </c>
      <c r="B1813" s="984" t="s">
        <v>23398</v>
      </c>
      <c r="C1813" s="984" t="s">
        <v>27129</v>
      </c>
      <c r="D1813" s="981">
        <f t="shared" si="28"/>
        <v>650</v>
      </c>
    </row>
    <row r="1814" spans="1:4">
      <c r="A1814" s="2356">
        <v>3299</v>
      </c>
      <c r="B1814" s="984" t="s">
        <v>22913</v>
      </c>
      <c r="C1814" s="984" t="s">
        <v>23873</v>
      </c>
      <c r="D1814" s="981">
        <f t="shared" si="28"/>
        <v>3299</v>
      </c>
    </row>
    <row r="1815" spans="1:4">
      <c r="A1815" s="2356">
        <v>42391</v>
      </c>
      <c r="B1815" s="984" t="s">
        <v>31980</v>
      </c>
      <c r="C1815" s="984" t="s">
        <v>31981</v>
      </c>
      <c r="D1815" s="981">
        <f t="shared" si="28"/>
        <v>42391</v>
      </c>
    </row>
    <row r="1816" spans="1:4">
      <c r="A1816" s="2356">
        <v>14151</v>
      </c>
      <c r="B1816" s="984" t="s">
        <v>23785</v>
      </c>
      <c r="C1816" s="984" t="s">
        <v>25685</v>
      </c>
      <c r="D1816" s="981">
        <f t="shared" si="28"/>
        <v>14151</v>
      </c>
    </row>
    <row r="1817" spans="1:4">
      <c r="A1817" s="2356">
        <v>759</v>
      </c>
      <c r="B1817" s="984" t="s">
        <v>22909</v>
      </c>
      <c r="C1817" s="984" t="s">
        <v>23869</v>
      </c>
      <c r="D1817" s="981">
        <f t="shared" si="28"/>
        <v>759</v>
      </c>
    </row>
    <row r="1818" spans="1:4">
      <c r="A1818" s="2356">
        <v>335</v>
      </c>
      <c r="B1818" s="984" t="s">
        <v>22967</v>
      </c>
      <c r="C1818" s="984" t="s">
        <v>23920</v>
      </c>
      <c r="D1818" s="981">
        <f t="shared" si="28"/>
        <v>335</v>
      </c>
    </row>
    <row r="1819" spans="1:4">
      <c r="A1819" s="2356">
        <v>14267</v>
      </c>
      <c r="B1819" s="984" t="s">
        <v>22955</v>
      </c>
      <c r="C1819" s="984" t="s">
        <v>23911</v>
      </c>
      <c r="D1819" s="981">
        <f t="shared" si="28"/>
        <v>14267</v>
      </c>
    </row>
    <row r="1820" spans="1:4">
      <c r="A1820" s="2356">
        <v>15008</v>
      </c>
      <c r="B1820" s="984" t="s">
        <v>23826</v>
      </c>
      <c r="C1820" s="984" t="s">
        <v>24692</v>
      </c>
      <c r="D1820" s="981">
        <f t="shared" si="28"/>
        <v>15008</v>
      </c>
    </row>
    <row r="1821" spans="1:4">
      <c r="A1821" s="2356">
        <v>1045</v>
      </c>
      <c r="B1821" s="984" t="s">
        <v>22974</v>
      </c>
      <c r="C1821" s="984" t="s">
        <v>23926</v>
      </c>
      <c r="D1821" s="981">
        <f t="shared" si="28"/>
        <v>1045</v>
      </c>
    </row>
    <row r="1822" spans="1:4">
      <c r="A1822" s="2356">
        <v>2189</v>
      </c>
      <c r="B1822" s="984" t="s">
        <v>23863</v>
      </c>
      <c r="C1822" s="984" t="s">
        <v>24723</v>
      </c>
      <c r="D1822" s="981">
        <f t="shared" si="28"/>
        <v>2189</v>
      </c>
    </row>
    <row r="1823" spans="1:4">
      <c r="A1823" s="2356">
        <v>464</v>
      </c>
      <c r="B1823" s="984" t="s">
        <v>22971</v>
      </c>
      <c r="C1823" s="984" t="s">
        <v>23924</v>
      </c>
      <c r="D1823" s="981">
        <f t="shared" si="28"/>
        <v>464</v>
      </c>
    </row>
    <row r="1824" spans="1:4">
      <c r="A1824" s="2356">
        <v>44587</v>
      </c>
      <c r="B1824" s="984" t="s">
        <v>31982</v>
      </c>
      <c r="C1824" s="984" t="s">
        <v>31983</v>
      </c>
      <c r="D1824" s="981">
        <f t="shared" si="28"/>
        <v>44587</v>
      </c>
    </row>
    <row r="1825" spans="1:4">
      <c r="A1825" s="2356">
        <v>44243</v>
      </c>
      <c r="B1825" s="984" t="s">
        <v>31984</v>
      </c>
      <c r="C1825" s="984" t="s">
        <v>31985</v>
      </c>
      <c r="D1825" s="981">
        <f t="shared" si="28"/>
        <v>44243</v>
      </c>
    </row>
    <row r="1826" spans="1:4">
      <c r="A1826" s="2356">
        <v>39263</v>
      </c>
      <c r="B1826" s="984" t="s">
        <v>31026</v>
      </c>
      <c r="C1826" s="984" t="s">
        <v>31098</v>
      </c>
      <c r="D1826" s="981">
        <f t="shared" si="28"/>
        <v>39263</v>
      </c>
    </row>
    <row r="1827" spans="1:4">
      <c r="A1827" s="2356">
        <v>42044</v>
      </c>
      <c r="B1827" s="984" t="s">
        <v>31986</v>
      </c>
      <c r="C1827" s="984" t="s">
        <v>24352</v>
      </c>
      <c r="D1827" s="981">
        <f t="shared" si="28"/>
        <v>42044</v>
      </c>
    </row>
    <row r="1828" spans="1:4">
      <c r="A1828" s="2356">
        <v>35222</v>
      </c>
      <c r="B1828" s="984" t="s">
        <v>29949</v>
      </c>
      <c r="C1828" s="984" t="s">
        <v>29873</v>
      </c>
      <c r="D1828" s="981">
        <f t="shared" si="28"/>
        <v>35222</v>
      </c>
    </row>
    <row r="1829" spans="1:4">
      <c r="A1829" s="2356">
        <v>38196</v>
      </c>
      <c r="B1829" s="984" t="s">
        <v>31023</v>
      </c>
      <c r="C1829" s="984" t="s">
        <v>31091</v>
      </c>
      <c r="D1829" s="981">
        <f t="shared" si="28"/>
        <v>38196</v>
      </c>
    </row>
    <row r="1830" spans="1:4">
      <c r="A1830" s="2356">
        <v>35907</v>
      </c>
      <c r="B1830" s="984" t="s">
        <v>29969</v>
      </c>
      <c r="C1830" s="984" t="s">
        <v>29911</v>
      </c>
      <c r="D1830" s="981">
        <f t="shared" si="28"/>
        <v>35907</v>
      </c>
    </row>
    <row r="1831" spans="1:4">
      <c r="A1831" s="2356">
        <v>34851</v>
      </c>
      <c r="B1831" s="984" t="s">
        <v>29968</v>
      </c>
      <c r="C1831" s="984" t="s">
        <v>29910</v>
      </c>
      <c r="D1831" s="981">
        <f t="shared" si="28"/>
        <v>34851</v>
      </c>
    </row>
    <row r="1832" spans="1:4">
      <c r="A1832" s="2356">
        <v>30598</v>
      </c>
      <c r="B1832" s="984" t="s">
        <v>28590</v>
      </c>
      <c r="C1832" s="984" t="s">
        <v>27847</v>
      </c>
      <c r="D1832" s="981">
        <f t="shared" si="28"/>
        <v>30598</v>
      </c>
    </row>
    <row r="1833" spans="1:4">
      <c r="A1833" s="2356">
        <v>28882</v>
      </c>
      <c r="B1833" s="984" t="s">
        <v>28312</v>
      </c>
      <c r="C1833" s="984" t="s">
        <v>27576</v>
      </c>
      <c r="D1833" s="981">
        <f t="shared" si="28"/>
        <v>28882</v>
      </c>
    </row>
    <row r="1834" spans="1:4">
      <c r="A1834" s="2356">
        <v>28752</v>
      </c>
      <c r="B1834" s="984" t="s">
        <v>28267</v>
      </c>
      <c r="C1834" s="984" t="s">
        <v>27534</v>
      </c>
      <c r="D1834" s="981">
        <f t="shared" si="28"/>
        <v>28752</v>
      </c>
    </row>
    <row r="1835" spans="1:4">
      <c r="A1835" s="2356">
        <v>28555</v>
      </c>
      <c r="B1835" s="984" t="s">
        <v>28213</v>
      </c>
      <c r="C1835" s="984" t="s">
        <v>27484</v>
      </c>
      <c r="D1835" s="981">
        <f t="shared" si="28"/>
        <v>28555</v>
      </c>
    </row>
    <row r="1836" spans="1:4">
      <c r="A1836" s="2356">
        <v>28564</v>
      </c>
      <c r="B1836" s="984" t="s">
        <v>28217</v>
      </c>
      <c r="C1836" s="984" t="s">
        <v>27487</v>
      </c>
      <c r="D1836" s="981">
        <f t="shared" si="28"/>
        <v>28564</v>
      </c>
    </row>
    <row r="1837" spans="1:4">
      <c r="A1837" s="2356">
        <v>29611</v>
      </c>
      <c r="B1837" s="984" t="s">
        <v>28506</v>
      </c>
      <c r="C1837" s="984" t="s">
        <v>27764</v>
      </c>
      <c r="D1837" s="981">
        <f t="shared" si="28"/>
        <v>29611</v>
      </c>
    </row>
    <row r="1838" spans="1:4">
      <c r="A1838" s="2356">
        <v>29580</v>
      </c>
      <c r="B1838" s="984" t="s">
        <v>28492</v>
      </c>
      <c r="C1838" s="984" t="s">
        <v>27750</v>
      </c>
      <c r="D1838" s="981">
        <f t="shared" si="28"/>
        <v>29580</v>
      </c>
    </row>
    <row r="1839" spans="1:4">
      <c r="A1839" s="2356">
        <v>28359</v>
      </c>
      <c r="B1839" s="984" t="s">
        <v>28174</v>
      </c>
      <c r="C1839" s="984" t="s">
        <v>27447</v>
      </c>
      <c r="D1839" s="981">
        <f t="shared" si="28"/>
        <v>28359</v>
      </c>
    </row>
    <row r="1840" spans="1:4">
      <c r="A1840" s="2356">
        <v>30490</v>
      </c>
      <c r="B1840" s="984" t="s">
        <v>28589</v>
      </c>
      <c r="C1840" s="984" t="s">
        <v>27846</v>
      </c>
      <c r="D1840" s="981">
        <f t="shared" si="28"/>
        <v>30490</v>
      </c>
    </row>
    <row r="1841" spans="1:4">
      <c r="A1841" s="2356">
        <v>29618</v>
      </c>
      <c r="B1841" s="984" t="s">
        <v>28508</v>
      </c>
      <c r="C1841" s="984" t="s">
        <v>27766</v>
      </c>
      <c r="D1841" s="981">
        <f t="shared" si="28"/>
        <v>29618</v>
      </c>
    </row>
    <row r="1842" spans="1:4">
      <c r="A1842" s="2356">
        <v>29741</v>
      </c>
      <c r="B1842" s="984" t="s">
        <v>28528</v>
      </c>
      <c r="C1842" s="984" t="s">
        <v>27786</v>
      </c>
      <c r="D1842" s="981">
        <f t="shared" si="28"/>
        <v>29741</v>
      </c>
    </row>
    <row r="1843" spans="1:4">
      <c r="A1843" s="2356">
        <v>28366</v>
      </c>
      <c r="B1843" s="984" t="s">
        <v>28179</v>
      </c>
      <c r="C1843" s="984" t="s">
        <v>27452</v>
      </c>
      <c r="D1843" s="981">
        <f t="shared" si="28"/>
        <v>28366</v>
      </c>
    </row>
    <row r="1844" spans="1:4">
      <c r="A1844" s="2356">
        <v>30031</v>
      </c>
      <c r="B1844" s="984" t="s">
        <v>28561</v>
      </c>
      <c r="C1844" s="984" t="s">
        <v>27819</v>
      </c>
      <c r="D1844" s="981">
        <f t="shared" si="28"/>
        <v>30031</v>
      </c>
    </row>
    <row r="1845" spans="1:4">
      <c r="A1845" s="2356">
        <v>29492</v>
      </c>
      <c r="B1845" s="984" t="s">
        <v>28447</v>
      </c>
      <c r="C1845" s="984" t="s">
        <v>27706</v>
      </c>
      <c r="D1845" s="981">
        <f t="shared" si="28"/>
        <v>29492</v>
      </c>
    </row>
    <row r="1846" spans="1:4">
      <c r="A1846" s="2356">
        <v>28760</v>
      </c>
      <c r="B1846" s="984" t="s">
        <v>28270</v>
      </c>
      <c r="C1846" s="984" t="s">
        <v>27537</v>
      </c>
      <c r="D1846" s="981">
        <f t="shared" si="28"/>
        <v>28760</v>
      </c>
    </row>
    <row r="1847" spans="1:4">
      <c r="A1847" s="2356">
        <v>28706</v>
      </c>
      <c r="B1847" s="984" t="s">
        <v>28248</v>
      </c>
      <c r="C1847" s="984" t="s">
        <v>27516</v>
      </c>
      <c r="D1847" s="981">
        <f t="shared" si="28"/>
        <v>28706</v>
      </c>
    </row>
    <row r="1848" spans="1:4">
      <c r="A1848" s="2356">
        <v>28459</v>
      </c>
      <c r="B1848" s="984" t="s">
        <v>28197</v>
      </c>
      <c r="C1848" s="984" t="s">
        <v>27468</v>
      </c>
      <c r="D1848" s="981">
        <f t="shared" si="28"/>
        <v>28459</v>
      </c>
    </row>
    <row r="1849" spans="1:4">
      <c r="A1849" s="2356">
        <v>29374</v>
      </c>
      <c r="B1849" s="984" t="s">
        <v>28387</v>
      </c>
      <c r="C1849" s="984" t="s">
        <v>27647</v>
      </c>
      <c r="D1849" s="981">
        <f t="shared" si="28"/>
        <v>29374</v>
      </c>
    </row>
    <row r="1850" spans="1:4">
      <c r="A1850" s="2356">
        <v>29773</v>
      </c>
      <c r="B1850" s="984" t="s">
        <v>28535</v>
      </c>
      <c r="C1850" s="984" t="s">
        <v>27793</v>
      </c>
      <c r="D1850" s="981">
        <f t="shared" si="28"/>
        <v>29773</v>
      </c>
    </row>
    <row r="1851" spans="1:4">
      <c r="A1851" s="2356">
        <v>28792</v>
      </c>
      <c r="B1851" s="984" t="s">
        <v>28285</v>
      </c>
      <c r="C1851" s="984" t="s">
        <v>27552</v>
      </c>
      <c r="D1851" s="981">
        <f t="shared" si="28"/>
        <v>28792</v>
      </c>
    </row>
    <row r="1852" spans="1:4">
      <c r="A1852" s="2356">
        <v>29396</v>
      </c>
      <c r="B1852" s="984" t="s">
        <v>28401</v>
      </c>
      <c r="C1852" s="984" t="s">
        <v>27661</v>
      </c>
      <c r="D1852" s="981">
        <f t="shared" si="28"/>
        <v>29396</v>
      </c>
    </row>
    <row r="1853" spans="1:4">
      <c r="A1853" s="2356">
        <v>28725</v>
      </c>
      <c r="B1853" s="984" t="s">
        <v>28253</v>
      </c>
      <c r="C1853" s="984" t="s">
        <v>27520</v>
      </c>
      <c r="D1853" s="981">
        <f t="shared" si="28"/>
        <v>28725</v>
      </c>
    </row>
    <row r="1854" spans="1:4">
      <c r="A1854" s="2356">
        <v>29520</v>
      </c>
      <c r="B1854" s="984" t="s">
        <v>28465</v>
      </c>
      <c r="C1854" s="984" t="s">
        <v>27723</v>
      </c>
      <c r="D1854" s="981">
        <f t="shared" si="28"/>
        <v>29520</v>
      </c>
    </row>
    <row r="1855" spans="1:4">
      <c r="A1855" s="2356">
        <v>29397</v>
      </c>
      <c r="B1855" s="984" t="s">
        <v>28402</v>
      </c>
      <c r="C1855" s="984" t="s">
        <v>27662</v>
      </c>
      <c r="D1855" s="981">
        <f t="shared" si="28"/>
        <v>29397</v>
      </c>
    </row>
    <row r="1856" spans="1:4">
      <c r="A1856" s="2356">
        <v>28765</v>
      </c>
      <c r="B1856" s="984" t="s">
        <v>28273</v>
      </c>
      <c r="C1856" s="984" t="s">
        <v>27540</v>
      </c>
      <c r="D1856" s="981">
        <f t="shared" si="28"/>
        <v>28765</v>
      </c>
    </row>
    <row r="1857" spans="1:4">
      <c r="A1857" s="2356">
        <v>29420</v>
      </c>
      <c r="B1857" s="984" t="s">
        <v>28416</v>
      </c>
      <c r="C1857" s="984" t="s">
        <v>27676</v>
      </c>
      <c r="D1857" s="981">
        <f t="shared" si="28"/>
        <v>29420</v>
      </c>
    </row>
    <row r="1858" spans="1:4">
      <c r="A1858" s="2356">
        <v>29381</v>
      </c>
      <c r="B1858" s="984" t="s">
        <v>28390</v>
      </c>
      <c r="C1858" s="984" t="s">
        <v>27650</v>
      </c>
      <c r="D1858" s="981">
        <f t="shared" si="28"/>
        <v>29381</v>
      </c>
    </row>
    <row r="1859" spans="1:4">
      <c r="A1859" s="2356">
        <v>32085</v>
      </c>
      <c r="B1859" s="984" t="s">
        <v>28593</v>
      </c>
      <c r="C1859" s="984" t="s">
        <v>27850</v>
      </c>
      <c r="D1859" s="981">
        <f t="shared" si="28"/>
        <v>32085</v>
      </c>
    </row>
    <row r="1860" spans="1:4">
      <c r="A1860" s="2356">
        <v>29906</v>
      </c>
      <c r="B1860" s="984" t="s">
        <v>28544</v>
      </c>
      <c r="C1860" s="984" t="s">
        <v>27802</v>
      </c>
      <c r="D1860" s="981">
        <f t="shared" si="28"/>
        <v>29906</v>
      </c>
    </row>
    <row r="1861" spans="1:4">
      <c r="A1861" s="2356">
        <v>29442</v>
      </c>
      <c r="B1861" s="984" t="s">
        <v>28421</v>
      </c>
      <c r="C1861" s="984" t="s">
        <v>27681</v>
      </c>
      <c r="D1861" s="981">
        <f t="shared" si="28"/>
        <v>29442</v>
      </c>
    </row>
    <row r="1862" spans="1:4">
      <c r="A1862" s="2356">
        <v>29949</v>
      </c>
      <c r="B1862" s="984" t="s">
        <v>28548</v>
      </c>
      <c r="C1862" s="984" t="s">
        <v>27806</v>
      </c>
      <c r="D1862" s="981">
        <f t="shared" si="28"/>
        <v>29949</v>
      </c>
    </row>
    <row r="1863" spans="1:4">
      <c r="A1863" s="2356">
        <v>28424</v>
      </c>
      <c r="B1863" s="984" t="s">
        <v>28191</v>
      </c>
      <c r="C1863" s="984" t="s">
        <v>27463</v>
      </c>
      <c r="D1863" s="981">
        <f t="shared" si="28"/>
        <v>28424</v>
      </c>
    </row>
    <row r="1864" spans="1:4">
      <c r="A1864" s="2356">
        <v>28355</v>
      </c>
      <c r="B1864" s="984" t="s">
        <v>28172</v>
      </c>
      <c r="C1864" s="984" t="s">
        <v>27445</v>
      </c>
      <c r="D1864" s="981">
        <f t="shared" si="28"/>
        <v>28355</v>
      </c>
    </row>
    <row r="1865" spans="1:4">
      <c r="A1865" s="2356">
        <v>30459</v>
      </c>
      <c r="B1865" s="984" t="s">
        <v>28588</v>
      </c>
      <c r="C1865" s="984" t="s">
        <v>27845</v>
      </c>
      <c r="D1865" s="981">
        <f t="shared" ref="D1865:D1928" si="29">+A1865</f>
        <v>30459</v>
      </c>
    </row>
    <row r="1866" spans="1:4">
      <c r="A1866" s="2356">
        <v>30078</v>
      </c>
      <c r="B1866" s="984" t="s">
        <v>28575</v>
      </c>
      <c r="C1866" s="984" t="s">
        <v>27833</v>
      </c>
      <c r="D1866" s="981">
        <f t="shared" si="29"/>
        <v>30078</v>
      </c>
    </row>
    <row r="1867" spans="1:4">
      <c r="A1867" s="2356">
        <v>29219</v>
      </c>
      <c r="B1867" s="984" t="s">
        <v>28339</v>
      </c>
      <c r="C1867" s="984" t="s">
        <v>27602</v>
      </c>
      <c r="D1867" s="981">
        <f t="shared" si="29"/>
        <v>29219</v>
      </c>
    </row>
    <row r="1868" spans="1:4">
      <c r="A1868" s="2356">
        <v>30046</v>
      </c>
      <c r="B1868" s="984" t="s">
        <v>28567</v>
      </c>
      <c r="C1868" s="984" t="s">
        <v>27825</v>
      </c>
      <c r="D1868" s="981">
        <f t="shared" si="29"/>
        <v>30046</v>
      </c>
    </row>
    <row r="1869" spans="1:4">
      <c r="A1869" s="2356">
        <v>28813</v>
      </c>
      <c r="B1869" s="984" t="s">
        <v>28294</v>
      </c>
      <c r="C1869" s="984" t="s">
        <v>27560</v>
      </c>
      <c r="D1869" s="981">
        <f t="shared" si="29"/>
        <v>28813</v>
      </c>
    </row>
    <row r="1870" spans="1:4">
      <c r="A1870" s="2356">
        <v>28377</v>
      </c>
      <c r="B1870" s="984" t="s">
        <v>28184</v>
      </c>
      <c r="C1870" s="984" t="s">
        <v>27457</v>
      </c>
      <c r="D1870" s="981">
        <f t="shared" si="29"/>
        <v>28377</v>
      </c>
    </row>
    <row r="1871" spans="1:4">
      <c r="A1871" s="2356">
        <v>29573</v>
      </c>
      <c r="B1871" s="984" t="s">
        <v>28490</v>
      </c>
      <c r="C1871" s="984" t="s">
        <v>27748</v>
      </c>
      <c r="D1871" s="981">
        <f t="shared" si="29"/>
        <v>29573</v>
      </c>
    </row>
    <row r="1872" spans="1:4">
      <c r="A1872" s="2356">
        <v>28823</v>
      </c>
      <c r="B1872" s="984" t="s">
        <v>28295</v>
      </c>
      <c r="C1872" s="984" t="s">
        <v>27561</v>
      </c>
      <c r="D1872" s="981">
        <f t="shared" si="29"/>
        <v>28823</v>
      </c>
    </row>
    <row r="1873" spans="1:4">
      <c r="A1873" s="2356">
        <v>29662</v>
      </c>
      <c r="B1873" s="984" t="s">
        <v>28515</v>
      </c>
      <c r="C1873" s="984" t="s">
        <v>27773</v>
      </c>
      <c r="D1873" s="981">
        <f t="shared" si="29"/>
        <v>29662</v>
      </c>
    </row>
    <row r="1874" spans="1:4">
      <c r="A1874" s="2356">
        <v>29558</v>
      </c>
      <c r="B1874" s="984" t="s">
        <v>28482</v>
      </c>
      <c r="C1874" s="984" t="s">
        <v>27740</v>
      </c>
      <c r="D1874" s="981">
        <f t="shared" si="29"/>
        <v>29558</v>
      </c>
    </row>
    <row r="1875" spans="1:4">
      <c r="A1875" s="2356">
        <v>29335</v>
      </c>
      <c r="B1875" s="984" t="s">
        <v>28367</v>
      </c>
      <c r="C1875" s="984" t="s">
        <v>27629</v>
      </c>
      <c r="D1875" s="981">
        <f t="shared" si="29"/>
        <v>29335</v>
      </c>
    </row>
    <row r="1876" spans="1:4">
      <c r="A1876" s="2356">
        <v>29325</v>
      </c>
      <c r="B1876" s="984" t="s">
        <v>28363</v>
      </c>
      <c r="C1876" s="984" t="s">
        <v>27625</v>
      </c>
      <c r="D1876" s="981">
        <f t="shared" si="29"/>
        <v>29325</v>
      </c>
    </row>
    <row r="1877" spans="1:4">
      <c r="A1877" s="2356">
        <v>29547</v>
      </c>
      <c r="B1877" s="984" t="s">
        <v>28476</v>
      </c>
      <c r="C1877" s="984" t="s">
        <v>27734</v>
      </c>
      <c r="D1877" s="981">
        <f t="shared" si="29"/>
        <v>29547</v>
      </c>
    </row>
    <row r="1878" spans="1:4">
      <c r="A1878" s="2356">
        <v>28858</v>
      </c>
      <c r="B1878" s="984" t="s">
        <v>28305</v>
      </c>
      <c r="C1878" s="984" t="s">
        <v>27570</v>
      </c>
      <c r="D1878" s="981">
        <f t="shared" si="29"/>
        <v>28858</v>
      </c>
    </row>
    <row r="1879" spans="1:4">
      <c r="A1879" s="2356">
        <v>28340</v>
      </c>
      <c r="B1879" s="984" t="s">
        <v>28164</v>
      </c>
      <c r="C1879" s="984" t="s">
        <v>27437</v>
      </c>
      <c r="D1879" s="981">
        <f t="shared" si="29"/>
        <v>28340</v>
      </c>
    </row>
    <row r="1880" spans="1:4">
      <c r="A1880" s="2356">
        <v>28587</v>
      </c>
      <c r="B1880" s="984" t="s">
        <v>28220</v>
      </c>
      <c r="C1880" s="984" t="s">
        <v>27490</v>
      </c>
      <c r="D1880" s="981">
        <f t="shared" si="29"/>
        <v>28587</v>
      </c>
    </row>
    <row r="1881" spans="1:4">
      <c r="A1881" s="2356">
        <v>29926</v>
      </c>
      <c r="B1881" s="984" t="s">
        <v>28547</v>
      </c>
      <c r="C1881" s="984" t="s">
        <v>27805</v>
      </c>
      <c r="D1881" s="981">
        <f t="shared" si="29"/>
        <v>29926</v>
      </c>
    </row>
    <row r="1882" spans="1:4">
      <c r="A1882" s="2356">
        <v>29383</v>
      </c>
      <c r="B1882" s="984" t="s">
        <v>28391</v>
      </c>
      <c r="C1882" s="984" t="s">
        <v>27651</v>
      </c>
      <c r="D1882" s="981">
        <f t="shared" si="29"/>
        <v>29383</v>
      </c>
    </row>
    <row r="1883" spans="1:4">
      <c r="A1883" s="2356">
        <v>28333</v>
      </c>
      <c r="B1883" s="984" t="s">
        <v>28161</v>
      </c>
      <c r="C1883" s="984" t="s">
        <v>27434</v>
      </c>
      <c r="D1883" s="981">
        <f t="shared" si="29"/>
        <v>28333</v>
      </c>
    </row>
    <row r="1884" spans="1:4">
      <c r="A1884" s="2356">
        <v>29616</v>
      </c>
      <c r="B1884" s="984" t="s">
        <v>28507</v>
      </c>
      <c r="C1884" s="984" t="s">
        <v>27765</v>
      </c>
      <c r="D1884" s="981">
        <f t="shared" si="29"/>
        <v>29616</v>
      </c>
    </row>
    <row r="1885" spans="1:4">
      <c r="A1885" s="2356">
        <v>29438</v>
      </c>
      <c r="B1885" s="984" t="s">
        <v>28419</v>
      </c>
      <c r="C1885" s="984" t="s">
        <v>27679</v>
      </c>
      <c r="D1885" s="981">
        <f t="shared" si="29"/>
        <v>29438</v>
      </c>
    </row>
    <row r="1886" spans="1:4">
      <c r="A1886" s="2356">
        <v>29488</v>
      </c>
      <c r="B1886" s="984" t="s">
        <v>28445</v>
      </c>
      <c r="C1886" s="984" t="s">
        <v>27704</v>
      </c>
      <c r="D1886" s="981">
        <f t="shared" si="29"/>
        <v>29488</v>
      </c>
    </row>
    <row r="1887" spans="1:4">
      <c r="A1887" s="2356">
        <v>29462</v>
      </c>
      <c r="B1887" s="984" t="s">
        <v>28430</v>
      </c>
      <c r="C1887" s="984" t="s">
        <v>27689</v>
      </c>
      <c r="D1887" s="981">
        <f t="shared" si="29"/>
        <v>29462</v>
      </c>
    </row>
    <row r="1888" spans="1:4">
      <c r="A1888" s="2356">
        <v>29392</v>
      </c>
      <c r="B1888" s="984" t="s">
        <v>28398</v>
      </c>
      <c r="C1888" s="984" t="s">
        <v>27658</v>
      </c>
      <c r="D1888" s="981">
        <f t="shared" si="29"/>
        <v>29392</v>
      </c>
    </row>
    <row r="1889" spans="1:4">
      <c r="A1889" s="2356">
        <v>25883</v>
      </c>
      <c r="B1889" s="984" t="s">
        <v>25868</v>
      </c>
      <c r="C1889" s="984" t="s">
        <v>25867</v>
      </c>
      <c r="D1889" s="981">
        <f t="shared" si="29"/>
        <v>25883</v>
      </c>
    </row>
    <row r="1890" spans="1:4">
      <c r="A1890" s="2356">
        <v>28246</v>
      </c>
      <c r="B1890" s="984" t="s">
        <v>28140</v>
      </c>
      <c r="C1890" s="984" t="s">
        <v>27418</v>
      </c>
      <c r="D1890" s="981">
        <f t="shared" si="29"/>
        <v>28246</v>
      </c>
    </row>
    <row r="1891" spans="1:4">
      <c r="A1891" s="2356">
        <v>26007</v>
      </c>
      <c r="B1891" s="984" t="s">
        <v>25941</v>
      </c>
      <c r="C1891" s="984" t="s">
        <v>25940</v>
      </c>
      <c r="D1891" s="981">
        <f t="shared" si="29"/>
        <v>26007</v>
      </c>
    </row>
    <row r="1892" spans="1:4">
      <c r="A1892" s="2356">
        <v>28144</v>
      </c>
      <c r="B1892" s="984" t="s">
        <v>28113</v>
      </c>
      <c r="C1892" s="984" t="s">
        <v>27391</v>
      </c>
      <c r="D1892" s="981">
        <f t="shared" si="29"/>
        <v>28144</v>
      </c>
    </row>
    <row r="1893" spans="1:4">
      <c r="A1893" s="2356">
        <v>25118</v>
      </c>
      <c r="B1893" s="984" t="s">
        <v>25748</v>
      </c>
      <c r="C1893" s="984" t="s">
        <v>25747</v>
      </c>
      <c r="D1893" s="981">
        <f t="shared" si="29"/>
        <v>25118</v>
      </c>
    </row>
    <row r="1894" spans="1:4">
      <c r="A1894" s="2356">
        <v>28199</v>
      </c>
      <c r="B1894" s="984" t="s">
        <v>28130</v>
      </c>
      <c r="C1894" s="984" t="s">
        <v>27408</v>
      </c>
      <c r="D1894" s="981">
        <f t="shared" si="29"/>
        <v>28199</v>
      </c>
    </row>
    <row r="1895" spans="1:4">
      <c r="A1895" s="2356">
        <v>27791</v>
      </c>
      <c r="B1895" s="984" t="s">
        <v>27919</v>
      </c>
      <c r="C1895" s="984" t="s">
        <v>27210</v>
      </c>
      <c r="D1895" s="981">
        <f t="shared" si="29"/>
        <v>27791</v>
      </c>
    </row>
    <row r="1896" spans="1:4">
      <c r="A1896" s="2356">
        <v>27832</v>
      </c>
      <c r="B1896" s="984" t="s">
        <v>27941</v>
      </c>
      <c r="C1896" s="984" t="s">
        <v>27231</v>
      </c>
      <c r="D1896" s="981">
        <f t="shared" si="29"/>
        <v>27832</v>
      </c>
    </row>
    <row r="1897" spans="1:4">
      <c r="A1897" s="2356">
        <v>27556</v>
      </c>
      <c r="B1897" s="984" t="s">
        <v>27912</v>
      </c>
      <c r="C1897" s="984" t="s">
        <v>27203</v>
      </c>
      <c r="D1897" s="981">
        <f t="shared" si="29"/>
        <v>27556</v>
      </c>
    </row>
    <row r="1898" spans="1:4">
      <c r="A1898" s="2356">
        <v>28346</v>
      </c>
      <c r="B1898" s="984" t="s">
        <v>28169</v>
      </c>
      <c r="C1898" s="984" t="s">
        <v>27442</v>
      </c>
      <c r="D1898" s="981">
        <f t="shared" si="29"/>
        <v>28346</v>
      </c>
    </row>
    <row r="1899" spans="1:4">
      <c r="A1899" s="2356">
        <v>28077</v>
      </c>
      <c r="B1899" s="984" t="s">
        <v>28075</v>
      </c>
      <c r="C1899" s="984" t="s">
        <v>27355</v>
      </c>
      <c r="D1899" s="981">
        <f t="shared" si="29"/>
        <v>28077</v>
      </c>
    </row>
    <row r="1900" spans="1:4">
      <c r="A1900" s="2356">
        <v>28035</v>
      </c>
      <c r="B1900" s="984" t="s">
        <v>28044</v>
      </c>
      <c r="C1900" s="984" t="s">
        <v>27327</v>
      </c>
      <c r="D1900" s="981">
        <f t="shared" si="29"/>
        <v>28035</v>
      </c>
    </row>
    <row r="1901" spans="1:4">
      <c r="A1901" s="2356">
        <v>27939</v>
      </c>
      <c r="B1901" s="984" t="s">
        <v>27990</v>
      </c>
      <c r="C1901" s="984" t="s">
        <v>31987</v>
      </c>
      <c r="D1901" s="981">
        <f t="shared" si="29"/>
        <v>27939</v>
      </c>
    </row>
    <row r="1902" spans="1:4">
      <c r="A1902" s="2356">
        <v>27990</v>
      </c>
      <c r="B1902" s="984" t="s">
        <v>28014</v>
      </c>
      <c r="C1902" s="984" t="s">
        <v>27300</v>
      </c>
      <c r="D1902" s="981">
        <f t="shared" si="29"/>
        <v>27990</v>
      </c>
    </row>
    <row r="1903" spans="1:4">
      <c r="A1903" s="2356">
        <v>26801</v>
      </c>
      <c r="B1903" s="984" t="s">
        <v>27908</v>
      </c>
      <c r="C1903" s="984" t="s">
        <v>27199</v>
      </c>
      <c r="D1903" s="981">
        <f t="shared" si="29"/>
        <v>26801</v>
      </c>
    </row>
    <row r="1904" spans="1:4">
      <c r="A1904" s="2356">
        <v>26092</v>
      </c>
      <c r="B1904" s="984" t="s">
        <v>25964</v>
      </c>
      <c r="C1904" s="984" t="s">
        <v>25963</v>
      </c>
      <c r="D1904" s="981">
        <f t="shared" si="29"/>
        <v>26092</v>
      </c>
    </row>
    <row r="1905" spans="1:4">
      <c r="A1905" s="2356">
        <v>24700</v>
      </c>
      <c r="B1905" s="984" t="s">
        <v>25107</v>
      </c>
      <c r="C1905" s="984" t="s">
        <v>25108</v>
      </c>
      <c r="D1905" s="981">
        <f t="shared" si="29"/>
        <v>24700</v>
      </c>
    </row>
    <row r="1906" spans="1:4">
      <c r="A1906" s="2356">
        <v>28123</v>
      </c>
      <c r="B1906" s="984" t="s">
        <v>28101</v>
      </c>
      <c r="C1906" s="984" t="s">
        <v>27381</v>
      </c>
      <c r="D1906" s="981">
        <f t="shared" si="29"/>
        <v>28123</v>
      </c>
    </row>
    <row r="1907" spans="1:4">
      <c r="A1907" s="2356">
        <v>28150</v>
      </c>
      <c r="B1907" s="984" t="s">
        <v>28114</v>
      </c>
      <c r="C1907" s="984" t="s">
        <v>27392</v>
      </c>
      <c r="D1907" s="981">
        <f t="shared" si="29"/>
        <v>28150</v>
      </c>
    </row>
    <row r="1908" spans="1:4">
      <c r="A1908" s="2356">
        <v>27817</v>
      </c>
      <c r="B1908" s="984" t="s">
        <v>27935</v>
      </c>
      <c r="C1908" s="984" t="s">
        <v>27226</v>
      </c>
      <c r="D1908" s="981">
        <f t="shared" si="29"/>
        <v>27817</v>
      </c>
    </row>
    <row r="1909" spans="1:4">
      <c r="A1909" s="2356">
        <v>27867</v>
      </c>
      <c r="B1909" s="984" t="s">
        <v>27957</v>
      </c>
      <c r="C1909" s="984" t="s">
        <v>27247</v>
      </c>
      <c r="D1909" s="981">
        <f t="shared" si="29"/>
        <v>27867</v>
      </c>
    </row>
    <row r="1910" spans="1:4">
      <c r="A1910" s="2356">
        <v>26036</v>
      </c>
      <c r="B1910" s="984" t="s">
        <v>25954</v>
      </c>
      <c r="C1910" s="984" t="s">
        <v>25953</v>
      </c>
      <c r="D1910" s="981">
        <f t="shared" si="29"/>
        <v>26036</v>
      </c>
    </row>
    <row r="1911" spans="1:4">
      <c r="A1911" s="2356">
        <v>28294</v>
      </c>
      <c r="B1911" s="984" t="s">
        <v>28145</v>
      </c>
      <c r="C1911" s="984" t="s">
        <v>27421</v>
      </c>
      <c r="D1911" s="981">
        <f t="shared" si="29"/>
        <v>28294</v>
      </c>
    </row>
    <row r="1912" spans="1:4">
      <c r="A1912" s="2356">
        <v>27959</v>
      </c>
      <c r="B1912" s="984" t="s">
        <v>28000</v>
      </c>
      <c r="C1912" s="984" t="s">
        <v>27286</v>
      </c>
      <c r="D1912" s="981">
        <f t="shared" si="29"/>
        <v>27959</v>
      </c>
    </row>
    <row r="1913" spans="1:4">
      <c r="A1913" s="2356">
        <v>28310</v>
      </c>
      <c r="B1913" s="984" t="s">
        <v>28151</v>
      </c>
      <c r="C1913" s="984" t="s">
        <v>27426</v>
      </c>
      <c r="D1913" s="981">
        <f t="shared" si="29"/>
        <v>28310</v>
      </c>
    </row>
    <row r="1914" spans="1:4">
      <c r="A1914" s="2356">
        <v>28096</v>
      </c>
      <c r="B1914" s="984" t="s">
        <v>28089</v>
      </c>
      <c r="C1914" s="984" t="s">
        <v>27369</v>
      </c>
      <c r="D1914" s="981">
        <f t="shared" si="29"/>
        <v>28096</v>
      </c>
    </row>
    <row r="1915" spans="1:4">
      <c r="A1915" s="2356">
        <v>28084</v>
      </c>
      <c r="B1915" s="984" t="s">
        <v>28080</v>
      </c>
      <c r="C1915" s="984" t="s">
        <v>27360</v>
      </c>
      <c r="D1915" s="981">
        <f t="shared" si="29"/>
        <v>28084</v>
      </c>
    </row>
    <row r="1916" spans="1:4">
      <c r="A1916" s="2356">
        <v>28046</v>
      </c>
      <c r="B1916" s="984" t="s">
        <v>28054</v>
      </c>
      <c r="C1916" s="984" t="s">
        <v>27337</v>
      </c>
      <c r="D1916" s="981">
        <f t="shared" si="29"/>
        <v>28046</v>
      </c>
    </row>
    <row r="1917" spans="1:4">
      <c r="A1917" s="2356">
        <v>25797</v>
      </c>
      <c r="B1917" s="984" t="s">
        <v>25813</v>
      </c>
      <c r="C1917" s="984" t="s">
        <v>25812</v>
      </c>
      <c r="D1917" s="981">
        <f t="shared" si="29"/>
        <v>25797</v>
      </c>
    </row>
    <row r="1918" spans="1:4">
      <c r="A1918" s="2356">
        <v>28087</v>
      </c>
      <c r="B1918" s="984" t="s">
        <v>28082</v>
      </c>
      <c r="C1918" s="984" t="s">
        <v>27362</v>
      </c>
      <c r="D1918" s="981">
        <f t="shared" si="29"/>
        <v>28087</v>
      </c>
    </row>
    <row r="1919" spans="1:4">
      <c r="A1919" s="2356">
        <v>25859</v>
      </c>
      <c r="B1919" s="984" t="s">
        <v>25851</v>
      </c>
      <c r="C1919" s="984" t="s">
        <v>25850</v>
      </c>
      <c r="D1919" s="981">
        <f t="shared" si="29"/>
        <v>25859</v>
      </c>
    </row>
    <row r="1920" spans="1:4">
      <c r="A1920" s="2356">
        <v>27060</v>
      </c>
      <c r="B1920" s="984" t="s">
        <v>26033</v>
      </c>
      <c r="C1920" s="984" t="s">
        <v>26032</v>
      </c>
      <c r="D1920" s="981">
        <f t="shared" si="29"/>
        <v>27060</v>
      </c>
    </row>
    <row r="1921" spans="1:4">
      <c r="A1921" s="2356">
        <v>27010</v>
      </c>
      <c r="B1921" s="984" t="s">
        <v>26031</v>
      </c>
      <c r="C1921" s="984" t="s">
        <v>26030</v>
      </c>
      <c r="D1921" s="981">
        <f t="shared" si="29"/>
        <v>27010</v>
      </c>
    </row>
    <row r="1922" spans="1:4">
      <c r="A1922" s="2356">
        <v>25869</v>
      </c>
      <c r="B1922" s="984" t="s">
        <v>25861</v>
      </c>
      <c r="C1922" s="984" t="s">
        <v>25860</v>
      </c>
      <c r="D1922" s="981">
        <f t="shared" si="29"/>
        <v>25869</v>
      </c>
    </row>
    <row r="1923" spans="1:4">
      <c r="A1923" s="2356">
        <v>27913</v>
      </c>
      <c r="B1923" s="984" t="s">
        <v>27975</v>
      </c>
      <c r="C1923" s="984" t="s">
        <v>27263</v>
      </c>
      <c r="D1923" s="981">
        <f t="shared" si="29"/>
        <v>27913</v>
      </c>
    </row>
    <row r="1924" spans="1:4">
      <c r="A1924" s="2356">
        <v>24865</v>
      </c>
      <c r="B1924" s="984" t="s">
        <v>25733</v>
      </c>
      <c r="C1924" s="984" t="s">
        <v>25732</v>
      </c>
      <c r="D1924" s="981">
        <f t="shared" si="29"/>
        <v>24865</v>
      </c>
    </row>
    <row r="1925" spans="1:4">
      <c r="A1925" s="2356">
        <v>27871</v>
      </c>
      <c r="B1925" s="984" t="s">
        <v>27958</v>
      </c>
      <c r="C1925" s="984" t="s">
        <v>27248</v>
      </c>
      <c r="D1925" s="981">
        <f t="shared" si="29"/>
        <v>27871</v>
      </c>
    </row>
    <row r="1926" spans="1:4">
      <c r="A1926" s="2356">
        <v>24572</v>
      </c>
      <c r="B1926" s="984" t="s">
        <v>25037</v>
      </c>
      <c r="C1926" s="984" t="s">
        <v>25038</v>
      </c>
      <c r="D1926" s="981">
        <f t="shared" si="29"/>
        <v>24572</v>
      </c>
    </row>
    <row r="1927" spans="1:4">
      <c r="A1927" s="2356">
        <v>24198</v>
      </c>
      <c r="B1927" s="984" t="s">
        <v>23199</v>
      </c>
      <c r="C1927" s="984" t="s">
        <v>24125</v>
      </c>
      <c r="D1927" s="981">
        <f t="shared" si="29"/>
        <v>24198</v>
      </c>
    </row>
    <row r="1928" spans="1:4">
      <c r="A1928" s="2356">
        <v>27907</v>
      </c>
      <c r="B1928" s="984" t="s">
        <v>27973</v>
      </c>
      <c r="C1928" s="984" t="s">
        <v>31050</v>
      </c>
      <c r="D1928" s="981">
        <f t="shared" si="29"/>
        <v>27907</v>
      </c>
    </row>
    <row r="1929" spans="1:4">
      <c r="A1929" s="2356">
        <v>27852</v>
      </c>
      <c r="B1929" s="984" t="s">
        <v>27951</v>
      </c>
      <c r="C1929" s="984" t="s">
        <v>27241</v>
      </c>
      <c r="D1929" s="981">
        <f t="shared" ref="D1929:D1992" si="30">+A1929</f>
        <v>27852</v>
      </c>
    </row>
    <row r="1930" spans="1:4">
      <c r="A1930" s="2356">
        <v>27891</v>
      </c>
      <c r="B1930" s="984" t="s">
        <v>27967</v>
      </c>
      <c r="C1930" s="984" t="s">
        <v>27257</v>
      </c>
      <c r="D1930" s="981">
        <f t="shared" si="30"/>
        <v>27891</v>
      </c>
    </row>
    <row r="1931" spans="1:4">
      <c r="A1931" s="2356">
        <v>28051</v>
      </c>
      <c r="B1931" s="984" t="s">
        <v>28057</v>
      </c>
      <c r="C1931" s="984" t="s">
        <v>27340</v>
      </c>
      <c r="D1931" s="981">
        <f t="shared" si="30"/>
        <v>28051</v>
      </c>
    </row>
    <row r="1932" spans="1:4">
      <c r="A1932" s="2356">
        <v>28040</v>
      </c>
      <c r="B1932" s="984" t="s">
        <v>28048</v>
      </c>
      <c r="C1932" s="984" t="s">
        <v>27331</v>
      </c>
      <c r="D1932" s="981">
        <f t="shared" si="30"/>
        <v>28040</v>
      </c>
    </row>
    <row r="1933" spans="1:4">
      <c r="A1933" s="2356">
        <v>28015</v>
      </c>
      <c r="B1933" s="984" t="s">
        <v>28029</v>
      </c>
      <c r="C1933" s="984" t="s">
        <v>29857</v>
      </c>
      <c r="D1933" s="981">
        <f t="shared" si="30"/>
        <v>28015</v>
      </c>
    </row>
    <row r="1934" spans="1:4">
      <c r="A1934" s="2356">
        <v>27825</v>
      </c>
      <c r="B1934" s="984" t="s">
        <v>27939</v>
      </c>
      <c r="C1934" s="984" t="s">
        <v>27229</v>
      </c>
      <c r="D1934" s="981">
        <f t="shared" si="30"/>
        <v>27825</v>
      </c>
    </row>
    <row r="1935" spans="1:4">
      <c r="A1935" s="2356">
        <v>25404</v>
      </c>
      <c r="B1935" s="984" t="s">
        <v>25786</v>
      </c>
      <c r="C1935" s="984" t="s">
        <v>25785</v>
      </c>
      <c r="D1935" s="981">
        <f t="shared" si="30"/>
        <v>25404</v>
      </c>
    </row>
    <row r="1936" spans="1:4">
      <c r="A1936" s="2356">
        <v>24557</v>
      </c>
      <c r="B1936" s="984" t="s">
        <v>25025</v>
      </c>
      <c r="C1936" s="984" t="s">
        <v>25026</v>
      </c>
      <c r="D1936" s="981">
        <f t="shared" si="30"/>
        <v>24557</v>
      </c>
    </row>
    <row r="1937" spans="1:4">
      <c r="A1937" s="2356">
        <v>28106</v>
      </c>
      <c r="B1937" s="984" t="s">
        <v>28092</v>
      </c>
      <c r="C1937" s="984" t="s">
        <v>27372</v>
      </c>
      <c r="D1937" s="981">
        <f t="shared" si="30"/>
        <v>28106</v>
      </c>
    </row>
    <row r="1938" spans="1:4">
      <c r="A1938" s="2356">
        <v>30012</v>
      </c>
      <c r="B1938" s="984" t="s">
        <v>28556</v>
      </c>
      <c r="C1938" s="984" t="s">
        <v>27814</v>
      </c>
      <c r="D1938" s="981">
        <f t="shared" si="30"/>
        <v>30012</v>
      </c>
    </row>
    <row r="1939" spans="1:4">
      <c r="A1939" s="2356">
        <v>29791</v>
      </c>
      <c r="B1939" s="984" t="s">
        <v>28538</v>
      </c>
      <c r="C1939" s="984" t="s">
        <v>27796</v>
      </c>
      <c r="D1939" s="981">
        <f t="shared" si="30"/>
        <v>29791</v>
      </c>
    </row>
    <row r="1940" spans="1:4">
      <c r="A1940" s="2356">
        <v>29779</v>
      </c>
      <c r="B1940" s="984" t="s">
        <v>28537</v>
      </c>
      <c r="C1940" s="984" t="s">
        <v>27795</v>
      </c>
      <c r="D1940" s="981">
        <f t="shared" si="30"/>
        <v>29779</v>
      </c>
    </row>
    <row r="1941" spans="1:4">
      <c r="A1941" s="2356">
        <v>26541</v>
      </c>
      <c r="B1941" s="984" t="s">
        <v>25996</v>
      </c>
      <c r="C1941" s="984" t="s">
        <v>25995</v>
      </c>
      <c r="D1941" s="981">
        <f t="shared" si="30"/>
        <v>26541</v>
      </c>
    </row>
    <row r="1942" spans="1:4">
      <c r="A1942" s="2356">
        <v>25353</v>
      </c>
      <c r="B1942" s="984" t="s">
        <v>25780</v>
      </c>
      <c r="C1942" s="984" t="s">
        <v>25779</v>
      </c>
      <c r="D1942" s="981">
        <f t="shared" si="30"/>
        <v>25353</v>
      </c>
    </row>
    <row r="1943" spans="1:4">
      <c r="A1943" s="2356">
        <v>28070</v>
      </c>
      <c r="B1943" s="984" t="s">
        <v>28070</v>
      </c>
      <c r="C1943" s="984" t="s">
        <v>27351</v>
      </c>
      <c r="D1943" s="981">
        <f t="shared" si="30"/>
        <v>28070</v>
      </c>
    </row>
    <row r="1944" spans="1:4">
      <c r="A1944" s="2356">
        <v>26299</v>
      </c>
      <c r="B1944" s="984" t="s">
        <v>25986</v>
      </c>
      <c r="C1944" s="984" t="s">
        <v>25985</v>
      </c>
      <c r="D1944" s="981">
        <f t="shared" si="30"/>
        <v>26299</v>
      </c>
    </row>
    <row r="1945" spans="1:4">
      <c r="A1945" s="2356">
        <v>30045</v>
      </c>
      <c r="B1945" s="984" t="s">
        <v>28566</v>
      </c>
      <c r="C1945" s="984" t="s">
        <v>27824</v>
      </c>
      <c r="D1945" s="981">
        <f t="shared" si="30"/>
        <v>30045</v>
      </c>
    </row>
    <row r="1946" spans="1:4">
      <c r="A1946" s="2356">
        <v>30043</v>
      </c>
      <c r="B1946" s="984" t="s">
        <v>28565</v>
      </c>
      <c r="C1946" s="984" t="s">
        <v>27823</v>
      </c>
      <c r="D1946" s="981">
        <f t="shared" si="30"/>
        <v>30043</v>
      </c>
    </row>
    <row r="1947" spans="1:4">
      <c r="A1947" s="2356">
        <v>26542</v>
      </c>
      <c r="B1947" s="984" t="s">
        <v>25998</v>
      </c>
      <c r="C1947" s="984" t="s">
        <v>25997</v>
      </c>
      <c r="D1947" s="981">
        <f t="shared" si="30"/>
        <v>26542</v>
      </c>
    </row>
    <row r="1948" spans="1:4">
      <c r="A1948" s="2356">
        <v>25341</v>
      </c>
      <c r="B1948" s="984" t="s">
        <v>25774</v>
      </c>
      <c r="C1948" s="984" t="s">
        <v>25773</v>
      </c>
      <c r="D1948" s="981">
        <f t="shared" si="30"/>
        <v>25341</v>
      </c>
    </row>
    <row r="1949" spans="1:4">
      <c r="A1949" s="2356">
        <v>25833</v>
      </c>
      <c r="B1949" s="984" t="s">
        <v>25843</v>
      </c>
      <c r="C1949" s="984" t="s">
        <v>25842</v>
      </c>
      <c r="D1949" s="981">
        <f t="shared" si="30"/>
        <v>25833</v>
      </c>
    </row>
    <row r="1950" spans="1:4">
      <c r="A1950" s="2356">
        <v>23855</v>
      </c>
      <c r="B1950" s="984" t="s">
        <v>23138</v>
      </c>
      <c r="C1950" s="984" t="s">
        <v>24066</v>
      </c>
      <c r="D1950" s="981">
        <f t="shared" si="30"/>
        <v>23855</v>
      </c>
    </row>
    <row r="1951" spans="1:4">
      <c r="A1951" s="2356">
        <v>23826</v>
      </c>
      <c r="B1951" s="984" t="s">
        <v>23096</v>
      </c>
      <c r="C1951" s="984" t="s">
        <v>24025</v>
      </c>
      <c r="D1951" s="981">
        <f t="shared" si="30"/>
        <v>23826</v>
      </c>
    </row>
    <row r="1952" spans="1:4">
      <c r="A1952" s="2356">
        <v>23092</v>
      </c>
      <c r="B1952" s="984" t="s">
        <v>23610</v>
      </c>
      <c r="C1952" s="984" t="s">
        <v>24527</v>
      </c>
      <c r="D1952" s="981">
        <f t="shared" si="30"/>
        <v>23092</v>
      </c>
    </row>
    <row r="1953" spans="1:4">
      <c r="A1953" s="2356">
        <v>23022</v>
      </c>
      <c r="B1953" s="984" t="s">
        <v>23430</v>
      </c>
      <c r="C1953" s="984" t="s">
        <v>24350</v>
      </c>
      <c r="D1953" s="981">
        <f t="shared" si="30"/>
        <v>23022</v>
      </c>
    </row>
    <row r="1954" spans="1:4">
      <c r="A1954" s="2356">
        <v>23044</v>
      </c>
      <c r="B1954" s="984" t="s">
        <v>23436</v>
      </c>
      <c r="C1954" s="984" t="s">
        <v>24356</v>
      </c>
      <c r="D1954" s="981">
        <f t="shared" si="30"/>
        <v>23044</v>
      </c>
    </row>
    <row r="1955" spans="1:4">
      <c r="A1955" s="2356">
        <v>23873</v>
      </c>
      <c r="B1955" s="984" t="s">
        <v>23733</v>
      </c>
      <c r="C1955" s="984" t="s">
        <v>27184</v>
      </c>
      <c r="D1955" s="981">
        <f t="shared" si="30"/>
        <v>23873</v>
      </c>
    </row>
    <row r="1956" spans="1:4">
      <c r="A1956" s="2356">
        <v>23038</v>
      </c>
      <c r="B1956" s="984" t="s">
        <v>27896</v>
      </c>
      <c r="C1956" s="984" t="s">
        <v>27182</v>
      </c>
      <c r="D1956" s="981">
        <f t="shared" si="30"/>
        <v>23038</v>
      </c>
    </row>
    <row r="1957" spans="1:4">
      <c r="A1957" s="2356">
        <v>23186</v>
      </c>
      <c r="B1957" s="984" t="s">
        <v>23711</v>
      </c>
      <c r="C1957" s="984" t="s">
        <v>31988</v>
      </c>
      <c r="D1957" s="981">
        <f t="shared" si="30"/>
        <v>23186</v>
      </c>
    </row>
    <row r="1958" spans="1:4">
      <c r="A1958" s="2356">
        <v>23819</v>
      </c>
      <c r="B1958" s="984" t="s">
        <v>23538</v>
      </c>
      <c r="C1958" s="984" t="s">
        <v>24456</v>
      </c>
      <c r="D1958" s="981">
        <f t="shared" si="30"/>
        <v>23819</v>
      </c>
    </row>
    <row r="1959" spans="1:4">
      <c r="A1959" s="2356">
        <v>24052</v>
      </c>
      <c r="B1959" s="984" t="s">
        <v>23307</v>
      </c>
      <c r="C1959" s="984" t="s">
        <v>24231</v>
      </c>
      <c r="D1959" s="981">
        <f t="shared" si="30"/>
        <v>24052</v>
      </c>
    </row>
    <row r="1960" spans="1:4">
      <c r="A1960" s="2356">
        <v>20169</v>
      </c>
      <c r="B1960" s="984" t="s">
        <v>23650</v>
      </c>
      <c r="C1960" s="984" t="s">
        <v>24564</v>
      </c>
      <c r="D1960" s="981">
        <f t="shared" si="30"/>
        <v>20169</v>
      </c>
    </row>
    <row r="1961" spans="1:4">
      <c r="A1961" s="2356">
        <v>21533</v>
      </c>
      <c r="B1961" s="984" t="s">
        <v>23414</v>
      </c>
      <c r="C1961" s="984" t="s">
        <v>24334</v>
      </c>
      <c r="D1961" s="981">
        <f t="shared" si="30"/>
        <v>21533</v>
      </c>
    </row>
    <row r="1962" spans="1:4">
      <c r="A1962" s="2356">
        <v>22231</v>
      </c>
      <c r="B1962" s="984" t="s">
        <v>23583</v>
      </c>
      <c r="C1962" s="984" t="s">
        <v>24500</v>
      </c>
      <c r="D1962" s="981">
        <f t="shared" si="30"/>
        <v>22231</v>
      </c>
    </row>
    <row r="1963" spans="1:4">
      <c r="A1963" s="2356">
        <v>21650</v>
      </c>
      <c r="B1963" s="984" t="s">
        <v>23503</v>
      </c>
      <c r="C1963" s="984" t="s">
        <v>24420</v>
      </c>
      <c r="D1963" s="981">
        <f t="shared" si="30"/>
        <v>21650</v>
      </c>
    </row>
    <row r="1964" spans="1:4">
      <c r="A1964" s="2356">
        <v>21494</v>
      </c>
      <c r="B1964" s="984" t="s">
        <v>23585</v>
      </c>
      <c r="C1964" s="984" t="s">
        <v>24503</v>
      </c>
      <c r="D1964" s="981">
        <f t="shared" si="30"/>
        <v>21494</v>
      </c>
    </row>
    <row r="1965" spans="1:4">
      <c r="A1965" s="2356">
        <v>21487</v>
      </c>
      <c r="B1965" s="984" t="s">
        <v>23370</v>
      </c>
      <c r="C1965" s="984" t="s">
        <v>24294</v>
      </c>
      <c r="D1965" s="981">
        <f t="shared" si="30"/>
        <v>21487</v>
      </c>
    </row>
    <row r="1966" spans="1:4">
      <c r="A1966" s="2356">
        <v>22799</v>
      </c>
      <c r="B1966" s="984" t="s">
        <v>23597</v>
      </c>
      <c r="C1966" s="984" t="s">
        <v>24514</v>
      </c>
      <c r="D1966" s="981">
        <f t="shared" si="30"/>
        <v>22799</v>
      </c>
    </row>
    <row r="1967" spans="1:4">
      <c r="A1967" s="2356">
        <v>22944</v>
      </c>
      <c r="B1967" s="984" t="s">
        <v>23533</v>
      </c>
      <c r="C1967" s="984" t="s">
        <v>24451</v>
      </c>
      <c r="D1967" s="981">
        <f t="shared" si="30"/>
        <v>22944</v>
      </c>
    </row>
    <row r="1968" spans="1:4">
      <c r="A1968" s="2356">
        <v>20158</v>
      </c>
      <c r="B1968" s="984" t="s">
        <v>23105</v>
      </c>
      <c r="C1968" s="984" t="s">
        <v>24034</v>
      </c>
      <c r="D1968" s="981">
        <f t="shared" si="30"/>
        <v>20158</v>
      </c>
    </row>
    <row r="1969" spans="1:4">
      <c r="A1969" s="2356">
        <v>22554</v>
      </c>
      <c r="B1969" s="984" t="s">
        <v>23474</v>
      </c>
      <c r="C1969" s="984" t="s">
        <v>24392</v>
      </c>
      <c r="D1969" s="981">
        <f t="shared" si="30"/>
        <v>22554</v>
      </c>
    </row>
    <row r="1970" spans="1:4">
      <c r="A1970" s="2356">
        <v>21479</v>
      </c>
      <c r="B1970" s="984" t="s">
        <v>23676</v>
      </c>
      <c r="C1970" s="984" t="s">
        <v>24590</v>
      </c>
      <c r="D1970" s="981">
        <f t="shared" si="30"/>
        <v>21479</v>
      </c>
    </row>
    <row r="1971" spans="1:4">
      <c r="A1971" s="2356">
        <v>22943</v>
      </c>
      <c r="B1971" s="984" t="s">
        <v>23541</v>
      </c>
      <c r="C1971" s="984" t="s">
        <v>24459</v>
      </c>
      <c r="D1971" s="981">
        <f t="shared" si="30"/>
        <v>22943</v>
      </c>
    </row>
    <row r="1972" spans="1:4">
      <c r="A1972" s="2356">
        <v>22823</v>
      </c>
      <c r="B1972" s="984" t="s">
        <v>23013</v>
      </c>
      <c r="C1972" s="984" t="s">
        <v>23945</v>
      </c>
      <c r="D1972" s="981">
        <f t="shared" si="30"/>
        <v>22823</v>
      </c>
    </row>
    <row r="1973" spans="1:4">
      <c r="A1973" s="2356">
        <v>22737</v>
      </c>
      <c r="B1973" s="984" t="s">
        <v>23224</v>
      </c>
      <c r="C1973" s="984" t="s">
        <v>24149</v>
      </c>
      <c r="D1973" s="981">
        <f t="shared" si="30"/>
        <v>22737</v>
      </c>
    </row>
    <row r="1974" spans="1:4">
      <c r="A1974" s="2356">
        <v>22723</v>
      </c>
      <c r="B1974" s="984" t="s">
        <v>23651</v>
      </c>
      <c r="C1974" s="984" t="s">
        <v>24565</v>
      </c>
      <c r="D1974" s="981">
        <f t="shared" si="30"/>
        <v>22723</v>
      </c>
    </row>
    <row r="1975" spans="1:4">
      <c r="A1975" s="2356">
        <v>22846</v>
      </c>
      <c r="B1975" s="984" t="s">
        <v>23527</v>
      </c>
      <c r="C1975" s="984" t="s">
        <v>24445</v>
      </c>
      <c r="D1975" s="981">
        <f t="shared" si="30"/>
        <v>22846</v>
      </c>
    </row>
    <row r="1976" spans="1:4">
      <c r="A1976" s="2356">
        <v>22121</v>
      </c>
      <c r="B1976" s="984" t="s">
        <v>23216</v>
      </c>
      <c r="C1976" s="984" t="s">
        <v>24141</v>
      </c>
      <c r="D1976" s="981">
        <f t="shared" si="30"/>
        <v>22121</v>
      </c>
    </row>
    <row r="1977" spans="1:4">
      <c r="A1977" s="2356">
        <v>20836</v>
      </c>
      <c r="B1977" s="984" t="s">
        <v>23595</v>
      </c>
      <c r="C1977" s="984" t="s">
        <v>24512</v>
      </c>
      <c r="D1977" s="981">
        <f t="shared" si="30"/>
        <v>20836</v>
      </c>
    </row>
    <row r="1978" spans="1:4">
      <c r="A1978" s="2356">
        <v>21664</v>
      </c>
      <c r="B1978" s="984" t="s">
        <v>23726</v>
      </c>
      <c r="C1978" s="984" t="s">
        <v>31989</v>
      </c>
      <c r="D1978" s="981">
        <f t="shared" si="30"/>
        <v>21664</v>
      </c>
    </row>
    <row r="1979" spans="1:4">
      <c r="A1979" s="2356">
        <v>22010</v>
      </c>
      <c r="B1979" s="984" t="s">
        <v>23420</v>
      </c>
      <c r="C1979" s="984" t="s">
        <v>24340</v>
      </c>
      <c r="D1979" s="981">
        <f t="shared" si="30"/>
        <v>22010</v>
      </c>
    </row>
    <row r="1980" spans="1:4">
      <c r="A1980" s="2356">
        <v>21521</v>
      </c>
      <c r="B1980" s="984" t="s">
        <v>26049</v>
      </c>
      <c r="C1980" s="984" t="s">
        <v>26048</v>
      </c>
      <c r="D1980" s="981">
        <f t="shared" si="30"/>
        <v>21521</v>
      </c>
    </row>
    <row r="1981" spans="1:4">
      <c r="A1981" s="2356">
        <v>22165</v>
      </c>
      <c r="B1981" s="984" t="s">
        <v>23421</v>
      </c>
      <c r="C1981" s="984" t="s">
        <v>24341</v>
      </c>
      <c r="D1981" s="981">
        <f t="shared" si="30"/>
        <v>22165</v>
      </c>
    </row>
    <row r="1982" spans="1:4">
      <c r="A1982" s="2356">
        <v>21559</v>
      </c>
      <c r="B1982" s="984" t="s">
        <v>23515</v>
      </c>
      <c r="C1982" s="984" t="s">
        <v>24432</v>
      </c>
      <c r="D1982" s="981">
        <f t="shared" si="30"/>
        <v>21559</v>
      </c>
    </row>
    <row r="1983" spans="1:4">
      <c r="A1983" s="2356">
        <v>21557</v>
      </c>
      <c r="B1983" s="984" t="s">
        <v>23355</v>
      </c>
      <c r="C1983" s="984" t="s">
        <v>24279</v>
      </c>
      <c r="D1983" s="981">
        <f t="shared" si="30"/>
        <v>21557</v>
      </c>
    </row>
    <row r="1984" spans="1:4">
      <c r="A1984" s="2356">
        <v>21362</v>
      </c>
      <c r="B1984" s="984" t="s">
        <v>23793</v>
      </c>
      <c r="C1984" s="984" t="s">
        <v>24665</v>
      </c>
      <c r="D1984" s="981">
        <f t="shared" si="30"/>
        <v>21362</v>
      </c>
    </row>
    <row r="1985" spans="1:4">
      <c r="A1985" s="2356">
        <v>22147</v>
      </c>
      <c r="B1985" s="984" t="s">
        <v>23294</v>
      </c>
      <c r="C1985" s="984" t="s">
        <v>24218</v>
      </c>
      <c r="D1985" s="981">
        <f t="shared" si="30"/>
        <v>22147</v>
      </c>
    </row>
    <row r="1986" spans="1:4">
      <c r="A1986" s="2356">
        <v>21456</v>
      </c>
      <c r="B1986" s="984" t="s">
        <v>23225</v>
      </c>
      <c r="C1986" s="984" t="s">
        <v>24150</v>
      </c>
      <c r="D1986" s="981">
        <f t="shared" si="30"/>
        <v>21456</v>
      </c>
    </row>
    <row r="1987" spans="1:4">
      <c r="A1987" s="2356">
        <v>22169</v>
      </c>
      <c r="B1987" s="984" t="s">
        <v>23352</v>
      </c>
      <c r="C1987" s="984" t="s">
        <v>24276</v>
      </c>
      <c r="D1987" s="981">
        <f t="shared" si="30"/>
        <v>22169</v>
      </c>
    </row>
    <row r="1988" spans="1:4">
      <c r="A1988" s="2356">
        <v>20123</v>
      </c>
      <c r="B1988" s="984" t="s">
        <v>23743</v>
      </c>
      <c r="C1988" s="984" t="s">
        <v>24631</v>
      </c>
      <c r="D1988" s="981">
        <f t="shared" si="30"/>
        <v>20123</v>
      </c>
    </row>
    <row r="1989" spans="1:4">
      <c r="A1989" s="2356">
        <v>22921</v>
      </c>
      <c r="B1989" s="984" t="s">
        <v>23031</v>
      </c>
      <c r="C1989" s="984" t="s">
        <v>23961</v>
      </c>
      <c r="D1989" s="981">
        <f t="shared" si="30"/>
        <v>22921</v>
      </c>
    </row>
    <row r="1990" spans="1:4">
      <c r="A1990" s="2356">
        <v>22919</v>
      </c>
      <c r="B1990" s="984" t="s">
        <v>23038</v>
      </c>
      <c r="C1990" s="984" t="s">
        <v>23968</v>
      </c>
      <c r="D1990" s="981">
        <f t="shared" si="30"/>
        <v>22919</v>
      </c>
    </row>
    <row r="1991" spans="1:4">
      <c r="A1991" s="2356">
        <v>22849</v>
      </c>
      <c r="B1991" s="984" t="s">
        <v>23061</v>
      </c>
      <c r="C1991" s="984" t="s">
        <v>23991</v>
      </c>
      <c r="D1991" s="981">
        <f t="shared" si="30"/>
        <v>22849</v>
      </c>
    </row>
    <row r="1992" spans="1:4">
      <c r="A1992" s="2356">
        <v>21474</v>
      </c>
      <c r="B1992" s="984" t="s">
        <v>23634</v>
      </c>
      <c r="C1992" s="984" t="s">
        <v>24549</v>
      </c>
      <c r="D1992" s="981">
        <f t="shared" si="30"/>
        <v>21474</v>
      </c>
    </row>
    <row r="1993" spans="1:4">
      <c r="A1993" s="2356">
        <v>22813</v>
      </c>
      <c r="B1993" s="984" t="s">
        <v>23325</v>
      </c>
      <c r="C1993" s="984" t="s">
        <v>24249</v>
      </c>
      <c r="D1993" s="981">
        <f t="shared" ref="D1993:D2056" si="31">+A1993</f>
        <v>22813</v>
      </c>
    </row>
    <row r="1994" spans="1:4">
      <c r="A1994" s="2356">
        <v>22753</v>
      </c>
      <c r="B1994" s="984" t="s">
        <v>23012</v>
      </c>
      <c r="C1994" s="984" t="s">
        <v>31049</v>
      </c>
      <c r="D1994" s="981">
        <f t="shared" si="31"/>
        <v>22753</v>
      </c>
    </row>
    <row r="1995" spans="1:4">
      <c r="A1995" s="2356">
        <v>22159</v>
      </c>
      <c r="B1995" s="984" t="s">
        <v>23139</v>
      </c>
      <c r="C1995" s="984" t="s">
        <v>24067</v>
      </c>
      <c r="D1995" s="981">
        <f t="shared" si="31"/>
        <v>22159</v>
      </c>
    </row>
    <row r="1996" spans="1:4">
      <c r="A1996" s="2356">
        <v>22837</v>
      </c>
      <c r="B1996" s="984" t="s">
        <v>23751</v>
      </c>
      <c r="C1996" s="984" t="s">
        <v>27179</v>
      </c>
      <c r="D1996" s="981">
        <f t="shared" si="31"/>
        <v>22837</v>
      </c>
    </row>
    <row r="1997" spans="1:4">
      <c r="A1997" s="2356">
        <v>21651</v>
      </c>
      <c r="B1997" s="984" t="s">
        <v>23154</v>
      </c>
      <c r="C1997" s="984" t="s">
        <v>24082</v>
      </c>
      <c r="D1997" s="981">
        <f t="shared" si="31"/>
        <v>21651</v>
      </c>
    </row>
    <row r="1998" spans="1:4">
      <c r="A1998" s="2356">
        <v>22534</v>
      </c>
      <c r="B1998" s="984" t="s">
        <v>23356</v>
      </c>
      <c r="C1998" s="984" t="s">
        <v>24280</v>
      </c>
      <c r="D1998" s="981">
        <f t="shared" si="31"/>
        <v>22534</v>
      </c>
    </row>
    <row r="1999" spans="1:4">
      <c r="A1999" s="2356">
        <v>22581</v>
      </c>
      <c r="B1999" s="984" t="s">
        <v>23187</v>
      </c>
      <c r="C1999" s="984" t="s">
        <v>24113</v>
      </c>
      <c r="D1999" s="981">
        <f t="shared" si="31"/>
        <v>22581</v>
      </c>
    </row>
    <row r="2000" spans="1:4">
      <c r="A2000" s="2356">
        <v>19563</v>
      </c>
      <c r="B2000" s="984" t="s">
        <v>22933</v>
      </c>
      <c r="C2000" s="984" t="s">
        <v>23892</v>
      </c>
      <c r="D2000" s="981">
        <f t="shared" si="31"/>
        <v>19563</v>
      </c>
    </row>
    <row r="2001" spans="1:4">
      <c r="A2001" s="2356">
        <v>17555</v>
      </c>
      <c r="B2001" s="984" t="s">
        <v>23208</v>
      </c>
      <c r="C2001" s="984" t="s">
        <v>24133</v>
      </c>
      <c r="D2001" s="981">
        <f t="shared" si="31"/>
        <v>17555</v>
      </c>
    </row>
    <row r="2002" spans="1:4">
      <c r="A2002" s="2356">
        <v>17464</v>
      </c>
      <c r="B2002" s="984" t="s">
        <v>23853</v>
      </c>
      <c r="C2002" s="984" t="s">
        <v>24713</v>
      </c>
      <c r="D2002" s="981">
        <f t="shared" si="31"/>
        <v>17464</v>
      </c>
    </row>
    <row r="2003" spans="1:4">
      <c r="A2003" s="2356">
        <v>17233</v>
      </c>
      <c r="B2003" s="984" t="s">
        <v>23434</v>
      </c>
      <c r="C2003" s="984" t="s">
        <v>24354</v>
      </c>
      <c r="D2003" s="981">
        <f t="shared" si="31"/>
        <v>17233</v>
      </c>
    </row>
    <row r="2004" spans="1:4">
      <c r="A2004" s="2356">
        <v>20288</v>
      </c>
      <c r="B2004" s="984" t="s">
        <v>23248</v>
      </c>
      <c r="C2004" s="984" t="s">
        <v>24172</v>
      </c>
      <c r="D2004" s="981">
        <f t="shared" si="31"/>
        <v>20288</v>
      </c>
    </row>
    <row r="2005" spans="1:4">
      <c r="A2005" s="2356">
        <v>19843</v>
      </c>
      <c r="B2005" s="984" t="s">
        <v>23253</v>
      </c>
      <c r="C2005" s="984" t="s">
        <v>24176</v>
      </c>
      <c r="D2005" s="981">
        <f t="shared" si="31"/>
        <v>19843</v>
      </c>
    </row>
    <row r="2006" spans="1:4">
      <c r="A2006" s="2356">
        <v>19735</v>
      </c>
      <c r="B2006" s="984" t="s">
        <v>23080</v>
      </c>
      <c r="C2006" s="984" t="s">
        <v>24010</v>
      </c>
      <c r="D2006" s="981">
        <f t="shared" si="31"/>
        <v>19735</v>
      </c>
    </row>
    <row r="2007" spans="1:4">
      <c r="A2007" s="2356">
        <v>18816</v>
      </c>
      <c r="B2007" s="984" t="s">
        <v>23712</v>
      </c>
      <c r="C2007" s="984" t="s">
        <v>27159</v>
      </c>
      <c r="D2007" s="981">
        <f t="shared" si="31"/>
        <v>18816</v>
      </c>
    </row>
    <row r="2008" spans="1:4">
      <c r="A2008" s="2356">
        <v>17291</v>
      </c>
      <c r="B2008" s="984" t="s">
        <v>23837</v>
      </c>
      <c r="C2008" s="984" t="s">
        <v>24701</v>
      </c>
      <c r="D2008" s="981">
        <f t="shared" si="31"/>
        <v>17291</v>
      </c>
    </row>
    <row r="2009" spans="1:4">
      <c r="A2009" s="2356">
        <v>19759</v>
      </c>
      <c r="B2009" s="984" t="s">
        <v>23479</v>
      </c>
      <c r="C2009" s="984" t="s">
        <v>24397</v>
      </c>
      <c r="D2009" s="981">
        <f t="shared" si="31"/>
        <v>19759</v>
      </c>
    </row>
    <row r="2010" spans="1:4">
      <c r="A2010" s="2356">
        <v>19830</v>
      </c>
      <c r="B2010" s="984" t="s">
        <v>23260</v>
      </c>
      <c r="C2010" s="984" t="s">
        <v>24183</v>
      </c>
      <c r="D2010" s="981">
        <f t="shared" si="31"/>
        <v>19830</v>
      </c>
    </row>
    <row r="2011" spans="1:4">
      <c r="A2011" s="2356">
        <v>17432</v>
      </c>
      <c r="B2011" s="984" t="s">
        <v>23401</v>
      </c>
      <c r="C2011" s="984" t="s">
        <v>31990</v>
      </c>
      <c r="D2011" s="981">
        <f t="shared" si="31"/>
        <v>17432</v>
      </c>
    </row>
    <row r="2012" spans="1:4">
      <c r="A2012" s="2356">
        <v>17460</v>
      </c>
      <c r="B2012" s="984" t="s">
        <v>23673</v>
      </c>
      <c r="C2012" s="984" t="s">
        <v>24587</v>
      </c>
      <c r="D2012" s="981">
        <f t="shared" si="31"/>
        <v>17460</v>
      </c>
    </row>
    <row r="2013" spans="1:4">
      <c r="A2013" s="2356">
        <v>17397</v>
      </c>
      <c r="B2013" s="984" t="s">
        <v>23341</v>
      </c>
      <c r="C2013" s="984" t="s">
        <v>24265</v>
      </c>
      <c r="D2013" s="981">
        <f t="shared" si="31"/>
        <v>17397</v>
      </c>
    </row>
    <row r="2014" spans="1:4">
      <c r="A2014" s="2356">
        <v>19822</v>
      </c>
      <c r="B2014" s="984" t="s">
        <v>29933</v>
      </c>
      <c r="C2014" s="984" t="s">
        <v>29843</v>
      </c>
      <c r="D2014" s="981">
        <f t="shared" si="31"/>
        <v>19822</v>
      </c>
    </row>
    <row r="2015" spans="1:4">
      <c r="A2015" s="2356">
        <v>19994</v>
      </c>
      <c r="B2015" s="984" t="s">
        <v>23306</v>
      </c>
      <c r="C2015" s="984" t="s">
        <v>24230</v>
      </c>
      <c r="D2015" s="981">
        <f t="shared" si="31"/>
        <v>19994</v>
      </c>
    </row>
    <row r="2016" spans="1:4">
      <c r="A2016" s="2356">
        <v>19823</v>
      </c>
      <c r="B2016" s="984" t="s">
        <v>23383</v>
      </c>
      <c r="C2016" s="984" t="s">
        <v>24307</v>
      </c>
      <c r="D2016" s="981">
        <f t="shared" si="31"/>
        <v>19823</v>
      </c>
    </row>
    <row r="2017" spans="1:4">
      <c r="A2017" s="2356">
        <v>18747</v>
      </c>
      <c r="B2017" s="984" t="s">
        <v>23262</v>
      </c>
      <c r="C2017" s="984" t="s">
        <v>24185</v>
      </c>
      <c r="D2017" s="981">
        <f t="shared" si="31"/>
        <v>18747</v>
      </c>
    </row>
    <row r="2018" spans="1:4">
      <c r="A2018" s="2356">
        <v>17427</v>
      </c>
      <c r="B2018" s="984" t="s">
        <v>23501</v>
      </c>
      <c r="C2018" s="984" t="s">
        <v>24418</v>
      </c>
      <c r="D2018" s="981">
        <f t="shared" si="31"/>
        <v>17427</v>
      </c>
    </row>
    <row r="2019" spans="1:4">
      <c r="A2019" s="2356">
        <v>17499</v>
      </c>
      <c r="B2019" s="984" t="s">
        <v>22947</v>
      </c>
      <c r="C2019" s="984" t="s">
        <v>23904</v>
      </c>
      <c r="D2019" s="981">
        <f t="shared" si="31"/>
        <v>17499</v>
      </c>
    </row>
    <row r="2020" spans="1:4">
      <c r="A2020" s="2356">
        <v>17451</v>
      </c>
      <c r="B2020" s="984" t="s">
        <v>23484</v>
      </c>
      <c r="C2020" s="984" t="s">
        <v>24402</v>
      </c>
      <c r="D2020" s="981">
        <f t="shared" si="31"/>
        <v>17451</v>
      </c>
    </row>
    <row r="2021" spans="1:4">
      <c r="A2021" s="2356">
        <v>17508</v>
      </c>
      <c r="B2021" s="984" t="s">
        <v>23568</v>
      </c>
      <c r="C2021" s="984" t="s">
        <v>24484</v>
      </c>
      <c r="D2021" s="981">
        <f t="shared" si="31"/>
        <v>17508</v>
      </c>
    </row>
    <row r="2022" spans="1:4">
      <c r="A2022" s="2356">
        <v>17434</v>
      </c>
      <c r="B2022" s="984" t="s">
        <v>23710</v>
      </c>
      <c r="C2022" s="984" t="s">
        <v>31066</v>
      </c>
      <c r="D2022" s="981">
        <f t="shared" si="31"/>
        <v>17434</v>
      </c>
    </row>
    <row r="2023" spans="1:4">
      <c r="A2023" s="2356">
        <v>17446</v>
      </c>
      <c r="B2023" s="984" t="s">
        <v>23708</v>
      </c>
      <c r="C2023" s="984" t="s">
        <v>31092</v>
      </c>
      <c r="D2023" s="981">
        <f t="shared" si="31"/>
        <v>17446</v>
      </c>
    </row>
    <row r="2024" spans="1:4">
      <c r="A2024" s="2356">
        <v>17381</v>
      </c>
      <c r="B2024" s="984" t="s">
        <v>23005</v>
      </c>
      <c r="C2024" s="984" t="s">
        <v>31991</v>
      </c>
      <c r="D2024" s="981">
        <f t="shared" si="31"/>
        <v>17381</v>
      </c>
    </row>
    <row r="2025" spans="1:4">
      <c r="A2025" s="2356">
        <v>17188</v>
      </c>
      <c r="B2025" s="984" t="s">
        <v>23731</v>
      </c>
      <c r="C2025" s="984" t="s">
        <v>24625</v>
      </c>
      <c r="D2025" s="981">
        <f t="shared" si="31"/>
        <v>17188</v>
      </c>
    </row>
    <row r="2026" spans="1:4">
      <c r="A2026" s="2356">
        <v>17097</v>
      </c>
      <c r="B2026" s="984" t="s">
        <v>23606</v>
      </c>
      <c r="C2026" s="984" t="s">
        <v>24523</v>
      </c>
      <c r="D2026" s="981">
        <f t="shared" si="31"/>
        <v>17097</v>
      </c>
    </row>
    <row r="2027" spans="1:4">
      <c r="A2027" s="2356">
        <v>16934</v>
      </c>
      <c r="B2027" s="984" t="s">
        <v>23628</v>
      </c>
      <c r="C2027" s="984" t="s">
        <v>24543</v>
      </c>
      <c r="D2027" s="981">
        <f t="shared" si="31"/>
        <v>16934</v>
      </c>
    </row>
    <row r="2028" spans="1:4">
      <c r="A2028" s="2356">
        <v>17314</v>
      </c>
      <c r="B2028" s="984" t="s">
        <v>23747</v>
      </c>
      <c r="C2028" s="984" t="s">
        <v>24635</v>
      </c>
      <c r="D2028" s="981">
        <f t="shared" si="31"/>
        <v>17314</v>
      </c>
    </row>
    <row r="2029" spans="1:4">
      <c r="A2029" s="2356">
        <v>18679</v>
      </c>
      <c r="B2029" s="984" t="s">
        <v>23543</v>
      </c>
      <c r="C2029" s="984" t="s">
        <v>24461</v>
      </c>
      <c r="D2029" s="981">
        <f t="shared" si="31"/>
        <v>18679</v>
      </c>
    </row>
    <row r="2030" spans="1:4">
      <c r="A2030" s="2356">
        <v>17515</v>
      </c>
      <c r="B2030" s="984" t="s">
        <v>23197</v>
      </c>
      <c r="C2030" s="984" t="s">
        <v>24123</v>
      </c>
      <c r="D2030" s="981">
        <f t="shared" si="31"/>
        <v>17515</v>
      </c>
    </row>
    <row r="2031" spans="1:4">
      <c r="A2031" s="2356">
        <v>17493</v>
      </c>
      <c r="B2031" s="984" t="s">
        <v>23624</v>
      </c>
      <c r="C2031" s="984" t="s">
        <v>24539</v>
      </c>
      <c r="D2031" s="981">
        <f t="shared" si="31"/>
        <v>17493</v>
      </c>
    </row>
    <row r="2032" spans="1:4">
      <c r="A2032" s="2356">
        <v>17120</v>
      </c>
      <c r="B2032" s="984" t="s">
        <v>23189</v>
      </c>
      <c r="C2032" s="984" t="s">
        <v>24115</v>
      </c>
      <c r="D2032" s="981">
        <f t="shared" si="31"/>
        <v>17120</v>
      </c>
    </row>
    <row r="2033" spans="1:4">
      <c r="A2033" s="2356">
        <v>13744</v>
      </c>
      <c r="B2033" s="984" t="s">
        <v>23805</v>
      </c>
      <c r="C2033" s="984" t="s">
        <v>24674</v>
      </c>
      <c r="D2033" s="981">
        <f t="shared" si="31"/>
        <v>13744</v>
      </c>
    </row>
    <row r="2034" spans="1:4">
      <c r="A2034" s="2356">
        <v>15242</v>
      </c>
      <c r="B2034" s="984" t="s">
        <v>23180</v>
      </c>
      <c r="C2034" s="984" t="s">
        <v>24106</v>
      </c>
      <c r="D2034" s="981">
        <f t="shared" si="31"/>
        <v>15242</v>
      </c>
    </row>
    <row r="2035" spans="1:4">
      <c r="A2035" s="2356">
        <v>15032</v>
      </c>
      <c r="B2035" s="984" t="s">
        <v>23379</v>
      </c>
      <c r="C2035" s="984" t="s">
        <v>24303</v>
      </c>
      <c r="D2035" s="981">
        <f t="shared" si="31"/>
        <v>15032</v>
      </c>
    </row>
    <row r="2036" spans="1:4">
      <c r="A2036" s="2356">
        <v>14600</v>
      </c>
      <c r="B2036" s="984" t="s">
        <v>23146</v>
      </c>
      <c r="C2036" s="984" t="s">
        <v>24074</v>
      </c>
      <c r="D2036" s="981">
        <f t="shared" si="31"/>
        <v>14600</v>
      </c>
    </row>
    <row r="2037" spans="1:4">
      <c r="A2037" s="2356">
        <v>14097</v>
      </c>
      <c r="B2037" s="984" t="s">
        <v>23783</v>
      </c>
      <c r="C2037" s="984" t="s">
        <v>24657</v>
      </c>
      <c r="D2037" s="981">
        <f t="shared" si="31"/>
        <v>14097</v>
      </c>
    </row>
    <row r="2038" spans="1:4">
      <c r="A2038" s="2356">
        <v>13908</v>
      </c>
      <c r="B2038" s="984" t="s">
        <v>23795</v>
      </c>
      <c r="C2038" s="984" t="s">
        <v>24667</v>
      </c>
      <c r="D2038" s="981">
        <f t="shared" si="31"/>
        <v>13908</v>
      </c>
    </row>
    <row r="2039" spans="1:4">
      <c r="A2039" s="2356">
        <v>14618</v>
      </c>
      <c r="B2039" s="984" t="s">
        <v>23415</v>
      </c>
      <c r="C2039" s="984" t="s">
        <v>24335</v>
      </c>
      <c r="D2039" s="981">
        <f t="shared" si="31"/>
        <v>14618</v>
      </c>
    </row>
    <row r="2040" spans="1:4">
      <c r="A2040" s="2356">
        <v>13499</v>
      </c>
      <c r="B2040" s="984" t="s">
        <v>23576</v>
      </c>
      <c r="C2040" s="984" t="s">
        <v>24493</v>
      </c>
      <c r="D2040" s="981">
        <f t="shared" si="31"/>
        <v>13499</v>
      </c>
    </row>
    <row r="2041" spans="1:4">
      <c r="A2041" s="2356">
        <v>14103</v>
      </c>
      <c r="B2041" s="984" t="s">
        <v>23043</v>
      </c>
      <c r="C2041" s="984" t="s">
        <v>23973</v>
      </c>
      <c r="D2041" s="981">
        <f t="shared" si="31"/>
        <v>14103</v>
      </c>
    </row>
    <row r="2042" spans="1:4">
      <c r="A2042" s="2356">
        <v>14488</v>
      </c>
      <c r="B2042" s="984" t="s">
        <v>23643</v>
      </c>
      <c r="C2042" s="984" t="s">
        <v>24558</v>
      </c>
      <c r="D2042" s="981">
        <f t="shared" si="31"/>
        <v>14488</v>
      </c>
    </row>
    <row r="2043" spans="1:4">
      <c r="A2043" s="2356">
        <v>14429</v>
      </c>
      <c r="B2043" s="984" t="s">
        <v>23520</v>
      </c>
      <c r="C2043" s="984" t="s">
        <v>24438</v>
      </c>
      <c r="D2043" s="981">
        <f t="shared" si="31"/>
        <v>14429</v>
      </c>
    </row>
    <row r="2044" spans="1:4">
      <c r="A2044" s="2356">
        <v>14296</v>
      </c>
      <c r="B2044" s="984" t="s">
        <v>22945</v>
      </c>
      <c r="C2044" s="984" t="s">
        <v>23902</v>
      </c>
      <c r="D2044" s="981">
        <f t="shared" si="31"/>
        <v>14296</v>
      </c>
    </row>
    <row r="2045" spans="1:4">
      <c r="A2045" s="2356">
        <v>14552</v>
      </c>
      <c r="B2045" s="984" t="s">
        <v>23482</v>
      </c>
      <c r="C2045" s="984" t="s">
        <v>24400</v>
      </c>
      <c r="D2045" s="981">
        <f t="shared" si="31"/>
        <v>14552</v>
      </c>
    </row>
    <row r="2046" spans="1:4">
      <c r="A2046" s="2356">
        <v>14519</v>
      </c>
      <c r="B2046" s="984" t="s">
        <v>23545</v>
      </c>
      <c r="C2046" s="984" t="s">
        <v>24463</v>
      </c>
      <c r="D2046" s="981">
        <f t="shared" si="31"/>
        <v>14519</v>
      </c>
    </row>
    <row r="2047" spans="1:4">
      <c r="A2047" s="2356">
        <v>14424</v>
      </c>
      <c r="B2047" s="984" t="s">
        <v>23761</v>
      </c>
      <c r="C2047" s="984" t="s">
        <v>29819</v>
      </c>
      <c r="D2047" s="981">
        <f t="shared" si="31"/>
        <v>14424</v>
      </c>
    </row>
    <row r="2048" spans="1:4">
      <c r="A2048" s="2356">
        <v>14150</v>
      </c>
      <c r="B2048" s="984" t="s">
        <v>23850</v>
      </c>
      <c r="C2048" s="984" t="s">
        <v>24710</v>
      </c>
      <c r="D2048" s="981">
        <f t="shared" si="31"/>
        <v>14150</v>
      </c>
    </row>
    <row r="2049" spans="1:4">
      <c r="A2049" s="2356">
        <v>14195</v>
      </c>
      <c r="B2049" s="984" t="s">
        <v>23115</v>
      </c>
      <c r="C2049" s="984" t="s">
        <v>24044</v>
      </c>
      <c r="D2049" s="981">
        <f t="shared" si="31"/>
        <v>14195</v>
      </c>
    </row>
    <row r="2050" spans="1:4">
      <c r="A2050" s="2356">
        <v>14487</v>
      </c>
      <c r="B2050" s="984" t="s">
        <v>23453</v>
      </c>
      <c r="C2050" s="984" t="s">
        <v>24373</v>
      </c>
      <c r="D2050" s="981">
        <f t="shared" si="31"/>
        <v>14487</v>
      </c>
    </row>
    <row r="2051" spans="1:4">
      <c r="A2051" s="2356">
        <v>14382</v>
      </c>
      <c r="B2051" s="984" t="s">
        <v>22963</v>
      </c>
      <c r="C2051" s="984" t="s">
        <v>23917</v>
      </c>
      <c r="D2051" s="981">
        <f t="shared" si="31"/>
        <v>14382</v>
      </c>
    </row>
    <row r="2052" spans="1:4">
      <c r="A2052" s="2356">
        <v>14350</v>
      </c>
      <c r="B2052" s="984" t="s">
        <v>23592</v>
      </c>
      <c r="C2052" s="984" t="s">
        <v>24509</v>
      </c>
      <c r="D2052" s="981">
        <f t="shared" si="31"/>
        <v>14350</v>
      </c>
    </row>
    <row r="2053" spans="1:4">
      <c r="A2053" s="2356">
        <v>14316</v>
      </c>
      <c r="B2053" s="984" t="s">
        <v>23459</v>
      </c>
      <c r="C2053" s="984" t="s">
        <v>24378</v>
      </c>
      <c r="D2053" s="981">
        <f t="shared" si="31"/>
        <v>14316</v>
      </c>
    </row>
    <row r="2054" spans="1:4">
      <c r="A2054" s="2356">
        <v>14299</v>
      </c>
      <c r="B2054" s="984" t="s">
        <v>29967</v>
      </c>
      <c r="C2054" s="984" t="s">
        <v>29908</v>
      </c>
      <c r="D2054" s="981">
        <f t="shared" si="31"/>
        <v>14299</v>
      </c>
    </row>
    <row r="2055" spans="1:4">
      <c r="A2055" s="2356">
        <v>14194</v>
      </c>
      <c r="B2055" s="984" t="s">
        <v>23668</v>
      </c>
      <c r="C2055" s="984" t="s">
        <v>24582</v>
      </c>
      <c r="D2055" s="981">
        <f t="shared" si="31"/>
        <v>14194</v>
      </c>
    </row>
    <row r="2056" spans="1:4">
      <c r="A2056" s="2356">
        <v>14112</v>
      </c>
      <c r="B2056" s="984" t="s">
        <v>23279</v>
      </c>
      <c r="C2056" s="984" t="s">
        <v>24202</v>
      </c>
      <c r="D2056" s="981">
        <f t="shared" si="31"/>
        <v>14112</v>
      </c>
    </row>
    <row r="2057" spans="1:4">
      <c r="A2057" s="2356">
        <v>10468</v>
      </c>
      <c r="B2057" s="984" t="s">
        <v>23806</v>
      </c>
      <c r="C2057" s="984" t="s">
        <v>27137</v>
      </c>
      <c r="D2057" s="981">
        <f t="shared" ref="D2057:D2086" si="32">+A2057</f>
        <v>10468</v>
      </c>
    </row>
    <row r="2058" spans="1:4">
      <c r="A2058" s="2356">
        <v>13660</v>
      </c>
      <c r="B2058" s="984" t="s">
        <v>23775</v>
      </c>
      <c r="C2058" s="984" t="s">
        <v>24649</v>
      </c>
      <c r="D2058" s="981">
        <f t="shared" si="32"/>
        <v>13660</v>
      </c>
    </row>
    <row r="2059" spans="1:4">
      <c r="A2059" s="2356">
        <v>13652</v>
      </c>
      <c r="B2059" s="984" t="s">
        <v>23728</v>
      </c>
      <c r="C2059" s="984" t="s">
        <v>29869</v>
      </c>
      <c r="D2059" s="981">
        <f t="shared" si="32"/>
        <v>13652</v>
      </c>
    </row>
    <row r="2060" spans="1:4">
      <c r="A2060" s="2356">
        <v>13599</v>
      </c>
      <c r="B2060" s="984" t="s">
        <v>23567</v>
      </c>
      <c r="C2060" s="984" t="s">
        <v>24483</v>
      </c>
      <c r="D2060" s="981">
        <f t="shared" si="32"/>
        <v>13599</v>
      </c>
    </row>
    <row r="2061" spans="1:4">
      <c r="A2061" s="2356">
        <v>13820</v>
      </c>
      <c r="B2061" s="984" t="s">
        <v>23562</v>
      </c>
      <c r="C2061" s="984" t="s">
        <v>24479</v>
      </c>
      <c r="D2061" s="981">
        <f t="shared" si="32"/>
        <v>13820</v>
      </c>
    </row>
    <row r="2062" spans="1:4">
      <c r="A2062" s="2356">
        <v>12859</v>
      </c>
      <c r="B2062" s="984" t="s">
        <v>23153</v>
      </c>
      <c r="C2062" s="984" t="s">
        <v>24081</v>
      </c>
      <c r="D2062" s="981">
        <f t="shared" si="32"/>
        <v>12859</v>
      </c>
    </row>
    <row r="2063" spans="1:4">
      <c r="A2063" s="2356">
        <v>13185</v>
      </c>
      <c r="B2063" s="984" t="s">
        <v>23228</v>
      </c>
      <c r="C2063" s="984" t="s">
        <v>24153</v>
      </c>
      <c r="D2063" s="981">
        <f t="shared" si="32"/>
        <v>13185</v>
      </c>
    </row>
    <row r="2064" spans="1:4">
      <c r="A2064" s="2356">
        <v>12929</v>
      </c>
      <c r="B2064" s="984" t="s">
        <v>22904</v>
      </c>
      <c r="C2064" s="984" t="s">
        <v>23865</v>
      </c>
      <c r="D2064" s="981">
        <f t="shared" si="32"/>
        <v>12929</v>
      </c>
    </row>
    <row r="2065" spans="1:4">
      <c r="A2065" s="2356">
        <v>13901</v>
      </c>
      <c r="B2065" s="984" t="s">
        <v>23468</v>
      </c>
      <c r="C2065" s="984" t="s">
        <v>27144</v>
      </c>
      <c r="D2065" s="981">
        <f t="shared" si="32"/>
        <v>13901</v>
      </c>
    </row>
    <row r="2066" spans="1:4">
      <c r="A2066" s="2356">
        <v>9907</v>
      </c>
      <c r="B2066" s="984" t="s">
        <v>23143</v>
      </c>
      <c r="C2066" s="984" t="s">
        <v>24071</v>
      </c>
      <c r="D2066" s="981">
        <f t="shared" si="32"/>
        <v>9907</v>
      </c>
    </row>
    <row r="2067" spans="1:4">
      <c r="A2067" s="2356">
        <v>7473</v>
      </c>
      <c r="B2067" s="984" t="s">
        <v>23210</v>
      </c>
      <c r="C2067" s="984" t="s">
        <v>24135</v>
      </c>
      <c r="D2067" s="981">
        <f t="shared" si="32"/>
        <v>7473</v>
      </c>
    </row>
    <row r="2068" spans="1:4">
      <c r="A2068" s="2356">
        <v>7462</v>
      </c>
      <c r="B2068" s="984" t="s">
        <v>23860</v>
      </c>
      <c r="C2068" s="984" t="s">
        <v>24720</v>
      </c>
      <c r="D2068" s="981">
        <f t="shared" si="32"/>
        <v>7462</v>
      </c>
    </row>
    <row r="2069" spans="1:4">
      <c r="A2069" s="2356">
        <v>8241</v>
      </c>
      <c r="B2069" s="984" t="s">
        <v>22929</v>
      </c>
      <c r="C2069" s="984" t="s">
        <v>23889</v>
      </c>
      <c r="D2069" s="981">
        <f t="shared" si="32"/>
        <v>8241</v>
      </c>
    </row>
    <row r="2070" spans="1:4">
      <c r="A2070" s="2356">
        <v>5156</v>
      </c>
      <c r="B2070" s="984" t="s">
        <v>23770</v>
      </c>
      <c r="C2070" s="984" t="s">
        <v>29825</v>
      </c>
      <c r="D2070" s="981">
        <f t="shared" si="32"/>
        <v>5156</v>
      </c>
    </row>
    <row r="2071" spans="1:4">
      <c r="A2071" s="2356">
        <v>4917</v>
      </c>
      <c r="B2071" s="984" t="s">
        <v>23599</v>
      </c>
      <c r="C2071" s="984" t="s">
        <v>24516</v>
      </c>
      <c r="D2071" s="981">
        <f t="shared" si="32"/>
        <v>4917</v>
      </c>
    </row>
    <row r="2072" spans="1:4">
      <c r="A2072" s="2356">
        <v>4082</v>
      </c>
      <c r="B2072" s="984" t="s">
        <v>23689</v>
      </c>
      <c r="C2072" s="984" t="s">
        <v>24603</v>
      </c>
      <c r="D2072" s="981">
        <f t="shared" si="32"/>
        <v>4082</v>
      </c>
    </row>
    <row r="2073" spans="1:4">
      <c r="A2073" s="2356">
        <v>3577</v>
      </c>
      <c r="B2073" s="984" t="s">
        <v>23218</v>
      </c>
      <c r="C2073" s="984" t="s">
        <v>24143</v>
      </c>
      <c r="D2073" s="981">
        <f t="shared" si="32"/>
        <v>3577</v>
      </c>
    </row>
    <row r="2074" spans="1:4">
      <c r="A2074" s="2356">
        <v>20219</v>
      </c>
      <c r="B2074" s="984" t="s">
        <v>23432</v>
      </c>
      <c r="C2074" s="984" t="s">
        <v>24353</v>
      </c>
      <c r="D2074" s="981">
        <f t="shared" si="32"/>
        <v>20219</v>
      </c>
    </row>
    <row r="2075" spans="1:4">
      <c r="A2075" s="2356">
        <v>79</v>
      </c>
      <c r="B2075" s="984" t="s">
        <v>23200</v>
      </c>
      <c r="C2075" s="984" t="s">
        <v>29812</v>
      </c>
      <c r="D2075" s="981">
        <f t="shared" si="32"/>
        <v>79</v>
      </c>
    </row>
    <row r="2076" spans="1:4">
      <c r="A2076" s="2356">
        <v>1699</v>
      </c>
      <c r="B2076" s="984" t="s">
        <v>23396</v>
      </c>
      <c r="C2076" s="984" t="s">
        <v>24319</v>
      </c>
      <c r="D2076" s="981">
        <f t="shared" si="32"/>
        <v>1699</v>
      </c>
    </row>
    <row r="2077" spans="1:4">
      <c r="A2077" s="2356">
        <v>1905</v>
      </c>
      <c r="B2077" s="984" t="s">
        <v>22959</v>
      </c>
      <c r="C2077" s="984" t="s">
        <v>25670</v>
      </c>
      <c r="D2077" s="981">
        <f t="shared" si="32"/>
        <v>1905</v>
      </c>
    </row>
    <row r="2078" spans="1:4">
      <c r="A2078" s="2356">
        <v>384</v>
      </c>
      <c r="B2078" s="984" t="s">
        <v>25667</v>
      </c>
      <c r="C2078" s="984" t="s">
        <v>25666</v>
      </c>
      <c r="D2078" s="981">
        <f t="shared" si="32"/>
        <v>384</v>
      </c>
    </row>
    <row r="2079" spans="1:4">
      <c r="A2079" s="2356">
        <v>692</v>
      </c>
      <c r="B2079" s="984" t="s">
        <v>22987</v>
      </c>
      <c r="C2079" s="984" t="s">
        <v>31992</v>
      </c>
      <c r="D2079" s="981">
        <f t="shared" si="32"/>
        <v>692</v>
      </c>
    </row>
    <row r="2080" spans="1:4">
      <c r="A2080" s="2356">
        <v>583</v>
      </c>
      <c r="B2080" s="984" t="s">
        <v>23647</v>
      </c>
      <c r="C2080" s="984" t="s">
        <v>31045</v>
      </c>
      <c r="D2080" s="981">
        <f t="shared" si="32"/>
        <v>583</v>
      </c>
    </row>
    <row r="2081" spans="1:4">
      <c r="A2081" s="2356">
        <v>12701</v>
      </c>
      <c r="B2081" s="984" t="s">
        <v>23752</v>
      </c>
      <c r="C2081" s="984" t="s">
        <v>29891</v>
      </c>
      <c r="D2081" s="981">
        <f t="shared" si="32"/>
        <v>12701</v>
      </c>
    </row>
    <row r="2082" spans="1:4">
      <c r="A2082" s="2356">
        <v>10202</v>
      </c>
      <c r="B2082" s="984" t="s">
        <v>23766</v>
      </c>
      <c r="C2082" s="984" t="s">
        <v>27136</v>
      </c>
      <c r="D2082" s="981">
        <f t="shared" si="32"/>
        <v>10202</v>
      </c>
    </row>
    <row r="2083" spans="1:4">
      <c r="A2083" s="2356">
        <v>1343</v>
      </c>
      <c r="B2083" s="984" t="s">
        <v>22983</v>
      </c>
      <c r="C2083" s="984" t="s">
        <v>27130</v>
      </c>
      <c r="D2083" s="981">
        <f t="shared" si="32"/>
        <v>1343</v>
      </c>
    </row>
    <row r="2084" spans="1:4">
      <c r="A2084" s="2356">
        <v>15548</v>
      </c>
      <c r="B2084" s="984" t="s">
        <v>22931</v>
      </c>
      <c r="C2084" s="984" t="s">
        <v>23890</v>
      </c>
      <c r="D2084" s="981">
        <f t="shared" si="32"/>
        <v>15548</v>
      </c>
    </row>
    <row r="2085" spans="1:4">
      <c r="A2085" s="2356">
        <v>14177</v>
      </c>
      <c r="B2085" s="984" t="s">
        <v>22994</v>
      </c>
      <c r="C2085" s="984" t="s">
        <v>23939</v>
      </c>
      <c r="D2085" s="981">
        <f t="shared" si="32"/>
        <v>14177</v>
      </c>
    </row>
    <row r="2086" spans="1:4">
      <c r="A2086" s="2356">
        <v>2982</v>
      </c>
      <c r="B2086" s="984" t="s">
        <v>22958</v>
      </c>
      <c r="C2086" s="984" t="s">
        <v>27132</v>
      </c>
      <c r="D2086" s="981">
        <f t="shared" si="32"/>
        <v>2982</v>
      </c>
    </row>
    <row r="2087" spans="1:4">
      <c r="A2087" s="2356"/>
      <c r="B2087" s="984"/>
      <c r="C2087" s="984"/>
    </row>
    <row r="2088" spans="1:4">
      <c r="A2088" s="2356"/>
      <c r="B2088" s="984"/>
      <c r="C2088" s="984"/>
    </row>
    <row r="2089" spans="1:4">
      <c r="A2089" s="2356"/>
      <c r="B2089" s="984"/>
      <c r="C2089" s="984"/>
    </row>
    <row r="2090" spans="1:4">
      <c r="A2090" s="2356"/>
      <c r="B2090" s="984"/>
      <c r="C2090" s="984"/>
    </row>
    <row r="2091" spans="1:4">
      <c r="A2091" s="2356"/>
      <c r="B2091" s="984"/>
      <c r="C2091" s="984"/>
    </row>
    <row r="2092" spans="1:4">
      <c r="A2092" s="2356"/>
      <c r="B2092" s="984"/>
      <c r="C2092" s="984"/>
    </row>
    <row r="2093" spans="1:4">
      <c r="A2093" s="2356"/>
      <c r="B2093" s="984"/>
      <c r="C2093" s="984"/>
    </row>
    <row r="2094" spans="1:4">
      <c r="A2094" s="2356"/>
      <c r="B2094" s="984"/>
      <c r="C2094" s="984"/>
    </row>
    <row r="2095" spans="1:4">
      <c r="A2095" s="2356"/>
      <c r="B2095" s="984"/>
      <c r="C2095" s="984"/>
    </row>
    <row r="2096" spans="1:4">
      <c r="A2096" s="2356"/>
      <c r="B2096" s="984"/>
      <c r="C2096" s="984"/>
    </row>
    <row r="2097" spans="1:3">
      <c r="A2097" s="2356"/>
      <c r="B2097" s="984"/>
      <c r="C2097" s="984"/>
    </row>
    <row r="2098" spans="1:3">
      <c r="A2098" s="2356"/>
      <c r="B2098" s="984"/>
      <c r="C2098" s="984"/>
    </row>
    <row r="2099" spans="1:3">
      <c r="A2099" s="2356"/>
      <c r="B2099" s="984"/>
      <c r="C2099" s="984"/>
    </row>
    <row r="2100" spans="1:3">
      <c r="A2100" s="2356"/>
      <c r="B2100" s="984"/>
      <c r="C2100" s="984"/>
    </row>
    <row r="2101" spans="1:3">
      <c r="A2101" s="2356"/>
      <c r="B2101" s="984"/>
      <c r="C2101" s="984"/>
    </row>
    <row r="2102" spans="1:3">
      <c r="A2102" s="2356"/>
      <c r="B2102" s="984"/>
      <c r="C2102" s="984"/>
    </row>
    <row r="2103" spans="1:3">
      <c r="A2103" s="2356"/>
      <c r="B2103" s="984"/>
      <c r="C2103" s="984"/>
    </row>
    <row r="2104" spans="1:3">
      <c r="A2104" s="2356"/>
      <c r="B2104" s="984"/>
      <c r="C2104" s="984"/>
    </row>
    <row r="2105" spans="1:3">
      <c r="A2105" s="2356"/>
      <c r="B2105" s="984"/>
      <c r="C2105" s="984"/>
    </row>
    <row r="2106" spans="1:3">
      <c r="A2106" s="2356"/>
      <c r="B2106" s="984"/>
      <c r="C2106" s="984"/>
    </row>
    <row r="2107" spans="1:3">
      <c r="A2107" s="2356"/>
      <c r="B2107" s="984"/>
      <c r="C2107" s="984"/>
    </row>
    <row r="2108" spans="1:3">
      <c r="A2108" s="2356"/>
      <c r="B2108" s="984"/>
      <c r="C2108" s="984"/>
    </row>
    <row r="2109" spans="1:3">
      <c r="A2109" s="2356"/>
      <c r="B2109" s="984"/>
      <c r="C2109" s="984"/>
    </row>
    <row r="2110" spans="1:3">
      <c r="A2110" s="2356"/>
      <c r="B2110" s="984"/>
      <c r="C2110" s="984"/>
    </row>
    <row r="2111" spans="1:3">
      <c r="A2111" s="2356"/>
      <c r="B2111" s="984"/>
      <c r="C2111" s="984"/>
    </row>
    <row r="2112" spans="1:3">
      <c r="A2112" s="2356"/>
      <c r="B2112" s="984"/>
      <c r="C2112" s="984"/>
    </row>
    <row r="2113" spans="1:3">
      <c r="A2113" s="2356"/>
      <c r="B2113" s="984"/>
      <c r="C2113" s="984"/>
    </row>
    <row r="2114" spans="1:3">
      <c r="A2114" s="2356"/>
      <c r="B2114" s="984"/>
      <c r="C2114" s="984"/>
    </row>
    <row r="2115" spans="1:3">
      <c r="A2115" s="2356"/>
      <c r="B2115" s="984"/>
      <c r="C2115" s="984"/>
    </row>
    <row r="2116" spans="1:3">
      <c r="A2116" s="2356"/>
      <c r="B2116" s="984"/>
      <c r="C2116" s="984"/>
    </row>
    <row r="2117" spans="1:3">
      <c r="A2117" s="2356"/>
      <c r="B2117" s="984"/>
      <c r="C2117" s="984"/>
    </row>
    <row r="2118" spans="1:3">
      <c r="A2118" s="2356"/>
      <c r="B2118" s="984"/>
      <c r="C2118" s="984"/>
    </row>
    <row r="2119" spans="1:3">
      <c r="A2119" s="2356"/>
      <c r="B2119" s="984"/>
      <c r="C2119" s="984"/>
    </row>
    <row r="2120" spans="1:3">
      <c r="A2120" s="2356"/>
      <c r="B2120" s="984"/>
      <c r="C2120" s="984"/>
    </row>
    <row r="2121" spans="1:3">
      <c r="A2121" s="2356"/>
      <c r="B2121" s="984"/>
      <c r="C2121" s="984"/>
    </row>
    <row r="2122" spans="1:3">
      <c r="A2122" s="2356"/>
      <c r="B2122" s="984"/>
      <c r="C2122" s="984"/>
    </row>
    <row r="2123" spans="1:3">
      <c r="A2123" s="2356"/>
      <c r="B2123" s="984"/>
      <c r="C2123" s="984"/>
    </row>
    <row r="2124" spans="1:3">
      <c r="A2124" s="2356"/>
      <c r="B2124" s="984"/>
      <c r="C2124" s="984"/>
    </row>
    <row r="2125" spans="1:3">
      <c r="A2125" s="2356"/>
      <c r="B2125" s="984"/>
      <c r="C2125" s="984"/>
    </row>
    <row r="2126" spans="1:3">
      <c r="A2126" s="2356"/>
      <c r="B2126" s="984"/>
      <c r="C2126" s="984"/>
    </row>
    <row r="2127" spans="1:3">
      <c r="A2127" s="2356"/>
      <c r="B2127" s="984"/>
      <c r="C2127" s="984"/>
    </row>
    <row r="2128" spans="1:3">
      <c r="A2128" s="2356"/>
      <c r="B2128" s="984"/>
      <c r="C2128" s="984"/>
    </row>
    <row r="2129" spans="1:3">
      <c r="A2129" s="2356"/>
      <c r="B2129" s="984"/>
      <c r="C2129" s="984"/>
    </row>
    <row r="2130" spans="1:3">
      <c r="A2130" s="2356"/>
      <c r="B2130" s="984"/>
      <c r="C2130" s="984"/>
    </row>
    <row r="2131" spans="1:3">
      <c r="A2131" s="2356"/>
      <c r="B2131" s="984"/>
      <c r="C2131" s="984"/>
    </row>
    <row r="2132" spans="1:3">
      <c r="A2132" s="2356"/>
      <c r="B2132" s="984"/>
      <c r="C2132" s="984"/>
    </row>
    <row r="2133" spans="1:3">
      <c r="A2133" s="2356"/>
      <c r="B2133" s="984"/>
      <c r="C2133" s="984"/>
    </row>
    <row r="2134" spans="1:3">
      <c r="A2134" s="2356"/>
      <c r="B2134" s="984"/>
      <c r="C2134" s="984"/>
    </row>
    <row r="2135" spans="1:3">
      <c r="A2135" s="2356"/>
      <c r="B2135" s="984"/>
      <c r="C2135" s="984"/>
    </row>
    <row r="2136" spans="1:3">
      <c r="A2136" s="2356"/>
      <c r="B2136" s="984"/>
      <c r="C2136" s="984"/>
    </row>
    <row r="2137" spans="1:3">
      <c r="A2137" s="2356"/>
      <c r="B2137" s="984"/>
      <c r="C2137" s="984"/>
    </row>
    <row r="2138" spans="1:3">
      <c r="A2138" s="2356"/>
      <c r="B2138" s="984"/>
      <c r="C2138" s="984"/>
    </row>
    <row r="2139" spans="1:3">
      <c r="A2139" s="2356"/>
      <c r="B2139" s="984"/>
      <c r="C2139" s="984"/>
    </row>
    <row r="2140" spans="1:3">
      <c r="A2140" s="2356"/>
      <c r="B2140" s="984"/>
      <c r="C2140" s="984"/>
    </row>
    <row r="2141" spans="1:3">
      <c r="A2141" s="2356"/>
      <c r="B2141" s="984"/>
      <c r="C2141" s="984"/>
    </row>
    <row r="2142" spans="1:3">
      <c r="A2142" s="2356"/>
      <c r="B2142" s="984"/>
      <c r="C2142" s="984"/>
    </row>
    <row r="2143" spans="1:3">
      <c r="A2143" s="2356"/>
      <c r="B2143" s="984"/>
      <c r="C2143" s="984"/>
    </row>
    <row r="2144" spans="1:3">
      <c r="A2144" s="2356"/>
      <c r="B2144" s="984"/>
      <c r="C2144" s="984"/>
    </row>
    <row r="2145" spans="1:3">
      <c r="A2145" s="2356"/>
      <c r="B2145" s="984"/>
      <c r="C2145" s="984"/>
    </row>
    <row r="2146" spans="1:3">
      <c r="A2146" s="2356"/>
      <c r="B2146" s="984"/>
      <c r="C2146" s="984"/>
    </row>
    <row r="2147" spans="1:3">
      <c r="A2147" s="2356"/>
      <c r="B2147" s="984"/>
      <c r="C2147" s="984"/>
    </row>
    <row r="2148" spans="1:3">
      <c r="A2148" s="2356"/>
      <c r="B2148" s="984"/>
      <c r="C2148" s="984"/>
    </row>
    <row r="2149" spans="1:3">
      <c r="A2149" s="2356"/>
      <c r="B2149" s="984"/>
      <c r="C2149" s="984"/>
    </row>
    <row r="2150" spans="1:3">
      <c r="A2150" s="2356"/>
      <c r="B2150" s="984"/>
      <c r="C2150" s="984"/>
    </row>
    <row r="2151" spans="1:3">
      <c r="A2151" s="2356"/>
      <c r="B2151" s="984"/>
      <c r="C2151" s="984"/>
    </row>
    <row r="2152" spans="1:3">
      <c r="A2152" s="2356"/>
      <c r="B2152" s="984"/>
      <c r="C2152" s="984"/>
    </row>
    <row r="2153" spans="1:3">
      <c r="A2153" s="2356"/>
      <c r="B2153" s="984"/>
      <c r="C2153" s="984"/>
    </row>
    <row r="2154" spans="1:3">
      <c r="A2154" s="2356"/>
      <c r="B2154" s="984"/>
      <c r="C2154" s="984"/>
    </row>
    <row r="2155" spans="1:3">
      <c r="A2155" s="2356"/>
      <c r="B2155" s="984"/>
      <c r="C2155" s="984"/>
    </row>
    <row r="2156" spans="1:3">
      <c r="A2156" s="2356"/>
      <c r="B2156" s="984"/>
      <c r="C2156" s="984"/>
    </row>
    <row r="2157" spans="1:3">
      <c r="A2157" s="2356"/>
      <c r="B2157" s="984"/>
      <c r="C2157" s="984"/>
    </row>
    <row r="2158" spans="1:3">
      <c r="A2158" s="2356"/>
      <c r="B2158" s="984"/>
      <c r="C2158" s="984"/>
    </row>
    <row r="2159" spans="1:3">
      <c r="A2159" s="2356"/>
      <c r="B2159" s="984"/>
      <c r="C2159" s="984"/>
    </row>
    <row r="2160" spans="1:3">
      <c r="A2160" s="2356"/>
      <c r="B2160" s="984"/>
      <c r="C2160" s="984"/>
    </row>
    <row r="2161" spans="1:3">
      <c r="A2161" s="2356"/>
      <c r="B2161" s="984"/>
      <c r="C2161" s="984"/>
    </row>
    <row r="2162" spans="1:3">
      <c r="A2162" s="2356"/>
      <c r="B2162" s="984"/>
      <c r="C2162" s="984"/>
    </row>
    <row r="2163" spans="1:3">
      <c r="A2163" s="2356"/>
      <c r="B2163" s="984"/>
      <c r="C2163" s="984"/>
    </row>
    <row r="2164" spans="1:3">
      <c r="A2164" s="2356"/>
      <c r="B2164" s="984"/>
      <c r="C2164" s="984"/>
    </row>
    <row r="2165" spans="1:3">
      <c r="A2165" s="2356"/>
      <c r="B2165" s="984"/>
      <c r="C2165" s="984"/>
    </row>
    <row r="2166" spans="1:3">
      <c r="A2166" s="2356"/>
      <c r="B2166" s="984"/>
      <c r="C2166" s="984"/>
    </row>
    <row r="2167" spans="1:3">
      <c r="A2167" s="2356"/>
      <c r="B2167" s="984"/>
      <c r="C2167" s="984"/>
    </row>
    <row r="2168" spans="1:3">
      <c r="A2168" s="2356"/>
      <c r="B2168" s="984"/>
      <c r="C2168" s="984"/>
    </row>
    <row r="2169" spans="1:3">
      <c r="A2169" s="2356"/>
      <c r="B2169" s="984"/>
      <c r="C2169" s="984"/>
    </row>
    <row r="2170" spans="1:3">
      <c r="A2170" s="2356"/>
      <c r="B2170" s="984"/>
      <c r="C2170" s="984"/>
    </row>
    <row r="2171" spans="1:3">
      <c r="A2171" s="2356"/>
      <c r="B2171" s="984"/>
      <c r="C2171" s="984"/>
    </row>
    <row r="2172" spans="1:3">
      <c r="A2172" s="2356"/>
      <c r="B2172" s="984"/>
      <c r="C2172" s="984"/>
    </row>
    <row r="2173" spans="1:3">
      <c r="A2173" s="2356"/>
      <c r="B2173" s="984"/>
      <c r="C2173" s="984"/>
    </row>
    <row r="2174" spans="1:3">
      <c r="A2174" s="2356"/>
      <c r="B2174" s="984"/>
      <c r="C2174" s="984"/>
    </row>
    <row r="2175" spans="1:3">
      <c r="A2175" s="2356"/>
      <c r="B2175" s="984"/>
      <c r="C2175" s="984"/>
    </row>
    <row r="2176" spans="1:3">
      <c r="A2176" s="2356"/>
      <c r="B2176" s="984"/>
      <c r="C2176" s="984"/>
    </row>
    <row r="2177" spans="1:3">
      <c r="A2177" s="2356"/>
      <c r="B2177" s="984"/>
      <c r="C2177" s="984"/>
    </row>
    <row r="2178" spans="1:3">
      <c r="A2178" s="2356"/>
      <c r="B2178" s="984"/>
      <c r="C2178" s="984"/>
    </row>
    <row r="2179" spans="1:3">
      <c r="A2179" s="2356"/>
      <c r="B2179" s="984"/>
      <c r="C2179" s="984"/>
    </row>
    <row r="2180" spans="1:3">
      <c r="A2180" s="2356"/>
      <c r="B2180" s="984"/>
      <c r="C2180" s="984"/>
    </row>
    <row r="2181" spans="1:3">
      <c r="A2181" s="2356"/>
      <c r="B2181" s="984"/>
      <c r="C2181" s="984"/>
    </row>
    <row r="2182" spans="1:3">
      <c r="A2182" s="2356"/>
      <c r="B2182" s="984"/>
      <c r="C2182" s="984"/>
    </row>
    <row r="2183" spans="1:3">
      <c r="A2183" s="2356"/>
      <c r="B2183" s="984"/>
      <c r="C2183" s="984"/>
    </row>
    <row r="2184" spans="1:3">
      <c r="A2184" s="2356"/>
      <c r="B2184" s="984"/>
      <c r="C2184" s="984"/>
    </row>
    <row r="2185" spans="1:3">
      <c r="A2185" s="2356"/>
      <c r="B2185" s="984"/>
      <c r="C2185" s="984"/>
    </row>
    <row r="2186" spans="1:3">
      <c r="A2186" s="2356"/>
      <c r="B2186" s="984"/>
      <c r="C2186" s="984"/>
    </row>
    <row r="2187" spans="1:3">
      <c r="A2187" s="2356"/>
      <c r="B2187" s="984"/>
      <c r="C2187" s="984"/>
    </row>
    <row r="2188" spans="1:3">
      <c r="A2188" s="2356"/>
      <c r="B2188" s="984"/>
      <c r="C2188" s="984"/>
    </row>
    <row r="2189" spans="1:3">
      <c r="A2189" s="2356"/>
      <c r="B2189" s="984"/>
      <c r="C2189" s="984"/>
    </row>
    <row r="2190" spans="1:3">
      <c r="A2190" s="2356"/>
      <c r="B2190" s="984"/>
      <c r="C2190" s="984"/>
    </row>
    <row r="2191" spans="1:3">
      <c r="A2191" s="2356"/>
      <c r="B2191" s="984"/>
      <c r="C2191" s="984"/>
    </row>
    <row r="2192" spans="1:3">
      <c r="A2192" s="2356"/>
      <c r="B2192" s="984"/>
      <c r="C2192" s="984"/>
    </row>
    <row r="2193" spans="1:3">
      <c r="A2193" s="2356"/>
      <c r="B2193" s="984"/>
      <c r="C2193" s="984"/>
    </row>
    <row r="2194" spans="1:3">
      <c r="A2194" s="2356"/>
      <c r="B2194" s="984"/>
      <c r="C2194" s="984"/>
    </row>
    <row r="2195" spans="1:3">
      <c r="A2195" s="2356"/>
      <c r="B2195" s="984"/>
      <c r="C2195" s="984"/>
    </row>
    <row r="2196" spans="1:3">
      <c r="A2196" s="2356"/>
      <c r="B2196" s="984"/>
      <c r="C2196" s="984"/>
    </row>
    <row r="2197" spans="1:3">
      <c r="A2197" s="2356"/>
      <c r="B2197" s="984"/>
      <c r="C2197" s="984"/>
    </row>
    <row r="2198" spans="1:3">
      <c r="A2198" s="2356"/>
      <c r="B2198" s="984"/>
      <c r="C2198" s="984"/>
    </row>
    <row r="2199" spans="1:3">
      <c r="A2199" s="2356"/>
      <c r="B2199" s="984"/>
      <c r="C2199" s="984"/>
    </row>
    <row r="2200" spans="1:3">
      <c r="A2200" s="2356"/>
      <c r="B2200" s="984"/>
      <c r="C2200" s="984"/>
    </row>
    <row r="2201" spans="1:3">
      <c r="A2201" s="2356"/>
      <c r="B2201" s="984"/>
      <c r="C2201" s="984"/>
    </row>
    <row r="2202" spans="1:3">
      <c r="A2202" s="2356"/>
      <c r="B2202" s="984"/>
      <c r="C2202" s="984"/>
    </row>
    <row r="2203" spans="1:3">
      <c r="A2203" s="2356"/>
      <c r="B2203" s="984"/>
      <c r="C2203" s="984"/>
    </row>
    <row r="2204" spans="1:3">
      <c r="A2204" s="2356"/>
      <c r="B2204" s="984"/>
      <c r="C2204" s="984"/>
    </row>
    <row r="2205" spans="1:3">
      <c r="A2205" s="2356"/>
      <c r="B2205" s="984"/>
      <c r="C2205" s="984"/>
    </row>
    <row r="2206" spans="1:3">
      <c r="A2206" s="2356"/>
      <c r="B2206" s="984"/>
      <c r="C2206" s="984"/>
    </row>
    <row r="2207" spans="1:3">
      <c r="A2207" s="2356"/>
      <c r="B2207" s="984"/>
      <c r="C2207" s="984"/>
    </row>
    <row r="2208" spans="1:3">
      <c r="A2208" s="2356"/>
      <c r="B2208" s="984"/>
      <c r="C2208" s="984"/>
    </row>
    <row r="2209" spans="1:3">
      <c r="A2209" s="2356"/>
      <c r="B2209" s="984"/>
      <c r="C2209" s="984"/>
    </row>
    <row r="2210" spans="1:3">
      <c r="A2210" s="2356"/>
      <c r="B2210" s="984"/>
      <c r="C2210" s="984"/>
    </row>
    <row r="2211" spans="1:3">
      <c r="A2211" s="2356"/>
      <c r="B2211" s="984"/>
      <c r="C2211" s="984"/>
    </row>
    <row r="2212" spans="1:3">
      <c r="A2212" s="2356"/>
      <c r="B2212" s="984"/>
      <c r="C2212" s="984"/>
    </row>
    <row r="2213" spans="1:3">
      <c r="A2213" s="2356"/>
      <c r="B2213" s="984"/>
      <c r="C2213" s="984"/>
    </row>
    <row r="2214" spans="1:3">
      <c r="A2214" s="2356"/>
      <c r="B2214" s="984"/>
      <c r="C2214" s="984"/>
    </row>
    <row r="2215" spans="1:3">
      <c r="A2215" s="2356"/>
      <c r="B2215" s="984"/>
      <c r="C2215" s="984"/>
    </row>
    <row r="2216" spans="1:3">
      <c r="A2216" s="2356"/>
      <c r="B2216" s="984"/>
      <c r="C2216" s="984"/>
    </row>
    <row r="2217" spans="1:3">
      <c r="A2217" s="2356"/>
      <c r="B2217" s="984"/>
      <c r="C2217" s="984"/>
    </row>
    <row r="2218" spans="1:3">
      <c r="A2218" s="2356"/>
      <c r="B2218" s="984"/>
      <c r="C2218" s="984"/>
    </row>
    <row r="2219" spans="1:3">
      <c r="A2219" s="2356"/>
      <c r="B2219" s="984"/>
      <c r="C2219" s="984"/>
    </row>
    <row r="2220" spans="1:3">
      <c r="A2220" s="2356"/>
      <c r="B2220" s="984"/>
      <c r="C2220" s="984"/>
    </row>
    <row r="2221" spans="1:3">
      <c r="A2221" s="2356"/>
      <c r="B2221" s="984"/>
      <c r="C2221" s="984"/>
    </row>
    <row r="2222" spans="1:3">
      <c r="A2222" s="2356"/>
      <c r="B2222" s="984"/>
      <c r="C2222" s="984"/>
    </row>
    <row r="2223" spans="1:3">
      <c r="A2223" s="2356"/>
      <c r="B2223" s="984"/>
      <c r="C2223" s="984"/>
    </row>
    <row r="2224" spans="1:3">
      <c r="A2224" s="2356"/>
      <c r="B2224" s="984"/>
      <c r="C2224" s="984"/>
    </row>
    <row r="2225" spans="1:3">
      <c r="A2225" s="2356"/>
      <c r="B2225" s="984"/>
      <c r="C2225" s="984"/>
    </row>
    <row r="2226" spans="1:3">
      <c r="A2226" s="2356"/>
      <c r="B2226" s="984"/>
      <c r="C2226" s="984"/>
    </row>
    <row r="2227" spans="1:3">
      <c r="A2227" s="2356"/>
      <c r="B2227" s="984"/>
      <c r="C2227" s="984"/>
    </row>
    <row r="2228" spans="1:3">
      <c r="A2228" s="2356"/>
      <c r="B2228" s="984"/>
      <c r="C2228" s="984"/>
    </row>
    <row r="2229" spans="1:3">
      <c r="A2229" s="2356"/>
      <c r="B2229" s="984"/>
      <c r="C2229" s="984"/>
    </row>
    <row r="2230" spans="1:3">
      <c r="A2230" s="2356"/>
      <c r="B2230" s="984"/>
      <c r="C2230" s="984"/>
    </row>
    <row r="2231" spans="1:3">
      <c r="A2231" s="2356"/>
      <c r="B2231" s="984"/>
      <c r="C2231" s="984"/>
    </row>
    <row r="2232" spans="1:3">
      <c r="A2232" s="2356"/>
      <c r="B2232" s="984"/>
      <c r="C2232" s="984"/>
    </row>
    <row r="2233" spans="1:3">
      <c r="A2233" s="2356"/>
      <c r="B2233" s="984"/>
      <c r="C2233" s="984"/>
    </row>
    <row r="2234" spans="1:3">
      <c r="A2234" s="2356"/>
      <c r="B2234" s="984"/>
      <c r="C2234" s="984"/>
    </row>
    <row r="2235" spans="1:3">
      <c r="A2235" s="2356"/>
      <c r="B2235" s="984"/>
      <c r="C2235" s="984"/>
    </row>
  </sheetData>
  <sheetProtection algorithmName="SHA-512" hashValue="NbRlAedFRXtxjYKj7xLJMwKZTMTvZ7CxLfVYLpMmPqld0sQpSEVFh9H/94GQ/ELzwRJ2gohVytygdc3F+qCNsw==" saltValue="svaNfGWPx6KfrGYueY2IOw==" spinCount="100000" sheet="1" objects="1" scenarios="1"/>
  <autoFilter ref="A7:C8" xr:uid="{00000000-0001-0000-3100-000000000000}"/>
  <customSheetViews>
    <customSheetView guid="{849F61E1-F6D3-48F4-A6FF-68F8FE186D80}" scale="85" showGridLines="0" showAutoFilter="1" topLeftCell="A5">
      <selection activeCell="B13" sqref="B13"/>
      <pageMargins left="0.7" right="0.7" top="0.75" bottom="0.75" header="0.3" footer="0.3"/>
      <pageSetup paperSize="9" orientation="portrait" r:id="rId1"/>
      <autoFilter ref="A7:C1763" xr:uid="{00601740-81F1-4A2A-824B-AF4FB74B4F95}"/>
    </customSheetView>
    <customSheetView guid="{1E1889AA-9C00-49BF-A07E-295053EABBEF}" scale="85" showGridLines="0" showAutoFilter="1">
      <pageMargins left="0.7" right="0.7" top="0.75" bottom="0.75" header="0.3" footer="0.3"/>
      <pageSetup paperSize="9" orientation="portrait" r:id="rId2"/>
      <autoFilter ref="A7:C1763" xr:uid="{B415E060-6A87-4D77-B4E5-5367DF999CEA}"/>
    </customSheetView>
    <customSheetView guid="{83029BA9-344F-4783-B8F2-6704FB40A582}" scale="85" showGridLines="0" showAutoFilter="1" topLeftCell="A5">
      <selection activeCell="B13" sqref="B13"/>
      <pageMargins left="0.7" right="0.7" top="0.75" bottom="0.75" header="0.3" footer="0.3"/>
      <pageSetup paperSize="9" orientation="portrait" r:id="rId3"/>
      <autoFilter ref="A7:C1763" xr:uid="{64065EE3-9584-49A8-9503-C34072E3FC2A}"/>
    </customSheetView>
  </customSheetViews>
  <pageMargins left="0.7" right="0.7" top="0.75" bottom="0.75" header="0.3" footer="0.3"/>
  <pageSetup paperSize="9" orientation="portrait"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Foglio26">
    <tabColor rgb="FFE4DFEC"/>
  </sheetPr>
  <dimension ref="A1:AF7911"/>
  <sheetViews>
    <sheetView showGridLines="0" zoomScale="85" zoomScaleNormal="85" workbookViewId="0"/>
  </sheetViews>
  <sheetFormatPr defaultColWidth="9.42578125" defaultRowHeight="12.75"/>
  <cols>
    <col min="1" max="1" width="18.5703125" style="144" bestFit="1" customWidth="1"/>
    <col min="2" max="2" width="18.5703125" style="144" customWidth="1"/>
    <col min="3" max="3" width="34.5703125" style="978" bestFit="1" customWidth="1"/>
    <col min="4" max="4" width="32.42578125" style="144" customWidth="1"/>
    <col min="5" max="6" width="10.5703125" style="384" bestFit="1" customWidth="1"/>
    <col min="7" max="7" width="16.42578125" style="974" bestFit="1" customWidth="1"/>
    <col min="8" max="8" width="6.5703125" style="144" customWidth="1"/>
    <col min="9" max="9" width="12.42578125" style="979" customWidth="1"/>
    <col min="10" max="10" width="30.5703125" style="974" bestFit="1" customWidth="1"/>
    <col min="11" max="11" width="9.42578125" style="144"/>
    <col min="12" max="12" width="43.5703125" style="974" bestFit="1" customWidth="1"/>
    <col min="13" max="14" width="9.42578125" style="977"/>
    <col min="15" max="15" width="9.42578125" style="295"/>
    <col min="16" max="16" width="9.42578125" style="144"/>
    <col min="17" max="17" width="13.5703125" style="382" customWidth="1"/>
    <col min="18" max="18" width="92" style="974" bestFit="1" customWidth="1"/>
    <col min="19" max="21" width="9.42578125" style="144"/>
    <col min="22" max="22" width="13" style="384" customWidth="1"/>
    <col min="23" max="23" width="9.42578125" style="384"/>
    <col min="24" max="32" width="19" style="384" customWidth="1"/>
    <col min="33" max="16384" width="9.42578125" style="144"/>
  </cols>
  <sheetData>
    <row r="1" spans="1:32" s="145" customFormat="1">
      <c r="A1" s="936" t="s">
        <v>318</v>
      </c>
      <c r="B1" s="937" t="s">
        <v>8</v>
      </c>
      <c r="C1" s="938" t="s">
        <v>319</v>
      </c>
      <c r="D1" s="939" t="s">
        <v>320</v>
      </c>
      <c r="E1" s="602" t="s">
        <v>243</v>
      </c>
      <c r="F1" s="940" t="s">
        <v>243</v>
      </c>
      <c r="G1" s="142" t="s">
        <v>321</v>
      </c>
      <c r="H1" s="939" t="s">
        <v>322</v>
      </c>
      <c r="I1" s="941" t="s">
        <v>323</v>
      </c>
      <c r="J1" s="937" t="s">
        <v>8</v>
      </c>
      <c r="L1" s="942" t="s">
        <v>241</v>
      </c>
      <c r="M1" s="602" t="s">
        <v>243</v>
      </c>
      <c r="N1" s="940" t="s">
        <v>243</v>
      </c>
      <c r="O1" s="943" t="s">
        <v>324</v>
      </c>
      <c r="Q1" s="944" t="s">
        <v>325</v>
      </c>
      <c r="R1" s="945" t="s">
        <v>320</v>
      </c>
      <c r="V1" s="602" t="s">
        <v>243</v>
      </c>
      <c r="W1" s="603"/>
      <c r="X1" s="604" t="s">
        <v>319</v>
      </c>
      <c r="Y1" s="605" t="s">
        <v>323</v>
      </c>
      <c r="Z1" s="605" t="s">
        <v>318</v>
      </c>
      <c r="AA1" s="605" t="s">
        <v>321</v>
      </c>
      <c r="AB1" s="605" t="s">
        <v>322</v>
      </c>
      <c r="AC1" s="605" t="s">
        <v>8</v>
      </c>
      <c r="AD1" s="605" t="s">
        <v>320</v>
      </c>
      <c r="AE1" s="606" t="s">
        <v>243</v>
      </c>
      <c r="AF1" s="607" t="s">
        <v>243</v>
      </c>
    </row>
    <row r="2" spans="1:32" ht="15">
      <c r="A2" s="946" t="s">
        <v>28614</v>
      </c>
      <c r="B2" s="947" t="s">
        <v>601</v>
      </c>
      <c r="C2" s="948" t="s">
        <v>598</v>
      </c>
      <c r="D2" s="242" t="s">
        <v>28732</v>
      </c>
      <c r="E2" s="949">
        <v>103</v>
      </c>
      <c r="F2" s="949">
        <v>103</v>
      </c>
      <c r="G2" s="950" t="s">
        <v>11086</v>
      </c>
      <c r="H2" s="950" t="s">
        <v>599</v>
      </c>
      <c r="I2" s="951" t="s">
        <v>600</v>
      </c>
      <c r="J2" s="947" t="s">
        <v>601</v>
      </c>
      <c r="K2" s="143"/>
      <c r="L2" s="952" t="s">
        <v>588</v>
      </c>
      <c r="M2" s="953">
        <v>101</v>
      </c>
      <c r="N2" s="954">
        <v>101</v>
      </c>
      <c r="O2" s="955" t="s">
        <v>273</v>
      </c>
      <c r="Q2" s="956">
        <v>39628</v>
      </c>
      <c r="R2" s="957" t="s">
        <v>28737</v>
      </c>
      <c r="V2" s="608"/>
      <c r="X2"/>
      <c r="Y2"/>
      <c r="Z2"/>
      <c r="AA2"/>
      <c r="AB2"/>
      <c r="AC2"/>
      <c r="AD2"/>
      <c r="AE2"/>
      <c r="AF2"/>
    </row>
    <row r="3" spans="1:32" ht="15">
      <c r="A3" s="946" t="s">
        <v>28614</v>
      </c>
      <c r="B3" s="947" t="s">
        <v>703</v>
      </c>
      <c r="C3" s="948" t="s">
        <v>701</v>
      </c>
      <c r="D3" s="242" t="s">
        <v>28732</v>
      </c>
      <c r="E3" s="949">
        <v>103</v>
      </c>
      <c r="F3" s="949">
        <v>103</v>
      </c>
      <c r="G3" s="950" t="s">
        <v>11086</v>
      </c>
      <c r="H3" s="950" t="s">
        <v>599</v>
      </c>
      <c r="I3" s="951" t="s">
        <v>702</v>
      </c>
      <c r="J3" s="947" t="s">
        <v>703</v>
      </c>
      <c r="K3" s="143"/>
      <c r="L3" s="952" t="s">
        <v>592</v>
      </c>
      <c r="M3" s="953">
        <v>102</v>
      </c>
      <c r="N3" s="954">
        <v>102</v>
      </c>
      <c r="O3" s="955" t="s">
        <v>273</v>
      </c>
      <c r="Q3" s="958">
        <v>37580</v>
      </c>
      <c r="R3" s="947" t="s">
        <v>30102</v>
      </c>
      <c r="X3"/>
      <c r="Y3"/>
      <c r="Z3"/>
      <c r="AA3"/>
      <c r="AB3"/>
      <c r="AC3"/>
      <c r="AD3"/>
      <c r="AE3"/>
      <c r="AF3"/>
    </row>
    <row r="4" spans="1:32" ht="15">
      <c r="A4" s="946" t="s">
        <v>28614</v>
      </c>
      <c r="B4" s="947" t="s">
        <v>732</v>
      </c>
      <c r="C4" s="948" t="s">
        <v>730</v>
      </c>
      <c r="D4" s="242" t="s">
        <v>28732</v>
      </c>
      <c r="E4" s="949">
        <v>103</v>
      </c>
      <c r="F4" s="949">
        <v>103</v>
      </c>
      <c r="G4" s="950" t="s">
        <v>11086</v>
      </c>
      <c r="H4" s="950" t="s">
        <v>599</v>
      </c>
      <c r="I4" s="951" t="s">
        <v>731</v>
      </c>
      <c r="J4" s="947" t="s">
        <v>732</v>
      </c>
      <c r="K4" s="143"/>
      <c r="L4" s="952" t="s">
        <v>597</v>
      </c>
      <c r="M4" s="953">
        <v>103</v>
      </c>
      <c r="N4" s="954">
        <v>103</v>
      </c>
      <c r="O4" s="955" t="s">
        <v>273</v>
      </c>
      <c r="Q4" s="956">
        <v>37239</v>
      </c>
      <c r="R4" s="957" t="s">
        <v>31161</v>
      </c>
      <c r="X4"/>
      <c r="Y4"/>
      <c r="Z4"/>
      <c r="AA4"/>
      <c r="AB4"/>
      <c r="AC4"/>
      <c r="AD4"/>
      <c r="AE4"/>
      <c r="AF4"/>
    </row>
    <row r="5" spans="1:32" ht="15">
      <c r="A5" s="946" t="s">
        <v>28614</v>
      </c>
      <c r="B5" s="947" t="s">
        <v>823</v>
      </c>
      <c r="C5" s="948" t="s">
        <v>821</v>
      </c>
      <c r="D5" s="242" t="s">
        <v>28732</v>
      </c>
      <c r="E5" s="949">
        <v>103</v>
      </c>
      <c r="F5" s="949">
        <v>103</v>
      </c>
      <c r="G5" s="950" t="s">
        <v>11086</v>
      </c>
      <c r="H5" s="950" t="s">
        <v>599</v>
      </c>
      <c r="I5" s="951" t="s">
        <v>822</v>
      </c>
      <c r="J5" s="947" t="s">
        <v>823</v>
      </c>
      <c r="K5" s="143"/>
      <c r="L5" s="952" t="s">
        <v>602</v>
      </c>
      <c r="M5" s="953">
        <v>104</v>
      </c>
      <c r="N5" s="954">
        <v>104</v>
      </c>
      <c r="O5" s="955" t="s">
        <v>273</v>
      </c>
      <c r="Q5" s="958">
        <v>28178</v>
      </c>
      <c r="R5" s="947" t="s">
        <v>28736</v>
      </c>
      <c r="X5"/>
      <c r="Y5"/>
      <c r="Z5"/>
      <c r="AA5"/>
      <c r="AB5"/>
      <c r="AC5"/>
      <c r="AD5"/>
      <c r="AE5"/>
      <c r="AF5"/>
    </row>
    <row r="6" spans="1:32" ht="15">
      <c r="A6" s="946" t="s">
        <v>28614</v>
      </c>
      <c r="B6" s="947" t="s">
        <v>971</v>
      </c>
      <c r="C6" s="948" t="s">
        <v>969</v>
      </c>
      <c r="D6" s="242" t="s">
        <v>28732</v>
      </c>
      <c r="E6" s="949">
        <v>103</v>
      </c>
      <c r="F6" s="949">
        <v>103</v>
      </c>
      <c r="G6" s="950" t="s">
        <v>11086</v>
      </c>
      <c r="H6" s="950" t="s">
        <v>599</v>
      </c>
      <c r="I6" s="951" t="s">
        <v>970</v>
      </c>
      <c r="J6" s="947" t="s">
        <v>971</v>
      </c>
      <c r="K6" s="143"/>
      <c r="L6" s="952" t="s">
        <v>605</v>
      </c>
      <c r="M6" s="953">
        <v>105</v>
      </c>
      <c r="N6" s="954">
        <v>105</v>
      </c>
      <c r="O6" s="955" t="s">
        <v>273</v>
      </c>
      <c r="Q6" s="958">
        <v>27256</v>
      </c>
      <c r="R6" s="947" t="s">
        <v>26488</v>
      </c>
      <c r="X6"/>
      <c r="Y6"/>
      <c r="Z6"/>
      <c r="AA6"/>
      <c r="AB6"/>
      <c r="AC6"/>
      <c r="AD6"/>
      <c r="AE6"/>
      <c r="AF6"/>
    </row>
    <row r="7" spans="1:32" ht="15">
      <c r="A7" s="946" t="s">
        <v>28614</v>
      </c>
      <c r="B7" s="947" t="s">
        <v>977</v>
      </c>
      <c r="C7" s="948" t="s">
        <v>975</v>
      </c>
      <c r="D7" s="242" t="s">
        <v>28732</v>
      </c>
      <c r="E7" s="949">
        <v>103</v>
      </c>
      <c r="F7" s="949">
        <v>103</v>
      </c>
      <c r="G7" s="950" t="s">
        <v>11086</v>
      </c>
      <c r="H7" s="950" t="s">
        <v>599</v>
      </c>
      <c r="I7" s="951" t="s">
        <v>976</v>
      </c>
      <c r="J7" s="947" t="s">
        <v>977</v>
      </c>
      <c r="K7" s="143"/>
      <c r="L7" s="952" t="s">
        <v>610</v>
      </c>
      <c r="M7" s="953">
        <v>106</v>
      </c>
      <c r="N7" s="954">
        <v>106</v>
      </c>
      <c r="O7" s="955" t="s">
        <v>273</v>
      </c>
      <c r="Q7" s="958">
        <v>20492</v>
      </c>
      <c r="R7" s="947" t="s">
        <v>28717</v>
      </c>
      <c r="X7"/>
      <c r="Y7"/>
      <c r="Z7"/>
      <c r="AA7"/>
      <c r="AB7"/>
      <c r="AC7"/>
      <c r="AD7"/>
      <c r="AE7"/>
      <c r="AF7"/>
    </row>
    <row r="8" spans="1:32" ht="15">
      <c r="A8" s="946" t="s">
        <v>28614</v>
      </c>
      <c r="B8" s="947" t="s">
        <v>980</v>
      </c>
      <c r="C8" s="948" t="s">
        <v>978</v>
      </c>
      <c r="D8" s="242" t="s">
        <v>28732</v>
      </c>
      <c r="E8" s="949">
        <v>103</v>
      </c>
      <c r="F8" s="949">
        <v>103</v>
      </c>
      <c r="G8" s="950" t="s">
        <v>11086</v>
      </c>
      <c r="H8" s="950" t="s">
        <v>599</v>
      </c>
      <c r="I8" s="951" t="s">
        <v>979</v>
      </c>
      <c r="J8" s="947" t="s">
        <v>980</v>
      </c>
      <c r="K8" s="143"/>
      <c r="L8" s="952" t="s">
        <v>603</v>
      </c>
      <c r="M8" s="959">
        <v>201</v>
      </c>
      <c r="N8" s="954">
        <v>201</v>
      </c>
      <c r="O8" s="960" t="s">
        <v>273</v>
      </c>
      <c r="Q8" s="958">
        <v>19901</v>
      </c>
      <c r="R8" s="947" t="s">
        <v>28731</v>
      </c>
      <c r="X8"/>
      <c r="Y8"/>
      <c r="Z8"/>
      <c r="AA8"/>
      <c r="AB8"/>
      <c r="AC8"/>
      <c r="AD8"/>
      <c r="AE8"/>
      <c r="AF8"/>
    </row>
    <row r="9" spans="1:32" ht="15">
      <c r="A9" s="946" t="s">
        <v>28614</v>
      </c>
      <c r="B9" s="947" t="s">
        <v>1124</v>
      </c>
      <c r="C9" s="948" t="s">
        <v>1122</v>
      </c>
      <c r="D9" s="242" t="s">
        <v>28732</v>
      </c>
      <c r="E9" s="949">
        <v>103</v>
      </c>
      <c r="F9" s="949">
        <v>103</v>
      </c>
      <c r="G9" s="950" t="s">
        <v>11086</v>
      </c>
      <c r="H9" s="950" t="s">
        <v>599</v>
      </c>
      <c r="I9" s="951" t="s">
        <v>1123</v>
      </c>
      <c r="J9" s="947" t="s">
        <v>1124</v>
      </c>
      <c r="K9" s="143"/>
      <c r="L9" s="952" t="s">
        <v>499</v>
      </c>
      <c r="M9" s="953">
        <v>301</v>
      </c>
      <c r="N9" s="954">
        <v>301</v>
      </c>
      <c r="O9" s="955" t="s">
        <v>273</v>
      </c>
      <c r="Q9" s="958">
        <v>19984</v>
      </c>
      <c r="R9" s="961" t="s">
        <v>407</v>
      </c>
      <c r="X9"/>
      <c r="Y9"/>
      <c r="Z9"/>
      <c r="AA9"/>
      <c r="AB9"/>
      <c r="AC9"/>
      <c r="AD9"/>
      <c r="AE9"/>
      <c r="AF9"/>
    </row>
    <row r="10" spans="1:32" ht="15">
      <c r="A10" s="946" t="s">
        <v>28614</v>
      </c>
      <c r="B10" s="947" t="s">
        <v>1136</v>
      </c>
      <c r="C10" s="948" t="s">
        <v>1134</v>
      </c>
      <c r="D10" s="242" t="s">
        <v>28732</v>
      </c>
      <c r="E10" s="949">
        <v>103</v>
      </c>
      <c r="F10" s="949">
        <v>103</v>
      </c>
      <c r="G10" s="950" t="s">
        <v>11086</v>
      </c>
      <c r="H10" s="950" t="s">
        <v>599</v>
      </c>
      <c r="I10" s="951" t="s">
        <v>1135</v>
      </c>
      <c r="J10" s="947" t="s">
        <v>1136</v>
      </c>
      <c r="K10" s="143"/>
      <c r="L10" s="952" t="s">
        <v>504</v>
      </c>
      <c r="M10" s="953">
        <v>302</v>
      </c>
      <c r="N10" s="954">
        <v>302</v>
      </c>
      <c r="O10" s="955" t="s">
        <v>273</v>
      </c>
      <c r="Q10" s="958">
        <v>19883</v>
      </c>
      <c r="R10" s="947" t="s">
        <v>28715</v>
      </c>
      <c r="X10"/>
      <c r="Y10"/>
      <c r="Z10"/>
      <c r="AA10"/>
      <c r="AB10"/>
      <c r="AC10"/>
      <c r="AD10"/>
      <c r="AE10"/>
      <c r="AF10"/>
    </row>
    <row r="11" spans="1:32" ht="15">
      <c r="A11" s="946" t="s">
        <v>28614</v>
      </c>
      <c r="B11" s="947" t="s">
        <v>1172</v>
      </c>
      <c r="C11" s="948" t="s">
        <v>1170</v>
      </c>
      <c r="D11" s="242" t="s">
        <v>28732</v>
      </c>
      <c r="E11" s="949">
        <v>103</v>
      </c>
      <c r="F11" s="949">
        <v>103</v>
      </c>
      <c r="G11" s="950" t="s">
        <v>11086</v>
      </c>
      <c r="H11" s="950" t="s">
        <v>599</v>
      </c>
      <c r="I11" s="951" t="s">
        <v>1171</v>
      </c>
      <c r="J11" s="947" t="s">
        <v>1172</v>
      </c>
      <c r="K11" s="143"/>
      <c r="L11" s="952" t="s">
        <v>515</v>
      </c>
      <c r="M11" s="953">
        <v>304</v>
      </c>
      <c r="N11" s="954">
        <v>304</v>
      </c>
      <c r="O11" s="955" t="s">
        <v>273</v>
      </c>
      <c r="Q11" s="958">
        <v>20011</v>
      </c>
      <c r="R11" s="947" t="s">
        <v>28741</v>
      </c>
      <c r="X11"/>
      <c r="Y11"/>
      <c r="Z11"/>
      <c r="AA11"/>
      <c r="AB11"/>
      <c r="AC11"/>
      <c r="AD11"/>
      <c r="AE11"/>
      <c r="AF11"/>
    </row>
    <row r="12" spans="1:32" ht="15">
      <c r="A12" s="946" t="s">
        <v>28614</v>
      </c>
      <c r="B12" s="947" t="s">
        <v>1422</v>
      </c>
      <c r="C12" s="948" t="s">
        <v>1420</v>
      </c>
      <c r="D12" s="242" t="s">
        <v>28732</v>
      </c>
      <c r="E12" s="949">
        <v>103</v>
      </c>
      <c r="F12" s="949">
        <v>103</v>
      </c>
      <c r="G12" s="950" t="s">
        <v>11086</v>
      </c>
      <c r="H12" s="950" t="s">
        <v>599</v>
      </c>
      <c r="I12" s="951" t="s">
        <v>1421</v>
      </c>
      <c r="J12" s="947" t="s">
        <v>1422</v>
      </c>
      <c r="K12" s="143"/>
      <c r="L12" s="952" t="s">
        <v>520</v>
      </c>
      <c r="M12" s="953">
        <v>305</v>
      </c>
      <c r="N12" s="954">
        <v>305</v>
      </c>
      <c r="O12" s="955" t="s">
        <v>273</v>
      </c>
      <c r="Q12" s="958">
        <v>19884</v>
      </c>
      <c r="R12" s="947" t="s">
        <v>516</v>
      </c>
      <c r="X12"/>
      <c r="Y12"/>
      <c r="Z12"/>
      <c r="AA12"/>
      <c r="AB12"/>
      <c r="AC12"/>
      <c r="AD12"/>
      <c r="AE12"/>
      <c r="AF12"/>
    </row>
    <row r="13" spans="1:32" ht="15">
      <c r="A13" s="946" t="s">
        <v>28614</v>
      </c>
      <c r="B13" s="947" t="s">
        <v>1676</v>
      </c>
      <c r="C13" s="948" t="s">
        <v>1674</v>
      </c>
      <c r="D13" s="242" t="s">
        <v>28732</v>
      </c>
      <c r="E13" s="949">
        <v>103</v>
      </c>
      <c r="F13" s="949">
        <v>103</v>
      </c>
      <c r="G13" s="950" t="s">
        <v>11086</v>
      </c>
      <c r="H13" s="950" t="s">
        <v>599</v>
      </c>
      <c r="I13" s="951" t="s">
        <v>1675</v>
      </c>
      <c r="J13" s="947" t="s">
        <v>1676</v>
      </c>
      <c r="K13" s="143"/>
      <c r="L13" s="952" t="s">
        <v>524</v>
      </c>
      <c r="M13" s="953">
        <v>306</v>
      </c>
      <c r="N13" s="954">
        <v>306</v>
      </c>
      <c r="O13" s="955" t="s">
        <v>273</v>
      </c>
      <c r="Q13" s="958">
        <v>19947</v>
      </c>
      <c r="R13" s="947" t="s">
        <v>28733</v>
      </c>
      <c r="X13"/>
      <c r="Y13"/>
      <c r="Z13"/>
      <c r="AA13"/>
      <c r="AB13"/>
      <c r="AC13"/>
      <c r="AD13"/>
      <c r="AE13"/>
      <c r="AF13"/>
    </row>
    <row r="14" spans="1:32" ht="15">
      <c r="A14" s="946" t="s">
        <v>28614</v>
      </c>
      <c r="B14" s="947" t="s">
        <v>1703</v>
      </c>
      <c r="C14" s="948" t="s">
        <v>1701</v>
      </c>
      <c r="D14" s="242" t="s">
        <v>516</v>
      </c>
      <c r="E14" s="949">
        <v>102</v>
      </c>
      <c r="F14" s="949">
        <v>102</v>
      </c>
      <c r="G14" s="950" t="s">
        <v>11086</v>
      </c>
      <c r="H14" s="950" t="s">
        <v>599</v>
      </c>
      <c r="I14" s="951" t="s">
        <v>1702</v>
      </c>
      <c r="J14" s="947" t="s">
        <v>1703</v>
      </c>
      <c r="K14" s="143"/>
      <c r="L14" s="952" t="s">
        <v>528</v>
      </c>
      <c r="M14" s="953">
        <v>307</v>
      </c>
      <c r="N14" s="954">
        <v>307</v>
      </c>
      <c r="O14" s="955" t="s">
        <v>273</v>
      </c>
      <c r="Q14" s="958">
        <v>19885</v>
      </c>
      <c r="R14" s="947" t="s">
        <v>339</v>
      </c>
      <c r="X14"/>
      <c r="Y14"/>
      <c r="Z14"/>
      <c r="AA14"/>
      <c r="AB14"/>
      <c r="AC14"/>
      <c r="AD14"/>
      <c r="AE14"/>
      <c r="AF14"/>
    </row>
    <row r="15" spans="1:32" ht="15">
      <c r="A15" s="946" t="s">
        <v>28614</v>
      </c>
      <c r="B15" s="947" t="s">
        <v>1838</v>
      </c>
      <c r="C15" s="948" t="s">
        <v>1836</v>
      </c>
      <c r="D15" s="242" t="s">
        <v>28732</v>
      </c>
      <c r="E15" s="949">
        <v>103</v>
      </c>
      <c r="F15" s="949">
        <v>103</v>
      </c>
      <c r="G15" s="950" t="s">
        <v>11086</v>
      </c>
      <c r="H15" s="950" t="s">
        <v>599</v>
      </c>
      <c r="I15" s="951" t="s">
        <v>1837</v>
      </c>
      <c r="J15" s="947" t="s">
        <v>1838</v>
      </c>
      <c r="K15" s="143"/>
      <c r="L15" s="952" t="s">
        <v>28790</v>
      </c>
      <c r="M15" s="953">
        <v>308</v>
      </c>
      <c r="N15" s="954">
        <v>308</v>
      </c>
      <c r="O15" s="955" t="s">
        <v>273</v>
      </c>
      <c r="Q15" s="958">
        <v>26079</v>
      </c>
      <c r="R15" s="947" t="s">
        <v>28739</v>
      </c>
      <c r="X15"/>
      <c r="Y15"/>
      <c r="Z15"/>
      <c r="AA15"/>
      <c r="AB15"/>
      <c r="AC15"/>
      <c r="AD15"/>
      <c r="AE15"/>
      <c r="AF15"/>
    </row>
    <row r="16" spans="1:32" ht="15">
      <c r="A16" s="946" t="s">
        <v>28614</v>
      </c>
      <c r="B16" s="947" t="s">
        <v>1847</v>
      </c>
      <c r="C16" s="948" t="s">
        <v>1845</v>
      </c>
      <c r="D16" s="242" t="s">
        <v>28732</v>
      </c>
      <c r="E16" s="949">
        <v>103</v>
      </c>
      <c r="F16" s="949">
        <v>103</v>
      </c>
      <c r="G16" s="950" t="s">
        <v>11086</v>
      </c>
      <c r="H16" s="950" t="s">
        <v>599</v>
      </c>
      <c r="I16" s="951" t="s">
        <v>1846</v>
      </c>
      <c r="J16" s="947" t="s">
        <v>1847</v>
      </c>
      <c r="K16" s="143"/>
      <c r="L16" s="952" t="s">
        <v>536</v>
      </c>
      <c r="M16" s="953">
        <v>309</v>
      </c>
      <c r="N16" s="954">
        <v>309</v>
      </c>
      <c r="O16" s="955" t="s">
        <v>273</v>
      </c>
      <c r="Q16" s="958">
        <v>27302</v>
      </c>
      <c r="R16" s="947" t="s">
        <v>26530</v>
      </c>
      <c r="X16"/>
      <c r="Y16"/>
      <c r="Z16"/>
      <c r="AA16"/>
      <c r="AB16"/>
      <c r="AC16"/>
      <c r="AD16"/>
      <c r="AE16"/>
      <c r="AF16"/>
    </row>
    <row r="17" spans="1:32" ht="15">
      <c r="A17" s="946" t="s">
        <v>28614</v>
      </c>
      <c r="B17" s="947" t="s">
        <v>1853</v>
      </c>
      <c r="C17" s="948" t="s">
        <v>1851</v>
      </c>
      <c r="D17" s="242" t="s">
        <v>28732</v>
      </c>
      <c r="E17" s="949">
        <v>103</v>
      </c>
      <c r="F17" s="949">
        <v>103</v>
      </c>
      <c r="G17" s="950" t="s">
        <v>11086</v>
      </c>
      <c r="H17" s="950" t="s">
        <v>599</v>
      </c>
      <c r="I17" s="951" t="s">
        <v>1852</v>
      </c>
      <c r="J17" s="947" t="s">
        <v>1853</v>
      </c>
      <c r="K17" s="143"/>
      <c r="L17" s="952" t="s">
        <v>540</v>
      </c>
      <c r="M17" s="953">
        <v>310</v>
      </c>
      <c r="N17" s="954">
        <v>310</v>
      </c>
      <c r="O17" s="955" t="s">
        <v>273</v>
      </c>
      <c r="Q17" s="956">
        <v>19905</v>
      </c>
      <c r="R17" s="962" t="s">
        <v>31116</v>
      </c>
      <c r="X17"/>
      <c r="Y17"/>
      <c r="Z17"/>
      <c r="AA17"/>
      <c r="AB17"/>
      <c r="AC17"/>
      <c r="AD17"/>
      <c r="AE17"/>
      <c r="AF17"/>
    </row>
    <row r="18" spans="1:32" ht="15">
      <c r="A18" s="946" t="s">
        <v>28614</v>
      </c>
      <c r="B18" s="947" t="s">
        <v>1859</v>
      </c>
      <c r="C18" s="948" t="s">
        <v>1857</v>
      </c>
      <c r="D18" s="242" t="s">
        <v>28732</v>
      </c>
      <c r="E18" s="949">
        <v>103</v>
      </c>
      <c r="F18" s="949">
        <v>103</v>
      </c>
      <c r="G18" s="950" t="s">
        <v>11086</v>
      </c>
      <c r="H18" s="950" t="s">
        <v>599</v>
      </c>
      <c r="I18" s="951" t="s">
        <v>1858</v>
      </c>
      <c r="J18" s="947" t="s">
        <v>1859</v>
      </c>
      <c r="K18" s="143"/>
      <c r="L18" s="963" t="s">
        <v>545</v>
      </c>
      <c r="M18" s="964">
        <v>311</v>
      </c>
      <c r="N18" s="954">
        <v>311</v>
      </c>
      <c r="O18" s="965" t="s">
        <v>273</v>
      </c>
      <c r="Q18" s="958">
        <v>19912</v>
      </c>
      <c r="R18" s="947" t="s">
        <v>28727</v>
      </c>
      <c r="X18"/>
      <c r="Y18"/>
      <c r="Z18"/>
      <c r="AA18"/>
      <c r="AB18"/>
      <c r="AC18"/>
      <c r="AD18"/>
      <c r="AE18"/>
      <c r="AF18"/>
    </row>
    <row r="19" spans="1:32" ht="15">
      <c r="A19" s="946" t="s">
        <v>28614</v>
      </c>
      <c r="B19" s="947" t="s">
        <v>1872</v>
      </c>
      <c r="C19" s="948" t="s">
        <v>1870</v>
      </c>
      <c r="D19" s="242" t="s">
        <v>28732</v>
      </c>
      <c r="E19" s="949">
        <v>103</v>
      </c>
      <c r="F19" s="949">
        <v>103</v>
      </c>
      <c r="G19" s="950" t="s">
        <v>11086</v>
      </c>
      <c r="H19" s="950" t="s">
        <v>599</v>
      </c>
      <c r="I19" s="951" t="s">
        <v>1871</v>
      </c>
      <c r="J19" s="947" t="s">
        <v>1872</v>
      </c>
      <c r="K19" s="143"/>
      <c r="L19" s="963" t="s">
        <v>550</v>
      </c>
      <c r="M19" s="964">
        <v>312</v>
      </c>
      <c r="N19" s="954">
        <v>312</v>
      </c>
      <c r="O19" s="965" t="s">
        <v>273</v>
      </c>
      <c r="Q19" s="958">
        <v>19860</v>
      </c>
      <c r="R19" s="947" t="s">
        <v>469</v>
      </c>
      <c r="X19"/>
      <c r="Y19"/>
      <c r="Z19"/>
      <c r="AA19"/>
      <c r="AB19"/>
      <c r="AC19"/>
      <c r="AD19"/>
      <c r="AE19"/>
      <c r="AF19"/>
    </row>
    <row r="20" spans="1:32" ht="15">
      <c r="A20" s="946" t="s">
        <v>28614</v>
      </c>
      <c r="B20" s="947" t="s">
        <v>1892</v>
      </c>
      <c r="C20" s="948" t="s">
        <v>1890</v>
      </c>
      <c r="D20" s="242" t="s">
        <v>28732</v>
      </c>
      <c r="E20" s="949">
        <v>103</v>
      </c>
      <c r="F20" s="949">
        <v>103</v>
      </c>
      <c r="G20" s="950" t="s">
        <v>11086</v>
      </c>
      <c r="H20" s="950" t="s">
        <v>599</v>
      </c>
      <c r="I20" s="951" t="s">
        <v>1891</v>
      </c>
      <c r="J20" s="947" t="s">
        <v>1892</v>
      </c>
      <c r="K20" s="143"/>
      <c r="L20" s="963" t="s">
        <v>556</v>
      </c>
      <c r="M20" s="964">
        <v>313</v>
      </c>
      <c r="N20" s="954">
        <v>313</v>
      </c>
      <c r="O20" s="965" t="s">
        <v>273</v>
      </c>
      <c r="Q20" s="958">
        <v>19865</v>
      </c>
      <c r="R20" s="947" t="s">
        <v>24913</v>
      </c>
      <c r="X20"/>
      <c r="Y20"/>
      <c r="Z20"/>
      <c r="AA20"/>
      <c r="AB20"/>
      <c r="AC20"/>
      <c r="AD20"/>
      <c r="AE20"/>
      <c r="AF20"/>
    </row>
    <row r="21" spans="1:32" ht="15">
      <c r="A21" s="946" t="s">
        <v>28614</v>
      </c>
      <c r="B21" s="947" t="s">
        <v>1922</v>
      </c>
      <c r="C21" s="948" t="s">
        <v>1920</v>
      </c>
      <c r="D21" s="242" t="s">
        <v>28732</v>
      </c>
      <c r="E21" s="949">
        <v>103</v>
      </c>
      <c r="F21" s="949">
        <v>103</v>
      </c>
      <c r="G21" s="950" t="s">
        <v>11086</v>
      </c>
      <c r="H21" s="950" t="s">
        <v>599</v>
      </c>
      <c r="I21" s="951" t="s">
        <v>1921</v>
      </c>
      <c r="J21" s="947" t="s">
        <v>1922</v>
      </c>
      <c r="K21" s="143"/>
      <c r="L21" s="963" t="s">
        <v>28791</v>
      </c>
      <c r="M21" s="964">
        <v>401</v>
      </c>
      <c r="N21" s="954">
        <v>401</v>
      </c>
      <c r="O21" s="965" t="s">
        <v>273</v>
      </c>
      <c r="Q21" s="958">
        <v>27828</v>
      </c>
      <c r="R21" s="947" t="s">
        <v>28738</v>
      </c>
      <c r="X21"/>
      <c r="Y21"/>
      <c r="Z21"/>
      <c r="AA21"/>
      <c r="AB21"/>
      <c r="AC21"/>
      <c r="AD21"/>
      <c r="AE21"/>
      <c r="AF21"/>
    </row>
    <row r="22" spans="1:32" ht="15">
      <c r="A22" s="946" t="s">
        <v>28614</v>
      </c>
      <c r="B22" s="947" t="s">
        <v>1968</v>
      </c>
      <c r="C22" s="948" t="s">
        <v>1966</v>
      </c>
      <c r="D22" s="242" t="s">
        <v>28732</v>
      </c>
      <c r="E22" s="949">
        <v>103</v>
      </c>
      <c r="F22" s="949">
        <v>103</v>
      </c>
      <c r="G22" s="950" t="s">
        <v>11086</v>
      </c>
      <c r="H22" s="950" t="s">
        <v>599</v>
      </c>
      <c r="I22" s="951" t="s">
        <v>1967</v>
      </c>
      <c r="J22" s="947" t="s">
        <v>1968</v>
      </c>
      <c r="K22" s="143"/>
      <c r="L22" s="963" t="s">
        <v>28792</v>
      </c>
      <c r="M22" s="964">
        <v>402</v>
      </c>
      <c r="N22" s="954">
        <v>402</v>
      </c>
      <c r="O22" s="965" t="s">
        <v>273</v>
      </c>
      <c r="Q22" s="958">
        <v>20398</v>
      </c>
      <c r="R22" s="947" t="s">
        <v>32801</v>
      </c>
      <c r="X22"/>
      <c r="Y22"/>
      <c r="Z22"/>
      <c r="AA22"/>
      <c r="AB22"/>
      <c r="AC22"/>
      <c r="AD22"/>
      <c r="AE22"/>
      <c r="AF22"/>
    </row>
    <row r="23" spans="1:32" ht="15">
      <c r="A23" s="946" t="s">
        <v>28614</v>
      </c>
      <c r="B23" s="947" t="s">
        <v>2019</v>
      </c>
      <c r="C23" s="948" t="s">
        <v>2017</v>
      </c>
      <c r="D23" s="242" t="s">
        <v>28732</v>
      </c>
      <c r="E23" s="949">
        <v>103</v>
      </c>
      <c r="F23" s="949">
        <v>103</v>
      </c>
      <c r="G23" s="950" t="s">
        <v>11086</v>
      </c>
      <c r="H23" s="950" t="s">
        <v>599</v>
      </c>
      <c r="I23" s="951" t="s">
        <v>2018</v>
      </c>
      <c r="J23" s="947" t="s">
        <v>2019</v>
      </c>
      <c r="K23" s="143"/>
      <c r="L23" s="963" t="s">
        <v>28793</v>
      </c>
      <c r="M23" s="964">
        <v>403</v>
      </c>
      <c r="N23" s="954">
        <v>403</v>
      </c>
      <c r="O23" s="965" t="s">
        <v>273</v>
      </c>
      <c r="Q23" s="956">
        <v>19855</v>
      </c>
      <c r="R23" s="957" t="s">
        <v>615</v>
      </c>
      <c r="X23"/>
      <c r="Y23"/>
      <c r="Z23"/>
      <c r="AA23"/>
      <c r="AB23"/>
      <c r="AC23"/>
      <c r="AD23"/>
      <c r="AE23"/>
      <c r="AF23"/>
    </row>
    <row r="24" spans="1:32" ht="15">
      <c r="A24" s="946" t="s">
        <v>28614</v>
      </c>
      <c r="B24" s="947" t="s">
        <v>2143</v>
      </c>
      <c r="C24" s="948" t="s">
        <v>2141</v>
      </c>
      <c r="D24" s="242" t="s">
        <v>28732</v>
      </c>
      <c r="E24" s="949">
        <v>103</v>
      </c>
      <c r="F24" s="949">
        <v>103</v>
      </c>
      <c r="G24" s="950" t="s">
        <v>11086</v>
      </c>
      <c r="H24" s="950" t="s">
        <v>599</v>
      </c>
      <c r="I24" s="951" t="s">
        <v>2142</v>
      </c>
      <c r="J24" s="947" t="s">
        <v>2143</v>
      </c>
      <c r="K24" s="143"/>
      <c r="L24" s="963" t="s">
        <v>28794</v>
      </c>
      <c r="M24" s="964">
        <v>404</v>
      </c>
      <c r="N24" s="954">
        <v>404</v>
      </c>
      <c r="O24" s="965" t="s">
        <v>273</v>
      </c>
      <c r="Q24" s="958">
        <v>19862</v>
      </c>
      <c r="R24" s="947" t="s">
        <v>454</v>
      </c>
      <c r="X24"/>
      <c r="Y24"/>
      <c r="Z24"/>
      <c r="AA24"/>
      <c r="AB24"/>
      <c r="AC24"/>
      <c r="AD24"/>
      <c r="AE24"/>
      <c r="AF24"/>
    </row>
    <row r="25" spans="1:32" ht="15">
      <c r="A25" s="946" t="s">
        <v>28614</v>
      </c>
      <c r="B25" s="947" t="s">
        <v>2420</v>
      </c>
      <c r="C25" s="948" t="s">
        <v>2418</v>
      </c>
      <c r="D25" s="242" t="s">
        <v>28732</v>
      </c>
      <c r="E25" s="949">
        <v>103</v>
      </c>
      <c r="F25" s="949">
        <v>103</v>
      </c>
      <c r="G25" s="950" t="s">
        <v>11086</v>
      </c>
      <c r="H25" s="950" t="s">
        <v>599</v>
      </c>
      <c r="I25" s="951" t="s">
        <v>2419</v>
      </c>
      <c r="J25" s="947" t="s">
        <v>2420</v>
      </c>
      <c r="K25" s="143"/>
      <c r="L25" s="963" t="s">
        <v>28795</v>
      </c>
      <c r="M25" s="964">
        <v>405</v>
      </c>
      <c r="N25" s="954">
        <v>405</v>
      </c>
      <c r="O25" s="965" t="s">
        <v>273</v>
      </c>
      <c r="Q25" s="958">
        <v>19898</v>
      </c>
      <c r="R25" s="947" t="s">
        <v>393</v>
      </c>
      <c r="X25"/>
      <c r="Y25"/>
      <c r="Z25"/>
      <c r="AA25"/>
      <c r="AB25"/>
      <c r="AC25"/>
      <c r="AD25"/>
      <c r="AE25"/>
      <c r="AF25"/>
    </row>
    <row r="26" spans="1:32" ht="15">
      <c r="A26" s="946" t="s">
        <v>28614</v>
      </c>
      <c r="B26" s="947" t="s">
        <v>2531</v>
      </c>
      <c r="C26" s="948" t="s">
        <v>2529</v>
      </c>
      <c r="D26" s="242" t="s">
        <v>28732</v>
      </c>
      <c r="E26" s="949">
        <v>103</v>
      </c>
      <c r="F26" s="949">
        <v>103</v>
      </c>
      <c r="G26" s="950" t="s">
        <v>11086</v>
      </c>
      <c r="H26" s="950" t="s">
        <v>599</v>
      </c>
      <c r="I26" s="951" t="s">
        <v>2530</v>
      </c>
      <c r="J26" s="947" t="s">
        <v>2531</v>
      </c>
      <c r="K26" s="143"/>
      <c r="L26" s="963" t="s">
        <v>700</v>
      </c>
      <c r="M26" s="964">
        <v>501</v>
      </c>
      <c r="N26" s="954">
        <v>501</v>
      </c>
      <c r="O26" s="965" t="s">
        <v>273</v>
      </c>
      <c r="Q26" s="958">
        <v>19900</v>
      </c>
      <c r="R26" s="947" t="s">
        <v>30097</v>
      </c>
      <c r="X26"/>
      <c r="Y26"/>
      <c r="Z26"/>
      <c r="AA26"/>
      <c r="AB26"/>
      <c r="AC26"/>
      <c r="AD26"/>
      <c r="AE26"/>
      <c r="AF26"/>
    </row>
    <row r="27" spans="1:32" ht="15">
      <c r="A27" s="946" t="s">
        <v>28614</v>
      </c>
      <c r="B27" s="947" t="s">
        <v>2578</v>
      </c>
      <c r="C27" s="948" t="s">
        <v>2576</v>
      </c>
      <c r="D27" s="242" t="s">
        <v>28732</v>
      </c>
      <c r="E27" s="949">
        <v>103</v>
      </c>
      <c r="F27" s="949">
        <v>103</v>
      </c>
      <c r="G27" s="950" t="s">
        <v>11086</v>
      </c>
      <c r="H27" s="950" t="s">
        <v>599</v>
      </c>
      <c r="I27" s="951" t="s">
        <v>2577</v>
      </c>
      <c r="J27" s="947" t="s">
        <v>2578</v>
      </c>
      <c r="K27" s="143"/>
      <c r="L27" s="952" t="s">
        <v>704</v>
      </c>
      <c r="M27" s="966">
        <v>502</v>
      </c>
      <c r="N27" s="954">
        <v>502</v>
      </c>
      <c r="O27" s="967" t="s">
        <v>273</v>
      </c>
      <c r="Q27" s="958">
        <v>38872</v>
      </c>
      <c r="R27" s="947" t="s">
        <v>31100</v>
      </c>
      <c r="X27"/>
      <c r="Y27"/>
      <c r="Z27"/>
      <c r="AA27"/>
      <c r="AB27"/>
      <c r="AC27"/>
      <c r="AD27"/>
      <c r="AE27"/>
      <c r="AF27"/>
    </row>
    <row r="28" spans="1:32" ht="15">
      <c r="A28" s="946" t="s">
        <v>28614</v>
      </c>
      <c r="B28" s="947" t="s">
        <v>2691</v>
      </c>
      <c r="C28" s="948" t="s">
        <v>2689</v>
      </c>
      <c r="D28" s="242" t="s">
        <v>28732</v>
      </c>
      <c r="E28" s="949">
        <v>103</v>
      </c>
      <c r="F28" s="949">
        <v>103</v>
      </c>
      <c r="G28" s="950" t="s">
        <v>11086</v>
      </c>
      <c r="H28" s="950" t="s">
        <v>599</v>
      </c>
      <c r="I28" s="951" t="s">
        <v>2690</v>
      </c>
      <c r="J28" s="947" t="s">
        <v>2691</v>
      </c>
      <c r="K28" s="143"/>
      <c r="L28" s="952" t="s">
        <v>709</v>
      </c>
      <c r="M28" s="966">
        <v>503</v>
      </c>
      <c r="N28" s="954">
        <v>503</v>
      </c>
      <c r="O28" s="967" t="s">
        <v>273</v>
      </c>
      <c r="Q28" s="958">
        <v>35319</v>
      </c>
      <c r="R28" s="947" t="s">
        <v>29741</v>
      </c>
      <c r="X28"/>
      <c r="Y28"/>
      <c r="Z28"/>
      <c r="AA28"/>
      <c r="AB28"/>
      <c r="AC28"/>
      <c r="AD28"/>
      <c r="AE28"/>
      <c r="AF28"/>
    </row>
    <row r="29" spans="1:32" ht="15">
      <c r="A29" s="946" t="s">
        <v>28614</v>
      </c>
      <c r="B29" s="947" t="s">
        <v>2718</v>
      </c>
      <c r="C29" s="948" t="s">
        <v>2716</v>
      </c>
      <c r="D29" s="242" t="s">
        <v>28732</v>
      </c>
      <c r="E29" s="949">
        <v>103</v>
      </c>
      <c r="F29" s="949">
        <v>103</v>
      </c>
      <c r="G29" s="950" t="s">
        <v>11086</v>
      </c>
      <c r="H29" s="950" t="s">
        <v>599</v>
      </c>
      <c r="I29" s="951" t="s">
        <v>2717</v>
      </c>
      <c r="J29" s="947" t="s">
        <v>2718</v>
      </c>
      <c r="K29" s="143"/>
      <c r="L29" s="952" t="s">
        <v>714</v>
      </c>
      <c r="M29" s="966">
        <v>504</v>
      </c>
      <c r="N29" s="954">
        <v>504</v>
      </c>
      <c r="O29" s="967" t="s">
        <v>273</v>
      </c>
      <c r="Q29" s="958">
        <v>19913</v>
      </c>
      <c r="R29" s="947" t="s">
        <v>28722</v>
      </c>
      <c r="X29"/>
      <c r="Y29"/>
      <c r="Z29"/>
      <c r="AA29"/>
      <c r="AB29"/>
      <c r="AC29"/>
      <c r="AD29"/>
      <c r="AE29"/>
      <c r="AF29"/>
    </row>
    <row r="30" spans="1:32" ht="15">
      <c r="A30" s="946" t="s">
        <v>28614</v>
      </c>
      <c r="B30" s="947" t="s">
        <v>2775</v>
      </c>
      <c r="C30" s="948" t="s">
        <v>2773</v>
      </c>
      <c r="D30" s="242" t="s">
        <v>28732</v>
      </c>
      <c r="E30" s="949">
        <v>103</v>
      </c>
      <c r="F30" s="949">
        <v>103</v>
      </c>
      <c r="G30" s="950" t="s">
        <v>11086</v>
      </c>
      <c r="H30" s="950" t="s">
        <v>599</v>
      </c>
      <c r="I30" s="951" t="s">
        <v>2774</v>
      </c>
      <c r="J30" s="947" t="s">
        <v>2775</v>
      </c>
      <c r="K30" s="143"/>
      <c r="L30" s="952" t="s">
        <v>718</v>
      </c>
      <c r="M30" s="966">
        <v>505</v>
      </c>
      <c r="N30" s="954">
        <v>505</v>
      </c>
      <c r="O30" s="967" t="s">
        <v>273</v>
      </c>
      <c r="Q30" s="958">
        <v>25403</v>
      </c>
      <c r="R30" s="947" t="s">
        <v>28711</v>
      </c>
      <c r="X30"/>
      <c r="Y30"/>
      <c r="Z30"/>
      <c r="AA30"/>
      <c r="AB30"/>
      <c r="AC30"/>
      <c r="AD30"/>
      <c r="AE30"/>
      <c r="AF30"/>
    </row>
    <row r="31" spans="1:32" ht="15">
      <c r="A31" s="946" t="s">
        <v>28614</v>
      </c>
      <c r="B31" s="947" t="s">
        <v>2790</v>
      </c>
      <c r="C31" s="948" t="s">
        <v>2788</v>
      </c>
      <c r="D31" s="242" t="s">
        <v>28732</v>
      </c>
      <c r="E31" s="949">
        <v>103</v>
      </c>
      <c r="F31" s="949">
        <v>103</v>
      </c>
      <c r="G31" s="950" t="s">
        <v>11086</v>
      </c>
      <c r="H31" s="950" t="s">
        <v>599</v>
      </c>
      <c r="I31" s="951" t="s">
        <v>2789</v>
      </c>
      <c r="J31" s="947" t="s">
        <v>2790</v>
      </c>
      <c r="K31" s="143"/>
      <c r="L31" s="952" t="s">
        <v>722</v>
      </c>
      <c r="M31" s="966">
        <v>506</v>
      </c>
      <c r="N31" s="954">
        <v>506</v>
      </c>
      <c r="O31" s="967" t="s">
        <v>273</v>
      </c>
      <c r="Q31" s="958">
        <v>20361</v>
      </c>
      <c r="R31" s="947" t="s">
        <v>32802</v>
      </c>
      <c r="X31"/>
      <c r="Y31"/>
      <c r="Z31"/>
      <c r="AA31"/>
      <c r="AB31"/>
      <c r="AC31"/>
      <c r="AD31"/>
      <c r="AE31"/>
      <c r="AF31"/>
    </row>
    <row r="32" spans="1:32" ht="15">
      <c r="A32" s="946" t="s">
        <v>28614</v>
      </c>
      <c r="B32" s="947" t="s">
        <v>2793</v>
      </c>
      <c r="C32" s="948" t="s">
        <v>2791</v>
      </c>
      <c r="D32" s="242" t="s">
        <v>28732</v>
      </c>
      <c r="E32" s="949">
        <v>103</v>
      </c>
      <c r="F32" s="949">
        <v>103</v>
      </c>
      <c r="G32" s="950" t="s">
        <v>11086</v>
      </c>
      <c r="H32" s="950" t="s">
        <v>599</v>
      </c>
      <c r="I32" s="951" t="s">
        <v>2792</v>
      </c>
      <c r="J32" s="947" t="s">
        <v>2793</v>
      </c>
      <c r="K32" s="143"/>
      <c r="L32" s="968" t="s">
        <v>727</v>
      </c>
      <c r="M32" s="959">
        <v>507</v>
      </c>
      <c r="N32" s="954">
        <v>507</v>
      </c>
      <c r="O32" s="960" t="s">
        <v>273</v>
      </c>
      <c r="Q32" s="958">
        <v>19882</v>
      </c>
      <c r="R32" s="947" t="s">
        <v>372</v>
      </c>
      <c r="X32"/>
      <c r="Y32"/>
      <c r="Z32"/>
      <c r="AA32"/>
      <c r="AB32"/>
      <c r="AC32"/>
      <c r="AD32"/>
      <c r="AE32"/>
      <c r="AF32"/>
    </row>
    <row r="33" spans="1:32" ht="15">
      <c r="A33" s="946" t="s">
        <v>28614</v>
      </c>
      <c r="B33" s="947" t="s">
        <v>2864</v>
      </c>
      <c r="C33" s="948" t="s">
        <v>2862</v>
      </c>
      <c r="D33" s="242" t="s">
        <v>28732</v>
      </c>
      <c r="E33" s="949">
        <v>103</v>
      </c>
      <c r="F33" s="949">
        <v>103</v>
      </c>
      <c r="G33" s="950" t="s">
        <v>11086</v>
      </c>
      <c r="H33" s="950" t="s">
        <v>599</v>
      </c>
      <c r="I33" s="951" t="s">
        <v>2863</v>
      </c>
      <c r="J33" s="947" t="s">
        <v>2864</v>
      </c>
      <c r="K33" s="143"/>
      <c r="L33" s="968" t="s">
        <v>729</v>
      </c>
      <c r="M33" s="959">
        <v>508</v>
      </c>
      <c r="N33" s="954">
        <v>508</v>
      </c>
      <c r="O33" s="960" t="s">
        <v>273</v>
      </c>
      <c r="Q33" s="958">
        <v>19926</v>
      </c>
      <c r="R33" s="947" t="s">
        <v>28719</v>
      </c>
      <c r="X33"/>
      <c r="Y33"/>
      <c r="Z33"/>
      <c r="AA33"/>
      <c r="AB33"/>
      <c r="AC33"/>
      <c r="AD33"/>
      <c r="AE33"/>
      <c r="AF33"/>
    </row>
    <row r="34" spans="1:32" ht="15">
      <c r="A34" s="946" t="s">
        <v>28614</v>
      </c>
      <c r="B34" s="947" t="s">
        <v>2965</v>
      </c>
      <c r="C34" s="948" t="s">
        <v>2963</v>
      </c>
      <c r="D34" s="242" t="s">
        <v>28732</v>
      </c>
      <c r="E34" s="949">
        <v>103</v>
      </c>
      <c r="F34" s="949">
        <v>103</v>
      </c>
      <c r="G34" s="950" t="s">
        <v>11086</v>
      </c>
      <c r="H34" s="950" t="s">
        <v>599</v>
      </c>
      <c r="I34" s="951" t="s">
        <v>2964</v>
      </c>
      <c r="J34" s="947" t="s">
        <v>2965</v>
      </c>
      <c r="K34" s="143"/>
      <c r="L34" s="968" t="s">
        <v>30125</v>
      </c>
      <c r="M34" s="959">
        <v>605</v>
      </c>
      <c r="N34" s="954">
        <v>605</v>
      </c>
      <c r="O34" s="960" t="s">
        <v>273</v>
      </c>
      <c r="Q34" s="958">
        <v>19934</v>
      </c>
      <c r="R34" s="947" t="s">
        <v>28730</v>
      </c>
      <c r="X34"/>
      <c r="Y34"/>
      <c r="Z34"/>
      <c r="AA34"/>
      <c r="AB34"/>
      <c r="AC34"/>
      <c r="AD34"/>
      <c r="AE34"/>
      <c r="AF34"/>
    </row>
    <row r="35" spans="1:32" ht="15">
      <c r="A35" s="946" t="s">
        <v>28614</v>
      </c>
      <c r="B35" s="947" t="s">
        <v>3045</v>
      </c>
      <c r="C35" s="948" t="s">
        <v>3043</v>
      </c>
      <c r="D35" s="242" t="s">
        <v>28732</v>
      </c>
      <c r="E35" s="949">
        <v>103</v>
      </c>
      <c r="F35" s="949">
        <v>103</v>
      </c>
      <c r="G35" s="950" t="s">
        <v>11086</v>
      </c>
      <c r="H35" s="950" t="s">
        <v>599</v>
      </c>
      <c r="I35" s="951" t="s">
        <v>3044</v>
      </c>
      <c r="J35" s="947" t="s">
        <v>3045</v>
      </c>
      <c r="K35" s="143"/>
      <c r="L35" s="968" t="s">
        <v>28796</v>
      </c>
      <c r="M35" s="959">
        <v>701</v>
      </c>
      <c r="N35" s="954">
        <v>701</v>
      </c>
      <c r="O35" s="960" t="s">
        <v>273</v>
      </c>
      <c r="Q35" s="958">
        <v>19857</v>
      </c>
      <c r="R35" s="947" t="s">
        <v>510</v>
      </c>
      <c r="X35"/>
      <c r="Y35"/>
      <c r="Z35"/>
      <c r="AA35"/>
      <c r="AB35"/>
      <c r="AC35"/>
      <c r="AD35"/>
      <c r="AE35"/>
      <c r="AF35"/>
    </row>
    <row r="36" spans="1:32" ht="15">
      <c r="A36" s="946" t="s">
        <v>28614</v>
      </c>
      <c r="B36" s="947" t="s">
        <v>3123</v>
      </c>
      <c r="C36" s="948" t="s">
        <v>3121</v>
      </c>
      <c r="D36" s="242" t="s">
        <v>28732</v>
      </c>
      <c r="E36" s="949">
        <v>103</v>
      </c>
      <c r="F36" s="949">
        <v>103</v>
      </c>
      <c r="G36" s="950" t="s">
        <v>11086</v>
      </c>
      <c r="H36" s="950" t="s">
        <v>599</v>
      </c>
      <c r="I36" s="951" t="s">
        <v>3122</v>
      </c>
      <c r="J36" s="947" t="s">
        <v>3123</v>
      </c>
      <c r="K36" s="143"/>
      <c r="L36" s="968" t="s">
        <v>28797</v>
      </c>
      <c r="M36" s="959">
        <v>702</v>
      </c>
      <c r="N36" s="954">
        <v>702</v>
      </c>
      <c r="O36" s="960" t="s">
        <v>273</v>
      </c>
      <c r="Q36" s="958">
        <v>29854</v>
      </c>
      <c r="R36" s="947" t="s">
        <v>28735</v>
      </c>
      <c r="X36"/>
      <c r="Y36"/>
      <c r="Z36"/>
      <c r="AA36"/>
      <c r="AB36"/>
      <c r="AC36"/>
      <c r="AD36"/>
      <c r="AE36"/>
      <c r="AF36"/>
    </row>
    <row r="37" spans="1:32" ht="15">
      <c r="A37" s="946" t="s">
        <v>28614</v>
      </c>
      <c r="B37" s="947" t="s">
        <v>3128</v>
      </c>
      <c r="C37" s="948" t="s">
        <v>3126</v>
      </c>
      <c r="D37" s="242" t="s">
        <v>28733</v>
      </c>
      <c r="E37" s="949">
        <v>105</v>
      </c>
      <c r="F37" s="949">
        <v>105</v>
      </c>
      <c r="G37" s="950" t="s">
        <v>11086</v>
      </c>
      <c r="H37" s="950" t="s">
        <v>599</v>
      </c>
      <c r="I37" s="951" t="s">
        <v>3127</v>
      </c>
      <c r="J37" s="947" t="s">
        <v>3128</v>
      </c>
      <c r="K37" s="143"/>
      <c r="L37" s="952" t="s">
        <v>28798</v>
      </c>
      <c r="M37" s="966">
        <v>703</v>
      </c>
      <c r="N37" s="954">
        <v>703</v>
      </c>
      <c r="O37" s="967" t="s">
        <v>273</v>
      </c>
      <c r="Q37" s="958">
        <v>20426</v>
      </c>
      <c r="R37" s="947" t="s">
        <v>32001</v>
      </c>
      <c r="X37"/>
      <c r="Y37"/>
      <c r="Z37"/>
      <c r="AA37"/>
      <c r="AB37"/>
      <c r="AC37"/>
      <c r="AD37"/>
      <c r="AE37"/>
      <c r="AF37"/>
    </row>
    <row r="38" spans="1:32" ht="15">
      <c r="A38" s="946" t="s">
        <v>28614</v>
      </c>
      <c r="B38" s="947" t="s">
        <v>3142</v>
      </c>
      <c r="C38" s="948" t="s">
        <v>3140</v>
      </c>
      <c r="D38" s="242" t="s">
        <v>28732</v>
      </c>
      <c r="E38" s="949">
        <v>103</v>
      </c>
      <c r="F38" s="949">
        <v>103</v>
      </c>
      <c r="G38" s="950" t="s">
        <v>11086</v>
      </c>
      <c r="H38" s="950" t="s">
        <v>599</v>
      </c>
      <c r="I38" s="951" t="s">
        <v>3141</v>
      </c>
      <c r="J38" s="947" t="s">
        <v>3142</v>
      </c>
      <c r="K38" s="143"/>
      <c r="L38" s="952" t="s">
        <v>28799</v>
      </c>
      <c r="M38" s="966">
        <v>705</v>
      </c>
      <c r="N38" s="954">
        <v>705</v>
      </c>
      <c r="O38" s="967" t="s">
        <v>273</v>
      </c>
      <c r="Q38" s="958">
        <v>20129</v>
      </c>
      <c r="R38" s="947" t="s">
        <v>28720</v>
      </c>
      <c r="X38"/>
      <c r="Y38"/>
      <c r="Z38"/>
      <c r="AA38"/>
      <c r="AB38"/>
      <c r="AC38"/>
      <c r="AD38"/>
      <c r="AE38"/>
      <c r="AF38"/>
    </row>
    <row r="39" spans="1:32" ht="15">
      <c r="A39" s="946" t="s">
        <v>28614</v>
      </c>
      <c r="B39" s="947" t="s">
        <v>3161</v>
      </c>
      <c r="C39" s="948" t="s">
        <v>3159</v>
      </c>
      <c r="D39" s="242" t="s">
        <v>28733</v>
      </c>
      <c r="E39" s="949">
        <v>105</v>
      </c>
      <c r="F39" s="949">
        <v>105</v>
      </c>
      <c r="G39" s="950" t="s">
        <v>11086</v>
      </c>
      <c r="H39" s="950" t="s">
        <v>599</v>
      </c>
      <c r="I39" s="951" t="s">
        <v>3160</v>
      </c>
      <c r="J39" s="947" t="s">
        <v>3161</v>
      </c>
      <c r="K39" s="143"/>
      <c r="L39" s="952" t="s">
        <v>28800</v>
      </c>
      <c r="M39" s="966">
        <v>706</v>
      </c>
      <c r="N39" s="954">
        <v>706</v>
      </c>
      <c r="O39" s="967" t="s">
        <v>273</v>
      </c>
      <c r="Q39" s="958">
        <v>19918</v>
      </c>
      <c r="R39" s="947" t="s">
        <v>28723</v>
      </c>
      <c r="X39"/>
      <c r="Y39"/>
      <c r="Z39"/>
      <c r="AA39"/>
      <c r="AB39"/>
      <c r="AC39"/>
      <c r="AD39"/>
      <c r="AE39"/>
      <c r="AF39"/>
    </row>
    <row r="40" spans="1:32" ht="15">
      <c r="A40" s="946" t="s">
        <v>28614</v>
      </c>
      <c r="B40" s="947" t="s">
        <v>3176</v>
      </c>
      <c r="C40" s="948" t="s">
        <v>3174</v>
      </c>
      <c r="D40" s="242" t="s">
        <v>28732</v>
      </c>
      <c r="E40" s="949">
        <v>103</v>
      </c>
      <c r="F40" s="949">
        <v>103</v>
      </c>
      <c r="G40" s="950" t="s">
        <v>11086</v>
      </c>
      <c r="H40" s="950" t="s">
        <v>599</v>
      </c>
      <c r="I40" s="951" t="s">
        <v>3175</v>
      </c>
      <c r="J40" s="947" t="s">
        <v>3176</v>
      </c>
      <c r="K40" s="143"/>
      <c r="L40" s="952" t="s">
        <v>401</v>
      </c>
      <c r="M40" s="966">
        <v>801</v>
      </c>
      <c r="N40" s="954">
        <v>801</v>
      </c>
      <c r="O40" s="967" t="s">
        <v>273</v>
      </c>
      <c r="Q40" s="958">
        <v>19873</v>
      </c>
      <c r="R40" s="947" t="s">
        <v>28718</v>
      </c>
      <c r="X40"/>
      <c r="Y40"/>
      <c r="Z40"/>
      <c r="AA40"/>
      <c r="AB40"/>
      <c r="AC40"/>
      <c r="AD40"/>
      <c r="AE40"/>
      <c r="AF40"/>
    </row>
    <row r="41" spans="1:32" ht="15">
      <c r="A41" s="946" t="s">
        <v>28614</v>
      </c>
      <c r="B41" s="947" t="s">
        <v>3260</v>
      </c>
      <c r="C41" s="948" t="s">
        <v>3258</v>
      </c>
      <c r="D41" s="242" t="s">
        <v>28732</v>
      </c>
      <c r="E41" s="949">
        <v>103</v>
      </c>
      <c r="F41" s="949">
        <v>103</v>
      </c>
      <c r="G41" s="950" t="s">
        <v>11086</v>
      </c>
      <c r="H41" s="950" t="s">
        <v>599</v>
      </c>
      <c r="I41" s="951" t="s">
        <v>3259</v>
      </c>
      <c r="J41" s="947" t="s">
        <v>3260</v>
      </c>
      <c r="K41" s="143"/>
      <c r="L41" s="952" t="s">
        <v>406</v>
      </c>
      <c r="M41" s="966">
        <v>802</v>
      </c>
      <c r="N41" s="954">
        <v>802</v>
      </c>
      <c r="O41" s="967" t="s">
        <v>273</v>
      </c>
      <c r="Q41" s="958">
        <v>19916</v>
      </c>
      <c r="R41" s="947" t="s">
        <v>28729</v>
      </c>
      <c r="X41"/>
      <c r="Y41"/>
      <c r="Z41"/>
      <c r="AA41"/>
      <c r="AB41"/>
      <c r="AC41"/>
      <c r="AD41"/>
      <c r="AE41"/>
      <c r="AF41"/>
    </row>
    <row r="42" spans="1:32" ht="15">
      <c r="A42" s="946" t="s">
        <v>28614</v>
      </c>
      <c r="B42" s="947" t="s">
        <v>3263</v>
      </c>
      <c r="C42" s="948" t="s">
        <v>3261</v>
      </c>
      <c r="D42" s="242" t="s">
        <v>28732</v>
      </c>
      <c r="E42" s="949">
        <v>103</v>
      </c>
      <c r="F42" s="949">
        <v>103</v>
      </c>
      <c r="G42" s="950" t="s">
        <v>11086</v>
      </c>
      <c r="H42" s="950" t="s">
        <v>599</v>
      </c>
      <c r="I42" s="951" t="s">
        <v>3262</v>
      </c>
      <c r="J42" s="947" t="s">
        <v>3263</v>
      </c>
      <c r="K42" s="143"/>
      <c r="L42" s="952" t="s">
        <v>412</v>
      </c>
      <c r="M42" s="966">
        <v>803</v>
      </c>
      <c r="N42" s="954">
        <v>803</v>
      </c>
      <c r="O42" s="967" t="s">
        <v>273</v>
      </c>
      <c r="Q42" s="958">
        <v>19964</v>
      </c>
      <c r="R42" s="947" t="s">
        <v>24912</v>
      </c>
      <c r="X42"/>
      <c r="Y42"/>
      <c r="Z42"/>
      <c r="AA42"/>
      <c r="AB42"/>
      <c r="AC42"/>
      <c r="AD42"/>
      <c r="AE42"/>
      <c r="AF42"/>
    </row>
    <row r="43" spans="1:32" ht="15">
      <c r="A43" s="946" t="s">
        <v>28614</v>
      </c>
      <c r="B43" s="947" t="s">
        <v>3274</v>
      </c>
      <c r="C43" s="948" t="s">
        <v>3272</v>
      </c>
      <c r="D43" s="242" t="s">
        <v>28732</v>
      </c>
      <c r="E43" s="949">
        <v>103</v>
      </c>
      <c r="F43" s="949">
        <v>103</v>
      </c>
      <c r="G43" s="950" t="s">
        <v>11086</v>
      </c>
      <c r="H43" s="950" t="s">
        <v>599</v>
      </c>
      <c r="I43" s="951" t="s">
        <v>3273</v>
      </c>
      <c r="J43" s="947" t="s">
        <v>3274</v>
      </c>
      <c r="K43" s="143"/>
      <c r="L43" s="968" t="s">
        <v>416</v>
      </c>
      <c r="M43" s="969">
        <v>804</v>
      </c>
      <c r="N43" s="954">
        <v>804</v>
      </c>
      <c r="O43" s="970" t="s">
        <v>273</v>
      </c>
      <c r="Q43" s="958">
        <v>19931</v>
      </c>
      <c r="R43" s="947" t="s">
        <v>28734</v>
      </c>
      <c r="X43"/>
      <c r="Y43"/>
      <c r="Z43"/>
      <c r="AA43"/>
      <c r="AB43"/>
      <c r="AC43"/>
      <c r="AD43"/>
      <c r="AE43"/>
      <c r="AF43"/>
    </row>
    <row r="44" spans="1:32" ht="15">
      <c r="A44" s="946" t="s">
        <v>28614</v>
      </c>
      <c r="B44" s="947" t="s">
        <v>3306</v>
      </c>
      <c r="C44" s="948" t="s">
        <v>3304</v>
      </c>
      <c r="D44" s="242" t="s">
        <v>28732</v>
      </c>
      <c r="E44" s="949">
        <v>103</v>
      </c>
      <c r="F44" s="949">
        <v>103</v>
      </c>
      <c r="G44" s="950" t="s">
        <v>11086</v>
      </c>
      <c r="H44" s="950" t="s">
        <v>599</v>
      </c>
      <c r="I44" s="951" t="s">
        <v>3305</v>
      </c>
      <c r="J44" s="947" t="s">
        <v>3306</v>
      </c>
      <c r="K44" s="143"/>
      <c r="L44" s="952" t="s">
        <v>420</v>
      </c>
      <c r="M44" s="966">
        <v>805</v>
      </c>
      <c r="N44" s="954">
        <v>805</v>
      </c>
      <c r="O44" s="967" t="s">
        <v>273</v>
      </c>
      <c r="Q44" s="958">
        <v>19881</v>
      </c>
      <c r="R44" s="947" t="s">
        <v>444</v>
      </c>
      <c r="X44"/>
      <c r="Y44"/>
      <c r="Z44"/>
      <c r="AA44"/>
      <c r="AB44"/>
      <c r="AC44"/>
      <c r="AD44"/>
      <c r="AE44"/>
      <c r="AF44"/>
    </row>
    <row r="45" spans="1:32" ht="15">
      <c r="A45" s="946" t="s">
        <v>28614</v>
      </c>
      <c r="B45" s="947" t="s">
        <v>3324</v>
      </c>
      <c r="C45" s="948" t="s">
        <v>3322</v>
      </c>
      <c r="D45" s="242" t="s">
        <v>28732</v>
      </c>
      <c r="E45" s="949">
        <v>103</v>
      </c>
      <c r="F45" s="949">
        <v>103</v>
      </c>
      <c r="G45" s="950" t="s">
        <v>11086</v>
      </c>
      <c r="H45" s="950" t="s">
        <v>599</v>
      </c>
      <c r="I45" s="951" t="s">
        <v>3323</v>
      </c>
      <c r="J45" s="947" t="s">
        <v>3324</v>
      </c>
      <c r="K45" s="143"/>
      <c r="L45" s="968" t="s">
        <v>424</v>
      </c>
      <c r="M45" s="969">
        <v>806</v>
      </c>
      <c r="N45" s="954">
        <v>806</v>
      </c>
      <c r="O45" s="970" t="s">
        <v>273</v>
      </c>
      <c r="Q45" s="956">
        <v>19859</v>
      </c>
      <c r="R45" s="961" t="s">
        <v>552</v>
      </c>
      <c r="X45"/>
      <c r="Y45"/>
      <c r="Z45"/>
      <c r="AA45"/>
      <c r="AB45"/>
      <c r="AC45"/>
      <c r="AD45"/>
      <c r="AE45"/>
      <c r="AF45"/>
    </row>
    <row r="46" spans="1:32" ht="15">
      <c r="A46" s="946" t="s">
        <v>28614</v>
      </c>
      <c r="B46" s="947" t="s">
        <v>3367</v>
      </c>
      <c r="C46" s="948" t="s">
        <v>3365</v>
      </c>
      <c r="D46" s="242" t="s">
        <v>28732</v>
      </c>
      <c r="E46" s="949">
        <v>103</v>
      </c>
      <c r="F46" s="949">
        <v>103</v>
      </c>
      <c r="G46" s="950" t="s">
        <v>11086</v>
      </c>
      <c r="H46" s="950" t="s">
        <v>599</v>
      </c>
      <c r="I46" s="951" t="s">
        <v>3366</v>
      </c>
      <c r="J46" s="947" t="s">
        <v>3367</v>
      </c>
      <c r="K46" s="143"/>
      <c r="L46" s="952" t="s">
        <v>428</v>
      </c>
      <c r="M46" s="966">
        <v>807</v>
      </c>
      <c r="N46" s="954">
        <v>807</v>
      </c>
      <c r="O46" s="967" t="s">
        <v>273</v>
      </c>
      <c r="Q46" s="958">
        <v>14353</v>
      </c>
      <c r="R46" s="947" t="s">
        <v>24675</v>
      </c>
      <c r="X46"/>
      <c r="Y46"/>
      <c r="Z46"/>
      <c r="AA46"/>
      <c r="AB46"/>
      <c r="AC46"/>
      <c r="AD46"/>
      <c r="AE46"/>
      <c r="AF46"/>
    </row>
    <row r="47" spans="1:32" ht="15">
      <c r="A47" s="946" t="s">
        <v>28614</v>
      </c>
      <c r="B47" s="947" t="s">
        <v>3552</v>
      </c>
      <c r="C47" s="948" t="s">
        <v>3550</v>
      </c>
      <c r="D47" s="242" t="s">
        <v>28732</v>
      </c>
      <c r="E47" s="949">
        <v>103</v>
      </c>
      <c r="F47" s="949">
        <v>103</v>
      </c>
      <c r="G47" s="950" t="s">
        <v>11086</v>
      </c>
      <c r="H47" s="950" t="s">
        <v>599</v>
      </c>
      <c r="I47" s="951" t="s">
        <v>3551</v>
      </c>
      <c r="J47" s="947" t="s">
        <v>3552</v>
      </c>
      <c r="K47" s="143"/>
      <c r="L47" s="952" t="s">
        <v>28801</v>
      </c>
      <c r="M47" s="966">
        <v>808</v>
      </c>
      <c r="N47" s="954">
        <v>808</v>
      </c>
      <c r="O47" s="967" t="s">
        <v>273</v>
      </c>
      <c r="Q47" s="956">
        <v>19938</v>
      </c>
      <c r="R47" s="961" t="s">
        <v>28725</v>
      </c>
      <c r="X47"/>
      <c r="Y47"/>
      <c r="Z47"/>
      <c r="AA47"/>
      <c r="AB47"/>
      <c r="AC47"/>
      <c r="AD47"/>
      <c r="AE47"/>
      <c r="AF47"/>
    </row>
    <row r="48" spans="1:32" ht="15">
      <c r="A48" s="946" t="s">
        <v>28614</v>
      </c>
      <c r="B48" s="947" t="s">
        <v>3612</v>
      </c>
      <c r="C48" s="948" t="s">
        <v>3610</v>
      </c>
      <c r="D48" s="242" t="s">
        <v>28732</v>
      </c>
      <c r="E48" s="949">
        <v>103</v>
      </c>
      <c r="F48" s="949">
        <v>103</v>
      </c>
      <c r="G48" s="950" t="s">
        <v>11086</v>
      </c>
      <c r="H48" s="950" t="s">
        <v>599</v>
      </c>
      <c r="I48" s="951" t="s">
        <v>3611</v>
      </c>
      <c r="J48" s="947" t="s">
        <v>3612</v>
      </c>
      <c r="K48" s="143"/>
      <c r="L48" s="952" t="s">
        <v>434</v>
      </c>
      <c r="M48" s="966">
        <v>809</v>
      </c>
      <c r="N48" s="954">
        <v>809</v>
      </c>
      <c r="O48" s="967" t="s">
        <v>273</v>
      </c>
      <c r="Q48" s="958">
        <v>19858</v>
      </c>
      <c r="R48" s="971" t="s">
        <v>626</v>
      </c>
      <c r="X48"/>
      <c r="Y48"/>
      <c r="Z48"/>
      <c r="AA48"/>
      <c r="AB48"/>
      <c r="AC48"/>
      <c r="AD48"/>
      <c r="AE48"/>
      <c r="AF48"/>
    </row>
    <row r="49" spans="1:32" ht="15">
      <c r="A49" s="946" t="s">
        <v>28614</v>
      </c>
      <c r="B49" s="947" t="s">
        <v>31119</v>
      </c>
      <c r="C49" s="948" t="s">
        <v>31120</v>
      </c>
      <c r="D49" s="242" t="s">
        <v>28732</v>
      </c>
      <c r="E49" s="949">
        <v>103</v>
      </c>
      <c r="F49" s="949">
        <v>103</v>
      </c>
      <c r="G49" s="950" t="s">
        <v>11086</v>
      </c>
      <c r="H49" s="950" t="s">
        <v>599</v>
      </c>
      <c r="I49" s="951" t="s">
        <v>3715</v>
      </c>
      <c r="J49" s="947" t="s">
        <v>31119</v>
      </c>
      <c r="K49" s="143"/>
      <c r="L49" s="952" t="s">
        <v>659</v>
      </c>
      <c r="M49" s="966">
        <v>901</v>
      </c>
      <c r="N49" s="954">
        <v>901</v>
      </c>
      <c r="O49" s="967" t="s">
        <v>274</v>
      </c>
      <c r="Q49" s="956">
        <v>27432</v>
      </c>
      <c r="R49" s="961" t="s">
        <v>28740</v>
      </c>
      <c r="X49"/>
      <c r="Y49"/>
      <c r="Z49"/>
      <c r="AA49"/>
      <c r="AB49"/>
      <c r="AC49"/>
      <c r="AD49"/>
      <c r="AE49"/>
      <c r="AF49"/>
    </row>
    <row r="50" spans="1:32" ht="15">
      <c r="A50" s="946" t="s">
        <v>28614</v>
      </c>
      <c r="B50" s="947" t="s">
        <v>3891</v>
      </c>
      <c r="C50" s="948" t="s">
        <v>3889</v>
      </c>
      <c r="D50" s="242" t="s">
        <v>28732</v>
      </c>
      <c r="E50" s="949">
        <v>103</v>
      </c>
      <c r="F50" s="949">
        <v>103</v>
      </c>
      <c r="G50" s="950" t="s">
        <v>11086</v>
      </c>
      <c r="H50" s="950" t="s">
        <v>599</v>
      </c>
      <c r="I50" s="951" t="s">
        <v>3890</v>
      </c>
      <c r="J50" s="947" t="s">
        <v>3891</v>
      </c>
      <c r="K50" s="143"/>
      <c r="L50" s="952" t="s">
        <v>663</v>
      </c>
      <c r="M50" s="966">
        <v>902</v>
      </c>
      <c r="N50" s="954">
        <v>902</v>
      </c>
      <c r="O50" s="967" t="s">
        <v>274</v>
      </c>
      <c r="Q50" s="958">
        <v>19929</v>
      </c>
      <c r="R50" s="957" t="s">
        <v>439</v>
      </c>
      <c r="X50"/>
      <c r="Y50"/>
      <c r="Z50"/>
      <c r="AA50"/>
      <c r="AB50"/>
      <c r="AC50"/>
      <c r="AD50"/>
      <c r="AE50"/>
      <c r="AF50"/>
    </row>
    <row r="51" spans="1:32" ht="15">
      <c r="A51" s="946" t="s">
        <v>28614</v>
      </c>
      <c r="B51" s="947" t="s">
        <v>3906</v>
      </c>
      <c r="C51" s="948" t="s">
        <v>3904</v>
      </c>
      <c r="D51" s="242" t="s">
        <v>28732</v>
      </c>
      <c r="E51" s="949">
        <v>103</v>
      </c>
      <c r="F51" s="949">
        <v>103</v>
      </c>
      <c r="G51" s="950" t="s">
        <v>11086</v>
      </c>
      <c r="H51" s="950" t="s">
        <v>599</v>
      </c>
      <c r="I51" s="951" t="s">
        <v>3905</v>
      </c>
      <c r="J51" s="947" t="s">
        <v>3906</v>
      </c>
      <c r="K51" s="143"/>
      <c r="L51" s="952" t="s">
        <v>666</v>
      </c>
      <c r="M51" s="966">
        <v>903</v>
      </c>
      <c r="N51" s="954">
        <v>903</v>
      </c>
      <c r="O51" s="967" t="s">
        <v>274</v>
      </c>
      <c r="Q51" s="956">
        <v>19869</v>
      </c>
      <c r="R51" s="957" t="s">
        <v>327</v>
      </c>
      <c r="X51"/>
      <c r="Y51"/>
      <c r="Z51"/>
      <c r="AA51"/>
      <c r="AB51"/>
      <c r="AC51"/>
      <c r="AD51"/>
      <c r="AE51"/>
      <c r="AF51"/>
    </row>
    <row r="52" spans="1:32" ht="15">
      <c r="A52" s="946" t="s">
        <v>28614</v>
      </c>
      <c r="B52" s="947" t="s">
        <v>3930</v>
      </c>
      <c r="C52" s="948" t="s">
        <v>3928</v>
      </c>
      <c r="D52" s="242" t="s">
        <v>28732</v>
      </c>
      <c r="E52" s="949">
        <v>103</v>
      </c>
      <c r="F52" s="949">
        <v>103</v>
      </c>
      <c r="G52" s="950" t="s">
        <v>11086</v>
      </c>
      <c r="H52" s="950" t="s">
        <v>599</v>
      </c>
      <c r="I52" s="951" t="s">
        <v>3929</v>
      </c>
      <c r="J52" s="947" t="s">
        <v>3930</v>
      </c>
      <c r="K52" s="143"/>
      <c r="L52" s="952" t="s">
        <v>669</v>
      </c>
      <c r="M52" s="966">
        <v>904</v>
      </c>
      <c r="N52" s="954">
        <v>904</v>
      </c>
      <c r="O52" s="967" t="s">
        <v>274</v>
      </c>
      <c r="Q52" s="956">
        <v>19928</v>
      </c>
      <c r="R52" s="957" t="s">
        <v>28724</v>
      </c>
      <c r="X52"/>
      <c r="Y52"/>
      <c r="Z52"/>
      <c r="AA52"/>
      <c r="AB52"/>
      <c r="AC52"/>
      <c r="AD52"/>
      <c r="AE52"/>
      <c r="AF52"/>
    </row>
    <row r="53" spans="1:32" ht="15">
      <c r="A53" s="946" t="s">
        <v>28614</v>
      </c>
      <c r="B53" s="947" t="s">
        <v>3984</v>
      </c>
      <c r="C53" s="948" t="s">
        <v>3982</v>
      </c>
      <c r="D53" s="242" t="s">
        <v>28732</v>
      </c>
      <c r="E53" s="949">
        <v>103</v>
      </c>
      <c r="F53" s="949">
        <v>103</v>
      </c>
      <c r="G53" s="950" t="s">
        <v>11086</v>
      </c>
      <c r="H53" s="950" t="s">
        <v>599</v>
      </c>
      <c r="I53" s="951" t="s">
        <v>3983</v>
      </c>
      <c r="J53" s="947" t="s">
        <v>3984</v>
      </c>
      <c r="K53" s="143"/>
      <c r="L53" s="952" t="s">
        <v>673</v>
      </c>
      <c r="M53" s="966">
        <v>905</v>
      </c>
      <c r="N53" s="954">
        <v>905</v>
      </c>
      <c r="O53" s="967" t="s">
        <v>274</v>
      </c>
      <c r="Q53" s="958">
        <v>19997</v>
      </c>
      <c r="R53" s="957" t="s">
        <v>28713</v>
      </c>
      <c r="X53"/>
      <c r="Y53"/>
      <c r="Z53"/>
      <c r="AA53"/>
      <c r="AB53"/>
      <c r="AC53"/>
      <c r="AD53"/>
      <c r="AE53"/>
      <c r="AF53"/>
    </row>
    <row r="54" spans="1:32" ht="15">
      <c r="A54" s="946" t="s">
        <v>28614</v>
      </c>
      <c r="B54" s="947" t="s">
        <v>4007</v>
      </c>
      <c r="C54" s="948" t="s">
        <v>4005</v>
      </c>
      <c r="D54" s="242" t="s">
        <v>28732</v>
      </c>
      <c r="E54" s="949">
        <v>103</v>
      </c>
      <c r="F54" s="949">
        <v>103</v>
      </c>
      <c r="G54" s="950" t="s">
        <v>11086</v>
      </c>
      <c r="H54" s="950" t="s">
        <v>599</v>
      </c>
      <c r="I54" s="951" t="s">
        <v>4006</v>
      </c>
      <c r="J54" s="947" t="s">
        <v>4007</v>
      </c>
      <c r="K54" s="143"/>
      <c r="L54" s="952" t="s">
        <v>677</v>
      </c>
      <c r="M54" s="953">
        <v>906</v>
      </c>
      <c r="N54" s="954">
        <v>906</v>
      </c>
      <c r="O54" s="955" t="s">
        <v>274</v>
      </c>
      <c r="Q54" s="958">
        <v>19914</v>
      </c>
      <c r="R54" s="947" t="s">
        <v>28728</v>
      </c>
      <c r="X54"/>
      <c r="Y54"/>
      <c r="Z54"/>
      <c r="AA54"/>
      <c r="AB54"/>
      <c r="AC54"/>
      <c r="AD54"/>
      <c r="AE54"/>
      <c r="AF54"/>
    </row>
    <row r="55" spans="1:32" ht="15">
      <c r="A55" s="946" t="s">
        <v>28614</v>
      </c>
      <c r="B55" s="947" t="s">
        <v>4163</v>
      </c>
      <c r="C55" s="948" t="s">
        <v>4161</v>
      </c>
      <c r="D55" s="242" t="s">
        <v>28732</v>
      </c>
      <c r="E55" s="949">
        <v>103</v>
      </c>
      <c r="F55" s="949">
        <v>103</v>
      </c>
      <c r="G55" s="950" t="s">
        <v>11086</v>
      </c>
      <c r="H55" s="950" t="s">
        <v>599</v>
      </c>
      <c r="I55" s="951" t="s">
        <v>4162</v>
      </c>
      <c r="J55" s="947" t="s">
        <v>4163</v>
      </c>
      <c r="K55" s="143"/>
      <c r="L55" s="952" t="s">
        <v>30126</v>
      </c>
      <c r="M55" s="953">
        <v>1001</v>
      </c>
      <c r="N55" s="954">
        <v>1001</v>
      </c>
      <c r="O55" s="955" t="s">
        <v>274</v>
      </c>
      <c r="Q55" s="958">
        <v>35572</v>
      </c>
      <c r="R55" s="947" t="s">
        <v>30103</v>
      </c>
      <c r="X55"/>
      <c r="Y55"/>
      <c r="Z55"/>
      <c r="AA55"/>
      <c r="AB55"/>
      <c r="AC55"/>
      <c r="AD55"/>
      <c r="AE55"/>
      <c r="AF55"/>
    </row>
    <row r="56" spans="1:32" ht="15">
      <c r="A56" s="946" t="s">
        <v>28614</v>
      </c>
      <c r="B56" s="947" t="s">
        <v>4232</v>
      </c>
      <c r="C56" s="948" t="s">
        <v>4230</v>
      </c>
      <c r="D56" s="242" t="s">
        <v>28732</v>
      </c>
      <c r="E56" s="949">
        <v>103</v>
      </c>
      <c r="F56" s="949">
        <v>103</v>
      </c>
      <c r="G56" s="950" t="s">
        <v>11086</v>
      </c>
      <c r="H56" s="950" t="s">
        <v>599</v>
      </c>
      <c r="I56" s="951" t="s">
        <v>4231</v>
      </c>
      <c r="J56" s="947" t="s">
        <v>4232</v>
      </c>
      <c r="K56" s="143"/>
      <c r="L56" s="952" t="s">
        <v>30127</v>
      </c>
      <c r="M56" s="953">
        <v>1002</v>
      </c>
      <c r="N56" s="954">
        <v>1002</v>
      </c>
      <c r="O56" s="955" t="s">
        <v>274</v>
      </c>
      <c r="Q56" s="958">
        <v>38454</v>
      </c>
      <c r="R56" s="947" t="s">
        <v>31115</v>
      </c>
      <c r="X56"/>
      <c r="Y56"/>
      <c r="Z56"/>
      <c r="AA56"/>
      <c r="AB56"/>
      <c r="AC56"/>
      <c r="AD56"/>
      <c r="AE56"/>
      <c r="AF56"/>
    </row>
    <row r="57" spans="1:32" ht="15">
      <c r="A57" s="946" t="s">
        <v>28614</v>
      </c>
      <c r="B57" s="947" t="s">
        <v>4285</v>
      </c>
      <c r="C57" s="948" t="s">
        <v>4283</v>
      </c>
      <c r="D57" s="242" t="s">
        <v>28732</v>
      </c>
      <c r="E57" s="949">
        <v>103</v>
      </c>
      <c r="F57" s="949">
        <v>103</v>
      </c>
      <c r="G57" s="950" t="s">
        <v>11086</v>
      </c>
      <c r="H57" s="950" t="s">
        <v>599</v>
      </c>
      <c r="I57" s="951" t="s">
        <v>4284</v>
      </c>
      <c r="J57" s="947" t="s">
        <v>4285</v>
      </c>
      <c r="K57" s="143"/>
      <c r="L57" s="952" t="s">
        <v>30128</v>
      </c>
      <c r="M57" s="953">
        <v>1003</v>
      </c>
      <c r="N57" s="954">
        <v>1003</v>
      </c>
      <c r="O57" s="955" t="s">
        <v>274</v>
      </c>
      <c r="Q57" s="958">
        <v>30527</v>
      </c>
      <c r="R57" s="947" t="s">
        <v>28714</v>
      </c>
      <c r="X57"/>
      <c r="Y57"/>
      <c r="Z57"/>
      <c r="AA57"/>
      <c r="AB57"/>
      <c r="AC57"/>
      <c r="AD57"/>
      <c r="AE57"/>
      <c r="AF57"/>
    </row>
    <row r="58" spans="1:32" ht="15">
      <c r="A58" s="946" t="s">
        <v>28614</v>
      </c>
      <c r="B58" s="947" t="s">
        <v>4316</v>
      </c>
      <c r="C58" s="948" t="s">
        <v>4314</v>
      </c>
      <c r="D58" s="242" t="s">
        <v>28732</v>
      </c>
      <c r="E58" s="949">
        <v>103</v>
      </c>
      <c r="F58" s="949">
        <v>103</v>
      </c>
      <c r="G58" s="950" t="s">
        <v>11086</v>
      </c>
      <c r="H58" s="950" t="s">
        <v>599</v>
      </c>
      <c r="I58" s="951" t="s">
        <v>4315</v>
      </c>
      <c r="J58" s="947" t="s">
        <v>4316</v>
      </c>
      <c r="K58" s="143"/>
      <c r="L58" s="952" t="s">
        <v>561</v>
      </c>
      <c r="M58" s="953">
        <v>1101</v>
      </c>
      <c r="N58" s="954">
        <v>1101</v>
      </c>
      <c r="O58" s="955" t="s">
        <v>274</v>
      </c>
      <c r="Q58" s="958">
        <v>28469</v>
      </c>
      <c r="R58" s="947" t="s">
        <v>28712</v>
      </c>
      <c r="X58"/>
      <c r="Y58"/>
      <c r="Z58"/>
      <c r="AA58"/>
      <c r="AB58"/>
      <c r="AC58"/>
      <c r="AD58"/>
      <c r="AE58"/>
      <c r="AF58"/>
    </row>
    <row r="59" spans="1:32" ht="15">
      <c r="A59" s="946" t="s">
        <v>28614</v>
      </c>
      <c r="B59" s="947" t="s">
        <v>4353</v>
      </c>
      <c r="C59" s="948" t="s">
        <v>4351</v>
      </c>
      <c r="D59" s="242" t="s">
        <v>28732</v>
      </c>
      <c r="E59" s="949">
        <v>103</v>
      </c>
      <c r="F59" s="949">
        <v>103</v>
      </c>
      <c r="G59" s="950" t="s">
        <v>11086</v>
      </c>
      <c r="H59" s="950" t="s">
        <v>599</v>
      </c>
      <c r="I59" s="951" t="s">
        <v>4352</v>
      </c>
      <c r="J59" s="947" t="s">
        <v>4353</v>
      </c>
      <c r="K59" s="143"/>
      <c r="L59" s="952" t="s">
        <v>565</v>
      </c>
      <c r="M59" s="953">
        <v>1102</v>
      </c>
      <c r="N59" s="954">
        <v>1102</v>
      </c>
      <c r="O59" s="955" t="s">
        <v>274</v>
      </c>
      <c r="Q59" s="958">
        <v>26617</v>
      </c>
      <c r="R59" s="947" t="s">
        <v>32803</v>
      </c>
      <c r="X59"/>
      <c r="Y59"/>
      <c r="Z59"/>
      <c r="AA59"/>
      <c r="AB59"/>
      <c r="AC59"/>
      <c r="AD59"/>
      <c r="AE59"/>
      <c r="AF59"/>
    </row>
    <row r="60" spans="1:32" ht="15">
      <c r="A60" s="946" t="s">
        <v>28614</v>
      </c>
      <c r="B60" s="947" t="s">
        <v>4530</v>
      </c>
      <c r="C60" s="948" t="s">
        <v>4528</v>
      </c>
      <c r="D60" s="242" t="s">
        <v>28732</v>
      </c>
      <c r="E60" s="949">
        <v>103</v>
      </c>
      <c r="F60" s="949">
        <v>103</v>
      </c>
      <c r="G60" s="950" t="s">
        <v>11086</v>
      </c>
      <c r="H60" s="950" t="s">
        <v>599</v>
      </c>
      <c r="I60" s="951" t="s">
        <v>4529</v>
      </c>
      <c r="J60" s="947" t="s">
        <v>4530</v>
      </c>
      <c r="K60" s="143"/>
      <c r="L60" s="968" t="s">
        <v>570</v>
      </c>
      <c r="M60" s="969">
        <v>1103</v>
      </c>
      <c r="N60" s="954">
        <v>1103</v>
      </c>
      <c r="O60" s="970" t="s">
        <v>274</v>
      </c>
      <c r="Q60" s="958">
        <v>19886</v>
      </c>
      <c r="R60" s="947" t="s">
        <v>28726</v>
      </c>
      <c r="X60"/>
      <c r="Y60"/>
      <c r="Z60"/>
      <c r="AA60"/>
      <c r="AB60"/>
      <c r="AC60"/>
      <c r="AD60"/>
      <c r="AE60"/>
      <c r="AF60"/>
    </row>
    <row r="61" spans="1:32" ht="15">
      <c r="A61" s="946" t="s">
        <v>28614</v>
      </c>
      <c r="B61" s="947" t="s">
        <v>4733</v>
      </c>
      <c r="C61" s="948" t="s">
        <v>4731</v>
      </c>
      <c r="D61" s="242" t="s">
        <v>28732</v>
      </c>
      <c r="E61" s="949">
        <v>103</v>
      </c>
      <c r="F61" s="949">
        <v>103</v>
      </c>
      <c r="G61" s="950" t="s">
        <v>11086</v>
      </c>
      <c r="H61" s="950" t="s">
        <v>599</v>
      </c>
      <c r="I61" s="951" t="s">
        <v>4732</v>
      </c>
      <c r="J61" s="947" t="s">
        <v>4733</v>
      </c>
      <c r="K61" s="143"/>
      <c r="L61" s="968" t="s">
        <v>575</v>
      </c>
      <c r="M61" s="969">
        <v>1104</v>
      </c>
      <c r="N61" s="954">
        <v>1104</v>
      </c>
      <c r="O61" s="970" t="s">
        <v>274</v>
      </c>
      <c r="Q61" s="958">
        <v>19880</v>
      </c>
      <c r="R61" s="947" t="s">
        <v>333</v>
      </c>
      <c r="X61"/>
      <c r="Y61"/>
      <c r="Z61"/>
      <c r="AA61"/>
      <c r="AB61"/>
      <c r="AC61"/>
      <c r="AD61"/>
      <c r="AE61"/>
      <c r="AF61"/>
    </row>
    <row r="62" spans="1:32" ht="15">
      <c r="A62" s="946" t="s">
        <v>28614</v>
      </c>
      <c r="B62" s="947" t="s">
        <v>4739</v>
      </c>
      <c r="C62" s="948" t="s">
        <v>4737</v>
      </c>
      <c r="D62" s="242" t="s">
        <v>28732</v>
      </c>
      <c r="E62" s="949">
        <v>103</v>
      </c>
      <c r="F62" s="949">
        <v>103</v>
      </c>
      <c r="G62" s="950" t="s">
        <v>11086</v>
      </c>
      <c r="H62" s="950" t="s">
        <v>599</v>
      </c>
      <c r="I62" s="951" t="s">
        <v>4738</v>
      </c>
      <c r="J62" s="947" t="s">
        <v>4739</v>
      </c>
      <c r="K62" s="143"/>
      <c r="L62" s="968" t="s">
        <v>580</v>
      </c>
      <c r="M62" s="969">
        <v>1105</v>
      </c>
      <c r="N62" s="954">
        <v>1105</v>
      </c>
      <c r="O62" s="970" t="s">
        <v>274</v>
      </c>
      <c r="Q62" s="958">
        <v>19920</v>
      </c>
      <c r="R62" s="947" t="s">
        <v>28732</v>
      </c>
      <c r="X62"/>
      <c r="Y62"/>
      <c r="Z62"/>
      <c r="AA62"/>
      <c r="AB62"/>
      <c r="AC62"/>
      <c r="AD62"/>
      <c r="AE62"/>
      <c r="AF62"/>
    </row>
    <row r="63" spans="1:32" ht="15">
      <c r="A63" s="946" t="s">
        <v>28614</v>
      </c>
      <c r="B63" s="947" t="s">
        <v>4754</v>
      </c>
      <c r="C63" s="948" t="s">
        <v>4752</v>
      </c>
      <c r="D63" s="242" t="s">
        <v>28732</v>
      </c>
      <c r="E63" s="949">
        <v>103</v>
      </c>
      <c r="F63" s="949">
        <v>103</v>
      </c>
      <c r="G63" s="950" t="s">
        <v>11086</v>
      </c>
      <c r="H63" s="950" t="s">
        <v>599</v>
      </c>
      <c r="I63" s="951" t="s">
        <v>4753</v>
      </c>
      <c r="J63" s="947" t="s">
        <v>4754</v>
      </c>
      <c r="K63" s="143"/>
      <c r="L63" s="968" t="s">
        <v>462</v>
      </c>
      <c r="M63" s="969">
        <v>1201</v>
      </c>
      <c r="N63" s="954">
        <v>1201</v>
      </c>
      <c r="O63" s="970" t="s">
        <v>274</v>
      </c>
      <c r="Q63" s="958">
        <v>19992</v>
      </c>
      <c r="R63" s="947" t="s">
        <v>28716</v>
      </c>
      <c r="X63"/>
      <c r="Y63"/>
      <c r="Z63"/>
      <c r="AA63"/>
      <c r="AB63"/>
      <c r="AC63"/>
      <c r="AD63"/>
      <c r="AE63"/>
      <c r="AF63"/>
    </row>
    <row r="64" spans="1:32" ht="15">
      <c r="A64" s="946" t="s">
        <v>28614</v>
      </c>
      <c r="B64" s="947" t="s">
        <v>4883</v>
      </c>
      <c r="C64" s="948" t="s">
        <v>4881</v>
      </c>
      <c r="D64" s="242" t="s">
        <v>28732</v>
      </c>
      <c r="E64" s="949">
        <v>103</v>
      </c>
      <c r="F64" s="949">
        <v>103</v>
      </c>
      <c r="G64" s="950" t="s">
        <v>11086</v>
      </c>
      <c r="H64" s="950" t="s">
        <v>599</v>
      </c>
      <c r="I64" s="951" t="s">
        <v>4882</v>
      </c>
      <c r="J64" s="947" t="s">
        <v>4883</v>
      </c>
      <c r="K64" s="143"/>
      <c r="L64" s="968" t="s">
        <v>466</v>
      </c>
      <c r="M64" s="969">
        <v>1202</v>
      </c>
      <c r="N64" s="954">
        <v>1202</v>
      </c>
      <c r="O64" s="970" t="s">
        <v>274</v>
      </c>
      <c r="Q64" s="958">
        <v>19867</v>
      </c>
      <c r="R64" s="947" t="s">
        <v>28721</v>
      </c>
      <c r="X64"/>
      <c r="Y64"/>
      <c r="Z64"/>
      <c r="AA64"/>
      <c r="AB64"/>
      <c r="AC64"/>
      <c r="AD64"/>
      <c r="AE64"/>
      <c r="AF64"/>
    </row>
    <row r="65" spans="1:32" ht="15">
      <c r="A65" s="946" t="s">
        <v>28614</v>
      </c>
      <c r="B65" s="947" t="s">
        <v>4895</v>
      </c>
      <c r="C65" s="948" t="s">
        <v>4893</v>
      </c>
      <c r="D65" s="242" t="s">
        <v>28732</v>
      </c>
      <c r="E65" s="949">
        <v>103</v>
      </c>
      <c r="F65" s="949">
        <v>103</v>
      </c>
      <c r="G65" s="950" t="s">
        <v>11086</v>
      </c>
      <c r="H65" s="950" t="s">
        <v>599</v>
      </c>
      <c r="I65" s="951" t="s">
        <v>4894</v>
      </c>
      <c r="J65" s="947" t="s">
        <v>4895</v>
      </c>
      <c r="K65" s="143"/>
      <c r="L65" s="968" t="s">
        <v>389</v>
      </c>
      <c r="M65" s="969">
        <v>1203</v>
      </c>
      <c r="N65" s="954">
        <v>1203</v>
      </c>
      <c r="O65" s="970" t="s">
        <v>274</v>
      </c>
      <c r="Q65" s="958">
        <v>19872</v>
      </c>
      <c r="R65" s="947" t="s">
        <v>28742</v>
      </c>
      <c r="X65"/>
      <c r="Y65"/>
      <c r="Z65"/>
      <c r="AA65"/>
      <c r="AB65"/>
      <c r="AC65"/>
      <c r="AD65"/>
      <c r="AE65"/>
      <c r="AF65"/>
    </row>
    <row r="66" spans="1:32" ht="15.75" thickBot="1">
      <c r="A66" s="946" t="s">
        <v>28614</v>
      </c>
      <c r="B66" s="947" t="s">
        <v>5144</v>
      </c>
      <c r="C66" s="948" t="s">
        <v>5142</v>
      </c>
      <c r="D66" s="242" t="s">
        <v>28732</v>
      </c>
      <c r="E66" s="949">
        <v>103</v>
      </c>
      <c r="F66" s="949">
        <v>103</v>
      </c>
      <c r="G66" s="950" t="s">
        <v>11086</v>
      </c>
      <c r="H66" s="950" t="s">
        <v>599</v>
      </c>
      <c r="I66" s="951" t="s">
        <v>5143</v>
      </c>
      <c r="J66" s="947" t="s">
        <v>5144</v>
      </c>
      <c r="K66" s="143"/>
      <c r="L66" s="952" t="s">
        <v>473</v>
      </c>
      <c r="M66" s="959">
        <v>1204</v>
      </c>
      <c r="N66" s="954">
        <v>1204</v>
      </c>
      <c r="O66" s="960" t="s">
        <v>274</v>
      </c>
      <c r="Q66" s="972">
        <v>19864</v>
      </c>
      <c r="R66" s="973" t="s">
        <v>606</v>
      </c>
      <c r="X66"/>
      <c r="Y66"/>
      <c r="Z66"/>
      <c r="AA66"/>
      <c r="AB66"/>
      <c r="AC66"/>
      <c r="AD66"/>
      <c r="AE66"/>
      <c r="AF66"/>
    </row>
    <row r="67" spans="1:32" ht="15">
      <c r="A67" s="946" t="s">
        <v>28614</v>
      </c>
      <c r="B67" s="947" t="s">
        <v>5380</v>
      </c>
      <c r="C67" s="948" t="s">
        <v>5378</v>
      </c>
      <c r="D67" s="242" t="s">
        <v>28732</v>
      </c>
      <c r="E67" s="949">
        <v>103</v>
      </c>
      <c r="F67" s="949">
        <v>103</v>
      </c>
      <c r="G67" s="950" t="s">
        <v>11086</v>
      </c>
      <c r="H67" s="950" t="s">
        <v>599</v>
      </c>
      <c r="I67" s="951" t="s">
        <v>5379</v>
      </c>
      <c r="J67" s="947" t="s">
        <v>5380</v>
      </c>
      <c r="K67" s="143"/>
      <c r="L67" s="952" t="s">
        <v>478</v>
      </c>
      <c r="M67" s="953">
        <v>1205</v>
      </c>
      <c r="N67" s="954">
        <v>1205</v>
      </c>
      <c r="O67" s="955" t="s">
        <v>274</v>
      </c>
      <c r="Q67"/>
      <c r="R67"/>
      <c r="X67"/>
      <c r="Y67"/>
      <c r="Z67"/>
      <c r="AA67"/>
      <c r="AB67"/>
      <c r="AC67"/>
      <c r="AD67"/>
      <c r="AE67"/>
      <c r="AF67"/>
    </row>
    <row r="68" spans="1:32" ht="15">
      <c r="A68" s="946" t="s">
        <v>28614</v>
      </c>
      <c r="B68" s="947" t="s">
        <v>5536</v>
      </c>
      <c r="C68" s="948" t="s">
        <v>5534</v>
      </c>
      <c r="D68" s="242" t="s">
        <v>28732</v>
      </c>
      <c r="E68" s="949">
        <v>103</v>
      </c>
      <c r="F68" s="949">
        <v>103</v>
      </c>
      <c r="G68" s="950" t="s">
        <v>11086</v>
      </c>
      <c r="H68" s="950" t="s">
        <v>599</v>
      </c>
      <c r="I68" s="951" t="s">
        <v>5535</v>
      </c>
      <c r="J68" s="947" t="s">
        <v>5536</v>
      </c>
      <c r="K68" s="143"/>
      <c r="L68" s="963" t="s">
        <v>331</v>
      </c>
      <c r="M68" s="959">
        <v>1301</v>
      </c>
      <c r="N68" s="954">
        <v>1301</v>
      </c>
      <c r="O68" s="960" t="s">
        <v>275</v>
      </c>
      <c r="X68"/>
      <c r="Y68"/>
      <c r="Z68"/>
      <c r="AA68"/>
      <c r="AB68"/>
      <c r="AC68"/>
      <c r="AD68"/>
      <c r="AE68"/>
      <c r="AF68"/>
    </row>
    <row r="69" spans="1:32" ht="15">
      <c r="A69" s="946" t="s">
        <v>28614</v>
      </c>
      <c r="B69" s="947" t="s">
        <v>5656</v>
      </c>
      <c r="C69" s="948" t="s">
        <v>5654</v>
      </c>
      <c r="D69" s="242" t="s">
        <v>28733</v>
      </c>
      <c r="E69" s="949">
        <v>105</v>
      </c>
      <c r="F69" s="949">
        <v>105</v>
      </c>
      <c r="G69" s="950" t="s">
        <v>11086</v>
      </c>
      <c r="H69" s="950" t="s">
        <v>599</v>
      </c>
      <c r="I69" s="951" t="s">
        <v>5655</v>
      </c>
      <c r="J69" s="947" t="s">
        <v>5656</v>
      </c>
      <c r="K69" s="143"/>
      <c r="L69" s="963" t="s">
        <v>337</v>
      </c>
      <c r="M69" s="959">
        <v>1302</v>
      </c>
      <c r="N69" s="954">
        <v>1302</v>
      </c>
      <c r="O69" s="960" t="s">
        <v>275</v>
      </c>
      <c r="X69"/>
      <c r="Y69"/>
      <c r="Z69"/>
      <c r="AA69"/>
      <c r="AB69"/>
      <c r="AC69"/>
      <c r="AD69"/>
      <c r="AE69"/>
      <c r="AF69"/>
    </row>
    <row r="70" spans="1:32" ht="15">
      <c r="A70" s="946" t="s">
        <v>28614</v>
      </c>
      <c r="B70" s="947" t="s">
        <v>5727</v>
      </c>
      <c r="C70" s="948" t="s">
        <v>5725</v>
      </c>
      <c r="D70" s="242" t="s">
        <v>28732</v>
      </c>
      <c r="E70" s="949">
        <v>103</v>
      </c>
      <c r="F70" s="949">
        <v>103</v>
      </c>
      <c r="G70" s="950" t="s">
        <v>11086</v>
      </c>
      <c r="H70" s="950" t="s">
        <v>599</v>
      </c>
      <c r="I70" s="951" t="s">
        <v>5726</v>
      </c>
      <c r="J70" s="947" t="s">
        <v>5727</v>
      </c>
      <c r="K70" s="143"/>
      <c r="L70" s="963" t="s">
        <v>343</v>
      </c>
      <c r="M70" s="959">
        <v>1303</v>
      </c>
      <c r="N70" s="954">
        <v>1303</v>
      </c>
      <c r="O70" s="960" t="s">
        <v>275</v>
      </c>
      <c r="X70"/>
      <c r="Y70"/>
      <c r="Z70"/>
      <c r="AA70"/>
      <c r="AB70"/>
      <c r="AC70"/>
      <c r="AD70"/>
      <c r="AE70"/>
      <c r="AF70"/>
    </row>
    <row r="71" spans="1:32" ht="15">
      <c r="A71" s="946" t="s">
        <v>28614</v>
      </c>
      <c r="B71" s="947" t="s">
        <v>5906</v>
      </c>
      <c r="C71" s="948" t="s">
        <v>5904</v>
      </c>
      <c r="D71" s="242" t="s">
        <v>28732</v>
      </c>
      <c r="E71" s="949">
        <v>103</v>
      </c>
      <c r="F71" s="949">
        <v>103</v>
      </c>
      <c r="G71" s="950" t="s">
        <v>11086</v>
      </c>
      <c r="H71" s="950" t="s">
        <v>599</v>
      </c>
      <c r="I71" s="951" t="s">
        <v>5905</v>
      </c>
      <c r="J71" s="947" t="s">
        <v>5906</v>
      </c>
      <c r="K71" s="143"/>
      <c r="L71" s="963" t="s">
        <v>347</v>
      </c>
      <c r="M71" s="959">
        <v>1304</v>
      </c>
      <c r="N71" s="954">
        <v>1304</v>
      </c>
      <c r="O71" s="960" t="s">
        <v>275</v>
      </c>
      <c r="X71"/>
      <c r="Y71"/>
      <c r="Z71"/>
      <c r="AA71"/>
      <c r="AB71"/>
      <c r="AC71"/>
      <c r="AD71"/>
      <c r="AE71"/>
      <c r="AF71"/>
    </row>
    <row r="72" spans="1:32" ht="15">
      <c r="A72" s="946" t="s">
        <v>28614</v>
      </c>
      <c r="B72" s="947" t="s">
        <v>5938</v>
      </c>
      <c r="C72" s="948" t="s">
        <v>5936</v>
      </c>
      <c r="D72" s="242" t="s">
        <v>28732</v>
      </c>
      <c r="E72" s="949">
        <v>103</v>
      </c>
      <c r="F72" s="949">
        <v>103</v>
      </c>
      <c r="G72" s="950" t="s">
        <v>11086</v>
      </c>
      <c r="H72" s="950" t="s">
        <v>599</v>
      </c>
      <c r="I72" s="951" t="s">
        <v>5937</v>
      </c>
      <c r="J72" s="947" t="s">
        <v>5938</v>
      </c>
      <c r="K72" s="143"/>
      <c r="L72" s="963" t="s">
        <v>351</v>
      </c>
      <c r="M72" s="959">
        <v>1305</v>
      </c>
      <c r="N72" s="954">
        <v>1305</v>
      </c>
      <c r="O72" s="960" t="s">
        <v>275</v>
      </c>
      <c r="X72"/>
      <c r="Y72"/>
      <c r="Z72"/>
      <c r="AA72"/>
      <c r="AB72"/>
      <c r="AC72"/>
      <c r="AD72"/>
      <c r="AE72"/>
      <c r="AF72"/>
    </row>
    <row r="73" spans="1:32" ht="15">
      <c r="A73" s="946" t="s">
        <v>28614</v>
      </c>
      <c r="B73" s="947" t="s">
        <v>5950</v>
      </c>
      <c r="C73" s="948" t="s">
        <v>5948</v>
      </c>
      <c r="D73" s="242" t="s">
        <v>28732</v>
      </c>
      <c r="E73" s="949">
        <v>103</v>
      </c>
      <c r="F73" s="949">
        <v>103</v>
      </c>
      <c r="G73" s="950" t="s">
        <v>11086</v>
      </c>
      <c r="H73" s="950" t="s">
        <v>599</v>
      </c>
      <c r="I73" s="951" t="s">
        <v>5949</v>
      </c>
      <c r="J73" s="947" t="s">
        <v>5950</v>
      </c>
      <c r="K73" s="143"/>
      <c r="L73" s="963" t="s">
        <v>356</v>
      </c>
      <c r="M73" s="959">
        <v>1306</v>
      </c>
      <c r="N73" s="954">
        <v>1306</v>
      </c>
      <c r="O73" s="960" t="s">
        <v>275</v>
      </c>
      <c r="X73"/>
      <c r="Y73"/>
      <c r="Z73"/>
      <c r="AA73"/>
      <c r="AB73"/>
      <c r="AC73"/>
      <c r="AD73"/>
      <c r="AE73"/>
      <c r="AF73"/>
    </row>
    <row r="74" spans="1:32" ht="15">
      <c r="A74" s="946" t="s">
        <v>28614</v>
      </c>
      <c r="B74" s="947" t="s">
        <v>6109</v>
      </c>
      <c r="C74" s="948" t="s">
        <v>6107</v>
      </c>
      <c r="D74" s="242" t="s">
        <v>28732</v>
      </c>
      <c r="E74" s="949">
        <v>103</v>
      </c>
      <c r="F74" s="949">
        <v>103</v>
      </c>
      <c r="G74" s="950" t="s">
        <v>11086</v>
      </c>
      <c r="H74" s="950" t="s">
        <v>599</v>
      </c>
      <c r="I74" s="951" t="s">
        <v>6108</v>
      </c>
      <c r="J74" s="947" t="s">
        <v>6109</v>
      </c>
      <c r="K74" s="143"/>
      <c r="L74" s="963" t="s">
        <v>583</v>
      </c>
      <c r="M74" s="959">
        <v>1401</v>
      </c>
      <c r="N74" s="954">
        <v>1401</v>
      </c>
      <c r="O74" s="960" t="s">
        <v>275</v>
      </c>
      <c r="X74"/>
      <c r="Y74"/>
      <c r="Z74"/>
      <c r="AA74"/>
      <c r="AB74"/>
      <c r="AC74"/>
      <c r="AD74"/>
      <c r="AE74"/>
      <c r="AF74"/>
    </row>
    <row r="75" spans="1:32" ht="15">
      <c r="A75" s="946" t="s">
        <v>28614</v>
      </c>
      <c r="B75" s="947" t="s">
        <v>6196</v>
      </c>
      <c r="C75" s="948" t="s">
        <v>6194</v>
      </c>
      <c r="D75" s="242" t="s">
        <v>28732</v>
      </c>
      <c r="E75" s="949">
        <v>103</v>
      </c>
      <c r="F75" s="949">
        <v>103</v>
      </c>
      <c r="G75" s="950" t="s">
        <v>11086</v>
      </c>
      <c r="H75" s="950" t="s">
        <v>599</v>
      </c>
      <c r="I75" s="951" t="s">
        <v>6195</v>
      </c>
      <c r="J75" s="947" t="s">
        <v>6196</v>
      </c>
      <c r="K75" s="143"/>
      <c r="L75" s="963" t="s">
        <v>28802</v>
      </c>
      <c r="M75" s="959">
        <v>1502</v>
      </c>
      <c r="N75" s="954">
        <v>1502</v>
      </c>
      <c r="O75" s="960" t="s">
        <v>275</v>
      </c>
      <c r="X75"/>
      <c r="Y75"/>
      <c r="Z75"/>
      <c r="AA75"/>
      <c r="AB75"/>
      <c r="AC75"/>
      <c r="AD75"/>
      <c r="AE75"/>
      <c r="AF75"/>
    </row>
    <row r="76" spans="1:32" ht="15">
      <c r="A76" s="946" t="s">
        <v>28614</v>
      </c>
      <c r="B76" s="947" t="s">
        <v>6211</v>
      </c>
      <c r="C76" s="948" t="s">
        <v>6209</v>
      </c>
      <c r="D76" s="242" t="s">
        <v>28732</v>
      </c>
      <c r="E76" s="949">
        <v>103</v>
      </c>
      <c r="F76" s="949">
        <v>103</v>
      </c>
      <c r="G76" s="950" t="s">
        <v>11086</v>
      </c>
      <c r="H76" s="950" t="s">
        <v>599</v>
      </c>
      <c r="I76" s="951" t="s">
        <v>6210</v>
      </c>
      <c r="J76" s="947" t="s">
        <v>6211</v>
      </c>
      <c r="K76" s="143"/>
      <c r="L76" s="963" t="s">
        <v>28803</v>
      </c>
      <c r="M76" s="959">
        <v>1503</v>
      </c>
      <c r="N76" s="954">
        <v>1503</v>
      </c>
      <c r="O76" s="960" t="s">
        <v>275</v>
      </c>
      <c r="X76"/>
      <c r="Y76"/>
      <c r="Z76"/>
      <c r="AA76"/>
      <c r="AB76"/>
      <c r="AC76"/>
      <c r="AD76"/>
      <c r="AE76"/>
      <c r="AF76"/>
    </row>
    <row r="77" spans="1:32" ht="15">
      <c r="A77" s="946" t="s">
        <v>28614</v>
      </c>
      <c r="B77" s="947" t="s">
        <v>6243</v>
      </c>
      <c r="C77" s="948" t="s">
        <v>6241</v>
      </c>
      <c r="D77" s="242" t="s">
        <v>28732</v>
      </c>
      <c r="E77" s="949">
        <v>103</v>
      </c>
      <c r="F77" s="949">
        <v>103</v>
      </c>
      <c r="G77" s="950" t="s">
        <v>11086</v>
      </c>
      <c r="H77" s="950" t="s">
        <v>599</v>
      </c>
      <c r="I77" s="951" t="s">
        <v>6242</v>
      </c>
      <c r="J77" s="947" t="s">
        <v>6243</v>
      </c>
      <c r="K77" s="143"/>
      <c r="L77" s="952" t="s">
        <v>28804</v>
      </c>
      <c r="M77" s="966">
        <v>1504</v>
      </c>
      <c r="N77" s="954">
        <v>1504</v>
      </c>
      <c r="O77" s="967" t="s">
        <v>275</v>
      </c>
      <c r="X77"/>
      <c r="Y77"/>
      <c r="Z77"/>
      <c r="AA77"/>
      <c r="AB77"/>
      <c r="AC77"/>
      <c r="AD77"/>
      <c r="AE77"/>
      <c r="AF77"/>
    </row>
    <row r="78" spans="1:32" ht="15">
      <c r="A78" s="946" t="s">
        <v>28614</v>
      </c>
      <c r="B78" s="947" t="s">
        <v>6247</v>
      </c>
      <c r="C78" s="948" t="s">
        <v>6245</v>
      </c>
      <c r="D78" s="242" t="s">
        <v>28732</v>
      </c>
      <c r="E78" s="949">
        <v>103</v>
      </c>
      <c r="F78" s="949">
        <v>103</v>
      </c>
      <c r="G78" s="950" t="s">
        <v>11086</v>
      </c>
      <c r="H78" s="950" t="s">
        <v>599</v>
      </c>
      <c r="I78" s="951" t="s">
        <v>6246</v>
      </c>
      <c r="J78" s="947" t="s">
        <v>6247</v>
      </c>
      <c r="K78" s="143"/>
      <c r="L78" s="952" t="s">
        <v>28805</v>
      </c>
      <c r="M78" s="966">
        <v>1505</v>
      </c>
      <c r="N78" s="954">
        <v>1505</v>
      </c>
      <c r="O78" s="967" t="s">
        <v>275</v>
      </c>
      <c r="X78"/>
      <c r="Y78"/>
      <c r="Z78"/>
      <c r="AA78"/>
      <c r="AB78"/>
      <c r="AC78"/>
      <c r="AD78"/>
      <c r="AE78"/>
      <c r="AF78"/>
    </row>
    <row r="79" spans="1:32" ht="15">
      <c r="A79" s="946" t="s">
        <v>28614</v>
      </c>
      <c r="B79" s="947" t="s">
        <v>6256</v>
      </c>
      <c r="C79" s="948" t="s">
        <v>6254</v>
      </c>
      <c r="D79" s="242" t="s">
        <v>28732</v>
      </c>
      <c r="E79" s="949">
        <v>103</v>
      </c>
      <c r="F79" s="949">
        <v>103</v>
      </c>
      <c r="G79" s="950" t="s">
        <v>11086</v>
      </c>
      <c r="H79" s="950" t="s">
        <v>599</v>
      </c>
      <c r="I79" s="951" t="s">
        <v>6255</v>
      </c>
      <c r="J79" s="947" t="s">
        <v>6256</v>
      </c>
      <c r="K79" s="143"/>
      <c r="L79" s="952" t="s">
        <v>614</v>
      </c>
      <c r="M79" s="966">
        <v>1601</v>
      </c>
      <c r="N79" s="954">
        <v>1601</v>
      </c>
      <c r="O79" s="967" t="s">
        <v>275</v>
      </c>
      <c r="X79"/>
      <c r="Y79"/>
      <c r="Z79"/>
      <c r="AA79"/>
      <c r="AB79"/>
      <c r="AC79"/>
      <c r="AD79"/>
      <c r="AE79"/>
      <c r="AF79"/>
    </row>
    <row r="80" spans="1:32" ht="15">
      <c r="A80" s="946" t="s">
        <v>28614</v>
      </c>
      <c r="B80" s="947" t="s">
        <v>6280</v>
      </c>
      <c r="C80" s="948" t="s">
        <v>6278</v>
      </c>
      <c r="D80" s="242" t="s">
        <v>28732</v>
      </c>
      <c r="E80" s="949">
        <v>103</v>
      </c>
      <c r="F80" s="949">
        <v>103</v>
      </c>
      <c r="G80" s="950" t="s">
        <v>11086</v>
      </c>
      <c r="H80" s="950" t="s">
        <v>599</v>
      </c>
      <c r="I80" s="951" t="s">
        <v>6279</v>
      </c>
      <c r="J80" s="947" t="s">
        <v>6280</v>
      </c>
      <c r="K80" s="143"/>
      <c r="L80" s="952" t="s">
        <v>361</v>
      </c>
      <c r="M80" s="966">
        <v>1701</v>
      </c>
      <c r="N80" s="954">
        <v>1701</v>
      </c>
      <c r="O80" s="967" t="s">
        <v>275</v>
      </c>
      <c r="X80"/>
      <c r="Y80"/>
      <c r="Z80"/>
      <c r="AA80"/>
      <c r="AB80"/>
      <c r="AC80"/>
      <c r="AD80"/>
      <c r="AE80"/>
      <c r="AF80"/>
    </row>
    <row r="81" spans="1:32" ht="15">
      <c r="A81" s="946" t="s">
        <v>28614</v>
      </c>
      <c r="B81" s="947" t="s">
        <v>6305</v>
      </c>
      <c r="C81" s="948" t="s">
        <v>6303</v>
      </c>
      <c r="D81" s="242" t="s">
        <v>28732</v>
      </c>
      <c r="E81" s="949">
        <v>103</v>
      </c>
      <c r="F81" s="949">
        <v>103</v>
      </c>
      <c r="G81" s="950" t="s">
        <v>11086</v>
      </c>
      <c r="H81" s="950" t="s">
        <v>599</v>
      </c>
      <c r="I81" s="951" t="s">
        <v>6304</v>
      </c>
      <c r="J81" s="947" t="s">
        <v>6305</v>
      </c>
      <c r="K81" s="143"/>
      <c r="L81" s="952" t="s">
        <v>28806</v>
      </c>
      <c r="M81" s="966">
        <v>1806</v>
      </c>
      <c r="N81" s="954">
        <v>1806</v>
      </c>
      <c r="O81" s="967" t="s">
        <v>275</v>
      </c>
      <c r="X81"/>
      <c r="Y81"/>
      <c r="Z81"/>
      <c r="AA81"/>
      <c r="AB81"/>
      <c r="AC81"/>
      <c r="AD81"/>
      <c r="AE81"/>
      <c r="AF81"/>
    </row>
    <row r="82" spans="1:32" ht="15">
      <c r="A82" s="946" t="s">
        <v>28614</v>
      </c>
      <c r="B82" s="947" t="s">
        <v>6335</v>
      </c>
      <c r="C82" s="948" t="s">
        <v>6333</v>
      </c>
      <c r="D82" s="242" t="s">
        <v>28732</v>
      </c>
      <c r="E82" s="949">
        <v>103</v>
      </c>
      <c r="F82" s="949">
        <v>103</v>
      </c>
      <c r="G82" s="950" t="s">
        <v>11086</v>
      </c>
      <c r="H82" s="950" t="s">
        <v>599</v>
      </c>
      <c r="I82" s="951" t="s">
        <v>6334</v>
      </c>
      <c r="J82" s="947" t="s">
        <v>6335</v>
      </c>
      <c r="K82" s="143"/>
      <c r="L82" s="952" t="s">
        <v>546</v>
      </c>
      <c r="M82" s="966">
        <v>1901</v>
      </c>
      <c r="N82" s="954">
        <v>1901</v>
      </c>
      <c r="O82" s="967" t="s">
        <v>275</v>
      </c>
      <c r="X82"/>
      <c r="Y82"/>
      <c r="Z82"/>
      <c r="AA82"/>
      <c r="AB82"/>
      <c r="AC82"/>
      <c r="AD82"/>
      <c r="AE82"/>
      <c r="AF82"/>
    </row>
    <row r="83" spans="1:32" ht="15">
      <c r="A83" s="946" t="s">
        <v>28614</v>
      </c>
      <c r="B83" s="947" t="s">
        <v>6365</v>
      </c>
      <c r="C83" s="948" t="s">
        <v>6363</v>
      </c>
      <c r="D83" s="242" t="s">
        <v>28732</v>
      </c>
      <c r="E83" s="949">
        <v>103</v>
      </c>
      <c r="F83" s="949">
        <v>103</v>
      </c>
      <c r="G83" s="950" t="s">
        <v>11086</v>
      </c>
      <c r="H83" s="950" t="s">
        <v>599</v>
      </c>
      <c r="I83" s="951" t="s">
        <v>6364</v>
      </c>
      <c r="J83" s="947" t="s">
        <v>6365</v>
      </c>
      <c r="K83" s="143"/>
      <c r="L83" s="952" t="s">
        <v>625</v>
      </c>
      <c r="M83" s="966">
        <v>1902</v>
      </c>
      <c r="N83" s="954">
        <v>1902</v>
      </c>
      <c r="O83" s="967" t="s">
        <v>275</v>
      </c>
      <c r="X83"/>
      <c r="Y83"/>
      <c r="Z83"/>
      <c r="AA83"/>
      <c r="AB83"/>
      <c r="AC83"/>
      <c r="AD83"/>
      <c r="AE83"/>
      <c r="AF83"/>
    </row>
    <row r="84" spans="1:32" ht="15">
      <c r="A84" s="946" t="s">
        <v>28614</v>
      </c>
      <c r="B84" s="947" t="s">
        <v>6431</v>
      </c>
      <c r="C84" s="948" t="s">
        <v>6429</v>
      </c>
      <c r="D84" s="242" t="s">
        <v>28732</v>
      </c>
      <c r="E84" s="949">
        <v>103</v>
      </c>
      <c r="F84" s="949">
        <v>103</v>
      </c>
      <c r="G84" s="950" t="s">
        <v>11086</v>
      </c>
      <c r="H84" s="950" t="s">
        <v>599</v>
      </c>
      <c r="I84" s="951" t="s">
        <v>6430</v>
      </c>
      <c r="J84" s="947" t="s">
        <v>6431</v>
      </c>
      <c r="K84" s="143"/>
      <c r="L84" s="952" t="s">
        <v>506</v>
      </c>
      <c r="M84" s="953">
        <v>1903</v>
      </c>
      <c r="N84" s="954">
        <v>1903</v>
      </c>
      <c r="O84" s="955" t="s">
        <v>275</v>
      </c>
      <c r="X84"/>
      <c r="Y84"/>
      <c r="Z84"/>
      <c r="AA84"/>
      <c r="AB84"/>
      <c r="AC84"/>
      <c r="AD84"/>
      <c r="AE84"/>
      <c r="AF84"/>
    </row>
    <row r="85" spans="1:32" ht="15">
      <c r="A85" s="946" t="s">
        <v>28614</v>
      </c>
      <c r="B85" s="947" t="s">
        <v>6443</v>
      </c>
      <c r="C85" s="948" t="s">
        <v>6441</v>
      </c>
      <c r="D85" s="242" t="s">
        <v>28732</v>
      </c>
      <c r="E85" s="949">
        <v>103</v>
      </c>
      <c r="F85" s="949">
        <v>103</v>
      </c>
      <c r="G85" s="950" t="s">
        <v>11086</v>
      </c>
      <c r="H85" s="950" t="s">
        <v>599</v>
      </c>
      <c r="I85" s="951" t="s">
        <v>6442</v>
      </c>
      <c r="J85" s="947" t="s">
        <v>6443</v>
      </c>
      <c r="K85" s="143"/>
      <c r="L85" s="952" t="s">
        <v>634</v>
      </c>
      <c r="M85" s="953">
        <v>1904</v>
      </c>
      <c r="N85" s="954">
        <v>1904</v>
      </c>
      <c r="O85" s="955" t="s">
        <v>275</v>
      </c>
      <c r="X85"/>
      <c r="Y85"/>
      <c r="Z85"/>
      <c r="AA85"/>
      <c r="AB85"/>
      <c r="AC85"/>
      <c r="AD85"/>
      <c r="AE85"/>
      <c r="AF85"/>
    </row>
    <row r="86" spans="1:32" ht="15">
      <c r="A86" s="946" t="s">
        <v>28614</v>
      </c>
      <c r="B86" s="947" t="s">
        <v>6455</v>
      </c>
      <c r="C86" s="948" t="s">
        <v>6453</v>
      </c>
      <c r="D86" s="242" t="s">
        <v>28732</v>
      </c>
      <c r="E86" s="949">
        <v>103</v>
      </c>
      <c r="F86" s="949">
        <v>103</v>
      </c>
      <c r="G86" s="950" t="s">
        <v>11086</v>
      </c>
      <c r="H86" s="950" t="s">
        <v>599</v>
      </c>
      <c r="I86" s="951" t="s">
        <v>6454</v>
      </c>
      <c r="J86" s="947" t="s">
        <v>6455</v>
      </c>
      <c r="K86" s="143"/>
      <c r="L86" s="952" t="s">
        <v>639</v>
      </c>
      <c r="M86" s="953">
        <v>1905</v>
      </c>
      <c r="N86" s="954">
        <v>1905</v>
      </c>
      <c r="O86" s="955" t="s">
        <v>275</v>
      </c>
      <c r="X86"/>
      <c r="Y86"/>
      <c r="Z86"/>
      <c r="AA86"/>
      <c r="AB86"/>
      <c r="AC86"/>
      <c r="AD86"/>
      <c r="AE86"/>
      <c r="AF86"/>
    </row>
    <row r="87" spans="1:32" ht="15">
      <c r="A87" s="946" t="s">
        <v>28614</v>
      </c>
      <c r="B87" s="947" t="s">
        <v>6621</v>
      </c>
      <c r="C87" s="948" t="s">
        <v>6619</v>
      </c>
      <c r="D87" s="242" t="s">
        <v>28732</v>
      </c>
      <c r="E87" s="949">
        <v>103</v>
      </c>
      <c r="F87" s="949">
        <v>103</v>
      </c>
      <c r="G87" s="950" t="s">
        <v>11086</v>
      </c>
      <c r="H87" s="950" t="s">
        <v>599</v>
      </c>
      <c r="I87" s="951" t="s">
        <v>6620</v>
      </c>
      <c r="J87" s="947" t="s">
        <v>6621</v>
      </c>
      <c r="K87" s="143"/>
      <c r="L87" s="952" t="s">
        <v>643</v>
      </c>
      <c r="M87" s="966">
        <v>1906</v>
      </c>
      <c r="N87" s="954">
        <v>1906</v>
      </c>
      <c r="O87" s="967" t="s">
        <v>275</v>
      </c>
      <c r="X87"/>
      <c r="Y87"/>
      <c r="Z87"/>
      <c r="AA87"/>
      <c r="AB87"/>
      <c r="AC87"/>
      <c r="AD87"/>
      <c r="AE87"/>
      <c r="AF87"/>
    </row>
    <row r="88" spans="1:32" ht="15">
      <c r="A88" s="946" t="s">
        <v>28614</v>
      </c>
      <c r="B88" s="947" t="s">
        <v>6636</v>
      </c>
      <c r="C88" s="948" t="s">
        <v>6634</v>
      </c>
      <c r="D88" s="242" t="s">
        <v>28732</v>
      </c>
      <c r="E88" s="949">
        <v>103</v>
      </c>
      <c r="F88" s="949">
        <v>103</v>
      </c>
      <c r="G88" s="950" t="s">
        <v>11086</v>
      </c>
      <c r="H88" s="950" t="s">
        <v>599</v>
      </c>
      <c r="I88" s="951" t="s">
        <v>6635</v>
      </c>
      <c r="J88" s="947" t="s">
        <v>6636</v>
      </c>
      <c r="K88" s="143"/>
      <c r="L88" s="952" t="s">
        <v>576</v>
      </c>
      <c r="M88" s="966">
        <v>1907</v>
      </c>
      <c r="N88" s="954">
        <v>1907</v>
      </c>
      <c r="O88" s="967" t="s">
        <v>275</v>
      </c>
      <c r="X88"/>
      <c r="Y88"/>
      <c r="Z88"/>
      <c r="AA88"/>
      <c r="AB88"/>
      <c r="AC88"/>
      <c r="AD88"/>
      <c r="AE88"/>
      <c r="AF88"/>
    </row>
    <row r="89" spans="1:32" ht="15">
      <c r="A89" s="946" t="s">
        <v>28614</v>
      </c>
      <c r="B89" s="947" t="s">
        <v>6639</v>
      </c>
      <c r="C89" s="948" t="s">
        <v>6637</v>
      </c>
      <c r="D89" s="242" t="s">
        <v>28732</v>
      </c>
      <c r="E89" s="949">
        <v>103</v>
      </c>
      <c r="F89" s="949">
        <v>103</v>
      </c>
      <c r="G89" s="950" t="s">
        <v>11086</v>
      </c>
      <c r="H89" s="950" t="s">
        <v>599</v>
      </c>
      <c r="I89" s="951" t="s">
        <v>6638</v>
      </c>
      <c r="J89" s="947" t="s">
        <v>6639</v>
      </c>
      <c r="K89" s="143"/>
      <c r="L89" s="952" t="s">
        <v>581</v>
      </c>
      <c r="M89" s="966">
        <v>1908</v>
      </c>
      <c r="N89" s="954">
        <v>1908</v>
      </c>
      <c r="O89" s="967" t="s">
        <v>275</v>
      </c>
      <c r="X89"/>
      <c r="Y89"/>
      <c r="Z89"/>
      <c r="AA89"/>
      <c r="AB89"/>
      <c r="AC89"/>
      <c r="AD89"/>
      <c r="AE89"/>
      <c r="AF89"/>
    </row>
    <row r="90" spans="1:32" ht="15">
      <c r="A90" s="946" t="s">
        <v>28614</v>
      </c>
      <c r="B90" s="947" t="s">
        <v>6766</v>
      </c>
      <c r="C90" s="948" t="s">
        <v>6764</v>
      </c>
      <c r="D90" s="242" t="s">
        <v>28732</v>
      </c>
      <c r="E90" s="949">
        <v>103</v>
      </c>
      <c r="F90" s="949">
        <v>103</v>
      </c>
      <c r="G90" s="950" t="s">
        <v>11086</v>
      </c>
      <c r="H90" s="950" t="s">
        <v>599</v>
      </c>
      <c r="I90" s="951" t="s">
        <v>6765</v>
      </c>
      <c r="J90" s="947" t="s">
        <v>6766</v>
      </c>
      <c r="K90" s="143"/>
      <c r="L90" s="1572" t="s">
        <v>654</v>
      </c>
      <c r="M90" s="1573">
        <v>1909</v>
      </c>
      <c r="N90" s="1574">
        <v>1909</v>
      </c>
      <c r="O90" s="1575" t="s">
        <v>275</v>
      </c>
      <c r="X90"/>
      <c r="Y90"/>
      <c r="Z90"/>
      <c r="AA90"/>
      <c r="AB90"/>
      <c r="AC90"/>
      <c r="AD90"/>
      <c r="AE90"/>
      <c r="AF90"/>
    </row>
    <row r="91" spans="1:32" ht="15">
      <c r="A91" s="946" t="s">
        <v>28614</v>
      </c>
      <c r="B91" s="947" t="s">
        <v>6781</v>
      </c>
      <c r="C91" s="948" t="s">
        <v>6779</v>
      </c>
      <c r="D91" s="242" t="s">
        <v>28732</v>
      </c>
      <c r="E91" s="949">
        <v>103</v>
      </c>
      <c r="F91" s="949">
        <v>103</v>
      </c>
      <c r="G91" s="950" t="s">
        <v>11086</v>
      </c>
      <c r="H91" s="950" t="s">
        <v>599</v>
      </c>
      <c r="I91" s="951" t="s">
        <v>6780</v>
      </c>
      <c r="J91" s="947" t="s">
        <v>6781</v>
      </c>
      <c r="K91" s="143"/>
      <c r="L91" s="952" t="s">
        <v>28807</v>
      </c>
      <c r="M91" s="966">
        <v>2001</v>
      </c>
      <c r="N91" s="954">
        <v>2001</v>
      </c>
      <c r="O91" s="967" t="s">
        <v>275</v>
      </c>
      <c r="X91"/>
      <c r="Y91"/>
      <c r="Z91"/>
      <c r="AA91"/>
      <c r="AB91"/>
      <c r="AC91"/>
      <c r="AD91"/>
      <c r="AE91"/>
      <c r="AF91"/>
    </row>
    <row r="92" spans="1:32" ht="15">
      <c r="A92" s="946" t="s">
        <v>28614</v>
      </c>
      <c r="B92" s="947" t="s">
        <v>6784</v>
      </c>
      <c r="C92" s="948" t="s">
        <v>6782</v>
      </c>
      <c r="D92" s="242" t="s">
        <v>28732</v>
      </c>
      <c r="E92" s="949">
        <v>103</v>
      </c>
      <c r="F92" s="949">
        <v>103</v>
      </c>
      <c r="G92" s="950" t="s">
        <v>11086</v>
      </c>
      <c r="H92" s="950" t="s">
        <v>599</v>
      </c>
      <c r="I92" s="951" t="s">
        <v>6783</v>
      </c>
      <c r="J92" s="947" t="s">
        <v>6784</v>
      </c>
      <c r="K92" s="143"/>
      <c r="L92" s="952" t="s">
        <v>31168</v>
      </c>
      <c r="M92" s="966">
        <v>1506</v>
      </c>
      <c r="N92" s="954">
        <v>1506</v>
      </c>
      <c r="O92" s="967" t="s">
        <v>275</v>
      </c>
      <c r="X92"/>
      <c r="Y92"/>
      <c r="Z92"/>
      <c r="AA92"/>
      <c r="AB92"/>
      <c r="AC92"/>
      <c r="AD92"/>
      <c r="AE92"/>
      <c r="AF92"/>
    </row>
    <row r="93" spans="1:32" ht="15.75" thickBot="1">
      <c r="A93" s="946" t="s">
        <v>28614</v>
      </c>
      <c r="B93" s="947" t="s">
        <v>6955</v>
      </c>
      <c r="C93" s="948" t="s">
        <v>6953</v>
      </c>
      <c r="D93" s="242" t="s">
        <v>28732</v>
      </c>
      <c r="E93" s="949">
        <v>103</v>
      </c>
      <c r="F93" s="949">
        <v>103</v>
      </c>
      <c r="G93" s="950" t="s">
        <v>11086</v>
      </c>
      <c r="H93" s="950" t="s">
        <v>599</v>
      </c>
      <c r="I93" s="951" t="s">
        <v>6954</v>
      </c>
      <c r="J93" s="947" t="s">
        <v>6955</v>
      </c>
      <c r="K93" s="143"/>
      <c r="L93" s="1733" t="s">
        <v>31169</v>
      </c>
      <c r="M93" s="975">
        <v>1507</v>
      </c>
      <c r="N93" s="1734">
        <v>1507</v>
      </c>
      <c r="O93" s="976" t="s">
        <v>275</v>
      </c>
      <c r="X93"/>
      <c r="Y93"/>
      <c r="Z93"/>
      <c r="AA93"/>
      <c r="AB93"/>
      <c r="AC93"/>
      <c r="AD93"/>
      <c r="AE93"/>
      <c r="AF93"/>
    </row>
    <row r="94" spans="1:32" ht="15">
      <c r="A94" s="946" t="s">
        <v>28614</v>
      </c>
      <c r="B94" s="947" t="s">
        <v>7072</v>
      </c>
      <c r="C94" s="948" t="s">
        <v>7070</v>
      </c>
      <c r="D94" s="242" t="s">
        <v>28732</v>
      </c>
      <c r="E94" s="949">
        <v>103</v>
      </c>
      <c r="F94" s="949">
        <v>103</v>
      </c>
      <c r="G94" s="950" t="s">
        <v>11086</v>
      </c>
      <c r="H94" s="950" t="s">
        <v>599</v>
      </c>
      <c r="I94" s="951" t="s">
        <v>7071</v>
      </c>
      <c r="J94" s="947" t="s">
        <v>7072</v>
      </c>
      <c r="K94" s="143"/>
      <c r="L94"/>
      <c r="M94"/>
      <c r="N94"/>
      <c r="O94"/>
      <c r="X94"/>
      <c r="Y94"/>
      <c r="Z94"/>
      <c r="AA94"/>
      <c r="AB94"/>
      <c r="AC94"/>
      <c r="AD94"/>
      <c r="AE94"/>
      <c r="AF94"/>
    </row>
    <row r="95" spans="1:32" ht="15">
      <c r="A95" s="946" t="s">
        <v>28614</v>
      </c>
      <c r="B95" s="947" t="s">
        <v>7236</v>
      </c>
      <c r="C95" s="948" t="s">
        <v>7234</v>
      </c>
      <c r="D95" s="242" t="s">
        <v>28732</v>
      </c>
      <c r="E95" s="949">
        <v>103</v>
      </c>
      <c r="F95" s="949">
        <v>103</v>
      </c>
      <c r="G95" s="950" t="s">
        <v>11086</v>
      </c>
      <c r="H95" s="950" t="s">
        <v>599</v>
      </c>
      <c r="I95" s="951" t="s">
        <v>7235</v>
      </c>
      <c r="J95" s="947" t="s">
        <v>7236</v>
      </c>
      <c r="K95" s="143"/>
      <c r="L95"/>
      <c r="M95"/>
      <c r="N95"/>
      <c r="O95"/>
      <c r="X95"/>
      <c r="Y95"/>
      <c r="Z95"/>
      <c r="AA95"/>
      <c r="AB95"/>
      <c r="AC95"/>
      <c r="AD95"/>
      <c r="AE95"/>
      <c r="AF95"/>
    </row>
    <row r="96" spans="1:32" ht="15">
      <c r="A96" s="946" t="s">
        <v>28614</v>
      </c>
      <c r="B96" s="947" t="s">
        <v>7442</v>
      </c>
      <c r="C96" s="948" t="s">
        <v>7440</v>
      </c>
      <c r="D96" s="242" t="s">
        <v>28732</v>
      </c>
      <c r="E96" s="949">
        <v>103</v>
      </c>
      <c r="F96" s="949">
        <v>103</v>
      </c>
      <c r="G96" s="950" t="s">
        <v>11086</v>
      </c>
      <c r="H96" s="950" t="s">
        <v>599</v>
      </c>
      <c r="I96" s="951" t="s">
        <v>7441</v>
      </c>
      <c r="J96" s="947" t="s">
        <v>7442</v>
      </c>
      <c r="K96" s="143"/>
      <c r="L96"/>
      <c r="M96"/>
      <c r="N96"/>
      <c r="O96"/>
      <c r="X96"/>
      <c r="Y96"/>
      <c r="Z96"/>
      <c r="AA96"/>
      <c r="AB96"/>
      <c r="AC96"/>
      <c r="AD96"/>
      <c r="AE96"/>
      <c r="AF96"/>
    </row>
    <row r="97" spans="1:32" ht="15">
      <c r="A97" s="946" t="s">
        <v>28614</v>
      </c>
      <c r="B97" s="947" t="s">
        <v>7456</v>
      </c>
      <c r="C97" s="948" t="s">
        <v>7454</v>
      </c>
      <c r="D97" s="242" t="s">
        <v>28732</v>
      </c>
      <c r="E97" s="949">
        <v>103</v>
      </c>
      <c r="F97" s="949">
        <v>103</v>
      </c>
      <c r="G97" s="950" t="s">
        <v>11086</v>
      </c>
      <c r="H97" s="950" t="s">
        <v>599</v>
      </c>
      <c r="I97" s="951" t="s">
        <v>7455</v>
      </c>
      <c r="J97" s="947" t="s">
        <v>7456</v>
      </c>
      <c r="K97" s="143"/>
      <c r="L97" s="338"/>
      <c r="M97" s="338"/>
      <c r="N97" s="338"/>
      <c r="O97" s="338"/>
      <c r="X97"/>
      <c r="Y97"/>
      <c r="Z97"/>
      <c r="AA97"/>
      <c r="AB97"/>
      <c r="AC97"/>
      <c r="AD97"/>
      <c r="AE97"/>
      <c r="AF97"/>
    </row>
    <row r="98" spans="1:32" ht="15">
      <c r="A98" s="946" t="s">
        <v>28614</v>
      </c>
      <c r="B98" s="947" t="s">
        <v>7471</v>
      </c>
      <c r="C98" s="948" t="s">
        <v>7469</v>
      </c>
      <c r="D98" s="242" t="s">
        <v>28732</v>
      </c>
      <c r="E98" s="949">
        <v>103</v>
      </c>
      <c r="F98" s="949">
        <v>103</v>
      </c>
      <c r="G98" s="950" t="s">
        <v>11086</v>
      </c>
      <c r="H98" s="950" t="s">
        <v>599</v>
      </c>
      <c r="I98" s="951" t="s">
        <v>7470</v>
      </c>
      <c r="J98" s="947" t="s">
        <v>7471</v>
      </c>
      <c r="K98" s="143"/>
      <c r="L98" s="338"/>
      <c r="M98" s="338"/>
      <c r="N98" s="338"/>
      <c r="O98" s="338"/>
      <c r="X98"/>
      <c r="Y98"/>
      <c r="Z98"/>
      <c r="AA98"/>
      <c r="AB98"/>
      <c r="AC98"/>
      <c r="AD98"/>
      <c r="AE98"/>
      <c r="AF98"/>
    </row>
    <row r="99" spans="1:32" ht="15">
      <c r="A99" s="946" t="s">
        <v>28614</v>
      </c>
      <c r="B99" s="947" t="s">
        <v>7784</v>
      </c>
      <c r="C99" s="948" t="s">
        <v>7782</v>
      </c>
      <c r="D99" s="242" t="s">
        <v>28732</v>
      </c>
      <c r="E99" s="949">
        <v>103</v>
      </c>
      <c r="F99" s="949">
        <v>103</v>
      </c>
      <c r="G99" s="950" t="s">
        <v>11086</v>
      </c>
      <c r="H99" s="950" t="s">
        <v>599</v>
      </c>
      <c r="I99" s="951" t="s">
        <v>7783</v>
      </c>
      <c r="J99" s="947" t="s">
        <v>7784</v>
      </c>
      <c r="K99" s="143"/>
      <c r="L99" s="338"/>
      <c r="M99" s="338"/>
      <c r="N99" s="338"/>
      <c r="O99" s="338"/>
      <c r="X99"/>
      <c r="Y99"/>
      <c r="Z99"/>
      <c r="AA99"/>
      <c r="AB99"/>
      <c r="AC99"/>
      <c r="AD99"/>
      <c r="AE99"/>
      <c r="AF99"/>
    </row>
    <row r="100" spans="1:32" ht="15">
      <c r="A100" s="946" t="s">
        <v>28614</v>
      </c>
      <c r="B100" s="947" t="s">
        <v>7930</v>
      </c>
      <c r="C100" s="948" t="s">
        <v>7928</v>
      </c>
      <c r="D100" s="242" t="s">
        <v>28732</v>
      </c>
      <c r="E100" s="949">
        <v>103</v>
      </c>
      <c r="F100" s="949">
        <v>103</v>
      </c>
      <c r="G100" s="950" t="s">
        <v>11086</v>
      </c>
      <c r="H100" s="950" t="s">
        <v>599</v>
      </c>
      <c r="I100" s="951" t="s">
        <v>7929</v>
      </c>
      <c r="J100" s="947" t="s">
        <v>7930</v>
      </c>
      <c r="K100" s="143"/>
      <c r="X100"/>
      <c r="Y100"/>
      <c r="Z100"/>
      <c r="AA100"/>
      <c r="AB100"/>
      <c r="AC100"/>
      <c r="AD100"/>
      <c r="AE100"/>
      <c r="AF100"/>
    </row>
    <row r="101" spans="1:32" ht="15">
      <c r="A101" s="946" t="s">
        <v>28614</v>
      </c>
      <c r="B101" s="947" t="s">
        <v>8094</v>
      </c>
      <c r="C101" s="948" t="s">
        <v>8092</v>
      </c>
      <c r="D101" s="242" t="s">
        <v>28732</v>
      </c>
      <c r="E101" s="949">
        <v>103</v>
      </c>
      <c r="F101" s="949">
        <v>103</v>
      </c>
      <c r="G101" s="950" t="s">
        <v>11086</v>
      </c>
      <c r="H101" s="950" t="s">
        <v>599</v>
      </c>
      <c r="I101" s="951" t="s">
        <v>8093</v>
      </c>
      <c r="J101" s="947" t="s">
        <v>8094</v>
      </c>
      <c r="K101" s="143"/>
      <c r="X101"/>
      <c r="Y101"/>
      <c r="Z101"/>
      <c r="AA101"/>
      <c r="AB101"/>
      <c r="AC101"/>
      <c r="AD101"/>
      <c r="AE101"/>
      <c r="AF101"/>
    </row>
    <row r="102" spans="1:32" ht="15">
      <c r="A102" s="946" t="s">
        <v>28614</v>
      </c>
      <c r="B102" s="947" t="s">
        <v>8100</v>
      </c>
      <c r="C102" s="948" t="s">
        <v>8098</v>
      </c>
      <c r="D102" s="242" t="s">
        <v>28732</v>
      </c>
      <c r="E102" s="949">
        <v>103</v>
      </c>
      <c r="F102" s="949">
        <v>103</v>
      </c>
      <c r="G102" s="950" t="s">
        <v>11086</v>
      </c>
      <c r="H102" s="950" t="s">
        <v>599</v>
      </c>
      <c r="I102" s="951" t="s">
        <v>8099</v>
      </c>
      <c r="J102" s="947" t="s">
        <v>8100</v>
      </c>
      <c r="K102" s="143"/>
      <c r="X102"/>
      <c r="Y102"/>
      <c r="Z102"/>
      <c r="AA102"/>
      <c r="AB102"/>
      <c r="AC102"/>
      <c r="AD102"/>
      <c r="AE102"/>
      <c r="AF102"/>
    </row>
    <row r="103" spans="1:32" ht="15">
      <c r="A103" s="946" t="s">
        <v>28614</v>
      </c>
      <c r="B103" s="947" t="s">
        <v>8118</v>
      </c>
      <c r="C103" s="948" t="s">
        <v>8116</v>
      </c>
      <c r="D103" s="242" t="s">
        <v>28732</v>
      </c>
      <c r="E103" s="949">
        <v>103</v>
      </c>
      <c r="F103" s="949">
        <v>103</v>
      </c>
      <c r="G103" s="950" t="s">
        <v>11086</v>
      </c>
      <c r="H103" s="950" t="s">
        <v>599</v>
      </c>
      <c r="I103" s="951" t="s">
        <v>8117</v>
      </c>
      <c r="J103" s="947" t="s">
        <v>8118</v>
      </c>
      <c r="K103" s="143"/>
      <c r="X103"/>
      <c r="Y103"/>
      <c r="Z103"/>
      <c r="AA103"/>
      <c r="AB103"/>
      <c r="AC103"/>
      <c r="AD103"/>
      <c r="AE103"/>
      <c r="AF103"/>
    </row>
    <row r="104" spans="1:32" ht="15">
      <c r="A104" s="946" t="s">
        <v>28614</v>
      </c>
      <c r="B104" s="947" t="s">
        <v>8177</v>
      </c>
      <c r="C104" s="948" t="s">
        <v>8175</v>
      </c>
      <c r="D104" s="242" t="s">
        <v>28732</v>
      </c>
      <c r="E104" s="949">
        <v>103</v>
      </c>
      <c r="F104" s="949">
        <v>103</v>
      </c>
      <c r="G104" s="950" t="s">
        <v>11086</v>
      </c>
      <c r="H104" s="950" t="s">
        <v>599</v>
      </c>
      <c r="I104" s="951" t="s">
        <v>8176</v>
      </c>
      <c r="J104" s="947" t="s">
        <v>8177</v>
      </c>
      <c r="K104" s="143"/>
      <c r="X104"/>
      <c r="Y104"/>
      <c r="Z104"/>
      <c r="AA104"/>
      <c r="AB104"/>
      <c r="AC104"/>
      <c r="AD104"/>
      <c r="AE104"/>
      <c r="AF104"/>
    </row>
    <row r="105" spans="1:32" ht="15">
      <c r="A105" s="946" t="s">
        <v>28614</v>
      </c>
      <c r="B105" s="947" t="s">
        <v>8277</v>
      </c>
      <c r="C105" s="948" t="s">
        <v>8275</v>
      </c>
      <c r="D105" s="242" t="s">
        <v>28732</v>
      </c>
      <c r="E105" s="949">
        <v>103</v>
      </c>
      <c r="F105" s="949">
        <v>103</v>
      </c>
      <c r="G105" s="950" t="s">
        <v>11086</v>
      </c>
      <c r="H105" s="950" t="s">
        <v>599</v>
      </c>
      <c r="I105" s="951" t="s">
        <v>8276</v>
      </c>
      <c r="J105" s="947" t="s">
        <v>8277</v>
      </c>
      <c r="K105" s="143"/>
      <c r="X105"/>
      <c r="Y105"/>
      <c r="Z105"/>
      <c r="AA105"/>
      <c r="AB105"/>
      <c r="AC105"/>
      <c r="AD105"/>
      <c r="AE105"/>
      <c r="AF105"/>
    </row>
    <row r="106" spans="1:32" ht="15">
      <c r="A106" s="946" t="s">
        <v>28614</v>
      </c>
      <c r="B106" s="947" t="s">
        <v>8356</v>
      </c>
      <c r="C106" s="948" t="s">
        <v>8354</v>
      </c>
      <c r="D106" s="242" t="s">
        <v>28732</v>
      </c>
      <c r="E106" s="949">
        <v>103</v>
      </c>
      <c r="F106" s="949">
        <v>103</v>
      </c>
      <c r="G106" s="950" t="s">
        <v>11086</v>
      </c>
      <c r="H106" s="950" t="s">
        <v>599</v>
      </c>
      <c r="I106" s="951" t="s">
        <v>8355</v>
      </c>
      <c r="J106" s="947" t="s">
        <v>8356</v>
      </c>
      <c r="K106" s="143"/>
      <c r="X106"/>
      <c r="Y106"/>
      <c r="Z106"/>
      <c r="AA106"/>
      <c r="AB106"/>
      <c r="AC106"/>
      <c r="AD106"/>
      <c r="AE106"/>
      <c r="AF106"/>
    </row>
    <row r="107" spans="1:32" ht="15">
      <c r="A107" s="946" t="s">
        <v>28614</v>
      </c>
      <c r="B107" s="947" t="s">
        <v>8532</v>
      </c>
      <c r="C107" s="948" t="s">
        <v>8530</v>
      </c>
      <c r="D107" s="242" t="s">
        <v>28732</v>
      </c>
      <c r="E107" s="949">
        <v>103</v>
      </c>
      <c r="F107" s="949">
        <v>103</v>
      </c>
      <c r="G107" s="950" t="s">
        <v>11086</v>
      </c>
      <c r="H107" s="950" t="s">
        <v>599</v>
      </c>
      <c r="I107" s="951" t="s">
        <v>8531</v>
      </c>
      <c r="J107" s="947" t="s">
        <v>8532</v>
      </c>
      <c r="K107" s="143"/>
      <c r="X107"/>
      <c r="Y107"/>
      <c r="Z107"/>
      <c r="AA107"/>
      <c r="AB107"/>
      <c r="AC107"/>
      <c r="AD107"/>
      <c r="AE107"/>
      <c r="AF107"/>
    </row>
    <row r="108" spans="1:32" ht="15">
      <c r="A108" s="946" t="s">
        <v>28614</v>
      </c>
      <c r="B108" s="947" t="s">
        <v>8668</v>
      </c>
      <c r="C108" s="948" t="s">
        <v>8666</v>
      </c>
      <c r="D108" s="242" t="s">
        <v>28732</v>
      </c>
      <c r="E108" s="949">
        <v>103</v>
      </c>
      <c r="F108" s="949">
        <v>103</v>
      </c>
      <c r="G108" s="950" t="s">
        <v>11086</v>
      </c>
      <c r="H108" s="950" t="s">
        <v>599</v>
      </c>
      <c r="I108" s="951" t="s">
        <v>8667</v>
      </c>
      <c r="J108" s="947" t="s">
        <v>8668</v>
      </c>
      <c r="K108" s="143"/>
      <c r="X108"/>
      <c r="Y108"/>
      <c r="Z108"/>
      <c r="AA108"/>
      <c r="AB108"/>
      <c r="AC108"/>
      <c r="AD108"/>
      <c r="AE108"/>
      <c r="AF108"/>
    </row>
    <row r="109" spans="1:32" ht="15">
      <c r="A109" s="946" t="s">
        <v>28614</v>
      </c>
      <c r="B109" s="947" t="s">
        <v>8725</v>
      </c>
      <c r="C109" s="948" t="s">
        <v>8723</v>
      </c>
      <c r="D109" s="242" t="s">
        <v>28732</v>
      </c>
      <c r="E109" s="949">
        <v>103</v>
      </c>
      <c r="F109" s="949">
        <v>103</v>
      </c>
      <c r="G109" s="950" t="s">
        <v>11086</v>
      </c>
      <c r="H109" s="950" t="s">
        <v>599</v>
      </c>
      <c r="I109" s="951" t="s">
        <v>8724</v>
      </c>
      <c r="J109" s="947" t="s">
        <v>8725</v>
      </c>
      <c r="K109" s="143"/>
      <c r="X109"/>
      <c r="Y109"/>
      <c r="Z109"/>
      <c r="AA109"/>
      <c r="AB109"/>
      <c r="AC109"/>
      <c r="AD109"/>
      <c r="AE109"/>
      <c r="AF109"/>
    </row>
    <row r="110" spans="1:32" ht="15">
      <c r="A110" s="946" t="s">
        <v>28614</v>
      </c>
      <c r="B110" s="947" t="s">
        <v>8740</v>
      </c>
      <c r="C110" s="948" t="s">
        <v>8738</v>
      </c>
      <c r="D110" s="242" t="s">
        <v>28732</v>
      </c>
      <c r="E110" s="949">
        <v>103</v>
      </c>
      <c r="F110" s="949">
        <v>103</v>
      </c>
      <c r="G110" s="950" t="s">
        <v>11086</v>
      </c>
      <c r="H110" s="950" t="s">
        <v>599</v>
      </c>
      <c r="I110" s="951" t="s">
        <v>8739</v>
      </c>
      <c r="J110" s="947" t="s">
        <v>8740</v>
      </c>
      <c r="K110" s="143"/>
      <c r="X110"/>
      <c r="Y110"/>
      <c r="Z110"/>
      <c r="AA110"/>
      <c r="AB110"/>
      <c r="AC110"/>
      <c r="AD110"/>
      <c r="AE110"/>
      <c r="AF110"/>
    </row>
    <row r="111" spans="1:32" ht="15">
      <c r="A111" s="946" t="s">
        <v>28614</v>
      </c>
      <c r="B111" s="947" t="s">
        <v>9011</v>
      </c>
      <c r="C111" s="948" t="s">
        <v>9009</v>
      </c>
      <c r="D111" s="242" t="s">
        <v>28732</v>
      </c>
      <c r="E111" s="949">
        <v>103</v>
      </c>
      <c r="F111" s="949">
        <v>103</v>
      </c>
      <c r="G111" s="950" t="s">
        <v>11086</v>
      </c>
      <c r="H111" s="950" t="s">
        <v>599</v>
      </c>
      <c r="I111" s="951" t="s">
        <v>9010</v>
      </c>
      <c r="J111" s="947" t="s">
        <v>9011</v>
      </c>
      <c r="K111" s="143"/>
      <c r="X111"/>
      <c r="Y111"/>
      <c r="Z111"/>
      <c r="AA111"/>
      <c r="AB111"/>
      <c r="AC111"/>
      <c r="AD111"/>
      <c r="AE111"/>
      <c r="AF111"/>
    </row>
    <row r="112" spans="1:32" ht="15">
      <c r="A112" s="946" t="s">
        <v>28614</v>
      </c>
      <c r="B112" s="947" t="s">
        <v>9017</v>
      </c>
      <c r="C112" s="948" t="s">
        <v>9015</v>
      </c>
      <c r="D112" s="242" t="s">
        <v>28732</v>
      </c>
      <c r="E112" s="949">
        <v>103</v>
      </c>
      <c r="F112" s="949">
        <v>103</v>
      </c>
      <c r="G112" s="950" t="s">
        <v>11086</v>
      </c>
      <c r="H112" s="950" t="s">
        <v>599</v>
      </c>
      <c r="I112" s="951" t="s">
        <v>9016</v>
      </c>
      <c r="J112" s="947" t="s">
        <v>9017</v>
      </c>
      <c r="K112" s="143"/>
      <c r="X112"/>
      <c r="Y112"/>
      <c r="Z112"/>
      <c r="AA112"/>
      <c r="AB112"/>
      <c r="AC112"/>
      <c r="AD112"/>
      <c r="AE112"/>
      <c r="AF112"/>
    </row>
    <row r="113" spans="1:32" ht="15">
      <c r="A113" s="946" t="s">
        <v>28614</v>
      </c>
      <c r="B113" s="947" t="s">
        <v>9127</v>
      </c>
      <c r="C113" s="948" t="s">
        <v>9125</v>
      </c>
      <c r="D113" s="242" t="s">
        <v>28732</v>
      </c>
      <c r="E113" s="949">
        <v>103</v>
      </c>
      <c r="F113" s="949">
        <v>103</v>
      </c>
      <c r="G113" s="950" t="s">
        <v>11086</v>
      </c>
      <c r="H113" s="950" t="s">
        <v>599</v>
      </c>
      <c r="I113" s="951" t="s">
        <v>9126</v>
      </c>
      <c r="J113" s="947" t="s">
        <v>9127</v>
      </c>
      <c r="K113" s="143"/>
      <c r="X113"/>
      <c r="Y113"/>
      <c r="Z113"/>
      <c r="AA113"/>
      <c r="AB113"/>
      <c r="AC113"/>
      <c r="AD113"/>
      <c r="AE113"/>
      <c r="AF113"/>
    </row>
    <row r="114" spans="1:32" ht="15">
      <c r="A114" s="946" t="s">
        <v>28614</v>
      </c>
      <c r="B114" s="947" t="s">
        <v>9173</v>
      </c>
      <c r="C114" s="948" t="s">
        <v>9171</v>
      </c>
      <c r="D114" s="242" t="s">
        <v>28732</v>
      </c>
      <c r="E114" s="949">
        <v>103</v>
      </c>
      <c r="F114" s="949">
        <v>103</v>
      </c>
      <c r="G114" s="950" t="s">
        <v>11086</v>
      </c>
      <c r="H114" s="950" t="s">
        <v>599</v>
      </c>
      <c r="I114" s="951" t="s">
        <v>9172</v>
      </c>
      <c r="J114" s="947" t="s">
        <v>9173</v>
      </c>
      <c r="K114" s="143"/>
      <c r="X114"/>
      <c r="Y114"/>
      <c r="Z114"/>
      <c r="AA114"/>
      <c r="AB114"/>
      <c r="AC114"/>
      <c r="AD114"/>
      <c r="AE114"/>
      <c r="AF114"/>
    </row>
    <row r="115" spans="1:32">
      <c r="A115" s="946" t="s">
        <v>28614</v>
      </c>
      <c r="B115" s="947" t="s">
        <v>9202</v>
      </c>
      <c r="C115" s="948" t="s">
        <v>9200</v>
      </c>
      <c r="D115" s="242" t="s">
        <v>28732</v>
      </c>
      <c r="E115" s="949">
        <v>103</v>
      </c>
      <c r="F115" s="949">
        <v>103</v>
      </c>
      <c r="G115" s="950" t="s">
        <v>11086</v>
      </c>
      <c r="H115" s="950" t="s">
        <v>599</v>
      </c>
      <c r="I115" s="951" t="s">
        <v>9201</v>
      </c>
      <c r="J115" s="947" t="s">
        <v>9202</v>
      </c>
      <c r="K115" s="143"/>
    </row>
    <row r="116" spans="1:32">
      <c r="A116" s="946" t="s">
        <v>28614</v>
      </c>
      <c r="B116" s="947" t="s">
        <v>9319</v>
      </c>
      <c r="C116" s="948" t="s">
        <v>9317</v>
      </c>
      <c r="D116" s="242" t="s">
        <v>28732</v>
      </c>
      <c r="E116" s="949">
        <v>103</v>
      </c>
      <c r="F116" s="949">
        <v>103</v>
      </c>
      <c r="G116" s="950" t="s">
        <v>11086</v>
      </c>
      <c r="H116" s="950" t="s">
        <v>599</v>
      </c>
      <c r="I116" s="951" t="s">
        <v>9318</v>
      </c>
      <c r="J116" s="947" t="s">
        <v>9319</v>
      </c>
      <c r="K116" s="143"/>
    </row>
    <row r="117" spans="1:32">
      <c r="A117" s="946" t="s">
        <v>28614</v>
      </c>
      <c r="B117" s="947" t="s">
        <v>9497</v>
      </c>
      <c r="C117" s="948" t="s">
        <v>9495</v>
      </c>
      <c r="D117" s="242" t="s">
        <v>28732</v>
      </c>
      <c r="E117" s="949">
        <v>103</v>
      </c>
      <c r="F117" s="949">
        <v>103</v>
      </c>
      <c r="G117" s="950" t="s">
        <v>11086</v>
      </c>
      <c r="H117" s="950" t="s">
        <v>599</v>
      </c>
      <c r="I117" s="951" t="s">
        <v>9496</v>
      </c>
      <c r="J117" s="947" t="s">
        <v>9497</v>
      </c>
      <c r="K117" s="143"/>
    </row>
    <row r="118" spans="1:32">
      <c r="A118" s="946" t="s">
        <v>28614</v>
      </c>
      <c r="B118" s="947" t="s">
        <v>9591</v>
      </c>
      <c r="C118" s="948" t="s">
        <v>9589</v>
      </c>
      <c r="D118" s="242" t="s">
        <v>28732</v>
      </c>
      <c r="E118" s="949">
        <v>103</v>
      </c>
      <c r="F118" s="949">
        <v>103</v>
      </c>
      <c r="G118" s="950" t="s">
        <v>11086</v>
      </c>
      <c r="H118" s="950" t="s">
        <v>599</v>
      </c>
      <c r="I118" s="951" t="s">
        <v>9590</v>
      </c>
      <c r="J118" s="947" t="s">
        <v>9591</v>
      </c>
      <c r="K118" s="143"/>
    </row>
    <row r="119" spans="1:32">
      <c r="A119" s="946" t="s">
        <v>28614</v>
      </c>
      <c r="B119" s="947" t="s">
        <v>9603</v>
      </c>
      <c r="C119" s="948" t="s">
        <v>9601</v>
      </c>
      <c r="D119" s="242" t="s">
        <v>28732</v>
      </c>
      <c r="E119" s="949">
        <v>103</v>
      </c>
      <c r="F119" s="949">
        <v>103</v>
      </c>
      <c r="G119" s="950" t="s">
        <v>11086</v>
      </c>
      <c r="H119" s="950" t="s">
        <v>599</v>
      </c>
      <c r="I119" s="951" t="s">
        <v>9602</v>
      </c>
      <c r="J119" s="947" t="s">
        <v>9603</v>
      </c>
      <c r="K119" s="143"/>
    </row>
    <row r="120" spans="1:32">
      <c r="A120" s="946" t="s">
        <v>28614</v>
      </c>
      <c r="B120" s="947" t="s">
        <v>9638</v>
      </c>
      <c r="C120" s="948" t="s">
        <v>9636</v>
      </c>
      <c r="D120" s="242" t="s">
        <v>28732</v>
      </c>
      <c r="E120" s="949">
        <v>103</v>
      </c>
      <c r="F120" s="949">
        <v>103</v>
      </c>
      <c r="G120" s="950" t="s">
        <v>11086</v>
      </c>
      <c r="H120" s="950" t="s">
        <v>599</v>
      </c>
      <c r="I120" s="951" t="s">
        <v>9637</v>
      </c>
      <c r="J120" s="947" t="s">
        <v>9638</v>
      </c>
      <c r="K120" s="143"/>
    </row>
    <row r="121" spans="1:32">
      <c r="A121" s="946" t="s">
        <v>28614</v>
      </c>
      <c r="B121" s="947" t="s">
        <v>9804</v>
      </c>
      <c r="C121" s="948" t="s">
        <v>9802</v>
      </c>
      <c r="D121" s="242" t="s">
        <v>28732</v>
      </c>
      <c r="E121" s="949">
        <v>103</v>
      </c>
      <c r="F121" s="949">
        <v>103</v>
      </c>
      <c r="G121" s="950" t="s">
        <v>11086</v>
      </c>
      <c r="H121" s="950" t="s">
        <v>599</v>
      </c>
      <c r="I121" s="951" t="s">
        <v>9803</v>
      </c>
      <c r="J121" s="947" t="s">
        <v>9804</v>
      </c>
      <c r="K121" s="143"/>
    </row>
    <row r="122" spans="1:32">
      <c r="A122" s="946" t="s">
        <v>28614</v>
      </c>
      <c r="B122" s="947" t="s">
        <v>9824</v>
      </c>
      <c r="C122" s="948" t="s">
        <v>9822</v>
      </c>
      <c r="D122" s="242" t="s">
        <v>28732</v>
      </c>
      <c r="E122" s="949">
        <v>103</v>
      </c>
      <c r="F122" s="949">
        <v>103</v>
      </c>
      <c r="G122" s="950" t="s">
        <v>11086</v>
      </c>
      <c r="H122" s="950" t="s">
        <v>599</v>
      </c>
      <c r="I122" s="951" t="s">
        <v>9823</v>
      </c>
      <c r="J122" s="947" t="s">
        <v>9824</v>
      </c>
      <c r="K122" s="143"/>
    </row>
    <row r="123" spans="1:32">
      <c r="A123" s="946" t="s">
        <v>28614</v>
      </c>
      <c r="B123" s="947" t="s">
        <v>9913</v>
      </c>
      <c r="C123" s="948" t="s">
        <v>9911</v>
      </c>
      <c r="D123" s="242" t="s">
        <v>28732</v>
      </c>
      <c r="E123" s="949">
        <v>103</v>
      </c>
      <c r="F123" s="949">
        <v>103</v>
      </c>
      <c r="G123" s="950" t="s">
        <v>11086</v>
      </c>
      <c r="H123" s="950" t="s">
        <v>599</v>
      </c>
      <c r="I123" s="951" t="s">
        <v>9912</v>
      </c>
      <c r="J123" s="947" t="s">
        <v>9913</v>
      </c>
      <c r="K123" s="143"/>
    </row>
    <row r="124" spans="1:32">
      <c r="A124" s="946" t="s">
        <v>28614</v>
      </c>
      <c r="B124" s="947" t="s">
        <v>9934</v>
      </c>
      <c r="C124" s="948" t="s">
        <v>9932</v>
      </c>
      <c r="D124" s="242" t="s">
        <v>28732</v>
      </c>
      <c r="E124" s="949">
        <v>103</v>
      </c>
      <c r="F124" s="949">
        <v>103</v>
      </c>
      <c r="G124" s="950" t="s">
        <v>11086</v>
      </c>
      <c r="H124" s="950" t="s">
        <v>599</v>
      </c>
      <c r="I124" s="951" t="s">
        <v>9933</v>
      </c>
      <c r="J124" s="947" t="s">
        <v>9934</v>
      </c>
      <c r="K124" s="143"/>
    </row>
    <row r="125" spans="1:32">
      <c r="A125" s="946" t="s">
        <v>28614</v>
      </c>
      <c r="B125" s="947" t="s">
        <v>9959</v>
      </c>
      <c r="C125" s="948" t="s">
        <v>9957</v>
      </c>
      <c r="D125" s="242" t="s">
        <v>28732</v>
      </c>
      <c r="E125" s="949">
        <v>103</v>
      </c>
      <c r="F125" s="949">
        <v>103</v>
      </c>
      <c r="G125" s="950" t="s">
        <v>11086</v>
      </c>
      <c r="H125" s="950" t="s">
        <v>599</v>
      </c>
      <c r="I125" s="951" t="s">
        <v>9958</v>
      </c>
      <c r="J125" s="947" t="s">
        <v>9959</v>
      </c>
      <c r="K125" s="143"/>
    </row>
    <row r="126" spans="1:32">
      <c r="A126" s="946" t="s">
        <v>28614</v>
      </c>
      <c r="B126" s="947" t="s">
        <v>9993</v>
      </c>
      <c r="C126" s="948" t="s">
        <v>9991</v>
      </c>
      <c r="D126" s="242" t="s">
        <v>28732</v>
      </c>
      <c r="E126" s="949">
        <v>103</v>
      </c>
      <c r="F126" s="949">
        <v>103</v>
      </c>
      <c r="G126" s="950" t="s">
        <v>11086</v>
      </c>
      <c r="H126" s="950" t="s">
        <v>599</v>
      </c>
      <c r="I126" s="951" t="s">
        <v>9992</v>
      </c>
      <c r="J126" s="947" t="s">
        <v>9993</v>
      </c>
      <c r="K126" s="143"/>
    </row>
    <row r="127" spans="1:32">
      <c r="A127" s="946" t="s">
        <v>28614</v>
      </c>
      <c r="B127" s="947" t="s">
        <v>9996</v>
      </c>
      <c r="C127" s="948" t="s">
        <v>9994</v>
      </c>
      <c r="D127" s="242" t="s">
        <v>28732</v>
      </c>
      <c r="E127" s="949">
        <v>103</v>
      </c>
      <c r="F127" s="949">
        <v>103</v>
      </c>
      <c r="G127" s="950" t="s">
        <v>11086</v>
      </c>
      <c r="H127" s="950" t="s">
        <v>599</v>
      </c>
      <c r="I127" s="951" t="s">
        <v>9995</v>
      </c>
      <c r="J127" s="947" t="s">
        <v>9996</v>
      </c>
      <c r="K127" s="143"/>
    </row>
    <row r="128" spans="1:32">
      <c r="A128" s="946" t="s">
        <v>28614</v>
      </c>
      <c r="B128" s="947" t="s">
        <v>10134</v>
      </c>
      <c r="C128" s="948" t="s">
        <v>10132</v>
      </c>
      <c r="D128" s="242" t="s">
        <v>28732</v>
      </c>
      <c r="E128" s="949">
        <v>103</v>
      </c>
      <c r="F128" s="949">
        <v>103</v>
      </c>
      <c r="G128" s="950" t="s">
        <v>11086</v>
      </c>
      <c r="H128" s="950" t="s">
        <v>599</v>
      </c>
      <c r="I128" s="951" t="s">
        <v>10133</v>
      </c>
      <c r="J128" s="947" t="s">
        <v>10134</v>
      </c>
      <c r="K128" s="143"/>
    </row>
    <row r="129" spans="1:11">
      <c r="A129" s="946" t="s">
        <v>28614</v>
      </c>
      <c r="B129" s="947" t="s">
        <v>10211</v>
      </c>
      <c r="C129" s="948" t="s">
        <v>10209</v>
      </c>
      <c r="D129" s="242" t="s">
        <v>28733</v>
      </c>
      <c r="E129" s="949">
        <v>105</v>
      </c>
      <c r="F129" s="949">
        <v>105</v>
      </c>
      <c r="G129" s="950" t="s">
        <v>11086</v>
      </c>
      <c r="H129" s="950" t="s">
        <v>599</v>
      </c>
      <c r="I129" s="951" t="s">
        <v>10210</v>
      </c>
      <c r="J129" s="947" t="s">
        <v>10211</v>
      </c>
      <c r="K129" s="143"/>
    </row>
    <row r="130" spans="1:11">
      <c r="A130" s="946" t="s">
        <v>28614</v>
      </c>
      <c r="B130" s="947" t="s">
        <v>31127</v>
      </c>
      <c r="C130" s="948" t="s">
        <v>31128</v>
      </c>
      <c r="D130" s="242" t="s">
        <v>28732</v>
      </c>
      <c r="E130" s="949">
        <v>103</v>
      </c>
      <c r="F130" s="949">
        <v>103</v>
      </c>
      <c r="G130" s="950" t="s">
        <v>11086</v>
      </c>
      <c r="H130" s="950" t="s">
        <v>599</v>
      </c>
      <c r="I130" s="951" t="s">
        <v>10279</v>
      </c>
      <c r="J130" s="947" t="s">
        <v>31127</v>
      </c>
      <c r="K130" s="143"/>
    </row>
    <row r="131" spans="1:11">
      <c r="A131" s="946" t="s">
        <v>28614</v>
      </c>
      <c r="B131" s="947" t="s">
        <v>10285</v>
      </c>
      <c r="C131" s="948" t="s">
        <v>10283</v>
      </c>
      <c r="D131" s="242" t="s">
        <v>28732</v>
      </c>
      <c r="E131" s="949">
        <v>103</v>
      </c>
      <c r="F131" s="949">
        <v>103</v>
      </c>
      <c r="G131" s="950" t="s">
        <v>11086</v>
      </c>
      <c r="H131" s="950" t="s">
        <v>599</v>
      </c>
      <c r="I131" s="951" t="s">
        <v>10284</v>
      </c>
      <c r="J131" s="947" t="s">
        <v>10285</v>
      </c>
      <c r="K131" s="143"/>
    </row>
    <row r="132" spans="1:11">
      <c r="A132" s="946" t="s">
        <v>28614</v>
      </c>
      <c r="B132" s="947" t="s">
        <v>10355</v>
      </c>
      <c r="C132" s="948" t="s">
        <v>10353</v>
      </c>
      <c r="D132" s="242" t="s">
        <v>28732</v>
      </c>
      <c r="E132" s="949">
        <v>103</v>
      </c>
      <c r="F132" s="949">
        <v>103</v>
      </c>
      <c r="G132" s="950" t="s">
        <v>11086</v>
      </c>
      <c r="H132" s="950" t="s">
        <v>599</v>
      </c>
      <c r="I132" s="951" t="s">
        <v>10354</v>
      </c>
      <c r="J132" s="947" t="s">
        <v>10355</v>
      </c>
      <c r="K132" s="143"/>
    </row>
    <row r="133" spans="1:11">
      <c r="A133" s="946" t="s">
        <v>28614</v>
      </c>
      <c r="B133" s="947" t="s">
        <v>10393</v>
      </c>
      <c r="C133" s="948" t="s">
        <v>10391</v>
      </c>
      <c r="D133" s="242" t="s">
        <v>28732</v>
      </c>
      <c r="E133" s="949">
        <v>103</v>
      </c>
      <c r="F133" s="949">
        <v>103</v>
      </c>
      <c r="G133" s="950" t="s">
        <v>11086</v>
      </c>
      <c r="H133" s="950" t="s">
        <v>599</v>
      </c>
      <c r="I133" s="951" t="s">
        <v>10392</v>
      </c>
      <c r="J133" s="947" t="s">
        <v>10393</v>
      </c>
      <c r="K133" s="143"/>
    </row>
    <row r="134" spans="1:11">
      <c r="A134" s="946" t="s">
        <v>28614</v>
      </c>
      <c r="B134" s="947" t="s">
        <v>10522</v>
      </c>
      <c r="C134" s="948" t="s">
        <v>10520</v>
      </c>
      <c r="D134" s="242" t="s">
        <v>28732</v>
      </c>
      <c r="E134" s="949">
        <v>103</v>
      </c>
      <c r="F134" s="949">
        <v>103</v>
      </c>
      <c r="G134" s="950" t="s">
        <v>11086</v>
      </c>
      <c r="H134" s="950" t="s">
        <v>599</v>
      </c>
      <c r="I134" s="951" t="s">
        <v>10521</v>
      </c>
      <c r="J134" s="947" t="s">
        <v>10522</v>
      </c>
      <c r="K134" s="143"/>
    </row>
    <row r="135" spans="1:11">
      <c r="A135" s="946" t="s">
        <v>28614</v>
      </c>
      <c r="B135" s="947" t="s">
        <v>10569</v>
      </c>
      <c r="C135" s="948" t="s">
        <v>10567</v>
      </c>
      <c r="D135" s="242" t="s">
        <v>28732</v>
      </c>
      <c r="E135" s="949">
        <v>103</v>
      </c>
      <c r="F135" s="949">
        <v>103</v>
      </c>
      <c r="G135" s="950" t="s">
        <v>11086</v>
      </c>
      <c r="H135" s="950" t="s">
        <v>599</v>
      </c>
      <c r="I135" s="951" t="s">
        <v>10568</v>
      </c>
      <c r="J135" s="947" t="s">
        <v>10569</v>
      </c>
      <c r="K135" s="143"/>
    </row>
    <row r="136" spans="1:11">
      <c r="A136" s="946" t="s">
        <v>28614</v>
      </c>
      <c r="B136" s="947" t="s">
        <v>10572</v>
      </c>
      <c r="C136" s="948" t="s">
        <v>10570</v>
      </c>
      <c r="D136" s="242" t="s">
        <v>28732</v>
      </c>
      <c r="E136" s="949">
        <v>103</v>
      </c>
      <c r="F136" s="949">
        <v>103</v>
      </c>
      <c r="G136" s="950" t="s">
        <v>11086</v>
      </c>
      <c r="H136" s="950" t="s">
        <v>599</v>
      </c>
      <c r="I136" s="951" t="s">
        <v>10571</v>
      </c>
      <c r="J136" s="947" t="s">
        <v>10572</v>
      </c>
      <c r="K136" s="143"/>
    </row>
    <row r="137" spans="1:11">
      <c r="A137" s="946" t="s">
        <v>28614</v>
      </c>
      <c r="B137" s="947" t="s">
        <v>10625</v>
      </c>
      <c r="C137" s="948" t="s">
        <v>10623</v>
      </c>
      <c r="D137" s="242" t="s">
        <v>28732</v>
      </c>
      <c r="E137" s="949">
        <v>103</v>
      </c>
      <c r="F137" s="949">
        <v>103</v>
      </c>
      <c r="G137" s="950" t="s">
        <v>11086</v>
      </c>
      <c r="H137" s="950" t="s">
        <v>599</v>
      </c>
      <c r="I137" s="951" t="s">
        <v>10624</v>
      </c>
      <c r="J137" s="947" t="s">
        <v>10625</v>
      </c>
      <c r="K137" s="143"/>
    </row>
    <row r="138" spans="1:11">
      <c r="A138" s="946" t="s">
        <v>28614</v>
      </c>
      <c r="B138" s="947" t="s">
        <v>10771</v>
      </c>
      <c r="C138" s="948" t="s">
        <v>10769</v>
      </c>
      <c r="D138" s="242" t="s">
        <v>28732</v>
      </c>
      <c r="E138" s="949">
        <v>103</v>
      </c>
      <c r="F138" s="949">
        <v>103</v>
      </c>
      <c r="G138" s="950" t="s">
        <v>11086</v>
      </c>
      <c r="H138" s="950" t="s">
        <v>599</v>
      </c>
      <c r="I138" s="951" t="s">
        <v>10770</v>
      </c>
      <c r="J138" s="947" t="s">
        <v>10771</v>
      </c>
      <c r="K138" s="143"/>
    </row>
    <row r="139" spans="1:11">
      <c r="A139" s="946" t="s">
        <v>28614</v>
      </c>
      <c r="B139" s="947" t="s">
        <v>10774</v>
      </c>
      <c r="C139" s="948" t="s">
        <v>10772</v>
      </c>
      <c r="D139" s="242" t="s">
        <v>28732</v>
      </c>
      <c r="E139" s="949">
        <v>103</v>
      </c>
      <c r="F139" s="949">
        <v>103</v>
      </c>
      <c r="G139" s="950" t="s">
        <v>11086</v>
      </c>
      <c r="H139" s="950" t="s">
        <v>599</v>
      </c>
      <c r="I139" s="951" t="s">
        <v>10773</v>
      </c>
      <c r="J139" s="947" t="s">
        <v>10774</v>
      </c>
      <c r="K139" s="143"/>
    </row>
    <row r="140" spans="1:11">
      <c r="A140" s="946" t="s">
        <v>28614</v>
      </c>
      <c r="B140" s="947" t="s">
        <v>10783</v>
      </c>
      <c r="C140" s="948" t="s">
        <v>10781</v>
      </c>
      <c r="D140" s="242" t="s">
        <v>28732</v>
      </c>
      <c r="E140" s="949">
        <v>103</v>
      </c>
      <c r="F140" s="949">
        <v>103</v>
      </c>
      <c r="G140" s="950" t="s">
        <v>11086</v>
      </c>
      <c r="H140" s="950" t="s">
        <v>599</v>
      </c>
      <c r="I140" s="951" t="s">
        <v>10782</v>
      </c>
      <c r="J140" s="947" t="s">
        <v>10783</v>
      </c>
      <c r="K140" s="143"/>
    </row>
    <row r="141" spans="1:11">
      <c r="A141" s="946" t="s">
        <v>28614</v>
      </c>
      <c r="B141" s="947" t="s">
        <v>10814</v>
      </c>
      <c r="C141" s="948" t="s">
        <v>10812</v>
      </c>
      <c r="D141" s="242" t="s">
        <v>28732</v>
      </c>
      <c r="E141" s="949">
        <v>103</v>
      </c>
      <c r="F141" s="949">
        <v>103</v>
      </c>
      <c r="G141" s="950" t="s">
        <v>11086</v>
      </c>
      <c r="H141" s="950" t="s">
        <v>599</v>
      </c>
      <c r="I141" s="951" t="s">
        <v>10813</v>
      </c>
      <c r="J141" s="947" t="s">
        <v>10814</v>
      </c>
      <c r="K141" s="143"/>
    </row>
    <row r="142" spans="1:11">
      <c r="A142" s="946" t="s">
        <v>28614</v>
      </c>
      <c r="B142" s="947" t="s">
        <v>10905</v>
      </c>
      <c r="C142" s="948" t="s">
        <v>10903</v>
      </c>
      <c r="D142" s="242" t="s">
        <v>28732</v>
      </c>
      <c r="E142" s="949">
        <v>103</v>
      </c>
      <c r="F142" s="949">
        <v>103</v>
      </c>
      <c r="G142" s="950" t="s">
        <v>11086</v>
      </c>
      <c r="H142" s="950" t="s">
        <v>599</v>
      </c>
      <c r="I142" s="951" t="s">
        <v>10904</v>
      </c>
      <c r="J142" s="947" t="s">
        <v>10905</v>
      </c>
      <c r="K142" s="143"/>
    </row>
    <row r="143" spans="1:11">
      <c r="A143" s="946" t="s">
        <v>28614</v>
      </c>
      <c r="B143" s="947" t="s">
        <v>11180</v>
      </c>
      <c r="C143" s="948" t="s">
        <v>11178</v>
      </c>
      <c r="D143" s="242" t="s">
        <v>28732</v>
      </c>
      <c r="E143" s="949">
        <v>103</v>
      </c>
      <c r="F143" s="949">
        <v>103</v>
      </c>
      <c r="G143" s="950" t="s">
        <v>11086</v>
      </c>
      <c r="H143" s="950" t="s">
        <v>599</v>
      </c>
      <c r="I143" s="951" t="s">
        <v>11179</v>
      </c>
      <c r="J143" s="947" t="s">
        <v>11180</v>
      </c>
      <c r="K143" s="143"/>
    </row>
    <row r="144" spans="1:11">
      <c r="A144" s="946" t="s">
        <v>28614</v>
      </c>
      <c r="B144" s="947" t="s">
        <v>11412</v>
      </c>
      <c r="C144" s="948" t="s">
        <v>11410</v>
      </c>
      <c r="D144" s="242" t="s">
        <v>28732</v>
      </c>
      <c r="E144" s="949">
        <v>103</v>
      </c>
      <c r="F144" s="949">
        <v>103</v>
      </c>
      <c r="G144" s="950" t="s">
        <v>11086</v>
      </c>
      <c r="H144" s="950" t="s">
        <v>599</v>
      </c>
      <c r="I144" s="951" t="s">
        <v>11411</v>
      </c>
      <c r="J144" s="947" t="s">
        <v>11412</v>
      </c>
      <c r="K144" s="143"/>
    </row>
    <row r="145" spans="1:11">
      <c r="A145" s="946" t="s">
        <v>28614</v>
      </c>
      <c r="B145" s="947" t="s">
        <v>11440</v>
      </c>
      <c r="C145" s="948" t="s">
        <v>11438</v>
      </c>
      <c r="D145" s="242" t="s">
        <v>28732</v>
      </c>
      <c r="E145" s="949">
        <v>103</v>
      </c>
      <c r="F145" s="949">
        <v>103</v>
      </c>
      <c r="G145" s="950" t="s">
        <v>11086</v>
      </c>
      <c r="H145" s="950" t="s">
        <v>599</v>
      </c>
      <c r="I145" s="951" t="s">
        <v>11439</v>
      </c>
      <c r="J145" s="947" t="s">
        <v>11440</v>
      </c>
      <c r="K145" s="143"/>
    </row>
    <row r="146" spans="1:11">
      <c r="A146" s="946" t="s">
        <v>28614</v>
      </c>
      <c r="B146" s="947" t="s">
        <v>11449</v>
      </c>
      <c r="C146" s="948" t="s">
        <v>11447</v>
      </c>
      <c r="D146" s="242" t="s">
        <v>28732</v>
      </c>
      <c r="E146" s="949">
        <v>103</v>
      </c>
      <c r="F146" s="949">
        <v>103</v>
      </c>
      <c r="G146" s="950" t="s">
        <v>11086</v>
      </c>
      <c r="H146" s="950" t="s">
        <v>599</v>
      </c>
      <c r="I146" s="951" t="s">
        <v>11448</v>
      </c>
      <c r="J146" s="947" t="s">
        <v>11449</v>
      </c>
      <c r="K146" s="143"/>
    </row>
    <row r="147" spans="1:11">
      <c r="A147" s="946" t="s">
        <v>28614</v>
      </c>
      <c r="B147" s="947" t="s">
        <v>11473</v>
      </c>
      <c r="C147" s="948" t="s">
        <v>11471</v>
      </c>
      <c r="D147" s="242" t="s">
        <v>28732</v>
      </c>
      <c r="E147" s="949">
        <v>103</v>
      </c>
      <c r="F147" s="949">
        <v>103</v>
      </c>
      <c r="G147" s="950" t="s">
        <v>11086</v>
      </c>
      <c r="H147" s="950" t="s">
        <v>599</v>
      </c>
      <c r="I147" s="951" t="s">
        <v>11472</v>
      </c>
      <c r="J147" s="947" t="s">
        <v>11473</v>
      </c>
      <c r="K147" s="143"/>
    </row>
    <row r="148" spans="1:11">
      <c r="A148" s="946" t="s">
        <v>28614</v>
      </c>
      <c r="B148" s="947" t="s">
        <v>11482</v>
      </c>
      <c r="C148" s="948" t="s">
        <v>11480</v>
      </c>
      <c r="D148" s="242" t="s">
        <v>28732</v>
      </c>
      <c r="E148" s="949">
        <v>103</v>
      </c>
      <c r="F148" s="949">
        <v>103</v>
      </c>
      <c r="G148" s="950" t="s">
        <v>11086</v>
      </c>
      <c r="H148" s="950" t="s">
        <v>599</v>
      </c>
      <c r="I148" s="951" t="s">
        <v>11481</v>
      </c>
      <c r="J148" s="947" t="s">
        <v>11482</v>
      </c>
      <c r="K148" s="143"/>
    </row>
    <row r="149" spans="1:11">
      <c r="A149" s="946" t="s">
        <v>28614</v>
      </c>
      <c r="B149" s="947" t="s">
        <v>11631</v>
      </c>
      <c r="C149" s="948" t="s">
        <v>11629</v>
      </c>
      <c r="D149" s="242" t="s">
        <v>28732</v>
      </c>
      <c r="E149" s="949">
        <v>103</v>
      </c>
      <c r="F149" s="949">
        <v>103</v>
      </c>
      <c r="G149" s="950" t="s">
        <v>11086</v>
      </c>
      <c r="H149" s="950" t="s">
        <v>599</v>
      </c>
      <c r="I149" s="951" t="s">
        <v>11630</v>
      </c>
      <c r="J149" s="947" t="s">
        <v>11631</v>
      </c>
      <c r="K149" s="143"/>
    </row>
    <row r="150" spans="1:11">
      <c r="A150" s="946" t="s">
        <v>28614</v>
      </c>
      <c r="B150" s="947" t="s">
        <v>11709</v>
      </c>
      <c r="C150" s="948" t="s">
        <v>11707</v>
      </c>
      <c r="D150" s="242" t="s">
        <v>28732</v>
      </c>
      <c r="E150" s="949">
        <v>103</v>
      </c>
      <c r="F150" s="949">
        <v>103</v>
      </c>
      <c r="G150" s="950" t="s">
        <v>11086</v>
      </c>
      <c r="H150" s="950" t="s">
        <v>599</v>
      </c>
      <c r="I150" s="951" t="s">
        <v>11708</v>
      </c>
      <c r="J150" s="947" t="s">
        <v>11709</v>
      </c>
      <c r="K150" s="143"/>
    </row>
    <row r="151" spans="1:11">
      <c r="A151" s="946" t="s">
        <v>28614</v>
      </c>
      <c r="B151" s="947" t="s">
        <v>11988</v>
      </c>
      <c r="C151" s="948" t="s">
        <v>11986</v>
      </c>
      <c r="D151" s="242" t="s">
        <v>28732</v>
      </c>
      <c r="E151" s="949">
        <v>103</v>
      </c>
      <c r="F151" s="949">
        <v>103</v>
      </c>
      <c r="G151" s="950" t="s">
        <v>11086</v>
      </c>
      <c r="H151" s="950" t="s">
        <v>599</v>
      </c>
      <c r="I151" s="951" t="s">
        <v>11987</v>
      </c>
      <c r="J151" s="947" t="s">
        <v>11988</v>
      </c>
      <c r="K151" s="143"/>
    </row>
    <row r="152" spans="1:11">
      <c r="A152" s="946" t="s">
        <v>28614</v>
      </c>
      <c r="B152" s="947" t="s">
        <v>12000</v>
      </c>
      <c r="C152" s="948" t="s">
        <v>11998</v>
      </c>
      <c r="D152" s="242" t="s">
        <v>28732</v>
      </c>
      <c r="E152" s="949">
        <v>103</v>
      </c>
      <c r="F152" s="949">
        <v>103</v>
      </c>
      <c r="G152" s="950" t="s">
        <v>11086</v>
      </c>
      <c r="H152" s="950" t="s">
        <v>599</v>
      </c>
      <c r="I152" s="951" t="s">
        <v>11999</v>
      </c>
      <c r="J152" s="947" t="s">
        <v>12000</v>
      </c>
      <c r="K152" s="143"/>
    </row>
    <row r="153" spans="1:11">
      <c r="A153" s="946" t="s">
        <v>28614</v>
      </c>
      <c r="B153" s="947" t="s">
        <v>12021</v>
      </c>
      <c r="C153" s="948" t="s">
        <v>12019</v>
      </c>
      <c r="D153" s="242" t="s">
        <v>28732</v>
      </c>
      <c r="E153" s="949">
        <v>103</v>
      </c>
      <c r="F153" s="949">
        <v>103</v>
      </c>
      <c r="G153" s="950" t="s">
        <v>11086</v>
      </c>
      <c r="H153" s="950" t="s">
        <v>599</v>
      </c>
      <c r="I153" s="951" t="s">
        <v>12020</v>
      </c>
      <c r="J153" s="947" t="s">
        <v>12021</v>
      </c>
      <c r="K153" s="143"/>
    </row>
    <row r="154" spans="1:11">
      <c r="A154" s="946" t="s">
        <v>28614</v>
      </c>
      <c r="B154" s="947" t="s">
        <v>12040</v>
      </c>
      <c r="C154" s="948" t="s">
        <v>12038</v>
      </c>
      <c r="D154" s="242" t="s">
        <v>28732</v>
      </c>
      <c r="E154" s="949">
        <v>103</v>
      </c>
      <c r="F154" s="949">
        <v>103</v>
      </c>
      <c r="G154" s="950" t="s">
        <v>11086</v>
      </c>
      <c r="H154" s="950" t="s">
        <v>599</v>
      </c>
      <c r="I154" s="951" t="s">
        <v>12039</v>
      </c>
      <c r="J154" s="947" t="s">
        <v>12040</v>
      </c>
      <c r="K154" s="143"/>
    </row>
    <row r="155" spans="1:11">
      <c r="A155" s="946" t="s">
        <v>28614</v>
      </c>
      <c r="B155" s="947" t="s">
        <v>12046</v>
      </c>
      <c r="C155" s="948" t="s">
        <v>12044</v>
      </c>
      <c r="D155" s="242" t="s">
        <v>28732</v>
      </c>
      <c r="E155" s="949">
        <v>103</v>
      </c>
      <c r="F155" s="949">
        <v>103</v>
      </c>
      <c r="G155" s="950" t="s">
        <v>11086</v>
      </c>
      <c r="H155" s="950" t="s">
        <v>599</v>
      </c>
      <c r="I155" s="951" t="s">
        <v>12045</v>
      </c>
      <c r="J155" s="947" t="s">
        <v>12046</v>
      </c>
      <c r="K155" s="143"/>
    </row>
    <row r="156" spans="1:11">
      <c r="A156" s="946" t="s">
        <v>28614</v>
      </c>
      <c r="B156" s="947" t="s">
        <v>12209</v>
      </c>
      <c r="C156" s="948" t="s">
        <v>12207</v>
      </c>
      <c r="D156" s="242" t="s">
        <v>28732</v>
      </c>
      <c r="E156" s="949">
        <v>103</v>
      </c>
      <c r="F156" s="949">
        <v>103</v>
      </c>
      <c r="G156" s="950" t="s">
        <v>11086</v>
      </c>
      <c r="H156" s="950" t="s">
        <v>599</v>
      </c>
      <c r="I156" s="951" t="s">
        <v>12208</v>
      </c>
      <c r="J156" s="947" t="s">
        <v>12209</v>
      </c>
      <c r="K156" s="143"/>
    </row>
    <row r="157" spans="1:11">
      <c r="A157" s="946" t="s">
        <v>28614</v>
      </c>
      <c r="B157" s="947" t="s">
        <v>12215</v>
      </c>
      <c r="C157" s="948" t="s">
        <v>12213</v>
      </c>
      <c r="D157" s="242" t="s">
        <v>28732</v>
      </c>
      <c r="E157" s="949">
        <v>103</v>
      </c>
      <c r="F157" s="949">
        <v>103</v>
      </c>
      <c r="G157" s="950" t="s">
        <v>11086</v>
      </c>
      <c r="H157" s="950" t="s">
        <v>599</v>
      </c>
      <c r="I157" s="951" t="s">
        <v>12214</v>
      </c>
      <c r="J157" s="947" t="s">
        <v>12215</v>
      </c>
      <c r="K157" s="143"/>
    </row>
    <row r="158" spans="1:11">
      <c r="A158" s="946" t="s">
        <v>28614</v>
      </c>
      <c r="B158" s="947" t="s">
        <v>12227</v>
      </c>
      <c r="C158" s="948" t="s">
        <v>12225</v>
      </c>
      <c r="D158" s="242" t="s">
        <v>28732</v>
      </c>
      <c r="E158" s="949">
        <v>103</v>
      </c>
      <c r="F158" s="949">
        <v>103</v>
      </c>
      <c r="G158" s="950" t="s">
        <v>11086</v>
      </c>
      <c r="H158" s="950" t="s">
        <v>599</v>
      </c>
      <c r="I158" s="951" t="s">
        <v>12226</v>
      </c>
      <c r="J158" s="947" t="s">
        <v>12227</v>
      </c>
      <c r="K158" s="143"/>
    </row>
    <row r="159" spans="1:11">
      <c r="A159" s="946" t="s">
        <v>28614</v>
      </c>
      <c r="B159" s="947" t="s">
        <v>12236</v>
      </c>
      <c r="C159" s="948" t="s">
        <v>12234</v>
      </c>
      <c r="D159" s="242" t="s">
        <v>28732</v>
      </c>
      <c r="E159" s="949">
        <v>103</v>
      </c>
      <c r="F159" s="949">
        <v>103</v>
      </c>
      <c r="G159" s="950" t="s">
        <v>11086</v>
      </c>
      <c r="H159" s="950" t="s">
        <v>599</v>
      </c>
      <c r="I159" s="951" t="s">
        <v>12235</v>
      </c>
      <c r="J159" s="947" t="s">
        <v>12236</v>
      </c>
      <c r="K159" s="143"/>
    </row>
    <row r="160" spans="1:11">
      <c r="A160" s="946" t="s">
        <v>28614</v>
      </c>
      <c r="B160" s="947" t="s">
        <v>12760</v>
      </c>
      <c r="C160" s="948" t="s">
        <v>12758</v>
      </c>
      <c r="D160" s="242" t="s">
        <v>28733</v>
      </c>
      <c r="E160" s="949">
        <v>105</v>
      </c>
      <c r="F160" s="949">
        <v>105</v>
      </c>
      <c r="G160" s="950" t="s">
        <v>11086</v>
      </c>
      <c r="H160" s="950" t="s">
        <v>599</v>
      </c>
      <c r="I160" s="951" t="s">
        <v>12759</v>
      </c>
      <c r="J160" s="947" t="s">
        <v>12760</v>
      </c>
      <c r="K160" s="143"/>
    </row>
    <row r="161" spans="1:11">
      <c r="A161" s="946" t="s">
        <v>28614</v>
      </c>
      <c r="B161" s="947" t="s">
        <v>12947</v>
      </c>
      <c r="C161" s="948" t="s">
        <v>12945</v>
      </c>
      <c r="D161" s="242" t="s">
        <v>28733</v>
      </c>
      <c r="E161" s="949">
        <v>105</v>
      </c>
      <c r="F161" s="949">
        <v>105</v>
      </c>
      <c r="G161" s="950" t="s">
        <v>11086</v>
      </c>
      <c r="H161" s="950" t="s">
        <v>599</v>
      </c>
      <c r="I161" s="951" t="s">
        <v>12946</v>
      </c>
      <c r="J161" s="947" t="s">
        <v>12947</v>
      </c>
      <c r="K161" s="143"/>
    </row>
    <row r="162" spans="1:11">
      <c r="A162" s="946" t="s">
        <v>28614</v>
      </c>
      <c r="B162" s="947" t="s">
        <v>13260</v>
      </c>
      <c r="C162" s="948" t="s">
        <v>13258</v>
      </c>
      <c r="D162" s="242" t="s">
        <v>28732</v>
      </c>
      <c r="E162" s="949">
        <v>103</v>
      </c>
      <c r="F162" s="949">
        <v>103</v>
      </c>
      <c r="G162" s="950" t="s">
        <v>11086</v>
      </c>
      <c r="H162" s="950" t="s">
        <v>599</v>
      </c>
      <c r="I162" s="951" t="s">
        <v>13259</v>
      </c>
      <c r="J162" s="947" t="s">
        <v>13260</v>
      </c>
      <c r="K162" s="143"/>
    </row>
    <row r="163" spans="1:11">
      <c r="A163" s="946" t="s">
        <v>28614</v>
      </c>
      <c r="B163" s="947" t="s">
        <v>13298</v>
      </c>
      <c r="C163" s="948" t="s">
        <v>13296</v>
      </c>
      <c r="D163" s="242" t="s">
        <v>28732</v>
      </c>
      <c r="E163" s="949">
        <v>103</v>
      </c>
      <c r="F163" s="949">
        <v>103</v>
      </c>
      <c r="G163" s="950" t="s">
        <v>11086</v>
      </c>
      <c r="H163" s="950" t="s">
        <v>599</v>
      </c>
      <c r="I163" s="951" t="s">
        <v>13297</v>
      </c>
      <c r="J163" s="947" t="s">
        <v>13298</v>
      </c>
      <c r="K163" s="143"/>
    </row>
    <row r="164" spans="1:11">
      <c r="A164" s="946" t="s">
        <v>28614</v>
      </c>
      <c r="B164" s="947" t="s">
        <v>13349</v>
      </c>
      <c r="C164" s="948" t="s">
        <v>13347</v>
      </c>
      <c r="D164" s="242" t="s">
        <v>28732</v>
      </c>
      <c r="E164" s="949">
        <v>103</v>
      </c>
      <c r="F164" s="949">
        <v>103</v>
      </c>
      <c r="G164" s="950" t="s">
        <v>11086</v>
      </c>
      <c r="H164" s="950" t="s">
        <v>599</v>
      </c>
      <c r="I164" s="951" t="s">
        <v>13348</v>
      </c>
      <c r="J164" s="947" t="s">
        <v>13349</v>
      </c>
      <c r="K164" s="143"/>
    </row>
    <row r="165" spans="1:11">
      <c r="A165" s="946" t="s">
        <v>28614</v>
      </c>
      <c r="B165" s="947" t="s">
        <v>13355</v>
      </c>
      <c r="C165" s="948" t="s">
        <v>13353</v>
      </c>
      <c r="D165" s="242" t="s">
        <v>28732</v>
      </c>
      <c r="E165" s="949">
        <v>103</v>
      </c>
      <c r="F165" s="949">
        <v>103</v>
      </c>
      <c r="G165" s="950" t="s">
        <v>11086</v>
      </c>
      <c r="H165" s="950" t="s">
        <v>599</v>
      </c>
      <c r="I165" s="951" t="s">
        <v>13354</v>
      </c>
      <c r="J165" s="947" t="s">
        <v>13355</v>
      </c>
      <c r="K165" s="143"/>
    </row>
    <row r="166" spans="1:11">
      <c r="A166" s="946" t="s">
        <v>28614</v>
      </c>
      <c r="B166" s="947" t="s">
        <v>13364</v>
      </c>
      <c r="C166" s="948" t="s">
        <v>13362</v>
      </c>
      <c r="D166" s="242" t="s">
        <v>28732</v>
      </c>
      <c r="E166" s="949">
        <v>103</v>
      </c>
      <c r="F166" s="949">
        <v>103</v>
      </c>
      <c r="G166" s="950" t="s">
        <v>11086</v>
      </c>
      <c r="H166" s="950" t="s">
        <v>599</v>
      </c>
      <c r="I166" s="951" t="s">
        <v>13363</v>
      </c>
      <c r="J166" s="947" t="s">
        <v>13364</v>
      </c>
      <c r="K166" s="143"/>
    </row>
    <row r="167" spans="1:11">
      <c r="A167" s="946" t="s">
        <v>28614</v>
      </c>
      <c r="B167" s="947" t="s">
        <v>13400</v>
      </c>
      <c r="C167" s="948" t="s">
        <v>13398</v>
      </c>
      <c r="D167" s="242" t="s">
        <v>28732</v>
      </c>
      <c r="E167" s="949">
        <v>103</v>
      </c>
      <c r="F167" s="949">
        <v>103</v>
      </c>
      <c r="G167" s="950" t="s">
        <v>11086</v>
      </c>
      <c r="H167" s="950" t="s">
        <v>599</v>
      </c>
      <c r="I167" s="951" t="s">
        <v>13399</v>
      </c>
      <c r="J167" s="947" t="s">
        <v>13400</v>
      </c>
      <c r="K167" s="143"/>
    </row>
    <row r="168" spans="1:11">
      <c r="A168" s="946" t="s">
        <v>28614</v>
      </c>
      <c r="B168" s="947" t="s">
        <v>13538</v>
      </c>
      <c r="C168" s="948" t="s">
        <v>13536</v>
      </c>
      <c r="D168" s="242" t="s">
        <v>28732</v>
      </c>
      <c r="E168" s="949">
        <v>103</v>
      </c>
      <c r="F168" s="949">
        <v>103</v>
      </c>
      <c r="G168" s="950" t="s">
        <v>11086</v>
      </c>
      <c r="H168" s="950" t="s">
        <v>599</v>
      </c>
      <c r="I168" s="951" t="s">
        <v>13537</v>
      </c>
      <c r="J168" s="947" t="s">
        <v>13538</v>
      </c>
      <c r="K168" s="143"/>
    </row>
    <row r="169" spans="1:11">
      <c r="A169" s="946" t="s">
        <v>28614</v>
      </c>
      <c r="B169" s="947" t="s">
        <v>13686</v>
      </c>
      <c r="C169" s="948" t="s">
        <v>13684</v>
      </c>
      <c r="D169" s="242" t="s">
        <v>28732</v>
      </c>
      <c r="E169" s="949">
        <v>103</v>
      </c>
      <c r="F169" s="949">
        <v>103</v>
      </c>
      <c r="G169" s="950" t="s">
        <v>11086</v>
      </c>
      <c r="H169" s="950" t="s">
        <v>599</v>
      </c>
      <c r="I169" s="951" t="s">
        <v>13685</v>
      </c>
      <c r="J169" s="947" t="s">
        <v>13686</v>
      </c>
      <c r="K169" s="143"/>
    </row>
    <row r="170" spans="1:11">
      <c r="A170" s="946" t="s">
        <v>28614</v>
      </c>
      <c r="B170" s="947" t="s">
        <v>13724</v>
      </c>
      <c r="C170" s="948" t="s">
        <v>13722</v>
      </c>
      <c r="D170" s="242" t="s">
        <v>28732</v>
      </c>
      <c r="E170" s="949">
        <v>103</v>
      </c>
      <c r="F170" s="949">
        <v>103</v>
      </c>
      <c r="G170" s="950" t="s">
        <v>11086</v>
      </c>
      <c r="H170" s="950" t="s">
        <v>599</v>
      </c>
      <c r="I170" s="951" t="s">
        <v>13723</v>
      </c>
      <c r="J170" s="947" t="s">
        <v>13724</v>
      </c>
      <c r="K170" s="143"/>
    </row>
    <row r="171" spans="1:11">
      <c r="A171" s="946" t="s">
        <v>28614</v>
      </c>
      <c r="B171" s="947" t="s">
        <v>13828</v>
      </c>
      <c r="C171" s="948" t="s">
        <v>13826</v>
      </c>
      <c r="D171" s="242" t="s">
        <v>28732</v>
      </c>
      <c r="E171" s="949">
        <v>103</v>
      </c>
      <c r="F171" s="949">
        <v>103</v>
      </c>
      <c r="G171" s="950" t="s">
        <v>11086</v>
      </c>
      <c r="H171" s="950" t="s">
        <v>599</v>
      </c>
      <c r="I171" s="951" t="s">
        <v>13827</v>
      </c>
      <c r="J171" s="947" t="s">
        <v>13828</v>
      </c>
      <c r="K171" s="143"/>
    </row>
    <row r="172" spans="1:11">
      <c r="A172" s="946" t="s">
        <v>28614</v>
      </c>
      <c r="B172" s="947" t="s">
        <v>13831</v>
      </c>
      <c r="C172" s="948" t="s">
        <v>13829</v>
      </c>
      <c r="D172" s="242" t="s">
        <v>28732</v>
      </c>
      <c r="E172" s="949">
        <v>103</v>
      </c>
      <c r="F172" s="949">
        <v>103</v>
      </c>
      <c r="G172" s="950" t="s">
        <v>11086</v>
      </c>
      <c r="H172" s="950" t="s">
        <v>599</v>
      </c>
      <c r="I172" s="951" t="s">
        <v>13830</v>
      </c>
      <c r="J172" s="947" t="s">
        <v>13831</v>
      </c>
      <c r="K172" s="143"/>
    </row>
    <row r="173" spans="1:11">
      <c r="A173" s="946" t="s">
        <v>28614</v>
      </c>
      <c r="B173" s="947" t="s">
        <v>13937</v>
      </c>
      <c r="C173" s="948" t="s">
        <v>13935</v>
      </c>
      <c r="D173" s="242" t="s">
        <v>28732</v>
      </c>
      <c r="E173" s="949">
        <v>103</v>
      </c>
      <c r="F173" s="949">
        <v>103</v>
      </c>
      <c r="G173" s="950" t="s">
        <v>11086</v>
      </c>
      <c r="H173" s="950" t="s">
        <v>599</v>
      </c>
      <c r="I173" s="951" t="s">
        <v>13936</v>
      </c>
      <c r="J173" s="947" t="s">
        <v>13937</v>
      </c>
      <c r="K173" s="143"/>
    </row>
    <row r="174" spans="1:11">
      <c r="A174" s="946" t="s">
        <v>28614</v>
      </c>
      <c r="B174" s="947" t="s">
        <v>13957</v>
      </c>
      <c r="C174" s="948" t="s">
        <v>13955</v>
      </c>
      <c r="D174" s="242" t="s">
        <v>28732</v>
      </c>
      <c r="E174" s="949">
        <v>103</v>
      </c>
      <c r="F174" s="949">
        <v>103</v>
      </c>
      <c r="G174" s="950" t="s">
        <v>11086</v>
      </c>
      <c r="H174" s="950" t="s">
        <v>599</v>
      </c>
      <c r="I174" s="951" t="s">
        <v>13956</v>
      </c>
      <c r="J174" s="947" t="s">
        <v>13957</v>
      </c>
      <c r="K174" s="143"/>
    </row>
    <row r="175" spans="1:11">
      <c r="A175" s="946" t="s">
        <v>28614</v>
      </c>
      <c r="B175" s="947" t="s">
        <v>14090</v>
      </c>
      <c r="C175" s="948" t="s">
        <v>14088</v>
      </c>
      <c r="D175" s="242" t="s">
        <v>28732</v>
      </c>
      <c r="E175" s="949">
        <v>103</v>
      </c>
      <c r="F175" s="949">
        <v>103</v>
      </c>
      <c r="G175" s="950" t="s">
        <v>11086</v>
      </c>
      <c r="H175" s="950" t="s">
        <v>599</v>
      </c>
      <c r="I175" s="951" t="s">
        <v>14089</v>
      </c>
      <c r="J175" s="947" t="s">
        <v>14090</v>
      </c>
      <c r="K175" s="143"/>
    </row>
    <row r="176" spans="1:11">
      <c r="A176" s="946" t="s">
        <v>28614</v>
      </c>
      <c r="B176" s="947" t="s">
        <v>14192</v>
      </c>
      <c r="C176" s="948" t="s">
        <v>14190</v>
      </c>
      <c r="D176" s="242" t="s">
        <v>28732</v>
      </c>
      <c r="E176" s="949">
        <v>103</v>
      </c>
      <c r="F176" s="949">
        <v>103</v>
      </c>
      <c r="G176" s="950" t="s">
        <v>11086</v>
      </c>
      <c r="H176" s="950" t="s">
        <v>599</v>
      </c>
      <c r="I176" s="951" t="s">
        <v>14191</v>
      </c>
      <c r="J176" s="947" t="s">
        <v>14192</v>
      </c>
      <c r="K176" s="143"/>
    </row>
    <row r="177" spans="1:11">
      <c r="A177" s="946" t="s">
        <v>28614</v>
      </c>
      <c r="B177" s="947" t="s">
        <v>14244</v>
      </c>
      <c r="C177" s="948" t="s">
        <v>14242</v>
      </c>
      <c r="D177" s="242" t="s">
        <v>28732</v>
      </c>
      <c r="E177" s="949">
        <v>103</v>
      </c>
      <c r="F177" s="949">
        <v>103</v>
      </c>
      <c r="G177" s="950" t="s">
        <v>11086</v>
      </c>
      <c r="H177" s="950" t="s">
        <v>599</v>
      </c>
      <c r="I177" s="951" t="s">
        <v>14243</v>
      </c>
      <c r="J177" s="947" t="s">
        <v>14244</v>
      </c>
      <c r="K177" s="143"/>
    </row>
    <row r="178" spans="1:11">
      <c r="A178" s="946" t="s">
        <v>28614</v>
      </c>
      <c r="B178" s="947" t="s">
        <v>14364</v>
      </c>
      <c r="C178" s="948" t="s">
        <v>14362</v>
      </c>
      <c r="D178" s="242" t="s">
        <v>28732</v>
      </c>
      <c r="E178" s="949">
        <v>103</v>
      </c>
      <c r="F178" s="949">
        <v>103</v>
      </c>
      <c r="G178" s="950" t="s">
        <v>11086</v>
      </c>
      <c r="H178" s="950" t="s">
        <v>599</v>
      </c>
      <c r="I178" s="951" t="s">
        <v>14363</v>
      </c>
      <c r="J178" s="947" t="s">
        <v>14364</v>
      </c>
      <c r="K178" s="143"/>
    </row>
    <row r="179" spans="1:11">
      <c r="A179" s="946" t="s">
        <v>28614</v>
      </c>
      <c r="B179" s="947" t="s">
        <v>14373</v>
      </c>
      <c r="C179" s="948" t="s">
        <v>14371</v>
      </c>
      <c r="D179" s="242" t="s">
        <v>28732</v>
      </c>
      <c r="E179" s="949">
        <v>103</v>
      </c>
      <c r="F179" s="949">
        <v>103</v>
      </c>
      <c r="G179" s="950" t="s">
        <v>11086</v>
      </c>
      <c r="H179" s="950" t="s">
        <v>599</v>
      </c>
      <c r="I179" s="951" t="s">
        <v>14372</v>
      </c>
      <c r="J179" s="947" t="s">
        <v>14373</v>
      </c>
      <c r="K179" s="143"/>
    </row>
    <row r="180" spans="1:11">
      <c r="A180" s="946" t="s">
        <v>28614</v>
      </c>
      <c r="B180" s="947" t="s">
        <v>14391</v>
      </c>
      <c r="C180" s="948" t="s">
        <v>14389</v>
      </c>
      <c r="D180" s="242" t="s">
        <v>28732</v>
      </c>
      <c r="E180" s="949">
        <v>103</v>
      </c>
      <c r="F180" s="949">
        <v>103</v>
      </c>
      <c r="G180" s="950" t="s">
        <v>11086</v>
      </c>
      <c r="H180" s="950" t="s">
        <v>599</v>
      </c>
      <c r="I180" s="951" t="s">
        <v>14390</v>
      </c>
      <c r="J180" s="947" t="s">
        <v>14391</v>
      </c>
      <c r="K180" s="143"/>
    </row>
    <row r="181" spans="1:11">
      <c r="A181" s="946" t="s">
        <v>28614</v>
      </c>
      <c r="B181" s="947" t="s">
        <v>14523</v>
      </c>
      <c r="C181" s="948" t="s">
        <v>14521</v>
      </c>
      <c r="D181" s="242" t="s">
        <v>28732</v>
      </c>
      <c r="E181" s="949">
        <v>103</v>
      </c>
      <c r="F181" s="949">
        <v>103</v>
      </c>
      <c r="G181" s="950" t="s">
        <v>11086</v>
      </c>
      <c r="H181" s="950" t="s">
        <v>599</v>
      </c>
      <c r="I181" s="951" t="s">
        <v>14522</v>
      </c>
      <c r="J181" s="947" t="s">
        <v>14523</v>
      </c>
      <c r="K181" s="143"/>
    </row>
    <row r="182" spans="1:11">
      <c r="A182" s="946" t="s">
        <v>28614</v>
      </c>
      <c r="B182" s="947" t="s">
        <v>14526</v>
      </c>
      <c r="C182" s="948" t="s">
        <v>14524</v>
      </c>
      <c r="D182" s="242" t="s">
        <v>28732</v>
      </c>
      <c r="E182" s="949">
        <v>103</v>
      </c>
      <c r="F182" s="949">
        <v>103</v>
      </c>
      <c r="G182" s="950" t="s">
        <v>11086</v>
      </c>
      <c r="H182" s="950" t="s">
        <v>599</v>
      </c>
      <c r="I182" s="951" t="s">
        <v>14525</v>
      </c>
      <c r="J182" s="947" t="s">
        <v>14526</v>
      </c>
      <c r="K182" s="143"/>
    </row>
    <row r="183" spans="1:11">
      <c r="A183" s="946" t="s">
        <v>28614</v>
      </c>
      <c r="B183" s="947" t="s">
        <v>14529</v>
      </c>
      <c r="C183" s="948" t="s">
        <v>14527</v>
      </c>
      <c r="D183" s="242" t="s">
        <v>28732</v>
      </c>
      <c r="E183" s="949">
        <v>103</v>
      </c>
      <c r="F183" s="949">
        <v>103</v>
      </c>
      <c r="G183" s="950" t="s">
        <v>11086</v>
      </c>
      <c r="H183" s="950" t="s">
        <v>599</v>
      </c>
      <c r="I183" s="951" t="s">
        <v>14528</v>
      </c>
      <c r="J183" s="947" t="s">
        <v>14529</v>
      </c>
      <c r="K183" s="143"/>
    </row>
    <row r="184" spans="1:11">
      <c r="A184" s="946" t="s">
        <v>28614</v>
      </c>
      <c r="B184" s="947" t="s">
        <v>14547</v>
      </c>
      <c r="C184" s="948" t="s">
        <v>14545</v>
      </c>
      <c r="D184" s="242" t="s">
        <v>28732</v>
      </c>
      <c r="E184" s="949">
        <v>103</v>
      </c>
      <c r="F184" s="949">
        <v>103</v>
      </c>
      <c r="G184" s="950" t="s">
        <v>11086</v>
      </c>
      <c r="H184" s="950" t="s">
        <v>599</v>
      </c>
      <c r="I184" s="951" t="s">
        <v>14546</v>
      </c>
      <c r="J184" s="947" t="s">
        <v>14547</v>
      </c>
      <c r="K184" s="143"/>
    </row>
    <row r="185" spans="1:11">
      <c r="A185" s="946" t="s">
        <v>28614</v>
      </c>
      <c r="B185" s="947" t="s">
        <v>14622</v>
      </c>
      <c r="C185" s="948" t="s">
        <v>14620</v>
      </c>
      <c r="D185" s="242" t="s">
        <v>28732</v>
      </c>
      <c r="E185" s="949">
        <v>103</v>
      </c>
      <c r="F185" s="949">
        <v>103</v>
      </c>
      <c r="G185" s="950" t="s">
        <v>11086</v>
      </c>
      <c r="H185" s="950" t="s">
        <v>599</v>
      </c>
      <c r="I185" s="951" t="s">
        <v>14621</v>
      </c>
      <c r="J185" s="947" t="s">
        <v>14622</v>
      </c>
      <c r="K185" s="143"/>
    </row>
    <row r="186" spans="1:11">
      <c r="A186" s="946" t="s">
        <v>28614</v>
      </c>
      <c r="B186" s="947" t="s">
        <v>14740</v>
      </c>
      <c r="C186" s="948" t="s">
        <v>14738</v>
      </c>
      <c r="D186" s="242" t="s">
        <v>28732</v>
      </c>
      <c r="E186" s="949">
        <v>103</v>
      </c>
      <c r="F186" s="949">
        <v>103</v>
      </c>
      <c r="G186" s="950" t="s">
        <v>11086</v>
      </c>
      <c r="H186" s="950" t="s">
        <v>599</v>
      </c>
      <c r="I186" s="951" t="s">
        <v>14739</v>
      </c>
      <c r="J186" s="947" t="s">
        <v>14740</v>
      </c>
      <c r="K186" s="143"/>
    </row>
    <row r="187" spans="1:11">
      <c r="A187" s="946" t="s">
        <v>28614</v>
      </c>
      <c r="B187" s="947" t="s">
        <v>15003</v>
      </c>
      <c r="C187" s="948" t="s">
        <v>15001</v>
      </c>
      <c r="D187" s="242" t="s">
        <v>28732</v>
      </c>
      <c r="E187" s="949">
        <v>103</v>
      </c>
      <c r="F187" s="949">
        <v>103</v>
      </c>
      <c r="G187" s="950" t="s">
        <v>11086</v>
      </c>
      <c r="H187" s="950" t="s">
        <v>599</v>
      </c>
      <c r="I187" s="951" t="s">
        <v>15002</v>
      </c>
      <c r="J187" s="947" t="s">
        <v>15003</v>
      </c>
      <c r="K187" s="143"/>
    </row>
    <row r="188" spans="1:11">
      <c r="A188" s="946" t="s">
        <v>28614</v>
      </c>
      <c r="B188" s="947" t="s">
        <v>15009</v>
      </c>
      <c r="C188" s="948" t="s">
        <v>15007</v>
      </c>
      <c r="D188" s="242" t="s">
        <v>28732</v>
      </c>
      <c r="E188" s="949">
        <v>103</v>
      </c>
      <c r="F188" s="949">
        <v>103</v>
      </c>
      <c r="G188" s="950" t="s">
        <v>11086</v>
      </c>
      <c r="H188" s="950" t="s">
        <v>599</v>
      </c>
      <c r="I188" s="951" t="s">
        <v>15008</v>
      </c>
      <c r="J188" s="947" t="s">
        <v>15009</v>
      </c>
      <c r="K188" s="143"/>
    </row>
    <row r="189" spans="1:11">
      <c r="A189" s="946" t="s">
        <v>28614</v>
      </c>
      <c r="B189" s="947" t="s">
        <v>15018</v>
      </c>
      <c r="C189" s="948" t="s">
        <v>15016</v>
      </c>
      <c r="D189" s="242" t="s">
        <v>28732</v>
      </c>
      <c r="E189" s="949">
        <v>103</v>
      </c>
      <c r="F189" s="949">
        <v>103</v>
      </c>
      <c r="G189" s="950" t="s">
        <v>11086</v>
      </c>
      <c r="H189" s="950" t="s">
        <v>599</v>
      </c>
      <c r="I189" s="951" t="s">
        <v>15017</v>
      </c>
      <c r="J189" s="947" t="s">
        <v>15018</v>
      </c>
      <c r="K189" s="143"/>
    </row>
    <row r="190" spans="1:11">
      <c r="A190" s="946" t="s">
        <v>28614</v>
      </c>
      <c r="B190" s="947" t="s">
        <v>15033</v>
      </c>
      <c r="C190" s="948" t="s">
        <v>15031</v>
      </c>
      <c r="D190" s="242" t="s">
        <v>28732</v>
      </c>
      <c r="E190" s="949">
        <v>103</v>
      </c>
      <c r="F190" s="949">
        <v>103</v>
      </c>
      <c r="G190" s="950" t="s">
        <v>11086</v>
      </c>
      <c r="H190" s="950" t="s">
        <v>599</v>
      </c>
      <c r="I190" s="951" t="s">
        <v>15032</v>
      </c>
      <c r="J190" s="947" t="s">
        <v>15033</v>
      </c>
      <c r="K190" s="143"/>
    </row>
    <row r="191" spans="1:11">
      <c r="A191" s="946" t="s">
        <v>28614</v>
      </c>
      <c r="B191" s="947" t="s">
        <v>15051</v>
      </c>
      <c r="C191" s="948" t="s">
        <v>15049</v>
      </c>
      <c r="D191" s="242" t="s">
        <v>28732</v>
      </c>
      <c r="E191" s="949">
        <v>103</v>
      </c>
      <c r="F191" s="949">
        <v>103</v>
      </c>
      <c r="G191" s="950" t="s">
        <v>11086</v>
      </c>
      <c r="H191" s="950" t="s">
        <v>599</v>
      </c>
      <c r="I191" s="951" t="s">
        <v>15050</v>
      </c>
      <c r="J191" s="947" t="s">
        <v>15051</v>
      </c>
      <c r="K191" s="143"/>
    </row>
    <row r="192" spans="1:11">
      <c r="A192" s="946" t="s">
        <v>28614</v>
      </c>
      <c r="B192" s="947" t="s">
        <v>15078</v>
      </c>
      <c r="C192" s="948" t="s">
        <v>15076</v>
      </c>
      <c r="D192" s="242" t="s">
        <v>28732</v>
      </c>
      <c r="E192" s="949">
        <v>103</v>
      </c>
      <c r="F192" s="949">
        <v>103</v>
      </c>
      <c r="G192" s="950" t="s">
        <v>11086</v>
      </c>
      <c r="H192" s="950" t="s">
        <v>599</v>
      </c>
      <c r="I192" s="951" t="s">
        <v>15077</v>
      </c>
      <c r="J192" s="947" t="s">
        <v>15078</v>
      </c>
      <c r="K192" s="143"/>
    </row>
    <row r="193" spans="1:11">
      <c r="A193" s="946" t="s">
        <v>28614</v>
      </c>
      <c r="B193" s="947" t="s">
        <v>15106</v>
      </c>
      <c r="C193" s="948" t="s">
        <v>15104</v>
      </c>
      <c r="D193" s="242" t="s">
        <v>516</v>
      </c>
      <c r="E193" s="949">
        <v>102</v>
      </c>
      <c r="F193" s="949">
        <v>102</v>
      </c>
      <c r="G193" s="950" t="s">
        <v>11086</v>
      </c>
      <c r="H193" s="950" t="s">
        <v>599</v>
      </c>
      <c r="I193" s="951" t="s">
        <v>15105</v>
      </c>
      <c r="J193" s="947" t="s">
        <v>15106</v>
      </c>
      <c r="K193" s="143"/>
    </row>
    <row r="194" spans="1:11">
      <c r="A194" s="946" t="s">
        <v>28614</v>
      </c>
      <c r="B194" s="947" t="s">
        <v>15241</v>
      </c>
      <c r="C194" s="948" t="s">
        <v>15239</v>
      </c>
      <c r="D194" s="242" t="s">
        <v>28732</v>
      </c>
      <c r="E194" s="949">
        <v>103</v>
      </c>
      <c r="F194" s="949">
        <v>103</v>
      </c>
      <c r="G194" s="950" t="s">
        <v>11086</v>
      </c>
      <c r="H194" s="950" t="s">
        <v>599</v>
      </c>
      <c r="I194" s="951" t="s">
        <v>15240</v>
      </c>
      <c r="J194" s="947" t="s">
        <v>15241</v>
      </c>
      <c r="K194" s="143"/>
    </row>
    <row r="195" spans="1:11">
      <c r="A195" s="946" t="s">
        <v>28614</v>
      </c>
      <c r="B195" s="947" t="s">
        <v>15318</v>
      </c>
      <c r="C195" s="948" t="s">
        <v>15316</v>
      </c>
      <c r="D195" s="242" t="s">
        <v>28732</v>
      </c>
      <c r="E195" s="949">
        <v>103</v>
      </c>
      <c r="F195" s="949">
        <v>103</v>
      </c>
      <c r="G195" s="950" t="s">
        <v>11086</v>
      </c>
      <c r="H195" s="950" t="s">
        <v>599</v>
      </c>
      <c r="I195" s="951" t="s">
        <v>15317</v>
      </c>
      <c r="J195" s="947" t="s">
        <v>15318</v>
      </c>
      <c r="K195" s="143"/>
    </row>
    <row r="196" spans="1:11">
      <c r="A196" s="946" t="s">
        <v>28614</v>
      </c>
      <c r="B196" s="947" t="s">
        <v>31132</v>
      </c>
      <c r="C196" s="948" t="s">
        <v>31133</v>
      </c>
      <c r="D196" s="242" t="s">
        <v>28732</v>
      </c>
      <c r="E196" s="949">
        <v>103</v>
      </c>
      <c r="F196" s="949">
        <v>103</v>
      </c>
      <c r="G196" s="950" t="s">
        <v>11086</v>
      </c>
      <c r="H196" s="950" t="s">
        <v>599</v>
      </c>
      <c r="I196" s="951" t="s">
        <v>15372</v>
      </c>
      <c r="J196" s="947" t="s">
        <v>31132</v>
      </c>
      <c r="K196" s="143"/>
    </row>
    <row r="197" spans="1:11">
      <c r="A197" s="946" t="s">
        <v>28614</v>
      </c>
      <c r="B197" s="947" t="s">
        <v>15535</v>
      </c>
      <c r="C197" s="948" t="s">
        <v>15533</v>
      </c>
      <c r="D197" s="242" t="s">
        <v>28732</v>
      </c>
      <c r="E197" s="949">
        <v>103</v>
      </c>
      <c r="F197" s="949">
        <v>103</v>
      </c>
      <c r="G197" s="950" t="s">
        <v>11086</v>
      </c>
      <c r="H197" s="950" t="s">
        <v>599</v>
      </c>
      <c r="I197" s="951" t="s">
        <v>15534</v>
      </c>
      <c r="J197" s="947" t="s">
        <v>15535</v>
      </c>
      <c r="K197" s="143"/>
    </row>
    <row r="198" spans="1:11">
      <c r="A198" s="946" t="s">
        <v>28614</v>
      </c>
      <c r="B198" s="947" t="s">
        <v>15709</v>
      </c>
      <c r="C198" s="948" t="s">
        <v>15707</v>
      </c>
      <c r="D198" s="242" t="s">
        <v>28732</v>
      </c>
      <c r="E198" s="949">
        <v>103</v>
      </c>
      <c r="F198" s="949">
        <v>103</v>
      </c>
      <c r="G198" s="950" t="s">
        <v>11086</v>
      </c>
      <c r="H198" s="950" t="s">
        <v>599</v>
      </c>
      <c r="I198" s="951" t="s">
        <v>15708</v>
      </c>
      <c r="J198" s="947" t="s">
        <v>15709</v>
      </c>
      <c r="K198" s="143"/>
    </row>
    <row r="199" spans="1:11">
      <c r="A199" s="946" t="s">
        <v>28614</v>
      </c>
      <c r="B199" s="947" t="s">
        <v>15721</v>
      </c>
      <c r="C199" s="948" t="s">
        <v>15719</v>
      </c>
      <c r="D199" s="242" t="s">
        <v>28732</v>
      </c>
      <c r="E199" s="949">
        <v>103</v>
      </c>
      <c r="F199" s="949">
        <v>103</v>
      </c>
      <c r="G199" s="950" t="s">
        <v>11086</v>
      </c>
      <c r="H199" s="950" t="s">
        <v>599</v>
      </c>
      <c r="I199" s="951" t="s">
        <v>15720</v>
      </c>
      <c r="J199" s="947" t="s">
        <v>15721</v>
      </c>
      <c r="K199" s="143"/>
    </row>
    <row r="200" spans="1:11">
      <c r="A200" s="946" t="s">
        <v>28614</v>
      </c>
      <c r="B200" s="947" t="s">
        <v>15724</v>
      </c>
      <c r="C200" s="948" t="s">
        <v>15722</v>
      </c>
      <c r="D200" s="242" t="s">
        <v>28732</v>
      </c>
      <c r="E200" s="949">
        <v>103</v>
      </c>
      <c r="F200" s="949">
        <v>103</v>
      </c>
      <c r="G200" s="950" t="s">
        <v>11086</v>
      </c>
      <c r="H200" s="950" t="s">
        <v>599</v>
      </c>
      <c r="I200" s="951" t="s">
        <v>15723</v>
      </c>
      <c r="J200" s="947" t="s">
        <v>15724</v>
      </c>
      <c r="K200" s="143"/>
    </row>
    <row r="201" spans="1:11">
      <c r="A201" s="946" t="s">
        <v>28614</v>
      </c>
      <c r="B201" s="947" t="s">
        <v>15733</v>
      </c>
      <c r="C201" s="948" t="s">
        <v>15731</v>
      </c>
      <c r="D201" s="242" t="s">
        <v>28732</v>
      </c>
      <c r="E201" s="949">
        <v>103</v>
      </c>
      <c r="F201" s="949">
        <v>103</v>
      </c>
      <c r="G201" s="950" t="s">
        <v>11086</v>
      </c>
      <c r="H201" s="950" t="s">
        <v>599</v>
      </c>
      <c r="I201" s="951" t="s">
        <v>15732</v>
      </c>
      <c r="J201" s="947" t="s">
        <v>15733</v>
      </c>
      <c r="K201" s="143"/>
    </row>
    <row r="202" spans="1:11">
      <c r="A202" s="946" t="s">
        <v>28614</v>
      </c>
      <c r="B202" s="947" t="s">
        <v>15739</v>
      </c>
      <c r="C202" s="948" t="s">
        <v>15737</v>
      </c>
      <c r="D202" s="242" t="s">
        <v>28732</v>
      </c>
      <c r="E202" s="949">
        <v>103</v>
      </c>
      <c r="F202" s="949">
        <v>103</v>
      </c>
      <c r="G202" s="950" t="s">
        <v>11086</v>
      </c>
      <c r="H202" s="950" t="s">
        <v>599</v>
      </c>
      <c r="I202" s="951" t="s">
        <v>15738</v>
      </c>
      <c r="J202" s="947" t="s">
        <v>15739</v>
      </c>
      <c r="K202" s="143"/>
    </row>
    <row r="203" spans="1:11">
      <c r="A203" s="946" t="s">
        <v>28614</v>
      </c>
      <c r="B203" s="947" t="s">
        <v>15745</v>
      </c>
      <c r="C203" s="948" t="s">
        <v>15743</v>
      </c>
      <c r="D203" s="242" t="s">
        <v>28732</v>
      </c>
      <c r="E203" s="949">
        <v>103</v>
      </c>
      <c r="F203" s="949">
        <v>103</v>
      </c>
      <c r="G203" s="950" t="s">
        <v>11086</v>
      </c>
      <c r="H203" s="950" t="s">
        <v>599</v>
      </c>
      <c r="I203" s="951" t="s">
        <v>15744</v>
      </c>
      <c r="J203" s="947" t="s">
        <v>15745</v>
      </c>
      <c r="K203" s="143"/>
    </row>
    <row r="204" spans="1:11">
      <c r="A204" s="946" t="s">
        <v>28614</v>
      </c>
      <c r="B204" s="947" t="s">
        <v>15766</v>
      </c>
      <c r="C204" s="948" t="s">
        <v>15764</v>
      </c>
      <c r="D204" s="242" t="s">
        <v>28732</v>
      </c>
      <c r="E204" s="949">
        <v>103</v>
      </c>
      <c r="F204" s="949">
        <v>103</v>
      </c>
      <c r="G204" s="950" t="s">
        <v>11086</v>
      </c>
      <c r="H204" s="950" t="s">
        <v>599</v>
      </c>
      <c r="I204" s="951" t="s">
        <v>15765</v>
      </c>
      <c r="J204" s="947" t="s">
        <v>15766</v>
      </c>
      <c r="K204" s="143"/>
    </row>
    <row r="205" spans="1:11">
      <c r="A205" s="946" t="s">
        <v>28614</v>
      </c>
      <c r="B205" s="947" t="s">
        <v>15951</v>
      </c>
      <c r="C205" s="948" t="s">
        <v>15949</v>
      </c>
      <c r="D205" s="242" t="s">
        <v>28732</v>
      </c>
      <c r="E205" s="949">
        <v>103</v>
      </c>
      <c r="F205" s="949">
        <v>103</v>
      </c>
      <c r="G205" s="950" t="s">
        <v>11086</v>
      </c>
      <c r="H205" s="950" t="s">
        <v>599</v>
      </c>
      <c r="I205" s="951" t="s">
        <v>15950</v>
      </c>
      <c r="J205" s="947" t="s">
        <v>15951</v>
      </c>
      <c r="K205" s="143"/>
    </row>
    <row r="206" spans="1:11">
      <c r="A206" s="946" t="s">
        <v>28614</v>
      </c>
      <c r="B206" s="947" t="s">
        <v>15986</v>
      </c>
      <c r="C206" s="948" t="s">
        <v>15984</v>
      </c>
      <c r="D206" s="242" t="s">
        <v>28732</v>
      </c>
      <c r="E206" s="949">
        <v>103</v>
      </c>
      <c r="F206" s="949">
        <v>103</v>
      </c>
      <c r="G206" s="950" t="s">
        <v>11086</v>
      </c>
      <c r="H206" s="950" t="s">
        <v>599</v>
      </c>
      <c r="I206" s="951" t="s">
        <v>15985</v>
      </c>
      <c r="J206" s="947" t="s">
        <v>15986</v>
      </c>
      <c r="K206" s="143"/>
    </row>
    <row r="207" spans="1:11">
      <c r="A207" s="946" t="s">
        <v>28614</v>
      </c>
      <c r="B207" s="947" t="s">
        <v>15998</v>
      </c>
      <c r="C207" s="948" t="s">
        <v>15996</v>
      </c>
      <c r="D207" s="242" t="s">
        <v>28732</v>
      </c>
      <c r="E207" s="949">
        <v>103</v>
      </c>
      <c r="F207" s="949">
        <v>103</v>
      </c>
      <c r="G207" s="950" t="s">
        <v>11086</v>
      </c>
      <c r="H207" s="950" t="s">
        <v>599</v>
      </c>
      <c r="I207" s="951" t="s">
        <v>15997</v>
      </c>
      <c r="J207" s="947" t="s">
        <v>15998</v>
      </c>
      <c r="K207" s="143"/>
    </row>
    <row r="208" spans="1:11">
      <c r="A208" s="946" t="s">
        <v>28614</v>
      </c>
      <c r="B208" s="947" t="s">
        <v>16145</v>
      </c>
      <c r="C208" s="948" t="s">
        <v>16143</v>
      </c>
      <c r="D208" s="242" t="s">
        <v>28732</v>
      </c>
      <c r="E208" s="949">
        <v>103</v>
      </c>
      <c r="F208" s="949">
        <v>103</v>
      </c>
      <c r="G208" s="950" t="s">
        <v>11086</v>
      </c>
      <c r="H208" s="950" t="s">
        <v>599</v>
      </c>
      <c r="I208" s="951" t="s">
        <v>16144</v>
      </c>
      <c r="J208" s="947" t="s">
        <v>16145</v>
      </c>
      <c r="K208" s="143"/>
    </row>
    <row r="209" spans="1:11">
      <c r="A209" s="946" t="s">
        <v>28614</v>
      </c>
      <c r="B209" s="947" t="s">
        <v>16267</v>
      </c>
      <c r="C209" s="948" t="s">
        <v>16265</v>
      </c>
      <c r="D209" s="242" t="s">
        <v>28732</v>
      </c>
      <c r="E209" s="949">
        <v>103</v>
      </c>
      <c r="F209" s="949">
        <v>103</v>
      </c>
      <c r="G209" s="950" t="s">
        <v>11086</v>
      </c>
      <c r="H209" s="950" t="s">
        <v>599</v>
      </c>
      <c r="I209" s="951" t="s">
        <v>16266</v>
      </c>
      <c r="J209" s="947" t="s">
        <v>16267</v>
      </c>
      <c r="K209" s="143"/>
    </row>
    <row r="210" spans="1:11">
      <c r="A210" s="946" t="s">
        <v>28614</v>
      </c>
      <c r="B210" s="947" t="s">
        <v>16396</v>
      </c>
      <c r="C210" s="948" t="s">
        <v>16394</v>
      </c>
      <c r="D210" s="242" t="s">
        <v>28732</v>
      </c>
      <c r="E210" s="949">
        <v>103</v>
      </c>
      <c r="F210" s="949">
        <v>103</v>
      </c>
      <c r="G210" s="950" t="s">
        <v>11086</v>
      </c>
      <c r="H210" s="950" t="s">
        <v>599</v>
      </c>
      <c r="I210" s="951" t="s">
        <v>16395</v>
      </c>
      <c r="J210" s="947" t="s">
        <v>16396</v>
      </c>
      <c r="K210" s="143"/>
    </row>
    <row r="211" spans="1:11">
      <c r="A211" s="946" t="s">
        <v>28614</v>
      </c>
      <c r="B211" s="947" t="s">
        <v>16402</v>
      </c>
      <c r="C211" s="948" t="s">
        <v>16400</v>
      </c>
      <c r="D211" s="242" t="s">
        <v>28732</v>
      </c>
      <c r="E211" s="949">
        <v>103</v>
      </c>
      <c r="F211" s="949">
        <v>103</v>
      </c>
      <c r="G211" s="950" t="s">
        <v>11086</v>
      </c>
      <c r="H211" s="950" t="s">
        <v>599</v>
      </c>
      <c r="I211" s="951" t="s">
        <v>16401</v>
      </c>
      <c r="J211" s="947" t="s">
        <v>16402</v>
      </c>
      <c r="K211" s="143"/>
    </row>
    <row r="212" spans="1:11">
      <c r="A212" s="946" t="s">
        <v>28614</v>
      </c>
      <c r="B212" s="947" t="s">
        <v>16393</v>
      </c>
      <c r="C212" s="948" t="s">
        <v>16391</v>
      </c>
      <c r="D212" s="242" t="s">
        <v>28732</v>
      </c>
      <c r="E212" s="949">
        <v>103</v>
      </c>
      <c r="F212" s="949">
        <v>103</v>
      </c>
      <c r="G212" s="950" t="s">
        <v>11086</v>
      </c>
      <c r="H212" s="950" t="s">
        <v>599</v>
      </c>
      <c r="I212" s="951" t="s">
        <v>16392</v>
      </c>
      <c r="J212" s="947" t="s">
        <v>16393</v>
      </c>
      <c r="K212" s="143"/>
    </row>
    <row r="213" spans="1:11">
      <c r="A213" s="946" t="s">
        <v>28614</v>
      </c>
      <c r="B213" s="947" t="s">
        <v>16411</v>
      </c>
      <c r="C213" s="948" t="s">
        <v>16409</v>
      </c>
      <c r="D213" s="242" t="s">
        <v>28732</v>
      </c>
      <c r="E213" s="949">
        <v>103</v>
      </c>
      <c r="F213" s="949">
        <v>103</v>
      </c>
      <c r="G213" s="950" t="s">
        <v>11086</v>
      </c>
      <c r="H213" s="950" t="s">
        <v>599</v>
      </c>
      <c r="I213" s="951" t="s">
        <v>16410</v>
      </c>
      <c r="J213" s="947" t="s">
        <v>16411</v>
      </c>
      <c r="K213" s="143"/>
    </row>
    <row r="214" spans="1:11">
      <c r="A214" s="946" t="s">
        <v>28614</v>
      </c>
      <c r="B214" s="947" t="s">
        <v>16414</v>
      </c>
      <c r="C214" s="948" t="s">
        <v>16412</v>
      </c>
      <c r="D214" s="242" t="s">
        <v>28732</v>
      </c>
      <c r="E214" s="949">
        <v>103</v>
      </c>
      <c r="F214" s="949">
        <v>103</v>
      </c>
      <c r="G214" s="950" t="s">
        <v>11086</v>
      </c>
      <c r="H214" s="950" t="s">
        <v>599</v>
      </c>
      <c r="I214" s="951" t="s">
        <v>16413</v>
      </c>
      <c r="J214" s="947" t="s">
        <v>16414</v>
      </c>
      <c r="K214" s="143"/>
    </row>
    <row r="215" spans="1:11">
      <c r="A215" s="946" t="s">
        <v>28614</v>
      </c>
      <c r="B215" s="947" t="s">
        <v>16426</v>
      </c>
      <c r="C215" s="948" t="s">
        <v>16424</v>
      </c>
      <c r="D215" s="242" t="s">
        <v>28732</v>
      </c>
      <c r="E215" s="949">
        <v>103</v>
      </c>
      <c r="F215" s="949">
        <v>103</v>
      </c>
      <c r="G215" s="950" t="s">
        <v>11086</v>
      </c>
      <c r="H215" s="950" t="s">
        <v>599</v>
      </c>
      <c r="I215" s="951" t="s">
        <v>16425</v>
      </c>
      <c r="J215" s="947" t="s">
        <v>16426</v>
      </c>
      <c r="K215" s="143"/>
    </row>
    <row r="216" spans="1:11">
      <c r="A216" s="946" t="s">
        <v>28614</v>
      </c>
      <c r="B216" s="947" t="s">
        <v>16447</v>
      </c>
      <c r="C216" s="948" t="s">
        <v>16445</v>
      </c>
      <c r="D216" s="242" t="s">
        <v>28732</v>
      </c>
      <c r="E216" s="949">
        <v>103</v>
      </c>
      <c r="F216" s="949">
        <v>103</v>
      </c>
      <c r="G216" s="950" t="s">
        <v>11086</v>
      </c>
      <c r="H216" s="950" t="s">
        <v>599</v>
      </c>
      <c r="I216" s="951" t="s">
        <v>16446</v>
      </c>
      <c r="J216" s="947" t="s">
        <v>16447</v>
      </c>
      <c r="K216" s="143"/>
    </row>
    <row r="217" spans="1:11">
      <c r="A217" s="946" t="s">
        <v>28614</v>
      </c>
      <c r="B217" s="947" t="s">
        <v>16474</v>
      </c>
      <c r="C217" s="948" t="s">
        <v>16472</v>
      </c>
      <c r="D217" s="242" t="s">
        <v>28732</v>
      </c>
      <c r="E217" s="949">
        <v>103</v>
      </c>
      <c r="F217" s="949">
        <v>103</v>
      </c>
      <c r="G217" s="950" t="s">
        <v>11086</v>
      </c>
      <c r="H217" s="950" t="s">
        <v>599</v>
      </c>
      <c r="I217" s="951" t="s">
        <v>16473</v>
      </c>
      <c r="J217" s="947" t="s">
        <v>16474</v>
      </c>
      <c r="K217" s="143"/>
    </row>
    <row r="218" spans="1:11">
      <c r="A218" s="946" t="s">
        <v>28614</v>
      </c>
      <c r="B218" s="947" t="s">
        <v>16504</v>
      </c>
      <c r="C218" s="948" t="s">
        <v>16502</v>
      </c>
      <c r="D218" s="242" t="s">
        <v>28732</v>
      </c>
      <c r="E218" s="949">
        <v>103</v>
      </c>
      <c r="F218" s="949">
        <v>103</v>
      </c>
      <c r="G218" s="950" t="s">
        <v>11086</v>
      </c>
      <c r="H218" s="950" t="s">
        <v>599</v>
      </c>
      <c r="I218" s="951" t="s">
        <v>16503</v>
      </c>
      <c r="J218" s="947" t="s">
        <v>16504</v>
      </c>
      <c r="K218" s="143"/>
    </row>
    <row r="219" spans="1:11">
      <c r="A219" s="946" t="s">
        <v>28614</v>
      </c>
      <c r="B219" s="947" t="s">
        <v>16806</v>
      </c>
      <c r="C219" s="948" t="s">
        <v>16804</v>
      </c>
      <c r="D219" s="242" t="s">
        <v>28732</v>
      </c>
      <c r="E219" s="949">
        <v>103</v>
      </c>
      <c r="F219" s="949">
        <v>103</v>
      </c>
      <c r="G219" s="950" t="s">
        <v>11086</v>
      </c>
      <c r="H219" s="950" t="s">
        <v>599</v>
      </c>
      <c r="I219" s="951" t="s">
        <v>16805</v>
      </c>
      <c r="J219" s="947" t="s">
        <v>16806</v>
      </c>
      <c r="K219" s="143"/>
    </row>
    <row r="220" spans="1:11">
      <c r="A220" s="946" t="s">
        <v>28614</v>
      </c>
      <c r="B220" s="947" t="s">
        <v>16829</v>
      </c>
      <c r="C220" s="948" t="s">
        <v>16827</v>
      </c>
      <c r="D220" s="242" t="s">
        <v>28732</v>
      </c>
      <c r="E220" s="949">
        <v>103</v>
      </c>
      <c r="F220" s="949">
        <v>103</v>
      </c>
      <c r="G220" s="950" t="s">
        <v>11086</v>
      </c>
      <c r="H220" s="950" t="s">
        <v>599</v>
      </c>
      <c r="I220" s="951" t="s">
        <v>16828</v>
      </c>
      <c r="J220" s="947" t="s">
        <v>16829</v>
      </c>
      <c r="K220" s="143"/>
    </row>
    <row r="221" spans="1:11">
      <c r="A221" s="946" t="s">
        <v>28614</v>
      </c>
      <c r="B221" s="947" t="s">
        <v>16889</v>
      </c>
      <c r="C221" s="948" t="s">
        <v>16887</v>
      </c>
      <c r="D221" s="242" t="s">
        <v>28732</v>
      </c>
      <c r="E221" s="949">
        <v>103</v>
      </c>
      <c r="F221" s="949">
        <v>103</v>
      </c>
      <c r="G221" s="950" t="s">
        <v>11086</v>
      </c>
      <c r="H221" s="950" t="s">
        <v>599</v>
      </c>
      <c r="I221" s="951" t="s">
        <v>16888</v>
      </c>
      <c r="J221" s="947" t="s">
        <v>16889</v>
      </c>
      <c r="K221" s="143"/>
    </row>
    <row r="222" spans="1:11">
      <c r="A222" s="946" t="s">
        <v>28614</v>
      </c>
      <c r="B222" s="947" t="s">
        <v>16910</v>
      </c>
      <c r="C222" s="948" t="s">
        <v>16908</v>
      </c>
      <c r="D222" s="242" t="s">
        <v>28732</v>
      </c>
      <c r="E222" s="949">
        <v>103</v>
      </c>
      <c r="F222" s="949">
        <v>103</v>
      </c>
      <c r="G222" s="950" t="s">
        <v>11086</v>
      </c>
      <c r="H222" s="950" t="s">
        <v>599</v>
      </c>
      <c r="I222" s="951" t="s">
        <v>16909</v>
      </c>
      <c r="J222" s="947" t="s">
        <v>16910</v>
      </c>
      <c r="K222" s="143"/>
    </row>
    <row r="223" spans="1:11">
      <c r="A223" s="946" t="s">
        <v>28614</v>
      </c>
      <c r="B223" s="947" t="s">
        <v>16925</v>
      </c>
      <c r="C223" s="948" t="s">
        <v>16923</v>
      </c>
      <c r="D223" s="242" t="s">
        <v>28732</v>
      </c>
      <c r="E223" s="949">
        <v>103</v>
      </c>
      <c r="F223" s="949">
        <v>103</v>
      </c>
      <c r="G223" s="950" t="s">
        <v>11086</v>
      </c>
      <c r="H223" s="950" t="s">
        <v>599</v>
      </c>
      <c r="I223" s="951" t="s">
        <v>16924</v>
      </c>
      <c r="J223" s="947" t="s">
        <v>16925</v>
      </c>
      <c r="K223" s="143"/>
    </row>
    <row r="224" spans="1:11">
      <c r="A224" s="946" t="s">
        <v>28614</v>
      </c>
      <c r="B224" s="947" t="s">
        <v>17021</v>
      </c>
      <c r="C224" s="948" t="s">
        <v>17019</v>
      </c>
      <c r="D224" s="242" t="s">
        <v>28732</v>
      </c>
      <c r="E224" s="949">
        <v>103</v>
      </c>
      <c r="F224" s="949">
        <v>103</v>
      </c>
      <c r="G224" s="950" t="s">
        <v>11086</v>
      </c>
      <c r="H224" s="950" t="s">
        <v>599</v>
      </c>
      <c r="I224" s="951" t="s">
        <v>17020</v>
      </c>
      <c r="J224" s="947" t="s">
        <v>17021</v>
      </c>
      <c r="K224" s="143"/>
    </row>
    <row r="225" spans="1:11">
      <c r="A225" s="946" t="s">
        <v>28614</v>
      </c>
      <c r="B225" s="947" t="s">
        <v>16991</v>
      </c>
      <c r="C225" s="948" t="s">
        <v>16989</v>
      </c>
      <c r="D225" s="242" t="s">
        <v>28732</v>
      </c>
      <c r="E225" s="949">
        <v>103</v>
      </c>
      <c r="F225" s="949">
        <v>103</v>
      </c>
      <c r="G225" s="950" t="s">
        <v>11086</v>
      </c>
      <c r="H225" s="950" t="s">
        <v>599</v>
      </c>
      <c r="I225" s="951" t="s">
        <v>16990</v>
      </c>
      <c r="J225" s="947" t="s">
        <v>16991</v>
      </c>
      <c r="K225" s="143"/>
    </row>
    <row r="226" spans="1:11">
      <c r="A226" s="946" t="s">
        <v>28614</v>
      </c>
      <c r="B226" s="947" t="s">
        <v>17084</v>
      </c>
      <c r="C226" s="948" t="s">
        <v>17082</v>
      </c>
      <c r="D226" s="242" t="s">
        <v>28732</v>
      </c>
      <c r="E226" s="949">
        <v>103</v>
      </c>
      <c r="F226" s="949">
        <v>103</v>
      </c>
      <c r="G226" s="950" t="s">
        <v>11086</v>
      </c>
      <c r="H226" s="950" t="s">
        <v>599</v>
      </c>
      <c r="I226" s="951" t="s">
        <v>17083</v>
      </c>
      <c r="J226" s="947" t="s">
        <v>17084</v>
      </c>
      <c r="K226" s="143"/>
    </row>
    <row r="227" spans="1:11">
      <c r="A227" s="946" t="s">
        <v>28614</v>
      </c>
      <c r="B227" s="947" t="s">
        <v>17096</v>
      </c>
      <c r="C227" s="948" t="s">
        <v>17094</v>
      </c>
      <c r="D227" s="242" t="s">
        <v>28732</v>
      </c>
      <c r="E227" s="949">
        <v>103</v>
      </c>
      <c r="F227" s="949">
        <v>103</v>
      </c>
      <c r="G227" s="950" t="s">
        <v>11086</v>
      </c>
      <c r="H227" s="950" t="s">
        <v>599</v>
      </c>
      <c r="I227" s="951" t="s">
        <v>17095</v>
      </c>
      <c r="J227" s="947" t="s">
        <v>17096</v>
      </c>
      <c r="K227" s="143"/>
    </row>
    <row r="228" spans="1:11">
      <c r="A228" s="946" t="s">
        <v>28614</v>
      </c>
      <c r="B228" s="947" t="s">
        <v>17224</v>
      </c>
      <c r="C228" s="948" t="s">
        <v>17222</v>
      </c>
      <c r="D228" s="242" t="s">
        <v>28732</v>
      </c>
      <c r="E228" s="949">
        <v>103</v>
      </c>
      <c r="F228" s="949">
        <v>103</v>
      </c>
      <c r="G228" s="950" t="s">
        <v>11086</v>
      </c>
      <c r="H228" s="950" t="s">
        <v>599</v>
      </c>
      <c r="I228" s="951" t="s">
        <v>17223</v>
      </c>
      <c r="J228" s="947" t="s">
        <v>17224</v>
      </c>
      <c r="K228" s="143"/>
    </row>
    <row r="229" spans="1:11">
      <c r="A229" s="946" t="s">
        <v>28614</v>
      </c>
      <c r="B229" s="947" t="s">
        <v>17227</v>
      </c>
      <c r="C229" s="948" t="s">
        <v>17225</v>
      </c>
      <c r="D229" s="242" t="s">
        <v>28732</v>
      </c>
      <c r="E229" s="949">
        <v>103</v>
      </c>
      <c r="F229" s="949">
        <v>103</v>
      </c>
      <c r="G229" s="950" t="s">
        <v>11086</v>
      </c>
      <c r="H229" s="950" t="s">
        <v>599</v>
      </c>
      <c r="I229" s="951" t="s">
        <v>17226</v>
      </c>
      <c r="J229" s="947" t="s">
        <v>17227</v>
      </c>
      <c r="K229" s="143"/>
    </row>
    <row r="230" spans="1:11">
      <c r="A230" s="946" t="s">
        <v>28614</v>
      </c>
      <c r="B230" s="947" t="s">
        <v>17254</v>
      </c>
      <c r="C230" s="948" t="s">
        <v>17252</v>
      </c>
      <c r="D230" s="242" t="s">
        <v>28732</v>
      </c>
      <c r="E230" s="949">
        <v>103</v>
      </c>
      <c r="F230" s="949">
        <v>103</v>
      </c>
      <c r="G230" s="950" t="s">
        <v>11086</v>
      </c>
      <c r="H230" s="950" t="s">
        <v>599</v>
      </c>
      <c r="I230" s="951" t="s">
        <v>17253</v>
      </c>
      <c r="J230" s="947" t="s">
        <v>17254</v>
      </c>
      <c r="K230" s="143"/>
    </row>
    <row r="231" spans="1:11">
      <c r="A231" s="946" t="s">
        <v>28614</v>
      </c>
      <c r="B231" s="947" t="s">
        <v>17318</v>
      </c>
      <c r="C231" s="948" t="s">
        <v>17316</v>
      </c>
      <c r="D231" s="242" t="s">
        <v>28732</v>
      </c>
      <c r="E231" s="949">
        <v>103</v>
      </c>
      <c r="F231" s="949">
        <v>103</v>
      </c>
      <c r="G231" s="950" t="s">
        <v>11086</v>
      </c>
      <c r="H231" s="950" t="s">
        <v>599</v>
      </c>
      <c r="I231" s="951" t="s">
        <v>17317</v>
      </c>
      <c r="J231" s="947" t="s">
        <v>17318</v>
      </c>
      <c r="K231" s="143"/>
    </row>
    <row r="232" spans="1:11">
      <c r="A232" s="946" t="s">
        <v>28614</v>
      </c>
      <c r="B232" s="947" t="s">
        <v>17352</v>
      </c>
      <c r="C232" s="948" t="s">
        <v>26293</v>
      </c>
      <c r="D232" s="242" t="s">
        <v>28732</v>
      </c>
      <c r="E232" s="949">
        <v>103</v>
      </c>
      <c r="F232" s="949">
        <v>103</v>
      </c>
      <c r="G232" s="950" t="s">
        <v>11086</v>
      </c>
      <c r="H232" s="950" t="s">
        <v>599</v>
      </c>
      <c r="I232" s="951" t="s">
        <v>17353</v>
      </c>
      <c r="J232" s="947" t="s">
        <v>17352</v>
      </c>
      <c r="K232" s="143"/>
    </row>
    <row r="233" spans="1:11">
      <c r="A233" s="946" t="s">
        <v>28614</v>
      </c>
      <c r="B233" s="947" t="s">
        <v>17401</v>
      </c>
      <c r="C233" s="948" t="s">
        <v>17399</v>
      </c>
      <c r="D233" s="242" t="s">
        <v>28732</v>
      </c>
      <c r="E233" s="949">
        <v>103</v>
      </c>
      <c r="F233" s="949">
        <v>103</v>
      </c>
      <c r="G233" s="950" t="s">
        <v>11086</v>
      </c>
      <c r="H233" s="950" t="s">
        <v>599</v>
      </c>
      <c r="I233" s="951" t="s">
        <v>17400</v>
      </c>
      <c r="J233" s="947" t="s">
        <v>17401</v>
      </c>
      <c r="K233" s="143"/>
    </row>
    <row r="234" spans="1:11">
      <c r="A234" s="946" t="s">
        <v>28614</v>
      </c>
      <c r="B234" s="947" t="s">
        <v>17433</v>
      </c>
      <c r="C234" s="948" t="s">
        <v>17431</v>
      </c>
      <c r="D234" s="242" t="s">
        <v>28732</v>
      </c>
      <c r="E234" s="949">
        <v>103</v>
      </c>
      <c r="F234" s="949">
        <v>103</v>
      </c>
      <c r="G234" s="950" t="s">
        <v>11086</v>
      </c>
      <c r="H234" s="950" t="s">
        <v>599</v>
      </c>
      <c r="I234" s="951" t="s">
        <v>17432</v>
      </c>
      <c r="J234" s="947" t="s">
        <v>17433</v>
      </c>
      <c r="K234" s="143"/>
    </row>
    <row r="235" spans="1:11">
      <c r="A235" s="946" t="s">
        <v>28614</v>
      </c>
      <c r="B235" s="947" t="s">
        <v>17481</v>
      </c>
      <c r="C235" s="948" t="s">
        <v>17479</v>
      </c>
      <c r="D235" s="242" t="s">
        <v>28732</v>
      </c>
      <c r="E235" s="949">
        <v>103</v>
      </c>
      <c r="F235" s="949">
        <v>103</v>
      </c>
      <c r="G235" s="950" t="s">
        <v>11086</v>
      </c>
      <c r="H235" s="950" t="s">
        <v>599</v>
      </c>
      <c r="I235" s="951" t="s">
        <v>17480</v>
      </c>
      <c r="J235" s="947" t="s">
        <v>17481</v>
      </c>
      <c r="K235" s="143"/>
    </row>
    <row r="236" spans="1:11">
      <c r="A236" s="946" t="s">
        <v>28614</v>
      </c>
      <c r="B236" s="947" t="s">
        <v>17525</v>
      </c>
      <c r="C236" s="948" t="s">
        <v>17523</v>
      </c>
      <c r="D236" s="242" t="s">
        <v>28732</v>
      </c>
      <c r="E236" s="949">
        <v>103</v>
      </c>
      <c r="F236" s="949">
        <v>103</v>
      </c>
      <c r="G236" s="950" t="s">
        <v>11086</v>
      </c>
      <c r="H236" s="950" t="s">
        <v>599</v>
      </c>
      <c r="I236" s="951" t="s">
        <v>17524</v>
      </c>
      <c r="J236" s="947" t="s">
        <v>17525</v>
      </c>
      <c r="K236" s="143"/>
    </row>
    <row r="237" spans="1:11">
      <c r="A237" s="946" t="s">
        <v>28614</v>
      </c>
      <c r="B237" s="947" t="s">
        <v>17591</v>
      </c>
      <c r="C237" s="948" t="s">
        <v>17589</v>
      </c>
      <c r="D237" s="242" t="s">
        <v>28732</v>
      </c>
      <c r="E237" s="949">
        <v>103</v>
      </c>
      <c r="F237" s="949">
        <v>103</v>
      </c>
      <c r="G237" s="950" t="s">
        <v>11086</v>
      </c>
      <c r="H237" s="950" t="s">
        <v>599</v>
      </c>
      <c r="I237" s="951" t="s">
        <v>17590</v>
      </c>
      <c r="J237" s="947" t="s">
        <v>17591</v>
      </c>
      <c r="K237" s="143"/>
    </row>
    <row r="238" spans="1:11">
      <c r="A238" s="946" t="s">
        <v>28614</v>
      </c>
      <c r="B238" s="947" t="s">
        <v>18344</v>
      </c>
      <c r="C238" s="948" t="s">
        <v>18342</v>
      </c>
      <c r="D238" s="242" t="s">
        <v>28732</v>
      </c>
      <c r="E238" s="949">
        <v>103</v>
      </c>
      <c r="F238" s="949">
        <v>103</v>
      </c>
      <c r="G238" s="950" t="s">
        <v>11086</v>
      </c>
      <c r="H238" s="950" t="s">
        <v>599</v>
      </c>
      <c r="I238" s="951" t="s">
        <v>18343</v>
      </c>
      <c r="J238" s="947" t="s">
        <v>18344</v>
      </c>
      <c r="K238" s="143"/>
    </row>
    <row r="239" spans="1:11">
      <c r="A239" s="946" t="s">
        <v>28614</v>
      </c>
      <c r="B239" s="947" t="s">
        <v>17608</v>
      </c>
      <c r="C239" s="948" t="s">
        <v>17606</v>
      </c>
      <c r="D239" s="242" t="s">
        <v>28732</v>
      </c>
      <c r="E239" s="949">
        <v>103</v>
      </c>
      <c r="F239" s="949">
        <v>103</v>
      </c>
      <c r="G239" s="950" t="s">
        <v>11086</v>
      </c>
      <c r="H239" s="950" t="s">
        <v>599</v>
      </c>
      <c r="I239" s="951" t="s">
        <v>17607</v>
      </c>
      <c r="J239" s="947" t="s">
        <v>17608</v>
      </c>
      <c r="K239" s="143"/>
    </row>
    <row r="240" spans="1:11">
      <c r="A240" s="946" t="s">
        <v>28614</v>
      </c>
      <c r="B240" s="947" t="s">
        <v>17626</v>
      </c>
      <c r="C240" s="948" t="s">
        <v>17624</v>
      </c>
      <c r="D240" s="242" t="s">
        <v>28732</v>
      </c>
      <c r="E240" s="949">
        <v>103</v>
      </c>
      <c r="F240" s="949">
        <v>103</v>
      </c>
      <c r="G240" s="950" t="s">
        <v>11086</v>
      </c>
      <c r="H240" s="950" t="s">
        <v>599</v>
      </c>
      <c r="I240" s="951" t="s">
        <v>17625</v>
      </c>
      <c r="J240" s="947" t="s">
        <v>17626</v>
      </c>
      <c r="K240" s="143"/>
    </row>
    <row r="241" spans="1:11">
      <c r="A241" s="946" t="s">
        <v>28614</v>
      </c>
      <c r="B241" s="947" t="s">
        <v>17644</v>
      </c>
      <c r="C241" s="948" t="s">
        <v>17642</v>
      </c>
      <c r="D241" s="242" t="s">
        <v>28732</v>
      </c>
      <c r="E241" s="949">
        <v>103</v>
      </c>
      <c r="F241" s="949">
        <v>103</v>
      </c>
      <c r="G241" s="950" t="s">
        <v>11086</v>
      </c>
      <c r="H241" s="950" t="s">
        <v>599</v>
      </c>
      <c r="I241" s="951" t="s">
        <v>17643</v>
      </c>
      <c r="J241" s="947" t="s">
        <v>17644</v>
      </c>
      <c r="K241" s="143"/>
    </row>
    <row r="242" spans="1:11">
      <c r="A242" s="946" t="s">
        <v>28614</v>
      </c>
      <c r="B242" s="947" t="s">
        <v>17693</v>
      </c>
      <c r="C242" s="948" t="s">
        <v>17691</v>
      </c>
      <c r="D242" s="242" t="s">
        <v>28732</v>
      </c>
      <c r="E242" s="949">
        <v>103</v>
      </c>
      <c r="F242" s="949">
        <v>103</v>
      </c>
      <c r="G242" s="950" t="s">
        <v>11086</v>
      </c>
      <c r="H242" s="950" t="s">
        <v>599</v>
      </c>
      <c r="I242" s="951" t="s">
        <v>17692</v>
      </c>
      <c r="J242" s="947" t="s">
        <v>17693</v>
      </c>
      <c r="K242" s="143"/>
    </row>
    <row r="243" spans="1:11">
      <c r="A243" s="946" t="s">
        <v>28614</v>
      </c>
      <c r="B243" s="947" t="s">
        <v>17775</v>
      </c>
      <c r="C243" s="948" t="s">
        <v>17773</v>
      </c>
      <c r="D243" s="242" t="s">
        <v>28732</v>
      </c>
      <c r="E243" s="949">
        <v>103</v>
      </c>
      <c r="F243" s="949">
        <v>103</v>
      </c>
      <c r="G243" s="950" t="s">
        <v>11086</v>
      </c>
      <c r="H243" s="950" t="s">
        <v>599</v>
      </c>
      <c r="I243" s="951" t="s">
        <v>17774</v>
      </c>
      <c r="J243" s="947" t="s">
        <v>17775</v>
      </c>
      <c r="K243" s="143"/>
    </row>
    <row r="244" spans="1:11">
      <c r="A244" s="946" t="s">
        <v>28614</v>
      </c>
      <c r="B244" s="947" t="s">
        <v>17889</v>
      </c>
      <c r="C244" s="948" t="s">
        <v>17887</v>
      </c>
      <c r="D244" s="242" t="s">
        <v>28732</v>
      </c>
      <c r="E244" s="949">
        <v>103</v>
      </c>
      <c r="F244" s="949">
        <v>103</v>
      </c>
      <c r="G244" s="950" t="s">
        <v>11086</v>
      </c>
      <c r="H244" s="950" t="s">
        <v>599</v>
      </c>
      <c r="I244" s="951" t="s">
        <v>17888</v>
      </c>
      <c r="J244" s="947" t="s">
        <v>17889</v>
      </c>
      <c r="K244" s="143"/>
    </row>
    <row r="245" spans="1:11">
      <c r="A245" s="946" t="s">
        <v>28614</v>
      </c>
      <c r="B245" s="947" t="s">
        <v>17945</v>
      </c>
      <c r="C245" s="948" t="s">
        <v>17943</v>
      </c>
      <c r="D245" s="242" t="s">
        <v>28732</v>
      </c>
      <c r="E245" s="949">
        <v>103</v>
      </c>
      <c r="F245" s="949">
        <v>103</v>
      </c>
      <c r="G245" s="950" t="s">
        <v>11086</v>
      </c>
      <c r="H245" s="950" t="s">
        <v>599</v>
      </c>
      <c r="I245" s="951" t="s">
        <v>17944</v>
      </c>
      <c r="J245" s="947" t="s">
        <v>17945</v>
      </c>
      <c r="K245" s="143"/>
    </row>
    <row r="246" spans="1:11">
      <c r="A246" s="946" t="s">
        <v>28614</v>
      </c>
      <c r="B246" s="947" t="s">
        <v>17971</v>
      </c>
      <c r="C246" s="948" t="s">
        <v>17969</v>
      </c>
      <c r="D246" s="242" t="s">
        <v>28732</v>
      </c>
      <c r="E246" s="949">
        <v>103</v>
      </c>
      <c r="F246" s="949">
        <v>103</v>
      </c>
      <c r="G246" s="950" t="s">
        <v>11086</v>
      </c>
      <c r="H246" s="950" t="s">
        <v>599</v>
      </c>
      <c r="I246" s="951" t="s">
        <v>17970</v>
      </c>
      <c r="J246" s="947" t="s">
        <v>17971</v>
      </c>
      <c r="K246" s="143"/>
    </row>
    <row r="247" spans="1:11">
      <c r="A247" s="946" t="s">
        <v>28614</v>
      </c>
      <c r="B247" s="947" t="s">
        <v>18126</v>
      </c>
      <c r="C247" s="948" t="s">
        <v>18124</v>
      </c>
      <c r="D247" s="242" t="s">
        <v>28732</v>
      </c>
      <c r="E247" s="949">
        <v>103</v>
      </c>
      <c r="F247" s="949">
        <v>103</v>
      </c>
      <c r="G247" s="950" t="s">
        <v>11086</v>
      </c>
      <c r="H247" s="950" t="s">
        <v>599</v>
      </c>
      <c r="I247" s="951" t="s">
        <v>18125</v>
      </c>
      <c r="J247" s="947" t="s">
        <v>18126</v>
      </c>
      <c r="K247" s="143"/>
    </row>
    <row r="248" spans="1:11">
      <c r="A248" s="946" t="s">
        <v>28614</v>
      </c>
      <c r="B248" s="947" t="s">
        <v>18150</v>
      </c>
      <c r="C248" s="948" t="s">
        <v>18148</v>
      </c>
      <c r="D248" s="242" t="s">
        <v>28732</v>
      </c>
      <c r="E248" s="949">
        <v>103</v>
      </c>
      <c r="F248" s="949">
        <v>103</v>
      </c>
      <c r="G248" s="950" t="s">
        <v>11086</v>
      </c>
      <c r="H248" s="950" t="s">
        <v>599</v>
      </c>
      <c r="I248" s="951" t="s">
        <v>18149</v>
      </c>
      <c r="J248" s="947" t="s">
        <v>18150</v>
      </c>
      <c r="K248" s="143"/>
    </row>
    <row r="249" spans="1:11">
      <c r="A249" s="946" t="s">
        <v>28614</v>
      </c>
      <c r="B249" s="947" t="s">
        <v>18177</v>
      </c>
      <c r="C249" s="948" t="s">
        <v>18175</v>
      </c>
      <c r="D249" s="242" t="s">
        <v>28732</v>
      </c>
      <c r="E249" s="949">
        <v>103</v>
      </c>
      <c r="F249" s="949">
        <v>103</v>
      </c>
      <c r="G249" s="950" t="s">
        <v>11086</v>
      </c>
      <c r="H249" s="950" t="s">
        <v>599</v>
      </c>
      <c r="I249" s="951" t="s">
        <v>18176</v>
      </c>
      <c r="J249" s="947" t="s">
        <v>18177</v>
      </c>
      <c r="K249" s="143"/>
    </row>
    <row r="250" spans="1:11">
      <c r="A250" s="946" t="s">
        <v>28614</v>
      </c>
      <c r="B250" s="947" t="s">
        <v>18210</v>
      </c>
      <c r="C250" s="948" t="s">
        <v>18208</v>
      </c>
      <c r="D250" s="242" t="s">
        <v>28732</v>
      </c>
      <c r="E250" s="949">
        <v>103</v>
      </c>
      <c r="F250" s="949">
        <v>103</v>
      </c>
      <c r="G250" s="950" t="s">
        <v>11086</v>
      </c>
      <c r="H250" s="950" t="s">
        <v>599</v>
      </c>
      <c r="I250" s="951" t="s">
        <v>18209</v>
      </c>
      <c r="J250" s="947" t="s">
        <v>18210</v>
      </c>
      <c r="K250" s="143"/>
    </row>
    <row r="251" spans="1:11">
      <c r="A251" s="946" t="s">
        <v>28614</v>
      </c>
      <c r="B251" s="947" t="s">
        <v>18213</v>
      </c>
      <c r="C251" s="948" t="s">
        <v>18211</v>
      </c>
      <c r="D251" s="242" t="s">
        <v>28732</v>
      </c>
      <c r="E251" s="949">
        <v>103</v>
      </c>
      <c r="F251" s="949">
        <v>103</v>
      </c>
      <c r="G251" s="950" t="s">
        <v>11086</v>
      </c>
      <c r="H251" s="950" t="s">
        <v>599</v>
      </c>
      <c r="I251" s="951" t="s">
        <v>18212</v>
      </c>
      <c r="J251" s="947" t="s">
        <v>18213</v>
      </c>
      <c r="K251" s="143"/>
    </row>
    <row r="252" spans="1:11">
      <c r="A252" s="946" t="s">
        <v>28614</v>
      </c>
      <c r="B252" s="947" t="s">
        <v>18588</v>
      </c>
      <c r="C252" s="948" t="s">
        <v>18586</v>
      </c>
      <c r="D252" s="242" t="s">
        <v>28732</v>
      </c>
      <c r="E252" s="949">
        <v>103</v>
      </c>
      <c r="F252" s="949">
        <v>103</v>
      </c>
      <c r="G252" s="950" t="s">
        <v>11086</v>
      </c>
      <c r="H252" s="950" t="s">
        <v>599</v>
      </c>
      <c r="I252" s="951" t="s">
        <v>18587</v>
      </c>
      <c r="J252" s="947" t="s">
        <v>18588</v>
      </c>
      <c r="K252" s="143"/>
    </row>
    <row r="253" spans="1:11">
      <c r="A253" s="946" t="s">
        <v>28614</v>
      </c>
      <c r="B253" s="947" t="s">
        <v>18672</v>
      </c>
      <c r="C253" s="948" t="s">
        <v>18670</v>
      </c>
      <c r="D253" s="242" t="s">
        <v>28732</v>
      </c>
      <c r="E253" s="949">
        <v>103</v>
      </c>
      <c r="F253" s="949">
        <v>103</v>
      </c>
      <c r="G253" s="950" t="s">
        <v>11086</v>
      </c>
      <c r="H253" s="950" t="s">
        <v>599</v>
      </c>
      <c r="I253" s="951" t="s">
        <v>18671</v>
      </c>
      <c r="J253" s="947" t="s">
        <v>18672</v>
      </c>
      <c r="K253" s="143"/>
    </row>
    <row r="254" spans="1:11">
      <c r="A254" s="946" t="s">
        <v>28614</v>
      </c>
      <c r="B254" s="947" t="s">
        <v>18720</v>
      </c>
      <c r="C254" s="948" t="s">
        <v>18718</v>
      </c>
      <c r="D254" s="242" t="s">
        <v>28732</v>
      </c>
      <c r="E254" s="949">
        <v>103</v>
      </c>
      <c r="F254" s="949">
        <v>103</v>
      </c>
      <c r="G254" s="950" t="s">
        <v>11086</v>
      </c>
      <c r="H254" s="950" t="s">
        <v>599</v>
      </c>
      <c r="I254" s="951" t="s">
        <v>18719</v>
      </c>
      <c r="J254" s="947" t="s">
        <v>18720</v>
      </c>
      <c r="K254" s="143"/>
    </row>
    <row r="255" spans="1:11">
      <c r="A255" s="946" t="s">
        <v>28614</v>
      </c>
      <c r="B255" s="947" t="s">
        <v>18943</v>
      </c>
      <c r="C255" s="948" t="s">
        <v>18941</v>
      </c>
      <c r="D255" s="242" t="s">
        <v>28732</v>
      </c>
      <c r="E255" s="949">
        <v>103</v>
      </c>
      <c r="F255" s="949">
        <v>103</v>
      </c>
      <c r="G255" s="950" t="s">
        <v>11086</v>
      </c>
      <c r="H255" s="950" t="s">
        <v>599</v>
      </c>
      <c r="I255" s="951" t="s">
        <v>18942</v>
      </c>
      <c r="J255" s="947" t="s">
        <v>18943</v>
      </c>
      <c r="K255" s="143"/>
    </row>
    <row r="256" spans="1:11">
      <c r="A256" s="946" t="s">
        <v>28614</v>
      </c>
      <c r="B256" s="947" t="s">
        <v>18946</v>
      </c>
      <c r="C256" s="948" t="s">
        <v>18944</v>
      </c>
      <c r="D256" s="242" t="s">
        <v>28732</v>
      </c>
      <c r="E256" s="949">
        <v>103</v>
      </c>
      <c r="F256" s="949">
        <v>103</v>
      </c>
      <c r="G256" s="950" t="s">
        <v>11086</v>
      </c>
      <c r="H256" s="950" t="s">
        <v>599</v>
      </c>
      <c r="I256" s="951" t="s">
        <v>18945</v>
      </c>
      <c r="J256" s="947" t="s">
        <v>18946</v>
      </c>
      <c r="K256" s="143"/>
    </row>
    <row r="257" spans="1:11">
      <c r="A257" s="946" t="s">
        <v>28614</v>
      </c>
      <c r="B257" s="947" t="s">
        <v>19011</v>
      </c>
      <c r="C257" s="948" t="s">
        <v>19009</v>
      </c>
      <c r="D257" s="242" t="s">
        <v>28732</v>
      </c>
      <c r="E257" s="949">
        <v>103</v>
      </c>
      <c r="F257" s="949">
        <v>103</v>
      </c>
      <c r="G257" s="950" t="s">
        <v>11086</v>
      </c>
      <c r="H257" s="950" t="s">
        <v>599</v>
      </c>
      <c r="I257" s="951" t="s">
        <v>19010</v>
      </c>
      <c r="J257" s="947" t="s">
        <v>19011</v>
      </c>
      <c r="K257" s="143"/>
    </row>
    <row r="258" spans="1:11">
      <c r="A258" s="946" t="s">
        <v>28614</v>
      </c>
      <c r="B258" s="947" t="s">
        <v>19057</v>
      </c>
      <c r="C258" s="948" t="s">
        <v>19055</v>
      </c>
      <c r="D258" s="242" t="s">
        <v>28732</v>
      </c>
      <c r="E258" s="949">
        <v>103</v>
      </c>
      <c r="F258" s="949">
        <v>103</v>
      </c>
      <c r="G258" s="950" t="s">
        <v>11086</v>
      </c>
      <c r="H258" s="950" t="s">
        <v>599</v>
      </c>
      <c r="I258" s="951" t="s">
        <v>19056</v>
      </c>
      <c r="J258" s="947" t="s">
        <v>19057</v>
      </c>
      <c r="K258" s="143"/>
    </row>
    <row r="259" spans="1:11">
      <c r="A259" s="946" t="s">
        <v>28614</v>
      </c>
      <c r="B259" s="947" t="s">
        <v>19112</v>
      </c>
      <c r="C259" s="948" t="s">
        <v>19110</v>
      </c>
      <c r="D259" s="242" t="s">
        <v>28732</v>
      </c>
      <c r="E259" s="949">
        <v>103</v>
      </c>
      <c r="F259" s="949">
        <v>103</v>
      </c>
      <c r="G259" s="950" t="s">
        <v>11086</v>
      </c>
      <c r="H259" s="950" t="s">
        <v>599</v>
      </c>
      <c r="I259" s="951" t="s">
        <v>19111</v>
      </c>
      <c r="J259" s="947" t="s">
        <v>19112</v>
      </c>
      <c r="K259" s="143"/>
    </row>
    <row r="260" spans="1:11">
      <c r="A260" s="946" t="s">
        <v>28614</v>
      </c>
      <c r="B260" s="947" t="s">
        <v>19441</v>
      </c>
      <c r="C260" s="948" t="s">
        <v>19439</v>
      </c>
      <c r="D260" s="242" t="s">
        <v>28732</v>
      </c>
      <c r="E260" s="949">
        <v>103</v>
      </c>
      <c r="F260" s="949">
        <v>103</v>
      </c>
      <c r="G260" s="950" t="s">
        <v>11086</v>
      </c>
      <c r="H260" s="950" t="s">
        <v>599</v>
      </c>
      <c r="I260" s="951" t="s">
        <v>19440</v>
      </c>
      <c r="J260" s="947" t="s">
        <v>19441</v>
      </c>
      <c r="K260" s="143"/>
    </row>
    <row r="261" spans="1:11">
      <c r="A261" s="946" t="s">
        <v>28614</v>
      </c>
      <c r="B261" s="947" t="s">
        <v>19458</v>
      </c>
      <c r="C261" s="948" t="s">
        <v>19456</v>
      </c>
      <c r="D261" s="242" t="s">
        <v>28732</v>
      </c>
      <c r="E261" s="949">
        <v>103</v>
      </c>
      <c r="F261" s="949">
        <v>103</v>
      </c>
      <c r="G261" s="950" t="s">
        <v>11086</v>
      </c>
      <c r="H261" s="950" t="s">
        <v>599</v>
      </c>
      <c r="I261" s="951" t="s">
        <v>19457</v>
      </c>
      <c r="J261" s="947" t="s">
        <v>19458</v>
      </c>
      <c r="K261" s="143"/>
    </row>
    <row r="262" spans="1:11">
      <c r="A262" s="946" t="s">
        <v>28614</v>
      </c>
      <c r="B262" s="947" t="s">
        <v>19463</v>
      </c>
      <c r="C262" s="948" t="s">
        <v>19461</v>
      </c>
      <c r="D262" s="242" t="s">
        <v>28732</v>
      </c>
      <c r="E262" s="949">
        <v>103</v>
      </c>
      <c r="F262" s="949">
        <v>103</v>
      </c>
      <c r="G262" s="950" t="s">
        <v>11086</v>
      </c>
      <c r="H262" s="950" t="s">
        <v>599</v>
      </c>
      <c r="I262" s="951" t="s">
        <v>19462</v>
      </c>
      <c r="J262" s="947" t="s">
        <v>19463</v>
      </c>
      <c r="K262" s="143"/>
    </row>
    <row r="263" spans="1:11">
      <c r="A263" s="946" t="s">
        <v>28614</v>
      </c>
      <c r="B263" s="947" t="s">
        <v>19466</v>
      </c>
      <c r="C263" s="948" t="s">
        <v>19464</v>
      </c>
      <c r="D263" s="242" t="s">
        <v>28732</v>
      </c>
      <c r="E263" s="949">
        <v>103</v>
      </c>
      <c r="F263" s="949">
        <v>103</v>
      </c>
      <c r="G263" s="950" t="s">
        <v>11086</v>
      </c>
      <c r="H263" s="950" t="s">
        <v>599</v>
      </c>
      <c r="I263" s="951" t="s">
        <v>19465</v>
      </c>
      <c r="J263" s="947" t="s">
        <v>19466</v>
      </c>
      <c r="K263" s="143"/>
    </row>
    <row r="264" spans="1:11">
      <c r="A264" s="946" t="s">
        <v>28614</v>
      </c>
      <c r="B264" s="947" t="s">
        <v>19845</v>
      </c>
      <c r="C264" s="948" t="s">
        <v>19843</v>
      </c>
      <c r="D264" s="242" t="s">
        <v>28732</v>
      </c>
      <c r="E264" s="949">
        <v>103</v>
      </c>
      <c r="F264" s="949">
        <v>103</v>
      </c>
      <c r="G264" s="950" t="s">
        <v>11086</v>
      </c>
      <c r="H264" s="950" t="s">
        <v>599</v>
      </c>
      <c r="I264" s="951" t="s">
        <v>19844</v>
      </c>
      <c r="J264" s="947" t="s">
        <v>19845</v>
      </c>
      <c r="K264" s="143"/>
    </row>
    <row r="265" spans="1:11">
      <c r="A265" s="946" t="s">
        <v>28614</v>
      </c>
      <c r="B265" s="947" t="s">
        <v>20037</v>
      </c>
      <c r="C265" s="948" t="s">
        <v>20035</v>
      </c>
      <c r="D265" s="242" t="s">
        <v>28732</v>
      </c>
      <c r="E265" s="949">
        <v>103</v>
      </c>
      <c r="F265" s="949">
        <v>103</v>
      </c>
      <c r="G265" s="950" t="s">
        <v>11086</v>
      </c>
      <c r="H265" s="950" t="s">
        <v>599</v>
      </c>
      <c r="I265" s="951" t="s">
        <v>20036</v>
      </c>
      <c r="J265" s="947" t="s">
        <v>20037</v>
      </c>
      <c r="K265" s="143"/>
    </row>
    <row r="266" spans="1:11">
      <c r="A266" s="946" t="s">
        <v>28614</v>
      </c>
      <c r="B266" s="947" t="s">
        <v>20040</v>
      </c>
      <c r="C266" s="948" t="s">
        <v>20038</v>
      </c>
      <c r="D266" s="242" t="s">
        <v>28732</v>
      </c>
      <c r="E266" s="949">
        <v>103</v>
      </c>
      <c r="F266" s="949">
        <v>103</v>
      </c>
      <c r="G266" s="950" t="s">
        <v>11086</v>
      </c>
      <c r="H266" s="950" t="s">
        <v>599</v>
      </c>
      <c r="I266" s="951" t="s">
        <v>20039</v>
      </c>
      <c r="J266" s="947" t="s">
        <v>20040</v>
      </c>
      <c r="K266" s="143"/>
    </row>
    <row r="267" spans="1:11">
      <c r="A267" s="946" t="s">
        <v>28614</v>
      </c>
      <c r="B267" s="947" t="s">
        <v>20133</v>
      </c>
      <c r="C267" s="948" t="s">
        <v>20131</v>
      </c>
      <c r="D267" s="242" t="s">
        <v>28732</v>
      </c>
      <c r="E267" s="949">
        <v>103</v>
      </c>
      <c r="F267" s="949">
        <v>103</v>
      </c>
      <c r="G267" s="950" t="s">
        <v>11086</v>
      </c>
      <c r="H267" s="950" t="s">
        <v>599</v>
      </c>
      <c r="I267" s="951" t="s">
        <v>20132</v>
      </c>
      <c r="J267" s="947" t="s">
        <v>20133</v>
      </c>
      <c r="K267" s="143"/>
    </row>
    <row r="268" spans="1:11">
      <c r="A268" s="946" t="s">
        <v>28614</v>
      </c>
      <c r="B268" s="947" t="s">
        <v>20251</v>
      </c>
      <c r="C268" s="948" t="s">
        <v>20249</v>
      </c>
      <c r="D268" s="242" t="s">
        <v>28732</v>
      </c>
      <c r="E268" s="949">
        <v>103</v>
      </c>
      <c r="F268" s="949">
        <v>103</v>
      </c>
      <c r="G268" s="950" t="s">
        <v>11086</v>
      </c>
      <c r="H268" s="950" t="s">
        <v>599</v>
      </c>
      <c r="I268" s="951" t="s">
        <v>20250</v>
      </c>
      <c r="J268" s="947" t="s">
        <v>20251</v>
      </c>
      <c r="K268" s="143"/>
    </row>
    <row r="269" spans="1:11">
      <c r="A269" s="946" t="s">
        <v>28614</v>
      </c>
      <c r="B269" s="947" t="s">
        <v>11086</v>
      </c>
      <c r="C269" s="948" t="s">
        <v>20580</v>
      </c>
      <c r="D269" s="242" t="s">
        <v>28732</v>
      </c>
      <c r="E269" s="949">
        <v>103</v>
      </c>
      <c r="F269" s="949">
        <v>103</v>
      </c>
      <c r="G269" s="950" t="s">
        <v>11086</v>
      </c>
      <c r="H269" s="950" t="s">
        <v>599</v>
      </c>
      <c r="I269" s="951" t="s">
        <v>20581</v>
      </c>
      <c r="J269" s="947" t="s">
        <v>11086</v>
      </c>
      <c r="K269" s="143"/>
    </row>
    <row r="270" spans="1:11">
      <c r="A270" s="946" t="s">
        <v>28614</v>
      </c>
      <c r="B270" s="947" t="s">
        <v>20624</v>
      </c>
      <c r="C270" s="948" t="s">
        <v>20622</v>
      </c>
      <c r="D270" s="242" t="s">
        <v>28732</v>
      </c>
      <c r="E270" s="949">
        <v>103</v>
      </c>
      <c r="F270" s="949">
        <v>103</v>
      </c>
      <c r="G270" s="950" t="s">
        <v>11086</v>
      </c>
      <c r="H270" s="950" t="s">
        <v>599</v>
      </c>
      <c r="I270" s="951" t="s">
        <v>20623</v>
      </c>
      <c r="J270" s="947" t="s">
        <v>20624</v>
      </c>
      <c r="K270" s="143"/>
    </row>
    <row r="271" spans="1:11">
      <c r="A271" s="946" t="s">
        <v>28614</v>
      </c>
      <c r="B271" s="947" t="s">
        <v>20645</v>
      </c>
      <c r="C271" s="948" t="s">
        <v>20643</v>
      </c>
      <c r="D271" s="242" t="s">
        <v>28732</v>
      </c>
      <c r="E271" s="949">
        <v>103</v>
      </c>
      <c r="F271" s="949">
        <v>103</v>
      </c>
      <c r="G271" s="950" t="s">
        <v>11086</v>
      </c>
      <c r="H271" s="950" t="s">
        <v>599</v>
      </c>
      <c r="I271" s="951" t="s">
        <v>20644</v>
      </c>
      <c r="J271" s="947" t="s">
        <v>20645</v>
      </c>
      <c r="K271" s="143"/>
    </row>
    <row r="272" spans="1:11">
      <c r="A272" s="946" t="s">
        <v>28614</v>
      </c>
      <c r="B272" s="947" t="s">
        <v>20691</v>
      </c>
      <c r="C272" s="948" t="s">
        <v>20689</v>
      </c>
      <c r="D272" s="242" t="s">
        <v>28732</v>
      </c>
      <c r="E272" s="949">
        <v>103</v>
      </c>
      <c r="F272" s="949">
        <v>103</v>
      </c>
      <c r="G272" s="950" t="s">
        <v>11086</v>
      </c>
      <c r="H272" s="950" t="s">
        <v>599</v>
      </c>
      <c r="I272" s="951" t="s">
        <v>20690</v>
      </c>
      <c r="J272" s="947" t="s">
        <v>20691</v>
      </c>
      <c r="K272" s="143"/>
    </row>
    <row r="273" spans="1:11">
      <c r="A273" s="946" t="s">
        <v>28614</v>
      </c>
      <c r="B273" s="947" t="s">
        <v>20837</v>
      </c>
      <c r="C273" s="948" t="s">
        <v>20835</v>
      </c>
      <c r="D273" s="242" t="s">
        <v>28732</v>
      </c>
      <c r="E273" s="949">
        <v>103</v>
      </c>
      <c r="F273" s="949">
        <v>103</v>
      </c>
      <c r="G273" s="950" t="s">
        <v>11086</v>
      </c>
      <c r="H273" s="950" t="s">
        <v>599</v>
      </c>
      <c r="I273" s="951" t="s">
        <v>20836</v>
      </c>
      <c r="J273" s="947" t="s">
        <v>20837</v>
      </c>
      <c r="K273" s="143"/>
    </row>
    <row r="274" spans="1:11">
      <c r="A274" s="946" t="s">
        <v>28614</v>
      </c>
      <c r="B274" s="947" t="s">
        <v>20871</v>
      </c>
      <c r="C274" s="948" t="s">
        <v>20869</v>
      </c>
      <c r="D274" s="242" t="s">
        <v>28732</v>
      </c>
      <c r="E274" s="949">
        <v>103</v>
      </c>
      <c r="F274" s="949">
        <v>103</v>
      </c>
      <c r="G274" s="950" t="s">
        <v>11086</v>
      </c>
      <c r="H274" s="950" t="s">
        <v>599</v>
      </c>
      <c r="I274" s="951" t="s">
        <v>20870</v>
      </c>
      <c r="J274" s="947" t="s">
        <v>20871</v>
      </c>
      <c r="K274" s="143"/>
    </row>
    <row r="275" spans="1:11">
      <c r="A275" s="946" t="s">
        <v>28614</v>
      </c>
      <c r="B275" s="947" t="s">
        <v>20877</v>
      </c>
      <c r="C275" s="948" t="s">
        <v>20875</v>
      </c>
      <c r="D275" s="242" t="s">
        <v>28732</v>
      </c>
      <c r="E275" s="949">
        <v>103</v>
      </c>
      <c r="F275" s="949">
        <v>103</v>
      </c>
      <c r="G275" s="950" t="s">
        <v>11086</v>
      </c>
      <c r="H275" s="950" t="s">
        <v>599</v>
      </c>
      <c r="I275" s="951" t="s">
        <v>20876</v>
      </c>
      <c r="J275" s="947" t="s">
        <v>20877</v>
      </c>
      <c r="K275" s="143"/>
    </row>
    <row r="276" spans="1:11">
      <c r="A276" s="946" t="s">
        <v>28614</v>
      </c>
      <c r="B276" s="947" t="s">
        <v>21075</v>
      </c>
      <c r="C276" s="948" t="s">
        <v>21073</v>
      </c>
      <c r="D276" s="242" t="s">
        <v>28732</v>
      </c>
      <c r="E276" s="949">
        <v>103</v>
      </c>
      <c r="F276" s="949">
        <v>103</v>
      </c>
      <c r="G276" s="950" t="s">
        <v>11086</v>
      </c>
      <c r="H276" s="950" t="s">
        <v>599</v>
      </c>
      <c r="I276" s="951" t="s">
        <v>21074</v>
      </c>
      <c r="J276" s="947" t="s">
        <v>21075</v>
      </c>
      <c r="K276" s="143"/>
    </row>
    <row r="277" spans="1:11">
      <c r="A277" s="946" t="s">
        <v>28614</v>
      </c>
      <c r="B277" s="947" t="s">
        <v>21224</v>
      </c>
      <c r="C277" s="948" t="s">
        <v>21222</v>
      </c>
      <c r="D277" s="242" t="s">
        <v>28732</v>
      </c>
      <c r="E277" s="949">
        <v>103</v>
      </c>
      <c r="F277" s="949">
        <v>103</v>
      </c>
      <c r="G277" s="950" t="s">
        <v>11086</v>
      </c>
      <c r="H277" s="950" t="s">
        <v>599</v>
      </c>
      <c r="I277" s="951" t="s">
        <v>21223</v>
      </c>
      <c r="J277" s="947" t="s">
        <v>21224</v>
      </c>
      <c r="K277" s="143"/>
    </row>
    <row r="278" spans="1:11">
      <c r="A278" s="946" t="s">
        <v>28614</v>
      </c>
      <c r="B278" s="947" t="s">
        <v>21227</v>
      </c>
      <c r="C278" s="948" t="s">
        <v>21225</v>
      </c>
      <c r="D278" s="242" t="s">
        <v>28732</v>
      </c>
      <c r="E278" s="949">
        <v>103</v>
      </c>
      <c r="F278" s="949">
        <v>103</v>
      </c>
      <c r="G278" s="950" t="s">
        <v>11086</v>
      </c>
      <c r="H278" s="950" t="s">
        <v>599</v>
      </c>
      <c r="I278" s="951" t="s">
        <v>21226</v>
      </c>
      <c r="J278" s="947" t="s">
        <v>21227</v>
      </c>
      <c r="K278" s="143"/>
    </row>
    <row r="279" spans="1:11">
      <c r="A279" s="946" t="s">
        <v>28614</v>
      </c>
      <c r="B279" s="947" t="s">
        <v>21271</v>
      </c>
      <c r="C279" s="948" t="s">
        <v>21269</v>
      </c>
      <c r="D279" s="242" t="s">
        <v>28732</v>
      </c>
      <c r="E279" s="949">
        <v>103</v>
      </c>
      <c r="F279" s="949">
        <v>103</v>
      </c>
      <c r="G279" s="950" t="s">
        <v>11086</v>
      </c>
      <c r="H279" s="950" t="s">
        <v>599</v>
      </c>
      <c r="I279" s="951" t="s">
        <v>21270</v>
      </c>
      <c r="J279" s="947" t="s">
        <v>21271</v>
      </c>
      <c r="K279" s="143"/>
    </row>
    <row r="280" spans="1:11">
      <c r="A280" s="946" t="s">
        <v>28614</v>
      </c>
      <c r="B280" s="947" t="s">
        <v>21283</v>
      </c>
      <c r="C280" s="948" t="s">
        <v>21281</v>
      </c>
      <c r="D280" s="242" t="s">
        <v>28732</v>
      </c>
      <c r="E280" s="949">
        <v>103</v>
      </c>
      <c r="F280" s="949">
        <v>103</v>
      </c>
      <c r="G280" s="950" t="s">
        <v>11086</v>
      </c>
      <c r="H280" s="950" t="s">
        <v>599</v>
      </c>
      <c r="I280" s="951" t="s">
        <v>21282</v>
      </c>
      <c r="J280" s="947" t="s">
        <v>21283</v>
      </c>
      <c r="K280" s="143"/>
    </row>
    <row r="281" spans="1:11">
      <c r="A281" s="946" t="s">
        <v>28614</v>
      </c>
      <c r="B281" s="947" t="s">
        <v>21372</v>
      </c>
      <c r="C281" s="948" t="s">
        <v>21370</v>
      </c>
      <c r="D281" s="242" t="s">
        <v>28732</v>
      </c>
      <c r="E281" s="949">
        <v>103</v>
      </c>
      <c r="F281" s="949">
        <v>103</v>
      </c>
      <c r="G281" s="950" t="s">
        <v>11086</v>
      </c>
      <c r="H281" s="950" t="s">
        <v>599</v>
      </c>
      <c r="I281" s="951" t="s">
        <v>21371</v>
      </c>
      <c r="J281" s="947" t="s">
        <v>21372</v>
      </c>
      <c r="K281" s="143"/>
    </row>
    <row r="282" spans="1:11">
      <c r="A282" s="946" t="s">
        <v>28614</v>
      </c>
      <c r="B282" s="947" t="s">
        <v>21484</v>
      </c>
      <c r="C282" s="948" t="s">
        <v>21482</v>
      </c>
      <c r="D282" s="242" t="s">
        <v>28732</v>
      </c>
      <c r="E282" s="949">
        <v>103</v>
      </c>
      <c r="F282" s="949">
        <v>103</v>
      </c>
      <c r="G282" s="950" t="s">
        <v>11086</v>
      </c>
      <c r="H282" s="950" t="s">
        <v>599</v>
      </c>
      <c r="I282" s="951" t="s">
        <v>21483</v>
      </c>
      <c r="J282" s="947" t="s">
        <v>21484</v>
      </c>
      <c r="K282" s="143"/>
    </row>
    <row r="283" spans="1:11">
      <c r="A283" s="946" t="s">
        <v>28614</v>
      </c>
      <c r="B283" s="947" t="s">
        <v>21511</v>
      </c>
      <c r="C283" s="948" t="s">
        <v>21509</v>
      </c>
      <c r="D283" s="242" t="s">
        <v>28732</v>
      </c>
      <c r="E283" s="949">
        <v>103</v>
      </c>
      <c r="F283" s="949">
        <v>103</v>
      </c>
      <c r="G283" s="950" t="s">
        <v>11086</v>
      </c>
      <c r="H283" s="950" t="s">
        <v>599</v>
      </c>
      <c r="I283" s="951" t="s">
        <v>21510</v>
      </c>
      <c r="J283" s="947" t="s">
        <v>21511</v>
      </c>
      <c r="K283" s="143"/>
    </row>
    <row r="284" spans="1:11">
      <c r="A284" s="946" t="s">
        <v>28614</v>
      </c>
      <c r="B284" s="947" t="s">
        <v>21514</v>
      </c>
      <c r="C284" s="948" t="s">
        <v>21512</v>
      </c>
      <c r="D284" s="242" t="s">
        <v>28732</v>
      </c>
      <c r="E284" s="949">
        <v>103</v>
      </c>
      <c r="F284" s="949">
        <v>103</v>
      </c>
      <c r="G284" s="950" t="s">
        <v>11086</v>
      </c>
      <c r="H284" s="950" t="s">
        <v>599</v>
      </c>
      <c r="I284" s="951" t="s">
        <v>21513</v>
      </c>
      <c r="J284" s="947" t="s">
        <v>21514</v>
      </c>
      <c r="K284" s="143"/>
    </row>
    <row r="285" spans="1:11">
      <c r="A285" s="946" t="s">
        <v>28614</v>
      </c>
      <c r="B285" s="947" t="s">
        <v>21592</v>
      </c>
      <c r="C285" s="948" t="s">
        <v>21590</v>
      </c>
      <c r="D285" s="242" t="s">
        <v>28732</v>
      </c>
      <c r="E285" s="949">
        <v>103</v>
      </c>
      <c r="F285" s="949">
        <v>103</v>
      </c>
      <c r="G285" s="950" t="s">
        <v>11086</v>
      </c>
      <c r="H285" s="950" t="s">
        <v>599</v>
      </c>
      <c r="I285" s="951" t="s">
        <v>21591</v>
      </c>
      <c r="J285" s="947" t="s">
        <v>21592</v>
      </c>
      <c r="K285" s="143"/>
    </row>
    <row r="286" spans="1:11">
      <c r="A286" s="946" t="s">
        <v>28614</v>
      </c>
      <c r="B286" s="947" t="s">
        <v>21619</v>
      </c>
      <c r="C286" s="948" t="s">
        <v>21617</v>
      </c>
      <c r="D286" s="242" t="s">
        <v>28732</v>
      </c>
      <c r="E286" s="949">
        <v>103</v>
      </c>
      <c r="F286" s="949">
        <v>103</v>
      </c>
      <c r="G286" s="950" t="s">
        <v>11086</v>
      </c>
      <c r="H286" s="950" t="s">
        <v>599</v>
      </c>
      <c r="I286" s="951" t="s">
        <v>21618</v>
      </c>
      <c r="J286" s="947" t="s">
        <v>21619</v>
      </c>
      <c r="K286" s="143"/>
    </row>
    <row r="287" spans="1:11">
      <c r="A287" s="946" t="s">
        <v>28614</v>
      </c>
      <c r="B287" s="947" t="s">
        <v>21686</v>
      </c>
      <c r="C287" s="948" t="s">
        <v>21684</v>
      </c>
      <c r="D287" s="242" t="s">
        <v>28732</v>
      </c>
      <c r="E287" s="949">
        <v>103</v>
      </c>
      <c r="F287" s="949">
        <v>103</v>
      </c>
      <c r="G287" s="950" t="s">
        <v>11086</v>
      </c>
      <c r="H287" s="950" t="s">
        <v>599</v>
      </c>
      <c r="I287" s="951" t="s">
        <v>21685</v>
      </c>
      <c r="J287" s="947" t="s">
        <v>21686</v>
      </c>
      <c r="K287" s="143"/>
    </row>
    <row r="288" spans="1:11">
      <c r="A288" s="946" t="s">
        <v>28614</v>
      </c>
      <c r="B288" s="947" t="s">
        <v>21677</v>
      </c>
      <c r="C288" s="948" t="s">
        <v>21675</v>
      </c>
      <c r="D288" s="242" t="s">
        <v>28732</v>
      </c>
      <c r="E288" s="949">
        <v>103</v>
      </c>
      <c r="F288" s="949">
        <v>103</v>
      </c>
      <c r="G288" s="950" t="s">
        <v>11086</v>
      </c>
      <c r="H288" s="950" t="s">
        <v>599</v>
      </c>
      <c r="I288" s="951" t="s">
        <v>21676</v>
      </c>
      <c r="J288" s="947" t="s">
        <v>21677</v>
      </c>
      <c r="K288" s="143"/>
    </row>
    <row r="289" spans="1:11">
      <c r="A289" s="946" t="s">
        <v>28614</v>
      </c>
      <c r="B289" s="947" t="s">
        <v>21789</v>
      </c>
      <c r="C289" s="948" t="s">
        <v>21787</v>
      </c>
      <c r="D289" s="242" t="s">
        <v>28732</v>
      </c>
      <c r="E289" s="949">
        <v>103</v>
      </c>
      <c r="F289" s="949">
        <v>103</v>
      </c>
      <c r="G289" s="950" t="s">
        <v>11086</v>
      </c>
      <c r="H289" s="950" t="s">
        <v>599</v>
      </c>
      <c r="I289" s="951" t="s">
        <v>21788</v>
      </c>
      <c r="J289" s="947" t="s">
        <v>21789</v>
      </c>
      <c r="K289" s="143"/>
    </row>
    <row r="290" spans="1:11">
      <c r="A290" s="946" t="s">
        <v>28614</v>
      </c>
      <c r="B290" s="947" t="s">
        <v>21816</v>
      </c>
      <c r="C290" s="948" t="s">
        <v>21814</v>
      </c>
      <c r="D290" s="242" t="s">
        <v>28733</v>
      </c>
      <c r="E290" s="949">
        <v>105</v>
      </c>
      <c r="F290" s="949">
        <v>105</v>
      </c>
      <c r="G290" s="950" t="s">
        <v>11086</v>
      </c>
      <c r="H290" s="950" t="s">
        <v>599</v>
      </c>
      <c r="I290" s="951" t="s">
        <v>21815</v>
      </c>
      <c r="J290" s="947" t="s">
        <v>21816</v>
      </c>
      <c r="K290" s="143"/>
    </row>
    <row r="291" spans="1:11">
      <c r="A291" s="946" t="s">
        <v>28614</v>
      </c>
      <c r="B291" s="947" t="s">
        <v>21857</v>
      </c>
      <c r="C291" s="948" t="s">
        <v>21855</v>
      </c>
      <c r="D291" s="242" t="s">
        <v>28732</v>
      </c>
      <c r="E291" s="949">
        <v>103</v>
      </c>
      <c r="F291" s="949">
        <v>103</v>
      </c>
      <c r="G291" s="950" t="s">
        <v>11086</v>
      </c>
      <c r="H291" s="950" t="s">
        <v>599</v>
      </c>
      <c r="I291" s="951" t="s">
        <v>21856</v>
      </c>
      <c r="J291" s="947" t="s">
        <v>21857</v>
      </c>
      <c r="K291" s="143"/>
    </row>
    <row r="292" spans="1:11">
      <c r="A292" s="946" t="s">
        <v>28614</v>
      </c>
      <c r="B292" s="947" t="s">
        <v>21896</v>
      </c>
      <c r="C292" s="948" t="s">
        <v>21894</v>
      </c>
      <c r="D292" s="242" t="s">
        <v>28732</v>
      </c>
      <c r="E292" s="949">
        <v>103</v>
      </c>
      <c r="F292" s="949">
        <v>103</v>
      </c>
      <c r="G292" s="950" t="s">
        <v>11086</v>
      </c>
      <c r="H292" s="950" t="s">
        <v>599</v>
      </c>
      <c r="I292" s="951" t="s">
        <v>21895</v>
      </c>
      <c r="J292" s="947" t="s">
        <v>21896</v>
      </c>
      <c r="K292" s="143"/>
    </row>
    <row r="293" spans="1:11">
      <c r="A293" s="946" t="s">
        <v>28614</v>
      </c>
      <c r="B293" s="947" t="s">
        <v>21957</v>
      </c>
      <c r="C293" s="948" t="s">
        <v>21955</v>
      </c>
      <c r="D293" s="242" t="s">
        <v>28732</v>
      </c>
      <c r="E293" s="949">
        <v>103</v>
      </c>
      <c r="F293" s="949">
        <v>103</v>
      </c>
      <c r="G293" s="950" t="s">
        <v>11086</v>
      </c>
      <c r="H293" s="950" t="s">
        <v>599</v>
      </c>
      <c r="I293" s="951" t="s">
        <v>21956</v>
      </c>
      <c r="J293" s="947" t="s">
        <v>21957</v>
      </c>
      <c r="K293" s="143"/>
    </row>
    <row r="294" spans="1:11">
      <c r="A294" s="946" t="s">
        <v>28614</v>
      </c>
      <c r="B294" s="947" t="s">
        <v>22034</v>
      </c>
      <c r="C294" s="948" t="s">
        <v>22032</v>
      </c>
      <c r="D294" s="242" t="s">
        <v>28732</v>
      </c>
      <c r="E294" s="949">
        <v>103</v>
      </c>
      <c r="F294" s="949">
        <v>103</v>
      </c>
      <c r="G294" s="950" t="s">
        <v>11086</v>
      </c>
      <c r="H294" s="950" t="s">
        <v>599</v>
      </c>
      <c r="I294" s="951" t="s">
        <v>22033</v>
      </c>
      <c r="J294" s="947" t="s">
        <v>22034</v>
      </c>
      <c r="K294" s="143"/>
    </row>
    <row r="295" spans="1:11">
      <c r="A295" s="946" t="s">
        <v>28614</v>
      </c>
      <c r="B295" s="947" t="s">
        <v>22182</v>
      </c>
      <c r="C295" s="948" t="s">
        <v>22180</v>
      </c>
      <c r="D295" s="242" t="s">
        <v>28732</v>
      </c>
      <c r="E295" s="949">
        <v>103</v>
      </c>
      <c r="F295" s="949">
        <v>103</v>
      </c>
      <c r="G295" s="950" t="s">
        <v>11086</v>
      </c>
      <c r="H295" s="950" t="s">
        <v>599</v>
      </c>
      <c r="I295" s="951" t="s">
        <v>22181</v>
      </c>
      <c r="J295" s="947" t="s">
        <v>22182</v>
      </c>
      <c r="K295" s="143"/>
    </row>
    <row r="296" spans="1:11">
      <c r="A296" s="946" t="s">
        <v>28614</v>
      </c>
      <c r="B296" s="947" t="s">
        <v>22228</v>
      </c>
      <c r="C296" s="948" t="s">
        <v>22226</v>
      </c>
      <c r="D296" s="242" t="s">
        <v>28732</v>
      </c>
      <c r="E296" s="949">
        <v>103</v>
      </c>
      <c r="F296" s="949">
        <v>103</v>
      </c>
      <c r="G296" s="950" t="s">
        <v>11086</v>
      </c>
      <c r="H296" s="950" t="s">
        <v>599</v>
      </c>
      <c r="I296" s="951" t="s">
        <v>22227</v>
      </c>
      <c r="J296" s="947" t="s">
        <v>22228</v>
      </c>
      <c r="K296" s="143"/>
    </row>
    <row r="297" spans="1:11">
      <c r="A297" s="946" t="s">
        <v>28614</v>
      </c>
      <c r="B297" s="947" t="s">
        <v>22300</v>
      </c>
      <c r="C297" s="948" t="s">
        <v>22298</v>
      </c>
      <c r="D297" s="242" t="s">
        <v>28732</v>
      </c>
      <c r="E297" s="949">
        <v>103</v>
      </c>
      <c r="F297" s="949">
        <v>103</v>
      </c>
      <c r="G297" s="950" t="s">
        <v>11086</v>
      </c>
      <c r="H297" s="950" t="s">
        <v>599</v>
      </c>
      <c r="I297" s="951" t="s">
        <v>22299</v>
      </c>
      <c r="J297" s="947" t="s">
        <v>22300</v>
      </c>
      <c r="K297" s="143"/>
    </row>
    <row r="298" spans="1:11">
      <c r="A298" s="946" t="s">
        <v>28614</v>
      </c>
      <c r="B298" s="947" t="s">
        <v>22285</v>
      </c>
      <c r="C298" s="948" t="s">
        <v>22283</v>
      </c>
      <c r="D298" s="242" t="s">
        <v>28732</v>
      </c>
      <c r="E298" s="949">
        <v>103</v>
      </c>
      <c r="F298" s="949">
        <v>103</v>
      </c>
      <c r="G298" s="950" t="s">
        <v>11086</v>
      </c>
      <c r="H298" s="950" t="s">
        <v>599</v>
      </c>
      <c r="I298" s="951" t="s">
        <v>22284</v>
      </c>
      <c r="J298" s="947" t="s">
        <v>22285</v>
      </c>
      <c r="K298" s="143"/>
    </row>
    <row r="299" spans="1:11">
      <c r="A299" s="946" t="s">
        <v>28614</v>
      </c>
      <c r="B299" s="947" t="s">
        <v>22306</v>
      </c>
      <c r="C299" s="948" t="s">
        <v>22304</v>
      </c>
      <c r="D299" s="242" t="s">
        <v>28732</v>
      </c>
      <c r="E299" s="949">
        <v>103</v>
      </c>
      <c r="F299" s="949">
        <v>103</v>
      </c>
      <c r="G299" s="950" t="s">
        <v>11086</v>
      </c>
      <c r="H299" s="950" t="s">
        <v>599</v>
      </c>
      <c r="I299" s="951" t="s">
        <v>22305</v>
      </c>
      <c r="J299" s="947" t="s">
        <v>22306</v>
      </c>
      <c r="K299" s="143"/>
    </row>
    <row r="300" spans="1:11">
      <c r="A300" s="946" t="s">
        <v>28614</v>
      </c>
      <c r="B300" s="947" t="s">
        <v>22288</v>
      </c>
      <c r="C300" s="948" t="s">
        <v>22286</v>
      </c>
      <c r="D300" s="242" t="s">
        <v>28732</v>
      </c>
      <c r="E300" s="949">
        <v>103</v>
      </c>
      <c r="F300" s="949">
        <v>103</v>
      </c>
      <c r="G300" s="950" t="s">
        <v>11086</v>
      </c>
      <c r="H300" s="950" t="s">
        <v>599</v>
      </c>
      <c r="I300" s="951" t="s">
        <v>22287</v>
      </c>
      <c r="J300" s="947" t="s">
        <v>22288</v>
      </c>
      <c r="K300" s="143"/>
    </row>
    <row r="301" spans="1:11">
      <c r="A301" s="946" t="s">
        <v>28614</v>
      </c>
      <c r="B301" s="947" t="s">
        <v>22291</v>
      </c>
      <c r="C301" s="948" t="s">
        <v>22289</v>
      </c>
      <c r="D301" s="242" t="s">
        <v>28732</v>
      </c>
      <c r="E301" s="949">
        <v>103</v>
      </c>
      <c r="F301" s="949">
        <v>103</v>
      </c>
      <c r="G301" s="950" t="s">
        <v>11086</v>
      </c>
      <c r="H301" s="950" t="s">
        <v>599</v>
      </c>
      <c r="I301" s="951" t="s">
        <v>22290</v>
      </c>
      <c r="J301" s="947" t="s">
        <v>22291</v>
      </c>
      <c r="K301" s="143"/>
    </row>
    <row r="302" spans="1:11">
      <c r="A302" s="946" t="s">
        <v>28614</v>
      </c>
      <c r="B302" s="947" t="s">
        <v>22294</v>
      </c>
      <c r="C302" s="948" t="s">
        <v>22292</v>
      </c>
      <c r="D302" s="242" t="s">
        <v>28732</v>
      </c>
      <c r="E302" s="949">
        <v>103</v>
      </c>
      <c r="F302" s="949">
        <v>103</v>
      </c>
      <c r="G302" s="950" t="s">
        <v>11086</v>
      </c>
      <c r="H302" s="950" t="s">
        <v>599</v>
      </c>
      <c r="I302" s="951" t="s">
        <v>22293</v>
      </c>
      <c r="J302" s="947" t="s">
        <v>22294</v>
      </c>
      <c r="K302" s="143"/>
    </row>
    <row r="303" spans="1:11">
      <c r="A303" s="946" t="s">
        <v>28614</v>
      </c>
      <c r="B303" s="947" t="s">
        <v>22324</v>
      </c>
      <c r="C303" s="948" t="s">
        <v>22322</v>
      </c>
      <c r="D303" s="242" t="s">
        <v>28732</v>
      </c>
      <c r="E303" s="949">
        <v>103</v>
      </c>
      <c r="F303" s="949">
        <v>103</v>
      </c>
      <c r="G303" s="950" t="s">
        <v>11086</v>
      </c>
      <c r="H303" s="950" t="s">
        <v>599</v>
      </c>
      <c r="I303" s="951" t="s">
        <v>22323</v>
      </c>
      <c r="J303" s="947" t="s">
        <v>22324</v>
      </c>
      <c r="K303" s="143"/>
    </row>
    <row r="304" spans="1:11">
      <c r="A304" s="946" t="s">
        <v>28614</v>
      </c>
      <c r="B304" s="947" t="s">
        <v>22378</v>
      </c>
      <c r="C304" s="948" t="s">
        <v>22376</v>
      </c>
      <c r="D304" s="242" t="s">
        <v>28732</v>
      </c>
      <c r="E304" s="949">
        <v>103</v>
      </c>
      <c r="F304" s="949">
        <v>103</v>
      </c>
      <c r="G304" s="950" t="s">
        <v>11086</v>
      </c>
      <c r="H304" s="950" t="s">
        <v>599</v>
      </c>
      <c r="I304" s="951" t="s">
        <v>22377</v>
      </c>
      <c r="J304" s="947" t="s">
        <v>22378</v>
      </c>
      <c r="K304" s="143"/>
    </row>
    <row r="305" spans="1:11">
      <c r="A305" s="946" t="s">
        <v>28614</v>
      </c>
      <c r="B305" s="947" t="s">
        <v>22391</v>
      </c>
      <c r="C305" s="948" t="s">
        <v>22389</v>
      </c>
      <c r="D305" s="242" t="s">
        <v>28732</v>
      </c>
      <c r="E305" s="949">
        <v>103</v>
      </c>
      <c r="F305" s="949">
        <v>103</v>
      </c>
      <c r="G305" s="950" t="s">
        <v>11086</v>
      </c>
      <c r="H305" s="950" t="s">
        <v>599</v>
      </c>
      <c r="I305" s="951" t="s">
        <v>22390</v>
      </c>
      <c r="J305" s="947" t="s">
        <v>22391</v>
      </c>
      <c r="K305" s="143"/>
    </row>
    <row r="306" spans="1:11">
      <c r="A306" s="946" t="s">
        <v>28614</v>
      </c>
      <c r="B306" s="947" t="s">
        <v>22397</v>
      </c>
      <c r="C306" s="948" t="s">
        <v>22395</v>
      </c>
      <c r="D306" s="242" t="s">
        <v>28732</v>
      </c>
      <c r="E306" s="949">
        <v>103</v>
      </c>
      <c r="F306" s="949">
        <v>103</v>
      </c>
      <c r="G306" s="950" t="s">
        <v>11086</v>
      </c>
      <c r="H306" s="950" t="s">
        <v>599</v>
      </c>
      <c r="I306" s="951" t="s">
        <v>22396</v>
      </c>
      <c r="J306" s="947" t="s">
        <v>22397</v>
      </c>
      <c r="K306" s="143"/>
    </row>
    <row r="307" spans="1:11">
      <c r="A307" s="946" t="s">
        <v>28614</v>
      </c>
      <c r="B307" s="947" t="s">
        <v>22415</v>
      </c>
      <c r="C307" s="948" t="s">
        <v>22413</v>
      </c>
      <c r="D307" s="242" t="s">
        <v>28732</v>
      </c>
      <c r="E307" s="949">
        <v>103</v>
      </c>
      <c r="F307" s="949">
        <v>103</v>
      </c>
      <c r="G307" s="950" t="s">
        <v>11086</v>
      </c>
      <c r="H307" s="950" t="s">
        <v>599</v>
      </c>
      <c r="I307" s="951" t="s">
        <v>22414</v>
      </c>
      <c r="J307" s="947" t="s">
        <v>22415</v>
      </c>
      <c r="K307" s="143"/>
    </row>
    <row r="308" spans="1:11">
      <c r="A308" s="946" t="s">
        <v>28614</v>
      </c>
      <c r="B308" s="947" t="s">
        <v>22451</v>
      </c>
      <c r="C308" s="948" t="s">
        <v>22449</v>
      </c>
      <c r="D308" s="242" t="s">
        <v>28732</v>
      </c>
      <c r="E308" s="949">
        <v>103</v>
      </c>
      <c r="F308" s="949">
        <v>103</v>
      </c>
      <c r="G308" s="950" t="s">
        <v>11086</v>
      </c>
      <c r="H308" s="950" t="s">
        <v>599</v>
      </c>
      <c r="I308" s="951" t="s">
        <v>22450</v>
      </c>
      <c r="J308" s="947" t="s">
        <v>22451</v>
      </c>
      <c r="K308" s="143"/>
    </row>
    <row r="309" spans="1:11">
      <c r="A309" s="946" t="s">
        <v>28614</v>
      </c>
      <c r="B309" s="947" t="s">
        <v>22516</v>
      </c>
      <c r="C309" s="948" t="s">
        <v>22514</v>
      </c>
      <c r="D309" s="242" t="s">
        <v>28732</v>
      </c>
      <c r="E309" s="949">
        <v>103</v>
      </c>
      <c r="F309" s="949">
        <v>103</v>
      </c>
      <c r="G309" s="950" t="s">
        <v>11086</v>
      </c>
      <c r="H309" s="950" t="s">
        <v>599</v>
      </c>
      <c r="I309" s="951" t="s">
        <v>22515</v>
      </c>
      <c r="J309" s="947" t="s">
        <v>22516</v>
      </c>
      <c r="K309" s="143"/>
    </row>
    <row r="310" spans="1:11">
      <c r="A310" s="946" t="s">
        <v>28614</v>
      </c>
      <c r="B310" s="947" t="s">
        <v>22543</v>
      </c>
      <c r="C310" s="948" t="s">
        <v>22541</v>
      </c>
      <c r="D310" s="242" t="s">
        <v>28732</v>
      </c>
      <c r="E310" s="949">
        <v>103</v>
      </c>
      <c r="F310" s="949">
        <v>103</v>
      </c>
      <c r="G310" s="950" t="s">
        <v>11086</v>
      </c>
      <c r="H310" s="950" t="s">
        <v>599</v>
      </c>
      <c r="I310" s="951" t="s">
        <v>22542</v>
      </c>
      <c r="J310" s="947" t="s">
        <v>22543</v>
      </c>
      <c r="K310" s="143"/>
    </row>
    <row r="311" spans="1:11">
      <c r="A311" s="946" t="s">
        <v>28614</v>
      </c>
      <c r="B311" s="947" t="s">
        <v>11088</v>
      </c>
      <c r="C311" s="948" t="s">
        <v>11085</v>
      </c>
      <c r="D311" s="242" t="s">
        <v>28732</v>
      </c>
      <c r="E311" s="949">
        <v>103</v>
      </c>
      <c r="F311" s="949">
        <v>103</v>
      </c>
      <c r="G311" s="950" t="s">
        <v>11086</v>
      </c>
      <c r="H311" s="950" t="s">
        <v>599</v>
      </c>
      <c r="I311" s="951" t="s">
        <v>11087</v>
      </c>
      <c r="J311" s="947" t="s">
        <v>11088</v>
      </c>
      <c r="K311" s="143"/>
    </row>
    <row r="312" spans="1:11">
      <c r="A312" s="946" t="s">
        <v>28614</v>
      </c>
      <c r="B312" s="947" t="s">
        <v>28650</v>
      </c>
      <c r="C312" s="948" t="s">
        <v>28773</v>
      </c>
      <c r="D312" s="242" t="s">
        <v>28732</v>
      </c>
      <c r="E312" s="949">
        <v>103</v>
      </c>
      <c r="F312" s="949">
        <v>103</v>
      </c>
      <c r="G312" s="950" t="s">
        <v>11086</v>
      </c>
      <c r="H312" s="950" t="s">
        <v>599</v>
      </c>
      <c r="I312" s="951" t="s">
        <v>28695</v>
      </c>
      <c r="J312" s="947" t="s">
        <v>28650</v>
      </c>
      <c r="K312" s="143"/>
    </row>
    <row r="313" spans="1:11">
      <c r="A313" s="946" t="s">
        <v>28614</v>
      </c>
      <c r="B313" s="947" t="s">
        <v>28651</v>
      </c>
      <c r="C313" s="948" t="s">
        <v>28774</v>
      </c>
      <c r="D313" s="242" t="s">
        <v>28732</v>
      </c>
      <c r="E313" s="949">
        <v>103</v>
      </c>
      <c r="F313" s="949">
        <v>103</v>
      </c>
      <c r="G313" s="950" t="s">
        <v>11086</v>
      </c>
      <c r="H313" s="950" t="s">
        <v>599</v>
      </c>
      <c r="I313" s="951" t="s">
        <v>28696</v>
      </c>
      <c r="J313" s="947" t="s">
        <v>28651</v>
      </c>
      <c r="K313" s="143"/>
    </row>
    <row r="314" spans="1:11">
      <c r="A314" s="946" t="s">
        <v>28614</v>
      </c>
      <c r="B314" s="947" t="s">
        <v>740</v>
      </c>
      <c r="C314" s="948" t="s">
        <v>737</v>
      </c>
      <c r="D314" s="242" t="s">
        <v>516</v>
      </c>
      <c r="E314" s="949">
        <v>102</v>
      </c>
      <c r="F314" s="949">
        <v>102</v>
      </c>
      <c r="G314" s="950" t="s">
        <v>21739</v>
      </c>
      <c r="H314" s="950" t="s">
        <v>738</v>
      </c>
      <c r="I314" s="951" t="s">
        <v>739</v>
      </c>
      <c r="J314" s="947" t="s">
        <v>740</v>
      </c>
      <c r="K314" s="143"/>
    </row>
    <row r="315" spans="1:11">
      <c r="A315" s="946" t="s">
        <v>28614</v>
      </c>
      <c r="B315" s="947" t="s">
        <v>777</v>
      </c>
      <c r="C315" s="948" t="s">
        <v>775</v>
      </c>
      <c r="D315" s="242" t="s">
        <v>516</v>
      </c>
      <c r="E315" s="949">
        <v>102</v>
      </c>
      <c r="F315" s="949">
        <v>102</v>
      </c>
      <c r="G315" s="950" t="s">
        <v>21739</v>
      </c>
      <c r="H315" s="950" t="s">
        <v>738</v>
      </c>
      <c r="I315" s="951" t="s">
        <v>776</v>
      </c>
      <c r="J315" s="947" t="s">
        <v>777</v>
      </c>
      <c r="K315" s="143"/>
    </row>
    <row r="316" spans="1:11">
      <c r="A316" s="946" t="s">
        <v>28614</v>
      </c>
      <c r="B316" s="947" t="s">
        <v>932</v>
      </c>
      <c r="C316" s="948" t="s">
        <v>930</v>
      </c>
      <c r="D316" s="242" t="s">
        <v>516</v>
      </c>
      <c r="E316" s="949">
        <v>102</v>
      </c>
      <c r="F316" s="949">
        <v>102</v>
      </c>
      <c r="G316" s="950" t="s">
        <v>21739</v>
      </c>
      <c r="H316" s="950" t="s">
        <v>738</v>
      </c>
      <c r="I316" s="951" t="s">
        <v>931</v>
      </c>
      <c r="J316" s="947" t="s">
        <v>932</v>
      </c>
      <c r="K316" s="143"/>
    </row>
    <row r="317" spans="1:11">
      <c r="A317" s="946" t="s">
        <v>28614</v>
      </c>
      <c r="B317" s="947" t="s">
        <v>1308</v>
      </c>
      <c r="C317" s="948" t="s">
        <v>1306</v>
      </c>
      <c r="D317" s="242" t="s">
        <v>516</v>
      </c>
      <c r="E317" s="949">
        <v>102</v>
      </c>
      <c r="F317" s="949">
        <v>102</v>
      </c>
      <c r="G317" s="950" t="s">
        <v>21739</v>
      </c>
      <c r="H317" s="950" t="s">
        <v>738</v>
      </c>
      <c r="I317" s="951" t="s">
        <v>1307</v>
      </c>
      <c r="J317" s="947" t="s">
        <v>1308</v>
      </c>
      <c r="K317" s="143"/>
    </row>
    <row r="318" spans="1:11">
      <c r="A318" s="946" t="s">
        <v>28614</v>
      </c>
      <c r="B318" s="947" t="s">
        <v>1559</v>
      </c>
      <c r="C318" s="948" t="s">
        <v>1557</v>
      </c>
      <c r="D318" s="242" t="s">
        <v>516</v>
      </c>
      <c r="E318" s="949">
        <v>102</v>
      </c>
      <c r="F318" s="949">
        <v>102</v>
      </c>
      <c r="G318" s="950" t="s">
        <v>21739</v>
      </c>
      <c r="H318" s="950" t="s">
        <v>738</v>
      </c>
      <c r="I318" s="951" t="s">
        <v>1558</v>
      </c>
      <c r="J318" s="947" t="s">
        <v>1559</v>
      </c>
      <c r="K318" s="143"/>
    </row>
    <row r="319" spans="1:11">
      <c r="A319" s="946" t="s">
        <v>28614</v>
      </c>
      <c r="B319" s="947" t="s">
        <v>1875</v>
      </c>
      <c r="C319" s="948" t="s">
        <v>1873</v>
      </c>
      <c r="D319" s="242" t="s">
        <v>516</v>
      </c>
      <c r="E319" s="949">
        <v>102</v>
      </c>
      <c r="F319" s="949">
        <v>102</v>
      </c>
      <c r="G319" s="950" t="s">
        <v>21739</v>
      </c>
      <c r="H319" s="950" t="s">
        <v>738</v>
      </c>
      <c r="I319" s="951" t="s">
        <v>1874</v>
      </c>
      <c r="J319" s="947" t="s">
        <v>1875</v>
      </c>
      <c r="K319" s="143"/>
    </row>
    <row r="320" spans="1:11">
      <c r="A320" s="946" t="s">
        <v>28614</v>
      </c>
      <c r="B320" s="947" t="s">
        <v>1878</v>
      </c>
      <c r="C320" s="948" t="s">
        <v>1876</v>
      </c>
      <c r="D320" s="242" t="s">
        <v>516</v>
      </c>
      <c r="E320" s="949">
        <v>102</v>
      </c>
      <c r="F320" s="949">
        <v>102</v>
      </c>
      <c r="G320" s="950" t="s">
        <v>21739</v>
      </c>
      <c r="H320" s="950" t="s">
        <v>738</v>
      </c>
      <c r="I320" s="951" t="s">
        <v>1877</v>
      </c>
      <c r="J320" s="947" t="s">
        <v>1878</v>
      </c>
      <c r="K320" s="143"/>
    </row>
    <row r="321" spans="1:11">
      <c r="A321" s="946" t="s">
        <v>28614</v>
      </c>
      <c r="B321" s="947" t="s">
        <v>2402</v>
      </c>
      <c r="C321" s="948" t="s">
        <v>2400</v>
      </c>
      <c r="D321" s="242" t="s">
        <v>516</v>
      </c>
      <c r="E321" s="949">
        <v>102</v>
      </c>
      <c r="F321" s="949">
        <v>102</v>
      </c>
      <c r="G321" s="950" t="s">
        <v>21739</v>
      </c>
      <c r="H321" s="950" t="s">
        <v>738</v>
      </c>
      <c r="I321" s="951" t="s">
        <v>2401</v>
      </c>
      <c r="J321" s="947" t="s">
        <v>2402</v>
      </c>
      <c r="K321" s="143"/>
    </row>
    <row r="322" spans="1:11">
      <c r="A322" s="946" t="s">
        <v>28614</v>
      </c>
      <c r="B322" s="947" t="s">
        <v>2540</v>
      </c>
      <c r="C322" s="948" t="s">
        <v>2538</v>
      </c>
      <c r="D322" s="242" t="s">
        <v>516</v>
      </c>
      <c r="E322" s="949">
        <v>102</v>
      </c>
      <c r="F322" s="949">
        <v>102</v>
      </c>
      <c r="G322" s="950" t="s">
        <v>21739</v>
      </c>
      <c r="H322" s="950" t="s">
        <v>738</v>
      </c>
      <c r="I322" s="951" t="s">
        <v>2539</v>
      </c>
      <c r="J322" s="947" t="s">
        <v>2540</v>
      </c>
      <c r="K322" s="143"/>
    </row>
    <row r="323" spans="1:11">
      <c r="A323" s="946" t="s">
        <v>28614</v>
      </c>
      <c r="B323" s="947" t="s">
        <v>2727</v>
      </c>
      <c r="C323" s="948" t="s">
        <v>2725</v>
      </c>
      <c r="D323" s="242" t="s">
        <v>516</v>
      </c>
      <c r="E323" s="949">
        <v>102</v>
      </c>
      <c r="F323" s="949">
        <v>102</v>
      </c>
      <c r="G323" s="950" t="s">
        <v>21739</v>
      </c>
      <c r="H323" s="950" t="s">
        <v>738</v>
      </c>
      <c r="I323" s="951" t="s">
        <v>2726</v>
      </c>
      <c r="J323" s="947" t="s">
        <v>2727</v>
      </c>
      <c r="K323" s="143"/>
    </row>
    <row r="324" spans="1:11">
      <c r="A324" s="946" t="s">
        <v>28614</v>
      </c>
      <c r="B324" s="947" t="s">
        <v>2814</v>
      </c>
      <c r="C324" s="948" t="s">
        <v>2812</v>
      </c>
      <c r="D324" s="242" t="s">
        <v>516</v>
      </c>
      <c r="E324" s="949">
        <v>102</v>
      </c>
      <c r="F324" s="949">
        <v>102</v>
      </c>
      <c r="G324" s="950" t="s">
        <v>21739</v>
      </c>
      <c r="H324" s="950" t="s">
        <v>738</v>
      </c>
      <c r="I324" s="951" t="s">
        <v>2813</v>
      </c>
      <c r="J324" s="947" t="s">
        <v>2814</v>
      </c>
      <c r="K324" s="143"/>
    </row>
    <row r="325" spans="1:11">
      <c r="A325" s="946" t="s">
        <v>28614</v>
      </c>
      <c r="B325" s="947" t="s">
        <v>2772</v>
      </c>
      <c r="C325" s="948" t="s">
        <v>2770</v>
      </c>
      <c r="D325" s="242" t="s">
        <v>516</v>
      </c>
      <c r="E325" s="949">
        <v>102</v>
      </c>
      <c r="F325" s="949">
        <v>102</v>
      </c>
      <c r="G325" s="950" t="s">
        <v>21739</v>
      </c>
      <c r="H325" s="950" t="s">
        <v>738</v>
      </c>
      <c r="I325" s="951" t="s">
        <v>2771</v>
      </c>
      <c r="J325" s="947" t="s">
        <v>2772</v>
      </c>
      <c r="K325" s="143"/>
    </row>
    <row r="326" spans="1:11">
      <c r="A326" s="946" t="s">
        <v>28614</v>
      </c>
      <c r="B326" s="947" t="s">
        <v>3266</v>
      </c>
      <c r="C326" s="948" t="s">
        <v>3264</v>
      </c>
      <c r="D326" s="242" t="s">
        <v>516</v>
      </c>
      <c r="E326" s="949">
        <v>102</v>
      </c>
      <c r="F326" s="949">
        <v>102</v>
      </c>
      <c r="G326" s="950" t="s">
        <v>21739</v>
      </c>
      <c r="H326" s="950" t="s">
        <v>738</v>
      </c>
      <c r="I326" s="951" t="s">
        <v>3265</v>
      </c>
      <c r="J326" s="947" t="s">
        <v>3266</v>
      </c>
      <c r="K326" s="143"/>
    </row>
    <row r="327" spans="1:11">
      <c r="A327" s="946" t="s">
        <v>28614</v>
      </c>
      <c r="B327" s="947" t="s">
        <v>3700</v>
      </c>
      <c r="C327" s="948" t="s">
        <v>3698</v>
      </c>
      <c r="D327" s="242" t="s">
        <v>516</v>
      </c>
      <c r="E327" s="949">
        <v>102</v>
      </c>
      <c r="F327" s="949">
        <v>102</v>
      </c>
      <c r="G327" s="950" t="s">
        <v>21739</v>
      </c>
      <c r="H327" s="950" t="s">
        <v>738</v>
      </c>
      <c r="I327" s="951" t="s">
        <v>3699</v>
      </c>
      <c r="J327" s="947" t="s">
        <v>3700</v>
      </c>
      <c r="K327" s="143"/>
    </row>
    <row r="328" spans="1:11">
      <c r="A328" s="946" t="s">
        <v>28614</v>
      </c>
      <c r="B328" s="947" t="s">
        <v>4263</v>
      </c>
      <c r="C328" s="948" t="s">
        <v>4261</v>
      </c>
      <c r="D328" s="242" t="s">
        <v>516</v>
      </c>
      <c r="E328" s="949">
        <v>102</v>
      </c>
      <c r="F328" s="949">
        <v>102</v>
      </c>
      <c r="G328" s="950" t="s">
        <v>21739</v>
      </c>
      <c r="H328" s="950" t="s">
        <v>738</v>
      </c>
      <c r="I328" s="951" t="s">
        <v>4262</v>
      </c>
      <c r="J328" s="947" t="s">
        <v>4263</v>
      </c>
      <c r="K328" s="143"/>
    </row>
    <row r="329" spans="1:11">
      <c r="A329" s="946" t="s">
        <v>28614</v>
      </c>
      <c r="B329" s="947" t="s">
        <v>4297</v>
      </c>
      <c r="C329" s="948" t="s">
        <v>4295</v>
      </c>
      <c r="D329" s="242" t="s">
        <v>516</v>
      </c>
      <c r="E329" s="949">
        <v>102</v>
      </c>
      <c r="F329" s="949">
        <v>102</v>
      </c>
      <c r="G329" s="950" t="s">
        <v>21739</v>
      </c>
      <c r="H329" s="950" t="s">
        <v>738</v>
      </c>
      <c r="I329" s="951" t="s">
        <v>4296</v>
      </c>
      <c r="J329" s="947" t="s">
        <v>4297</v>
      </c>
      <c r="K329" s="143"/>
    </row>
    <row r="330" spans="1:11">
      <c r="A330" s="946" t="s">
        <v>28614</v>
      </c>
      <c r="B330" s="947" t="s">
        <v>4300</v>
      </c>
      <c r="C330" s="948" t="s">
        <v>4298</v>
      </c>
      <c r="D330" s="242" t="s">
        <v>516</v>
      </c>
      <c r="E330" s="949">
        <v>102</v>
      </c>
      <c r="F330" s="949">
        <v>102</v>
      </c>
      <c r="G330" s="950" t="s">
        <v>21739</v>
      </c>
      <c r="H330" s="950" t="s">
        <v>738</v>
      </c>
      <c r="I330" s="951" t="s">
        <v>4299</v>
      </c>
      <c r="J330" s="947" t="s">
        <v>4300</v>
      </c>
      <c r="K330" s="143"/>
    </row>
    <row r="331" spans="1:11">
      <c r="A331" s="946" t="s">
        <v>28614</v>
      </c>
      <c r="B331" s="947" t="s">
        <v>4331</v>
      </c>
      <c r="C331" s="948" t="s">
        <v>4329</v>
      </c>
      <c r="D331" s="242" t="s">
        <v>516</v>
      </c>
      <c r="E331" s="949">
        <v>102</v>
      </c>
      <c r="F331" s="949">
        <v>102</v>
      </c>
      <c r="G331" s="950" t="s">
        <v>21739</v>
      </c>
      <c r="H331" s="950" t="s">
        <v>738</v>
      </c>
      <c r="I331" s="951" t="s">
        <v>4330</v>
      </c>
      <c r="J331" s="947" t="s">
        <v>4331</v>
      </c>
      <c r="K331" s="143"/>
    </row>
    <row r="332" spans="1:11">
      <c r="A332" s="946" t="s">
        <v>28614</v>
      </c>
      <c r="B332" s="947" t="s">
        <v>4670</v>
      </c>
      <c r="C332" s="948" t="s">
        <v>4668</v>
      </c>
      <c r="D332" s="242" t="s">
        <v>516</v>
      </c>
      <c r="E332" s="949">
        <v>102</v>
      </c>
      <c r="F332" s="949">
        <v>102</v>
      </c>
      <c r="G332" s="950" t="s">
        <v>21739</v>
      </c>
      <c r="H332" s="950" t="s">
        <v>738</v>
      </c>
      <c r="I332" s="951" t="s">
        <v>4669</v>
      </c>
      <c r="J332" s="947" t="s">
        <v>4670</v>
      </c>
      <c r="K332" s="143"/>
    </row>
    <row r="333" spans="1:11">
      <c r="A333" s="946" t="s">
        <v>28614</v>
      </c>
      <c r="B333" s="947" t="s">
        <v>29742</v>
      </c>
      <c r="C333" s="948" t="s">
        <v>29743</v>
      </c>
      <c r="D333" s="242" t="s">
        <v>516</v>
      </c>
      <c r="E333" s="949">
        <v>102</v>
      </c>
      <c r="F333" s="949">
        <v>102</v>
      </c>
      <c r="G333" s="950" t="s">
        <v>21739</v>
      </c>
      <c r="H333" s="950" t="s">
        <v>738</v>
      </c>
      <c r="I333" s="951" t="s">
        <v>29744</v>
      </c>
      <c r="J333" s="947" t="s">
        <v>29742</v>
      </c>
      <c r="K333" s="143"/>
    </row>
    <row r="334" spans="1:11">
      <c r="A334" s="946" t="s">
        <v>28614</v>
      </c>
      <c r="B334" s="947" t="s">
        <v>6064</v>
      </c>
      <c r="C334" s="948" t="s">
        <v>6062</v>
      </c>
      <c r="D334" s="242" t="s">
        <v>516</v>
      </c>
      <c r="E334" s="949">
        <v>102</v>
      </c>
      <c r="F334" s="949">
        <v>102</v>
      </c>
      <c r="G334" s="950" t="s">
        <v>21739</v>
      </c>
      <c r="H334" s="950" t="s">
        <v>738</v>
      </c>
      <c r="I334" s="951" t="s">
        <v>6063</v>
      </c>
      <c r="J334" s="947" t="s">
        <v>6064</v>
      </c>
      <c r="K334" s="143"/>
    </row>
    <row r="335" spans="1:11">
      <c r="A335" s="946" t="s">
        <v>28614</v>
      </c>
      <c r="B335" s="947" t="s">
        <v>6368</v>
      </c>
      <c r="C335" s="948" t="s">
        <v>6366</v>
      </c>
      <c r="D335" s="242" t="s">
        <v>516</v>
      </c>
      <c r="E335" s="949">
        <v>102</v>
      </c>
      <c r="F335" s="949">
        <v>102</v>
      </c>
      <c r="G335" s="950" t="s">
        <v>21739</v>
      </c>
      <c r="H335" s="950" t="s">
        <v>738</v>
      </c>
      <c r="I335" s="951" t="s">
        <v>6367</v>
      </c>
      <c r="J335" s="947" t="s">
        <v>6368</v>
      </c>
      <c r="K335" s="143"/>
    </row>
    <row r="336" spans="1:11">
      <c r="A336" s="946" t="s">
        <v>28614</v>
      </c>
      <c r="B336" s="947" t="s">
        <v>6537</v>
      </c>
      <c r="C336" s="948" t="s">
        <v>6535</v>
      </c>
      <c r="D336" s="242" t="s">
        <v>516</v>
      </c>
      <c r="E336" s="949">
        <v>102</v>
      </c>
      <c r="F336" s="949">
        <v>102</v>
      </c>
      <c r="G336" s="950" t="s">
        <v>21739</v>
      </c>
      <c r="H336" s="950" t="s">
        <v>738</v>
      </c>
      <c r="I336" s="951" t="s">
        <v>6536</v>
      </c>
      <c r="J336" s="947" t="s">
        <v>6537</v>
      </c>
      <c r="K336" s="143"/>
    </row>
    <row r="337" spans="1:11">
      <c r="A337" s="946" t="s">
        <v>28614</v>
      </c>
      <c r="B337" s="947" t="s">
        <v>6815</v>
      </c>
      <c r="C337" s="948" t="s">
        <v>6813</v>
      </c>
      <c r="D337" s="242" t="s">
        <v>516</v>
      </c>
      <c r="E337" s="949">
        <v>102</v>
      </c>
      <c r="F337" s="949">
        <v>102</v>
      </c>
      <c r="G337" s="950" t="s">
        <v>21739</v>
      </c>
      <c r="H337" s="950" t="s">
        <v>738</v>
      </c>
      <c r="I337" s="951" t="s">
        <v>6814</v>
      </c>
      <c r="J337" s="947" t="s">
        <v>6815</v>
      </c>
      <c r="K337" s="143"/>
    </row>
    <row r="338" spans="1:11">
      <c r="A338" s="946" t="s">
        <v>28614</v>
      </c>
      <c r="B338" s="947" t="s">
        <v>7285</v>
      </c>
      <c r="C338" s="948" t="s">
        <v>7283</v>
      </c>
      <c r="D338" s="242" t="s">
        <v>516</v>
      </c>
      <c r="E338" s="949">
        <v>102</v>
      </c>
      <c r="F338" s="949">
        <v>102</v>
      </c>
      <c r="G338" s="950" t="s">
        <v>21739</v>
      </c>
      <c r="H338" s="950" t="s">
        <v>738</v>
      </c>
      <c r="I338" s="951" t="s">
        <v>7284</v>
      </c>
      <c r="J338" s="947" t="s">
        <v>7285</v>
      </c>
      <c r="K338" s="143"/>
    </row>
    <row r="339" spans="1:11">
      <c r="A339" s="946" t="s">
        <v>28614</v>
      </c>
      <c r="B339" s="947" t="s">
        <v>7321</v>
      </c>
      <c r="C339" s="948" t="s">
        <v>7319</v>
      </c>
      <c r="D339" s="242" t="s">
        <v>516</v>
      </c>
      <c r="E339" s="949">
        <v>102</v>
      </c>
      <c r="F339" s="949">
        <v>102</v>
      </c>
      <c r="G339" s="950" t="s">
        <v>21739</v>
      </c>
      <c r="H339" s="950" t="s">
        <v>738</v>
      </c>
      <c r="I339" s="951" t="s">
        <v>7320</v>
      </c>
      <c r="J339" s="947" t="s">
        <v>7321</v>
      </c>
      <c r="K339" s="143"/>
    </row>
    <row r="340" spans="1:11">
      <c r="A340" s="946" t="s">
        <v>28614</v>
      </c>
      <c r="B340" s="947" t="s">
        <v>7365</v>
      </c>
      <c r="C340" s="948" t="s">
        <v>7363</v>
      </c>
      <c r="D340" s="242" t="s">
        <v>516</v>
      </c>
      <c r="E340" s="949">
        <v>102</v>
      </c>
      <c r="F340" s="949">
        <v>102</v>
      </c>
      <c r="G340" s="950" t="s">
        <v>21739</v>
      </c>
      <c r="H340" s="950" t="s">
        <v>738</v>
      </c>
      <c r="I340" s="951" t="s">
        <v>7364</v>
      </c>
      <c r="J340" s="947" t="s">
        <v>7365</v>
      </c>
      <c r="K340" s="143"/>
    </row>
    <row r="341" spans="1:11">
      <c r="A341" s="946" t="s">
        <v>28614</v>
      </c>
      <c r="B341" s="947" t="s">
        <v>7425</v>
      </c>
      <c r="C341" s="948" t="s">
        <v>7423</v>
      </c>
      <c r="D341" s="242" t="s">
        <v>516</v>
      </c>
      <c r="E341" s="949">
        <v>102</v>
      </c>
      <c r="F341" s="949">
        <v>102</v>
      </c>
      <c r="G341" s="950" t="s">
        <v>21739</v>
      </c>
      <c r="H341" s="950" t="s">
        <v>738</v>
      </c>
      <c r="I341" s="951" t="s">
        <v>7424</v>
      </c>
      <c r="J341" s="947" t="s">
        <v>7425</v>
      </c>
      <c r="K341" s="143"/>
    </row>
    <row r="342" spans="1:11">
      <c r="A342" s="946" t="s">
        <v>28614</v>
      </c>
      <c r="B342" s="947" t="s">
        <v>7622</v>
      </c>
      <c r="C342" s="948" t="s">
        <v>7620</v>
      </c>
      <c r="D342" s="242" t="s">
        <v>516</v>
      </c>
      <c r="E342" s="949">
        <v>102</v>
      </c>
      <c r="F342" s="949">
        <v>102</v>
      </c>
      <c r="G342" s="950" t="s">
        <v>21739</v>
      </c>
      <c r="H342" s="950" t="s">
        <v>738</v>
      </c>
      <c r="I342" s="951" t="s">
        <v>7621</v>
      </c>
      <c r="J342" s="947" t="s">
        <v>7622</v>
      </c>
      <c r="K342" s="143"/>
    </row>
    <row r="343" spans="1:11">
      <c r="A343" s="946" t="s">
        <v>28614</v>
      </c>
      <c r="B343" s="947" t="s">
        <v>8345</v>
      </c>
      <c r="C343" s="948" t="s">
        <v>8343</v>
      </c>
      <c r="D343" s="242" t="s">
        <v>516</v>
      </c>
      <c r="E343" s="949">
        <v>102</v>
      </c>
      <c r="F343" s="949">
        <v>102</v>
      </c>
      <c r="G343" s="950" t="s">
        <v>21739</v>
      </c>
      <c r="H343" s="950" t="s">
        <v>738</v>
      </c>
      <c r="I343" s="951" t="s">
        <v>8344</v>
      </c>
      <c r="J343" s="947" t="s">
        <v>8345</v>
      </c>
      <c r="K343" s="143"/>
    </row>
    <row r="344" spans="1:11">
      <c r="A344" s="946" t="s">
        <v>28614</v>
      </c>
      <c r="B344" s="947" t="s">
        <v>8421</v>
      </c>
      <c r="C344" s="948" t="s">
        <v>8419</v>
      </c>
      <c r="D344" s="242" t="s">
        <v>516</v>
      </c>
      <c r="E344" s="949">
        <v>102</v>
      </c>
      <c r="F344" s="949">
        <v>102</v>
      </c>
      <c r="G344" s="950" t="s">
        <v>21739</v>
      </c>
      <c r="H344" s="950" t="s">
        <v>738</v>
      </c>
      <c r="I344" s="951" t="s">
        <v>8420</v>
      </c>
      <c r="J344" s="947" t="s">
        <v>8421</v>
      </c>
      <c r="K344" s="143"/>
    </row>
    <row r="345" spans="1:11">
      <c r="A345" s="946" t="s">
        <v>28614</v>
      </c>
      <c r="B345" s="947" t="s">
        <v>8514</v>
      </c>
      <c r="C345" s="948" t="s">
        <v>8512</v>
      </c>
      <c r="D345" s="242" t="s">
        <v>516</v>
      </c>
      <c r="E345" s="949">
        <v>102</v>
      </c>
      <c r="F345" s="949">
        <v>102</v>
      </c>
      <c r="G345" s="950" t="s">
        <v>21739</v>
      </c>
      <c r="H345" s="950" t="s">
        <v>738</v>
      </c>
      <c r="I345" s="951" t="s">
        <v>8513</v>
      </c>
      <c r="J345" s="947" t="s">
        <v>8514</v>
      </c>
      <c r="K345" s="143"/>
    </row>
    <row r="346" spans="1:11">
      <c r="A346" s="946" t="s">
        <v>28614</v>
      </c>
      <c r="B346" s="947" t="s">
        <v>9026</v>
      </c>
      <c r="C346" s="948" t="s">
        <v>9024</v>
      </c>
      <c r="D346" s="242" t="s">
        <v>516</v>
      </c>
      <c r="E346" s="949">
        <v>102</v>
      </c>
      <c r="F346" s="949">
        <v>102</v>
      </c>
      <c r="G346" s="950" t="s">
        <v>21739</v>
      </c>
      <c r="H346" s="950" t="s">
        <v>738</v>
      </c>
      <c r="I346" s="951" t="s">
        <v>9025</v>
      </c>
      <c r="J346" s="947" t="s">
        <v>9026</v>
      </c>
      <c r="K346" s="143"/>
    </row>
    <row r="347" spans="1:11">
      <c r="A347" s="946" t="s">
        <v>28614</v>
      </c>
      <c r="B347" s="947" t="s">
        <v>9167</v>
      </c>
      <c r="C347" s="948" t="s">
        <v>9165</v>
      </c>
      <c r="D347" s="242" t="s">
        <v>516</v>
      </c>
      <c r="E347" s="949">
        <v>102</v>
      </c>
      <c r="F347" s="949">
        <v>102</v>
      </c>
      <c r="G347" s="950" t="s">
        <v>21739</v>
      </c>
      <c r="H347" s="950" t="s">
        <v>738</v>
      </c>
      <c r="I347" s="951" t="s">
        <v>9166</v>
      </c>
      <c r="J347" s="947" t="s">
        <v>9167</v>
      </c>
      <c r="K347" s="143"/>
    </row>
    <row r="348" spans="1:11">
      <c r="A348" s="946" t="s">
        <v>28614</v>
      </c>
      <c r="B348" s="947" t="s">
        <v>9518</v>
      </c>
      <c r="C348" s="948" t="s">
        <v>9516</v>
      </c>
      <c r="D348" s="242" t="s">
        <v>516</v>
      </c>
      <c r="E348" s="949">
        <v>102</v>
      </c>
      <c r="F348" s="949">
        <v>102</v>
      </c>
      <c r="G348" s="950" t="s">
        <v>21739</v>
      </c>
      <c r="H348" s="950" t="s">
        <v>738</v>
      </c>
      <c r="I348" s="951" t="s">
        <v>9517</v>
      </c>
      <c r="J348" s="947" t="s">
        <v>9518</v>
      </c>
      <c r="K348" s="143"/>
    </row>
    <row r="349" spans="1:11">
      <c r="A349" s="946" t="s">
        <v>28614</v>
      </c>
      <c r="B349" s="947" t="s">
        <v>9687</v>
      </c>
      <c r="C349" s="948" t="s">
        <v>9685</v>
      </c>
      <c r="D349" s="242" t="s">
        <v>516</v>
      </c>
      <c r="E349" s="949">
        <v>102</v>
      </c>
      <c r="F349" s="949">
        <v>102</v>
      </c>
      <c r="G349" s="950" t="s">
        <v>21739</v>
      </c>
      <c r="H349" s="950" t="s">
        <v>738</v>
      </c>
      <c r="I349" s="951" t="s">
        <v>9686</v>
      </c>
      <c r="J349" s="947" t="s">
        <v>9687</v>
      </c>
      <c r="K349" s="143"/>
    </row>
    <row r="350" spans="1:11">
      <c r="A350" s="946" t="s">
        <v>28614</v>
      </c>
      <c r="B350" s="947" t="s">
        <v>10108</v>
      </c>
      <c r="C350" s="948" t="s">
        <v>10106</v>
      </c>
      <c r="D350" s="242" t="s">
        <v>516</v>
      </c>
      <c r="E350" s="949">
        <v>102</v>
      </c>
      <c r="F350" s="949">
        <v>102</v>
      </c>
      <c r="G350" s="950" t="s">
        <v>21739</v>
      </c>
      <c r="H350" s="950" t="s">
        <v>738</v>
      </c>
      <c r="I350" s="951" t="s">
        <v>10107</v>
      </c>
      <c r="J350" s="947" t="s">
        <v>10108</v>
      </c>
      <c r="K350" s="143"/>
    </row>
    <row r="351" spans="1:11">
      <c r="A351" s="946" t="s">
        <v>28614</v>
      </c>
      <c r="B351" s="947" t="s">
        <v>10303</v>
      </c>
      <c r="C351" s="948" t="s">
        <v>10301</v>
      </c>
      <c r="D351" s="242" t="s">
        <v>516</v>
      </c>
      <c r="E351" s="949">
        <v>102</v>
      </c>
      <c r="F351" s="949">
        <v>102</v>
      </c>
      <c r="G351" s="950" t="s">
        <v>21739</v>
      </c>
      <c r="H351" s="950" t="s">
        <v>738</v>
      </c>
      <c r="I351" s="951" t="s">
        <v>10302</v>
      </c>
      <c r="J351" s="947" t="s">
        <v>10303</v>
      </c>
      <c r="K351" s="143"/>
    </row>
    <row r="352" spans="1:11">
      <c r="A352" s="946" t="s">
        <v>28614</v>
      </c>
      <c r="B352" s="947" t="s">
        <v>10420</v>
      </c>
      <c r="C352" s="948" t="s">
        <v>10418</v>
      </c>
      <c r="D352" s="242" t="s">
        <v>516</v>
      </c>
      <c r="E352" s="949">
        <v>102</v>
      </c>
      <c r="F352" s="949">
        <v>102</v>
      </c>
      <c r="G352" s="950" t="s">
        <v>21739</v>
      </c>
      <c r="H352" s="950" t="s">
        <v>738</v>
      </c>
      <c r="I352" s="951" t="s">
        <v>10419</v>
      </c>
      <c r="J352" s="947" t="s">
        <v>10420</v>
      </c>
      <c r="K352" s="143"/>
    </row>
    <row r="353" spans="1:11">
      <c r="A353" s="946" t="s">
        <v>28614</v>
      </c>
      <c r="B353" s="947" t="s">
        <v>10501</v>
      </c>
      <c r="C353" s="948" t="s">
        <v>10499</v>
      </c>
      <c r="D353" s="242" t="s">
        <v>516</v>
      </c>
      <c r="E353" s="949">
        <v>102</v>
      </c>
      <c r="F353" s="949">
        <v>102</v>
      </c>
      <c r="G353" s="950" t="s">
        <v>21739</v>
      </c>
      <c r="H353" s="950" t="s">
        <v>738</v>
      </c>
      <c r="I353" s="951" t="s">
        <v>10500</v>
      </c>
      <c r="J353" s="947" t="s">
        <v>10501</v>
      </c>
      <c r="K353" s="143"/>
    </row>
    <row r="354" spans="1:11">
      <c r="A354" s="946" t="s">
        <v>28614</v>
      </c>
      <c r="B354" s="947" t="s">
        <v>10679</v>
      </c>
      <c r="C354" s="948" t="s">
        <v>10677</v>
      </c>
      <c r="D354" s="242" t="s">
        <v>516</v>
      </c>
      <c r="E354" s="949">
        <v>102</v>
      </c>
      <c r="F354" s="949">
        <v>102</v>
      </c>
      <c r="G354" s="950" t="s">
        <v>21739</v>
      </c>
      <c r="H354" s="950" t="s">
        <v>738</v>
      </c>
      <c r="I354" s="951" t="s">
        <v>10678</v>
      </c>
      <c r="J354" s="947" t="s">
        <v>10679</v>
      </c>
      <c r="K354" s="143"/>
    </row>
    <row r="355" spans="1:11">
      <c r="A355" s="946" t="s">
        <v>28614</v>
      </c>
      <c r="B355" s="947" t="s">
        <v>11958</v>
      </c>
      <c r="C355" s="948" t="s">
        <v>11956</v>
      </c>
      <c r="D355" s="242" t="s">
        <v>516</v>
      </c>
      <c r="E355" s="949">
        <v>102</v>
      </c>
      <c r="F355" s="949">
        <v>102</v>
      </c>
      <c r="G355" s="950" t="s">
        <v>21739</v>
      </c>
      <c r="H355" s="950" t="s">
        <v>738</v>
      </c>
      <c r="I355" s="951" t="s">
        <v>11957</v>
      </c>
      <c r="J355" s="947" t="s">
        <v>11958</v>
      </c>
      <c r="K355" s="143"/>
    </row>
    <row r="356" spans="1:11">
      <c r="A356" s="946" t="s">
        <v>28614</v>
      </c>
      <c r="B356" s="947" t="s">
        <v>12058</v>
      </c>
      <c r="C356" s="948" t="s">
        <v>12056</v>
      </c>
      <c r="D356" s="242" t="s">
        <v>516</v>
      </c>
      <c r="E356" s="949">
        <v>102</v>
      </c>
      <c r="F356" s="949">
        <v>102</v>
      </c>
      <c r="G356" s="950" t="s">
        <v>21739</v>
      </c>
      <c r="H356" s="950" t="s">
        <v>738</v>
      </c>
      <c r="I356" s="951" t="s">
        <v>12057</v>
      </c>
      <c r="J356" s="947" t="s">
        <v>12058</v>
      </c>
      <c r="K356" s="143"/>
    </row>
    <row r="357" spans="1:11">
      <c r="A357" s="946" t="s">
        <v>28614</v>
      </c>
      <c r="B357" s="947" t="s">
        <v>13035</v>
      </c>
      <c r="C357" s="948" t="s">
        <v>13033</v>
      </c>
      <c r="D357" s="242" t="s">
        <v>516</v>
      </c>
      <c r="E357" s="949">
        <v>102</v>
      </c>
      <c r="F357" s="949">
        <v>102</v>
      </c>
      <c r="G357" s="950" t="s">
        <v>21739</v>
      </c>
      <c r="H357" s="950" t="s">
        <v>738</v>
      </c>
      <c r="I357" s="951" t="s">
        <v>13034</v>
      </c>
      <c r="J357" s="947" t="s">
        <v>13035</v>
      </c>
      <c r="K357" s="143"/>
    </row>
    <row r="358" spans="1:11">
      <c r="A358" s="946" t="s">
        <v>28614</v>
      </c>
      <c r="B358" s="947" t="s">
        <v>13545</v>
      </c>
      <c r="C358" s="948" t="s">
        <v>13543</v>
      </c>
      <c r="D358" s="242" t="s">
        <v>516</v>
      </c>
      <c r="E358" s="949">
        <v>102</v>
      </c>
      <c r="F358" s="949">
        <v>102</v>
      </c>
      <c r="G358" s="950" t="s">
        <v>21739</v>
      </c>
      <c r="H358" s="950" t="s">
        <v>738</v>
      </c>
      <c r="I358" s="951" t="s">
        <v>13544</v>
      </c>
      <c r="J358" s="947" t="s">
        <v>13545</v>
      </c>
      <c r="K358" s="143"/>
    </row>
    <row r="359" spans="1:11">
      <c r="A359" s="946" t="s">
        <v>28614</v>
      </c>
      <c r="B359" s="947" t="s">
        <v>13548</v>
      </c>
      <c r="C359" s="948" t="s">
        <v>13546</v>
      </c>
      <c r="D359" s="242" t="s">
        <v>516</v>
      </c>
      <c r="E359" s="949">
        <v>102</v>
      </c>
      <c r="F359" s="949">
        <v>102</v>
      </c>
      <c r="G359" s="950" t="s">
        <v>21739</v>
      </c>
      <c r="H359" s="950" t="s">
        <v>738</v>
      </c>
      <c r="I359" s="951" t="s">
        <v>13547</v>
      </c>
      <c r="J359" s="947" t="s">
        <v>13548</v>
      </c>
      <c r="K359" s="143"/>
    </row>
    <row r="360" spans="1:11">
      <c r="A360" s="946" t="s">
        <v>28614</v>
      </c>
      <c r="B360" s="947" t="s">
        <v>14108</v>
      </c>
      <c r="C360" s="948" t="s">
        <v>14106</v>
      </c>
      <c r="D360" s="242" t="s">
        <v>516</v>
      </c>
      <c r="E360" s="949">
        <v>102</v>
      </c>
      <c r="F360" s="949">
        <v>102</v>
      </c>
      <c r="G360" s="950" t="s">
        <v>21739</v>
      </c>
      <c r="H360" s="950" t="s">
        <v>738</v>
      </c>
      <c r="I360" s="951" t="s">
        <v>14107</v>
      </c>
      <c r="J360" s="947" t="s">
        <v>14108</v>
      </c>
      <c r="K360" s="143"/>
    </row>
    <row r="361" spans="1:11">
      <c r="A361" s="946" t="s">
        <v>28614</v>
      </c>
      <c r="B361" s="947" t="s">
        <v>14535</v>
      </c>
      <c r="C361" s="948" t="s">
        <v>14533</v>
      </c>
      <c r="D361" s="242" t="s">
        <v>516</v>
      </c>
      <c r="E361" s="949">
        <v>102</v>
      </c>
      <c r="F361" s="949">
        <v>102</v>
      </c>
      <c r="G361" s="950" t="s">
        <v>21739</v>
      </c>
      <c r="H361" s="950" t="s">
        <v>738</v>
      </c>
      <c r="I361" s="951" t="s">
        <v>14534</v>
      </c>
      <c r="J361" s="947" t="s">
        <v>14535</v>
      </c>
      <c r="K361" s="143"/>
    </row>
    <row r="362" spans="1:11">
      <c r="A362" s="946" t="s">
        <v>28614</v>
      </c>
      <c r="B362" s="947" t="s">
        <v>14686</v>
      </c>
      <c r="C362" s="948" t="s">
        <v>14684</v>
      </c>
      <c r="D362" s="242" t="s">
        <v>516</v>
      </c>
      <c r="E362" s="949">
        <v>102</v>
      </c>
      <c r="F362" s="949">
        <v>102</v>
      </c>
      <c r="G362" s="950" t="s">
        <v>21739</v>
      </c>
      <c r="H362" s="950" t="s">
        <v>738</v>
      </c>
      <c r="I362" s="951" t="s">
        <v>14685</v>
      </c>
      <c r="J362" s="947" t="s">
        <v>14686</v>
      </c>
      <c r="K362" s="143"/>
    </row>
    <row r="363" spans="1:11">
      <c r="A363" s="946" t="s">
        <v>28614</v>
      </c>
      <c r="B363" s="947" t="s">
        <v>14993</v>
      </c>
      <c r="C363" s="948" t="s">
        <v>14991</v>
      </c>
      <c r="D363" s="242" t="s">
        <v>516</v>
      </c>
      <c r="E363" s="949">
        <v>102</v>
      </c>
      <c r="F363" s="949">
        <v>102</v>
      </c>
      <c r="G363" s="950" t="s">
        <v>21739</v>
      </c>
      <c r="H363" s="950" t="s">
        <v>738</v>
      </c>
      <c r="I363" s="951" t="s">
        <v>14992</v>
      </c>
      <c r="J363" s="947" t="s">
        <v>14993</v>
      </c>
      <c r="K363" s="143"/>
    </row>
    <row r="364" spans="1:11">
      <c r="A364" s="946" t="s">
        <v>28614</v>
      </c>
      <c r="B364" s="947" t="s">
        <v>15036</v>
      </c>
      <c r="C364" s="948" t="s">
        <v>15034</v>
      </c>
      <c r="D364" s="242" t="s">
        <v>516</v>
      </c>
      <c r="E364" s="949">
        <v>102</v>
      </c>
      <c r="F364" s="949">
        <v>102</v>
      </c>
      <c r="G364" s="950" t="s">
        <v>21739</v>
      </c>
      <c r="H364" s="950" t="s">
        <v>738</v>
      </c>
      <c r="I364" s="951" t="s">
        <v>15035</v>
      </c>
      <c r="J364" s="947" t="s">
        <v>15036</v>
      </c>
      <c r="K364" s="143"/>
    </row>
    <row r="365" spans="1:11">
      <c r="A365" s="946" t="s">
        <v>28614</v>
      </c>
      <c r="B365" s="947" t="s">
        <v>15635</v>
      </c>
      <c r="C365" s="948" t="s">
        <v>15633</v>
      </c>
      <c r="D365" s="242" t="s">
        <v>516</v>
      </c>
      <c r="E365" s="949">
        <v>102</v>
      </c>
      <c r="F365" s="949">
        <v>102</v>
      </c>
      <c r="G365" s="950" t="s">
        <v>21739</v>
      </c>
      <c r="H365" s="950" t="s">
        <v>738</v>
      </c>
      <c r="I365" s="951" t="s">
        <v>15634</v>
      </c>
      <c r="J365" s="947" t="s">
        <v>15635</v>
      </c>
      <c r="K365" s="143"/>
    </row>
    <row r="366" spans="1:11">
      <c r="A366" s="946" t="s">
        <v>28614</v>
      </c>
      <c r="B366" s="947" t="s">
        <v>15736</v>
      </c>
      <c r="C366" s="948" t="s">
        <v>15734</v>
      </c>
      <c r="D366" s="242" t="s">
        <v>516</v>
      </c>
      <c r="E366" s="949">
        <v>102</v>
      </c>
      <c r="F366" s="949">
        <v>102</v>
      </c>
      <c r="G366" s="950" t="s">
        <v>21739</v>
      </c>
      <c r="H366" s="950" t="s">
        <v>738</v>
      </c>
      <c r="I366" s="951" t="s">
        <v>15735</v>
      </c>
      <c r="J366" s="947" t="s">
        <v>15736</v>
      </c>
      <c r="K366" s="143"/>
    </row>
    <row r="367" spans="1:11">
      <c r="A367" s="946" t="s">
        <v>28614</v>
      </c>
      <c r="B367" s="947" t="s">
        <v>15967</v>
      </c>
      <c r="C367" s="948" t="s">
        <v>15965</v>
      </c>
      <c r="D367" s="242" t="s">
        <v>516</v>
      </c>
      <c r="E367" s="949">
        <v>102</v>
      </c>
      <c r="F367" s="949">
        <v>102</v>
      </c>
      <c r="G367" s="950" t="s">
        <v>21739</v>
      </c>
      <c r="H367" s="950" t="s">
        <v>738</v>
      </c>
      <c r="I367" s="951" t="s">
        <v>15966</v>
      </c>
      <c r="J367" s="947" t="s">
        <v>15967</v>
      </c>
      <c r="K367" s="143"/>
    </row>
    <row r="368" spans="1:11">
      <c r="A368" s="946" t="s">
        <v>28614</v>
      </c>
      <c r="B368" s="947" t="s">
        <v>16013</v>
      </c>
      <c r="C368" s="948" t="s">
        <v>16011</v>
      </c>
      <c r="D368" s="242" t="s">
        <v>516</v>
      </c>
      <c r="E368" s="949">
        <v>102</v>
      </c>
      <c r="F368" s="949">
        <v>102</v>
      </c>
      <c r="G368" s="950" t="s">
        <v>21739</v>
      </c>
      <c r="H368" s="950" t="s">
        <v>738</v>
      </c>
      <c r="I368" s="951" t="s">
        <v>16012</v>
      </c>
      <c r="J368" s="947" t="s">
        <v>16013</v>
      </c>
      <c r="K368" s="143"/>
    </row>
    <row r="369" spans="1:11">
      <c r="A369" s="946" t="s">
        <v>28614</v>
      </c>
      <c r="B369" s="947" t="s">
        <v>16106</v>
      </c>
      <c r="C369" s="948" t="s">
        <v>16104</v>
      </c>
      <c r="D369" s="242" t="s">
        <v>516</v>
      </c>
      <c r="E369" s="949">
        <v>102</v>
      </c>
      <c r="F369" s="949">
        <v>102</v>
      </c>
      <c r="G369" s="950" t="s">
        <v>21739</v>
      </c>
      <c r="H369" s="950" t="s">
        <v>738</v>
      </c>
      <c r="I369" s="951" t="s">
        <v>16105</v>
      </c>
      <c r="J369" s="947" t="s">
        <v>16106</v>
      </c>
      <c r="K369" s="143"/>
    </row>
    <row r="370" spans="1:11">
      <c r="A370" s="946" t="s">
        <v>28614</v>
      </c>
      <c r="B370" s="947" t="s">
        <v>16315</v>
      </c>
      <c r="C370" s="948" t="s">
        <v>16313</v>
      </c>
      <c r="D370" s="242" t="s">
        <v>516</v>
      </c>
      <c r="E370" s="949">
        <v>102</v>
      </c>
      <c r="F370" s="949">
        <v>102</v>
      </c>
      <c r="G370" s="950" t="s">
        <v>21739</v>
      </c>
      <c r="H370" s="950" t="s">
        <v>738</v>
      </c>
      <c r="I370" s="951" t="s">
        <v>16314</v>
      </c>
      <c r="J370" s="947" t="s">
        <v>16315</v>
      </c>
      <c r="K370" s="143"/>
    </row>
    <row r="371" spans="1:11">
      <c r="A371" s="946" t="s">
        <v>28614</v>
      </c>
      <c r="B371" s="947" t="s">
        <v>16429</v>
      </c>
      <c r="C371" s="948" t="s">
        <v>16427</v>
      </c>
      <c r="D371" s="242" t="s">
        <v>516</v>
      </c>
      <c r="E371" s="949">
        <v>102</v>
      </c>
      <c r="F371" s="949">
        <v>102</v>
      </c>
      <c r="G371" s="950" t="s">
        <v>21739</v>
      </c>
      <c r="H371" s="950" t="s">
        <v>738</v>
      </c>
      <c r="I371" s="951" t="s">
        <v>16428</v>
      </c>
      <c r="J371" s="947" t="s">
        <v>16429</v>
      </c>
      <c r="K371" s="143"/>
    </row>
    <row r="372" spans="1:11">
      <c r="A372" s="946" t="s">
        <v>28614</v>
      </c>
      <c r="B372" s="947" t="s">
        <v>16468</v>
      </c>
      <c r="C372" s="948" t="s">
        <v>16466</v>
      </c>
      <c r="D372" s="242" t="s">
        <v>516</v>
      </c>
      <c r="E372" s="949">
        <v>102</v>
      </c>
      <c r="F372" s="949">
        <v>102</v>
      </c>
      <c r="G372" s="950" t="s">
        <v>21739</v>
      </c>
      <c r="H372" s="950" t="s">
        <v>738</v>
      </c>
      <c r="I372" s="951" t="s">
        <v>16467</v>
      </c>
      <c r="J372" s="947" t="s">
        <v>16468</v>
      </c>
      <c r="K372" s="143"/>
    </row>
    <row r="373" spans="1:11">
      <c r="A373" s="946" t="s">
        <v>28614</v>
      </c>
      <c r="B373" s="947" t="s">
        <v>16913</v>
      </c>
      <c r="C373" s="948" t="s">
        <v>16911</v>
      </c>
      <c r="D373" s="242" t="s">
        <v>516</v>
      </c>
      <c r="E373" s="949">
        <v>102</v>
      </c>
      <c r="F373" s="949">
        <v>102</v>
      </c>
      <c r="G373" s="950" t="s">
        <v>21739</v>
      </c>
      <c r="H373" s="950" t="s">
        <v>738</v>
      </c>
      <c r="I373" s="951" t="s">
        <v>16912</v>
      </c>
      <c r="J373" s="947" t="s">
        <v>16913</v>
      </c>
      <c r="K373" s="143"/>
    </row>
    <row r="374" spans="1:11">
      <c r="A374" s="946" t="s">
        <v>28614</v>
      </c>
      <c r="B374" s="947" t="s">
        <v>16979</v>
      </c>
      <c r="C374" s="948" t="s">
        <v>16977</v>
      </c>
      <c r="D374" s="242" t="s">
        <v>516</v>
      </c>
      <c r="E374" s="949">
        <v>102</v>
      </c>
      <c r="F374" s="949">
        <v>102</v>
      </c>
      <c r="G374" s="950" t="s">
        <v>21739</v>
      </c>
      <c r="H374" s="950" t="s">
        <v>738</v>
      </c>
      <c r="I374" s="951" t="s">
        <v>16978</v>
      </c>
      <c r="J374" s="947" t="s">
        <v>16979</v>
      </c>
      <c r="K374" s="143"/>
    </row>
    <row r="375" spans="1:11">
      <c r="A375" s="946" t="s">
        <v>28614</v>
      </c>
      <c r="B375" s="947" t="s">
        <v>17024</v>
      </c>
      <c r="C375" s="948" t="s">
        <v>17022</v>
      </c>
      <c r="D375" s="242" t="s">
        <v>516</v>
      </c>
      <c r="E375" s="949">
        <v>102</v>
      </c>
      <c r="F375" s="949">
        <v>102</v>
      </c>
      <c r="G375" s="950" t="s">
        <v>21739</v>
      </c>
      <c r="H375" s="950" t="s">
        <v>738</v>
      </c>
      <c r="I375" s="951" t="s">
        <v>17023</v>
      </c>
      <c r="J375" s="947" t="s">
        <v>17024</v>
      </c>
      <c r="K375" s="143"/>
    </row>
    <row r="376" spans="1:11">
      <c r="A376" s="946" t="s">
        <v>28614</v>
      </c>
      <c r="B376" s="947" t="s">
        <v>17221</v>
      </c>
      <c r="C376" s="948" t="s">
        <v>17219</v>
      </c>
      <c r="D376" s="242" t="s">
        <v>516</v>
      </c>
      <c r="E376" s="949">
        <v>102</v>
      </c>
      <c r="F376" s="949">
        <v>102</v>
      </c>
      <c r="G376" s="950" t="s">
        <v>21739</v>
      </c>
      <c r="H376" s="950" t="s">
        <v>738</v>
      </c>
      <c r="I376" s="951" t="s">
        <v>17220</v>
      </c>
      <c r="J376" s="947" t="s">
        <v>17221</v>
      </c>
      <c r="K376" s="143"/>
    </row>
    <row r="377" spans="1:11">
      <c r="A377" s="946" t="s">
        <v>28614</v>
      </c>
      <c r="B377" s="947" t="s">
        <v>17266</v>
      </c>
      <c r="C377" s="948" t="s">
        <v>17264</v>
      </c>
      <c r="D377" s="242" t="s">
        <v>516</v>
      </c>
      <c r="E377" s="949">
        <v>102</v>
      </c>
      <c r="F377" s="949">
        <v>102</v>
      </c>
      <c r="G377" s="950" t="s">
        <v>21739</v>
      </c>
      <c r="H377" s="950" t="s">
        <v>738</v>
      </c>
      <c r="I377" s="951" t="s">
        <v>17265</v>
      </c>
      <c r="J377" s="947" t="s">
        <v>17266</v>
      </c>
      <c r="K377" s="143"/>
    </row>
    <row r="378" spans="1:11">
      <c r="A378" s="946" t="s">
        <v>28614</v>
      </c>
      <c r="B378" s="947" t="s">
        <v>17300</v>
      </c>
      <c r="C378" s="948" t="s">
        <v>17298</v>
      </c>
      <c r="D378" s="242" t="s">
        <v>516</v>
      </c>
      <c r="E378" s="949">
        <v>102</v>
      </c>
      <c r="F378" s="949">
        <v>102</v>
      </c>
      <c r="G378" s="950" t="s">
        <v>21739</v>
      </c>
      <c r="H378" s="950" t="s">
        <v>738</v>
      </c>
      <c r="I378" s="951" t="s">
        <v>17299</v>
      </c>
      <c r="J378" s="947" t="s">
        <v>17300</v>
      </c>
      <c r="K378" s="143"/>
    </row>
    <row r="379" spans="1:11">
      <c r="A379" s="946" t="s">
        <v>28614</v>
      </c>
      <c r="B379" s="947" t="s">
        <v>17611</v>
      </c>
      <c r="C379" s="948" t="s">
        <v>17609</v>
      </c>
      <c r="D379" s="242" t="s">
        <v>516</v>
      </c>
      <c r="E379" s="949">
        <v>102</v>
      </c>
      <c r="F379" s="949">
        <v>102</v>
      </c>
      <c r="G379" s="950" t="s">
        <v>21739</v>
      </c>
      <c r="H379" s="950" t="s">
        <v>738</v>
      </c>
      <c r="I379" s="951" t="s">
        <v>17610</v>
      </c>
      <c r="J379" s="947" t="s">
        <v>17611</v>
      </c>
      <c r="K379" s="143"/>
    </row>
    <row r="380" spans="1:11">
      <c r="A380" s="946" t="s">
        <v>28614</v>
      </c>
      <c r="B380" s="947" t="s">
        <v>18738</v>
      </c>
      <c r="C380" s="948" t="s">
        <v>18736</v>
      </c>
      <c r="D380" s="242" t="s">
        <v>516</v>
      </c>
      <c r="E380" s="949">
        <v>102</v>
      </c>
      <c r="F380" s="949">
        <v>102</v>
      </c>
      <c r="G380" s="950" t="s">
        <v>21739</v>
      </c>
      <c r="H380" s="950" t="s">
        <v>738</v>
      </c>
      <c r="I380" s="951" t="s">
        <v>18737</v>
      </c>
      <c r="J380" s="947" t="s">
        <v>18738</v>
      </c>
      <c r="K380" s="143"/>
    </row>
    <row r="381" spans="1:11">
      <c r="A381" s="946" t="s">
        <v>28614</v>
      </c>
      <c r="B381" s="947" t="s">
        <v>19124</v>
      </c>
      <c r="C381" s="948" t="s">
        <v>19122</v>
      </c>
      <c r="D381" s="242" t="s">
        <v>516</v>
      </c>
      <c r="E381" s="949">
        <v>102</v>
      </c>
      <c r="F381" s="949">
        <v>102</v>
      </c>
      <c r="G381" s="950" t="s">
        <v>21739</v>
      </c>
      <c r="H381" s="950" t="s">
        <v>738</v>
      </c>
      <c r="I381" s="951" t="s">
        <v>19123</v>
      </c>
      <c r="J381" s="947" t="s">
        <v>19124</v>
      </c>
      <c r="K381" s="143"/>
    </row>
    <row r="382" spans="1:11">
      <c r="A382" s="946" t="s">
        <v>28614</v>
      </c>
      <c r="B382" s="947" t="s">
        <v>19127</v>
      </c>
      <c r="C382" s="948" t="s">
        <v>19125</v>
      </c>
      <c r="D382" s="242" t="s">
        <v>516</v>
      </c>
      <c r="E382" s="949">
        <v>102</v>
      </c>
      <c r="F382" s="949">
        <v>102</v>
      </c>
      <c r="G382" s="950" t="s">
        <v>21739</v>
      </c>
      <c r="H382" s="950" t="s">
        <v>738</v>
      </c>
      <c r="I382" s="951" t="s">
        <v>19126</v>
      </c>
      <c r="J382" s="947" t="s">
        <v>19127</v>
      </c>
      <c r="K382" s="143"/>
    </row>
    <row r="383" spans="1:11">
      <c r="A383" s="946" t="s">
        <v>28614</v>
      </c>
      <c r="B383" s="947" t="s">
        <v>19382</v>
      </c>
      <c r="C383" s="948" t="s">
        <v>19380</v>
      </c>
      <c r="D383" s="242" t="s">
        <v>516</v>
      </c>
      <c r="E383" s="949">
        <v>102</v>
      </c>
      <c r="F383" s="949">
        <v>102</v>
      </c>
      <c r="G383" s="950" t="s">
        <v>21739</v>
      </c>
      <c r="H383" s="950" t="s">
        <v>738</v>
      </c>
      <c r="I383" s="951" t="s">
        <v>19381</v>
      </c>
      <c r="J383" s="947" t="s">
        <v>19382</v>
      </c>
      <c r="K383" s="143"/>
    </row>
    <row r="384" spans="1:11">
      <c r="A384" s="946" t="s">
        <v>28614</v>
      </c>
      <c r="B384" s="947" t="s">
        <v>20068</v>
      </c>
      <c r="C384" s="948" t="s">
        <v>20066</v>
      </c>
      <c r="D384" s="242" t="s">
        <v>516</v>
      </c>
      <c r="E384" s="949">
        <v>102</v>
      </c>
      <c r="F384" s="949">
        <v>102</v>
      </c>
      <c r="G384" s="950" t="s">
        <v>21739</v>
      </c>
      <c r="H384" s="950" t="s">
        <v>738</v>
      </c>
      <c r="I384" s="951" t="s">
        <v>20067</v>
      </c>
      <c r="J384" s="947" t="s">
        <v>20068</v>
      </c>
      <c r="K384" s="143"/>
    </row>
    <row r="385" spans="1:11">
      <c r="A385" s="946" t="s">
        <v>28614</v>
      </c>
      <c r="B385" s="947" t="s">
        <v>21022</v>
      </c>
      <c r="C385" s="948" t="s">
        <v>21020</v>
      </c>
      <c r="D385" s="242" t="s">
        <v>516</v>
      </c>
      <c r="E385" s="949">
        <v>102</v>
      </c>
      <c r="F385" s="949">
        <v>102</v>
      </c>
      <c r="G385" s="950" t="s">
        <v>21739</v>
      </c>
      <c r="H385" s="950" t="s">
        <v>738</v>
      </c>
      <c r="I385" s="951" t="s">
        <v>21021</v>
      </c>
      <c r="J385" s="947" t="s">
        <v>21022</v>
      </c>
      <c r="K385" s="143"/>
    </row>
    <row r="386" spans="1:11">
      <c r="A386" s="946" t="s">
        <v>28614</v>
      </c>
      <c r="B386" s="947" t="s">
        <v>21044</v>
      </c>
      <c r="C386" s="948" t="s">
        <v>21042</v>
      </c>
      <c r="D386" s="242" t="s">
        <v>516</v>
      </c>
      <c r="E386" s="949">
        <v>102</v>
      </c>
      <c r="F386" s="949">
        <v>102</v>
      </c>
      <c r="G386" s="950" t="s">
        <v>21739</v>
      </c>
      <c r="H386" s="950" t="s">
        <v>738</v>
      </c>
      <c r="I386" s="951" t="s">
        <v>21043</v>
      </c>
      <c r="J386" s="947" t="s">
        <v>21044</v>
      </c>
      <c r="K386" s="143"/>
    </row>
    <row r="387" spans="1:11">
      <c r="A387" s="946" t="s">
        <v>28614</v>
      </c>
      <c r="B387" s="947" t="s">
        <v>21092</v>
      </c>
      <c r="C387" s="948" t="s">
        <v>21090</v>
      </c>
      <c r="D387" s="242" t="s">
        <v>516</v>
      </c>
      <c r="E387" s="949">
        <v>102</v>
      </c>
      <c r="F387" s="949">
        <v>102</v>
      </c>
      <c r="G387" s="950" t="s">
        <v>21739</v>
      </c>
      <c r="H387" s="950" t="s">
        <v>738</v>
      </c>
      <c r="I387" s="951" t="s">
        <v>21091</v>
      </c>
      <c r="J387" s="947" t="s">
        <v>21092</v>
      </c>
      <c r="K387" s="143"/>
    </row>
    <row r="388" spans="1:11">
      <c r="A388" s="946" t="s">
        <v>28614</v>
      </c>
      <c r="B388" s="947" t="s">
        <v>21336</v>
      </c>
      <c r="C388" s="948" t="s">
        <v>21334</v>
      </c>
      <c r="D388" s="242" t="s">
        <v>516</v>
      </c>
      <c r="E388" s="949">
        <v>102</v>
      </c>
      <c r="F388" s="949">
        <v>102</v>
      </c>
      <c r="G388" s="950" t="s">
        <v>21739</v>
      </c>
      <c r="H388" s="950" t="s">
        <v>738</v>
      </c>
      <c r="I388" s="951" t="s">
        <v>21335</v>
      </c>
      <c r="J388" s="947" t="s">
        <v>21336</v>
      </c>
      <c r="K388" s="143"/>
    </row>
    <row r="389" spans="1:11">
      <c r="A389" s="946" t="s">
        <v>28614</v>
      </c>
      <c r="B389" s="947" t="s">
        <v>21560</v>
      </c>
      <c r="C389" s="948" t="s">
        <v>21558</v>
      </c>
      <c r="D389" s="242" t="s">
        <v>516</v>
      </c>
      <c r="E389" s="949">
        <v>102</v>
      </c>
      <c r="F389" s="949">
        <v>102</v>
      </c>
      <c r="G389" s="950" t="s">
        <v>21739</v>
      </c>
      <c r="H389" s="950" t="s">
        <v>738</v>
      </c>
      <c r="I389" s="951" t="s">
        <v>21559</v>
      </c>
      <c r="J389" s="947" t="s">
        <v>21560</v>
      </c>
      <c r="K389" s="143"/>
    </row>
    <row r="390" spans="1:11">
      <c r="A390" s="946" t="s">
        <v>28614</v>
      </c>
      <c r="B390" s="947" t="s">
        <v>21739</v>
      </c>
      <c r="C390" s="948" t="s">
        <v>21737</v>
      </c>
      <c r="D390" s="242" t="s">
        <v>516</v>
      </c>
      <c r="E390" s="949">
        <v>102</v>
      </c>
      <c r="F390" s="949">
        <v>102</v>
      </c>
      <c r="G390" s="950" t="s">
        <v>21739</v>
      </c>
      <c r="H390" s="950" t="s">
        <v>738</v>
      </c>
      <c r="I390" s="951" t="s">
        <v>21738</v>
      </c>
      <c r="J390" s="947" t="s">
        <v>21739</v>
      </c>
      <c r="K390" s="143"/>
    </row>
    <row r="391" spans="1:11">
      <c r="A391" s="946" t="s">
        <v>28614</v>
      </c>
      <c r="B391" s="947" t="s">
        <v>22303</v>
      </c>
      <c r="C391" s="948" t="s">
        <v>22301</v>
      </c>
      <c r="D391" s="242" t="s">
        <v>516</v>
      </c>
      <c r="E391" s="949">
        <v>102</v>
      </c>
      <c r="F391" s="949">
        <v>102</v>
      </c>
      <c r="G391" s="950" t="s">
        <v>21739</v>
      </c>
      <c r="H391" s="950" t="s">
        <v>738</v>
      </c>
      <c r="I391" s="951" t="s">
        <v>22302</v>
      </c>
      <c r="J391" s="947" t="s">
        <v>22303</v>
      </c>
      <c r="K391" s="143"/>
    </row>
    <row r="392" spans="1:11">
      <c r="A392" s="946" t="s">
        <v>28614</v>
      </c>
      <c r="B392" s="947" t="s">
        <v>22327</v>
      </c>
      <c r="C392" s="948" t="s">
        <v>22325</v>
      </c>
      <c r="D392" s="242" t="s">
        <v>516</v>
      </c>
      <c r="E392" s="949">
        <v>102</v>
      </c>
      <c r="F392" s="949">
        <v>102</v>
      </c>
      <c r="G392" s="950" t="s">
        <v>21739</v>
      </c>
      <c r="H392" s="950" t="s">
        <v>738</v>
      </c>
      <c r="I392" s="951" t="s">
        <v>22326</v>
      </c>
      <c r="J392" s="947" t="s">
        <v>22327</v>
      </c>
      <c r="K392" s="143"/>
    </row>
    <row r="393" spans="1:11">
      <c r="A393" s="946" t="s">
        <v>28614</v>
      </c>
      <c r="B393" s="947" t="s">
        <v>22481</v>
      </c>
      <c r="C393" s="948" t="s">
        <v>22479</v>
      </c>
      <c r="D393" s="242" t="s">
        <v>516</v>
      </c>
      <c r="E393" s="949">
        <v>102</v>
      </c>
      <c r="F393" s="949">
        <v>102</v>
      </c>
      <c r="G393" s="950" t="s">
        <v>21739</v>
      </c>
      <c r="H393" s="950" t="s">
        <v>738</v>
      </c>
      <c r="I393" s="951" t="s">
        <v>22480</v>
      </c>
      <c r="J393" s="947" t="s">
        <v>22481</v>
      </c>
      <c r="K393" s="143"/>
    </row>
    <row r="394" spans="1:11">
      <c r="A394" s="946" t="s">
        <v>28614</v>
      </c>
      <c r="B394" s="947" t="s">
        <v>28647</v>
      </c>
      <c r="C394" s="948" t="s">
        <v>28770</v>
      </c>
      <c r="D394" s="242" t="s">
        <v>516</v>
      </c>
      <c r="E394" s="949">
        <v>102</v>
      </c>
      <c r="F394" s="949">
        <v>102</v>
      </c>
      <c r="G394" s="950" t="s">
        <v>21739</v>
      </c>
      <c r="H394" s="950" t="s">
        <v>738</v>
      </c>
      <c r="I394" s="951" t="s">
        <v>28691</v>
      </c>
      <c r="J394" s="947" t="s">
        <v>28647</v>
      </c>
      <c r="K394" s="143"/>
    </row>
    <row r="395" spans="1:11">
      <c r="A395" s="946" t="s">
        <v>28614</v>
      </c>
      <c r="B395" s="947" t="s">
        <v>28648</v>
      </c>
      <c r="C395" s="948" t="s">
        <v>28771</v>
      </c>
      <c r="D395" s="242" t="s">
        <v>516</v>
      </c>
      <c r="E395" s="949">
        <v>102</v>
      </c>
      <c r="F395" s="949">
        <v>102</v>
      </c>
      <c r="G395" s="950" t="s">
        <v>21739</v>
      </c>
      <c r="H395" s="950" t="s">
        <v>738</v>
      </c>
      <c r="I395" s="951" t="s">
        <v>28692</v>
      </c>
      <c r="J395" s="947" t="s">
        <v>28648</v>
      </c>
      <c r="K395" s="143"/>
    </row>
    <row r="396" spans="1:11">
      <c r="A396" s="946" t="s">
        <v>28614</v>
      </c>
      <c r="B396" s="947" t="s">
        <v>646</v>
      </c>
      <c r="C396" s="948" t="s">
        <v>644</v>
      </c>
      <c r="D396" s="242" t="s">
        <v>510</v>
      </c>
      <c r="E396" s="949">
        <v>101</v>
      </c>
      <c r="F396" s="949">
        <v>101</v>
      </c>
      <c r="G396" s="950" t="s">
        <v>13403</v>
      </c>
      <c r="H396" s="950" t="s">
        <v>137</v>
      </c>
      <c r="I396" s="951" t="s">
        <v>645</v>
      </c>
      <c r="J396" s="947" t="s">
        <v>646</v>
      </c>
      <c r="K396" s="143"/>
    </row>
    <row r="397" spans="1:11">
      <c r="A397" s="946" t="s">
        <v>28614</v>
      </c>
      <c r="B397" s="947" t="s">
        <v>1094</v>
      </c>
      <c r="C397" s="948" t="s">
        <v>1092</v>
      </c>
      <c r="D397" s="242" t="s">
        <v>510</v>
      </c>
      <c r="E397" s="949">
        <v>101</v>
      </c>
      <c r="F397" s="949">
        <v>101</v>
      </c>
      <c r="G397" s="950" t="s">
        <v>13403</v>
      </c>
      <c r="H397" s="950" t="s">
        <v>137</v>
      </c>
      <c r="I397" s="951" t="s">
        <v>1093</v>
      </c>
      <c r="J397" s="947" t="s">
        <v>1094</v>
      </c>
      <c r="K397" s="143"/>
    </row>
    <row r="398" spans="1:11">
      <c r="A398" s="946" t="s">
        <v>28614</v>
      </c>
      <c r="B398" s="947" t="s">
        <v>1436</v>
      </c>
      <c r="C398" s="948" t="s">
        <v>1434</v>
      </c>
      <c r="D398" s="242" t="s">
        <v>510</v>
      </c>
      <c r="E398" s="949">
        <v>101</v>
      </c>
      <c r="F398" s="949">
        <v>101</v>
      </c>
      <c r="G398" s="950" t="s">
        <v>13403</v>
      </c>
      <c r="H398" s="950" t="s">
        <v>137</v>
      </c>
      <c r="I398" s="951" t="s">
        <v>1435</v>
      </c>
      <c r="J398" s="947" t="s">
        <v>1436</v>
      </c>
      <c r="K398" s="143"/>
    </row>
    <row r="399" spans="1:11">
      <c r="A399" s="946" t="s">
        <v>28614</v>
      </c>
      <c r="B399" s="947" t="s">
        <v>1461</v>
      </c>
      <c r="C399" s="948" t="s">
        <v>1459</v>
      </c>
      <c r="D399" s="242" t="s">
        <v>510</v>
      </c>
      <c r="E399" s="949">
        <v>101</v>
      </c>
      <c r="F399" s="949">
        <v>101</v>
      </c>
      <c r="G399" s="950" t="s">
        <v>13403</v>
      </c>
      <c r="H399" s="950" t="s">
        <v>137</v>
      </c>
      <c r="I399" s="951" t="s">
        <v>1460</v>
      </c>
      <c r="J399" s="947" t="s">
        <v>1461</v>
      </c>
      <c r="K399" s="143"/>
    </row>
    <row r="400" spans="1:11">
      <c r="A400" s="946" t="s">
        <v>28614</v>
      </c>
      <c r="B400" s="947" t="s">
        <v>1974</v>
      </c>
      <c r="C400" s="948" t="s">
        <v>1972</v>
      </c>
      <c r="D400" s="242" t="s">
        <v>510</v>
      </c>
      <c r="E400" s="949">
        <v>101</v>
      </c>
      <c r="F400" s="949">
        <v>101</v>
      </c>
      <c r="G400" s="950" t="s">
        <v>13403</v>
      </c>
      <c r="H400" s="950" t="s">
        <v>137</v>
      </c>
      <c r="I400" s="951" t="s">
        <v>1973</v>
      </c>
      <c r="J400" s="947" t="s">
        <v>1974</v>
      </c>
      <c r="K400" s="143"/>
    </row>
    <row r="401" spans="1:11">
      <c r="A401" s="946" t="s">
        <v>28614</v>
      </c>
      <c r="B401" s="947" t="s">
        <v>2193</v>
      </c>
      <c r="C401" s="948" t="s">
        <v>2191</v>
      </c>
      <c r="D401" s="242" t="s">
        <v>510</v>
      </c>
      <c r="E401" s="949">
        <v>101</v>
      </c>
      <c r="F401" s="949">
        <v>101</v>
      </c>
      <c r="G401" s="950" t="s">
        <v>13403</v>
      </c>
      <c r="H401" s="950" t="s">
        <v>137</v>
      </c>
      <c r="I401" s="951" t="s">
        <v>2192</v>
      </c>
      <c r="J401" s="947" t="s">
        <v>2193</v>
      </c>
      <c r="K401" s="143"/>
    </row>
    <row r="402" spans="1:11">
      <c r="A402" s="946" t="s">
        <v>28614</v>
      </c>
      <c r="B402" s="947" t="s">
        <v>2393</v>
      </c>
      <c r="C402" s="948" t="s">
        <v>2391</v>
      </c>
      <c r="D402" s="242" t="s">
        <v>510</v>
      </c>
      <c r="E402" s="949">
        <v>101</v>
      </c>
      <c r="F402" s="949">
        <v>101</v>
      </c>
      <c r="G402" s="950" t="s">
        <v>13403</v>
      </c>
      <c r="H402" s="950" t="s">
        <v>137</v>
      </c>
      <c r="I402" s="951" t="s">
        <v>2392</v>
      </c>
      <c r="J402" s="947" t="s">
        <v>2393</v>
      </c>
      <c r="K402" s="143"/>
    </row>
    <row r="403" spans="1:11">
      <c r="A403" s="946" t="s">
        <v>28614</v>
      </c>
      <c r="B403" s="947" t="s">
        <v>2534</v>
      </c>
      <c r="C403" s="948" t="s">
        <v>2532</v>
      </c>
      <c r="D403" s="242" t="s">
        <v>510</v>
      </c>
      <c r="E403" s="949">
        <v>101</v>
      </c>
      <c r="F403" s="949">
        <v>101</v>
      </c>
      <c r="G403" s="950" t="s">
        <v>13403</v>
      </c>
      <c r="H403" s="950" t="s">
        <v>137</v>
      </c>
      <c r="I403" s="951" t="s">
        <v>2533</v>
      </c>
      <c r="J403" s="947" t="s">
        <v>2534</v>
      </c>
      <c r="K403" s="143"/>
    </row>
    <row r="404" spans="1:11">
      <c r="A404" s="946" t="s">
        <v>28614</v>
      </c>
      <c r="B404" s="947" t="s">
        <v>2560</v>
      </c>
      <c r="C404" s="948" t="s">
        <v>2558</v>
      </c>
      <c r="D404" s="242" t="s">
        <v>510</v>
      </c>
      <c r="E404" s="949">
        <v>101</v>
      </c>
      <c r="F404" s="949">
        <v>101</v>
      </c>
      <c r="G404" s="950" t="s">
        <v>13403</v>
      </c>
      <c r="H404" s="950" t="s">
        <v>137</v>
      </c>
      <c r="I404" s="951" t="s">
        <v>2559</v>
      </c>
      <c r="J404" s="947" t="s">
        <v>2560</v>
      </c>
      <c r="K404" s="143"/>
    </row>
    <row r="405" spans="1:11">
      <c r="A405" s="946" t="s">
        <v>28614</v>
      </c>
      <c r="B405" s="947" t="s">
        <v>2602</v>
      </c>
      <c r="C405" s="948" t="s">
        <v>2600</v>
      </c>
      <c r="D405" s="242" t="s">
        <v>510</v>
      </c>
      <c r="E405" s="949">
        <v>101</v>
      </c>
      <c r="F405" s="949">
        <v>101</v>
      </c>
      <c r="G405" s="950" t="s">
        <v>13403</v>
      </c>
      <c r="H405" s="950" t="s">
        <v>137</v>
      </c>
      <c r="I405" s="951" t="s">
        <v>2601</v>
      </c>
      <c r="J405" s="947" t="s">
        <v>2602</v>
      </c>
      <c r="K405" s="143"/>
    </row>
    <row r="406" spans="1:11">
      <c r="A406" s="946" t="s">
        <v>28614</v>
      </c>
      <c r="B406" s="947" t="s">
        <v>2778</v>
      </c>
      <c r="C406" s="948" t="s">
        <v>2776</v>
      </c>
      <c r="D406" s="242" t="s">
        <v>510</v>
      </c>
      <c r="E406" s="949">
        <v>101</v>
      </c>
      <c r="F406" s="949">
        <v>101</v>
      </c>
      <c r="G406" s="950" t="s">
        <v>13403</v>
      </c>
      <c r="H406" s="950" t="s">
        <v>137</v>
      </c>
      <c r="I406" s="951" t="s">
        <v>2777</v>
      </c>
      <c r="J406" s="947" t="s">
        <v>2778</v>
      </c>
      <c r="K406" s="143"/>
    </row>
    <row r="407" spans="1:11">
      <c r="A407" s="946" t="s">
        <v>28614</v>
      </c>
      <c r="B407" s="947" t="s">
        <v>2784</v>
      </c>
      <c r="C407" s="948" t="s">
        <v>2782</v>
      </c>
      <c r="D407" s="242" t="s">
        <v>510</v>
      </c>
      <c r="E407" s="949">
        <v>101</v>
      </c>
      <c r="F407" s="949">
        <v>101</v>
      </c>
      <c r="G407" s="950" t="s">
        <v>13403</v>
      </c>
      <c r="H407" s="950" t="s">
        <v>137</v>
      </c>
      <c r="I407" s="951" t="s">
        <v>2783</v>
      </c>
      <c r="J407" s="947" t="s">
        <v>2784</v>
      </c>
      <c r="K407" s="143"/>
    </row>
    <row r="408" spans="1:11">
      <c r="A408" s="946" t="s">
        <v>28614</v>
      </c>
      <c r="B408" s="947" t="s">
        <v>2757</v>
      </c>
      <c r="C408" s="948" t="s">
        <v>2755</v>
      </c>
      <c r="D408" s="242" t="s">
        <v>510</v>
      </c>
      <c r="E408" s="949">
        <v>101</v>
      </c>
      <c r="F408" s="949">
        <v>101</v>
      </c>
      <c r="G408" s="950" t="s">
        <v>13403</v>
      </c>
      <c r="H408" s="950" t="s">
        <v>137</v>
      </c>
      <c r="I408" s="951" t="s">
        <v>2756</v>
      </c>
      <c r="J408" s="947" t="s">
        <v>2757</v>
      </c>
      <c r="K408" s="143"/>
    </row>
    <row r="409" spans="1:11">
      <c r="A409" s="946" t="s">
        <v>28614</v>
      </c>
      <c r="B409" s="947" t="s">
        <v>3057</v>
      </c>
      <c r="C409" s="948" t="s">
        <v>3055</v>
      </c>
      <c r="D409" s="242" t="s">
        <v>510</v>
      </c>
      <c r="E409" s="949">
        <v>101</v>
      </c>
      <c r="F409" s="949">
        <v>101</v>
      </c>
      <c r="G409" s="950" t="s">
        <v>13403</v>
      </c>
      <c r="H409" s="950" t="s">
        <v>137</v>
      </c>
      <c r="I409" s="951" t="s">
        <v>3056</v>
      </c>
      <c r="J409" s="947" t="s">
        <v>3057</v>
      </c>
      <c r="K409" s="143"/>
    </row>
    <row r="410" spans="1:11">
      <c r="A410" s="946" t="s">
        <v>28614</v>
      </c>
      <c r="B410" s="947" t="s">
        <v>3076</v>
      </c>
      <c r="C410" s="948" t="s">
        <v>3074</v>
      </c>
      <c r="D410" s="242" t="s">
        <v>510</v>
      </c>
      <c r="E410" s="949">
        <v>101</v>
      </c>
      <c r="F410" s="949">
        <v>101</v>
      </c>
      <c r="G410" s="950" t="s">
        <v>13403</v>
      </c>
      <c r="H410" s="950" t="s">
        <v>137</v>
      </c>
      <c r="I410" s="951" t="s">
        <v>3075</v>
      </c>
      <c r="J410" s="947" t="s">
        <v>3076</v>
      </c>
      <c r="K410" s="143"/>
    </row>
    <row r="411" spans="1:11">
      <c r="A411" s="946" t="s">
        <v>28614</v>
      </c>
      <c r="B411" s="947" t="s">
        <v>3540</v>
      </c>
      <c r="C411" s="948" t="s">
        <v>3538</v>
      </c>
      <c r="D411" s="242" t="s">
        <v>510</v>
      </c>
      <c r="E411" s="949">
        <v>101</v>
      </c>
      <c r="F411" s="949">
        <v>101</v>
      </c>
      <c r="G411" s="950" t="s">
        <v>13403</v>
      </c>
      <c r="H411" s="950" t="s">
        <v>137</v>
      </c>
      <c r="I411" s="951" t="s">
        <v>3539</v>
      </c>
      <c r="J411" s="947" t="s">
        <v>3540</v>
      </c>
      <c r="K411" s="143"/>
    </row>
    <row r="412" spans="1:11">
      <c r="A412" s="946" t="s">
        <v>28614</v>
      </c>
      <c r="B412" s="947" t="s">
        <v>3638</v>
      </c>
      <c r="C412" s="948" t="s">
        <v>3636</v>
      </c>
      <c r="D412" s="242" t="s">
        <v>510</v>
      </c>
      <c r="E412" s="949">
        <v>101</v>
      </c>
      <c r="F412" s="949">
        <v>101</v>
      </c>
      <c r="G412" s="950" t="s">
        <v>13403</v>
      </c>
      <c r="H412" s="950" t="s">
        <v>137</v>
      </c>
      <c r="I412" s="951" t="s">
        <v>3637</v>
      </c>
      <c r="J412" s="947" t="s">
        <v>3638</v>
      </c>
      <c r="K412" s="143"/>
    </row>
    <row r="413" spans="1:11">
      <c r="A413" s="946" t="s">
        <v>28614</v>
      </c>
      <c r="B413" s="947" t="s">
        <v>4420</v>
      </c>
      <c r="C413" s="948" t="s">
        <v>4418</v>
      </c>
      <c r="D413" s="242" t="s">
        <v>510</v>
      </c>
      <c r="E413" s="949">
        <v>101</v>
      </c>
      <c r="F413" s="949">
        <v>101</v>
      </c>
      <c r="G413" s="950" t="s">
        <v>13403</v>
      </c>
      <c r="H413" s="950" t="s">
        <v>137</v>
      </c>
      <c r="I413" s="951" t="s">
        <v>4419</v>
      </c>
      <c r="J413" s="947" t="s">
        <v>4420</v>
      </c>
      <c r="K413" s="143"/>
    </row>
    <row r="414" spans="1:11">
      <c r="A414" s="946" t="s">
        <v>28614</v>
      </c>
      <c r="B414" s="947" t="s">
        <v>4521</v>
      </c>
      <c r="C414" s="948" t="s">
        <v>4519</v>
      </c>
      <c r="D414" s="242" t="s">
        <v>510</v>
      </c>
      <c r="E414" s="949">
        <v>101</v>
      </c>
      <c r="F414" s="949">
        <v>101</v>
      </c>
      <c r="G414" s="950" t="s">
        <v>13403</v>
      </c>
      <c r="H414" s="950" t="s">
        <v>137</v>
      </c>
      <c r="I414" s="951" t="s">
        <v>4520</v>
      </c>
      <c r="J414" s="947" t="s">
        <v>4521</v>
      </c>
      <c r="K414" s="143"/>
    </row>
    <row r="415" spans="1:11">
      <c r="A415" s="946" t="s">
        <v>28614</v>
      </c>
      <c r="B415" s="947" t="s">
        <v>4571</v>
      </c>
      <c r="C415" s="948" t="s">
        <v>4569</v>
      </c>
      <c r="D415" s="242" t="s">
        <v>510</v>
      </c>
      <c r="E415" s="949">
        <v>101</v>
      </c>
      <c r="F415" s="949">
        <v>101</v>
      </c>
      <c r="G415" s="950" t="s">
        <v>13403</v>
      </c>
      <c r="H415" s="950" t="s">
        <v>137</v>
      </c>
      <c r="I415" s="951" t="s">
        <v>4570</v>
      </c>
      <c r="J415" s="947" t="s">
        <v>4571</v>
      </c>
      <c r="K415" s="143"/>
    </row>
    <row r="416" spans="1:11">
      <c r="A416" s="946" t="s">
        <v>28614</v>
      </c>
      <c r="B416" s="947" t="s">
        <v>4604</v>
      </c>
      <c r="C416" s="948" t="s">
        <v>4602</v>
      </c>
      <c r="D416" s="242" t="s">
        <v>510</v>
      </c>
      <c r="E416" s="949">
        <v>101</v>
      </c>
      <c r="F416" s="949">
        <v>101</v>
      </c>
      <c r="G416" s="950" t="s">
        <v>13403</v>
      </c>
      <c r="H416" s="950" t="s">
        <v>137</v>
      </c>
      <c r="I416" s="951" t="s">
        <v>4603</v>
      </c>
      <c r="J416" s="947" t="s">
        <v>4604</v>
      </c>
      <c r="K416" s="143"/>
    </row>
    <row r="417" spans="1:11">
      <c r="A417" s="946" t="s">
        <v>28614</v>
      </c>
      <c r="B417" s="947" t="s">
        <v>4652</v>
      </c>
      <c r="C417" s="948" t="s">
        <v>4650</v>
      </c>
      <c r="D417" s="242" t="s">
        <v>510</v>
      </c>
      <c r="E417" s="949">
        <v>101</v>
      </c>
      <c r="F417" s="949">
        <v>101</v>
      </c>
      <c r="G417" s="950" t="s">
        <v>13403</v>
      </c>
      <c r="H417" s="950" t="s">
        <v>137</v>
      </c>
      <c r="I417" s="951" t="s">
        <v>4651</v>
      </c>
      <c r="J417" s="947" t="s">
        <v>4652</v>
      </c>
      <c r="K417" s="143"/>
    </row>
    <row r="418" spans="1:11">
      <c r="A418" s="946" t="s">
        <v>28614</v>
      </c>
      <c r="B418" s="947" t="s">
        <v>5178</v>
      </c>
      <c r="C418" s="948" t="s">
        <v>5176</v>
      </c>
      <c r="D418" s="242" t="s">
        <v>510</v>
      </c>
      <c r="E418" s="949">
        <v>101</v>
      </c>
      <c r="F418" s="949">
        <v>101</v>
      </c>
      <c r="G418" s="950" t="s">
        <v>13403</v>
      </c>
      <c r="H418" s="950" t="s">
        <v>137</v>
      </c>
      <c r="I418" s="951" t="s">
        <v>5177</v>
      </c>
      <c r="J418" s="947" t="s">
        <v>5178</v>
      </c>
      <c r="K418" s="143"/>
    </row>
    <row r="419" spans="1:11">
      <c r="A419" s="946" t="s">
        <v>28614</v>
      </c>
      <c r="B419" s="947" t="s">
        <v>5211</v>
      </c>
      <c r="C419" s="948" t="s">
        <v>5209</v>
      </c>
      <c r="D419" s="242" t="s">
        <v>510</v>
      </c>
      <c r="E419" s="949">
        <v>101</v>
      </c>
      <c r="F419" s="949">
        <v>101</v>
      </c>
      <c r="G419" s="950" t="s">
        <v>13403</v>
      </c>
      <c r="H419" s="950" t="s">
        <v>137</v>
      </c>
      <c r="I419" s="951" t="s">
        <v>5210</v>
      </c>
      <c r="J419" s="947" t="s">
        <v>5211</v>
      </c>
      <c r="K419" s="143"/>
    </row>
    <row r="420" spans="1:11">
      <c r="A420" s="946" t="s">
        <v>28614</v>
      </c>
      <c r="B420" s="947" t="s">
        <v>5650</v>
      </c>
      <c r="C420" s="948" t="s">
        <v>5648</v>
      </c>
      <c r="D420" s="242" t="s">
        <v>510</v>
      </c>
      <c r="E420" s="949">
        <v>101</v>
      </c>
      <c r="F420" s="949">
        <v>101</v>
      </c>
      <c r="G420" s="950" t="s">
        <v>13403</v>
      </c>
      <c r="H420" s="950" t="s">
        <v>137</v>
      </c>
      <c r="I420" s="951" t="s">
        <v>5649</v>
      </c>
      <c r="J420" s="947" t="s">
        <v>5650</v>
      </c>
      <c r="K420" s="143"/>
    </row>
    <row r="421" spans="1:11">
      <c r="A421" s="946" t="s">
        <v>28614</v>
      </c>
      <c r="B421" s="947" t="s">
        <v>5653</v>
      </c>
      <c r="C421" s="948" t="s">
        <v>5651</v>
      </c>
      <c r="D421" s="242" t="s">
        <v>510</v>
      </c>
      <c r="E421" s="949">
        <v>101</v>
      </c>
      <c r="F421" s="949">
        <v>101</v>
      </c>
      <c r="G421" s="950" t="s">
        <v>13403</v>
      </c>
      <c r="H421" s="950" t="s">
        <v>137</v>
      </c>
      <c r="I421" s="951" t="s">
        <v>5652</v>
      </c>
      <c r="J421" s="947" t="s">
        <v>5653</v>
      </c>
      <c r="K421" s="143"/>
    </row>
    <row r="422" spans="1:11">
      <c r="A422" s="946" t="s">
        <v>28614</v>
      </c>
      <c r="B422" s="947" t="s">
        <v>5677</v>
      </c>
      <c r="C422" s="948" t="s">
        <v>5675</v>
      </c>
      <c r="D422" s="242" t="s">
        <v>510</v>
      </c>
      <c r="E422" s="949">
        <v>101</v>
      </c>
      <c r="F422" s="949">
        <v>101</v>
      </c>
      <c r="G422" s="950" t="s">
        <v>13403</v>
      </c>
      <c r="H422" s="950" t="s">
        <v>137</v>
      </c>
      <c r="I422" s="951" t="s">
        <v>5676</v>
      </c>
      <c r="J422" s="947" t="s">
        <v>5677</v>
      </c>
      <c r="K422" s="143"/>
    </row>
    <row r="423" spans="1:11">
      <c r="A423" s="946" t="s">
        <v>28614</v>
      </c>
      <c r="B423" s="947" t="s">
        <v>5891</v>
      </c>
      <c r="C423" s="948" t="s">
        <v>5889</v>
      </c>
      <c r="D423" s="242" t="s">
        <v>510</v>
      </c>
      <c r="E423" s="949">
        <v>101</v>
      </c>
      <c r="F423" s="949">
        <v>101</v>
      </c>
      <c r="G423" s="950" t="s">
        <v>13403</v>
      </c>
      <c r="H423" s="950" t="s">
        <v>137</v>
      </c>
      <c r="I423" s="951" t="s">
        <v>5890</v>
      </c>
      <c r="J423" s="947" t="s">
        <v>5891</v>
      </c>
      <c r="K423" s="143"/>
    </row>
    <row r="424" spans="1:11">
      <c r="A424" s="946" t="s">
        <v>28614</v>
      </c>
      <c r="B424" s="947" t="s">
        <v>6694</v>
      </c>
      <c r="C424" s="948" t="s">
        <v>6692</v>
      </c>
      <c r="D424" s="242" t="s">
        <v>510</v>
      </c>
      <c r="E424" s="949">
        <v>101</v>
      </c>
      <c r="F424" s="949">
        <v>101</v>
      </c>
      <c r="G424" s="950" t="s">
        <v>13403</v>
      </c>
      <c r="H424" s="950" t="s">
        <v>137</v>
      </c>
      <c r="I424" s="951" t="s">
        <v>6693</v>
      </c>
      <c r="J424" s="947" t="s">
        <v>6694</v>
      </c>
      <c r="K424" s="143"/>
    </row>
    <row r="425" spans="1:11">
      <c r="A425" s="946" t="s">
        <v>28614</v>
      </c>
      <c r="B425" s="947" t="s">
        <v>6893</v>
      </c>
      <c r="C425" s="948" t="s">
        <v>6891</v>
      </c>
      <c r="D425" s="242" t="s">
        <v>510</v>
      </c>
      <c r="E425" s="949">
        <v>101</v>
      </c>
      <c r="F425" s="949">
        <v>101</v>
      </c>
      <c r="G425" s="950" t="s">
        <v>13403</v>
      </c>
      <c r="H425" s="950" t="s">
        <v>137</v>
      </c>
      <c r="I425" s="951" t="s">
        <v>6892</v>
      </c>
      <c r="J425" s="947" t="s">
        <v>6893</v>
      </c>
      <c r="K425" s="143"/>
    </row>
    <row r="426" spans="1:11">
      <c r="A426" s="946" t="s">
        <v>28614</v>
      </c>
      <c r="B426" s="947" t="s">
        <v>7377</v>
      </c>
      <c r="C426" s="948" t="s">
        <v>7375</v>
      </c>
      <c r="D426" s="242" t="s">
        <v>510</v>
      </c>
      <c r="E426" s="949">
        <v>101</v>
      </c>
      <c r="F426" s="949">
        <v>101</v>
      </c>
      <c r="G426" s="950" t="s">
        <v>13403</v>
      </c>
      <c r="H426" s="950" t="s">
        <v>137</v>
      </c>
      <c r="I426" s="951" t="s">
        <v>7376</v>
      </c>
      <c r="J426" s="947" t="s">
        <v>7377</v>
      </c>
      <c r="K426" s="143"/>
    </row>
    <row r="427" spans="1:11">
      <c r="A427" s="946" t="s">
        <v>28614</v>
      </c>
      <c r="B427" s="947" t="s">
        <v>7488</v>
      </c>
      <c r="C427" s="948" t="s">
        <v>7486</v>
      </c>
      <c r="D427" s="242" t="s">
        <v>510</v>
      </c>
      <c r="E427" s="949">
        <v>101</v>
      </c>
      <c r="F427" s="949">
        <v>101</v>
      </c>
      <c r="G427" s="950" t="s">
        <v>13403</v>
      </c>
      <c r="H427" s="950" t="s">
        <v>137</v>
      </c>
      <c r="I427" s="951" t="s">
        <v>7487</v>
      </c>
      <c r="J427" s="947" t="s">
        <v>7488</v>
      </c>
      <c r="K427" s="143"/>
    </row>
    <row r="428" spans="1:11">
      <c r="A428" s="946" t="s">
        <v>28614</v>
      </c>
      <c r="B428" s="947" t="s">
        <v>7664</v>
      </c>
      <c r="C428" s="948" t="s">
        <v>7662</v>
      </c>
      <c r="D428" s="242" t="s">
        <v>510</v>
      </c>
      <c r="E428" s="949">
        <v>101</v>
      </c>
      <c r="F428" s="949">
        <v>101</v>
      </c>
      <c r="G428" s="950" t="s">
        <v>13403</v>
      </c>
      <c r="H428" s="950" t="s">
        <v>137</v>
      </c>
      <c r="I428" s="951" t="s">
        <v>7663</v>
      </c>
      <c r="J428" s="947" t="s">
        <v>7664</v>
      </c>
      <c r="K428" s="143"/>
    </row>
    <row r="429" spans="1:11">
      <c r="A429" s="946" t="s">
        <v>28614</v>
      </c>
      <c r="B429" s="947" t="s">
        <v>7733</v>
      </c>
      <c r="C429" s="948" t="s">
        <v>7731</v>
      </c>
      <c r="D429" s="242" t="s">
        <v>510</v>
      </c>
      <c r="E429" s="949">
        <v>101</v>
      </c>
      <c r="F429" s="949">
        <v>101</v>
      </c>
      <c r="G429" s="950" t="s">
        <v>13403</v>
      </c>
      <c r="H429" s="950" t="s">
        <v>137</v>
      </c>
      <c r="I429" s="951" t="s">
        <v>7732</v>
      </c>
      <c r="J429" s="947" t="s">
        <v>7733</v>
      </c>
      <c r="K429" s="143"/>
    </row>
    <row r="430" spans="1:11">
      <c r="A430" s="946" t="s">
        <v>28614</v>
      </c>
      <c r="B430" s="947" t="s">
        <v>8040</v>
      </c>
      <c r="C430" s="948" t="s">
        <v>8038</v>
      </c>
      <c r="D430" s="242" t="s">
        <v>510</v>
      </c>
      <c r="E430" s="949">
        <v>101</v>
      </c>
      <c r="F430" s="949">
        <v>101</v>
      </c>
      <c r="G430" s="950" t="s">
        <v>13403</v>
      </c>
      <c r="H430" s="950" t="s">
        <v>137</v>
      </c>
      <c r="I430" s="951" t="s">
        <v>8039</v>
      </c>
      <c r="J430" s="947" t="s">
        <v>8040</v>
      </c>
      <c r="K430" s="143"/>
    </row>
    <row r="431" spans="1:11">
      <c r="A431" s="946" t="s">
        <v>28614</v>
      </c>
      <c r="B431" s="947" t="s">
        <v>8418</v>
      </c>
      <c r="C431" s="948" t="s">
        <v>8416</v>
      </c>
      <c r="D431" s="242" t="s">
        <v>510</v>
      </c>
      <c r="E431" s="949">
        <v>101</v>
      </c>
      <c r="F431" s="949">
        <v>101</v>
      </c>
      <c r="G431" s="950" t="s">
        <v>13403</v>
      </c>
      <c r="H431" s="950" t="s">
        <v>137</v>
      </c>
      <c r="I431" s="951" t="s">
        <v>8417</v>
      </c>
      <c r="J431" s="947" t="s">
        <v>8418</v>
      </c>
      <c r="K431" s="143"/>
    </row>
    <row r="432" spans="1:11">
      <c r="A432" s="946" t="s">
        <v>28614</v>
      </c>
      <c r="B432" s="947" t="s">
        <v>8873</v>
      </c>
      <c r="C432" s="948" t="s">
        <v>8871</v>
      </c>
      <c r="D432" s="242" t="s">
        <v>510</v>
      </c>
      <c r="E432" s="949">
        <v>101</v>
      </c>
      <c r="F432" s="949">
        <v>101</v>
      </c>
      <c r="G432" s="950" t="s">
        <v>13403</v>
      </c>
      <c r="H432" s="950" t="s">
        <v>137</v>
      </c>
      <c r="I432" s="951" t="s">
        <v>8872</v>
      </c>
      <c r="J432" s="947" t="s">
        <v>8873</v>
      </c>
      <c r="K432" s="143"/>
    </row>
    <row r="433" spans="1:11">
      <c r="A433" s="946" t="s">
        <v>28614</v>
      </c>
      <c r="B433" s="947" t="s">
        <v>8968</v>
      </c>
      <c r="C433" s="948" t="s">
        <v>8966</v>
      </c>
      <c r="D433" s="242" t="s">
        <v>510</v>
      </c>
      <c r="E433" s="949">
        <v>101</v>
      </c>
      <c r="F433" s="949">
        <v>101</v>
      </c>
      <c r="G433" s="950" t="s">
        <v>13403</v>
      </c>
      <c r="H433" s="950" t="s">
        <v>137</v>
      </c>
      <c r="I433" s="951" t="s">
        <v>8967</v>
      </c>
      <c r="J433" s="947" t="s">
        <v>8968</v>
      </c>
      <c r="K433" s="143"/>
    </row>
    <row r="434" spans="1:11">
      <c r="A434" s="946" t="s">
        <v>28614</v>
      </c>
      <c r="B434" s="947" t="s">
        <v>8989</v>
      </c>
      <c r="C434" s="948" t="s">
        <v>8987</v>
      </c>
      <c r="D434" s="242" t="s">
        <v>510</v>
      </c>
      <c r="E434" s="949">
        <v>101</v>
      </c>
      <c r="F434" s="949">
        <v>101</v>
      </c>
      <c r="G434" s="950" t="s">
        <v>13403</v>
      </c>
      <c r="H434" s="950" t="s">
        <v>137</v>
      </c>
      <c r="I434" s="951" t="s">
        <v>8988</v>
      </c>
      <c r="J434" s="947" t="s">
        <v>8989</v>
      </c>
      <c r="K434" s="143"/>
    </row>
    <row r="435" spans="1:11">
      <c r="A435" s="946" t="s">
        <v>28614</v>
      </c>
      <c r="B435" s="947" t="s">
        <v>9157</v>
      </c>
      <c r="C435" s="948" t="s">
        <v>9155</v>
      </c>
      <c r="D435" s="242" t="s">
        <v>510</v>
      </c>
      <c r="E435" s="949">
        <v>101</v>
      </c>
      <c r="F435" s="949">
        <v>101</v>
      </c>
      <c r="G435" s="950" t="s">
        <v>13403</v>
      </c>
      <c r="H435" s="950" t="s">
        <v>137</v>
      </c>
      <c r="I435" s="951" t="s">
        <v>9156</v>
      </c>
      <c r="J435" s="947" t="s">
        <v>9157</v>
      </c>
      <c r="K435" s="143"/>
    </row>
    <row r="436" spans="1:11">
      <c r="A436" s="946" t="s">
        <v>28614</v>
      </c>
      <c r="B436" s="947" t="s">
        <v>9422</v>
      </c>
      <c r="C436" s="948" t="s">
        <v>9420</v>
      </c>
      <c r="D436" s="242" t="s">
        <v>510</v>
      </c>
      <c r="E436" s="949">
        <v>101</v>
      </c>
      <c r="F436" s="949">
        <v>101</v>
      </c>
      <c r="G436" s="950" t="s">
        <v>13403</v>
      </c>
      <c r="H436" s="950" t="s">
        <v>137</v>
      </c>
      <c r="I436" s="951" t="s">
        <v>9421</v>
      </c>
      <c r="J436" s="947" t="s">
        <v>9422</v>
      </c>
      <c r="K436" s="143"/>
    </row>
    <row r="437" spans="1:11">
      <c r="A437" s="946" t="s">
        <v>28614</v>
      </c>
      <c r="B437" s="947" t="s">
        <v>9468</v>
      </c>
      <c r="C437" s="948" t="s">
        <v>9466</v>
      </c>
      <c r="D437" s="242" t="s">
        <v>510</v>
      </c>
      <c r="E437" s="949">
        <v>101</v>
      </c>
      <c r="F437" s="949">
        <v>101</v>
      </c>
      <c r="G437" s="950" t="s">
        <v>13403</v>
      </c>
      <c r="H437" s="950" t="s">
        <v>137</v>
      </c>
      <c r="I437" s="951" t="s">
        <v>9467</v>
      </c>
      <c r="J437" s="947" t="s">
        <v>9468</v>
      </c>
      <c r="K437" s="143"/>
    </row>
    <row r="438" spans="1:11">
      <c r="A438" s="946" t="s">
        <v>28614</v>
      </c>
      <c r="B438" s="947" t="s">
        <v>9546</v>
      </c>
      <c r="C438" s="948" t="s">
        <v>9544</v>
      </c>
      <c r="D438" s="242" t="s">
        <v>510</v>
      </c>
      <c r="E438" s="949">
        <v>101</v>
      </c>
      <c r="F438" s="949">
        <v>101</v>
      </c>
      <c r="G438" s="950" t="s">
        <v>13403</v>
      </c>
      <c r="H438" s="950" t="s">
        <v>137</v>
      </c>
      <c r="I438" s="951" t="s">
        <v>9545</v>
      </c>
      <c r="J438" s="947" t="s">
        <v>9546</v>
      </c>
      <c r="K438" s="143"/>
    </row>
    <row r="439" spans="1:11">
      <c r="A439" s="946" t="s">
        <v>28614</v>
      </c>
      <c r="B439" s="947" t="s">
        <v>9830</v>
      </c>
      <c r="C439" s="948" t="s">
        <v>9828</v>
      </c>
      <c r="D439" s="242" t="s">
        <v>510</v>
      </c>
      <c r="E439" s="949">
        <v>101</v>
      </c>
      <c r="F439" s="949">
        <v>101</v>
      </c>
      <c r="G439" s="950" t="s">
        <v>13403</v>
      </c>
      <c r="H439" s="950" t="s">
        <v>137</v>
      </c>
      <c r="I439" s="951" t="s">
        <v>9829</v>
      </c>
      <c r="J439" s="947" t="s">
        <v>9830</v>
      </c>
      <c r="K439" s="143"/>
    </row>
    <row r="440" spans="1:11">
      <c r="A440" s="946" t="s">
        <v>28614</v>
      </c>
      <c r="B440" s="947" t="s">
        <v>10115</v>
      </c>
      <c r="C440" s="948" t="s">
        <v>10113</v>
      </c>
      <c r="D440" s="242" t="s">
        <v>510</v>
      </c>
      <c r="E440" s="949">
        <v>101</v>
      </c>
      <c r="F440" s="949">
        <v>101</v>
      </c>
      <c r="G440" s="950" t="s">
        <v>13403</v>
      </c>
      <c r="H440" s="950" t="s">
        <v>137</v>
      </c>
      <c r="I440" s="951" t="s">
        <v>10114</v>
      </c>
      <c r="J440" s="947" t="s">
        <v>10115</v>
      </c>
      <c r="K440" s="143"/>
    </row>
    <row r="441" spans="1:11">
      <c r="A441" s="946" t="s">
        <v>28614</v>
      </c>
      <c r="B441" s="947" t="s">
        <v>10341</v>
      </c>
      <c r="C441" s="948" t="s">
        <v>10339</v>
      </c>
      <c r="D441" s="242" t="s">
        <v>510</v>
      </c>
      <c r="E441" s="949">
        <v>101</v>
      </c>
      <c r="F441" s="949">
        <v>101</v>
      </c>
      <c r="G441" s="950" t="s">
        <v>13403</v>
      </c>
      <c r="H441" s="950" t="s">
        <v>137</v>
      </c>
      <c r="I441" s="951" t="s">
        <v>10340</v>
      </c>
      <c r="J441" s="947" t="s">
        <v>10341</v>
      </c>
      <c r="K441" s="143"/>
    </row>
    <row r="442" spans="1:11">
      <c r="A442" s="946" t="s">
        <v>28614</v>
      </c>
      <c r="B442" s="947" t="s">
        <v>10864</v>
      </c>
      <c r="C442" s="948" t="s">
        <v>10862</v>
      </c>
      <c r="D442" s="242" t="s">
        <v>510</v>
      </c>
      <c r="E442" s="949">
        <v>101</v>
      </c>
      <c r="F442" s="949">
        <v>101</v>
      </c>
      <c r="G442" s="950" t="s">
        <v>13403</v>
      </c>
      <c r="H442" s="950" t="s">
        <v>137</v>
      </c>
      <c r="I442" s="951" t="s">
        <v>10863</v>
      </c>
      <c r="J442" s="947" t="s">
        <v>10864</v>
      </c>
      <c r="K442" s="143"/>
    </row>
    <row r="443" spans="1:11">
      <c r="A443" s="946" t="s">
        <v>28614</v>
      </c>
      <c r="B443" s="947" t="s">
        <v>11033</v>
      </c>
      <c r="C443" s="948" t="s">
        <v>11031</v>
      </c>
      <c r="D443" s="242" t="s">
        <v>510</v>
      </c>
      <c r="E443" s="949">
        <v>101</v>
      </c>
      <c r="F443" s="949">
        <v>101</v>
      </c>
      <c r="G443" s="950" t="s">
        <v>13403</v>
      </c>
      <c r="H443" s="950" t="s">
        <v>137</v>
      </c>
      <c r="I443" s="951" t="s">
        <v>11032</v>
      </c>
      <c r="J443" s="947" t="s">
        <v>11033</v>
      </c>
      <c r="K443" s="143"/>
    </row>
    <row r="444" spans="1:11">
      <c r="A444" s="946" t="s">
        <v>28614</v>
      </c>
      <c r="B444" s="947" t="s">
        <v>11119</v>
      </c>
      <c r="C444" s="948" t="s">
        <v>11117</v>
      </c>
      <c r="D444" s="242" t="s">
        <v>510</v>
      </c>
      <c r="E444" s="949">
        <v>101</v>
      </c>
      <c r="F444" s="949">
        <v>101</v>
      </c>
      <c r="G444" s="950" t="s">
        <v>13403</v>
      </c>
      <c r="H444" s="950" t="s">
        <v>137</v>
      </c>
      <c r="I444" s="951" t="s">
        <v>11118</v>
      </c>
      <c r="J444" s="947" t="s">
        <v>11119</v>
      </c>
      <c r="K444" s="143"/>
    </row>
    <row r="445" spans="1:11">
      <c r="A445" s="946" t="s">
        <v>28614</v>
      </c>
      <c r="B445" s="947" t="s">
        <v>11427</v>
      </c>
      <c r="C445" s="948" t="s">
        <v>11425</v>
      </c>
      <c r="D445" s="242" t="s">
        <v>510</v>
      </c>
      <c r="E445" s="949">
        <v>101</v>
      </c>
      <c r="F445" s="949">
        <v>101</v>
      </c>
      <c r="G445" s="950" t="s">
        <v>13403</v>
      </c>
      <c r="H445" s="950" t="s">
        <v>137</v>
      </c>
      <c r="I445" s="951" t="s">
        <v>11426</v>
      </c>
      <c r="J445" s="947" t="s">
        <v>11427</v>
      </c>
      <c r="K445" s="143"/>
    </row>
    <row r="446" spans="1:11">
      <c r="A446" s="946" t="s">
        <v>28614</v>
      </c>
      <c r="B446" s="947" t="s">
        <v>11522</v>
      </c>
      <c r="C446" s="948" t="s">
        <v>11520</v>
      </c>
      <c r="D446" s="242" t="s">
        <v>510</v>
      </c>
      <c r="E446" s="949">
        <v>101</v>
      </c>
      <c r="F446" s="949">
        <v>101</v>
      </c>
      <c r="G446" s="950" t="s">
        <v>13403</v>
      </c>
      <c r="H446" s="950" t="s">
        <v>137</v>
      </c>
      <c r="I446" s="951" t="s">
        <v>11521</v>
      </c>
      <c r="J446" s="947" t="s">
        <v>11522</v>
      </c>
      <c r="K446" s="143"/>
    </row>
    <row r="447" spans="1:11">
      <c r="A447" s="946" t="s">
        <v>28614</v>
      </c>
      <c r="B447" s="947" t="s">
        <v>11724</v>
      </c>
      <c r="C447" s="948" t="s">
        <v>11722</v>
      </c>
      <c r="D447" s="242" t="s">
        <v>510</v>
      </c>
      <c r="E447" s="949">
        <v>101</v>
      </c>
      <c r="F447" s="949">
        <v>101</v>
      </c>
      <c r="G447" s="950" t="s">
        <v>13403</v>
      </c>
      <c r="H447" s="950" t="s">
        <v>137</v>
      </c>
      <c r="I447" s="951" t="s">
        <v>11723</v>
      </c>
      <c r="J447" s="947" t="s">
        <v>11724</v>
      </c>
      <c r="K447" s="143"/>
    </row>
    <row r="448" spans="1:11">
      <c r="A448" s="946" t="s">
        <v>28614</v>
      </c>
      <c r="B448" s="947" t="s">
        <v>11733</v>
      </c>
      <c r="C448" s="948" t="s">
        <v>11731</v>
      </c>
      <c r="D448" s="242" t="s">
        <v>510</v>
      </c>
      <c r="E448" s="949">
        <v>101</v>
      </c>
      <c r="F448" s="949">
        <v>101</v>
      </c>
      <c r="G448" s="950" t="s">
        <v>13403</v>
      </c>
      <c r="H448" s="950" t="s">
        <v>137</v>
      </c>
      <c r="I448" s="951" t="s">
        <v>11732</v>
      </c>
      <c r="J448" s="947" t="s">
        <v>11733</v>
      </c>
      <c r="K448" s="143"/>
    </row>
    <row r="449" spans="1:11">
      <c r="A449" s="946" t="s">
        <v>28614</v>
      </c>
      <c r="B449" s="947" t="s">
        <v>11997</v>
      </c>
      <c r="C449" s="948" t="s">
        <v>11995</v>
      </c>
      <c r="D449" s="242" t="s">
        <v>510</v>
      </c>
      <c r="E449" s="949">
        <v>101</v>
      </c>
      <c r="F449" s="949">
        <v>101</v>
      </c>
      <c r="G449" s="950" t="s">
        <v>13403</v>
      </c>
      <c r="H449" s="950" t="s">
        <v>137</v>
      </c>
      <c r="I449" s="951" t="s">
        <v>11996</v>
      </c>
      <c r="J449" s="947" t="s">
        <v>11997</v>
      </c>
      <c r="K449" s="143"/>
    </row>
    <row r="450" spans="1:11">
      <c r="A450" s="946" t="s">
        <v>28614</v>
      </c>
      <c r="B450" s="947" t="s">
        <v>13194</v>
      </c>
      <c r="C450" s="948" t="s">
        <v>13192</v>
      </c>
      <c r="D450" s="242" t="s">
        <v>510</v>
      </c>
      <c r="E450" s="949">
        <v>101</v>
      </c>
      <c r="F450" s="949">
        <v>101</v>
      </c>
      <c r="G450" s="950" t="s">
        <v>13403</v>
      </c>
      <c r="H450" s="950" t="s">
        <v>137</v>
      </c>
      <c r="I450" s="951" t="s">
        <v>13193</v>
      </c>
      <c r="J450" s="947" t="s">
        <v>13194</v>
      </c>
      <c r="K450" s="143"/>
    </row>
    <row r="451" spans="1:11">
      <c r="A451" s="946" t="s">
        <v>28614</v>
      </c>
      <c r="B451" s="947" t="s">
        <v>13254</v>
      </c>
      <c r="C451" s="948" t="s">
        <v>13252</v>
      </c>
      <c r="D451" s="242" t="s">
        <v>510</v>
      </c>
      <c r="E451" s="949">
        <v>101</v>
      </c>
      <c r="F451" s="949">
        <v>101</v>
      </c>
      <c r="G451" s="950" t="s">
        <v>13403</v>
      </c>
      <c r="H451" s="950" t="s">
        <v>137</v>
      </c>
      <c r="I451" s="951" t="s">
        <v>13253</v>
      </c>
      <c r="J451" s="947" t="s">
        <v>13254</v>
      </c>
      <c r="K451" s="143"/>
    </row>
    <row r="452" spans="1:11">
      <c r="A452" s="946" t="s">
        <v>28614</v>
      </c>
      <c r="B452" s="947" t="s">
        <v>13403</v>
      </c>
      <c r="C452" s="948" t="s">
        <v>13401</v>
      </c>
      <c r="D452" s="242" t="s">
        <v>510</v>
      </c>
      <c r="E452" s="949">
        <v>101</v>
      </c>
      <c r="F452" s="949">
        <v>101</v>
      </c>
      <c r="G452" s="950" t="s">
        <v>13403</v>
      </c>
      <c r="H452" s="950" t="s">
        <v>137</v>
      </c>
      <c r="I452" s="951" t="s">
        <v>13402</v>
      </c>
      <c r="J452" s="947" t="s">
        <v>13403</v>
      </c>
      <c r="K452" s="143"/>
    </row>
    <row r="453" spans="1:11">
      <c r="A453" s="946" t="s">
        <v>28614</v>
      </c>
      <c r="B453" s="947" t="s">
        <v>13551</v>
      </c>
      <c r="C453" s="948" t="s">
        <v>13549</v>
      </c>
      <c r="D453" s="242" t="s">
        <v>510</v>
      </c>
      <c r="E453" s="949">
        <v>101</v>
      </c>
      <c r="F453" s="949">
        <v>101</v>
      </c>
      <c r="G453" s="950" t="s">
        <v>13403</v>
      </c>
      <c r="H453" s="950" t="s">
        <v>137</v>
      </c>
      <c r="I453" s="951" t="s">
        <v>13550</v>
      </c>
      <c r="J453" s="947" t="s">
        <v>13551</v>
      </c>
      <c r="K453" s="143"/>
    </row>
    <row r="454" spans="1:11">
      <c r="A454" s="946" t="s">
        <v>28614</v>
      </c>
      <c r="B454" s="947" t="s">
        <v>13554</v>
      </c>
      <c r="C454" s="948" t="s">
        <v>13552</v>
      </c>
      <c r="D454" s="242" t="s">
        <v>510</v>
      </c>
      <c r="E454" s="949">
        <v>101</v>
      </c>
      <c r="F454" s="949">
        <v>101</v>
      </c>
      <c r="G454" s="950" t="s">
        <v>13403</v>
      </c>
      <c r="H454" s="950" t="s">
        <v>137</v>
      </c>
      <c r="I454" s="951" t="s">
        <v>13553</v>
      </c>
      <c r="J454" s="947" t="s">
        <v>13554</v>
      </c>
      <c r="K454" s="143"/>
    </row>
    <row r="455" spans="1:11">
      <c r="A455" s="946" t="s">
        <v>28614</v>
      </c>
      <c r="B455" s="947" t="s">
        <v>13783</v>
      </c>
      <c r="C455" s="948" t="s">
        <v>13781</v>
      </c>
      <c r="D455" s="242" t="s">
        <v>510</v>
      </c>
      <c r="E455" s="949">
        <v>101</v>
      </c>
      <c r="F455" s="949">
        <v>101</v>
      </c>
      <c r="G455" s="950" t="s">
        <v>13403</v>
      </c>
      <c r="H455" s="950" t="s">
        <v>137</v>
      </c>
      <c r="I455" s="951" t="s">
        <v>13782</v>
      </c>
      <c r="J455" s="947" t="s">
        <v>13783</v>
      </c>
      <c r="K455" s="143"/>
    </row>
    <row r="456" spans="1:11">
      <c r="A456" s="946" t="s">
        <v>28614</v>
      </c>
      <c r="B456" s="947" t="s">
        <v>14288</v>
      </c>
      <c r="C456" s="948" t="s">
        <v>14286</v>
      </c>
      <c r="D456" s="242" t="s">
        <v>510</v>
      </c>
      <c r="E456" s="949">
        <v>101</v>
      </c>
      <c r="F456" s="949">
        <v>101</v>
      </c>
      <c r="G456" s="950" t="s">
        <v>13403</v>
      </c>
      <c r="H456" s="950" t="s">
        <v>137</v>
      </c>
      <c r="I456" s="951" t="s">
        <v>14287</v>
      </c>
      <c r="J456" s="947" t="s">
        <v>14288</v>
      </c>
      <c r="K456" s="143"/>
    </row>
    <row r="457" spans="1:11">
      <c r="A457" s="946" t="s">
        <v>28614</v>
      </c>
      <c r="B457" s="947" t="s">
        <v>14432</v>
      </c>
      <c r="C457" s="948" t="s">
        <v>14430</v>
      </c>
      <c r="D457" s="242" t="s">
        <v>510</v>
      </c>
      <c r="E457" s="949">
        <v>101</v>
      </c>
      <c r="F457" s="949">
        <v>101</v>
      </c>
      <c r="G457" s="950" t="s">
        <v>13403</v>
      </c>
      <c r="H457" s="950" t="s">
        <v>137</v>
      </c>
      <c r="I457" s="951" t="s">
        <v>14431</v>
      </c>
      <c r="J457" s="947" t="s">
        <v>14432</v>
      </c>
      <c r="K457" s="143"/>
    </row>
    <row r="458" spans="1:11">
      <c r="A458" s="946" t="s">
        <v>28614</v>
      </c>
      <c r="B458" s="947" t="s">
        <v>14665</v>
      </c>
      <c r="C458" s="948" t="s">
        <v>14663</v>
      </c>
      <c r="D458" s="242" t="s">
        <v>510</v>
      </c>
      <c r="E458" s="949">
        <v>101</v>
      </c>
      <c r="F458" s="949">
        <v>101</v>
      </c>
      <c r="G458" s="950" t="s">
        <v>13403</v>
      </c>
      <c r="H458" s="950" t="s">
        <v>137</v>
      </c>
      <c r="I458" s="951" t="s">
        <v>14664</v>
      </c>
      <c r="J458" s="947" t="s">
        <v>14665</v>
      </c>
      <c r="K458" s="143"/>
    </row>
    <row r="459" spans="1:11">
      <c r="A459" s="946" t="s">
        <v>28614</v>
      </c>
      <c r="B459" s="947" t="s">
        <v>15075</v>
      </c>
      <c r="C459" s="948" t="s">
        <v>15073</v>
      </c>
      <c r="D459" s="242" t="s">
        <v>510</v>
      </c>
      <c r="E459" s="949">
        <v>101</v>
      </c>
      <c r="F459" s="949">
        <v>101</v>
      </c>
      <c r="G459" s="950" t="s">
        <v>13403</v>
      </c>
      <c r="H459" s="950" t="s">
        <v>137</v>
      </c>
      <c r="I459" s="951" t="s">
        <v>15074</v>
      </c>
      <c r="J459" s="947" t="s">
        <v>15075</v>
      </c>
      <c r="K459" s="143"/>
    </row>
    <row r="460" spans="1:11">
      <c r="A460" s="946" t="s">
        <v>28614</v>
      </c>
      <c r="B460" s="947" t="s">
        <v>15238</v>
      </c>
      <c r="C460" s="948" t="s">
        <v>15236</v>
      </c>
      <c r="D460" s="242" t="s">
        <v>510</v>
      </c>
      <c r="E460" s="949">
        <v>101</v>
      </c>
      <c r="F460" s="949">
        <v>101</v>
      </c>
      <c r="G460" s="950" t="s">
        <v>13403</v>
      </c>
      <c r="H460" s="950" t="s">
        <v>137</v>
      </c>
      <c r="I460" s="951" t="s">
        <v>15237</v>
      </c>
      <c r="J460" s="947" t="s">
        <v>15238</v>
      </c>
      <c r="K460" s="143"/>
    </row>
    <row r="461" spans="1:11">
      <c r="A461" s="946" t="s">
        <v>28614</v>
      </c>
      <c r="B461" s="947" t="s">
        <v>15330</v>
      </c>
      <c r="C461" s="948" t="s">
        <v>15328</v>
      </c>
      <c r="D461" s="242" t="s">
        <v>510</v>
      </c>
      <c r="E461" s="949">
        <v>101</v>
      </c>
      <c r="F461" s="949">
        <v>101</v>
      </c>
      <c r="G461" s="950" t="s">
        <v>13403</v>
      </c>
      <c r="H461" s="950" t="s">
        <v>137</v>
      </c>
      <c r="I461" s="951" t="s">
        <v>15329</v>
      </c>
      <c r="J461" s="947" t="s">
        <v>15330</v>
      </c>
      <c r="K461" s="143"/>
    </row>
    <row r="462" spans="1:11">
      <c r="A462" s="946" t="s">
        <v>28614</v>
      </c>
      <c r="B462" s="947" t="s">
        <v>15775</v>
      </c>
      <c r="C462" s="948" t="s">
        <v>15773</v>
      </c>
      <c r="D462" s="242" t="s">
        <v>510</v>
      </c>
      <c r="E462" s="949">
        <v>101</v>
      </c>
      <c r="F462" s="949">
        <v>101</v>
      </c>
      <c r="G462" s="950" t="s">
        <v>13403</v>
      </c>
      <c r="H462" s="950" t="s">
        <v>137</v>
      </c>
      <c r="I462" s="951" t="s">
        <v>15774</v>
      </c>
      <c r="J462" s="947" t="s">
        <v>15775</v>
      </c>
      <c r="K462" s="143"/>
    </row>
    <row r="463" spans="1:11">
      <c r="A463" s="946" t="s">
        <v>28614</v>
      </c>
      <c r="B463" s="947" t="s">
        <v>16157</v>
      </c>
      <c r="C463" s="948" t="s">
        <v>16155</v>
      </c>
      <c r="D463" s="242" t="s">
        <v>510</v>
      </c>
      <c r="E463" s="949">
        <v>101</v>
      </c>
      <c r="F463" s="949">
        <v>101</v>
      </c>
      <c r="G463" s="950" t="s">
        <v>13403</v>
      </c>
      <c r="H463" s="950" t="s">
        <v>137</v>
      </c>
      <c r="I463" s="951" t="s">
        <v>16156</v>
      </c>
      <c r="J463" s="947" t="s">
        <v>16157</v>
      </c>
      <c r="K463" s="143"/>
    </row>
    <row r="464" spans="1:11">
      <c r="A464" s="946" t="s">
        <v>28614</v>
      </c>
      <c r="B464" s="947" t="s">
        <v>16818</v>
      </c>
      <c r="C464" s="948" t="s">
        <v>16816</v>
      </c>
      <c r="D464" s="242" t="s">
        <v>510</v>
      </c>
      <c r="E464" s="949">
        <v>101</v>
      </c>
      <c r="F464" s="949">
        <v>101</v>
      </c>
      <c r="G464" s="950" t="s">
        <v>13403</v>
      </c>
      <c r="H464" s="950" t="s">
        <v>137</v>
      </c>
      <c r="I464" s="951" t="s">
        <v>16817</v>
      </c>
      <c r="J464" s="947" t="s">
        <v>16818</v>
      </c>
      <c r="K464" s="143"/>
    </row>
    <row r="465" spans="1:11">
      <c r="A465" s="946" t="s">
        <v>28614</v>
      </c>
      <c r="B465" s="947" t="s">
        <v>16846</v>
      </c>
      <c r="C465" s="948" t="s">
        <v>16844</v>
      </c>
      <c r="D465" s="242" t="s">
        <v>510</v>
      </c>
      <c r="E465" s="949">
        <v>101</v>
      </c>
      <c r="F465" s="949">
        <v>101</v>
      </c>
      <c r="G465" s="950" t="s">
        <v>13403</v>
      </c>
      <c r="H465" s="950" t="s">
        <v>137</v>
      </c>
      <c r="I465" s="951" t="s">
        <v>16845</v>
      </c>
      <c r="J465" s="947" t="s">
        <v>16846</v>
      </c>
      <c r="K465" s="143"/>
    </row>
    <row r="466" spans="1:11">
      <c r="A466" s="946" t="s">
        <v>28614</v>
      </c>
      <c r="B466" s="947" t="s">
        <v>17948</v>
      </c>
      <c r="C466" s="948" t="s">
        <v>17946</v>
      </c>
      <c r="D466" s="242" t="s">
        <v>510</v>
      </c>
      <c r="E466" s="949">
        <v>101</v>
      </c>
      <c r="F466" s="949">
        <v>101</v>
      </c>
      <c r="G466" s="950" t="s">
        <v>13403</v>
      </c>
      <c r="H466" s="950" t="s">
        <v>137</v>
      </c>
      <c r="I466" s="951" t="s">
        <v>17947</v>
      </c>
      <c r="J466" s="947" t="s">
        <v>17948</v>
      </c>
      <c r="K466" s="143"/>
    </row>
    <row r="467" spans="1:11">
      <c r="A467" s="946" t="s">
        <v>28614</v>
      </c>
      <c r="B467" s="947" t="s">
        <v>17998</v>
      </c>
      <c r="C467" s="948" t="s">
        <v>17996</v>
      </c>
      <c r="D467" s="242" t="s">
        <v>510</v>
      </c>
      <c r="E467" s="949">
        <v>101</v>
      </c>
      <c r="F467" s="949">
        <v>101</v>
      </c>
      <c r="G467" s="950" t="s">
        <v>13403</v>
      </c>
      <c r="H467" s="950" t="s">
        <v>137</v>
      </c>
      <c r="I467" s="951" t="s">
        <v>17997</v>
      </c>
      <c r="J467" s="947" t="s">
        <v>17998</v>
      </c>
      <c r="K467" s="143"/>
    </row>
    <row r="468" spans="1:11">
      <c r="A468" s="946" t="s">
        <v>28614</v>
      </c>
      <c r="B468" s="947" t="s">
        <v>18120</v>
      </c>
      <c r="C468" s="948" t="s">
        <v>18118</v>
      </c>
      <c r="D468" s="242" t="s">
        <v>510</v>
      </c>
      <c r="E468" s="949">
        <v>101</v>
      </c>
      <c r="F468" s="949">
        <v>101</v>
      </c>
      <c r="G468" s="950" t="s">
        <v>13403</v>
      </c>
      <c r="H468" s="950" t="s">
        <v>137</v>
      </c>
      <c r="I468" s="951" t="s">
        <v>18119</v>
      </c>
      <c r="J468" s="947" t="s">
        <v>18120</v>
      </c>
      <c r="K468" s="143"/>
    </row>
    <row r="469" spans="1:11">
      <c r="A469" s="946" t="s">
        <v>28614</v>
      </c>
      <c r="B469" s="947" t="s">
        <v>19530</v>
      </c>
      <c r="C469" s="948" t="s">
        <v>19528</v>
      </c>
      <c r="D469" s="242" t="s">
        <v>510</v>
      </c>
      <c r="E469" s="949">
        <v>101</v>
      </c>
      <c r="F469" s="949">
        <v>101</v>
      </c>
      <c r="G469" s="950" t="s">
        <v>13403</v>
      </c>
      <c r="H469" s="950" t="s">
        <v>137</v>
      </c>
      <c r="I469" s="951" t="s">
        <v>19529</v>
      </c>
      <c r="J469" s="947" t="s">
        <v>19530</v>
      </c>
      <c r="K469" s="143"/>
    </row>
    <row r="470" spans="1:11">
      <c r="A470" s="946" t="s">
        <v>28614</v>
      </c>
      <c r="B470" s="947" t="s">
        <v>19595</v>
      </c>
      <c r="C470" s="948" t="s">
        <v>19593</v>
      </c>
      <c r="D470" s="242" t="s">
        <v>510</v>
      </c>
      <c r="E470" s="949">
        <v>101</v>
      </c>
      <c r="F470" s="949">
        <v>101</v>
      </c>
      <c r="G470" s="950" t="s">
        <v>13403</v>
      </c>
      <c r="H470" s="950" t="s">
        <v>137</v>
      </c>
      <c r="I470" s="951" t="s">
        <v>19594</v>
      </c>
      <c r="J470" s="947" t="s">
        <v>19595</v>
      </c>
      <c r="K470" s="143"/>
    </row>
    <row r="471" spans="1:11">
      <c r="A471" s="946" t="s">
        <v>28614</v>
      </c>
      <c r="B471" s="947" t="s">
        <v>19772</v>
      </c>
      <c r="C471" s="948" t="s">
        <v>19770</v>
      </c>
      <c r="D471" s="242" t="s">
        <v>510</v>
      </c>
      <c r="E471" s="949">
        <v>101</v>
      </c>
      <c r="F471" s="949">
        <v>101</v>
      </c>
      <c r="G471" s="950" t="s">
        <v>13403</v>
      </c>
      <c r="H471" s="950" t="s">
        <v>137</v>
      </c>
      <c r="I471" s="951" t="s">
        <v>19771</v>
      </c>
      <c r="J471" s="947" t="s">
        <v>19772</v>
      </c>
      <c r="K471" s="143"/>
    </row>
    <row r="472" spans="1:11">
      <c r="A472" s="946" t="s">
        <v>28614</v>
      </c>
      <c r="B472" s="947" t="s">
        <v>19834</v>
      </c>
      <c r="C472" s="948" t="s">
        <v>19832</v>
      </c>
      <c r="D472" s="242" t="s">
        <v>510</v>
      </c>
      <c r="E472" s="949">
        <v>101</v>
      </c>
      <c r="F472" s="949">
        <v>101</v>
      </c>
      <c r="G472" s="950" t="s">
        <v>13403</v>
      </c>
      <c r="H472" s="950" t="s">
        <v>137</v>
      </c>
      <c r="I472" s="951" t="s">
        <v>19833</v>
      </c>
      <c r="J472" s="947" t="s">
        <v>19834</v>
      </c>
      <c r="K472" s="143"/>
    </row>
    <row r="473" spans="1:11">
      <c r="A473" s="946" t="s">
        <v>28614</v>
      </c>
      <c r="B473" s="947" t="s">
        <v>20118</v>
      </c>
      <c r="C473" s="948" t="s">
        <v>20116</v>
      </c>
      <c r="D473" s="242" t="s">
        <v>510</v>
      </c>
      <c r="E473" s="949">
        <v>101</v>
      </c>
      <c r="F473" s="949">
        <v>101</v>
      </c>
      <c r="G473" s="950" t="s">
        <v>13403</v>
      </c>
      <c r="H473" s="950" t="s">
        <v>137</v>
      </c>
      <c r="I473" s="951" t="s">
        <v>20117</v>
      </c>
      <c r="J473" s="947" t="s">
        <v>20118</v>
      </c>
      <c r="K473" s="143"/>
    </row>
    <row r="474" spans="1:11">
      <c r="A474" s="946" t="s">
        <v>28614</v>
      </c>
      <c r="B474" s="947" t="s">
        <v>20331</v>
      </c>
      <c r="C474" s="948" t="s">
        <v>20329</v>
      </c>
      <c r="D474" s="242" t="s">
        <v>510</v>
      </c>
      <c r="E474" s="949">
        <v>101</v>
      </c>
      <c r="F474" s="949">
        <v>101</v>
      </c>
      <c r="G474" s="950" t="s">
        <v>13403</v>
      </c>
      <c r="H474" s="950" t="s">
        <v>137</v>
      </c>
      <c r="I474" s="951" t="s">
        <v>20330</v>
      </c>
      <c r="J474" s="947" t="s">
        <v>20331</v>
      </c>
      <c r="K474" s="143"/>
    </row>
    <row r="475" spans="1:11">
      <c r="A475" s="946" t="s">
        <v>28614</v>
      </c>
      <c r="B475" s="947" t="s">
        <v>20593</v>
      </c>
      <c r="C475" s="948" t="s">
        <v>20591</v>
      </c>
      <c r="D475" s="242" t="s">
        <v>510</v>
      </c>
      <c r="E475" s="949">
        <v>101</v>
      </c>
      <c r="F475" s="949">
        <v>101</v>
      </c>
      <c r="G475" s="950" t="s">
        <v>13403</v>
      </c>
      <c r="H475" s="950" t="s">
        <v>137</v>
      </c>
      <c r="I475" s="951" t="s">
        <v>20592</v>
      </c>
      <c r="J475" s="947" t="s">
        <v>20593</v>
      </c>
      <c r="K475" s="143"/>
    </row>
    <row r="476" spans="1:11">
      <c r="A476" s="946" t="s">
        <v>28614</v>
      </c>
      <c r="B476" s="947" t="s">
        <v>20898</v>
      </c>
      <c r="C476" s="948" t="s">
        <v>20896</v>
      </c>
      <c r="D476" s="242" t="s">
        <v>510</v>
      </c>
      <c r="E476" s="949">
        <v>101</v>
      </c>
      <c r="F476" s="949">
        <v>101</v>
      </c>
      <c r="G476" s="950" t="s">
        <v>13403</v>
      </c>
      <c r="H476" s="950" t="s">
        <v>137</v>
      </c>
      <c r="I476" s="951" t="s">
        <v>20897</v>
      </c>
      <c r="J476" s="947" t="s">
        <v>20898</v>
      </c>
      <c r="K476" s="143"/>
    </row>
    <row r="477" spans="1:11">
      <c r="A477" s="946" t="s">
        <v>28614</v>
      </c>
      <c r="B477" s="947" t="s">
        <v>21557</v>
      </c>
      <c r="C477" s="948" t="s">
        <v>21555</v>
      </c>
      <c r="D477" s="242" t="s">
        <v>510</v>
      </c>
      <c r="E477" s="949">
        <v>101</v>
      </c>
      <c r="F477" s="949">
        <v>101</v>
      </c>
      <c r="G477" s="950" t="s">
        <v>13403</v>
      </c>
      <c r="H477" s="950" t="s">
        <v>137</v>
      </c>
      <c r="I477" s="951" t="s">
        <v>21556</v>
      </c>
      <c r="J477" s="947" t="s">
        <v>21557</v>
      </c>
      <c r="K477" s="143"/>
    </row>
    <row r="478" spans="1:11">
      <c r="A478" s="946" t="s">
        <v>28614</v>
      </c>
      <c r="B478" s="947" t="s">
        <v>21563</v>
      </c>
      <c r="C478" s="948" t="s">
        <v>21561</v>
      </c>
      <c r="D478" s="242" t="s">
        <v>510</v>
      </c>
      <c r="E478" s="949">
        <v>101</v>
      </c>
      <c r="F478" s="949">
        <v>101</v>
      </c>
      <c r="G478" s="950" t="s">
        <v>13403</v>
      </c>
      <c r="H478" s="950" t="s">
        <v>137</v>
      </c>
      <c r="I478" s="951" t="s">
        <v>21562</v>
      </c>
      <c r="J478" s="947" t="s">
        <v>21563</v>
      </c>
      <c r="K478" s="143"/>
    </row>
    <row r="479" spans="1:11">
      <c r="A479" s="946" t="s">
        <v>28614</v>
      </c>
      <c r="B479" s="947" t="s">
        <v>21848</v>
      </c>
      <c r="C479" s="948" t="s">
        <v>21846</v>
      </c>
      <c r="D479" s="242" t="s">
        <v>510</v>
      </c>
      <c r="E479" s="949">
        <v>101</v>
      </c>
      <c r="F479" s="949">
        <v>101</v>
      </c>
      <c r="G479" s="950" t="s">
        <v>13403</v>
      </c>
      <c r="H479" s="950" t="s">
        <v>137</v>
      </c>
      <c r="I479" s="951" t="s">
        <v>21847</v>
      </c>
      <c r="J479" s="947" t="s">
        <v>21848</v>
      </c>
      <c r="K479" s="143"/>
    </row>
    <row r="480" spans="1:11">
      <c r="A480" s="946" t="s">
        <v>28614</v>
      </c>
      <c r="B480" s="947" t="s">
        <v>21940</v>
      </c>
      <c r="C480" s="948" t="s">
        <v>21938</v>
      </c>
      <c r="D480" s="242" t="s">
        <v>510</v>
      </c>
      <c r="E480" s="949">
        <v>101</v>
      </c>
      <c r="F480" s="949">
        <v>101</v>
      </c>
      <c r="G480" s="950" t="s">
        <v>13403</v>
      </c>
      <c r="H480" s="950" t="s">
        <v>137</v>
      </c>
      <c r="I480" s="951" t="s">
        <v>21939</v>
      </c>
      <c r="J480" s="947" t="s">
        <v>21940</v>
      </c>
      <c r="K480" s="143"/>
    </row>
    <row r="481" spans="1:11">
      <c r="A481" s="946" t="s">
        <v>28614</v>
      </c>
      <c r="B481" s="947" t="s">
        <v>22381</v>
      </c>
      <c r="C481" s="948" t="s">
        <v>22379</v>
      </c>
      <c r="D481" s="242" t="s">
        <v>516</v>
      </c>
      <c r="E481" s="949">
        <v>102</v>
      </c>
      <c r="F481" s="949">
        <v>102</v>
      </c>
      <c r="G481" s="950" t="s">
        <v>13403</v>
      </c>
      <c r="H481" s="950" t="s">
        <v>137</v>
      </c>
      <c r="I481" s="951" t="s">
        <v>22380</v>
      </c>
      <c r="J481" s="947" t="s">
        <v>22381</v>
      </c>
      <c r="K481" s="143"/>
    </row>
    <row r="482" spans="1:11">
      <c r="A482" s="946" t="s">
        <v>28614</v>
      </c>
      <c r="B482" s="947" t="s">
        <v>28643</v>
      </c>
      <c r="C482" s="948" t="s">
        <v>28766</v>
      </c>
      <c r="D482" s="242" t="s">
        <v>510</v>
      </c>
      <c r="E482" s="949">
        <v>101</v>
      </c>
      <c r="F482" s="949">
        <v>101</v>
      </c>
      <c r="G482" s="950" t="s">
        <v>13403</v>
      </c>
      <c r="H482" s="950" t="s">
        <v>137</v>
      </c>
      <c r="I482" s="951" t="s">
        <v>28687</v>
      </c>
      <c r="J482" s="947" t="s">
        <v>28643</v>
      </c>
      <c r="K482" s="143"/>
    </row>
    <row r="483" spans="1:11">
      <c r="A483" s="946" t="s">
        <v>28614</v>
      </c>
      <c r="B483" s="947" t="s">
        <v>380</v>
      </c>
      <c r="C483" s="948" t="s">
        <v>377</v>
      </c>
      <c r="D483" s="242" t="s">
        <v>28731</v>
      </c>
      <c r="E483" s="949">
        <v>104</v>
      </c>
      <c r="F483" s="949">
        <v>104</v>
      </c>
      <c r="G483" s="950" t="s">
        <v>7465</v>
      </c>
      <c r="H483" s="950" t="s">
        <v>378</v>
      </c>
      <c r="I483" s="951" t="s">
        <v>379</v>
      </c>
      <c r="J483" s="947" t="s">
        <v>380</v>
      </c>
      <c r="K483" s="143"/>
    </row>
    <row r="484" spans="1:11">
      <c r="A484" s="946" t="s">
        <v>28614</v>
      </c>
      <c r="B484" s="947" t="s">
        <v>721</v>
      </c>
      <c r="C484" s="948" t="s">
        <v>719</v>
      </c>
      <c r="D484" s="242" t="s">
        <v>28731</v>
      </c>
      <c r="E484" s="949">
        <v>104</v>
      </c>
      <c r="F484" s="949">
        <v>104</v>
      </c>
      <c r="G484" s="950" t="s">
        <v>7465</v>
      </c>
      <c r="H484" s="950" t="s">
        <v>378</v>
      </c>
      <c r="I484" s="951" t="s">
        <v>720</v>
      </c>
      <c r="J484" s="947" t="s">
        <v>721</v>
      </c>
      <c r="K484" s="143"/>
    </row>
    <row r="485" spans="1:11">
      <c r="A485" s="946" t="s">
        <v>28614</v>
      </c>
      <c r="B485" s="947" t="s">
        <v>753</v>
      </c>
      <c r="C485" s="948" t="s">
        <v>751</v>
      </c>
      <c r="D485" s="242" t="s">
        <v>28731</v>
      </c>
      <c r="E485" s="949">
        <v>104</v>
      </c>
      <c r="F485" s="949">
        <v>104</v>
      </c>
      <c r="G485" s="950" t="s">
        <v>7465</v>
      </c>
      <c r="H485" s="950" t="s">
        <v>378</v>
      </c>
      <c r="I485" s="951" t="s">
        <v>752</v>
      </c>
      <c r="J485" s="947" t="s">
        <v>753</v>
      </c>
      <c r="K485" s="143"/>
    </row>
    <row r="486" spans="1:11">
      <c r="A486" s="946" t="s">
        <v>28614</v>
      </c>
      <c r="B486" s="947" t="s">
        <v>791</v>
      </c>
      <c r="C486" s="948" t="s">
        <v>789</v>
      </c>
      <c r="D486" s="242" t="s">
        <v>28731</v>
      </c>
      <c r="E486" s="949">
        <v>104</v>
      </c>
      <c r="F486" s="949">
        <v>104</v>
      </c>
      <c r="G486" s="950" t="s">
        <v>7465</v>
      </c>
      <c r="H486" s="950" t="s">
        <v>378</v>
      </c>
      <c r="I486" s="951" t="s">
        <v>790</v>
      </c>
      <c r="J486" s="947" t="s">
        <v>791</v>
      </c>
      <c r="K486" s="143"/>
    </row>
    <row r="487" spans="1:11">
      <c r="A487" s="946" t="s">
        <v>28614</v>
      </c>
      <c r="B487" s="947" t="s">
        <v>1027</v>
      </c>
      <c r="C487" s="948" t="s">
        <v>1025</v>
      </c>
      <c r="D487" s="242" t="s">
        <v>28731</v>
      </c>
      <c r="E487" s="949">
        <v>104</v>
      </c>
      <c r="F487" s="949">
        <v>104</v>
      </c>
      <c r="G487" s="950" t="s">
        <v>7465</v>
      </c>
      <c r="H487" s="950" t="s">
        <v>378</v>
      </c>
      <c r="I487" s="951" t="s">
        <v>1026</v>
      </c>
      <c r="J487" s="947" t="s">
        <v>1027</v>
      </c>
      <c r="K487" s="143"/>
    </row>
    <row r="488" spans="1:11">
      <c r="A488" s="946" t="s">
        <v>28614</v>
      </c>
      <c r="B488" s="947" t="s">
        <v>1395</v>
      </c>
      <c r="C488" s="948" t="s">
        <v>1393</v>
      </c>
      <c r="D488" s="242" t="s">
        <v>28731</v>
      </c>
      <c r="E488" s="949">
        <v>104</v>
      </c>
      <c r="F488" s="949">
        <v>104</v>
      </c>
      <c r="G488" s="950" t="s">
        <v>7465</v>
      </c>
      <c r="H488" s="950" t="s">
        <v>378</v>
      </c>
      <c r="I488" s="951" t="s">
        <v>1394</v>
      </c>
      <c r="J488" s="947" t="s">
        <v>1395</v>
      </c>
      <c r="K488" s="143"/>
    </row>
    <row r="489" spans="1:11">
      <c r="A489" s="946" t="s">
        <v>28614</v>
      </c>
      <c r="B489" s="947" t="s">
        <v>1398</v>
      </c>
      <c r="C489" s="948" t="s">
        <v>1396</v>
      </c>
      <c r="D489" s="242" t="s">
        <v>28731</v>
      </c>
      <c r="E489" s="949">
        <v>104</v>
      </c>
      <c r="F489" s="949">
        <v>104</v>
      </c>
      <c r="G489" s="950" t="s">
        <v>7465</v>
      </c>
      <c r="H489" s="950" t="s">
        <v>378</v>
      </c>
      <c r="I489" s="951" t="s">
        <v>1397</v>
      </c>
      <c r="J489" s="947" t="s">
        <v>1398</v>
      </c>
      <c r="K489" s="143"/>
    </row>
    <row r="490" spans="1:11">
      <c r="A490" s="946" t="s">
        <v>28614</v>
      </c>
      <c r="B490" s="947" t="s">
        <v>1776</v>
      </c>
      <c r="C490" s="948" t="s">
        <v>1774</v>
      </c>
      <c r="D490" s="242" t="s">
        <v>28731</v>
      </c>
      <c r="E490" s="949">
        <v>104</v>
      </c>
      <c r="F490" s="949">
        <v>104</v>
      </c>
      <c r="G490" s="950" t="s">
        <v>7465</v>
      </c>
      <c r="H490" s="950" t="s">
        <v>378</v>
      </c>
      <c r="I490" s="951" t="s">
        <v>1775</v>
      </c>
      <c r="J490" s="947" t="s">
        <v>1776</v>
      </c>
      <c r="K490" s="143"/>
    </row>
    <row r="491" spans="1:11">
      <c r="A491" s="946" t="s">
        <v>28614</v>
      </c>
      <c r="B491" s="947" t="s">
        <v>1817</v>
      </c>
      <c r="C491" s="948" t="s">
        <v>1815</v>
      </c>
      <c r="D491" s="242" t="s">
        <v>28731</v>
      </c>
      <c r="E491" s="949">
        <v>104</v>
      </c>
      <c r="F491" s="949">
        <v>104</v>
      </c>
      <c r="G491" s="950" t="s">
        <v>7465</v>
      </c>
      <c r="H491" s="950" t="s">
        <v>378</v>
      </c>
      <c r="I491" s="951" t="s">
        <v>1816</v>
      </c>
      <c r="J491" s="947" t="s">
        <v>1817</v>
      </c>
      <c r="K491" s="143"/>
    </row>
    <row r="492" spans="1:11">
      <c r="A492" s="946" t="s">
        <v>28614</v>
      </c>
      <c r="B492" s="947" t="s">
        <v>1856</v>
      </c>
      <c r="C492" s="948" t="s">
        <v>1854</v>
      </c>
      <c r="D492" s="242" t="s">
        <v>28731</v>
      </c>
      <c r="E492" s="949">
        <v>104</v>
      </c>
      <c r="F492" s="949">
        <v>104</v>
      </c>
      <c r="G492" s="950" t="s">
        <v>7465</v>
      </c>
      <c r="H492" s="950" t="s">
        <v>378</v>
      </c>
      <c r="I492" s="951" t="s">
        <v>1855</v>
      </c>
      <c r="J492" s="947" t="s">
        <v>1856</v>
      </c>
      <c r="K492" s="143"/>
    </row>
    <row r="493" spans="1:11">
      <c r="A493" s="946" t="s">
        <v>28614</v>
      </c>
      <c r="B493" s="947" t="s">
        <v>1931</v>
      </c>
      <c r="C493" s="948" t="s">
        <v>1929</v>
      </c>
      <c r="D493" s="242" t="s">
        <v>28731</v>
      </c>
      <c r="E493" s="949">
        <v>104</v>
      </c>
      <c r="F493" s="949">
        <v>104</v>
      </c>
      <c r="G493" s="950" t="s">
        <v>7465</v>
      </c>
      <c r="H493" s="950" t="s">
        <v>378</v>
      </c>
      <c r="I493" s="951" t="s">
        <v>1930</v>
      </c>
      <c r="J493" s="947" t="s">
        <v>1931</v>
      </c>
      <c r="K493" s="143"/>
    </row>
    <row r="494" spans="1:11">
      <c r="A494" s="946" t="s">
        <v>28614</v>
      </c>
      <c r="B494" s="947" t="s">
        <v>1988</v>
      </c>
      <c r="C494" s="948" t="s">
        <v>1986</v>
      </c>
      <c r="D494" s="242" t="s">
        <v>28731</v>
      </c>
      <c r="E494" s="949">
        <v>104</v>
      </c>
      <c r="F494" s="949">
        <v>104</v>
      </c>
      <c r="G494" s="950" t="s">
        <v>7465</v>
      </c>
      <c r="H494" s="950" t="s">
        <v>378</v>
      </c>
      <c r="I494" s="951" t="s">
        <v>1987</v>
      </c>
      <c r="J494" s="947" t="s">
        <v>1988</v>
      </c>
      <c r="K494" s="143"/>
    </row>
    <row r="495" spans="1:11">
      <c r="A495" s="946" t="s">
        <v>28614</v>
      </c>
      <c r="B495" s="947" t="s">
        <v>2016</v>
      </c>
      <c r="C495" s="948" t="s">
        <v>2014</v>
      </c>
      <c r="D495" s="242" t="s">
        <v>28731</v>
      </c>
      <c r="E495" s="949">
        <v>104</v>
      </c>
      <c r="F495" s="949">
        <v>104</v>
      </c>
      <c r="G495" s="950" t="s">
        <v>7465</v>
      </c>
      <c r="H495" s="950" t="s">
        <v>378</v>
      </c>
      <c r="I495" s="951" t="s">
        <v>2015</v>
      </c>
      <c r="J495" s="947" t="s">
        <v>2016</v>
      </c>
      <c r="K495" s="143"/>
    </row>
    <row r="496" spans="1:11">
      <c r="A496" s="946" t="s">
        <v>28614</v>
      </c>
      <c r="B496" s="947" t="s">
        <v>2093</v>
      </c>
      <c r="C496" s="948" t="s">
        <v>2091</v>
      </c>
      <c r="D496" s="242" t="s">
        <v>28731</v>
      </c>
      <c r="E496" s="949">
        <v>104</v>
      </c>
      <c r="F496" s="949">
        <v>104</v>
      </c>
      <c r="G496" s="950" t="s">
        <v>7465</v>
      </c>
      <c r="H496" s="950" t="s">
        <v>378</v>
      </c>
      <c r="I496" s="951" t="s">
        <v>2092</v>
      </c>
      <c r="J496" s="947" t="s">
        <v>2093</v>
      </c>
      <c r="K496" s="143"/>
    </row>
    <row r="497" spans="1:11">
      <c r="A497" s="946" t="s">
        <v>28614</v>
      </c>
      <c r="B497" s="947" t="s">
        <v>2109</v>
      </c>
      <c r="C497" s="948" t="s">
        <v>2107</v>
      </c>
      <c r="D497" s="242" t="s">
        <v>28731</v>
      </c>
      <c r="E497" s="949">
        <v>104</v>
      </c>
      <c r="F497" s="949">
        <v>104</v>
      </c>
      <c r="G497" s="950" t="s">
        <v>7465</v>
      </c>
      <c r="H497" s="950" t="s">
        <v>378</v>
      </c>
      <c r="I497" s="951" t="s">
        <v>2108</v>
      </c>
      <c r="J497" s="947" t="s">
        <v>2109</v>
      </c>
      <c r="K497" s="143"/>
    </row>
    <row r="498" spans="1:11">
      <c r="A498" s="946" t="s">
        <v>28614</v>
      </c>
      <c r="B498" s="947" t="s">
        <v>2146</v>
      </c>
      <c r="C498" s="948" t="s">
        <v>2144</v>
      </c>
      <c r="D498" s="242" t="s">
        <v>28731</v>
      </c>
      <c r="E498" s="949">
        <v>104</v>
      </c>
      <c r="F498" s="949">
        <v>104</v>
      </c>
      <c r="G498" s="950" t="s">
        <v>7465</v>
      </c>
      <c r="H498" s="950" t="s">
        <v>378</v>
      </c>
      <c r="I498" s="951" t="s">
        <v>2145</v>
      </c>
      <c r="J498" s="947" t="s">
        <v>2146</v>
      </c>
      <c r="K498" s="143"/>
    </row>
    <row r="499" spans="1:11">
      <c r="A499" s="946" t="s">
        <v>28614</v>
      </c>
      <c r="B499" s="947" t="s">
        <v>2187</v>
      </c>
      <c r="C499" s="948" t="s">
        <v>2185</v>
      </c>
      <c r="D499" s="242" t="s">
        <v>28731</v>
      </c>
      <c r="E499" s="949">
        <v>104</v>
      </c>
      <c r="F499" s="949">
        <v>104</v>
      </c>
      <c r="G499" s="950" t="s">
        <v>7465</v>
      </c>
      <c r="H499" s="950" t="s">
        <v>378</v>
      </c>
      <c r="I499" s="951" t="s">
        <v>2186</v>
      </c>
      <c r="J499" s="947" t="s">
        <v>2187</v>
      </c>
      <c r="K499" s="143"/>
    </row>
    <row r="500" spans="1:11">
      <c r="A500" s="946" t="s">
        <v>28614</v>
      </c>
      <c r="B500" s="947" t="s">
        <v>2236</v>
      </c>
      <c r="C500" s="948" t="s">
        <v>2234</v>
      </c>
      <c r="D500" s="242" t="s">
        <v>28731</v>
      </c>
      <c r="E500" s="949">
        <v>104</v>
      </c>
      <c r="F500" s="949">
        <v>104</v>
      </c>
      <c r="G500" s="950" t="s">
        <v>7465</v>
      </c>
      <c r="H500" s="950" t="s">
        <v>378</v>
      </c>
      <c r="I500" s="951" t="s">
        <v>2235</v>
      </c>
      <c r="J500" s="947" t="s">
        <v>2236</v>
      </c>
      <c r="K500" s="143"/>
    </row>
    <row r="501" spans="1:11">
      <c r="A501" s="946" t="s">
        <v>28614</v>
      </c>
      <c r="B501" s="947" t="s">
        <v>2256</v>
      </c>
      <c r="C501" s="948" t="s">
        <v>2254</v>
      </c>
      <c r="D501" s="242" t="s">
        <v>28731</v>
      </c>
      <c r="E501" s="949">
        <v>104</v>
      </c>
      <c r="F501" s="949">
        <v>104</v>
      </c>
      <c r="G501" s="950" t="s">
        <v>7465</v>
      </c>
      <c r="H501" s="950" t="s">
        <v>378</v>
      </c>
      <c r="I501" s="951" t="s">
        <v>2255</v>
      </c>
      <c r="J501" s="947" t="s">
        <v>2256</v>
      </c>
      <c r="K501" s="143"/>
    </row>
    <row r="502" spans="1:11">
      <c r="A502" s="946" t="s">
        <v>28614</v>
      </c>
      <c r="B502" s="947" t="s">
        <v>2264</v>
      </c>
      <c r="C502" s="948" t="s">
        <v>2262</v>
      </c>
      <c r="D502" s="242" t="s">
        <v>28731</v>
      </c>
      <c r="E502" s="949">
        <v>104</v>
      </c>
      <c r="F502" s="949">
        <v>104</v>
      </c>
      <c r="G502" s="950" t="s">
        <v>7465</v>
      </c>
      <c r="H502" s="950" t="s">
        <v>378</v>
      </c>
      <c r="I502" s="951" t="s">
        <v>2263</v>
      </c>
      <c r="J502" s="947" t="s">
        <v>2264</v>
      </c>
      <c r="K502" s="143"/>
    </row>
    <row r="503" spans="1:11">
      <c r="A503" s="946" t="s">
        <v>28614</v>
      </c>
      <c r="B503" s="947" t="s">
        <v>2304</v>
      </c>
      <c r="C503" s="948" t="s">
        <v>2302</v>
      </c>
      <c r="D503" s="242" t="s">
        <v>28731</v>
      </c>
      <c r="E503" s="949">
        <v>104</v>
      </c>
      <c r="F503" s="949">
        <v>104</v>
      </c>
      <c r="G503" s="950" t="s">
        <v>7465</v>
      </c>
      <c r="H503" s="950" t="s">
        <v>378</v>
      </c>
      <c r="I503" s="951" t="s">
        <v>2303</v>
      </c>
      <c r="J503" s="947" t="s">
        <v>2304</v>
      </c>
      <c r="K503" s="143"/>
    </row>
    <row r="504" spans="1:11">
      <c r="A504" s="946" t="s">
        <v>28614</v>
      </c>
      <c r="B504" s="947" t="s">
        <v>2318</v>
      </c>
      <c r="C504" s="948" t="s">
        <v>2316</v>
      </c>
      <c r="D504" s="242" t="s">
        <v>28731</v>
      </c>
      <c r="E504" s="949">
        <v>104</v>
      </c>
      <c r="F504" s="949">
        <v>104</v>
      </c>
      <c r="G504" s="950" t="s">
        <v>7465</v>
      </c>
      <c r="H504" s="950" t="s">
        <v>378</v>
      </c>
      <c r="I504" s="951" t="s">
        <v>2317</v>
      </c>
      <c r="J504" s="947" t="s">
        <v>2318</v>
      </c>
      <c r="K504" s="143"/>
    </row>
    <row r="505" spans="1:11">
      <c r="A505" s="946" t="s">
        <v>28614</v>
      </c>
      <c r="B505" s="947" t="s">
        <v>2664</v>
      </c>
      <c r="C505" s="948" t="s">
        <v>2662</v>
      </c>
      <c r="D505" s="242" t="s">
        <v>28731</v>
      </c>
      <c r="E505" s="949">
        <v>104</v>
      </c>
      <c r="F505" s="949">
        <v>104</v>
      </c>
      <c r="G505" s="950" t="s">
        <v>7465</v>
      </c>
      <c r="H505" s="950" t="s">
        <v>378</v>
      </c>
      <c r="I505" s="951" t="s">
        <v>2663</v>
      </c>
      <c r="J505" s="947" t="s">
        <v>2664</v>
      </c>
      <c r="K505" s="143"/>
    </row>
    <row r="506" spans="1:11">
      <c r="A506" s="946" t="s">
        <v>28614</v>
      </c>
      <c r="B506" s="947" t="s">
        <v>2781</v>
      </c>
      <c r="C506" s="948" t="s">
        <v>2779</v>
      </c>
      <c r="D506" s="242" t="s">
        <v>28731</v>
      </c>
      <c r="E506" s="949">
        <v>104</v>
      </c>
      <c r="F506" s="949">
        <v>104</v>
      </c>
      <c r="G506" s="950" t="s">
        <v>7465</v>
      </c>
      <c r="H506" s="950" t="s">
        <v>378</v>
      </c>
      <c r="I506" s="951" t="s">
        <v>2780</v>
      </c>
      <c r="J506" s="947" t="s">
        <v>2781</v>
      </c>
      <c r="K506" s="143"/>
    </row>
    <row r="507" spans="1:11">
      <c r="A507" s="946" t="s">
        <v>28614</v>
      </c>
      <c r="B507" s="947" t="s">
        <v>2739</v>
      </c>
      <c r="C507" s="948" t="s">
        <v>2737</v>
      </c>
      <c r="D507" s="242" t="s">
        <v>28731</v>
      </c>
      <c r="E507" s="949">
        <v>104</v>
      </c>
      <c r="F507" s="949">
        <v>104</v>
      </c>
      <c r="G507" s="950" t="s">
        <v>7465</v>
      </c>
      <c r="H507" s="950" t="s">
        <v>378</v>
      </c>
      <c r="I507" s="951" t="s">
        <v>2738</v>
      </c>
      <c r="J507" s="947" t="s">
        <v>2739</v>
      </c>
      <c r="K507" s="143"/>
    </row>
    <row r="508" spans="1:11">
      <c r="A508" s="946" t="s">
        <v>28614</v>
      </c>
      <c r="B508" s="947" t="s">
        <v>2873</v>
      </c>
      <c r="C508" s="948" t="s">
        <v>2871</v>
      </c>
      <c r="D508" s="242" t="s">
        <v>28731</v>
      </c>
      <c r="E508" s="949">
        <v>104</v>
      </c>
      <c r="F508" s="949">
        <v>104</v>
      </c>
      <c r="G508" s="950" t="s">
        <v>7465</v>
      </c>
      <c r="H508" s="950" t="s">
        <v>378</v>
      </c>
      <c r="I508" s="951" t="s">
        <v>2872</v>
      </c>
      <c r="J508" s="947" t="s">
        <v>2873</v>
      </c>
      <c r="K508" s="143"/>
    </row>
    <row r="509" spans="1:11">
      <c r="A509" s="946" t="s">
        <v>28614</v>
      </c>
      <c r="B509" s="947" t="s">
        <v>2888</v>
      </c>
      <c r="C509" s="948" t="s">
        <v>2886</v>
      </c>
      <c r="D509" s="242" t="s">
        <v>28731</v>
      </c>
      <c r="E509" s="949">
        <v>104</v>
      </c>
      <c r="F509" s="949">
        <v>104</v>
      </c>
      <c r="G509" s="950" t="s">
        <v>7465</v>
      </c>
      <c r="H509" s="950" t="s">
        <v>378</v>
      </c>
      <c r="I509" s="951" t="s">
        <v>2887</v>
      </c>
      <c r="J509" s="947" t="s">
        <v>2888</v>
      </c>
      <c r="K509" s="143"/>
    </row>
    <row r="510" spans="1:11">
      <c r="A510" s="946" t="s">
        <v>28614</v>
      </c>
      <c r="B510" s="947" t="s">
        <v>2917</v>
      </c>
      <c r="C510" s="948" t="s">
        <v>2915</v>
      </c>
      <c r="D510" s="242" t="s">
        <v>28731</v>
      </c>
      <c r="E510" s="949">
        <v>104</v>
      </c>
      <c r="F510" s="949">
        <v>104</v>
      </c>
      <c r="G510" s="950" t="s">
        <v>7465</v>
      </c>
      <c r="H510" s="950" t="s">
        <v>378</v>
      </c>
      <c r="I510" s="951" t="s">
        <v>2916</v>
      </c>
      <c r="J510" s="947" t="s">
        <v>2917</v>
      </c>
      <c r="K510" s="143"/>
    </row>
    <row r="511" spans="1:11">
      <c r="A511" s="946" t="s">
        <v>28614</v>
      </c>
      <c r="B511" s="947" t="s">
        <v>2943</v>
      </c>
      <c r="C511" s="948" t="s">
        <v>2941</v>
      </c>
      <c r="D511" s="242" t="s">
        <v>28731</v>
      </c>
      <c r="E511" s="949">
        <v>104</v>
      </c>
      <c r="F511" s="949">
        <v>104</v>
      </c>
      <c r="G511" s="950" t="s">
        <v>7465</v>
      </c>
      <c r="H511" s="950" t="s">
        <v>378</v>
      </c>
      <c r="I511" s="951" t="s">
        <v>2942</v>
      </c>
      <c r="J511" s="947" t="s">
        <v>2943</v>
      </c>
      <c r="K511" s="143"/>
    </row>
    <row r="512" spans="1:11">
      <c r="A512" s="946" t="s">
        <v>28614</v>
      </c>
      <c r="B512" s="947" t="s">
        <v>3040</v>
      </c>
      <c r="C512" s="948" t="s">
        <v>3038</v>
      </c>
      <c r="D512" s="242" t="s">
        <v>28731</v>
      </c>
      <c r="E512" s="949">
        <v>104</v>
      </c>
      <c r="F512" s="949">
        <v>104</v>
      </c>
      <c r="G512" s="950" t="s">
        <v>7465</v>
      </c>
      <c r="H512" s="950" t="s">
        <v>378</v>
      </c>
      <c r="I512" s="951" t="s">
        <v>3039</v>
      </c>
      <c r="J512" s="947" t="s">
        <v>3040</v>
      </c>
      <c r="K512" s="143"/>
    </row>
    <row r="513" spans="1:11">
      <c r="A513" s="946" t="s">
        <v>28614</v>
      </c>
      <c r="B513" s="947" t="s">
        <v>3054</v>
      </c>
      <c r="C513" s="948" t="s">
        <v>3052</v>
      </c>
      <c r="D513" s="242" t="s">
        <v>28731</v>
      </c>
      <c r="E513" s="949">
        <v>104</v>
      </c>
      <c r="F513" s="949">
        <v>104</v>
      </c>
      <c r="G513" s="950" t="s">
        <v>7465</v>
      </c>
      <c r="H513" s="950" t="s">
        <v>378</v>
      </c>
      <c r="I513" s="951" t="s">
        <v>3053</v>
      </c>
      <c r="J513" s="947" t="s">
        <v>3054</v>
      </c>
      <c r="K513" s="143"/>
    </row>
    <row r="514" spans="1:11">
      <c r="A514" s="946" t="s">
        <v>28614</v>
      </c>
      <c r="B514" s="947" t="s">
        <v>3110</v>
      </c>
      <c r="C514" s="948" t="s">
        <v>3108</v>
      </c>
      <c r="D514" s="242" t="s">
        <v>28731</v>
      </c>
      <c r="E514" s="949">
        <v>104</v>
      </c>
      <c r="F514" s="949">
        <v>104</v>
      </c>
      <c r="G514" s="950" t="s">
        <v>7465</v>
      </c>
      <c r="H514" s="950" t="s">
        <v>378</v>
      </c>
      <c r="I514" s="951" t="s">
        <v>3109</v>
      </c>
      <c r="J514" s="947" t="s">
        <v>3110</v>
      </c>
      <c r="K514" s="143"/>
    </row>
    <row r="515" spans="1:11">
      <c r="A515" s="946" t="s">
        <v>28614</v>
      </c>
      <c r="B515" s="947" t="s">
        <v>3120</v>
      </c>
      <c r="C515" s="948" t="s">
        <v>3118</v>
      </c>
      <c r="D515" s="242" t="s">
        <v>28731</v>
      </c>
      <c r="E515" s="949">
        <v>104</v>
      </c>
      <c r="F515" s="949">
        <v>104</v>
      </c>
      <c r="G515" s="950" t="s">
        <v>7465</v>
      </c>
      <c r="H515" s="950" t="s">
        <v>378</v>
      </c>
      <c r="I515" s="951" t="s">
        <v>3119</v>
      </c>
      <c r="J515" s="947" t="s">
        <v>3120</v>
      </c>
      <c r="K515" s="143"/>
    </row>
    <row r="516" spans="1:11">
      <c r="A516" s="946" t="s">
        <v>28614</v>
      </c>
      <c r="B516" s="947" t="s">
        <v>3277</v>
      </c>
      <c r="C516" s="948" t="s">
        <v>3275</v>
      </c>
      <c r="D516" s="242" t="s">
        <v>28731</v>
      </c>
      <c r="E516" s="949">
        <v>104</v>
      </c>
      <c r="F516" s="949">
        <v>104</v>
      </c>
      <c r="G516" s="950" t="s">
        <v>7465</v>
      </c>
      <c r="H516" s="950" t="s">
        <v>378</v>
      </c>
      <c r="I516" s="951" t="s">
        <v>3276</v>
      </c>
      <c r="J516" s="947" t="s">
        <v>3277</v>
      </c>
      <c r="K516" s="143"/>
    </row>
    <row r="517" spans="1:11">
      <c r="A517" s="946" t="s">
        <v>28614</v>
      </c>
      <c r="B517" s="947" t="s">
        <v>3620</v>
      </c>
      <c r="C517" s="948" t="s">
        <v>3618</v>
      </c>
      <c r="D517" s="242" t="s">
        <v>28731</v>
      </c>
      <c r="E517" s="949">
        <v>104</v>
      </c>
      <c r="F517" s="949">
        <v>104</v>
      </c>
      <c r="G517" s="950" t="s">
        <v>7465</v>
      </c>
      <c r="H517" s="950" t="s">
        <v>378</v>
      </c>
      <c r="I517" s="951" t="s">
        <v>3619</v>
      </c>
      <c r="J517" s="947" t="s">
        <v>3620</v>
      </c>
      <c r="K517" s="143"/>
    </row>
    <row r="518" spans="1:11">
      <c r="A518" s="946" t="s">
        <v>28614</v>
      </c>
      <c r="B518" s="947" t="s">
        <v>3861</v>
      </c>
      <c r="C518" s="948" t="s">
        <v>3859</v>
      </c>
      <c r="D518" s="242" t="s">
        <v>28731</v>
      </c>
      <c r="E518" s="949">
        <v>104</v>
      </c>
      <c r="F518" s="949">
        <v>104</v>
      </c>
      <c r="G518" s="950" t="s">
        <v>7465</v>
      </c>
      <c r="H518" s="950" t="s">
        <v>378</v>
      </c>
      <c r="I518" s="951" t="s">
        <v>3860</v>
      </c>
      <c r="J518" s="947" t="s">
        <v>3861</v>
      </c>
      <c r="K518" s="143"/>
    </row>
    <row r="519" spans="1:11">
      <c r="A519" s="946" t="s">
        <v>28614</v>
      </c>
      <c r="B519" s="947" t="s">
        <v>3969</v>
      </c>
      <c r="C519" s="948" t="s">
        <v>3967</v>
      </c>
      <c r="D519" s="242" t="s">
        <v>28731</v>
      </c>
      <c r="E519" s="949">
        <v>104</v>
      </c>
      <c r="F519" s="949">
        <v>104</v>
      </c>
      <c r="G519" s="950" t="s">
        <v>7465</v>
      </c>
      <c r="H519" s="950" t="s">
        <v>378</v>
      </c>
      <c r="I519" s="951" t="s">
        <v>3968</v>
      </c>
      <c r="J519" s="947" t="s">
        <v>3969</v>
      </c>
      <c r="K519" s="143"/>
    </row>
    <row r="520" spans="1:11">
      <c r="A520" s="946" t="s">
        <v>28614</v>
      </c>
      <c r="B520" s="947" t="s">
        <v>4134</v>
      </c>
      <c r="C520" s="948" t="s">
        <v>4132</v>
      </c>
      <c r="D520" s="242" t="s">
        <v>28731</v>
      </c>
      <c r="E520" s="949">
        <v>104</v>
      </c>
      <c r="F520" s="949">
        <v>104</v>
      </c>
      <c r="G520" s="950" t="s">
        <v>7465</v>
      </c>
      <c r="H520" s="950" t="s">
        <v>378</v>
      </c>
      <c r="I520" s="951" t="s">
        <v>4133</v>
      </c>
      <c r="J520" s="947" t="s">
        <v>4134</v>
      </c>
      <c r="K520" s="143"/>
    </row>
    <row r="521" spans="1:11">
      <c r="A521" s="946" t="s">
        <v>28614</v>
      </c>
      <c r="B521" s="947" t="s">
        <v>4200</v>
      </c>
      <c r="C521" s="948" t="s">
        <v>4198</v>
      </c>
      <c r="D521" s="242" t="s">
        <v>28731</v>
      </c>
      <c r="E521" s="949">
        <v>104</v>
      </c>
      <c r="F521" s="949">
        <v>104</v>
      </c>
      <c r="G521" s="950" t="s">
        <v>7465</v>
      </c>
      <c r="H521" s="950" t="s">
        <v>378</v>
      </c>
      <c r="I521" s="951" t="s">
        <v>4199</v>
      </c>
      <c r="J521" s="947" t="s">
        <v>4200</v>
      </c>
      <c r="K521" s="143"/>
    </row>
    <row r="522" spans="1:11">
      <c r="A522" s="946" t="s">
        <v>28614</v>
      </c>
      <c r="B522" s="947" t="s">
        <v>4203</v>
      </c>
      <c r="C522" s="948" t="s">
        <v>4201</v>
      </c>
      <c r="D522" s="242" t="s">
        <v>28731</v>
      </c>
      <c r="E522" s="949">
        <v>104</v>
      </c>
      <c r="F522" s="949">
        <v>104</v>
      </c>
      <c r="G522" s="950" t="s">
        <v>7465</v>
      </c>
      <c r="H522" s="950" t="s">
        <v>378</v>
      </c>
      <c r="I522" s="951" t="s">
        <v>4202</v>
      </c>
      <c r="J522" s="947" t="s">
        <v>4203</v>
      </c>
      <c r="K522" s="143"/>
    </row>
    <row r="523" spans="1:11">
      <c r="A523" s="946" t="s">
        <v>28614</v>
      </c>
      <c r="B523" s="947" t="s">
        <v>4269</v>
      </c>
      <c r="C523" s="948" t="s">
        <v>4267</v>
      </c>
      <c r="D523" s="242" t="s">
        <v>28731</v>
      </c>
      <c r="E523" s="949">
        <v>104</v>
      </c>
      <c r="F523" s="949">
        <v>104</v>
      </c>
      <c r="G523" s="950" t="s">
        <v>7465</v>
      </c>
      <c r="H523" s="950" t="s">
        <v>378</v>
      </c>
      <c r="I523" s="951" t="s">
        <v>4268</v>
      </c>
      <c r="J523" s="947" t="s">
        <v>4269</v>
      </c>
      <c r="K523" s="143"/>
    </row>
    <row r="524" spans="1:11">
      <c r="A524" s="946" t="s">
        <v>28614</v>
      </c>
      <c r="B524" s="947" t="s">
        <v>4459</v>
      </c>
      <c r="C524" s="948" t="s">
        <v>4457</v>
      </c>
      <c r="D524" s="242" t="s">
        <v>28731</v>
      </c>
      <c r="E524" s="949">
        <v>104</v>
      </c>
      <c r="F524" s="949">
        <v>104</v>
      </c>
      <c r="G524" s="950" t="s">
        <v>7465</v>
      </c>
      <c r="H524" s="950" t="s">
        <v>378</v>
      </c>
      <c r="I524" s="951" t="s">
        <v>4458</v>
      </c>
      <c r="J524" s="947" t="s">
        <v>4459</v>
      </c>
      <c r="K524" s="143"/>
    </row>
    <row r="525" spans="1:11">
      <c r="A525" s="946" t="s">
        <v>28614</v>
      </c>
      <c r="B525" s="947" t="s">
        <v>4468</v>
      </c>
      <c r="C525" s="948" t="s">
        <v>4466</v>
      </c>
      <c r="D525" s="242" t="s">
        <v>28731</v>
      </c>
      <c r="E525" s="949">
        <v>104</v>
      </c>
      <c r="F525" s="949">
        <v>104</v>
      </c>
      <c r="G525" s="950" t="s">
        <v>7465</v>
      </c>
      <c r="H525" s="950" t="s">
        <v>378</v>
      </c>
      <c r="I525" s="951" t="s">
        <v>4467</v>
      </c>
      <c r="J525" s="947" t="s">
        <v>4468</v>
      </c>
      <c r="K525" s="143"/>
    </row>
    <row r="526" spans="1:11">
      <c r="A526" s="946" t="s">
        <v>28614</v>
      </c>
      <c r="B526" s="947" t="s">
        <v>4598</v>
      </c>
      <c r="C526" s="948" t="s">
        <v>4596</v>
      </c>
      <c r="D526" s="242" t="s">
        <v>28731</v>
      </c>
      <c r="E526" s="949">
        <v>104</v>
      </c>
      <c r="F526" s="949">
        <v>104</v>
      </c>
      <c r="G526" s="950" t="s">
        <v>7465</v>
      </c>
      <c r="H526" s="950" t="s">
        <v>378</v>
      </c>
      <c r="I526" s="951" t="s">
        <v>4597</v>
      </c>
      <c r="J526" s="947" t="s">
        <v>4598</v>
      </c>
      <c r="K526" s="143"/>
    </row>
    <row r="527" spans="1:11">
      <c r="A527" s="946" t="s">
        <v>28614</v>
      </c>
      <c r="B527" s="947" t="s">
        <v>4886</v>
      </c>
      <c r="C527" s="948" t="s">
        <v>4884</v>
      </c>
      <c r="D527" s="242" t="s">
        <v>28731</v>
      </c>
      <c r="E527" s="949">
        <v>104</v>
      </c>
      <c r="F527" s="949">
        <v>104</v>
      </c>
      <c r="G527" s="950" t="s">
        <v>7465</v>
      </c>
      <c r="H527" s="950" t="s">
        <v>378</v>
      </c>
      <c r="I527" s="951" t="s">
        <v>4885</v>
      </c>
      <c r="J527" s="947" t="s">
        <v>4886</v>
      </c>
      <c r="K527" s="143"/>
    </row>
    <row r="528" spans="1:11">
      <c r="A528" s="946" t="s">
        <v>28614</v>
      </c>
      <c r="B528" s="947" t="s">
        <v>5084</v>
      </c>
      <c r="C528" s="948" t="s">
        <v>5082</v>
      </c>
      <c r="D528" s="242" t="s">
        <v>28731</v>
      </c>
      <c r="E528" s="949">
        <v>104</v>
      </c>
      <c r="F528" s="949">
        <v>104</v>
      </c>
      <c r="G528" s="950" t="s">
        <v>7465</v>
      </c>
      <c r="H528" s="950" t="s">
        <v>378</v>
      </c>
      <c r="I528" s="951" t="s">
        <v>5083</v>
      </c>
      <c r="J528" s="947" t="s">
        <v>5084</v>
      </c>
      <c r="K528" s="143"/>
    </row>
    <row r="529" spans="1:11">
      <c r="A529" s="946" t="s">
        <v>28614</v>
      </c>
      <c r="B529" s="947" t="s">
        <v>5214</v>
      </c>
      <c r="C529" s="948" t="s">
        <v>5212</v>
      </c>
      <c r="D529" s="242" t="s">
        <v>28731</v>
      </c>
      <c r="E529" s="949">
        <v>104</v>
      </c>
      <c r="F529" s="949">
        <v>104</v>
      </c>
      <c r="G529" s="950" t="s">
        <v>7465</v>
      </c>
      <c r="H529" s="950" t="s">
        <v>378</v>
      </c>
      <c r="I529" s="951" t="s">
        <v>5213</v>
      </c>
      <c r="J529" s="947" t="s">
        <v>5214</v>
      </c>
      <c r="K529" s="143"/>
    </row>
    <row r="530" spans="1:11">
      <c r="A530" s="946" t="s">
        <v>28614</v>
      </c>
      <c r="B530" s="947" t="s">
        <v>5217</v>
      </c>
      <c r="C530" s="948" t="s">
        <v>5215</v>
      </c>
      <c r="D530" s="242" t="s">
        <v>28731</v>
      </c>
      <c r="E530" s="949">
        <v>104</v>
      </c>
      <c r="F530" s="949">
        <v>104</v>
      </c>
      <c r="G530" s="950" t="s">
        <v>7465</v>
      </c>
      <c r="H530" s="950" t="s">
        <v>378</v>
      </c>
      <c r="I530" s="951" t="s">
        <v>5216</v>
      </c>
      <c r="J530" s="947" t="s">
        <v>5217</v>
      </c>
      <c r="K530" s="143"/>
    </row>
    <row r="531" spans="1:11">
      <c r="A531" s="946" t="s">
        <v>28614</v>
      </c>
      <c r="B531" s="947" t="s">
        <v>31125</v>
      </c>
      <c r="C531" s="948" t="s">
        <v>31126</v>
      </c>
      <c r="D531" s="242" t="s">
        <v>28731</v>
      </c>
      <c r="E531" s="949">
        <v>104</v>
      </c>
      <c r="F531" s="949">
        <v>104</v>
      </c>
      <c r="G531" s="950" t="s">
        <v>7465</v>
      </c>
      <c r="H531" s="950" t="s">
        <v>378</v>
      </c>
      <c r="I531" s="951" t="s">
        <v>5230</v>
      </c>
      <c r="J531" s="947" t="s">
        <v>31125</v>
      </c>
      <c r="K531" s="143"/>
    </row>
    <row r="532" spans="1:11">
      <c r="A532" s="946" t="s">
        <v>28614</v>
      </c>
      <c r="B532" s="947" t="s">
        <v>5236</v>
      </c>
      <c r="C532" s="948" t="s">
        <v>5234</v>
      </c>
      <c r="D532" s="242" t="s">
        <v>28731</v>
      </c>
      <c r="E532" s="949">
        <v>104</v>
      </c>
      <c r="F532" s="949">
        <v>104</v>
      </c>
      <c r="G532" s="950" t="s">
        <v>7465</v>
      </c>
      <c r="H532" s="950" t="s">
        <v>378</v>
      </c>
      <c r="I532" s="951" t="s">
        <v>5235</v>
      </c>
      <c r="J532" s="947" t="s">
        <v>5236</v>
      </c>
      <c r="K532" s="143"/>
    </row>
    <row r="533" spans="1:11">
      <c r="A533" s="946" t="s">
        <v>28614</v>
      </c>
      <c r="B533" s="947" t="s">
        <v>5293</v>
      </c>
      <c r="C533" s="948" t="s">
        <v>5291</v>
      </c>
      <c r="D533" s="242" t="s">
        <v>28731</v>
      </c>
      <c r="E533" s="949">
        <v>104</v>
      </c>
      <c r="F533" s="949">
        <v>104</v>
      </c>
      <c r="G533" s="950" t="s">
        <v>7465</v>
      </c>
      <c r="H533" s="950" t="s">
        <v>378</v>
      </c>
      <c r="I533" s="951" t="s">
        <v>5292</v>
      </c>
      <c r="J533" s="947" t="s">
        <v>5293</v>
      </c>
      <c r="K533" s="143"/>
    </row>
    <row r="534" spans="1:11">
      <c r="A534" s="946" t="s">
        <v>28614</v>
      </c>
      <c r="B534" s="947" t="s">
        <v>5356</v>
      </c>
      <c r="C534" s="948" t="s">
        <v>5354</v>
      </c>
      <c r="D534" s="242" t="s">
        <v>28731</v>
      </c>
      <c r="E534" s="949">
        <v>104</v>
      </c>
      <c r="F534" s="949">
        <v>104</v>
      </c>
      <c r="G534" s="950" t="s">
        <v>7465</v>
      </c>
      <c r="H534" s="950" t="s">
        <v>378</v>
      </c>
      <c r="I534" s="951" t="s">
        <v>5355</v>
      </c>
      <c r="J534" s="947" t="s">
        <v>5356</v>
      </c>
      <c r="K534" s="143"/>
    </row>
    <row r="535" spans="1:11">
      <c r="A535" s="946" t="s">
        <v>28614</v>
      </c>
      <c r="B535" s="947" t="s">
        <v>5518</v>
      </c>
      <c r="C535" s="948" t="s">
        <v>5516</v>
      </c>
      <c r="D535" s="242" t="s">
        <v>28731</v>
      </c>
      <c r="E535" s="949">
        <v>104</v>
      </c>
      <c r="F535" s="949">
        <v>104</v>
      </c>
      <c r="G535" s="950" t="s">
        <v>7465</v>
      </c>
      <c r="H535" s="950" t="s">
        <v>378</v>
      </c>
      <c r="I535" s="951" t="s">
        <v>5517</v>
      </c>
      <c r="J535" s="947" t="s">
        <v>5518</v>
      </c>
      <c r="K535" s="143"/>
    </row>
    <row r="536" spans="1:11">
      <c r="A536" s="946" t="s">
        <v>28614</v>
      </c>
      <c r="B536" s="947" t="s">
        <v>5533</v>
      </c>
      <c r="C536" s="948" t="s">
        <v>5531</v>
      </c>
      <c r="D536" s="242" t="s">
        <v>28731</v>
      </c>
      <c r="E536" s="949">
        <v>104</v>
      </c>
      <c r="F536" s="949">
        <v>104</v>
      </c>
      <c r="G536" s="950" t="s">
        <v>7465</v>
      </c>
      <c r="H536" s="950" t="s">
        <v>378</v>
      </c>
      <c r="I536" s="951" t="s">
        <v>5532</v>
      </c>
      <c r="J536" s="947" t="s">
        <v>5533</v>
      </c>
      <c r="K536" s="143"/>
    </row>
    <row r="537" spans="1:11">
      <c r="A537" s="946" t="s">
        <v>28614</v>
      </c>
      <c r="B537" s="947" t="s">
        <v>5545</v>
      </c>
      <c r="C537" s="948" t="s">
        <v>5543</v>
      </c>
      <c r="D537" s="242" t="s">
        <v>28731</v>
      </c>
      <c r="E537" s="949">
        <v>104</v>
      </c>
      <c r="F537" s="949">
        <v>104</v>
      </c>
      <c r="G537" s="950" t="s">
        <v>7465</v>
      </c>
      <c r="H537" s="950" t="s">
        <v>378</v>
      </c>
      <c r="I537" s="951" t="s">
        <v>5544</v>
      </c>
      <c r="J537" s="947" t="s">
        <v>5545</v>
      </c>
      <c r="K537" s="143"/>
    </row>
    <row r="538" spans="1:11">
      <c r="A538" s="946" t="s">
        <v>28614</v>
      </c>
      <c r="B538" s="947" t="s">
        <v>5665</v>
      </c>
      <c r="C538" s="948" t="s">
        <v>5663</v>
      </c>
      <c r="D538" s="242" t="s">
        <v>28731</v>
      </c>
      <c r="E538" s="949">
        <v>104</v>
      </c>
      <c r="F538" s="949">
        <v>104</v>
      </c>
      <c r="G538" s="950" t="s">
        <v>7465</v>
      </c>
      <c r="H538" s="950" t="s">
        <v>378</v>
      </c>
      <c r="I538" s="951" t="s">
        <v>5664</v>
      </c>
      <c r="J538" s="947" t="s">
        <v>5665</v>
      </c>
      <c r="K538" s="143"/>
    </row>
    <row r="539" spans="1:11">
      <c r="A539" s="946" t="s">
        <v>28614</v>
      </c>
      <c r="B539" s="947" t="s">
        <v>5668</v>
      </c>
      <c r="C539" s="948" t="s">
        <v>5666</v>
      </c>
      <c r="D539" s="242" t="s">
        <v>28731</v>
      </c>
      <c r="E539" s="949">
        <v>104</v>
      </c>
      <c r="F539" s="949">
        <v>104</v>
      </c>
      <c r="G539" s="950" t="s">
        <v>7465</v>
      </c>
      <c r="H539" s="950" t="s">
        <v>378</v>
      </c>
      <c r="I539" s="951" t="s">
        <v>5667</v>
      </c>
      <c r="J539" s="947" t="s">
        <v>5668</v>
      </c>
      <c r="K539" s="143"/>
    </row>
    <row r="540" spans="1:11">
      <c r="A540" s="946" t="s">
        <v>28614</v>
      </c>
      <c r="B540" s="947" t="s">
        <v>5811</v>
      </c>
      <c r="C540" s="948" t="s">
        <v>5809</v>
      </c>
      <c r="D540" s="242" t="s">
        <v>28731</v>
      </c>
      <c r="E540" s="949">
        <v>104</v>
      </c>
      <c r="F540" s="949">
        <v>104</v>
      </c>
      <c r="G540" s="950" t="s">
        <v>7465</v>
      </c>
      <c r="H540" s="950" t="s">
        <v>378</v>
      </c>
      <c r="I540" s="951" t="s">
        <v>5810</v>
      </c>
      <c r="J540" s="947" t="s">
        <v>5811</v>
      </c>
      <c r="K540" s="143"/>
    </row>
    <row r="541" spans="1:11">
      <c r="A541" s="946" t="s">
        <v>28614</v>
      </c>
      <c r="B541" s="947" t="s">
        <v>5859</v>
      </c>
      <c r="C541" s="948" t="s">
        <v>5857</v>
      </c>
      <c r="D541" s="242" t="s">
        <v>28731</v>
      </c>
      <c r="E541" s="949">
        <v>104</v>
      </c>
      <c r="F541" s="949">
        <v>104</v>
      </c>
      <c r="G541" s="950" t="s">
        <v>7465</v>
      </c>
      <c r="H541" s="950" t="s">
        <v>378</v>
      </c>
      <c r="I541" s="951" t="s">
        <v>5858</v>
      </c>
      <c r="J541" s="947" t="s">
        <v>5859</v>
      </c>
      <c r="K541" s="143"/>
    </row>
    <row r="542" spans="1:11">
      <c r="A542" s="946" t="s">
        <v>28614</v>
      </c>
      <c r="B542" s="947" t="s">
        <v>5947</v>
      </c>
      <c r="C542" s="948" t="s">
        <v>5945</v>
      </c>
      <c r="D542" s="242" t="s">
        <v>28731</v>
      </c>
      <c r="E542" s="949">
        <v>104</v>
      </c>
      <c r="F542" s="949">
        <v>104</v>
      </c>
      <c r="G542" s="950" t="s">
        <v>7465</v>
      </c>
      <c r="H542" s="950" t="s">
        <v>378</v>
      </c>
      <c r="I542" s="951" t="s">
        <v>5946</v>
      </c>
      <c r="J542" s="947" t="s">
        <v>5947</v>
      </c>
      <c r="K542" s="143"/>
    </row>
    <row r="543" spans="1:11">
      <c r="A543" s="946" t="s">
        <v>28614</v>
      </c>
      <c r="B543" s="947" t="s">
        <v>6016</v>
      </c>
      <c r="C543" s="948" t="s">
        <v>6014</v>
      </c>
      <c r="D543" s="242" t="s">
        <v>28731</v>
      </c>
      <c r="E543" s="949">
        <v>104</v>
      </c>
      <c r="F543" s="949">
        <v>104</v>
      </c>
      <c r="G543" s="950" t="s">
        <v>7465</v>
      </c>
      <c r="H543" s="950" t="s">
        <v>378</v>
      </c>
      <c r="I543" s="951" t="s">
        <v>6015</v>
      </c>
      <c r="J543" s="947" t="s">
        <v>6016</v>
      </c>
      <c r="K543" s="143"/>
    </row>
    <row r="544" spans="1:11">
      <c r="A544" s="946" t="s">
        <v>28614</v>
      </c>
      <c r="B544" s="947" t="s">
        <v>6061</v>
      </c>
      <c r="C544" s="948" t="s">
        <v>6059</v>
      </c>
      <c r="D544" s="242" t="s">
        <v>28731</v>
      </c>
      <c r="E544" s="949">
        <v>104</v>
      </c>
      <c r="F544" s="949">
        <v>104</v>
      </c>
      <c r="G544" s="950" t="s">
        <v>7465</v>
      </c>
      <c r="H544" s="950" t="s">
        <v>378</v>
      </c>
      <c r="I544" s="951" t="s">
        <v>6060</v>
      </c>
      <c r="J544" s="947" t="s">
        <v>6061</v>
      </c>
      <c r="K544" s="143"/>
    </row>
    <row r="545" spans="1:11">
      <c r="A545" s="946" t="s">
        <v>28614</v>
      </c>
      <c r="B545" s="947" t="s">
        <v>6070</v>
      </c>
      <c r="C545" s="948" t="s">
        <v>6068</v>
      </c>
      <c r="D545" s="242" t="s">
        <v>28731</v>
      </c>
      <c r="E545" s="949">
        <v>104</v>
      </c>
      <c r="F545" s="949">
        <v>104</v>
      </c>
      <c r="G545" s="950" t="s">
        <v>7465</v>
      </c>
      <c r="H545" s="950" t="s">
        <v>378</v>
      </c>
      <c r="I545" s="951" t="s">
        <v>6069</v>
      </c>
      <c r="J545" s="947" t="s">
        <v>6070</v>
      </c>
      <c r="K545" s="143"/>
    </row>
    <row r="546" spans="1:11">
      <c r="A546" s="946" t="s">
        <v>28614</v>
      </c>
      <c r="B546" s="947" t="s">
        <v>6163</v>
      </c>
      <c r="C546" s="948" t="s">
        <v>6161</v>
      </c>
      <c r="D546" s="242" t="s">
        <v>28731</v>
      </c>
      <c r="E546" s="949">
        <v>104</v>
      </c>
      <c r="F546" s="949">
        <v>104</v>
      </c>
      <c r="G546" s="950" t="s">
        <v>7465</v>
      </c>
      <c r="H546" s="950" t="s">
        <v>378</v>
      </c>
      <c r="I546" s="951" t="s">
        <v>6162</v>
      </c>
      <c r="J546" s="947" t="s">
        <v>6163</v>
      </c>
      <c r="K546" s="143"/>
    </row>
    <row r="547" spans="1:11">
      <c r="A547" s="946" t="s">
        <v>28614</v>
      </c>
      <c r="B547" s="947" t="s">
        <v>6191</v>
      </c>
      <c r="C547" s="948" t="s">
        <v>6189</v>
      </c>
      <c r="D547" s="242" t="s">
        <v>28731</v>
      </c>
      <c r="E547" s="949">
        <v>104</v>
      </c>
      <c r="F547" s="949">
        <v>104</v>
      </c>
      <c r="G547" s="950" t="s">
        <v>7465</v>
      </c>
      <c r="H547" s="950" t="s">
        <v>378</v>
      </c>
      <c r="I547" s="951" t="s">
        <v>6190</v>
      </c>
      <c r="J547" s="947" t="s">
        <v>6191</v>
      </c>
      <c r="K547" s="143"/>
    </row>
    <row r="548" spans="1:11">
      <c r="A548" s="946" t="s">
        <v>28614</v>
      </c>
      <c r="B548" s="947" t="s">
        <v>6302</v>
      </c>
      <c r="C548" s="948" t="s">
        <v>6300</v>
      </c>
      <c r="D548" s="242" t="s">
        <v>28731</v>
      </c>
      <c r="E548" s="949">
        <v>104</v>
      </c>
      <c r="F548" s="949">
        <v>104</v>
      </c>
      <c r="G548" s="950" t="s">
        <v>7465</v>
      </c>
      <c r="H548" s="950" t="s">
        <v>378</v>
      </c>
      <c r="I548" s="951" t="s">
        <v>6301</v>
      </c>
      <c r="J548" s="947" t="s">
        <v>6302</v>
      </c>
      <c r="K548" s="143"/>
    </row>
    <row r="549" spans="1:11">
      <c r="A549" s="946" t="s">
        <v>28614</v>
      </c>
      <c r="B549" s="947" t="s">
        <v>6371</v>
      </c>
      <c r="C549" s="948" t="s">
        <v>6369</v>
      </c>
      <c r="D549" s="242" t="s">
        <v>28731</v>
      </c>
      <c r="E549" s="949">
        <v>104</v>
      </c>
      <c r="F549" s="949">
        <v>104</v>
      </c>
      <c r="G549" s="950" t="s">
        <v>7465</v>
      </c>
      <c r="H549" s="950" t="s">
        <v>378</v>
      </c>
      <c r="I549" s="951" t="s">
        <v>6370</v>
      </c>
      <c r="J549" s="947" t="s">
        <v>6371</v>
      </c>
      <c r="K549" s="143"/>
    </row>
    <row r="550" spans="1:11">
      <c r="A550" s="946" t="s">
        <v>28614</v>
      </c>
      <c r="B550" s="947" t="s">
        <v>6489</v>
      </c>
      <c r="C550" s="948" t="s">
        <v>6487</v>
      </c>
      <c r="D550" s="242" t="s">
        <v>28731</v>
      </c>
      <c r="E550" s="949">
        <v>104</v>
      </c>
      <c r="F550" s="949">
        <v>104</v>
      </c>
      <c r="G550" s="950" t="s">
        <v>7465</v>
      </c>
      <c r="H550" s="950" t="s">
        <v>378</v>
      </c>
      <c r="I550" s="951" t="s">
        <v>6488</v>
      </c>
      <c r="J550" s="947" t="s">
        <v>6489</v>
      </c>
      <c r="K550" s="143"/>
    </row>
    <row r="551" spans="1:11">
      <c r="A551" s="946" t="s">
        <v>28614</v>
      </c>
      <c r="B551" s="947" t="s">
        <v>6618</v>
      </c>
      <c r="C551" s="948" t="s">
        <v>6616</v>
      </c>
      <c r="D551" s="242" t="s">
        <v>28731</v>
      </c>
      <c r="E551" s="949">
        <v>104</v>
      </c>
      <c r="F551" s="949">
        <v>104</v>
      </c>
      <c r="G551" s="950" t="s">
        <v>7465</v>
      </c>
      <c r="H551" s="950" t="s">
        <v>378</v>
      </c>
      <c r="I551" s="951" t="s">
        <v>6617</v>
      </c>
      <c r="J551" s="947" t="s">
        <v>6618</v>
      </c>
      <c r="K551" s="143"/>
    </row>
    <row r="552" spans="1:11">
      <c r="A552" s="946" t="s">
        <v>28614</v>
      </c>
      <c r="B552" s="947" t="s">
        <v>7108</v>
      </c>
      <c r="C552" s="948" t="s">
        <v>7106</v>
      </c>
      <c r="D552" s="242" t="s">
        <v>28731</v>
      </c>
      <c r="E552" s="949">
        <v>104</v>
      </c>
      <c r="F552" s="949">
        <v>104</v>
      </c>
      <c r="G552" s="950" t="s">
        <v>7465</v>
      </c>
      <c r="H552" s="950" t="s">
        <v>378</v>
      </c>
      <c r="I552" s="951" t="s">
        <v>7107</v>
      </c>
      <c r="J552" s="947" t="s">
        <v>7108</v>
      </c>
      <c r="K552" s="143"/>
    </row>
    <row r="553" spans="1:11">
      <c r="A553" s="946" t="s">
        <v>28614</v>
      </c>
      <c r="B553" s="947" t="s">
        <v>7183</v>
      </c>
      <c r="C553" s="948" t="s">
        <v>7181</v>
      </c>
      <c r="D553" s="242" t="s">
        <v>28731</v>
      </c>
      <c r="E553" s="949">
        <v>104</v>
      </c>
      <c r="F553" s="949">
        <v>104</v>
      </c>
      <c r="G553" s="950" t="s">
        <v>7465</v>
      </c>
      <c r="H553" s="950" t="s">
        <v>378</v>
      </c>
      <c r="I553" s="951" t="s">
        <v>7182</v>
      </c>
      <c r="J553" s="947" t="s">
        <v>7183</v>
      </c>
      <c r="K553" s="143"/>
    </row>
    <row r="554" spans="1:11">
      <c r="A554" s="946" t="s">
        <v>28614</v>
      </c>
      <c r="B554" s="947" t="s">
        <v>7233</v>
      </c>
      <c r="C554" s="948" t="s">
        <v>7231</v>
      </c>
      <c r="D554" s="242" t="s">
        <v>28731</v>
      </c>
      <c r="E554" s="949">
        <v>104</v>
      </c>
      <c r="F554" s="949">
        <v>104</v>
      </c>
      <c r="G554" s="950" t="s">
        <v>7465</v>
      </c>
      <c r="H554" s="950" t="s">
        <v>378</v>
      </c>
      <c r="I554" s="951" t="s">
        <v>7232</v>
      </c>
      <c r="J554" s="947" t="s">
        <v>7233</v>
      </c>
      <c r="K554" s="143"/>
    </row>
    <row r="555" spans="1:11">
      <c r="A555" s="946" t="s">
        <v>28614</v>
      </c>
      <c r="B555" s="947" t="s">
        <v>7295</v>
      </c>
      <c r="C555" s="948" t="s">
        <v>7293</v>
      </c>
      <c r="D555" s="242" t="s">
        <v>28731</v>
      </c>
      <c r="E555" s="949">
        <v>104</v>
      </c>
      <c r="F555" s="949">
        <v>104</v>
      </c>
      <c r="G555" s="950" t="s">
        <v>7465</v>
      </c>
      <c r="H555" s="950" t="s">
        <v>378</v>
      </c>
      <c r="I555" s="951" t="s">
        <v>7294</v>
      </c>
      <c r="J555" s="947" t="s">
        <v>7295</v>
      </c>
      <c r="K555" s="143"/>
    </row>
    <row r="556" spans="1:11">
      <c r="A556" s="946" t="s">
        <v>28614</v>
      </c>
      <c r="B556" s="947" t="s">
        <v>7324</v>
      </c>
      <c r="C556" s="948" t="s">
        <v>7322</v>
      </c>
      <c r="D556" s="242" t="s">
        <v>28731</v>
      </c>
      <c r="E556" s="949">
        <v>104</v>
      </c>
      <c r="F556" s="949">
        <v>104</v>
      </c>
      <c r="G556" s="950" t="s">
        <v>7465</v>
      </c>
      <c r="H556" s="950" t="s">
        <v>378</v>
      </c>
      <c r="I556" s="951" t="s">
        <v>7323</v>
      </c>
      <c r="J556" s="947" t="s">
        <v>7324</v>
      </c>
      <c r="K556" s="143"/>
    </row>
    <row r="557" spans="1:11">
      <c r="A557" s="946" t="s">
        <v>28614</v>
      </c>
      <c r="B557" s="947" t="s">
        <v>7394</v>
      </c>
      <c r="C557" s="948" t="s">
        <v>7392</v>
      </c>
      <c r="D557" s="242" t="s">
        <v>28731</v>
      </c>
      <c r="E557" s="949">
        <v>104</v>
      </c>
      <c r="F557" s="949">
        <v>104</v>
      </c>
      <c r="G557" s="950" t="s">
        <v>7465</v>
      </c>
      <c r="H557" s="950" t="s">
        <v>378</v>
      </c>
      <c r="I557" s="951" t="s">
        <v>7393</v>
      </c>
      <c r="J557" s="947" t="s">
        <v>7394</v>
      </c>
      <c r="K557" s="143"/>
    </row>
    <row r="558" spans="1:11">
      <c r="A558" s="946" t="s">
        <v>28614</v>
      </c>
      <c r="B558" s="947" t="s">
        <v>7465</v>
      </c>
      <c r="C558" s="948" t="s">
        <v>7463</v>
      </c>
      <c r="D558" s="242" t="s">
        <v>28731</v>
      </c>
      <c r="E558" s="949">
        <v>104</v>
      </c>
      <c r="F558" s="949">
        <v>104</v>
      </c>
      <c r="G558" s="950" t="s">
        <v>7465</v>
      </c>
      <c r="H558" s="950" t="s">
        <v>378</v>
      </c>
      <c r="I558" s="951" t="s">
        <v>7464</v>
      </c>
      <c r="J558" s="947" t="s">
        <v>7465</v>
      </c>
      <c r="K558" s="143"/>
    </row>
    <row r="559" spans="1:11">
      <c r="A559" s="946" t="s">
        <v>28614</v>
      </c>
      <c r="B559" s="947" t="s">
        <v>7601</v>
      </c>
      <c r="C559" s="948" t="s">
        <v>7599</v>
      </c>
      <c r="D559" s="242" t="s">
        <v>28731</v>
      </c>
      <c r="E559" s="949">
        <v>104</v>
      </c>
      <c r="F559" s="949">
        <v>104</v>
      </c>
      <c r="G559" s="950" t="s">
        <v>7465</v>
      </c>
      <c r="H559" s="950" t="s">
        <v>378</v>
      </c>
      <c r="I559" s="951" t="s">
        <v>7600</v>
      </c>
      <c r="J559" s="947" t="s">
        <v>7601</v>
      </c>
      <c r="K559" s="143"/>
    </row>
    <row r="560" spans="1:11">
      <c r="A560" s="946" t="s">
        <v>28614</v>
      </c>
      <c r="B560" s="947" t="s">
        <v>7641</v>
      </c>
      <c r="C560" s="948" t="s">
        <v>7639</v>
      </c>
      <c r="D560" s="242" t="s">
        <v>28731</v>
      </c>
      <c r="E560" s="949">
        <v>104</v>
      </c>
      <c r="F560" s="949">
        <v>104</v>
      </c>
      <c r="G560" s="950" t="s">
        <v>7465</v>
      </c>
      <c r="H560" s="950" t="s">
        <v>378</v>
      </c>
      <c r="I560" s="951" t="s">
        <v>7640</v>
      </c>
      <c r="J560" s="947" t="s">
        <v>7641</v>
      </c>
      <c r="K560" s="143"/>
    </row>
    <row r="561" spans="1:11">
      <c r="A561" s="946" t="s">
        <v>28614</v>
      </c>
      <c r="B561" s="947" t="s">
        <v>7674</v>
      </c>
      <c r="C561" s="948" t="s">
        <v>7672</v>
      </c>
      <c r="D561" s="242" t="s">
        <v>28731</v>
      </c>
      <c r="E561" s="949">
        <v>104</v>
      </c>
      <c r="F561" s="949">
        <v>104</v>
      </c>
      <c r="G561" s="950" t="s">
        <v>7465</v>
      </c>
      <c r="H561" s="950" t="s">
        <v>378</v>
      </c>
      <c r="I561" s="951" t="s">
        <v>7673</v>
      </c>
      <c r="J561" s="947" t="s">
        <v>7674</v>
      </c>
      <c r="K561" s="143"/>
    </row>
    <row r="562" spans="1:11">
      <c r="A562" s="946" t="s">
        <v>28614</v>
      </c>
      <c r="B562" s="947" t="s">
        <v>7781</v>
      </c>
      <c r="C562" s="948" t="s">
        <v>7779</v>
      </c>
      <c r="D562" s="242" t="s">
        <v>28731</v>
      </c>
      <c r="E562" s="949">
        <v>104</v>
      </c>
      <c r="F562" s="949">
        <v>104</v>
      </c>
      <c r="G562" s="950" t="s">
        <v>7465</v>
      </c>
      <c r="H562" s="950" t="s">
        <v>378</v>
      </c>
      <c r="I562" s="951" t="s">
        <v>7780</v>
      </c>
      <c r="J562" s="947" t="s">
        <v>7781</v>
      </c>
      <c r="K562" s="143"/>
    </row>
    <row r="563" spans="1:11">
      <c r="A563" s="946" t="s">
        <v>28614</v>
      </c>
      <c r="B563" s="947" t="s">
        <v>7836</v>
      </c>
      <c r="C563" s="948" t="s">
        <v>7834</v>
      </c>
      <c r="D563" s="242" t="s">
        <v>28731</v>
      </c>
      <c r="E563" s="949">
        <v>104</v>
      </c>
      <c r="F563" s="949">
        <v>104</v>
      </c>
      <c r="G563" s="950" t="s">
        <v>7465</v>
      </c>
      <c r="H563" s="950" t="s">
        <v>378</v>
      </c>
      <c r="I563" s="951" t="s">
        <v>7835</v>
      </c>
      <c r="J563" s="947" t="s">
        <v>7836</v>
      </c>
      <c r="K563" s="143"/>
    </row>
    <row r="564" spans="1:11">
      <c r="A564" s="946" t="s">
        <v>28614</v>
      </c>
      <c r="B564" s="947" t="s">
        <v>7857</v>
      </c>
      <c r="C564" s="948" t="s">
        <v>7855</v>
      </c>
      <c r="D564" s="242" t="s">
        <v>28731</v>
      </c>
      <c r="E564" s="949">
        <v>104</v>
      </c>
      <c r="F564" s="949">
        <v>104</v>
      </c>
      <c r="G564" s="950" t="s">
        <v>7465</v>
      </c>
      <c r="H564" s="950" t="s">
        <v>378</v>
      </c>
      <c r="I564" s="951" t="s">
        <v>7856</v>
      </c>
      <c r="J564" s="947" t="s">
        <v>7857</v>
      </c>
      <c r="K564" s="143"/>
    </row>
    <row r="565" spans="1:11">
      <c r="A565" s="946" t="s">
        <v>28614</v>
      </c>
      <c r="B565" s="947" t="s">
        <v>7863</v>
      </c>
      <c r="C565" s="948" t="s">
        <v>7861</v>
      </c>
      <c r="D565" s="242" t="s">
        <v>28731</v>
      </c>
      <c r="E565" s="949">
        <v>104</v>
      </c>
      <c r="F565" s="949">
        <v>104</v>
      </c>
      <c r="G565" s="950" t="s">
        <v>7465</v>
      </c>
      <c r="H565" s="950" t="s">
        <v>378</v>
      </c>
      <c r="I565" s="951" t="s">
        <v>7862</v>
      </c>
      <c r="J565" s="947" t="s">
        <v>7863</v>
      </c>
      <c r="K565" s="143"/>
    </row>
    <row r="566" spans="1:11">
      <c r="A566" s="946" t="s">
        <v>28614</v>
      </c>
      <c r="B566" s="947" t="s">
        <v>8055</v>
      </c>
      <c r="C566" s="948" t="s">
        <v>8053</v>
      </c>
      <c r="D566" s="242" t="s">
        <v>28731</v>
      </c>
      <c r="E566" s="949">
        <v>104</v>
      </c>
      <c r="F566" s="949">
        <v>104</v>
      </c>
      <c r="G566" s="950" t="s">
        <v>7465</v>
      </c>
      <c r="H566" s="950" t="s">
        <v>378</v>
      </c>
      <c r="I566" s="951" t="s">
        <v>8054</v>
      </c>
      <c r="J566" s="947" t="s">
        <v>8055</v>
      </c>
      <c r="K566" s="143"/>
    </row>
    <row r="567" spans="1:11">
      <c r="A567" s="946" t="s">
        <v>28614</v>
      </c>
      <c r="B567" s="947" t="s">
        <v>8082</v>
      </c>
      <c r="C567" s="948" t="s">
        <v>8080</v>
      </c>
      <c r="D567" s="242" t="s">
        <v>28731</v>
      </c>
      <c r="E567" s="949">
        <v>104</v>
      </c>
      <c r="F567" s="949">
        <v>104</v>
      </c>
      <c r="G567" s="950" t="s">
        <v>7465</v>
      </c>
      <c r="H567" s="950" t="s">
        <v>378</v>
      </c>
      <c r="I567" s="951" t="s">
        <v>8081</v>
      </c>
      <c r="J567" s="947" t="s">
        <v>8082</v>
      </c>
      <c r="K567" s="143"/>
    </row>
    <row r="568" spans="1:11">
      <c r="A568" s="946" t="s">
        <v>28614</v>
      </c>
      <c r="B568" s="947" t="s">
        <v>8097</v>
      </c>
      <c r="C568" s="948" t="s">
        <v>8095</v>
      </c>
      <c r="D568" s="242" t="s">
        <v>28731</v>
      </c>
      <c r="E568" s="949">
        <v>104</v>
      </c>
      <c r="F568" s="949">
        <v>104</v>
      </c>
      <c r="G568" s="950" t="s">
        <v>7465</v>
      </c>
      <c r="H568" s="950" t="s">
        <v>378</v>
      </c>
      <c r="I568" s="951" t="s">
        <v>8096</v>
      </c>
      <c r="J568" s="947" t="s">
        <v>8097</v>
      </c>
      <c r="K568" s="143"/>
    </row>
    <row r="569" spans="1:11">
      <c r="A569" s="946" t="s">
        <v>28614</v>
      </c>
      <c r="B569" s="947" t="s">
        <v>8572</v>
      </c>
      <c r="C569" s="948" t="s">
        <v>8570</v>
      </c>
      <c r="D569" s="242" t="s">
        <v>28731</v>
      </c>
      <c r="E569" s="949">
        <v>104</v>
      </c>
      <c r="F569" s="949">
        <v>104</v>
      </c>
      <c r="G569" s="950" t="s">
        <v>7465</v>
      </c>
      <c r="H569" s="950" t="s">
        <v>378</v>
      </c>
      <c r="I569" s="951" t="s">
        <v>8571</v>
      </c>
      <c r="J569" s="947" t="s">
        <v>8572</v>
      </c>
      <c r="K569" s="143"/>
    </row>
    <row r="570" spans="1:11">
      <c r="A570" s="946" t="s">
        <v>28614</v>
      </c>
      <c r="B570" s="947" t="s">
        <v>8590</v>
      </c>
      <c r="C570" s="948" t="s">
        <v>8588</v>
      </c>
      <c r="D570" s="242" t="s">
        <v>28731</v>
      </c>
      <c r="E570" s="949">
        <v>104</v>
      </c>
      <c r="F570" s="949">
        <v>104</v>
      </c>
      <c r="G570" s="950" t="s">
        <v>7465</v>
      </c>
      <c r="H570" s="950" t="s">
        <v>378</v>
      </c>
      <c r="I570" s="951" t="s">
        <v>8589</v>
      </c>
      <c r="J570" s="947" t="s">
        <v>8590</v>
      </c>
      <c r="K570" s="143"/>
    </row>
    <row r="571" spans="1:11">
      <c r="A571" s="946" t="s">
        <v>28614</v>
      </c>
      <c r="B571" s="947" t="s">
        <v>8593</v>
      </c>
      <c r="C571" s="948" t="s">
        <v>8591</v>
      </c>
      <c r="D571" s="242" t="s">
        <v>28731</v>
      </c>
      <c r="E571" s="949">
        <v>104</v>
      </c>
      <c r="F571" s="949">
        <v>104</v>
      </c>
      <c r="G571" s="950" t="s">
        <v>7465</v>
      </c>
      <c r="H571" s="950" t="s">
        <v>378</v>
      </c>
      <c r="I571" s="951" t="s">
        <v>8592</v>
      </c>
      <c r="J571" s="947" t="s">
        <v>8593</v>
      </c>
      <c r="K571" s="143"/>
    </row>
    <row r="572" spans="1:11">
      <c r="A572" s="946" t="s">
        <v>28614</v>
      </c>
      <c r="B572" s="947" t="s">
        <v>8671</v>
      </c>
      <c r="C572" s="948" t="s">
        <v>8669</v>
      </c>
      <c r="D572" s="242" t="s">
        <v>28731</v>
      </c>
      <c r="E572" s="949">
        <v>104</v>
      </c>
      <c r="F572" s="949">
        <v>104</v>
      </c>
      <c r="G572" s="950" t="s">
        <v>7465</v>
      </c>
      <c r="H572" s="950" t="s">
        <v>378</v>
      </c>
      <c r="I572" s="951" t="s">
        <v>8670</v>
      </c>
      <c r="J572" s="947" t="s">
        <v>8671</v>
      </c>
      <c r="K572" s="143"/>
    </row>
    <row r="573" spans="1:11">
      <c r="A573" s="946" t="s">
        <v>28614</v>
      </c>
      <c r="B573" s="947" t="s">
        <v>8838</v>
      </c>
      <c r="C573" s="948" t="s">
        <v>8836</v>
      </c>
      <c r="D573" s="242" t="s">
        <v>28731</v>
      </c>
      <c r="E573" s="949">
        <v>104</v>
      </c>
      <c r="F573" s="949">
        <v>104</v>
      </c>
      <c r="G573" s="950" t="s">
        <v>7465</v>
      </c>
      <c r="H573" s="950" t="s">
        <v>378</v>
      </c>
      <c r="I573" s="951" t="s">
        <v>8837</v>
      </c>
      <c r="J573" s="947" t="s">
        <v>8838</v>
      </c>
      <c r="K573" s="143"/>
    </row>
    <row r="574" spans="1:11">
      <c r="A574" s="946" t="s">
        <v>28614</v>
      </c>
      <c r="B574" s="947" t="s">
        <v>8929</v>
      </c>
      <c r="C574" s="948" t="s">
        <v>8927</v>
      </c>
      <c r="D574" s="242" t="s">
        <v>28731</v>
      </c>
      <c r="E574" s="949">
        <v>104</v>
      </c>
      <c r="F574" s="949">
        <v>104</v>
      </c>
      <c r="G574" s="950" t="s">
        <v>7465</v>
      </c>
      <c r="H574" s="950" t="s">
        <v>378</v>
      </c>
      <c r="I574" s="951" t="s">
        <v>8928</v>
      </c>
      <c r="J574" s="947" t="s">
        <v>8929</v>
      </c>
      <c r="K574" s="143"/>
    </row>
    <row r="575" spans="1:11">
      <c r="A575" s="946" t="s">
        <v>28614</v>
      </c>
      <c r="B575" s="947" t="s">
        <v>8986</v>
      </c>
      <c r="C575" s="948" t="s">
        <v>8984</v>
      </c>
      <c r="D575" s="242" t="s">
        <v>28731</v>
      </c>
      <c r="E575" s="949">
        <v>104</v>
      </c>
      <c r="F575" s="949">
        <v>104</v>
      </c>
      <c r="G575" s="950" t="s">
        <v>7465</v>
      </c>
      <c r="H575" s="950" t="s">
        <v>378</v>
      </c>
      <c r="I575" s="951" t="s">
        <v>8985</v>
      </c>
      <c r="J575" s="947" t="s">
        <v>8986</v>
      </c>
      <c r="K575" s="143"/>
    </row>
    <row r="576" spans="1:11">
      <c r="A576" s="946" t="s">
        <v>28614</v>
      </c>
      <c r="B576" s="947" t="s">
        <v>9094</v>
      </c>
      <c r="C576" s="948" t="s">
        <v>9092</v>
      </c>
      <c r="D576" s="242" t="s">
        <v>28731</v>
      </c>
      <c r="E576" s="949">
        <v>104</v>
      </c>
      <c r="F576" s="949">
        <v>104</v>
      </c>
      <c r="G576" s="950" t="s">
        <v>7465</v>
      </c>
      <c r="H576" s="950" t="s">
        <v>378</v>
      </c>
      <c r="I576" s="951" t="s">
        <v>9093</v>
      </c>
      <c r="J576" s="947" t="s">
        <v>9094</v>
      </c>
      <c r="K576" s="143"/>
    </row>
    <row r="577" spans="1:11">
      <c r="A577" s="946" t="s">
        <v>28614</v>
      </c>
      <c r="B577" s="947" t="s">
        <v>9404</v>
      </c>
      <c r="C577" s="948" t="s">
        <v>9402</v>
      </c>
      <c r="D577" s="242" t="s">
        <v>28731</v>
      </c>
      <c r="E577" s="949">
        <v>104</v>
      </c>
      <c r="F577" s="949">
        <v>104</v>
      </c>
      <c r="G577" s="950" t="s">
        <v>7465</v>
      </c>
      <c r="H577" s="950" t="s">
        <v>378</v>
      </c>
      <c r="I577" s="951" t="s">
        <v>9403</v>
      </c>
      <c r="J577" s="947" t="s">
        <v>9404</v>
      </c>
      <c r="K577" s="143"/>
    </row>
    <row r="578" spans="1:11">
      <c r="A578" s="946" t="s">
        <v>28614</v>
      </c>
      <c r="B578" s="947" t="s">
        <v>9413</v>
      </c>
      <c r="C578" s="948" t="s">
        <v>9411</v>
      </c>
      <c r="D578" s="242" t="s">
        <v>28731</v>
      </c>
      <c r="E578" s="949">
        <v>104</v>
      </c>
      <c r="F578" s="949">
        <v>104</v>
      </c>
      <c r="G578" s="950" t="s">
        <v>7465</v>
      </c>
      <c r="H578" s="950" t="s">
        <v>378</v>
      </c>
      <c r="I578" s="951" t="s">
        <v>9412</v>
      </c>
      <c r="J578" s="947" t="s">
        <v>9413</v>
      </c>
      <c r="K578" s="143"/>
    </row>
    <row r="579" spans="1:11">
      <c r="A579" s="946" t="s">
        <v>28614</v>
      </c>
      <c r="B579" s="947" t="s">
        <v>9419</v>
      </c>
      <c r="C579" s="948" t="s">
        <v>9417</v>
      </c>
      <c r="D579" s="242" t="s">
        <v>28731</v>
      </c>
      <c r="E579" s="949">
        <v>104</v>
      </c>
      <c r="F579" s="949">
        <v>104</v>
      </c>
      <c r="G579" s="950" t="s">
        <v>7465</v>
      </c>
      <c r="H579" s="950" t="s">
        <v>378</v>
      </c>
      <c r="I579" s="951" t="s">
        <v>9418</v>
      </c>
      <c r="J579" s="947" t="s">
        <v>9419</v>
      </c>
      <c r="K579" s="143"/>
    </row>
    <row r="580" spans="1:11">
      <c r="A580" s="946" t="s">
        <v>28614</v>
      </c>
      <c r="B580" s="947" t="s">
        <v>9558</v>
      </c>
      <c r="C580" s="948" t="s">
        <v>9556</v>
      </c>
      <c r="D580" s="242" t="s">
        <v>28731</v>
      </c>
      <c r="E580" s="949">
        <v>104</v>
      </c>
      <c r="F580" s="949">
        <v>104</v>
      </c>
      <c r="G580" s="950" t="s">
        <v>7465</v>
      </c>
      <c r="H580" s="950" t="s">
        <v>378</v>
      </c>
      <c r="I580" s="951" t="s">
        <v>9557</v>
      </c>
      <c r="J580" s="947" t="s">
        <v>9558</v>
      </c>
      <c r="K580" s="143"/>
    </row>
    <row r="581" spans="1:11">
      <c r="A581" s="946" t="s">
        <v>28614</v>
      </c>
      <c r="B581" s="947" t="s">
        <v>9723</v>
      </c>
      <c r="C581" s="948" t="s">
        <v>9721</v>
      </c>
      <c r="D581" s="242" t="s">
        <v>28731</v>
      </c>
      <c r="E581" s="949">
        <v>104</v>
      </c>
      <c r="F581" s="949">
        <v>104</v>
      </c>
      <c r="G581" s="950" t="s">
        <v>7465</v>
      </c>
      <c r="H581" s="950" t="s">
        <v>378</v>
      </c>
      <c r="I581" s="951" t="s">
        <v>9722</v>
      </c>
      <c r="J581" s="947" t="s">
        <v>9723</v>
      </c>
      <c r="K581" s="143"/>
    </row>
    <row r="582" spans="1:11">
      <c r="A582" s="946" t="s">
        <v>28614</v>
      </c>
      <c r="B582" s="947" t="s">
        <v>9768</v>
      </c>
      <c r="C582" s="948" t="s">
        <v>9766</v>
      </c>
      <c r="D582" s="242" t="s">
        <v>28731</v>
      </c>
      <c r="E582" s="949">
        <v>104</v>
      </c>
      <c r="F582" s="949">
        <v>104</v>
      </c>
      <c r="G582" s="950" t="s">
        <v>7465</v>
      </c>
      <c r="H582" s="950" t="s">
        <v>378</v>
      </c>
      <c r="I582" s="951" t="s">
        <v>9767</v>
      </c>
      <c r="J582" s="947" t="s">
        <v>9768</v>
      </c>
      <c r="K582" s="143"/>
    </row>
    <row r="583" spans="1:11">
      <c r="A583" s="946" t="s">
        <v>28614</v>
      </c>
      <c r="B583" s="947" t="s">
        <v>9844</v>
      </c>
      <c r="C583" s="948" t="s">
        <v>9842</v>
      </c>
      <c r="D583" s="242" t="s">
        <v>28731</v>
      </c>
      <c r="E583" s="949">
        <v>104</v>
      </c>
      <c r="F583" s="949">
        <v>104</v>
      </c>
      <c r="G583" s="950" t="s">
        <v>7465</v>
      </c>
      <c r="H583" s="950" t="s">
        <v>378</v>
      </c>
      <c r="I583" s="951" t="s">
        <v>9843</v>
      </c>
      <c r="J583" s="947" t="s">
        <v>9844</v>
      </c>
      <c r="K583" s="143"/>
    </row>
    <row r="584" spans="1:11">
      <c r="A584" s="946" t="s">
        <v>28614</v>
      </c>
      <c r="B584" s="947" t="s">
        <v>10051</v>
      </c>
      <c r="C584" s="948" t="s">
        <v>10049</v>
      </c>
      <c r="D584" s="242" t="s">
        <v>28731</v>
      </c>
      <c r="E584" s="949">
        <v>104</v>
      </c>
      <c r="F584" s="949">
        <v>104</v>
      </c>
      <c r="G584" s="950" t="s">
        <v>7465</v>
      </c>
      <c r="H584" s="950" t="s">
        <v>378</v>
      </c>
      <c r="I584" s="951" t="s">
        <v>10050</v>
      </c>
      <c r="J584" s="947" t="s">
        <v>10051</v>
      </c>
      <c r="K584" s="143"/>
    </row>
    <row r="585" spans="1:11">
      <c r="A585" s="946" t="s">
        <v>28614</v>
      </c>
      <c r="B585" s="947" t="s">
        <v>10003</v>
      </c>
      <c r="C585" s="948" t="s">
        <v>10001</v>
      </c>
      <c r="D585" s="242" t="s">
        <v>28731</v>
      </c>
      <c r="E585" s="949">
        <v>104</v>
      </c>
      <c r="F585" s="949">
        <v>104</v>
      </c>
      <c r="G585" s="950" t="s">
        <v>7465</v>
      </c>
      <c r="H585" s="950" t="s">
        <v>378</v>
      </c>
      <c r="I585" s="951" t="s">
        <v>10002</v>
      </c>
      <c r="J585" s="947" t="s">
        <v>10003</v>
      </c>
      <c r="K585" s="143"/>
    </row>
    <row r="586" spans="1:11">
      <c r="A586" s="946" t="s">
        <v>28614</v>
      </c>
      <c r="B586" s="947" t="s">
        <v>10326</v>
      </c>
      <c r="C586" s="948" t="s">
        <v>10324</v>
      </c>
      <c r="D586" s="242" t="s">
        <v>28731</v>
      </c>
      <c r="E586" s="949">
        <v>104</v>
      </c>
      <c r="F586" s="949">
        <v>104</v>
      </c>
      <c r="G586" s="950" t="s">
        <v>7465</v>
      </c>
      <c r="H586" s="950" t="s">
        <v>378</v>
      </c>
      <c r="I586" s="951" t="s">
        <v>10325</v>
      </c>
      <c r="J586" s="947" t="s">
        <v>10326</v>
      </c>
      <c r="K586" s="143"/>
    </row>
    <row r="587" spans="1:11">
      <c r="A587" s="946" t="s">
        <v>28614</v>
      </c>
      <c r="B587" s="947" t="s">
        <v>10329</v>
      </c>
      <c r="C587" s="948" t="s">
        <v>10327</v>
      </c>
      <c r="D587" s="242" t="s">
        <v>28731</v>
      </c>
      <c r="E587" s="949">
        <v>104</v>
      </c>
      <c r="F587" s="949">
        <v>104</v>
      </c>
      <c r="G587" s="950" t="s">
        <v>7465</v>
      </c>
      <c r="H587" s="950" t="s">
        <v>378</v>
      </c>
      <c r="I587" s="951" t="s">
        <v>10328</v>
      </c>
      <c r="J587" s="947" t="s">
        <v>10329</v>
      </c>
      <c r="K587" s="143"/>
    </row>
    <row r="588" spans="1:11">
      <c r="A588" s="946" t="s">
        <v>28614</v>
      </c>
      <c r="B588" s="947" t="s">
        <v>10344</v>
      </c>
      <c r="C588" s="948" t="s">
        <v>10342</v>
      </c>
      <c r="D588" s="242" t="s">
        <v>28731</v>
      </c>
      <c r="E588" s="949">
        <v>104</v>
      </c>
      <c r="F588" s="949">
        <v>104</v>
      </c>
      <c r="G588" s="950" t="s">
        <v>7465</v>
      </c>
      <c r="H588" s="950" t="s">
        <v>378</v>
      </c>
      <c r="I588" s="951" t="s">
        <v>10343</v>
      </c>
      <c r="J588" s="947" t="s">
        <v>10344</v>
      </c>
      <c r="K588" s="143"/>
    </row>
    <row r="589" spans="1:11">
      <c r="A589" s="946" t="s">
        <v>28614</v>
      </c>
      <c r="B589" s="947" t="s">
        <v>10387</v>
      </c>
      <c r="C589" s="948" t="s">
        <v>10385</v>
      </c>
      <c r="D589" s="242" t="s">
        <v>28731</v>
      </c>
      <c r="E589" s="949">
        <v>104</v>
      </c>
      <c r="F589" s="949">
        <v>104</v>
      </c>
      <c r="G589" s="950" t="s">
        <v>7465</v>
      </c>
      <c r="H589" s="950" t="s">
        <v>378</v>
      </c>
      <c r="I589" s="951" t="s">
        <v>10386</v>
      </c>
      <c r="J589" s="947" t="s">
        <v>10387</v>
      </c>
      <c r="K589" s="143"/>
    </row>
    <row r="590" spans="1:11">
      <c r="A590" s="946" t="s">
        <v>28614</v>
      </c>
      <c r="B590" s="947" t="s">
        <v>10448</v>
      </c>
      <c r="C590" s="948" t="s">
        <v>10446</v>
      </c>
      <c r="D590" s="242" t="s">
        <v>28731</v>
      </c>
      <c r="E590" s="949">
        <v>104</v>
      </c>
      <c r="F590" s="949">
        <v>104</v>
      </c>
      <c r="G590" s="950" t="s">
        <v>7465</v>
      </c>
      <c r="H590" s="950" t="s">
        <v>378</v>
      </c>
      <c r="I590" s="951" t="s">
        <v>10447</v>
      </c>
      <c r="J590" s="947" t="s">
        <v>10448</v>
      </c>
      <c r="K590" s="143"/>
    </row>
    <row r="591" spans="1:11">
      <c r="A591" s="946" t="s">
        <v>28614</v>
      </c>
      <c r="B591" s="947" t="s">
        <v>10481</v>
      </c>
      <c r="C591" s="948" t="s">
        <v>10479</v>
      </c>
      <c r="D591" s="242" t="s">
        <v>28731</v>
      </c>
      <c r="E591" s="949">
        <v>104</v>
      </c>
      <c r="F591" s="949">
        <v>104</v>
      </c>
      <c r="G591" s="950" t="s">
        <v>7465</v>
      </c>
      <c r="H591" s="950" t="s">
        <v>378</v>
      </c>
      <c r="I591" s="951" t="s">
        <v>10480</v>
      </c>
      <c r="J591" s="947" t="s">
        <v>10481</v>
      </c>
      <c r="K591" s="143"/>
    </row>
    <row r="592" spans="1:11">
      <c r="A592" s="946" t="s">
        <v>28614</v>
      </c>
      <c r="B592" s="947" t="s">
        <v>10833</v>
      </c>
      <c r="C592" s="948" t="s">
        <v>10831</v>
      </c>
      <c r="D592" s="242" t="s">
        <v>28731</v>
      </c>
      <c r="E592" s="949">
        <v>104</v>
      </c>
      <c r="F592" s="949">
        <v>104</v>
      </c>
      <c r="G592" s="950" t="s">
        <v>7465</v>
      </c>
      <c r="H592" s="950" t="s">
        <v>378</v>
      </c>
      <c r="I592" s="951" t="s">
        <v>10832</v>
      </c>
      <c r="J592" s="947" t="s">
        <v>10833</v>
      </c>
      <c r="K592" s="143"/>
    </row>
    <row r="593" spans="1:11">
      <c r="A593" s="946" t="s">
        <v>28614</v>
      </c>
      <c r="B593" s="947" t="s">
        <v>10876</v>
      </c>
      <c r="C593" s="948" t="s">
        <v>10874</v>
      </c>
      <c r="D593" s="242" t="s">
        <v>28731</v>
      </c>
      <c r="E593" s="949">
        <v>104</v>
      </c>
      <c r="F593" s="949">
        <v>104</v>
      </c>
      <c r="G593" s="950" t="s">
        <v>7465</v>
      </c>
      <c r="H593" s="950" t="s">
        <v>378</v>
      </c>
      <c r="I593" s="951" t="s">
        <v>10875</v>
      </c>
      <c r="J593" s="947" t="s">
        <v>10876</v>
      </c>
      <c r="K593" s="143"/>
    </row>
    <row r="594" spans="1:11">
      <c r="A594" s="946" t="s">
        <v>28614</v>
      </c>
      <c r="B594" s="947" t="s">
        <v>10879</v>
      </c>
      <c r="C594" s="948" t="s">
        <v>10877</v>
      </c>
      <c r="D594" s="242" t="s">
        <v>28731</v>
      </c>
      <c r="E594" s="949">
        <v>104</v>
      </c>
      <c r="F594" s="949">
        <v>104</v>
      </c>
      <c r="G594" s="950" t="s">
        <v>7465</v>
      </c>
      <c r="H594" s="950" t="s">
        <v>378</v>
      </c>
      <c r="I594" s="951" t="s">
        <v>10878</v>
      </c>
      <c r="J594" s="947" t="s">
        <v>10879</v>
      </c>
      <c r="K594" s="143"/>
    </row>
    <row r="595" spans="1:11">
      <c r="A595" s="946" t="s">
        <v>28614</v>
      </c>
      <c r="B595" s="947" t="s">
        <v>11048</v>
      </c>
      <c r="C595" s="948" t="s">
        <v>11046</v>
      </c>
      <c r="D595" s="242" t="s">
        <v>28731</v>
      </c>
      <c r="E595" s="949">
        <v>104</v>
      </c>
      <c r="F595" s="949">
        <v>104</v>
      </c>
      <c r="G595" s="950" t="s">
        <v>7465</v>
      </c>
      <c r="H595" s="950" t="s">
        <v>378</v>
      </c>
      <c r="I595" s="951" t="s">
        <v>11047</v>
      </c>
      <c r="J595" s="947" t="s">
        <v>11048</v>
      </c>
      <c r="K595" s="143"/>
    </row>
    <row r="596" spans="1:11">
      <c r="A596" s="946" t="s">
        <v>28614</v>
      </c>
      <c r="B596" s="947" t="s">
        <v>11069</v>
      </c>
      <c r="C596" s="948" t="s">
        <v>11067</v>
      </c>
      <c r="D596" s="242" t="s">
        <v>28731</v>
      </c>
      <c r="E596" s="949">
        <v>104</v>
      </c>
      <c r="F596" s="949">
        <v>104</v>
      </c>
      <c r="G596" s="950" t="s">
        <v>7465</v>
      </c>
      <c r="H596" s="950" t="s">
        <v>378</v>
      </c>
      <c r="I596" s="951" t="s">
        <v>11068</v>
      </c>
      <c r="J596" s="947" t="s">
        <v>11069</v>
      </c>
      <c r="K596" s="143"/>
    </row>
    <row r="597" spans="1:11">
      <c r="A597" s="946" t="s">
        <v>28614</v>
      </c>
      <c r="B597" s="947" t="s">
        <v>11174</v>
      </c>
      <c r="C597" s="948" t="s">
        <v>11172</v>
      </c>
      <c r="D597" s="242" t="s">
        <v>28731</v>
      </c>
      <c r="E597" s="949">
        <v>104</v>
      </c>
      <c r="F597" s="949">
        <v>104</v>
      </c>
      <c r="G597" s="950" t="s">
        <v>7465</v>
      </c>
      <c r="H597" s="950" t="s">
        <v>378</v>
      </c>
      <c r="I597" s="951" t="s">
        <v>11173</v>
      </c>
      <c r="J597" s="947" t="s">
        <v>11174</v>
      </c>
      <c r="K597" s="143"/>
    </row>
    <row r="598" spans="1:11">
      <c r="A598" s="946" t="s">
        <v>28614</v>
      </c>
      <c r="B598" s="947" t="s">
        <v>11186</v>
      </c>
      <c r="C598" s="948" t="s">
        <v>11184</v>
      </c>
      <c r="D598" s="242" t="s">
        <v>28731</v>
      </c>
      <c r="E598" s="949">
        <v>104</v>
      </c>
      <c r="F598" s="949">
        <v>104</v>
      </c>
      <c r="G598" s="950" t="s">
        <v>7465</v>
      </c>
      <c r="H598" s="950" t="s">
        <v>378</v>
      </c>
      <c r="I598" s="951" t="s">
        <v>11185</v>
      </c>
      <c r="J598" s="947" t="s">
        <v>11186</v>
      </c>
      <c r="K598" s="143"/>
    </row>
    <row r="599" spans="1:11">
      <c r="A599" s="946" t="s">
        <v>28614</v>
      </c>
      <c r="B599" s="947" t="s">
        <v>11231</v>
      </c>
      <c r="C599" s="948" t="s">
        <v>11229</v>
      </c>
      <c r="D599" s="242" t="s">
        <v>28731</v>
      </c>
      <c r="E599" s="949">
        <v>104</v>
      </c>
      <c r="F599" s="949">
        <v>104</v>
      </c>
      <c r="G599" s="950" t="s">
        <v>7465</v>
      </c>
      <c r="H599" s="950" t="s">
        <v>378</v>
      </c>
      <c r="I599" s="951" t="s">
        <v>11230</v>
      </c>
      <c r="J599" s="947" t="s">
        <v>11231</v>
      </c>
      <c r="K599" s="143"/>
    </row>
    <row r="600" spans="1:11">
      <c r="A600" s="946" t="s">
        <v>28614</v>
      </c>
      <c r="B600" s="947" t="s">
        <v>11248</v>
      </c>
      <c r="C600" s="948" t="s">
        <v>11246</v>
      </c>
      <c r="D600" s="242" t="s">
        <v>28731</v>
      </c>
      <c r="E600" s="949">
        <v>104</v>
      </c>
      <c r="F600" s="949">
        <v>104</v>
      </c>
      <c r="G600" s="950" t="s">
        <v>7465</v>
      </c>
      <c r="H600" s="950" t="s">
        <v>378</v>
      </c>
      <c r="I600" s="951" t="s">
        <v>11247</v>
      </c>
      <c r="J600" s="947" t="s">
        <v>11248</v>
      </c>
      <c r="K600" s="143"/>
    </row>
    <row r="601" spans="1:11">
      <c r="A601" s="946" t="s">
        <v>28614</v>
      </c>
      <c r="B601" s="947" t="s">
        <v>11288</v>
      </c>
      <c r="C601" s="948" t="s">
        <v>11286</v>
      </c>
      <c r="D601" s="242" t="s">
        <v>28731</v>
      </c>
      <c r="E601" s="949">
        <v>104</v>
      </c>
      <c r="F601" s="949">
        <v>104</v>
      </c>
      <c r="G601" s="950" t="s">
        <v>7465</v>
      </c>
      <c r="H601" s="950" t="s">
        <v>378</v>
      </c>
      <c r="I601" s="951" t="s">
        <v>11287</v>
      </c>
      <c r="J601" s="947" t="s">
        <v>11288</v>
      </c>
      <c r="K601" s="143"/>
    </row>
    <row r="602" spans="1:11">
      <c r="A602" s="946" t="s">
        <v>28614</v>
      </c>
      <c r="B602" s="947" t="s">
        <v>11575</v>
      </c>
      <c r="C602" s="948" t="s">
        <v>11573</v>
      </c>
      <c r="D602" s="242" t="s">
        <v>28731</v>
      </c>
      <c r="E602" s="949">
        <v>104</v>
      </c>
      <c r="F602" s="949">
        <v>104</v>
      </c>
      <c r="G602" s="950" t="s">
        <v>7465</v>
      </c>
      <c r="H602" s="950" t="s">
        <v>378</v>
      </c>
      <c r="I602" s="951" t="s">
        <v>11574</v>
      </c>
      <c r="J602" s="947" t="s">
        <v>11575</v>
      </c>
      <c r="K602" s="143"/>
    </row>
    <row r="603" spans="1:11">
      <c r="A603" s="946" t="s">
        <v>28614</v>
      </c>
      <c r="B603" s="947" t="s">
        <v>11922</v>
      </c>
      <c r="C603" s="948" t="s">
        <v>11920</v>
      </c>
      <c r="D603" s="242" t="s">
        <v>28731</v>
      </c>
      <c r="E603" s="949">
        <v>104</v>
      </c>
      <c r="F603" s="949">
        <v>104</v>
      </c>
      <c r="G603" s="950" t="s">
        <v>7465</v>
      </c>
      <c r="H603" s="950" t="s">
        <v>378</v>
      </c>
      <c r="I603" s="951" t="s">
        <v>11921</v>
      </c>
      <c r="J603" s="947" t="s">
        <v>11922</v>
      </c>
      <c r="K603" s="143"/>
    </row>
    <row r="604" spans="1:11">
      <c r="A604" s="946" t="s">
        <v>28614</v>
      </c>
      <c r="B604" s="947" t="s">
        <v>11976</v>
      </c>
      <c r="C604" s="948" t="s">
        <v>11974</v>
      </c>
      <c r="D604" s="242" t="s">
        <v>28731</v>
      </c>
      <c r="E604" s="949">
        <v>104</v>
      </c>
      <c r="F604" s="949">
        <v>104</v>
      </c>
      <c r="G604" s="950" t="s">
        <v>7465</v>
      </c>
      <c r="H604" s="950" t="s">
        <v>378</v>
      </c>
      <c r="I604" s="951" t="s">
        <v>11975</v>
      </c>
      <c r="J604" s="947" t="s">
        <v>11976</v>
      </c>
      <c r="K604" s="143"/>
    </row>
    <row r="605" spans="1:11">
      <c r="A605" s="946" t="s">
        <v>28614</v>
      </c>
      <c r="B605" s="947" t="s">
        <v>11985</v>
      </c>
      <c r="C605" s="948" t="s">
        <v>11983</v>
      </c>
      <c r="D605" s="242" t="s">
        <v>28731</v>
      </c>
      <c r="E605" s="949">
        <v>104</v>
      </c>
      <c r="F605" s="949">
        <v>104</v>
      </c>
      <c r="G605" s="950" t="s">
        <v>7465</v>
      </c>
      <c r="H605" s="950" t="s">
        <v>378</v>
      </c>
      <c r="I605" s="951" t="s">
        <v>11984</v>
      </c>
      <c r="J605" s="947" t="s">
        <v>11985</v>
      </c>
      <c r="K605" s="143"/>
    </row>
    <row r="606" spans="1:11">
      <c r="A606" s="946" t="s">
        <v>28614</v>
      </c>
      <c r="B606" s="947" t="s">
        <v>12024</v>
      </c>
      <c r="C606" s="948" t="s">
        <v>12022</v>
      </c>
      <c r="D606" s="242" t="s">
        <v>28731</v>
      </c>
      <c r="E606" s="949">
        <v>104</v>
      </c>
      <c r="F606" s="949">
        <v>104</v>
      </c>
      <c r="G606" s="950" t="s">
        <v>7465</v>
      </c>
      <c r="H606" s="950" t="s">
        <v>378</v>
      </c>
      <c r="I606" s="951" t="s">
        <v>12023</v>
      </c>
      <c r="J606" s="947" t="s">
        <v>12024</v>
      </c>
      <c r="K606" s="143"/>
    </row>
    <row r="607" spans="1:11">
      <c r="A607" s="946" t="s">
        <v>28614</v>
      </c>
      <c r="B607" s="947" t="s">
        <v>12027</v>
      </c>
      <c r="C607" s="948" t="s">
        <v>12025</v>
      </c>
      <c r="D607" s="242" t="s">
        <v>28731</v>
      </c>
      <c r="E607" s="949">
        <v>104</v>
      </c>
      <c r="F607" s="949">
        <v>104</v>
      </c>
      <c r="G607" s="950" t="s">
        <v>7465</v>
      </c>
      <c r="H607" s="950" t="s">
        <v>378</v>
      </c>
      <c r="I607" s="951" t="s">
        <v>12026</v>
      </c>
      <c r="J607" s="947" t="s">
        <v>12027</v>
      </c>
      <c r="K607" s="143"/>
    </row>
    <row r="608" spans="1:11">
      <c r="A608" s="946" t="s">
        <v>28614</v>
      </c>
      <c r="B608" s="947" t="s">
        <v>12033</v>
      </c>
      <c r="C608" s="948" t="s">
        <v>12031</v>
      </c>
      <c r="D608" s="242" t="s">
        <v>28731</v>
      </c>
      <c r="E608" s="949">
        <v>104</v>
      </c>
      <c r="F608" s="949">
        <v>104</v>
      </c>
      <c r="G608" s="950" t="s">
        <v>7465</v>
      </c>
      <c r="H608" s="950" t="s">
        <v>378</v>
      </c>
      <c r="I608" s="951" t="s">
        <v>12032</v>
      </c>
      <c r="J608" s="947" t="s">
        <v>12033</v>
      </c>
      <c r="K608" s="143"/>
    </row>
    <row r="609" spans="1:11">
      <c r="A609" s="946" t="s">
        <v>28614</v>
      </c>
      <c r="B609" s="947" t="s">
        <v>12052</v>
      </c>
      <c r="C609" s="948" t="s">
        <v>12050</v>
      </c>
      <c r="D609" s="242" t="s">
        <v>28731</v>
      </c>
      <c r="E609" s="949">
        <v>104</v>
      </c>
      <c r="F609" s="949">
        <v>104</v>
      </c>
      <c r="G609" s="950" t="s">
        <v>7465</v>
      </c>
      <c r="H609" s="950" t="s">
        <v>378</v>
      </c>
      <c r="I609" s="951" t="s">
        <v>12051</v>
      </c>
      <c r="J609" s="947" t="s">
        <v>12052</v>
      </c>
      <c r="K609" s="143"/>
    </row>
    <row r="610" spans="1:11">
      <c r="A610" s="946" t="s">
        <v>28614</v>
      </c>
      <c r="B610" s="947" t="s">
        <v>12073</v>
      </c>
      <c r="C610" s="948" t="s">
        <v>12071</v>
      </c>
      <c r="D610" s="242" t="s">
        <v>28731</v>
      </c>
      <c r="E610" s="949">
        <v>104</v>
      </c>
      <c r="F610" s="949">
        <v>104</v>
      </c>
      <c r="G610" s="950" t="s">
        <v>7465</v>
      </c>
      <c r="H610" s="950" t="s">
        <v>378</v>
      </c>
      <c r="I610" s="951" t="s">
        <v>12072</v>
      </c>
      <c r="J610" s="947" t="s">
        <v>12073</v>
      </c>
      <c r="K610" s="143"/>
    </row>
    <row r="611" spans="1:11">
      <c r="A611" s="946" t="s">
        <v>28614</v>
      </c>
      <c r="B611" s="947" t="s">
        <v>12082</v>
      </c>
      <c r="C611" s="948" t="s">
        <v>12080</v>
      </c>
      <c r="D611" s="242" t="s">
        <v>28731</v>
      </c>
      <c r="E611" s="949">
        <v>104</v>
      </c>
      <c r="F611" s="949">
        <v>104</v>
      </c>
      <c r="G611" s="950" t="s">
        <v>7465</v>
      </c>
      <c r="H611" s="950" t="s">
        <v>378</v>
      </c>
      <c r="I611" s="951" t="s">
        <v>12081</v>
      </c>
      <c r="J611" s="947" t="s">
        <v>12082</v>
      </c>
      <c r="K611" s="143"/>
    </row>
    <row r="612" spans="1:11">
      <c r="A612" s="946" t="s">
        <v>28614</v>
      </c>
      <c r="B612" s="947" t="s">
        <v>12088</v>
      </c>
      <c r="C612" s="948" t="s">
        <v>12086</v>
      </c>
      <c r="D612" s="242" t="s">
        <v>28731</v>
      </c>
      <c r="E612" s="949">
        <v>104</v>
      </c>
      <c r="F612" s="949">
        <v>104</v>
      </c>
      <c r="G612" s="950" t="s">
        <v>7465</v>
      </c>
      <c r="H612" s="950" t="s">
        <v>378</v>
      </c>
      <c r="I612" s="951" t="s">
        <v>12087</v>
      </c>
      <c r="J612" s="947" t="s">
        <v>12088</v>
      </c>
      <c r="K612" s="143"/>
    </row>
    <row r="613" spans="1:11">
      <c r="A613" s="946" t="s">
        <v>28614</v>
      </c>
      <c r="B613" s="947" t="s">
        <v>12155</v>
      </c>
      <c r="C613" s="948" t="s">
        <v>12153</v>
      </c>
      <c r="D613" s="242" t="s">
        <v>28731</v>
      </c>
      <c r="E613" s="949">
        <v>104</v>
      </c>
      <c r="F613" s="949">
        <v>104</v>
      </c>
      <c r="G613" s="950" t="s">
        <v>7465</v>
      </c>
      <c r="H613" s="950" t="s">
        <v>378</v>
      </c>
      <c r="I613" s="951" t="s">
        <v>12154</v>
      </c>
      <c r="J613" s="947" t="s">
        <v>12155</v>
      </c>
      <c r="K613" s="143"/>
    </row>
    <row r="614" spans="1:11">
      <c r="A614" s="946" t="s">
        <v>28614</v>
      </c>
      <c r="B614" s="947" t="s">
        <v>12200</v>
      </c>
      <c r="C614" s="948" t="s">
        <v>12198</v>
      </c>
      <c r="D614" s="242" t="s">
        <v>28731</v>
      </c>
      <c r="E614" s="949">
        <v>104</v>
      </c>
      <c r="F614" s="949">
        <v>104</v>
      </c>
      <c r="G614" s="950" t="s">
        <v>7465</v>
      </c>
      <c r="H614" s="950" t="s">
        <v>378</v>
      </c>
      <c r="I614" s="951" t="s">
        <v>12199</v>
      </c>
      <c r="J614" s="947" t="s">
        <v>12200</v>
      </c>
      <c r="K614" s="143"/>
    </row>
    <row r="615" spans="1:11">
      <c r="A615" s="946" t="s">
        <v>28614</v>
      </c>
      <c r="B615" s="947" t="s">
        <v>12203</v>
      </c>
      <c r="C615" s="948" t="s">
        <v>12201</v>
      </c>
      <c r="D615" s="242" t="s">
        <v>28731</v>
      </c>
      <c r="E615" s="949">
        <v>104</v>
      </c>
      <c r="F615" s="949">
        <v>104</v>
      </c>
      <c r="G615" s="950" t="s">
        <v>7465</v>
      </c>
      <c r="H615" s="950" t="s">
        <v>378</v>
      </c>
      <c r="I615" s="951" t="s">
        <v>12202</v>
      </c>
      <c r="J615" s="947" t="s">
        <v>12203</v>
      </c>
      <c r="K615" s="143"/>
    </row>
    <row r="616" spans="1:11">
      <c r="A616" s="946" t="s">
        <v>28614</v>
      </c>
      <c r="B616" s="947" t="s">
        <v>12242</v>
      </c>
      <c r="C616" s="948" t="s">
        <v>12240</v>
      </c>
      <c r="D616" s="242" t="s">
        <v>28731</v>
      </c>
      <c r="E616" s="949">
        <v>104</v>
      </c>
      <c r="F616" s="949">
        <v>104</v>
      </c>
      <c r="G616" s="950" t="s">
        <v>7465</v>
      </c>
      <c r="H616" s="950" t="s">
        <v>378</v>
      </c>
      <c r="I616" s="951" t="s">
        <v>12241</v>
      </c>
      <c r="J616" s="947" t="s">
        <v>12242</v>
      </c>
      <c r="K616" s="143"/>
    </row>
    <row r="617" spans="1:11">
      <c r="A617" s="946" t="s">
        <v>28614</v>
      </c>
      <c r="B617" s="947" t="s">
        <v>12601</v>
      </c>
      <c r="C617" s="948" t="s">
        <v>12599</v>
      </c>
      <c r="D617" s="242" t="s">
        <v>28731</v>
      </c>
      <c r="E617" s="949">
        <v>104</v>
      </c>
      <c r="F617" s="949">
        <v>104</v>
      </c>
      <c r="G617" s="950" t="s">
        <v>7465</v>
      </c>
      <c r="H617" s="950" t="s">
        <v>378</v>
      </c>
      <c r="I617" s="951" t="s">
        <v>12600</v>
      </c>
      <c r="J617" s="947" t="s">
        <v>12601</v>
      </c>
      <c r="K617" s="143"/>
    </row>
    <row r="618" spans="1:11">
      <c r="A618" s="946" t="s">
        <v>28614</v>
      </c>
      <c r="B618" s="947" t="s">
        <v>12614</v>
      </c>
      <c r="C618" s="948" t="s">
        <v>12612</v>
      </c>
      <c r="D618" s="242" t="s">
        <v>28731</v>
      </c>
      <c r="E618" s="949">
        <v>104</v>
      </c>
      <c r="F618" s="949">
        <v>104</v>
      </c>
      <c r="G618" s="950" t="s">
        <v>7465</v>
      </c>
      <c r="H618" s="950" t="s">
        <v>378</v>
      </c>
      <c r="I618" s="951" t="s">
        <v>12613</v>
      </c>
      <c r="J618" s="947" t="s">
        <v>12614</v>
      </c>
      <c r="K618" s="143"/>
    </row>
    <row r="619" spans="1:11">
      <c r="A619" s="946" t="s">
        <v>28614</v>
      </c>
      <c r="B619" s="947" t="s">
        <v>12717</v>
      </c>
      <c r="C619" s="948" t="s">
        <v>12715</v>
      </c>
      <c r="D619" s="242" t="s">
        <v>28731</v>
      </c>
      <c r="E619" s="949">
        <v>104</v>
      </c>
      <c r="F619" s="949">
        <v>104</v>
      </c>
      <c r="G619" s="950" t="s">
        <v>7465</v>
      </c>
      <c r="H619" s="950" t="s">
        <v>378</v>
      </c>
      <c r="I619" s="951" t="s">
        <v>12716</v>
      </c>
      <c r="J619" s="947" t="s">
        <v>12717</v>
      </c>
      <c r="K619" s="143"/>
    </row>
    <row r="620" spans="1:11">
      <c r="A620" s="946" t="s">
        <v>28614</v>
      </c>
      <c r="B620" s="947" t="s">
        <v>12763</v>
      </c>
      <c r="C620" s="948" t="s">
        <v>12761</v>
      </c>
      <c r="D620" s="242" t="s">
        <v>28731</v>
      </c>
      <c r="E620" s="949">
        <v>104</v>
      </c>
      <c r="F620" s="949">
        <v>104</v>
      </c>
      <c r="G620" s="950" t="s">
        <v>7465</v>
      </c>
      <c r="H620" s="950" t="s">
        <v>378</v>
      </c>
      <c r="I620" s="951" t="s">
        <v>12762</v>
      </c>
      <c r="J620" s="947" t="s">
        <v>12763</v>
      </c>
      <c r="K620" s="143"/>
    </row>
    <row r="621" spans="1:11">
      <c r="A621" s="946" t="s">
        <v>28614</v>
      </c>
      <c r="B621" s="947" t="s">
        <v>12784</v>
      </c>
      <c r="C621" s="948" t="s">
        <v>12782</v>
      </c>
      <c r="D621" s="242" t="s">
        <v>28731</v>
      </c>
      <c r="E621" s="949">
        <v>104</v>
      </c>
      <c r="F621" s="949">
        <v>104</v>
      </c>
      <c r="G621" s="950" t="s">
        <v>7465</v>
      </c>
      <c r="H621" s="950" t="s">
        <v>378</v>
      </c>
      <c r="I621" s="951" t="s">
        <v>12783</v>
      </c>
      <c r="J621" s="947" t="s">
        <v>12784</v>
      </c>
      <c r="K621" s="143"/>
    </row>
    <row r="622" spans="1:11">
      <c r="A622" s="946" t="s">
        <v>28614</v>
      </c>
      <c r="B622" s="947" t="s">
        <v>12806</v>
      </c>
      <c r="C622" s="948" t="s">
        <v>12804</v>
      </c>
      <c r="D622" s="242" t="s">
        <v>28731</v>
      </c>
      <c r="E622" s="949">
        <v>104</v>
      </c>
      <c r="F622" s="949">
        <v>104</v>
      </c>
      <c r="G622" s="950" t="s">
        <v>7465</v>
      </c>
      <c r="H622" s="950" t="s">
        <v>378</v>
      </c>
      <c r="I622" s="951" t="s">
        <v>12805</v>
      </c>
      <c r="J622" s="947" t="s">
        <v>12806</v>
      </c>
      <c r="K622" s="143"/>
    </row>
    <row r="623" spans="1:11">
      <c r="A623" s="946" t="s">
        <v>28614</v>
      </c>
      <c r="B623" s="947" t="s">
        <v>12915</v>
      </c>
      <c r="C623" s="948" t="s">
        <v>12913</v>
      </c>
      <c r="D623" s="242" t="s">
        <v>28731</v>
      </c>
      <c r="E623" s="949">
        <v>104</v>
      </c>
      <c r="F623" s="949">
        <v>104</v>
      </c>
      <c r="G623" s="950" t="s">
        <v>7465</v>
      </c>
      <c r="H623" s="950" t="s">
        <v>378</v>
      </c>
      <c r="I623" s="951" t="s">
        <v>12914</v>
      </c>
      <c r="J623" s="947" t="s">
        <v>12915</v>
      </c>
      <c r="K623" s="143"/>
    </row>
    <row r="624" spans="1:11">
      <c r="A624" s="946" t="s">
        <v>28614</v>
      </c>
      <c r="B624" s="947" t="s">
        <v>12971</v>
      </c>
      <c r="C624" s="948" t="s">
        <v>12969</v>
      </c>
      <c r="D624" s="242" t="s">
        <v>28731</v>
      </c>
      <c r="E624" s="949">
        <v>104</v>
      </c>
      <c r="F624" s="949">
        <v>104</v>
      </c>
      <c r="G624" s="950" t="s">
        <v>7465</v>
      </c>
      <c r="H624" s="950" t="s">
        <v>378</v>
      </c>
      <c r="I624" s="951" t="s">
        <v>12970</v>
      </c>
      <c r="J624" s="947" t="s">
        <v>12971</v>
      </c>
      <c r="K624" s="143"/>
    </row>
    <row r="625" spans="1:11">
      <c r="A625" s="946" t="s">
        <v>28614</v>
      </c>
      <c r="B625" s="947" t="s">
        <v>13107</v>
      </c>
      <c r="C625" s="948" t="s">
        <v>13105</v>
      </c>
      <c r="D625" s="242" t="s">
        <v>28731</v>
      </c>
      <c r="E625" s="949">
        <v>104</v>
      </c>
      <c r="F625" s="949">
        <v>104</v>
      </c>
      <c r="G625" s="950" t="s">
        <v>7465</v>
      </c>
      <c r="H625" s="950" t="s">
        <v>378</v>
      </c>
      <c r="I625" s="951" t="s">
        <v>13106</v>
      </c>
      <c r="J625" s="947" t="s">
        <v>13107</v>
      </c>
      <c r="K625" s="143"/>
    </row>
    <row r="626" spans="1:11">
      <c r="A626" s="946" t="s">
        <v>28614</v>
      </c>
      <c r="B626" s="947" t="s">
        <v>13110</v>
      </c>
      <c r="C626" s="948" t="s">
        <v>13108</v>
      </c>
      <c r="D626" s="242" t="s">
        <v>28731</v>
      </c>
      <c r="E626" s="949">
        <v>104</v>
      </c>
      <c r="F626" s="949">
        <v>104</v>
      </c>
      <c r="G626" s="950" t="s">
        <v>7465</v>
      </c>
      <c r="H626" s="950" t="s">
        <v>378</v>
      </c>
      <c r="I626" s="951" t="s">
        <v>13109</v>
      </c>
      <c r="J626" s="947" t="s">
        <v>13110</v>
      </c>
      <c r="K626" s="143"/>
    </row>
    <row r="627" spans="1:11">
      <c r="A627" s="946" t="s">
        <v>28614</v>
      </c>
      <c r="B627" s="947" t="s">
        <v>13171</v>
      </c>
      <c r="C627" s="948" t="s">
        <v>13169</v>
      </c>
      <c r="D627" s="242" t="s">
        <v>28731</v>
      </c>
      <c r="E627" s="949">
        <v>104</v>
      </c>
      <c r="F627" s="949">
        <v>104</v>
      </c>
      <c r="G627" s="950" t="s">
        <v>7465</v>
      </c>
      <c r="H627" s="950" t="s">
        <v>378</v>
      </c>
      <c r="I627" s="951" t="s">
        <v>13170</v>
      </c>
      <c r="J627" s="947" t="s">
        <v>13171</v>
      </c>
      <c r="K627" s="143"/>
    </row>
    <row r="628" spans="1:11">
      <c r="A628" s="946" t="s">
        <v>28614</v>
      </c>
      <c r="B628" s="947" t="s">
        <v>13201</v>
      </c>
      <c r="C628" s="948" t="s">
        <v>13199</v>
      </c>
      <c r="D628" s="242" t="s">
        <v>28731</v>
      </c>
      <c r="E628" s="949">
        <v>104</v>
      </c>
      <c r="F628" s="949">
        <v>104</v>
      </c>
      <c r="G628" s="950" t="s">
        <v>7465</v>
      </c>
      <c r="H628" s="950" t="s">
        <v>378</v>
      </c>
      <c r="I628" s="951" t="s">
        <v>13200</v>
      </c>
      <c r="J628" s="947" t="s">
        <v>13201</v>
      </c>
      <c r="K628" s="143"/>
    </row>
    <row r="629" spans="1:11">
      <c r="A629" s="946" t="s">
        <v>28614</v>
      </c>
      <c r="B629" s="947" t="s">
        <v>13248</v>
      </c>
      <c r="C629" s="948" t="s">
        <v>13246</v>
      </c>
      <c r="D629" s="242" t="s">
        <v>28731</v>
      </c>
      <c r="E629" s="949">
        <v>104</v>
      </c>
      <c r="F629" s="949">
        <v>104</v>
      </c>
      <c r="G629" s="950" t="s">
        <v>7465</v>
      </c>
      <c r="H629" s="950" t="s">
        <v>378</v>
      </c>
      <c r="I629" s="951" t="s">
        <v>13247</v>
      </c>
      <c r="J629" s="947" t="s">
        <v>13248</v>
      </c>
      <c r="K629" s="143"/>
    </row>
    <row r="630" spans="1:11">
      <c r="A630" s="946" t="s">
        <v>28614</v>
      </c>
      <c r="B630" s="947" t="s">
        <v>13274</v>
      </c>
      <c r="C630" s="948" t="s">
        <v>13272</v>
      </c>
      <c r="D630" s="242" t="s">
        <v>28731</v>
      </c>
      <c r="E630" s="949">
        <v>104</v>
      </c>
      <c r="F630" s="949">
        <v>104</v>
      </c>
      <c r="G630" s="950" t="s">
        <v>7465</v>
      </c>
      <c r="H630" s="950" t="s">
        <v>378</v>
      </c>
      <c r="I630" s="951" t="s">
        <v>13273</v>
      </c>
      <c r="J630" s="947" t="s">
        <v>13274</v>
      </c>
      <c r="K630" s="143"/>
    </row>
    <row r="631" spans="1:11">
      <c r="A631" s="946" t="s">
        <v>28614</v>
      </c>
      <c r="B631" s="947" t="s">
        <v>13277</v>
      </c>
      <c r="C631" s="948" t="s">
        <v>13275</v>
      </c>
      <c r="D631" s="242" t="s">
        <v>28731</v>
      </c>
      <c r="E631" s="949">
        <v>104</v>
      </c>
      <c r="F631" s="949">
        <v>104</v>
      </c>
      <c r="G631" s="950" t="s">
        <v>7465</v>
      </c>
      <c r="H631" s="950" t="s">
        <v>378</v>
      </c>
      <c r="I631" s="951" t="s">
        <v>13276</v>
      </c>
      <c r="J631" s="947" t="s">
        <v>13277</v>
      </c>
      <c r="K631" s="143"/>
    </row>
    <row r="632" spans="1:11">
      <c r="A632" s="946" t="s">
        <v>28614</v>
      </c>
      <c r="B632" s="947" t="s">
        <v>13424</v>
      </c>
      <c r="C632" s="948" t="s">
        <v>13422</v>
      </c>
      <c r="D632" s="242" t="s">
        <v>28731</v>
      </c>
      <c r="E632" s="949">
        <v>104</v>
      </c>
      <c r="F632" s="949">
        <v>104</v>
      </c>
      <c r="G632" s="950" t="s">
        <v>7465</v>
      </c>
      <c r="H632" s="950" t="s">
        <v>378</v>
      </c>
      <c r="I632" s="951" t="s">
        <v>13423</v>
      </c>
      <c r="J632" s="947" t="s">
        <v>13424</v>
      </c>
      <c r="K632" s="143"/>
    </row>
    <row r="633" spans="1:11">
      <c r="A633" s="946" t="s">
        <v>28614</v>
      </c>
      <c r="B633" s="947" t="s">
        <v>13451</v>
      </c>
      <c r="C633" s="948" t="s">
        <v>13449</v>
      </c>
      <c r="D633" s="242" t="s">
        <v>28731</v>
      </c>
      <c r="E633" s="949">
        <v>104</v>
      </c>
      <c r="F633" s="949">
        <v>104</v>
      </c>
      <c r="G633" s="950" t="s">
        <v>7465</v>
      </c>
      <c r="H633" s="950" t="s">
        <v>378</v>
      </c>
      <c r="I633" s="951" t="s">
        <v>13450</v>
      </c>
      <c r="J633" s="947" t="s">
        <v>13451</v>
      </c>
      <c r="K633" s="143"/>
    </row>
    <row r="634" spans="1:11">
      <c r="A634" s="946" t="s">
        <v>28614</v>
      </c>
      <c r="B634" s="947" t="s">
        <v>13646</v>
      </c>
      <c r="C634" s="948" t="s">
        <v>13644</v>
      </c>
      <c r="D634" s="242" t="s">
        <v>28731</v>
      </c>
      <c r="E634" s="949">
        <v>104</v>
      </c>
      <c r="F634" s="949">
        <v>104</v>
      </c>
      <c r="G634" s="950" t="s">
        <v>7465</v>
      </c>
      <c r="H634" s="950" t="s">
        <v>378</v>
      </c>
      <c r="I634" s="951" t="s">
        <v>13645</v>
      </c>
      <c r="J634" s="947" t="s">
        <v>13646</v>
      </c>
      <c r="K634" s="143"/>
    </row>
    <row r="635" spans="1:11">
      <c r="A635" s="946" t="s">
        <v>28614</v>
      </c>
      <c r="B635" s="947" t="s">
        <v>13738</v>
      </c>
      <c r="C635" s="948" t="s">
        <v>13736</v>
      </c>
      <c r="D635" s="242" t="s">
        <v>28731</v>
      </c>
      <c r="E635" s="949">
        <v>104</v>
      </c>
      <c r="F635" s="949">
        <v>104</v>
      </c>
      <c r="G635" s="950" t="s">
        <v>7465</v>
      </c>
      <c r="H635" s="950" t="s">
        <v>378</v>
      </c>
      <c r="I635" s="951" t="s">
        <v>13737</v>
      </c>
      <c r="J635" s="947" t="s">
        <v>13738</v>
      </c>
      <c r="K635" s="143"/>
    </row>
    <row r="636" spans="1:11">
      <c r="A636" s="946" t="s">
        <v>28614</v>
      </c>
      <c r="B636" s="947" t="s">
        <v>13893</v>
      </c>
      <c r="C636" s="948" t="s">
        <v>13891</v>
      </c>
      <c r="D636" s="242" t="s">
        <v>28731</v>
      </c>
      <c r="E636" s="949">
        <v>104</v>
      </c>
      <c r="F636" s="949">
        <v>104</v>
      </c>
      <c r="G636" s="950" t="s">
        <v>7465</v>
      </c>
      <c r="H636" s="950" t="s">
        <v>378</v>
      </c>
      <c r="I636" s="951" t="s">
        <v>13892</v>
      </c>
      <c r="J636" s="947" t="s">
        <v>13893</v>
      </c>
      <c r="K636" s="143"/>
    </row>
    <row r="637" spans="1:11">
      <c r="A637" s="946" t="s">
        <v>28614</v>
      </c>
      <c r="B637" s="947" t="s">
        <v>14017</v>
      </c>
      <c r="C637" s="948" t="s">
        <v>14015</v>
      </c>
      <c r="D637" s="242" t="s">
        <v>28731</v>
      </c>
      <c r="E637" s="949">
        <v>104</v>
      </c>
      <c r="F637" s="949">
        <v>104</v>
      </c>
      <c r="G637" s="950" t="s">
        <v>7465</v>
      </c>
      <c r="H637" s="950" t="s">
        <v>378</v>
      </c>
      <c r="I637" s="951" t="s">
        <v>14016</v>
      </c>
      <c r="J637" s="947" t="s">
        <v>14017</v>
      </c>
      <c r="K637" s="143"/>
    </row>
    <row r="638" spans="1:11">
      <c r="A638" s="946" t="s">
        <v>28614</v>
      </c>
      <c r="B638" s="947" t="s">
        <v>14041</v>
      </c>
      <c r="C638" s="948" t="s">
        <v>14039</v>
      </c>
      <c r="D638" s="242" t="s">
        <v>28731</v>
      </c>
      <c r="E638" s="949">
        <v>104</v>
      </c>
      <c r="F638" s="949">
        <v>104</v>
      </c>
      <c r="G638" s="950" t="s">
        <v>7465</v>
      </c>
      <c r="H638" s="950" t="s">
        <v>378</v>
      </c>
      <c r="I638" s="951" t="s">
        <v>14040</v>
      </c>
      <c r="J638" s="947" t="s">
        <v>14041</v>
      </c>
      <c r="K638" s="143"/>
    </row>
    <row r="639" spans="1:11">
      <c r="A639" s="946" t="s">
        <v>28614</v>
      </c>
      <c r="B639" s="947" t="s">
        <v>14189</v>
      </c>
      <c r="C639" s="948" t="s">
        <v>14187</v>
      </c>
      <c r="D639" s="242" t="s">
        <v>28731</v>
      </c>
      <c r="E639" s="949">
        <v>104</v>
      </c>
      <c r="F639" s="949">
        <v>104</v>
      </c>
      <c r="G639" s="950" t="s">
        <v>7465</v>
      </c>
      <c r="H639" s="950" t="s">
        <v>378</v>
      </c>
      <c r="I639" s="951" t="s">
        <v>14188</v>
      </c>
      <c r="J639" s="947" t="s">
        <v>14189</v>
      </c>
      <c r="K639" s="143"/>
    </row>
    <row r="640" spans="1:11">
      <c r="A640" s="946" t="s">
        <v>28614</v>
      </c>
      <c r="B640" s="947" t="s">
        <v>14267</v>
      </c>
      <c r="C640" s="948" t="s">
        <v>14265</v>
      </c>
      <c r="D640" s="242" t="s">
        <v>28731</v>
      </c>
      <c r="E640" s="949">
        <v>104</v>
      </c>
      <c r="F640" s="949">
        <v>104</v>
      </c>
      <c r="G640" s="950" t="s">
        <v>7465</v>
      </c>
      <c r="H640" s="950" t="s">
        <v>378</v>
      </c>
      <c r="I640" s="951" t="s">
        <v>14266</v>
      </c>
      <c r="J640" s="947" t="s">
        <v>14267</v>
      </c>
      <c r="K640" s="143"/>
    </row>
    <row r="641" spans="1:11">
      <c r="A641" s="946" t="s">
        <v>28614</v>
      </c>
      <c r="B641" s="947" t="s">
        <v>14508</v>
      </c>
      <c r="C641" s="948" t="s">
        <v>14506</v>
      </c>
      <c r="D641" s="242" t="s">
        <v>28731</v>
      </c>
      <c r="E641" s="949">
        <v>104</v>
      </c>
      <c r="F641" s="949">
        <v>104</v>
      </c>
      <c r="G641" s="950" t="s">
        <v>7465</v>
      </c>
      <c r="H641" s="950" t="s">
        <v>378</v>
      </c>
      <c r="I641" s="951" t="s">
        <v>14507</v>
      </c>
      <c r="J641" s="947" t="s">
        <v>14508</v>
      </c>
      <c r="K641" s="143"/>
    </row>
    <row r="642" spans="1:11">
      <c r="A642" s="946" t="s">
        <v>28614</v>
      </c>
      <c r="B642" s="947" t="s">
        <v>14511</v>
      </c>
      <c r="C642" s="948" t="s">
        <v>14509</v>
      </c>
      <c r="D642" s="242" t="s">
        <v>28731</v>
      </c>
      <c r="E642" s="949">
        <v>104</v>
      </c>
      <c r="F642" s="949">
        <v>104</v>
      </c>
      <c r="G642" s="950" t="s">
        <v>7465</v>
      </c>
      <c r="H642" s="950" t="s">
        <v>378</v>
      </c>
      <c r="I642" s="951" t="s">
        <v>14510</v>
      </c>
      <c r="J642" s="947" t="s">
        <v>14511</v>
      </c>
      <c r="K642" s="143"/>
    </row>
    <row r="643" spans="1:11">
      <c r="A643" s="946" t="s">
        <v>28614</v>
      </c>
      <c r="B643" s="947" t="s">
        <v>14683</v>
      </c>
      <c r="C643" s="948" t="s">
        <v>14681</v>
      </c>
      <c r="D643" s="242" t="s">
        <v>28731</v>
      </c>
      <c r="E643" s="949">
        <v>104</v>
      </c>
      <c r="F643" s="949">
        <v>104</v>
      </c>
      <c r="G643" s="950" t="s">
        <v>7465</v>
      </c>
      <c r="H643" s="950" t="s">
        <v>378</v>
      </c>
      <c r="I643" s="951" t="s">
        <v>14682</v>
      </c>
      <c r="J643" s="947" t="s">
        <v>14683</v>
      </c>
      <c r="K643" s="143"/>
    </row>
    <row r="644" spans="1:11">
      <c r="A644" s="946" t="s">
        <v>28614</v>
      </c>
      <c r="B644" s="947" t="s">
        <v>14692</v>
      </c>
      <c r="C644" s="948" t="s">
        <v>14690</v>
      </c>
      <c r="D644" s="242" t="s">
        <v>28731</v>
      </c>
      <c r="E644" s="949">
        <v>104</v>
      </c>
      <c r="F644" s="949">
        <v>104</v>
      </c>
      <c r="G644" s="950" t="s">
        <v>7465</v>
      </c>
      <c r="H644" s="950" t="s">
        <v>378</v>
      </c>
      <c r="I644" s="951" t="s">
        <v>14691</v>
      </c>
      <c r="J644" s="947" t="s">
        <v>14692</v>
      </c>
      <c r="K644" s="143"/>
    </row>
    <row r="645" spans="1:11">
      <c r="A645" s="946" t="s">
        <v>28614</v>
      </c>
      <c r="B645" s="947" t="s">
        <v>14746</v>
      </c>
      <c r="C645" s="948" t="s">
        <v>14744</v>
      </c>
      <c r="D645" s="242" t="s">
        <v>28731</v>
      </c>
      <c r="E645" s="949">
        <v>104</v>
      </c>
      <c r="F645" s="949">
        <v>104</v>
      </c>
      <c r="G645" s="950" t="s">
        <v>7465</v>
      </c>
      <c r="H645" s="950" t="s">
        <v>378</v>
      </c>
      <c r="I645" s="951" t="s">
        <v>14745</v>
      </c>
      <c r="J645" s="947" t="s">
        <v>14746</v>
      </c>
      <c r="K645" s="143"/>
    </row>
    <row r="646" spans="1:11">
      <c r="A646" s="946" t="s">
        <v>28614</v>
      </c>
      <c r="B646" s="947" t="s">
        <v>14773</v>
      </c>
      <c r="C646" s="948" t="s">
        <v>14771</v>
      </c>
      <c r="D646" s="242" t="s">
        <v>28731</v>
      </c>
      <c r="E646" s="949">
        <v>104</v>
      </c>
      <c r="F646" s="949">
        <v>104</v>
      </c>
      <c r="G646" s="950" t="s">
        <v>7465</v>
      </c>
      <c r="H646" s="950" t="s">
        <v>378</v>
      </c>
      <c r="I646" s="951" t="s">
        <v>14772</v>
      </c>
      <c r="J646" s="947" t="s">
        <v>14773</v>
      </c>
      <c r="K646" s="143"/>
    </row>
    <row r="647" spans="1:11">
      <c r="A647" s="946" t="s">
        <v>28614</v>
      </c>
      <c r="B647" s="947" t="s">
        <v>14895</v>
      </c>
      <c r="C647" s="948" t="s">
        <v>14893</v>
      </c>
      <c r="D647" s="242" t="s">
        <v>28731</v>
      </c>
      <c r="E647" s="949">
        <v>104</v>
      </c>
      <c r="F647" s="949">
        <v>104</v>
      </c>
      <c r="G647" s="950" t="s">
        <v>7465</v>
      </c>
      <c r="H647" s="950" t="s">
        <v>378</v>
      </c>
      <c r="I647" s="951" t="s">
        <v>14894</v>
      </c>
      <c r="J647" s="947" t="s">
        <v>14895</v>
      </c>
      <c r="K647" s="143"/>
    </row>
    <row r="648" spans="1:11">
      <c r="A648" s="946" t="s">
        <v>28614</v>
      </c>
      <c r="B648" s="947" t="s">
        <v>15030</v>
      </c>
      <c r="C648" s="948" t="s">
        <v>15028</v>
      </c>
      <c r="D648" s="242" t="s">
        <v>28731</v>
      </c>
      <c r="E648" s="949">
        <v>104</v>
      </c>
      <c r="F648" s="949">
        <v>104</v>
      </c>
      <c r="G648" s="950" t="s">
        <v>7465</v>
      </c>
      <c r="H648" s="950" t="s">
        <v>378</v>
      </c>
      <c r="I648" s="951" t="s">
        <v>15029</v>
      </c>
      <c r="J648" s="947" t="s">
        <v>15030</v>
      </c>
      <c r="K648" s="143"/>
    </row>
    <row r="649" spans="1:11">
      <c r="A649" s="946" t="s">
        <v>28614</v>
      </c>
      <c r="B649" s="947" t="s">
        <v>15066</v>
      </c>
      <c r="C649" s="948" t="s">
        <v>15064</v>
      </c>
      <c r="D649" s="242" t="s">
        <v>28731</v>
      </c>
      <c r="E649" s="949">
        <v>104</v>
      </c>
      <c r="F649" s="949">
        <v>104</v>
      </c>
      <c r="G649" s="950" t="s">
        <v>7465</v>
      </c>
      <c r="H649" s="950" t="s">
        <v>378</v>
      </c>
      <c r="I649" s="951" t="s">
        <v>15065</v>
      </c>
      <c r="J649" s="947" t="s">
        <v>15066</v>
      </c>
      <c r="K649" s="143"/>
    </row>
    <row r="650" spans="1:11">
      <c r="A650" s="946" t="s">
        <v>28614</v>
      </c>
      <c r="B650" s="947" t="s">
        <v>15149</v>
      </c>
      <c r="C650" s="948" t="s">
        <v>15147</v>
      </c>
      <c r="D650" s="242" t="s">
        <v>28731</v>
      </c>
      <c r="E650" s="949">
        <v>104</v>
      </c>
      <c r="F650" s="949">
        <v>104</v>
      </c>
      <c r="G650" s="950" t="s">
        <v>7465</v>
      </c>
      <c r="H650" s="950" t="s">
        <v>378</v>
      </c>
      <c r="I650" s="951" t="s">
        <v>15148</v>
      </c>
      <c r="J650" s="947" t="s">
        <v>15149</v>
      </c>
      <c r="K650" s="143"/>
    </row>
    <row r="651" spans="1:11">
      <c r="A651" s="946" t="s">
        <v>28614</v>
      </c>
      <c r="B651" s="947" t="s">
        <v>15303</v>
      </c>
      <c r="C651" s="948" t="s">
        <v>15301</v>
      </c>
      <c r="D651" s="242" t="s">
        <v>28731</v>
      </c>
      <c r="E651" s="949">
        <v>104</v>
      </c>
      <c r="F651" s="949">
        <v>104</v>
      </c>
      <c r="G651" s="950" t="s">
        <v>7465</v>
      </c>
      <c r="H651" s="950" t="s">
        <v>378</v>
      </c>
      <c r="I651" s="951" t="s">
        <v>15302</v>
      </c>
      <c r="J651" s="947" t="s">
        <v>15303</v>
      </c>
      <c r="K651" s="143"/>
    </row>
    <row r="652" spans="1:11">
      <c r="A652" s="946" t="s">
        <v>28614</v>
      </c>
      <c r="B652" s="947" t="s">
        <v>15421</v>
      </c>
      <c r="C652" s="948" t="s">
        <v>15419</v>
      </c>
      <c r="D652" s="242" t="s">
        <v>28731</v>
      </c>
      <c r="E652" s="949">
        <v>104</v>
      </c>
      <c r="F652" s="949">
        <v>104</v>
      </c>
      <c r="G652" s="950" t="s">
        <v>7465</v>
      </c>
      <c r="H652" s="950" t="s">
        <v>378</v>
      </c>
      <c r="I652" s="951" t="s">
        <v>15420</v>
      </c>
      <c r="J652" s="947" t="s">
        <v>15421</v>
      </c>
      <c r="K652" s="143"/>
    </row>
    <row r="653" spans="1:11">
      <c r="A653" s="946" t="s">
        <v>28614</v>
      </c>
      <c r="B653" s="947" t="s">
        <v>15706</v>
      </c>
      <c r="C653" s="948" t="s">
        <v>15704</v>
      </c>
      <c r="D653" s="242" t="s">
        <v>28731</v>
      </c>
      <c r="E653" s="949">
        <v>104</v>
      </c>
      <c r="F653" s="949">
        <v>104</v>
      </c>
      <c r="G653" s="950" t="s">
        <v>7465</v>
      </c>
      <c r="H653" s="950" t="s">
        <v>378</v>
      </c>
      <c r="I653" s="951" t="s">
        <v>15705</v>
      </c>
      <c r="J653" s="947" t="s">
        <v>15706</v>
      </c>
      <c r="K653" s="143"/>
    </row>
    <row r="654" spans="1:11">
      <c r="A654" s="946" t="s">
        <v>28614</v>
      </c>
      <c r="B654" s="947" t="s">
        <v>15790</v>
      </c>
      <c r="C654" s="948" t="s">
        <v>15788</v>
      </c>
      <c r="D654" s="242" t="s">
        <v>28731</v>
      </c>
      <c r="E654" s="949">
        <v>104</v>
      </c>
      <c r="F654" s="949">
        <v>104</v>
      </c>
      <c r="G654" s="950" t="s">
        <v>7465</v>
      </c>
      <c r="H654" s="950" t="s">
        <v>378</v>
      </c>
      <c r="I654" s="951" t="s">
        <v>15789</v>
      </c>
      <c r="J654" s="947" t="s">
        <v>15790</v>
      </c>
      <c r="K654" s="143"/>
    </row>
    <row r="655" spans="1:11">
      <c r="A655" s="946" t="s">
        <v>28614</v>
      </c>
      <c r="B655" s="947" t="s">
        <v>15867</v>
      </c>
      <c r="C655" s="948" t="s">
        <v>15865</v>
      </c>
      <c r="D655" s="242" t="s">
        <v>28731</v>
      </c>
      <c r="E655" s="949">
        <v>104</v>
      </c>
      <c r="F655" s="949">
        <v>104</v>
      </c>
      <c r="G655" s="950" t="s">
        <v>7465</v>
      </c>
      <c r="H655" s="950" t="s">
        <v>378</v>
      </c>
      <c r="I655" s="951" t="s">
        <v>15866</v>
      </c>
      <c r="J655" s="947" t="s">
        <v>15867</v>
      </c>
      <c r="K655" s="143"/>
    </row>
    <row r="656" spans="1:11">
      <c r="A656" s="946" t="s">
        <v>28614</v>
      </c>
      <c r="B656" s="947" t="s">
        <v>15879</v>
      </c>
      <c r="C656" s="948" t="s">
        <v>15877</v>
      </c>
      <c r="D656" s="242" t="s">
        <v>28731</v>
      </c>
      <c r="E656" s="949">
        <v>104</v>
      </c>
      <c r="F656" s="949">
        <v>104</v>
      </c>
      <c r="G656" s="950" t="s">
        <v>7465</v>
      </c>
      <c r="H656" s="950" t="s">
        <v>378</v>
      </c>
      <c r="I656" s="951" t="s">
        <v>15878</v>
      </c>
      <c r="J656" s="947" t="s">
        <v>15879</v>
      </c>
      <c r="K656" s="143"/>
    </row>
    <row r="657" spans="1:11">
      <c r="A657" s="946" t="s">
        <v>28614</v>
      </c>
      <c r="B657" s="947" t="s">
        <v>15882</v>
      </c>
      <c r="C657" s="948" t="s">
        <v>15880</v>
      </c>
      <c r="D657" s="242" t="s">
        <v>28731</v>
      </c>
      <c r="E657" s="949">
        <v>104</v>
      </c>
      <c r="F657" s="949">
        <v>104</v>
      </c>
      <c r="G657" s="950" t="s">
        <v>7465</v>
      </c>
      <c r="H657" s="950" t="s">
        <v>378</v>
      </c>
      <c r="I657" s="951" t="s">
        <v>15881</v>
      </c>
      <c r="J657" s="947" t="s">
        <v>15882</v>
      </c>
      <c r="K657" s="143"/>
    </row>
    <row r="658" spans="1:11">
      <c r="A658" s="946" t="s">
        <v>28614</v>
      </c>
      <c r="B658" s="947" t="s">
        <v>15919</v>
      </c>
      <c r="C658" s="948" t="s">
        <v>15917</v>
      </c>
      <c r="D658" s="242" t="s">
        <v>28731</v>
      </c>
      <c r="E658" s="949">
        <v>104</v>
      </c>
      <c r="F658" s="949">
        <v>104</v>
      </c>
      <c r="G658" s="950" t="s">
        <v>7465</v>
      </c>
      <c r="H658" s="950" t="s">
        <v>378</v>
      </c>
      <c r="I658" s="951" t="s">
        <v>15918</v>
      </c>
      <c r="J658" s="947" t="s">
        <v>15919</v>
      </c>
      <c r="K658" s="143"/>
    </row>
    <row r="659" spans="1:11">
      <c r="A659" s="946" t="s">
        <v>28614</v>
      </c>
      <c r="B659" s="947" t="s">
        <v>16034</v>
      </c>
      <c r="C659" s="948" t="s">
        <v>16032</v>
      </c>
      <c r="D659" s="242" t="s">
        <v>28731</v>
      </c>
      <c r="E659" s="949">
        <v>104</v>
      </c>
      <c r="F659" s="949">
        <v>104</v>
      </c>
      <c r="G659" s="950" t="s">
        <v>7465</v>
      </c>
      <c r="H659" s="950" t="s">
        <v>378</v>
      </c>
      <c r="I659" s="951" t="s">
        <v>16033</v>
      </c>
      <c r="J659" s="947" t="s">
        <v>16034</v>
      </c>
      <c r="K659" s="143"/>
    </row>
    <row r="660" spans="1:11">
      <c r="A660" s="946" t="s">
        <v>28614</v>
      </c>
      <c r="B660" s="947" t="s">
        <v>16226</v>
      </c>
      <c r="C660" s="948" t="s">
        <v>16224</v>
      </c>
      <c r="D660" s="242" t="s">
        <v>28731</v>
      </c>
      <c r="E660" s="949">
        <v>104</v>
      </c>
      <c r="F660" s="949">
        <v>104</v>
      </c>
      <c r="G660" s="950" t="s">
        <v>7465</v>
      </c>
      <c r="H660" s="950" t="s">
        <v>378</v>
      </c>
      <c r="I660" s="951" t="s">
        <v>16225</v>
      </c>
      <c r="J660" s="947" t="s">
        <v>16226</v>
      </c>
      <c r="K660" s="143"/>
    </row>
    <row r="661" spans="1:11">
      <c r="A661" s="946" t="s">
        <v>28614</v>
      </c>
      <c r="B661" s="947" t="s">
        <v>16300</v>
      </c>
      <c r="C661" s="948" t="s">
        <v>16298</v>
      </c>
      <c r="D661" s="242" t="s">
        <v>28731</v>
      </c>
      <c r="E661" s="949">
        <v>104</v>
      </c>
      <c r="F661" s="949">
        <v>104</v>
      </c>
      <c r="G661" s="950" t="s">
        <v>7465</v>
      </c>
      <c r="H661" s="950" t="s">
        <v>378</v>
      </c>
      <c r="I661" s="951" t="s">
        <v>16299</v>
      </c>
      <c r="J661" s="947" t="s">
        <v>16300</v>
      </c>
      <c r="K661" s="143"/>
    </row>
    <row r="662" spans="1:11">
      <c r="A662" s="946" t="s">
        <v>28614</v>
      </c>
      <c r="B662" s="947" t="s">
        <v>16381</v>
      </c>
      <c r="C662" s="948" t="s">
        <v>16379</v>
      </c>
      <c r="D662" s="242" t="s">
        <v>28731</v>
      </c>
      <c r="E662" s="949">
        <v>104</v>
      </c>
      <c r="F662" s="949">
        <v>104</v>
      </c>
      <c r="G662" s="950" t="s">
        <v>7465</v>
      </c>
      <c r="H662" s="950" t="s">
        <v>378</v>
      </c>
      <c r="I662" s="951" t="s">
        <v>16380</v>
      </c>
      <c r="J662" s="947" t="s">
        <v>16381</v>
      </c>
      <c r="K662" s="143"/>
    </row>
    <row r="663" spans="1:11">
      <c r="A663" s="946" t="s">
        <v>28614</v>
      </c>
      <c r="B663" s="947" t="s">
        <v>16462</v>
      </c>
      <c r="C663" s="948" t="s">
        <v>16460</v>
      </c>
      <c r="D663" s="242" t="s">
        <v>28731</v>
      </c>
      <c r="E663" s="949">
        <v>104</v>
      </c>
      <c r="F663" s="949">
        <v>104</v>
      </c>
      <c r="G663" s="950" t="s">
        <v>7465</v>
      </c>
      <c r="H663" s="950" t="s">
        <v>378</v>
      </c>
      <c r="I663" s="951" t="s">
        <v>16461</v>
      </c>
      <c r="J663" s="947" t="s">
        <v>16462</v>
      </c>
      <c r="K663" s="143"/>
    </row>
    <row r="664" spans="1:11">
      <c r="A664" s="946" t="s">
        <v>28614</v>
      </c>
      <c r="B664" s="947" t="s">
        <v>16465</v>
      </c>
      <c r="C664" s="948" t="s">
        <v>16463</v>
      </c>
      <c r="D664" s="242" t="s">
        <v>28731</v>
      </c>
      <c r="E664" s="949">
        <v>104</v>
      </c>
      <c r="F664" s="949">
        <v>104</v>
      </c>
      <c r="G664" s="950" t="s">
        <v>7465</v>
      </c>
      <c r="H664" s="950" t="s">
        <v>378</v>
      </c>
      <c r="I664" s="951" t="s">
        <v>16464</v>
      </c>
      <c r="J664" s="947" t="s">
        <v>16465</v>
      </c>
      <c r="K664" s="143"/>
    </row>
    <row r="665" spans="1:11">
      <c r="A665" s="946" t="s">
        <v>28614</v>
      </c>
      <c r="B665" s="947" t="s">
        <v>16498</v>
      </c>
      <c r="C665" s="948" t="s">
        <v>16496</v>
      </c>
      <c r="D665" s="242" t="s">
        <v>28731</v>
      </c>
      <c r="E665" s="949">
        <v>104</v>
      </c>
      <c r="F665" s="949">
        <v>104</v>
      </c>
      <c r="G665" s="950" t="s">
        <v>7465</v>
      </c>
      <c r="H665" s="950" t="s">
        <v>378</v>
      </c>
      <c r="I665" s="951" t="s">
        <v>16497</v>
      </c>
      <c r="J665" s="947" t="s">
        <v>16498</v>
      </c>
      <c r="K665" s="143"/>
    </row>
    <row r="666" spans="1:11">
      <c r="A666" s="946" t="s">
        <v>28614</v>
      </c>
      <c r="B666" s="947" t="s">
        <v>16501</v>
      </c>
      <c r="C666" s="948" t="s">
        <v>16499</v>
      </c>
      <c r="D666" s="242" t="s">
        <v>28731</v>
      </c>
      <c r="E666" s="949">
        <v>104</v>
      </c>
      <c r="F666" s="949">
        <v>104</v>
      </c>
      <c r="G666" s="950" t="s">
        <v>7465</v>
      </c>
      <c r="H666" s="950" t="s">
        <v>378</v>
      </c>
      <c r="I666" s="951" t="s">
        <v>16500</v>
      </c>
      <c r="J666" s="947" t="s">
        <v>16501</v>
      </c>
      <c r="K666" s="143"/>
    </row>
    <row r="667" spans="1:11">
      <c r="A667" s="946" t="s">
        <v>28614</v>
      </c>
      <c r="B667" s="947" t="s">
        <v>16592</v>
      </c>
      <c r="C667" s="948" t="s">
        <v>16590</v>
      </c>
      <c r="D667" s="242" t="s">
        <v>28731</v>
      </c>
      <c r="E667" s="949">
        <v>104</v>
      </c>
      <c r="F667" s="949">
        <v>104</v>
      </c>
      <c r="G667" s="950" t="s">
        <v>7465</v>
      </c>
      <c r="H667" s="950" t="s">
        <v>378</v>
      </c>
      <c r="I667" s="951" t="s">
        <v>16591</v>
      </c>
      <c r="J667" s="947" t="s">
        <v>16592</v>
      </c>
      <c r="K667" s="143"/>
    </row>
    <row r="668" spans="1:11">
      <c r="A668" s="946" t="s">
        <v>28614</v>
      </c>
      <c r="B668" s="947" t="s">
        <v>16510</v>
      </c>
      <c r="C668" s="948" t="s">
        <v>16508</v>
      </c>
      <c r="D668" s="242" t="s">
        <v>28731</v>
      </c>
      <c r="E668" s="949">
        <v>104</v>
      </c>
      <c r="F668" s="949">
        <v>104</v>
      </c>
      <c r="G668" s="950" t="s">
        <v>7465</v>
      </c>
      <c r="H668" s="950" t="s">
        <v>378</v>
      </c>
      <c r="I668" s="951" t="s">
        <v>16509</v>
      </c>
      <c r="J668" s="947" t="s">
        <v>16510</v>
      </c>
      <c r="K668" s="143"/>
    </row>
    <row r="669" spans="1:11">
      <c r="A669" s="946" t="s">
        <v>28614</v>
      </c>
      <c r="B669" s="947" t="s">
        <v>16519</v>
      </c>
      <c r="C669" s="948" t="s">
        <v>16517</v>
      </c>
      <c r="D669" s="242" t="s">
        <v>28731</v>
      </c>
      <c r="E669" s="949">
        <v>104</v>
      </c>
      <c r="F669" s="949">
        <v>104</v>
      </c>
      <c r="G669" s="950" t="s">
        <v>7465</v>
      </c>
      <c r="H669" s="950" t="s">
        <v>378</v>
      </c>
      <c r="I669" s="951" t="s">
        <v>16518</v>
      </c>
      <c r="J669" s="947" t="s">
        <v>16519</v>
      </c>
      <c r="K669" s="143"/>
    </row>
    <row r="670" spans="1:11">
      <c r="A670" s="946" t="s">
        <v>28614</v>
      </c>
      <c r="B670" s="947" t="s">
        <v>16613</v>
      </c>
      <c r="C670" s="948" t="s">
        <v>16611</v>
      </c>
      <c r="D670" s="242" t="s">
        <v>28731</v>
      </c>
      <c r="E670" s="949">
        <v>104</v>
      </c>
      <c r="F670" s="949">
        <v>104</v>
      </c>
      <c r="G670" s="950" t="s">
        <v>7465</v>
      </c>
      <c r="H670" s="950" t="s">
        <v>378</v>
      </c>
      <c r="I670" s="951" t="s">
        <v>16612</v>
      </c>
      <c r="J670" s="947" t="s">
        <v>16613</v>
      </c>
      <c r="K670" s="143"/>
    </row>
    <row r="671" spans="1:11">
      <c r="A671" s="946" t="s">
        <v>28614</v>
      </c>
      <c r="B671" s="947" t="s">
        <v>16685</v>
      </c>
      <c r="C671" s="948" t="s">
        <v>16683</v>
      </c>
      <c r="D671" s="242" t="s">
        <v>28731</v>
      </c>
      <c r="E671" s="949">
        <v>104</v>
      </c>
      <c r="F671" s="949">
        <v>104</v>
      </c>
      <c r="G671" s="950" t="s">
        <v>7465</v>
      </c>
      <c r="H671" s="950" t="s">
        <v>378</v>
      </c>
      <c r="I671" s="951" t="s">
        <v>16684</v>
      </c>
      <c r="J671" s="947" t="s">
        <v>16685</v>
      </c>
      <c r="K671" s="143"/>
    </row>
    <row r="672" spans="1:11">
      <c r="A672" s="946" t="s">
        <v>28614</v>
      </c>
      <c r="B672" s="947" t="s">
        <v>16703</v>
      </c>
      <c r="C672" s="948" t="s">
        <v>16701</v>
      </c>
      <c r="D672" s="242" t="s">
        <v>28731</v>
      </c>
      <c r="E672" s="949">
        <v>104</v>
      </c>
      <c r="F672" s="949">
        <v>104</v>
      </c>
      <c r="G672" s="950" t="s">
        <v>7465</v>
      </c>
      <c r="H672" s="950" t="s">
        <v>378</v>
      </c>
      <c r="I672" s="951" t="s">
        <v>16702</v>
      </c>
      <c r="J672" s="947" t="s">
        <v>16703</v>
      </c>
      <c r="K672" s="143"/>
    </row>
    <row r="673" spans="1:11">
      <c r="A673" s="946" t="s">
        <v>28614</v>
      </c>
      <c r="B673" s="947" t="s">
        <v>16718</v>
      </c>
      <c r="C673" s="948" t="s">
        <v>16716</v>
      </c>
      <c r="D673" s="242" t="s">
        <v>28731</v>
      </c>
      <c r="E673" s="949">
        <v>104</v>
      </c>
      <c r="F673" s="949">
        <v>104</v>
      </c>
      <c r="G673" s="950" t="s">
        <v>7465</v>
      </c>
      <c r="H673" s="950" t="s">
        <v>378</v>
      </c>
      <c r="I673" s="951" t="s">
        <v>16717</v>
      </c>
      <c r="J673" s="947" t="s">
        <v>16718</v>
      </c>
      <c r="K673" s="143"/>
    </row>
    <row r="674" spans="1:11">
      <c r="A674" s="946" t="s">
        <v>28614</v>
      </c>
      <c r="B674" s="947" t="s">
        <v>16745</v>
      </c>
      <c r="C674" s="948" t="s">
        <v>16743</v>
      </c>
      <c r="D674" s="242" t="s">
        <v>28731</v>
      </c>
      <c r="E674" s="949">
        <v>104</v>
      </c>
      <c r="F674" s="949">
        <v>104</v>
      </c>
      <c r="G674" s="950" t="s">
        <v>7465</v>
      </c>
      <c r="H674" s="950" t="s">
        <v>378</v>
      </c>
      <c r="I674" s="951" t="s">
        <v>16744</v>
      </c>
      <c r="J674" s="947" t="s">
        <v>16745</v>
      </c>
      <c r="K674" s="143"/>
    </row>
    <row r="675" spans="1:11">
      <c r="A675" s="946" t="s">
        <v>28614</v>
      </c>
      <c r="B675" s="947" t="s">
        <v>16748</v>
      </c>
      <c r="C675" s="948" t="s">
        <v>16746</v>
      </c>
      <c r="D675" s="242" t="s">
        <v>28731</v>
      </c>
      <c r="E675" s="949">
        <v>104</v>
      </c>
      <c r="F675" s="949">
        <v>104</v>
      </c>
      <c r="G675" s="950" t="s">
        <v>7465</v>
      </c>
      <c r="H675" s="950" t="s">
        <v>378</v>
      </c>
      <c r="I675" s="951" t="s">
        <v>16747</v>
      </c>
      <c r="J675" s="947" t="s">
        <v>16748</v>
      </c>
      <c r="K675" s="143"/>
    </row>
    <row r="676" spans="1:11">
      <c r="A676" s="946" t="s">
        <v>28614</v>
      </c>
      <c r="B676" s="947" t="s">
        <v>16751</v>
      </c>
      <c r="C676" s="948" t="s">
        <v>16749</v>
      </c>
      <c r="D676" s="242" t="s">
        <v>28731</v>
      </c>
      <c r="E676" s="949">
        <v>104</v>
      </c>
      <c r="F676" s="949">
        <v>104</v>
      </c>
      <c r="G676" s="950" t="s">
        <v>7465</v>
      </c>
      <c r="H676" s="950" t="s">
        <v>378</v>
      </c>
      <c r="I676" s="951" t="s">
        <v>16750</v>
      </c>
      <c r="J676" s="947" t="s">
        <v>16751</v>
      </c>
      <c r="K676" s="143"/>
    </row>
    <row r="677" spans="1:11">
      <c r="A677" s="946" t="s">
        <v>28614</v>
      </c>
      <c r="B677" s="947" t="s">
        <v>16982</v>
      </c>
      <c r="C677" s="948" t="s">
        <v>16980</v>
      </c>
      <c r="D677" s="242" t="s">
        <v>28731</v>
      </c>
      <c r="E677" s="949">
        <v>104</v>
      </c>
      <c r="F677" s="949">
        <v>104</v>
      </c>
      <c r="G677" s="950" t="s">
        <v>7465</v>
      </c>
      <c r="H677" s="950" t="s">
        <v>378</v>
      </c>
      <c r="I677" s="951" t="s">
        <v>16981</v>
      </c>
      <c r="J677" s="947" t="s">
        <v>16982</v>
      </c>
      <c r="K677" s="143"/>
    </row>
    <row r="678" spans="1:11">
      <c r="A678" s="946" t="s">
        <v>28614</v>
      </c>
      <c r="B678" s="947" t="s">
        <v>17102</v>
      </c>
      <c r="C678" s="948" t="s">
        <v>17100</v>
      </c>
      <c r="D678" s="242" t="s">
        <v>28731</v>
      </c>
      <c r="E678" s="949">
        <v>104</v>
      </c>
      <c r="F678" s="949">
        <v>104</v>
      </c>
      <c r="G678" s="950" t="s">
        <v>7465</v>
      </c>
      <c r="H678" s="950" t="s">
        <v>378</v>
      </c>
      <c r="I678" s="951" t="s">
        <v>17101</v>
      </c>
      <c r="J678" s="947" t="s">
        <v>17102</v>
      </c>
      <c r="K678" s="143"/>
    </row>
    <row r="679" spans="1:11">
      <c r="A679" s="946" t="s">
        <v>28614</v>
      </c>
      <c r="B679" s="947" t="s">
        <v>17239</v>
      </c>
      <c r="C679" s="948" t="s">
        <v>17237</v>
      </c>
      <c r="D679" s="242" t="s">
        <v>28731</v>
      </c>
      <c r="E679" s="949">
        <v>104</v>
      </c>
      <c r="F679" s="949">
        <v>104</v>
      </c>
      <c r="G679" s="950" t="s">
        <v>7465</v>
      </c>
      <c r="H679" s="950" t="s">
        <v>378</v>
      </c>
      <c r="I679" s="951" t="s">
        <v>17238</v>
      </c>
      <c r="J679" s="947" t="s">
        <v>17239</v>
      </c>
      <c r="K679" s="143"/>
    </row>
    <row r="680" spans="1:11">
      <c r="A680" s="946" t="s">
        <v>28614</v>
      </c>
      <c r="B680" s="947" t="s">
        <v>17245</v>
      </c>
      <c r="C680" s="948" t="s">
        <v>17243</v>
      </c>
      <c r="D680" s="242" t="s">
        <v>28731</v>
      </c>
      <c r="E680" s="949">
        <v>104</v>
      </c>
      <c r="F680" s="949">
        <v>104</v>
      </c>
      <c r="G680" s="950" t="s">
        <v>7465</v>
      </c>
      <c r="H680" s="950" t="s">
        <v>378</v>
      </c>
      <c r="I680" s="951" t="s">
        <v>17244</v>
      </c>
      <c r="J680" s="947" t="s">
        <v>17245</v>
      </c>
      <c r="K680" s="143"/>
    </row>
    <row r="681" spans="1:11">
      <c r="A681" s="946" t="s">
        <v>28614</v>
      </c>
      <c r="B681" s="947" t="s">
        <v>17272</v>
      </c>
      <c r="C681" s="948" t="s">
        <v>17270</v>
      </c>
      <c r="D681" s="242" t="s">
        <v>28731</v>
      </c>
      <c r="E681" s="949">
        <v>104</v>
      </c>
      <c r="F681" s="949">
        <v>104</v>
      </c>
      <c r="G681" s="950" t="s">
        <v>7465</v>
      </c>
      <c r="H681" s="950" t="s">
        <v>378</v>
      </c>
      <c r="I681" s="951" t="s">
        <v>17271</v>
      </c>
      <c r="J681" s="947" t="s">
        <v>17272</v>
      </c>
      <c r="K681" s="143"/>
    </row>
    <row r="682" spans="1:11">
      <c r="A682" s="946" t="s">
        <v>28614</v>
      </c>
      <c r="B682" s="947" t="s">
        <v>17284</v>
      </c>
      <c r="C682" s="948" t="s">
        <v>17282</v>
      </c>
      <c r="D682" s="242" t="s">
        <v>28731</v>
      </c>
      <c r="E682" s="949">
        <v>104</v>
      </c>
      <c r="F682" s="949">
        <v>104</v>
      </c>
      <c r="G682" s="950" t="s">
        <v>7465</v>
      </c>
      <c r="H682" s="950" t="s">
        <v>378</v>
      </c>
      <c r="I682" s="951" t="s">
        <v>17283</v>
      </c>
      <c r="J682" s="947" t="s">
        <v>17284</v>
      </c>
      <c r="K682" s="143"/>
    </row>
    <row r="683" spans="1:11">
      <c r="A683" s="946" t="s">
        <v>28614</v>
      </c>
      <c r="B683" s="947" t="s">
        <v>17306</v>
      </c>
      <c r="C683" s="948" t="s">
        <v>17304</v>
      </c>
      <c r="D683" s="242" t="s">
        <v>28731</v>
      </c>
      <c r="E683" s="949">
        <v>104</v>
      </c>
      <c r="F683" s="949">
        <v>104</v>
      </c>
      <c r="G683" s="950" t="s">
        <v>7465</v>
      </c>
      <c r="H683" s="950" t="s">
        <v>378</v>
      </c>
      <c r="I683" s="951" t="s">
        <v>17305</v>
      </c>
      <c r="J683" s="947" t="s">
        <v>17306</v>
      </c>
      <c r="K683" s="143"/>
    </row>
    <row r="684" spans="1:11">
      <c r="A684" s="946" t="s">
        <v>28614</v>
      </c>
      <c r="B684" s="947" t="s">
        <v>17341</v>
      </c>
      <c r="C684" s="948" t="s">
        <v>17339</v>
      </c>
      <c r="D684" s="242" t="s">
        <v>28731</v>
      </c>
      <c r="E684" s="949">
        <v>104</v>
      </c>
      <c r="F684" s="949">
        <v>104</v>
      </c>
      <c r="G684" s="950" t="s">
        <v>7465</v>
      </c>
      <c r="H684" s="950" t="s">
        <v>378</v>
      </c>
      <c r="I684" s="951" t="s">
        <v>17340</v>
      </c>
      <c r="J684" s="947" t="s">
        <v>17341</v>
      </c>
      <c r="K684" s="143"/>
    </row>
    <row r="685" spans="1:11">
      <c r="A685" s="946" t="s">
        <v>28614</v>
      </c>
      <c r="B685" s="947" t="s">
        <v>17356</v>
      </c>
      <c r="C685" s="948" t="s">
        <v>17354</v>
      </c>
      <c r="D685" s="242" t="s">
        <v>28731</v>
      </c>
      <c r="E685" s="949">
        <v>104</v>
      </c>
      <c r="F685" s="949">
        <v>104</v>
      </c>
      <c r="G685" s="950" t="s">
        <v>7465</v>
      </c>
      <c r="H685" s="950" t="s">
        <v>378</v>
      </c>
      <c r="I685" s="951" t="s">
        <v>17355</v>
      </c>
      <c r="J685" s="947" t="s">
        <v>17356</v>
      </c>
      <c r="K685" s="143"/>
    </row>
    <row r="686" spans="1:11">
      <c r="A686" s="946" t="s">
        <v>28614</v>
      </c>
      <c r="B686" s="947" t="s">
        <v>17380</v>
      </c>
      <c r="C686" s="948" t="s">
        <v>17378</v>
      </c>
      <c r="D686" s="242" t="s">
        <v>28731</v>
      </c>
      <c r="E686" s="949">
        <v>104</v>
      </c>
      <c r="F686" s="949">
        <v>104</v>
      </c>
      <c r="G686" s="950" t="s">
        <v>7465</v>
      </c>
      <c r="H686" s="950" t="s">
        <v>378</v>
      </c>
      <c r="I686" s="951" t="s">
        <v>17379</v>
      </c>
      <c r="J686" s="947" t="s">
        <v>17380</v>
      </c>
      <c r="K686" s="143"/>
    </row>
    <row r="687" spans="1:11">
      <c r="A687" s="946" t="s">
        <v>28614</v>
      </c>
      <c r="B687" s="947" t="s">
        <v>17510</v>
      </c>
      <c r="C687" s="948" t="s">
        <v>17508</v>
      </c>
      <c r="D687" s="242" t="s">
        <v>28731</v>
      </c>
      <c r="E687" s="949">
        <v>104</v>
      </c>
      <c r="F687" s="949">
        <v>104</v>
      </c>
      <c r="G687" s="950" t="s">
        <v>7465</v>
      </c>
      <c r="H687" s="950" t="s">
        <v>378</v>
      </c>
      <c r="I687" s="951" t="s">
        <v>17509</v>
      </c>
      <c r="J687" s="947" t="s">
        <v>17510</v>
      </c>
      <c r="K687" s="143"/>
    </row>
    <row r="688" spans="1:11">
      <c r="A688" s="946" t="s">
        <v>28614</v>
      </c>
      <c r="B688" s="947" t="s">
        <v>18338</v>
      </c>
      <c r="C688" s="948" t="s">
        <v>18336</v>
      </c>
      <c r="D688" s="242" t="s">
        <v>28731</v>
      </c>
      <c r="E688" s="949">
        <v>104</v>
      </c>
      <c r="F688" s="949">
        <v>104</v>
      </c>
      <c r="G688" s="950" t="s">
        <v>7465</v>
      </c>
      <c r="H688" s="950" t="s">
        <v>378</v>
      </c>
      <c r="I688" s="951" t="s">
        <v>18337</v>
      </c>
      <c r="J688" s="947" t="s">
        <v>18338</v>
      </c>
      <c r="K688" s="143"/>
    </row>
    <row r="689" spans="1:11">
      <c r="A689" s="946" t="s">
        <v>28614</v>
      </c>
      <c r="B689" s="947" t="s">
        <v>18341</v>
      </c>
      <c r="C689" s="948" t="s">
        <v>18339</v>
      </c>
      <c r="D689" s="242" t="s">
        <v>28731</v>
      </c>
      <c r="E689" s="949">
        <v>104</v>
      </c>
      <c r="F689" s="949">
        <v>104</v>
      </c>
      <c r="G689" s="950" t="s">
        <v>7465</v>
      </c>
      <c r="H689" s="950" t="s">
        <v>378</v>
      </c>
      <c r="I689" s="951" t="s">
        <v>18340</v>
      </c>
      <c r="J689" s="947" t="s">
        <v>18341</v>
      </c>
      <c r="K689" s="143"/>
    </row>
    <row r="690" spans="1:11">
      <c r="A690" s="946" t="s">
        <v>28614</v>
      </c>
      <c r="B690" s="947" t="s">
        <v>17986</v>
      </c>
      <c r="C690" s="948" t="s">
        <v>17984</v>
      </c>
      <c r="D690" s="242" t="s">
        <v>28731</v>
      </c>
      <c r="E690" s="949">
        <v>104</v>
      </c>
      <c r="F690" s="949">
        <v>104</v>
      </c>
      <c r="G690" s="950" t="s">
        <v>7465</v>
      </c>
      <c r="H690" s="950" t="s">
        <v>378</v>
      </c>
      <c r="I690" s="951" t="s">
        <v>17985</v>
      </c>
      <c r="J690" s="947" t="s">
        <v>17986</v>
      </c>
      <c r="K690" s="143"/>
    </row>
    <row r="691" spans="1:11">
      <c r="A691" s="946" t="s">
        <v>28614</v>
      </c>
      <c r="B691" s="947" t="s">
        <v>18573</v>
      </c>
      <c r="C691" s="948" t="s">
        <v>18571</v>
      </c>
      <c r="D691" s="242" t="s">
        <v>28731</v>
      </c>
      <c r="E691" s="949">
        <v>104</v>
      </c>
      <c r="F691" s="949">
        <v>104</v>
      </c>
      <c r="G691" s="950" t="s">
        <v>7465</v>
      </c>
      <c r="H691" s="950" t="s">
        <v>378</v>
      </c>
      <c r="I691" s="951" t="s">
        <v>18572</v>
      </c>
      <c r="J691" s="947" t="s">
        <v>18573</v>
      </c>
      <c r="K691" s="143"/>
    </row>
    <row r="692" spans="1:11">
      <c r="A692" s="946" t="s">
        <v>28614</v>
      </c>
      <c r="B692" s="947" t="s">
        <v>18532</v>
      </c>
      <c r="C692" s="948" t="s">
        <v>18530</v>
      </c>
      <c r="D692" s="242" t="s">
        <v>28731</v>
      </c>
      <c r="E692" s="949">
        <v>104</v>
      </c>
      <c r="F692" s="949">
        <v>104</v>
      </c>
      <c r="G692" s="950" t="s">
        <v>7465</v>
      </c>
      <c r="H692" s="950" t="s">
        <v>378</v>
      </c>
      <c r="I692" s="951" t="s">
        <v>18531</v>
      </c>
      <c r="J692" s="947" t="s">
        <v>18532</v>
      </c>
      <c r="K692" s="143"/>
    </row>
    <row r="693" spans="1:11">
      <c r="A693" s="946" t="s">
        <v>28614</v>
      </c>
      <c r="B693" s="947" t="s">
        <v>18756</v>
      </c>
      <c r="C693" s="948" t="s">
        <v>18754</v>
      </c>
      <c r="D693" s="242" t="s">
        <v>28731</v>
      </c>
      <c r="E693" s="949">
        <v>104</v>
      </c>
      <c r="F693" s="949">
        <v>104</v>
      </c>
      <c r="G693" s="950" t="s">
        <v>7465</v>
      </c>
      <c r="H693" s="950" t="s">
        <v>378</v>
      </c>
      <c r="I693" s="951" t="s">
        <v>18755</v>
      </c>
      <c r="J693" s="947" t="s">
        <v>18756</v>
      </c>
      <c r="K693" s="143"/>
    </row>
    <row r="694" spans="1:11">
      <c r="A694" s="946" t="s">
        <v>28614</v>
      </c>
      <c r="B694" s="947" t="s">
        <v>18789</v>
      </c>
      <c r="C694" s="948" t="s">
        <v>18787</v>
      </c>
      <c r="D694" s="242" t="s">
        <v>28731</v>
      </c>
      <c r="E694" s="949">
        <v>104</v>
      </c>
      <c r="F694" s="949">
        <v>104</v>
      </c>
      <c r="G694" s="950" t="s">
        <v>7465</v>
      </c>
      <c r="H694" s="950" t="s">
        <v>378</v>
      </c>
      <c r="I694" s="951" t="s">
        <v>18788</v>
      </c>
      <c r="J694" s="947" t="s">
        <v>18789</v>
      </c>
      <c r="K694" s="143"/>
    </row>
    <row r="695" spans="1:11">
      <c r="A695" s="946" t="s">
        <v>28614</v>
      </c>
      <c r="B695" s="947" t="s">
        <v>18957</v>
      </c>
      <c r="C695" s="948" t="s">
        <v>18955</v>
      </c>
      <c r="D695" s="242" t="s">
        <v>28731</v>
      </c>
      <c r="E695" s="949">
        <v>104</v>
      </c>
      <c r="F695" s="949">
        <v>104</v>
      </c>
      <c r="G695" s="950" t="s">
        <v>7465</v>
      </c>
      <c r="H695" s="950" t="s">
        <v>378</v>
      </c>
      <c r="I695" s="951" t="s">
        <v>18956</v>
      </c>
      <c r="J695" s="947" t="s">
        <v>18957</v>
      </c>
      <c r="K695" s="143"/>
    </row>
    <row r="696" spans="1:11">
      <c r="A696" s="946" t="s">
        <v>28614</v>
      </c>
      <c r="B696" s="947" t="s">
        <v>18996</v>
      </c>
      <c r="C696" s="948" t="s">
        <v>18994</v>
      </c>
      <c r="D696" s="242" t="s">
        <v>28731</v>
      </c>
      <c r="E696" s="949">
        <v>104</v>
      </c>
      <c r="F696" s="949">
        <v>104</v>
      </c>
      <c r="G696" s="950" t="s">
        <v>7465</v>
      </c>
      <c r="H696" s="950" t="s">
        <v>378</v>
      </c>
      <c r="I696" s="951" t="s">
        <v>18995</v>
      </c>
      <c r="J696" s="947" t="s">
        <v>18996</v>
      </c>
      <c r="K696" s="143"/>
    </row>
    <row r="697" spans="1:11">
      <c r="A697" s="946" t="s">
        <v>28614</v>
      </c>
      <c r="B697" s="947" t="s">
        <v>19060</v>
      </c>
      <c r="C697" s="948" t="s">
        <v>19058</v>
      </c>
      <c r="D697" s="242" t="s">
        <v>28731</v>
      </c>
      <c r="E697" s="949">
        <v>104</v>
      </c>
      <c r="F697" s="949">
        <v>104</v>
      </c>
      <c r="G697" s="950" t="s">
        <v>7465</v>
      </c>
      <c r="H697" s="950" t="s">
        <v>378</v>
      </c>
      <c r="I697" s="951" t="s">
        <v>19059</v>
      </c>
      <c r="J697" s="947" t="s">
        <v>19060</v>
      </c>
      <c r="K697" s="143"/>
    </row>
    <row r="698" spans="1:11">
      <c r="A698" s="946" t="s">
        <v>28614</v>
      </c>
      <c r="B698" s="947" t="s">
        <v>19339</v>
      </c>
      <c r="C698" s="948" t="s">
        <v>19337</v>
      </c>
      <c r="D698" s="242" t="s">
        <v>28731</v>
      </c>
      <c r="E698" s="949">
        <v>104</v>
      </c>
      <c r="F698" s="949">
        <v>104</v>
      </c>
      <c r="G698" s="950" t="s">
        <v>7465</v>
      </c>
      <c r="H698" s="950" t="s">
        <v>378</v>
      </c>
      <c r="I698" s="951" t="s">
        <v>19338</v>
      </c>
      <c r="J698" s="947" t="s">
        <v>19339</v>
      </c>
      <c r="K698" s="143"/>
    </row>
    <row r="699" spans="1:11">
      <c r="A699" s="946" t="s">
        <v>28614</v>
      </c>
      <c r="B699" s="947" t="s">
        <v>19373</v>
      </c>
      <c r="C699" s="948" t="s">
        <v>19371</v>
      </c>
      <c r="D699" s="242" t="s">
        <v>28731</v>
      </c>
      <c r="E699" s="949">
        <v>104</v>
      </c>
      <c r="F699" s="949">
        <v>104</v>
      </c>
      <c r="G699" s="950" t="s">
        <v>7465</v>
      </c>
      <c r="H699" s="950" t="s">
        <v>378</v>
      </c>
      <c r="I699" s="951" t="s">
        <v>19372</v>
      </c>
      <c r="J699" s="947" t="s">
        <v>19373</v>
      </c>
      <c r="K699" s="143"/>
    </row>
    <row r="700" spans="1:11">
      <c r="A700" s="946" t="s">
        <v>28614</v>
      </c>
      <c r="B700" s="947" t="s">
        <v>19561</v>
      </c>
      <c r="C700" s="948" t="s">
        <v>19559</v>
      </c>
      <c r="D700" s="242" t="s">
        <v>28731</v>
      </c>
      <c r="E700" s="949">
        <v>104</v>
      </c>
      <c r="F700" s="949">
        <v>104</v>
      </c>
      <c r="G700" s="950" t="s">
        <v>7465</v>
      </c>
      <c r="H700" s="950" t="s">
        <v>378</v>
      </c>
      <c r="I700" s="951" t="s">
        <v>19560</v>
      </c>
      <c r="J700" s="947" t="s">
        <v>19561</v>
      </c>
      <c r="K700" s="143"/>
    </row>
    <row r="701" spans="1:11">
      <c r="A701" s="946" t="s">
        <v>28614</v>
      </c>
      <c r="B701" s="947" t="s">
        <v>19684</v>
      </c>
      <c r="C701" s="948" t="s">
        <v>19682</v>
      </c>
      <c r="D701" s="242" t="s">
        <v>28731</v>
      </c>
      <c r="E701" s="949">
        <v>104</v>
      </c>
      <c r="F701" s="949">
        <v>104</v>
      </c>
      <c r="G701" s="950" t="s">
        <v>7465</v>
      </c>
      <c r="H701" s="950" t="s">
        <v>378</v>
      </c>
      <c r="I701" s="951" t="s">
        <v>19683</v>
      </c>
      <c r="J701" s="947" t="s">
        <v>19684</v>
      </c>
      <c r="K701" s="143"/>
    </row>
    <row r="702" spans="1:11">
      <c r="A702" s="946" t="s">
        <v>28614</v>
      </c>
      <c r="B702" s="947" t="s">
        <v>19696</v>
      </c>
      <c r="C702" s="948" t="s">
        <v>19694</v>
      </c>
      <c r="D702" s="242" t="s">
        <v>28731</v>
      </c>
      <c r="E702" s="949">
        <v>104</v>
      </c>
      <c r="F702" s="949">
        <v>104</v>
      </c>
      <c r="G702" s="950" t="s">
        <v>7465</v>
      </c>
      <c r="H702" s="950" t="s">
        <v>378</v>
      </c>
      <c r="I702" s="951" t="s">
        <v>19695</v>
      </c>
      <c r="J702" s="947" t="s">
        <v>19696</v>
      </c>
      <c r="K702" s="143"/>
    </row>
    <row r="703" spans="1:11">
      <c r="A703" s="946" t="s">
        <v>28614</v>
      </c>
      <c r="B703" s="947" t="s">
        <v>19699</v>
      </c>
      <c r="C703" s="948" t="s">
        <v>19697</v>
      </c>
      <c r="D703" s="242" t="s">
        <v>28731</v>
      </c>
      <c r="E703" s="949">
        <v>104</v>
      </c>
      <c r="F703" s="949">
        <v>104</v>
      </c>
      <c r="G703" s="950" t="s">
        <v>7465</v>
      </c>
      <c r="H703" s="950" t="s">
        <v>378</v>
      </c>
      <c r="I703" s="951" t="s">
        <v>19698</v>
      </c>
      <c r="J703" s="947" t="s">
        <v>19699</v>
      </c>
      <c r="K703" s="143"/>
    </row>
    <row r="704" spans="1:11">
      <c r="A704" s="946" t="s">
        <v>28614</v>
      </c>
      <c r="B704" s="947" t="s">
        <v>20071</v>
      </c>
      <c r="C704" s="948" t="s">
        <v>20069</v>
      </c>
      <c r="D704" s="242" t="s">
        <v>28731</v>
      </c>
      <c r="E704" s="949">
        <v>104</v>
      </c>
      <c r="F704" s="949">
        <v>104</v>
      </c>
      <c r="G704" s="950" t="s">
        <v>7465</v>
      </c>
      <c r="H704" s="950" t="s">
        <v>378</v>
      </c>
      <c r="I704" s="951" t="s">
        <v>20070</v>
      </c>
      <c r="J704" s="947" t="s">
        <v>20071</v>
      </c>
      <c r="K704" s="143"/>
    </row>
    <row r="705" spans="1:11">
      <c r="A705" s="946" t="s">
        <v>28614</v>
      </c>
      <c r="B705" s="947" t="s">
        <v>20210</v>
      </c>
      <c r="C705" s="948" t="s">
        <v>20208</v>
      </c>
      <c r="D705" s="242" t="s">
        <v>28731</v>
      </c>
      <c r="E705" s="949">
        <v>104</v>
      </c>
      <c r="F705" s="949">
        <v>104</v>
      </c>
      <c r="G705" s="950" t="s">
        <v>7465</v>
      </c>
      <c r="H705" s="950" t="s">
        <v>378</v>
      </c>
      <c r="I705" s="951" t="s">
        <v>20209</v>
      </c>
      <c r="J705" s="947" t="s">
        <v>20210</v>
      </c>
      <c r="K705" s="143"/>
    </row>
    <row r="706" spans="1:11">
      <c r="A706" s="946" t="s">
        <v>28614</v>
      </c>
      <c r="B706" s="947" t="s">
        <v>20639</v>
      </c>
      <c r="C706" s="948" t="s">
        <v>20637</v>
      </c>
      <c r="D706" s="242" t="s">
        <v>28731</v>
      </c>
      <c r="E706" s="949">
        <v>104</v>
      </c>
      <c r="F706" s="949">
        <v>104</v>
      </c>
      <c r="G706" s="950" t="s">
        <v>7465</v>
      </c>
      <c r="H706" s="950" t="s">
        <v>378</v>
      </c>
      <c r="I706" s="951" t="s">
        <v>20638</v>
      </c>
      <c r="J706" s="947" t="s">
        <v>20639</v>
      </c>
      <c r="K706" s="143"/>
    </row>
    <row r="707" spans="1:11">
      <c r="A707" s="946" t="s">
        <v>28614</v>
      </c>
      <c r="B707" s="947" t="s">
        <v>20682</v>
      </c>
      <c r="C707" s="948" t="s">
        <v>20680</v>
      </c>
      <c r="D707" s="242" t="s">
        <v>28731</v>
      </c>
      <c r="E707" s="949">
        <v>104</v>
      </c>
      <c r="F707" s="949">
        <v>104</v>
      </c>
      <c r="G707" s="950" t="s">
        <v>7465</v>
      </c>
      <c r="H707" s="950" t="s">
        <v>378</v>
      </c>
      <c r="I707" s="951" t="s">
        <v>20681</v>
      </c>
      <c r="J707" s="947" t="s">
        <v>20682</v>
      </c>
      <c r="K707" s="143"/>
    </row>
    <row r="708" spans="1:11">
      <c r="A708" s="946" t="s">
        <v>28614</v>
      </c>
      <c r="B708" s="947" t="s">
        <v>20694</v>
      </c>
      <c r="C708" s="948" t="s">
        <v>20692</v>
      </c>
      <c r="D708" s="242" t="s">
        <v>28731</v>
      </c>
      <c r="E708" s="949">
        <v>104</v>
      </c>
      <c r="F708" s="949">
        <v>104</v>
      </c>
      <c r="G708" s="950" t="s">
        <v>7465</v>
      </c>
      <c r="H708" s="950" t="s">
        <v>378</v>
      </c>
      <c r="I708" s="951" t="s">
        <v>20693</v>
      </c>
      <c r="J708" s="947" t="s">
        <v>20694</v>
      </c>
      <c r="K708" s="143"/>
    </row>
    <row r="709" spans="1:11">
      <c r="A709" s="946" t="s">
        <v>28614</v>
      </c>
      <c r="B709" s="947" t="s">
        <v>20726</v>
      </c>
      <c r="C709" s="948" t="s">
        <v>20724</v>
      </c>
      <c r="D709" s="242" t="s">
        <v>28731</v>
      </c>
      <c r="E709" s="949">
        <v>104</v>
      </c>
      <c r="F709" s="949">
        <v>104</v>
      </c>
      <c r="G709" s="950" t="s">
        <v>7465</v>
      </c>
      <c r="H709" s="950" t="s">
        <v>378</v>
      </c>
      <c r="I709" s="951" t="s">
        <v>20725</v>
      </c>
      <c r="J709" s="947" t="s">
        <v>20726</v>
      </c>
      <c r="K709" s="143"/>
    </row>
    <row r="710" spans="1:11">
      <c r="A710" s="946" t="s">
        <v>28614</v>
      </c>
      <c r="B710" s="947" t="s">
        <v>20919</v>
      </c>
      <c r="C710" s="948" t="s">
        <v>20917</v>
      </c>
      <c r="D710" s="242" t="s">
        <v>28731</v>
      </c>
      <c r="E710" s="949">
        <v>104</v>
      </c>
      <c r="F710" s="949">
        <v>104</v>
      </c>
      <c r="G710" s="950" t="s">
        <v>7465</v>
      </c>
      <c r="H710" s="950" t="s">
        <v>378</v>
      </c>
      <c r="I710" s="951" t="s">
        <v>20918</v>
      </c>
      <c r="J710" s="947" t="s">
        <v>20919</v>
      </c>
      <c r="K710" s="143"/>
    </row>
    <row r="711" spans="1:11">
      <c r="A711" s="946" t="s">
        <v>28614</v>
      </c>
      <c r="B711" s="947" t="s">
        <v>21001</v>
      </c>
      <c r="C711" s="948" t="s">
        <v>20999</v>
      </c>
      <c r="D711" s="242" t="s">
        <v>28731</v>
      </c>
      <c r="E711" s="949">
        <v>104</v>
      </c>
      <c r="F711" s="949">
        <v>104</v>
      </c>
      <c r="G711" s="950" t="s">
        <v>7465</v>
      </c>
      <c r="H711" s="950" t="s">
        <v>378</v>
      </c>
      <c r="I711" s="951" t="s">
        <v>21000</v>
      </c>
      <c r="J711" s="947" t="s">
        <v>21001</v>
      </c>
      <c r="K711" s="143"/>
    </row>
    <row r="712" spans="1:11">
      <c r="A712" s="946" t="s">
        <v>28614</v>
      </c>
      <c r="B712" s="947" t="s">
        <v>21038</v>
      </c>
      <c r="C712" s="948" t="s">
        <v>21036</v>
      </c>
      <c r="D712" s="242" t="s">
        <v>28731</v>
      </c>
      <c r="E712" s="949">
        <v>104</v>
      </c>
      <c r="F712" s="949">
        <v>104</v>
      </c>
      <c r="G712" s="950" t="s">
        <v>7465</v>
      </c>
      <c r="H712" s="950" t="s">
        <v>378</v>
      </c>
      <c r="I712" s="951" t="s">
        <v>21037</v>
      </c>
      <c r="J712" s="947" t="s">
        <v>21038</v>
      </c>
      <c r="K712" s="143"/>
    </row>
    <row r="713" spans="1:11">
      <c r="A713" s="946" t="s">
        <v>28614</v>
      </c>
      <c r="B713" s="947" t="s">
        <v>21324</v>
      </c>
      <c r="C713" s="948" t="s">
        <v>21322</v>
      </c>
      <c r="D713" s="242" t="s">
        <v>28731</v>
      </c>
      <c r="E713" s="949">
        <v>104</v>
      </c>
      <c r="F713" s="949">
        <v>104</v>
      </c>
      <c r="G713" s="950" t="s">
        <v>7465</v>
      </c>
      <c r="H713" s="950" t="s">
        <v>378</v>
      </c>
      <c r="I713" s="951" t="s">
        <v>21323</v>
      </c>
      <c r="J713" s="947" t="s">
        <v>21324</v>
      </c>
      <c r="K713" s="143"/>
    </row>
    <row r="714" spans="1:11">
      <c r="A714" s="946" t="s">
        <v>28614</v>
      </c>
      <c r="B714" s="947" t="s">
        <v>21378</v>
      </c>
      <c r="C714" s="948" t="s">
        <v>21376</v>
      </c>
      <c r="D714" s="242" t="s">
        <v>28731</v>
      </c>
      <c r="E714" s="949">
        <v>104</v>
      </c>
      <c r="F714" s="949">
        <v>104</v>
      </c>
      <c r="G714" s="950" t="s">
        <v>7465</v>
      </c>
      <c r="H714" s="950" t="s">
        <v>378</v>
      </c>
      <c r="I714" s="951" t="s">
        <v>21377</v>
      </c>
      <c r="J714" s="947" t="s">
        <v>21378</v>
      </c>
      <c r="K714" s="143"/>
    </row>
    <row r="715" spans="1:11">
      <c r="A715" s="946" t="s">
        <v>28614</v>
      </c>
      <c r="B715" s="947" t="s">
        <v>21487</v>
      </c>
      <c r="C715" s="948" t="s">
        <v>21485</v>
      </c>
      <c r="D715" s="242" t="s">
        <v>28731</v>
      </c>
      <c r="E715" s="949">
        <v>104</v>
      </c>
      <c r="F715" s="949">
        <v>104</v>
      </c>
      <c r="G715" s="950" t="s">
        <v>7465</v>
      </c>
      <c r="H715" s="950" t="s">
        <v>378</v>
      </c>
      <c r="I715" s="951" t="s">
        <v>21486</v>
      </c>
      <c r="J715" s="947" t="s">
        <v>21487</v>
      </c>
      <c r="K715" s="143"/>
    </row>
    <row r="716" spans="1:11">
      <c r="A716" s="946" t="s">
        <v>28614</v>
      </c>
      <c r="B716" s="947" t="s">
        <v>21683</v>
      </c>
      <c r="C716" s="948" t="s">
        <v>21681</v>
      </c>
      <c r="D716" s="242" t="s">
        <v>28731</v>
      </c>
      <c r="E716" s="949">
        <v>104</v>
      </c>
      <c r="F716" s="949">
        <v>104</v>
      </c>
      <c r="G716" s="950" t="s">
        <v>7465</v>
      </c>
      <c r="H716" s="950" t="s">
        <v>378</v>
      </c>
      <c r="I716" s="951" t="s">
        <v>21682</v>
      </c>
      <c r="J716" s="947" t="s">
        <v>21683</v>
      </c>
      <c r="K716" s="143"/>
    </row>
    <row r="717" spans="1:11">
      <c r="A717" s="946" t="s">
        <v>28614</v>
      </c>
      <c r="B717" s="947" t="s">
        <v>21751</v>
      </c>
      <c r="C717" s="948" t="s">
        <v>21749</v>
      </c>
      <c r="D717" s="242" t="s">
        <v>28731</v>
      </c>
      <c r="E717" s="949">
        <v>104</v>
      </c>
      <c r="F717" s="949">
        <v>104</v>
      </c>
      <c r="G717" s="950" t="s">
        <v>7465</v>
      </c>
      <c r="H717" s="950" t="s">
        <v>378</v>
      </c>
      <c r="I717" s="951" t="s">
        <v>21750</v>
      </c>
      <c r="J717" s="947" t="s">
        <v>21751</v>
      </c>
      <c r="K717" s="143"/>
    </row>
    <row r="718" spans="1:11">
      <c r="A718" s="946" t="s">
        <v>28614</v>
      </c>
      <c r="B718" s="947" t="s">
        <v>21766</v>
      </c>
      <c r="C718" s="948" t="s">
        <v>21764</v>
      </c>
      <c r="D718" s="242" t="s">
        <v>28731</v>
      </c>
      <c r="E718" s="949">
        <v>104</v>
      </c>
      <c r="F718" s="949">
        <v>104</v>
      </c>
      <c r="G718" s="950" t="s">
        <v>7465</v>
      </c>
      <c r="H718" s="950" t="s">
        <v>378</v>
      </c>
      <c r="I718" s="951" t="s">
        <v>21765</v>
      </c>
      <c r="J718" s="947" t="s">
        <v>21766</v>
      </c>
      <c r="K718" s="143"/>
    </row>
    <row r="719" spans="1:11">
      <c r="A719" s="946" t="s">
        <v>28614</v>
      </c>
      <c r="B719" s="947" t="s">
        <v>21836</v>
      </c>
      <c r="C719" s="948" t="s">
        <v>21834</v>
      </c>
      <c r="D719" s="242" t="s">
        <v>28731</v>
      </c>
      <c r="E719" s="949">
        <v>104</v>
      </c>
      <c r="F719" s="949">
        <v>104</v>
      </c>
      <c r="G719" s="950" t="s">
        <v>7465</v>
      </c>
      <c r="H719" s="950" t="s">
        <v>378</v>
      </c>
      <c r="I719" s="951" t="s">
        <v>21835</v>
      </c>
      <c r="J719" s="947" t="s">
        <v>21836</v>
      </c>
      <c r="K719" s="143"/>
    </row>
    <row r="720" spans="1:11">
      <c r="A720" s="946" t="s">
        <v>28614</v>
      </c>
      <c r="B720" s="947" t="s">
        <v>21869</v>
      </c>
      <c r="C720" s="948" t="s">
        <v>21867</v>
      </c>
      <c r="D720" s="242" t="s">
        <v>28731</v>
      </c>
      <c r="E720" s="949">
        <v>104</v>
      </c>
      <c r="F720" s="949">
        <v>104</v>
      </c>
      <c r="G720" s="950" t="s">
        <v>7465</v>
      </c>
      <c r="H720" s="950" t="s">
        <v>378</v>
      </c>
      <c r="I720" s="951" t="s">
        <v>21868</v>
      </c>
      <c r="J720" s="947" t="s">
        <v>21869</v>
      </c>
      <c r="K720" s="143"/>
    </row>
    <row r="721" spans="1:11">
      <c r="A721" s="946" t="s">
        <v>28614</v>
      </c>
      <c r="B721" s="947" t="s">
        <v>21934</v>
      </c>
      <c r="C721" s="948" t="s">
        <v>21932</v>
      </c>
      <c r="D721" s="242" t="s">
        <v>28731</v>
      </c>
      <c r="E721" s="949">
        <v>104</v>
      </c>
      <c r="F721" s="949">
        <v>104</v>
      </c>
      <c r="G721" s="950" t="s">
        <v>7465</v>
      </c>
      <c r="H721" s="950" t="s">
        <v>378</v>
      </c>
      <c r="I721" s="951" t="s">
        <v>21933</v>
      </c>
      <c r="J721" s="947" t="s">
        <v>21934</v>
      </c>
      <c r="K721" s="143"/>
    </row>
    <row r="722" spans="1:11">
      <c r="A722" s="946" t="s">
        <v>28614</v>
      </c>
      <c r="B722" s="947" t="s">
        <v>22017</v>
      </c>
      <c r="C722" s="948" t="s">
        <v>22015</v>
      </c>
      <c r="D722" s="242" t="s">
        <v>28731</v>
      </c>
      <c r="E722" s="949">
        <v>104</v>
      </c>
      <c r="F722" s="949">
        <v>104</v>
      </c>
      <c r="G722" s="950" t="s">
        <v>7465</v>
      </c>
      <c r="H722" s="950" t="s">
        <v>378</v>
      </c>
      <c r="I722" s="951" t="s">
        <v>22016</v>
      </c>
      <c r="J722" s="947" t="s">
        <v>22017</v>
      </c>
      <c r="K722" s="143"/>
    </row>
    <row r="723" spans="1:11">
      <c r="A723" s="946" t="s">
        <v>28614</v>
      </c>
      <c r="B723" s="947" t="s">
        <v>22167</v>
      </c>
      <c r="C723" s="948" t="s">
        <v>22165</v>
      </c>
      <c r="D723" s="242" t="s">
        <v>28731</v>
      </c>
      <c r="E723" s="949">
        <v>104</v>
      </c>
      <c r="F723" s="949">
        <v>104</v>
      </c>
      <c r="G723" s="950" t="s">
        <v>7465</v>
      </c>
      <c r="H723" s="950" t="s">
        <v>378</v>
      </c>
      <c r="I723" s="951" t="s">
        <v>22166</v>
      </c>
      <c r="J723" s="947" t="s">
        <v>22167</v>
      </c>
      <c r="K723" s="143"/>
    </row>
    <row r="724" spans="1:11">
      <c r="A724" s="946" t="s">
        <v>28614</v>
      </c>
      <c r="B724" s="947" t="s">
        <v>22255</v>
      </c>
      <c r="C724" s="948" t="s">
        <v>22253</v>
      </c>
      <c r="D724" s="242" t="s">
        <v>28731</v>
      </c>
      <c r="E724" s="949">
        <v>104</v>
      </c>
      <c r="F724" s="949">
        <v>104</v>
      </c>
      <c r="G724" s="950" t="s">
        <v>7465</v>
      </c>
      <c r="H724" s="950" t="s">
        <v>378</v>
      </c>
      <c r="I724" s="951" t="s">
        <v>22254</v>
      </c>
      <c r="J724" s="947" t="s">
        <v>22255</v>
      </c>
      <c r="K724" s="143"/>
    </row>
    <row r="725" spans="1:11">
      <c r="A725" s="946" t="s">
        <v>28614</v>
      </c>
      <c r="B725" s="947" t="s">
        <v>22263</v>
      </c>
      <c r="C725" s="948" t="s">
        <v>22261</v>
      </c>
      <c r="D725" s="242" t="s">
        <v>28731</v>
      </c>
      <c r="E725" s="949">
        <v>104</v>
      </c>
      <c r="F725" s="949">
        <v>104</v>
      </c>
      <c r="G725" s="950" t="s">
        <v>7465</v>
      </c>
      <c r="H725" s="950" t="s">
        <v>378</v>
      </c>
      <c r="I725" s="951" t="s">
        <v>22262</v>
      </c>
      <c r="J725" s="947" t="s">
        <v>22263</v>
      </c>
      <c r="K725" s="143"/>
    </row>
    <row r="726" spans="1:11">
      <c r="A726" s="946" t="s">
        <v>28614</v>
      </c>
      <c r="B726" s="947" t="s">
        <v>22297</v>
      </c>
      <c r="C726" s="948" t="s">
        <v>22295</v>
      </c>
      <c r="D726" s="242" t="s">
        <v>28731</v>
      </c>
      <c r="E726" s="949">
        <v>104</v>
      </c>
      <c r="F726" s="949">
        <v>104</v>
      </c>
      <c r="G726" s="950" t="s">
        <v>7465</v>
      </c>
      <c r="H726" s="950" t="s">
        <v>378</v>
      </c>
      <c r="I726" s="951" t="s">
        <v>22296</v>
      </c>
      <c r="J726" s="947" t="s">
        <v>22297</v>
      </c>
      <c r="K726" s="143"/>
    </row>
    <row r="727" spans="1:11">
      <c r="A727" s="946" t="s">
        <v>28614</v>
      </c>
      <c r="B727" s="947" t="s">
        <v>22366</v>
      </c>
      <c r="C727" s="948" t="s">
        <v>22364</v>
      </c>
      <c r="D727" s="242" t="s">
        <v>28731</v>
      </c>
      <c r="E727" s="949">
        <v>104</v>
      </c>
      <c r="F727" s="949">
        <v>104</v>
      </c>
      <c r="G727" s="950" t="s">
        <v>7465</v>
      </c>
      <c r="H727" s="950" t="s">
        <v>378</v>
      </c>
      <c r="I727" s="951" t="s">
        <v>22365</v>
      </c>
      <c r="J727" s="947" t="s">
        <v>22366</v>
      </c>
      <c r="K727" s="143"/>
    </row>
    <row r="728" spans="1:11">
      <c r="A728" s="946" t="s">
        <v>28614</v>
      </c>
      <c r="B728" s="947" t="s">
        <v>22384</v>
      </c>
      <c r="C728" s="948" t="s">
        <v>22382</v>
      </c>
      <c r="D728" s="242" t="s">
        <v>28731</v>
      </c>
      <c r="E728" s="949">
        <v>104</v>
      </c>
      <c r="F728" s="949">
        <v>104</v>
      </c>
      <c r="G728" s="950" t="s">
        <v>7465</v>
      </c>
      <c r="H728" s="950" t="s">
        <v>378</v>
      </c>
      <c r="I728" s="951" t="s">
        <v>22383</v>
      </c>
      <c r="J728" s="947" t="s">
        <v>22384</v>
      </c>
      <c r="K728" s="143"/>
    </row>
    <row r="729" spans="1:11">
      <c r="A729" s="946" t="s">
        <v>28614</v>
      </c>
      <c r="B729" s="947" t="s">
        <v>22546</v>
      </c>
      <c r="C729" s="948" t="s">
        <v>22544</v>
      </c>
      <c r="D729" s="242" t="s">
        <v>28731</v>
      </c>
      <c r="E729" s="949">
        <v>104</v>
      </c>
      <c r="F729" s="949">
        <v>104</v>
      </c>
      <c r="G729" s="950" t="s">
        <v>7465</v>
      </c>
      <c r="H729" s="950" t="s">
        <v>378</v>
      </c>
      <c r="I729" s="951" t="s">
        <v>22545</v>
      </c>
      <c r="J729" s="947" t="s">
        <v>22546</v>
      </c>
      <c r="K729" s="143"/>
    </row>
    <row r="730" spans="1:11">
      <c r="A730" s="946" t="s">
        <v>28614</v>
      </c>
      <c r="B730" s="947" t="s">
        <v>596</v>
      </c>
      <c r="C730" s="948" t="s">
        <v>593</v>
      </c>
      <c r="D730" s="242" t="s">
        <v>28733</v>
      </c>
      <c r="E730" s="949">
        <v>105</v>
      </c>
      <c r="F730" s="949">
        <v>105</v>
      </c>
      <c r="G730" s="950" t="s">
        <v>1585</v>
      </c>
      <c r="H730" s="950" t="s">
        <v>594</v>
      </c>
      <c r="I730" s="951" t="s">
        <v>595</v>
      </c>
      <c r="J730" s="947" t="s">
        <v>596</v>
      </c>
      <c r="K730" s="143"/>
    </row>
    <row r="731" spans="1:11">
      <c r="A731" s="946" t="s">
        <v>28614</v>
      </c>
      <c r="B731" s="947" t="s">
        <v>859</v>
      </c>
      <c r="C731" s="948" t="s">
        <v>857</v>
      </c>
      <c r="D731" s="242" t="s">
        <v>28733</v>
      </c>
      <c r="E731" s="949">
        <v>105</v>
      </c>
      <c r="F731" s="949">
        <v>105</v>
      </c>
      <c r="G731" s="950" t="s">
        <v>1585</v>
      </c>
      <c r="H731" s="950" t="s">
        <v>594</v>
      </c>
      <c r="I731" s="951" t="s">
        <v>858</v>
      </c>
      <c r="J731" s="947" t="s">
        <v>859</v>
      </c>
      <c r="K731" s="143"/>
    </row>
    <row r="732" spans="1:11">
      <c r="A732" s="946" t="s">
        <v>28614</v>
      </c>
      <c r="B732" s="947" t="s">
        <v>1202</v>
      </c>
      <c r="C732" s="948" t="s">
        <v>1200</v>
      </c>
      <c r="D732" s="242" t="s">
        <v>28733</v>
      </c>
      <c r="E732" s="949">
        <v>105</v>
      </c>
      <c r="F732" s="949">
        <v>105</v>
      </c>
      <c r="G732" s="950" t="s">
        <v>1585</v>
      </c>
      <c r="H732" s="950" t="s">
        <v>594</v>
      </c>
      <c r="I732" s="951" t="s">
        <v>1201</v>
      </c>
      <c r="J732" s="947" t="s">
        <v>1202</v>
      </c>
      <c r="K732" s="143"/>
    </row>
    <row r="733" spans="1:11">
      <c r="A733" s="946" t="s">
        <v>28614</v>
      </c>
      <c r="B733" s="947" t="s">
        <v>1300</v>
      </c>
      <c r="C733" s="948" t="s">
        <v>1298</v>
      </c>
      <c r="D733" s="242" t="s">
        <v>28733</v>
      </c>
      <c r="E733" s="949">
        <v>105</v>
      </c>
      <c r="F733" s="949">
        <v>105</v>
      </c>
      <c r="G733" s="950" t="s">
        <v>1585</v>
      </c>
      <c r="H733" s="950" t="s">
        <v>594</v>
      </c>
      <c r="I733" s="951" t="s">
        <v>1299</v>
      </c>
      <c r="J733" s="947" t="s">
        <v>1300</v>
      </c>
      <c r="K733" s="143"/>
    </row>
    <row r="734" spans="1:11">
      <c r="A734" s="946" t="s">
        <v>28614</v>
      </c>
      <c r="B734" s="947" t="s">
        <v>1585</v>
      </c>
      <c r="C734" s="948" t="s">
        <v>1583</v>
      </c>
      <c r="D734" s="242" t="s">
        <v>28733</v>
      </c>
      <c r="E734" s="949">
        <v>105</v>
      </c>
      <c r="F734" s="949">
        <v>105</v>
      </c>
      <c r="G734" s="950" t="s">
        <v>1585</v>
      </c>
      <c r="H734" s="950" t="s">
        <v>594</v>
      </c>
      <c r="I734" s="951" t="s">
        <v>1584</v>
      </c>
      <c r="J734" s="947" t="s">
        <v>1585</v>
      </c>
      <c r="K734" s="143"/>
    </row>
    <row r="735" spans="1:11">
      <c r="A735" s="946" t="s">
        <v>28614</v>
      </c>
      <c r="B735" s="947" t="s">
        <v>1709</v>
      </c>
      <c r="C735" s="948" t="s">
        <v>1707</v>
      </c>
      <c r="D735" s="242" t="s">
        <v>28733</v>
      </c>
      <c r="E735" s="949">
        <v>105</v>
      </c>
      <c r="F735" s="949">
        <v>105</v>
      </c>
      <c r="G735" s="950" t="s">
        <v>1585</v>
      </c>
      <c r="H735" s="950" t="s">
        <v>594</v>
      </c>
      <c r="I735" s="951" t="s">
        <v>1708</v>
      </c>
      <c r="J735" s="947" t="s">
        <v>1709</v>
      </c>
      <c r="K735" s="143"/>
    </row>
    <row r="736" spans="1:11">
      <c r="A736" s="946" t="s">
        <v>28614</v>
      </c>
      <c r="B736" s="947" t="s">
        <v>1850</v>
      </c>
      <c r="C736" s="948" t="s">
        <v>1848</v>
      </c>
      <c r="D736" s="242" t="s">
        <v>28733</v>
      </c>
      <c r="E736" s="949">
        <v>105</v>
      </c>
      <c r="F736" s="949">
        <v>105</v>
      </c>
      <c r="G736" s="950" t="s">
        <v>1585</v>
      </c>
      <c r="H736" s="950" t="s">
        <v>594</v>
      </c>
      <c r="I736" s="951" t="s">
        <v>1849</v>
      </c>
      <c r="J736" s="947" t="s">
        <v>1850</v>
      </c>
      <c r="K736" s="143"/>
    </row>
    <row r="737" spans="1:11">
      <c r="A737" s="946" t="s">
        <v>28614</v>
      </c>
      <c r="B737" s="947" t="s">
        <v>2245</v>
      </c>
      <c r="C737" s="948" t="s">
        <v>2243</v>
      </c>
      <c r="D737" s="242" t="s">
        <v>28733</v>
      </c>
      <c r="E737" s="949">
        <v>105</v>
      </c>
      <c r="F737" s="949">
        <v>105</v>
      </c>
      <c r="G737" s="950" t="s">
        <v>1585</v>
      </c>
      <c r="H737" s="950" t="s">
        <v>594</v>
      </c>
      <c r="I737" s="951" t="s">
        <v>2244</v>
      </c>
      <c r="J737" s="947" t="s">
        <v>2245</v>
      </c>
      <c r="K737" s="143"/>
    </row>
    <row r="738" spans="1:11">
      <c r="A738" s="946" t="s">
        <v>28614</v>
      </c>
      <c r="B738" s="947" t="s">
        <v>2330</v>
      </c>
      <c r="C738" s="948" t="s">
        <v>2328</v>
      </c>
      <c r="D738" s="242" t="s">
        <v>28733</v>
      </c>
      <c r="E738" s="949">
        <v>105</v>
      </c>
      <c r="F738" s="949">
        <v>105</v>
      </c>
      <c r="G738" s="950" t="s">
        <v>1585</v>
      </c>
      <c r="H738" s="950" t="s">
        <v>594</v>
      </c>
      <c r="I738" s="951" t="s">
        <v>2329</v>
      </c>
      <c r="J738" s="947" t="s">
        <v>2330</v>
      </c>
      <c r="K738" s="143"/>
    </row>
    <row r="739" spans="1:11">
      <c r="A739" s="946" t="s">
        <v>28614</v>
      </c>
      <c r="B739" s="947" t="s">
        <v>3155</v>
      </c>
      <c r="C739" s="948" t="s">
        <v>3153</v>
      </c>
      <c r="D739" s="242" t="s">
        <v>28733</v>
      </c>
      <c r="E739" s="949">
        <v>105</v>
      </c>
      <c r="F739" s="949">
        <v>105</v>
      </c>
      <c r="G739" s="950" t="s">
        <v>1585</v>
      </c>
      <c r="H739" s="950" t="s">
        <v>594</v>
      </c>
      <c r="I739" s="951" t="s">
        <v>3154</v>
      </c>
      <c r="J739" s="947" t="s">
        <v>3155</v>
      </c>
      <c r="K739" s="143"/>
    </row>
    <row r="740" spans="1:11">
      <c r="A740" s="946" t="s">
        <v>28614</v>
      </c>
      <c r="B740" s="947" t="s">
        <v>3185</v>
      </c>
      <c r="C740" s="948" t="s">
        <v>3183</v>
      </c>
      <c r="D740" s="242" t="s">
        <v>31116</v>
      </c>
      <c r="E740" s="949">
        <v>106</v>
      </c>
      <c r="F740" s="949">
        <v>106</v>
      </c>
      <c r="G740" s="950" t="s">
        <v>1585</v>
      </c>
      <c r="H740" s="950" t="s">
        <v>594</v>
      </c>
      <c r="I740" s="951" t="s">
        <v>3184</v>
      </c>
      <c r="J740" s="947" t="s">
        <v>3185</v>
      </c>
      <c r="K740" s="143"/>
    </row>
    <row r="741" spans="1:11">
      <c r="A741" s="946" t="s">
        <v>28614</v>
      </c>
      <c r="B741" s="947" t="s">
        <v>3327</v>
      </c>
      <c r="C741" s="948" t="s">
        <v>3325</v>
      </c>
      <c r="D741" s="242" t="s">
        <v>28733</v>
      </c>
      <c r="E741" s="949">
        <v>105</v>
      </c>
      <c r="F741" s="949">
        <v>105</v>
      </c>
      <c r="G741" s="950" t="s">
        <v>1585</v>
      </c>
      <c r="H741" s="950" t="s">
        <v>594</v>
      </c>
      <c r="I741" s="951" t="s">
        <v>3326</v>
      </c>
      <c r="J741" s="947" t="s">
        <v>3327</v>
      </c>
      <c r="K741" s="143"/>
    </row>
    <row r="742" spans="1:11">
      <c r="A742" s="946" t="s">
        <v>28614</v>
      </c>
      <c r="B742" s="947" t="s">
        <v>3418</v>
      </c>
      <c r="C742" s="948" t="s">
        <v>3416</v>
      </c>
      <c r="D742" s="242" t="s">
        <v>28733</v>
      </c>
      <c r="E742" s="949">
        <v>105</v>
      </c>
      <c r="F742" s="949">
        <v>105</v>
      </c>
      <c r="G742" s="950" t="s">
        <v>1585</v>
      </c>
      <c r="H742" s="950" t="s">
        <v>594</v>
      </c>
      <c r="I742" s="951" t="s">
        <v>3417</v>
      </c>
      <c r="J742" s="947" t="s">
        <v>3418</v>
      </c>
      <c r="K742" s="143"/>
    </row>
    <row r="743" spans="1:11">
      <c r="A743" s="946" t="s">
        <v>28614</v>
      </c>
      <c r="B743" s="947" t="s">
        <v>31117</v>
      </c>
      <c r="C743" s="948" t="s">
        <v>31118</v>
      </c>
      <c r="D743" s="242" t="s">
        <v>28733</v>
      </c>
      <c r="E743" s="949">
        <v>105</v>
      </c>
      <c r="F743" s="949">
        <v>105</v>
      </c>
      <c r="G743" s="950" t="s">
        <v>1585</v>
      </c>
      <c r="H743" s="950" t="s">
        <v>594</v>
      </c>
      <c r="I743" s="951" t="s">
        <v>3512</v>
      </c>
      <c r="J743" s="947" t="s">
        <v>31117</v>
      </c>
      <c r="K743" s="143"/>
    </row>
    <row r="744" spans="1:11">
      <c r="A744" s="946" t="s">
        <v>28614</v>
      </c>
      <c r="B744" s="947" t="s">
        <v>3522</v>
      </c>
      <c r="C744" s="948" t="s">
        <v>3520</v>
      </c>
      <c r="D744" s="242" t="s">
        <v>28733</v>
      </c>
      <c r="E744" s="949">
        <v>105</v>
      </c>
      <c r="F744" s="949">
        <v>105</v>
      </c>
      <c r="G744" s="950" t="s">
        <v>1585</v>
      </c>
      <c r="H744" s="950" t="s">
        <v>594</v>
      </c>
      <c r="I744" s="951" t="s">
        <v>3521</v>
      </c>
      <c r="J744" s="947" t="s">
        <v>3522</v>
      </c>
      <c r="K744" s="143"/>
    </row>
    <row r="745" spans="1:11">
      <c r="A745" s="946" t="s">
        <v>28614</v>
      </c>
      <c r="B745" s="947" t="s">
        <v>3626</v>
      </c>
      <c r="C745" s="948" t="s">
        <v>3624</v>
      </c>
      <c r="D745" s="242" t="s">
        <v>28733</v>
      </c>
      <c r="E745" s="949">
        <v>105</v>
      </c>
      <c r="F745" s="949">
        <v>105</v>
      </c>
      <c r="G745" s="950" t="s">
        <v>1585</v>
      </c>
      <c r="H745" s="950" t="s">
        <v>594</v>
      </c>
      <c r="I745" s="951" t="s">
        <v>3625</v>
      </c>
      <c r="J745" s="947" t="s">
        <v>3626</v>
      </c>
      <c r="K745" s="143"/>
    </row>
    <row r="746" spans="1:11">
      <c r="A746" s="946" t="s">
        <v>28614</v>
      </c>
      <c r="B746" s="947" t="s">
        <v>3912</v>
      </c>
      <c r="C746" s="948" t="s">
        <v>3910</v>
      </c>
      <c r="D746" s="242" t="s">
        <v>28733</v>
      </c>
      <c r="E746" s="949">
        <v>105</v>
      </c>
      <c r="F746" s="949">
        <v>105</v>
      </c>
      <c r="G746" s="950" t="s">
        <v>1585</v>
      </c>
      <c r="H746" s="950" t="s">
        <v>594</v>
      </c>
      <c r="I746" s="951" t="s">
        <v>3911</v>
      </c>
      <c r="J746" s="947" t="s">
        <v>3912</v>
      </c>
      <c r="K746" s="143"/>
    </row>
    <row r="747" spans="1:11">
      <c r="A747" s="946" t="s">
        <v>28614</v>
      </c>
      <c r="B747" s="947" t="s">
        <v>3996</v>
      </c>
      <c r="C747" s="948" t="s">
        <v>3994</v>
      </c>
      <c r="D747" s="242" t="s">
        <v>28733</v>
      </c>
      <c r="E747" s="949">
        <v>105</v>
      </c>
      <c r="F747" s="949">
        <v>105</v>
      </c>
      <c r="G747" s="950" t="s">
        <v>1585</v>
      </c>
      <c r="H747" s="950" t="s">
        <v>594</v>
      </c>
      <c r="I747" s="951" t="s">
        <v>3995</v>
      </c>
      <c r="J747" s="947" t="s">
        <v>3996</v>
      </c>
      <c r="K747" s="143"/>
    </row>
    <row r="748" spans="1:11">
      <c r="A748" s="946" t="s">
        <v>28614</v>
      </c>
      <c r="B748" s="947" t="s">
        <v>4169</v>
      </c>
      <c r="C748" s="948" t="s">
        <v>4167</v>
      </c>
      <c r="D748" s="242" t="s">
        <v>28733</v>
      </c>
      <c r="E748" s="949">
        <v>105</v>
      </c>
      <c r="F748" s="949">
        <v>105</v>
      </c>
      <c r="G748" s="950" t="s">
        <v>1585</v>
      </c>
      <c r="H748" s="950" t="s">
        <v>594</v>
      </c>
      <c r="I748" s="951" t="s">
        <v>4168</v>
      </c>
      <c r="J748" s="947" t="s">
        <v>4169</v>
      </c>
      <c r="K748" s="143"/>
    </row>
    <row r="749" spans="1:11">
      <c r="A749" s="946" t="s">
        <v>28614</v>
      </c>
      <c r="B749" s="947" t="s">
        <v>31121</v>
      </c>
      <c r="C749" s="948" t="s">
        <v>31122</v>
      </c>
      <c r="D749" s="242" t="s">
        <v>28733</v>
      </c>
      <c r="E749" s="949">
        <v>105</v>
      </c>
      <c r="F749" s="949">
        <v>105</v>
      </c>
      <c r="G749" s="950" t="s">
        <v>1585</v>
      </c>
      <c r="H749" s="950" t="s">
        <v>594</v>
      </c>
      <c r="I749" s="951" t="s">
        <v>4806</v>
      </c>
      <c r="J749" s="947" t="s">
        <v>31121</v>
      </c>
      <c r="K749" s="143"/>
    </row>
    <row r="750" spans="1:11">
      <c r="A750" s="946" t="s">
        <v>28614</v>
      </c>
      <c r="B750" s="947" t="s">
        <v>4856</v>
      </c>
      <c r="C750" s="948" t="s">
        <v>4854</v>
      </c>
      <c r="D750" s="242" t="s">
        <v>31116</v>
      </c>
      <c r="E750" s="949">
        <v>106</v>
      </c>
      <c r="F750" s="949">
        <v>106</v>
      </c>
      <c r="G750" s="950" t="s">
        <v>1585</v>
      </c>
      <c r="H750" s="950" t="s">
        <v>594</v>
      </c>
      <c r="I750" s="951" t="s">
        <v>4855</v>
      </c>
      <c r="J750" s="947" t="s">
        <v>4856</v>
      </c>
      <c r="K750" s="143"/>
    </row>
    <row r="751" spans="1:11">
      <c r="A751" s="946" t="s">
        <v>28614</v>
      </c>
      <c r="B751" s="947" t="s">
        <v>4889</v>
      </c>
      <c r="C751" s="948" t="s">
        <v>4887</v>
      </c>
      <c r="D751" s="242" t="s">
        <v>28733</v>
      </c>
      <c r="E751" s="949">
        <v>105</v>
      </c>
      <c r="F751" s="949">
        <v>105</v>
      </c>
      <c r="G751" s="950" t="s">
        <v>1585</v>
      </c>
      <c r="H751" s="950" t="s">
        <v>594</v>
      </c>
      <c r="I751" s="951" t="s">
        <v>4888</v>
      </c>
      <c r="J751" s="947" t="s">
        <v>4889</v>
      </c>
      <c r="K751" s="143"/>
    </row>
    <row r="752" spans="1:11">
      <c r="A752" s="946" t="s">
        <v>28614</v>
      </c>
      <c r="B752" s="947" t="s">
        <v>4892</v>
      </c>
      <c r="C752" s="948" t="s">
        <v>4890</v>
      </c>
      <c r="D752" s="242" t="s">
        <v>28733</v>
      </c>
      <c r="E752" s="949">
        <v>105</v>
      </c>
      <c r="F752" s="949">
        <v>105</v>
      </c>
      <c r="G752" s="950" t="s">
        <v>1585</v>
      </c>
      <c r="H752" s="950" t="s">
        <v>594</v>
      </c>
      <c r="I752" s="951" t="s">
        <v>4891</v>
      </c>
      <c r="J752" s="947" t="s">
        <v>4892</v>
      </c>
      <c r="K752" s="143"/>
    </row>
    <row r="753" spans="1:11">
      <c r="A753" s="946" t="s">
        <v>28614</v>
      </c>
      <c r="B753" s="947" t="s">
        <v>4913</v>
      </c>
      <c r="C753" s="948" t="s">
        <v>4911</v>
      </c>
      <c r="D753" s="242" t="s">
        <v>28733</v>
      </c>
      <c r="E753" s="949">
        <v>105</v>
      </c>
      <c r="F753" s="949">
        <v>105</v>
      </c>
      <c r="G753" s="950" t="s">
        <v>1585</v>
      </c>
      <c r="H753" s="950" t="s">
        <v>594</v>
      </c>
      <c r="I753" s="951" t="s">
        <v>4912</v>
      </c>
      <c r="J753" s="947" t="s">
        <v>4913</v>
      </c>
      <c r="K753" s="143"/>
    </row>
    <row r="754" spans="1:11">
      <c r="A754" s="946" t="s">
        <v>28614</v>
      </c>
      <c r="B754" s="947" t="s">
        <v>5132</v>
      </c>
      <c r="C754" s="948" t="s">
        <v>5130</v>
      </c>
      <c r="D754" s="242" t="s">
        <v>28733</v>
      </c>
      <c r="E754" s="949">
        <v>105</v>
      </c>
      <c r="F754" s="949">
        <v>105</v>
      </c>
      <c r="G754" s="950" t="s">
        <v>1585</v>
      </c>
      <c r="H754" s="950" t="s">
        <v>594</v>
      </c>
      <c r="I754" s="951" t="s">
        <v>5131</v>
      </c>
      <c r="J754" s="947" t="s">
        <v>5132</v>
      </c>
      <c r="K754" s="143"/>
    </row>
    <row r="755" spans="1:11">
      <c r="A755" s="946" t="s">
        <v>28614</v>
      </c>
      <c r="B755" s="947" t="s">
        <v>5187</v>
      </c>
      <c r="C755" s="948" t="s">
        <v>5185</v>
      </c>
      <c r="D755" s="242" t="s">
        <v>28733</v>
      </c>
      <c r="E755" s="949">
        <v>105</v>
      </c>
      <c r="F755" s="949">
        <v>105</v>
      </c>
      <c r="G755" s="950" t="s">
        <v>1585</v>
      </c>
      <c r="H755" s="950" t="s">
        <v>594</v>
      </c>
      <c r="I755" s="951" t="s">
        <v>5186</v>
      </c>
      <c r="J755" s="947" t="s">
        <v>5187</v>
      </c>
      <c r="K755" s="143"/>
    </row>
    <row r="756" spans="1:11">
      <c r="A756" s="946" t="s">
        <v>28614</v>
      </c>
      <c r="B756" s="947" t="s">
        <v>5205</v>
      </c>
      <c r="C756" s="948" t="s">
        <v>5203</v>
      </c>
      <c r="D756" s="242" t="s">
        <v>28733</v>
      </c>
      <c r="E756" s="949">
        <v>105</v>
      </c>
      <c r="F756" s="949">
        <v>105</v>
      </c>
      <c r="G756" s="950" t="s">
        <v>1585</v>
      </c>
      <c r="H756" s="950" t="s">
        <v>594</v>
      </c>
      <c r="I756" s="951" t="s">
        <v>5204</v>
      </c>
      <c r="J756" s="947" t="s">
        <v>5205</v>
      </c>
      <c r="K756" s="143"/>
    </row>
    <row r="757" spans="1:11">
      <c r="A757" s="946" t="s">
        <v>28614</v>
      </c>
      <c r="B757" s="947" t="s">
        <v>5257</v>
      </c>
      <c r="C757" s="948" t="s">
        <v>5255</v>
      </c>
      <c r="D757" s="242" t="s">
        <v>28733</v>
      </c>
      <c r="E757" s="949">
        <v>105</v>
      </c>
      <c r="F757" s="949">
        <v>105</v>
      </c>
      <c r="G757" s="950" t="s">
        <v>1585</v>
      </c>
      <c r="H757" s="950" t="s">
        <v>594</v>
      </c>
      <c r="I757" s="951" t="s">
        <v>5256</v>
      </c>
      <c r="J757" s="947" t="s">
        <v>5257</v>
      </c>
      <c r="K757" s="143"/>
    </row>
    <row r="758" spans="1:11">
      <c r="A758" s="946" t="s">
        <v>28614</v>
      </c>
      <c r="B758" s="947" t="s">
        <v>5329</v>
      </c>
      <c r="C758" s="948" t="s">
        <v>5327</v>
      </c>
      <c r="D758" s="242" t="s">
        <v>28733</v>
      </c>
      <c r="E758" s="949">
        <v>105</v>
      </c>
      <c r="F758" s="949">
        <v>105</v>
      </c>
      <c r="G758" s="950" t="s">
        <v>1585</v>
      </c>
      <c r="H758" s="950" t="s">
        <v>594</v>
      </c>
      <c r="I758" s="951" t="s">
        <v>5328</v>
      </c>
      <c r="J758" s="947" t="s">
        <v>5329</v>
      </c>
      <c r="K758" s="143"/>
    </row>
    <row r="759" spans="1:11">
      <c r="A759" s="946" t="s">
        <v>28614</v>
      </c>
      <c r="B759" s="947" t="s">
        <v>5344</v>
      </c>
      <c r="C759" s="948" t="s">
        <v>5342</v>
      </c>
      <c r="D759" s="242" t="s">
        <v>28733</v>
      </c>
      <c r="E759" s="949">
        <v>105</v>
      </c>
      <c r="F759" s="949">
        <v>105</v>
      </c>
      <c r="G759" s="950" t="s">
        <v>1585</v>
      </c>
      <c r="H759" s="950" t="s">
        <v>594</v>
      </c>
      <c r="I759" s="951" t="s">
        <v>5343</v>
      </c>
      <c r="J759" s="947" t="s">
        <v>5344</v>
      </c>
      <c r="K759" s="143"/>
    </row>
    <row r="760" spans="1:11">
      <c r="A760" s="946" t="s">
        <v>28614</v>
      </c>
      <c r="B760" s="947" t="s">
        <v>5374</v>
      </c>
      <c r="C760" s="948" t="s">
        <v>5372</v>
      </c>
      <c r="D760" s="242" t="s">
        <v>28733</v>
      </c>
      <c r="E760" s="949">
        <v>105</v>
      </c>
      <c r="F760" s="949">
        <v>105</v>
      </c>
      <c r="G760" s="950" t="s">
        <v>1585</v>
      </c>
      <c r="H760" s="950" t="s">
        <v>594</v>
      </c>
      <c r="I760" s="951" t="s">
        <v>5373</v>
      </c>
      <c r="J760" s="947" t="s">
        <v>5374</v>
      </c>
      <c r="K760" s="143"/>
    </row>
    <row r="761" spans="1:11">
      <c r="A761" s="946" t="s">
        <v>28614</v>
      </c>
      <c r="B761" s="947" t="s">
        <v>5009</v>
      </c>
      <c r="C761" s="948" t="s">
        <v>5007</v>
      </c>
      <c r="D761" s="242" t="s">
        <v>28733</v>
      </c>
      <c r="E761" s="949">
        <v>105</v>
      </c>
      <c r="F761" s="949">
        <v>105</v>
      </c>
      <c r="G761" s="950" t="s">
        <v>1585</v>
      </c>
      <c r="H761" s="950" t="s">
        <v>594</v>
      </c>
      <c r="I761" s="951" t="s">
        <v>5008</v>
      </c>
      <c r="J761" s="947" t="s">
        <v>5009</v>
      </c>
      <c r="K761" s="143"/>
    </row>
    <row r="762" spans="1:11">
      <c r="A762" s="946" t="s">
        <v>28614</v>
      </c>
      <c r="B762" s="947" t="s">
        <v>5802</v>
      </c>
      <c r="C762" s="948" t="s">
        <v>5800</v>
      </c>
      <c r="D762" s="242" t="s">
        <v>28733</v>
      </c>
      <c r="E762" s="949">
        <v>105</v>
      </c>
      <c r="F762" s="949">
        <v>105</v>
      </c>
      <c r="G762" s="950" t="s">
        <v>1585</v>
      </c>
      <c r="H762" s="950" t="s">
        <v>594</v>
      </c>
      <c r="I762" s="951" t="s">
        <v>5801</v>
      </c>
      <c r="J762" s="947" t="s">
        <v>5802</v>
      </c>
      <c r="K762" s="143"/>
    </row>
    <row r="763" spans="1:11">
      <c r="A763" s="946" t="s">
        <v>28614</v>
      </c>
      <c r="B763" s="947" t="s">
        <v>5817</v>
      </c>
      <c r="C763" s="948" t="s">
        <v>5815</v>
      </c>
      <c r="D763" s="242" t="s">
        <v>28733</v>
      </c>
      <c r="E763" s="949">
        <v>105</v>
      </c>
      <c r="F763" s="949">
        <v>105</v>
      </c>
      <c r="G763" s="950" t="s">
        <v>1585</v>
      </c>
      <c r="H763" s="950" t="s">
        <v>594</v>
      </c>
      <c r="I763" s="951" t="s">
        <v>5816</v>
      </c>
      <c r="J763" s="947" t="s">
        <v>5817</v>
      </c>
      <c r="K763" s="143"/>
    </row>
    <row r="764" spans="1:11">
      <c r="A764" s="946" t="s">
        <v>28614</v>
      </c>
      <c r="B764" s="947" t="s">
        <v>5995</v>
      </c>
      <c r="C764" s="948" t="s">
        <v>5993</v>
      </c>
      <c r="D764" s="242" t="s">
        <v>28733</v>
      </c>
      <c r="E764" s="949">
        <v>105</v>
      </c>
      <c r="F764" s="949">
        <v>105</v>
      </c>
      <c r="G764" s="950" t="s">
        <v>1585</v>
      </c>
      <c r="H764" s="950" t="s">
        <v>594</v>
      </c>
      <c r="I764" s="951" t="s">
        <v>5994</v>
      </c>
      <c r="J764" s="947" t="s">
        <v>5995</v>
      </c>
      <c r="K764" s="143"/>
    </row>
    <row r="765" spans="1:11">
      <c r="A765" s="946" t="s">
        <v>28614</v>
      </c>
      <c r="B765" s="947" t="s">
        <v>6034</v>
      </c>
      <c r="C765" s="948" t="s">
        <v>6032</v>
      </c>
      <c r="D765" s="242" t="s">
        <v>28733</v>
      </c>
      <c r="E765" s="949">
        <v>105</v>
      </c>
      <c r="F765" s="949">
        <v>105</v>
      </c>
      <c r="G765" s="950" t="s">
        <v>1585</v>
      </c>
      <c r="H765" s="950" t="s">
        <v>594</v>
      </c>
      <c r="I765" s="951" t="s">
        <v>6033</v>
      </c>
      <c r="J765" s="947" t="s">
        <v>6034</v>
      </c>
      <c r="K765" s="143"/>
    </row>
    <row r="766" spans="1:11">
      <c r="A766" s="946" t="s">
        <v>28614</v>
      </c>
      <c r="B766" s="947" t="s">
        <v>6148</v>
      </c>
      <c r="C766" s="948" t="s">
        <v>6146</v>
      </c>
      <c r="D766" s="242" t="s">
        <v>31116</v>
      </c>
      <c r="E766" s="949">
        <v>106</v>
      </c>
      <c r="F766" s="949">
        <v>106</v>
      </c>
      <c r="G766" s="950" t="s">
        <v>1585</v>
      </c>
      <c r="H766" s="950" t="s">
        <v>594</v>
      </c>
      <c r="I766" s="951" t="s">
        <v>6147</v>
      </c>
      <c r="J766" s="947" t="s">
        <v>6148</v>
      </c>
      <c r="K766" s="143"/>
    </row>
    <row r="767" spans="1:11">
      <c r="A767" s="946" t="s">
        <v>28614</v>
      </c>
      <c r="B767" s="947" t="s">
        <v>6317</v>
      </c>
      <c r="C767" s="948" t="s">
        <v>6315</v>
      </c>
      <c r="D767" s="242" t="s">
        <v>28733</v>
      </c>
      <c r="E767" s="949">
        <v>105</v>
      </c>
      <c r="F767" s="949">
        <v>105</v>
      </c>
      <c r="G767" s="950" t="s">
        <v>1585</v>
      </c>
      <c r="H767" s="950" t="s">
        <v>594</v>
      </c>
      <c r="I767" s="951" t="s">
        <v>6316</v>
      </c>
      <c r="J767" s="947" t="s">
        <v>6317</v>
      </c>
      <c r="K767" s="143"/>
    </row>
    <row r="768" spans="1:11">
      <c r="A768" s="946" t="s">
        <v>28614</v>
      </c>
      <c r="B768" s="947" t="s">
        <v>6404</v>
      </c>
      <c r="C768" s="948" t="s">
        <v>6402</v>
      </c>
      <c r="D768" s="242" t="s">
        <v>28733</v>
      </c>
      <c r="E768" s="949">
        <v>105</v>
      </c>
      <c r="F768" s="949">
        <v>105</v>
      </c>
      <c r="G768" s="950" t="s">
        <v>1585</v>
      </c>
      <c r="H768" s="950" t="s">
        <v>594</v>
      </c>
      <c r="I768" s="951" t="s">
        <v>6403</v>
      </c>
      <c r="J768" s="947" t="s">
        <v>6404</v>
      </c>
      <c r="K768" s="143"/>
    </row>
    <row r="769" spans="1:11">
      <c r="A769" s="946" t="s">
        <v>28614</v>
      </c>
      <c r="B769" s="947" t="s">
        <v>6492</v>
      </c>
      <c r="C769" s="948" t="s">
        <v>6490</v>
      </c>
      <c r="D769" s="242" t="s">
        <v>28733</v>
      </c>
      <c r="E769" s="949">
        <v>105</v>
      </c>
      <c r="F769" s="949">
        <v>105</v>
      </c>
      <c r="G769" s="950" t="s">
        <v>1585</v>
      </c>
      <c r="H769" s="950" t="s">
        <v>594</v>
      </c>
      <c r="I769" s="951" t="s">
        <v>6491</v>
      </c>
      <c r="J769" s="947" t="s">
        <v>6492</v>
      </c>
      <c r="K769" s="143"/>
    </row>
    <row r="770" spans="1:11">
      <c r="A770" s="946" t="s">
        <v>28614</v>
      </c>
      <c r="B770" s="947" t="s">
        <v>6642</v>
      </c>
      <c r="C770" s="948" t="s">
        <v>6640</v>
      </c>
      <c r="D770" s="242" t="s">
        <v>28733</v>
      </c>
      <c r="E770" s="949">
        <v>105</v>
      </c>
      <c r="F770" s="949">
        <v>105</v>
      </c>
      <c r="G770" s="950" t="s">
        <v>1585</v>
      </c>
      <c r="H770" s="950" t="s">
        <v>594</v>
      </c>
      <c r="I770" s="951" t="s">
        <v>6641</v>
      </c>
      <c r="J770" s="947" t="s">
        <v>6642</v>
      </c>
      <c r="K770" s="143"/>
    </row>
    <row r="771" spans="1:11">
      <c r="A771" s="946" t="s">
        <v>28614</v>
      </c>
      <c r="B771" s="947" t="s">
        <v>6648</v>
      </c>
      <c r="C771" s="948" t="s">
        <v>6646</v>
      </c>
      <c r="D771" s="242" t="s">
        <v>28733</v>
      </c>
      <c r="E771" s="949">
        <v>105</v>
      </c>
      <c r="F771" s="949">
        <v>105</v>
      </c>
      <c r="G771" s="950" t="s">
        <v>1585</v>
      </c>
      <c r="H771" s="950" t="s">
        <v>594</v>
      </c>
      <c r="I771" s="951" t="s">
        <v>6647</v>
      </c>
      <c r="J771" s="947" t="s">
        <v>6648</v>
      </c>
      <c r="K771" s="143"/>
    </row>
    <row r="772" spans="1:11">
      <c r="A772" s="946" t="s">
        <v>28614</v>
      </c>
      <c r="B772" s="947" t="s">
        <v>7149</v>
      </c>
      <c r="C772" s="948" t="s">
        <v>7147</v>
      </c>
      <c r="D772" s="242" t="s">
        <v>28733</v>
      </c>
      <c r="E772" s="949">
        <v>105</v>
      </c>
      <c r="F772" s="949">
        <v>105</v>
      </c>
      <c r="G772" s="950" t="s">
        <v>1585</v>
      </c>
      <c r="H772" s="950" t="s">
        <v>594</v>
      </c>
      <c r="I772" s="951" t="s">
        <v>7148</v>
      </c>
      <c r="J772" s="947" t="s">
        <v>7149</v>
      </c>
      <c r="K772" s="143"/>
    </row>
    <row r="773" spans="1:11">
      <c r="A773" s="946" t="s">
        <v>28614</v>
      </c>
      <c r="B773" s="947" t="s">
        <v>7156</v>
      </c>
      <c r="C773" s="948" t="s">
        <v>7154</v>
      </c>
      <c r="D773" s="242" t="s">
        <v>28733</v>
      </c>
      <c r="E773" s="949">
        <v>105</v>
      </c>
      <c r="F773" s="949">
        <v>105</v>
      </c>
      <c r="G773" s="950" t="s">
        <v>1585</v>
      </c>
      <c r="H773" s="950" t="s">
        <v>594</v>
      </c>
      <c r="I773" s="951" t="s">
        <v>7155</v>
      </c>
      <c r="J773" s="947" t="s">
        <v>7156</v>
      </c>
      <c r="K773" s="143"/>
    </row>
    <row r="774" spans="1:11">
      <c r="A774" s="946" t="s">
        <v>28614</v>
      </c>
      <c r="B774" s="947" t="s">
        <v>7159</v>
      </c>
      <c r="C774" s="948" t="s">
        <v>7157</v>
      </c>
      <c r="D774" s="242" t="s">
        <v>28733</v>
      </c>
      <c r="E774" s="949">
        <v>105</v>
      </c>
      <c r="F774" s="949">
        <v>105</v>
      </c>
      <c r="G774" s="950" t="s">
        <v>1585</v>
      </c>
      <c r="H774" s="950" t="s">
        <v>594</v>
      </c>
      <c r="I774" s="951" t="s">
        <v>7158</v>
      </c>
      <c r="J774" s="947" t="s">
        <v>7159</v>
      </c>
      <c r="K774" s="143"/>
    </row>
    <row r="775" spans="1:11">
      <c r="A775" s="946" t="s">
        <v>28614</v>
      </c>
      <c r="B775" s="947" t="s">
        <v>7162</v>
      </c>
      <c r="C775" s="948" t="s">
        <v>7160</v>
      </c>
      <c r="D775" s="242" t="s">
        <v>28733</v>
      </c>
      <c r="E775" s="949">
        <v>105</v>
      </c>
      <c r="F775" s="949">
        <v>105</v>
      </c>
      <c r="G775" s="950" t="s">
        <v>1585</v>
      </c>
      <c r="H775" s="950" t="s">
        <v>594</v>
      </c>
      <c r="I775" s="951" t="s">
        <v>7161</v>
      </c>
      <c r="J775" s="947" t="s">
        <v>7162</v>
      </c>
      <c r="K775" s="143"/>
    </row>
    <row r="776" spans="1:11">
      <c r="A776" s="946" t="s">
        <v>28614</v>
      </c>
      <c r="B776" s="947" t="s">
        <v>7195</v>
      </c>
      <c r="C776" s="948" t="s">
        <v>7193</v>
      </c>
      <c r="D776" s="242" t="s">
        <v>28733</v>
      </c>
      <c r="E776" s="949">
        <v>105</v>
      </c>
      <c r="F776" s="949">
        <v>105</v>
      </c>
      <c r="G776" s="950" t="s">
        <v>1585</v>
      </c>
      <c r="H776" s="950" t="s">
        <v>594</v>
      </c>
      <c r="I776" s="951" t="s">
        <v>7194</v>
      </c>
      <c r="J776" s="947" t="s">
        <v>7195</v>
      </c>
      <c r="K776" s="143"/>
    </row>
    <row r="777" spans="1:11">
      <c r="A777" s="946" t="s">
        <v>28614</v>
      </c>
      <c r="B777" s="947" t="s">
        <v>7252</v>
      </c>
      <c r="C777" s="948" t="s">
        <v>7250</v>
      </c>
      <c r="D777" s="242" t="s">
        <v>28733</v>
      </c>
      <c r="E777" s="949">
        <v>105</v>
      </c>
      <c r="F777" s="949">
        <v>105</v>
      </c>
      <c r="G777" s="950" t="s">
        <v>1585</v>
      </c>
      <c r="H777" s="950" t="s">
        <v>594</v>
      </c>
      <c r="I777" s="951" t="s">
        <v>7251</v>
      </c>
      <c r="J777" s="947" t="s">
        <v>7252</v>
      </c>
      <c r="K777" s="143"/>
    </row>
    <row r="778" spans="1:11">
      <c r="A778" s="946" t="s">
        <v>28614</v>
      </c>
      <c r="B778" s="947" t="s">
        <v>7292</v>
      </c>
      <c r="C778" s="948" t="s">
        <v>7290</v>
      </c>
      <c r="D778" s="242" t="s">
        <v>28733</v>
      </c>
      <c r="E778" s="949">
        <v>105</v>
      </c>
      <c r="F778" s="949">
        <v>105</v>
      </c>
      <c r="G778" s="950" t="s">
        <v>1585</v>
      </c>
      <c r="H778" s="950" t="s">
        <v>594</v>
      </c>
      <c r="I778" s="951" t="s">
        <v>7291</v>
      </c>
      <c r="J778" s="947" t="s">
        <v>7292</v>
      </c>
      <c r="K778" s="143"/>
    </row>
    <row r="779" spans="1:11">
      <c r="A779" s="946" t="s">
        <v>28614</v>
      </c>
      <c r="B779" s="947" t="s">
        <v>7468</v>
      </c>
      <c r="C779" s="948" t="s">
        <v>7466</v>
      </c>
      <c r="D779" s="242" t="s">
        <v>28733</v>
      </c>
      <c r="E779" s="949">
        <v>105</v>
      </c>
      <c r="F779" s="949">
        <v>105</v>
      </c>
      <c r="G779" s="950" t="s">
        <v>1585</v>
      </c>
      <c r="H779" s="950" t="s">
        <v>594</v>
      </c>
      <c r="I779" s="951" t="s">
        <v>7467</v>
      </c>
      <c r="J779" s="947" t="s">
        <v>7468</v>
      </c>
      <c r="K779" s="143"/>
    </row>
    <row r="780" spans="1:11">
      <c r="A780" s="946" t="s">
        <v>28614</v>
      </c>
      <c r="B780" s="947" t="s">
        <v>7817</v>
      </c>
      <c r="C780" s="948" t="s">
        <v>7815</v>
      </c>
      <c r="D780" s="242" t="s">
        <v>28733</v>
      </c>
      <c r="E780" s="949">
        <v>105</v>
      </c>
      <c r="F780" s="949">
        <v>105</v>
      </c>
      <c r="G780" s="950" t="s">
        <v>1585</v>
      </c>
      <c r="H780" s="950" t="s">
        <v>594</v>
      </c>
      <c r="I780" s="951" t="s">
        <v>7816</v>
      </c>
      <c r="J780" s="947" t="s">
        <v>7817</v>
      </c>
      <c r="K780" s="143"/>
    </row>
    <row r="781" spans="1:11">
      <c r="A781" s="946" t="s">
        <v>28614</v>
      </c>
      <c r="B781" s="947" t="s">
        <v>8165</v>
      </c>
      <c r="C781" s="948" t="s">
        <v>8163</v>
      </c>
      <c r="D781" s="242" t="s">
        <v>28733</v>
      </c>
      <c r="E781" s="949">
        <v>105</v>
      </c>
      <c r="F781" s="949">
        <v>105</v>
      </c>
      <c r="G781" s="950" t="s">
        <v>1585</v>
      </c>
      <c r="H781" s="950" t="s">
        <v>594</v>
      </c>
      <c r="I781" s="951" t="s">
        <v>8164</v>
      </c>
      <c r="J781" s="947" t="s">
        <v>8165</v>
      </c>
      <c r="K781" s="143"/>
    </row>
    <row r="782" spans="1:11">
      <c r="A782" s="946" t="s">
        <v>28614</v>
      </c>
      <c r="B782" s="947" t="s">
        <v>8427</v>
      </c>
      <c r="C782" s="948" t="s">
        <v>8425</v>
      </c>
      <c r="D782" s="242" t="s">
        <v>28733</v>
      </c>
      <c r="E782" s="949">
        <v>105</v>
      </c>
      <c r="F782" s="949">
        <v>105</v>
      </c>
      <c r="G782" s="950" t="s">
        <v>1585</v>
      </c>
      <c r="H782" s="950" t="s">
        <v>594</v>
      </c>
      <c r="I782" s="951" t="s">
        <v>8426</v>
      </c>
      <c r="J782" s="947" t="s">
        <v>8427</v>
      </c>
      <c r="K782" s="143"/>
    </row>
    <row r="783" spans="1:11">
      <c r="A783" s="946" t="s">
        <v>28614</v>
      </c>
      <c r="B783" s="947" t="s">
        <v>8716</v>
      </c>
      <c r="C783" s="948" t="s">
        <v>8714</v>
      </c>
      <c r="D783" s="242" t="s">
        <v>28733</v>
      </c>
      <c r="E783" s="949">
        <v>105</v>
      </c>
      <c r="F783" s="949">
        <v>105</v>
      </c>
      <c r="G783" s="950" t="s">
        <v>1585</v>
      </c>
      <c r="H783" s="950" t="s">
        <v>594</v>
      </c>
      <c r="I783" s="951" t="s">
        <v>8715</v>
      </c>
      <c r="J783" s="947" t="s">
        <v>8716</v>
      </c>
      <c r="K783" s="143"/>
    </row>
    <row r="784" spans="1:11">
      <c r="A784" s="946" t="s">
        <v>28614</v>
      </c>
      <c r="B784" s="947" t="s">
        <v>31994</v>
      </c>
      <c r="C784" s="948" t="s">
        <v>31995</v>
      </c>
      <c r="D784" s="242" t="s">
        <v>28733</v>
      </c>
      <c r="E784" s="949">
        <v>105</v>
      </c>
      <c r="F784" s="949">
        <v>105</v>
      </c>
      <c r="G784" s="950" t="s">
        <v>1585</v>
      </c>
      <c r="H784" s="950" t="s">
        <v>594</v>
      </c>
      <c r="I784" s="951" t="s">
        <v>9453</v>
      </c>
      <c r="J784" s="947" t="s">
        <v>31994</v>
      </c>
      <c r="K784" s="143"/>
    </row>
    <row r="785" spans="1:11">
      <c r="A785" s="946" t="s">
        <v>28614</v>
      </c>
      <c r="B785" s="947" t="s">
        <v>9509</v>
      </c>
      <c r="C785" s="948" t="s">
        <v>9507</v>
      </c>
      <c r="D785" s="242" t="s">
        <v>28733</v>
      </c>
      <c r="E785" s="949">
        <v>105</v>
      </c>
      <c r="F785" s="949">
        <v>105</v>
      </c>
      <c r="G785" s="950" t="s">
        <v>1585</v>
      </c>
      <c r="H785" s="950" t="s">
        <v>594</v>
      </c>
      <c r="I785" s="951" t="s">
        <v>9508</v>
      </c>
      <c r="J785" s="947" t="s">
        <v>9509</v>
      </c>
      <c r="K785" s="143"/>
    </row>
    <row r="786" spans="1:11">
      <c r="A786" s="946" t="s">
        <v>28614</v>
      </c>
      <c r="B786" s="947" t="s">
        <v>9795</v>
      </c>
      <c r="C786" s="948" t="s">
        <v>9793</v>
      </c>
      <c r="D786" s="242" t="s">
        <v>28733</v>
      </c>
      <c r="E786" s="949">
        <v>105</v>
      </c>
      <c r="F786" s="949">
        <v>105</v>
      </c>
      <c r="G786" s="950" t="s">
        <v>1585</v>
      </c>
      <c r="H786" s="950" t="s">
        <v>594</v>
      </c>
      <c r="I786" s="951" t="s">
        <v>9794</v>
      </c>
      <c r="J786" s="947" t="s">
        <v>9795</v>
      </c>
      <c r="K786" s="143"/>
    </row>
    <row r="787" spans="1:11">
      <c r="A787" s="946" t="s">
        <v>28614</v>
      </c>
      <c r="B787" s="947" t="s">
        <v>9872</v>
      </c>
      <c r="C787" s="948" t="s">
        <v>9870</v>
      </c>
      <c r="D787" s="242" t="s">
        <v>28733</v>
      </c>
      <c r="E787" s="949">
        <v>105</v>
      </c>
      <c r="F787" s="949">
        <v>105</v>
      </c>
      <c r="G787" s="950" t="s">
        <v>1585</v>
      </c>
      <c r="H787" s="950" t="s">
        <v>594</v>
      </c>
      <c r="I787" s="951" t="s">
        <v>9871</v>
      </c>
      <c r="J787" s="947" t="s">
        <v>9872</v>
      </c>
      <c r="K787" s="143"/>
    </row>
    <row r="788" spans="1:11">
      <c r="A788" s="946" t="s">
        <v>28614</v>
      </c>
      <c r="B788" s="947" t="s">
        <v>10519</v>
      </c>
      <c r="C788" s="948" t="s">
        <v>10517</v>
      </c>
      <c r="D788" s="242" t="s">
        <v>31116</v>
      </c>
      <c r="E788" s="949">
        <v>106</v>
      </c>
      <c r="F788" s="949">
        <v>106</v>
      </c>
      <c r="G788" s="950" t="s">
        <v>1585</v>
      </c>
      <c r="H788" s="950" t="s">
        <v>594</v>
      </c>
      <c r="I788" s="951" t="s">
        <v>10518</v>
      </c>
      <c r="J788" s="947" t="s">
        <v>10519</v>
      </c>
      <c r="K788" s="143"/>
    </row>
    <row r="789" spans="1:11">
      <c r="A789" s="946" t="s">
        <v>28614</v>
      </c>
      <c r="B789" s="947" t="s">
        <v>11125</v>
      </c>
      <c r="C789" s="948" t="s">
        <v>11123</v>
      </c>
      <c r="D789" s="242" t="s">
        <v>28733</v>
      </c>
      <c r="E789" s="949">
        <v>105</v>
      </c>
      <c r="F789" s="949">
        <v>105</v>
      </c>
      <c r="G789" s="950" t="s">
        <v>1585</v>
      </c>
      <c r="H789" s="950" t="s">
        <v>594</v>
      </c>
      <c r="I789" s="951" t="s">
        <v>11124</v>
      </c>
      <c r="J789" s="947" t="s">
        <v>11125</v>
      </c>
      <c r="K789" s="143"/>
    </row>
    <row r="790" spans="1:11">
      <c r="A790" s="946" t="s">
        <v>28614</v>
      </c>
      <c r="B790" s="947" t="s">
        <v>11183</v>
      </c>
      <c r="C790" s="948" t="s">
        <v>11181</v>
      </c>
      <c r="D790" s="242" t="s">
        <v>28733</v>
      </c>
      <c r="E790" s="949">
        <v>105</v>
      </c>
      <c r="F790" s="949">
        <v>105</v>
      </c>
      <c r="G790" s="950" t="s">
        <v>1585</v>
      </c>
      <c r="H790" s="950" t="s">
        <v>594</v>
      </c>
      <c r="I790" s="951" t="s">
        <v>11182</v>
      </c>
      <c r="J790" s="947" t="s">
        <v>11183</v>
      </c>
      <c r="K790" s="143"/>
    </row>
    <row r="791" spans="1:11">
      <c r="A791" s="946" t="s">
        <v>28614</v>
      </c>
      <c r="B791" s="947" t="s">
        <v>11865</v>
      </c>
      <c r="C791" s="948" t="s">
        <v>11863</v>
      </c>
      <c r="D791" s="242" t="s">
        <v>28733</v>
      </c>
      <c r="E791" s="949">
        <v>105</v>
      </c>
      <c r="F791" s="949">
        <v>105</v>
      </c>
      <c r="G791" s="950" t="s">
        <v>1585</v>
      </c>
      <c r="H791" s="950" t="s">
        <v>594</v>
      </c>
      <c r="I791" s="951" t="s">
        <v>11864</v>
      </c>
      <c r="J791" s="947" t="s">
        <v>11865</v>
      </c>
      <c r="K791" s="143"/>
    </row>
    <row r="792" spans="1:11">
      <c r="A792" s="946" t="s">
        <v>28614</v>
      </c>
      <c r="B792" s="947" t="s">
        <v>11973</v>
      </c>
      <c r="C792" s="948" t="s">
        <v>11971</v>
      </c>
      <c r="D792" s="242" t="s">
        <v>31116</v>
      </c>
      <c r="E792" s="949">
        <v>106</v>
      </c>
      <c r="F792" s="949">
        <v>106</v>
      </c>
      <c r="G792" s="950" t="s">
        <v>1585</v>
      </c>
      <c r="H792" s="950" t="s">
        <v>594</v>
      </c>
      <c r="I792" s="951" t="s">
        <v>11972</v>
      </c>
      <c r="J792" s="947" t="s">
        <v>11973</v>
      </c>
      <c r="K792" s="143"/>
    </row>
    <row r="793" spans="1:11">
      <c r="A793" s="946" t="s">
        <v>28614</v>
      </c>
      <c r="B793" s="947" t="s">
        <v>11982</v>
      </c>
      <c r="C793" s="948" t="s">
        <v>11980</v>
      </c>
      <c r="D793" s="242" t="s">
        <v>28733</v>
      </c>
      <c r="E793" s="949">
        <v>105</v>
      </c>
      <c r="F793" s="949">
        <v>105</v>
      </c>
      <c r="G793" s="950" t="s">
        <v>1585</v>
      </c>
      <c r="H793" s="950" t="s">
        <v>594</v>
      </c>
      <c r="I793" s="951" t="s">
        <v>11981</v>
      </c>
      <c r="J793" s="947" t="s">
        <v>11982</v>
      </c>
      <c r="K793" s="143"/>
    </row>
    <row r="794" spans="1:11">
      <c r="A794" s="946" t="s">
        <v>28614</v>
      </c>
      <c r="B794" s="947" t="s">
        <v>11994</v>
      </c>
      <c r="C794" s="948" t="s">
        <v>11992</v>
      </c>
      <c r="D794" s="242" t="s">
        <v>28733</v>
      </c>
      <c r="E794" s="949">
        <v>105</v>
      </c>
      <c r="F794" s="949">
        <v>105</v>
      </c>
      <c r="G794" s="950" t="s">
        <v>1585</v>
      </c>
      <c r="H794" s="950" t="s">
        <v>594</v>
      </c>
      <c r="I794" s="951" t="s">
        <v>11993</v>
      </c>
      <c r="J794" s="947" t="s">
        <v>11994</v>
      </c>
      <c r="K794" s="143"/>
    </row>
    <row r="795" spans="1:11">
      <c r="A795" s="946" t="s">
        <v>28614</v>
      </c>
      <c r="B795" s="947" t="s">
        <v>12012</v>
      </c>
      <c r="C795" s="948" t="s">
        <v>12010</v>
      </c>
      <c r="D795" s="242" t="s">
        <v>28733</v>
      </c>
      <c r="E795" s="949">
        <v>105</v>
      </c>
      <c r="F795" s="949">
        <v>105</v>
      </c>
      <c r="G795" s="950" t="s">
        <v>1585</v>
      </c>
      <c r="H795" s="950" t="s">
        <v>594</v>
      </c>
      <c r="I795" s="951" t="s">
        <v>12011</v>
      </c>
      <c r="J795" s="947" t="s">
        <v>12012</v>
      </c>
      <c r="K795" s="143"/>
    </row>
    <row r="796" spans="1:11">
      <c r="A796" s="946" t="s">
        <v>28614</v>
      </c>
      <c r="B796" s="947" t="s">
        <v>12018</v>
      </c>
      <c r="C796" s="948" t="s">
        <v>12016</v>
      </c>
      <c r="D796" s="242" t="s">
        <v>31116</v>
      </c>
      <c r="E796" s="949">
        <v>106</v>
      </c>
      <c r="F796" s="949">
        <v>106</v>
      </c>
      <c r="G796" s="950" t="s">
        <v>1585</v>
      </c>
      <c r="H796" s="950" t="s">
        <v>594</v>
      </c>
      <c r="I796" s="951" t="s">
        <v>12017</v>
      </c>
      <c r="J796" s="947" t="s">
        <v>12018</v>
      </c>
      <c r="K796" s="143"/>
    </row>
    <row r="797" spans="1:11">
      <c r="A797" s="946" t="s">
        <v>28614</v>
      </c>
      <c r="B797" s="947" t="s">
        <v>12043</v>
      </c>
      <c r="C797" s="948" t="s">
        <v>12041</v>
      </c>
      <c r="D797" s="242" t="s">
        <v>28733</v>
      </c>
      <c r="E797" s="949">
        <v>105</v>
      </c>
      <c r="F797" s="949">
        <v>105</v>
      </c>
      <c r="G797" s="950" t="s">
        <v>1585</v>
      </c>
      <c r="H797" s="950" t="s">
        <v>594</v>
      </c>
      <c r="I797" s="951" t="s">
        <v>12042</v>
      </c>
      <c r="J797" s="947" t="s">
        <v>12043</v>
      </c>
      <c r="K797" s="143"/>
    </row>
    <row r="798" spans="1:11">
      <c r="A798" s="946" t="s">
        <v>28614</v>
      </c>
      <c r="B798" s="947" t="s">
        <v>12061</v>
      </c>
      <c r="C798" s="948" t="s">
        <v>12059</v>
      </c>
      <c r="D798" s="242" t="s">
        <v>28733</v>
      </c>
      <c r="E798" s="949">
        <v>105</v>
      </c>
      <c r="F798" s="949">
        <v>105</v>
      </c>
      <c r="G798" s="950" t="s">
        <v>1585</v>
      </c>
      <c r="H798" s="950" t="s">
        <v>594</v>
      </c>
      <c r="I798" s="951" t="s">
        <v>12060</v>
      </c>
      <c r="J798" s="947" t="s">
        <v>12061</v>
      </c>
      <c r="K798" s="143"/>
    </row>
    <row r="799" spans="1:11">
      <c r="A799" s="946" t="s">
        <v>28614</v>
      </c>
      <c r="B799" s="947" t="s">
        <v>12097</v>
      </c>
      <c r="C799" s="948" t="s">
        <v>12095</v>
      </c>
      <c r="D799" s="242" t="s">
        <v>28733</v>
      </c>
      <c r="E799" s="949">
        <v>105</v>
      </c>
      <c r="F799" s="949">
        <v>105</v>
      </c>
      <c r="G799" s="950" t="s">
        <v>1585</v>
      </c>
      <c r="H799" s="950" t="s">
        <v>594</v>
      </c>
      <c r="I799" s="951" t="s">
        <v>12096</v>
      </c>
      <c r="J799" s="947" t="s">
        <v>12097</v>
      </c>
      <c r="K799" s="143"/>
    </row>
    <row r="800" spans="1:11">
      <c r="A800" s="946" t="s">
        <v>28614</v>
      </c>
      <c r="B800" s="947" t="s">
        <v>12158</v>
      </c>
      <c r="C800" s="948" t="s">
        <v>12156</v>
      </c>
      <c r="D800" s="242" t="s">
        <v>31116</v>
      </c>
      <c r="E800" s="949">
        <v>106</v>
      </c>
      <c r="F800" s="949">
        <v>106</v>
      </c>
      <c r="G800" s="950" t="s">
        <v>1585</v>
      </c>
      <c r="H800" s="950" t="s">
        <v>594</v>
      </c>
      <c r="I800" s="951" t="s">
        <v>12157</v>
      </c>
      <c r="J800" s="947" t="s">
        <v>12158</v>
      </c>
      <c r="K800" s="143"/>
    </row>
    <row r="801" spans="1:11">
      <c r="A801" s="946" t="s">
        <v>28614</v>
      </c>
      <c r="B801" s="947" t="s">
        <v>12164</v>
      </c>
      <c r="C801" s="948" t="s">
        <v>12162</v>
      </c>
      <c r="D801" s="242" t="s">
        <v>28733</v>
      </c>
      <c r="E801" s="949">
        <v>105</v>
      </c>
      <c r="F801" s="949">
        <v>105</v>
      </c>
      <c r="G801" s="950" t="s">
        <v>1585</v>
      </c>
      <c r="H801" s="950" t="s">
        <v>594</v>
      </c>
      <c r="I801" s="951" t="s">
        <v>12163</v>
      </c>
      <c r="J801" s="947" t="s">
        <v>12164</v>
      </c>
      <c r="K801" s="143"/>
    </row>
    <row r="802" spans="1:11">
      <c r="A802" s="946" t="s">
        <v>28614</v>
      </c>
      <c r="B802" s="947" t="s">
        <v>12206</v>
      </c>
      <c r="C802" s="948" t="s">
        <v>12204</v>
      </c>
      <c r="D802" s="242" t="s">
        <v>28733</v>
      </c>
      <c r="E802" s="949">
        <v>105</v>
      </c>
      <c r="F802" s="949">
        <v>105</v>
      </c>
      <c r="G802" s="950" t="s">
        <v>1585</v>
      </c>
      <c r="H802" s="950" t="s">
        <v>594</v>
      </c>
      <c r="I802" s="951" t="s">
        <v>12205</v>
      </c>
      <c r="J802" s="947" t="s">
        <v>12206</v>
      </c>
      <c r="K802" s="143"/>
    </row>
    <row r="803" spans="1:11">
      <c r="A803" s="946" t="s">
        <v>28614</v>
      </c>
      <c r="B803" s="947" t="s">
        <v>12425</v>
      </c>
      <c r="C803" s="948" t="s">
        <v>12423</v>
      </c>
      <c r="D803" s="242" t="s">
        <v>28733</v>
      </c>
      <c r="E803" s="949">
        <v>105</v>
      </c>
      <c r="F803" s="949">
        <v>105</v>
      </c>
      <c r="G803" s="950" t="s">
        <v>1585</v>
      </c>
      <c r="H803" s="950" t="s">
        <v>594</v>
      </c>
      <c r="I803" s="951" t="s">
        <v>12424</v>
      </c>
      <c r="J803" s="947" t="s">
        <v>12425</v>
      </c>
      <c r="K803" s="143"/>
    </row>
    <row r="804" spans="1:11">
      <c r="A804" s="946" t="s">
        <v>28614</v>
      </c>
      <c r="B804" s="947" t="s">
        <v>12547</v>
      </c>
      <c r="C804" s="948" t="s">
        <v>12545</v>
      </c>
      <c r="D804" s="242" t="s">
        <v>28733</v>
      </c>
      <c r="E804" s="949">
        <v>105</v>
      </c>
      <c r="F804" s="949">
        <v>105</v>
      </c>
      <c r="G804" s="950" t="s">
        <v>1585</v>
      </c>
      <c r="H804" s="950" t="s">
        <v>594</v>
      </c>
      <c r="I804" s="951" t="s">
        <v>12546</v>
      </c>
      <c r="J804" s="947" t="s">
        <v>12547</v>
      </c>
      <c r="K804" s="143"/>
    </row>
    <row r="805" spans="1:11">
      <c r="A805" s="946" t="s">
        <v>28614</v>
      </c>
      <c r="B805" s="947" t="s">
        <v>31996</v>
      </c>
      <c r="C805" s="948" t="s">
        <v>31997</v>
      </c>
      <c r="D805" s="242" t="s">
        <v>28733</v>
      </c>
      <c r="E805" s="949">
        <v>105</v>
      </c>
      <c r="F805" s="949">
        <v>105</v>
      </c>
      <c r="G805" s="950" t="s">
        <v>1585</v>
      </c>
      <c r="H805" s="950" t="s">
        <v>594</v>
      </c>
      <c r="I805" s="951" t="s">
        <v>12611</v>
      </c>
      <c r="J805" s="947" t="s">
        <v>31996</v>
      </c>
      <c r="K805" s="143"/>
    </row>
    <row r="806" spans="1:11">
      <c r="A806" s="946" t="s">
        <v>28614</v>
      </c>
      <c r="B806" s="947" t="s">
        <v>13292</v>
      </c>
      <c r="C806" s="948" t="s">
        <v>13290</v>
      </c>
      <c r="D806" s="242" t="s">
        <v>28733</v>
      </c>
      <c r="E806" s="949">
        <v>105</v>
      </c>
      <c r="F806" s="949">
        <v>105</v>
      </c>
      <c r="G806" s="950" t="s">
        <v>1585</v>
      </c>
      <c r="H806" s="950" t="s">
        <v>594</v>
      </c>
      <c r="I806" s="951" t="s">
        <v>13291</v>
      </c>
      <c r="J806" s="947" t="s">
        <v>13292</v>
      </c>
      <c r="K806" s="143"/>
    </row>
    <row r="807" spans="1:11">
      <c r="A807" s="946" t="s">
        <v>28614</v>
      </c>
      <c r="B807" s="947" t="s">
        <v>13619</v>
      </c>
      <c r="C807" s="948" t="s">
        <v>13617</v>
      </c>
      <c r="D807" s="242" t="s">
        <v>31116</v>
      </c>
      <c r="E807" s="949">
        <v>106</v>
      </c>
      <c r="F807" s="949">
        <v>106</v>
      </c>
      <c r="G807" s="950" t="s">
        <v>1585</v>
      </c>
      <c r="H807" s="950" t="s">
        <v>594</v>
      </c>
      <c r="I807" s="951" t="s">
        <v>13618</v>
      </c>
      <c r="J807" s="947" t="s">
        <v>13619</v>
      </c>
      <c r="K807" s="143"/>
    </row>
    <row r="808" spans="1:11">
      <c r="A808" s="946" t="s">
        <v>28614</v>
      </c>
      <c r="B808" s="947" t="s">
        <v>14303</v>
      </c>
      <c r="C808" s="948" t="s">
        <v>14301</v>
      </c>
      <c r="D808" s="242" t="s">
        <v>28733</v>
      </c>
      <c r="E808" s="949">
        <v>105</v>
      </c>
      <c r="F808" s="949">
        <v>105</v>
      </c>
      <c r="G808" s="950" t="s">
        <v>1585</v>
      </c>
      <c r="H808" s="950" t="s">
        <v>594</v>
      </c>
      <c r="I808" s="951" t="s">
        <v>14302</v>
      </c>
      <c r="J808" s="947" t="s">
        <v>14303</v>
      </c>
      <c r="K808" s="143"/>
    </row>
    <row r="809" spans="1:11">
      <c r="A809" s="946" t="s">
        <v>28614</v>
      </c>
      <c r="B809" s="947" t="s">
        <v>14447</v>
      </c>
      <c r="C809" s="948" t="s">
        <v>14445</v>
      </c>
      <c r="D809" s="242" t="s">
        <v>28733</v>
      </c>
      <c r="E809" s="949">
        <v>105</v>
      </c>
      <c r="F809" s="949">
        <v>105</v>
      </c>
      <c r="G809" s="950" t="s">
        <v>1585</v>
      </c>
      <c r="H809" s="950" t="s">
        <v>594</v>
      </c>
      <c r="I809" s="951" t="s">
        <v>14446</v>
      </c>
      <c r="J809" s="947" t="s">
        <v>14447</v>
      </c>
      <c r="K809" s="143"/>
    </row>
    <row r="810" spans="1:11">
      <c r="A810" s="946" t="s">
        <v>28614</v>
      </c>
      <c r="B810" s="947" t="s">
        <v>14812</v>
      </c>
      <c r="C810" s="948" t="s">
        <v>14810</v>
      </c>
      <c r="D810" s="242" t="s">
        <v>28733</v>
      </c>
      <c r="E810" s="949">
        <v>105</v>
      </c>
      <c r="F810" s="949">
        <v>105</v>
      </c>
      <c r="G810" s="950" t="s">
        <v>1585</v>
      </c>
      <c r="H810" s="950" t="s">
        <v>594</v>
      </c>
      <c r="I810" s="951" t="s">
        <v>14811</v>
      </c>
      <c r="J810" s="947" t="s">
        <v>14812</v>
      </c>
      <c r="K810" s="143"/>
    </row>
    <row r="811" spans="1:11">
      <c r="A811" s="946" t="s">
        <v>28614</v>
      </c>
      <c r="B811" s="947" t="s">
        <v>15015</v>
      </c>
      <c r="C811" s="948" t="s">
        <v>15013</v>
      </c>
      <c r="D811" s="242" t="s">
        <v>28733</v>
      </c>
      <c r="E811" s="949">
        <v>105</v>
      </c>
      <c r="F811" s="949">
        <v>105</v>
      </c>
      <c r="G811" s="950" t="s">
        <v>1585</v>
      </c>
      <c r="H811" s="950" t="s">
        <v>594</v>
      </c>
      <c r="I811" s="951" t="s">
        <v>15014</v>
      </c>
      <c r="J811" s="947" t="s">
        <v>15015</v>
      </c>
      <c r="K811" s="143"/>
    </row>
    <row r="812" spans="1:11">
      <c r="A812" s="946" t="s">
        <v>28614</v>
      </c>
      <c r="B812" s="947" t="s">
        <v>15054</v>
      </c>
      <c r="C812" s="948" t="s">
        <v>15052</v>
      </c>
      <c r="D812" s="242" t="s">
        <v>28733</v>
      </c>
      <c r="E812" s="949">
        <v>105</v>
      </c>
      <c r="F812" s="949">
        <v>105</v>
      </c>
      <c r="G812" s="950" t="s">
        <v>1585</v>
      </c>
      <c r="H812" s="950" t="s">
        <v>594</v>
      </c>
      <c r="I812" s="951" t="s">
        <v>15053</v>
      </c>
      <c r="J812" s="947" t="s">
        <v>15054</v>
      </c>
      <c r="K812" s="143"/>
    </row>
    <row r="813" spans="1:11">
      <c r="A813" s="946" t="s">
        <v>28614</v>
      </c>
      <c r="B813" s="947" t="s">
        <v>15529</v>
      </c>
      <c r="C813" s="948" t="s">
        <v>15527</v>
      </c>
      <c r="D813" s="242" t="s">
        <v>28733</v>
      </c>
      <c r="E813" s="949">
        <v>105</v>
      </c>
      <c r="F813" s="949">
        <v>105</v>
      </c>
      <c r="G813" s="950" t="s">
        <v>1585</v>
      </c>
      <c r="H813" s="950" t="s">
        <v>594</v>
      </c>
      <c r="I813" s="951" t="s">
        <v>15528</v>
      </c>
      <c r="J813" s="947" t="s">
        <v>15529</v>
      </c>
      <c r="K813" s="143"/>
    </row>
    <row r="814" spans="1:11">
      <c r="A814" s="946" t="s">
        <v>28614</v>
      </c>
      <c r="B814" s="947" t="s">
        <v>15957</v>
      </c>
      <c r="C814" s="948" t="s">
        <v>15955</v>
      </c>
      <c r="D814" s="242" t="s">
        <v>28733</v>
      </c>
      <c r="E814" s="949">
        <v>105</v>
      </c>
      <c r="F814" s="949">
        <v>105</v>
      </c>
      <c r="G814" s="950" t="s">
        <v>1585</v>
      </c>
      <c r="H814" s="950" t="s">
        <v>594</v>
      </c>
      <c r="I814" s="951" t="s">
        <v>15956</v>
      </c>
      <c r="J814" s="947" t="s">
        <v>15957</v>
      </c>
      <c r="K814" s="143"/>
    </row>
    <row r="815" spans="1:11">
      <c r="A815" s="946" t="s">
        <v>28614</v>
      </c>
      <c r="B815" s="947" t="s">
        <v>16169</v>
      </c>
      <c r="C815" s="948" t="s">
        <v>16167</v>
      </c>
      <c r="D815" s="242" t="s">
        <v>28733</v>
      </c>
      <c r="E815" s="949">
        <v>105</v>
      </c>
      <c r="F815" s="949">
        <v>105</v>
      </c>
      <c r="G815" s="950" t="s">
        <v>1585</v>
      </c>
      <c r="H815" s="950" t="s">
        <v>594</v>
      </c>
      <c r="I815" s="951" t="s">
        <v>16168</v>
      </c>
      <c r="J815" s="947" t="s">
        <v>16169</v>
      </c>
      <c r="K815" s="143"/>
    </row>
    <row r="816" spans="1:11">
      <c r="A816" s="946" t="s">
        <v>28614</v>
      </c>
      <c r="B816" s="947" t="s">
        <v>16229</v>
      </c>
      <c r="C816" s="948" t="s">
        <v>16227</v>
      </c>
      <c r="D816" s="242" t="s">
        <v>28733</v>
      </c>
      <c r="E816" s="949">
        <v>105</v>
      </c>
      <c r="F816" s="949">
        <v>105</v>
      </c>
      <c r="G816" s="950" t="s">
        <v>1585</v>
      </c>
      <c r="H816" s="950" t="s">
        <v>594</v>
      </c>
      <c r="I816" s="951" t="s">
        <v>16228</v>
      </c>
      <c r="J816" s="947" t="s">
        <v>16229</v>
      </c>
      <c r="K816" s="143"/>
    </row>
    <row r="817" spans="1:11">
      <c r="A817" s="946" t="s">
        <v>28614</v>
      </c>
      <c r="B817" s="947" t="s">
        <v>16471</v>
      </c>
      <c r="C817" s="948" t="s">
        <v>16469</v>
      </c>
      <c r="D817" s="242" t="s">
        <v>28733</v>
      </c>
      <c r="E817" s="949">
        <v>105</v>
      </c>
      <c r="F817" s="949">
        <v>105</v>
      </c>
      <c r="G817" s="950" t="s">
        <v>1585</v>
      </c>
      <c r="H817" s="950" t="s">
        <v>594</v>
      </c>
      <c r="I817" s="951" t="s">
        <v>16470</v>
      </c>
      <c r="J817" s="947" t="s">
        <v>16471</v>
      </c>
      <c r="K817" s="143"/>
    </row>
    <row r="818" spans="1:11">
      <c r="A818" s="946" t="s">
        <v>28614</v>
      </c>
      <c r="B818" s="947" t="s">
        <v>16495</v>
      </c>
      <c r="C818" s="948" t="s">
        <v>16493</v>
      </c>
      <c r="D818" s="242" t="s">
        <v>28733</v>
      </c>
      <c r="E818" s="949">
        <v>105</v>
      </c>
      <c r="F818" s="949">
        <v>105</v>
      </c>
      <c r="G818" s="950" t="s">
        <v>1585</v>
      </c>
      <c r="H818" s="950" t="s">
        <v>594</v>
      </c>
      <c r="I818" s="951" t="s">
        <v>16494</v>
      </c>
      <c r="J818" s="947" t="s">
        <v>16495</v>
      </c>
      <c r="K818" s="143"/>
    </row>
    <row r="819" spans="1:11">
      <c r="A819" s="946" t="s">
        <v>28614</v>
      </c>
      <c r="B819" s="947" t="s">
        <v>16513</v>
      </c>
      <c r="C819" s="948" t="s">
        <v>16511</v>
      </c>
      <c r="D819" s="242" t="s">
        <v>28733</v>
      </c>
      <c r="E819" s="949">
        <v>105</v>
      </c>
      <c r="F819" s="949">
        <v>105</v>
      </c>
      <c r="G819" s="950" t="s">
        <v>1585</v>
      </c>
      <c r="H819" s="950" t="s">
        <v>594</v>
      </c>
      <c r="I819" s="951" t="s">
        <v>16512</v>
      </c>
      <c r="J819" s="947" t="s">
        <v>16513</v>
      </c>
      <c r="K819" s="143"/>
    </row>
    <row r="820" spans="1:11">
      <c r="A820" s="946" t="s">
        <v>28614</v>
      </c>
      <c r="B820" s="947" t="s">
        <v>16697</v>
      </c>
      <c r="C820" s="948" t="s">
        <v>16695</v>
      </c>
      <c r="D820" s="242" t="s">
        <v>31116</v>
      </c>
      <c r="E820" s="949">
        <v>106</v>
      </c>
      <c r="F820" s="949">
        <v>106</v>
      </c>
      <c r="G820" s="950" t="s">
        <v>1585</v>
      </c>
      <c r="H820" s="950" t="s">
        <v>594</v>
      </c>
      <c r="I820" s="951" t="s">
        <v>16696</v>
      </c>
      <c r="J820" s="947" t="s">
        <v>16697</v>
      </c>
      <c r="K820" s="143"/>
    </row>
    <row r="821" spans="1:11">
      <c r="A821" s="946" t="s">
        <v>28614</v>
      </c>
      <c r="B821" s="947" t="s">
        <v>16733</v>
      </c>
      <c r="C821" s="948" t="s">
        <v>16731</v>
      </c>
      <c r="D821" s="242" t="s">
        <v>31116</v>
      </c>
      <c r="E821" s="949">
        <v>106</v>
      </c>
      <c r="F821" s="949">
        <v>106</v>
      </c>
      <c r="G821" s="950" t="s">
        <v>1585</v>
      </c>
      <c r="H821" s="950" t="s">
        <v>594</v>
      </c>
      <c r="I821" s="951" t="s">
        <v>16732</v>
      </c>
      <c r="J821" s="947" t="s">
        <v>16733</v>
      </c>
      <c r="K821" s="143"/>
    </row>
    <row r="822" spans="1:11">
      <c r="A822" s="946" t="s">
        <v>28614</v>
      </c>
      <c r="B822" s="947" t="s">
        <v>16739</v>
      </c>
      <c r="C822" s="948" t="s">
        <v>16737</v>
      </c>
      <c r="D822" s="242" t="s">
        <v>28733</v>
      </c>
      <c r="E822" s="949">
        <v>105</v>
      </c>
      <c r="F822" s="949">
        <v>105</v>
      </c>
      <c r="G822" s="950" t="s">
        <v>1585</v>
      </c>
      <c r="H822" s="950" t="s">
        <v>594</v>
      </c>
      <c r="I822" s="951" t="s">
        <v>16738</v>
      </c>
      <c r="J822" s="947" t="s">
        <v>16739</v>
      </c>
      <c r="K822" s="143"/>
    </row>
    <row r="823" spans="1:11">
      <c r="A823" s="946" t="s">
        <v>28614</v>
      </c>
      <c r="B823" s="947" t="s">
        <v>17507</v>
      </c>
      <c r="C823" s="948" t="s">
        <v>17505</v>
      </c>
      <c r="D823" s="242" t="s">
        <v>28733</v>
      </c>
      <c r="E823" s="949">
        <v>105</v>
      </c>
      <c r="F823" s="949">
        <v>105</v>
      </c>
      <c r="G823" s="950" t="s">
        <v>1585</v>
      </c>
      <c r="H823" s="950" t="s">
        <v>594</v>
      </c>
      <c r="I823" s="951" t="s">
        <v>17506</v>
      </c>
      <c r="J823" s="947" t="s">
        <v>17507</v>
      </c>
      <c r="K823" s="143"/>
    </row>
    <row r="824" spans="1:11">
      <c r="A824" s="946" t="s">
        <v>28614</v>
      </c>
      <c r="B824" s="947" t="s">
        <v>17687</v>
      </c>
      <c r="C824" s="948" t="s">
        <v>17685</v>
      </c>
      <c r="D824" s="242" t="s">
        <v>31116</v>
      </c>
      <c r="E824" s="949">
        <v>106</v>
      </c>
      <c r="F824" s="949">
        <v>106</v>
      </c>
      <c r="G824" s="950" t="s">
        <v>1585</v>
      </c>
      <c r="H824" s="950" t="s">
        <v>594</v>
      </c>
      <c r="I824" s="951" t="s">
        <v>17686</v>
      </c>
      <c r="J824" s="947" t="s">
        <v>17687</v>
      </c>
      <c r="K824" s="143"/>
    </row>
    <row r="825" spans="1:11">
      <c r="A825" s="946" t="s">
        <v>28614</v>
      </c>
      <c r="B825" s="947" t="s">
        <v>17883</v>
      </c>
      <c r="C825" s="948" t="s">
        <v>17881</v>
      </c>
      <c r="D825" s="242" t="s">
        <v>28733</v>
      </c>
      <c r="E825" s="949">
        <v>105</v>
      </c>
      <c r="F825" s="949">
        <v>105</v>
      </c>
      <c r="G825" s="950" t="s">
        <v>1585</v>
      </c>
      <c r="H825" s="950" t="s">
        <v>594</v>
      </c>
      <c r="I825" s="951" t="s">
        <v>17882</v>
      </c>
      <c r="J825" s="947" t="s">
        <v>17883</v>
      </c>
      <c r="K825" s="143"/>
    </row>
    <row r="826" spans="1:11">
      <c r="A826" s="946" t="s">
        <v>28614</v>
      </c>
      <c r="B826" s="947" t="s">
        <v>17936</v>
      </c>
      <c r="C826" s="948" t="s">
        <v>17934</v>
      </c>
      <c r="D826" s="242" t="s">
        <v>28733</v>
      </c>
      <c r="E826" s="949">
        <v>105</v>
      </c>
      <c r="F826" s="949">
        <v>105</v>
      </c>
      <c r="G826" s="950" t="s">
        <v>1585</v>
      </c>
      <c r="H826" s="950" t="s">
        <v>594</v>
      </c>
      <c r="I826" s="951" t="s">
        <v>17935</v>
      </c>
      <c r="J826" s="947" t="s">
        <v>17936</v>
      </c>
      <c r="K826" s="143"/>
    </row>
    <row r="827" spans="1:11">
      <c r="A827" s="946" t="s">
        <v>28614</v>
      </c>
      <c r="B827" s="947" t="s">
        <v>18051</v>
      </c>
      <c r="C827" s="948" t="s">
        <v>18049</v>
      </c>
      <c r="D827" s="242" t="s">
        <v>28733</v>
      </c>
      <c r="E827" s="949">
        <v>105</v>
      </c>
      <c r="F827" s="949">
        <v>105</v>
      </c>
      <c r="G827" s="950" t="s">
        <v>1585</v>
      </c>
      <c r="H827" s="950" t="s">
        <v>594</v>
      </c>
      <c r="I827" s="951" t="s">
        <v>18050</v>
      </c>
      <c r="J827" s="947" t="s">
        <v>18051</v>
      </c>
      <c r="K827" s="143"/>
    </row>
    <row r="828" spans="1:11">
      <c r="A828" s="946" t="s">
        <v>28614</v>
      </c>
      <c r="B828" s="947" t="s">
        <v>19148</v>
      </c>
      <c r="C828" s="948" t="s">
        <v>19146</v>
      </c>
      <c r="D828" s="242" t="s">
        <v>28733</v>
      </c>
      <c r="E828" s="949">
        <v>105</v>
      </c>
      <c r="F828" s="949">
        <v>105</v>
      </c>
      <c r="G828" s="950" t="s">
        <v>1585</v>
      </c>
      <c r="H828" s="950" t="s">
        <v>594</v>
      </c>
      <c r="I828" s="951" t="s">
        <v>19147</v>
      </c>
      <c r="J828" s="947" t="s">
        <v>19148</v>
      </c>
      <c r="K828" s="143"/>
    </row>
    <row r="829" spans="1:11">
      <c r="A829" s="946" t="s">
        <v>28614</v>
      </c>
      <c r="B829" s="947" t="s">
        <v>19313</v>
      </c>
      <c r="C829" s="948" t="s">
        <v>19311</v>
      </c>
      <c r="D829" s="242" t="s">
        <v>31116</v>
      </c>
      <c r="E829" s="949">
        <v>106</v>
      </c>
      <c r="F829" s="949">
        <v>106</v>
      </c>
      <c r="G829" s="950" t="s">
        <v>1585</v>
      </c>
      <c r="H829" s="950" t="s">
        <v>594</v>
      </c>
      <c r="I829" s="951" t="s">
        <v>19312</v>
      </c>
      <c r="J829" s="947" t="s">
        <v>19313</v>
      </c>
      <c r="K829" s="143"/>
    </row>
    <row r="830" spans="1:11">
      <c r="A830" s="946" t="s">
        <v>28614</v>
      </c>
      <c r="B830" s="947" t="s">
        <v>19404</v>
      </c>
      <c r="C830" s="948" t="s">
        <v>19402</v>
      </c>
      <c r="D830" s="242" t="s">
        <v>31116</v>
      </c>
      <c r="E830" s="949">
        <v>106</v>
      </c>
      <c r="F830" s="949">
        <v>106</v>
      </c>
      <c r="G830" s="950" t="s">
        <v>1585</v>
      </c>
      <c r="H830" s="950" t="s">
        <v>594</v>
      </c>
      <c r="I830" s="951" t="s">
        <v>19403</v>
      </c>
      <c r="J830" s="947" t="s">
        <v>19404</v>
      </c>
      <c r="K830" s="143"/>
    </row>
    <row r="831" spans="1:11">
      <c r="A831" s="946" t="s">
        <v>28614</v>
      </c>
      <c r="B831" s="947" t="s">
        <v>19452</v>
      </c>
      <c r="C831" s="948" t="s">
        <v>19450</v>
      </c>
      <c r="D831" s="242" t="s">
        <v>28733</v>
      </c>
      <c r="E831" s="949">
        <v>105</v>
      </c>
      <c r="F831" s="949">
        <v>105</v>
      </c>
      <c r="G831" s="950" t="s">
        <v>1585</v>
      </c>
      <c r="H831" s="950" t="s">
        <v>594</v>
      </c>
      <c r="I831" s="951" t="s">
        <v>19451</v>
      </c>
      <c r="J831" s="947" t="s">
        <v>19452</v>
      </c>
      <c r="K831" s="143"/>
    </row>
    <row r="832" spans="1:11">
      <c r="A832" s="946" t="s">
        <v>28614</v>
      </c>
      <c r="B832" s="947" t="s">
        <v>19615</v>
      </c>
      <c r="C832" s="948" t="s">
        <v>19613</v>
      </c>
      <c r="D832" s="242" t="s">
        <v>28733</v>
      </c>
      <c r="E832" s="949">
        <v>105</v>
      </c>
      <c r="F832" s="949">
        <v>105</v>
      </c>
      <c r="G832" s="950" t="s">
        <v>1585</v>
      </c>
      <c r="H832" s="950" t="s">
        <v>594</v>
      </c>
      <c r="I832" s="951" t="s">
        <v>19614</v>
      </c>
      <c r="J832" s="947" t="s">
        <v>19615</v>
      </c>
      <c r="K832" s="143"/>
    </row>
    <row r="833" spans="1:11">
      <c r="A833" s="946" t="s">
        <v>28614</v>
      </c>
      <c r="B833" s="947" t="s">
        <v>20464</v>
      </c>
      <c r="C833" s="948" t="s">
        <v>20462</v>
      </c>
      <c r="D833" s="242" t="s">
        <v>28733</v>
      </c>
      <c r="E833" s="949">
        <v>105</v>
      </c>
      <c r="F833" s="949">
        <v>105</v>
      </c>
      <c r="G833" s="950" t="s">
        <v>1585</v>
      </c>
      <c r="H833" s="950" t="s">
        <v>594</v>
      </c>
      <c r="I833" s="951" t="s">
        <v>20463</v>
      </c>
      <c r="J833" s="947" t="s">
        <v>20464</v>
      </c>
      <c r="K833" s="143"/>
    </row>
    <row r="834" spans="1:11">
      <c r="A834" s="946" t="s">
        <v>28614</v>
      </c>
      <c r="B834" s="947" t="s">
        <v>20543</v>
      </c>
      <c r="C834" s="948" t="s">
        <v>20541</v>
      </c>
      <c r="D834" s="242" t="s">
        <v>28733</v>
      </c>
      <c r="E834" s="949">
        <v>105</v>
      </c>
      <c r="F834" s="949">
        <v>105</v>
      </c>
      <c r="G834" s="950" t="s">
        <v>1585</v>
      </c>
      <c r="H834" s="950" t="s">
        <v>594</v>
      </c>
      <c r="I834" s="951" t="s">
        <v>20542</v>
      </c>
      <c r="J834" s="947" t="s">
        <v>20543</v>
      </c>
      <c r="K834" s="143"/>
    </row>
    <row r="835" spans="1:11">
      <c r="A835" s="946" t="s">
        <v>28614</v>
      </c>
      <c r="B835" s="947" t="s">
        <v>21263</v>
      </c>
      <c r="C835" s="948" t="s">
        <v>21261</v>
      </c>
      <c r="D835" s="242" t="s">
        <v>28733</v>
      </c>
      <c r="E835" s="949">
        <v>105</v>
      </c>
      <c r="F835" s="949">
        <v>105</v>
      </c>
      <c r="G835" s="950" t="s">
        <v>1585</v>
      </c>
      <c r="H835" s="950" t="s">
        <v>594</v>
      </c>
      <c r="I835" s="951" t="s">
        <v>21262</v>
      </c>
      <c r="J835" s="947" t="s">
        <v>21263</v>
      </c>
      <c r="K835" s="143"/>
    </row>
    <row r="836" spans="1:11">
      <c r="A836" s="946" t="s">
        <v>28614</v>
      </c>
      <c r="B836" s="947" t="s">
        <v>21360</v>
      </c>
      <c r="C836" s="948" t="s">
        <v>21358</v>
      </c>
      <c r="D836" s="242" t="s">
        <v>28733</v>
      </c>
      <c r="E836" s="949">
        <v>105</v>
      </c>
      <c r="F836" s="949">
        <v>105</v>
      </c>
      <c r="G836" s="950" t="s">
        <v>1585</v>
      </c>
      <c r="H836" s="950" t="s">
        <v>594</v>
      </c>
      <c r="I836" s="951" t="s">
        <v>21359</v>
      </c>
      <c r="J836" s="947" t="s">
        <v>21360</v>
      </c>
      <c r="K836" s="143"/>
    </row>
    <row r="837" spans="1:11">
      <c r="A837" s="946" t="s">
        <v>28614</v>
      </c>
      <c r="B837" s="947" t="s">
        <v>21845</v>
      </c>
      <c r="C837" s="948" t="s">
        <v>21843</v>
      </c>
      <c r="D837" s="242" t="s">
        <v>31116</v>
      </c>
      <c r="E837" s="949">
        <v>106</v>
      </c>
      <c r="F837" s="949">
        <v>106</v>
      </c>
      <c r="G837" s="950" t="s">
        <v>1585</v>
      </c>
      <c r="H837" s="950" t="s">
        <v>594</v>
      </c>
      <c r="I837" s="951" t="s">
        <v>21844</v>
      </c>
      <c r="J837" s="947" t="s">
        <v>21845</v>
      </c>
      <c r="K837" s="143"/>
    </row>
    <row r="838" spans="1:11">
      <c r="A838" s="946" t="s">
        <v>28614</v>
      </c>
      <c r="B838" s="947" t="s">
        <v>21893</v>
      </c>
      <c r="C838" s="948" t="s">
        <v>21891</v>
      </c>
      <c r="D838" s="242" t="s">
        <v>28733</v>
      </c>
      <c r="E838" s="949">
        <v>105</v>
      </c>
      <c r="F838" s="949">
        <v>105</v>
      </c>
      <c r="G838" s="950" t="s">
        <v>1585</v>
      </c>
      <c r="H838" s="950" t="s">
        <v>594</v>
      </c>
      <c r="I838" s="951" t="s">
        <v>21892</v>
      </c>
      <c r="J838" s="947" t="s">
        <v>21893</v>
      </c>
      <c r="K838" s="143"/>
    </row>
    <row r="839" spans="1:11">
      <c r="A839" s="946" t="s">
        <v>28614</v>
      </c>
      <c r="B839" s="947" t="s">
        <v>21905</v>
      </c>
      <c r="C839" s="948" t="s">
        <v>21903</v>
      </c>
      <c r="D839" s="242" t="s">
        <v>28733</v>
      </c>
      <c r="E839" s="949">
        <v>105</v>
      </c>
      <c r="F839" s="949">
        <v>105</v>
      </c>
      <c r="G839" s="950" t="s">
        <v>1585</v>
      </c>
      <c r="H839" s="950" t="s">
        <v>594</v>
      </c>
      <c r="I839" s="951" t="s">
        <v>21904</v>
      </c>
      <c r="J839" s="947" t="s">
        <v>21905</v>
      </c>
      <c r="K839" s="143"/>
    </row>
    <row r="840" spans="1:11">
      <c r="A840" s="946" t="s">
        <v>28614</v>
      </c>
      <c r="B840" s="947" t="s">
        <v>21996</v>
      </c>
      <c r="C840" s="948" t="s">
        <v>21994</v>
      </c>
      <c r="D840" s="242" t="s">
        <v>28733</v>
      </c>
      <c r="E840" s="949">
        <v>105</v>
      </c>
      <c r="F840" s="949">
        <v>105</v>
      </c>
      <c r="G840" s="950" t="s">
        <v>1585</v>
      </c>
      <c r="H840" s="950" t="s">
        <v>594</v>
      </c>
      <c r="I840" s="951" t="s">
        <v>21995</v>
      </c>
      <c r="J840" s="947" t="s">
        <v>21996</v>
      </c>
      <c r="K840" s="143"/>
    </row>
    <row r="841" spans="1:11">
      <c r="A841" s="946" t="s">
        <v>28614</v>
      </c>
      <c r="B841" s="947" t="s">
        <v>22170</v>
      </c>
      <c r="C841" s="948" t="s">
        <v>22168</v>
      </c>
      <c r="D841" s="242" t="s">
        <v>28733</v>
      </c>
      <c r="E841" s="949">
        <v>105</v>
      </c>
      <c r="F841" s="949">
        <v>105</v>
      </c>
      <c r="G841" s="950" t="s">
        <v>1585</v>
      </c>
      <c r="H841" s="950" t="s">
        <v>594</v>
      </c>
      <c r="I841" s="951" t="s">
        <v>22169</v>
      </c>
      <c r="J841" s="947" t="s">
        <v>22170</v>
      </c>
      <c r="K841" s="143"/>
    </row>
    <row r="842" spans="1:11">
      <c r="A842" s="946" t="s">
        <v>28614</v>
      </c>
      <c r="B842" s="947" t="s">
        <v>22237</v>
      </c>
      <c r="C842" s="948" t="s">
        <v>22235</v>
      </c>
      <c r="D842" s="242" t="s">
        <v>28733</v>
      </c>
      <c r="E842" s="949">
        <v>105</v>
      </c>
      <c r="F842" s="949">
        <v>105</v>
      </c>
      <c r="G842" s="950" t="s">
        <v>1585</v>
      </c>
      <c r="H842" s="950" t="s">
        <v>594</v>
      </c>
      <c r="I842" s="951" t="s">
        <v>22236</v>
      </c>
      <c r="J842" s="947" t="s">
        <v>22237</v>
      </c>
      <c r="K842" s="143"/>
    </row>
    <row r="843" spans="1:11">
      <c r="A843" s="946" t="s">
        <v>28614</v>
      </c>
      <c r="B843" s="947" t="s">
        <v>22126</v>
      </c>
      <c r="C843" s="948" t="s">
        <v>22124</v>
      </c>
      <c r="D843" s="242" t="s">
        <v>28733</v>
      </c>
      <c r="E843" s="949">
        <v>105</v>
      </c>
      <c r="F843" s="949">
        <v>105</v>
      </c>
      <c r="G843" s="950" t="s">
        <v>1585</v>
      </c>
      <c r="H843" s="950" t="s">
        <v>594</v>
      </c>
      <c r="I843" s="951" t="s">
        <v>22125</v>
      </c>
      <c r="J843" s="947" t="s">
        <v>22126</v>
      </c>
      <c r="K843" s="143"/>
    </row>
    <row r="844" spans="1:11">
      <c r="A844" s="946" t="s">
        <v>28614</v>
      </c>
      <c r="B844" s="947" t="s">
        <v>22372</v>
      </c>
      <c r="C844" s="948" t="s">
        <v>22370</v>
      </c>
      <c r="D844" s="242" t="s">
        <v>28733</v>
      </c>
      <c r="E844" s="949">
        <v>105</v>
      </c>
      <c r="F844" s="949">
        <v>105</v>
      </c>
      <c r="G844" s="950" t="s">
        <v>1585</v>
      </c>
      <c r="H844" s="950" t="s">
        <v>594</v>
      </c>
      <c r="I844" s="951" t="s">
        <v>22371</v>
      </c>
      <c r="J844" s="947" t="s">
        <v>22372</v>
      </c>
      <c r="K844" s="143"/>
    </row>
    <row r="845" spans="1:11">
      <c r="A845" s="946" t="s">
        <v>28614</v>
      </c>
      <c r="B845" s="947" t="s">
        <v>12818</v>
      </c>
      <c r="C845" s="948" t="s">
        <v>12816</v>
      </c>
      <c r="D845" s="242" t="s">
        <v>28733</v>
      </c>
      <c r="E845" s="949">
        <v>105</v>
      </c>
      <c r="F845" s="949">
        <v>105</v>
      </c>
      <c r="G845" s="950" t="s">
        <v>1585</v>
      </c>
      <c r="H845" s="950" t="s">
        <v>594</v>
      </c>
      <c r="I845" s="951" t="s">
        <v>12817</v>
      </c>
      <c r="J845" s="947" t="s">
        <v>12818</v>
      </c>
      <c r="K845" s="143"/>
    </row>
    <row r="846" spans="1:11">
      <c r="A846" s="946" t="s">
        <v>28614</v>
      </c>
      <c r="B846" s="947" t="s">
        <v>31129</v>
      </c>
      <c r="C846" s="948" t="s">
        <v>31130</v>
      </c>
      <c r="D846" s="242" t="s">
        <v>28733</v>
      </c>
      <c r="E846" s="949">
        <v>105</v>
      </c>
      <c r="F846" s="949">
        <v>105</v>
      </c>
      <c r="G846" s="950" t="s">
        <v>1585</v>
      </c>
      <c r="H846" s="950" t="s">
        <v>594</v>
      </c>
      <c r="I846" s="951" t="s">
        <v>31131</v>
      </c>
      <c r="J846" s="947" t="s">
        <v>31129</v>
      </c>
      <c r="K846" s="143"/>
    </row>
    <row r="847" spans="1:11">
      <c r="A847" s="946" t="s">
        <v>28614</v>
      </c>
      <c r="B847" s="947" t="s">
        <v>514</v>
      </c>
      <c r="C847" s="948" t="s">
        <v>511</v>
      </c>
      <c r="D847" s="242" t="s">
        <v>31116</v>
      </c>
      <c r="E847" s="949">
        <v>106</v>
      </c>
      <c r="F847" s="949">
        <v>106</v>
      </c>
      <c r="G847" s="950" t="s">
        <v>879</v>
      </c>
      <c r="H847" s="950" t="s">
        <v>512</v>
      </c>
      <c r="I847" s="951" t="s">
        <v>513</v>
      </c>
      <c r="J847" s="947" t="s">
        <v>514</v>
      </c>
      <c r="K847" s="143"/>
    </row>
    <row r="848" spans="1:11">
      <c r="A848" s="946" t="s">
        <v>28614</v>
      </c>
      <c r="B848" s="947" t="s">
        <v>801</v>
      </c>
      <c r="C848" s="948" t="s">
        <v>799</v>
      </c>
      <c r="D848" s="242" t="s">
        <v>31116</v>
      </c>
      <c r="E848" s="949">
        <v>106</v>
      </c>
      <c r="F848" s="949">
        <v>106</v>
      </c>
      <c r="G848" s="950" t="s">
        <v>879</v>
      </c>
      <c r="H848" s="950" t="s">
        <v>512</v>
      </c>
      <c r="I848" s="951" t="s">
        <v>800</v>
      </c>
      <c r="J848" s="947" t="s">
        <v>801</v>
      </c>
      <c r="K848" s="143"/>
    </row>
    <row r="849" spans="1:11">
      <c r="A849" s="946" t="s">
        <v>28614</v>
      </c>
      <c r="B849" s="947" t="s">
        <v>879</v>
      </c>
      <c r="C849" s="948" t="s">
        <v>877</v>
      </c>
      <c r="D849" s="242" t="s">
        <v>31116</v>
      </c>
      <c r="E849" s="949">
        <v>106</v>
      </c>
      <c r="F849" s="949">
        <v>106</v>
      </c>
      <c r="G849" s="950" t="s">
        <v>879</v>
      </c>
      <c r="H849" s="950" t="s">
        <v>512</v>
      </c>
      <c r="I849" s="951" t="s">
        <v>878</v>
      </c>
      <c r="J849" s="947" t="s">
        <v>879</v>
      </c>
      <c r="K849" s="143"/>
    </row>
    <row r="850" spans="1:11">
      <c r="A850" s="946" t="s">
        <v>28614</v>
      </c>
      <c r="B850" s="947" t="s">
        <v>903</v>
      </c>
      <c r="C850" s="948" t="s">
        <v>901</v>
      </c>
      <c r="D850" s="242" t="s">
        <v>28733</v>
      </c>
      <c r="E850" s="949">
        <v>105</v>
      </c>
      <c r="F850" s="949">
        <v>105</v>
      </c>
      <c r="G850" s="950" t="s">
        <v>879</v>
      </c>
      <c r="H850" s="950" t="s">
        <v>512</v>
      </c>
      <c r="I850" s="951" t="s">
        <v>902</v>
      </c>
      <c r="J850" s="947" t="s">
        <v>903</v>
      </c>
      <c r="K850" s="143"/>
    </row>
    <row r="851" spans="1:11">
      <c r="A851" s="946" t="s">
        <v>28614</v>
      </c>
      <c r="B851" s="947" t="s">
        <v>929</v>
      </c>
      <c r="C851" s="948" t="s">
        <v>927</v>
      </c>
      <c r="D851" s="242" t="s">
        <v>31116</v>
      </c>
      <c r="E851" s="949">
        <v>106</v>
      </c>
      <c r="F851" s="949">
        <v>106</v>
      </c>
      <c r="G851" s="950" t="s">
        <v>879</v>
      </c>
      <c r="H851" s="950" t="s">
        <v>512</v>
      </c>
      <c r="I851" s="951" t="s">
        <v>928</v>
      </c>
      <c r="J851" s="947" t="s">
        <v>929</v>
      </c>
      <c r="K851" s="143"/>
    </row>
    <row r="852" spans="1:11">
      <c r="A852" s="946" t="s">
        <v>28614</v>
      </c>
      <c r="B852" s="947" t="s">
        <v>1001</v>
      </c>
      <c r="C852" s="948" t="s">
        <v>999</v>
      </c>
      <c r="D852" s="242" t="s">
        <v>28733</v>
      </c>
      <c r="E852" s="949">
        <v>105</v>
      </c>
      <c r="F852" s="949">
        <v>105</v>
      </c>
      <c r="G852" s="950" t="s">
        <v>879</v>
      </c>
      <c r="H852" s="950" t="s">
        <v>512</v>
      </c>
      <c r="I852" s="951" t="s">
        <v>1000</v>
      </c>
      <c r="J852" s="947" t="s">
        <v>1001</v>
      </c>
      <c r="K852" s="143"/>
    </row>
    <row r="853" spans="1:11">
      <c r="A853" s="946" t="s">
        <v>28614</v>
      </c>
      <c r="B853" s="947" t="s">
        <v>1052</v>
      </c>
      <c r="C853" s="948" t="s">
        <v>1050</v>
      </c>
      <c r="D853" s="242" t="s">
        <v>31116</v>
      </c>
      <c r="E853" s="949">
        <v>106</v>
      </c>
      <c r="F853" s="949">
        <v>106</v>
      </c>
      <c r="G853" s="950" t="s">
        <v>879</v>
      </c>
      <c r="H853" s="950" t="s">
        <v>512</v>
      </c>
      <c r="I853" s="951" t="s">
        <v>1051</v>
      </c>
      <c r="J853" s="947" t="s">
        <v>1052</v>
      </c>
      <c r="K853" s="143"/>
    </row>
    <row r="854" spans="1:11">
      <c r="A854" s="946" t="s">
        <v>28614</v>
      </c>
      <c r="B854" s="947" t="s">
        <v>1485</v>
      </c>
      <c r="C854" s="948" t="s">
        <v>1483</v>
      </c>
      <c r="D854" s="242" t="s">
        <v>31116</v>
      </c>
      <c r="E854" s="949">
        <v>106</v>
      </c>
      <c r="F854" s="949">
        <v>106</v>
      </c>
      <c r="G854" s="950" t="s">
        <v>879</v>
      </c>
      <c r="H854" s="950" t="s">
        <v>512</v>
      </c>
      <c r="I854" s="951" t="s">
        <v>1484</v>
      </c>
      <c r="J854" s="947" t="s">
        <v>1485</v>
      </c>
      <c r="K854" s="143"/>
    </row>
    <row r="855" spans="1:11">
      <c r="A855" s="946" t="s">
        <v>28614</v>
      </c>
      <c r="B855" s="947" t="s">
        <v>1694</v>
      </c>
      <c r="C855" s="948" t="s">
        <v>1692</v>
      </c>
      <c r="D855" s="242" t="s">
        <v>31116</v>
      </c>
      <c r="E855" s="949">
        <v>106</v>
      </c>
      <c r="F855" s="949">
        <v>106</v>
      </c>
      <c r="G855" s="950" t="s">
        <v>879</v>
      </c>
      <c r="H855" s="950" t="s">
        <v>512</v>
      </c>
      <c r="I855" s="951" t="s">
        <v>1693</v>
      </c>
      <c r="J855" s="947" t="s">
        <v>1694</v>
      </c>
      <c r="K855" s="143"/>
    </row>
    <row r="856" spans="1:11">
      <c r="A856" s="946" t="s">
        <v>28614</v>
      </c>
      <c r="B856" s="947" t="s">
        <v>1887</v>
      </c>
      <c r="C856" s="948" t="s">
        <v>1885</v>
      </c>
      <c r="D856" s="242" t="s">
        <v>516</v>
      </c>
      <c r="E856" s="949">
        <v>102</v>
      </c>
      <c r="F856" s="949">
        <v>102</v>
      </c>
      <c r="G856" s="950" t="s">
        <v>879</v>
      </c>
      <c r="H856" s="950" t="s">
        <v>512</v>
      </c>
      <c r="I856" s="951" t="s">
        <v>1886</v>
      </c>
      <c r="J856" s="947" t="s">
        <v>1887</v>
      </c>
      <c r="K856" s="143"/>
    </row>
    <row r="857" spans="1:11">
      <c r="A857" s="946" t="s">
        <v>28614</v>
      </c>
      <c r="B857" s="947" t="s">
        <v>2045</v>
      </c>
      <c r="C857" s="948" t="s">
        <v>2043</v>
      </c>
      <c r="D857" s="242" t="s">
        <v>31116</v>
      </c>
      <c r="E857" s="949">
        <v>106</v>
      </c>
      <c r="F857" s="949">
        <v>106</v>
      </c>
      <c r="G857" s="950" t="s">
        <v>879</v>
      </c>
      <c r="H857" s="950" t="s">
        <v>512</v>
      </c>
      <c r="I857" s="951" t="s">
        <v>2044</v>
      </c>
      <c r="J857" s="947" t="s">
        <v>2045</v>
      </c>
      <c r="K857" s="143"/>
    </row>
    <row r="858" spans="1:11">
      <c r="A858" s="946" t="s">
        <v>28614</v>
      </c>
      <c r="B858" s="947" t="s">
        <v>2090</v>
      </c>
      <c r="C858" s="948" t="s">
        <v>2088</v>
      </c>
      <c r="D858" s="242" t="s">
        <v>516</v>
      </c>
      <c r="E858" s="949">
        <v>102</v>
      </c>
      <c r="F858" s="949">
        <v>102</v>
      </c>
      <c r="G858" s="950" t="s">
        <v>879</v>
      </c>
      <c r="H858" s="950" t="s">
        <v>512</v>
      </c>
      <c r="I858" s="951" t="s">
        <v>2089</v>
      </c>
      <c r="J858" s="947" t="s">
        <v>2090</v>
      </c>
      <c r="K858" s="143"/>
    </row>
    <row r="859" spans="1:11">
      <c r="A859" s="946" t="s">
        <v>28614</v>
      </c>
      <c r="B859" s="947" t="s">
        <v>2161</v>
      </c>
      <c r="C859" s="948" t="s">
        <v>2159</v>
      </c>
      <c r="D859" s="242" t="s">
        <v>31116</v>
      </c>
      <c r="E859" s="949">
        <v>106</v>
      </c>
      <c r="F859" s="949">
        <v>106</v>
      </c>
      <c r="G859" s="950" t="s">
        <v>879</v>
      </c>
      <c r="H859" s="950" t="s">
        <v>512</v>
      </c>
      <c r="I859" s="951" t="s">
        <v>2160</v>
      </c>
      <c r="J859" s="947" t="s">
        <v>2161</v>
      </c>
      <c r="K859" s="143"/>
    </row>
    <row r="860" spans="1:11">
      <c r="A860" s="946" t="s">
        <v>28614</v>
      </c>
      <c r="B860" s="947" t="s">
        <v>2292</v>
      </c>
      <c r="C860" s="948" t="s">
        <v>2290</v>
      </c>
      <c r="D860" s="242" t="s">
        <v>31116</v>
      </c>
      <c r="E860" s="949">
        <v>106</v>
      </c>
      <c r="F860" s="949">
        <v>106</v>
      </c>
      <c r="G860" s="950" t="s">
        <v>879</v>
      </c>
      <c r="H860" s="950" t="s">
        <v>512</v>
      </c>
      <c r="I860" s="951" t="s">
        <v>2291</v>
      </c>
      <c r="J860" s="947" t="s">
        <v>2292</v>
      </c>
      <c r="K860" s="143"/>
    </row>
    <row r="861" spans="1:11">
      <c r="A861" s="946" t="s">
        <v>28614</v>
      </c>
      <c r="B861" s="947" t="s">
        <v>2333</v>
      </c>
      <c r="C861" s="948" t="s">
        <v>2331</v>
      </c>
      <c r="D861" s="242" t="s">
        <v>31116</v>
      </c>
      <c r="E861" s="949">
        <v>106</v>
      </c>
      <c r="F861" s="949">
        <v>106</v>
      </c>
      <c r="G861" s="950" t="s">
        <v>879</v>
      </c>
      <c r="H861" s="950" t="s">
        <v>512</v>
      </c>
      <c r="I861" s="951" t="s">
        <v>2332</v>
      </c>
      <c r="J861" s="947" t="s">
        <v>2333</v>
      </c>
      <c r="K861" s="143"/>
    </row>
    <row r="862" spans="1:11">
      <c r="A862" s="946" t="s">
        <v>28614</v>
      </c>
      <c r="B862" s="947" t="s">
        <v>2481</v>
      </c>
      <c r="C862" s="948" t="s">
        <v>2479</v>
      </c>
      <c r="D862" s="242" t="s">
        <v>31116</v>
      </c>
      <c r="E862" s="949">
        <v>106</v>
      </c>
      <c r="F862" s="949">
        <v>106</v>
      </c>
      <c r="G862" s="950" t="s">
        <v>879</v>
      </c>
      <c r="H862" s="950" t="s">
        <v>512</v>
      </c>
      <c r="I862" s="951" t="s">
        <v>2480</v>
      </c>
      <c r="J862" s="947" t="s">
        <v>2481</v>
      </c>
      <c r="K862" s="143"/>
    </row>
    <row r="863" spans="1:11">
      <c r="A863" s="946" t="s">
        <v>28614</v>
      </c>
      <c r="B863" s="947" t="s">
        <v>2700</v>
      </c>
      <c r="C863" s="948" t="s">
        <v>2698</v>
      </c>
      <c r="D863" s="242" t="s">
        <v>31116</v>
      </c>
      <c r="E863" s="949">
        <v>106</v>
      </c>
      <c r="F863" s="949">
        <v>106</v>
      </c>
      <c r="G863" s="950" t="s">
        <v>879</v>
      </c>
      <c r="H863" s="950" t="s">
        <v>512</v>
      </c>
      <c r="I863" s="951" t="s">
        <v>2699</v>
      </c>
      <c r="J863" s="947" t="s">
        <v>2700</v>
      </c>
      <c r="K863" s="143"/>
    </row>
    <row r="864" spans="1:11">
      <c r="A864" s="946" t="s">
        <v>28614</v>
      </c>
      <c r="B864" s="947" t="s">
        <v>2799</v>
      </c>
      <c r="C864" s="948" t="s">
        <v>2797</v>
      </c>
      <c r="D864" s="242" t="s">
        <v>31116</v>
      </c>
      <c r="E864" s="949">
        <v>106</v>
      </c>
      <c r="F864" s="949">
        <v>106</v>
      </c>
      <c r="G864" s="950" t="s">
        <v>879</v>
      </c>
      <c r="H864" s="950" t="s">
        <v>512</v>
      </c>
      <c r="I864" s="951" t="s">
        <v>2798</v>
      </c>
      <c r="J864" s="947" t="s">
        <v>2799</v>
      </c>
      <c r="K864" s="143"/>
    </row>
    <row r="865" spans="1:11">
      <c r="A865" s="946" t="s">
        <v>28614</v>
      </c>
      <c r="B865" s="947" t="s">
        <v>2751</v>
      </c>
      <c r="C865" s="948" t="s">
        <v>2749</v>
      </c>
      <c r="D865" s="242" t="s">
        <v>516</v>
      </c>
      <c r="E865" s="949">
        <v>102</v>
      </c>
      <c r="F865" s="949">
        <v>102</v>
      </c>
      <c r="G865" s="950" t="s">
        <v>879</v>
      </c>
      <c r="H865" s="950" t="s">
        <v>512</v>
      </c>
      <c r="I865" s="951" t="s">
        <v>2750</v>
      </c>
      <c r="J865" s="947" t="s">
        <v>2751</v>
      </c>
      <c r="K865" s="143"/>
    </row>
    <row r="866" spans="1:11">
      <c r="A866" s="946" t="s">
        <v>28614</v>
      </c>
      <c r="B866" s="947" t="s">
        <v>2861</v>
      </c>
      <c r="C866" s="948" t="s">
        <v>2859</v>
      </c>
      <c r="D866" s="242" t="s">
        <v>31116</v>
      </c>
      <c r="E866" s="949">
        <v>106</v>
      </c>
      <c r="F866" s="949">
        <v>106</v>
      </c>
      <c r="G866" s="950" t="s">
        <v>879</v>
      </c>
      <c r="H866" s="950" t="s">
        <v>512</v>
      </c>
      <c r="I866" s="951" t="s">
        <v>2860</v>
      </c>
      <c r="J866" s="947" t="s">
        <v>2861</v>
      </c>
      <c r="K866" s="143"/>
    </row>
    <row r="867" spans="1:11">
      <c r="A867" s="946" t="s">
        <v>28614</v>
      </c>
      <c r="B867" s="947" t="s">
        <v>2876</v>
      </c>
      <c r="C867" s="948" t="s">
        <v>2874</v>
      </c>
      <c r="D867" s="242" t="s">
        <v>31116</v>
      </c>
      <c r="E867" s="949">
        <v>106</v>
      </c>
      <c r="F867" s="949">
        <v>106</v>
      </c>
      <c r="G867" s="950" t="s">
        <v>879</v>
      </c>
      <c r="H867" s="950" t="s">
        <v>512</v>
      </c>
      <c r="I867" s="951" t="s">
        <v>2875</v>
      </c>
      <c r="J867" s="947" t="s">
        <v>2876</v>
      </c>
      <c r="K867" s="143"/>
    </row>
    <row r="868" spans="1:11">
      <c r="A868" s="946" t="s">
        <v>28614</v>
      </c>
      <c r="B868" s="947" t="s">
        <v>2937</v>
      </c>
      <c r="C868" s="948" t="s">
        <v>2935</v>
      </c>
      <c r="D868" s="242" t="s">
        <v>516</v>
      </c>
      <c r="E868" s="949">
        <v>102</v>
      </c>
      <c r="F868" s="949">
        <v>102</v>
      </c>
      <c r="G868" s="950" t="s">
        <v>879</v>
      </c>
      <c r="H868" s="950" t="s">
        <v>512</v>
      </c>
      <c r="I868" s="951" t="s">
        <v>2936</v>
      </c>
      <c r="J868" s="947" t="s">
        <v>2937</v>
      </c>
      <c r="K868" s="143"/>
    </row>
    <row r="869" spans="1:11">
      <c r="A869" s="946" t="s">
        <v>28614</v>
      </c>
      <c r="B869" s="947" t="s">
        <v>3063</v>
      </c>
      <c r="C869" s="948" t="s">
        <v>3061</v>
      </c>
      <c r="D869" s="242" t="s">
        <v>31116</v>
      </c>
      <c r="E869" s="949">
        <v>106</v>
      </c>
      <c r="F869" s="949">
        <v>106</v>
      </c>
      <c r="G869" s="950" t="s">
        <v>879</v>
      </c>
      <c r="H869" s="950" t="s">
        <v>512</v>
      </c>
      <c r="I869" s="951" t="s">
        <v>3062</v>
      </c>
      <c r="J869" s="947" t="s">
        <v>3063</v>
      </c>
      <c r="K869" s="143"/>
    </row>
    <row r="870" spans="1:11">
      <c r="A870" s="946" t="s">
        <v>28614</v>
      </c>
      <c r="B870" s="947" t="s">
        <v>3333</v>
      </c>
      <c r="C870" s="948" t="s">
        <v>3331</v>
      </c>
      <c r="D870" s="242" t="s">
        <v>31116</v>
      </c>
      <c r="E870" s="949">
        <v>106</v>
      </c>
      <c r="F870" s="949">
        <v>106</v>
      </c>
      <c r="G870" s="950" t="s">
        <v>879</v>
      </c>
      <c r="H870" s="950" t="s">
        <v>512</v>
      </c>
      <c r="I870" s="951" t="s">
        <v>3332</v>
      </c>
      <c r="J870" s="947" t="s">
        <v>3333</v>
      </c>
      <c r="K870" s="143"/>
    </row>
    <row r="871" spans="1:11">
      <c r="A871" s="946" t="s">
        <v>28614</v>
      </c>
      <c r="B871" s="947" t="s">
        <v>3597</v>
      </c>
      <c r="C871" s="948" t="s">
        <v>3595</v>
      </c>
      <c r="D871" s="242" t="s">
        <v>28733</v>
      </c>
      <c r="E871" s="949">
        <v>105</v>
      </c>
      <c r="F871" s="949">
        <v>105</v>
      </c>
      <c r="G871" s="950" t="s">
        <v>879</v>
      </c>
      <c r="H871" s="950" t="s">
        <v>512</v>
      </c>
      <c r="I871" s="951" t="s">
        <v>3596</v>
      </c>
      <c r="J871" s="947" t="s">
        <v>3597</v>
      </c>
      <c r="K871" s="143"/>
    </row>
    <row r="872" spans="1:11">
      <c r="A872" s="946" t="s">
        <v>28614</v>
      </c>
      <c r="B872" s="947" t="s">
        <v>3653</v>
      </c>
      <c r="C872" s="948" t="s">
        <v>3651</v>
      </c>
      <c r="D872" s="242" t="s">
        <v>28733</v>
      </c>
      <c r="E872" s="949">
        <v>105</v>
      </c>
      <c r="F872" s="949">
        <v>105</v>
      </c>
      <c r="G872" s="950" t="s">
        <v>879</v>
      </c>
      <c r="H872" s="950" t="s">
        <v>512</v>
      </c>
      <c r="I872" s="951" t="s">
        <v>3652</v>
      </c>
      <c r="J872" s="947" t="s">
        <v>3653</v>
      </c>
      <c r="K872" s="143"/>
    </row>
    <row r="873" spans="1:11">
      <c r="A873" s="946" t="s">
        <v>28614</v>
      </c>
      <c r="B873" s="947" t="s">
        <v>3990</v>
      </c>
      <c r="C873" s="948" t="s">
        <v>3988</v>
      </c>
      <c r="D873" s="242" t="s">
        <v>31116</v>
      </c>
      <c r="E873" s="949">
        <v>106</v>
      </c>
      <c r="F873" s="949">
        <v>106</v>
      </c>
      <c r="G873" s="950" t="s">
        <v>879</v>
      </c>
      <c r="H873" s="950" t="s">
        <v>512</v>
      </c>
      <c r="I873" s="951" t="s">
        <v>3989</v>
      </c>
      <c r="J873" s="947" t="s">
        <v>3990</v>
      </c>
      <c r="K873" s="143"/>
    </row>
    <row r="874" spans="1:11">
      <c r="A874" s="946" t="s">
        <v>28614</v>
      </c>
      <c r="B874" s="947" t="s">
        <v>4154</v>
      </c>
      <c r="C874" s="948" t="s">
        <v>4152</v>
      </c>
      <c r="D874" s="242" t="s">
        <v>31116</v>
      </c>
      <c r="E874" s="949">
        <v>106</v>
      </c>
      <c r="F874" s="949">
        <v>106</v>
      </c>
      <c r="G874" s="950" t="s">
        <v>879</v>
      </c>
      <c r="H874" s="950" t="s">
        <v>512</v>
      </c>
      <c r="I874" s="951" t="s">
        <v>4153</v>
      </c>
      <c r="J874" s="947" t="s">
        <v>4154</v>
      </c>
      <c r="K874" s="143"/>
    </row>
    <row r="875" spans="1:11">
      <c r="A875" s="946" t="s">
        <v>28614</v>
      </c>
      <c r="B875" s="947" t="s">
        <v>4247</v>
      </c>
      <c r="C875" s="948" t="s">
        <v>4245</v>
      </c>
      <c r="D875" s="242" t="s">
        <v>31116</v>
      </c>
      <c r="E875" s="949">
        <v>106</v>
      </c>
      <c r="F875" s="949">
        <v>106</v>
      </c>
      <c r="G875" s="950" t="s">
        <v>879</v>
      </c>
      <c r="H875" s="950" t="s">
        <v>512</v>
      </c>
      <c r="I875" s="951" t="s">
        <v>4246</v>
      </c>
      <c r="J875" s="947" t="s">
        <v>4247</v>
      </c>
      <c r="K875" s="143"/>
    </row>
    <row r="876" spans="1:11">
      <c r="A876" s="946" t="s">
        <v>28614</v>
      </c>
      <c r="B876" s="947" t="s">
        <v>4291</v>
      </c>
      <c r="C876" s="948" t="s">
        <v>4289</v>
      </c>
      <c r="D876" s="242" t="s">
        <v>31116</v>
      </c>
      <c r="E876" s="949">
        <v>106</v>
      </c>
      <c r="F876" s="949">
        <v>106</v>
      </c>
      <c r="G876" s="950" t="s">
        <v>879</v>
      </c>
      <c r="H876" s="950" t="s">
        <v>512</v>
      </c>
      <c r="I876" s="951" t="s">
        <v>4290</v>
      </c>
      <c r="J876" s="947" t="s">
        <v>4291</v>
      </c>
      <c r="K876" s="143"/>
    </row>
    <row r="877" spans="1:11">
      <c r="A877" s="946" t="s">
        <v>28614</v>
      </c>
      <c r="B877" s="947" t="s">
        <v>4303</v>
      </c>
      <c r="C877" s="948" t="s">
        <v>4301</v>
      </c>
      <c r="D877" s="242" t="s">
        <v>31116</v>
      </c>
      <c r="E877" s="949">
        <v>106</v>
      </c>
      <c r="F877" s="949">
        <v>106</v>
      </c>
      <c r="G877" s="950" t="s">
        <v>879</v>
      </c>
      <c r="H877" s="950" t="s">
        <v>512</v>
      </c>
      <c r="I877" s="951" t="s">
        <v>4302</v>
      </c>
      <c r="J877" s="947" t="s">
        <v>4303</v>
      </c>
      <c r="K877" s="143"/>
    </row>
    <row r="878" spans="1:11">
      <c r="A878" s="946" t="s">
        <v>28614</v>
      </c>
      <c r="B878" s="947" t="s">
        <v>4408</v>
      </c>
      <c r="C878" s="948" t="s">
        <v>4406</v>
      </c>
      <c r="D878" s="242" t="s">
        <v>31116</v>
      </c>
      <c r="E878" s="949">
        <v>106</v>
      </c>
      <c r="F878" s="949">
        <v>106</v>
      </c>
      <c r="G878" s="950" t="s">
        <v>879</v>
      </c>
      <c r="H878" s="950" t="s">
        <v>512</v>
      </c>
      <c r="I878" s="951" t="s">
        <v>4407</v>
      </c>
      <c r="J878" s="947" t="s">
        <v>4408</v>
      </c>
      <c r="K878" s="143"/>
    </row>
    <row r="879" spans="1:11">
      <c r="A879" s="946" t="s">
        <v>28614</v>
      </c>
      <c r="B879" s="947" t="s">
        <v>4447</v>
      </c>
      <c r="C879" s="948" t="s">
        <v>4445</v>
      </c>
      <c r="D879" s="242" t="s">
        <v>31116</v>
      </c>
      <c r="E879" s="949">
        <v>106</v>
      </c>
      <c r="F879" s="949">
        <v>106</v>
      </c>
      <c r="G879" s="950" t="s">
        <v>879</v>
      </c>
      <c r="H879" s="950" t="s">
        <v>512</v>
      </c>
      <c r="I879" s="951" t="s">
        <v>4446</v>
      </c>
      <c r="J879" s="947" t="s">
        <v>4447</v>
      </c>
      <c r="K879" s="143"/>
    </row>
    <row r="880" spans="1:11">
      <c r="A880" s="946" t="s">
        <v>28614</v>
      </c>
      <c r="B880" s="947" t="s">
        <v>4456</v>
      </c>
      <c r="C880" s="948" t="s">
        <v>4454</v>
      </c>
      <c r="D880" s="242" t="s">
        <v>31116</v>
      </c>
      <c r="E880" s="949">
        <v>106</v>
      </c>
      <c r="F880" s="949">
        <v>106</v>
      </c>
      <c r="G880" s="950" t="s">
        <v>879</v>
      </c>
      <c r="H880" s="950" t="s">
        <v>512</v>
      </c>
      <c r="I880" s="951" t="s">
        <v>4455</v>
      </c>
      <c r="J880" s="947" t="s">
        <v>4456</v>
      </c>
      <c r="K880" s="143"/>
    </row>
    <row r="881" spans="1:11">
      <c r="A881" s="946" t="s">
        <v>28614</v>
      </c>
      <c r="B881" s="947" t="s">
        <v>4474</v>
      </c>
      <c r="C881" s="948" t="s">
        <v>4472</v>
      </c>
      <c r="D881" s="242" t="s">
        <v>31116</v>
      </c>
      <c r="E881" s="949">
        <v>106</v>
      </c>
      <c r="F881" s="949">
        <v>106</v>
      </c>
      <c r="G881" s="950" t="s">
        <v>879</v>
      </c>
      <c r="H881" s="950" t="s">
        <v>512</v>
      </c>
      <c r="I881" s="951" t="s">
        <v>4473</v>
      </c>
      <c r="J881" s="947" t="s">
        <v>4474</v>
      </c>
      <c r="K881" s="143"/>
    </row>
    <row r="882" spans="1:11">
      <c r="A882" s="946" t="s">
        <v>28614</v>
      </c>
      <c r="B882" s="947" t="s">
        <v>4506</v>
      </c>
      <c r="C882" s="948" t="s">
        <v>4504</v>
      </c>
      <c r="D882" s="242" t="s">
        <v>31116</v>
      </c>
      <c r="E882" s="949">
        <v>106</v>
      </c>
      <c r="F882" s="949">
        <v>106</v>
      </c>
      <c r="G882" s="950" t="s">
        <v>879</v>
      </c>
      <c r="H882" s="950" t="s">
        <v>512</v>
      </c>
      <c r="I882" s="951" t="s">
        <v>4505</v>
      </c>
      <c r="J882" s="947" t="s">
        <v>4506</v>
      </c>
      <c r="K882" s="143"/>
    </row>
    <row r="883" spans="1:11">
      <c r="A883" s="946" t="s">
        <v>28614</v>
      </c>
      <c r="B883" s="947" t="s">
        <v>4568</v>
      </c>
      <c r="C883" s="948" t="s">
        <v>4566</v>
      </c>
      <c r="D883" s="242" t="s">
        <v>31116</v>
      </c>
      <c r="E883" s="949">
        <v>106</v>
      </c>
      <c r="F883" s="949">
        <v>106</v>
      </c>
      <c r="G883" s="950" t="s">
        <v>879</v>
      </c>
      <c r="H883" s="950" t="s">
        <v>512</v>
      </c>
      <c r="I883" s="951" t="s">
        <v>4567</v>
      </c>
      <c r="J883" s="947" t="s">
        <v>4568</v>
      </c>
      <c r="K883" s="143"/>
    </row>
    <row r="884" spans="1:11">
      <c r="A884" s="946" t="s">
        <v>28614</v>
      </c>
      <c r="B884" s="947" t="s">
        <v>4559</v>
      </c>
      <c r="C884" s="948" t="s">
        <v>4557</v>
      </c>
      <c r="D884" s="242" t="s">
        <v>516</v>
      </c>
      <c r="E884" s="949">
        <v>102</v>
      </c>
      <c r="F884" s="949">
        <v>102</v>
      </c>
      <c r="G884" s="950" t="s">
        <v>879</v>
      </c>
      <c r="H884" s="950" t="s">
        <v>512</v>
      </c>
      <c r="I884" s="951" t="s">
        <v>4558</v>
      </c>
      <c r="J884" s="947" t="s">
        <v>4559</v>
      </c>
      <c r="K884" s="143"/>
    </row>
    <row r="885" spans="1:11">
      <c r="A885" s="946" t="s">
        <v>28614</v>
      </c>
      <c r="B885" s="947" t="s">
        <v>4619</v>
      </c>
      <c r="C885" s="948" t="s">
        <v>4617</v>
      </c>
      <c r="D885" s="242" t="s">
        <v>31116</v>
      </c>
      <c r="E885" s="949">
        <v>106</v>
      </c>
      <c r="F885" s="949">
        <v>106</v>
      </c>
      <c r="G885" s="950" t="s">
        <v>879</v>
      </c>
      <c r="H885" s="950" t="s">
        <v>512</v>
      </c>
      <c r="I885" s="951" t="s">
        <v>4618</v>
      </c>
      <c r="J885" s="947" t="s">
        <v>4619</v>
      </c>
      <c r="K885" s="143"/>
    </row>
    <row r="886" spans="1:11">
      <c r="A886" s="946" t="s">
        <v>28614</v>
      </c>
      <c r="B886" s="947" t="s">
        <v>4709</v>
      </c>
      <c r="C886" s="948" t="s">
        <v>4707</v>
      </c>
      <c r="D886" s="242" t="s">
        <v>31116</v>
      </c>
      <c r="E886" s="949">
        <v>106</v>
      </c>
      <c r="F886" s="949">
        <v>106</v>
      </c>
      <c r="G886" s="950" t="s">
        <v>879</v>
      </c>
      <c r="H886" s="950" t="s">
        <v>512</v>
      </c>
      <c r="I886" s="951" t="s">
        <v>4708</v>
      </c>
      <c r="J886" s="947" t="s">
        <v>4709</v>
      </c>
      <c r="K886" s="143"/>
    </row>
    <row r="887" spans="1:11">
      <c r="A887" s="946" t="s">
        <v>28614</v>
      </c>
      <c r="B887" s="947" t="s">
        <v>4859</v>
      </c>
      <c r="C887" s="948" t="s">
        <v>4857</v>
      </c>
      <c r="D887" s="242" t="s">
        <v>31116</v>
      </c>
      <c r="E887" s="949">
        <v>106</v>
      </c>
      <c r="F887" s="949">
        <v>106</v>
      </c>
      <c r="G887" s="950" t="s">
        <v>879</v>
      </c>
      <c r="H887" s="950" t="s">
        <v>512</v>
      </c>
      <c r="I887" s="951" t="s">
        <v>4858</v>
      </c>
      <c r="J887" s="947" t="s">
        <v>4859</v>
      </c>
      <c r="K887" s="143"/>
    </row>
    <row r="888" spans="1:11">
      <c r="A888" s="946" t="s">
        <v>28614</v>
      </c>
      <c r="B888" s="947" t="s">
        <v>4862</v>
      </c>
      <c r="C888" s="948" t="s">
        <v>4860</v>
      </c>
      <c r="D888" s="242" t="s">
        <v>31116</v>
      </c>
      <c r="E888" s="949">
        <v>106</v>
      </c>
      <c r="F888" s="949">
        <v>106</v>
      </c>
      <c r="G888" s="950" t="s">
        <v>879</v>
      </c>
      <c r="H888" s="950" t="s">
        <v>512</v>
      </c>
      <c r="I888" s="951" t="s">
        <v>4861</v>
      </c>
      <c r="J888" s="947" t="s">
        <v>4862</v>
      </c>
      <c r="K888" s="143"/>
    </row>
    <row r="889" spans="1:11">
      <c r="A889" s="946" t="s">
        <v>28614</v>
      </c>
      <c r="B889" s="947" t="s">
        <v>31123</v>
      </c>
      <c r="C889" s="948" t="s">
        <v>31124</v>
      </c>
      <c r="D889" s="242" t="s">
        <v>31116</v>
      </c>
      <c r="E889" s="949">
        <v>106</v>
      </c>
      <c r="F889" s="949">
        <v>106</v>
      </c>
      <c r="G889" s="950" t="s">
        <v>879</v>
      </c>
      <c r="H889" s="950" t="s">
        <v>512</v>
      </c>
      <c r="I889" s="951" t="s">
        <v>5154</v>
      </c>
      <c r="J889" s="947" t="s">
        <v>31123</v>
      </c>
      <c r="K889" s="143"/>
    </row>
    <row r="890" spans="1:11">
      <c r="A890" s="946" t="s">
        <v>28614</v>
      </c>
      <c r="B890" s="947" t="s">
        <v>5160</v>
      </c>
      <c r="C890" s="948" t="s">
        <v>5158</v>
      </c>
      <c r="D890" s="242" t="s">
        <v>31116</v>
      </c>
      <c r="E890" s="949">
        <v>106</v>
      </c>
      <c r="F890" s="949">
        <v>106</v>
      </c>
      <c r="G890" s="950" t="s">
        <v>879</v>
      </c>
      <c r="H890" s="950" t="s">
        <v>512</v>
      </c>
      <c r="I890" s="951" t="s">
        <v>5159</v>
      </c>
      <c r="J890" s="947" t="s">
        <v>5160</v>
      </c>
      <c r="K890" s="143"/>
    </row>
    <row r="891" spans="1:11">
      <c r="A891" s="946" t="s">
        <v>28614</v>
      </c>
      <c r="B891" s="947" t="s">
        <v>5175</v>
      </c>
      <c r="C891" s="948" t="s">
        <v>5173</v>
      </c>
      <c r="D891" s="242" t="s">
        <v>31116</v>
      </c>
      <c r="E891" s="949">
        <v>106</v>
      </c>
      <c r="F891" s="949">
        <v>106</v>
      </c>
      <c r="G891" s="950" t="s">
        <v>879</v>
      </c>
      <c r="H891" s="950" t="s">
        <v>512</v>
      </c>
      <c r="I891" s="951" t="s">
        <v>5174</v>
      </c>
      <c r="J891" s="947" t="s">
        <v>5175</v>
      </c>
      <c r="K891" s="143"/>
    </row>
    <row r="892" spans="1:11">
      <c r="A892" s="946" t="s">
        <v>28614</v>
      </c>
      <c r="B892" s="947" t="s">
        <v>5193</v>
      </c>
      <c r="C892" s="948" t="s">
        <v>5191</v>
      </c>
      <c r="D892" s="242" t="s">
        <v>31116</v>
      </c>
      <c r="E892" s="949">
        <v>106</v>
      </c>
      <c r="F892" s="949">
        <v>106</v>
      </c>
      <c r="G892" s="950" t="s">
        <v>879</v>
      </c>
      <c r="H892" s="950" t="s">
        <v>512</v>
      </c>
      <c r="I892" s="951" t="s">
        <v>5192</v>
      </c>
      <c r="J892" s="947" t="s">
        <v>5193</v>
      </c>
      <c r="K892" s="143"/>
    </row>
    <row r="893" spans="1:11">
      <c r="A893" s="946" t="s">
        <v>28614</v>
      </c>
      <c r="B893" s="947" t="s">
        <v>5199</v>
      </c>
      <c r="C893" s="948" t="s">
        <v>5197</v>
      </c>
      <c r="D893" s="242" t="s">
        <v>31116</v>
      </c>
      <c r="E893" s="949">
        <v>106</v>
      </c>
      <c r="F893" s="949">
        <v>106</v>
      </c>
      <c r="G893" s="950" t="s">
        <v>879</v>
      </c>
      <c r="H893" s="950" t="s">
        <v>512</v>
      </c>
      <c r="I893" s="951" t="s">
        <v>5198</v>
      </c>
      <c r="J893" s="947" t="s">
        <v>5199</v>
      </c>
      <c r="K893" s="143"/>
    </row>
    <row r="894" spans="1:11">
      <c r="A894" s="946" t="s">
        <v>28614</v>
      </c>
      <c r="B894" s="947" t="s">
        <v>5202</v>
      </c>
      <c r="C894" s="948" t="s">
        <v>5200</v>
      </c>
      <c r="D894" s="242" t="s">
        <v>28733</v>
      </c>
      <c r="E894" s="949">
        <v>105</v>
      </c>
      <c r="F894" s="949">
        <v>105</v>
      </c>
      <c r="G894" s="950" t="s">
        <v>879</v>
      </c>
      <c r="H894" s="950" t="s">
        <v>512</v>
      </c>
      <c r="I894" s="951" t="s">
        <v>5201</v>
      </c>
      <c r="J894" s="947" t="s">
        <v>5202</v>
      </c>
      <c r="K894" s="143"/>
    </row>
    <row r="895" spans="1:11">
      <c r="A895" s="946" t="s">
        <v>28614</v>
      </c>
      <c r="B895" s="947" t="s">
        <v>5208</v>
      </c>
      <c r="C895" s="948" t="s">
        <v>5206</v>
      </c>
      <c r="D895" s="242" t="s">
        <v>28733</v>
      </c>
      <c r="E895" s="949">
        <v>105</v>
      </c>
      <c r="F895" s="949">
        <v>105</v>
      </c>
      <c r="G895" s="950" t="s">
        <v>879</v>
      </c>
      <c r="H895" s="950" t="s">
        <v>512</v>
      </c>
      <c r="I895" s="951" t="s">
        <v>5207</v>
      </c>
      <c r="J895" s="947" t="s">
        <v>5208</v>
      </c>
      <c r="K895" s="143"/>
    </row>
    <row r="896" spans="1:11">
      <c r="A896" s="946" t="s">
        <v>28614</v>
      </c>
      <c r="B896" s="947" t="s">
        <v>5338</v>
      </c>
      <c r="C896" s="948" t="s">
        <v>5336</v>
      </c>
      <c r="D896" s="242" t="s">
        <v>31116</v>
      </c>
      <c r="E896" s="949">
        <v>106</v>
      </c>
      <c r="F896" s="949">
        <v>106</v>
      </c>
      <c r="G896" s="950" t="s">
        <v>879</v>
      </c>
      <c r="H896" s="950" t="s">
        <v>512</v>
      </c>
      <c r="I896" s="951" t="s">
        <v>5337</v>
      </c>
      <c r="J896" s="947" t="s">
        <v>5338</v>
      </c>
      <c r="K896" s="143"/>
    </row>
    <row r="897" spans="1:11">
      <c r="A897" s="946" t="s">
        <v>28614</v>
      </c>
      <c r="B897" s="947" t="s">
        <v>5389</v>
      </c>
      <c r="C897" s="948" t="s">
        <v>5387</v>
      </c>
      <c r="D897" s="242" t="s">
        <v>31116</v>
      </c>
      <c r="E897" s="949">
        <v>106</v>
      </c>
      <c r="F897" s="949">
        <v>106</v>
      </c>
      <c r="G897" s="950" t="s">
        <v>879</v>
      </c>
      <c r="H897" s="950" t="s">
        <v>512</v>
      </c>
      <c r="I897" s="951" t="s">
        <v>5388</v>
      </c>
      <c r="J897" s="947" t="s">
        <v>5389</v>
      </c>
      <c r="K897" s="143"/>
    </row>
    <row r="898" spans="1:11">
      <c r="A898" s="946" t="s">
        <v>28614</v>
      </c>
      <c r="B898" s="947" t="s">
        <v>5424</v>
      </c>
      <c r="C898" s="948" t="s">
        <v>5422</v>
      </c>
      <c r="D898" s="242" t="s">
        <v>31116</v>
      </c>
      <c r="E898" s="949">
        <v>106</v>
      </c>
      <c r="F898" s="949">
        <v>106</v>
      </c>
      <c r="G898" s="950" t="s">
        <v>879</v>
      </c>
      <c r="H898" s="950" t="s">
        <v>512</v>
      </c>
      <c r="I898" s="951" t="s">
        <v>5423</v>
      </c>
      <c r="J898" s="947" t="s">
        <v>5424</v>
      </c>
      <c r="K898" s="143"/>
    </row>
    <row r="899" spans="1:11">
      <c r="A899" s="946" t="s">
        <v>28614</v>
      </c>
      <c r="B899" s="947" t="s">
        <v>5698</v>
      </c>
      <c r="C899" s="948" t="s">
        <v>5696</v>
      </c>
      <c r="D899" s="242" t="s">
        <v>31116</v>
      </c>
      <c r="E899" s="949">
        <v>106</v>
      </c>
      <c r="F899" s="949">
        <v>106</v>
      </c>
      <c r="G899" s="950" t="s">
        <v>879</v>
      </c>
      <c r="H899" s="950" t="s">
        <v>512</v>
      </c>
      <c r="I899" s="951" t="s">
        <v>5697</v>
      </c>
      <c r="J899" s="947" t="s">
        <v>5698</v>
      </c>
      <c r="K899" s="143"/>
    </row>
    <row r="900" spans="1:11">
      <c r="A900" s="946" t="s">
        <v>28614</v>
      </c>
      <c r="B900" s="947" t="s">
        <v>5793</v>
      </c>
      <c r="C900" s="948" t="s">
        <v>5791</v>
      </c>
      <c r="D900" s="242" t="s">
        <v>28733</v>
      </c>
      <c r="E900" s="949">
        <v>105</v>
      </c>
      <c r="F900" s="949">
        <v>105</v>
      </c>
      <c r="G900" s="950" t="s">
        <v>879</v>
      </c>
      <c r="H900" s="950" t="s">
        <v>512</v>
      </c>
      <c r="I900" s="951" t="s">
        <v>5792</v>
      </c>
      <c r="J900" s="947" t="s">
        <v>5793</v>
      </c>
      <c r="K900" s="143"/>
    </row>
    <row r="901" spans="1:11">
      <c r="A901" s="946" t="s">
        <v>28614</v>
      </c>
      <c r="B901" s="947" t="s">
        <v>5944</v>
      </c>
      <c r="C901" s="948" t="s">
        <v>5942</v>
      </c>
      <c r="D901" s="242" t="s">
        <v>28733</v>
      </c>
      <c r="E901" s="949">
        <v>105</v>
      </c>
      <c r="F901" s="949">
        <v>105</v>
      </c>
      <c r="G901" s="950" t="s">
        <v>879</v>
      </c>
      <c r="H901" s="950" t="s">
        <v>512</v>
      </c>
      <c r="I901" s="951" t="s">
        <v>5943</v>
      </c>
      <c r="J901" s="947" t="s">
        <v>5944</v>
      </c>
      <c r="K901" s="143"/>
    </row>
    <row r="902" spans="1:11">
      <c r="A902" s="946" t="s">
        <v>28614</v>
      </c>
      <c r="B902" s="947" t="s">
        <v>6004</v>
      </c>
      <c r="C902" s="948" t="s">
        <v>6002</v>
      </c>
      <c r="D902" s="242" t="s">
        <v>31116</v>
      </c>
      <c r="E902" s="949">
        <v>106</v>
      </c>
      <c r="F902" s="949">
        <v>106</v>
      </c>
      <c r="G902" s="950" t="s">
        <v>879</v>
      </c>
      <c r="H902" s="950" t="s">
        <v>512</v>
      </c>
      <c r="I902" s="951" t="s">
        <v>6003</v>
      </c>
      <c r="J902" s="947" t="s">
        <v>6004</v>
      </c>
      <c r="K902" s="143"/>
    </row>
    <row r="903" spans="1:11">
      <c r="A903" s="946" t="s">
        <v>28614</v>
      </c>
      <c r="B903" s="947" t="s">
        <v>6019</v>
      </c>
      <c r="C903" s="948" t="s">
        <v>6017</v>
      </c>
      <c r="D903" s="242" t="s">
        <v>28733</v>
      </c>
      <c r="E903" s="949">
        <v>105</v>
      </c>
      <c r="F903" s="949">
        <v>105</v>
      </c>
      <c r="G903" s="950" t="s">
        <v>879</v>
      </c>
      <c r="H903" s="950" t="s">
        <v>512</v>
      </c>
      <c r="I903" s="951" t="s">
        <v>6018</v>
      </c>
      <c r="J903" s="947" t="s">
        <v>6019</v>
      </c>
      <c r="K903" s="143"/>
    </row>
    <row r="904" spans="1:11">
      <c r="A904" s="946" t="s">
        <v>28614</v>
      </c>
      <c r="B904" s="947" t="s">
        <v>6973</v>
      </c>
      <c r="C904" s="948" t="s">
        <v>6971</v>
      </c>
      <c r="D904" s="242" t="s">
        <v>28733</v>
      </c>
      <c r="E904" s="949">
        <v>105</v>
      </c>
      <c r="F904" s="949">
        <v>105</v>
      </c>
      <c r="G904" s="950" t="s">
        <v>879</v>
      </c>
      <c r="H904" s="950" t="s">
        <v>512</v>
      </c>
      <c r="I904" s="951" t="s">
        <v>6972</v>
      </c>
      <c r="J904" s="947" t="s">
        <v>6973</v>
      </c>
      <c r="K904" s="143"/>
    </row>
    <row r="905" spans="1:11">
      <c r="A905" s="946" t="s">
        <v>28614</v>
      </c>
      <c r="B905" s="947" t="s">
        <v>7006</v>
      </c>
      <c r="C905" s="948" t="s">
        <v>7004</v>
      </c>
      <c r="D905" s="242" t="s">
        <v>28733</v>
      </c>
      <c r="E905" s="949">
        <v>105</v>
      </c>
      <c r="F905" s="949">
        <v>105</v>
      </c>
      <c r="G905" s="950" t="s">
        <v>879</v>
      </c>
      <c r="H905" s="950" t="s">
        <v>512</v>
      </c>
      <c r="I905" s="951" t="s">
        <v>7005</v>
      </c>
      <c r="J905" s="947" t="s">
        <v>7006</v>
      </c>
      <c r="K905" s="143"/>
    </row>
    <row r="906" spans="1:11">
      <c r="A906" s="946" t="s">
        <v>28614</v>
      </c>
      <c r="B906" s="947" t="s">
        <v>7273</v>
      </c>
      <c r="C906" s="948" t="s">
        <v>7271</v>
      </c>
      <c r="D906" s="242" t="s">
        <v>31116</v>
      </c>
      <c r="E906" s="949">
        <v>106</v>
      </c>
      <c r="F906" s="949">
        <v>106</v>
      </c>
      <c r="G906" s="950" t="s">
        <v>879</v>
      </c>
      <c r="H906" s="950" t="s">
        <v>512</v>
      </c>
      <c r="I906" s="951" t="s">
        <v>7272</v>
      </c>
      <c r="J906" s="947" t="s">
        <v>7273</v>
      </c>
      <c r="K906" s="143"/>
    </row>
    <row r="907" spans="1:11">
      <c r="A907" s="946" t="s">
        <v>28614</v>
      </c>
      <c r="B907" s="947" t="s">
        <v>7356</v>
      </c>
      <c r="C907" s="948" t="s">
        <v>7354</v>
      </c>
      <c r="D907" s="242" t="s">
        <v>31116</v>
      </c>
      <c r="E907" s="949">
        <v>106</v>
      </c>
      <c r="F907" s="949">
        <v>106</v>
      </c>
      <c r="G907" s="950" t="s">
        <v>879</v>
      </c>
      <c r="H907" s="950" t="s">
        <v>512</v>
      </c>
      <c r="I907" s="951" t="s">
        <v>7355</v>
      </c>
      <c r="J907" s="947" t="s">
        <v>7356</v>
      </c>
      <c r="K907" s="143"/>
    </row>
    <row r="908" spans="1:11">
      <c r="A908" s="946" t="s">
        <v>28614</v>
      </c>
      <c r="B908" s="947" t="s">
        <v>7604</v>
      </c>
      <c r="C908" s="948" t="s">
        <v>7602</v>
      </c>
      <c r="D908" s="242" t="s">
        <v>31116</v>
      </c>
      <c r="E908" s="949">
        <v>106</v>
      </c>
      <c r="F908" s="949">
        <v>106</v>
      </c>
      <c r="G908" s="950" t="s">
        <v>879</v>
      </c>
      <c r="H908" s="950" t="s">
        <v>512</v>
      </c>
      <c r="I908" s="951" t="s">
        <v>7603</v>
      </c>
      <c r="J908" s="947" t="s">
        <v>7604</v>
      </c>
      <c r="K908" s="143"/>
    </row>
    <row r="909" spans="1:11">
      <c r="A909" s="946" t="s">
        <v>28614</v>
      </c>
      <c r="B909" s="947" t="s">
        <v>7610</v>
      </c>
      <c r="C909" s="948" t="s">
        <v>7608</v>
      </c>
      <c r="D909" s="242" t="s">
        <v>31116</v>
      </c>
      <c r="E909" s="949">
        <v>106</v>
      </c>
      <c r="F909" s="949">
        <v>106</v>
      </c>
      <c r="G909" s="950" t="s">
        <v>879</v>
      </c>
      <c r="H909" s="950" t="s">
        <v>512</v>
      </c>
      <c r="I909" s="951" t="s">
        <v>7609</v>
      </c>
      <c r="J909" s="947" t="s">
        <v>7610</v>
      </c>
      <c r="K909" s="143"/>
    </row>
    <row r="910" spans="1:11">
      <c r="A910" s="946" t="s">
        <v>28614</v>
      </c>
      <c r="B910" s="947" t="s">
        <v>7933</v>
      </c>
      <c r="C910" s="948" t="s">
        <v>7931</v>
      </c>
      <c r="D910" s="242" t="s">
        <v>31116</v>
      </c>
      <c r="E910" s="949">
        <v>106</v>
      </c>
      <c r="F910" s="949">
        <v>106</v>
      </c>
      <c r="G910" s="950" t="s">
        <v>879</v>
      </c>
      <c r="H910" s="950" t="s">
        <v>512</v>
      </c>
      <c r="I910" s="951" t="s">
        <v>7932</v>
      </c>
      <c r="J910" s="947" t="s">
        <v>7933</v>
      </c>
      <c r="K910" s="143"/>
    </row>
    <row r="911" spans="1:11">
      <c r="A911" s="946" t="s">
        <v>28614</v>
      </c>
      <c r="B911" s="947" t="s">
        <v>8109</v>
      </c>
      <c r="C911" s="948" t="s">
        <v>8107</v>
      </c>
      <c r="D911" s="242" t="s">
        <v>28733</v>
      </c>
      <c r="E911" s="949">
        <v>105</v>
      </c>
      <c r="F911" s="949">
        <v>105</v>
      </c>
      <c r="G911" s="950" t="s">
        <v>879</v>
      </c>
      <c r="H911" s="950" t="s">
        <v>512</v>
      </c>
      <c r="I911" s="951" t="s">
        <v>8108</v>
      </c>
      <c r="J911" s="947" t="s">
        <v>8109</v>
      </c>
      <c r="K911" s="143"/>
    </row>
    <row r="912" spans="1:11">
      <c r="A912" s="946" t="s">
        <v>28614</v>
      </c>
      <c r="B912" s="947" t="s">
        <v>8596</v>
      </c>
      <c r="C912" s="948" t="s">
        <v>8594</v>
      </c>
      <c r="D912" s="242" t="s">
        <v>31116</v>
      </c>
      <c r="E912" s="949">
        <v>106</v>
      </c>
      <c r="F912" s="949">
        <v>106</v>
      </c>
      <c r="G912" s="950" t="s">
        <v>879</v>
      </c>
      <c r="H912" s="950" t="s">
        <v>512</v>
      </c>
      <c r="I912" s="951" t="s">
        <v>8595</v>
      </c>
      <c r="J912" s="947" t="s">
        <v>8596</v>
      </c>
      <c r="K912" s="143"/>
    </row>
    <row r="913" spans="1:11">
      <c r="A913" s="946" t="s">
        <v>28614</v>
      </c>
      <c r="B913" s="947" t="s">
        <v>8619</v>
      </c>
      <c r="C913" s="948" t="s">
        <v>8617</v>
      </c>
      <c r="D913" s="242" t="s">
        <v>31116</v>
      </c>
      <c r="E913" s="949">
        <v>106</v>
      </c>
      <c r="F913" s="949">
        <v>106</v>
      </c>
      <c r="G913" s="950" t="s">
        <v>879</v>
      </c>
      <c r="H913" s="950" t="s">
        <v>512</v>
      </c>
      <c r="I913" s="951" t="s">
        <v>8618</v>
      </c>
      <c r="J913" s="947" t="s">
        <v>8619</v>
      </c>
      <c r="K913" s="143"/>
    </row>
    <row r="914" spans="1:11">
      <c r="A914" s="946" t="s">
        <v>28614</v>
      </c>
      <c r="B914" s="947" t="s">
        <v>8644</v>
      </c>
      <c r="C914" s="948" t="s">
        <v>8642</v>
      </c>
      <c r="D914" s="242" t="s">
        <v>31116</v>
      </c>
      <c r="E914" s="949">
        <v>106</v>
      </c>
      <c r="F914" s="949">
        <v>106</v>
      </c>
      <c r="G914" s="950" t="s">
        <v>879</v>
      </c>
      <c r="H914" s="950" t="s">
        <v>512</v>
      </c>
      <c r="I914" s="951" t="s">
        <v>8643</v>
      </c>
      <c r="J914" s="947" t="s">
        <v>8644</v>
      </c>
      <c r="K914" s="143"/>
    </row>
    <row r="915" spans="1:11">
      <c r="A915" s="946" t="s">
        <v>28614</v>
      </c>
      <c r="B915" s="947" t="s">
        <v>8662</v>
      </c>
      <c r="C915" s="948" t="s">
        <v>8660</v>
      </c>
      <c r="D915" s="242" t="s">
        <v>28733</v>
      </c>
      <c r="E915" s="949">
        <v>105</v>
      </c>
      <c r="F915" s="949">
        <v>105</v>
      </c>
      <c r="G915" s="950" t="s">
        <v>879</v>
      </c>
      <c r="H915" s="950" t="s">
        <v>512</v>
      </c>
      <c r="I915" s="951" t="s">
        <v>8661</v>
      </c>
      <c r="J915" s="947" t="s">
        <v>8662</v>
      </c>
      <c r="K915" s="143"/>
    </row>
    <row r="916" spans="1:11">
      <c r="A916" s="946" t="s">
        <v>28614</v>
      </c>
      <c r="B916" s="947" t="s">
        <v>8665</v>
      </c>
      <c r="C916" s="948" t="s">
        <v>8663</v>
      </c>
      <c r="D916" s="242" t="s">
        <v>516</v>
      </c>
      <c r="E916" s="949">
        <v>102</v>
      </c>
      <c r="F916" s="949">
        <v>102</v>
      </c>
      <c r="G916" s="950" t="s">
        <v>879</v>
      </c>
      <c r="H916" s="950" t="s">
        <v>512</v>
      </c>
      <c r="I916" s="951" t="s">
        <v>8664</v>
      </c>
      <c r="J916" s="947" t="s">
        <v>8665</v>
      </c>
      <c r="K916" s="143"/>
    </row>
    <row r="917" spans="1:11">
      <c r="A917" s="946" t="s">
        <v>28614</v>
      </c>
      <c r="B917" s="947" t="s">
        <v>8707</v>
      </c>
      <c r="C917" s="948" t="s">
        <v>8705</v>
      </c>
      <c r="D917" s="242" t="s">
        <v>31116</v>
      </c>
      <c r="E917" s="949">
        <v>106</v>
      </c>
      <c r="F917" s="949">
        <v>106</v>
      </c>
      <c r="G917" s="950" t="s">
        <v>879</v>
      </c>
      <c r="H917" s="950" t="s">
        <v>512</v>
      </c>
      <c r="I917" s="951" t="s">
        <v>8706</v>
      </c>
      <c r="J917" s="947" t="s">
        <v>8707</v>
      </c>
      <c r="K917" s="143"/>
    </row>
    <row r="918" spans="1:11">
      <c r="A918" s="946" t="s">
        <v>28614</v>
      </c>
      <c r="B918" s="947" t="s">
        <v>8743</v>
      </c>
      <c r="C918" s="948" t="s">
        <v>8741</v>
      </c>
      <c r="D918" s="242" t="s">
        <v>31116</v>
      </c>
      <c r="E918" s="949">
        <v>106</v>
      </c>
      <c r="F918" s="949">
        <v>106</v>
      </c>
      <c r="G918" s="950" t="s">
        <v>879</v>
      </c>
      <c r="H918" s="950" t="s">
        <v>512</v>
      </c>
      <c r="I918" s="951" t="s">
        <v>8742</v>
      </c>
      <c r="J918" s="947" t="s">
        <v>8743</v>
      </c>
      <c r="K918" s="143"/>
    </row>
    <row r="919" spans="1:11">
      <c r="A919" s="946" t="s">
        <v>28614</v>
      </c>
      <c r="B919" s="947" t="s">
        <v>28652</v>
      </c>
      <c r="C919" s="948" t="s">
        <v>28775</v>
      </c>
      <c r="D919" s="242" t="s">
        <v>28733</v>
      </c>
      <c r="E919" s="949">
        <v>105</v>
      </c>
      <c r="F919" s="949">
        <v>105</v>
      </c>
      <c r="G919" s="950" t="s">
        <v>879</v>
      </c>
      <c r="H919" s="950" t="s">
        <v>512</v>
      </c>
      <c r="I919" s="951" t="s">
        <v>8744</v>
      </c>
      <c r="J919" s="947" t="s">
        <v>28652</v>
      </c>
      <c r="K919" s="143"/>
    </row>
    <row r="920" spans="1:11">
      <c r="A920" s="946" t="s">
        <v>28614</v>
      </c>
      <c r="B920" s="947" t="s">
        <v>8788</v>
      </c>
      <c r="C920" s="948" t="s">
        <v>8786</v>
      </c>
      <c r="D920" s="242" t="s">
        <v>28733</v>
      </c>
      <c r="E920" s="949">
        <v>105</v>
      </c>
      <c r="F920" s="949">
        <v>105</v>
      </c>
      <c r="G920" s="950" t="s">
        <v>879</v>
      </c>
      <c r="H920" s="950" t="s">
        <v>512</v>
      </c>
      <c r="I920" s="951" t="s">
        <v>8787</v>
      </c>
      <c r="J920" s="947" t="s">
        <v>8788</v>
      </c>
      <c r="K920" s="143"/>
    </row>
    <row r="921" spans="1:11">
      <c r="A921" s="946" t="s">
        <v>28614</v>
      </c>
      <c r="B921" s="947" t="s">
        <v>8920</v>
      </c>
      <c r="C921" s="948" t="s">
        <v>8918</v>
      </c>
      <c r="D921" s="242" t="s">
        <v>31116</v>
      </c>
      <c r="E921" s="949">
        <v>106</v>
      </c>
      <c r="F921" s="949">
        <v>106</v>
      </c>
      <c r="G921" s="950" t="s">
        <v>879</v>
      </c>
      <c r="H921" s="950" t="s">
        <v>512</v>
      </c>
      <c r="I921" s="951" t="s">
        <v>8919</v>
      </c>
      <c r="J921" s="947" t="s">
        <v>8920</v>
      </c>
      <c r="K921" s="143"/>
    </row>
    <row r="922" spans="1:11">
      <c r="A922" s="946" t="s">
        <v>28614</v>
      </c>
      <c r="B922" s="947" t="s">
        <v>8965</v>
      </c>
      <c r="C922" s="948" t="s">
        <v>8963</v>
      </c>
      <c r="D922" s="242" t="s">
        <v>31116</v>
      </c>
      <c r="E922" s="949">
        <v>106</v>
      </c>
      <c r="F922" s="949">
        <v>106</v>
      </c>
      <c r="G922" s="950" t="s">
        <v>879</v>
      </c>
      <c r="H922" s="950" t="s">
        <v>512</v>
      </c>
      <c r="I922" s="951" t="s">
        <v>8964</v>
      </c>
      <c r="J922" s="947" t="s">
        <v>8965</v>
      </c>
      <c r="K922" s="143"/>
    </row>
    <row r="923" spans="1:11">
      <c r="A923" s="946" t="s">
        <v>28614</v>
      </c>
      <c r="B923" s="947" t="s">
        <v>9038</v>
      </c>
      <c r="C923" s="948" t="s">
        <v>9036</v>
      </c>
      <c r="D923" s="242" t="s">
        <v>31116</v>
      </c>
      <c r="E923" s="949">
        <v>106</v>
      </c>
      <c r="F923" s="949">
        <v>106</v>
      </c>
      <c r="G923" s="950" t="s">
        <v>879</v>
      </c>
      <c r="H923" s="950" t="s">
        <v>512</v>
      </c>
      <c r="I923" s="951" t="s">
        <v>9037</v>
      </c>
      <c r="J923" s="947" t="s">
        <v>9038</v>
      </c>
      <c r="K923" s="143"/>
    </row>
    <row r="924" spans="1:11">
      <c r="A924" s="946" t="s">
        <v>28614</v>
      </c>
      <c r="B924" s="947" t="s">
        <v>9191</v>
      </c>
      <c r="C924" s="948" t="s">
        <v>9189</v>
      </c>
      <c r="D924" s="242" t="s">
        <v>516</v>
      </c>
      <c r="E924" s="949">
        <v>102</v>
      </c>
      <c r="F924" s="949">
        <v>102</v>
      </c>
      <c r="G924" s="950" t="s">
        <v>879</v>
      </c>
      <c r="H924" s="950" t="s">
        <v>512</v>
      </c>
      <c r="I924" s="951" t="s">
        <v>9190</v>
      </c>
      <c r="J924" s="947" t="s">
        <v>9191</v>
      </c>
      <c r="K924" s="143"/>
    </row>
    <row r="925" spans="1:11">
      <c r="A925" s="946" t="s">
        <v>28614</v>
      </c>
      <c r="B925" s="947" t="s">
        <v>9521</v>
      </c>
      <c r="C925" s="948" t="s">
        <v>9519</v>
      </c>
      <c r="D925" s="242" t="s">
        <v>31116</v>
      </c>
      <c r="E925" s="949">
        <v>106</v>
      </c>
      <c r="F925" s="949">
        <v>106</v>
      </c>
      <c r="G925" s="950" t="s">
        <v>879</v>
      </c>
      <c r="H925" s="950" t="s">
        <v>512</v>
      </c>
      <c r="I925" s="951" t="s">
        <v>9520</v>
      </c>
      <c r="J925" s="947" t="s">
        <v>9521</v>
      </c>
      <c r="K925" s="143"/>
    </row>
    <row r="926" spans="1:11">
      <c r="A926" s="946" t="s">
        <v>28614</v>
      </c>
      <c r="B926" s="947" t="s">
        <v>9570</v>
      </c>
      <c r="C926" s="948" t="s">
        <v>9568</v>
      </c>
      <c r="D926" s="242" t="s">
        <v>31116</v>
      </c>
      <c r="E926" s="949">
        <v>106</v>
      </c>
      <c r="F926" s="949">
        <v>106</v>
      </c>
      <c r="G926" s="950" t="s">
        <v>879</v>
      </c>
      <c r="H926" s="950" t="s">
        <v>512</v>
      </c>
      <c r="I926" s="951" t="s">
        <v>9569</v>
      </c>
      <c r="J926" s="947" t="s">
        <v>9570</v>
      </c>
      <c r="K926" s="143"/>
    </row>
    <row r="927" spans="1:11">
      <c r="A927" s="946" t="s">
        <v>28614</v>
      </c>
      <c r="B927" s="947" t="s">
        <v>9576</v>
      </c>
      <c r="C927" s="948" t="s">
        <v>9574</v>
      </c>
      <c r="D927" s="242" t="s">
        <v>31116</v>
      </c>
      <c r="E927" s="949">
        <v>106</v>
      </c>
      <c r="F927" s="949">
        <v>106</v>
      </c>
      <c r="G927" s="950" t="s">
        <v>879</v>
      </c>
      <c r="H927" s="950" t="s">
        <v>512</v>
      </c>
      <c r="I927" s="951" t="s">
        <v>9575</v>
      </c>
      <c r="J927" s="947" t="s">
        <v>9576</v>
      </c>
      <c r="K927" s="143"/>
    </row>
    <row r="928" spans="1:11">
      <c r="A928" s="946" t="s">
        <v>28614</v>
      </c>
      <c r="B928" s="947" t="s">
        <v>9730</v>
      </c>
      <c r="C928" s="948" t="s">
        <v>9728</v>
      </c>
      <c r="D928" s="242" t="s">
        <v>31116</v>
      </c>
      <c r="E928" s="949">
        <v>106</v>
      </c>
      <c r="F928" s="949">
        <v>106</v>
      </c>
      <c r="G928" s="950" t="s">
        <v>879</v>
      </c>
      <c r="H928" s="950" t="s">
        <v>512</v>
      </c>
      <c r="I928" s="951" t="s">
        <v>9729</v>
      </c>
      <c r="J928" s="947" t="s">
        <v>9730</v>
      </c>
      <c r="K928" s="143"/>
    </row>
    <row r="929" spans="1:11">
      <c r="A929" s="946" t="s">
        <v>28614</v>
      </c>
      <c r="B929" s="947" t="s">
        <v>9907</v>
      </c>
      <c r="C929" s="948" t="s">
        <v>9905</v>
      </c>
      <c r="D929" s="242" t="s">
        <v>31116</v>
      </c>
      <c r="E929" s="949">
        <v>106</v>
      </c>
      <c r="F929" s="949">
        <v>106</v>
      </c>
      <c r="G929" s="950" t="s">
        <v>879</v>
      </c>
      <c r="H929" s="950" t="s">
        <v>512</v>
      </c>
      <c r="I929" s="951" t="s">
        <v>9906</v>
      </c>
      <c r="J929" s="947" t="s">
        <v>9907</v>
      </c>
      <c r="K929" s="143"/>
    </row>
    <row r="930" spans="1:11">
      <c r="A930" s="946" t="s">
        <v>28614</v>
      </c>
      <c r="B930" s="947" t="s">
        <v>10338</v>
      </c>
      <c r="C930" s="948" t="s">
        <v>10336</v>
      </c>
      <c r="D930" s="242" t="s">
        <v>31116</v>
      </c>
      <c r="E930" s="949">
        <v>106</v>
      </c>
      <c r="F930" s="949">
        <v>106</v>
      </c>
      <c r="G930" s="950" t="s">
        <v>879</v>
      </c>
      <c r="H930" s="950" t="s">
        <v>512</v>
      </c>
      <c r="I930" s="951" t="s">
        <v>10337</v>
      </c>
      <c r="J930" s="947" t="s">
        <v>10338</v>
      </c>
      <c r="K930" s="143"/>
    </row>
    <row r="931" spans="1:11">
      <c r="A931" s="946" t="s">
        <v>28614</v>
      </c>
      <c r="B931" s="947" t="s">
        <v>11006</v>
      </c>
      <c r="C931" s="948" t="s">
        <v>11004</v>
      </c>
      <c r="D931" s="242" t="s">
        <v>31116</v>
      </c>
      <c r="E931" s="949">
        <v>106</v>
      </c>
      <c r="F931" s="949">
        <v>106</v>
      </c>
      <c r="G931" s="950" t="s">
        <v>879</v>
      </c>
      <c r="H931" s="950" t="s">
        <v>512</v>
      </c>
      <c r="I931" s="951" t="s">
        <v>11005</v>
      </c>
      <c r="J931" s="947" t="s">
        <v>11006</v>
      </c>
      <c r="K931" s="143"/>
    </row>
    <row r="932" spans="1:11">
      <c r="A932" s="946" t="s">
        <v>28614</v>
      </c>
      <c r="B932" s="947" t="s">
        <v>11362</v>
      </c>
      <c r="C932" s="948" t="s">
        <v>11360</v>
      </c>
      <c r="D932" s="242" t="s">
        <v>31116</v>
      </c>
      <c r="E932" s="949">
        <v>106</v>
      </c>
      <c r="F932" s="949">
        <v>106</v>
      </c>
      <c r="G932" s="950" t="s">
        <v>879</v>
      </c>
      <c r="H932" s="950" t="s">
        <v>512</v>
      </c>
      <c r="I932" s="951" t="s">
        <v>11361</v>
      </c>
      <c r="J932" s="947" t="s">
        <v>11362</v>
      </c>
      <c r="K932" s="143"/>
    </row>
    <row r="933" spans="1:11">
      <c r="A933" s="946" t="s">
        <v>28614</v>
      </c>
      <c r="B933" s="947" t="s">
        <v>11528</v>
      </c>
      <c r="C933" s="948" t="s">
        <v>11526</v>
      </c>
      <c r="D933" s="242" t="s">
        <v>31116</v>
      </c>
      <c r="E933" s="949">
        <v>106</v>
      </c>
      <c r="F933" s="949">
        <v>106</v>
      </c>
      <c r="G933" s="950" t="s">
        <v>879</v>
      </c>
      <c r="H933" s="950" t="s">
        <v>512</v>
      </c>
      <c r="I933" s="951" t="s">
        <v>11527</v>
      </c>
      <c r="J933" s="947" t="s">
        <v>11528</v>
      </c>
      <c r="K933" s="143"/>
    </row>
    <row r="934" spans="1:11">
      <c r="A934" s="946" t="s">
        <v>28614</v>
      </c>
      <c r="B934" s="947" t="s">
        <v>11609</v>
      </c>
      <c r="C934" s="948" t="s">
        <v>11607</v>
      </c>
      <c r="D934" s="242" t="s">
        <v>31116</v>
      </c>
      <c r="E934" s="949">
        <v>106</v>
      </c>
      <c r="F934" s="949">
        <v>106</v>
      </c>
      <c r="G934" s="950" t="s">
        <v>879</v>
      </c>
      <c r="H934" s="950" t="s">
        <v>512</v>
      </c>
      <c r="I934" s="951" t="s">
        <v>11608</v>
      </c>
      <c r="J934" s="947" t="s">
        <v>11609</v>
      </c>
      <c r="K934" s="143"/>
    </row>
    <row r="935" spans="1:11">
      <c r="A935" s="946" t="s">
        <v>28614</v>
      </c>
      <c r="B935" s="947" t="s">
        <v>11821</v>
      </c>
      <c r="C935" s="948" t="s">
        <v>11819</v>
      </c>
      <c r="D935" s="242" t="s">
        <v>28733</v>
      </c>
      <c r="E935" s="949">
        <v>105</v>
      </c>
      <c r="F935" s="949">
        <v>105</v>
      </c>
      <c r="G935" s="950" t="s">
        <v>879</v>
      </c>
      <c r="H935" s="950" t="s">
        <v>512</v>
      </c>
      <c r="I935" s="951" t="s">
        <v>11820</v>
      </c>
      <c r="J935" s="947" t="s">
        <v>11821</v>
      </c>
      <c r="K935" s="143"/>
    </row>
    <row r="936" spans="1:11">
      <c r="A936" s="946" t="s">
        <v>28614</v>
      </c>
      <c r="B936" s="947" t="s">
        <v>11928</v>
      </c>
      <c r="C936" s="948" t="s">
        <v>11926</v>
      </c>
      <c r="D936" s="242" t="s">
        <v>31116</v>
      </c>
      <c r="E936" s="949">
        <v>106</v>
      </c>
      <c r="F936" s="949">
        <v>106</v>
      </c>
      <c r="G936" s="950" t="s">
        <v>879</v>
      </c>
      <c r="H936" s="950" t="s">
        <v>512</v>
      </c>
      <c r="I936" s="951" t="s">
        <v>11927</v>
      </c>
      <c r="J936" s="947" t="s">
        <v>11928</v>
      </c>
      <c r="K936" s="143"/>
    </row>
    <row r="937" spans="1:11">
      <c r="A937" s="946" t="s">
        <v>28614</v>
      </c>
      <c r="B937" s="947" t="s">
        <v>11949</v>
      </c>
      <c r="C937" s="948" t="s">
        <v>11947</v>
      </c>
      <c r="D937" s="242" t="s">
        <v>31116</v>
      </c>
      <c r="E937" s="949">
        <v>106</v>
      </c>
      <c r="F937" s="949">
        <v>106</v>
      </c>
      <c r="G937" s="950" t="s">
        <v>879</v>
      </c>
      <c r="H937" s="950" t="s">
        <v>512</v>
      </c>
      <c r="I937" s="951" t="s">
        <v>11948</v>
      </c>
      <c r="J937" s="947" t="s">
        <v>11949</v>
      </c>
      <c r="K937" s="143"/>
    </row>
    <row r="938" spans="1:11">
      <c r="A938" s="946" t="s">
        <v>28614</v>
      </c>
      <c r="B938" s="947" t="s">
        <v>11991</v>
      </c>
      <c r="C938" s="948" t="s">
        <v>11989</v>
      </c>
      <c r="D938" s="242" t="s">
        <v>28733</v>
      </c>
      <c r="E938" s="949">
        <v>105</v>
      </c>
      <c r="F938" s="949">
        <v>105</v>
      </c>
      <c r="G938" s="950" t="s">
        <v>879</v>
      </c>
      <c r="H938" s="950" t="s">
        <v>512</v>
      </c>
      <c r="I938" s="951" t="s">
        <v>11990</v>
      </c>
      <c r="J938" s="947" t="s">
        <v>11991</v>
      </c>
      <c r="K938" s="143"/>
    </row>
    <row r="939" spans="1:11">
      <c r="A939" s="946" t="s">
        <v>28614</v>
      </c>
      <c r="B939" s="947" t="s">
        <v>12006</v>
      </c>
      <c r="C939" s="948" t="s">
        <v>12004</v>
      </c>
      <c r="D939" s="242" t="s">
        <v>31116</v>
      </c>
      <c r="E939" s="949">
        <v>106</v>
      </c>
      <c r="F939" s="949">
        <v>106</v>
      </c>
      <c r="G939" s="950" t="s">
        <v>879</v>
      </c>
      <c r="H939" s="950" t="s">
        <v>512</v>
      </c>
      <c r="I939" s="951" t="s">
        <v>12005</v>
      </c>
      <c r="J939" s="947" t="s">
        <v>12006</v>
      </c>
      <c r="K939" s="143"/>
    </row>
    <row r="940" spans="1:11">
      <c r="A940" s="946" t="s">
        <v>28614</v>
      </c>
      <c r="B940" s="947" t="s">
        <v>12049</v>
      </c>
      <c r="C940" s="948" t="s">
        <v>12047</v>
      </c>
      <c r="D940" s="242" t="s">
        <v>28733</v>
      </c>
      <c r="E940" s="949">
        <v>105</v>
      </c>
      <c r="F940" s="949">
        <v>105</v>
      </c>
      <c r="G940" s="950" t="s">
        <v>879</v>
      </c>
      <c r="H940" s="950" t="s">
        <v>512</v>
      </c>
      <c r="I940" s="951" t="s">
        <v>12048</v>
      </c>
      <c r="J940" s="947" t="s">
        <v>12049</v>
      </c>
      <c r="K940" s="143"/>
    </row>
    <row r="941" spans="1:11">
      <c r="A941" s="946" t="s">
        <v>28614</v>
      </c>
      <c r="B941" s="947" t="s">
        <v>12105</v>
      </c>
      <c r="C941" s="948" t="s">
        <v>12103</v>
      </c>
      <c r="D941" s="242" t="s">
        <v>31116</v>
      </c>
      <c r="E941" s="949">
        <v>106</v>
      </c>
      <c r="F941" s="949">
        <v>106</v>
      </c>
      <c r="G941" s="950" t="s">
        <v>879</v>
      </c>
      <c r="H941" s="950" t="s">
        <v>512</v>
      </c>
      <c r="I941" s="951" t="s">
        <v>12104</v>
      </c>
      <c r="J941" s="947" t="s">
        <v>12105</v>
      </c>
      <c r="K941" s="143"/>
    </row>
    <row r="942" spans="1:11">
      <c r="A942" s="946" t="s">
        <v>28614</v>
      </c>
      <c r="B942" s="947" t="s">
        <v>12124</v>
      </c>
      <c r="C942" s="948" t="s">
        <v>12122</v>
      </c>
      <c r="D942" s="242" t="s">
        <v>31116</v>
      </c>
      <c r="E942" s="949">
        <v>106</v>
      </c>
      <c r="F942" s="949">
        <v>106</v>
      </c>
      <c r="G942" s="950" t="s">
        <v>879</v>
      </c>
      <c r="H942" s="950" t="s">
        <v>512</v>
      </c>
      <c r="I942" s="951" t="s">
        <v>12123</v>
      </c>
      <c r="J942" s="947" t="s">
        <v>12124</v>
      </c>
      <c r="K942" s="143"/>
    </row>
    <row r="943" spans="1:11">
      <c r="A943" s="946" t="s">
        <v>28614</v>
      </c>
      <c r="B943" s="947" t="s">
        <v>12161</v>
      </c>
      <c r="C943" s="948" t="s">
        <v>12159</v>
      </c>
      <c r="D943" s="242" t="s">
        <v>31116</v>
      </c>
      <c r="E943" s="949">
        <v>106</v>
      </c>
      <c r="F943" s="949">
        <v>106</v>
      </c>
      <c r="G943" s="950" t="s">
        <v>879</v>
      </c>
      <c r="H943" s="950" t="s">
        <v>512</v>
      </c>
      <c r="I943" s="951" t="s">
        <v>12160</v>
      </c>
      <c r="J943" s="947" t="s">
        <v>12161</v>
      </c>
      <c r="K943" s="143"/>
    </row>
    <row r="944" spans="1:11">
      <c r="A944" s="946" t="s">
        <v>28614</v>
      </c>
      <c r="B944" s="947" t="s">
        <v>12194</v>
      </c>
      <c r="C944" s="948" t="s">
        <v>12192</v>
      </c>
      <c r="D944" s="242" t="s">
        <v>31116</v>
      </c>
      <c r="E944" s="949">
        <v>106</v>
      </c>
      <c r="F944" s="949">
        <v>106</v>
      </c>
      <c r="G944" s="950" t="s">
        <v>879</v>
      </c>
      <c r="H944" s="950" t="s">
        <v>512</v>
      </c>
      <c r="I944" s="951" t="s">
        <v>12193</v>
      </c>
      <c r="J944" s="947" t="s">
        <v>12194</v>
      </c>
      <c r="K944" s="143"/>
    </row>
    <row r="945" spans="1:11">
      <c r="A945" s="946" t="s">
        <v>28614</v>
      </c>
      <c r="B945" s="947" t="s">
        <v>12197</v>
      </c>
      <c r="C945" s="948" t="s">
        <v>12195</v>
      </c>
      <c r="D945" s="242" t="s">
        <v>31116</v>
      </c>
      <c r="E945" s="949">
        <v>106</v>
      </c>
      <c r="F945" s="949">
        <v>106</v>
      </c>
      <c r="G945" s="950" t="s">
        <v>879</v>
      </c>
      <c r="H945" s="950" t="s">
        <v>512</v>
      </c>
      <c r="I945" s="951" t="s">
        <v>12196</v>
      </c>
      <c r="J945" s="947" t="s">
        <v>12197</v>
      </c>
      <c r="K945" s="143"/>
    </row>
    <row r="946" spans="1:11">
      <c r="A946" s="946" t="s">
        <v>28614</v>
      </c>
      <c r="B946" s="947" t="s">
        <v>12395</v>
      </c>
      <c r="C946" s="948" t="s">
        <v>12393</v>
      </c>
      <c r="D946" s="242" t="s">
        <v>31116</v>
      </c>
      <c r="E946" s="949">
        <v>106</v>
      </c>
      <c r="F946" s="949">
        <v>106</v>
      </c>
      <c r="G946" s="950" t="s">
        <v>879</v>
      </c>
      <c r="H946" s="950" t="s">
        <v>512</v>
      </c>
      <c r="I946" s="951" t="s">
        <v>12394</v>
      </c>
      <c r="J946" s="947" t="s">
        <v>12395</v>
      </c>
      <c r="K946" s="143"/>
    </row>
    <row r="947" spans="1:11">
      <c r="A947" s="946" t="s">
        <v>28614</v>
      </c>
      <c r="B947" s="947" t="s">
        <v>12422</v>
      </c>
      <c r="C947" s="948" t="s">
        <v>12420</v>
      </c>
      <c r="D947" s="242" t="s">
        <v>31116</v>
      </c>
      <c r="E947" s="949">
        <v>106</v>
      </c>
      <c r="F947" s="949">
        <v>106</v>
      </c>
      <c r="G947" s="950" t="s">
        <v>879</v>
      </c>
      <c r="H947" s="950" t="s">
        <v>512</v>
      </c>
      <c r="I947" s="951" t="s">
        <v>12421</v>
      </c>
      <c r="J947" s="947" t="s">
        <v>12422</v>
      </c>
      <c r="K947" s="143"/>
    </row>
    <row r="948" spans="1:11">
      <c r="A948" s="946" t="s">
        <v>28614</v>
      </c>
      <c r="B948" s="947" t="s">
        <v>12531</v>
      </c>
      <c r="C948" s="948" t="s">
        <v>12529</v>
      </c>
      <c r="D948" s="242" t="s">
        <v>31116</v>
      </c>
      <c r="E948" s="949">
        <v>106</v>
      </c>
      <c r="F948" s="949">
        <v>106</v>
      </c>
      <c r="G948" s="950" t="s">
        <v>879</v>
      </c>
      <c r="H948" s="950" t="s">
        <v>512</v>
      </c>
      <c r="I948" s="951" t="s">
        <v>12530</v>
      </c>
      <c r="J948" s="947" t="s">
        <v>12531</v>
      </c>
      <c r="K948" s="143"/>
    </row>
    <row r="949" spans="1:11">
      <c r="A949" s="946" t="s">
        <v>28614</v>
      </c>
      <c r="B949" s="947" t="s">
        <v>12623</v>
      </c>
      <c r="C949" s="948" t="s">
        <v>12621</v>
      </c>
      <c r="D949" s="242" t="s">
        <v>31116</v>
      </c>
      <c r="E949" s="949">
        <v>106</v>
      </c>
      <c r="F949" s="949">
        <v>106</v>
      </c>
      <c r="G949" s="950" t="s">
        <v>879</v>
      </c>
      <c r="H949" s="950" t="s">
        <v>512</v>
      </c>
      <c r="I949" s="951" t="s">
        <v>12622</v>
      </c>
      <c r="J949" s="947" t="s">
        <v>12623</v>
      </c>
      <c r="K949" s="143"/>
    </row>
    <row r="950" spans="1:11">
      <c r="A950" s="946" t="s">
        <v>28614</v>
      </c>
      <c r="B950" s="947" t="s">
        <v>12881</v>
      </c>
      <c r="C950" s="948" t="s">
        <v>12879</v>
      </c>
      <c r="D950" s="242" t="s">
        <v>516</v>
      </c>
      <c r="E950" s="949">
        <v>102</v>
      </c>
      <c r="F950" s="949">
        <v>102</v>
      </c>
      <c r="G950" s="950" t="s">
        <v>879</v>
      </c>
      <c r="H950" s="950" t="s">
        <v>512</v>
      </c>
      <c r="I950" s="951" t="s">
        <v>12880</v>
      </c>
      <c r="J950" s="947" t="s">
        <v>12881</v>
      </c>
      <c r="K950" s="143"/>
    </row>
    <row r="951" spans="1:11">
      <c r="A951" s="946" t="s">
        <v>28614</v>
      </c>
      <c r="B951" s="947" t="s">
        <v>12893</v>
      </c>
      <c r="C951" s="948" t="s">
        <v>12891</v>
      </c>
      <c r="D951" s="242" t="s">
        <v>31116</v>
      </c>
      <c r="E951" s="949">
        <v>106</v>
      </c>
      <c r="F951" s="949">
        <v>106</v>
      </c>
      <c r="G951" s="950" t="s">
        <v>879</v>
      </c>
      <c r="H951" s="950" t="s">
        <v>512</v>
      </c>
      <c r="I951" s="951" t="s">
        <v>12892</v>
      </c>
      <c r="J951" s="947" t="s">
        <v>12893</v>
      </c>
      <c r="K951" s="143"/>
    </row>
    <row r="952" spans="1:11">
      <c r="A952" s="946" t="s">
        <v>28614</v>
      </c>
      <c r="B952" s="947" t="s">
        <v>12959</v>
      </c>
      <c r="C952" s="948" t="s">
        <v>12957</v>
      </c>
      <c r="D952" s="242" t="s">
        <v>31116</v>
      </c>
      <c r="E952" s="949">
        <v>106</v>
      </c>
      <c r="F952" s="949">
        <v>106</v>
      </c>
      <c r="G952" s="950" t="s">
        <v>879</v>
      </c>
      <c r="H952" s="950" t="s">
        <v>512</v>
      </c>
      <c r="I952" s="951" t="s">
        <v>12958</v>
      </c>
      <c r="J952" s="947" t="s">
        <v>12959</v>
      </c>
      <c r="K952" s="143"/>
    </row>
    <row r="953" spans="1:11">
      <c r="A953" s="946" t="s">
        <v>28614</v>
      </c>
      <c r="B953" s="947" t="s">
        <v>12995</v>
      </c>
      <c r="C953" s="948" t="s">
        <v>12993</v>
      </c>
      <c r="D953" s="242" t="s">
        <v>31116</v>
      </c>
      <c r="E953" s="949">
        <v>106</v>
      </c>
      <c r="F953" s="949">
        <v>106</v>
      </c>
      <c r="G953" s="950" t="s">
        <v>879</v>
      </c>
      <c r="H953" s="950" t="s">
        <v>512</v>
      </c>
      <c r="I953" s="951" t="s">
        <v>12994</v>
      </c>
      <c r="J953" s="947" t="s">
        <v>12995</v>
      </c>
      <c r="K953" s="143"/>
    </row>
    <row r="954" spans="1:11">
      <c r="A954" s="946" t="s">
        <v>28614</v>
      </c>
      <c r="B954" s="947" t="s">
        <v>31998</v>
      </c>
      <c r="C954" s="948" t="s">
        <v>31999</v>
      </c>
      <c r="D954" s="242" t="s">
        <v>28733</v>
      </c>
      <c r="E954" s="949">
        <v>105</v>
      </c>
      <c r="F954" s="949">
        <v>105</v>
      </c>
      <c r="G954" s="950" t="s">
        <v>879</v>
      </c>
      <c r="H954" s="950" t="s">
        <v>512</v>
      </c>
      <c r="I954" s="951" t="s">
        <v>13114</v>
      </c>
      <c r="J954" s="947" t="s">
        <v>31998</v>
      </c>
      <c r="K954" s="143"/>
    </row>
    <row r="955" spans="1:11">
      <c r="A955" s="946" t="s">
        <v>28614</v>
      </c>
      <c r="B955" s="947" t="s">
        <v>13439</v>
      </c>
      <c r="C955" s="948" t="s">
        <v>13437</v>
      </c>
      <c r="D955" s="242" t="s">
        <v>31116</v>
      </c>
      <c r="E955" s="949">
        <v>106</v>
      </c>
      <c r="F955" s="949">
        <v>106</v>
      </c>
      <c r="G955" s="950" t="s">
        <v>879</v>
      </c>
      <c r="H955" s="950" t="s">
        <v>512</v>
      </c>
      <c r="I955" s="951" t="s">
        <v>13438</v>
      </c>
      <c r="J955" s="947" t="s">
        <v>13439</v>
      </c>
      <c r="K955" s="143"/>
    </row>
    <row r="956" spans="1:11">
      <c r="A956" s="946" t="s">
        <v>28614</v>
      </c>
      <c r="B956" s="947" t="s">
        <v>13497</v>
      </c>
      <c r="C956" s="948" t="s">
        <v>13495</v>
      </c>
      <c r="D956" s="242" t="s">
        <v>28733</v>
      </c>
      <c r="E956" s="949">
        <v>105</v>
      </c>
      <c r="F956" s="949">
        <v>105</v>
      </c>
      <c r="G956" s="950" t="s">
        <v>879</v>
      </c>
      <c r="H956" s="950" t="s">
        <v>512</v>
      </c>
      <c r="I956" s="951" t="s">
        <v>13496</v>
      </c>
      <c r="J956" s="947" t="s">
        <v>13497</v>
      </c>
      <c r="K956" s="143"/>
    </row>
    <row r="957" spans="1:11">
      <c r="A957" s="946" t="s">
        <v>28614</v>
      </c>
      <c r="B957" s="947" t="s">
        <v>13503</v>
      </c>
      <c r="C957" s="948" t="s">
        <v>13501</v>
      </c>
      <c r="D957" s="242" t="s">
        <v>28733</v>
      </c>
      <c r="E957" s="949">
        <v>105</v>
      </c>
      <c r="F957" s="949">
        <v>105</v>
      </c>
      <c r="G957" s="950" t="s">
        <v>879</v>
      </c>
      <c r="H957" s="950" t="s">
        <v>512</v>
      </c>
      <c r="I957" s="951" t="s">
        <v>13502</v>
      </c>
      <c r="J957" s="947" t="s">
        <v>13503</v>
      </c>
      <c r="K957" s="143"/>
    </row>
    <row r="958" spans="1:11">
      <c r="A958" s="946" t="s">
        <v>28614</v>
      </c>
      <c r="B958" s="947" t="s">
        <v>13506</v>
      </c>
      <c r="C958" s="948" t="s">
        <v>13504</v>
      </c>
      <c r="D958" s="242" t="s">
        <v>28733</v>
      </c>
      <c r="E958" s="949">
        <v>105</v>
      </c>
      <c r="F958" s="949">
        <v>105</v>
      </c>
      <c r="G958" s="950" t="s">
        <v>879</v>
      </c>
      <c r="H958" s="950" t="s">
        <v>512</v>
      </c>
      <c r="I958" s="951" t="s">
        <v>13505</v>
      </c>
      <c r="J958" s="947" t="s">
        <v>13506</v>
      </c>
      <c r="K958" s="143"/>
    </row>
    <row r="959" spans="1:11">
      <c r="A959" s="946" t="s">
        <v>28614</v>
      </c>
      <c r="B959" s="947" t="s">
        <v>13601</v>
      </c>
      <c r="C959" s="948" t="s">
        <v>13599</v>
      </c>
      <c r="D959" s="242" t="s">
        <v>28733</v>
      </c>
      <c r="E959" s="949">
        <v>105</v>
      </c>
      <c r="F959" s="949">
        <v>105</v>
      </c>
      <c r="G959" s="950" t="s">
        <v>879</v>
      </c>
      <c r="H959" s="950" t="s">
        <v>512</v>
      </c>
      <c r="I959" s="951" t="s">
        <v>13600</v>
      </c>
      <c r="J959" s="947" t="s">
        <v>13601</v>
      </c>
      <c r="K959" s="143"/>
    </row>
    <row r="960" spans="1:11">
      <c r="A960" s="946" t="s">
        <v>28614</v>
      </c>
      <c r="B960" s="947" t="s">
        <v>13762</v>
      </c>
      <c r="C960" s="948" t="s">
        <v>13760</v>
      </c>
      <c r="D960" s="242" t="s">
        <v>31116</v>
      </c>
      <c r="E960" s="949">
        <v>106</v>
      </c>
      <c r="F960" s="949">
        <v>106</v>
      </c>
      <c r="G960" s="950" t="s">
        <v>879</v>
      </c>
      <c r="H960" s="950" t="s">
        <v>512</v>
      </c>
      <c r="I960" s="951" t="s">
        <v>13761</v>
      </c>
      <c r="J960" s="947" t="s">
        <v>13762</v>
      </c>
      <c r="K960" s="143"/>
    </row>
    <row r="961" spans="1:11">
      <c r="A961" s="946" t="s">
        <v>28614</v>
      </c>
      <c r="B961" s="947" t="s">
        <v>13928</v>
      </c>
      <c r="C961" s="948" t="s">
        <v>13926</v>
      </c>
      <c r="D961" s="242" t="s">
        <v>28733</v>
      </c>
      <c r="E961" s="949">
        <v>105</v>
      </c>
      <c r="F961" s="949">
        <v>105</v>
      </c>
      <c r="G961" s="950" t="s">
        <v>879</v>
      </c>
      <c r="H961" s="950" t="s">
        <v>512</v>
      </c>
      <c r="I961" s="951" t="s">
        <v>13927</v>
      </c>
      <c r="J961" s="947" t="s">
        <v>13928</v>
      </c>
      <c r="K961" s="143"/>
    </row>
    <row r="962" spans="1:11">
      <c r="A962" s="946" t="s">
        <v>28614</v>
      </c>
      <c r="B962" s="947" t="s">
        <v>13940</v>
      </c>
      <c r="C962" s="948" t="s">
        <v>13938</v>
      </c>
      <c r="D962" s="242" t="s">
        <v>31116</v>
      </c>
      <c r="E962" s="949">
        <v>106</v>
      </c>
      <c r="F962" s="949">
        <v>106</v>
      </c>
      <c r="G962" s="950" t="s">
        <v>879</v>
      </c>
      <c r="H962" s="950" t="s">
        <v>512</v>
      </c>
      <c r="I962" s="951" t="s">
        <v>13939</v>
      </c>
      <c r="J962" s="947" t="s">
        <v>13940</v>
      </c>
      <c r="K962" s="143"/>
    </row>
    <row r="963" spans="1:11">
      <c r="A963" s="946" t="s">
        <v>28614</v>
      </c>
      <c r="B963" s="947" t="s">
        <v>13946</v>
      </c>
      <c r="C963" s="948" t="s">
        <v>13944</v>
      </c>
      <c r="D963" s="242" t="s">
        <v>31116</v>
      </c>
      <c r="E963" s="949">
        <v>106</v>
      </c>
      <c r="F963" s="949">
        <v>106</v>
      </c>
      <c r="G963" s="950" t="s">
        <v>879</v>
      </c>
      <c r="H963" s="950" t="s">
        <v>512</v>
      </c>
      <c r="I963" s="951" t="s">
        <v>13945</v>
      </c>
      <c r="J963" s="947" t="s">
        <v>13946</v>
      </c>
      <c r="K963" s="143"/>
    </row>
    <row r="964" spans="1:11">
      <c r="A964" s="946" t="s">
        <v>28614</v>
      </c>
      <c r="B964" s="947" t="s">
        <v>13965</v>
      </c>
      <c r="C964" s="948" t="s">
        <v>13963</v>
      </c>
      <c r="D964" s="242" t="s">
        <v>28733</v>
      </c>
      <c r="E964" s="949">
        <v>105</v>
      </c>
      <c r="F964" s="949">
        <v>105</v>
      </c>
      <c r="G964" s="950" t="s">
        <v>879</v>
      </c>
      <c r="H964" s="950" t="s">
        <v>512</v>
      </c>
      <c r="I964" s="951" t="s">
        <v>13964</v>
      </c>
      <c r="J964" s="947" t="s">
        <v>13965</v>
      </c>
      <c r="K964" s="143"/>
    </row>
    <row r="965" spans="1:11">
      <c r="A965" s="946" t="s">
        <v>28614</v>
      </c>
      <c r="B965" s="947" t="s">
        <v>13990</v>
      </c>
      <c r="C965" s="948" t="s">
        <v>13988</v>
      </c>
      <c r="D965" s="242" t="s">
        <v>31116</v>
      </c>
      <c r="E965" s="949">
        <v>106</v>
      </c>
      <c r="F965" s="949">
        <v>106</v>
      </c>
      <c r="G965" s="950" t="s">
        <v>879</v>
      </c>
      <c r="H965" s="950" t="s">
        <v>512</v>
      </c>
      <c r="I965" s="951" t="s">
        <v>13989</v>
      </c>
      <c r="J965" s="947" t="s">
        <v>13990</v>
      </c>
      <c r="K965" s="143"/>
    </row>
    <row r="966" spans="1:11">
      <c r="A966" s="946" t="s">
        <v>28614</v>
      </c>
      <c r="B966" s="947" t="s">
        <v>14253</v>
      </c>
      <c r="C966" s="948" t="s">
        <v>14251</v>
      </c>
      <c r="D966" s="242" t="s">
        <v>31116</v>
      </c>
      <c r="E966" s="949">
        <v>106</v>
      </c>
      <c r="F966" s="949">
        <v>106</v>
      </c>
      <c r="G966" s="950" t="s">
        <v>879</v>
      </c>
      <c r="H966" s="950" t="s">
        <v>512</v>
      </c>
      <c r="I966" s="951" t="s">
        <v>14252</v>
      </c>
      <c r="J966" s="947" t="s">
        <v>14253</v>
      </c>
      <c r="K966" s="143"/>
    </row>
    <row r="967" spans="1:11">
      <c r="A967" s="946" t="s">
        <v>28614</v>
      </c>
      <c r="B967" s="947" t="s">
        <v>14264</v>
      </c>
      <c r="C967" s="948" t="s">
        <v>14262</v>
      </c>
      <c r="D967" s="242" t="s">
        <v>31116</v>
      </c>
      <c r="E967" s="949">
        <v>106</v>
      </c>
      <c r="F967" s="949">
        <v>106</v>
      </c>
      <c r="G967" s="950" t="s">
        <v>879</v>
      </c>
      <c r="H967" s="950" t="s">
        <v>512</v>
      </c>
      <c r="I967" s="951" t="s">
        <v>14263</v>
      </c>
      <c r="J967" s="947" t="s">
        <v>14264</v>
      </c>
      <c r="K967" s="143"/>
    </row>
    <row r="968" spans="1:11">
      <c r="A968" s="946" t="s">
        <v>28614</v>
      </c>
      <c r="B968" s="947" t="s">
        <v>14321</v>
      </c>
      <c r="C968" s="948" t="s">
        <v>14319</v>
      </c>
      <c r="D968" s="242" t="s">
        <v>31116</v>
      </c>
      <c r="E968" s="949">
        <v>106</v>
      </c>
      <c r="F968" s="949">
        <v>106</v>
      </c>
      <c r="G968" s="950" t="s">
        <v>879</v>
      </c>
      <c r="H968" s="950" t="s">
        <v>512</v>
      </c>
      <c r="I968" s="951" t="s">
        <v>14320</v>
      </c>
      <c r="J968" s="947" t="s">
        <v>14321</v>
      </c>
      <c r="K968" s="143"/>
    </row>
    <row r="969" spans="1:11">
      <c r="A969" s="946" t="s">
        <v>28614</v>
      </c>
      <c r="B969" s="947" t="s">
        <v>14388</v>
      </c>
      <c r="C969" s="948" t="s">
        <v>14386</v>
      </c>
      <c r="D969" s="242" t="s">
        <v>516</v>
      </c>
      <c r="E969" s="949">
        <v>102</v>
      </c>
      <c r="F969" s="949">
        <v>102</v>
      </c>
      <c r="G969" s="950" t="s">
        <v>879</v>
      </c>
      <c r="H969" s="950" t="s">
        <v>512</v>
      </c>
      <c r="I969" s="951" t="s">
        <v>14387</v>
      </c>
      <c r="J969" s="947" t="s">
        <v>14388</v>
      </c>
      <c r="K969" s="143"/>
    </row>
    <row r="970" spans="1:11">
      <c r="A970" s="946" t="s">
        <v>28614</v>
      </c>
      <c r="B970" s="947" t="s">
        <v>14844</v>
      </c>
      <c r="C970" s="948" t="s">
        <v>14842</v>
      </c>
      <c r="D970" s="242" t="s">
        <v>31116</v>
      </c>
      <c r="E970" s="949">
        <v>106</v>
      </c>
      <c r="F970" s="949">
        <v>106</v>
      </c>
      <c r="G970" s="950" t="s">
        <v>879</v>
      </c>
      <c r="H970" s="950" t="s">
        <v>512</v>
      </c>
      <c r="I970" s="951" t="s">
        <v>14843</v>
      </c>
      <c r="J970" s="947" t="s">
        <v>14844</v>
      </c>
      <c r="K970" s="143"/>
    </row>
    <row r="971" spans="1:11">
      <c r="A971" s="946" t="s">
        <v>28614</v>
      </c>
      <c r="B971" s="947" t="s">
        <v>15324</v>
      </c>
      <c r="C971" s="948" t="s">
        <v>15322</v>
      </c>
      <c r="D971" s="242" t="s">
        <v>28733</v>
      </c>
      <c r="E971" s="949">
        <v>105</v>
      </c>
      <c r="F971" s="949">
        <v>105</v>
      </c>
      <c r="G971" s="950" t="s">
        <v>879</v>
      </c>
      <c r="H971" s="950" t="s">
        <v>512</v>
      </c>
      <c r="I971" s="951" t="s">
        <v>15323</v>
      </c>
      <c r="J971" s="947" t="s">
        <v>15324</v>
      </c>
      <c r="K971" s="143"/>
    </row>
    <row r="972" spans="1:11">
      <c r="A972" s="946" t="s">
        <v>28614</v>
      </c>
      <c r="B972" s="947" t="s">
        <v>15427</v>
      </c>
      <c r="C972" s="948" t="s">
        <v>15425</v>
      </c>
      <c r="D972" s="242" t="s">
        <v>31116</v>
      </c>
      <c r="E972" s="949">
        <v>106</v>
      </c>
      <c r="F972" s="949">
        <v>106</v>
      </c>
      <c r="G972" s="950" t="s">
        <v>879</v>
      </c>
      <c r="H972" s="950" t="s">
        <v>512</v>
      </c>
      <c r="I972" s="951" t="s">
        <v>15426</v>
      </c>
      <c r="J972" s="947" t="s">
        <v>15427</v>
      </c>
      <c r="K972" s="143"/>
    </row>
    <row r="973" spans="1:11">
      <c r="A973" s="946" t="s">
        <v>28614</v>
      </c>
      <c r="B973" s="947" t="s">
        <v>15451</v>
      </c>
      <c r="C973" s="948" t="s">
        <v>15449</v>
      </c>
      <c r="D973" s="242" t="s">
        <v>28733</v>
      </c>
      <c r="E973" s="949">
        <v>105</v>
      </c>
      <c r="F973" s="949">
        <v>105</v>
      </c>
      <c r="G973" s="950" t="s">
        <v>879</v>
      </c>
      <c r="H973" s="950" t="s">
        <v>512</v>
      </c>
      <c r="I973" s="951" t="s">
        <v>15450</v>
      </c>
      <c r="J973" s="947" t="s">
        <v>15451</v>
      </c>
      <c r="K973" s="143"/>
    </row>
    <row r="974" spans="1:11">
      <c r="A974" s="946" t="s">
        <v>28614</v>
      </c>
      <c r="B974" s="947" t="s">
        <v>15460</v>
      </c>
      <c r="C974" s="948" t="s">
        <v>15458</v>
      </c>
      <c r="D974" s="242" t="s">
        <v>31116</v>
      </c>
      <c r="E974" s="949">
        <v>106</v>
      </c>
      <c r="F974" s="949">
        <v>106</v>
      </c>
      <c r="G974" s="950" t="s">
        <v>879</v>
      </c>
      <c r="H974" s="950" t="s">
        <v>512</v>
      </c>
      <c r="I974" s="951" t="s">
        <v>15459</v>
      </c>
      <c r="J974" s="947" t="s">
        <v>15460</v>
      </c>
      <c r="K974" s="143"/>
    </row>
    <row r="975" spans="1:11">
      <c r="A975" s="946" t="s">
        <v>28614</v>
      </c>
      <c r="B975" s="947" t="s">
        <v>15492</v>
      </c>
      <c r="C975" s="948" t="s">
        <v>15490</v>
      </c>
      <c r="D975" s="242" t="s">
        <v>28733</v>
      </c>
      <c r="E975" s="949">
        <v>105</v>
      </c>
      <c r="F975" s="949">
        <v>105</v>
      </c>
      <c r="G975" s="950" t="s">
        <v>879</v>
      </c>
      <c r="H975" s="950" t="s">
        <v>512</v>
      </c>
      <c r="I975" s="951" t="s">
        <v>15491</v>
      </c>
      <c r="J975" s="947" t="s">
        <v>15492</v>
      </c>
      <c r="K975" s="143"/>
    </row>
    <row r="976" spans="1:11">
      <c r="A976" s="946" t="s">
        <v>28614</v>
      </c>
      <c r="B976" s="947" t="s">
        <v>15501</v>
      </c>
      <c r="C976" s="948" t="s">
        <v>15499</v>
      </c>
      <c r="D976" s="242" t="s">
        <v>31116</v>
      </c>
      <c r="E976" s="949">
        <v>106</v>
      </c>
      <c r="F976" s="949">
        <v>106</v>
      </c>
      <c r="G976" s="950" t="s">
        <v>879</v>
      </c>
      <c r="H976" s="950" t="s">
        <v>512</v>
      </c>
      <c r="I976" s="951" t="s">
        <v>15500</v>
      </c>
      <c r="J976" s="947" t="s">
        <v>15501</v>
      </c>
      <c r="K976" s="143"/>
    </row>
    <row r="977" spans="1:11">
      <c r="A977" s="946" t="s">
        <v>28614</v>
      </c>
      <c r="B977" s="947" t="s">
        <v>15674</v>
      </c>
      <c r="C977" s="948" t="s">
        <v>15672</v>
      </c>
      <c r="D977" s="242" t="s">
        <v>31116</v>
      </c>
      <c r="E977" s="949">
        <v>106</v>
      </c>
      <c r="F977" s="949">
        <v>106</v>
      </c>
      <c r="G977" s="950" t="s">
        <v>879</v>
      </c>
      <c r="H977" s="950" t="s">
        <v>512</v>
      </c>
      <c r="I977" s="951" t="s">
        <v>15673</v>
      </c>
      <c r="J977" s="947" t="s">
        <v>15674</v>
      </c>
      <c r="K977" s="143"/>
    </row>
    <row r="978" spans="1:11">
      <c r="A978" s="946" t="s">
        <v>28614</v>
      </c>
      <c r="B978" s="947" t="s">
        <v>15683</v>
      </c>
      <c r="C978" s="948" t="s">
        <v>15681</v>
      </c>
      <c r="D978" s="242" t="s">
        <v>31116</v>
      </c>
      <c r="E978" s="949">
        <v>106</v>
      </c>
      <c r="F978" s="949">
        <v>106</v>
      </c>
      <c r="G978" s="950" t="s">
        <v>879</v>
      </c>
      <c r="H978" s="950" t="s">
        <v>512</v>
      </c>
      <c r="I978" s="951" t="s">
        <v>15682</v>
      </c>
      <c r="J978" s="947" t="s">
        <v>15683</v>
      </c>
      <c r="K978" s="143"/>
    </row>
    <row r="979" spans="1:11">
      <c r="A979" s="946" t="s">
        <v>28614</v>
      </c>
      <c r="B979" s="947" t="s">
        <v>15742</v>
      </c>
      <c r="C979" s="948" t="s">
        <v>15740</v>
      </c>
      <c r="D979" s="242" t="s">
        <v>31116</v>
      </c>
      <c r="E979" s="949">
        <v>106</v>
      </c>
      <c r="F979" s="949">
        <v>106</v>
      </c>
      <c r="G979" s="950" t="s">
        <v>879</v>
      </c>
      <c r="H979" s="950" t="s">
        <v>512</v>
      </c>
      <c r="I979" s="951" t="s">
        <v>15741</v>
      </c>
      <c r="J979" s="947" t="s">
        <v>15742</v>
      </c>
      <c r="K979" s="143"/>
    </row>
    <row r="980" spans="1:11">
      <c r="A980" s="946" t="s">
        <v>28614</v>
      </c>
      <c r="B980" s="947" t="s">
        <v>15809</v>
      </c>
      <c r="C980" s="948" t="s">
        <v>15807</v>
      </c>
      <c r="D980" s="242" t="s">
        <v>31116</v>
      </c>
      <c r="E980" s="949">
        <v>106</v>
      </c>
      <c r="F980" s="949">
        <v>106</v>
      </c>
      <c r="G980" s="950" t="s">
        <v>879</v>
      </c>
      <c r="H980" s="950" t="s">
        <v>512</v>
      </c>
      <c r="I980" s="951" t="s">
        <v>15808</v>
      </c>
      <c r="J980" s="947" t="s">
        <v>15809</v>
      </c>
      <c r="K980" s="143"/>
    </row>
    <row r="981" spans="1:11">
      <c r="A981" s="946" t="s">
        <v>28614</v>
      </c>
      <c r="B981" s="947" t="s">
        <v>15960</v>
      </c>
      <c r="C981" s="948" t="s">
        <v>15958</v>
      </c>
      <c r="D981" s="242" t="s">
        <v>28733</v>
      </c>
      <c r="E981" s="949">
        <v>105</v>
      </c>
      <c r="F981" s="949">
        <v>105</v>
      </c>
      <c r="G981" s="950" t="s">
        <v>879</v>
      </c>
      <c r="H981" s="950" t="s">
        <v>512</v>
      </c>
      <c r="I981" s="951" t="s">
        <v>15959</v>
      </c>
      <c r="J981" s="947" t="s">
        <v>15960</v>
      </c>
      <c r="K981" s="143"/>
    </row>
    <row r="982" spans="1:11">
      <c r="A982" s="946" t="s">
        <v>28614</v>
      </c>
      <c r="B982" s="947" t="s">
        <v>15989</v>
      </c>
      <c r="C982" s="948" t="s">
        <v>15987</v>
      </c>
      <c r="D982" s="242" t="s">
        <v>28733</v>
      </c>
      <c r="E982" s="949">
        <v>105</v>
      </c>
      <c r="F982" s="949">
        <v>105</v>
      </c>
      <c r="G982" s="950" t="s">
        <v>879</v>
      </c>
      <c r="H982" s="950" t="s">
        <v>512</v>
      </c>
      <c r="I982" s="951" t="s">
        <v>15988</v>
      </c>
      <c r="J982" s="947" t="s">
        <v>15989</v>
      </c>
      <c r="K982" s="143"/>
    </row>
    <row r="983" spans="1:11">
      <c r="A983" s="946" t="s">
        <v>28614</v>
      </c>
      <c r="B983" s="947" t="s">
        <v>16272</v>
      </c>
      <c r="C983" s="948" t="s">
        <v>16270</v>
      </c>
      <c r="D983" s="242" t="s">
        <v>31116</v>
      </c>
      <c r="E983" s="949">
        <v>106</v>
      </c>
      <c r="F983" s="949">
        <v>106</v>
      </c>
      <c r="G983" s="950" t="s">
        <v>879</v>
      </c>
      <c r="H983" s="950" t="s">
        <v>512</v>
      </c>
      <c r="I983" s="951" t="s">
        <v>16271</v>
      </c>
      <c r="J983" s="947" t="s">
        <v>16272</v>
      </c>
      <c r="K983" s="143"/>
    </row>
    <row r="984" spans="1:11">
      <c r="A984" s="946" t="s">
        <v>28614</v>
      </c>
      <c r="B984" s="947" t="s">
        <v>16399</v>
      </c>
      <c r="C984" s="948" t="s">
        <v>16397</v>
      </c>
      <c r="D984" s="242" t="s">
        <v>31116</v>
      </c>
      <c r="E984" s="949">
        <v>106</v>
      </c>
      <c r="F984" s="949">
        <v>106</v>
      </c>
      <c r="G984" s="950" t="s">
        <v>879</v>
      </c>
      <c r="H984" s="950" t="s">
        <v>512</v>
      </c>
      <c r="I984" s="951" t="s">
        <v>16398</v>
      </c>
      <c r="J984" s="947" t="s">
        <v>16399</v>
      </c>
      <c r="K984" s="143"/>
    </row>
    <row r="985" spans="1:11">
      <c r="A985" s="946" t="s">
        <v>28614</v>
      </c>
      <c r="B985" s="947" t="s">
        <v>16423</v>
      </c>
      <c r="C985" s="948" t="s">
        <v>16421</v>
      </c>
      <c r="D985" s="242" t="s">
        <v>31116</v>
      </c>
      <c r="E985" s="949">
        <v>106</v>
      </c>
      <c r="F985" s="949">
        <v>106</v>
      </c>
      <c r="G985" s="950" t="s">
        <v>879</v>
      </c>
      <c r="H985" s="950" t="s">
        <v>512</v>
      </c>
      <c r="I985" s="951" t="s">
        <v>16422</v>
      </c>
      <c r="J985" s="947" t="s">
        <v>16423</v>
      </c>
      <c r="K985" s="143"/>
    </row>
    <row r="986" spans="1:11">
      <c r="A986" s="946" t="s">
        <v>28614</v>
      </c>
      <c r="B986" s="947" t="s">
        <v>16610</v>
      </c>
      <c r="C986" s="948" t="s">
        <v>16608</v>
      </c>
      <c r="D986" s="242" t="s">
        <v>31116</v>
      </c>
      <c r="E986" s="949">
        <v>106</v>
      </c>
      <c r="F986" s="949">
        <v>106</v>
      </c>
      <c r="G986" s="950" t="s">
        <v>879</v>
      </c>
      <c r="H986" s="950" t="s">
        <v>512</v>
      </c>
      <c r="I986" s="951" t="s">
        <v>16609</v>
      </c>
      <c r="J986" s="947" t="s">
        <v>16610</v>
      </c>
      <c r="K986" s="143"/>
    </row>
    <row r="987" spans="1:11">
      <c r="A987" s="946" t="s">
        <v>28614</v>
      </c>
      <c r="B987" s="947" t="s">
        <v>16545</v>
      </c>
      <c r="C987" s="948" t="s">
        <v>16543</v>
      </c>
      <c r="D987" s="242" t="s">
        <v>31116</v>
      </c>
      <c r="E987" s="949">
        <v>106</v>
      </c>
      <c r="F987" s="949">
        <v>106</v>
      </c>
      <c r="G987" s="950" t="s">
        <v>879</v>
      </c>
      <c r="H987" s="950" t="s">
        <v>512</v>
      </c>
      <c r="I987" s="951" t="s">
        <v>16544</v>
      </c>
      <c r="J987" s="947" t="s">
        <v>16545</v>
      </c>
      <c r="K987" s="143"/>
    </row>
    <row r="988" spans="1:11">
      <c r="A988" s="946" t="s">
        <v>28614</v>
      </c>
      <c r="B988" s="947" t="s">
        <v>16727</v>
      </c>
      <c r="C988" s="948" t="s">
        <v>16725</v>
      </c>
      <c r="D988" s="242" t="s">
        <v>31116</v>
      </c>
      <c r="E988" s="949">
        <v>106</v>
      </c>
      <c r="F988" s="949">
        <v>106</v>
      </c>
      <c r="G988" s="950" t="s">
        <v>879</v>
      </c>
      <c r="H988" s="950" t="s">
        <v>512</v>
      </c>
      <c r="I988" s="951" t="s">
        <v>16726</v>
      </c>
      <c r="J988" s="947" t="s">
        <v>16727</v>
      </c>
      <c r="K988" s="143"/>
    </row>
    <row r="989" spans="1:11">
      <c r="A989" s="946" t="s">
        <v>28614</v>
      </c>
      <c r="B989" s="947" t="s">
        <v>16967</v>
      </c>
      <c r="C989" s="948" t="s">
        <v>16965</v>
      </c>
      <c r="D989" s="242" t="s">
        <v>28733</v>
      </c>
      <c r="E989" s="949">
        <v>105</v>
      </c>
      <c r="F989" s="949">
        <v>105</v>
      </c>
      <c r="G989" s="950" t="s">
        <v>879</v>
      </c>
      <c r="H989" s="950" t="s">
        <v>512</v>
      </c>
      <c r="I989" s="951" t="s">
        <v>16966</v>
      </c>
      <c r="J989" s="947" t="s">
        <v>16967</v>
      </c>
      <c r="K989" s="143"/>
    </row>
    <row r="990" spans="1:11">
      <c r="A990" s="946" t="s">
        <v>28614</v>
      </c>
      <c r="B990" s="947" t="s">
        <v>17209</v>
      </c>
      <c r="C990" s="948" t="s">
        <v>17207</v>
      </c>
      <c r="D990" s="242" t="s">
        <v>28733</v>
      </c>
      <c r="E990" s="949">
        <v>105</v>
      </c>
      <c r="F990" s="949">
        <v>105</v>
      </c>
      <c r="G990" s="950" t="s">
        <v>879</v>
      </c>
      <c r="H990" s="950" t="s">
        <v>512</v>
      </c>
      <c r="I990" s="951" t="s">
        <v>17208</v>
      </c>
      <c r="J990" s="947" t="s">
        <v>17209</v>
      </c>
      <c r="K990" s="143"/>
    </row>
    <row r="991" spans="1:11">
      <c r="A991" s="946" t="s">
        <v>28614</v>
      </c>
      <c r="B991" s="947" t="s">
        <v>17236</v>
      </c>
      <c r="C991" s="948" t="s">
        <v>17234</v>
      </c>
      <c r="D991" s="242" t="s">
        <v>31116</v>
      </c>
      <c r="E991" s="949">
        <v>106</v>
      </c>
      <c r="F991" s="949">
        <v>106</v>
      </c>
      <c r="G991" s="950" t="s">
        <v>879</v>
      </c>
      <c r="H991" s="950" t="s">
        <v>512</v>
      </c>
      <c r="I991" s="951" t="s">
        <v>17235</v>
      </c>
      <c r="J991" s="947" t="s">
        <v>17236</v>
      </c>
      <c r="K991" s="143"/>
    </row>
    <row r="992" spans="1:11">
      <c r="A992" s="946" t="s">
        <v>28614</v>
      </c>
      <c r="B992" s="947" t="s">
        <v>17501</v>
      </c>
      <c r="C992" s="948" t="s">
        <v>17499</v>
      </c>
      <c r="D992" s="242" t="s">
        <v>31116</v>
      </c>
      <c r="E992" s="949">
        <v>106</v>
      </c>
      <c r="F992" s="949">
        <v>106</v>
      </c>
      <c r="G992" s="950" t="s">
        <v>879</v>
      </c>
      <c r="H992" s="950" t="s">
        <v>512</v>
      </c>
      <c r="I992" s="951" t="s">
        <v>17500</v>
      </c>
      <c r="J992" s="947" t="s">
        <v>17501</v>
      </c>
      <c r="K992" s="143"/>
    </row>
    <row r="993" spans="1:11">
      <c r="A993" s="946" t="s">
        <v>28614</v>
      </c>
      <c r="B993" s="947" t="s">
        <v>17678</v>
      </c>
      <c r="C993" s="948" t="s">
        <v>17676</v>
      </c>
      <c r="D993" s="242" t="s">
        <v>28733</v>
      </c>
      <c r="E993" s="949">
        <v>105</v>
      </c>
      <c r="F993" s="949">
        <v>105</v>
      </c>
      <c r="G993" s="950" t="s">
        <v>879</v>
      </c>
      <c r="H993" s="950" t="s">
        <v>512</v>
      </c>
      <c r="I993" s="951" t="s">
        <v>17677</v>
      </c>
      <c r="J993" s="947" t="s">
        <v>17678</v>
      </c>
      <c r="K993" s="143"/>
    </row>
    <row r="994" spans="1:11">
      <c r="A994" s="946" t="s">
        <v>28614</v>
      </c>
      <c r="B994" s="947" t="s">
        <v>18195</v>
      </c>
      <c r="C994" s="948" t="s">
        <v>18193</v>
      </c>
      <c r="D994" s="242" t="s">
        <v>28733</v>
      </c>
      <c r="E994" s="949">
        <v>105</v>
      </c>
      <c r="F994" s="949">
        <v>105</v>
      </c>
      <c r="G994" s="950" t="s">
        <v>879</v>
      </c>
      <c r="H994" s="950" t="s">
        <v>512</v>
      </c>
      <c r="I994" s="951" t="s">
        <v>18194</v>
      </c>
      <c r="J994" s="947" t="s">
        <v>18195</v>
      </c>
      <c r="K994" s="143"/>
    </row>
    <row r="995" spans="1:11">
      <c r="A995" s="946" t="s">
        <v>28614</v>
      </c>
      <c r="B995" s="947" t="s">
        <v>18207</v>
      </c>
      <c r="C995" s="948" t="s">
        <v>18205</v>
      </c>
      <c r="D995" s="242" t="s">
        <v>31116</v>
      </c>
      <c r="E995" s="949">
        <v>106</v>
      </c>
      <c r="F995" s="949">
        <v>106</v>
      </c>
      <c r="G995" s="950" t="s">
        <v>879</v>
      </c>
      <c r="H995" s="950" t="s">
        <v>512</v>
      </c>
      <c r="I995" s="951" t="s">
        <v>18206</v>
      </c>
      <c r="J995" s="947" t="s">
        <v>18207</v>
      </c>
      <c r="K995" s="143"/>
    </row>
    <row r="996" spans="1:11">
      <c r="A996" s="946" t="s">
        <v>28614</v>
      </c>
      <c r="B996" s="947" t="s">
        <v>18561</v>
      </c>
      <c r="C996" s="948" t="s">
        <v>18559</v>
      </c>
      <c r="D996" s="242" t="s">
        <v>31116</v>
      </c>
      <c r="E996" s="949">
        <v>106</v>
      </c>
      <c r="F996" s="949">
        <v>106</v>
      </c>
      <c r="G996" s="950" t="s">
        <v>879</v>
      </c>
      <c r="H996" s="950" t="s">
        <v>512</v>
      </c>
      <c r="I996" s="951" t="s">
        <v>18560</v>
      </c>
      <c r="J996" s="947" t="s">
        <v>18561</v>
      </c>
      <c r="K996" s="143"/>
    </row>
    <row r="997" spans="1:11">
      <c r="A997" s="946" t="s">
        <v>28614</v>
      </c>
      <c r="B997" s="947" t="s">
        <v>18854</v>
      </c>
      <c r="C997" s="948" t="s">
        <v>18852</v>
      </c>
      <c r="D997" s="242" t="s">
        <v>31116</v>
      </c>
      <c r="E997" s="949">
        <v>106</v>
      </c>
      <c r="F997" s="949">
        <v>106</v>
      </c>
      <c r="G997" s="950" t="s">
        <v>879</v>
      </c>
      <c r="H997" s="950" t="s">
        <v>512</v>
      </c>
      <c r="I997" s="951" t="s">
        <v>18853</v>
      </c>
      <c r="J997" s="947" t="s">
        <v>18854</v>
      </c>
      <c r="K997" s="143"/>
    </row>
    <row r="998" spans="1:11">
      <c r="A998" s="946" t="s">
        <v>28614</v>
      </c>
      <c r="B998" s="947" t="s">
        <v>18861</v>
      </c>
      <c r="C998" s="948" t="s">
        <v>18859</v>
      </c>
      <c r="D998" s="242" t="s">
        <v>31116</v>
      </c>
      <c r="E998" s="949">
        <v>106</v>
      </c>
      <c r="F998" s="949">
        <v>106</v>
      </c>
      <c r="G998" s="950" t="s">
        <v>879</v>
      </c>
      <c r="H998" s="950" t="s">
        <v>512</v>
      </c>
      <c r="I998" s="951" t="s">
        <v>18860</v>
      </c>
      <c r="J998" s="947" t="s">
        <v>18861</v>
      </c>
      <c r="K998" s="143"/>
    </row>
    <row r="999" spans="1:11">
      <c r="A999" s="946" t="s">
        <v>28614</v>
      </c>
      <c r="B999" s="947" t="s">
        <v>19342</v>
      </c>
      <c r="C999" s="948" t="s">
        <v>19340</v>
      </c>
      <c r="D999" s="242" t="s">
        <v>28733</v>
      </c>
      <c r="E999" s="949">
        <v>105</v>
      </c>
      <c r="F999" s="949">
        <v>105</v>
      </c>
      <c r="G999" s="950" t="s">
        <v>879</v>
      </c>
      <c r="H999" s="950" t="s">
        <v>512</v>
      </c>
      <c r="I999" s="951" t="s">
        <v>19341</v>
      </c>
      <c r="J999" s="947" t="s">
        <v>19342</v>
      </c>
      <c r="K999" s="143"/>
    </row>
    <row r="1000" spans="1:11">
      <c r="A1000" s="946" t="s">
        <v>28614</v>
      </c>
      <c r="B1000" s="947" t="s">
        <v>19379</v>
      </c>
      <c r="C1000" s="948" t="s">
        <v>19377</v>
      </c>
      <c r="D1000" s="242" t="s">
        <v>31116</v>
      </c>
      <c r="E1000" s="949">
        <v>106</v>
      </c>
      <c r="F1000" s="949">
        <v>106</v>
      </c>
      <c r="G1000" s="950" t="s">
        <v>879</v>
      </c>
      <c r="H1000" s="950" t="s">
        <v>512</v>
      </c>
      <c r="I1000" s="951" t="s">
        <v>19378</v>
      </c>
      <c r="J1000" s="947" t="s">
        <v>19379</v>
      </c>
      <c r="K1000" s="143"/>
    </row>
    <row r="1001" spans="1:11">
      <c r="A1001" s="946" t="s">
        <v>28614</v>
      </c>
      <c r="B1001" s="947" t="s">
        <v>19477</v>
      </c>
      <c r="C1001" s="948" t="s">
        <v>19475</v>
      </c>
      <c r="D1001" s="242" t="s">
        <v>31116</v>
      </c>
      <c r="E1001" s="949">
        <v>106</v>
      </c>
      <c r="F1001" s="949">
        <v>106</v>
      </c>
      <c r="G1001" s="950" t="s">
        <v>879</v>
      </c>
      <c r="H1001" s="950" t="s">
        <v>512</v>
      </c>
      <c r="I1001" s="951" t="s">
        <v>19476</v>
      </c>
      <c r="J1001" s="947" t="s">
        <v>19477</v>
      </c>
      <c r="K1001" s="143"/>
    </row>
    <row r="1002" spans="1:11">
      <c r="A1002" s="946" t="s">
        <v>28614</v>
      </c>
      <c r="B1002" s="947" t="s">
        <v>19533</v>
      </c>
      <c r="C1002" s="948" t="s">
        <v>19531</v>
      </c>
      <c r="D1002" s="242" t="s">
        <v>31116</v>
      </c>
      <c r="E1002" s="949">
        <v>106</v>
      </c>
      <c r="F1002" s="949">
        <v>106</v>
      </c>
      <c r="G1002" s="950" t="s">
        <v>879</v>
      </c>
      <c r="H1002" s="950" t="s">
        <v>512</v>
      </c>
      <c r="I1002" s="951" t="s">
        <v>19532</v>
      </c>
      <c r="J1002" s="947" t="s">
        <v>19533</v>
      </c>
      <c r="K1002" s="143"/>
    </row>
    <row r="1003" spans="1:11">
      <c r="A1003" s="946" t="s">
        <v>28614</v>
      </c>
      <c r="B1003" s="947" t="s">
        <v>19648</v>
      </c>
      <c r="C1003" s="948" t="s">
        <v>19646</v>
      </c>
      <c r="D1003" s="242" t="s">
        <v>31116</v>
      </c>
      <c r="E1003" s="949">
        <v>106</v>
      </c>
      <c r="F1003" s="949">
        <v>106</v>
      </c>
      <c r="G1003" s="950" t="s">
        <v>879</v>
      </c>
      <c r="H1003" s="950" t="s">
        <v>512</v>
      </c>
      <c r="I1003" s="951" t="s">
        <v>19647</v>
      </c>
      <c r="J1003" s="947" t="s">
        <v>19648</v>
      </c>
      <c r="K1003" s="143"/>
    </row>
    <row r="1004" spans="1:11">
      <c r="A1004" s="946" t="s">
        <v>28614</v>
      </c>
      <c r="B1004" s="947" t="s">
        <v>19669</v>
      </c>
      <c r="C1004" s="948" t="s">
        <v>19667</v>
      </c>
      <c r="D1004" s="242" t="s">
        <v>28733</v>
      </c>
      <c r="E1004" s="949">
        <v>105</v>
      </c>
      <c r="F1004" s="949">
        <v>105</v>
      </c>
      <c r="G1004" s="950" t="s">
        <v>879</v>
      </c>
      <c r="H1004" s="950" t="s">
        <v>512</v>
      </c>
      <c r="I1004" s="951" t="s">
        <v>19668</v>
      </c>
      <c r="J1004" s="947" t="s">
        <v>19669</v>
      </c>
      <c r="K1004" s="143"/>
    </row>
    <row r="1005" spans="1:11">
      <c r="A1005" s="946" t="s">
        <v>28614</v>
      </c>
      <c r="B1005" s="947" t="s">
        <v>19875</v>
      </c>
      <c r="C1005" s="948" t="s">
        <v>19873</v>
      </c>
      <c r="D1005" s="242" t="s">
        <v>31116</v>
      </c>
      <c r="E1005" s="949">
        <v>106</v>
      </c>
      <c r="F1005" s="949">
        <v>106</v>
      </c>
      <c r="G1005" s="950" t="s">
        <v>879</v>
      </c>
      <c r="H1005" s="950" t="s">
        <v>512</v>
      </c>
      <c r="I1005" s="951" t="s">
        <v>19874</v>
      </c>
      <c r="J1005" s="947" t="s">
        <v>19875</v>
      </c>
      <c r="K1005" s="143"/>
    </row>
    <row r="1006" spans="1:11">
      <c r="A1006" s="946" t="s">
        <v>28614</v>
      </c>
      <c r="B1006" s="947" t="s">
        <v>19903</v>
      </c>
      <c r="C1006" s="948" t="s">
        <v>19901</v>
      </c>
      <c r="D1006" s="242" t="s">
        <v>31116</v>
      </c>
      <c r="E1006" s="949">
        <v>106</v>
      </c>
      <c r="F1006" s="949">
        <v>106</v>
      </c>
      <c r="G1006" s="950" t="s">
        <v>879</v>
      </c>
      <c r="H1006" s="950" t="s">
        <v>512</v>
      </c>
      <c r="I1006" s="951" t="s">
        <v>19902</v>
      </c>
      <c r="J1006" s="947" t="s">
        <v>19903</v>
      </c>
      <c r="K1006" s="143"/>
    </row>
    <row r="1007" spans="1:11">
      <c r="A1007" s="946" t="s">
        <v>28614</v>
      </c>
      <c r="B1007" s="947" t="s">
        <v>19972</v>
      </c>
      <c r="C1007" s="948" t="s">
        <v>19970</v>
      </c>
      <c r="D1007" s="242" t="s">
        <v>31116</v>
      </c>
      <c r="E1007" s="949">
        <v>106</v>
      </c>
      <c r="F1007" s="949">
        <v>106</v>
      </c>
      <c r="G1007" s="950" t="s">
        <v>879</v>
      </c>
      <c r="H1007" s="950" t="s">
        <v>512</v>
      </c>
      <c r="I1007" s="951" t="s">
        <v>19971</v>
      </c>
      <c r="J1007" s="947" t="s">
        <v>19972</v>
      </c>
      <c r="K1007" s="143"/>
    </row>
    <row r="1008" spans="1:11">
      <c r="A1008" s="946" t="s">
        <v>28614</v>
      </c>
      <c r="B1008" s="947" t="s">
        <v>20054</v>
      </c>
      <c r="C1008" s="948" t="s">
        <v>20052</v>
      </c>
      <c r="D1008" s="242" t="s">
        <v>31116</v>
      </c>
      <c r="E1008" s="949">
        <v>106</v>
      </c>
      <c r="F1008" s="949">
        <v>106</v>
      </c>
      <c r="G1008" s="950" t="s">
        <v>879</v>
      </c>
      <c r="H1008" s="950" t="s">
        <v>512</v>
      </c>
      <c r="I1008" s="951" t="s">
        <v>20053</v>
      </c>
      <c r="J1008" s="947" t="s">
        <v>20054</v>
      </c>
      <c r="K1008" s="143"/>
    </row>
    <row r="1009" spans="1:11">
      <c r="A1009" s="946" t="s">
        <v>28614</v>
      </c>
      <c r="B1009" s="947" t="s">
        <v>20171</v>
      </c>
      <c r="C1009" s="948" t="s">
        <v>20169</v>
      </c>
      <c r="D1009" s="242" t="s">
        <v>31116</v>
      </c>
      <c r="E1009" s="949">
        <v>106</v>
      </c>
      <c r="F1009" s="949">
        <v>106</v>
      </c>
      <c r="G1009" s="950" t="s">
        <v>879</v>
      </c>
      <c r="H1009" s="950" t="s">
        <v>512</v>
      </c>
      <c r="I1009" s="951" t="s">
        <v>20170</v>
      </c>
      <c r="J1009" s="947" t="s">
        <v>20171</v>
      </c>
      <c r="K1009" s="143"/>
    </row>
    <row r="1010" spans="1:11">
      <c r="A1010" s="946" t="s">
        <v>28614</v>
      </c>
      <c r="B1010" s="947" t="s">
        <v>20233</v>
      </c>
      <c r="C1010" s="948" t="s">
        <v>20231</v>
      </c>
      <c r="D1010" s="242" t="s">
        <v>31116</v>
      </c>
      <c r="E1010" s="949">
        <v>106</v>
      </c>
      <c r="F1010" s="949">
        <v>106</v>
      </c>
      <c r="G1010" s="950" t="s">
        <v>879</v>
      </c>
      <c r="H1010" s="950" t="s">
        <v>512</v>
      </c>
      <c r="I1010" s="951" t="s">
        <v>20232</v>
      </c>
      <c r="J1010" s="947" t="s">
        <v>20233</v>
      </c>
      <c r="K1010" s="143"/>
    </row>
    <row r="1011" spans="1:11">
      <c r="A1011" s="946" t="s">
        <v>28614</v>
      </c>
      <c r="B1011" s="947" t="s">
        <v>20407</v>
      </c>
      <c r="C1011" s="948" t="s">
        <v>20405</v>
      </c>
      <c r="D1011" s="242" t="s">
        <v>28733</v>
      </c>
      <c r="E1011" s="949">
        <v>105</v>
      </c>
      <c r="F1011" s="949">
        <v>105</v>
      </c>
      <c r="G1011" s="950" t="s">
        <v>879</v>
      </c>
      <c r="H1011" s="950" t="s">
        <v>512</v>
      </c>
      <c r="I1011" s="951" t="s">
        <v>20406</v>
      </c>
      <c r="J1011" s="947" t="s">
        <v>20407</v>
      </c>
      <c r="K1011" s="143"/>
    </row>
    <row r="1012" spans="1:11">
      <c r="A1012" s="946" t="s">
        <v>28614</v>
      </c>
      <c r="B1012" s="947" t="s">
        <v>20414</v>
      </c>
      <c r="C1012" s="948" t="s">
        <v>20412</v>
      </c>
      <c r="D1012" s="242" t="s">
        <v>31116</v>
      </c>
      <c r="E1012" s="949">
        <v>106</v>
      </c>
      <c r="F1012" s="949">
        <v>106</v>
      </c>
      <c r="G1012" s="950" t="s">
        <v>879</v>
      </c>
      <c r="H1012" s="950" t="s">
        <v>512</v>
      </c>
      <c r="I1012" s="951" t="s">
        <v>20413</v>
      </c>
      <c r="J1012" s="947" t="s">
        <v>20414</v>
      </c>
      <c r="K1012" s="143"/>
    </row>
    <row r="1013" spans="1:11">
      <c r="A1013" s="946" t="s">
        <v>28614</v>
      </c>
      <c r="B1013" s="947" t="s">
        <v>20455</v>
      </c>
      <c r="C1013" s="948" t="s">
        <v>20453</v>
      </c>
      <c r="D1013" s="242" t="s">
        <v>516</v>
      </c>
      <c r="E1013" s="949">
        <v>102</v>
      </c>
      <c r="F1013" s="949">
        <v>102</v>
      </c>
      <c r="G1013" s="950" t="s">
        <v>879</v>
      </c>
      <c r="H1013" s="950" t="s">
        <v>512</v>
      </c>
      <c r="I1013" s="951" t="s">
        <v>20454</v>
      </c>
      <c r="J1013" s="947" t="s">
        <v>20455</v>
      </c>
      <c r="K1013" s="143"/>
    </row>
    <row r="1014" spans="1:11">
      <c r="A1014" s="946" t="s">
        <v>28614</v>
      </c>
      <c r="B1014" s="947" t="s">
        <v>20784</v>
      </c>
      <c r="C1014" s="948" t="s">
        <v>20782</v>
      </c>
      <c r="D1014" s="242" t="s">
        <v>31116</v>
      </c>
      <c r="E1014" s="949">
        <v>106</v>
      </c>
      <c r="F1014" s="949">
        <v>106</v>
      </c>
      <c r="G1014" s="950" t="s">
        <v>879</v>
      </c>
      <c r="H1014" s="950" t="s">
        <v>512</v>
      </c>
      <c r="I1014" s="951" t="s">
        <v>20783</v>
      </c>
      <c r="J1014" s="947" t="s">
        <v>20784</v>
      </c>
      <c r="K1014" s="143"/>
    </row>
    <row r="1015" spans="1:11">
      <c r="A1015" s="946" t="s">
        <v>28614</v>
      </c>
      <c r="B1015" s="947" t="s">
        <v>20980</v>
      </c>
      <c r="C1015" s="948" t="s">
        <v>20978</v>
      </c>
      <c r="D1015" s="242" t="s">
        <v>28733</v>
      </c>
      <c r="E1015" s="949">
        <v>105</v>
      </c>
      <c r="F1015" s="949">
        <v>105</v>
      </c>
      <c r="G1015" s="950" t="s">
        <v>879</v>
      </c>
      <c r="H1015" s="950" t="s">
        <v>512</v>
      </c>
      <c r="I1015" s="951" t="s">
        <v>20979</v>
      </c>
      <c r="J1015" s="947" t="s">
        <v>20980</v>
      </c>
      <c r="K1015" s="143"/>
    </row>
    <row r="1016" spans="1:11">
      <c r="A1016" s="946" t="s">
        <v>28614</v>
      </c>
      <c r="B1016" s="947" t="s">
        <v>21051</v>
      </c>
      <c r="C1016" s="948" t="s">
        <v>21049</v>
      </c>
      <c r="D1016" s="242" t="s">
        <v>31116</v>
      </c>
      <c r="E1016" s="949">
        <v>106</v>
      </c>
      <c r="F1016" s="949">
        <v>106</v>
      </c>
      <c r="G1016" s="950" t="s">
        <v>879</v>
      </c>
      <c r="H1016" s="950" t="s">
        <v>512</v>
      </c>
      <c r="I1016" s="951" t="s">
        <v>21050</v>
      </c>
      <c r="J1016" s="947" t="s">
        <v>21051</v>
      </c>
      <c r="K1016" s="143"/>
    </row>
    <row r="1017" spans="1:11">
      <c r="A1017" s="946" t="s">
        <v>28614</v>
      </c>
      <c r="B1017" s="947" t="s">
        <v>21348</v>
      </c>
      <c r="C1017" s="948" t="s">
        <v>21346</v>
      </c>
      <c r="D1017" s="242" t="s">
        <v>516</v>
      </c>
      <c r="E1017" s="949">
        <v>102</v>
      </c>
      <c r="F1017" s="949">
        <v>102</v>
      </c>
      <c r="G1017" s="950" t="s">
        <v>879</v>
      </c>
      <c r="H1017" s="950" t="s">
        <v>512</v>
      </c>
      <c r="I1017" s="951" t="s">
        <v>21347</v>
      </c>
      <c r="J1017" s="947" t="s">
        <v>21348</v>
      </c>
      <c r="K1017" s="143"/>
    </row>
    <row r="1018" spans="1:11">
      <c r="A1018" s="946" t="s">
        <v>28614</v>
      </c>
      <c r="B1018" s="947" t="s">
        <v>21490</v>
      </c>
      <c r="C1018" s="948" t="s">
        <v>21488</v>
      </c>
      <c r="D1018" s="242" t="s">
        <v>516</v>
      </c>
      <c r="E1018" s="949">
        <v>102</v>
      </c>
      <c r="F1018" s="949">
        <v>102</v>
      </c>
      <c r="G1018" s="950" t="s">
        <v>879</v>
      </c>
      <c r="H1018" s="950" t="s">
        <v>512</v>
      </c>
      <c r="I1018" s="951" t="s">
        <v>21489</v>
      </c>
      <c r="J1018" s="947" t="s">
        <v>21490</v>
      </c>
      <c r="K1018" s="143"/>
    </row>
    <row r="1019" spans="1:11">
      <c r="A1019" s="946" t="s">
        <v>28614</v>
      </c>
      <c r="B1019" s="947" t="s">
        <v>21999</v>
      </c>
      <c r="C1019" s="948" t="s">
        <v>21997</v>
      </c>
      <c r="D1019" s="242" t="s">
        <v>28733</v>
      </c>
      <c r="E1019" s="949">
        <v>105</v>
      </c>
      <c r="F1019" s="949">
        <v>105</v>
      </c>
      <c r="G1019" s="950" t="s">
        <v>879</v>
      </c>
      <c r="H1019" s="950" t="s">
        <v>512</v>
      </c>
      <c r="I1019" s="951" t="s">
        <v>21998</v>
      </c>
      <c r="J1019" s="947" t="s">
        <v>21999</v>
      </c>
      <c r="K1019" s="143"/>
    </row>
    <row r="1020" spans="1:11">
      <c r="A1020" s="946" t="s">
        <v>28614</v>
      </c>
      <c r="B1020" s="947" t="s">
        <v>22014</v>
      </c>
      <c r="C1020" s="948" t="s">
        <v>22012</v>
      </c>
      <c r="D1020" s="242" t="s">
        <v>31116</v>
      </c>
      <c r="E1020" s="949">
        <v>106</v>
      </c>
      <c r="F1020" s="949">
        <v>106</v>
      </c>
      <c r="G1020" s="950" t="s">
        <v>879</v>
      </c>
      <c r="H1020" s="950" t="s">
        <v>512</v>
      </c>
      <c r="I1020" s="951" t="s">
        <v>22013</v>
      </c>
      <c r="J1020" s="947" t="s">
        <v>22014</v>
      </c>
      <c r="K1020" s="143"/>
    </row>
    <row r="1021" spans="1:11">
      <c r="A1021" s="946" t="s">
        <v>28614</v>
      </c>
      <c r="B1021" s="947" t="s">
        <v>22043</v>
      </c>
      <c r="C1021" s="948" t="s">
        <v>22041</v>
      </c>
      <c r="D1021" s="242" t="s">
        <v>31116</v>
      </c>
      <c r="E1021" s="949">
        <v>106</v>
      </c>
      <c r="F1021" s="949">
        <v>106</v>
      </c>
      <c r="G1021" s="950" t="s">
        <v>879</v>
      </c>
      <c r="H1021" s="950" t="s">
        <v>512</v>
      </c>
      <c r="I1021" s="951" t="s">
        <v>22042</v>
      </c>
      <c r="J1021" s="947" t="s">
        <v>22043</v>
      </c>
      <c r="K1021" s="143"/>
    </row>
    <row r="1022" spans="1:11">
      <c r="A1022" s="946" t="s">
        <v>28614</v>
      </c>
      <c r="B1022" s="947" t="s">
        <v>22159</v>
      </c>
      <c r="C1022" s="948" t="s">
        <v>22157</v>
      </c>
      <c r="D1022" s="242" t="s">
        <v>28733</v>
      </c>
      <c r="E1022" s="949">
        <v>105</v>
      </c>
      <c r="F1022" s="949">
        <v>105</v>
      </c>
      <c r="G1022" s="950" t="s">
        <v>879</v>
      </c>
      <c r="H1022" s="950" t="s">
        <v>512</v>
      </c>
      <c r="I1022" s="951" t="s">
        <v>22158</v>
      </c>
      <c r="J1022" s="947" t="s">
        <v>22159</v>
      </c>
      <c r="K1022" s="143"/>
    </row>
    <row r="1023" spans="1:11">
      <c r="A1023" s="946" t="s">
        <v>28614</v>
      </c>
      <c r="B1023" s="947" t="s">
        <v>22207</v>
      </c>
      <c r="C1023" s="948" t="s">
        <v>22205</v>
      </c>
      <c r="D1023" s="242" t="s">
        <v>31116</v>
      </c>
      <c r="E1023" s="949">
        <v>106</v>
      </c>
      <c r="F1023" s="949">
        <v>106</v>
      </c>
      <c r="G1023" s="950" t="s">
        <v>879</v>
      </c>
      <c r="H1023" s="950" t="s">
        <v>512</v>
      </c>
      <c r="I1023" s="951" t="s">
        <v>22206</v>
      </c>
      <c r="J1023" s="947" t="s">
        <v>22207</v>
      </c>
      <c r="K1023" s="143"/>
    </row>
    <row r="1024" spans="1:11">
      <c r="A1024" s="946" t="s">
        <v>28614</v>
      </c>
      <c r="B1024" s="947" t="s">
        <v>22221</v>
      </c>
      <c r="C1024" s="948" t="s">
        <v>22219</v>
      </c>
      <c r="D1024" s="242" t="s">
        <v>28733</v>
      </c>
      <c r="E1024" s="949">
        <v>105</v>
      </c>
      <c r="F1024" s="949">
        <v>105</v>
      </c>
      <c r="G1024" s="950" t="s">
        <v>879</v>
      </c>
      <c r="H1024" s="950" t="s">
        <v>512</v>
      </c>
      <c r="I1024" s="951" t="s">
        <v>22220</v>
      </c>
      <c r="J1024" s="947" t="s">
        <v>22221</v>
      </c>
      <c r="K1024" s="143"/>
    </row>
    <row r="1025" spans="1:11">
      <c r="A1025" s="946" t="s">
        <v>28614</v>
      </c>
      <c r="B1025" s="947" t="s">
        <v>22258</v>
      </c>
      <c r="C1025" s="948" t="s">
        <v>22256</v>
      </c>
      <c r="D1025" s="242" t="s">
        <v>516</v>
      </c>
      <c r="E1025" s="949">
        <v>102</v>
      </c>
      <c r="F1025" s="949">
        <v>102</v>
      </c>
      <c r="G1025" s="950" t="s">
        <v>879</v>
      </c>
      <c r="H1025" s="950" t="s">
        <v>512</v>
      </c>
      <c r="I1025" s="951" t="s">
        <v>22257</v>
      </c>
      <c r="J1025" s="947" t="s">
        <v>22258</v>
      </c>
      <c r="K1025" s="143"/>
    </row>
    <row r="1026" spans="1:11">
      <c r="A1026" s="946" t="s">
        <v>28614</v>
      </c>
      <c r="B1026" s="947" t="s">
        <v>22312</v>
      </c>
      <c r="C1026" s="948" t="s">
        <v>22310</v>
      </c>
      <c r="D1026" s="242" t="s">
        <v>31116</v>
      </c>
      <c r="E1026" s="949">
        <v>106</v>
      </c>
      <c r="F1026" s="949">
        <v>106</v>
      </c>
      <c r="G1026" s="950" t="s">
        <v>879</v>
      </c>
      <c r="H1026" s="950" t="s">
        <v>512</v>
      </c>
      <c r="I1026" s="951" t="s">
        <v>22311</v>
      </c>
      <c r="J1026" s="947" t="s">
        <v>22312</v>
      </c>
      <c r="K1026" s="143"/>
    </row>
    <row r="1027" spans="1:11">
      <c r="A1027" s="946" t="s">
        <v>28614</v>
      </c>
      <c r="B1027" s="947" t="s">
        <v>22406</v>
      </c>
      <c r="C1027" s="948" t="s">
        <v>22404</v>
      </c>
      <c r="D1027" s="242" t="s">
        <v>31116</v>
      </c>
      <c r="E1027" s="949">
        <v>106</v>
      </c>
      <c r="F1027" s="949">
        <v>106</v>
      </c>
      <c r="G1027" s="950" t="s">
        <v>879</v>
      </c>
      <c r="H1027" s="950" t="s">
        <v>512</v>
      </c>
      <c r="I1027" s="951" t="s">
        <v>22405</v>
      </c>
      <c r="J1027" s="947" t="s">
        <v>22406</v>
      </c>
      <c r="K1027" s="143"/>
    </row>
    <row r="1028" spans="1:11">
      <c r="A1028" s="946" t="s">
        <v>28614</v>
      </c>
      <c r="B1028" s="947" t="s">
        <v>22510</v>
      </c>
      <c r="C1028" s="948" t="s">
        <v>22508</v>
      </c>
      <c r="D1028" s="242" t="s">
        <v>31116</v>
      </c>
      <c r="E1028" s="949">
        <v>106</v>
      </c>
      <c r="F1028" s="949">
        <v>106</v>
      </c>
      <c r="G1028" s="950" t="s">
        <v>879</v>
      </c>
      <c r="H1028" s="950" t="s">
        <v>512</v>
      </c>
      <c r="I1028" s="951" t="s">
        <v>22509</v>
      </c>
      <c r="J1028" s="947" t="s">
        <v>22510</v>
      </c>
      <c r="K1028" s="143"/>
    </row>
    <row r="1029" spans="1:11">
      <c r="A1029" s="946" t="s">
        <v>28614</v>
      </c>
      <c r="B1029" s="947" t="s">
        <v>22513</v>
      </c>
      <c r="C1029" s="948" t="s">
        <v>22511</v>
      </c>
      <c r="D1029" s="242" t="s">
        <v>31116</v>
      </c>
      <c r="E1029" s="949">
        <v>106</v>
      </c>
      <c r="F1029" s="949">
        <v>106</v>
      </c>
      <c r="G1029" s="950" t="s">
        <v>879</v>
      </c>
      <c r="H1029" s="950" t="s">
        <v>512</v>
      </c>
      <c r="I1029" s="951" t="s">
        <v>22512</v>
      </c>
      <c r="J1029" s="947" t="s">
        <v>22513</v>
      </c>
      <c r="K1029" s="143"/>
    </row>
    <row r="1030" spans="1:11">
      <c r="A1030" s="946" t="s">
        <v>28614</v>
      </c>
      <c r="B1030" s="947" t="s">
        <v>22522</v>
      </c>
      <c r="C1030" s="948" t="s">
        <v>22520</v>
      </c>
      <c r="D1030" s="242" t="s">
        <v>31116</v>
      </c>
      <c r="E1030" s="949">
        <v>106</v>
      </c>
      <c r="F1030" s="949">
        <v>106</v>
      </c>
      <c r="G1030" s="950" t="s">
        <v>879</v>
      </c>
      <c r="H1030" s="950" t="s">
        <v>512</v>
      </c>
      <c r="I1030" s="951" t="s">
        <v>22521</v>
      </c>
      <c r="J1030" s="947" t="s">
        <v>22522</v>
      </c>
      <c r="K1030" s="143"/>
    </row>
    <row r="1031" spans="1:11">
      <c r="A1031" s="946" t="s">
        <v>28614</v>
      </c>
      <c r="B1031" s="947" t="s">
        <v>4835</v>
      </c>
      <c r="C1031" s="948" t="s">
        <v>4834</v>
      </c>
      <c r="D1031" s="242" t="s">
        <v>31116</v>
      </c>
      <c r="E1031" s="949">
        <v>106</v>
      </c>
      <c r="F1031" s="949">
        <v>106</v>
      </c>
      <c r="G1031" s="950" t="s">
        <v>879</v>
      </c>
      <c r="H1031" s="950" t="s">
        <v>512</v>
      </c>
      <c r="I1031" s="951" t="s">
        <v>28694</v>
      </c>
      <c r="J1031" s="947" t="s">
        <v>4835</v>
      </c>
      <c r="K1031" s="143"/>
    </row>
    <row r="1032" spans="1:11">
      <c r="A1032" s="946" t="s">
        <v>28614</v>
      </c>
      <c r="B1032" s="947" t="s">
        <v>28649</v>
      </c>
      <c r="C1032" s="948" t="s">
        <v>28772</v>
      </c>
      <c r="D1032" s="242" t="s">
        <v>31116</v>
      </c>
      <c r="E1032" s="949">
        <v>106</v>
      </c>
      <c r="F1032" s="949">
        <v>106</v>
      </c>
      <c r="G1032" s="950" t="s">
        <v>879</v>
      </c>
      <c r="H1032" s="950" t="s">
        <v>512</v>
      </c>
      <c r="I1032" s="951" t="s">
        <v>28693</v>
      </c>
      <c r="J1032" s="947" t="s">
        <v>28649</v>
      </c>
      <c r="K1032" s="143"/>
    </row>
    <row r="1033" spans="1:11">
      <c r="A1033" s="946" t="s">
        <v>28614</v>
      </c>
      <c r="B1033" s="947" t="s">
        <v>28653</v>
      </c>
      <c r="C1033" s="948" t="s">
        <v>28776</v>
      </c>
      <c r="D1033" s="242" t="s">
        <v>28733</v>
      </c>
      <c r="E1033" s="949">
        <v>105</v>
      </c>
      <c r="F1033" s="949">
        <v>105</v>
      </c>
      <c r="G1033" s="950" t="s">
        <v>879</v>
      </c>
      <c r="H1033" s="950" t="s">
        <v>512</v>
      </c>
      <c r="I1033" s="951" t="s">
        <v>28697</v>
      </c>
      <c r="J1033" s="947" t="s">
        <v>28653</v>
      </c>
      <c r="K1033" s="143"/>
    </row>
    <row r="1034" spans="1:11">
      <c r="A1034" s="946" t="s">
        <v>32000</v>
      </c>
      <c r="B1034" s="947" t="s">
        <v>950</v>
      </c>
      <c r="C1034" s="948" t="s">
        <v>947</v>
      </c>
      <c r="D1034" s="242" t="s">
        <v>28741</v>
      </c>
      <c r="E1034" s="949">
        <v>201</v>
      </c>
      <c r="F1034" s="949">
        <v>201</v>
      </c>
      <c r="G1034" s="950" t="s">
        <v>32000</v>
      </c>
      <c r="H1034" s="950" t="s">
        <v>948</v>
      </c>
      <c r="I1034" s="951" t="s">
        <v>949</v>
      </c>
      <c r="J1034" s="947" t="s">
        <v>950</v>
      </c>
      <c r="K1034" s="143"/>
    </row>
    <row r="1035" spans="1:11">
      <c r="A1035" s="946" t="s">
        <v>32000</v>
      </c>
      <c r="B1035" s="947" t="s">
        <v>31143</v>
      </c>
      <c r="C1035" s="948" t="s">
        <v>31144</v>
      </c>
      <c r="D1035" s="242" t="s">
        <v>28741</v>
      </c>
      <c r="E1035" s="949">
        <v>201</v>
      </c>
      <c r="F1035" s="949">
        <v>201</v>
      </c>
      <c r="G1035" s="950" t="s">
        <v>32000</v>
      </c>
      <c r="H1035" s="950" t="s">
        <v>948</v>
      </c>
      <c r="I1035" s="951" t="s">
        <v>1196</v>
      </c>
      <c r="J1035" s="947" t="s">
        <v>31143</v>
      </c>
      <c r="K1035" s="143"/>
    </row>
    <row r="1036" spans="1:11">
      <c r="A1036" s="946" t="s">
        <v>32000</v>
      </c>
      <c r="B1036" s="947" t="s">
        <v>1238</v>
      </c>
      <c r="C1036" s="948" t="s">
        <v>1236</v>
      </c>
      <c r="D1036" s="242" t="s">
        <v>28741</v>
      </c>
      <c r="E1036" s="949">
        <v>201</v>
      </c>
      <c r="F1036" s="949">
        <v>201</v>
      </c>
      <c r="G1036" s="950" t="s">
        <v>32000</v>
      </c>
      <c r="H1036" s="950" t="s">
        <v>948</v>
      </c>
      <c r="I1036" s="951" t="s">
        <v>1237</v>
      </c>
      <c r="J1036" s="947" t="s">
        <v>1238</v>
      </c>
      <c r="K1036" s="143"/>
    </row>
    <row r="1037" spans="1:11">
      <c r="A1037" s="946" t="s">
        <v>32000</v>
      </c>
      <c r="B1037" s="947" t="s">
        <v>1447</v>
      </c>
      <c r="C1037" s="948" t="s">
        <v>1445</v>
      </c>
      <c r="D1037" s="242" t="s">
        <v>28741</v>
      </c>
      <c r="E1037" s="949">
        <v>201</v>
      </c>
      <c r="F1037" s="949">
        <v>201</v>
      </c>
      <c r="G1037" s="950" t="s">
        <v>32000</v>
      </c>
      <c r="H1037" s="950" t="s">
        <v>948</v>
      </c>
      <c r="I1037" s="951" t="s">
        <v>1446</v>
      </c>
      <c r="J1037" s="947" t="s">
        <v>1447</v>
      </c>
      <c r="K1037" s="143"/>
    </row>
    <row r="1038" spans="1:11">
      <c r="A1038" s="946" t="s">
        <v>32000</v>
      </c>
      <c r="B1038" s="947" t="s">
        <v>1521</v>
      </c>
      <c r="C1038" s="948" t="s">
        <v>1519</v>
      </c>
      <c r="D1038" s="242" t="s">
        <v>28741</v>
      </c>
      <c r="E1038" s="949">
        <v>201</v>
      </c>
      <c r="F1038" s="949">
        <v>201</v>
      </c>
      <c r="G1038" s="950" t="s">
        <v>32000</v>
      </c>
      <c r="H1038" s="950" t="s">
        <v>948</v>
      </c>
      <c r="I1038" s="951" t="s">
        <v>1520</v>
      </c>
      <c r="J1038" s="947" t="s">
        <v>1521</v>
      </c>
      <c r="K1038" s="143"/>
    </row>
    <row r="1039" spans="1:11">
      <c r="A1039" s="946" t="s">
        <v>32000</v>
      </c>
      <c r="B1039" s="947" t="s">
        <v>1688</v>
      </c>
      <c r="C1039" s="948" t="s">
        <v>1686</v>
      </c>
      <c r="D1039" s="242" t="s">
        <v>28741</v>
      </c>
      <c r="E1039" s="949">
        <v>201</v>
      </c>
      <c r="F1039" s="949">
        <v>201</v>
      </c>
      <c r="G1039" s="950" t="s">
        <v>32000</v>
      </c>
      <c r="H1039" s="950" t="s">
        <v>948</v>
      </c>
      <c r="I1039" s="951" t="s">
        <v>1687</v>
      </c>
      <c r="J1039" s="947" t="s">
        <v>1688</v>
      </c>
      <c r="K1039" s="143"/>
    </row>
    <row r="1040" spans="1:11">
      <c r="A1040" s="946" t="s">
        <v>32000</v>
      </c>
      <c r="B1040" s="947" t="s">
        <v>1697</v>
      </c>
      <c r="C1040" s="948" t="s">
        <v>1695</v>
      </c>
      <c r="D1040" s="242" t="s">
        <v>28741</v>
      </c>
      <c r="E1040" s="949">
        <v>201</v>
      </c>
      <c r="F1040" s="949">
        <v>201</v>
      </c>
      <c r="G1040" s="950" t="s">
        <v>32000</v>
      </c>
      <c r="H1040" s="950" t="s">
        <v>948</v>
      </c>
      <c r="I1040" s="951" t="s">
        <v>1696</v>
      </c>
      <c r="J1040" s="947" t="s">
        <v>1697</v>
      </c>
      <c r="K1040" s="143"/>
    </row>
    <row r="1041" spans="1:11">
      <c r="A1041" s="946" t="s">
        <v>32000</v>
      </c>
      <c r="B1041" s="947" t="s">
        <v>1700</v>
      </c>
      <c r="C1041" s="948" t="s">
        <v>1698</v>
      </c>
      <c r="D1041" s="242" t="s">
        <v>28741</v>
      </c>
      <c r="E1041" s="949">
        <v>201</v>
      </c>
      <c r="F1041" s="949">
        <v>201</v>
      </c>
      <c r="G1041" s="950" t="s">
        <v>32000</v>
      </c>
      <c r="H1041" s="950" t="s">
        <v>948</v>
      </c>
      <c r="I1041" s="951" t="s">
        <v>1699</v>
      </c>
      <c r="J1041" s="947" t="s">
        <v>1700</v>
      </c>
      <c r="K1041" s="143"/>
    </row>
    <row r="1042" spans="1:11">
      <c r="A1042" s="946" t="s">
        <v>32000</v>
      </c>
      <c r="B1042" s="947" t="s">
        <v>1956</v>
      </c>
      <c r="C1042" s="948" t="s">
        <v>1954</v>
      </c>
      <c r="D1042" s="242" t="s">
        <v>28741</v>
      </c>
      <c r="E1042" s="949">
        <v>201</v>
      </c>
      <c r="F1042" s="949">
        <v>201</v>
      </c>
      <c r="G1042" s="950" t="s">
        <v>32000</v>
      </c>
      <c r="H1042" s="950" t="s">
        <v>948</v>
      </c>
      <c r="I1042" s="951" t="s">
        <v>1955</v>
      </c>
      <c r="J1042" s="947" t="s">
        <v>1956</v>
      </c>
      <c r="K1042" s="143"/>
    </row>
    <row r="1043" spans="1:11">
      <c r="A1043" s="946" t="s">
        <v>32000</v>
      </c>
      <c r="B1043" s="947" t="s">
        <v>2456</v>
      </c>
      <c r="C1043" s="948" t="s">
        <v>2454</v>
      </c>
      <c r="D1043" s="242" t="s">
        <v>28741</v>
      </c>
      <c r="E1043" s="949">
        <v>201</v>
      </c>
      <c r="F1043" s="949">
        <v>201</v>
      </c>
      <c r="G1043" s="950" t="s">
        <v>32000</v>
      </c>
      <c r="H1043" s="950" t="s">
        <v>948</v>
      </c>
      <c r="I1043" s="951" t="s">
        <v>2455</v>
      </c>
      <c r="J1043" s="947" t="s">
        <v>2456</v>
      </c>
      <c r="K1043" s="143"/>
    </row>
    <row r="1044" spans="1:11">
      <c r="A1044" s="946" t="s">
        <v>32000</v>
      </c>
      <c r="B1044" s="947" t="s">
        <v>3090</v>
      </c>
      <c r="C1044" s="948" t="s">
        <v>3088</v>
      </c>
      <c r="D1044" s="242" t="s">
        <v>28741</v>
      </c>
      <c r="E1044" s="949">
        <v>201</v>
      </c>
      <c r="F1044" s="949">
        <v>201</v>
      </c>
      <c r="G1044" s="950" t="s">
        <v>32000</v>
      </c>
      <c r="H1044" s="950" t="s">
        <v>948</v>
      </c>
      <c r="I1044" s="951" t="s">
        <v>3089</v>
      </c>
      <c r="J1044" s="947" t="s">
        <v>3090</v>
      </c>
      <c r="K1044" s="143"/>
    </row>
    <row r="1045" spans="1:11">
      <c r="A1045" s="946" t="s">
        <v>32000</v>
      </c>
      <c r="B1045" s="947" t="s">
        <v>3173</v>
      </c>
      <c r="C1045" s="948" t="s">
        <v>3171</v>
      </c>
      <c r="D1045" s="242" t="s">
        <v>28741</v>
      </c>
      <c r="E1045" s="949">
        <v>201</v>
      </c>
      <c r="F1045" s="949">
        <v>201</v>
      </c>
      <c r="G1045" s="950" t="s">
        <v>32000</v>
      </c>
      <c r="H1045" s="950" t="s">
        <v>948</v>
      </c>
      <c r="I1045" s="951" t="s">
        <v>3172</v>
      </c>
      <c r="J1045" s="947" t="s">
        <v>3173</v>
      </c>
      <c r="K1045" s="143"/>
    </row>
    <row r="1046" spans="1:11">
      <c r="A1046" s="946" t="s">
        <v>32000</v>
      </c>
      <c r="B1046" s="947" t="s">
        <v>6169</v>
      </c>
      <c r="C1046" s="948" t="s">
        <v>6167</v>
      </c>
      <c r="D1046" s="242" t="s">
        <v>28741</v>
      </c>
      <c r="E1046" s="949">
        <v>201</v>
      </c>
      <c r="F1046" s="949">
        <v>201</v>
      </c>
      <c r="G1046" s="950" t="s">
        <v>32000</v>
      </c>
      <c r="H1046" s="950" t="s">
        <v>948</v>
      </c>
      <c r="I1046" s="951" t="s">
        <v>6168</v>
      </c>
      <c r="J1046" s="947" t="s">
        <v>6169</v>
      </c>
      <c r="K1046" s="143"/>
    </row>
    <row r="1047" spans="1:11">
      <c r="A1047" s="946" t="s">
        <v>32000</v>
      </c>
      <c r="B1047" s="947" t="s">
        <v>6172</v>
      </c>
      <c r="C1047" s="948" t="s">
        <v>6170</v>
      </c>
      <c r="D1047" s="242" t="s">
        <v>28741</v>
      </c>
      <c r="E1047" s="949">
        <v>201</v>
      </c>
      <c r="F1047" s="949">
        <v>201</v>
      </c>
      <c r="G1047" s="950" t="s">
        <v>32000</v>
      </c>
      <c r="H1047" s="950" t="s">
        <v>948</v>
      </c>
      <c r="I1047" s="951" t="s">
        <v>6171</v>
      </c>
      <c r="J1047" s="947" t="s">
        <v>6172</v>
      </c>
      <c r="K1047" s="143"/>
    </row>
    <row r="1048" spans="1:11">
      <c r="A1048" s="946" t="s">
        <v>32000</v>
      </c>
      <c r="B1048" s="947" t="s">
        <v>6175</v>
      </c>
      <c r="C1048" s="948" t="s">
        <v>6173</v>
      </c>
      <c r="D1048" s="242" t="s">
        <v>28741</v>
      </c>
      <c r="E1048" s="949">
        <v>201</v>
      </c>
      <c r="F1048" s="949">
        <v>201</v>
      </c>
      <c r="G1048" s="950" t="s">
        <v>32000</v>
      </c>
      <c r="H1048" s="950" t="s">
        <v>948</v>
      </c>
      <c r="I1048" s="951" t="s">
        <v>6174</v>
      </c>
      <c r="J1048" s="947" t="s">
        <v>6175</v>
      </c>
      <c r="K1048" s="143"/>
    </row>
    <row r="1049" spans="1:11">
      <c r="A1049" s="946" t="s">
        <v>32000</v>
      </c>
      <c r="B1049" s="947" t="s">
        <v>6178</v>
      </c>
      <c r="C1049" s="948" t="s">
        <v>6176</v>
      </c>
      <c r="D1049" s="242" t="s">
        <v>28741</v>
      </c>
      <c r="E1049" s="949">
        <v>201</v>
      </c>
      <c r="F1049" s="949">
        <v>201</v>
      </c>
      <c r="G1049" s="950" t="s">
        <v>32000</v>
      </c>
      <c r="H1049" s="950" t="s">
        <v>948</v>
      </c>
      <c r="I1049" s="951" t="s">
        <v>6177</v>
      </c>
      <c r="J1049" s="947" t="s">
        <v>6178</v>
      </c>
      <c r="K1049" s="143"/>
    </row>
    <row r="1050" spans="1:11">
      <c r="A1050" s="946" t="s">
        <v>32000</v>
      </c>
      <c r="B1050" s="947" t="s">
        <v>6181</v>
      </c>
      <c r="C1050" s="948" t="s">
        <v>6179</v>
      </c>
      <c r="D1050" s="242" t="s">
        <v>28741</v>
      </c>
      <c r="E1050" s="949">
        <v>201</v>
      </c>
      <c r="F1050" s="949">
        <v>201</v>
      </c>
      <c r="G1050" s="950" t="s">
        <v>32000</v>
      </c>
      <c r="H1050" s="950" t="s">
        <v>948</v>
      </c>
      <c r="I1050" s="951" t="s">
        <v>6180</v>
      </c>
      <c r="J1050" s="947" t="s">
        <v>6181</v>
      </c>
      <c r="K1050" s="143"/>
    </row>
    <row r="1051" spans="1:11">
      <c r="A1051" s="946" t="s">
        <v>32000</v>
      </c>
      <c r="B1051" s="947" t="s">
        <v>6184</v>
      </c>
      <c r="C1051" s="948" t="s">
        <v>6182</v>
      </c>
      <c r="D1051" s="242" t="s">
        <v>28741</v>
      </c>
      <c r="E1051" s="949">
        <v>201</v>
      </c>
      <c r="F1051" s="949">
        <v>201</v>
      </c>
      <c r="G1051" s="950" t="s">
        <v>32000</v>
      </c>
      <c r="H1051" s="950" t="s">
        <v>948</v>
      </c>
      <c r="I1051" s="951" t="s">
        <v>6183</v>
      </c>
      <c r="J1051" s="947" t="s">
        <v>6184</v>
      </c>
      <c r="K1051" s="143"/>
    </row>
    <row r="1052" spans="1:11">
      <c r="A1052" s="946" t="s">
        <v>32000</v>
      </c>
      <c r="B1052" s="947" t="s">
        <v>6187</v>
      </c>
      <c r="C1052" s="948" t="s">
        <v>6185</v>
      </c>
      <c r="D1052" s="242" t="s">
        <v>28741</v>
      </c>
      <c r="E1052" s="949">
        <v>201</v>
      </c>
      <c r="F1052" s="949">
        <v>201</v>
      </c>
      <c r="G1052" s="950" t="s">
        <v>32000</v>
      </c>
      <c r="H1052" s="950" t="s">
        <v>948</v>
      </c>
      <c r="I1052" s="951" t="s">
        <v>6186</v>
      </c>
      <c r="J1052" s="947" t="s">
        <v>6187</v>
      </c>
      <c r="K1052" s="143"/>
    </row>
    <row r="1053" spans="1:11">
      <c r="A1053" s="946" t="s">
        <v>32000</v>
      </c>
      <c r="B1053" s="947" t="s">
        <v>31145</v>
      </c>
      <c r="C1053" s="948" t="s">
        <v>31146</v>
      </c>
      <c r="D1053" s="242" t="s">
        <v>28741</v>
      </c>
      <c r="E1053" s="949">
        <v>201</v>
      </c>
      <c r="F1053" s="949">
        <v>201</v>
      </c>
      <c r="G1053" s="950" t="s">
        <v>32000</v>
      </c>
      <c r="H1053" s="950" t="s">
        <v>948</v>
      </c>
      <c r="I1053" s="951" t="s">
        <v>6188</v>
      </c>
      <c r="J1053" s="947" t="s">
        <v>31145</v>
      </c>
      <c r="K1053" s="143"/>
    </row>
    <row r="1054" spans="1:11">
      <c r="A1054" s="946" t="s">
        <v>32000</v>
      </c>
      <c r="B1054" s="947" t="s">
        <v>6682</v>
      </c>
      <c r="C1054" s="948" t="s">
        <v>6680</v>
      </c>
      <c r="D1054" s="242" t="s">
        <v>28741</v>
      </c>
      <c r="E1054" s="949">
        <v>201</v>
      </c>
      <c r="F1054" s="949">
        <v>201</v>
      </c>
      <c r="G1054" s="950" t="s">
        <v>32000</v>
      </c>
      <c r="H1054" s="950" t="s">
        <v>948</v>
      </c>
      <c r="I1054" s="951" t="s">
        <v>6681</v>
      </c>
      <c r="J1054" s="947" t="s">
        <v>6682</v>
      </c>
      <c r="K1054" s="143"/>
    </row>
    <row r="1055" spans="1:11">
      <c r="A1055" s="946" t="s">
        <v>32000</v>
      </c>
      <c r="B1055" s="947" t="s">
        <v>7306</v>
      </c>
      <c r="C1055" s="948" t="s">
        <v>7304</v>
      </c>
      <c r="D1055" s="242" t="s">
        <v>28741</v>
      </c>
      <c r="E1055" s="949">
        <v>201</v>
      </c>
      <c r="F1055" s="949">
        <v>201</v>
      </c>
      <c r="G1055" s="950" t="s">
        <v>32000</v>
      </c>
      <c r="H1055" s="950" t="s">
        <v>948</v>
      </c>
      <c r="I1055" s="951" t="s">
        <v>7305</v>
      </c>
      <c r="J1055" s="947" t="s">
        <v>7306</v>
      </c>
      <c r="K1055" s="143"/>
    </row>
    <row r="1056" spans="1:11">
      <c r="A1056" s="946" t="s">
        <v>32000</v>
      </c>
      <c r="B1056" s="947" t="s">
        <v>7724</v>
      </c>
      <c r="C1056" s="948" t="s">
        <v>7722</v>
      </c>
      <c r="D1056" s="242" t="s">
        <v>28741</v>
      </c>
      <c r="E1056" s="949">
        <v>201</v>
      </c>
      <c r="F1056" s="949">
        <v>201</v>
      </c>
      <c r="G1056" s="950" t="s">
        <v>32000</v>
      </c>
      <c r="H1056" s="950" t="s">
        <v>948</v>
      </c>
      <c r="I1056" s="951" t="s">
        <v>7723</v>
      </c>
      <c r="J1056" s="947" t="s">
        <v>7724</v>
      </c>
      <c r="K1056" s="143"/>
    </row>
    <row r="1057" spans="1:11">
      <c r="A1057" s="946" t="s">
        <v>32000</v>
      </c>
      <c r="B1057" s="947" t="s">
        <v>7751</v>
      </c>
      <c r="C1057" s="948" t="s">
        <v>7749</v>
      </c>
      <c r="D1057" s="242" t="s">
        <v>28741</v>
      </c>
      <c r="E1057" s="949">
        <v>201</v>
      </c>
      <c r="F1057" s="949">
        <v>201</v>
      </c>
      <c r="G1057" s="950" t="s">
        <v>32000</v>
      </c>
      <c r="H1057" s="950" t="s">
        <v>948</v>
      </c>
      <c r="I1057" s="951" t="s">
        <v>7750</v>
      </c>
      <c r="J1057" s="947" t="s">
        <v>7751</v>
      </c>
      <c r="K1057" s="143"/>
    </row>
    <row r="1058" spans="1:11">
      <c r="A1058" s="946" t="s">
        <v>32000</v>
      </c>
      <c r="B1058" s="947" t="s">
        <v>7839</v>
      </c>
      <c r="C1058" s="948" t="s">
        <v>7837</v>
      </c>
      <c r="D1058" s="242" t="s">
        <v>28741</v>
      </c>
      <c r="E1058" s="949">
        <v>201</v>
      </c>
      <c r="F1058" s="949">
        <v>201</v>
      </c>
      <c r="G1058" s="950" t="s">
        <v>32000</v>
      </c>
      <c r="H1058" s="950" t="s">
        <v>948</v>
      </c>
      <c r="I1058" s="951" t="s">
        <v>7838</v>
      </c>
      <c r="J1058" s="947" t="s">
        <v>7839</v>
      </c>
      <c r="K1058" s="143"/>
    </row>
    <row r="1059" spans="1:11">
      <c r="A1059" s="946" t="s">
        <v>32000</v>
      </c>
      <c r="B1059" s="947" t="s">
        <v>7924</v>
      </c>
      <c r="C1059" s="948" t="s">
        <v>7922</v>
      </c>
      <c r="D1059" s="242" t="s">
        <v>28741</v>
      </c>
      <c r="E1059" s="949">
        <v>201</v>
      </c>
      <c r="F1059" s="949">
        <v>201</v>
      </c>
      <c r="G1059" s="950" t="s">
        <v>32000</v>
      </c>
      <c r="H1059" s="950" t="s">
        <v>948</v>
      </c>
      <c r="I1059" s="951" t="s">
        <v>7923</v>
      </c>
      <c r="J1059" s="947" t="s">
        <v>7924</v>
      </c>
      <c r="K1059" s="143"/>
    </row>
    <row r="1060" spans="1:11">
      <c r="A1060" s="946" t="s">
        <v>32000</v>
      </c>
      <c r="B1060" s="947" t="s">
        <v>8121</v>
      </c>
      <c r="C1060" s="948" t="s">
        <v>8119</v>
      </c>
      <c r="D1060" s="242" t="s">
        <v>28741</v>
      </c>
      <c r="E1060" s="949">
        <v>201</v>
      </c>
      <c r="F1060" s="949">
        <v>201</v>
      </c>
      <c r="G1060" s="950" t="s">
        <v>32000</v>
      </c>
      <c r="H1060" s="950" t="s">
        <v>948</v>
      </c>
      <c r="I1060" s="951" t="s">
        <v>8120</v>
      </c>
      <c r="J1060" s="947" t="s">
        <v>8121</v>
      </c>
      <c r="K1060" s="143"/>
    </row>
    <row r="1061" spans="1:11">
      <c r="A1061" s="946" t="s">
        <v>32000</v>
      </c>
      <c r="B1061" s="947" t="s">
        <v>8394</v>
      </c>
      <c r="C1061" s="948" t="s">
        <v>8392</v>
      </c>
      <c r="D1061" s="242" t="s">
        <v>28741</v>
      </c>
      <c r="E1061" s="949">
        <v>201</v>
      </c>
      <c r="F1061" s="949">
        <v>201</v>
      </c>
      <c r="G1061" s="950" t="s">
        <v>32000</v>
      </c>
      <c r="H1061" s="950" t="s">
        <v>948</v>
      </c>
      <c r="I1061" s="951" t="s">
        <v>8393</v>
      </c>
      <c r="J1061" s="947" t="s">
        <v>8394</v>
      </c>
      <c r="K1061" s="143"/>
    </row>
    <row r="1062" spans="1:11">
      <c r="A1062" s="946" t="s">
        <v>32000</v>
      </c>
      <c r="B1062" s="947" t="s">
        <v>8794</v>
      </c>
      <c r="C1062" s="948" t="s">
        <v>8792</v>
      </c>
      <c r="D1062" s="242" t="s">
        <v>28741</v>
      </c>
      <c r="E1062" s="949">
        <v>201</v>
      </c>
      <c r="F1062" s="949">
        <v>201</v>
      </c>
      <c r="G1062" s="950" t="s">
        <v>32000</v>
      </c>
      <c r="H1062" s="950" t="s">
        <v>948</v>
      </c>
      <c r="I1062" s="951" t="s">
        <v>8793</v>
      </c>
      <c r="J1062" s="947" t="s">
        <v>8794</v>
      </c>
      <c r="K1062" s="143"/>
    </row>
    <row r="1063" spans="1:11">
      <c r="A1063" s="946" t="s">
        <v>32000</v>
      </c>
      <c r="B1063" s="947" t="s">
        <v>9226</v>
      </c>
      <c r="C1063" s="948" t="s">
        <v>9224</v>
      </c>
      <c r="D1063" s="242" t="s">
        <v>28741</v>
      </c>
      <c r="E1063" s="949">
        <v>201</v>
      </c>
      <c r="F1063" s="949">
        <v>201</v>
      </c>
      <c r="G1063" s="950" t="s">
        <v>32000</v>
      </c>
      <c r="H1063" s="950" t="s">
        <v>948</v>
      </c>
      <c r="I1063" s="951" t="s">
        <v>9225</v>
      </c>
      <c r="J1063" s="947" t="s">
        <v>9226</v>
      </c>
      <c r="K1063" s="143"/>
    </row>
    <row r="1064" spans="1:11">
      <c r="A1064" s="946" t="s">
        <v>32000</v>
      </c>
      <c r="B1064" s="947" t="s">
        <v>9524</v>
      </c>
      <c r="C1064" s="948" t="s">
        <v>9522</v>
      </c>
      <c r="D1064" s="242" t="s">
        <v>28741</v>
      </c>
      <c r="E1064" s="949">
        <v>201</v>
      </c>
      <c r="F1064" s="949">
        <v>201</v>
      </c>
      <c r="G1064" s="950" t="s">
        <v>32000</v>
      </c>
      <c r="H1064" s="950" t="s">
        <v>948</v>
      </c>
      <c r="I1064" s="951" t="s">
        <v>9523</v>
      </c>
      <c r="J1064" s="947" t="s">
        <v>9524</v>
      </c>
      <c r="K1064" s="143"/>
    </row>
    <row r="1065" spans="1:11">
      <c r="A1065" s="946" t="s">
        <v>32000</v>
      </c>
      <c r="B1065" s="947" t="s">
        <v>31147</v>
      </c>
      <c r="C1065" s="948" t="s">
        <v>31148</v>
      </c>
      <c r="D1065" s="242" t="s">
        <v>28741</v>
      </c>
      <c r="E1065" s="949">
        <v>201</v>
      </c>
      <c r="F1065" s="949">
        <v>201</v>
      </c>
      <c r="G1065" s="950" t="s">
        <v>32000</v>
      </c>
      <c r="H1065" s="950" t="s">
        <v>948</v>
      </c>
      <c r="I1065" s="951" t="s">
        <v>9525</v>
      </c>
      <c r="J1065" s="947" t="s">
        <v>31147</v>
      </c>
      <c r="K1065" s="143"/>
    </row>
    <row r="1066" spans="1:11">
      <c r="A1066" s="946" t="s">
        <v>32000</v>
      </c>
      <c r="B1066" s="947" t="s">
        <v>9528</v>
      </c>
      <c r="C1066" s="948" t="s">
        <v>9526</v>
      </c>
      <c r="D1066" s="242" t="s">
        <v>28741</v>
      </c>
      <c r="E1066" s="949">
        <v>201</v>
      </c>
      <c r="F1066" s="949">
        <v>201</v>
      </c>
      <c r="G1066" s="950" t="s">
        <v>32000</v>
      </c>
      <c r="H1066" s="950" t="s">
        <v>948</v>
      </c>
      <c r="I1066" s="951" t="s">
        <v>9527</v>
      </c>
      <c r="J1066" s="947" t="s">
        <v>9528</v>
      </c>
      <c r="K1066" s="143"/>
    </row>
    <row r="1067" spans="1:11">
      <c r="A1067" s="946" t="s">
        <v>32000</v>
      </c>
      <c r="B1067" s="947" t="s">
        <v>31149</v>
      </c>
      <c r="C1067" s="948" t="s">
        <v>31150</v>
      </c>
      <c r="D1067" s="242" t="s">
        <v>28741</v>
      </c>
      <c r="E1067" s="949">
        <v>201</v>
      </c>
      <c r="F1067" s="949">
        <v>201</v>
      </c>
      <c r="G1067" s="950" t="s">
        <v>32000</v>
      </c>
      <c r="H1067" s="950" t="s">
        <v>948</v>
      </c>
      <c r="I1067" s="951" t="s">
        <v>9761</v>
      </c>
      <c r="J1067" s="947" t="s">
        <v>31149</v>
      </c>
      <c r="K1067" s="143"/>
    </row>
    <row r="1068" spans="1:11">
      <c r="A1068" s="946" t="s">
        <v>32000</v>
      </c>
      <c r="B1068" s="947" t="s">
        <v>9812</v>
      </c>
      <c r="C1068" s="948" t="s">
        <v>9810</v>
      </c>
      <c r="D1068" s="242" t="s">
        <v>28741</v>
      </c>
      <c r="E1068" s="949">
        <v>201</v>
      </c>
      <c r="F1068" s="949">
        <v>201</v>
      </c>
      <c r="G1068" s="950" t="s">
        <v>32000</v>
      </c>
      <c r="H1068" s="950" t="s">
        <v>948</v>
      </c>
      <c r="I1068" s="951" t="s">
        <v>9811</v>
      </c>
      <c r="J1068" s="947" t="s">
        <v>9812</v>
      </c>
      <c r="K1068" s="143"/>
    </row>
    <row r="1069" spans="1:11">
      <c r="A1069" s="946" t="s">
        <v>32000</v>
      </c>
      <c r="B1069" s="947" t="s">
        <v>9937</v>
      </c>
      <c r="C1069" s="948" t="s">
        <v>9935</v>
      </c>
      <c r="D1069" s="242" t="s">
        <v>28741</v>
      </c>
      <c r="E1069" s="949">
        <v>201</v>
      </c>
      <c r="F1069" s="949">
        <v>201</v>
      </c>
      <c r="G1069" s="950" t="s">
        <v>32000</v>
      </c>
      <c r="H1069" s="950" t="s">
        <v>948</v>
      </c>
      <c r="I1069" s="951" t="s">
        <v>9936</v>
      </c>
      <c r="J1069" s="947" t="s">
        <v>9937</v>
      </c>
      <c r="K1069" s="143"/>
    </row>
    <row r="1070" spans="1:11">
      <c r="A1070" s="946" t="s">
        <v>32000</v>
      </c>
      <c r="B1070" s="947" t="s">
        <v>9943</v>
      </c>
      <c r="C1070" s="948" t="s">
        <v>9941</v>
      </c>
      <c r="D1070" s="242" t="s">
        <v>28741</v>
      </c>
      <c r="E1070" s="949">
        <v>201</v>
      </c>
      <c r="F1070" s="949">
        <v>201</v>
      </c>
      <c r="G1070" s="950" t="s">
        <v>32000</v>
      </c>
      <c r="H1070" s="950" t="s">
        <v>948</v>
      </c>
      <c r="I1070" s="951" t="s">
        <v>9942</v>
      </c>
      <c r="J1070" s="947" t="s">
        <v>9943</v>
      </c>
      <c r="K1070" s="143"/>
    </row>
    <row r="1071" spans="1:11">
      <c r="A1071" s="946" t="s">
        <v>32000</v>
      </c>
      <c r="B1071" s="947" t="s">
        <v>31151</v>
      </c>
      <c r="C1071" s="948" t="s">
        <v>31152</v>
      </c>
      <c r="D1071" s="242" t="s">
        <v>28741</v>
      </c>
      <c r="E1071" s="949">
        <v>201</v>
      </c>
      <c r="F1071" s="949">
        <v>201</v>
      </c>
      <c r="G1071" s="950" t="s">
        <v>32000</v>
      </c>
      <c r="H1071" s="950" t="s">
        <v>948</v>
      </c>
      <c r="I1071" s="951" t="s">
        <v>9990</v>
      </c>
      <c r="J1071" s="947" t="s">
        <v>31151</v>
      </c>
      <c r="K1071" s="143"/>
    </row>
    <row r="1072" spans="1:11">
      <c r="A1072" s="946" t="s">
        <v>32000</v>
      </c>
      <c r="B1072" s="947" t="s">
        <v>10000</v>
      </c>
      <c r="C1072" s="948" t="s">
        <v>9998</v>
      </c>
      <c r="D1072" s="242" t="s">
        <v>28741</v>
      </c>
      <c r="E1072" s="949">
        <v>201</v>
      </c>
      <c r="F1072" s="949">
        <v>201</v>
      </c>
      <c r="G1072" s="950" t="s">
        <v>32000</v>
      </c>
      <c r="H1072" s="950" t="s">
        <v>948</v>
      </c>
      <c r="I1072" s="951" t="s">
        <v>9999</v>
      </c>
      <c r="J1072" s="947" t="s">
        <v>10000</v>
      </c>
      <c r="K1072" s="143"/>
    </row>
    <row r="1073" spans="1:11">
      <c r="A1073" s="946" t="s">
        <v>32000</v>
      </c>
      <c r="B1073" s="947" t="s">
        <v>10006</v>
      </c>
      <c r="C1073" s="948" t="s">
        <v>10004</v>
      </c>
      <c r="D1073" s="242" t="s">
        <v>28741</v>
      </c>
      <c r="E1073" s="949">
        <v>201</v>
      </c>
      <c r="F1073" s="949">
        <v>201</v>
      </c>
      <c r="G1073" s="950" t="s">
        <v>32000</v>
      </c>
      <c r="H1073" s="950" t="s">
        <v>948</v>
      </c>
      <c r="I1073" s="951" t="s">
        <v>10005</v>
      </c>
      <c r="J1073" s="947" t="s">
        <v>10006</v>
      </c>
      <c r="K1073" s="143"/>
    </row>
    <row r="1074" spans="1:11">
      <c r="A1074" s="946" t="s">
        <v>32000</v>
      </c>
      <c r="B1074" s="947" t="s">
        <v>10012</v>
      </c>
      <c r="C1074" s="948" t="s">
        <v>10010</v>
      </c>
      <c r="D1074" s="242" t="s">
        <v>28741</v>
      </c>
      <c r="E1074" s="949">
        <v>201</v>
      </c>
      <c r="F1074" s="949">
        <v>201</v>
      </c>
      <c r="G1074" s="950" t="s">
        <v>32000</v>
      </c>
      <c r="H1074" s="950" t="s">
        <v>948</v>
      </c>
      <c r="I1074" s="951" t="s">
        <v>10011</v>
      </c>
      <c r="J1074" s="947" t="s">
        <v>10012</v>
      </c>
      <c r="K1074" s="143"/>
    </row>
    <row r="1075" spans="1:11">
      <c r="A1075" s="946" t="s">
        <v>32000</v>
      </c>
      <c r="B1075" s="947" t="s">
        <v>10426</v>
      </c>
      <c r="C1075" s="948" t="s">
        <v>10424</v>
      </c>
      <c r="D1075" s="242" t="s">
        <v>28741</v>
      </c>
      <c r="E1075" s="949">
        <v>201</v>
      </c>
      <c r="F1075" s="949">
        <v>201</v>
      </c>
      <c r="G1075" s="950" t="s">
        <v>32000</v>
      </c>
      <c r="H1075" s="950" t="s">
        <v>948</v>
      </c>
      <c r="I1075" s="951" t="s">
        <v>10425</v>
      </c>
      <c r="J1075" s="947" t="s">
        <v>10426</v>
      </c>
      <c r="K1075" s="143"/>
    </row>
    <row r="1076" spans="1:11">
      <c r="A1076" s="946" t="s">
        <v>32000</v>
      </c>
      <c r="B1076" s="947" t="s">
        <v>12827</v>
      </c>
      <c r="C1076" s="948" t="s">
        <v>12825</v>
      </c>
      <c r="D1076" s="242" t="s">
        <v>28741</v>
      </c>
      <c r="E1076" s="949">
        <v>201</v>
      </c>
      <c r="F1076" s="949">
        <v>201</v>
      </c>
      <c r="G1076" s="950" t="s">
        <v>32000</v>
      </c>
      <c r="H1076" s="950" t="s">
        <v>948</v>
      </c>
      <c r="I1076" s="951" t="s">
        <v>12826</v>
      </c>
      <c r="J1076" s="947" t="s">
        <v>12827</v>
      </c>
      <c r="K1076" s="143"/>
    </row>
    <row r="1077" spans="1:11">
      <c r="A1077" s="946" t="s">
        <v>32000</v>
      </c>
      <c r="B1077" s="947" t="s">
        <v>12924</v>
      </c>
      <c r="C1077" s="948" t="s">
        <v>12922</v>
      </c>
      <c r="D1077" s="242" t="s">
        <v>28741</v>
      </c>
      <c r="E1077" s="949">
        <v>201</v>
      </c>
      <c r="F1077" s="949">
        <v>201</v>
      </c>
      <c r="G1077" s="950" t="s">
        <v>32000</v>
      </c>
      <c r="H1077" s="950" t="s">
        <v>948</v>
      </c>
      <c r="I1077" s="951" t="s">
        <v>12923</v>
      </c>
      <c r="J1077" s="947" t="s">
        <v>12924</v>
      </c>
      <c r="K1077" s="143"/>
    </row>
    <row r="1078" spans="1:11">
      <c r="A1078" s="946" t="s">
        <v>32000</v>
      </c>
      <c r="B1078" s="947" t="s">
        <v>13475</v>
      </c>
      <c r="C1078" s="948" t="s">
        <v>13473</v>
      </c>
      <c r="D1078" s="242" t="s">
        <v>28741</v>
      </c>
      <c r="E1078" s="949">
        <v>201</v>
      </c>
      <c r="F1078" s="949">
        <v>201</v>
      </c>
      <c r="G1078" s="950" t="s">
        <v>32000</v>
      </c>
      <c r="H1078" s="950" t="s">
        <v>948</v>
      </c>
      <c r="I1078" s="951" t="s">
        <v>13474</v>
      </c>
      <c r="J1078" s="947" t="s">
        <v>13475</v>
      </c>
      <c r="K1078" s="143"/>
    </row>
    <row r="1079" spans="1:11">
      <c r="A1079" s="946" t="s">
        <v>32000</v>
      </c>
      <c r="B1079" s="947" t="s">
        <v>13608</v>
      </c>
      <c r="C1079" s="948" t="s">
        <v>13606</v>
      </c>
      <c r="D1079" s="242" t="s">
        <v>28741</v>
      </c>
      <c r="E1079" s="949">
        <v>201</v>
      </c>
      <c r="F1079" s="949">
        <v>201</v>
      </c>
      <c r="G1079" s="950" t="s">
        <v>32000</v>
      </c>
      <c r="H1079" s="950" t="s">
        <v>948</v>
      </c>
      <c r="I1079" s="951" t="s">
        <v>13607</v>
      </c>
      <c r="J1079" s="947" t="s">
        <v>13608</v>
      </c>
      <c r="K1079" s="143"/>
    </row>
    <row r="1080" spans="1:11">
      <c r="A1080" s="946" t="s">
        <v>32000</v>
      </c>
      <c r="B1080" s="947" t="s">
        <v>13954</v>
      </c>
      <c r="C1080" s="948" t="s">
        <v>13952</v>
      </c>
      <c r="D1080" s="242" t="s">
        <v>28741</v>
      </c>
      <c r="E1080" s="949">
        <v>201</v>
      </c>
      <c r="F1080" s="949">
        <v>201</v>
      </c>
      <c r="G1080" s="950" t="s">
        <v>32000</v>
      </c>
      <c r="H1080" s="950" t="s">
        <v>948</v>
      </c>
      <c r="I1080" s="951" t="s">
        <v>13953</v>
      </c>
      <c r="J1080" s="947" t="s">
        <v>13954</v>
      </c>
      <c r="K1080" s="143"/>
    </row>
    <row r="1081" spans="1:11">
      <c r="A1081" s="946" t="s">
        <v>32000</v>
      </c>
      <c r="B1081" s="947" t="s">
        <v>14514</v>
      </c>
      <c r="C1081" s="948" t="s">
        <v>14512</v>
      </c>
      <c r="D1081" s="242" t="s">
        <v>28741</v>
      </c>
      <c r="E1081" s="949">
        <v>201</v>
      </c>
      <c r="F1081" s="949">
        <v>201</v>
      </c>
      <c r="G1081" s="950" t="s">
        <v>32000</v>
      </c>
      <c r="H1081" s="950" t="s">
        <v>948</v>
      </c>
      <c r="I1081" s="951" t="s">
        <v>14513</v>
      </c>
      <c r="J1081" s="947" t="s">
        <v>14514</v>
      </c>
      <c r="K1081" s="143"/>
    </row>
    <row r="1082" spans="1:11">
      <c r="A1082" s="946" t="s">
        <v>32000</v>
      </c>
      <c r="B1082" s="947" t="s">
        <v>15282</v>
      </c>
      <c r="C1082" s="948" t="s">
        <v>15280</v>
      </c>
      <c r="D1082" s="242" t="s">
        <v>28741</v>
      </c>
      <c r="E1082" s="949">
        <v>201</v>
      </c>
      <c r="F1082" s="949">
        <v>201</v>
      </c>
      <c r="G1082" s="950" t="s">
        <v>32000</v>
      </c>
      <c r="H1082" s="950" t="s">
        <v>948</v>
      </c>
      <c r="I1082" s="951" t="s">
        <v>15281</v>
      </c>
      <c r="J1082" s="947" t="s">
        <v>15282</v>
      </c>
      <c r="K1082" s="143"/>
    </row>
    <row r="1083" spans="1:11">
      <c r="A1083" s="946" t="s">
        <v>32000</v>
      </c>
      <c r="B1083" s="947" t="s">
        <v>15371</v>
      </c>
      <c r="C1083" s="948" t="s">
        <v>15369</v>
      </c>
      <c r="D1083" s="242" t="s">
        <v>28741</v>
      </c>
      <c r="E1083" s="949">
        <v>201</v>
      </c>
      <c r="F1083" s="949">
        <v>201</v>
      </c>
      <c r="G1083" s="950" t="s">
        <v>32000</v>
      </c>
      <c r="H1083" s="950" t="s">
        <v>948</v>
      </c>
      <c r="I1083" s="951" t="s">
        <v>15370</v>
      </c>
      <c r="J1083" s="947" t="s">
        <v>15371</v>
      </c>
      <c r="K1083" s="143"/>
    </row>
    <row r="1084" spans="1:11">
      <c r="A1084" s="946" t="s">
        <v>32000</v>
      </c>
      <c r="B1084" s="947" t="s">
        <v>15457</v>
      </c>
      <c r="C1084" s="948" t="s">
        <v>15455</v>
      </c>
      <c r="D1084" s="242" t="s">
        <v>28741</v>
      </c>
      <c r="E1084" s="949">
        <v>201</v>
      </c>
      <c r="F1084" s="949">
        <v>201</v>
      </c>
      <c r="G1084" s="950" t="s">
        <v>32000</v>
      </c>
      <c r="H1084" s="950" t="s">
        <v>948</v>
      </c>
      <c r="I1084" s="951" t="s">
        <v>15456</v>
      </c>
      <c r="J1084" s="947" t="s">
        <v>15457</v>
      </c>
      <c r="K1084" s="143"/>
    </row>
    <row r="1085" spans="1:11">
      <c r="A1085" s="946" t="s">
        <v>32000</v>
      </c>
      <c r="B1085" s="947" t="s">
        <v>15484</v>
      </c>
      <c r="C1085" s="948" t="s">
        <v>15482</v>
      </c>
      <c r="D1085" s="242" t="s">
        <v>28741</v>
      </c>
      <c r="E1085" s="949">
        <v>201</v>
      </c>
      <c r="F1085" s="949">
        <v>201</v>
      </c>
      <c r="G1085" s="950" t="s">
        <v>32000</v>
      </c>
      <c r="H1085" s="950" t="s">
        <v>948</v>
      </c>
      <c r="I1085" s="951" t="s">
        <v>15483</v>
      </c>
      <c r="J1085" s="947" t="s">
        <v>15484</v>
      </c>
      <c r="K1085" s="143"/>
    </row>
    <row r="1086" spans="1:11">
      <c r="A1086" s="946" t="s">
        <v>32000</v>
      </c>
      <c r="B1086" s="947" t="s">
        <v>31153</v>
      </c>
      <c r="C1086" s="948" t="s">
        <v>31154</v>
      </c>
      <c r="D1086" s="242" t="s">
        <v>28741</v>
      </c>
      <c r="E1086" s="949">
        <v>201</v>
      </c>
      <c r="F1086" s="949">
        <v>201</v>
      </c>
      <c r="G1086" s="950" t="s">
        <v>32000</v>
      </c>
      <c r="H1086" s="950" t="s">
        <v>948</v>
      </c>
      <c r="I1086" s="951" t="s">
        <v>15843</v>
      </c>
      <c r="J1086" s="947" t="s">
        <v>31153</v>
      </c>
      <c r="K1086" s="143"/>
    </row>
    <row r="1087" spans="1:11">
      <c r="A1087" s="946" t="s">
        <v>32000</v>
      </c>
      <c r="B1087" s="947" t="s">
        <v>15973</v>
      </c>
      <c r="C1087" s="948" t="s">
        <v>15971</v>
      </c>
      <c r="D1087" s="242" t="s">
        <v>28741</v>
      </c>
      <c r="E1087" s="949">
        <v>201</v>
      </c>
      <c r="F1087" s="949">
        <v>201</v>
      </c>
      <c r="G1087" s="950" t="s">
        <v>32000</v>
      </c>
      <c r="H1087" s="950" t="s">
        <v>948</v>
      </c>
      <c r="I1087" s="951" t="s">
        <v>15972</v>
      </c>
      <c r="J1087" s="947" t="s">
        <v>15973</v>
      </c>
      <c r="K1087" s="143"/>
    </row>
    <row r="1088" spans="1:11">
      <c r="A1088" s="946" t="s">
        <v>32000</v>
      </c>
      <c r="B1088" s="947" t="s">
        <v>31155</v>
      </c>
      <c r="C1088" s="948" t="s">
        <v>31156</v>
      </c>
      <c r="D1088" s="242" t="s">
        <v>28741</v>
      </c>
      <c r="E1088" s="949">
        <v>201</v>
      </c>
      <c r="F1088" s="949">
        <v>201</v>
      </c>
      <c r="G1088" s="950" t="s">
        <v>32000</v>
      </c>
      <c r="H1088" s="950" t="s">
        <v>948</v>
      </c>
      <c r="I1088" s="951" t="s">
        <v>16245</v>
      </c>
      <c r="J1088" s="947" t="s">
        <v>31155</v>
      </c>
      <c r="K1088" s="143"/>
    </row>
    <row r="1089" spans="1:11">
      <c r="A1089" s="946" t="s">
        <v>32000</v>
      </c>
      <c r="B1089" s="947" t="s">
        <v>31157</v>
      </c>
      <c r="C1089" s="948" t="s">
        <v>31158</v>
      </c>
      <c r="D1089" s="242" t="s">
        <v>28741</v>
      </c>
      <c r="E1089" s="949">
        <v>201</v>
      </c>
      <c r="F1089" s="949">
        <v>201</v>
      </c>
      <c r="G1089" s="950" t="s">
        <v>32000</v>
      </c>
      <c r="H1089" s="950" t="s">
        <v>948</v>
      </c>
      <c r="I1089" s="951" t="s">
        <v>16246</v>
      </c>
      <c r="J1089" s="947" t="s">
        <v>31157</v>
      </c>
      <c r="K1089" s="143"/>
    </row>
    <row r="1090" spans="1:11">
      <c r="A1090" s="946" t="s">
        <v>32000</v>
      </c>
      <c r="B1090" s="947" t="s">
        <v>16803</v>
      </c>
      <c r="C1090" s="948" t="s">
        <v>16801</v>
      </c>
      <c r="D1090" s="242" t="s">
        <v>28741</v>
      </c>
      <c r="E1090" s="949">
        <v>201</v>
      </c>
      <c r="F1090" s="949">
        <v>201</v>
      </c>
      <c r="G1090" s="950" t="s">
        <v>32000</v>
      </c>
      <c r="H1090" s="950" t="s">
        <v>948</v>
      </c>
      <c r="I1090" s="951" t="s">
        <v>16802</v>
      </c>
      <c r="J1090" s="947" t="s">
        <v>16803</v>
      </c>
      <c r="K1090" s="143"/>
    </row>
    <row r="1091" spans="1:11">
      <c r="A1091" s="946" t="s">
        <v>32000</v>
      </c>
      <c r="B1091" s="947" t="s">
        <v>17170</v>
      </c>
      <c r="C1091" s="948" t="s">
        <v>17168</v>
      </c>
      <c r="D1091" s="242" t="s">
        <v>28741</v>
      </c>
      <c r="E1091" s="949">
        <v>201</v>
      </c>
      <c r="F1091" s="949">
        <v>201</v>
      </c>
      <c r="G1091" s="950" t="s">
        <v>32000</v>
      </c>
      <c r="H1091" s="950" t="s">
        <v>948</v>
      </c>
      <c r="I1091" s="951" t="s">
        <v>17169</v>
      </c>
      <c r="J1091" s="947" t="s">
        <v>17170</v>
      </c>
      <c r="K1091" s="143"/>
    </row>
    <row r="1092" spans="1:11">
      <c r="A1092" s="946" t="s">
        <v>32000</v>
      </c>
      <c r="B1092" s="947" t="s">
        <v>17173</v>
      </c>
      <c r="C1092" s="948" t="s">
        <v>17171</v>
      </c>
      <c r="D1092" s="242" t="s">
        <v>28741</v>
      </c>
      <c r="E1092" s="949">
        <v>201</v>
      </c>
      <c r="F1092" s="949">
        <v>201</v>
      </c>
      <c r="G1092" s="950" t="s">
        <v>32000</v>
      </c>
      <c r="H1092" s="950" t="s">
        <v>948</v>
      </c>
      <c r="I1092" s="951" t="s">
        <v>17172</v>
      </c>
      <c r="J1092" s="947" t="s">
        <v>17173</v>
      </c>
      <c r="K1092" s="143"/>
    </row>
    <row r="1093" spans="1:11">
      <c r="A1093" s="946" t="s">
        <v>32000</v>
      </c>
      <c r="B1093" s="947" t="s">
        <v>17176</v>
      </c>
      <c r="C1093" s="948" t="s">
        <v>17174</v>
      </c>
      <c r="D1093" s="242" t="s">
        <v>28741</v>
      </c>
      <c r="E1093" s="949">
        <v>201</v>
      </c>
      <c r="F1093" s="949">
        <v>201</v>
      </c>
      <c r="G1093" s="950" t="s">
        <v>32000</v>
      </c>
      <c r="H1093" s="950" t="s">
        <v>948</v>
      </c>
      <c r="I1093" s="951" t="s">
        <v>17175</v>
      </c>
      <c r="J1093" s="947" t="s">
        <v>17176</v>
      </c>
      <c r="K1093" s="143"/>
    </row>
    <row r="1094" spans="1:11">
      <c r="A1094" s="946" t="s">
        <v>32000</v>
      </c>
      <c r="B1094" s="947" t="s">
        <v>17179</v>
      </c>
      <c r="C1094" s="948" t="s">
        <v>17177</v>
      </c>
      <c r="D1094" s="242" t="s">
        <v>28741</v>
      </c>
      <c r="E1094" s="949">
        <v>201</v>
      </c>
      <c r="F1094" s="949">
        <v>201</v>
      </c>
      <c r="G1094" s="950" t="s">
        <v>32000</v>
      </c>
      <c r="H1094" s="950" t="s">
        <v>948</v>
      </c>
      <c r="I1094" s="951" t="s">
        <v>17178</v>
      </c>
      <c r="J1094" s="947" t="s">
        <v>17179</v>
      </c>
      <c r="K1094" s="143"/>
    </row>
    <row r="1095" spans="1:11">
      <c r="A1095" s="946" t="s">
        <v>32000</v>
      </c>
      <c r="B1095" s="947" t="s">
        <v>17182</v>
      </c>
      <c r="C1095" s="948" t="s">
        <v>17180</v>
      </c>
      <c r="D1095" s="242" t="s">
        <v>28741</v>
      </c>
      <c r="E1095" s="949">
        <v>201</v>
      </c>
      <c r="F1095" s="949">
        <v>201</v>
      </c>
      <c r="G1095" s="950" t="s">
        <v>32000</v>
      </c>
      <c r="H1095" s="950" t="s">
        <v>948</v>
      </c>
      <c r="I1095" s="951" t="s">
        <v>17181</v>
      </c>
      <c r="J1095" s="947" t="s">
        <v>17182</v>
      </c>
      <c r="K1095" s="143"/>
    </row>
    <row r="1096" spans="1:11">
      <c r="A1096" s="946" t="s">
        <v>32000</v>
      </c>
      <c r="B1096" s="947" t="s">
        <v>17185</v>
      </c>
      <c r="C1096" s="948" t="s">
        <v>17183</v>
      </c>
      <c r="D1096" s="242" t="s">
        <v>28741</v>
      </c>
      <c r="E1096" s="949">
        <v>201</v>
      </c>
      <c r="F1096" s="949">
        <v>201</v>
      </c>
      <c r="G1096" s="950" t="s">
        <v>32000</v>
      </c>
      <c r="H1096" s="950" t="s">
        <v>948</v>
      </c>
      <c r="I1096" s="951" t="s">
        <v>17184</v>
      </c>
      <c r="J1096" s="947" t="s">
        <v>17185</v>
      </c>
      <c r="K1096" s="143"/>
    </row>
    <row r="1097" spans="1:11">
      <c r="A1097" s="946" t="s">
        <v>32000</v>
      </c>
      <c r="B1097" s="947" t="s">
        <v>17188</v>
      </c>
      <c r="C1097" s="948" t="s">
        <v>17186</v>
      </c>
      <c r="D1097" s="242" t="s">
        <v>28741</v>
      </c>
      <c r="E1097" s="949">
        <v>201</v>
      </c>
      <c r="F1097" s="949">
        <v>201</v>
      </c>
      <c r="G1097" s="950" t="s">
        <v>32000</v>
      </c>
      <c r="H1097" s="950" t="s">
        <v>948</v>
      </c>
      <c r="I1097" s="951" t="s">
        <v>17187</v>
      </c>
      <c r="J1097" s="947" t="s">
        <v>17188</v>
      </c>
      <c r="K1097" s="143"/>
    </row>
    <row r="1098" spans="1:11">
      <c r="A1098" s="946" t="s">
        <v>32000</v>
      </c>
      <c r="B1098" s="947" t="s">
        <v>17191</v>
      </c>
      <c r="C1098" s="948" t="s">
        <v>17189</v>
      </c>
      <c r="D1098" s="242" t="s">
        <v>28741</v>
      </c>
      <c r="E1098" s="949">
        <v>201</v>
      </c>
      <c r="F1098" s="949">
        <v>201</v>
      </c>
      <c r="G1098" s="950" t="s">
        <v>32000</v>
      </c>
      <c r="H1098" s="950" t="s">
        <v>948</v>
      </c>
      <c r="I1098" s="951" t="s">
        <v>17190</v>
      </c>
      <c r="J1098" s="947" t="s">
        <v>17191</v>
      </c>
      <c r="K1098" s="143"/>
    </row>
    <row r="1099" spans="1:11">
      <c r="A1099" s="946" t="s">
        <v>32000</v>
      </c>
      <c r="B1099" s="947" t="s">
        <v>18888</v>
      </c>
      <c r="C1099" s="948" t="s">
        <v>18886</v>
      </c>
      <c r="D1099" s="242" t="s">
        <v>28741</v>
      </c>
      <c r="E1099" s="949">
        <v>201</v>
      </c>
      <c r="F1099" s="949">
        <v>201</v>
      </c>
      <c r="G1099" s="950" t="s">
        <v>32000</v>
      </c>
      <c r="H1099" s="950" t="s">
        <v>948</v>
      </c>
      <c r="I1099" s="951" t="s">
        <v>18887</v>
      </c>
      <c r="J1099" s="947" t="s">
        <v>18888</v>
      </c>
      <c r="K1099" s="143"/>
    </row>
    <row r="1100" spans="1:11">
      <c r="A1100" s="946" t="s">
        <v>32000</v>
      </c>
      <c r="B1100" s="947" t="s">
        <v>20579</v>
      </c>
      <c r="C1100" s="948" t="s">
        <v>20577</v>
      </c>
      <c r="D1100" s="242" t="s">
        <v>28741</v>
      </c>
      <c r="E1100" s="949">
        <v>201</v>
      </c>
      <c r="F1100" s="949">
        <v>201</v>
      </c>
      <c r="G1100" s="950" t="s">
        <v>32000</v>
      </c>
      <c r="H1100" s="950" t="s">
        <v>948</v>
      </c>
      <c r="I1100" s="951" t="s">
        <v>20578</v>
      </c>
      <c r="J1100" s="947" t="s">
        <v>20579</v>
      </c>
      <c r="K1100" s="143"/>
    </row>
    <row r="1101" spans="1:11">
      <c r="A1101" s="946" t="s">
        <v>32000</v>
      </c>
      <c r="B1101" s="947" t="s">
        <v>21384</v>
      </c>
      <c r="C1101" s="948" t="s">
        <v>21382</v>
      </c>
      <c r="D1101" s="242" t="s">
        <v>28741</v>
      </c>
      <c r="E1101" s="949">
        <v>201</v>
      </c>
      <c r="F1101" s="949">
        <v>201</v>
      </c>
      <c r="G1101" s="950" t="s">
        <v>32000</v>
      </c>
      <c r="H1101" s="950" t="s">
        <v>948</v>
      </c>
      <c r="I1101" s="951" t="s">
        <v>21383</v>
      </c>
      <c r="J1101" s="947" t="s">
        <v>21384</v>
      </c>
      <c r="K1101" s="143"/>
    </row>
    <row r="1102" spans="1:11">
      <c r="A1102" s="946" t="s">
        <v>32000</v>
      </c>
      <c r="B1102" s="947" t="s">
        <v>21508</v>
      </c>
      <c r="C1102" s="948" t="s">
        <v>21506</v>
      </c>
      <c r="D1102" s="242" t="s">
        <v>28741</v>
      </c>
      <c r="E1102" s="949">
        <v>201</v>
      </c>
      <c r="F1102" s="949">
        <v>201</v>
      </c>
      <c r="G1102" s="950" t="s">
        <v>32000</v>
      </c>
      <c r="H1102" s="950" t="s">
        <v>948</v>
      </c>
      <c r="I1102" s="951" t="s">
        <v>21507</v>
      </c>
      <c r="J1102" s="947" t="s">
        <v>21508</v>
      </c>
      <c r="K1102" s="143"/>
    </row>
    <row r="1103" spans="1:11">
      <c r="A1103" s="946" t="s">
        <v>32000</v>
      </c>
      <c r="B1103" s="947" t="s">
        <v>21517</v>
      </c>
      <c r="C1103" s="948" t="s">
        <v>21515</v>
      </c>
      <c r="D1103" s="242" t="s">
        <v>28741</v>
      </c>
      <c r="E1103" s="949">
        <v>201</v>
      </c>
      <c r="F1103" s="949">
        <v>201</v>
      </c>
      <c r="G1103" s="950" t="s">
        <v>32000</v>
      </c>
      <c r="H1103" s="950" t="s">
        <v>948</v>
      </c>
      <c r="I1103" s="951" t="s">
        <v>21516</v>
      </c>
      <c r="J1103" s="947" t="s">
        <v>21517</v>
      </c>
      <c r="K1103" s="143"/>
    </row>
    <row r="1104" spans="1:11">
      <c r="A1104" s="946" t="s">
        <v>32000</v>
      </c>
      <c r="B1104" s="947" t="s">
        <v>21534</v>
      </c>
      <c r="C1104" s="948" t="s">
        <v>21532</v>
      </c>
      <c r="D1104" s="242" t="s">
        <v>28741</v>
      </c>
      <c r="E1104" s="949">
        <v>201</v>
      </c>
      <c r="F1104" s="949">
        <v>201</v>
      </c>
      <c r="G1104" s="950" t="s">
        <v>32000</v>
      </c>
      <c r="H1104" s="950" t="s">
        <v>948</v>
      </c>
      <c r="I1104" s="951" t="s">
        <v>21533</v>
      </c>
      <c r="J1104" s="947" t="s">
        <v>21534</v>
      </c>
      <c r="K1104" s="143"/>
    </row>
    <row r="1105" spans="1:11">
      <c r="A1105" s="946" t="s">
        <v>32000</v>
      </c>
      <c r="B1105" s="947" t="s">
        <v>21801</v>
      </c>
      <c r="C1105" s="948" t="s">
        <v>21799</v>
      </c>
      <c r="D1105" s="242" t="s">
        <v>28741</v>
      </c>
      <c r="E1105" s="949">
        <v>201</v>
      </c>
      <c r="F1105" s="949">
        <v>201</v>
      </c>
      <c r="G1105" s="950" t="s">
        <v>32000</v>
      </c>
      <c r="H1105" s="950" t="s">
        <v>948</v>
      </c>
      <c r="I1105" s="951" t="s">
        <v>21800</v>
      </c>
      <c r="J1105" s="947" t="s">
        <v>21801</v>
      </c>
      <c r="K1105" s="143"/>
    </row>
    <row r="1106" spans="1:11">
      <c r="A1106" s="946" t="s">
        <v>32000</v>
      </c>
      <c r="B1106" s="947" t="s">
        <v>21804</v>
      </c>
      <c r="C1106" s="948" t="s">
        <v>21802</v>
      </c>
      <c r="D1106" s="242" t="s">
        <v>28741</v>
      </c>
      <c r="E1106" s="949">
        <v>201</v>
      </c>
      <c r="F1106" s="949">
        <v>201</v>
      </c>
      <c r="G1106" s="950" t="s">
        <v>32000</v>
      </c>
      <c r="H1106" s="950" t="s">
        <v>948</v>
      </c>
      <c r="I1106" s="951" t="s">
        <v>21803</v>
      </c>
      <c r="J1106" s="947" t="s">
        <v>21804</v>
      </c>
      <c r="K1106" s="143"/>
    </row>
    <row r="1107" spans="1:11">
      <c r="A1107" s="946" t="s">
        <v>32000</v>
      </c>
      <c r="B1107" s="947" t="s">
        <v>22338</v>
      </c>
      <c r="C1107" s="948" t="s">
        <v>22336</v>
      </c>
      <c r="D1107" s="242" t="s">
        <v>28741</v>
      </c>
      <c r="E1107" s="949">
        <v>201</v>
      </c>
      <c r="F1107" s="949">
        <v>201</v>
      </c>
      <c r="G1107" s="950" t="s">
        <v>32000</v>
      </c>
      <c r="H1107" s="950" t="s">
        <v>948</v>
      </c>
      <c r="I1107" s="951" t="s">
        <v>22337</v>
      </c>
      <c r="J1107" s="947" t="s">
        <v>22338</v>
      </c>
      <c r="K1107" s="143"/>
    </row>
    <row r="1108" spans="1:11">
      <c r="A1108" s="946" t="s">
        <v>28611</v>
      </c>
      <c r="B1108" s="947" t="s">
        <v>713</v>
      </c>
      <c r="C1108" s="948" t="s">
        <v>710</v>
      </c>
      <c r="D1108" s="242" t="s">
        <v>28718</v>
      </c>
      <c r="E1108" s="949">
        <v>702</v>
      </c>
      <c r="F1108" s="949">
        <v>702</v>
      </c>
      <c r="G1108" s="950" t="s">
        <v>9786</v>
      </c>
      <c r="H1108" s="950" t="s">
        <v>711</v>
      </c>
      <c r="I1108" s="951" t="s">
        <v>712</v>
      </c>
      <c r="J1108" s="947" t="s">
        <v>713</v>
      </c>
      <c r="K1108" s="143"/>
    </row>
    <row r="1109" spans="1:11">
      <c r="A1109" s="946" t="s">
        <v>28611</v>
      </c>
      <c r="B1109" s="947" t="s">
        <v>1266</v>
      </c>
      <c r="C1109" s="948" t="s">
        <v>1264</v>
      </c>
      <c r="D1109" s="242" t="s">
        <v>28718</v>
      </c>
      <c r="E1109" s="949">
        <v>702</v>
      </c>
      <c r="F1109" s="949">
        <v>702</v>
      </c>
      <c r="G1109" s="950" t="s">
        <v>9786</v>
      </c>
      <c r="H1109" s="950" t="s">
        <v>711</v>
      </c>
      <c r="I1109" s="951" t="s">
        <v>1265</v>
      </c>
      <c r="J1109" s="947" t="s">
        <v>1266</v>
      </c>
      <c r="K1109" s="143"/>
    </row>
    <row r="1110" spans="1:11">
      <c r="A1110" s="946" t="s">
        <v>28611</v>
      </c>
      <c r="B1110" s="947" t="s">
        <v>1282</v>
      </c>
      <c r="C1110" s="948" t="s">
        <v>1280</v>
      </c>
      <c r="D1110" s="242" t="s">
        <v>28718</v>
      </c>
      <c r="E1110" s="949">
        <v>702</v>
      </c>
      <c r="F1110" s="949">
        <v>702</v>
      </c>
      <c r="G1110" s="950" t="s">
        <v>9786</v>
      </c>
      <c r="H1110" s="950" t="s">
        <v>711</v>
      </c>
      <c r="I1110" s="951" t="s">
        <v>1281</v>
      </c>
      <c r="J1110" s="947" t="s">
        <v>1282</v>
      </c>
      <c r="K1110" s="143"/>
    </row>
    <row r="1111" spans="1:11">
      <c r="A1111" s="946" t="s">
        <v>28611</v>
      </c>
      <c r="B1111" s="947" t="s">
        <v>1442</v>
      </c>
      <c r="C1111" s="948" t="s">
        <v>1440</v>
      </c>
      <c r="D1111" s="242" t="s">
        <v>28718</v>
      </c>
      <c r="E1111" s="949">
        <v>702</v>
      </c>
      <c r="F1111" s="949">
        <v>702</v>
      </c>
      <c r="G1111" s="950" t="s">
        <v>9786</v>
      </c>
      <c r="H1111" s="950" t="s">
        <v>711</v>
      </c>
      <c r="I1111" s="951" t="s">
        <v>1441</v>
      </c>
      <c r="J1111" s="947" t="s">
        <v>1442</v>
      </c>
      <c r="K1111" s="143"/>
    </row>
    <row r="1112" spans="1:11">
      <c r="A1112" s="946" t="s">
        <v>28611</v>
      </c>
      <c r="B1112" s="947" t="s">
        <v>1635</v>
      </c>
      <c r="C1112" s="948" t="s">
        <v>1633</v>
      </c>
      <c r="D1112" s="242" t="s">
        <v>28718</v>
      </c>
      <c r="E1112" s="949">
        <v>702</v>
      </c>
      <c r="F1112" s="949">
        <v>702</v>
      </c>
      <c r="G1112" s="950" t="s">
        <v>9786</v>
      </c>
      <c r="H1112" s="950" t="s">
        <v>711</v>
      </c>
      <c r="I1112" s="951" t="s">
        <v>1634</v>
      </c>
      <c r="J1112" s="947" t="s">
        <v>1635</v>
      </c>
      <c r="K1112" s="143"/>
    </row>
    <row r="1113" spans="1:11">
      <c r="A1113" s="946" t="s">
        <v>28611</v>
      </c>
      <c r="B1113" s="947" t="s">
        <v>1735</v>
      </c>
      <c r="C1113" s="948" t="s">
        <v>1733</v>
      </c>
      <c r="D1113" s="242" t="s">
        <v>28718</v>
      </c>
      <c r="E1113" s="949">
        <v>702</v>
      </c>
      <c r="F1113" s="949">
        <v>702</v>
      </c>
      <c r="G1113" s="950" t="s">
        <v>9786</v>
      </c>
      <c r="H1113" s="950" t="s">
        <v>711</v>
      </c>
      <c r="I1113" s="951" t="s">
        <v>1734</v>
      </c>
      <c r="J1113" s="947" t="s">
        <v>1735</v>
      </c>
      <c r="K1113" s="143"/>
    </row>
    <row r="1114" spans="1:11">
      <c r="A1114" s="946" t="s">
        <v>28611</v>
      </c>
      <c r="B1114" s="947" t="s">
        <v>1844</v>
      </c>
      <c r="C1114" s="948" t="s">
        <v>1842</v>
      </c>
      <c r="D1114" s="242" t="s">
        <v>28718</v>
      </c>
      <c r="E1114" s="949">
        <v>702</v>
      </c>
      <c r="F1114" s="949">
        <v>702</v>
      </c>
      <c r="G1114" s="950" t="s">
        <v>9786</v>
      </c>
      <c r="H1114" s="950" t="s">
        <v>711</v>
      </c>
      <c r="I1114" s="951" t="s">
        <v>1843</v>
      </c>
      <c r="J1114" s="947" t="s">
        <v>1844</v>
      </c>
      <c r="K1114" s="143"/>
    </row>
    <row r="1115" spans="1:11">
      <c r="A1115" s="946" t="s">
        <v>28611</v>
      </c>
      <c r="B1115" s="947" t="s">
        <v>2676</v>
      </c>
      <c r="C1115" s="948" t="s">
        <v>2674</v>
      </c>
      <c r="D1115" s="242" t="s">
        <v>28718</v>
      </c>
      <c r="E1115" s="949">
        <v>702</v>
      </c>
      <c r="F1115" s="949">
        <v>702</v>
      </c>
      <c r="G1115" s="950" t="s">
        <v>9786</v>
      </c>
      <c r="H1115" s="950" t="s">
        <v>711</v>
      </c>
      <c r="I1115" s="951" t="s">
        <v>2675</v>
      </c>
      <c r="J1115" s="947" t="s">
        <v>2676</v>
      </c>
      <c r="K1115" s="143"/>
    </row>
    <row r="1116" spans="1:11">
      <c r="A1116" s="946" t="s">
        <v>28611</v>
      </c>
      <c r="B1116" s="947" t="s">
        <v>2697</v>
      </c>
      <c r="C1116" s="948" t="s">
        <v>2695</v>
      </c>
      <c r="D1116" s="242" t="s">
        <v>28718</v>
      </c>
      <c r="E1116" s="949">
        <v>702</v>
      </c>
      <c r="F1116" s="949">
        <v>702</v>
      </c>
      <c r="G1116" s="950" t="s">
        <v>9786</v>
      </c>
      <c r="H1116" s="950" t="s">
        <v>711</v>
      </c>
      <c r="I1116" s="951" t="s">
        <v>2696</v>
      </c>
      <c r="J1116" s="947" t="s">
        <v>2697</v>
      </c>
      <c r="K1116" s="143"/>
    </row>
    <row r="1117" spans="1:11">
      <c r="A1117" s="946" t="s">
        <v>28611</v>
      </c>
      <c r="B1117" s="947" t="s">
        <v>2787</v>
      </c>
      <c r="C1117" s="948" t="s">
        <v>2785</v>
      </c>
      <c r="D1117" s="242" t="s">
        <v>28718</v>
      </c>
      <c r="E1117" s="949">
        <v>702</v>
      </c>
      <c r="F1117" s="949">
        <v>702</v>
      </c>
      <c r="G1117" s="950" t="s">
        <v>9786</v>
      </c>
      <c r="H1117" s="950" t="s">
        <v>711</v>
      </c>
      <c r="I1117" s="951" t="s">
        <v>2786</v>
      </c>
      <c r="J1117" s="947" t="s">
        <v>2787</v>
      </c>
      <c r="K1117" s="143"/>
    </row>
    <row r="1118" spans="1:11">
      <c r="A1118" s="946" t="s">
        <v>28611</v>
      </c>
      <c r="B1118" s="947" t="s">
        <v>3833</v>
      </c>
      <c r="C1118" s="948" t="s">
        <v>3831</v>
      </c>
      <c r="D1118" s="242" t="s">
        <v>28718</v>
      </c>
      <c r="E1118" s="949">
        <v>702</v>
      </c>
      <c r="F1118" s="949">
        <v>702</v>
      </c>
      <c r="G1118" s="950" t="s">
        <v>9786</v>
      </c>
      <c r="H1118" s="950" t="s">
        <v>711</v>
      </c>
      <c r="I1118" s="951" t="s">
        <v>3832</v>
      </c>
      <c r="J1118" s="947" t="s">
        <v>3833</v>
      </c>
      <c r="K1118" s="143"/>
    </row>
    <row r="1119" spans="1:11">
      <c r="A1119" s="946" t="s">
        <v>28611</v>
      </c>
      <c r="B1119" s="947" t="s">
        <v>4235</v>
      </c>
      <c r="C1119" s="948" t="s">
        <v>4233</v>
      </c>
      <c r="D1119" s="242" t="s">
        <v>28718</v>
      </c>
      <c r="E1119" s="949">
        <v>702</v>
      </c>
      <c r="F1119" s="949">
        <v>702</v>
      </c>
      <c r="G1119" s="950" t="s">
        <v>9786</v>
      </c>
      <c r="H1119" s="950" t="s">
        <v>711</v>
      </c>
      <c r="I1119" s="951" t="s">
        <v>4234</v>
      </c>
      <c r="J1119" s="947" t="s">
        <v>4235</v>
      </c>
      <c r="K1119" s="143"/>
    </row>
    <row r="1120" spans="1:11">
      <c r="A1120" s="946" t="s">
        <v>28611</v>
      </c>
      <c r="B1120" s="947" t="s">
        <v>5166</v>
      </c>
      <c r="C1120" s="948" t="s">
        <v>5164</v>
      </c>
      <c r="D1120" s="242" t="s">
        <v>28718</v>
      </c>
      <c r="E1120" s="949">
        <v>702</v>
      </c>
      <c r="F1120" s="949">
        <v>702</v>
      </c>
      <c r="G1120" s="950" t="s">
        <v>9786</v>
      </c>
      <c r="H1120" s="950" t="s">
        <v>711</v>
      </c>
      <c r="I1120" s="951" t="s">
        <v>5165</v>
      </c>
      <c r="J1120" s="947" t="s">
        <v>5166</v>
      </c>
      <c r="K1120" s="143"/>
    </row>
    <row r="1121" spans="1:11">
      <c r="A1121" s="946" t="s">
        <v>28611</v>
      </c>
      <c r="B1121" s="947" t="s">
        <v>5045</v>
      </c>
      <c r="C1121" s="948" t="s">
        <v>5043</v>
      </c>
      <c r="D1121" s="242" t="s">
        <v>28718</v>
      </c>
      <c r="E1121" s="949">
        <v>702</v>
      </c>
      <c r="F1121" s="949">
        <v>702</v>
      </c>
      <c r="G1121" s="950" t="s">
        <v>9786</v>
      </c>
      <c r="H1121" s="950" t="s">
        <v>711</v>
      </c>
      <c r="I1121" s="951" t="s">
        <v>5044</v>
      </c>
      <c r="J1121" s="947" t="s">
        <v>5045</v>
      </c>
      <c r="K1121" s="143"/>
    </row>
    <row r="1122" spans="1:11">
      <c r="A1122" s="946" t="s">
        <v>28611</v>
      </c>
      <c r="B1122" s="947" t="s">
        <v>5965</v>
      </c>
      <c r="C1122" s="948" t="s">
        <v>5963</v>
      </c>
      <c r="D1122" s="242" t="s">
        <v>28718</v>
      </c>
      <c r="E1122" s="949">
        <v>702</v>
      </c>
      <c r="F1122" s="949">
        <v>702</v>
      </c>
      <c r="G1122" s="950" t="s">
        <v>9786</v>
      </c>
      <c r="H1122" s="950" t="s">
        <v>711</v>
      </c>
      <c r="I1122" s="951" t="s">
        <v>5964</v>
      </c>
      <c r="J1122" s="947" t="s">
        <v>5965</v>
      </c>
      <c r="K1122" s="143"/>
    </row>
    <row r="1123" spans="1:11">
      <c r="A1123" s="946" t="s">
        <v>28611</v>
      </c>
      <c r="B1123" s="947" t="s">
        <v>6097</v>
      </c>
      <c r="C1123" s="948" t="s">
        <v>6095</v>
      </c>
      <c r="D1123" s="242" t="s">
        <v>28718</v>
      </c>
      <c r="E1123" s="949">
        <v>702</v>
      </c>
      <c r="F1123" s="949">
        <v>702</v>
      </c>
      <c r="G1123" s="950" t="s">
        <v>9786</v>
      </c>
      <c r="H1123" s="950" t="s">
        <v>711</v>
      </c>
      <c r="I1123" s="951" t="s">
        <v>6096</v>
      </c>
      <c r="J1123" s="947" t="s">
        <v>6097</v>
      </c>
      <c r="K1123" s="143"/>
    </row>
    <row r="1124" spans="1:11">
      <c r="A1124" s="946" t="s">
        <v>28611</v>
      </c>
      <c r="B1124" s="947" t="s">
        <v>6134</v>
      </c>
      <c r="C1124" s="948" t="s">
        <v>6132</v>
      </c>
      <c r="D1124" s="242" t="s">
        <v>28718</v>
      </c>
      <c r="E1124" s="949">
        <v>702</v>
      </c>
      <c r="F1124" s="949">
        <v>702</v>
      </c>
      <c r="G1124" s="950" t="s">
        <v>9786</v>
      </c>
      <c r="H1124" s="950" t="s">
        <v>711</v>
      </c>
      <c r="I1124" s="951" t="s">
        <v>6133</v>
      </c>
      <c r="J1124" s="947" t="s">
        <v>6134</v>
      </c>
      <c r="K1124" s="143"/>
    </row>
    <row r="1125" spans="1:11">
      <c r="A1125" s="946" t="s">
        <v>28611</v>
      </c>
      <c r="B1125" s="947" t="s">
        <v>6314</v>
      </c>
      <c r="C1125" s="948" t="s">
        <v>6312</v>
      </c>
      <c r="D1125" s="242" t="s">
        <v>28718</v>
      </c>
      <c r="E1125" s="949">
        <v>702</v>
      </c>
      <c r="F1125" s="949">
        <v>702</v>
      </c>
      <c r="G1125" s="950" t="s">
        <v>9786</v>
      </c>
      <c r="H1125" s="950" t="s">
        <v>711</v>
      </c>
      <c r="I1125" s="951" t="s">
        <v>6313</v>
      </c>
      <c r="J1125" s="947" t="s">
        <v>6314</v>
      </c>
      <c r="K1125" s="143"/>
    </row>
    <row r="1126" spans="1:11">
      <c r="A1126" s="946" t="s">
        <v>28611</v>
      </c>
      <c r="B1126" s="947" t="s">
        <v>6323</v>
      </c>
      <c r="C1126" s="948" t="s">
        <v>6321</v>
      </c>
      <c r="D1126" s="242" t="s">
        <v>28718</v>
      </c>
      <c r="E1126" s="949">
        <v>702</v>
      </c>
      <c r="F1126" s="949">
        <v>702</v>
      </c>
      <c r="G1126" s="950" t="s">
        <v>9786</v>
      </c>
      <c r="H1126" s="950" t="s">
        <v>711</v>
      </c>
      <c r="I1126" s="951" t="s">
        <v>6322</v>
      </c>
      <c r="J1126" s="947" t="s">
        <v>6323</v>
      </c>
      <c r="K1126" s="143"/>
    </row>
    <row r="1127" spans="1:11">
      <c r="A1127" s="946" t="s">
        <v>28611</v>
      </c>
      <c r="B1127" s="947" t="s">
        <v>6449</v>
      </c>
      <c r="C1127" s="948" t="s">
        <v>6447</v>
      </c>
      <c r="D1127" s="242" t="s">
        <v>28718</v>
      </c>
      <c r="E1127" s="949">
        <v>702</v>
      </c>
      <c r="F1127" s="949">
        <v>702</v>
      </c>
      <c r="G1127" s="950" t="s">
        <v>9786</v>
      </c>
      <c r="H1127" s="950" t="s">
        <v>711</v>
      </c>
      <c r="I1127" s="951" t="s">
        <v>6448</v>
      </c>
      <c r="J1127" s="947" t="s">
        <v>6449</v>
      </c>
      <c r="K1127" s="143"/>
    </row>
    <row r="1128" spans="1:11">
      <c r="A1128" s="946" t="s">
        <v>28611</v>
      </c>
      <c r="B1128" s="947" t="s">
        <v>6531</v>
      </c>
      <c r="C1128" s="948" t="s">
        <v>6529</v>
      </c>
      <c r="D1128" s="242" t="s">
        <v>28718</v>
      </c>
      <c r="E1128" s="949">
        <v>702</v>
      </c>
      <c r="F1128" s="949">
        <v>702</v>
      </c>
      <c r="G1128" s="950" t="s">
        <v>9786</v>
      </c>
      <c r="H1128" s="950" t="s">
        <v>711</v>
      </c>
      <c r="I1128" s="951" t="s">
        <v>6530</v>
      </c>
      <c r="J1128" s="947" t="s">
        <v>6531</v>
      </c>
      <c r="K1128" s="143"/>
    </row>
    <row r="1129" spans="1:11">
      <c r="A1129" s="946" t="s">
        <v>28611</v>
      </c>
      <c r="B1129" s="947" t="s">
        <v>7224</v>
      </c>
      <c r="C1129" s="948" t="s">
        <v>7222</v>
      </c>
      <c r="D1129" s="242" t="s">
        <v>28718</v>
      </c>
      <c r="E1129" s="949">
        <v>702</v>
      </c>
      <c r="F1129" s="949">
        <v>702</v>
      </c>
      <c r="G1129" s="950" t="s">
        <v>9786</v>
      </c>
      <c r="H1129" s="950" t="s">
        <v>711</v>
      </c>
      <c r="I1129" s="951" t="s">
        <v>7223</v>
      </c>
      <c r="J1129" s="947" t="s">
        <v>7224</v>
      </c>
      <c r="K1129" s="143"/>
    </row>
    <row r="1130" spans="1:11">
      <c r="A1130" s="946" t="s">
        <v>28611</v>
      </c>
      <c r="B1130" s="947" t="s">
        <v>7288</v>
      </c>
      <c r="C1130" s="948" t="s">
        <v>7286</v>
      </c>
      <c r="D1130" s="242" t="s">
        <v>28718</v>
      </c>
      <c r="E1130" s="949">
        <v>702</v>
      </c>
      <c r="F1130" s="949">
        <v>702</v>
      </c>
      <c r="G1130" s="950" t="s">
        <v>9786</v>
      </c>
      <c r="H1130" s="950" t="s">
        <v>711</v>
      </c>
      <c r="I1130" s="951" t="s">
        <v>7287</v>
      </c>
      <c r="J1130" s="947" t="s">
        <v>7288</v>
      </c>
      <c r="K1130" s="143"/>
    </row>
    <row r="1131" spans="1:11">
      <c r="A1131" s="946" t="s">
        <v>28611</v>
      </c>
      <c r="B1131" s="947" t="s">
        <v>7635</v>
      </c>
      <c r="C1131" s="948" t="s">
        <v>7633</v>
      </c>
      <c r="D1131" s="242" t="s">
        <v>28718</v>
      </c>
      <c r="E1131" s="949">
        <v>702</v>
      </c>
      <c r="F1131" s="949">
        <v>702</v>
      </c>
      <c r="G1131" s="950" t="s">
        <v>9786</v>
      </c>
      <c r="H1131" s="950" t="s">
        <v>711</v>
      </c>
      <c r="I1131" s="951" t="s">
        <v>7634</v>
      </c>
      <c r="J1131" s="947" t="s">
        <v>7635</v>
      </c>
      <c r="K1131" s="143"/>
    </row>
    <row r="1132" spans="1:11">
      <c r="A1132" s="946" t="s">
        <v>28611</v>
      </c>
      <c r="B1132" s="947" t="s">
        <v>7638</v>
      </c>
      <c r="C1132" s="948" t="s">
        <v>7636</v>
      </c>
      <c r="D1132" s="242" t="s">
        <v>28718</v>
      </c>
      <c r="E1132" s="949">
        <v>702</v>
      </c>
      <c r="F1132" s="949">
        <v>702</v>
      </c>
      <c r="G1132" s="950" t="s">
        <v>9786</v>
      </c>
      <c r="H1132" s="950" t="s">
        <v>711</v>
      </c>
      <c r="I1132" s="951" t="s">
        <v>7637</v>
      </c>
      <c r="J1132" s="947" t="s">
        <v>7638</v>
      </c>
      <c r="K1132" s="143"/>
    </row>
    <row r="1133" spans="1:11">
      <c r="A1133" s="946" t="s">
        <v>28611</v>
      </c>
      <c r="B1133" s="947" t="s">
        <v>7644</v>
      </c>
      <c r="C1133" s="948" t="s">
        <v>7642</v>
      </c>
      <c r="D1133" s="242" t="s">
        <v>28718</v>
      </c>
      <c r="E1133" s="949">
        <v>702</v>
      </c>
      <c r="F1133" s="949">
        <v>702</v>
      </c>
      <c r="G1133" s="950" t="s">
        <v>9786</v>
      </c>
      <c r="H1133" s="950" t="s">
        <v>711</v>
      </c>
      <c r="I1133" s="951" t="s">
        <v>7643</v>
      </c>
      <c r="J1133" s="947" t="s">
        <v>7644</v>
      </c>
      <c r="K1133" s="143"/>
    </row>
    <row r="1134" spans="1:11">
      <c r="A1134" s="946" t="s">
        <v>28611</v>
      </c>
      <c r="B1134" s="947" t="s">
        <v>7647</v>
      </c>
      <c r="C1134" s="948" t="s">
        <v>7645</v>
      </c>
      <c r="D1134" s="242" t="s">
        <v>28718</v>
      </c>
      <c r="E1134" s="949">
        <v>702</v>
      </c>
      <c r="F1134" s="949">
        <v>702</v>
      </c>
      <c r="G1134" s="950" t="s">
        <v>9786</v>
      </c>
      <c r="H1134" s="950" t="s">
        <v>711</v>
      </c>
      <c r="I1134" s="951" t="s">
        <v>7646</v>
      </c>
      <c r="J1134" s="947" t="s">
        <v>7647</v>
      </c>
      <c r="K1134" s="143"/>
    </row>
    <row r="1135" spans="1:11">
      <c r="A1135" s="946" t="s">
        <v>28611</v>
      </c>
      <c r="B1135" s="947" t="s">
        <v>7686</v>
      </c>
      <c r="C1135" s="948" t="s">
        <v>7684</v>
      </c>
      <c r="D1135" s="242" t="s">
        <v>28718</v>
      </c>
      <c r="E1135" s="949">
        <v>702</v>
      </c>
      <c r="F1135" s="949">
        <v>702</v>
      </c>
      <c r="G1135" s="950" t="s">
        <v>9786</v>
      </c>
      <c r="H1135" s="950" t="s">
        <v>711</v>
      </c>
      <c r="I1135" s="951" t="s">
        <v>7685</v>
      </c>
      <c r="J1135" s="947" t="s">
        <v>7686</v>
      </c>
      <c r="K1135" s="143"/>
    </row>
    <row r="1136" spans="1:11">
      <c r="A1136" s="946" t="s">
        <v>28611</v>
      </c>
      <c r="B1136" s="947" t="s">
        <v>7689</v>
      </c>
      <c r="C1136" s="948" t="s">
        <v>7687</v>
      </c>
      <c r="D1136" s="242" t="s">
        <v>28718</v>
      </c>
      <c r="E1136" s="949">
        <v>702</v>
      </c>
      <c r="F1136" s="949">
        <v>702</v>
      </c>
      <c r="G1136" s="950" t="s">
        <v>9786</v>
      </c>
      <c r="H1136" s="950" t="s">
        <v>711</v>
      </c>
      <c r="I1136" s="951" t="s">
        <v>7688</v>
      </c>
      <c r="J1136" s="947" t="s">
        <v>7689</v>
      </c>
      <c r="K1136" s="143"/>
    </row>
    <row r="1137" spans="1:11">
      <c r="A1137" s="946" t="s">
        <v>28611</v>
      </c>
      <c r="B1137" s="947" t="s">
        <v>9786</v>
      </c>
      <c r="C1137" s="948" t="s">
        <v>9784</v>
      </c>
      <c r="D1137" s="242" t="s">
        <v>28718</v>
      </c>
      <c r="E1137" s="949">
        <v>702</v>
      </c>
      <c r="F1137" s="949">
        <v>702</v>
      </c>
      <c r="G1137" s="950" t="s">
        <v>9786</v>
      </c>
      <c r="H1137" s="950" t="s">
        <v>711</v>
      </c>
      <c r="I1137" s="951" t="s">
        <v>9785</v>
      </c>
      <c r="J1137" s="947" t="s">
        <v>9786</v>
      </c>
      <c r="K1137" s="143"/>
    </row>
    <row r="1138" spans="1:11">
      <c r="A1138" s="946" t="s">
        <v>28611</v>
      </c>
      <c r="B1138" s="947" t="s">
        <v>9916</v>
      </c>
      <c r="C1138" s="948" t="s">
        <v>9914</v>
      </c>
      <c r="D1138" s="242" t="s">
        <v>28718</v>
      </c>
      <c r="E1138" s="949">
        <v>702</v>
      </c>
      <c r="F1138" s="949">
        <v>702</v>
      </c>
      <c r="G1138" s="950" t="s">
        <v>9786</v>
      </c>
      <c r="H1138" s="950" t="s">
        <v>711</v>
      </c>
      <c r="I1138" s="951" t="s">
        <v>9915</v>
      </c>
      <c r="J1138" s="947" t="s">
        <v>9916</v>
      </c>
      <c r="K1138" s="143"/>
    </row>
    <row r="1139" spans="1:11">
      <c r="A1139" s="946" t="s">
        <v>28611</v>
      </c>
      <c r="B1139" s="947" t="s">
        <v>10697</v>
      </c>
      <c r="C1139" s="948" t="s">
        <v>10695</v>
      </c>
      <c r="D1139" s="242" t="s">
        <v>28718</v>
      </c>
      <c r="E1139" s="949">
        <v>702</v>
      </c>
      <c r="F1139" s="949">
        <v>702</v>
      </c>
      <c r="G1139" s="950" t="s">
        <v>9786</v>
      </c>
      <c r="H1139" s="950" t="s">
        <v>711</v>
      </c>
      <c r="I1139" s="951" t="s">
        <v>10696</v>
      </c>
      <c r="J1139" s="947" t="s">
        <v>10697</v>
      </c>
      <c r="K1139" s="143"/>
    </row>
    <row r="1140" spans="1:11">
      <c r="A1140" s="946" t="s">
        <v>28611</v>
      </c>
      <c r="B1140" s="947" t="s">
        <v>11594</v>
      </c>
      <c r="C1140" s="948" t="s">
        <v>11592</v>
      </c>
      <c r="D1140" s="242" t="s">
        <v>28718</v>
      </c>
      <c r="E1140" s="949">
        <v>702</v>
      </c>
      <c r="F1140" s="949">
        <v>702</v>
      </c>
      <c r="G1140" s="950" t="s">
        <v>9786</v>
      </c>
      <c r="H1140" s="950" t="s">
        <v>711</v>
      </c>
      <c r="I1140" s="951" t="s">
        <v>11593</v>
      </c>
      <c r="J1140" s="947" t="s">
        <v>11594</v>
      </c>
      <c r="K1140" s="143"/>
    </row>
    <row r="1141" spans="1:11">
      <c r="A1141" s="946" t="s">
        <v>28611</v>
      </c>
      <c r="B1141" s="947" t="s">
        <v>11946</v>
      </c>
      <c r="C1141" s="948" t="s">
        <v>11944</v>
      </c>
      <c r="D1141" s="242" t="s">
        <v>28718</v>
      </c>
      <c r="E1141" s="949">
        <v>702</v>
      </c>
      <c r="F1141" s="949">
        <v>702</v>
      </c>
      <c r="G1141" s="950" t="s">
        <v>9786</v>
      </c>
      <c r="H1141" s="950" t="s">
        <v>711</v>
      </c>
      <c r="I1141" s="951" t="s">
        <v>11945</v>
      </c>
      <c r="J1141" s="947" t="s">
        <v>11946</v>
      </c>
      <c r="K1141" s="143"/>
    </row>
    <row r="1142" spans="1:11">
      <c r="A1142" s="946" t="s">
        <v>28611</v>
      </c>
      <c r="B1142" s="947" t="s">
        <v>12550</v>
      </c>
      <c r="C1142" s="948" t="s">
        <v>12548</v>
      </c>
      <c r="D1142" s="242" t="s">
        <v>28718</v>
      </c>
      <c r="E1142" s="949">
        <v>702</v>
      </c>
      <c r="F1142" s="949">
        <v>702</v>
      </c>
      <c r="G1142" s="950" t="s">
        <v>9786</v>
      </c>
      <c r="H1142" s="950" t="s">
        <v>711</v>
      </c>
      <c r="I1142" s="951" t="s">
        <v>12549</v>
      </c>
      <c r="J1142" s="947" t="s">
        <v>12550</v>
      </c>
      <c r="K1142" s="143"/>
    </row>
    <row r="1143" spans="1:11">
      <c r="A1143" s="946" t="s">
        <v>28611</v>
      </c>
      <c r="B1143" s="947" t="s">
        <v>13598</v>
      </c>
      <c r="C1143" s="948" t="s">
        <v>13596</v>
      </c>
      <c r="D1143" s="242" t="s">
        <v>28718</v>
      </c>
      <c r="E1143" s="949">
        <v>702</v>
      </c>
      <c r="F1143" s="949">
        <v>702</v>
      </c>
      <c r="G1143" s="950" t="s">
        <v>9786</v>
      </c>
      <c r="H1143" s="950" t="s">
        <v>711</v>
      </c>
      <c r="I1143" s="951" t="s">
        <v>13597</v>
      </c>
      <c r="J1143" s="947" t="s">
        <v>13598</v>
      </c>
      <c r="K1143" s="143"/>
    </row>
    <row r="1144" spans="1:11">
      <c r="A1144" s="946" t="s">
        <v>28611</v>
      </c>
      <c r="B1144" s="947" t="s">
        <v>13858</v>
      </c>
      <c r="C1144" s="948" t="s">
        <v>13856</v>
      </c>
      <c r="D1144" s="242" t="s">
        <v>28718</v>
      </c>
      <c r="E1144" s="949">
        <v>702</v>
      </c>
      <c r="F1144" s="949">
        <v>702</v>
      </c>
      <c r="G1144" s="950" t="s">
        <v>9786</v>
      </c>
      <c r="H1144" s="950" t="s">
        <v>711</v>
      </c>
      <c r="I1144" s="951" t="s">
        <v>13857</v>
      </c>
      <c r="J1144" s="947" t="s">
        <v>13858</v>
      </c>
      <c r="K1144" s="143"/>
    </row>
    <row r="1145" spans="1:11">
      <c r="A1145" s="946" t="s">
        <v>28611</v>
      </c>
      <c r="B1145" s="947" t="s">
        <v>14499</v>
      </c>
      <c r="C1145" s="948" t="s">
        <v>14497</v>
      </c>
      <c r="D1145" s="242" t="s">
        <v>28718</v>
      </c>
      <c r="E1145" s="949">
        <v>702</v>
      </c>
      <c r="F1145" s="949">
        <v>702</v>
      </c>
      <c r="G1145" s="950" t="s">
        <v>9786</v>
      </c>
      <c r="H1145" s="950" t="s">
        <v>711</v>
      </c>
      <c r="I1145" s="951" t="s">
        <v>14498</v>
      </c>
      <c r="J1145" s="947" t="s">
        <v>14499</v>
      </c>
      <c r="K1145" s="143"/>
    </row>
    <row r="1146" spans="1:11">
      <c r="A1146" s="946" t="s">
        <v>28611</v>
      </c>
      <c r="B1146" s="947" t="s">
        <v>14850</v>
      </c>
      <c r="C1146" s="948" t="s">
        <v>14848</v>
      </c>
      <c r="D1146" s="242" t="s">
        <v>28718</v>
      </c>
      <c r="E1146" s="949">
        <v>702</v>
      </c>
      <c r="F1146" s="949">
        <v>702</v>
      </c>
      <c r="G1146" s="950" t="s">
        <v>9786</v>
      </c>
      <c r="H1146" s="950" t="s">
        <v>711</v>
      </c>
      <c r="I1146" s="951" t="s">
        <v>14849</v>
      </c>
      <c r="J1146" s="947" t="s">
        <v>14850</v>
      </c>
      <c r="K1146" s="143"/>
    </row>
    <row r="1147" spans="1:11">
      <c r="A1147" s="946" t="s">
        <v>28611</v>
      </c>
      <c r="B1147" s="947" t="s">
        <v>14934</v>
      </c>
      <c r="C1147" s="948" t="s">
        <v>14932</v>
      </c>
      <c r="D1147" s="242" t="s">
        <v>28718</v>
      </c>
      <c r="E1147" s="949">
        <v>702</v>
      </c>
      <c r="F1147" s="949">
        <v>702</v>
      </c>
      <c r="G1147" s="950" t="s">
        <v>9786</v>
      </c>
      <c r="H1147" s="950" t="s">
        <v>711</v>
      </c>
      <c r="I1147" s="951" t="s">
        <v>14933</v>
      </c>
      <c r="J1147" s="947" t="s">
        <v>14934</v>
      </c>
      <c r="K1147" s="143"/>
    </row>
    <row r="1148" spans="1:11">
      <c r="A1148" s="946" t="s">
        <v>28611</v>
      </c>
      <c r="B1148" s="947" t="s">
        <v>14975</v>
      </c>
      <c r="C1148" s="948" t="s">
        <v>14973</v>
      </c>
      <c r="D1148" s="242" t="s">
        <v>28718</v>
      </c>
      <c r="E1148" s="949">
        <v>702</v>
      </c>
      <c r="F1148" s="949">
        <v>702</v>
      </c>
      <c r="G1148" s="950" t="s">
        <v>9786</v>
      </c>
      <c r="H1148" s="950" t="s">
        <v>711</v>
      </c>
      <c r="I1148" s="951" t="s">
        <v>14974</v>
      </c>
      <c r="J1148" s="947" t="s">
        <v>14975</v>
      </c>
      <c r="K1148" s="143"/>
    </row>
    <row r="1149" spans="1:11">
      <c r="A1149" s="946" t="s">
        <v>28611</v>
      </c>
      <c r="B1149" s="947" t="s">
        <v>15342</v>
      </c>
      <c r="C1149" s="948" t="s">
        <v>15340</v>
      </c>
      <c r="D1149" s="242" t="s">
        <v>28718</v>
      </c>
      <c r="E1149" s="949">
        <v>702</v>
      </c>
      <c r="F1149" s="949">
        <v>702</v>
      </c>
      <c r="G1149" s="950" t="s">
        <v>9786</v>
      </c>
      <c r="H1149" s="950" t="s">
        <v>711</v>
      </c>
      <c r="I1149" s="951" t="s">
        <v>15341</v>
      </c>
      <c r="J1149" s="947" t="s">
        <v>15342</v>
      </c>
      <c r="K1149" s="143"/>
    </row>
    <row r="1150" spans="1:11">
      <c r="A1150" s="946" t="s">
        <v>28611</v>
      </c>
      <c r="B1150" s="947" t="s">
        <v>15430</v>
      </c>
      <c r="C1150" s="948" t="s">
        <v>15428</v>
      </c>
      <c r="D1150" s="242" t="s">
        <v>28718</v>
      </c>
      <c r="E1150" s="949">
        <v>702</v>
      </c>
      <c r="F1150" s="949">
        <v>702</v>
      </c>
      <c r="G1150" s="950" t="s">
        <v>9786</v>
      </c>
      <c r="H1150" s="950" t="s">
        <v>711</v>
      </c>
      <c r="I1150" s="951" t="s">
        <v>15429</v>
      </c>
      <c r="J1150" s="947" t="s">
        <v>15430</v>
      </c>
      <c r="K1150" s="143"/>
    </row>
    <row r="1151" spans="1:11">
      <c r="A1151" s="946" t="s">
        <v>28611</v>
      </c>
      <c r="B1151" s="947" t="s">
        <v>15523</v>
      </c>
      <c r="C1151" s="948" t="s">
        <v>15521</v>
      </c>
      <c r="D1151" s="242" t="s">
        <v>28718</v>
      </c>
      <c r="E1151" s="949">
        <v>702</v>
      </c>
      <c r="F1151" s="949">
        <v>702</v>
      </c>
      <c r="G1151" s="950" t="s">
        <v>9786</v>
      </c>
      <c r="H1151" s="950" t="s">
        <v>711</v>
      </c>
      <c r="I1151" s="951" t="s">
        <v>15522</v>
      </c>
      <c r="J1151" s="947" t="s">
        <v>15523</v>
      </c>
      <c r="K1151" s="143"/>
    </row>
    <row r="1152" spans="1:11">
      <c r="A1152" s="946" t="s">
        <v>28611</v>
      </c>
      <c r="B1152" s="947" t="s">
        <v>15818</v>
      </c>
      <c r="C1152" s="948" t="s">
        <v>15816</v>
      </c>
      <c r="D1152" s="242" t="s">
        <v>28718</v>
      </c>
      <c r="E1152" s="949">
        <v>702</v>
      </c>
      <c r="F1152" s="949">
        <v>702</v>
      </c>
      <c r="G1152" s="950" t="s">
        <v>9786</v>
      </c>
      <c r="H1152" s="950" t="s">
        <v>711</v>
      </c>
      <c r="I1152" s="951" t="s">
        <v>15817</v>
      </c>
      <c r="J1152" s="947" t="s">
        <v>15818</v>
      </c>
      <c r="K1152" s="143"/>
    </row>
    <row r="1153" spans="1:11">
      <c r="A1153" s="946" t="s">
        <v>28611</v>
      </c>
      <c r="B1153" s="947" t="s">
        <v>16086</v>
      </c>
      <c r="C1153" s="948" t="s">
        <v>16084</v>
      </c>
      <c r="D1153" s="242" t="s">
        <v>28718</v>
      </c>
      <c r="E1153" s="949">
        <v>702</v>
      </c>
      <c r="F1153" s="949">
        <v>702</v>
      </c>
      <c r="G1153" s="950" t="s">
        <v>9786</v>
      </c>
      <c r="H1153" s="950" t="s">
        <v>711</v>
      </c>
      <c r="I1153" s="951" t="s">
        <v>16085</v>
      </c>
      <c r="J1153" s="947" t="s">
        <v>16086</v>
      </c>
      <c r="K1153" s="143"/>
    </row>
    <row r="1154" spans="1:11">
      <c r="A1154" s="946" t="s">
        <v>28611</v>
      </c>
      <c r="B1154" s="947" t="s">
        <v>16241</v>
      </c>
      <c r="C1154" s="948" t="s">
        <v>16239</v>
      </c>
      <c r="D1154" s="242" t="s">
        <v>28718</v>
      </c>
      <c r="E1154" s="949">
        <v>702</v>
      </c>
      <c r="F1154" s="949">
        <v>702</v>
      </c>
      <c r="G1154" s="950" t="s">
        <v>9786</v>
      </c>
      <c r="H1154" s="950" t="s">
        <v>711</v>
      </c>
      <c r="I1154" s="951" t="s">
        <v>16240</v>
      </c>
      <c r="J1154" s="947" t="s">
        <v>16241</v>
      </c>
      <c r="K1154" s="143"/>
    </row>
    <row r="1155" spans="1:11">
      <c r="A1155" s="946" t="s">
        <v>28611</v>
      </c>
      <c r="B1155" s="947" t="s">
        <v>16390</v>
      </c>
      <c r="C1155" s="948" t="s">
        <v>16388</v>
      </c>
      <c r="D1155" s="242" t="s">
        <v>28718</v>
      </c>
      <c r="E1155" s="949">
        <v>702</v>
      </c>
      <c r="F1155" s="949">
        <v>702</v>
      </c>
      <c r="G1155" s="950" t="s">
        <v>9786</v>
      </c>
      <c r="H1155" s="950" t="s">
        <v>711</v>
      </c>
      <c r="I1155" s="951" t="s">
        <v>16389</v>
      </c>
      <c r="J1155" s="947" t="s">
        <v>16390</v>
      </c>
      <c r="K1155" s="143"/>
    </row>
    <row r="1156" spans="1:11">
      <c r="A1156" s="946" t="s">
        <v>28611</v>
      </c>
      <c r="B1156" s="947" t="s">
        <v>16730</v>
      </c>
      <c r="C1156" s="948" t="s">
        <v>16728</v>
      </c>
      <c r="D1156" s="242" t="s">
        <v>28718</v>
      </c>
      <c r="E1156" s="949">
        <v>702</v>
      </c>
      <c r="F1156" s="949">
        <v>702</v>
      </c>
      <c r="G1156" s="950" t="s">
        <v>9786</v>
      </c>
      <c r="H1156" s="950" t="s">
        <v>711</v>
      </c>
      <c r="I1156" s="951" t="s">
        <v>16729</v>
      </c>
      <c r="J1156" s="947" t="s">
        <v>16730</v>
      </c>
      <c r="K1156" s="143"/>
    </row>
    <row r="1157" spans="1:11">
      <c r="A1157" s="946" t="s">
        <v>28611</v>
      </c>
      <c r="B1157" s="947" t="s">
        <v>17361</v>
      </c>
      <c r="C1157" s="948" t="s">
        <v>17359</v>
      </c>
      <c r="D1157" s="242" t="s">
        <v>28718</v>
      </c>
      <c r="E1157" s="949">
        <v>702</v>
      </c>
      <c r="F1157" s="949">
        <v>702</v>
      </c>
      <c r="G1157" s="950" t="s">
        <v>9786</v>
      </c>
      <c r="H1157" s="950" t="s">
        <v>711</v>
      </c>
      <c r="I1157" s="951" t="s">
        <v>17360</v>
      </c>
      <c r="J1157" s="947" t="s">
        <v>17361</v>
      </c>
      <c r="K1157" s="143"/>
    </row>
    <row r="1158" spans="1:11">
      <c r="A1158" s="946" t="s">
        <v>28611</v>
      </c>
      <c r="B1158" s="947" t="s">
        <v>17406</v>
      </c>
      <c r="C1158" s="948" t="s">
        <v>17404</v>
      </c>
      <c r="D1158" s="242" t="s">
        <v>28718</v>
      </c>
      <c r="E1158" s="949">
        <v>702</v>
      </c>
      <c r="F1158" s="949">
        <v>702</v>
      </c>
      <c r="G1158" s="950" t="s">
        <v>9786</v>
      </c>
      <c r="H1158" s="950" t="s">
        <v>711</v>
      </c>
      <c r="I1158" s="951" t="s">
        <v>17405</v>
      </c>
      <c r="J1158" s="947" t="s">
        <v>17406</v>
      </c>
      <c r="K1158" s="143"/>
    </row>
    <row r="1159" spans="1:11">
      <c r="A1159" s="946" t="s">
        <v>28611</v>
      </c>
      <c r="B1159" s="947" t="s">
        <v>17816</v>
      </c>
      <c r="C1159" s="948" t="s">
        <v>17814</v>
      </c>
      <c r="D1159" s="242" t="s">
        <v>28718</v>
      </c>
      <c r="E1159" s="949">
        <v>702</v>
      </c>
      <c r="F1159" s="949">
        <v>702</v>
      </c>
      <c r="G1159" s="950" t="s">
        <v>9786</v>
      </c>
      <c r="H1159" s="950" t="s">
        <v>711</v>
      </c>
      <c r="I1159" s="951" t="s">
        <v>17815</v>
      </c>
      <c r="J1159" s="947" t="s">
        <v>17816</v>
      </c>
      <c r="K1159" s="143"/>
    </row>
    <row r="1160" spans="1:11">
      <c r="A1160" s="946" t="s">
        <v>28611</v>
      </c>
      <c r="B1160" s="947" t="s">
        <v>18366</v>
      </c>
      <c r="C1160" s="948" t="s">
        <v>18364</v>
      </c>
      <c r="D1160" s="242" t="s">
        <v>28718</v>
      </c>
      <c r="E1160" s="949">
        <v>702</v>
      </c>
      <c r="F1160" s="949">
        <v>702</v>
      </c>
      <c r="G1160" s="950" t="s">
        <v>9786</v>
      </c>
      <c r="H1160" s="950" t="s">
        <v>711</v>
      </c>
      <c r="I1160" s="951" t="s">
        <v>18365</v>
      </c>
      <c r="J1160" s="947" t="s">
        <v>18366</v>
      </c>
      <c r="K1160" s="143"/>
    </row>
    <row r="1161" spans="1:11">
      <c r="A1161" s="946" t="s">
        <v>28611</v>
      </c>
      <c r="B1161" s="947" t="s">
        <v>18753</v>
      </c>
      <c r="C1161" s="948" t="s">
        <v>18751</v>
      </c>
      <c r="D1161" s="242" t="s">
        <v>28718</v>
      </c>
      <c r="E1161" s="949">
        <v>702</v>
      </c>
      <c r="F1161" s="949">
        <v>702</v>
      </c>
      <c r="G1161" s="950" t="s">
        <v>9786</v>
      </c>
      <c r="H1161" s="950" t="s">
        <v>711</v>
      </c>
      <c r="I1161" s="951" t="s">
        <v>18752</v>
      </c>
      <c r="J1161" s="947" t="s">
        <v>18753</v>
      </c>
      <c r="K1161" s="143"/>
    </row>
    <row r="1162" spans="1:11">
      <c r="A1162" s="946" t="s">
        <v>28611</v>
      </c>
      <c r="B1162" s="947" t="s">
        <v>19151</v>
      </c>
      <c r="C1162" s="948" t="s">
        <v>19149</v>
      </c>
      <c r="D1162" s="242" t="s">
        <v>28718</v>
      </c>
      <c r="E1162" s="949">
        <v>702</v>
      </c>
      <c r="F1162" s="949">
        <v>702</v>
      </c>
      <c r="G1162" s="950" t="s">
        <v>9786</v>
      </c>
      <c r="H1162" s="950" t="s">
        <v>711</v>
      </c>
      <c r="I1162" s="951" t="s">
        <v>19150</v>
      </c>
      <c r="J1162" s="947" t="s">
        <v>19151</v>
      </c>
      <c r="K1162" s="143"/>
    </row>
    <row r="1163" spans="1:11">
      <c r="A1163" s="946" t="s">
        <v>28611</v>
      </c>
      <c r="B1163" s="947" t="s">
        <v>19644</v>
      </c>
      <c r="C1163" s="948" t="s">
        <v>19642</v>
      </c>
      <c r="D1163" s="242" t="s">
        <v>28718</v>
      </c>
      <c r="E1163" s="949">
        <v>702</v>
      </c>
      <c r="F1163" s="949">
        <v>702</v>
      </c>
      <c r="G1163" s="950" t="s">
        <v>9786</v>
      </c>
      <c r="H1163" s="950" t="s">
        <v>711</v>
      </c>
      <c r="I1163" s="951" t="s">
        <v>19643</v>
      </c>
      <c r="J1163" s="947" t="s">
        <v>19644</v>
      </c>
      <c r="K1163" s="143"/>
    </row>
    <row r="1164" spans="1:11">
      <c r="A1164" s="946" t="s">
        <v>28611</v>
      </c>
      <c r="B1164" s="947" t="s">
        <v>20162</v>
      </c>
      <c r="C1164" s="948" t="s">
        <v>20160</v>
      </c>
      <c r="D1164" s="242" t="s">
        <v>28718</v>
      </c>
      <c r="E1164" s="949">
        <v>702</v>
      </c>
      <c r="F1164" s="949">
        <v>702</v>
      </c>
      <c r="G1164" s="950" t="s">
        <v>9786</v>
      </c>
      <c r="H1164" s="950" t="s">
        <v>711</v>
      </c>
      <c r="I1164" s="951" t="s">
        <v>20161</v>
      </c>
      <c r="J1164" s="947" t="s">
        <v>20162</v>
      </c>
      <c r="K1164" s="143"/>
    </row>
    <row r="1165" spans="1:11">
      <c r="A1165" s="946" t="s">
        <v>28611</v>
      </c>
      <c r="B1165" s="947" t="s">
        <v>20423</v>
      </c>
      <c r="C1165" s="948" t="s">
        <v>20421</v>
      </c>
      <c r="D1165" s="242" t="s">
        <v>28718</v>
      </c>
      <c r="E1165" s="949">
        <v>702</v>
      </c>
      <c r="F1165" s="949">
        <v>702</v>
      </c>
      <c r="G1165" s="950" t="s">
        <v>9786</v>
      </c>
      <c r="H1165" s="950" t="s">
        <v>711</v>
      </c>
      <c r="I1165" s="951" t="s">
        <v>20422</v>
      </c>
      <c r="J1165" s="947" t="s">
        <v>20423</v>
      </c>
      <c r="K1165" s="143"/>
    </row>
    <row r="1166" spans="1:11">
      <c r="A1166" s="946" t="s">
        <v>28611</v>
      </c>
      <c r="B1166" s="947" t="s">
        <v>21047</v>
      </c>
      <c r="C1166" s="948" t="s">
        <v>21045</v>
      </c>
      <c r="D1166" s="242" t="s">
        <v>28718</v>
      </c>
      <c r="E1166" s="949">
        <v>702</v>
      </c>
      <c r="F1166" s="949">
        <v>702</v>
      </c>
      <c r="G1166" s="950" t="s">
        <v>9786</v>
      </c>
      <c r="H1166" s="950" t="s">
        <v>711</v>
      </c>
      <c r="I1166" s="951" t="s">
        <v>21046</v>
      </c>
      <c r="J1166" s="947" t="s">
        <v>21047</v>
      </c>
      <c r="K1166" s="143"/>
    </row>
    <row r="1167" spans="1:11">
      <c r="A1167" s="946" t="s">
        <v>28611</v>
      </c>
      <c r="B1167" s="947" t="s">
        <v>21428</v>
      </c>
      <c r="C1167" s="948" t="s">
        <v>21426</v>
      </c>
      <c r="D1167" s="242" t="s">
        <v>28718</v>
      </c>
      <c r="E1167" s="949">
        <v>702</v>
      </c>
      <c r="F1167" s="949">
        <v>702</v>
      </c>
      <c r="G1167" s="950" t="s">
        <v>9786</v>
      </c>
      <c r="H1167" s="950" t="s">
        <v>711</v>
      </c>
      <c r="I1167" s="951" t="s">
        <v>21427</v>
      </c>
      <c r="J1167" s="947" t="s">
        <v>21428</v>
      </c>
      <c r="K1167" s="143"/>
    </row>
    <row r="1168" spans="1:11">
      <c r="A1168" s="946" t="s">
        <v>28611</v>
      </c>
      <c r="B1168" s="947" t="s">
        <v>21434</v>
      </c>
      <c r="C1168" s="948" t="s">
        <v>21432</v>
      </c>
      <c r="D1168" s="242" t="s">
        <v>28718</v>
      </c>
      <c r="E1168" s="949">
        <v>702</v>
      </c>
      <c r="F1168" s="949">
        <v>702</v>
      </c>
      <c r="G1168" s="950" t="s">
        <v>9786</v>
      </c>
      <c r="H1168" s="950" t="s">
        <v>711</v>
      </c>
      <c r="I1168" s="951" t="s">
        <v>21433</v>
      </c>
      <c r="J1168" s="947" t="s">
        <v>21434</v>
      </c>
      <c r="K1168" s="143"/>
    </row>
    <row r="1169" spans="1:11">
      <c r="A1169" s="946" t="s">
        <v>28611</v>
      </c>
      <c r="B1169" s="947" t="s">
        <v>21610</v>
      </c>
      <c r="C1169" s="948" t="s">
        <v>21608</v>
      </c>
      <c r="D1169" s="242" t="s">
        <v>28718</v>
      </c>
      <c r="E1169" s="949">
        <v>702</v>
      </c>
      <c r="F1169" s="949">
        <v>702</v>
      </c>
      <c r="G1169" s="950" t="s">
        <v>9786</v>
      </c>
      <c r="H1169" s="950" t="s">
        <v>711</v>
      </c>
      <c r="I1169" s="951" t="s">
        <v>21609</v>
      </c>
      <c r="J1169" s="947" t="s">
        <v>21610</v>
      </c>
      <c r="K1169" s="143"/>
    </row>
    <row r="1170" spans="1:11">
      <c r="A1170" s="946" t="s">
        <v>28611</v>
      </c>
      <c r="B1170" s="947" t="s">
        <v>21713</v>
      </c>
      <c r="C1170" s="948" t="s">
        <v>21711</v>
      </c>
      <c r="D1170" s="242" t="s">
        <v>28718</v>
      </c>
      <c r="E1170" s="949">
        <v>702</v>
      </c>
      <c r="F1170" s="949">
        <v>702</v>
      </c>
      <c r="G1170" s="950" t="s">
        <v>9786</v>
      </c>
      <c r="H1170" s="950" t="s">
        <v>711</v>
      </c>
      <c r="I1170" s="951" t="s">
        <v>21712</v>
      </c>
      <c r="J1170" s="947" t="s">
        <v>21713</v>
      </c>
      <c r="K1170" s="143"/>
    </row>
    <row r="1171" spans="1:11">
      <c r="A1171" s="946" t="s">
        <v>28611</v>
      </c>
      <c r="B1171" s="947" t="s">
        <v>21851</v>
      </c>
      <c r="C1171" s="948" t="s">
        <v>21849</v>
      </c>
      <c r="D1171" s="242" t="s">
        <v>28718</v>
      </c>
      <c r="E1171" s="949">
        <v>702</v>
      </c>
      <c r="F1171" s="949">
        <v>702</v>
      </c>
      <c r="G1171" s="950" t="s">
        <v>9786</v>
      </c>
      <c r="H1171" s="950" t="s">
        <v>711</v>
      </c>
      <c r="I1171" s="951" t="s">
        <v>21850</v>
      </c>
      <c r="J1171" s="947" t="s">
        <v>21851</v>
      </c>
      <c r="K1171" s="143"/>
    </row>
    <row r="1172" spans="1:11">
      <c r="A1172" s="946" t="s">
        <v>28611</v>
      </c>
      <c r="B1172" s="947" t="s">
        <v>22100</v>
      </c>
      <c r="C1172" s="948" t="s">
        <v>22098</v>
      </c>
      <c r="D1172" s="242" t="s">
        <v>28718</v>
      </c>
      <c r="E1172" s="949">
        <v>702</v>
      </c>
      <c r="F1172" s="949">
        <v>702</v>
      </c>
      <c r="G1172" s="950" t="s">
        <v>9786</v>
      </c>
      <c r="H1172" s="950" t="s">
        <v>711</v>
      </c>
      <c r="I1172" s="951" t="s">
        <v>22099</v>
      </c>
      <c r="J1172" s="947" t="s">
        <v>22100</v>
      </c>
      <c r="K1172" s="143"/>
    </row>
    <row r="1173" spans="1:11">
      <c r="A1173" s="946" t="s">
        <v>28611</v>
      </c>
      <c r="B1173" s="947" t="s">
        <v>28629</v>
      </c>
      <c r="C1173" s="948" t="s">
        <v>28751</v>
      </c>
      <c r="D1173" s="242" t="s">
        <v>28718</v>
      </c>
      <c r="E1173" s="949">
        <v>702</v>
      </c>
      <c r="F1173" s="949">
        <v>702</v>
      </c>
      <c r="G1173" s="950" t="s">
        <v>9786</v>
      </c>
      <c r="H1173" s="950" t="s">
        <v>711</v>
      </c>
      <c r="I1173" s="951" t="s">
        <v>28674</v>
      </c>
      <c r="J1173" s="947" t="s">
        <v>28629</v>
      </c>
      <c r="K1173" s="143"/>
    </row>
    <row r="1174" spans="1:11">
      <c r="A1174" s="946" t="s">
        <v>28611</v>
      </c>
      <c r="B1174" s="947" t="s">
        <v>747</v>
      </c>
      <c r="C1174" s="948" t="s">
        <v>744</v>
      </c>
      <c r="D1174" s="242" t="s">
        <v>32001</v>
      </c>
      <c r="E1174" s="949">
        <v>705</v>
      </c>
      <c r="F1174" s="949">
        <v>705</v>
      </c>
      <c r="G1174" s="950" t="s">
        <v>18987</v>
      </c>
      <c r="H1174" s="950" t="s">
        <v>745</v>
      </c>
      <c r="I1174" s="951" t="s">
        <v>746</v>
      </c>
      <c r="J1174" s="947" t="s">
        <v>747</v>
      </c>
      <c r="K1174" s="143"/>
    </row>
    <row r="1175" spans="1:11">
      <c r="A1175" s="946" t="s">
        <v>28611</v>
      </c>
      <c r="B1175" s="947" t="s">
        <v>798</v>
      </c>
      <c r="C1175" s="948" t="s">
        <v>796</v>
      </c>
      <c r="D1175" s="242" t="s">
        <v>32001</v>
      </c>
      <c r="E1175" s="949">
        <v>705</v>
      </c>
      <c r="F1175" s="949">
        <v>705</v>
      </c>
      <c r="G1175" s="950" t="s">
        <v>18987</v>
      </c>
      <c r="H1175" s="950" t="s">
        <v>745</v>
      </c>
      <c r="I1175" s="951" t="s">
        <v>797</v>
      </c>
      <c r="J1175" s="947" t="s">
        <v>798</v>
      </c>
      <c r="K1175" s="143"/>
    </row>
    <row r="1176" spans="1:11">
      <c r="A1176" s="946" t="s">
        <v>28611</v>
      </c>
      <c r="B1176" s="947" t="s">
        <v>847</v>
      </c>
      <c r="C1176" s="948" t="s">
        <v>845</v>
      </c>
      <c r="D1176" s="242" t="s">
        <v>32001</v>
      </c>
      <c r="E1176" s="949">
        <v>705</v>
      </c>
      <c r="F1176" s="949">
        <v>705</v>
      </c>
      <c r="G1176" s="950" t="s">
        <v>18987</v>
      </c>
      <c r="H1176" s="950" t="s">
        <v>745</v>
      </c>
      <c r="I1176" s="951" t="s">
        <v>846</v>
      </c>
      <c r="J1176" s="947" t="s">
        <v>847</v>
      </c>
      <c r="K1176" s="143"/>
    </row>
    <row r="1177" spans="1:11">
      <c r="A1177" s="946" t="s">
        <v>28611</v>
      </c>
      <c r="B1177" s="947" t="s">
        <v>844</v>
      </c>
      <c r="C1177" s="948" t="s">
        <v>842</v>
      </c>
      <c r="D1177" s="242" t="s">
        <v>32001</v>
      </c>
      <c r="E1177" s="949">
        <v>705</v>
      </c>
      <c r="F1177" s="949">
        <v>705</v>
      </c>
      <c r="G1177" s="950" t="s">
        <v>18987</v>
      </c>
      <c r="H1177" s="950" t="s">
        <v>745</v>
      </c>
      <c r="I1177" s="951" t="s">
        <v>843</v>
      </c>
      <c r="J1177" s="947" t="s">
        <v>844</v>
      </c>
      <c r="K1177" s="143"/>
    </row>
    <row r="1178" spans="1:11">
      <c r="A1178" s="946" t="s">
        <v>28611</v>
      </c>
      <c r="B1178" s="947" t="s">
        <v>992</v>
      </c>
      <c r="C1178" s="948" t="s">
        <v>990</v>
      </c>
      <c r="D1178" s="242" t="s">
        <v>32001</v>
      </c>
      <c r="E1178" s="949">
        <v>706</v>
      </c>
      <c r="F1178" s="949">
        <v>706</v>
      </c>
      <c r="G1178" s="950" t="s">
        <v>18987</v>
      </c>
      <c r="H1178" s="950" t="s">
        <v>745</v>
      </c>
      <c r="I1178" s="951" t="s">
        <v>991</v>
      </c>
      <c r="J1178" s="947" t="s">
        <v>992</v>
      </c>
      <c r="K1178" s="143"/>
    </row>
    <row r="1179" spans="1:11">
      <c r="A1179" s="946" t="s">
        <v>28611</v>
      </c>
      <c r="B1179" s="947" t="s">
        <v>1127</v>
      </c>
      <c r="C1179" s="948" t="s">
        <v>1125</v>
      </c>
      <c r="D1179" s="242" t="s">
        <v>28718</v>
      </c>
      <c r="E1179" s="949">
        <v>702</v>
      </c>
      <c r="F1179" s="949">
        <v>702</v>
      </c>
      <c r="G1179" s="950" t="s">
        <v>18987</v>
      </c>
      <c r="H1179" s="950" t="s">
        <v>745</v>
      </c>
      <c r="I1179" s="951" t="s">
        <v>1126</v>
      </c>
      <c r="J1179" s="947" t="s">
        <v>1127</v>
      </c>
      <c r="K1179" s="143"/>
    </row>
    <row r="1180" spans="1:11">
      <c r="A1180" s="946" t="s">
        <v>28611</v>
      </c>
      <c r="B1180" s="947" t="s">
        <v>1453</v>
      </c>
      <c r="C1180" s="948" t="s">
        <v>1451</v>
      </c>
      <c r="D1180" s="242" t="s">
        <v>32001</v>
      </c>
      <c r="E1180" s="949">
        <v>705</v>
      </c>
      <c r="F1180" s="949">
        <v>705</v>
      </c>
      <c r="G1180" s="950" t="s">
        <v>18987</v>
      </c>
      <c r="H1180" s="950" t="s">
        <v>745</v>
      </c>
      <c r="I1180" s="951" t="s">
        <v>1452</v>
      </c>
      <c r="J1180" s="947" t="s">
        <v>1453</v>
      </c>
      <c r="K1180" s="143"/>
    </row>
    <row r="1181" spans="1:11">
      <c r="A1181" s="946" t="s">
        <v>28611</v>
      </c>
      <c r="B1181" s="947" t="s">
        <v>1865</v>
      </c>
      <c r="C1181" s="948" t="s">
        <v>1863</v>
      </c>
      <c r="D1181" s="242" t="s">
        <v>32001</v>
      </c>
      <c r="E1181" s="949">
        <v>705</v>
      </c>
      <c r="F1181" s="949">
        <v>705</v>
      </c>
      <c r="G1181" s="950" t="s">
        <v>18987</v>
      </c>
      <c r="H1181" s="950" t="s">
        <v>745</v>
      </c>
      <c r="I1181" s="951" t="s">
        <v>1864</v>
      </c>
      <c r="J1181" s="947" t="s">
        <v>1865</v>
      </c>
      <c r="K1181" s="143"/>
    </row>
    <row r="1182" spans="1:11">
      <c r="A1182" s="946" t="s">
        <v>28611</v>
      </c>
      <c r="B1182" s="947" t="s">
        <v>1962</v>
      </c>
      <c r="C1182" s="948" t="s">
        <v>1960</v>
      </c>
      <c r="D1182" s="242" t="s">
        <v>32001</v>
      </c>
      <c r="E1182" s="949">
        <v>706</v>
      </c>
      <c r="F1182" s="949">
        <v>706</v>
      </c>
      <c r="G1182" s="950" t="s">
        <v>18987</v>
      </c>
      <c r="H1182" s="950" t="s">
        <v>745</v>
      </c>
      <c r="I1182" s="951" t="s">
        <v>1961</v>
      </c>
      <c r="J1182" s="947" t="s">
        <v>1962</v>
      </c>
      <c r="K1182" s="143"/>
    </row>
    <row r="1183" spans="1:11">
      <c r="A1183" s="946" t="s">
        <v>28611</v>
      </c>
      <c r="B1183" s="947" t="s">
        <v>2301</v>
      </c>
      <c r="C1183" s="948" t="s">
        <v>2299</v>
      </c>
      <c r="D1183" s="242" t="s">
        <v>32001</v>
      </c>
      <c r="E1183" s="949">
        <v>705</v>
      </c>
      <c r="F1183" s="949">
        <v>705</v>
      </c>
      <c r="G1183" s="950" t="s">
        <v>18987</v>
      </c>
      <c r="H1183" s="950" t="s">
        <v>745</v>
      </c>
      <c r="I1183" s="951" t="s">
        <v>2300</v>
      </c>
      <c r="J1183" s="947" t="s">
        <v>2301</v>
      </c>
      <c r="K1183" s="143"/>
    </row>
    <row r="1184" spans="1:11">
      <c r="A1184" s="946" t="s">
        <v>28611</v>
      </c>
      <c r="B1184" s="947" t="s">
        <v>2563</v>
      </c>
      <c r="C1184" s="948" t="s">
        <v>2561</v>
      </c>
      <c r="D1184" s="242" t="s">
        <v>32001</v>
      </c>
      <c r="E1184" s="949">
        <v>705</v>
      </c>
      <c r="F1184" s="949">
        <v>705</v>
      </c>
      <c r="G1184" s="950" t="s">
        <v>18987</v>
      </c>
      <c r="H1184" s="950" t="s">
        <v>745</v>
      </c>
      <c r="I1184" s="951" t="s">
        <v>2562</v>
      </c>
      <c r="J1184" s="947" t="s">
        <v>2563</v>
      </c>
      <c r="K1184" s="143"/>
    </row>
    <row r="1185" spans="1:11">
      <c r="A1185" s="946" t="s">
        <v>28611</v>
      </c>
      <c r="B1185" s="947" t="s">
        <v>2709</v>
      </c>
      <c r="C1185" s="948" t="s">
        <v>2707</v>
      </c>
      <c r="D1185" s="242" t="s">
        <v>32001</v>
      </c>
      <c r="E1185" s="949">
        <v>705</v>
      </c>
      <c r="F1185" s="949">
        <v>705</v>
      </c>
      <c r="G1185" s="950" t="s">
        <v>18987</v>
      </c>
      <c r="H1185" s="950" t="s">
        <v>745</v>
      </c>
      <c r="I1185" s="951" t="s">
        <v>2708</v>
      </c>
      <c r="J1185" s="947" t="s">
        <v>2709</v>
      </c>
      <c r="K1185" s="143"/>
    </row>
    <row r="1186" spans="1:11">
      <c r="A1186" s="946" t="s">
        <v>28611</v>
      </c>
      <c r="B1186" s="947" t="s">
        <v>2721</v>
      </c>
      <c r="C1186" s="948" t="s">
        <v>2719</v>
      </c>
      <c r="D1186" s="242" t="s">
        <v>32001</v>
      </c>
      <c r="E1186" s="949">
        <v>705</v>
      </c>
      <c r="F1186" s="949">
        <v>705</v>
      </c>
      <c r="G1186" s="950" t="s">
        <v>18987</v>
      </c>
      <c r="H1186" s="950" t="s">
        <v>745</v>
      </c>
      <c r="I1186" s="951" t="s">
        <v>2720</v>
      </c>
      <c r="J1186" s="947" t="s">
        <v>2721</v>
      </c>
      <c r="K1186" s="143"/>
    </row>
    <row r="1187" spans="1:11">
      <c r="A1187" s="946" t="s">
        <v>28611</v>
      </c>
      <c r="B1187" s="947" t="s">
        <v>2817</v>
      </c>
      <c r="C1187" s="948" t="s">
        <v>2815</v>
      </c>
      <c r="D1187" s="242" t="s">
        <v>32001</v>
      </c>
      <c r="E1187" s="949">
        <v>706</v>
      </c>
      <c r="F1187" s="949">
        <v>706</v>
      </c>
      <c r="G1187" s="950" t="s">
        <v>18987</v>
      </c>
      <c r="H1187" s="950" t="s">
        <v>745</v>
      </c>
      <c r="I1187" s="951" t="s">
        <v>2816</v>
      </c>
      <c r="J1187" s="947" t="s">
        <v>2817</v>
      </c>
      <c r="K1187" s="143"/>
    </row>
    <row r="1188" spans="1:11">
      <c r="A1188" s="946" t="s">
        <v>28611</v>
      </c>
      <c r="B1188" s="947" t="s">
        <v>3406</v>
      </c>
      <c r="C1188" s="948" t="s">
        <v>3404</v>
      </c>
      <c r="D1188" s="242" t="s">
        <v>32001</v>
      </c>
      <c r="E1188" s="949">
        <v>706</v>
      </c>
      <c r="F1188" s="949">
        <v>706</v>
      </c>
      <c r="G1188" s="950" t="s">
        <v>18987</v>
      </c>
      <c r="H1188" s="950" t="s">
        <v>745</v>
      </c>
      <c r="I1188" s="951" t="s">
        <v>3405</v>
      </c>
      <c r="J1188" s="947" t="s">
        <v>3406</v>
      </c>
      <c r="K1188" s="143"/>
    </row>
    <row r="1189" spans="1:11">
      <c r="A1189" s="946" t="s">
        <v>28611</v>
      </c>
      <c r="B1189" s="947" t="s">
        <v>3499</v>
      </c>
      <c r="C1189" s="948" t="s">
        <v>3497</v>
      </c>
      <c r="D1189" s="242" t="s">
        <v>32001</v>
      </c>
      <c r="E1189" s="949">
        <v>705</v>
      </c>
      <c r="F1189" s="949">
        <v>705</v>
      </c>
      <c r="G1189" s="950" t="s">
        <v>18987</v>
      </c>
      <c r="H1189" s="950" t="s">
        <v>745</v>
      </c>
      <c r="I1189" s="951" t="s">
        <v>3498</v>
      </c>
      <c r="J1189" s="947" t="s">
        <v>3499</v>
      </c>
      <c r="K1189" s="143"/>
    </row>
    <row r="1190" spans="1:11">
      <c r="A1190" s="946" t="s">
        <v>28611</v>
      </c>
      <c r="B1190" s="947" t="s">
        <v>3508</v>
      </c>
      <c r="C1190" s="948" t="s">
        <v>3506</v>
      </c>
      <c r="D1190" s="242" t="s">
        <v>32001</v>
      </c>
      <c r="E1190" s="949">
        <v>706</v>
      </c>
      <c r="F1190" s="949">
        <v>706</v>
      </c>
      <c r="G1190" s="950" t="s">
        <v>18987</v>
      </c>
      <c r="H1190" s="950" t="s">
        <v>745</v>
      </c>
      <c r="I1190" s="951" t="s">
        <v>3507</v>
      </c>
      <c r="J1190" s="947" t="s">
        <v>3508</v>
      </c>
      <c r="K1190" s="143"/>
    </row>
    <row r="1191" spans="1:11">
      <c r="A1191" s="946" t="s">
        <v>28611</v>
      </c>
      <c r="B1191" s="947" t="s">
        <v>4260</v>
      </c>
      <c r="C1191" s="948" t="s">
        <v>4258</v>
      </c>
      <c r="D1191" s="242" t="s">
        <v>32001</v>
      </c>
      <c r="E1191" s="949">
        <v>706</v>
      </c>
      <c r="F1191" s="949">
        <v>706</v>
      </c>
      <c r="G1191" s="950" t="s">
        <v>18987</v>
      </c>
      <c r="H1191" s="950" t="s">
        <v>745</v>
      </c>
      <c r="I1191" s="951" t="s">
        <v>4259</v>
      </c>
      <c r="J1191" s="947" t="s">
        <v>4260</v>
      </c>
      <c r="K1191" s="143"/>
    </row>
    <row r="1192" spans="1:11">
      <c r="A1192" s="946" t="s">
        <v>28611</v>
      </c>
      <c r="B1192" s="947" t="s">
        <v>4673</v>
      </c>
      <c r="C1192" s="948" t="s">
        <v>4671</v>
      </c>
      <c r="D1192" s="242" t="s">
        <v>32001</v>
      </c>
      <c r="E1192" s="949">
        <v>705</v>
      </c>
      <c r="F1192" s="949">
        <v>705</v>
      </c>
      <c r="G1192" s="950" t="s">
        <v>18987</v>
      </c>
      <c r="H1192" s="950" t="s">
        <v>745</v>
      </c>
      <c r="I1192" s="951" t="s">
        <v>4672</v>
      </c>
      <c r="J1192" s="947" t="s">
        <v>4673</v>
      </c>
      <c r="K1192" s="143"/>
    </row>
    <row r="1193" spans="1:11">
      <c r="A1193" s="946" t="s">
        <v>28611</v>
      </c>
      <c r="B1193" s="947" t="s">
        <v>5061</v>
      </c>
      <c r="C1193" s="948" t="s">
        <v>5059</v>
      </c>
      <c r="D1193" s="242" t="s">
        <v>32001</v>
      </c>
      <c r="E1193" s="949">
        <v>705</v>
      </c>
      <c r="F1193" s="949">
        <v>705</v>
      </c>
      <c r="G1193" s="950" t="s">
        <v>18987</v>
      </c>
      <c r="H1193" s="950" t="s">
        <v>745</v>
      </c>
      <c r="I1193" s="951" t="s">
        <v>5060</v>
      </c>
      <c r="J1193" s="947" t="s">
        <v>5061</v>
      </c>
      <c r="K1193" s="143"/>
    </row>
    <row r="1194" spans="1:11">
      <c r="A1194" s="946" t="s">
        <v>28611</v>
      </c>
      <c r="B1194" s="947" t="s">
        <v>5436</v>
      </c>
      <c r="C1194" s="948" t="s">
        <v>5434</v>
      </c>
      <c r="D1194" s="242" t="s">
        <v>32001</v>
      </c>
      <c r="E1194" s="949">
        <v>705</v>
      </c>
      <c r="F1194" s="949">
        <v>705</v>
      </c>
      <c r="G1194" s="950" t="s">
        <v>18987</v>
      </c>
      <c r="H1194" s="950" t="s">
        <v>745</v>
      </c>
      <c r="I1194" s="951" t="s">
        <v>5435</v>
      </c>
      <c r="J1194" s="947" t="s">
        <v>5436</v>
      </c>
      <c r="K1194" s="143"/>
    </row>
    <row r="1195" spans="1:11">
      <c r="A1195" s="946" t="s">
        <v>28611</v>
      </c>
      <c r="B1195" s="947" t="s">
        <v>5820</v>
      </c>
      <c r="C1195" s="948" t="s">
        <v>5818</v>
      </c>
      <c r="D1195" s="242" t="s">
        <v>32001</v>
      </c>
      <c r="E1195" s="949">
        <v>705</v>
      </c>
      <c r="F1195" s="949">
        <v>705</v>
      </c>
      <c r="G1195" s="950" t="s">
        <v>18987</v>
      </c>
      <c r="H1195" s="950" t="s">
        <v>745</v>
      </c>
      <c r="I1195" s="951" t="s">
        <v>5819</v>
      </c>
      <c r="J1195" s="947" t="s">
        <v>5820</v>
      </c>
      <c r="K1195" s="143"/>
    </row>
    <row r="1196" spans="1:11">
      <c r="A1196" s="946" t="s">
        <v>28611</v>
      </c>
      <c r="B1196" s="947" t="s">
        <v>5856</v>
      </c>
      <c r="C1196" s="948" t="s">
        <v>5854</v>
      </c>
      <c r="D1196" s="242" t="s">
        <v>32001</v>
      </c>
      <c r="E1196" s="949">
        <v>706</v>
      </c>
      <c r="F1196" s="949">
        <v>706</v>
      </c>
      <c r="G1196" s="950" t="s">
        <v>18987</v>
      </c>
      <c r="H1196" s="950" t="s">
        <v>745</v>
      </c>
      <c r="I1196" s="951" t="s">
        <v>5855</v>
      </c>
      <c r="J1196" s="947" t="s">
        <v>5856</v>
      </c>
      <c r="K1196" s="143"/>
    </row>
    <row r="1197" spans="1:11">
      <c r="A1197" s="946" t="s">
        <v>28611</v>
      </c>
      <c r="B1197" s="947" t="s">
        <v>5962</v>
      </c>
      <c r="C1197" s="948" t="s">
        <v>5960</v>
      </c>
      <c r="D1197" s="242" t="s">
        <v>32001</v>
      </c>
      <c r="E1197" s="949">
        <v>705</v>
      </c>
      <c r="F1197" s="949">
        <v>705</v>
      </c>
      <c r="G1197" s="950" t="s">
        <v>18987</v>
      </c>
      <c r="H1197" s="950" t="s">
        <v>745</v>
      </c>
      <c r="I1197" s="951" t="s">
        <v>5961</v>
      </c>
      <c r="J1197" s="947" t="s">
        <v>5962</v>
      </c>
      <c r="K1197" s="143"/>
    </row>
    <row r="1198" spans="1:11">
      <c r="A1198" s="946" t="s">
        <v>28611</v>
      </c>
      <c r="B1198" s="947" t="s">
        <v>6474</v>
      </c>
      <c r="C1198" s="948" t="s">
        <v>6472</v>
      </c>
      <c r="D1198" s="242" t="s">
        <v>32001</v>
      </c>
      <c r="E1198" s="949">
        <v>705</v>
      </c>
      <c r="F1198" s="949">
        <v>705</v>
      </c>
      <c r="G1198" s="950" t="s">
        <v>18987</v>
      </c>
      <c r="H1198" s="950" t="s">
        <v>745</v>
      </c>
      <c r="I1198" s="951" t="s">
        <v>6473</v>
      </c>
      <c r="J1198" s="947" t="s">
        <v>6474</v>
      </c>
      <c r="K1198" s="143"/>
    </row>
    <row r="1199" spans="1:11">
      <c r="A1199" s="946" t="s">
        <v>28611</v>
      </c>
      <c r="B1199" s="947" t="s">
        <v>7242</v>
      </c>
      <c r="C1199" s="948" t="s">
        <v>7240</v>
      </c>
      <c r="D1199" s="242" t="s">
        <v>32001</v>
      </c>
      <c r="E1199" s="949">
        <v>706</v>
      </c>
      <c r="F1199" s="949">
        <v>706</v>
      </c>
      <c r="G1199" s="950" t="s">
        <v>18987</v>
      </c>
      <c r="H1199" s="950" t="s">
        <v>745</v>
      </c>
      <c r="I1199" s="951" t="s">
        <v>7241</v>
      </c>
      <c r="J1199" s="947" t="s">
        <v>7242</v>
      </c>
      <c r="K1199" s="143"/>
    </row>
    <row r="1200" spans="1:11">
      <c r="A1200" s="946" t="s">
        <v>28611</v>
      </c>
      <c r="B1200" s="947" t="s">
        <v>7580</v>
      </c>
      <c r="C1200" s="948" t="s">
        <v>7578</v>
      </c>
      <c r="D1200" s="242" t="s">
        <v>32001</v>
      </c>
      <c r="E1200" s="949">
        <v>706</v>
      </c>
      <c r="F1200" s="949">
        <v>706</v>
      </c>
      <c r="G1200" s="950" t="s">
        <v>18987</v>
      </c>
      <c r="H1200" s="950" t="s">
        <v>745</v>
      </c>
      <c r="I1200" s="951" t="s">
        <v>7579</v>
      </c>
      <c r="J1200" s="947" t="s">
        <v>7580</v>
      </c>
      <c r="K1200" s="143"/>
    </row>
    <row r="1201" spans="1:11">
      <c r="A1201" s="946" t="s">
        <v>28611</v>
      </c>
      <c r="B1201" s="947" t="s">
        <v>7893</v>
      </c>
      <c r="C1201" s="948" t="s">
        <v>7891</v>
      </c>
      <c r="D1201" s="242" t="s">
        <v>32001</v>
      </c>
      <c r="E1201" s="949">
        <v>705</v>
      </c>
      <c r="F1201" s="949">
        <v>705</v>
      </c>
      <c r="G1201" s="950" t="s">
        <v>18987</v>
      </c>
      <c r="H1201" s="950" t="s">
        <v>745</v>
      </c>
      <c r="I1201" s="951" t="s">
        <v>7892</v>
      </c>
      <c r="J1201" s="947" t="s">
        <v>7893</v>
      </c>
      <c r="K1201" s="143"/>
    </row>
    <row r="1202" spans="1:11">
      <c r="A1202" s="946" t="s">
        <v>28611</v>
      </c>
      <c r="B1202" s="947" t="s">
        <v>8265</v>
      </c>
      <c r="C1202" s="948" t="s">
        <v>8263</v>
      </c>
      <c r="D1202" s="242" t="s">
        <v>32001</v>
      </c>
      <c r="E1202" s="949">
        <v>705</v>
      </c>
      <c r="F1202" s="949">
        <v>705</v>
      </c>
      <c r="G1202" s="950" t="s">
        <v>18987</v>
      </c>
      <c r="H1202" s="950" t="s">
        <v>745</v>
      </c>
      <c r="I1202" s="951" t="s">
        <v>8264</v>
      </c>
      <c r="J1202" s="947" t="s">
        <v>8265</v>
      </c>
      <c r="K1202" s="143"/>
    </row>
    <row r="1203" spans="1:11">
      <c r="A1203" s="946" t="s">
        <v>28611</v>
      </c>
      <c r="B1203" s="947" t="s">
        <v>9002</v>
      </c>
      <c r="C1203" s="948" t="s">
        <v>9000</v>
      </c>
      <c r="D1203" s="242" t="s">
        <v>32001</v>
      </c>
      <c r="E1203" s="949">
        <v>705</v>
      </c>
      <c r="F1203" s="949">
        <v>705</v>
      </c>
      <c r="G1203" s="950" t="s">
        <v>18987</v>
      </c>
      <c r="H1203" s="950" t="s">
        <v>745</v>
      </c>
      <c r="I1203" s="951" t="s">
        <v>9001</v>
      </c>
      <c r="J1203" s="947" t="s">
        <v>9002</v>
      </c>
      <c r="K1203" s="143"/>
    </row>
    <row r="1204" spans="1:11">
      <c r="A1204" s="946" t="s">
        <v>28611</v>
      </c>
      <c r="B1204" s="947" t="s">
        <v>9310</v>
      </c>
      <c r="C1204" s="948" t="s">
        <v>9308</v>
      </c>
      <c r="D1204" s="242" t="s">
        <v>32001</v>
      </c>
      <c r="E1204" s="949">
        <v>705</v>
      </c>
      <c r="F1204" s="949">
        <v>705</v>
      </c>
      <c r="G1204" s="950" t="s">
        <v>18987</v>
      </c>
      <c r="H1204" s="950" t="s">
        <v>745</v>
      </c>
      <c r="I1204" s="951" t="s">
        <v>9309</v>
      </c>
      <c r="J1204" s="947" t="s">
        <v>9310</v>
      </c>
      <c r="K1204" s="143"/>
    </row>
    <row r="1205" spans="1:11">
      <c r="A1205" s="946" t="s">
        <v>28611</v>
      </c>
      <c r="B1205" s="947" t="s">
        <v>9316</v>
      </c>
      <c r="C1205" s="948" t="s">
        <v>9314</v>
      </c>
      <c r="D1205" s="242" t="s">
        <v>32001</v>
      </c>
      <c r="E1205" s="949">
        <v>706</v>
      </c>
      <c r="F1205" s="949">
        <v>706</v>
      </c>
      <c r="G1205" s="950" t="s">
        <v>18987</v>
      </c>
      <c r="H1205" s="950" t="s">
        <v>745</v>
      </c>
      <c r="I1205" s="951" t="s">
        <v>9315</v>
      </c>
      <c r="J1205" s="947" t="s">
        <v>9316</v>
      </c>
      <c r="K1205" s="143"/>
    </row>
    <row r="1206" spans="1:11">
      <c r="A1206" s="946" t="s">
        <v>28611</v>
      </c>
      <c r="B1206" s="947" t="s">
        <v>10064</v>
      </c>
      <c r="C1206" s="948" t="s">
        <v>10062</v>
      </c>
      <c r="D1206" s="242" t="s">
        <v>32001</v>
      </c>
      <c r="E1206" s="949">
        <v>705</v>
      </c>
      <c r="F1206" s="949">
        <v>705</v>
      </c>
      <c r="G1206" s="950" t="s">
        <v>18987</v>
      </c>
      <c r="H1206" s="950" t="s">
        <v>745</v>
      </c>
      <c r="I1206" s="951" t="s">
        <v>10063</v>
      </c>
      <c r="J1206" s="947" t="s">
        <v>10064</v>
      </c>
      <c r="K1206" s="143"/>
    </row>
    <row r="1207" spans="1:11">
      <c r="A1207" s="946" t="s">
        <v>28611</v>
      </c>
      <c r="B1207" s="947" t="s">
        <v>10516</v>
      </c>
      <c r="C1207" s="948" t="s">
        <v>10514</v>
      </c>
      <c r="D1207" s="242" t="s">
        <v>32001</v>
      </c>
      <c r="E1207" s="949">
        <v>705</v>
      </c>
      <c r="F1207" s="949">
        <v>705</v>
      </c>
      <c r="G1207" s="950" t="s">
        <v>18987</v>
      </c>
      <c r="H1207" s="950" t="s">
        <v>745</v>
      </c>
      <c r="I1207" s="951" t="s">
        <v>10515</v>
      </c>
      <c r="J1207" s="947" t="s">
        <v>10516</v>
      </c>
      <c r="K1207" s="143"/>
    </row>
    <row r="1208" spans="1:11">
      <c r="A1208" s="946" t="s">
        <v>28611</v>
      </c>
      <c r="B1208" s="947" t="s">
        <v>10902</v>
      </c>
      <c r="C1208" s="948" t="s">
        <v>10900</v>
      </c>
      <c r="D1208" s="242" t="s">
        <v>32001</v>
      </c>
      <c r="E1208" s="949">
        <v>705</v>
      </c>
      <c r="F1208" s="949">
        <v>705</v>
      </c>
      <c r="G1208" s="950" t="s">
        <v>18987</v>
      </c>
      <c r="H1208" s="950" t="s">
        <v>745</v>
      </c>
      <c r="I1208" s="951" t="s">
        <v>10901</v>
      </c>
      <c r="J1208" s="947" t="s">
        <v>10902</v>
      </c>
      <c r="K1208" s="143"/>
    </row>
    <row r="1209" spans="1:11">
      <c r="A1209" s="946" t="s">
        <v>28611</v>
      </c>
      <c r="B1209" s="947" t="s">
        <v>10987</v>
      </c>
      <c r="C1209" s="948" t="s">
        <v>10985</v>
      </c>
      <c r="D1209" s="242" t="s">
        <v>32001</v>
      </c>
      <c r="E1209" s="949">
        <v>706</v>
      </c>
      <c r="F1209" s="949">
        <v>706</v>
      </c>
      <c r="G1209" s="950" t="s">
        <v>18987</v>
      </c>
      <c r="H1209" s="950" t="s">
        <v>745</v>
      </c>
      <c r="I1209" s="951" t="s">
        <v>10986</v>
      </c>
      <c r="J1209" s="947" t="s">
        <v>10987</v>
      </c>
      <c r="K1209" s="143"/>
    </row>
    <row r="1210" spans="1:11">
      <c r="A1210" s="946" t="s">
        <v>28611</v>
      </c>
      <c r="B1210" s="947" t="s">
        <v>11424</v>
      </c>
      <c r="C1210" s="948" t="s">
        <v>11422</v>
      </c>
      <c r="D1210" s="242" t="s">
        <v>32001</v>
      </c>
      <c r="E1210" s="949">
        <v>706</v>
      </c>
      <c r="F1210" s="949">
        <v>706</v>
      </c>
      <c r="G1210" s="950" t="s">
        <v>18987</v>
      </c>
      <c r="H1210" s="950" t="s">
        <v>745</v>
      </c>
      <c r="I1210" s="951" t="s">
        <v>11423</v>
      </c>
      <c r="J1210" s="947" t="s">
        <v>11424</v>
      </c>
      <c r="K1210" s="143"/>
    </row>
    <row r="1211" spans="1:11">
      <c r="A1211" s="946" t="s">
        <v>28611</v>
      </c>
      <c r="B1211" s="947" t="s">
        <v>11777</v>
      </c>
      <c r="C1211" s="948" t="s">
        <v>11775</v>
      </c>
      <c r="D1211" s="242" t="s">
        <v>32001</v>
      </c>
      <c r="E1211" s="949">
        <v>706</v>
      </c>
      <c r="F1211" s="949">
        <v>706</v>
      </c>
      <c r="G1211" s="950" t="s">
        <v>18987</v>
      </c>
      <c r="H1211" s="950" t="s">
        <v>745</v>
      </c>
      <c r="I1211" s="951" t="s">
        <v>11776</v>
      </c>
      <c r="J1211" s="947" t="s">
        <v>11777</v>
      </c>
      <c r="K1211" s="143"/>
    </row>
    <row r="1212" spans="1:11">
      <c r="A1212" s="946" t="s">
        <v>28611</v>
      </c>
      <c r="B1212" s="947" t="s">
        <v>11809</v>
      </c>
      <c r="C1212" s="948" t="s">
        <v>11807</v>
      </c>
      <c r="D1212" s="242" t="s">
        <v>32001</v>
      </c>
      <c r="E1212" s="949">
        <v>706</v>
      </c>
      <c r="F1212" s="949">
        <v>706</v>
      </c>
      <c r="G1212" s="950" t="s">
        <v>18987</v>
      </c>
      <c r="H1212" s="950" t="s">
        <v>745</v>
      </c>
      <c r="I1212" s="951" t="s">
        <v>11808</v>
      </c>
      <c r="J1212" s="947" t="s">
        <v>11809</v>
      </c>
      <c r="K1212" s="143"/>
    </row>
    <row r="1213" spans="1:11">
      <c r="A1213" s="946" t="s">
        <v>28611</v>
      </c>
      <c r="B1213" s="947" t="s">
        <v>13113</v>
      </c>
      <c r="C1213" s="948" t="s">
        <v>13111</v>
      </c>
      <c r="D1213" s="242" t="s">
        <v>32001</v>
      </c>
      <c r="E1213" s="949">
        <v>706</v>
      </c>
      <c r="F1213" s="949">
        <v>706</v>
      </c>
      <c r="G1213" s="950" t="s">
        <v>18987</v>
      </c>
      <c r="H1213" s="950" t="s">
        <v>745</v>
      </c>
      <c r="I1213" s="951" t="s">
        <v>13112</v>
      </c>
      <c r="J1213" s="947" t="s">
        <v>13113</v>
      </c>
      <c r="K1213" s="143"/>
    </row>
    <row r="1214" spans="1:11">
      <c r="A1214" s="946" t="s">
        <v>28611</v>
      </c>
      <c r="B1214" s="947" t="s">
        <v>13174</v>
      </c>
      <c r="C1214" s="948" t="s">
        <v>13172</v>
      </c>
      <c r="D1214" s="242" t="s">
        <v>32001</v>
      </c>
      <c r="E1214" s="949">
        <v>705</v>
      </c>
      <c r="F1214" s="949">
        <v>705</v>
      </c>
      <c r="G1214" s="950" t="s">
        <v>18987</v>
      </c>
      <c r="H1214" s="950" t="s">
        <v>745</v>
      </c>
      <c r="I1214" s="951" t="s">
        <v>13173</v>
      </c>
      <c r="J1214" s="947" t="s">
        <v>13174</v>
      </c>
      <c r="K1214" s="143"/>
    </row>
    <row r="1215" spans="1:11">
      <c r="A1215" s="946" t="s">
        <v>28611</v>
      </c>
      <c r="B1215" s="947" t="s">
        <v>13352</v>
      </c>
      <c r="C1215" s="948" t="s">
        <v>13350</v>
      </c>
      <c r="D1215" s="242" t="s">
        <v>32001</v>
      </c>
      <c r="E1215" s="949">
        <v>705</v>
      </c>
      <c r="F1215" s="949">
        <v>705</v>
      </c>
      <c r="G1215" s="950" t="s">
        <v>18987</v>
      </c>
      <c r="H1215" s="950" t="s">
        <v>745</v>
      </c>
      <c r="I1215" s="951" t="s">
        <v>13351</v>
      </c>
      <c r="J1215" s="947" t="s">
        <v>13352</v>
      </c>
      <c r="K1215" s="143"/>
    </row>
    <row r="1216" spans="1:11">
      <c r="A1216" s="946" t="s">
        <v>28611</v>
      </c>
      <c r="B1216" s="947" t="s">
        <v>13662</v>
      </c>
      <c r="C1216" s="948" t="s">
        <v>13660</v>
      </c>
      <c r="D1216" s="242" t="s">
        <v>32001</v>
      </c>
      <c r="E1216" s="949">
        <v>705</v>
      </c>
      <c r="F1216" s="949">
        <v>705</v>
      </c>
      <c r="G1216" s="950" t="s">
        <v>18987</v>
      </c>
      <c r="H1216" s="950" t="s">
        <v>745</v>
      </c>
      <c r="I1216" s="951" t="s">
        <v>13661</v>
      </c>
      <c r="J1216" s="947" t="s">
        <v>13662</v>
      </c>
      <c r="K1216" s="143"/>
    </row>
    <row r="1217" spans="1:11">
      <c r="A1217" s="946" t="s">
        <v>28611</v>
      </c>
      <c r="B1217" s="947" t="s">
        <v>13695</v>
      </c>
      <c r="C1217" s="948" t="s">
        <v>13693</v>
      </c>
      <c r="D1217" s="242" t="s">
        <v>32001</v>
      </c>
      <c r="E1217" s="949">
        <v>705</v>
      </c>
      <c r="F1217" s="949">
        <v>705</v>
      </c>
      <c r="G1217" s="950" t="s">
        <v>18987</v>
      </c>
      <c r="H1217" s="950" t="s">
        <v>745</v>
      </c>
      <c r="I1217" s="951" t="s">
        <v>13694</v>
      </c>
      <c r="J1217" s="947" t="s">
        <v>13695</v>
      </c>
      <c r="K1217" s="143"/>
    </row>
    <row r="1218" spans="1:11">
      <c r="A1218" s="946" t="s">
        <v>28611</v>
      </c>
      <c r="B1218" s="947" t="s">
        <v>13806</v>
      </c>
      <c r="C1218" s="948" t="s">
        <v>13804</v>
      </c>
      <c r="D1218" s="242" t="s">
        <v>32001</v>
      </c>
      <c r="E1218" s="949">
        <v>705</v>
      </c>
      <c r="F1218" s="949">
        <v>705</v>
      </c>
      <c r="G1218" s="950" t="s">
        <v>18987</v>
      </c>
      <c r="H1218" s="950" t="s">
        <v>745</v>
      </c>
      <c r="I1218" s="951" t="s">
        <v>13805</v>
      </c>
      <c r="J1218" s="947" t="s">
        <v>13806</v>
      </c>
      <c r="K1218" s="143"/>
    </row>
    <row r="1219" spans="1:11">
      <c r="A1219" s="946" t="s">
        <v>28611</v>
      </c>
      <c r="B1219" s="947" t="s">
        <v>13837</v>
      </c>
      <c r="C1219" s="948" t="s">
        <v>13835</v>
      </c>
      <c r="D1219" s="242" t="s">
        <v>32001</v>
      </c>
      <c r="E1219" s="949">
        <v>706</v>
      </c>
      <c r="F1219" s="949">
        <v>706</v>
      </c>
      <c r="G1219" s="950" t="s">
        <v>18987</v>
      </c>
      <c r="H1219" s="950" t="s">
        <v>745</v>
      </c>
      <c r="I1219" s="951" t="s">
        <v>13836</v>
      </c>
      <c r="J1219" s="947" t="s">
        <v>13837</v>
      </c>
      <c r="K1219" s="143"/>
    </row>
    <row r="1220" spans="1:11">
      <c r="A1220" s="946" t="s">
        <v>28611</v>
      </c>
      <c r="B1220" s="947" t="s">
        <v>14136</v>
      </c>
      <c r="C1220" s="948" t="s">
        <v>14134</v>
      </c>
      <c r="D1220" s="242" t="s">
        <v>32001</v>
      </c>
      <c r="E1220" s="949">
        <v>706</v>
      </c>
      <c r="F1220" s="949">
        <v>706</v>
      </c>
      <c r="G1220" s="950" t="s">
        <v>18987</v>
      </c>
      <c r="H1220" s="950" t="s">
        <v>745</v>
      </c>
      <c r="I1220" s="951" t="s">
        <v>14135</v>
      </c>
      <c r="J1220" s="947" t="s">
        <v>14136</v>
      </c>
      <c r="K1220" s="143"/>
    </row>
    <row r="1221" spans="1:11">
      <c r="A1221" s="946" t="s">
        <v>28611</v>
      </c>
      <c r="B1221" s="947" t="s">
        <v>14707</v>
      </c>
      <c r="C1221" s="948" t="s">
        <v>14705</v>
      </c>
      <c r="D1221" s="242" t="s">
        <v>32001</v>
      </c>
      <c r="E1221" s="949">
        <v>706</v>
      </c>
      <c r="F1221" s="949">
        <v>706</v>
      </c>
      <c r="G1221" s="950" t="s">
        <v>18987</v>
      </c>
      <c r="H1221" s="950" t="s">
        <v>745</v>
      </c>
      <c r="I1221" s="951" t="s">
        <v>14706</v>
      </c>
      <c r="J1221" s="947" t="s">
        <v>14707</v>
      </c>
      <c r="K1221" s="143"/>
    </row>
    <row r="1222" spans="1:11">
      <c r="A1222" s="946" t="s">
        <v>28611</v>
      </c>
      <c r="B1222" s="947" t="s">
        <v>14841</v>
      </c>
      <c r="C1222" s="948" t="s">
        <v>14839</v>
      </c>
      <c r="D1222" s="242" t="s">
        <v>32001</v>
      </c>
      <c r="E1222" s="949">
        <v>705</v>
      </c>
      <c r="F1222" s="949">
        <v>705</v>
      </c>
      <c r="G1222" s="950" t="s">
        <v>18987</v>
      </c>
      <c r="H1222" s="950" t="s">
        <v>745</v>
      </c>
      <c r="I1222" s="951" t="s">
        <v>14840</v>
      </c>
      <c r="J1222" s="947" t="s">
        <v>14841</v>
      </c>
      <c r="K1222" s="143"/>
    </row>
    <row r="1223" spans="1:11">
      <c r="A1223" s="946" t="s">
        <v>28611</v>
      </c>
      <c r="B1223" s="947" t="s">
        <v>15146</v>
      </c>
      <c r="C1223" s="948" t="s">
        <v>15144</v>
      </c>
      <c r="D1223" s="242" t="s">
        <v>32001</v>
      </c>
      <c r="E1223" s="949">
        <v>706</v>
      </c>
      <c r="F1223" s="949">
        <v>706</v>
      </c>
      <c r="G1223" s="950" t="s">
        <v>18987</v>
      </c>
      <c r="H1223" s="950" t="s">
        <v>745</v>
      </c>
      <c r="I1223" s="951" t="s">
        <v>15145</v>
      </c>
      <c r="J1223" s="947" t="s">
        <v>15146</v>
      </c>
      <c r="K1223" s="143"/>
    </row>
    <row r="1224" spans="1:11">
      <c r="A1224" s="946" t="s">
        <v>28611</v>
      </c>
      <c r="B1224" s="947" t="s">
        <v>15472</v>
      </c>
      <c r="C1224" s="948" t="s">
        <v>15470</v>
      </c>
      <c r="D1224" s="242" t="s">
        <v>32001</v>
      </c>
      <c r="E1224" s="949">
        <v>706</v>
      </c>
      <c r="F1224" s="949">
        <v>706</v>
      </c>
      <c r="G1224" s="950" t="s">
        <v>18987</v>
      </c>
      <c r="H1224" s="950" t="s">
        <v>745</v>
      </c>
      <c r="I1224" s="951" t="s">
        <v>15471</v>
      </c>
      <c r="J1224" s="947" t="s">
        <v>15472</v>
      </c>
      <c r="K1224" s="143"/>
    </row>
    <row r="1225" spans="1:11">
      <c r="A1225" s="946" t="s">
        <v>28611</v>
      </c>
      <c r="B1225" s="947" t="s">
        <v>15995</v>
      </c>
      <c r="C1225" s="948" t="s">
        <v>15993</v>
      </c>
      <c r="D1225" s="242" t="s">
        <v>32001</v>
      </c>
      <c r="E1225" s="949">
        <v>705</v>
      </c>
      <c r="F1225" s="949">
        <v>705</v>
      </c>
      <c r="G1225" s="950" t="s">
        <v>18987</v>
      </c>
      <c r="H1225" s="950" t="s">
        <v>745</v>
      </c>
      <c r="I1225" s="951" t="s">
        <v>15994</v>
      </c>
      <c r="J1225" s="947" t="s">
        <v>15995</v>
      </c>
      <c r="K1225" s="143"/>
    </row>
    <row r="1226" spans="1:11">
      <c r="A1226" s="946" t="s">
        <v>28611</v>
      </c>
      <c r="B1226" s="947" t="s">
        <v>16255</v>
      </c>
      <c r="C1226" s="948" t="s">
        <v>16253</v>
      </c>
      <c r="D1226" s="242" t="s">
        <v>32001</v>
      </c>
      <c r="E1226" s="949">
        <v>705</v>
      </c>
      <c r="F1226" s="949">
        <v>705</v>
      </c>
      <c r="G1226" s="950" t="s">
        <v>18987</v>
      </c>
      <c r="H1226" s="950" t="s">
        <v>745</v>
      </c>
      <c r="I1226" s="951" t="s">
        <v>16254</v>
      </c>
      <c r="J1226" s="947" t="s">
        <v>16255</v>
      </c>
      <c r="K1226" s="143"/>
    </row>
    <row r="1227" spans="1:11">
      <c r="A1227" s="946" t="s">
        <v>28611</v>
      </c>
      <c r="B1227" s="947" t="s">
        <v>16700</v>
      </c>
      <c r="C1227" s="948" t="s">
        <v>16698</v>
      </c>
      <c r="D1227" s="242" t="s">
        <v>32001</v>
      </c>
      <c r="E1227" s="949">
        <v>706</v>
      </c>
      <c r="F1227" s="949">
        <v>706</v>
      </c>
      <c r="G1227" s="950" t="s">
        <v>18987</v>
      </c>
      <c r="H1227" s="950" t="s">
        <v>745</v>
      </c>
      <c r="I1227" s="951" t="s">
        <v>16699</v>
      </c>
      <c r="J1227" s="947" t="s">
        <v>16700</v>
      </c>
      <c r="K1227" s="143"/>
    </row>
    <row r="1228" spans="1:11">
      <c r="A1228" s="946" t="s">
        <v>28611</v>
      </c>
      <c r="B1228" s="947" t="s">
        <v>18912</v>
      </c>
      <c r="C1228" s="948" t="s">
        <v>18910</v>
      </c>
      <c r="D1228" s="242" t="s">
        <v>32001</v>
      </c>
      <c r="E1228" s="949">
        <v>706</v>
      </c>
      <c r="F1228" s="949">
        <v>706</v>
      </c>
      <c r="G1228" s="950" t="s">
        <v>18987</v>
      </c>
      <c r="H1228" s="950" t="s">
        <v>745</v>
      </c>
      <c r="I1228" s="951" t="s">
        <v>18911</v>
      </c>
      <c r="J1228" s="947" t="s">
        <v>18912</v>
      </c>
      <c r="K1228" s="143"/>
    </row>
    <row r="1229" spans="1:11">
      <c r="A1229" s="946" t="s">
        <v>28611</v>
      </c>
      <c r="B1229" s="947" t="s">
        <v>18987</v>
      </c>
      <c r="C1229" s="948" t="s">
        <v>18985</v>
      </c>
      <c r="D1229" s="242" t="s">
        <v>32001</v>
      </c>
      <c r="E1229" s="949">
        <v>705</v>
      </c>
      <c r="F1229" s="949">
        <v>705</v>
      </c>
      <c r="G1229" s="950" t="s">
        <v>18987</v>
      </c>
      <c r="H1229" s="950" t="s">
        <v>745</v>
      </c>
      <c r="I1229" s="951" t="s">
        <v>18986</v>
      </c>
      <c r="J1229" s="947" t="s">
        <v>18987</v>
      </c>
      <c r="K1229" s="143"/>
    </row>
    <row r="1230" spans="1:11">
      <c r="A1230" s="946" t="s">
        <v>28611</v>
      </c>
      <c r="B1230" s="947" t="s">
        <v>19936</v>
      </c>
      <c r="C1230" s="948" t="s">
        <v>19934</v>
      </c>
      <c r="D1230" s="242" t="s">
        <v>32001</v>
      </c>
      <c r="E1230" s="949">
        <v>705</v>
      </c>
      <c r="F1230" s="949">
        <v>705</v>
      </c>
      <c r="G1230" s="950" t="s">
        <v>18987</v>
      </c>
      <c r="H1230" s="950" t="s">
        <v>745</v>
      </c>
      <c r="I1230" s="951" t="s">
        <v>19935</v>
      </c>
      <c r="J1230" s="947" t="s">
        <v>19936</v>
      </c>
      <c r="K1230" s="143"/>
    </row>
    <row r="1231" spans="1:11">
      <c r="A1231" s="946" t="s">
        <v>28611</v>
      </c>
      <c r="B1231" s="947" t="s">
        <v>19983</v>
      </c>
      <c r="C1231" s="948" t="s">
        <v>19981</v>
      </c>
      <c r="D1231" s="242" t="s">
        <v>32001</v>
      </c>
      <c r="E1231" s="949">
        <v>705</v>
      </c>
      <c r="F1231" s="949">
        <v>705</v>
      </c>
      <c r="G1231" s="950" t="s">
        <v>18987</v>
      </c>
      <c r="H1231" s="950" t="s">
        <v>745</v>
      </c>
      <c r="I1231" s="951" t="s">
        <v>19982</v>
      </c>
      <c r="J1231" s="947" t="s">
        <v>19983</v>
      </c>
      <c r="K1231" s="143"/>
    </row>
    <row r="1232" spans="1:11">
      <c r="A1232" s="946" t="s">
        <v>28611</v>
      </c>
      <c r="B1232" s="947" t="s">
        <v>19989</v>
      </c>
      <c r="C1232" s="948" t="s">
        <v>19987</v>
      </c>
      <c r="D1232" s="242" t="s">
        <v>28718</v>
      </c>
      <c r="E1232" s="949">
        <v>702</v>
      </c>
      <c r="F1232" s="949">
        <v>702</v>
      </c>
      <c r="G1232" s="950" t="s">
        <v>18987</v>
      </c>
      <c r="H1232" s="950" t="s">
        <v>745</v>
      </c>
      <c r="I1232" s="951" t="s">
        <v>19988</v>
      </c>
      <c r="J1232" s="947" t="s">
        <v>19989</v>
      </c>
      <c r="K1232" s="143"/>
    </row>
    <row r="1233" spans="1:11">
      <c r="A1233" s="946" t="s">
        <v>28611</v>
      </c>
      <c r="B1233" s="947" t="s">
        <v>20433</v>
      </c>
      <c r="C1233" s="948" t="s">
        <v>20431</v>
      </c>
      <c r="D1233" s="242" t="s">
        <v>28718</v>
      </c>
      <c r="E1233" s="949">
        <v>702</v>
      </c>
      <c r="F1233" s="949">
        <v>702</v>
      </c>
      <c r="G1233" s="950" t="s">
        <v>18987</v>
      </c>
      <c r="H1233" s="950" t="s">
        <v>745</v>
      </c>
      <c r="I1233" s="951" t="s">
        <v>20432</v>
      </c>
      <c r="J1233" s="947" t="s">
        <v>20433</v>
      </c>
      <c r="K1233" s="143"/>
    </row>
    <row r="1234" spans="1:11">
      <c r="A1234" s="946" t="s">
        <v>28611</v>
      </c>
      <c r="B1234" s="947" t="s">
        <v>20514</v>
      </c>
      <c r="C1234" s="948" t="s">
        <v>20512</v>
      </c>
      <c r="D1234" s="242" t="s">
        <v>32001</v>
      </c>
      <c r="E1234" s="949">
        <v>705</v>
      </c>
      <c r="F1234" s="949">
        <v>705</v>
      </c>
      <c r="G1234" s="950" t="s">
        <v>18987</v>
      </c>
      <c r="H1234" s="950" t="s">
        <v>745</v>
      </c>
      <c r="I1234" s="951" t="s">
        <v>20513</v>
      </c>
      <c r="J1234" s="947" t="s">
        <v>20514</v>
      </c>
      <c r="K1234" s="143"/>
    </row>
    <row r="1235" spans="1:11">
      <c r="A1235" s="946" t="s">
        <v>28611</v>
      </c>
      <c r="B1235" s="947" t="s">
        <v>20811</v>
      </c>
      <c r="C1235" s="948" t="s">
        <v>20809</v>
      </c>
      <c r="D1235" s="242" t="s">
        <v>32001</v>
      </c>
      <c r="E1235" s="949">
        <v>705</v>
      </c>
      <c r="F1235" s="949">
        <v>705</v>
      </c>
      <c r="G1235" s="950" t="s">
        <v>18987</v>
      </c>
      <c r="H1235" s="950" t="s">
        <v>745</v>
      </c>
      <c r="I1235" s="951" t="s">
        <v>20810</v>
      </c>
      <c r="J1235" s="947" t="s">
        <v>20811</v>
      </c>
      <c r="K1235" s="143"/>
    </row>
    <row r="1236" spans="1:11">
      <c r="A1236" s="946" t="s">
        <v>28611</v>
      </c>
      <c r="B1236" s="947" t="s">
        <v>21194</v>
      </c>
      <c r="C1236" s="948" t="s">
        <v>21192</v>
      </c>
      <c r="D1236" s="242" t="s">
        <v>32001</v>
      </c>
      <c r="E1236" s="949">
        <v>706</v>
      </c>
      <c r="F1236" s="949">
        <v>706</v>
      </c>
      <c r="G1236" s="950" t="s">
        <v>18987</v>
      </c>
      <c r="H1236" s="950" t="s">
        <v>745</v>
      </c>
      <c r="I1236" s="951" t="s">
        <v>21193</v>
      </c>
      <c r="J1236" s="947" t="s">
        <v>21194</v>
      </c>
      <c r="K1236" s="143"/>
    </row>
    <row r="1237" spans="1:11">
      <c r="A1237" s="946" t="s">
        <v>28611</v>
      </c>
      <c r="B1237" s="947" t="s">
        <v>21251</v>
      </c>
      <c r="C1237" s="948" t="s">
        <v>21249</v>
      </c>
      <c r="D1237" s="242" t="s">
        <v>32001</v>
      </c>
      <c r="E1237" s="949">
        <v>705</v>
      </c>
      <c r="F1237" s="949">
        <v>705</v>
      </c>
      <c r="G1237" s="950" t="s">
        <v>18987</v>
      </c>
      <c r="H1237" s="950" t="s">
        <v>745</v>
      </c>
      <c r="I1237" s="951" t="s">
        <v>21250</v>
      </c>
      <c r="J1237" s="947" t="s">
        <v>21251</v>
      </c>
      <c r="K1237" s="143"/>
    </row>
    <row r="1238" spans="1:11">
      <c r="A1238" s="946" t="s">
        <v>28611</v>
      </c>
      <c r="B1238" s="947" t="s">
        <v>21575</v>
      </c>
      <c r="C1238" s="948" t="s">
        <v>21573</v>
      </c>
      <c r="D1238" s="242" t="s">
        <v>32001</v>
      </c>
      <c r="E1238" s="949">
        <v>705</v>
      </c>
      <c r="F1238" s="949">
        <v>705</v>
      </c>
      <c r="G1238" s="950" t="s">
        <v>18987</v>
      </c>
      <c r="H1238" s="950" t="s">
        <v>745</v>
      </c>
      <c r="I1238" s="951" t="s">
        <v>21574</v>
      </c>
      <c r="J1238" s="947" t="s">
        <v>21575</v>
      </c>
      <c r="K1238" s="143"/>
    </row>
    <row r="1239" spans="1:11">
      <c r="A1239" s="946" t="s">
        <v>28611</v>
      </c>
      <c r="B1239" s="947" t="s">
        <v>21689</v>
      </c>
      <c r="C1239" s="948" t="s">
        <v>21687</v>
      </c>
      <c r="D1239" s="242" t="s">
        <v>32001</v>
      </c>
      <c r="E1239" s="949">
        <v>705</v>
      </c>
      <c r="F1239" s="949">
        <v>705</v>
      </c>
      <c r="G1239" s="950" t="s">
        <v>18987</v>
      </c>
      <c r="H1239" s="950" t="s">
        <v>745</v>
      </c>
      <c r="I1239" s="951" t="s">
        <v>21688</v>
      </c>
      <c r="J1239" s="947" t="s">
        <v>21689</v>
      </c>
      <c r="K1239" s="143"/>
    </row>
    <row r="1240" spans="1:11">
      <c r="A1240" s="946" t="s">
        <v>28611</v>
      </c>
      <c r="B1240" s="947" t="s">
        <v>21881</v>
      </c>
      <c r="C1240" s="948" t="s">
        <v>21879</v>
      </c>
      <c r="D1240" s="242" t="s">
        <v>32001</v>
      </c>
      <c r="E1240" s="949">
        <v>705</v>
      </c>
      <c r="F1240" s="949">
        <v>705</v>
      </c>
      <c r="G1240" s="950" t="s">
        <v>18987</v>
      </c>
      <c r="H1240" s="950" t="s">
        <v>745</v>
      </c>
      <c r="I1240" s="951" t="s">
        <v>21880</v>
      </c>
      <c r="J1240" s="947" t="s">
        <v>21881</v>
      </c>
      <c r="K1240" s="143"/>
    </row>
    <row r="1241" spans="1:11">
      <c r="A1241" s="946" t="s">
        <v>28611</v>
      </c>
      <c r="B1241" s="947" t="s">
        <v>22231</v>
      </c>
      <c r="C1241" s="948" t="s">
        <v>22229</v>
      </c>
      <c r="D1241" s="242" t="s">
        <v>32001</v>
      </c>
      <c r="E1241" s="949">
        <v>705</v>
      </c>
      <c r="F1241" s="949">
        <v>705</v>
      </c>
      <c r="G1241" s="950" t="s">
        <v>18987</v>
      </c>
      <c r="H1241" s="950" t="s">
        <v>745</v>
      </c>
      <c r="I1241" s="951" t="s">
        <v>22230</v>
      </c>
      <c r="J1241" s="947" t="s">
        <v>22231</v>
      </c>
      <c r="K1241" s="143"/>
    </row>
    <row r="1242" spans="1:11">
      <c r="A1242" s="946" t="s">
        <v>28611</v>
      </c>
      <c r="B1242" s="947" t="s">
        <v>22671</v>
      </c>
      <c r="C1242" s="948" t="s">
        <v>22669</v>
      </c>
      <c r="D1242" s="242" t="s">
        <v>32001</v>
      </c>
      <c r="E1242" s="949">
        <v>705</v>
      </c>
      <c r="F1242" s="949">
        <v>705</v>
      </c>
      <c r="G1242" s="950" t="s">
        <v>18987</v>
      </c>
      <c r="H1242" s="950" t="s">
        <v>745</v>
      </c>
      <c r="I1242" s="951" t="s">
        <v>22670</v>
      </c>
      <c r="J1242" s="947" t="s">
        <v>22671</v>
      </c>
      <c r="K1242" s="143"/>
    </row>
    <row r="1243" spans="1:11">
      <c r="A1243" s="946" t="s">
        <v>28611</v>
      </c>
      <c r="B1243" s="947" t="s">
        <v>1376</v>
      </c>
      <c r="C1243" s="948" t="s">
        <v>1373</v>
      </c>
      <c r="D1243" s="242" t="s">
        <v>28719</v>
      </c>
      <c r="E1243" s="949">
        <v>701</v>
      </c>
      <c r="F1243" s="949">
        <v>701</v>
      </c>
      <c r="G1243" s="950" t="s">
        <v>9098</v>
      </c>
      <c r="H1243" s="950" t="s">
        <v>1374</v>
      </c>
      <c r="I1243" s="951" t="s">
        <v>1375</v>
      </c>
      <c r="J1243" s="947" t="s">
        <v>1376</v>
      </c>
      <c r="K1243" s="143"/>
    </row>
    <row r="1244" spans="1:11">
      <c r="A1244" s="946" t="s">
        <v>28611</v>
      </c>
      <c r="B1244" s="947" t="s">
        <v>1646</v>
      </c>
      <c r="C1244" s="948" t="s">
        <v>1644</v>
      </c>
      <c r="D1244" s="242" t="s">
        <v>28719</v>
      </c>
      <c r="E1244" s="949">
        <v>701</v>
      </c>
      <c r="F1244" s="949">
        <v>701</v>
      </c>
      <c r="G1244" s="950" t="s">
        <v>9098</v>
      </c>
      <c r="H1244" s="950" t="s">
        <v>1374</v>
      </c>
      <c r="I1244" s="951" t="s">
        <v>1645</v>
      </c>
      <c r="J1244" s="947" t="s">
        <v>1646</v>
      </c>
      <c r="K1244" s="143"/>
    </row>
    <row r="1245" spans="1:11">
      <c r="A1245" s="946" t="s">
        <v>28611</v>
      </c>
      <c r="B1245" s="947" t="s">
        <v>1985</v>
      </c>
      <c r="C1245" s="948" t="s">
        <v>1983</v>
      </c>
      <c r="D1245" s="242" t="s">
        <v>28719</v>
      </c>
      <c r="E1245" s="949">
        <v>701</v>
      </c>
      <c r="F1245" s="949">
        <v>701</v>
      </c>
      <c r="G1245" s="950" t="s">
        <v>9098</v>
      </c>
      <c r="H1245" s="950" t="s">
        <v>1374</v>
      </c>
      <c r="I1245" s="951" t="s">
        <v>1984</v>
      </c>
      <c r="J1245" s="947" t="s">
        <v>1985</v>
      </c>
      <c r="K1245" s="143"/>
    </row>
    <row r="1246" spans="1:11">
      <c r="A1246" s="946" t="s">
        <v>28611</v>
      </c>
      <c r="B1246" s="947" t="s">
        <v>2555</v>
      </c>
      <c r="C1246" s="948" t="s">
        <v>2553</v>
      </c>
      <c r="D1246" s="242" t="s">
        <v>28719</v>
      </c>
      <c r="E1246" s="949">
        <v>701</v>
      </c>
      <c r="F1246" s="949">
        <v>701</v>
      </c>
      <c r="G1246" s="950" t="s">
        <v>9098</v>
      </c>
      <c r="H1246" s="950" t="s">
        <v>1374</v>
      </c>
      <c r="I1246" s="951" t="s">
        <v>2554</v>
      </c>
      <c r="J1246" s="947" t="s">
        <v>2555</v>
      </c>
      <c r="K1246" s="143"/>
    </row>
    <row r="1247" spans="1:11">
      <c r="A1247" s="946" t="s">
        <v>28611</v>
      </c>
      <c r="B1247" s="947" t="s">
        <v>2847</v>
      </c>
      <c r="C1247" s="948" t="s">
        <v>2845</v>
      </c>
      <c r="D1247" s="242" t="s">
        <v>28719</v>
      </c>
      <c r="E1247" s="949">
        <v>701</v>
      </c>
      <c r="F1247" s="949">
        <v>701</v>
      </c>
      <c r="G1247" s="950" t="s">
        <v>9098</v>
      </c>
      <c r="H1247" s="950" t="s">
        <v>1374</v>
      </c>
      <c r="I1247" s="951" t="s">
        <v>2846</v>
      </c>
      <c r="J1247" s="947" t="s">
        <v>2847</v>
      </c>
      <c r="K1247" s="143"/>
    </row>
    <row r="1248" spans="1:11">
      <c r="A1248" s="946" t="s">
        <v>28611</v>
      </c>
      <c r="B1248" s="947" t="s">
        <v>3271</v>
      </c>
      <c r="C1248" s="948" t="s">
        <v>3269</v>
      </c>
      <c r="D1248" s="242" t="s">
        <v>28719</v>
      </c>
      <c r="E1248" s="949">
        <v>701</v>
      </c>
      <c r="F1248" s="949">
        <v>701</v>
      </c>
      <c r="G1248" s="950" t="s">
        <v>9098</v>
      </c>
      <c r="H1248" s="950" t="s">
        <v>1374</v>
      </c>
      <c r="I1248" s="951" t="s">
        <v>3270</v>
      </c>
      <c r="J1248" s="947" t="s">
        <v>3271</v>
      </c>
      <c r="K1248" s="143"/>
    </row>
    <row r="1249" spans="1:11">
      <c r="A1249" s="946" t="s">
        <v>28611</v>
      </c>
      <c r="B1249" s="947" t="s">
        <v>3668</v>
      </c>
      <c r="C1249" s="948" t="s">
        <v>3666</v>
      </c>
      <c r="D1249" s="242" t="s">
        <v>28719</v>
      </c>
      <c r="E1249" s="949">
        <v>701</v>
      </c>
      <c r="F1249" s="949">
        <v>701</v>
      </c>
      <c r="G1249" s="950" t="s">
        <v>9098</v>
      </c>
      <c r="H1249" s="950" t="s">
        <v>1374</v>
      </c>
      <c r="I1249" s="951" t="s">
        <v>3667</v>
      </c>
      <c r="J1249" s="947" t="s">
        <v>3668</v>
      </c>
      <c r="K1249" s="143"/>
    </row>
    <row r="1250" spans="1:11">
      <c r="A1250" s="946" t="s">
        <v>28611</v>
      </c>
      <c r="B1250" s="947" t="s">
        <v>3734</v>
      </c>
      <c r="C1250" s="948" t="s">
        <v>3732</v>
      </c>
      <c r="D1250" s="242" t="s">
        <v>28719</v>
      </c>
      <c r="E1250" s="949">
        <v>701</v>
      </c>
      <c r="F1250" s="949">
        <v>701</v>
      </c>
      <c r="G1250" s="950" t="s">
        <v>9098</v>
      </c>
      <c r="H1250" s="950" t="s">
        <v>1374</v>
      </c>
      <c r="I1250" s="951" t="s">
        <v>3733</v>
      </c>
      <c r="J1250" s="947" t="s">
        <v>3734</v>
      </c>
      <c r="K1250" s="143"/>
    </row>
    <row r="1251" spans="1:11">
      <c r="A1251" s="946" t="s">
        <v>28611</v>
      </c>
      <c r="B1251" s="947" t="s">
        <v>3818</v>
      </c>
      <c r="C1251" s="948" t="s">
        <v>3816</v>
      </c>
      <c r="D1251" s="242" t="s">
        <v>28719</v>
      </c>
      <c r="E1251" s="949">
        <v>701</v>
      </c>
      <c r="F1251" s="949">
        <v>701</v>
      </c>
      <c r="G1251" s="950" t="s">
        <v>9098</v>
      </c>
      <c r="H1251" s="950" t="s">
        <v>1374</v>
      </c>
      <c r="I1251" s="951" t="s">
        <v>3817</v>
      </c>
      <c r="J1251" s="947" t="s">
        <v>3818</v>
      </c>
      <c r="K1251" s="143"/>
    </row>
    <row r="1252" spans="1:11">
      <c r="A1252" s="946" t="s">
        <v>28611</v>
      </c>
      <c r="B1252" s="947" t="s">
        <v>4215</v>
      </c>
      <c r="C1252" s="948" t="s">
        <v>4213</v>
      </c>
      <c r="D1252" s="242" t="s">
        <v>28719</v>
      </c>
      <c r="E1252" s="949">
        <v>701</v>
      </c>
      <c r="F1252" s="949">
        <v>701</v>
      </c>
      <c r="G1252" s="950" t="s">
        <v>9098</v>
      </c>
      <c r="H1252" s="950" t="s">
        <v>1374</v>
      </c>
      <c r="I1252" s="951" t="s">
        <v>4214</v>
      </c>
      <c r="J1252" s="947" t="s">
        <v>4215</v>
      </c>
      <c r="K1252" s="143"/>
    </row>
    <row r="1253" spans="1:11">
      <c r="A1253" s="946" t="s">
        <v>28611</v>
      </c>
      <c r="B1253" s="947" t="s">
        <v>4706</v>
      </c>
      <c r="C1253" s="948" t="s">
        <v>4704</v>
      </c>
      <c r="D1253" s="242" t="s">
        <v>28719</v>
      </c>
      <c r="E1253" s="949">
        <v>701</v>
      </c>
      <c r="F1253" s="949">
        <v>701</v>
      </c>
      <c r="G1253" s="950" t="s">
        <v>9098</v>
      </c>
      <c r="H1253" s="950" t="s">
        <v>1374</v>
      </c>
      <c r="I1253" s="951" t="s">
        <v>4705</v>
      </c>
      <c r="J1253" s="947" t="s">
        <v>4706</v>
      </c>
      <c r="K1253" s="143"/>
    </row>
    <row r="1254" spans="1:11">
      <c r="A1254" s="946" t="s">
        <v>28611</v>
      </c>
      <c r="B1254" s="947" t="s">
        <v>4742</v>
      </c>
      <c r="C1254" s="948" t="s">
        <v>4740</v>
      </c>
      <c r="D1254" s="242" t="s">
        <v>28719</v>
      </c>
      <c r="E1254" s="949">
        <v>701</v>
      </c>
      <c r="F1254" s="949">
        <v>701</v>
      </c>
      <c r="G1254" s="950" t="s">
        <v>9098</v>
      </c>
      <c r="H1254" s="950" t="s">
        <v>1374</v>
      </c>
      <c r="I1254" s="951" t="s">
        <v>4741</v>
      </c>
      <c r="J1254" s="947" t="s">
        <v>4742</v>
      </c>
      <c r="K1254" s="143"/>
    </row>
    <row r="1255" spans="1:11">
      <c r="A1255" s="946" t="s">
        <v>28611</v>
      </c>
      <c r="B1255" s="947" t="s">
        <v>5485</v>
      </c>
      <c r="C1255" s="948" t="s">
        <v>5483</v>
      </c>
      <c r="D1255" s="242" t="s">
        <v>28719</v>
      </c>
      <c r="E1255" s="949">
        <v>701</v>
      </c>
      <c r="F1255" s="949">
        <v>701</v>
      </c>
      <c r="G1255" s="950" t="s">
        <v>9098</v>
      </c>
      <c r="H1255" s="950" t="s">
        <v>1374</v>
      </c>
      <c r="I1255" s="951" t="s">
        <v>5484</v>
      </c>
      <c r="J1255" s="947" t="s">
        <v>5485</v>
      </c>
      <c r="K1255" s="143"/>
    </row>
    <row r="1256" spans="1:11">
      <c r="A1256" s="946" t="s">
        <v>28611</v>
      </c>
      <c r="B1256" s="947" t="s">
        <v>5888</v>
      </c>
      <c r="C1256" s="948" t="s">
        <v>5886</v>
      </c>
      <c r="D1256" s="242" t="s">
        <v>28719</v>
      </c>
      <c r="E1256" s="949">
        <v>701</v>
      </c>
      <c r="F1256" s="949">
        <v>701</v>
      </c>
      <c r="G1256" s="950" t="s">
        <v>9098</v>
      </c>
      <c r="H1256" s="950" t="s">
        <v>1374</v>
      </c>
      <c r="I1256" s="951" t="s">
        <v>5887</v>
      </c>
      <c r="J1256" s="947" t="s">
        <v>5888</v>
      </c>
      <c r="K1256" s="143"/>
    </row>
    <row r="1257" spans="1:11">
      <c r="A1257" s="946" t="s">
        <v>28611</v>
      </c>
      <c r="B1257" s="947" t="s">
        <v>6237</v>
      </c>
      <c r="C1257" s="948" t="s">
        <v>6235</v>
      </c>
      <c r="D1257" s="242" t="s">
        <v>28719</v>
      </c>
      <c r="E1257" s="949">
        <v>701</v>
      </c>
      <c r="F1257" s="949">
        <v>701</v>
      </c>
      <c r="G1257" s="950" t="s">
        <v>9098</v>
      </c>
      <c r="H1257" s="950" t="s">
        <v>1374</v>
      </c>
      <c r="I1257" s="951" t="s">
        <v>6236</v>
      </c>
      <c r="J1257" s="947" t="s">
        <v>6237</v>
      </c>
      <c r="K1257" s="143"/>
    </row>
    <row r="1258" spans="1:11">
      <c r="A1258" s="946" t="s">
        <v>28611</v>
      </c>
      <c r="B1258" s="947" t="s">
        <v>6347</v>
      </c>
      <c r="C1258" s="948" t="s">
        <v>6345</v>
      </c>
      <c r="D1258" s="242" t="s">
        <v>28719</v>
      </c>
      <c r="E1258" s="949">
        <v>701</v>
      </c>
      <c r="F1258" s="949">
        <v>701</v>
      </c>
      <c r="G1258" s="950" t="s">
        <v>9098</v>
      </c>
      <c r="H1258" s="950" t="s">
        <v>1374</v>
      </c>
      <c r="I1258" s="951" t="s">
        <v>6346</v>
      </c>
      <c r="J1258" s="947" t="s">
        <v>6347</v>
      </c>
      <c r="K1258" s="143"/>
    </row>
    <row r="1259" spans="1:11">
      <c r="A1259" s="946" t="s">
        <v>28611</v>
      </c>
      <c r="B1259" s="947" t="s">
        <v>6685</v>
      </c>
      <c r="C1259" s="948" t="s">
        <v>6683</v>
      </c>
      <c r="D1259" s="242" t="s">
        <v>28719</v>
      </c>
      <c r="E1259" s="949">
        <v>701</v>
      </c>
      <c r="F1259" s="949">
        <v>701</v>
      </c>
      <c r="G1259" s="950" t="s">
        <v>9098</v>
      </c>
      <c r="H1259" s="950" t="s">
        <v>1374</v>
      </c>
      <c r="I1259" s="951" t="s">
        <v>6684</v>
      </c>
      <c r="J1259" s="947" t="s">
        <v>6685</v>
      </c>
      <c r="K1259" s="143"/>
    </row>
    <row r="1260" spans="1:11">
      <c r="A1260" s="946" t="s">
        <v>28611</v>
      </c>
      <c r="B1260" s="947" t="s">
        <v>6691</v>
      </c>
      <c r="C1260" s="948" t="s">
        <v>6689</v>
      </c>
      <c r="D1260" s="242" t="s">
        <v>28719</v>
      </c>
      <c r="E1260" s="949">
        <v>701</v>
      </c>
      <c r="F1260" s="949">
        <v>701</v>
      </c>
      <c r="G1260" s="950" t="s">
        <v>9098</v>
      </c>
      <c r="H1260" s="950" t="s">
        <v>1374</v>
      </c>
      <c r="I1260" s="951" t="s">
        <v>6690</v>
      </c>
      <c r="J1260" s="947" t="s">
        <v>6691</v>
      </c>
      <c r="K1260" s="143"/>
    </row>
    <row r="1261" spans="1:11">
      <c r="A1261" s="946" t="s">
        <v>28611</v>
      </c>
      <c r="B1261" s="947" t="s">
        <v>7051</v>
      </c>
      <c r="C1261" s="948" t="s">
        <v>7049</v>
      </c>
      <c r="D1261" s="242" t="s">
        <v>28719</v>
      </c>
      <c r="E1261" s="949">
        <v>701</v>
      </c>
      <c r="F1261" s="949">
        <v>701</v>
      </c>
      <c r="G1261" s="950" t="s">
        <v>9098</v>
      </c>
      <c r="H1261" s="950" t="s">
        <v>1374</v>
      </c>
      <c r="I1261" s="951" t="s">
        <v>7050</v>
      </c>
      <c r="J1261" s="947" t="s">
        <v>7051</v>
      </c>
      <c r="K1261" s="143"/>
    </row>
    <row r="1262" spans="1:11">
      <c r="A1262" s="946" t="s">
        <v>28611</v>
      </c>
      <c r="B1262" s="947" t="s">
        <v>7397</v>
      </c>
      <c r="C1262" s="948" t="s">
        <v>7395</v>
      </c>
      <c r="D1262" s="242" t="s">
        <v>28719</v>
      </c>
      <c r="E1262" s="949">
        <v>701</v>
      </c>
      <c r="F1262" s="949">
        <v>701</v>
      </c>
      <c r="G1262" s="950" t="s">
        <v>9098</v>
      </c>
      <c r="H1262" s="950" t="s">
        <v>1374</v>
      </c>
      <c r="I1262" s="951" t="s">
        <v>7396</v>
      </c>
      <c r="J1262" s="947" t="s">
        <v>7397</v>
      </c>
      <c r="K1262" s="143"/>
    </row>
    <row r="1263" spans="1:11">
      <c r="A1263" s="946" t="s">
        <v>28611</v>
      </c>
      <c r="B1263" s="947" t="s">
        <v>7562</v>
      </c>
      <c r="C1263" s="948" t="s">
        <v>7560</v>
      </c>
      <c r="D1263" s="242" t="s">
        <v>28719</v>
      </c>
      <c r="E1263" s="949">
        <v>701</v>
      </c>
      <c r="F1263" s="949">
        <v>701</v>
      </c>
      <c r="G1263" s="950" t="s">
        <v>9098</v>
      </c>
      <c r="H1263" s="950" t="s">
        <v>1374</v>
      </c>
      <c r="I1263" s="951" t="s">
        <v>7561</v>
      </c>
      <c r="J1263" s="947" t="s">
        <v>7562</v>
      </c>
      <c r="K1263" s="143"/>
    </row>
    <row r="1264" spans="1:11">
      <c r="A1264" s="946" t="s">
        <v>28611</v>
      </c>
      <c r="B1264" s="947" t="s">
        <v>8076</v>
      </c>
      <c r="C1264" s="948" t="s">
        <v>8074</v>
      </c>
      <c r="D1264" s="242" t="s">
        <v>28719</v>
      </c>
      <c r="E1264" s="949">
        <v>701</v>
      </c>
      <c r="F1264" s="949">
        <v>701</v>
      </c>
      <c r="G1264" s="950" t="s">
        <v>9098</v>
      </c>
      <c r="H1264" s="950" t="s">
        <v>1374</v>
      </c>
      <c r="I1264" s="951" t="s">
        <v>8075</v>
      </c>
      <c r="J1264" s="947" t="s">
        <v>8076</v>
      </c>
      <c r="K1264" s="143"/>
    </row>
    <row r="1265" spans="1:11">
      <c r="A1265" s="946" t="s">
        <v>28611</v>
      </c>
      <c r="B1265" s="947" t="s">
        <v>8085</v>
      </c>
      <c r="C1265" s="948" t="s">
        <v>8083</v>
      </c>
      <c r="D1265" s="242" t="s">
        <v>28719</v>
      </c>
      <c r="E1265" s="949">
        <v>701</v>
      </c>
      <c r="F1265" s="949">
        <v>701</v>
      </c>
      <c r="G1265" s="950" t="s">
        <v>9098</v>
      </c>
      <c r="H1265" s="950" t="s">
        <v>1374</v>
      </c>
      <c r="I1265" s="951" t="s">
        <v>8084</v>
      </c>
      <c r="J1265" s="947" t="s">
        <v>8085</v>
      </c>
      <c r="K1265" s="143"/>
    </row>
    <row r="1266" spans="1:11">
      <c r="A1266" s="946" t="s">
        <v>28611</v>
      </c>
      <c r="B1266" s="947" t="s">
        <v>8424</v>
      </c>
      <c r="C1266" s="948" t="s">
        <v>8422</v>
      </c>
      <c r="D1266" s="242" t="s">
        <v>28719</v>
      </c>
      <c r="E1266" s="949">
        <v>701</v>
      </c>
      <c r="F1266" s="949">
        <v>701</v>
      </c>
      <c r="G1266" s="950" t="s">
        <v>9098</v>
      </c>
      <c r="H1266" s="950" t="s">
        <v>1374</v>
      </c>
      <c r="I1266" s="951" t="s">
        <v>8423</v>
      </c>
      <c r="J1266" s="947" t="s">
        <v>8424</v>
      </c>
      <c r="K1266" s="143"/>
    </row>
    <row r="1267" spans="1:11">
      <c r="A1267" s="946" t="s">
        <v>28611</v>
      </c>
      <c r="B1267" s="947" t="s">
        <v>9098</v>
      </c>
      <c r="C1267" s="948" t="s">
        <v>9096</v>
      </c>
      <c r="D1267" s="242" t="s">
        <v>28719</v>
      </c>
      <c r="E1267" s="949">
        <v>701</v>
      </c>
      <c r="F1267" s="949">
        <v>701</v>
      </c>
      <c r="G1267" s="950" t="s">
        <v>9098</v>
      </c>
      <c r="H1267" s="950" t="s">
        <v>1374</v>
      </c>
      <c r="I1267" s="951" t="s">
        <v>9097</v>
      </c>
      <c r="J1267" s="947" t="s">
        <v>9098</v>
      </c>
      <c r="K1267" s="143"/>
    </row>
    <row r="1268" spans="1:11">
      <c r="A1268" s="946" t="s">
        <v>28611</v>
      </c>
      <c r="B1268" s="947" t="s">
        <v>9401</v>
      </c>
      <c r="C1268" s="948" t="s">
        <v>9399</v>
      </c>
      <c r="D1268" s="242" t="s">
        <v>28719</v>
      </c>
      <c r="E1268" s="949">
        <v>701</v>
      </c>
      <c r="F1268" s="949">
        <v>701</v>
      </c>
      <c r="G1268" s="950" t="s">
        <v>9098</v>
      </c>
      <c r="H1268" s="950" t="s">
        <v>1374</v>
      </c>
      <c r="I1268" s="951" t="s">
        <v>9400</v>
      </c>
      <c r="J1268" s="947" t="s">
        <v>9401</v>
      </c>
      <c r="K1268" s="143"/>
    </row>
    <row r="1269" spans="1:11">
      <c r="A1269" s="946" t="s">
        <v>28611</v>
      </c>
      <c r="B1269" s="947" t="s">
        <v>9875</v>
      </c>
      <c r="C1269" s="948" t="s">
        <v>9873</v>
      </c>
      <c r="D1269" s="242" t="s">
        <v>28719</v>
      </c>
      <c r="E1269" s="949">
        <v>701</v>
      </c>
      <c r="F1269" s="949">
        <v>701</v>
      </c>
      <c r="G1269" s="950" t="s">
        <v>9098</v>
      </c>
      <c r="H1269" s="950" t="s">
        <v>1374</v>
      </c>
      <c r="I1269" s="951" t="s">
        <v>9874</v>
      </c>
      <c r="J1269" s="947" t="s">
        <v>9875</v>
      </c>
      <c r="K1269" s="143"/>
    </row>
    <row r="1270" spans="1:11">
      <c r="A1270" s="946" t="s">
        <v>28611</v>
      </c>
      <c r="B1270" s="947" t="s">
        <v>10223</v>
      </c>
      <c r="C1270" s="948" t="s">
        <v>10221</v>
      </c>
      <c r="D1270" s="242" t="s">
        <v>28719</v>
      </c>
      <c r="E1270" s="949">
        <v>701</v>
      </c>
      <c r="F1270" s="949">
        <v>701</v>
      </c>
      <c r="G1270" s="950" t="s">
        <v>9098</v>
      </c>
      <c r="H1270" s="950" t="s">
        <v>1374</v>
      </c>
      <c r="I1270" s="951" t="s">
        <v>10222</v>
      </c>
      <c r="J1270" s="947" t="s">
        <v>10223</v>
      </c>
      <c r="K1270" s="143"/>
    </row>
    <row r="1271" spans="1:11">
      <c r="A1271" s="946" t="s">
        <v>28611</v>
      </c>
      <c r="B1271" s="947" t="s">
        <v>10282</v>
      </c>
      <c r="C1271" s="948" t="s">
        <v>10280</v>
      </c>
      <c r="D1271" s="242" t="s">
        <v>28719</v>
      </c>
      <c r="E1271" s="949">
        <v>701</v>
      </c>
      <c r="F1271" s="949">
        <v>701</v>
      </c>
      <c r="G1271" s="950" t="s">
        <v>9098</v>
      </c>
      <c r="H1271" s="950" t="s">
        <v>1374</v>
      </c>
      <c r="I1271" s="951" t="s">
        <v>10281</v>
      </c>
      <c r="J1271" s="947" t="s">
        <v>10282</v>
      </c>
      <c r="K1271" s="143"/>
    </row>
    <row r="1272" spans="1:11">
      <c r="A1272" s="946" t="s">
        <v>28611</v>
      </c>
      <c r="B1272" s="947" t="s">
        <v>10654</v>
      </c>
      <c r="C1272" s="948" t="s">
        <v>10652</v>
      </c>
      <c r="D1272" s="242" t="s">
        <v>28719</v>
      </c>
      <c r="E1272" s="949">
        <v>701</v>
      </c>
      <c r="F1272" s="949">
        <v>701</v>
      </c>
      <c r="G1272" s="950" t="s">
        <v>9098</v>
      </c>
      <c r="H1272" s="950" t="s">
        <v>1374</v>
      </c>
      <c r="I1272" s="951" t="s">
        <v>10653</v>
      </c>
      <c r="J1272" s="947" t="s">
        <v>10654</v>
      </c>
      <c r="K1272" s="143"/>
    </row>
    <row r="1273" spans="1:11">
      <c r="A1273" s="946" t="s">
        <v>28611</v>
      </c>
      <c r="B1273" s="947" t="s">
        <v>10729</v>
      </c>
      <c r="C1273" s="948" t="s">
        <v>10727</v>
      </c>
      <c r="D1273" s="242" t="s">
        <v>28719</v>
      </c>
      <c r="E1273" s="949">
        <v>701</v>
      </c>
      <c r="F1273" s="949">
        <v>701</v>
      </c>
      <c r="G1273" s="950" t="s">
        <v>9098</v>
      </c>
      <c r="H1273" s="950" t="s">
        <v>1374</v>
      </c>
      <c r="I1273" s="951" t="s">
        <v>10728</v>
      </c>
      <c r="J1273" s="947" t="s">
        <v>10729</v>
      </c>
      <c r="K1273" s="143"/>
    </row>
    <row r="1274" spans="1:11">
      <c r="A1274" s="946" t="s">
        <v>28611</v>
      </c>
      <c r="B1274" s="947" t="s">
        <v>11368</v>
      </c>
      <c r="C1274" s="948" t="s">
        <v>11366</v>
      </c>
      <c r="D1274" s="242" t="s">
        <v>28719</v>
      </c>
      <c r="E1274" s="949">
        <v>701</v>
      </c>
      <c r="F1274" s="949">
        <v>701</v>
      </c>
      <c r="G1274" s="950" t="s">
        <v>9098</v>
      </c>
      <c r="H1274" s="950" t="s">
        <v>1374</v>
      </c>
      <c r="I1274" s="951" t="s">
        <v>11367</v>
      </c>
      <c r="J1274" s="947" t="s">
        <v>11368</v>
      </c>
      <c r="K1274" s="143"/>
    </row>
    <row r="1275" spans="1:11">
      <c r="A1275" s="946" t="s">
        <v>28611</v>
      </c>
      <c r="B1275" s="947" t="s">
        <v>11534</v>
      </c>
      <c r="C1275" s="948" t="s">
        <v>11532</v>
      </c>
      <c r="D1275" s="242" t="s">
        <v>28719</v>
      </c>
      <c r="E1275" s="949">
        <v>701</v>
      </c>
      <c r="F1275" s="949">
        <v>701</v>
      </c>
      <c r="G1275" s="950" t="s">
        <v>9098</v>
      </c>
      <c r="H1275" s="950" t="s">
        <v>1374</v>
      </c>
      <c r="I1275" s="951" t="s">
        <v>11533</v>
      </c>
      <c r="J1275" s="947" t="s">
        <v>11534</v>
      </c>
      <c r="K1275" s="143"/>
    </row>
    <row r="1276" spans="1:11">
      <c r="A1276" s="946" t="s">
        <v>28611</v>
      </c>
      <c r="B1276" s="947" t="s">
        <v>11700</v>
      </c>
      <c r="C1276" s="948" t="s">
        <v>11698</v>
      </c>
      <c r="D1276" s="242" t="s">
        <v>28719</v>
      </c>
      <c r="E1276" s="949">
        <v>701</v>
      </c>
      <c r="F1276" s="949">
        <v>701</v>
      </c>
      <c r="G1276" s="950" t="s">
        <v>9098</v>
      </c>
      <c r="H1276" s="950" t="s">
        <v>1374</v>
      </c>
      <c r="I1276" s="951" t="s">
        <v>11699</v>
      </c>
      <c r="J1276" s="947" t="s">
        <v>11700</v>
      </c>
      <c r="K1276" s="143"/>
    </row>
    <row r="1277" spans="1:11">
      <c r="A1277" s="946" t="s">
        <v>28611</v>
      </c>
      <c r="B1277" s="947" t="s">
        <v>11753</v>
      </c>
      <c r="C1277" s="948" t="s">
        <v>11751</v>
      </c>
      <c r="D1277" s="242" t="s">
        <v>28719</v>
      </c>
      <c r="E1277" s="949">
        <v>701</v>
      </c>
      <c r="F1277" s="949">
        <v>701</v>
      </c>
      <c r="G1277" s="950" t="s">
        <v>9098</v>
      </c>
      <c r="H1277" s="950" t="s">
        <v>1374</v>
      </c>
      <c r="I1277" s="951" t="s">
        <v>11752</v>
      </c>
      <c r="J1277" s="947" t="s">
        <v>11753</v>
      </c>
      <c r="K1277" s="143"/>
    </row>
    <row r="1278" spans="1:11">
      <c r="A1278" s="946" t="s">
        <v>28611</v>
      </c>
      <c r="B1278" s="947" t="s">
        <v>11868</v>
      </c>
      <c r="C1278" s="948" t="s">
        <v>11866</v>
      </c>
      <c r="D1278" s="242" t="s">
        <v>28719</v>
      </c>
      <c r="E1278" s="949">
        <v>701</v>
      </c>
      <c r="F1278" s="949">
        <v>701</v>
      </c>
      <c r="G1278" s="950" t="s">
        <v>9098</v>
      </c>
      <c r="H1278" s="950" t="s">
        <v>1374</v>
      </c>
      <c r="I1278" s="951" t="s">
        <v>11867</v>
      </c>
      <c r="J1278" s="947" t="s">
        <v>11868</v>
      </c>
      <c r="K1278" s="143"/>
    </row>
    <row r="1279" spans="1:11">
      <c r="A1279" s="946" t="s">
        <v>28611</v>
      </c>
      <c r="B1279" s="947" t="s">
        <v>12079</v>
      </c>
      <c r="C1279" s="948" t="s">
        <v>12077</v>
      </c>
      <c r="D1279" s="242" t="s">
        <v>28719</v>
      </c>
      <c r="E1279" s="949">
        <v>701</v>
      </c>
      <c r="F1279" s="949">
        <v>701</v>
      </c>
      <c r="G1279" s="950" t="s">
        <v>9098</v>
      </c>
      <c r="H1279" s="950" t="s">
        <v>1374</v>
      </c>
      <c r="I1279" s="951" t="s">
        <v>12078</v>
      </c>
      <c r="J1279" s="947" t="s">
        <v>12079</v>
      </c>
      <c r="K1279" s="143"/>
    </row>
    <row r="1280" spans="1:11">
      <c r="A1280" s="946" t="s">
        <v>28611</v>
      </c>
      <c r="B1280" s="947" t="s">
        <v>12371</v>
      </c>
      <c r="C1280" s="948" t="s">
        <v>12369</v>
      </c>
      <c r="D1280" s="242" t="s">
        <v>28719</v>
      </c>
      <c r="E1280" s="949">
        <v>701</v>
      </c>
      <c r="F1280" s="949">
        <v>701</v>
      </c>
      <c r="G1280" s="950" t="s">
        <v>9098</v>
      </c>
      <c r="H1280" s="950" t="s">
        <v>1374</v>
      </c>
      <c r="I1280" s="951" t="s">
        <v>12370</v>
      </c>
      <c r="J1280" s="947" t="s">
        <v>12371</v>
      </c>
      <c r="K1280" s="143"/>
    </row>
    <row r="1281" spans="1:11">
      <c r="A1281" s="946" t="s">
        <v>28611</v>
      </c>
      <c r="B1281" s="947" t="s">
        <v>12833</v>
      </c>
      <c r="C1281" s="948" t="s">
        <v>12831</v>
      </c>
      <c r="D1281" s="242" t="s">
        <v>28719</v>
      </c>
      <c r="E1281" s="949">
        <v>701</v>
      </c>
      <c r="F1281" s="949">
        <v>701</v>
      </c>
      <c r="G1281" s="950" t="s">
        <v>9098</v>
      </c>
      <c r="H1281" s="950" t="s">
        <v>1374</v>
      </c>
      <c r="I1281" s="951" t="s">
        <v>12832</v>
      </c>
      <c r="J1281" s="947" t="s">
        <v>12833</v>
      </c>
      <c r="K1281" s="143"/>
    </row>
    <row r="1282" spans="1:11">
      <c r="A1282" s="946" t="s">
        <v>28611</v>
      </c>
      <c r="B1282" s="947" t="s">
        <v>13191</v>
      </c>
      <c r="C1282" s="948" t="s">
        <v>13189</v>
      </c>
      <c r="D1282" s="242" t="s">
        <v>28719</v>
      </c>
      <c r="E1282" s="949">
        <v>701</v>
      </c>
      <c r="F1282" s="949">
        <v>701</v>
      </c>
      <c r="G1282" s="950" t="s">
        <v>9098</v>
      </c>
      <c r="H1282" s="950" t="s">
        <v>1374</v>
      </c>
      <c r="I1282" s="951" t="s">
        <v>13190</v>
      </c>
      <c r="J1282" s="947" t="s">
        <v>13191</v>
      </c>
      <c r="K1282" s="143"/>
    </row>
    <row r="1283" spans="1:11">
      <c r="A1283" s="946" t="s">
        <v>28611</v>
      </c>
      <c r="B1283" s="947" t="s">
        <v>13198</v>
      </c>
      <c r="C1283" s="948" t="s">
        <v>13196</v>
      </c>
      <c r="D1283" s="242" t="s">
        <v>28719</v>
      </c>
      <c r="E1283" s="949">
        <v>701</v>
      </c>
      <c r="F1283" s="949">
        <v>701</v>
      </c>
      <c r="G1283" s="950" t="s">
        <v>9098</v>
      </c>
      <c r="H1283" s="950" t="s">
        <v>1374</v>
      </c>
      <c r="I1283" s="951" t="s">
        <v>13197</v>
      </c>
      <c r="J1283" s="947" t="s">
        <v>13198</v>
      </c>
      <c r="K1283" s="143"/>
    </row>
    <row r="1284" spans="1:11">
      <c r="A1284" s="946" t="s">
        <v>28611</v>
      </c>
      <c r="B1284" s="947" t="s">
        <v>13701</v>
      </c>
      <c r="C1284" s="948" t="s">
        <v>13699</v>
      </c>
      <c r="D1284" s="242" t="s">
        <v>28719</v>
      </c>
      <c r="E1284" s="949">
        <v>701</v>
      </c>
      <c r="F1284" s="949">
        <v>701</v>
      </c>
      <c r="G1284" s="950" t="s">
        <v>9098</v>
      </c>
      <c r="H1284" s="950" t="s">
        <v>1374</v>
      </c>
      <c r="I1284" s="951" t="s">
        <v>13700</v>
      </c>
      <c r="J1284" s="947" t="s">
        <v>13701</v>
      </c>
      <c r="K1284" s="143"/>
    </row>
    <row r="1285" spans="1:11">
      <c r="A1285" s="946" t="s">
        <v>28611</v>
      </c>
      <c r="B1285" s="947" t="s">
        <v>14949</v>
      </c>
      <c r="C1285" s="948" t="s">
        <v>14947</v>
      </c>
      <c r="D1285" s="242" t="s">
        <v>28719</v>
      </c>
      <c r="E1285" s="949">
        <v>701</v>
      </c>
      <c r="F1285" s="949">
        <v>701</v>
      </c>
      <c r="G1285" s="950" t="s">
        <v>9098</v>
      </c>
      <c r="H1285" s="950" t="s">
        <v>1374</v>
      </c>
      <c r="I1285" s="951" t="s">
        <v>14948</v>
      </c>
      <c r="J1285" s="947" t="s">
        <v>14949</v>
      </c>
      <c r="K1285" s="143"/>
    </row>
    <row r="1286" spans="1:11">
      <c r="A1286" s="946" t="s">
        <v>28611</v>
      </c>
      <c r="B1286" s="947" t="s">
        <v>15592</v>
      </c>
      <c r="C1286" s="948" t="s">
        <v>15590</v>
      </c>
      <c r="D1286" s="242" t="s">
        <v>28719</v>
      </c>
      <c r="E1286" s="949">
        <v>701</v>
      </c>
      <c r="F1286" s="949">
        <v>701</v>
      </c>
      <c r="G1286" s="950" t="s">
        <v>9098</v>
      </c>
      <c r="H1286" s="950" t="s">
        <v>1374</v>
      </c>
      <c r="I1286" s="951" t="s">
        <v>15591</v>
      </c>
      <c r="J1286" s="947" t="s">
        <v>15592</v>
      </c>
      <c r="K1286" s="143"/>
    </row>
    <row r="1287" spans="1:11">
      <c r="A1287" s="946" t="s">
        <v>28611</v>
      </c>
      <c r="B1287" s="947" t="s">
        <v>15900</v>
      </c>
      <c r="C1287" s="948" t="s">
        <v>15898</v>
      </c>
      <c r="D1287" s="242" t="s">
        <v>28719</v>
      </c>
      <c r="E1287" s="949">
        <v>701</v>
      </c>
      <c r="F1287" s="949">
        <v>701</v>
      </c>
      <c r="G1287" s="950" t="s">
        <v>9098</v>
      </c>
      <c r="H1287" s="950" t="s">
        <v>1374</v>
      </c>
      <c r="I1287" s="951" t="s">
        <v>15899</v>
      </c>
      <c r="J1287" s="947" t="s">
        <v>15900</v>
      </c>
      <c r="K1287" s="143"/>
    </row>
    <row r="1288" spans="1:11">
      <c r="A1288" s="946" t="s">
        <v>28611</v>
      </c>
      <c r="B1288" s="947" t="s">
        <v>16091</v>
      </c>
      <c r="C1288" s="948" t="s">
        <v>16089</v>
      </c>
      <c r="D1288" s="242" t="s">
        <v>28719</v>
      </c>
      <c r="E1288" s="949">
        <v>701</v>
      </c>
      <c r="F1288" s="949">
        <v>701</v>
      </c>
      <c r="G1288" s="950" t="s">
        <v>9098</v>
      </c>
      <c r="H1288" s="950" t="s">
        <v>1374</v>
      </c>
      <c r="I1288" s="951" t="s">
        <v>16090</v>
      </c>
      <c r="J1288" s="947" t="s">
        <v>16091</v>
      </c>
      <c r="K1288" s="143"/>
    </row>
    <row r="1289" spans="1:11">
      <c r="A1289" s="946" t="s">
        <v>28611</v>
      </c>
      <c r="B1289" s="947" t="s">
        <v>16154</v>
      </c>
      <c r="C1289" s="948" t="s">
        <v>16152</v>
      </c>
      <c r="D1289" s="242" t="s">
        <v>28719</v>
      </c>
      <c r="E1289" s="949">
        <v>701</v>
      </c>
      <c r="F1289" s="949">
        <v>701</v>
      </c>
      <c r="G1289" s="950" t="s">
        <v>9098</v>
      </c>
      <c r="H1289" s="950" t="s">
        <v>1374</v>
      </c>
      <c r="I1289" s="951" t="s">
        <v>16153</v>
      </c>
      <c r="J1289" s="947" t="s">
        <v>16154</v>
      </c>
      <c r="K1289" s="143"/>
    </row>
    <row r="1290" spans="1:11">
      <c r="A1290" s="946" t="s">
        <v>28611</v>
      </c>
      <c r="B1290" s="947" t="s">
        <v>16244</v>
      </c>
      <c r="C1290" s="948" t="s">
        <v>16242</v>
      </c>
      <c r="D1290" s="242" t="s">
        <v>28719</v>
      </c>
      <c r="E1290" s="949">
        <v>701</v>
      </c>
      <c r="F1290" s="949">
        <v>701</v>
      </c>
      <c r="G1290" s="950" t="s">
        <v>9098</v>
      </c>
      <c r="H1290" s="950" t="s">
        <v>1374</v>
      </c>
      <c r="I1290" s="951" t="s">
        <v>16243</v>
      </c>
      <c r="J1290" s="947" t="s">
        <v>16244</v>
      </c>
      <c r="K1290" s="143"/>
    </row>
    <row r="1291" spans="1:11">
      <c r="A1291" s="946" t="s">
        <v>28611</v>
      </c>
      <c r="B1291" s="947" t="s">
        <v>16892</v>
      </c>
      <c r="C1291" s="948" t="s">
        <v>16890</v>
      </c>
      <c r="D1291" s="242" t="s">
        <v>28719</v>
      </c>
      <c r="E1291" s="949">
        <v>701</v>
      </c>
      <c r="F1291" s="949">
        <v>701</v>
      </c>
      <c r="G1291" s="950" t="s">
        <v>9098</v>
      </c>
      <c r="H1291" s="950" t="s">
        <v>1374</v>
      </c>
      <c r="I1291" s="951" t="s">
        <v>16891</v>
      </c>
      <c r="J1291" s="947" t="s">
        <v>16892</v>
      </c>
      <c r="K1291" s="143"/>
    </row>
    <row r="1292" spans="1:11">
      <c r="A1292" s="946" t="s">
        <v>28611</v>
      </c>
      <c r="B1292" s="947" t="s">
        <v>16907</v>
      </c>
      <c r="C1292" s="948" t="s">
        <v>16905</v>
      </c>
      <c r="D1292" s="242" t="s">
        <v>28719</v>
      </c>
      <c r="E1292" s="949">
        <v>701</v>
      </c>
      <c r="F1292" s="949">
        <v>701</v>
      </c>
      <c r="G1292" s="950" t="s">
        <v>9098</v>
      </c>
      <c r="H1292" s="950" t="s">
        <v>1374</v>
      </c>
      <c r="I1292" s="951" t="s">
        <v>16906</v>
      </c>
      <c r="J1292" s="947" t="s">
        <v>16907</v>
      </c>
      <c r="K1292" s="143"/>
    </row>
    <row r="1293" spans="1:11">
      <c r="A1293" s="946" t="s">
        <v>28611</v>
      </c>
      <c r="B1293" s="947" t="s">
        <v>16988</v>
      </c>
      <c r="C1293" s="948" t="s">
        <v>16986</v>
      </c>
      <c r="D1293" s="242" t="s">
        <v>28719</v>
      </c>
      <c r="E1293" s="949">
        <v>701</v>
      </c>
      <c r="F1293" s="949">
        <v>701</v>
      </c>
      <c r="G1293" s="950" t="s">
        <v>9098</v>
      </c>
      <c r="H1293" s="950" t="s">
        <v>1374</v>
      </c>
      <c r="I1293" s="951" t="s">
        <v>16987</v>
      </c>
      <c r="J1293" s="947" t="s">
        <v>16988</v>
      </c>
      <c r="K1293" s="143"/>
    </row>
    <row r="1294" spans="1:11">
      <c r="A1294" s="946" t="s">
        <v>28611</v>
      </c>
      <c r="B1294" s="947" t="s">
        <v>17030</v>
      </c>
      <c r="C1294" s="948" t="s">
        <v>17028</v>
      </c>
      <c r="D1294" s="242" t="s">
        <v>28719</v>
      </c>
      <c r="E1294" s="949">
        <v>701</v>
      </c>
      <c r="F1294" s="949">
        <v>701</v>
      </c>
      <c r="G1294" s="950" t="s">
        <v>9098</v>
      </c>
      <c r="H1294" s="950" t="s">
        <v>1374</v>
      </c>
      <c r="I1294" s="951" t="s">
        <v>17029</v>
      </c>
      <c r="J1294" s="947" t="s">
        <v>17030</v>
      </c>
      <c r="K1294" s="143"/>
    </row>
    <row r="1295" spans="1:11">
      <c r="A1295" s="946" t="s">
        <v>28611</v>
      </c>
      <c r="B1295" s="947" t="s">
        <v>17484</v>
      </c>
      <c r="C1295" s="948" t="s">
        <v>17482</v>
      </c>
      <c r="D1295" s="242" t="s">
        <v>28719</v>
      </c>
      <c r="E1295" s="949">
        <v>701</v>
      </c>
      <c r="F1295" s="949">
        <v>701</v>
      </c>
      <c r="G1295" s="950" t="s">
        <v>9098</v>
      </c>
      <c r="H1295" s="950" t="s">
        <v>1374</v>
      </c>
      <c r="I1295" s="951" t="s">
        <v>17483</v>
      </c>
      <c r="J1295" s="947" t="s">
        <v>17484</v>
      </c>
      <c r="K1295" s="143"/>
    </row>
    <row r="1296" spans="1:11">
      <c r="A1296" s="946" t="s">
        <v>28611</v>
      </c>
      <c r="B1296" s="947" t="s">
        <v>18453</v>
      </c>
      <c r="C1296" s="948" t="s">
        <v>18451</v>
      </c>
      <c r="D1296" s="242" t="s">
        <v>28719</v>
      </c>
      <c r="E1296" s="949">
        <v>701</v>
      </c>
      <c r="F1296" s="949">
        <v>701</v>
      </c>
      <c r="G1296" s="950" t="s">
        <v>9098</v>
      </c>
      <c r="H1296" s="950" t="s">
        <v>1374</v>
      </c>
      <c r="I1296" s="951" t="s">
        <v>18452</v>
      </c>
      <c r="J1296" s="947" t="s">
        <v>18453</v>
      </c>
      <c r="K1296" s="143"/>
    </row>
    <row r="1297" spans="1:11">
      <c r="A1297" s="946" t="s">
        <v>28611</v>
      </c>
      <c r="B1297" s="947" t="s">
        <v>18795</v>
      </c>
      <c r="C1297" s="948" t="s">
        <v>18793</v>
      </c>
      <c r="D1297" s="242" t="s">
        <v>28719</v>
      </c>
      <c r="E1297" s="949">
        <v>701</v>
      </c>
      <c r="F1297" s="949">
        <v>701</v>
      </c>
      <c r="G1297" s="950" t="s">
        <v>9098</v>
      </c>
      <c r="H1297" s="950" t="s">
        <v>1374</v>
      </c>
      <c r="I1297" s="951" t="s">
        <v>18794</v>
      </c>
      <c r="J1297" s="947" t="s">
        <v>18795</v>
      </c>
      <c r="K1297" s="143"/>
    </row>
    <row r="1298" spans="1:11">
      <c r="A1298" s="946" t="s">
        <v>28611</v>
      </c>
      <c r="B1298" s="947" t="s">
        <v>18759</v>
      </c>
      <c r="C1298" s="948" t="s">
        <v>18757</v>
      </c>
      <c r="D1298" s="242" t="s">
        <v>28719</v>
      </c>
      <c r="E1298" s="949">
        <v>701</v>
      </c>
      <c r="F1298" s="949">
        <v>701</v>
      </c>
      <c r="G1298" s="950" t="s">
        <v>9098</v>
      </c>
      <c r="H1298" s="950" t="s">
        <v>1374</v>
      </c>
      <c r="I1298" s="951" t="s">
        <v>18758</v>
      </c>
      <c r="J1298" s="947" t="s">
        <v>18759</v>
      </c>
      <c r="K1298" s="143"/>
    </row>
    <row r="1299" spans="1:11">
      <c r="A1299" s="946" t="s">
        <v>28611</v>
      </c>
      <c r="B1299" s="947" t="s">
        <v>18969</v>
      </c>
      <c r="C1299" s="948" t="s">
        <v>18967</v>
      </c>
      <c r="D1299" s="242" t="s">
        <v>28719</v>
      </c>
      <c r="E1299" s="949">
        <v>701</v>
      </c>
      <c r="F1299" s="949">
        <v>701</v>
      </c>
      <c r="G1299" s="950" t="s">
        <v>9098</v>
      </c>
      <c r="H1299" s="950" t="s">
        <v>1374</v>
      </c>
      <c r="I1299" s="951" t="s">
        <v>18968</v>
      </c>
      <c r="J1299" s="947" t="s">
        <v>18969</v>
      </c>
      <c r="K1299" s="143"/>
    </row>
    <row r="1300" spans="1:11">
      <c r="A1300" s="946" t="s">
        <v>28611</v>
      </c>
      <c r="B1300" s="947" t="s">
        <v>19322</v>
      </c>
      <c r="C1300" s="948" t="s">
        <v>19320</v>
      </c>
      <c r="D1300" s="242" t="s">
        <v>28719</v>
      </c>
      <c r="E1300" s="949">
        <v>701</v>
      </c>
      <c r="F1300" s="949">
        <v>701</v>
      </c>
      <c r="G1300" s="950" t="s">
        <v>9098</v>
      </c>
      <c r="H1300" s="950" t="s">
        <v>1374</v>
      </c>
      <c r="I1300" s="951" t="s">
        <v>19321</v>
      </c>
      <c r="J1300" s="947" t="s">
        <v>19322</v>
      </c>
      <c r="K1300" s="143"/>
    </row>
    <row r="1301" spans="1:11">
      <c r="A1301" s="946" t="s">
        <v>28611</v>
      </c>
      <c r="B1301" s="947" t="s">
        <v>19438</v>
      </c>
      <c r="C1301" s="948" t="s">
        <v>19436</v>
      </c>
      <c r="D1301" s="242" t="s">
        <v>28719</v>
      </c>
      <c r="E1301" s="949">
        <v>701</v>
      </c>
      <c r="F1301" s="949">
        <v>701</v>
      </c>
      <c r="G1301" s="950" t="s">
        <v>9098</v>
      </c>
      <c r="H1301" s="950" t="s">
        <v>1374</v>
      </c>
      <c r="I1301" s="951" t="s">
        <v>19437</v>
      </c>
      <c r="J1301" s="947" t="s">
        <v>19438</v>
      </c>
      <c r="K1301" s="143"/>
    </row>
    <row r="1302" spans="1:11">
      <c r="A1302" s="946" t="s">
        <v>28611</v>
      </c>
      <c r="B1302" s="947" t="s">
        <v>19759</v>
      </c>
      <c r="C1302" s="948" t="s">
        <v>19757</v>
      </c>
      <c r="D1302" s="242" t="s">
        <v>28719</v>
      </c>
      <c r="E1302" s="949">
        <v>701</v>
      </c>
      <c r="F1302" s="949">
        <v>701</v>
      </c>
      <c r="G1302" s="950" t="s">
        <v>9098</v>
      </c>
      <c r="H1302" s="950" t="s">
        <v>1374</v>
      </c>
      <c r="I1302" s="951" t="s">
        <v>19758</v>
      </c>
      <c r="J1302" s="947" t="s">
        <v>19759</v>
      </c>
      <c r="K1302" s="143"/>
    </row>
    <row r="1303" spans="1:11">
      <c r="A1303" s="946" t="s">
        <v>28611</v>
      </c>
      <c r="B1303" s="947" t="s">
        <v>20461</v>
      </c>
      <c r="C1303" s="948" t="s">
        <v>20459</v>
      </c>
      <c r="D1303" s="242" t="s">
        <v>28719</v>
      </c>
      <c r="E1303" s="949">
        <v>701</v>
      </c>
      <c r="F1303" s="949">
        <v>701</v>
      </c>
      <c r="G1303" s="950" t="s">
        <v>9098</v>
      </c>
      <c r="H1303" s="950" t="s">
        <v>1374</v>
      </c>
      <c r="I1303" s="951" t="s">
        <v>20460</v>
      </c>
      <c r="J1303" s="947" t="s">
        <v>20461</v>
      </c>
      <c r="K1303" s="143"/>
    </row>
    <row r="1304" spans="1:11">
      <c r="A1304" s="946" t="s">
        <v>28611</v>
      </c>
      <c r="B1304" s="947" t="s">
        <v>20768</v>
      </c>
      <c r="C1304" s="948" t="s">
        <v>20766</v>
      </c>
      <c r="D1304" s="242" t="s">
        <v>28719</v>
      </c>
      <c r="E1304" s="949">
        <v>701</v>
      </c>
      <c r="F1304" s="949">
        <v>701</v>
      </c>
      <c r="G1304" s="950" t="s">
        <v>9098</v>
      </c>
      <c r="H1304" s="950" t="s">
        <v>1374</v>
      </c>
      <c r="I1304" s="951" t="s">
        <v>20767</v>
      </c>
      <c r="J1304" s="947" t="s">
        <v>20768</v>
      </c>
      <c r="K1304" s="143"/>
    </row>
    <row r="1305" spans="1:11">
      <c r="A1305" s="946" t="s">
        <v>28611</v>
      </c>
      <c r="B1305" s="947" t="s">
        <v>21013</v>
      </c>
      <c r="C1305" s="948" t="s">
        <v>21011</v>
      </c>
      <c r="D1305" s="242" t="s">
        <v>28719</v>
      </c>
      <c r="E1305" s="949">
        <v>701</v>
      </c>
      <c r="F1305" s="949">
        <v>701</v>
      </c>
      <c r="G1305" s="950" t="s">
        <v>9098</v>
      </c>
      <c r="H1305" s="950" t="s">
        <v>1374</v>
      </c>
      <c r="I1305" s="951" t="s">
        <v>21012</v>
      </c>
      <c r="J1305" s="947" t="s">
        <v>21013</v>
      </c>
      <c r="K1305" s="143"/>
    </row>
    <row r="1306" spans="1:11">
      <c r="A1306" s="946" t="s">
        <v>28611</v>
      </c>
      <c r="B1306" s="947" t="s">
        <v>21212</v>
      </c>
      <c r="C1306" s="948" t="s">
        <v>21210</v>
      </c>
      <c r="D1306" s="242" t="s">
        <v>28719</v>
      </c>
      <c r="E1306" s="949">
        <v>701</v>
      </c>
      <c r="F1306" s="949">
        <v>701</v>
      </c>
      <c r="G1306" s="950" t="s">
        <v>9098</v>
      </c>
      <c r="H1306" s="950" t="s">
        <v>1374</v>
      </c>
      <c r="I1306" s="951" t="s">
        <v>21211</v>
      </c>
      <c r="J1306" s="947" t="s">
        <v>21212</v>
      </c>
      <c r="K1306" s="143"/>
    </row>
    <row r="1307" spans="1:11">
      <c r="A1307" s="946" t="s">
        <v>28611</v>
      </c>
      <c r="B1307" s="947" t="s">
        <v>21302</v>
      </c>
      <c r="C1307" s="948" t="s">
        <v>21300</v>
      </c>
      <c r="D1307" s="242" t="s">
        <v>28719</v>
      </c>
      <c r="E1307" s="949">
        <v>701</v>
      </c>
      <c r="F1307" s="949">
        <v>701</v>
      </c>
      <c r="G1307" s="950" t="s">
        <v>9098</v>
      </c>
      <c r="H1307" s="950" t="s">
        <v>1374</v>
      </c>
      <c r="I1307" s="951" t="s">
        <v>21301</v>
      </c>
      <c r="J1307" s="947" t="s">
        <v>21302</v>
      </c>
      <c r="K1307" s="143"/>
    </row>
    <row r="1308" spans="1:11">
      <c r="A1308" s="946" t="s">
        <v>28611</v>
      </c>
      <c r="B1308" s="947" t="s">
        <v>22478</v>
      </c>
      <c r="C1308" s="948" t="s">
        <v>22476</v>
      </c>
      <c r="D1308" s="242" t="s">
        <v>28719</v>
      </c>
      <c r="E1308" s="949">
        <v>701</v>
      </c>
      <c r="F1308" s="949">
        <v>701</v>
      </c>
      <c r="G1308" s="950" t="s">
        <v>9098</v>
      </c>
      <c r="H1308" s="950" t="s">
        <v>1374</v>
      </c>
      <c r="I1308" s="951" t="s">
        <v>22477</v>
      </c>
      <c r="J1308" s="947" t="s">
        <v>22478</v>
      </c>
      <c r="K1308" s="143"/>
    </row>
    <row r="1309" spans="1:11">
      <c r="A1309" s="946" t="s">
        <v>28611</v>
      </c>
      <c r="B1309" s="947" t="s">
        <v>22641</v>
      </c>
      <c r="C1309" s="948" t="s">
        <v>22639</v>
      </c>
      <c r="D1309" s="242" t="s">
        <v>28719</v>
      </c>
      <c r="E1309" s="949">
        <v>701</v>
      </c>
      <c r="F1309" s="949">
        <v>701</v>
      </c>
      <c r="G1309" s="950" t="s">
        <v>9098</v>
      </c>
      <c r="H1309" s="950" t="s">
        <v>1374</v>
      </c>
      <c r="I1309" s="951" t="s">
        <v>22640</v>
      </c>
      <c r="J1309" s="947" t="s">
        <v>22641</v>
      </c>
      <c r="K1309" s="143"/>
    </row>
    <row r="1310" spans="1:11">
      <c r="A1310" s="946" t="s">
        <v>28611</v>
      </c>
      <c r="B1310" s="947" t="s">
        <v>1085</v>
      </c>
      <c r="C1310" s="948" t="s">
        <v>1082</v>
      </c>
      <c r="D1310" s="242" t="s">
        <v>28720</v>
      </c>
      <c r="E1310" s="949">
        <v>703</v>
      </c>
      <c r="F1310" s="949">
        <v>703</v>
      </c>
      <c r="G1310" s="950" t="s">
        <v>10009</v>
      </c>
      <c r="H1310" s="950" t="s">
        <v>1083</v>
      </c>
      <c r="I1310" s="951" t="s">
        <v>1084</v>
      </c>
      <c r="J1310" s="947" t="s">
        <v>1085</v>
      </c>
      <c r="K1310" s="143"/>
    </row>
    <row r="1311" spans="1:11">
      <c r="A1311" s="946" t="s">
        <v>28611</v>
      </c>
      <c r="B1311" s="947" t="s">
        <v>1340</v>
      </c>
      <c r="C1311" s="948" t="s">
        <v>1338</v>
      </c>
      <c r="D1311" s="242" t="s">
        <v>28720</v>
      </c>
      <c r="E1311" s="949">
        <v>703</v>
      </c>
      <c r="F1311" s="949">
        <v>703</v>
      </c>
      <c r="G1311" s="950" t="s">
        <v>10009</v>
      </c>
      <c r="H1311" s="950" t="s">
        <v>1083</v>
      </c>
      <c r="I1311" s="951" t="s">
        <v>1339</v>
      </c>
      <c r="J1311" s="947" t="s">
        <v>1340</v>
      </c>
      <c r="K1311" s="143"/>
    </row>
    <row r="1312" spans="1:11">
      <c r="A1312" s="946" t="s">
        <v>28611</v>
      </c>
      <c r="B1312" s="947" t="s">
        <v>2378</v>
      </c>
      <c r="C1312" s="948" t="s">
        <v>2376</v>
      </c>
      <c r="D1312" s="242" t="s">
        <v>28720</v>
      </c>
      <c r="E1312" s="949">
        <v>703</v>
      </c>
      <c r="F1312" s="949">
        <v>703</v>
      </c>
      <c r="G1312" s="950" t="s">
        <v>10009</v>
      </c>
      <c r="H1312" s="950" t="s">
        <v>1083</v>
      </c>
      <c r="I1312" s="951" t="s">
        <v>2377</v>
      </c>
      <c r="J1312" s="947" t="s">
        <v>2378</v>
      </c>
      <c r="K1312" s="143"/>
    </row>
    <row r="1313" spans="1:11">
      <c r="A1313" s="946" t="s">
        <v>28611</v>
      </c>
      <c r="B1313" s="947" t="s">
        <v>2569</v>
      </c>
      <c r="C1313" s="948" t="s">
        <v>2567</v>
      </c>
      <c r="D1313" s="242" t="s">
        <v>28720</v>
      </c>
      <c r="E1313" s="949">
        <v>703</v>
      </c>
      <c r="F1313" s="949">
        <v>703</v>
      </c>
      <c r="G1313" s="950" t="s">
        <v>10009</v>
      </c>
      <c r="H1313" s="950" t="s">
        <v>1083</v>
      </c>
      <c r="I1313" s="951" t="s">
        <v>2568</v>
      </c>
      <c r="J1313" s="947" t="s">
        <v>2569</v>
      </c>
      <c r="K1313" s="143"/>
    </row>
    <row r="1314" spans="1:11">
      <c r="A1314" s="946" t="s">
        <v>28611</v>
      </c>
      <c r="B1314" s="947" t="s">
        <v>2625</v>
      </c>
      <c r="C1314" s="948" t="s">
        <v>2623</v>
      </c>
      <c r="D1314" s="242" t="s">
        <v>28720</v>
      </c>
      <c r="E1314" s="949">
        <v>703</v>
      </c>
      <c r="F1314" s="949">
        <v>703</v>
      </c>
      <c r="G1314" s="950" t="s">
        <v>10009</v>
      </c>
      <c r="H1314" s="950" t="s">
        <v>1083</v>
      </c>
      <c r="I1314" s="951" t="s">
        <v>2624</v>
      </c>
      <c r="J1314" s="947" t="s">
        <v>2625</v>
      </c>
      <c r="K1314" s="143"/>
    </row>
    <row r="1315" spans="1:11">
      <c r="A1315" s="946" t="s">
        <v>28611</v>
      </c>
      <c r="B1315" s="947" t="s">
        <v>2703</v>
      </c>
      <c r="C1315" s="948" t="s">
        <v>2701</v>
      </c>
      <c r="D1315" s="242" t="s">
        <v>28720</v>
      </c>
      <c r="E1315" s="949">
        <v>703</v>
      </c>
      <c r="F1315" s="949">
        <v>703</v>
      </c>
      <c r="G1315" s="950" t="s">
        <v>10009</v>
      </c>
      <c r="H1315" s="950" t="s">
        <v>1083</v>
      </c>
      <c r="I1315" s="951" t="s">
        <v>2702</v>
      </c>
      <c r="J1315" s="947" t="s">
        <v>2703</v>
      </c>
      <c r="K1315" s="143"/>
    </row>
    <row r="1316" spans="1:11">
      <c r="A1316" s="946" t="s">
        <v>28611</v>
      </c>
      <c r="B1316" s="947" t="s">
        <v>3136</v>
      </c>
      <c r="C1316" s="948" t="s">
        <v>3134</v>
      </c>
      <c r="D1316" s="242" t="s">
        <v>28720</v>
      </c>
      <c r="E1316" s="949">
        <v>703</v>
      </c>
      <c r="F1316" s="949">
        <v>703</v>
      </c>
      <c r="G1316" s="950" t="s">
        <v>10009</v>
      </c>
      <c r="H1316" s="950" t="s">
        <v>1083</v>
      </c>
      <c r="I1316" s="951" t="s">
        <v>3135</v>
      </c>
      <c r="J1316" s="947" t="s">
        <v>3136</v>
      </c>
      <c r="K1316" s="143"/>
    </row>
    <row r="1317" spans="1:11">
      <c r="A1317" s="946" t="s">
        <v>28611</v>
      </c>
      <c r="B1317" s="947" t="s">
        <v>3496</v>
      </c>
      <c r="C1317" s="948" t="s">
        <v>3494</v>
      </c>
      <c r="D1317" s="242" t="s">
        <v>28720</v>
      </c>
      <c r="E1317" s="949">
        <v>703</v>
      </c>
      <c r="F1317" s="949">
        <v>703</v>
      </c>
      <c r="G1317" s="950" t="s">
        <v>10009</v>
      </c>
      <c r="H1317" s="950" t="s">
        <v>1083</v>
      </c>
      <c r="I1317" s="951" t="s">
        <v>3495</v>
      </c>
      <c r="J1317" s="947" t="s">
        <v>3496</v>
      </c>
      <c r="K1317" s="143"/>
    </row>
    <row r="1318" spans="1:11">
      <c r="A1318" s="946" t="s">
        <v>28611</v>
      </c>
      <c r="B1318" s="947" t="s">
        <v>4450</v>
      </c>
      <c r="C1318" s="948" t="s">
        <v>4448</v>
      </c>
      <c r="D1318" s="242" t="s">
        <v>28720</v>
      </c>
      <c r="E1318" s="949">
        <v>703</v>
      </c>
      <c r="F1318" s="949">
        <v>703</v>
      </c>
      <c r="G1318" s="950" t="s">
        <v>10009</v>
      </c>
      <c r="H1318" s="950" t="s">
        <v>1083</v>
      </c>
      <c r="I1318" s="951" t="s">
        <v>4449</v>
      </c>
      <c r="J1318" s="947" t="s">
        <v>4450</v>
      </c>
      <c r="K1318" s="143"/>
    </row>
    <row r="1319" spans="1:11">
      <c r="A1319" s="946" t="s">
        <v>28611</v>
      </c>
      <c r="B1319" s="947" t="s">
        <v>4453</v>
      </c>
      <c r="C1319" s="948" t="s">
        <v>4451</v>
      </c>
      <c r="D1319" s="242" t="s">
        <v>28720</v>
      </c>
      <c r="E1319" s="949">
        <v>703</v>
      </c>
      <c r="F1319" s="949">
        <v>703</v>
      </c>
      <c r="G1319" s="950" t="s">
        <v>10009</v>
      </c>
      <c r="H1319" s="950" t="s">
        <v>1083</v>
      </c>
      <c r="I1319" s="951" t="s">
        <v>4452</v>
      </c>
      <c r="J1319" s="947" t="s">
        <v>4453</v>
      </c>
      <c r="K1319" s="143"/>
    </row>
    <row r="1320" spans="1:11">
      <c r="A1320" s="946" t="s">
        <v>28611</v>
      </c>
      <c r="B1320" s="947" t="s">
        <v>5377</v>
      </c>
      <c r="C1320" s="948" t="s">
        <v>5375</v>
      </c>
      <c r="D1320" s="242" t="s">
        <v>28720</v>
      </c>
      <c r="E1320" s="949">
        <v>703</v>
      </c>
      <c r="F1320" s="949">
        <v>703</v>
      </c>
      <c r="G1320" s="950" t="s">
        <v>10009</v>
      </c>
      <c r="H1320" s="950" t="s">
        <v>1083</v>
      </c>
      <c r="I1320" s="951" t="s">
        <v>5376</v>
      </c>
      <c r="J1320" s="947" t="s">
        <v>5377</v>
      </c>
      <c r="K1320" s="143"/>
    </row>
    <row r="1321" spans="1:11">
      <c r="A1321" s="946" t="s">
        <v>28611</v>
      </c>
      <c r="B1321" s="947" t="s">
        <v>7583</v>
      </c>
      <c r="C1321" s="948" t="s">
        <v>7581</v>
      </c>
      <c r="D1321" s="242" t="s">
        <v>28720</v>
      </c>
      <c r="E1321" s="949">
        <v>703</v>
      </c>
      <c r="F1321" s="949">
        <v>703</v>
      </c>
      <c r="G1321" s="950" t="s">
        <v>10009</v>
      </c>
      <c r="H1321" s="950" t="s">
        <v>1083</v>
      </c>
      <c r="I1321" s="951" t="s">
        <v>7582</v>
      </c>
      <c r="J1321" s="947" t="s">
        <v>7583</v>
      </c>
      <c r="K1321" s="143"/>
    </row>
    <row r="1322" spans="1:11">
      <c r="A1322" s="946" t="s">
        <v>28611</v>
      </c>
      <c r="B1322" s="947" t="s">
        <v>8377</v>
      </c>
      <c r="C1322" s="948" t="s">
        <v>8375</v>
      </c>
      <c r="D1322" s="242" t="s">
        <v>28720</v>
      </c>
      <c r="E1322" s="949">
        <v>703</v>
      </c>
      <c r="F1322" s="949">
        <v>703</v>
      </c>
      <c r="G1322" s="950" t="s">
        <v>10009</v>
      </c>
      <c r="H1322" s="950" t="s">
        <v>1083</v>
      </c>
      <c r="I1322" s="951" t="s">
        <v>8376</v>
      </c>
      <c r="J1322" s="947" t="s">
        <v>8377</v>
      </c>
      <c r="K1322" s="143"/>
    </row>
    <row r="1323" spans="1:11">
      <c r="A1323" s="946" t="s">
        <v>28611</v>
      </c>
      <c r="B1323" s="947" t="s">
        <v>8611</v>
      </c>
      <c r="C1323" s="948" t="s">
        <v>8609</v>
      </c>
      <c r="D1323" s="242" t="s">
        <v>28720</v>
      </c>
      <c r="E1323" s="949">
        <v>703</v>
      </c>
      <c r="F1323" s="949">
        <v>703</v>
      </c>
      <c r="G1323" s="950" t="s">
        <v>10009</v>
      </c>
      <c r="H1323" s="950" t="s">
        <v>1083</v>
      </c>
      <c r="I1323" s="951" t="s">
        <v>8610</v>
      </c>
      <c r="J1323" s="947" t="s">
        <v>8611</v>
      </c>
      <c r="K1323" s="143"/>
    </row>
    <row r="1324" spans="1:11">
      <c r="A1324" s="946" t="s">
        <v>28611</v>
      </c>
      <c r="B1324" s="947" t="s">
        <v>10009</v>
      </c>
      <c r="C1324" s="948" t="s">
        <v>10007</v>
      </c>
      <c r="D1324" s="242" t="s">
        <v>28720</v>
      </c>
      <c r="E1324" s="949">
        <v>703</v>
      </c>
      <c r="F1324" s="949">
        <v>703</v>
      </c>
      <c r="G1324" s="950" t="s">
        <v>10009</v>
      </c>
      <c r="H1324" s="950" t="s">
        <v>1083</v>
      </c>
      <c r="I1324" s="951" t="s">
        <v>10008</v>
      </c>
      <c r="J1324" s="947" t="s">
        <v>10009</v>
      </c>
      <c r="K1324" s="143"/>
    </row>
    <row r="1325" spans="1:11">
      <c r="A1325" s="946" t="s">
        <v>28611</v>
      </c>
      <c r="B1325" s="947" t="s">
        <v>10335</v>
      </c>
      <c r="C1325" s="948" t="s">
        <v>10333</v>
      </c>
      <c r="D1325" s="242" t="s">
        <v>28720</v>
      </c>
      <c r="E1325" s="949">
        <v>703</v>
      </c>
      <c r="F1325" s="949">
        <v>703</v>
      </c>
      <c r="G1325" s="950" t="s">
        <v>10009</v>
      </c>
      <c r="H1325" s="950" t="s">
        <v>1083</v>
      </c>
      <c r="I1325" s="951" t="s">
        <v>10334</v>
      </c>
      <c r="J1325" s="947" t="s">
        <v>10335</v>
      </c>
      <c r="K1325" s="143"/>
    </row>
    <row r="1326" spans="1:11">
      <c r="A1326" s="946" t="s">
        <v>28611</v>
      </c>
      <c r="B1326" s="947" t="s">
        <v>10378</v>
      </c>
      <c r="C1326" s="948" t="s">
        <v>10376</v>
      </c>
      <c r="D1326" s="242" t="s">
        <v>28720</v>
      </c>
      <c r="E1326" s="949">
        <v>703</v>
      </c>
      <c r="F1326" s="949">
        <v>703</v>
      </c>
      <c r="G1326" s="950" t="s">
        <v>10009</v>
      </c>
      <c r="H1326" s="950" t="s">
        <v>1083</v>
      </c>
      <c r="I1326" s="951" t="s">
        <v>10377</v>
      </c>
      <c r="J1326" s="947" t="s">
        <v>10378</v>
      </c>
      <c r="K1326" s="143"/>
    </row>
    <row r="1327" spans="1:11">
      <c r="A1327" s="946" t="s">
        <v>28611</v>
      </c>
      <c r="B1327" s="947" t="s">
        <v>10948</v>
      </c>
      <c r="C1327" s="948" t="s">
        <v>10946</v>
      </c>
      <c r="D1327" s="242" t="s">
        <v>28720</v>
      </c>
      <c r="E1327" s="949">
        <v>703</v>
      </c>
      <c r="F1327" s="949">
        <v>703</v>
      </c>
      <c r="G1327" s="950" t="s">
        <v>10009</v>
      </c>
      <c r="H1327" s="950" t="s">
        <v>1083</v>
      </c>
      <c r="I1327" s="951" t="s">
        <v>10947</v>
      </c>
      <c r="J1327" s="947" t="s">
        <v>10948</v>
      </c>
      <c r="K1327" s="143"/>
    </row>
    <row r="1328" spans="1:11">
      <c r="A1328" s="946" t="s">
        <v>28611</v>
      </c>
      <c r="B1328" s="947" t="s">
        <v>12709</v>
      </c>
      <c r="C1328" s="948" t="s">
        <v>12707</v>
      </c>
      <c r="D1328" s="242" t="s">
        <v>28720</v>
      </c>
      <c r="E1328" s="949">
        <v>703</v>
      </c>
      <c r="F1328" s="949">
        <v>703</v>
      </c>
      <c r="G1328" s="950" t="s">
        <v>10009</v>
      </c>
      <c r="H1328" s="950" t="s">
        <v>1083</v>
      </c>
      <c r="I1328" s="951" t="s">
        <v>12708</v>
      </c>
      <c r="J1328" s="947" t="s">
        <v>12709</v>
      </c>
      <c r="K1328" s="143"/>
    </row>
    <row r="1329" spans="1:11">
      <c r="A1329" s="946" t="s">
        <v>28611</v>
      </c>
      <c r="B1329" s="947" t="s">
        <v>28630</v>
      </c>
      <c r="C1329" s="948" t="s">
        <v>28752</v>
      </c>
      <c r="D1329" s="242" t="s">
        <v>28720</v>
      </c>
      <c r="E1329" s="949">
        <v>703</v>
      </c>
      <c r="F1329" s="949">
        <v>703</v>
      </c>
      <c r="G1329" s="950" t="s">
        <v>10009</v>
      </c>
      <c r="H1329" s="950" t="s">
        <v>1083</v>
      </c>
      <c r="I1329" s="951" t="s">
        <v>13803</v>
      </c>
      <c r="J1329" s="947" t="s">
        <v>28630</v>
      </c>
      <c r="K1329" s="143"/>
    </row>
    <row r="1330" spans="1:11">
      <c r="A1330" s="946" t="s">
        <v>28611</v>
      </c>
      <c r="B1330" s="947" t="s">
        <v>14987</v>
      </c>
      <c r="C1330" s="948" t="s">
        <v>14985</v>
      </c>
      <c r="D1330" s="242" t="s">
        <v>28720</v>
      </c>
      <c r="E1330" s="949">
        <v>703</v>
      </c>
      <c r="F1330" s="949">
        <v>703</v>
      </c>
      <c r="G1330" s="950" t="s">
        <v>10009</v>
      </c>
      <c r="H1330" s="950" t="s">
        <v>1083</v>
      </c>
      <c r="I1330" s="951" t="s">
        <v>14986</v>
      </c>
      <c r="J1330" s="947" t="s">
        <v>14987</v>
      </c>
      <c r="K1330" s="143"/>
    </row>
    <row r="1331" spans="1:11">
      <c r="A1331" s="946" t="s">
        <v>28611</v>
      </c>
      <c r="B1331" s="947" t="s">
        <v>15605</v>
      </c>
      <c r="C1331" s="948" t="s">
        <v>15603</v>
      </c>
      <c r="D1331" s="242" t="s">
        <v>28720</v>
      </c>
      <c r="E1331" s="949">
        <v>703</v>
      </c>
      <c r="F1331" s="949">
        <v>703</v>
      </c>
      <c r="G1331" s="950" t="s">
        <v>10009</v>
      </c>
      <c r="H1331" s="950" t="s">
        <v>1083</v>
      </c>
      <c r="I1331" s="951" t="s">
        <v>15604</v>
      </c>
      <c r="J1331" s="947" t="s">
        <v>15605</v>
      </c>
      <c r="K1331" s="143"/>
    </row>
    <row r="1332" spans="1:11">
      <c r="A1332" s="946" t="s">
        <v>28611</v>
      </c>
      <c r="B1332" s="947" t="s">
        <v>16281</v>
      </c>
      <c r="C1332" s="948" t="s">
        <v>16279</v>
      </c>
      <c r="D1332" s="242" t="s">
        <v>28720</v>
      </c>
      <c r="E1332" s="949">
        <v>703</v>
      </c>
      <c r="F1332" s="949">
        <v>703</v>
      </c>
      <c r="G1332" s="950" t="s">
        <v>10009</v>
      </c>
      <c r="H1332" s="950" t="s">
        <v>1083</v>
      </c>
      <c r="I1332" s="951" t="s">
        <v>16280</v>
      </c>
      <c r="J1332" s="947" t="s">
        <v>16281</v>
      </c>
      <c r="K1332" s="143"/>
    </row>
    <row r="1333" spans="1:11">
      <c r="A1333" s="946" t="s">
        <v>28611</v>
      </c>
      <c r="B1333" s="947" t="s">
        <v>16336</v>
      </c>
      <c r="C1333" s="948" t="s">
        <v>16334</v>
      </c>
      <c r="D1333" s="242" t="s">
        <v>28720</v>
      </c>
      <c r="E1333" s="949">
        <v>703</v>
      </c>
      <c r="F1333" s="949">
        <v>703</v>
      </c>
      <c r="G1333" s="950" t="s">
        <v>10009</v>
      </c>
      <c r="H1333" s="950" t="s">
        <v>1083</v>
      </c>
      <c r="I1333" s="951" t="s">
        <v>16335</v>
      </c>
      <c r="J1333" s="947" t="s">
        <v>16336</v>
      </c>
      <c r="K1333" s="143"/>
    </row>
    <row r="1334" spans="1:11">
      <c r="A1334" s="946" t="s">
        <v>28611</v>
      </c>
      <c r="B1334" s="947" t="s">
        <v>16721</v>
      </c>
      <c r="C1334" s="948" t="s">
        <v>16719</v>
      </c>
      <c r="D1334" s="242" t="s">
        <v>28720</v>
      </c>
      <c r="E1334" s="949">
        <v>703</v>
      </c>
      <c r="F1334" s="949">
        <v>703</v>
      </c>
      <c r="G1334" s="950" t="s">
        <v>10009</v>
      </c>
      <c r="H1334" s="950" t="s">
        <v>1083</v>
      </c>
      <c r="I1334" s="951" t="s">
        <v>16720</v>
      </c>
      <c r="J1334" s="947" t="s">
        <v>16721</v>
      </c>
      <c r="K1334" s="143"/>
    </row>
    <row r="1335" spans="1:11">
      <c r="A1335" s="946" t="s">
        <v>28611</v>
      </c>
      <c r="B1335" s="947" t="s">
        <v>18771</v>
      </c>
      <c r="C1335" s="948" t="s">
        <v>18769</v>
      </c>
      <c r="D1335" s="242" t="s">
        <v>28720</v>
      </c>
      <c r="E1335" s="949">
        <v>703</v>
      </c>
      <c r="F1335" s="949">
        <v>703</v>
      </c>
      <c r="G1335" s="950" t="s">
        <v>10009</v>
      </c>
      <c r="H1335" s="950" t="s">
        <v>1083</v>
      </c>
      <c r="I1335" s="951" t="s">
        <v>18770</v>
      </c>
      <c r="J1335" s="947" t="s">
        <v>18771</v>
      </c>
      <c r="K1335" s="143"/>
    </row>
    <row r="1336" spans="1:11">
      <c r="A1336" s="946" t="s">
        <v>28611</v>
      </c>
      <c r="B1336" s="947" t="s">
        <v>18904</v>
      </c>
      <c r="C1336" s="948" t="s">
        <v>18902</v>
      </c>
      <c r="D1336" s="242" t="s">
        <v>28720</v>
      </c>
      <c r="E1336" s="949">
        <v>703</v>
      </c>
      <c r="F1336" s="949">
        <v>703</v>
      </c>
      <c r="G1336" s="950" t="s">
        <v>10009</v>
      </c>
      <c r="H1336" s="950" t="s">
        <v>1083</v>
      </c>
      <c r="I1336" s="951" t="s">
        <v>18903</v>
      </c>
      <c r="J1336" s="947" t="s">
        <v>18904</v>
      </c>
      <c r="K1336" s="143"/>
    </row>
    <row r="1337" spans="1:11">
      <c r="A1337" s="946" t="s">
        <v>28611</v>
      </c>
      <c r="B1337" s="947" t="s">
        <v>19410</v>
      </c>
      <c r="C1337" s="948" t="s">
        <v>19408</v>
      </c>
      <c r="D1337" s="242" t="s">
        <v>28720</v>
      </c>
      <c r="E1337" s="949">
        <v>703</v>
      </c>
      <c r="F1337" s="949">
        <v>703</v>
      </c>
      <c r="G1337" s="950" t="s">
        <v>10009</v>
      </c>
      <c r="H1337" s="950" t="s">
        <v>1083</v>
      </c>
      <c r="I1337" s="951" t="s">
        <v>19409</v>
      </c>
      <c r="J1337" s="947" t="s">
        <v>19410</v>
      </c>
      <c r="K1337" s="143"/>
    </row>
    <row r="1338" spans="1:11">
      <c r="A1338" s="946" t="s">
        <v>28611</v>
      </c>
      <c r="B1338" s="947" t="s">
        <v>21589</v>
      </c>
      <c r="C1338" s="948" t="s">
        <v>21587</v>
      </c>
      <c r="D1338" s="242" t="s">
        <v>28720</v>
      </c>
      <c r="E1338" s="949">
        <v>703</v>
      </c>
      <c r="F1338" s="949">
        <v>703</v>
      </c>
      <c r="G1338" s="950" t="s">
        <v>10009</v>
      </c>
      <c r="H1338" s="950" t="s">
        <v>1083</v>
      </c>
      <c r="I1338" s="951" t="s">
        <v>21588</v>
      </c>
      <c r="J1338" s="947" t="s">
        <v>21589</v>
      </c>
      <c r="K1338" s="143"/>
    </row>
    <row r="1339" spans="1:11">
      <c r="A1339" s="946" t="s">
        <v>28611</v>
      </c>
      <c r="B1339" s="947" t="s">
        <v>21775</v>
      </c>
      <c r="C1339" s="948" t="s">
        <v>21773</v>
      </c>
      <c r="D1339" s="242" t="s">
        <v>28720</v>
      </c>
      <c r="E1339" s="949">
        <v>703</v>
      </c>
      <c r="F1339" s="949">
        <v>703</v>
      </c>
      <c r="G1339" s="950" t="s">
        <v>10009</v>
      </c>
      <c r="H1339" s="950" t="s">
        <v>1083</v>
      </c>
      <c r="I1339" s="951" t="s">
        <v>21774</v>
      </c>
      <c r="J1339" s="947" t="s">
        <v>21775</v>
      </c>
      <c r="K1339" s="143"/>
    </row>
    <row r="1340" spans="1:11">
      <c r="A1340" s="946" t="s">
        <v>28611</v>
      </c>
      <c r="B1340" s="947" t="s">
        <v>21875</v>
      </c>
      <c r="C1340" s="948" t="s">
        <v>21873</v>
      </c>
      <c r="D1340" s="242" t="s">
        <v>28720</v>
      </c>
      <c r="E1340" s="949">
        <v>703</v>
      </c>
      <c r="F1340" s="949">
        <v>703</v>
      </c>
      <c r="G1340" s="950" t="s">
        <v>10009</v>
      </c>
      <c r="H1340" s="950" t="s">
        <v>1083</v>
      </c>
      <c r="I1340" s="951" t="s">
        <v>21874</v>
      </c>
      <c r="J1340" s="947" t="s">
        <v>21875</v>
      </c>
      <c r="K1340" s="143"/>
    </row>
    <row r="1341" spans="1:11">
      <c r="A1341" s="946" t="s">
        <v>28611</v>
      </c>
      <c r="B1341" s="947" t="s">
        <v>22629</v>
      </c>
      <c r="C1341" s="948" t="s">
        <v>22627</v>
      </c>
      <c r="D1341" s="242" t="s">
        <v>28720</v>
      </c>
      <c r="E1341" s="949">
        <v>703</v>
      </c>
      <c r="F1341" s="949">
        <v>703</v>
      </c>
      <c r="G1341" s="950" t="s">
        <v>10009</v>
      </c>
      <c r="H1341" s="950" t="s">
        <v>1083</v>
      </c>
      <c r="I1341" s="951" t="s">
        <v>22628</v>
      </c>
      <c r="J1341" s="947" t="s">
        <v>22629</v>
      </c>
      <c r="K1341" s="143"/>
    </row>
    <row r="1342" spans="1:11">
      <c r="A1342" s="946" t="s">
        <v>28612</v>
      </c>
      <c r="B1342" s="947" t="s">
        <v>638</v>
      </c>
      <c r="C1342" s="948" t="s">
        <v>635</v>
      </c>
      <c r="D1342" s="242" t="s">
        <v>28721</v>
      </c>
      <c r="E1342" s="949">
        <v>312</v>
      </c>
      <c r="F1342" s="949">
        <v>312</v>
      </c>
      <c r="G1342" s="950" t="s">
        <v>21586</v>
      </c>
      <c r="H1342" s="950" t="s">
        <v>636</v>
      </c>
      <c r="I1342" s="951" t="s">
        <v>637</v>
      </c>
      <c r="J1342" s="947" t="s">
        <v>638</v>
      </c>
      <c r="K1342" s="143"/>
    </row>
    <row r="1343" spans="1:11">
      <c r="A1343" s="946" t="s">
        <v>28612</v>
      </c>
      <c r="B1343" s="947" t="s">
        <v>850</v>
      </c>
      <c r="C1343" s="948" t="s">
        <v>848</v>
      </c>
      <c r="D1343" s="242" t="s">
        <v>28721</v>
      </c>
      <c r="E1343" s="949">
        <v>312</v>
      </c>
      <c r="F1343" s="949">
        <v>312</v>
      </c>
      <c r="G1343" s="950" t="s">
        <v>21586</v>
      </c>
      <c r="H1343" s="950" t="s">
        <v>636</v>
      </c>
      <c r="I1343" s="951" t="s">
        <v>849</v>
      </c>
      <c r="J1343" s="947" t="s">
        <v>850</v>
      </c>
      <c r="K1343" s="143"/>
    </row>
    <row r="1344" spans="1:11">
      <c r="A1344" s="946" t="s">
        <v>28612</v>
      </c>
      <c r="B1344" s="947" t="s">
        <v>1156</v>
      </c>
      <c r="C1344" s="948" t="s">
        <v>1154</v>
      </c>
      <c r="D1344" s="242" t="s">
        <v>28721</v>
      </c>
      <c r="E1344" s="949">
        <v>312</v>
      </c>
      <c r="F1344" s="949">
        <v>312</v>
      </c>
      <c r="G1344" s="950" t="s">
        <v>21586</v>
      </c>
      <c r="H1344" s="950" t="s">
        <v>636</v>
      </c>
      <c r="I1344" s="951" t="s">
        <v>1155</v>
      </c>
      <c r="J1344" s="947" t="s">
        <v>1156</v>
      </c>
      <c r="K1344" s="143"/>
    </row>
    <row r="1345" spans="1:11">
      <c r="A1345" s="946" t="s">
        <v>28612</v>
      </c>
      <c r="B1345" s="947" t="s">
        <v>1334</v>
      </c>
      <c r="C1345" s="948" t="s">
        <v>1332</v>
      </c>
      <c r="D1345" s="242" t="s">
        <v>28721</v>
      </c>
      <c r="E1345" s="949">
        <v>312</v>
      </c>
      <c r="F1345" s="949">
        <v>312</v>
      </c>
      <c r="G1345" s="950" t="s">
        <v>21586</v>
      </c>
      <c r="H1345" s="950" t="s">
        <v>636</v>
      </c>
      <c r="I1345" s="951" t="s">
        <v>1333</v>
      </c>
      <c r="J1345" s="947" t="s">
        <v>1334</v>
      </c>
      <c r="K1345" s="143"/>
    </row>
    <row r="1346" spans="1:11">
      <c r="A1346" s="946" t="s">
        <v>28612</v>
      </c>
      <c r="B1346" s="947" t="s">
        <v>1494</v>
      </c>
      <c r="C1346" s="948" t="s">
        <v>1492</v>
      </c>
      <c r="D1346" s="242" t="s">
        <v>28721</v>
      </c>
      <c r="E1346" s="949">
        <v>312</v>
      </c>
      <c r="F1346" s="949">
        <v>312</v>
      </c>
      <c r="G1346" s="950" t="s">
        <v>21586</v>
      </c>
      <c r="H1346" s="950" t="s">
        <v>636</v>
      </c>
      <c r="I1346" s="951" t="s">
        <v>1493</v>
      </c>
      <c r="J1346" s="947" t="s">
        <v>1494</v>
      </c>
      <c r="K1346" s="143"/>
    </row>
    <row r="1347" spans="1:11">
      <c r="A1347" s="946" t="s">
        <v>28612</v>
      </c>
      <c r="B1347" s="947" t="s">
        <v>1721</v>
      </c>
      <c r="C1347" s="948" t="s">
        <v>1719</v>
      </c>
      <c r="D1347" s="242" t="s">
        <v>28721</v>
      </c>
      <c r="E1347" s="949">
        <v>312</v>
      </c>
      <c r="F1347" s="949">
        <v>312</v>
      </c>
      <c r="G1347" s="950" t="s">
        <v>21586</v>
      </c>
      <c r="H1347" s="950" t="s">
        <v>636</v>
      </c>
      <c r="I1347" s="951" t="s">
        <v>1720</v>
      </c>
      <c r="J1347" s="947" t="s">
        <v>1721</v>
      </c>
      <c r="K1347" s="143"/>
    </row>
    <row r="1348" spans="1:11">
      <c r="A1348" s="946" t="s">
        <v>28612</v>
      </c>
      <c r="B1348" s="947" t="s">
        <v>1724</v>
      </c>
      <c r="C1348" s="948" t="s">
        <v>1722</v>
      </c>
      <c r="D1348" s="242" t="s">
        <v>28721</v>
      </c>
      <c r="E1348" s="949">
        <v>312</v>
      </c>
      <c r="F1348" s="949">
        <v>312</v>
      </c>
      <c r="G1348" s="950" t="s">
        <v>21586</v>
      </c>
      <c r="H1348" s="950" t="s">
        <v>636</v>
      </c>
      <c r="I1348" s="951" t="s">
        <v>1723</v>
      </c>
      <c r="J1348" s="947" t="s">
        <v>1724</v>
      </c>
      <c r="K1348" s="143"/>
    </row>
    <row r="1349" spans="1:11">
      <c r="A1349" s="946" t="s">
        <v>28612</v>
      </c>
      <c r="B1349" s="947" t="s">
        <v>1917</v>
      </c>
      <c r="C1349" s="948" t="s">
        <v>1915</v>
      </c>
      <c r="D1349" s="242" t="s">
        <v>28721</v>
      </c>
      <c r="E1349" s="949">
        <v>312</v>
      </c>
      <c r="F1349" s="949">
        <v>312</v>
      </c>
      <c r="G1349" s="950" t="s">
        <v>21586</v>
      </c>
      <c r="H1349" s="950" t="s">
        <v>636</v>
      </c>
      <c r="I1349" s="951" t="s">
        <v>1916</v>
      </c>
      <c r="J1349" s="947" t="s">
        <v>1917</v>
      </c>
      <c r="K1349" s="143"/>
    </row>
    <row r="1350" spans="1:11">
      <c r="A1350" s="946" t="s">
        <v>28612</v>
      </c>
      <c r="B1350" s="947" t="s">
        <v>2126</v>
      </c>
      <c r="C1350" s="948" t="s">
        <v>2124</v>
      </c>
      <c r="D1350" s="242" t="s">
        <v>28721</v>
      </c>
      <c r="E1350" s="949">
        <v>312</v>
      </c>
      <c r="F1350" s="949">
        <v>312</v>
      </c>
      <c r="G1350" s="950" t="s">
        <v>21586</v>
      </c>
      <c r="H1350" s="950" t="s">
        <v>636</v>
      </c>
      <c r="I1350" s="951" t="s">
        <v>2125</v>
      </c>
      <c r="J1350" s="947" t="s">
        <v>2126</v>
      </c>
      <c r="K1350" s="143"/>
    </row>
    <row r="1351" spans="1:11">
      <c r="A1351" s="946" t="s">
        <v>28612</v>
      </c>
      <c r="B1351" s="947" t="s">
        <v>2347</v>
      </c>
      <c r="C1351" s="948" t="s">
        <v>2345</v>
      </c>
      <c r="D1351" s="242" t="s">
        <v>28721</v>
      </c>
      <c r="E1351" s="949">
        <v>312</v>
      </c>
      <c r="F1351" s="949">
        <v>312</v>
      </c>
      <c r="G1351" s="950" t="s">
        <v>21586</v>
      </c>
      <c r="H1351" s="950" t="s">
        <v>636</v>
      </c>
      <c r="I1351" s="951" t="s">
        <v>2346</v>
      </c>
      <c r="J1351" s="947" t="s">
        <v>2347</v>
      </c>
      <c r="K1351" s="143"/>
    </row>
    <row r="1352" spans="1:11">
      <c r="A1352" s="946" t="s">
        <v>28612</v>
      </c>
      <c r="B1352" s="947" t="s">
        <v>2359</v>
      </c>
      <c r="C1352" s="948" t="s">
        <v>2357</v>
      </c>
      <c r="D1352" s="242" t="s">
        <v>28721</v>
      </c>
      <c r="E1352" s="949">
        <v>312</v>
      </c>
      <c r="F1352" s="949">
        <v>312</v>
      </c>
      <c r="G1352" s="950" t="s">
        <v>21586</v>
      </c>
      <c r="H1352" s="950" t="s">
        <v>636</v>
      </c>
      <c r="I1352" s="951" t="s">
        <v>2358</v>
      </c>
      <c r="J1352" s="947" t="s">
        <v>2359</v>
      </c>
      <c r="K1352" s="143"/>
    </row>
    <row r="1353" spans="1:11">
      <c r="A1353" s="946" t="s">
        <v>28612</v>
      </c>
      <c r="B1353" s="947" t="s">
        <v>2362</v>
      </c>
      <c r="C1353" s="948" t="s">
        <v>2360</v>
      </c>
      <c r="D1353" s="242" t="s">
        <v>28721</v>
      </c>
      <c r="E1353" s="949">
        <v>312</v>
      </c>
      <c r="F1353" s="949">
        <v>312</v>
      </c>
      <c r="G1353" s="950" t="s">
        <v>21586</v>
      </c>
      <c r="H1353" s="950" t="s">
        <v>636</v>
      </c>
      <c r="I1353" s="951" t="s">
        <v>2361</v>
      </c>
      <c r="J1353" s="947" t="s">
        <v>2362</v>
      </c>
      <c r="K1353" s="143"/>
    </row>
    <row r="1354" spans="1:11">
      <c r="A1354" s="946" t="s">
        <v>28612</v>
      </c>
      <c r="B1354" s="947" t="s">
        <v>2396</v>
      </c>
      <c r="C1354" s="948" t="s">
        <v>2394</v>
      </c>
      <c r="D1354" s="242" t="s">
        <v>28721</v>
      </c>
      <c r="E1354" s="949">
        <v>312</v>
      </c>
      <c r="F1354" s="949">
        <v>312</v>
      </c>
      <c r="G1354" s="950" t="s">
        <v>21586</v>
      </c>
      <c r="H1354" s="950" t="s">
        <v>636</v>
      </c>
      <c r="I1354" s="951" t="s">
        <v>2395</v>
      </c>
      <c r="J1354" s="947" t="s">
        <v>2396</v>
      </c>
      <c r="K1354" s="143"/>
    </row>
    <row r="1355" spans="1:11">
      <c r="A1355" s="946" t="s">
        <v>28612</v>
      </c>
      <c r="B1355" s="947" t="s">
        <v>2484</v>
      </c>
      <c r="C1355" s="948" t="s">
        <v>2482</v>
      </c>
      <c r="D1355" s="242" t="s">
        <v>28721</v>
      </c>
      <c r="E1355" s="949">
        <v>312</v>
      </c>
      <c r="F1355" s="949">
        <v>312</v>
      </c>
      <c r="G1355" s="950" t="s">
        <v>21586</v>
      </c>
      <c r="H1355" s="950" t="s">
        <v>636</v>
      </c>
      <c r="I1355" s="951" t="s">
        <v>2483</v>
      </c>
      <c r="J1355" s="947" t="s">
        <v>2484</v>
      </c>
      <c r="K1355" s="143"/>
    </row>
    <row r="1356" spans="1:11">
      <c r="A1356" s="946" t="s">
        <v>28612</v>
      </c>
      <c r="B1356" s="947" t="s">
        <v>2546</v>
      </c>
      <c r="C1356" s="948" t="s">
        <v>2544</v>
      </c>
      <c r="D1356" s="242" t="s">
        <v>28721</v>
      </c>
      <c r="E1356" s="949">
        <v>312</v>
      </c>
      <c r="F1356" s="949">
        <v>312</v>
      </c>
      <c r="G1356" s="950" t="s">
        <v>21586</v>
      </c>
      <c r="H1356" s="950" t="s">
        <v>636</v>
      </c>
      <c r="I1356" s="951" t="s">
        <v>2545</v>
      </c>
      <c r="J1356" s="947" t="s">
        <v>2546</v>
      </c>
      <c r="K1356" s="143"/>
    </row>
    <row r="1357" spans="1:11">
      <c r="A1357" s="946" t="s">
        <v>28612</v>
      </c>
      <c r="B1357" s="947" t="s">
        <v>2974</v>
      </c>
      <c r="C1357" s="948" t="s">
        <v>2972</v>
      </c>
      <c r="D1357" s="242" t="s">
        <v>28721</v>
      </c>
      <c r="E1357" s="949">
        <v>312</v>
      </c>
      <c r="F1357" s="949">
        <v>312</v>
      </c>
      <c r="G1357" s="950" t="s">
        <v>21586</v>
      </c>
      <c r="H1357" s="950" t="s">
        <v>636</v>
      </c>
      <c r="I1357" s="951" t="s">
        <v>2973</v>
      </c>
      <c r="J1357" s="947" t="s">
        <v>2974</v>
      </c>
      <c r="K1357" s="143"/>
    </row>
    <row r="1358" spans="1:11">
      <c r="A1358" s="946" t="s">
        <v>28612</v>
      </c>
      <c r="B1358" s="947" t="s">
        <v>3008</v>
      </c>
      <c r="C1358" s="948" t="s">
        <v>3006</v>
      </c>
      <c r="D1358" s="242" t="s">
        <v>28721</v>
      </c>
      <c r="E1358" s="949">
        <v>312</v>
      </c>
      <c r="F1358" s="949">
        <v>312</v>
      </c>
      <c r="G1358" s="950" t="s">
        <v>21586</v>
      </c>
      <c r="H1358" s="950" t="s">
        <v>636</v>
      </c>
      <c r="I1358" s="951" t="s">
        <v>3007</v>
      </c>
      <c r="J1358" s="947" t="s">
        <v>3008</v>
      </c>
      <c r="K1358" s="143"/>
    </row>
    <row r="1359" spans="1:11">
      <c r="A1359" s="946" t="s">
        <v>28612</v>
      </c>
      <c r="B1359" s="947" t="s">
        <v>3037</v>
      </c>
      <c r="C1359" s="948" t="s">
        <v>3035</v>
      </c>
      <c r="D1359" s="242" t="s">
        <v>28721</v>
      </c>
      <c r="E1359" s="949">
        <v>312</v>
      </c>
      <c r="F1359" s="949">
        <v>312</v>
      </c>
      <c r="G1359" s="950" t="s">
        <v>21586</v>
      </c>
      <c r="H1359" s="950" t="s">
        <v>636</v>
      </c>
      <c r="I1359" s="951" t="s">
        <v>3036</v>
      </c>
      <c r="J1359" s="947" t="s">
        <v>3037</v>
      </c>
      <c r="K1359" s="143"/>
    </row>
    <row r="1360" spans="1:11">
      <c r="A1360" s="946" t="s">
        <v>28612</v>
      </c>
      <c r="B1360" s="947" t="s">
        <v>3073</v>
      </c>
      <c r="C1360" s="948" t="s">
        <v>3071</v>
      </c>
      <c r="D1360" s="242" t="s">
        <v>28721</v>
      </c>
      <c r="E1360" s="949">
        <v>312</v>
      </c>
      <c r="F1360" s="949">
        <v>312</v>
      </c>
      <c r="G1360" s="950" t="s">
        <v>21586</v>
      </c>
      <c r="H1360" s="950" t="s">
        <v>636</v>
      </c>
      <c r="I1360" s="951" t="s">
        <v>3072</v>
      </c>
      <c r="J1360" s="947" t="s">
        <v>3073</v>
      </c>
      <c r="K1360" s="143"/>
    </row>
    <row r="1361" spans="1:11">
      <c r="A1361" s="946" t="s">
        <v>28612</v>
      </c>
      <c r="B1361" s="947" t="s">
        <v>3087</v>
      </c>
      <c r="C1361" s="948" t="s">
        <v>3085</v>
      </c>
      <c r="D1361" s="242" t="s">
        <v>28721</v>
      </c>
      <c r="E1361" s="949">
        <v>312</v>
      </c>
      <c r="F1361" s="949">
        <v>312</v>
      </c>
      <c r="G1361" s="950" t="s">
        <v>21586</v>
      </c>
      <c r="H1361" s="950" t="s">
        <v>636</v>
      </c>
      <c r="I1361" s="951" t="s">
        <v>3086</v>
      </c>
      <c r="J1361" s="947" t="s">
        <v>3087</v>
      </c>
      <c r="K1361" s="143"/>
    </row>
    <row r="1362" spans="1:11">
      <c r="A1362" s="946" t="s">
        <v>28612</v>
      </c>
      <c r="B1362" s="947" t="s">
        <v>3151</v>
      </c>
      <c r="C1362" s="948" t="s">
        <v>3149</v>
      </c>
      <c r="D1362" s="242" t="s">
        <v>28721</v>
      </c>
      <c r="E1362" s="949">
        <v>312</v>
      </c>
      <c r="F1362" s="949">
        <v>312</v>
      </c>
      <c r="G1362" s="950" t="s">
        <v>21586</v>
      </c>
      <c r="H1362" s="950" t="s">
        <v>636</v>
      </c>
      <c r="I1362" s="951" t="s">
        <v>3150</v>
      </c>
      <c r="J1362" s="947" t="s">
        <v>3151</v>
      </c>
      <c r="K1362" s="143"/>
    </row>
    <row r="1363" spans="1:11">
      <c r="A1363" s="946" t="s">
        <v>28612</v>
      </c>
      <c r="B1363" s="947" t="s">
        <v>3167</v>
      </c>
      <c r="C1363" s="948" t="s">
        <v>3165</v>
      </c>
      <c r="D1363" s="242" t="s">
        <v>28721</v>
      </c>
      <c r="E1363" s="949">
        <v>312</v>
      </c>
      <c r="F1363" s="949">
        <v>312</v>
      </c>
      <c r="G1363" s="950" t="s">
        <v>21586</v>
      </c>
      <c r="H1363" s="950" t="s">
        <v>636</v>
      </c>
      <c r="I1363" s="951" t="s">
        <v>3166</v>
      </c>
      <c r="J1363" s="947" t="s">
        <v>3167</v>
      </c>
      <c r="K1363" s="143"/>
    </row>
    <row r="1364" spans="1:11">
      <c r="A1364" s="946" t="s">
        <v>28612</v>
      </c>
      <c r="B1364" s="947" t="s">
        <v>3224</v>
      </c>
      <c r="C1364" s="948" t="s">
        <v>3222</v>
      </c>
      <c r="D1364" s="242" t="s">
        <v>28721</v>
      </c>
      <c r="E1364" s="949">
        <v>312</v>
      </c>
      <c r="F1364" s="949">
        <v>312</v>
      </c>
      <c r="G1364" s="950" t="s">
        <v>21586</v>
      </c>
      <c r="H1364" s="950" t="s">
        <v>636</v>
      </c>
      <c r="I1364" s="951" t="s">
        <v>3223</v>
      </c>
      <c r="J1364" s="947" t="s">
        <v>3224</v>
      </c>
      <c r="K1364" s="143"/>
    </row>
    <row r="1365" spans="1:11">
      <c r="A1365" s="946" t="s">
        <v>28612</v>
      </c>
      <c r="B1365" s="947" t="s">
        <v>3309</v>
      </c>
      <c r="C1365" s="948" t="s">
        <v>3307</v>
      </c>
      <c r="D1365" s="242" t="s">
        <v>28721</v>
      </c>
      <c r="E1365" s="949">
        <v>312</v>
      </c>
      <c r="F1365" s="949">
        <v>312</v>
      </c>
      <c r="G1365" s="950" t="s">
        <v>21586</v>
      </c>
      <c r="H1365" s="950" t="s">
        <v>636</v>
      </c>
      <c r="I1365" s="951" t="s">
        <v>3308</v>
      </c>
      <c r="J1365" s="947" t="s">
        <v>3309</v>
      </c>
      <c r="K1365" s="143"/>
    </row>
    <row r="1366" spans="1:11">
      <c r="A1366" s="946" t="s">
        <v>28612</v>
      </c>
      <c r="B1366" s="947" t="s">
        <v>3346</v>
      </c>
      <c r="C1366" s="948" t="s">
        <v>3344</v>
      </c>
      <c r="D1366" s="242" t="s">
        <v>28721</v>
      </c>
      <c r="E1366" s="949">
        <v>312</v>
      </c>
      <c r="F1366" s="949">
        <v>312</v>
      </c>
      <c r="G1366" s="950" t="s">
        <v>21586</v>
      </c>
      <c r="H1366" s="950" t="s">
        <v>636</v>
      </c>
      <c r="I1366" s="951" t="s">
        <v>3345</v>
      </c>
      <c r="J1366" s="947" t="s">
        <v>3346</v>
      </c>
      <c r="K1366" s="143"/>
    </row>
    <row r="1367" spans="1:11">
      <c r="A1367" s="946" t="s">
        <v>28612</v>
      </c>
      <c r="B1367" s="947" t="s">
        <v>3403</v>
      </c>
      <c r="C1367" s="948" t="s">
        <v>3401</v>
      </c>
      <c r="D1367" s="242" t="s">
        <v>28721</v>
      </c>
      <c r="E1367" s="949">
        <v>312</v>
      </c>
      <c r="F1367" s="949">
        <v>312</v>
      </c>
      <c r="G1367" s="950" t="s">
        <v>21586</v>
      </c>
      <c r="H1367" s="950" t="s">
        <v>636</v>
      </c>
      <c r="I1367" s="951" t="s">
        <v>3402</v>
      </c>
      <c r="J1367" s="947" t="s">
        <v>3403</v>
      </c>
      <c r="K1367" s="143"/>
    </row>
    <row r="1368" spans="1:11">
      <c r="A1368" s="946" t="s">
        <v>28612</v>
      </c>
      <c r="B1368" s="947" t="s">
        <v>3998</v>
      </c>
      <c r="C1368" s="948" t="s">
        <v>26163</v>
      </c>
      <c r="D1368" s="242" t="s">
        <v>28721</v>
      </c>
      <c r="E1368" s="949">
        <v>312</v>
      </c>
      <c r="F1368" s="949">
        <v>312</v>
      </c>
      <c r="G1368" s="950" t="s">
        <v>21586</v>
      </c>
      <c r="H1368" s="950" t="s">
        <v>636</v>
      </c>
      <c r="I1368" s="951" t="s">
        <v>3997</v>
      </c>
      <c r="J1368" s="947" t="s">
        <v>3998</v>
      </c>
      <c r="K1368" s="143"/>
    </row>
    <row r="1369" spans="1:11">
      <c r="A1369" s="946" t="s">
        <v>28612</v>
      </c>
      <c r="B1369" s="947" t="s">
        <v>4229</v>
      </c>
      <c r="C1369" s="948" t="s">
        <v>4227</v>
      </c>
      <c r="D1369" s="242" t="s">
        <v>28721</v>
      </c>
      <c r="E1369" s="949">
        <v>312</v>
      </c>
      <c r="F1369" s="949">
        <v>312</v>
      </c>
      <c r="G1369" s="950" t="s">
        <v>21586</v>
      </c>
      <c r="H1369" s="950" t="s">
        <v>636</v>
      </c>
      <c r="I1369" s="951" t="s">
        <v>4228</v>
      </c>
      <c r="J1369" s="947" t="s">
        <v>4229</v>
      </c>
      <c r="K1369" s="143"/>
    </row>
    <row r="1370" spans="1:11">
      <c r="A1370" s="946" t="s">
        <v>28612</v>
      </c>
      <c r="B1370" s="947" t="s">
        <v>4266</v>
      </c>
      <c r="C1370" s="948" t="s">
        <v>4264</v>
      </c>
      <c r="D1370" s="242" t="s">
        <v>28721</v>
      </c>
      <c r="E1370" s="949">
        <v>312</v>
      </c>
      <c r="F1370" s="949">
        <v>312</v>
      </c>
      <c r="G1370" s="950" t="s">
        <v>21586</v>
      </c>
      <c r="H1370" s="950" t="s">
        <v>636</v>
      </c>
      <c r="I1370" s="951" t="s">
        <v>4265</v>
      </c>
      <c r="J1370" s="947" t="s">
        <v>4266</v>
      </c>
      <c r="K1370" s="143"/>
    </row>
    <row r="1371" spans="1:11">
      <c r="A1371" s="946" t="s">
        <v>28612</v>
      </c>
      <c r="B1371" s="947" t="s">
        <v>4364</v>
      </c>
      <c r="C1371" s="948" t="s">
        <v>4362</v>
      </c>
      <c r="D1371" s="242" t="s">
        <v>28721</v>
      </c>
      <c r="E1371" s="949">
        <v>312</v>
      </c>
      <c r="F1371" s="949">
        <v>312</v>
      </c>
      <c r="G1371" s="950" t="s">
        <v>21586</v>
      </c>
      <c r="H1371" s="950" t="s">
        <v>636</v>
      </c>
      <c r="I1371" s="951" t="s">
        <v>4363</v>
      </c>
      <c r="J1371" s="947" t="s">
        <v>4364</v>
      </c>
      <c r="K1371" s="143"/>
    </row>
    <row r="1372" spans="1:11">
      <c r="A1372" s="946" t="s">
        <v>28612</v>
      </c>
      <c r="B1372" s="947" t="s">
        <v>4381</v>
      </c>
      <c r="C1372" s="948" t="s">
        <v>4379</v>
      </c>
      <c r="D1372" s="242" t="s">
        <v>28721</v>
      </c>
      <c r="E1372" s="949">
        <v>312</v>
      </c>
      <c r="F1372" s="949">
        <v>312</v>
      </c>
      <c r="G1372" s="950" t="s">
        <v>21586</v>
      </c>
      <c r="H1372" s="950" t="s">
        <v>636</v>
      </c>
      <c r="I1372" s="951" t="s">
        <v>4380</v>
      </c>
      <c r="J1372" s="947" t="s">
        <v>4381</v>
      </c>
      <c r="K1372" s="143"/>
    </row>
    <row r="1373" spans="1:11">
      <c r="A1373" s="946" t="s">
        <v>28612</v>
      </c>
      <c r="B1373" s="947" t="s">
        <v>4384</v>
      </c>
      <c r="C1373" s="948" t="s">
        <v>4382</v>
      </c>
      <c r="D1373" s="242" t="s">
        <v>28721</v>
      </c>
      <c r="E1373" s="949">
        <v>312</v>
      </c>
      <c r="F1373" s="949">
        <v>312</v>
      </c>
      <c r="G1373" s="950" t="s">
        <v>21586</v>
      </c>
      <c r="H1373" s="950" t="s">
        <v>636</v>
      </c>
      <c r="I1373" s="951" t="s">
        <v>4383</v>
      </c>
      <c r="J1373" s="947" t="s">
        <v>4384</v>
      </c>
      <c r="K1373" s="143"/>
    </row>
    <row r="1374" spans="1:11">
      <c r="A1374" s="946" t="s">
        <v>28612</v>
      </c>
      <c r="B1374" s="947" t="s">
        <v>4553</v>
      </c>
      <c r="C1374" s="948" t="s">
        <v>4551</v>
      </c>
      <c r="D1374" s="242" t="s">
        <v>28721</v>
      </c>
      <c r="E1374" s="949">
        <v>312</v>
      </c>
      <c r="F1374" s="949">
        <v>312</v>
      </c>
      <c r="G1374" s="950" t="s">
        <v>21586</v>
      </c>
      <c r="H1374" s="950" t="s">
        <v>636</v>
      </c>
      <c r="I1374" s="951" t="s">
        <v>4552</v>
      </c>
      <c r="J1374" s="947" t="s">
        <v>4553</v>
      </c>
      <c r="K1374" s="143"/>
    </row>
    <row r="1375" spans="1:11">
      <c r="A1375" s="946" t="s">
        <v>28612</v>
      </c>
      <c r="B1375" s="947" t="s">
        <v>4655</v>
      </c>
      <c r="C1375" s="948" t="s">
        <v>4653</v>
      </c>
      <c r="D1375" s="242" t="s">
        <v>28721</v>
      </c>
      <c r="E1375" s="949">
        <v>312</v>
      </c>
      <c r="F1375" s="949">
        <v>312</v>
      </c>
      <c r="G1375" s="950" t="s">
        <v>21586</v>
      </c>
      <c r="H1375" s="950" t="s">
        <v>636</v>
      </c>
      <c r="I1375" s="951" t="s">
        <v>4654</v>
      </c>
      <c r="J1375" s="947" t="s">
        <v>4655</v>
      </c>
      <c r="K1375" s="143"/>
    </row>
    <row r="1376" spans="1:11">
      <c r="A1376" s="946" t="s">
        <v>28612</v>
      </c>
      <c r="B1376" s="947" t="s">
        <v>4727</v>
      </c>
      <c r="C1376" s="948" t="s">
        <v>4725</v>
      </c>
      <c r="D1376" s="242" t="s">
        <v>28721</v>
      </c>
      <c r="E1376" s="949">
        <v>312</v>
      </c>
      <c r="F1376" s="949">
        <v>312</v>
      </c>
      <c r="G1376" s="950" t="s">
        <v>21586</v>
      </c>
      <c r="H1376" s="950" t="s">
        <v>636</v>
      </c>
      <c r="I1376" s="951" t="s">
        <v>4726</v>
      </c>
      <c r="J1376" s="947" t="s">
        <v>4727</v>
      </c>
      <c r="K1376" s="143"/>
    </row>
    <row r="1377" spans="1:11">
      <c r="A1377" s="946" t="s">
        <v>28612</v>
      </c>
      <c r="B1377" s="947" t="s">
        <v>4799</v>
      </c>
      <c r="C1377" s="948" t="s">
        <v>4797</v>
      </c>
      <c r="D1377" s="242" t="s">
        <v>28721</v>
      </c>
      <c r="E1377" s="949">
        <v>312</v>
      </c>
      <c r="F1377" s="949">
        <v>312</v>
      </c>
      <c r="G1377" s="950" t="s">
        <v>21586</v>
      </c>
      <c r="H1377" s="950" t="s">
        <v>636</v>
      </c>
      <c r="I1377" s="951" t="s">
        <v>4798</v>
      </c>
      <c r="J1377" s="947" t="s">
        <v>4799</v>
      </c>
      <c r="K1377" s="143"/>
    </row>
    <row r="1378" spans="1:11">
      <c r="A1378" s="946" t="s">
        <v>28612</v>
      </c>
      <c r="B1378" s="947" t="s">
        <v>4833</v>
      </c>
      <c r="C1378" s="948" t="s">
        <v>4831</v>
      </c>
      <c r="D1378" s="242" t="s">
        <v>28721</v>
      </c>
      <c r="E1378" s="949">
        <v>312</v>
      </c>
      <c r="F1378" s="949">
        <v>312</v>
      </c>
      <c r="G1378" s="950" t="s">
        <v>21586</v>
      </c>
      <c r="H1378" s="950" t="s">
        <v>636</v>
      </c>
      <c r="I1378" s="951" t="s">
        <v>4832</v>
      </c>
      <c r="J1378" s="947" t="s">
        <v>4833</v>
      </c>
      <c r="K1378" s="143"/>
    </row>
    <row r="1379" spans="1:11">
      <c r="A1379" s="946" t="s">
        <v>28612</v>
      </c>
      <c r="B1379" s="947" t="s">
        <v>4838</v>
      </c>
      <c r="C1379" s="948" t="s">
        <v>4836</v>
      </c>
      <c r="D1379" s="242" t="s">
        <v>28721</v>
      </c>
      <c r="E1379" s="949">
        <v>312</v>
      </c>
      <c r="F1379" s="949">
        <v>312</v>
      </c>
      <c r="G1379" s="950" t="s">
        <v>21586</v>
      </c>
      <c r="H1379" s="950" t="s">
        <v>636</v>
      </c>
      <c r="I1379" s="951" t="s">
        <v>4837</v>
      </c>
      <c r="J1379" s="947" t="s">
        <v>4838</v>
      </c>
      <c r="K1379" s="143"/>
    </row>
    <row r="1380" spans="1:11">
      <c r="A1380" s="946" t="s">
        <v>28612</v>
      </c>
      <c r="B1380" s="947" t="s">
        <v>5157</v>
      </c>
      <c r="C1380" s="948" t="s">
        <v>5155</v>
      </c>
      <c r="D1380" s="242" t="s">
        <v>28721</v>
      </c>
      <c r="E1380" s="949">
        <v>312</v>
      </c>
      <c r="F1380" s="949">
        <v>312</v>
      </c>
      <c r="G1380" s="950" t="s">
        <v>21586</v>
      </c>
      <c r="H1380" s="950" t="s">
        <v>636</v>
      </c>
      <c r="I1380" s="951" t="s">
        <v>5156</v>
      </c>
      <c r="J1380" s="947" t="s">
        <v>5157</v>
      </c>
      <c r="K1380" s="143"/>
    </row>
    <row r="1381" spans="1:11">
      <c r="A1381" s="946" t="s">
        <v>28612</v>
      </c>
      <c r="B1381" s="947" t="s">
        <v>5242</v>
      </c>
      <c r="C1381" s="948" t="s">
        <v>5240</v>
      </c>
      <c r="D1381" s="242" t="s">
        <v>28721</v>
      </c>
      <c r="E1381" s="949">
        <v>312</v>
      </c>
      <c r="F1381" s="949">
        <v>312</v>
      </c>
      <c r="G1381" s="950" t="s">
        <v>21586</v>
      </c>
      <c r="H1381" s="950" t="s">
        <v>636</v>
      </c>
      <c r="I1381" s="951" t="s">
        <v>5241</v>
      </c>
      <c r="J1381" s="947" t="s">
        <v>5242</v>
      </c>
      <c r="K1381" s="143"/>
    </row>
    <row r="1382" spans="1:11">
      <c r="A1382" s="946" t="s">
        <v>28612</v>
      </c>
      <c r="B1382" s="947" t="s">
        <v>5419</v>
      </c>
      <c r="C1382" s="948" t="s">
        <v>5417</v>
      </c>
      <c r="D1382" s="242" t="s">
        <v>28721</v>
      </c>
      <c r="E1382" s="949">
        <v>312</v>
      </c>
      <c r="F1382" s="949">
        <v>312</v>
      </c>
      <c r="G1382" s="950" t="s">
        <v>21586</v>
      </c>
      <c r="H1382" s="950" t="s">
        <v>636</v>
      </c>
      <c r="I1382" s="951" t="s">
        <v>5418</v>
      </c>
      <c r="J1382" s="947" t="s">
        <v>5419</v>
      </c>
      <c r="K1382" s="143"/>
    </row>
    <row r="1383" spans="1:11">
      <c r="A1383" s="946" t="s">
        <v>28612</v>
      </c>
      <c r="B1383" s="947" t="s">
        <v>5430</v>
      </c>
      <c r="C1383" s="948" t="s">
        <v>5428</v>
      </c>
      <c r="D1383" s="242" t="s">
        <v>28721</v>
      </c>
      <c r="E1383" s="949">
        <v>312</v>
      </c>
      <c r="F1383" s="949">
        <v>312</v>
      </c>
      <c r="G1383" s="950" t="s">
        <v>21586</v>
      </c>
      <c r="H1383" s="950" t="s">
        <v>636</v>
      </c>
      <c r="I1383" s="951" t="s">
        <v>5429</v>
      </c>
      <c r="J1383" s="947" t="s">
        <v>5430</v>
      </c>
      <c r="K1383" s="143"/>
    </row>
    <row r="1384" spans="1:11">
      <c r="A1384" s="946" t="s">
        <v>28612</v>
      </c>
      <c r="B1384" s="947" t="s">
        <v>5530</v>
      </c>
      <c r="C1384" s="948" t="s">
        <v>5528</v>
      </c>
      <c r="D1384" s="242" t="s">
        <v>28721</v>
      </c>
      <c r="E1384" s="949">
        <v>312</v>
      </c>
      <c r="F1384" s="949">
        <v>312</v>
      </c>
      <c r="G1384" s="950" t="s">
        <v>21586</v>
      </c>
      <c r="H1384" s="950" t="s">
        <v>636</v>
      </c>
      <c r="I1384" s="951" t="s">
        <v>5529</v>
      </c>
      <c r="J1384" s="947" t="s">
        <v>5530</v>
      </c>
      <c r="K1384" s="143"/>
    </row>
    <row r="1385" spans="1:11">
      <c r="A1385" s="946" t="s">
        <v>28612</v>
      </c>
      <c r="B1385" s="947" t="s">
        <v>5596</v>
      </c>
      <c r="C1385" s="948" t="s">
        <v>5594</v>
      </c>
      <c r="D1385" s="242" t="s">
        <v>28721</v>
      </c>
      <c r="E1385" s="949">
        <v>312</v>
      </c>
      <c r="F1385" s="949">
        <v>312</v>
      </c>
      <c r="G1385" s="950" t="s">
        <v>21586</v>
      </c>
      <c r="H1385" s="950" t="s">
        <v>636</v>
      </c>
      <c r="I1385" s="951" t="s">
        <v>5595</v>
      </c>
      <c r="J1385" s="947" t="s">
        <v>5596</v>
      </c>
      <c r="K1385" s="143"/>
    </row>
    <row r="1386" spans="1:11">
      <c r="A1386" s="946" t="s">
        <v>28612</v>
      </c>
      <c r="B1386" s="947" t="s">
        <v>5686</v>
      </c>
      <c r="C1386" s="948" t="s">
        <v>5684</v>
      </c>
      <c r="D1386" s="242" t="s">
        <v>28721</v>
      </c>
      <c r="E1386" s="949">
        <v>312</v>
      </c>
      <c r="F1386" s="949">
        <v>312</v>
      </c>
      <c r="G1386" s="950" t="s">
        <v>21586</v>
      </c>
      <c r="H1386" s="950" t="s">
        <v>636</v>
      </c>
      <c r="I1386" s="951" t="s">
        <v>5685</v>
      </c>
      <c r="J1386" s="947" t="s">
        <v>5686</v>
      </c>
      <c r="K1386" s="143"/>
    </row>
    <row r="1387" spans="1:11">
      <c r="A1387" s="946" t="s">
        <v>28612</v>
      </c>
      <c r="B1387" s="947" t="s">
        <v>5739</v>
      </c>
      <c r="C1387" s="948" t="s">
        <v>5737</v>
      </c>
      <c r="D1387" s="242" t="s">
        <v>28721</v>
      </c>
      <c r="E1387" s="949">
        <v>312</v>
      </c>
      <c r="F1387" s="949">
        <v>312</v>
      </c>
      <c r="G1387" s="950" t="s">
        <v>21586</v>
      </c>
      <c r="H1387" s="950" t="s">
        <v>636</v>
      </c>
      <c r="I1387" s="951" t="s">
        <v>5738</v>
      </c>
      <c r="J1387" s="947" t="s">
        <v>5739</v>
      </c>
      <c r="K1387" s="143"/>
    </row>
    <row r="1388" spans="1:11">
      <c r="A1388" s="946" t="s">
        <v>28612</v>
      </c>
      <c r="B1388" s="947" t="s">
        <v>6480</v>
      </c>
      <c r="C1388" s="948" t="s">
        <v>6478</v>
      </c>
      <c r="D1388" s="242" t="s">
        <v>28721</v>
      </c>
      <c r="E1388" s="949">
        <v>312</v>
      </c>
      <c r="F1388" s="949">
        <v>312</v>
      </c>
      <c r="G1388" s="950" t="s">
        <v>21586</v>
      </c>
      <c r="H1388" s="950" t="s">
        <v>636</v>
      </c>
      <c r="I1388" s="951" t="s">
        <v>6479</v>
      </c>
      <c r="J1388" s="947" t="s">
        <v>6480</v>
      </c>
      <c r="K1388" s="143"/>
    </row>
    <row r="1389" spans="1:11">
      <c r="A1389" s="946" t="s">
        <v>28612</v>
      </c>
      <c r="B1389" s="947" t="s">
        <v>6525</v>
      </c>
      <c r="C1389" s="948" t="s">
        <v>6523</v>
      </c>
      <c r="D1389" s="242" t="s">
        <v>28721</v>
      </c>
      <c r="E1389" s="949">
        <v>312</v>
      </c>
      <c r="F1389" s="949">
        <v>312</v>
      </c>
      <c r="G1389" s="950" t="s">
        <v>21586</v>
      </c>
      <c r="H1389" s="950" t="s">
        <v>636</v>
      </c>
      <c r="I1389" s="951" t="s">
        <v>6524</v>
      </c>
      <c r="J1389" s="947" t="s">
        <v>6525</v>
      </c>
      <c r="K1389" s="143"/>
    </row>
    <row r="1390" spans="1:11">
      <c r="A1390" s="946" t="s">
        <v>28612</v>
      </c>
      <c r="B1390" s="947" t="s">
        <v>6630</v>
      </c>
      <c r="C1390" s="948" t="s">
        <v>6628</v>
      </c>
      <c r="D1390" s="242" t="s">
        <v>28721</v>
      </c>
      <c r="E1390" s="949">
        <v>312</v>
      </c>
      <c r="F1390" s="949">
        <v>312</v>
      </c>
      <c r="G1390" s="950" t="s">
        <v>21586</v>
      </c>
      <c r="H1390" s="950" t="s">
        <v>636</v>
      </c>
      <c r="I1390" s="951" t="s">
        <v>6629</v>
      </c>
      <c r="J1390" s="947" t="s">
        <v>6630</v>
      </c>
      <c r="K1390" s="143"/>
    </row>
    <row r="1391" spans="1:11">
      <c r="A1391" s="946" t="s">
        <v>28612</v>
      </c>
      <c r="B1391" s="947" t="s">
        <v>6651</v>
      </c>
      <c r="C1391" s="948" t="s">
        <v>6649</v>
      </c>
      <c r="D1391" s="242" t="s">
        <v>28721</v>
      </c>
      <c r="E1391" s="949">
        <v>312</v>
      </c>
      <c r="F1391" s="949">
        <v>312</v>
      </c>
      <c r="G1391" s="950" t="s">
        <v>21586</v>
      </c>
      <c r="H1391" s="950" t="s">
        <v>636</v>
      </c>
      <c r="I1391" s="951" t="s">
        <v>6650</v>
      </c>
      <c r="J1391" s="947" t="s">
        <v>6651</v>
      </c>
      <c r="K1391" s="143"/>
    </row>
    <row r="1392" spans="1:11">
      <c r="A1392" s="946" t="s">
        <v>28612</v>
      </c>
      <c r="B1392" s="947" t="s">
        <v>6866</v>
      </c>
      <c r="C1392" s="948" t="s">
        <v>6864</v>
      </c>
      <c r="D1392" s="242" t="s">
        <v>28721</v>
      </c>
      <c r="E1392" s="949">
        <v>312</v>
      </c>
      <c r="F1392" s="949">
        <v>312</v>
      </c>
      <c r="G1392" s="950" t="s">
        <v>21586</v>
      </c>
      <c r="H1392" s="950" t="s">
        <v>636</v>
      </c>
      <c r="I1392" s="951" t="s">
        <v>6865</v>
      </c>
      <c r="J1392" s="947" t="s">
        <v>6866</v>
      </c>
      <c r="K1392" s="143"/>
    </row>
    <row r="1393" spans="1:11">
      <c r="A1393" s="946" t="s">
        <v>28612</v>
      </c>
      <c r="B1393" s="947" t="s">
        <v>6887</v>
      </c>
      <c r="C1393" s="948" t="s">
        <v>6885</v>
      </c>
      <c r="D1393" s="242" t="s">
        <v>28721</v>
      </c>
      <c r="E1393" s="949">
        <v>312</v>
      </c>
      <c r="F1393" s="949">
        <v>312</v>
      </c>
      <c r="G1393" s="950" t="s">
        <v>21586</v>
      </c>
      <c r="H1393" s="950" t="s">
        <v>636</v>
      </c>
      <c r="I1393" s="951" t="s">
        <v>6886</v>
      </c>
      <c r="J1393" s="947" t="s">
        <v>6887</v>
      </c>
      <c r="K1393" s="143"/>
    </row>
    <row r="1394" spans="1:11">
      <c r="A1394" s="946" t="s">
        <v>28612</v>
      </c>
      <c r="B1394" s="947" t="s">
        <v>7347</v>
      </c>
      <c r="C1394" s="948" t="s">
        <v>7345</v>
      </c>
      <c r="D1394" s="242" t="s">
        <v>28721</v>
      </c>
      <c r="E1394" s="949">
        <v>312</v>
      </c>
      <c r="F1394" s="949">
        <v>312</v>
      </c>
      <c r="G1394" s="950" t="s">
        <v>21586</v>
      </c>
      <c r="H1394" s="950" t="s">
        <v>636</v>
      </c>
      <c r="I1394" s="951" t="s">
        <v>7346</v>
      </c>
      <c r="J1394" s="947" t="s">
        <v>7347</v>
      </c>
      <c r="K1394" s="143"/>
    </row>
    <row r="1395" spans="1:11">
      <c r="A1395" s="946" t="s">
        <v>28612</v>
      </c>
      <c r="B1395" s="947" t="s">
        <v>7417</v>
      </c>
      <c r="C1395" s="948" t="s">
        <v>7415</v>
      </c>
      <c r="D1395" s="242" t="s">
        <v>28721</v>
      </c>
      <c r="E1395" s="949">
        <v>312</v>
      </c>
      <c r="F1395" s="949">
        <v>312</v>
      </c>
      <c r="G1395" s="950" t="s">
        <v>21586</v>
      </c>
      <c r="H1395" s="950" t="s">
        <v>636</v>
      </c>
      <c r="I1395" s="951" t="s">
        <v>7416</v>
      </c>
      <c r="J1395" s="947" t="s">
        <v>7417</v>
      </c>
      <c r="K1395" s="143"/>
    </row>
    <row r="1396" spans="1:11">
      <c r="A1396" s="946" t="s">
        <v>28612</v>
      </c>
      <c r="B1396" s="947" t="s">
        <v>7433</v>
      </c>
      <c r="C1396" s="948" t="s">
        <v>7431</v>
      </c>
      <c r="D1396" s="242" t="s">
        <v>28721</v>
      </c>
      <c r="E1396" s="949">
        <v>312</v>
      </c>
      <c r="F1396" s="949">
        <v>312</v>
      </c>
      <c r="G1396" s="950" t="s">
        <v>21586</v>
      </c>
      <c r="H1396" s="950" t="s">
        <v>636</v>
      </c>
      <c r="I1396" s="951" t="s">
        <v>7432</v>
      </c>
      <c r="J1396" s="947" t="s">
        <v>7433</v>
      </c>
      <c r="K1396" s="143"/>
    </row>
    <row r="1397" spans="1:11">
      <c r="A1397" s="946" t="s">
        <v>28612</v>
      </c>
      <c r="B1397" s="947" t="s">
        <v>7448</v>
      </c>
      <c r="C1397" s="948" t="s">
        <v>7446</v>
      </c>
      <c r="D1397" s="242" t="s">
        <v>28721</v>
      </c>
      <c r="E1397" s="949">
        <v>312</v>
      </c>
      <c r="F1397" s="949">
        <v>312</v>
      </c>
      <c r="G1397" s="950" t="s">
        <v>21586</v>
      </c>
      <c r="H1397" s="950" t="s">
        <v>636</v>
      </c>
      <c r="I1397" s="951" t="s">
        <v>7447</v>
      </c>
      <c r="J1397" s="947" t="s">
        <v>7448</v>
      </c>
      <c r="K1397" s="143"/>
    </row>
    <row r="1398" spans="1:11">
      <c r="A1398" s="946" t="s">
        <v>28612</v>
      </c>
      <c r="B1398" s="947" t="s">
        <v>7462</v>
      </c>
      <c r="C1398" s="948" t="s">
        <v>7460</v>
      </c>
      <c r="D1398" s="242" t="s">
        <v>28721</v>
      </c>
      <c r="E1398" s="949">
        <v>312</v>
      </c>
      <c r="F1398" s="949">
        <v>312</v>
      </c>
      <c r="G1398" s="950" t="s">
        <v>21586</v>
      </c>
      <c r="H1398" s="950" t="s">
        <v>636</v>
      </c>
      <c r="I1398" s="951" t="s">
        <v>7461</v>
      </c>
      <c r="J1398" s="947" t="s">
        <v>7462</v>
      </c>
      <c r="K1398" s="143"/>
    </row>
    <row r="1399" spans="1:11">
      <c r="A1399" s="946" t="s">
        <v>28612</v>
      </c>
      <c r="B1399" s="947" t="s">
        <v>7491</v>
      </c>
      <c r="C1399" s="948" t="s">
        <v>7489</v>
      </c>
      <c r="D1399" s="242" t="s">
        <v>28721</v>
      </c>
      <c r="E1399" s="949">
        <v>312</v>
      </c>
      <c r="F1399" s="949">
        <v>312</v>
      </c>
      <c r="G1399" s="950" t="s">
        <v>21586</v>
      </c>
      <c r="H1399" s="950" t="s">
        <v>636</v>
      </c>
      <c r="I1399" s="951" t="s">
        <v>7490</v>
      </c>
      <c r="J1399" s="947" t="s">
        <v>7491</v>
      </c>
      <c r="K1399" s="143"/>
    </row>
    <row r="1400" spans="1:11">
      <c r="A1400" s="946" t="s">
        <v>28612</v>
      </c>
      <c r="B1400" s="947" t="s">
        <v>7539</v>
      </c>
      <c r="C1400" s="948" t="s">
        <v>7537</v>
      </c>
      <c r="D1400" s="242" t="s">
        <v>28721</v>
      </c>
      <c r="E1400" s="949">
        <v>312</v>
      </c>
      <c r="F1400" s="949">
        <v>312</v>
      </c>
      <c r="G1400" s="950" t="s">
        <v>21586</v>
      </c>
      <c r="H1400" s="950" t="s">
        <v>636</v>
      </c>
      <c r="I1400" s="951" t="s">
        <v>7538</v>
      </c>
      <c r="J1400" s="947" t="s">
        <v>7539</v>
      </c>
      <c r="K1400" s="143"/>
    </row>
    <row r="1401" spans="1:11">
      <c r="A1401" s="946" t="s">
        <v>28612</v>
      </c>
      <c r="B1401" s="947" t="s">
        <v>7542</v>
      </c>
      <c r="C1401" s="948" t="s">
        <v>7540</v>
      </c>
      <c r="D1401" s="242" t="s">
        <v>28721</v>
      </c>
      <c r="E1401" s="949">
        <v>312</v>
      </c>
      <c r="F1401" s="949">
        <v>312</v>
      </c>
      <c r="G1401" s="950" t="s">
        <v>21586</v>
      </c>
      <c r="H1401" s="950" t="s">
        <v>636</v>
      </c>
      <c r="I1401" s="951" t="s">
        <v>7541</v>
      </c>
      <c r="J1401" s="947" t="s">
        <v>7542</v>
      </c>
      <c r="K1401" s="143"/>
    </row>
    <row r="1402" spans="1:11">
      <c r="A1402" s="946" t="s">
        <v>28612</v>
      </c>
      <c r="B1402" s="947" t="s">
        <v>7565</v>
      </c>
      <c r="C1402" s="948" t="s">
        <v>7563</v>
      </c>
      <c r="D1402" s="242" t="s">
        <v>28721</v>
      </c>
      <c r="E1402" s="949">
        <v>312</v>
      </c>
      <c r="F1402" s="949">
        <v>312</v>
      </c>
      <c r="G1402" s="950" t="s">
        <v>21586</v>
      </c>
      <c r="H1402" s="950" t="s">
        <v>636</v>
      </c>
      <c r="I1402" s="951" t="s">
        <v>7564</v>
      </c>
      <c r="J1402" s="947" t="s">
        <v>7565</v>
      </c>
      <c r="K1402" s="143"/>
    </row>
    <row r="1403" spans="1:11">
      <c r="A1403" s="946" t="s">
        <v>28612</v>
      </c>
      <c r="B1403" s="947" t="s">
        <v>7805</v>
      </c>
      <c r="C1403" s="948" t="s">
        <v>7803</v>
      </c>
      <c r="D1403" s="242" t="s">
        <v>28721</v>
      </c>
      <c r="E1403" s="949">
        <v>312</v>
      </c>
      <c r="F1403" s="949">
        <v>312</v>
      </c>
      <c r="G1403" s="950" t="s">
        <v>21586</v>
      </c>
      <c r="H1403" s="950" t="s">
        <v>636</v>
      </c>
      <c r="I1403" s="951" t="s">
        <v>7804</v>
      </c>
      <c r="J1403" s="947" t="s">
        <v>7805</v>
      </c>
      <c r="K1403" s="143"/>
    </row>
    <row r="1404" spans="1:11">
      <c r="A1404" s="946" t="s">
        <v>28612</v>
      </c>
      <c r="B1404" s="947" t="s">
        <v>7808</v>
      </c>
      <c r="C1404" s="948" t="s">
        <v>7806</v>
      </c>
      <c r="D1404" s="242" t="s">
        <v>28721</v>
      </c>
      <c r="E1404" s="949">
        <v>312</v>
      </c>
      <c r="F1404" s="949">
        <v>312</v>
      </c>
      <c r="G1404" s="950" t="s">
        <v>21586</v>
      </c>
      <c r="H1404" s="950" t="s">
        <v>636</v>
      </c>
      <c r="I1404" s="951" t="s">
        <v>7807</v>
      </c>
      <c r="J1404" s="947" t="s">
        <v>7808</v>
      </c>
      <c r="K1404" s="143"/>
    </row>
    <row r="1405" spans="1:11">
      <c r="A1405" s="946" t="s">
        <v>28612</v>
      </c>
      <c r="B1405" s="947" t="s">
        <v>7977</v>
      </c>
      <c r="C1405" s="948" t="s">
        <v>7975</v>
      </c>
      <c r="D1405" s="242" t="s">
        <v>28721</v>
      </c>
      <c r="E1405" s="949">
        <v>312</v>
      </c>
      <c r="F1405" s="949">
        <v>312</v>
      </c>
      <c r="G1405" s="950" t="s">
        <v>21586</v>
      </c>
      <c r="H1405" s="950" t="s">
        <v>636</v>
      </c>
      <c r="I1405" s="951" t="s">
        <v>7976</v>
      </c>
      <c r="J1405" s="947" t="s">
        <v>7977</v>
      </c>
      <c r="K1405" s="143"/>
    </row>
    <row r="1406" spans="1:11">
      <c r="A1406" s="946" t="s">
        <v>28612</v>
      </c>
      <c r="B1406" s="947" t="s">
        <v>8138</v>
      </c>
      <c r="C1406" s="948" t="s">
        <v>8136</v>
      </c>
      <c r="D1406" s="242" t="s">
        <v>28721</v>
      </c>
      <c r="E1406" s="949">
        <v>312</v>
      </c>
      <c r="F1406" s="949">
        <v>312</v>
      </c>
      <c r="G1406" s="950" t="s">
        <v>21586</v>
      </c>
      <c r="H1406" s="950" t="s">
        <v>636</v>
      </c>
      <c r="I1406" s="951" t="s">
        <v>8137</v>
      </c>
      <c r="J1406" s="947" t="s">
        <v>8138</v>
      </c>
      <c r="K1406" s="143"/>
    </row>
    <row r="1407" spans="1:11">
      <c r="A1407" s="946" t="s">
        <v>28612</v>
      </c>
      <c r="B1407" s="947" t="s">
        <v>8159</v>
      </c>
      <c r="C1407" s="948" t="s">
        <v>8157</v>
      </c>
      <c r="D1407" s="242" t="s">
        <v>28721</v>
      </c>
      <c r="E1407" s="949">
        <v>312</v>
      </c>
      <c r="F1407" s="949">
        <v>312</v>
      </c>
      <c r="G1407" s="950" t="s">
        <v>21586</v>
      </c>
      <c r="H1407" s="950" t="s">
        <v>636</v>
      </c>
      <c r="I1407" s="951" t="s">
        <v>8158</v>
      </c>
      <c r="J1407" s="947" t="s">
        <v>8159</v>
      </c>
      <c r="K1407" s="143"/>
    </row>
    <row r="1408" spans="1:11">
      <c r="A1408" s="946" t="s">
        <v>28612</v>
      </c>
      <c r="B1408" s="947" t="s">
        <v>8867</v>
      </c>
      <c r="C1408" s="948" t="s">
        <v>8865</v>
      </c>
      <c r="D1408" s="242" t="s">
        <v>28721</v>
      </c>
      <c r="E1408" s="949">
        <v>312</v>
      </c>
      <c r="F1408" s="949">
        <v>312</v>
      </c>
      <c r="G1408" s="950" t="s">
        <v>21586</v>
      </c>
      <c r="H1408" s="950" t="s">
        <v>636</v>
      </c>
      <c r="I1408" s="951" t="s">
        <v>8866</v>
      </c>
      <c r="J1408" s="947" t="s">
        <v>8867</v>
      </c>
      <c r="K1408" s="143"/>
    </row>
    <row r="1409" spans="1:11">
      <c r="A1409" s="946" t="s">
        <v>28612</v>
      </c>
      <c r="B1409" s="947" t="s">
        <v>8876</v>
      </c>
      <c r="C1409" s="948" t="s">
        <v>8874</v>
      </c>
      <c r="D1409" s="242" t="s">
        <v>28721</v>
      </c>
      <c r="E1409" s="949">
        <v>312</v>
      </c>
      <c r="F1409" s="949">
        <v>312</v>
      </c>
      <c r="G1409" s="950" t="s">
        <v>21586</v>
      </c>
      <c r="H1409" s="950" t="s">
        <v>636</v>
      </c>
      <c r="I1409" s="951" t="s">
        <v>8875</v>
      </c>
      <c r="J1409" s="947" t="s">
        <v>8876</v>
      </c>
      <c r="K1409" s="143"/>
    </row>
    <row r="1410" spans="1:11">
      <c r="A1410" s="946" t="s">
        <v>28612</v>
      </c>
      <c r="B1410" s="947" t="s">
        <v>9044</v>
      </c>
      <c r="C1410" s="948" t="s">
        <v>9042</v>
      </c>
      <c r="D1410" s="242" t="s">
        <v>28721</v>
      </c>
      <c r="E1410" s="949">
        <v>312</v>
      </c>
      <c r="F1410" s="949">
        <v>312</v>
      </c>
      <c r="G1410" s="950" t="s">
        <v>21586</v>
      </c>
      <c r="H1410" s="950" t="s">
        <v>636</v>
      </c>
      <c r="I1410" s="951" t="s">
        <v>9043</v>
      </c>
      <c r="J1410" s="947" t="s">
        <v>9044</v>
      </c>
      <c r="K1410" s="143"/>
    </row>
    <row r="1411" spans="1:11">
      <c r="A1411" s="946" t="s">
        <v>28612</v>
      </c>
      <c r="B1411" s="947" t="s">
        <v>9055</v>
      </c>
      <c r="C1411" s="948" t="s">
        <v>9053</v>
      </c>
      <c r="D1411" s="242" t="s">
        <v>28721</v>
      </c>
      <c r="E1411" s="949">
        <v>312</v>
      </c>
      <c r="F1411" s="949">
        <v>312</v>
      </c>
      <c r="G1411" s="950" t="s">
        <v>21586</v>
      </c>
      <c r="H1411" s="950" t="s">
        <v>636</v>
      </c>
      <c r="I1411" s="951" t="s">
        <v>9054</v>
      </c>
      <c r="J1411" s="947" t="s">
        <v>9055</v>
      </c>
      <c r="K1411" s="143"/>
    </row>
    <row r="1412" spans="1:11">
      <c r="A1412" s="946" t="s">
        <v>28612</v>
      </c>
      <c r="B1412" s="947" t="s">
        <v>9082</v>
      </c>
      <c r="C1412" s="948" t="s">
        <v>9080</v>
      </c>
      <c r="D1412" s="242" t="s">
        <v>28721</v>
      </c>
      <c r="E1412" s="949">
        <v>312</v>
      </c>
      <c r="F1412" s="949">
        <v>312</v>
      </c>
      <c r="G1412" s="950" t="s">
        <v>21586</v>
      </c>
      <c r="H1412" s="950" t="s">
        <v>636</v>
      </c>
      <c r="I1412" s="951" t="s">
        <v>9081</v>
      </c>
      <c r="J1412" s="947" t="s">
        <v>9082</v>
      </c>
      <c r="K1412" s="143"/>
    </row>
    <row r="1413" spans="1:11">
      <c r="A1413" s="946" t="s">
        <v>28612</v>
      </c>
      <c r="B1413" s="947" t="s">
        <v>9123</v>
      </c>
      <c r="C1413" s="948" t="s">
        <v>9121</v>
      </c>
      <c r="D1413" s="242" t="s">
        <v>28721</v>
      </c>
      <c r="E1413" s="949">
        <v>312</v>
      </c>
      <c r="F1413" s="949">
        <v>312</v>
      </c>
      <c r="G1413" s="950" t="s">
        <v>21586</v>
      </c>
      <c r="H1413" s="950" t="s">
        <v>636</v>
      </c>
      <c r="I1413" s="951" t="s">
        <v>9122</v>
      </c>
      <c r="J1413" s="947" t="s">
        <v>9123</v>
      </c>
      <c r="K1413" s="143"/>
    </row>
    <row r="1414" spans="1:11">
      <c r="A1414" s="946" t="s">
        <v>28612</v>
      </c>
      <c r="B1414" s="947" t="s">
        <v>9132</v>
      </c>
      <c r="C1414" s="948" t="s">
        <v>9130</v>
      </c>
      <c r="D1414" s="242" t="s">
        <v>28721</v>
      </c>
      <c r="E1414" s="949">
        <v>312</v>
      </c>
      <c r="F1414" s="949">
        <v>312</v>
      </c>
      <c r="G1414" s="950" t="s">
        <v>21586</v>
      </c>
      <c r="H1414" s="950" t="s">
        <v>636</v>
      </c>
      <c r="I1414" s="951" t="s">
        <v>9131</v>
      </c>
      <c r="J1414" s="947" t="s">
        <v>9132</v>
      </c>
      <c r="K1414" s="143"/>
    </row>
    <row r="1415" spans="1:11">
      <c r="A1415" s="946" t="s">
        <v>28612</v>
      </c>
      <c r="B1415" s="947" t="s">
        <v>9336</v>
      </c>
      <c r="C1415" s="948" t="s">
        <v>9334</v>
      </c>
      <c r="D1415" s="242" t="s">
        <v>28721</v>
      </c>
      <c r="E1415" s="949">
        <v>312</v>
      </c>
      <c r="F1415" s="949">
        <v>312</v>
      </c>
      <c r="G1415" s="950" t="s">
        <v>21586</v>
      </c>
      <c r="H1415" s="950" t="s">
        <v>636</v>
      </c>
      <c r="I1415" s="951" t="s">
        <v>9335</v>
      </c>
      <c r="J1415" s="947" t="s">
        <v>9336</v>
      </c>
      <c r="K1415" s="143"/>
    </row>
    <row r="1416" spans="1:11">
      <c r="A1416" s="946" t="s">
        <v>28612</v>
      </c>
      <c r="B1416" s="947" t="s">
        <v>9382</v>
      </c>
      <c r="C1416" s="948" t="s">
        <v>9380</v>
      </c>
      <c r="D1416" s="242" t="s">
        <v>28721</v>
      </c>
      <c r="E1416" s="949">
        <v>312</v>
      </c>
      <c r="F1416" s="949">
        <v>312</v>
      </c>
      <c r="G1416" s="950" t="s">
        <v>21586</v>
      </c>
      <c r="H1416" s="950" t="s">
        <v>636</v>
      </c>
      <c r="I1416" s="951" t="s">
        <v>9381</v>
      </c>
      <c r="J1416" s="947" t="s">
        <v>9382</v>
      </c>
      <c r="K1416" s="143"/>
    </row>
    <row r="1417" spans="1:11">
      <c r="A1417" s="946" t="s">
        <v>28612</v>
      </c>
      <c r="B1417" s="947" t="s">
        <v>9385</v>
      </c>
      <c r="C1417" s="948" t="s">
        <v>9383</v>
      </c>
      <c r="D1417" s="242" t="s">
        <v>28721</v>
      </c>
      <c r="E1417" s="949">
        <v>312</v>
      </c>
      <c r="F1417" s="949">
        <v>312</v>
      </c>
      <c r="G1417" s="950" t="s">
        <v>21586</v>
      </c>
      <c r="H1417" s="950" t="s">
        <v>636</v>
      </c>
      <c r="I1417" s="951" t="s">
        <v>9384</v>
      </c>
      <c r="J1417" s="947" t="s">
        <v>9385</v>
      </c>
      <c r="K1417" s="143"/>
    </row>
    <row r="1418" spans="1:11">
      <c r="A1418" s="946" t="s">
        <v>28612</v>
      </c>
      <c r="B1418" s="947" t="s">
        <v>31109</v>
      </c>
      <c r="C1418" s="948" t="s">
        <v>31110</v>
      </c>
      <c r="D1418" s="242" t="s">
        <v>28721</v>
      </c>
      <c r="E1418" s="949">
        <v>312</v>
      </c>
      <c r="F1418" s="949">
        <v>312</v>
      </c>
      <c r="G1418" s="950" t="s">
        <v>21586</v>
      </c>
      <c r="H1418" s="950" t="s">
        <v>636</v>
      </c>
      <c r="I1418" s="951" t="s">
        <v>9392</v>
      </c>
      <c r="J1418" s="947" t="s">
        <v>31109</v>
      </c>
      <c r="K1418" s="143"/>
    </row>
    <row r="1419" spans="1:11">
      <c r="A1419" s="946" t="s">
        <v>28612</v>
      </c>
      <c r="B1419" s="947" t="s">
        <v>9471</v>
      </c>
      <c r="C1419" s="948" t="s">
        <v>9469</v>
      </c>
      <c r="D1419" s="242" t="s">
        <v>28721</v>
      </c>
      <c r="E1419" s="949">
        <v>312</v>
      </c>
      <c r="F1419" s="949">
        <v>312</v>
      </c>
      <c r="G1419" s="950" t="s">
        <v>21586</v>
      </c>
      <c r="H1419" s="950" t="s">
        <v>636</v>
      </c>
      <c r="I1419" s="951" t="s">
        <v>9470</v>
      </c>
      <c r="J1419" s="947" t="s">
        <v>9471</v>
      </c>
      <c r="K1419" s="143"/>
    </row>
    <row r="1420" spans="1:11">
      <c r="A1420" s="946" t="s">
        <v>28612</v>
      </c>
      <c r="B1420" s="947" t="s">
        <v>9792</v>
      </c>
      <c r="C1420" s="948" t="s">
        <v>9790</v>
      </c>
      <c r="D1420" s="242" t="s">
        <v>28721</v>
      </c>
      <c r="E1420" s="949">
        <v>312</v>
      </c>
      <c r="F1420" s="949">
        <v>312</v>
      </c>
      <c r="G1420" s="950" t="s">
        <v>21586</v>
      </c>
      <c r="H1420" s="950" t="s">
        <v>636</v>
      </c>
      <c r="I1420" s="951" t="s">
        <v>9791</v>
      </c>
      <c r="J1420" s="947" t="s">
        <v>9792</v>
      </c>
      <c r="K1420" s="143"/>
    </row>
    <row r="1421" spans="1:11">
      <c r="A1421" s="946" t="s">
        <v>28612</v>
      </c>
      <c r="B1421" s="947" t="s">
        <v>9801</v>
      </c>
      <c r="C1421" s="948" t="s">
        <v>9799</v>
      </c>
      <c r="D1421" s="242" t="s">
        <v>28721</v>
      </c>
      <c r="E1421" s="949">
        <v>312</v>
      </c>
      <c r="F1421" s="949">
        <v>312</v>
      </c>
      <c r="G1421" s="950" t="s">
        <v>21586</v>
      </c>
      <c r="H1421" s="950" t="s">
        <v>636</v>
      </c>
      <c r="I1421" s="951" t="s">
        <v>9800</v>
      </c>
      <c r="J1421" s="947" t="s">
        <v>9801</v>
      </c>
      <c r="K1421" s="143"/>
    </row>
    <row r="1422" spans="1:11">
      <c r="A1422" s="946" t="s">
        <v>28612</v>
      </c>
      <c r="B1422" s="947" t="s">
        <v>9931</v>
      </c>
      <c r="C1422" s="948" t="s">
        <v>9929</v>
      </c>
      <c r="D1422" s="242" t="s">
        <v>28721</v>
      </c>
      <c r="E1422" s="949">
        <v>312</v>
      </c>
      <c r="F1422" s="949">
        <v>312</v>
      </c>
      <c r="G1422" s="950" t="s">
        <v>21586</v>
      </c>
      <c r="H1422" s="950" t="s">
        <v>636</v>
      </c>
      <c r="I1422" s="951" t="s">
        <v>9930</v>
      </c>
      <c r="J1422" s="947" t="s">
        <v>9931</v>
      </c>
      <c r="K1422" s="143"/>
    </row>
    <row r="1423" spans="1:11">
      <c r="A1423" s="946" t="s">
        <v>28612</v>
      </c>
      <c r="B1423" s="947" t="s">
        <v>9974</v>
      </c>
      <c r="C1423" s="948" t="s">
        <v>9972</v>
      </c>
      <c r="D1423" s="242" t="s">
        <v>28721</v>
      </c>
      <c r="E1423" s="949">
        <v>312</v>
      </c>
      <c r="F1423" s="949">
        <v>312</v>
      </c>
      <c r="G1423" s="950" t="s">
        <v>21586</v>
      </c>
      <c r="H1423" s="950" t="s">
        <v>636</v>
      </c>
      <c r="I1423" s="951" t="s">
        <v>9973</v>
      </c>
      <c r="J1423" s="947" t="s">
        <v>9974</v>
      </c>
      <c r="K1423" s="143"/>
    </row>
    <row r="1424" spans="1:11">
      <c r="A1424" s="946" t="s">
        <v>28612</v>
      </c>
      <c r="B1424" s="947" t="s">
        <v>10235</v>
      </c>
      <c r="C1424" s="948" t="s">
        <v>10233</v>
      </c>
      <c r="D1424" s="242" t="s">
        <v>28721</v>
      </c>
      <c r="E1424" s="949">
        <v>312</v>
      </c>
      <c r="F1424" s="949">
        <v>312</v>
      </c>
      <c r="G1424" s="950" t="s">
        <v>21586</v>
      </c>
      <c r="H1424" s="950" t="s">
        <v>636</v>
      </c>
      <c r="I1424" s="951" t="s">
        <v>10234</v>
      </c>
      <c r="J1424" s="947" t="s">
        <v>10235</v>
      </c>
      <c r="K1424" s="143"/>
    </row>
    <row r="1425" spans="1:11">
      <c r="A1425" s="946" t="s">
        <v>28612</v>
      </c>
      <c r="B1425" s="947" t="s">
        <v>24935</v>
      </c>
      <c r="C1425" s="948" t="s">
        <v>26164</v>
      </c>
      <c r="D1425" s="242" t="s">
        <v>28721</v>
      </c>
      <c r="E1425" s="949">
        <v>312</v>
      </c>
      <c r="F1425" s="949">
        <v>312</v>
      </c>
      <c r="G1425" s="950" t="s">
        <v>21586</v>
      </c>
      <c r="H1425" s="950" t="s">
        <v>636</v>
      </c>
      <c r="I1425" s="951" t="s">
        <v>10236</v>
      </c>
      <c r="J1425" s="947" t="s">
        <v>24935</v>
      </c>
      <c r="K1425" s="143"/>
    </row>
    <row r="1426" spans="1:11">
      <c r="A1426" s="946" t="s">
        <v>28612</v>
      </c>
      <c r="B1426" s="947" t="s">
        <v>10267</v>
      </c>
      <c r="C1426" s="948" t="s">
        <v>10265</v>
      </c>
      <c r="D1426" s="242" t="s">
        <v>28721</v>
      </c>
      <c r="E1426" s="949">
        <v>312</v>
      </c>
      <c r="F1426" s="949">
        <v>312</v>
      </c>
      <c r="G1426" s="950" t="s">
        <v>21586</v>
      </c>
      <c r="H1426" s="950" t="s">
        <v>636</v>
      </c>
      <c r="I1426" s="951" t="s">
        <v>10266</v>
      </c>
      <c r="J1426" s="947" t="s">
        <v>10267</v>
      </c>
      <c r="K1426" s="143"/>
    </row>
    <row r="1427" spans="1:11">
      <c r="A1427" s="946" t="s">
        <v>28612</v>
      </c>
      <c r="B1427" s="947" t="s">
        <v>10581</v>
      </c>
      <c r="C1427" s="948" t="s">
        <v>10579</v>
      </c>
      <c r="D1427" s="242" t="s">
        <v>28721</v>
      </c>
      <c r="E1427" s="949">
        <v>312</v>
      </c>
      <c r="F1427" s="949">
        <v>312</v>
      </c>
      <c r="G1427" s="950" t="s">
        <v>21586</v>
      </c>
      <c r="H1427" s="950" t="s">
        <v>636</v>
      </c>
      <c r="I1427" s="951" t="s">
        <v>10580</v>
      </c>
      <c r="J1427" s="947" t="s">
        <v>10581</v>
      </c>
      <c r="K1427" s="143"/>
    </row>
    <row r="1428" spans="1:11">
      <c r="A1428" s="946" t="s">
        <v>28612</v>
      </c>
      <c r="B1428" s="947" t="s">
        <v>10584</v>
      </c>
      <c r="C1428" s="948" t="s">
        <v>10582</v>
      </c>
      <c r="D1428" s="242" t="s">
        <v>28721</v>
      </c>
      <c r="E1428" s="949">
        <v>312</v>
      </c>
      <c r="F1428" s="949">
        <v>312</v>
      </c>
      <c r="G1428" s="950" t="s">
        <v>21586</v>
      </c>
      <c r="H1428" s="950" t="s">
        <v>636</v>
      </c>
      <c r="I1428" s="951" t="s">
        <v>10583</v>
      </c>
      <c r="J1428" s="947" t="s">
        <v>10584</v>
      </c>
      <c r="K1428" s="143"/>
    </row>
    <row r="1429" spans="1:11">
      <c r="A1429" s="946" t="s">
        <v>28612</v>
      </c>
      <c r="B1429" s="947" t="s">
        <v>10670</v>
      </c>
      <c r="C1429" s="948" t="s">
        <v>10668</v>
      </c>
      <c r="D1429" s="242" t="s">
        <v>28721</v>
      </c>
      <c r="E1429" s="949">
        <v>312</v>
      </c>
      <c r="F1429" s="949">
        <v>312</v>
      </c>
      <c r="G1429" s="950" t="s">
        <v>21586</v>
      </c>
      <c r="H1429" s="950" t="s">
        <v>636</v>
      </c>
      <c r="I1429" s="951" t="s">
        <v>10669</v>
      </c>
      <c r="J1429" s="947" t="s">
        <v>10670</v>
      </c>
      <c r="K1429" s="143"/>
    </row>
    <row r="1430" spans="1:11">
      <c r="A1430" s="946" t="s">
        <v>28612</v>
      </c>
      <c r="B1430" s="947" t="s">
        <v>10721</v>
      </c>
      <c r="C1430" s="948" t="s">
        <v>10719</v>
      </c>
      <c r="D1430" s="242" t="s">
        <v>28721</v>
      </c>
      <c r="E1430" s="949">
        <v>312</v>
      </c>
      <c r="F1430" s="949">
        <v>312</v>
      </c>
      <c r="G1430" s="950" t="s">
        <v>21586</v>
      </c>
      <c r="H1430" s="950" t="s">
        <v>636</v>
      </c>
      <c r="I1430" s="951" t="s">
        <v>10720</v>
      </c>
      <c r="J1430" s="947" t="s">
        <v>10721</v>
      </c>
      <c r="K1430" s="143"/>
    </row>
    <row r="1431" spans="1:11">
      <c r="A1431" s="946" t="s">
        <v>28612</v>
      </c>
      <c r="B1431" s="947" t="s">
        <v>10790</v>
      </c>
      <c r="C1431" s="948" t="s">
        <v>10788</v>
      </c>
      <c r="D1431" s="242" t="s">
        <v>28721</v>
      </c>
      <c r="E1431" s="949">
        <v>312</v>
      </c>
      <c r="F1431" s="949">
        <v>312</v>
      </c>
      <c r="G1431" s="950" t="s">
        <v>21586</v>
      </c>
      <c r="H1431" s="950" t="s">
        <v>636</v>
      </c>
      <c r="I1431" s="951" t="s">
        <v>10789</v>
      </c>
      <c r="J1431" s="947" t="s">
        <v>10790</v>
      </c>
      <c r="K1431" s="143"/>
    </row>
    <row r="1432" spans="1:11">
      <c r="A1432" s="946" t="s">
        <v>28612</v>
      </c>
      <c r="B1432" s="947" t="s">
        <v>10991</v>
      </c>
      <c r="C1432" s="948" t="s">
        <v>10989</v>
      </c>
      <c r="D1432" s="242" t="s">
        <v>28721</v>
      </c>
      <c r="E1432" s="949">
        <v>312</v>
      </c>
      <c r="F1432" s="949">
        <v>312</v>
      </c>
      <c r="G1432" s="950" t="s">
        <v>21586</v>
      </c>
      <c r="H1432" s="950" t="s">
        <v>636</v>
      </c>
      <c r="I1432" s="951" t="s">
        <v>10990</v>
      </c>
      <c r="J1432" s="947" t="s">
        <v>10991</v>
      </c>
      <c r="K1432" s="143"/>
    </row>
    <row r="1433" spans="1:11">
      <c r="A1433" s="946" t="s">
        <v>28612</v>
      </c>
      <c r="B1433" s="947" t="s">
        <v>11152</v>
      </c>
      <c r="C1433" s="948" t="s">
        <v>11150</v>
      </c>
      <c r="D1433" s="242" t="s">
        <v>28721</v>
      </c>
      <c r="E1433" s="949">
        <v>312</v>
      </c>
      <c r="F1433" s="949">
        <v>312</v>
      </c>
      <c r="G1433" s="950" t="s">
        <v>21586</v>
      </c>
      <c r="H1433" s="950" t="s">
        <v>636</v>
      </c>
      <c r="I1433" s="951" t="s">
        <v>11151</v>
      </c>
      <c r="J1433" s="947" t="s">
        <v>11152</v>
      </c>
      <c r="K1433" s="143"/>
    </row>
    <row r="1434" spans="1:11">
      <c r="A1434" s="946" t="s">
        <v>28612</v>
      </c>
      <c r="B1434" s="947" t="s">
        <v>11234</v>
      </c>
      <c r="C1434" s="948" t="s">
        <v>11232</v>
      </c>
      <c r="D1434" s="242" t="s">
        <v>28721</v>
      </c>
      <c r="E1434" s="949">
        <v>312</v>
      </c>
      <c r="F1434" s="949">
        <v>312</v>
      </c>
      <c r="G1434" s="950" t="s">
        <v>21586</v>
      </c>
      <c r="H1434" s="950" t="s">
        <v>636</v>
      </c>
      <c r="I1434" s="951" t="s">
        <v>11233</v>
      </c>
      <c r="J1434" s="947" t="s">
        <v>11234</v>
      </c>
      <c r="K1434" s="143"/>
    </row>
    <row r="1435" spans="1:11">
      <c r="A1435" s="946" t="s">
        <v>28612</v>
      </c>
      <c r="B1435" s="947" t="s">
        <v>11326</v>
      </c>
      <c r="C1435" s="948" t="s">
        <v>11324</v>
      </c>
      <c r="D1435" s="242" t="s">
        <v>28721</v>
      </c>
      <c r="E1435" s="949">
        <v>312</v>
      </c>
      <c r="F1435" s="949">
        <v>312</v>
      </c>
      <c r="G1435" s="950" t="s">
        <v>21586</v>
      </c>
      <c r="H1435" s="950" t="s">
        <v>636</v>
      </c>
      <c r="I1435" s="951" t="s">
        <v>11325</v>
      </c>
      <c r="J1435" s="947" t="s">
        <v>11326</v>
      </c>
      <c r="K1435" s="143"/>
    </row>
    <row r="1436" spans="1:11">
      <c r="A1436" s="946" t="s">
        <v>28612</v>
      </c>
      <c r="B1436" s="947" t="s">
        <v>11342</v>
      </c>
      <c r="C1436" s="948" t="s">
        <v>11340</v>
      </c>
      <c r="D1436" s="242" t="s">
        <v>28721</v>
      </c>
      <c r="E1436" s="949">
        <v>312</v>
      </c>
      <c r="F1436" s="949">
        <v>312</v>
      </c>
      <c r="G1436" s="950" t="s">
        <v>21586</v>
      </c>
      <c r="H1436" s="950" t="s">
        <v>636</v>
      </c>
      <c r="I1436" s="951" t="s">
        <v>11341</v>
      </c>
      <c r="J1436" s="947" t="s">
        <v>11342</v>
      </c>
      <c r="K1436" s="143"/>
    </row>
    <row r="1437" spans="1:11">
      <c r="A1437" s="946" t="s">
        <v>28612</v>
      </c>
      <c r="B1437" s="947" t="s">
        <v>11616</v>
      </c>
      <c r="C1437" s="948" t="s">
        <v>11614</v>
      </c>
      <c r="D1437" s="242" t="s">
        <v>28721</v>
      </c>
      <c r="E1437" s="949">
        <v>312</v>
      </c>
      <c r="F1437" s="949">
        <v>312</v>
      </c>
      <c r="G1437" s="950" t="s">
        <v>21586</v>
      </c>
      <c r="H1437" s="950" t="s">
        <v>636</v>
      </c>
      <c r="I1437" s="951" t="s">
        <v>11615</v>
      </c>
      <c r="J1437" s="947" t="s">
        <v>11616</v>
      </c>
      <c r="K1437" s="143"/>
    </row>
    <row r="1438" spans="1:11">
      <c r="A1438" s="946" t="s">
        <v>28612</v>
      </c>
      <c r="B1438" s="947" t="s">
        <v>11663</v>
      </c>
      <c r="C1438" s="948" t="s">
        <v>11661</v>
      </c>
      <c r="D1438" s="242" t="s">
        <v>28721</v>
      </c>
      <c r="E1438" s="949">
        <v>312</v>
      </c>
      <c r="F1438" s="949">
        <v>312</v>
      </c>
      <c r="G1438" s="950" t="s">
        <v>21586</v>
      </c>
      <c r="H1438" s="950" t="s">
        <v>636</v>
      </c>
      <c r="I1438" s="951" t="s">
        <v>11662</v>
      </c>
      <c r="J1438" s="947" t="s">
        <v>11663</v>
      </c>
      <c r="K1438" s="143"/>
    </row>
    <row r="1439" spans="1:11">
      <c r="A1439" s="946" t="s">
        <v>28612</v>
      </c>
      <c r="B1439" s="947" t="s">
        <v>12544</v>
      </c>
      <c r="C1439" s="948" t="s">
        <v>12542</v>
      </c>
      <c r="D1439" s="242" t="s">
        <v>28721</v>
      </c>
      <c r="E1439" s="949">
        <v>312</v>
      </c>
      <c r="F1439" s="949">
        <v>312</v>
      </c>
      <c r="G1439" s="950" t="s">
        <v>21586</v>
      </c>
      <c r="H1439" s="950" t="s">
        <v>636</v>
      </c>
      <c r="I1439" s="951" t="s">
        <v>12543</v>
      </c>
      <c r="J1439" s="947" t="s">
        <v>12544</v>
      </c>
      <c r="K1439" s="143"/>
    </row>
    <row r="1440" spans="1:11">
      <c r="A1440" s="946" t="s">
        <v>28612</v>
      </c>
      <c r="B1440" s="947" t="s">
        <v>12867</v>
      </c>
      <c r="C1440" s="948" t="s">
        <v>12865</v>
      </c>
      <c r="D1440" s="242" t="s">
        <v>28721</v>
      </c>
      <c r="E1440" s="949">
        <v>312</v>
      </c>
      <c r="F1440" s="949">
        <v>312</v>
      </c>
      <c r="G1440" s="950" t="s">
        <v>21586</v>
      </c>
      <c r="H1440" s="950" t="s">
        <v>636</v>
      </c>
      <c r="I1440" s="951" t="s">
        <v>12866</v>
      </c>
      <c r="J1440" s="947" t="s">
        <v>12867</v>
      </c>
      <c r="K1440" s="143"/>
    </row>
    <row r="1441" spans="1:11">
      <c r="A1441" s="946" t="s">
        <v>28612</v>
      </c>
      <c r="B1441" s="947" t="s">
        <v>12887</v>
      </c>
      <c r="C1441" s="948" t="s">
        <v>12885</v>
      </c>
      <c r="D1441" s="242" t="s">
        <v>28721</v>
      </c>
      <c r="E1441" s="949">
        <v>312</v>
      </c>
      <c r="F1441" s="949">
        <v>312</v>
      </c>
      <c r="G1441" s="950" t="s">
        <v>21586</v>
      </c>
      <c r="H1441" s="950" t="s">
        <v>636</v>
      </c>
      <c r="I1441" s="951" t="s">
        <v>12886</v>
      </c>
      <c r="J1441" s="947" t="s">
        <v>12887</v>
      </c>
      <c r="K1441" s="143"/>
    </row>
    <row r="1442" spans="1:11">
      <c r="A1442" s="946" t="s">
        <v>28612</v>
      </c>
      <c r="B1442" s="947" t="s">
        <v>12956</v>
      </c>
      <c r="C1442" s="948" t="s">
        <v>12954</v>
      </c>
      <c r="D1442" s="242" t="s">
        <v>28721</v>
      </c>
      <c r="E1442" s="949">
        <v>312</v>
      </c>
      <c r="F1442" s="949">
        <v>312</v>
      </c>
      <c r="G1442" s="950" t="s">
        <v>21586</v>
      </c>
      <c r="H1442" s="950" t="s">
        <v>636</v>
      </c>
      <c r="I1442" s="951" t="s">
        <v>12955</v>
      </c>
      <c r="J1442" s="947" t="s">
        <v>12956</v>
      </c>
      <c r="K1442" s="143"/>
    </row>
    <row r="1443" spans="1:11">
      <c r="A1443" s="946" t="s">
        <v>28612</v>
      </c>
      <c r="B1443" s="947" t="s">
        <v>13532</v>
      </c>
      <c r="C1443" s="948" t="s">
        <v>13530</v>
      </c>
      <c r="D1443" s="242" t="s">
        <v>28721</v>
      </c>
      <c r="E1443" s="949">
        <v>312</v>
      </c>
      <c r="F1443" s="949">
        <v>312</v>
      </c>
      <c r="G1443" s="950" t="s">
        <v>21586</v>
      </c>
      <c r="H1443" s="950" t="s">
        <v>636</v>
      </c>
      <c r="I1443" s="951" t="s">
        <v>13531</v>
      </c>
      <c r="J1443" s="947" t="s">
        <v>13532</v>
      </c>
      <c r="K1443" s="143"/>
    </row>
    <row r="1444" spans="1:11">
      <c r="A1444" s="946" t="s">
        <v>28612</v>
      </c>
      <c r="B1444" s="947" t="s">
        <v>13572</v>
      </c>
      <c r="C1444" s="948" t="s">
        <v>13570</v>
      </c>
      <c r="D1444" s="242" t="s">
        <v>28721</v>
      </c>
      <c r="E1444" s="949">
        <v>312</v>
      </c>
      <c r="F1444" s="949">
        <v>312</v>
      </c>
      <c r="G1444" s="950" t="s">
        <v>21586</v>
      </c>
      <c r="H1444" s="950" t="s">
        <v>636</v>
      </c>
      <c r="I1444" s="951" t="s">
        <v>13571</v>
      </c>
      <c r="J1444" s="947" t="s">
        <v>13572</v>
      </c>
      <c r="K1444" s="143"/>
    </row>
    <row r="1445" spans="1:11">
      <c r="A1445" s="946" t="s">
        <v>28612</v>
      </c>
      <c r="B1445" s="947" t="s">
        <v>13715</v>
      </c>
      <c r="C1445" s="948" t="s">
        <v>13713</v>
      </c>
      <c r="D1445" s="242" t="s">
        <v>28721</v>
      </c>
      <c r="E1445" s="949">
        <v>312</v>
      </c>
      <c r="F1445" s="949">
        <v>312</v>
      </c>
      <c r="G1445" s="950" t="s">
        <v>21586</v>
      </c>
      <c r="H1445" s="950" t="s">
        <v>636</v>
      </c>
      <c r="I1445" s="951" t="s">
        <v>13714</v>
      </c>
      <c r="J1445" s="947" t="s">
        <v>13715</v>
      </c>
      <c r="K1445" s="143"/>
    </row>
    <row r="1446" spans="1:11">
      <c r="A1446" s="946" t="s">
        <v>28612</v>
      </c>
      <c r="B1446" s="947" t="s">
        <v>13718</v>
      </c>
      <c r="C1446" s="948" t="s">
        <v>13716</v>
      </c>
      <c r="D1446" s="242" t="s">
        <v>28721</v>
      </c>
      <c r="E1446" s="949">
        <v>312</v>
      </c>
      <c r="F1446" s="949">
        <v>312</v>
      </c>
      <c r="G1446" s="950" t="s">
        <v>21586</v>
      </c>
      <c r="H1446" s="950" t="s">
        <v>636</v>
      </c>
      <c r="I1446" s="951" t="s">
        <v>13717</v>
      </c>
      <c r="J1446" s="947" t="s">
        <v>13718</v>
      </c>
      <c r="K1446" s="143"/>
    </row>
    <row r="1447" spans="1:11">
      <c r="A1447" s="946" t="s">
        <v>28612</v>
      </c>
      <c r="B1447" s="947" t="s">
        <v>15553</v>
      </c>
      <c r="C1447" s="948" t="s">
        <v>15551</v>
      </c>
      <c r="D1447" s="242" t="s">
        <v>28721</v>
      </c>
      <c r="E1447" s="949">
        <v>312</v>
      </c>
      <c r="F1447" s="949">
        <v>312</v>
      </c>
      <c r="G1447" s="950" t="s">
        <v>21586</v>
      </c>
      <c r="H1447" s="950" t="s">
        <v>636</v>
      </c>
      <c r="I1447" s="951" t="s">
        <v>15552</v>
      </c>
      <c r="J1447" s="947" t="s">
        <v>15553</v>
      </c>
      <c r="K1447" s="143"/>
    </row>
    <row r="1448" spans="1:11">
      <c r="A1448" s="946" t="s">
        <v>28612</v>
      </c>
      <c r="B1448" s="947" t="s">
        <v>15577</v>
      </c>
      <c r="C1448" s="948" t="s">
        <v>15575</v>
      </c>
      <c r="D1448" s="242" t="s">
        <v>28721</v>
      </c>
      <c r="E1448" s="949">
        <v>312</v>
      </c>
      <c r="F1448" s="949">
        <v>312</v>
      </c>
      <c r="G1448" s="950" t="s">
        <v>21586</v>
      </c>
      <c r="H1448" s="950" t="s">
        <v>636</v>
      </c>
      <c r="I1448" s="951" t="s">
        <v>15576</v>
      </c>
      <c r="J1448" s="947" t="s">
        <v>15577</v>
      </c>
      <c r="K1448" s="143"/>
    </row>
    <row r="1449" spans="1:11">
      <c r="A1449" s="946" t="s">
        <v>28612</v>
      </c>
      <c r="B1449" s="947" t="s">
        <v>16071</v>
      </c>
      <c r="C1449" s="948" t="s">
        <v>16069</v>
      </c>
      <c r="D1449" s="242" t="s">
        <v>28721</v>
      </c>
      <c r="E1449" s="949">
        <v>312</v>
      </c>
      <c r="F1449" s="949">
        <v>312</v>
      </c>
      <c r="G1449" s="950" t="s">
        <v>21586</v>
      </c>
      <c r="H1449" s="950" t="s">
        <v>636</v>
      </c>
      <c r="I1449" s="951" t="s">
        <v>16070</v>
      </c>
      <c r="J1449" s="947" t="s">
        <v>16071</v>
      </c>
      <c r="K1449" s="143"/>
    </row>
    <row r="1450" spans="1:11">
      <c r="A1450" s="946" t="s">
        <v>28612</v>
      </c>
      <c r="B1450" s="947" t="s">
        <v>16074</v>
      </c>
      <c r="C1450" s="948" t="s">
        <v>16072</v>
      </c>
      <c r="D1450" s="242" t="s">
        <v>28721</v>
      </c>
      <c r="E1450" s="949">
        <v>312</v>
      </c>
      <c r="F1450" s="949">
        <v>312</v>
      </c>
      <c r="G1450" s="950" t="s">
        <v>21586</v>
      </c>
      <c r="H1450" s="950" t="s">
        <v>636</v>
      </c>
      <c r="I1450" s="951" t="s">
        <v>16073</v>
      </c>
      <c r="J1450" s="947" t="s">
        <v>16074</v>
      </c>
      <c r="K1450" s="143"/>
    </row>
    <row r="1451" spans="1:11">
      <c r="A1451" s="946" t="s">
        <v>28612</v>
      </c>
      <c r="B1451" s="947" t="s">
        <v>17294</v>
      </c>
      <c r="C1451" s="948" t="s">
        <v>17292</v>
      </c>
      <c r="D1451" s="242" t="s">
        <v>28721</v>
      </c>
      <c r="E1451" s="949">
        <v>312</v>
      </c>
      <c r="F1451" s="949">
        <v>312</v>
      </c>
      <c r="G1451" s="950" t="s">
        <v>21586</v>
      </c>
      <c r="H1451" s="950" t="s">
        <v>636</v>
      </c>
      <c r="I1451" s="951" t="s">
        <v>17293</v>
      </c>
      <c r="J1451" s="947" t="s">
        <v>17294</v>
      </c>
      <c r="K1451" s="143"/>
    </row>
    <row r="1452" spans="1:11">
      <c r="A1452" s="946" t="s">
        <v>28612</v>
      </c>
      <c r="B1452" s="947" t="s">
        <v>17327</v>
      </c>
      <c r="C1452" s="948" t="s">
        <v>17325</v>
      </c>
      <c r="D1452" s="242" t="s">
        <v>28721</v>
      </c>
      <c r="E1452" s="949">
        <v>312</v>
      </c>
      <c r="F1452" s="949">
        <v>312</v>
      </c>
      <c r="G1452" s="950" t="s">
        <v>21586</v>
      </c>
      <c r="H1452" s="950" t="s">
        <v>636</v>
      </c>
      <c r="I1452" s="951" t="s">
        <v>17326</v>
      </c>
      <c r="J1452" s="947" t="s">
        <v>17327</v>
      </c>
      <c r="K1452" s="143"/>
    </row>
    <row r="1453" spans="1:11">
      <c r="A1453" s="946" t="s">
        <v>28612</v>
      </c>
      <c r="B1453" s="947" t="s">
        <v>18885</v>
      </c>
      <c r="C1453" s="948" t="s">
        <v>18883</v>
      </c>
      <c r="D1453" s="242" t="s">
        <v>28721</v>
      </c>
      <c r="E1453" s="949">
        <v>312</v>
      </c>
      <c r="F1453" s="949">
        <v>312</v>
      </c>
      <c r="G1453" s="950" t="s">
        <v>21586</v>
      </c>
      <c r="H1453" s="950" t="s">
        <v>636</v>
      </c>
      <c r="I1453" s="951" t="s">
        <v>18884</v>
      </c>
      <c r="J1453" s="947" t="s">
        <v>18885</v>
      </c>
      <c r="K1453" s="143"/>
    </row>
    <row r="1454" spans="1:11">
      <c r="A1454" s="946" t="s">
        <v>28612</v>
      </c>
      <c r="B1454" s="947" t="s">
        <v>19420</v>
      </c>
      <c r="C1454" s="948" t="s">
        <v>19418</v>
      </c>
      <c r="D1454" s="242" t="s">
        <v>28721</v>
      </c>
      <c r="E1454" s="949">
        <v>312</v>
      </c>
      <c r="F1454" s="949">
        <v>312</v>
      </c>
      <c r="G1454" s="950" t="s">
        <v>21586</v>
      </c>
      <c r="H1454" s="950" t="s">
        <v>636</v>
      </c>
      <c r="I1454" s="951" t="s">
        <v>19419</v>
      </c>
      <c r="J1454" s="947" t="s">
        <v>19420</v>
      </c>
      <c r="K1454" s="143"/>
    </row>
    <row r="1455" spans="1:11">
      <c r="A1455" s="946" t="s">
        <v>28612</v>
      </c>
      <c r="B1455" s="947" t="s">
        <v>19638</v>
      </c>
      <c r="C1455" s="948" t="s">
        <v>19636</v>
      </c>
      <c r="D1455" s="242" t="s">
        <v>28721</v>
      </c>
      <c r="E1455" s="949">
        <v>312</v>
      </c>
      <c r="F1455" s="949">
        <v>312</v>
      </c>
      <c r="G1455" s="950" t="s">
        <v>21586</v>
      </c>
      <c r="H1455" s="950" t="s">
        <v>636</v>
      </c>
      <c r="I1455" s="951" t="s">
        <v>19637</v>
      </c>
      <c r="J1455" s="947" t="s">
        <v>19638</v>
      </c>
      <c r="K1455" s="143"/>
    </row>
    <row r="1456" spans="1:11">
      <c r="A1456" s="946" t="s">
        <v>28612</v>
      </c>
      <c r="B1456" s="947" t="s">
        <v>19641</v>
      </c>
      <c r="C1456" s="948" t="s">
        <v>19639</v>
      </c>
      <c r="D1456" s="242" t="s">
        <v>28721</v>
      </c>
      <c r="E1456" s="949">
        <v>312</v>
      </c>
      <c r="F1456" s="949">
        <v>312</v>
      </c>
      <c r="G1456" s="950" t="s">
        <v>21586</v>
      </c>
      <c r="H1456" s="950" t="s">
        <v>636</v>
      </c>
      <c r="I1456" s="951" t="s">
        <v>19640</v>
      </c>
      <c r="J1456" s="947" t="s">
        <v>19641</v>
      </c>
      <c r="K1456" s="143"/>
    </row>
    <row r="1457" spans="1:11">
      <c r="A1457" s="946" t="s">
        <v>28612</v>
      </c>
      <c r="B1457" s="947" t="s">
        <v>19687</v>
      </c>
      <c r="C1457" s="948" t="s">
        <v>19685</v>
      </c>
      <c r="D1457" s="242" t="s">
        <v>28721</v>
      </c>
      <c r="E1457" s="949">
        <v>312</v>
      </c>
      <c r="F1457" s="949">
        <v>312</v>
      </c>
      <c r="G1457" s="950" t="s">
        <v>21586</v>
      </c>
      <c r="H1457" s="950" t="s">
        <v>636</v>
      </c>
      <c r="I1457" s="951" t="s">
        <v>19686</v>
      </c>
      <c r="J1457" s="947" t="s">
        <v>19687</v>
      </c>
      <c r="K1457" s="143"/>
    </row>
    <row r="1458" spans="1:11">
      <c r="A1458" s="946" t="s">
        <v>28612</v>
      </c>
      <c r="B1458" s="947" t="s">
        <v>20110</v>
      </c>
      <c r="C1458" s="948" t="s">
        <v>20108</v>
      </c>
      <c r="D1458" s="242" t="s">
        <v>28721</v>
      </c>
      <c r="E1458" s="949">
        <v>312</v>
      </c>
      <c r="F1458" s="949">
        <v>312</v>
      </c>
      <c r="G1458" s="950" t="s">
        <v>21586</v>
      </c>
      <c r="H1458" s="950" t="s">
        <v>636</v>
      </c>
      <c r="I1458" s="951" t="s">
        <v>20109</v>
      </c>
      <c r="J1458" s="947" t="s">
        <v>20110</v>
      </c>
      <c r="K1458" s="143"/>
    </row>
    <row r="1459" spans="1:11">
      <c r="A1459" s="946" t="s">
        <v>28612</v>
      </c>
      <c r="B1459" s="947" t="s">
        <v>20177</v>
      </c>
      <c r="C1459" s="948" t="s">
        <v>20175</v>
      </c>
      <c r="D1459" s="242" t="s">
        <v>28721</v>
      </c>
      <c r="E1459" s="949">
        <v>312</v>
      </c>
      <c r="F1459" s="949">
        <v>312</v>
      </c>
      <c r="G1459" s="950" t="s">
        <v>21586</v>
      </c>
      <c r="H1459" s="950" t="s">
        <v>636</v>
      </c>
      <c r="I1459" s="951" t="s">
        <v>20176</v>
      </c>
      <c r="J1459" s="947" t="s">
        <v>20177</v>
      </c>
      <c r="K1459" s="143"/>
    </row>
    <row r="1460" spans="1:11">
      <c r="A1460" s="946" t="s">
        <v>28612</v>
      </c>
      <c r="B1460" s="947" t="s">
        <v>20357</v>
      </c>
      <c r="C1460" s="948" t="s">
        <v>20355</v>
      </c>
      <c r="D1460" s="242" t="s">
        <v>28721</v>
      </c>
      <c r="E1460" s="949">
        <v>312</v>
      </c>
      <c r="F1460" s="949">
        <v>312</v>
      </c>
      <c r="G1460" s="950" t="s">
        <v>21586</v>
      </c>
      <c r="H1460" s="950" t="s">
        <v>636</v>
      </c>
      <c r="I1460" s="951" t="s">
        <v>20356</v>
      </c>
      <c r="J1460" s="947" t="s">
        <v>20357</v>
      </c>
      <c r="K1460" s="143"/>
    </row>
    <row r="1461" spans="1:11">
      <c r="A1461" s="946" t="s">
        <v>28612</v>
      </c>
      <c r="B1461" s="947" t="s">
        <v>20817</v>
      </c>
      <c r="C1461" s="948" t="s">
        <v>20815</v>
      </c>
      <c r="D1461" s="242" t="s">
        <v>28721</v>
      </c>
      <c r="E1461" s="949">
        <v>312</v>
      </c>
      <c r="F1461" s="949">
        <v>312</v>
      </c>
      <c r="G1461" s="950" t="s">
        <v>21586</v>
      </c>
      <c r="H1461" s="950" t="s">
        <v>636</v>
      </c>
      <c r="I1461" s="951" t="s">
        <v>20816</v>
      </c>
      <c r="J1461" s="947" t="s">
        <v>20817</v>
      </c>
      <c r="K1461" s="143"/>
    </row>
    <row r="1462" spans="1:11">
      <c r="A1462" s="946" t="s">
        <v>28612</v>
      </c>
      <c r="B1462" s="947" t="s">
        <v>20868</v>
      </c>
      <c r="C1462" s="948" t="s">
        <v>20866</v>
      </c>
      <c r="D1462" s="242" t="s">
        <v>28721</v>
      </c>
      <c r="E1462" s="949">
        <v>312</v>
      </c>
      <c r="F1462" s="949">
        <v>312</v>
      </c>
      <c r="G1462" s="950" t="s">
        <v>21586</v>
      </c>
      <c r="H1462" s="950" t="s">
        <v>636</v>
      </c>
      <c r="I1462" s="951" t="s">
        <v>20867</v>
      </c>
      <c r="J1462" s="947" t="s">
        <v>20868</v>
      </c>
      <c r="K1462" s="143"/>
    </row>
    <row r="1463" spans="1:11">
      <c r="A1463" s="946" t="s">
        <v>28612</v>
      </c>
      <c r="B1463" s="947" t="s">
        <v>21089</v>
      </c>
      <c r="C1463" s="948" t="s">
        <v>21087</v>
      </c>
      <c r="D1463" s="242" t="s">
        <v>28721</v>
      </c>
      <c r="E1463" s="949">
        <v>312</v>
      </c>
      <c r="F1463" s="949">
        <v>312</v>
      </c>
      <c r="G1463" s="950" t="s">
        <v>21586</v>
      </c>
      <c r="H1463" s="950" t="s">
        <v>636</v>
      </c>
      <c r="I1463" s="951" t="s">
        <v>21088</v>
      </c>
      <c r="J1463" s="947" t="s">
        <v>21089</v>
      </c>
      <c r="K1463" s="143"/>
    </row>
    <row r="1464" spans="1:11">
      <c r="A1464" s="946" t="s">
        <v>28612</v>
      </c>
      <c r="B1464" s="947" t="s">
        <v>21159</v>
      </c>
      <c r="C1464" s="948" t="s">
        <v>21157</v>
      </c>
      <c r="D1464" s="242" t="s">
        <v>28721</v>
      </c>
      <c r="E1464" s="949">
        <v>312</v>
      </c>
      <c r="F1464" s="949">
        <v>312</v>
      </c>
      <c r="G1464" s="950" t="s">
        <v>21586</v>
      </c>
      <c r="H1464" s="950" t="s">
        <v>636</v>
      </c>
      <c r="I1464" s="951" t="s">
        <v>21158</v>
      </c>
      <c r="J1464" s="947" t="s">
        <v>21159</v>
      </c>
      <c r="K1464" s="143"/>
    </row>
    <row r="1465" spans="1:11">
      <c r="A1465" s="946" t="s">
        <v>28612</v>
      </c>
      <c r="B1465" s="947" t="s">
        <v>21369</v>
      </c>
      <c r="C1465" s="948" t="s">
        <v>21367</v>
      </c>
      <c r="D1465" s="242" t="s">
        <v>28721</v>
      </c>
      <c r="E1465" s="949">
        <v>312</v>
      </c>
      <c r="F1465" s="949">
        <v>312</v>
      </c>
      <c r="G1465" s="950" t="s">
        <v>21586</v>
      </c>
      <c r="H1465" s="950" t="s">
        <v>636</v>
      </c>
      <c r="I1465" s="951" t="s">
        <v>21368</v>
      </c>
      <c r="J1465" s="947" t="s">
        <v>21369</v>
      </c>
      <c r="K1465" s="143"/>
    </row>
    <row r="1466" spans="1:11">
      <c r="A1466" s="946" t="s">
        <v>28612</v>
      </c>
      <c r="B1466" s="947" t="s">
        <v>21566</v>
      </c>
      <c r="C1466" s="948" t="s">
        <v>21564</v>
      </c>
      <c r="D1466" s="242" t="s">
        <v>28721</v>
      </c>
      <c r="E1466" s="949">
        <v>312</v>
      </c>
      <c r="F1466" s="949">
        <v>312</v>
      </c>
      <c r="G1466" s="950" t="s">
        <v>21586</v>
      </c>
      <c r="H1466" s="950" t="s">
        <v>636</v>
      </c>
      <c r="I1466" s="951" t="s">
        <v>21565</v>
      </c>
      <c r="J1466" s="947" t="s">
        <v>21566</v>
      </c>
      <c r="K1466" s="143"/>
    </row>
    <row r="1467" spans="1:11">
      <c r="A1467" s="946" t="s">
        <v>28612</v>
      </c>
      <c r="B1467" s="947" t="s">
        <v>21586</v>
      </c>
      <c r="C1467" s="948" t="s">
        <v>21584</v>
      </c>
      <c r="D1467" s="242" t="s">
        <v>28721</v>
      </c>
      <c r="E1467" s="949">
        <v>312</v>
      </c>
      <c r="F1467" s="949">
        <v>312</v>
      </c>
      <c r="G1467" s="950" t="s">
        <v>21586</v>
      </c>
      <c r="H1467" s="950" t="s">
        <v>636</v>
      </c>
      <c r="I1467" s="951" t="s">
        <v>21585</v>
      </c>
      <c r="J1467" s="947" t="s">
        <v>21586</v>
      </c>
      <c r="K1467" s="143"/>
    </row>
    <row r="1468" spans="1:11">
      <c r="A1468" s="946" t="s">
        <v>28612</v>
      </c>
      <c r="B1468" s="947" t="s">
        <v>21632</v>
      </c>
      <c r="C1468" s="948" t="s">
        <v>21630</v>
      </c>
      <c r="D1468" s="242" t="s">
        <v>28721</v>
      </c>
      <c r="E1468" s="949">
        <v>312</v>
      </c>
      <c r="F1468" s="949">
        <v>312</v>
      </c>
      <c r="G1468" s="950" t="s">
        <v>21586</v>
      </c>
      <c r="H1468" s="950" t="s">
        <v>636</v>
      </c>
      <c r="I1468" s="951" t="s">
        <v>21631</v>
      </c>
      <c r="J1468" s="947" t="s">
        <v>21632</v>
      </c>
      <c r="K1468" s="143"/>
    </row>
    <row r="1469" spans="1:11">
      <c r="A1469" s="946" t="s">
        <v>28612</v>
      </c>
      <c r="B1469" s="947" t="s">
        <v>21692</v>
      </c>
      <c r="C1469" s="948" t="s">
        <v>21690</v>
      </c>
      <c r="D1469" s="242" t="s">
        <v>28721</v>
      </c>
      <c r="E1469" s="949">
        <v>312</v>
      </c>
      <c r="F1469" s="949">
        <v>312</v>
      </c>
      <c r="G1469" s="950" t="s">
        <v>21586</v>
      </c>
      <c r="H1469" s="950" t="s">
        <v>636</v>
      </c>
      <c r="I1469" s="951" t="s">
        <v>21691</v>
      </c>
      <c r="J1469" s="947" t="s">
        <v>21692</v>
      </c>
      <c r="K1469" s="143"/>
    </row>
    <row r="1470" spans="1:11">
      <c r="A1470" s="946" t="s">
        <v>28612</v>
      </c>
      <c r="B1470" s="947" t="s">
        <v>21695</v>
      </c>
      <c r="C1470" s="948" t="s">
        <v>21693</v>
      </c>
      <c r="D1470" s="242" t="s">
        <v>28721</v>
      </c>
      <c r="E1470" s="949">
        <v>312</v>
      </c>
      <c r="F1470" s="949">
        <v>312</v>
      </c>
      <c r="G1470" s="950" t="s">
        <v>21586</v>
      </c>
      <c r="H1470" s="950" t="s">
        <v>636</v>
      </c>
      <c r="I1470" s="951" t="s">
        <v>21694</v>
      </c>
      <c r="J1470" s="947" t="s">
        <v>21695</v>
      </c>
      <c r="K1470" s="143"/>
    </row>
    <row r="1471" spans="1:11">
      <c r="A1471" s="946" t="s">
        <v>28612</v>
      </c>
      <c r="B1471" s="947" t="s">
        <v>21760</v>
      </c>
      <c r="C1471" s="948" t="s">
        <v>21758</v>
      </c>
      <c r="D1471" s="242" t="s">
        <v>28721</v>
      </c>
      <c r="E1471" s="949">
        <v>312</v>
      </c>
      <c r="F1471" s="949">
        <v>312</v>
      </c>
      <c r="G1471" s="950" t="s">
        <v>21586</v>
      </c>
      <c r="H1471" s="950" t="s">
        <v>636</v>
      </c>
      <c r="I1471" s="951" t="s">
        <v>21759</v>
      </c>
      <c r="J1471" s="947" t="s">
        <v>21760</v>
      </c>
      <c r="K1471" s="143"/>
    </row>
    <row r="1472" spans="1:11">
      <c r="A1472" s="946" t="s">
        <v>28612</v>
      </c>
      <c r="B1472" s="947" t="s">
        <v>21990</v>
      </c>
      <c r="C1472" s="948" t="s">
        <v>21988</v>
      </c>
      <c r="D1472" s="242" t="s">
        <v>28721</v>
      </c>
      <c r="E1472" s="949">
        <v>312</v>
      </c>
      <c r="F1472" s="949">
        <v>312</v>
      </c>
      <c r="G1472" s="950" t="s">
        <v>21586</v>
      </c>
      <c r="H1472" s="950" t="s">
        <v>636</v>
      </c>
      <c r="I1472" s="951" t="s">
        <v>21989</v>
      </c>
      <c r="J1472" s="947" t="s">
        <v>21990</v>
      </c>
      <c r="K1472" s="143"/>
    </row>
    <row r="1473" spans="1:11">
      <c r="A1473" s="946" t="s">
        <v>28612</v>
      </c>
      <c r="B1473" s="947" t="s">
        <v>22466</v>
      </c>
      <c r="C1473" s="948" t="s">
        <v>22464</v>
      </c>
      <c r="D1473" s="242" t="s">
        <v>28721</v>
      </c>
      <c r="E1473" s="949">
        <v>312</v>
      </c>
      <c r="F1473" s="949">
        <v>312</v>
      </c>
      <c r="G1473" s="950" t="s">
        <v>21586</v>
      </c>
      <c r="H1473" s="950" t="s">
        <v>636</v>
      </c>
      <c r="I1473" s="951" t="s">
        <v>22465</v>
      </c>
      <c r="J1473" s="947" t="s">
        <v>22466</v>
      </c>
      <c r="K1473" s="143"/>
    </row>
    <row r="1474" spans="1:11">
      <c r="A1474" s="946" t="s">
        <v>28612</v>
      </c>
      <c r="B1474" s="947" t="s">
        <v>18347</v>
      </c>
      <c r="C1474" s="948" t="s">
        <v>18345</v>
      </c>
      <c r="D1474" s="242" t="s">
        <v>28721</v>
      </c>
      <c r="E1474" s="949">
        <v>312</v>
      </c>
      <c r="F1474" s="949">
        <v>312</v>
      </c>
      <c r="G1474" s="950" t="s">
        <v>21586</v>
      </c>
      <c r="H1474" s="950" t="s">
        <v>636</v>
      </c>
      <c r="I1474" s="951" t="s">
        <v>18346</v>
      </c>
      <c r="J1474" s="947" t="s">
        <v>18347</v>
      </c>
      <c r="K1474" s="143"/>
    </row>
    <row r="1475" spans="1:11">
      <c r="A1475" s="946" t="s">
        <v>28612</v>
      </c>
      <c r="B1475" s="947" t="s">
        <v>24937</v>
      </c>
      <c r="C1475" s="948" t="s">
        <v>26165</v>
      </c>
      <c r="D1475" s="242" t="s">
        <v>28721</v>
      </c>
      <c r="E1475" s="949">
        <v>312</v>
      </c>
      <c r="F1475" s="949">
        <v>312</v>
      </c>
      <c r="G1475" s="950" t="s">
        <v>21586</v>
      </c>
      <c r="H1475" s="950" t="s">
        <v>636</v>
      </c>
      <c r="I1475" s="951" t="s">
        <v>24938</v>
      </c>
      <c r="J1475" s="947" t="s">
        <v>24937</v>
      </c>
      <c r="K1475" s="143"/>
    </row>
    <row r="1476" spans="1:11">
      <c r="A1476" s="946" t="s">
        <v>28612</v>
      </c>
      <c r="B1476" s="947" t="s">
        <v>28634</v>
      </c>
      <c r="C1476" s="948" t="s">
        <v>28756</v>
      </c>
      <c r="D1476" s="242" t="s">
        <v>28721</v>
      </c>
      <c r="E1476" s="949">
        <v>312</v>
      </c>
      <c r="F1476" s="949">
        <v>312</v>
      </c>
      <c r="G1476" s="950" t="s">
        <v>21586</v>
      </c>
      <c r="H1476" s="950" t="s">
        <v>636</v>
      </c>
      <c r="I1476" s="951" t="s">
        <v>28677</v>
      </c>
      <c r="J1476" s="947" t="s">
        <v>28634</v>
      </c>
      <c r="K1476" s="143"/>
    </row>
    <row r="1477" spans="1:11">
      <c r="A1477" s="946" t="s">
        <v>28612</v>
      </c>
      <c r="B1477" s="947" t="s">
        <v>31104</v>
      </c>
      <c r="C1477" s="948" t="s">
        <v>31105</v>
      </c>
      <c r="D1477" s="242" t="s">
        <v>28721</v>
      </c>
      <c r="E1477" s="949">
        <v>312</v>
      </c>
      <c r="F1477" s="949">
        <v>312</v>
      </c>
      <c r="G1477" s="950" t="s">
        <v>21586</v>
      </c>
      <c r="H1477" s="950" t="s">
        <v>636</v>
      </c>
      <c r="I1477" s="951" t="s">
        <v>31106</v>
      </c>
      <c r="J1477" s="947" t="s">
        <v>31104</v>
      </c>
      <c r="K1477" s="143"/>
    </row>
    <row r="1478" spans="1:11">
      <c r="A1478" s="946" t="s">
        <v>28612</v>
      </c>
      <c r="B1478" s="947" t="s">
        <v>795</v>
      </c>
      <c r="C1478" s="948" t="s">
        <v>792</v>
      </c>
      <c r="D1478" s="242" t="s">
        <v>439</v>
      </c>
      <c r="E1478" s="949">
        <v>304</v>
      </c>
      <c r="F1478" s="949">
        <v>304</v>
      </c>
      <c r="G1478" s="950" t="s">
        <v>6911</v>
      </c>
      <c r="H1478" s="950" t="s">
        <v>793</v>
      </c>
      <c r="I1478" s="951" t="s">
        <v>794</v>
      </c>
      <c r="J1478" s="947" t="s">
        <v>795</v>
      </c>
      <c r="K1478" s="143"/>
    </row>
    <row r="1479" spans="1:11">
      <c r="A1479" s="946" t="s">
        <v>28612</v>
      </c>
      <c r="B1479" s="947" t="s">
        <v>810</v>
      </c>
      <c r="C1479" s="948" t="s">
        <v>808</v>
      </c>
      <c r="D1479" s="242" t="s">
        <v>439</v>
      </c>
      <c r="E1479" s="949">
        <v>304</v>
      </c>
      <c r="F1479" s="949">
        <v>304</v>
      </c>
      <c r="G1479" s="950" t="s">
        <v>6911</v>
      </c>
      <c r="H1479" s="950" t="s">
        <v>793</v>
      </c>
      <c r="I1479" s="951" t="s">
        <v>809</v>
      </c>
      <c r="J1479" s="947" t="s">
        <v>810</v>
      </c>
      <c r="K1479" s="143"/>
    </row>
    <row r="1480" spans="1:11">
      <c r="A1480" s="946" t="s">
        <v>28612</v>
      </c>
      <c r="B1480" s="947" t="s">
        <v>841</v>
      </c>
      <c r="C1480" s="948" t="s">
        <v>839</v>
      </c>
      <c r="D1480" s="242" t="s">
        <v>439</v>
      </c>
      <c r="E1480" s="949">
        <v>304</v>
      </c>
      <c r="F1480" s="949">
        <v>304</v>
      </c>
      <c r="G1480" s="950" t="s">
        <v>6911</v>
      </c>
      <c r="H1480" s="950" t="s">
        <v>793</v>
      </c>
      <c r="I1480" s="951" t="s">
        <v>840</v>
      </c>
      <c r="J1480" s="947" t="s">
        <v>841</v>
      </c>
      <c r="K1480" s="143"/>
    </row>
    <row r="1481" spans="1:11">
      <c r="A1481" s="946" t="s">
        <v>28612</v>
      </c>
      <c r="B1481" s="947" t="s">
        <v>986</v>
      </c>
      <c r="C1481" s="948" t="s">
        <v>984</v>
      </c>
      <c r="D1481" s="242" t="s">
        <v>439</v>
      </c>
      <c r="E1481" s="949">
        <v>304</v>
      </c>
      <c r="F1481" s="949">
        <v>304</v>
      </c>
      <c r="G1481" s="950" t="s">
        <v>6911</v>
      </c>
      <c r="H1481" s="950" t="s">
        <v>793</v>
      </c>
      <c r="I1481" s="951" t="s">
        <v>985</v>
      </c>
      <c r="J1481" s="947" t="s">
        <v>986</v>
      </c>
      <c r="K1481" s="143"/>
    </row>
    <row r="1482" spans="1:11">
      <c r="A1482" s="946" t="s">
        <v>28612</v>
      </c>
      <c r="B1482" s="947" t="s">
        <v>1055</v>
      </c>
      <c r="C1482" s="948" t="s">
        <v>1053</v>
      </c>
      <c r="D1482" s="242" t="s">
        <v>439</v>
      </c>
      <c r="E1482" s="949">
        <v>304</v>
      </c>
      <c r="F1482" s="949">
        <v>304</v>
      </c>
      <c r="G1482" s="950" t="s">
        <v>6911</v>
      </c>
      <c r="H1482" s="950" t="s">
        <v>793</v>
      </c>
      <c r="I1482" s="951" t="s">
        <v>1054</v>
      </c>
      <c r="J1482" s="947" t="s">
        <v>1055</v>
      </c>
      <c r="K1482" s="143"/>
    </row>
    <row r="1483" spans="1:11">
      <c r="A1483" s="946" t="s">
        <v>28612</v>
      </c>
      <c r="B1483" s="947" t="s">
        <v>1220</v>
      </c>
      <c r="C1483" s="948" t="s">
        <v>1218</v>
      </c>
      <c r="D1483" s="242" t="s">
        <v>439</v>
      </c>
      <c r="E1483" s="949">
        <v>304</v>
      </c>
      <c r="F1483" s="949">
        <v>304</v>
      </c>
      <c r="G1483" s="950" t="s">
        <v>6911</v>
      </c>
      <c r="H1483" s="950" t="s">
        <v>793</v>
      </c>
      <c r="I1483" s="951" t="s">
        <v>1219</v>
      </c>
      <c r="J1483" s="947" t="s">
        <v>1220</v>
      </c>
      <c r="K1483" s="143"/>
    </row>
    <row r="1484" spans="1:11">
      <c r="A1484" s="946" t="s">
        <v>28612</v>
      </c>
      <c r="B1484" s="947" t="s">
        <v>1253</v>
      </c>
      <c r="C1484" s="948" t="s">
        <v>1251</v>
      </c>
      <c r="D1484" s="242" t="s">
        <v>439</v>
      </c>
      <c r="E1484" s="949">
        <v>304</v>
      </c>
      <c r="F1484" s="949">
        <v>304</v>
      </c>
      <c r="G1484" s="950" t="s">
        <v>6911</v>
      </c>
      <c r="H1484" s="950" t="s">
        <v>793</v>
      </c>
      <c r="I1484" s="951" t="s">
        <v>1252</v>
      </c>
      <c r="J1484" s="947" t="s">
        <v>1253</v>
      </c>
      <c r="K1484" s="143"/>
    </row>
    <row r="1485" spans="1:11">
      <c r="A1485" s="946" t="s">
        <v>28612</v>
      </c>
      <c r="B1485" s="947" t="s">
        <v>1385</v>
      </c>
      <c r="C1485" s="948" t="s">
        <v>1383</v>
      </c>
      <c r="D1485" s="242" t="s">
        <v>439</v>
      </c>
      <c r="E1485" s="949">
        <v>304</v>
      </c>
      <c r="F1485" s="949">
        <v>304</v>
      </c>
      <c r="G1485" s="950" t="s">
        <v>6911</v>
      </c>
      <c r="H1485" s="950" t="s">
        <v>793</v>
      </c>
      <c r="I1485" s="951" t="s">
        <v>1384</v>
      </c>
      <c r="J1485" s="947" t="s">
        <v>1385</v>
      </c>
      <c r="K1485" s="143"/>
    </row>
    <row r="1486" spans="1:11">
      <c r="A1486" s="946" t="s">
        <v>28612</v>
      </c>
      <c r="B1486" s="947" t="s">
        <v>1464</v>
      </c>
      <c r="C1486" s="948" t="s">
        <v>1462</v>
      </c>
      <c r="D1486" s="242" t="s">
        <v>439</v>
      </c>
      <c r="E1486" s="949">
        <v>304</v>
      </c>
      <c r="F1486" s="949">
        <v>304</v>
      </c>
      <c r="G1486" s="950" t="s">
        <v>6911</v>
      </c>
      <c r="H1486" s="950" t="s">
        <v>793</v>
      </c>
      <c r="I1486" s="951" t="s">
        <v>1463</v>
      </c>
      <c r="J1486" s="947" t="s">
        <v>1464</v>
      </c>
      <c r="K1486" s="143"/>
    </row>
    <row r="1487" spans="1:11">
      <c r="A1487" s="946" t="s">
        <v>28612</v>
      </c>
      <c r="B1487" s="947" t="s">
        <v>1577</v>
      </c>
      <c r="C1487" s="948" t="s">
        <v>1575</v>
      </c>
      <c r="D1487" s="242" t="s">
        <v>439</v>
      </c>
      <c r="E1487" s="949">
        <v>304</v>
      </c>
      <c r="F1487" s="949">
        <v>304</v>
      </c>
      <c r="G1487" s="950" t="s">
        <v>6911</v>
      </c>
      <c r="H1487" s="950" t="s">
        <v>793</v>
      </c>
      <c r="I1487" s="951" t="s">
        <v>1576</v>
      </c>
      <c r="J1487" s="947" t="s">
        <v>1577</v>
      </c>
      <c r="K1487" s="143"/>
    </row>
    <row r="1488" spans="1:11">
      <c r="A1488" s="946" t="s">
        <v>28612</v>
      </c>
      <c r="B1488" s="947" t="s">
        <v>2013</v>
      </c>
      <c r="C1488" s="948" t="s">
        <v>2011</v>
      </c>
      <c r="D1488" s="242" t="s">
        <v>439</v>
      </c>
      <c r="E1488" s="949">
        <v>304</v>
      </c>
      <c r="F1488" s="949">
        <v>304</v>
      </c>
      <c r="G1488" s="950" t="s">
        <v>6911</v>
      </c>
      <c r="H1488" s="950" t="s">
        <v>793</v>
      </c>
      <c r="I1488" s="951" t="s">
        <v>2012</v>
      </c>
      <c r="J1488" s="947" t="s">
        <v>2013</v>
      </c>
      <c r="K1488" s="143"/>
    </row>
    <row r="1489" spans="1:11">
      <c r="A1489" s="946" t="s">
        <v>28612</v>
      </c>
      <c r="B1489" s="947" t="s">
        <v>2253</v>
      </c>
      <c r="C1489" s="948" t="s">
        <v>2251</v>
      </c>
      <c r="D1489" s="242" t="s">
        <v>439</v>
      </c>
      <c r="E1489" s="949">
        <v>304</v>
      </c>
      <c r="F1489" s="949">
        <v>304</v>
      </c>
      <c r="G1489" s="950" t="s">
        <v>6911</v>
      </c>
      <c r="H1489" s="950" t="s">
        <v>793</v>
      </c>
      <c r="I1489" s="951" t="s">
        <v>2252</v>
      </c>
      <c r="J1489" s="947" t="s">
        <v>2253</v>
      </c>
      <c r="K1489" s="143"/>
    </row>
    <row r="1490" spans="1:11">
      <c r="A1490" s="946" t="s">
        <v>28612</v>
      </c>
      <c r="B1490" s="947" t="s">
        <v>2286</v>
      </c>
      <c r="C1490" s="948" t="s">
        <v>2284</v>
      </c>
      <c r="D1490" s="242" t="s">
        <v>439</v>
      </c>
      <c r="E1490" s="949">
        <v>304</v>
      </c>
      <c r="F1490" s="949">
        <v>304</v>
      </c>
      <c r="G1490" s="950" t="s">
        <v>6911</v>
      </c>
      <c r="H1490" s="950" t="s">
        <v>793</v>
      </c>
      <c r="I1490" s="951" t="s">
        <v>2285</v>
      </c>
      <c r="J1490" s="947" t="s">
        <v>2286</v>
      </c>
      <c r="K1490" s="143"/>
    </row>
    <row r="1491" spans="1:11">
      <c r="A1491" s="946" t="s">
        <v>28612</v>
      </c>
      <c r="B1491" s="947" t="s">
        <v>2444</v>
      </c>
      <c r="C1491" s="948" t="s">
        <v>2442</v>
      </c>
      <c r="D1491" s="242" t="s">
        <v>439</v>
      </c>
      <c r="E1491" s="949">
        <v>304</v>
      </c>
      <c r="F1491" s="949">
        <v>304</v>
      </c>
      <c r="G1491" s="950" t="s">
        <v>6911</v>
      </c>
      <c r="H1491" s="950" t="s">
        <v>793</v>
      </c>
      <c r="I1491" s="951" t="s">
        <v>2443</v>
      </c>
      <c r="J1491" s="947" t="s">
        <v>2444</v>
      </c>
      <c r="K1491" s="143"/>
    </row>
    <row r="1492" spans="1:11">
      <c r="A1492" s="946" t="s">
        <v>28612</v>
      </c>
      <c r="B1492" s="947" t="s">
        <v>2504</v>
      </c>
      <c r="C1492" s="948" t="s">
        <v>2502</v>
      </c>
      <c r="D1492" s="242" t="s">
        <v>439</v>
      </c>
      <c r="E1492" s="949">
        <v>304</v>
      </c>
      <c r="F1492" s="949">
        <v>304</v>
      </c>
      <c r="G1492" s="950" t="s">
        <v>6911</v>
      </c>
      <c r="H1492" s="950" t="s">
        <v>793</v>
      </c>
      <c r="I1492" s="951" t="s">
        <v>2503</v>
      </c>
      <c r="J1492" s="947" t="s">
        <v>2504</v>
      </c>
      <c r="K1492" s="143"/>
    </row>
    <row r="1493" spans="1:11">
      <c r="A1493" s="946" t="s">
        <v>28612</v>
      </c>
      <c r="B1493" s="947" t="s">
        <v>2516</v>
      </c>
      <c r="C1493" s="948" t="s">
        <v>2514</v>
      </c>
      <c r="D1493" s="242" t="s">
        <v>439</v>
      </c>
      <c r="E1493" s="949">
        <v>304</v>
      </c>
      <c r="F1493" s="949">
        <v>304</v>
      </c>
      <c r="G1493" s="950" t="s">
        <v>6911</v>
      </c>
      <c r="H1493" s="950" t="s">
        <v>793</v>
      </c>
      <c r="I1493" s="951" t="s">
        <v>2515</v>
      </c>
      <c r="J1493" s="947" t="s">
        <v>2516</v>
      </c>
      <c r="K1493" s="143"/>
    </row>
    <row r="1494" spans="1:11">
      <c r="A1494" s="946" t="s">
        <v>28612</v>
      </c>
      <c r="B1494" s="947" t="s">
        <v>2519</v>
      </c>
      <c r="C1494" s="948" t="s">
        <v>2517</v>
      </c>
      <c r="D1494" s="242" t="s">
        <v>439</v>
      </c>
      <c r="E1494" s="949">
        <v>304</v>
      </c>
      <c r="F1494" s="949">
        <v>304</v>
      </c>
      <c r="G1494" s="950" t="s">
        <v>6911</v>
      </c>
      <c r="H1494" s="950" t="s">
        <v>793</v>
      </c>
      <c r="I1494" s="951" t="s">
        <v>2518</v>
      </c>
      <c r="J1494" s="947" t="s">
        <v>2519</v>
      </c>
      <c r="K1494" s="143"/>
    </row>
    <row r="1495" spans="1:11">
      <c r="A1495" s="946" t="s">
        <v>28612</v>
      </c>
      <c r="B1495" s="947" t="s">
        <v>2983</v>
      </c>
      <c r="C1495" s="948" t="s">
        <v>2981</v>
      </c>
      <c r="D1495" s="242" t="s">
        <v>439</v>
      </c>
      <c r="E1495" s="949">
        <v>304</v>
      </c>
      <c r="F1495" s="949">
        <v>304</v>
      </c>
      <c r="G1495" s="950" t="s">
        <v>6911</v>
      </c>
      <c r="H1495" s="950" t="s">
        <v>793</v>
      </c>
      <c r="I1495" s="951" t="s">
        <v>2982</v>
      </c>
      <c r="J1495" s="947" t="s">
        <v>2983</v>
      </c>
      <c r="K1495" s="143"/>
    </row>
    <row r="1496" spans="1:11">
      <c r="A1496" s="946" t="s">
        <v>28612</v>
      </c>
      <c r="B1496" s="947" t="s">
        <v>3001</v>
      </c>
      <c r="C1496" s="948" t="s">
        <v>2999</v>
      </c>
      <c r="D1496" s="242" t="s">
        <v>439</v>
      </c>
      <c r="E1496" s="949">
        <v>304</v>
      </c>
      <c r="F1496" s="949">
        <v>304</v>
      </c>
      <c r="G1496" s="950" t="s">
        <v>6911</v>
      </c>
      <c r="H1496" s="950" t="s">
        <v>793</v>
      </c>
      <c r="I1496" s="951" t="s">
        <v>3000</v>
      </c>
      <c r="J1496" s="947" t="s">
        <v>3001</v>
      </c>
      <c r="K1496" s="143"/>
    </row>
    <row r="1497" spans="1:11">
      <c r="A1497" s="946" t="s">
        <v>28612</v>
      </c>
      <c r="B1497" s="947" t="s">
        <v>3048</v>
      </c>
      <c r="C1497" s="948" t="s">
        <v>3046</v>
      </c>
      <c r="D1497" s="242" t="s">
        <v>439</v>
      </c>
      <c r="E1497" s="949">
        <v>304</v>
      </c>
      <c r="F1497" s="949">
        <v>304</v>
      </c>
      <c r="G1497" s="950" t="s">
        <v>6911</v>
      </c>
      <c r="H1497" s="950" t="s">
        <v>793</v>
      </c>
      <c r="I1497" s="951" t="s">
        <v>3047</v>
      </c>
      <c r="J1497" s="947" t="s">
        <v>3048</v>
      </c>
      <c r="K1497" s="143"/>
    </row>
    <row r="1498" spans="1:11">
      <c r="A1498" s="946" t="s">
        <v>28612</v>
      </c>
      <c r="B1498" s="947" t="s">
        <v>3148</v>
      </c>
      <c r="C1498" s="948" t="s">
        <v>3146</v>
      </c>
      <c r="D1498" s="242" t="s">
        <v>439</v>
      </c>
      <c r="E1498" s="949">
        <v>304</v>
      </c>
      <c r="F1498" s="949">
        <v>304</v>
      </c>
      <c r="G1498" s="950" t="s">
        <v>6911</v>
      </c>
      <c r="H1498" s="950" t="s">
        <v>793</v>
      </c>
      <c r="I1498" s="951" t="s">
        <v>3147</v>
      </c>
      <c r="J1498" s="947" t="s">
        <v>3148</v>
      </c>
      <c r="K1498" s="143"/>
    </row>
    <row r="1499" spans="1:11">
      <c r="A1499" s="946" t="s">
        <v>28612</v>
      </c>
      <c r="B1499" s="947" t="s">
        <v>3233</v>
      </c>
      <c r="C1499" s="948" t="s">
        <v>3231</v>
      </c>
      <c r="D1499" s="242" t="s">
        <v>439</v>
      </c>
      <c r="E1499" s="949">
        <v>304</v>
      </c>
      <c r="F1499" s="949">
        <v>304</v>
      </c>
      <c r="G1499" s="950" t="s">
        <v>6911</v>
      </c>
      <c r="H1499" s="950" t="s">
        <v>793</v>
      </c>
      <c r="I1499" s="951" t="s">
        <v>3232</v>
      </c>
      <c r="J1499" s="947" t="s">
        <v>3233</v>
      </c>
      <c r="K1499" s="143"/>
    </row>
    <row r="1500" spans="1:11">
      <c r="A1500" s="946" t="s">
        <v>28612</v>
      </c>
      <c r="B1500" s="947" t="s">
        <v>3336</v>
      </c>
      <c r="C1500" s="948" t="s">
        <v>3334</v>
      </c>
      <c r="D1500" s="242" t="s">
        <v>439</v>
      </c>
      <c r="E1500" s="949">
        <v>304</v>
      </c>
      <c r="F1500" s="949">
        <v>304</v>
      </c>
      <c r="G1500" s="950" t="s">
        <v>6911</v>
      </c>
      <c r="H1500" s="950" t="s">
        <v>793</v>
      </c>
      <c r="I1500" s="951" t="s">
        <v>3335</v>
      </c>
      <c r="J1500" s="947" t="s">
        <v>3336</v>
      </c>
      <c r="K1500" s="143"/>
    </row>
    <row r="1501" spans="1:11">
      <c r="A1501" s="946" t="s">
        <v>28612</v>
      </c>
      <c r="B1501" s="947" t="s">
        <v>3361</v>
      </c>
      <c r="C1501" s="948" t="s">
        <v>3359</v>
      </c>
      <c r="D1501" s="242" t="s">
        <v>439</v>
      </c>
      <c r="E1501" s="949">
        <v>304</v>
      </c>
      <c r="F1501" s="949">
        <v>304</v>
      </c>
      <c r="G1501" s="950" t="s">
        <v>6911</v>
      </c>
      <c r="H1501" s="950" t="s">
        <v>793</v>
      </c>
      <c r="I1501" s="951" t="s">
        <v>3360</v>
      </c>
      <c r="J1501" s="947" t="s">
        <v>3361</v>
      </c>
      <c r="K1501" s="143"/>
    </row>
    <row r="1502" spans="1:11">
      <c r="A1502" s="946" t="s">
        <v>28612</v>
      </c>
      <c r="B1502" s="947" t="s">
        <v>3378</v>
      </c>
      <c r="C1502" s="948" t="s">
        <v>3376</v>
      </c>
      <c r="D1502" s="242" t="s">
        <v>439</v>
      </c>
      <c r="E1502" s="949">
        <v>304</v>
      </c>
      <c r="F1502" s="949">
        <v>304</v>
      </c>
      <c r="G1502" s="950" t="s">
        <v>6911</v>
      </c>
      <c r="H1502" s="950" t="s">
        <v>793</v>
      </c>
      <c r="I1502" s="951" t="s">
        <v>3377</v>
      </c>
      <c r="J1502" s="947" t="s">
        <v>3378</v>
      </c>
      <c r="K1502" s="143"/>
    </row>
    <row r="1503" spans="1:11">
      <c r="A1503" s="946" t="s">
        <v>28612</v>
      </c>
      <c r="B1503" s="947" t="s">
        <v>3718</v>
      </c>
      <c r="C1503" s="948" t="s">
        <v>3716</v>
      </c>
      <c r="D1503" s="242" t="s">
        <v>30598</v>
      </c>
      <c r="E1503" s="949">
        <v>0</v>
      </c>
      <c r="F1503" s="949">
        <v>0</v>
      </c>
      <c r="G1503" s="950" t="s">
        <v>6911</v>
      </c>
      <c r="H1503" s="950" t="s">
        <v>793</v>
      </c>
      <c r="I1503" s="951" t="s">
        <v>3717</v>
      </c>
      <c r="J1503" s="947" t="s">
        <v>3718</v>
      </c>
      <c r="K1503" s="143"/>
    </row>
    <row r="1504" spans="1:11">
      <c r="A1504" s="946" t="s">
        <v>28612</v>
      </c>
      <c r="B1504" s="947" t="s">
        <v>4010</v>
      </c>
      <c r="C1504" s="948" t="s">
        <v>4008</v>
      </c>
      <c r="D1504" s="242" t="s">
        <v>439</v>
      </c>
      <c r="E1504" s="949">
        <v>304</v>
      </c>
      <c r="F1504" s="949">
        <v>304</v>
      </c>
      <c r="G1504" s="950" t="s">
        <v>6911</v>
      </c>
      <c r="H1504" s="950" t="s">
        <v>793</v>
      </c>
      <c r="I1504" s="951" t="s">
        <v>4009</v>
      </c>
      <c r="J1504" s="947" t="s">
        <v>4010</v>
      </c>
      <c r="K1504" s="143"/>
    </row>
    <row r="1505" spans="1:11">
      <c r="A1505" s="946" t="s">
        <v>28612</v>
      </c>
      <c r="B1505" s="947" t="s">
        <v>4016</v>
      </c>
      <c r="C1505" s="948" t="s">
        <v>4014</v>
      </c>
      <c r="D1505" s="242" t="s">
        <v>439</v>
      </c>
      <c r="E1505" s="949">
        <v>304</v>
      </c>
      <c r="F1505" s="949">
        <v>304</v>
      </c>
      <c r="G1505" s="950" t="s">
        <v>6911</v>
      </c>
      <c r="H1505" s="950" t="s">
        <v>793</v>
      </c>
      <c r="I1505" s="951" t="s">
        <v>4015</v>
      </c>
      <c r="J1505" s="947" t="s">
        <v>4016</v>
      </c>
      <c r="K1505" s="143"/>
    </row>
    <row r="1506" spans="1:11">
      <c r="A1506" s="946" t="s">
        <v>28612</v>
      </c>
      <c r="B1506" s="947" t="s">
        <v>4047</v>
      </c>
      <c r="C1506" s="948" t="s">
        <v>4045</v>
      </c>
      <c r="D1506" s="242" t="s">
        <v>439</v>
      </c>
      <c r="E1506" s="949">
        <v>304</v>
      </c>
      <c r="F1506" s="949">
        <v>304</v>
      </c>
      <c r="G1506" s="950" t="s">
        <v>6911</v>
      </c>
      <c r="H1506" s="950" t="s">
        <v>793</v>
      </c>
      <c r="I1506" s="951" t="s">
        <v>4046</v>
      </c>
      <c r="J1506" s="947" t="s">
        <v>4047</v>
      </c>
      <c r="K1506" s="143"/>
    </row>
    <row r="1507" spans="1:11">
      <c r="A1507" s="946" t="s">
        <v>28612</v>
      </c>
      <c r="B1507" s="947" t="s">
        <v>4223</v>
      </c>
      <c r="C1507" s="948" t="s">
        <v>4221</v>
      </c>
      <c r="D1507" s="242" t="s">
        <v>439</v>
      </c>
      <c r="E1507" s="949">
        <v>304</v>
      </c>
      <c r="F1507" s="949">
        <v>304</v>
      </c>
      <c r="G1507" s="950" t="s">
        <v>6911</v>
      </c>
      <c r="H1507" s="950" t="s">
        <v>793</v>
      </c>
      <c r="I1507" s="951" t="s">
        <v>4222</v>
      </c>
      <c r="J1507" s="947" t="s">
        <v>4223</v>
      </c>
      <c r="K1507" s="143"/>
    </row>
    <row r="1508" spans="1:11">
      <c r="A1508" s="946" t="s">
        <v>28612</v>
      </c>
      <c r="B1508" s="947" t="s">
        <v>4250</v>
      </c>
      <c r="C1508" s="948" t="s">
        <v>4248</v>
      </c>
      <c r="D1508" s="242" t="s">
        <v>439</v>
      </c>
      <c r="E1508" s="949">
        <v>304</v>
      </c>
      <c r="F1508" s="949">
        <v>304</v>
      </c>
      <c r="G1508" s="950" t="s">
        <v>6911</v>
      </c>
      <c r="H1508" s="950" t="s">
        <v>793</v>
      </c>
      <c r="I1508" s="951" t="s">
        <v>4249</v>
      </c>
      <c r="J1508" s="947" t="s">
        <v>4250</v>
      </c>
      <c r="K1508" s="143"/>
    </row>
    <row r="1509" spans="1:11">
      <c r="A1509" s="946" t="s">
        <v>28612</v>
      </c>
      <c r="B1509" s="947" t="s">
        <v>4319</v>
      </c>
      <c r="C1509" s="948" t="s">
        <v>4317</v>
      </c>
      <c r="D1509" s="242" t="s">
        <v>439</v>
      </c>
      <c r="E1509" s="949">
        <v>304</v>
      </c>
      <c r="F1509" s="949">
        <v>304</v>
      </c>
      <c r="G1509" s="950" t="s">
        <v>6911</v>
      </c>
      <c r="H1509" s="950" t="s">
        <v>793</v>
      </c>
      <c r="I1509" s="951" t="s">
        <v>4318</v>
      </c>
      <c r="J1509" s="947" t="s">
        <v>4319</v>
      </c>
      <c r="K1509" s="143"/>
    </row>
    <row r="1510" spans="1:11">
      <c r="A1510" s="946" t="s">
        <v>28612</v>
      </c>
      <c r="B1510" s="947" t="s">
        <v>4340</v>
      </c>
      <c r="C1510" s="948" t="s">
        <v>4338</v>
      </c>
      <c r="D1510" s="242" t="s">
        <v>439</v>
      </c>
      <c r="E1510" s="949">
        <v>304</v>
      </c>
      <c r="F1510" s="949">
        <v>304</v>
      </c>
      <c r="G1510" s="950" t="s">
        <v>6911</v>
      </c>
      <c r="H1510" s="950" t="s">
        <v>793</v>
      </c>
      <c r="I1510" s="951" t="s">
        <v>4339</v>
      </c>
      <c r="J1510" s="947" t="s">
        <v>4340</v>
      </c>
      <c r="K1510" s="143"/>
    </row>
    <row r="1511" spans="1:11">
      <c r="A1511" s="946" t="s">
        <v>28612</v>
      </c>
      <c r="B1511" s="947" t="s">
        <v>4483</v>
      </c>
      <c r="C1511" s="948" t="s">
        <v>4481</v>
      </c>
      <c r="D1511" s="242" t="s">
        <v>439</v>
      </c>
      <c r="E1511" s="949">
        <v>304</v>
      </c>
      <c r="F1511" s="949">
        <v>304</v>
      </c>
      <c r="G1511" s="950" t="s">
        <v>6911</v>
      </c>
      <c r="H1511" s="950" t="s">
        <v>793</v>
      </c>
      <c r="I1511" s="951" t="s">
        <v>4482</v>
      </c>
      <c r="J1511" s="947" t="s">
        <v>4483</v>
      </c>
      <c r="K1511" s="143"/>
    </row>
    <row r="1512" spans="1:11">
      <c r="A1512" s="946" t="s">
        <v>28612</v>
      </c>
      <c r="B1512" s="947" t="s">
        <v>4772</v>
      </c>
      <c r="C1512" s="948" t="s">
        <v>4770</v>
      </c>
      <c r="D1512" s="242" t="s">
        <v>439</v>
      </c>
      <c r="E1512" s="949">
        <v>304</v>
      </c>
      <c r="F1512" s="949">
        <v>304</v>
      </c>
      <c r="G1512" s="950" t="s">
        <v>6911</v>
      </c>
      <c r="H1512" s="950" t="s">
        <v>793</v>
      </c>
      <c r="I1512" s="951" t="s">
        <v>4771</v>
      </c>
      <c r="J1512" s="947" t="s">
        <v>4772</v>
      </c>
      <c r="K1512" s="143"/>
    </row>
    <row r="1513" spans="1:11">
      <c r="A1513" s="946" t="s">
        <v>28612</v>
      </c>
      <c r="B1513" s="947" t="s">
        <v>4775</v>
      </c>
      <c r="C1513" s="948" t="s">
        <v>4773</v>
      </c>
      <c r="D1513" s="242" t="s">
        <v>439</v>
      </c>
      <c r="E1513" s="949">
        <v>304</v>
      </c>
      <c r="F1513" s="949">
        <v>304</v>
      </c>
      <c r="G1513" s="950" t="s">
        <v>6911</v>
      </c>
      <c r="H1513" s="950" t="s">
        <v>793</v>
      </c>
      <c r="I1513" s="951" t="s">
        <v>4774</v>
      </c>
      <c r="J1513" s="947" t="s">
        <v>4775</v>
      </c>
      <c r="K1513" s="143"/>
    </row>
    <row r="1514" spans="1:11">
      <c r="A1514" s="946" t="s">
        <v>28612</v>
      </c>
      <c r="B1514" s="947" t="s">
        <v>4850</v>
      </c>
      <c r="C1514" s="948" t="s">
        <v>4848</v>
      </c>
      <c r="D1514" s="242" t="s">
        <v>439</v>
      </c>
      <c r="E1514" s="949">
        <v>304</v>
      </c>
      <c r="F1514" s="949">
        <v>304</v>
      </c>
      <c r="G1514" s="950" t="s">
        <v>6911</v>
      </c>
      <c r="H1514" s="950" t="s">
        <v>793</v>
      </c>
      <c r="I1514" s="951" t="s">
        <v>4849</v>
      </c>
      <c r="J1514" s="947" t="s">
        <v>4850</v>
      </c>
      <c r="K1514" s="143"/>
    </row>
    <row r="1515" spans="1:11">
      <c r="A1515" s="946" t="s">
        <v>28612</v>
      </c>
      <c r="B1515" s="947" t="s">
        <v>5296</v>
      </c>
      <c r="C1515" s="948" t="s">
        <v>5294</v>
      </c>
      <c r="D1515" s="242" t="s">
        <v>439</v>
      </c>
      <c r="E1515" s="949">
        <v>304</v>
      </c>
      <c r="F1515" s="949">
        <v>304</v>
      </c>
      <c r="G1515" s="950" t="s">
        <v>6911</v>
      </c>
      <c r="H1515" s="950" t="s">
        <v>793</v>
      </c>
      <c r="I1515" s="951" t="s">
        <v>5295</v>
      </c>
      <c r="J1515" s="947" t="s">
        <v>5296</v>
      </c>
      <c r="K1515" s="143"/>
    </row>
    <row r="1516" spans="1:11">
      <c r="A1516" s="946" t="s">
        <v>28612</v>
      </c>
      <c r="B1516" s="947" t="s">
        <v>5341</v>
      </c>
      <c r="C1516" s="948" t="s">
        <v>5339</v>
      </c>
      <c r="D1516" s="242" t="s">
        <v>439</v>
      </c>
      <c r="E1516" s="949">
        <v>304</v>
      </c>
      <c r="F1516" s="949">
        <v>304</v>
      </c>
      <c r="G1516" s="950" t="s">
        <v>6911</v>
      </c>
      <c r="H1516" s="950" t="s">
        <v>793</v>
      </c>
      <c r="I1516" s="951" t="s">
        <v>5340</v>
      </c>
      <c r="J1516" s="947" t="s">
        <v>5341</v>
      </c>
      <c r="K1516" s="143"/>
    </row>
    <row r="1517" spans="1:11">
      <c r="A1517" s="946" t="s">
        <v>28612</v>
      </c>
      <c r="B1517" s="947" t="s">
        <v>5683</v>
      </c>
      <c r="C1517" s="948" t="s">
        <v>5681</v>
      </c>
      <c r="D1517" s="242" t="s">
        <v>439</v>
      </c>
      <c r="E1517" s="949">
        <v>304</v>
      </c>
      <c r="F1517" s="949">
        <v>304</v>
      </c>
      <c r="G1517" s="950" t="s">
        <v>6911</v>
      </c>
      <c r="H1517" s="950" t="s">
        <v>793</v>
      </c>
      <c r="I1517" s="951" t="s">
        <v>5682</v>
      </c>
      <c r="J1517" s="947" t="s">
        <v>5683</v>
      </c>
      <c r="K1517" s="143"/>
    </row>
    <row r="1518" spans="1:11">
      <c r="A1518" s="946" t="s">
        <v>28612</v>
      </c>
      <c r="B1518" s="947" t="s">
        <v>5894</v>
      </c>
      <c r="C1518" s="948" t="s">
        <v>5892</v>
      </c>
      <c r="D1518" s="242" t="s">
        <v>439</v>
      </c>
      <c r="E1518" s="949">
        <v>304</v>
      </c>
      <c r="F1518" s="949">
        <v>304</v>
      </c>
      <c r="G1518" s="950" t="s">
        <v>6911</v>
      </c>
      <c r="H1518" s="950" t="s">
        <v>793</v>
      </c>
      <c r="I1518" s="951" t="s">
        <v>5893</v>
      </c>
      <c r="J1518" s="947" t="s">
        <v>5894</v>
      </c>
      <c r="K1518" s="143"/>
    </row>
    <row r="1519" spans="1:11">
      <c r="A1519" s="946" t="s">
        <v>28612</v>
      </c>
      <c r="B1519" s="947" t="s">
        <v>5979</v>
      </c>
      <c r="C1519" s="948" t="s">
        <v>5977</v>
      </c>
      <c r="D1519" s="242" t="s">
        <v>439</v>
      </c>
      <c r="E1519" s="949">
        <v>304</v>
      </c>
      <c r="F1519" s="949">
        <v>304</v>
      </c>
      <c r="G1519" s="950" t="s">
        <v>6911</v>
      </c>
      <c r="H1519" s="950" t="s">
        <v>793</v>
      </c>
      <c r="I1519" s="951" t="s">
        <v>5978</v>
      </c>
      <c r="J1519" s="947" t="s">
        <v>5979</v>
      </c>
      <c r="K1519" s="143"/>
    </row>
    <row r="1520" spans="1:11">
      <c r="A1520" s="946" t="s">
        <v>28612</v>
      </c>
      <c r="B1520" s="947" t="s">
        <v>5986</v>
      </c>
      <c r="C1520" s="948" t="s">
        <v>5984</v>
      </c>
      <c r="D1520" s="242" t="s">
        <v>439</v>
      </c>
      <c r="E1520" s="949">
        <v>304</v>
      </c>
      <c r="F1520" s="949">
        <v>304</v>
      </c>
      <c r="G1520" s="950" t="s">
        <v>6911</v>
      </c>
      <c r="H1520" s="950" t="s">
        <v>793</v>
      </c>
      <c r="I1520" s="951" t="s">
        <v>5985</v>
      </c>
      <c r="J1520" s="947" t="s">
        <v>5986</v>
      </c>
      <c r="K1520" s="143"/>
    </row>
    <row r="1521" spans="1:11">
      <c r="A1521" s="946" t="s">
        <v>28612</v>
      </c>
      <c r="B1521" s="947" t="s">
        <v>6461</v>
      </c>
      <c r="C1521" s="948" t="s">
        <v>6459</v>
      </c>
      <c r="D1521" s="242" t="s">
        <v>439</v>
      </c>
      <c r="E1521" s="949">
        <v>304</v>
      </c>
      <c r="F1521" s="949">
        <v>304</v>
      </c>
      <c r="G1521" s="950" t="s">
        <v>6911</v>
      </c>
      <c r="H1521" s="950" t="s">
        <v>793</v>
      </c>
      <c r="I1521" s="951" t="s">
        <v>6460</v>
      </c>
      <c r="J1521" s="947" t="s">
        <v>6461</v>
      </c>
      <c r="K1521" s="143"/>
    </row>
    <row r="1522" spans="1:11">
      <c r="A1522" s="946" t="s">
        <v>28612</v>
      </c>
      <c r="B1522" s="947" t="s">
        <v>6609</v>
      </c>
      <c r="C1522" s="948" t="s">
        <v>6607</v>
      </c>
      <c r="D1522" s="242" t="s">
        <v>439</v>
      </c>
      <c r="E1522" s="949">
        <v>304</v>
      </c>
      <c r="F1522" s="949">
        <v>304</v>
      </c>
      <c r="G1522" s="950" t="s">
        <v>6911</v>
      </c>
      <c r="H1522" s="950" t="s">
        <v>793</v>
      </c>
      <c r="I1522" s="951" t="s">
        <v>6608</v>
      </c>
      <c r="J1522" s="947" t="s">
        <v>6609</v>
      </c>
      <c r="K1522" s="143"/>
    </row>
    <row r="1523" spans="1:11">
      <c r="A1523" s="946" t="s">
        <v>28612</v>
      </c>
      <c r="B1523" s="947" t="s">
        <v>6848</v>
      </c>
      <c r="C1523" s="948" t="s">
        <v>6846</v>
      </c>
      <c r="D1523" s="242" t="s">
        <v>439</v>
      </c>
      <c r="E1523" s="949">
        <v>304</v>
      </c>
      <c r="F1523" s="949">
        <v>304</v>
      </c>
      <c r="G1523" s="950" t="s">
        <v>6911</v>
      </c>
      <c r="H1523" s="950" t="s">
        <v>793</v>
      </c>
      <c r="I1523" s="951" t="s">
        <v>6847</v>
      </c>
      <c r="J1523" s="947" t="s">
        <v>6848</v>
      </c>
      <c r="K1523" s="143"/>
    </row>
    <row r="1524" spans="1:11">
      <c r="A1524" s="946" t="s">
        <v>28612</v>
      </c>
      <c r="B1524" s="947" t="s">
        <v>6911</v>
      </c>
      <c r="C1524" s="948" t="s">
        <v>6909</v>
      </c>
      <c r="D1524" s="242" t="s">
        <v>439</v>
      </c>
      <c r="E1524" s="949">
        <v>304</v>
      </c>
      <c r="F1524" s="949">
        <v>304</v>
      </c>
      <c r="G1524" s="950" t="s">
        <v>6911</v>
      </c>
      <c r="H1524" s="950" t="s">
        <v>793</v>
      </c>
      <c r="I1524" s="951" t="s">
        <v>6910</v>
      </c>
      <c r="J1524" s="947" t="s">
        <v>6911</v>
      </c>
      <c r="K1524" s="143"/>
    </row>
    <row r="1525" spans="1:11">
      <c r="A1525" s="946" t="s">
        <v>28612</v>
      </c>
      <c r="B1525" s="947" t="s">
        <v>7134</v>
      </c>
      <c r="C1525" s="948" t="s">
        <v>7132</v>
      </c>
      <c r="D1525" s="242" t="s">
        <v>439</v>
      </c>
      <c r="E1525" s="949">
        <v>304</v>
      </c>
      <c r="F1525" s="949">
        <v>304</v>
      </c>
      <c r="G1525" s="950" t="s">
        <v>6911</v>
      </c>
      <c r="H1525" s="950" t="s">
        <v>793</v>
      </c>
      <c r="I1525" s="951" t="s">
        <v>7133</v>
      </c>
      <c r="J1525" s="947" t="s">
        <v>7134</v>
      </c>
      <c r="K1525" s="143"/>
    </row>
    <row r="1526" spans="1:11">
      <c r="A1526" s="946" t="s">
        <v>28612</v>
      </c>
      <c r="B1526" s="947" t="s">
        <v>7353</v>
      </c>
      <c r="C1526" s="948" t="s">
        <v>7351</v>
      </c>
      <c r="D1526" s="242" t="s">
        <v>439</v>
      </c>
      <c r="E1526" s="949">
        <v>304</v>
      </c>
      <c r="F1526" s="949">
        <v>304</v>
      </c>
      <c r="G1526" s="950" t="s">
        <v>6911</v>
      </c>
      <c r="H1526" s="950" t="s">
        <v>793</v>
      </c>
      <c r="I1526" s="951" t="s">
        <v>7352</v>
      </c>
      <c r="J1526" s="947" t="s">
        <v>7353</v>
      </c>
      <c r="K1526" s="143"/>
    </row>
    <row r="1527" spans="1:11">
      <c r="A1527" s="946" t="s">
        <v>28612</v>
      </c>
      <c r="B1527" s="947" t="s">
        <v>7439</v>
      </c>
      <c r="C1527" s="948" t="s">
        <v>7437</v>
      </c>
      <c r="D1527" s="242" t="s">
        <v>439</v>
      </c>
      <c r="E1527" s="949">
        <v>304</v>
      </c>
      <c r="F1527" s="949">
        <v>304</v>
      </c>
      <c r="G1527" s="950" t="s">
        <v>6911</v>
      </c>
      <c r="H1527" s="950" t="s">
        <v>793</v>
      </c>
      <c r="I1527" s="951" t="s">
        <v>7438</v>
      </c>
      <c r="J1527" s="947" t="s">
        <v>7439</v>
      </c>
      <c r="K1527" s="143"/>
    </row>
    <row r="1528" spans="1:11">
      <c r="A1528" s="946" t="s">
        <v>28612</v>
      </c>
      <c r="B1528" s="947" t="s">
        <v>7525</v>
      </c>
      <c r="C1528" s="948" t="s">
        <v>7523</v>
      </c>
      <c r="D1528" s="242" t="s">
        <v>439</v>
      </c>
      <c r="E1528" s="949">
        <v>304</v>
      </c>
      <c r="F1528" s="949">
        <v>304</v>
      </c>
      <c r="G1528" s="950" t="s">
        <v>6911</v>
      </c>
      <c r="H1528" s="950" t="s">
        <v>793</v>
      </c>
      <c r="I1528" s="951" t="s">
        <v>7524</v>
      </c>
      <c r="J1528" s="947" t="s">
        <v>7525</v>
      </c>
      <c r="K1528" s="143"/>
    </row>
    <row r="1529" spans="1:11">
      <c r="A1529" s="946" t="s">
        <v>28612</v>
      </c>
      <c r="B1529" s="947" t="s">
        <v>7667</v>
      </c>
      <c r="C1529" s="948" t="s">
        <v>7665</v>
      </c>
      <c r="D1529" s="242" t="s">
        <v>439</v>
      </c>
      <c r="E1529" s="949">
        <v>304</v>
      </c>
      <c r="F1529" s="949">
        <v>304</v>
      </c>
      <c r="G1529" s="950" t="s">
        <v>6911</v>
      </c>
      <c r="H1529" s="950" t="s">
        <v>793</v>
      </c>
      <c r="I1529" s="951" t="s">
        <v>7666</v>
      </c>
      <c r="J1529" s="947" t="s">
        <v>7667</v>
      </c>
      <c r="K1529" s="143"/>
    </row>
    <row r="1530" spans="1:11">
      <c r="A1530" s="946" t="s">
        <v>28612</v>
      </c>
      <c r="B1530" s="947" t="s">
        <v>7705</v>
      </c>
      <c r="C1530" s="948" t="s">
        <v>7703</v>
      </c>
      <c r="D1530" s="242" t="s">
        <v>439</v>
      </c>
      <c r="E1530" s="949">
        <v>304</v>
      </c>
      <c r="F1530" s="949">
        <v>304</v>
      </c>
      <c r="G1530" s="950" t="s">
        <v>6911</v>
      </c>
      <c r="H1530" s="950" t="s">
        <v>793</v>
      </c>
      <c r="I1530" s="951" t="s">
        <v>7704</v>
      </c>
      <c r="J1530" s="947" t="s">
        <v>7705</v>
      </c>
      <c r="K1530" s="143"/>
    </row>
    <row r="1531" spans="1:11">
      <c r="A1531" s="946" t="s">
        <v>28612</v>
      </c>
      <c r="B1531" s="947" t="s">
        <v>7721</v>
      </c>
      <c r="C1531" s="948" t="s">
        <v>7719</v>
      </c>
      <c r="D1531" s="242" t="s">
        <v>439</v>
      </c>
      <c r="E1531" s="949">
        <v>304</v>
      </c>
      <c r="F1531" s="949">
        <v>304</v>
      </c>
      <c r="G1531" s="950" t="s">
        <v>6911</v>
      </c>
      <c r="H1531" s="950" t="s">
        <v>793</v>
      </c>
      <c r="I1531" s="951" t="s">
        <v>7720</v>
      </c>
      <c r="J1531" s="947" t="s">
        <v>7721</v>
      </c>
      <c r="K1531" s="143"/>
    </row>
    <row r="1532" spans="1:11">
      <c r="A1532" s="946" t="s">
        <v>28612</v>
      </c>
      <c r="B1532" s="947" t="s">
        <v>7748</v>
      </c>
      <c r="C1532" s="948" t="s">
        <v>7746</v>
      </c>
      <c r="D1532" s="242" t="s">
        <v>439</v>
      </c>
      <c r="E1532" s="949">
        <v>304</v>
      </c>
      <c r="F1532" s="949">
        <v>304</v>
      </c>
      <c r="G1532" s="950" t="s">
        <v>6911</v>
      </c>
      <c r="H1532" s="950" t="s">
        <v>793</v>
      </c>
      <c r="I1532" s="951" t="s">
        <v>7747</v>
      </c>
      <c r="J1532" s="947" t="s">
        <v>7748</v>
      </c>
      <c r="K1532" s="143"/>
    </row>
    <row r="1533" spans="1:11">
      <c r="A1533" s="946" t="s">
        <v>28612</v>
      </c>
      <c r="B1533" s="947" t="s">
        <v>7872</v>
      </c>
      <c r="C1533" s="948" t="s">
        <v>7870</v>
      </c>
      <c r="D1533" s="242" t="s">
        <v>439</v>
      </c>
      <c r="E1533" s="949">
        <v>304</v>
      </c>
      <c r="F1533" s="949">
        <v>304</v>
      </c>
      <c r="G1533" s="950" t="s">
        <v>6911</v>
      </c>
      <c r="H1533" s="950" t="s">
        <v>793</v>
      </c>
      <c r="I1533" s="951" t="s">
        <v>7871</v>
      </c>
      <c r="J1533" s="947" t="s">
        <v>7872</v>
      </c>
      <c r="K1533" s="143"/>
    </row>
    <row r="1534" spans="1:11">
      <c r="A1534" s="946" t="s">
        <v>28612</v>
      </c>
      <c r="B1534" s="947" t="s">
        <v>7927</v>
      </c>
      <c r="C1534" s="948" t="s">
        <v>7925</v>
      </c>
      <c r="D1534" s="242" t="s">
        <v>439</v>
      </c>
      <c r="E1534" s="949">
        <v>304</v>
      </c>
      <c r="F1534" s="949">
        <v>304</v>
      </c>
      <c r="G1534" s="950" t="s">
        <v>6911</v>
      </c>
      <c r="H1534" s="950" t="s">
        <v>793</v>
      </c>
      <c r="I1534" s="951" t="s">
        <v>7926</v>
      </c>
      <c r="J1534" s="947" t="s">
        <v>7927</v>
      </c>
      <c r="K1534" s="143"/>
    </row>
    <row r="1535" spans="1:11">
      <c r="A1535" s="946" t="s">
        <v>28612</v>
      </c>
      <c r="B1535" s="947" t="s">
        <v>7965</v>
      </c>
      <c r="C1535" s="948" t="s">
        <v>7963</v>
      </c>
      <c r="D1535" s="242" t="s">
        <v>439</v>
      </c>
      <c r="E1535" s="949">
        <v>304</v>
      </c>
      <c r="F1535" s="949">
        <v>304</v>
      </c>
      <c r="G1535" s="950" t="s">
        <v>6911</v>
      </c>
      <c r="H1535" s="950" t="s">
        <v>793</v>
      </c>
      <c r="I1535" s="951" t="s">
        <v>7964</v>
      </c>
      <c r="J1535" s="947" t="s">
        <v>7965</v>
      </c>
      <c r="K1535" s="143"/>
    </row>
    <row r="1536" spans="1:11">
      <c r="A1536" s="946" t="s">
        <v>28612</v>
      </c>
      <c r="B1536" s="947" t="s">
        <v>8012</v>
      </c>
      <c r="C1536" s="948" t="s">
        <v>8010</v>
      </c>
      <c r="D1536" s="242" t="s">
        <v>439</v>
      </c>
      <c r="E1536" s="949">
        <v>304</v>
      </c>
      <c r="F1536" s="949">
        <v>304</v>
      </c>
      <c r="G1536" s="950" t="s">
        <v>6911</v>
      </c>
      <c r="H1536" s="950" t="s">
        <v>793</v>
      </c>
      <c r="I1536" s="951" t="s">
        <v>8011</v>
      </c>
      <c r="J1536" s="947" t="s">
        <v>8012</v>
      </c>
      <c r="K1536" s="143"/>
    </row>
    <row r="1537" spans="1:11">
      <c r="A1537" s="946" t="s">
        <v>28612</v>
      </c>
      <c r="B1537" s="947" t="s">
        <v>8115</v>
      </c>
      <c r="C1537" s="948" t="s">
        <v>8113</v>
      </c>
      <c r="D1537" s="242" t="s">
        <v>439</v>
      </c>
      <c r="E1537" s="949">
        <v>304</v>
      </c>
      <c r="F1537" s="949">
        <v>304</v>
      </c>
      <c r="G1537" s="950" t="s">
        <v>6911</v>
      </c>
      <c r="H1537" s="950" t="s">
        <v>793</v>
      </c>
      <c r="I1537" s="951" t="s">
        <v>8114</v>
      </c>
      <c r="J1537" s="947" t="s">
        <v>8115</v>
      </c>
      <c r="K1537" s="143"/>
    </row>
    <row r="1538" spans="1:11">
      <c r="A1538" s="946" t="s">
        <v>28612</v>
      </c>
      <c r="B1538" s="947" t="s">
        <v>8223</v>
      </c>
      <c r="C1538" s="948" t="s">
        <v>8221</v>
      </c>
      <c r="D1538" s="242" t="s">
        <v>439</v>
      </c>
      <c r="E1538" s="949">
        <v>304</v>
      </c>
      <c r="F1538" s="949">
        <v>304</v>
      </c>
      <c r="G1538" s="950" t="s">
        <v>6911</v>
      </c>
      <c r="H1538" s="950" t="s">
        <v>793</v>
      </c>
      <c r="I1538" s="951" t="s">
        <v>8222</v>
      </c>
      <c r="J1538" s="947" t="s">
        <v>8223</v>
      </c>
      <c r="K1538" s="143"/>
    </row>
    <row r="1539" spans="1:11">
      <c r="A1539" s="946" t="s">
        <v>28612</v>
      </c>
      <c r="B1539" s="947" t="s">
        <v>8271</v>
      </c>
      <c r="C1539" s="948" t="s">
        <v>8269</v>
      </c>
      <c r="D1539" s="242" t="s">
        <v>439</v>
      </c>
      <c r="E1539" s="949">
        <v>304</v>
      </c>
      <c r="F1539" s="949">
        <v>304</v>
      </c>
      <c r="G1539" s="950" t="s">
        <v>6911</v>
      </c>
      <c r="H1539" s="950" t="s">
        <v>793</v>
      </c>
      <c r="I1539" s="951" t="s">
        <v>8270</v>
      </c>
      <c r="J1539" s="947" t="s">
        <v>8271</v>
      </c>
      <c r="K1539" s="143"/>
    </row>
    <row r="1540" spans="1:11">
      <c r="A1540" s="946" t="s">
        <v>28612</v>
      </c>
      <c r="B1540" s="947" t="s">
        <v>9008</v>
      </c>
      <c r="C1540" s="948" t="s">
        <v>9006</v>
      </c>
      <c r="D1540" s="242" t="s">
        <v>439</v>
      </c>
      <c r="E1540" s="949">
        <v>304</v>
      </c>
      <c r="F1540" s="949">
        <v>304</v>
      </c>
      <c r="G1540" s="950" t="s">
        <v>6911</v>
      </c>
      <c r="H1540" s="950" t="s">
        <v>793</v>
      </c>
      <c r="I1540" s="951" t="s">
        <v>9007</v>
      </c>
      <c r="J1540" s="947" t="s">
        <v>9008</v>
      </c>
      <c r="K1540" s="143"/>
    </row>
    <row r="1541" spans="1:11">
      <c r="A1541" s="946" t="s">
        <v>28612</v>
      </c>
      <c r="B1541" s="947" t="s">
        <v>9108</v>
      </c>
      <c r="C1541" s="948" t="s">
        <v>9106</v>
      </c>
      <c r="D1541" s="242" t="s">
        <v>439</v>
      </c>
      <c r="E1541" s="949">
        <v>304</v>
      </c>
      <c r="F1541" s="949">
        <v>304</v>
      </c>
      <c r="G1541" s="950" t="s">
        <v>6911</v>
      </c>
      <c r="H1541" s="950" t="s">
        <v>793</v>
      </c>
      <c r="I1541" s="951" t="s">
        <v>9107</v>
      </c>
      <c r="J1541" s="947" t="s">
        <v>9108</v>
      </c>
      <c r="K1541" s="143"/>
    </row>
    <row r="1542" spans="1:11">
      <c r="A1542" s="946" t="s">
        <v>28612</v>
      </c>
      <c r="B1542" s="947" t="s">
        <v>9459</v>
      </c>
      <c r="C1542" s="948" t="s">
        <v>9457</v>
      </c>
      <c r="D1542" s="242" t="s">
        <v>439</v>
      </c>
      <c r="E1542" s="949">
        <v>304</v>
      </c>
      <c r="F1542" s="949">
        <v>304</v>
      </c>
      <c r="G1542" s="950" t="s">
        <v>6911</v>
      </c>
      <c r="H1542" s="950" t="s">
        <v>793</v>
      </c>
      <c r="I1542" s="951" t="s">
        <v>9458</v>
      </c>
      <c r="J1542" s="947" t="s">
        <v>9459</v>
      </c>
      <c r="K1542" s="143"/>
    </row>
    <row r="1543" spans="1:11">
      <c r="A1543" s="946" t="s">
        <v>28612</v>
      </c>
      <c r="B1543" s="947" t="s">
        <v>9462</v>
      </c>
      <c r="C1543" s="948" t="s">
        <v>9460</v>
      </c>
      <c r="D1543" s="242" t="s">
        <v>439</v>
      </c>
      <c r="E1543" s="949">
        <v>304</v>
      </c>
      <c r="F1543" s="949">
        <v>304</v>
      </c>
      <c r="G1543" s="950" t="s">
        <v>6911</v>
      </c>
      <c r="H1543" s="950" t="s">
        <v>793</v>
      </c>
      <c r="I1543" s="951" t="s">
        <v>9461</v>
      </c>
      <c r="J1543" s="947" t="s">
        <v>9462</v>
      </c>
      <c r="K1543" s="143"/>
    </row>
    <row r="1544" spans="1:11">
      <c r="A1544" s="946" t="s">
        <v>28612</v>
      </c>
      <c r="B1544" s="947" t="s">
        <v>9540</v>
      </c>
      <c r="C1544" s="948" t="s">
        <v>9538</v>
      </c>
      <c r="D1544" s="242" t="s">
        <v>439</v>
      </c>
      <c r="E1544" s="949">
        <v>304</v>
      </c>
      <c r="F1544" s="949">
        <v>304</v>
      </c>
      <c r="G1544" s="950" t="s">
        <v>6911</v>
      </c>
      <c r="H1544" s="950" t="s">
        <v>793</v>
      </c>
      <c r="I1544" s="951" t="s">
        <v>9539</v>
      </c>
      <c r="J1544" s="947" t="s">
        <v>9540</v>
      </c>
      <c r="K1544" s="143"/>
    </row>
    <row r="1545" spans="1:11">
      <c r="A1545" s="946" t="s">
        <v>28612</v>
      </c>
      <c r="B1545" s="947" t="s">
        <v>9678</v>
      </c>
      <c r="C1545" s="948" t="s">
        <v>9676</v>
      </c>
      <c r="D1545" s="242" t="s">
        <v>439</v>
      </c>
      <c r="E1545" s="949">
        <v>304</v>
      </c>
      <c r="F1545" s="949">
        <v>304</v>
      </c>
      <c r="G1545" s="950" t="s">
        <v>6911</v>
      </c>
      <c r="H1545" s="950" t="s">
        <v>793</v>
      </c>
      <c r="I1545" s="951" t="s">
        <v>9677</v>
      </c>
      <c r="J1545" s="947" t="s">
        <v>9678</v>
      </c>
      <c r="K1545" s="143"/>
    </row>
    <row r="1546" spans="1:11">
      <c r="A1546" s="946" t="s">
        <v>28612</v>
      </c>
      <c r="B1546" s="947" t="s">
        <v>9818</v>
      </c>
      <c r="C1546" s="948" t="s">
        <v>9816</v>
      </c>
      <c r="D1546" s="242" t="s">
        <v>439</v>
      </c>
      <c r="E1546" s="949">
        <v>304</v>
      </c>
      <c r="F1546" s="949">
        <v>304</v>
      </c>
      <c r="G1546" s="950" t="s">
        <v>6911</v>
      </c>
      <c r="H1546" s="950" t="s">
        <v>793</v>
      </c>
      <c r="I1546" s="951" t="s">
        <v>9817</v>
      </c>
      <c r="J1546" s="947" t="s">
        <v>9818</v>
      </c>
      <c r="K1546" s="143"/>
    </row>
    <row r="1547" spans="1:11">
      <c r="A1547" s="946" t="s">
        <v>28612</v>
      </c>
      <c r="B1547" s="947" t="s">
        <v>10048</v>
      </c>
      <c r="C1547" s="948" t="s">
        <v>10046</v>
      </c>
      <c r="D1547" s="242" t="s">
        <v>439</v>
      </c>
      <c r="E1547" s="949">
        <v>304</v>
      </c>
      <c r="F1547" s="949">
        <v>304</v>
      </c>
      <c r="G1547" s="950" t="s">
        <v>6911</v>
      </c>
      <c r="H1547" s="950" t="s">
        <v>793</v>
      </c>
      <c r="I1547" s="951" t="s">
        <v>10047</v>
      </c>
      <c r="J1547" s="947" t="s">
        <v>10048</v>
      </c>
      <c r="K1547" s="143"/>
    </row>
    <row r="1548" spans="1:11">
      <c r="A1548" s="946" t="s">
        <v>28612</v>
      </c>
      <c r="B1548" s="947" t="s">
        <v>10070</v>
      </c>
      <c r="C1548" s="948" t="s">
        <v>10068</v>
      </c>
      <c r="D1548" s="242" t="s">
        <v>439</v>
      </c>
      <c r="E1548" s="949">
        <v>304</v>
      </c>
      <c r="F1548" s="949">
        <v>304</v>
      </c>
      <c r="G1548" s="950" t="s">
        <v>6911</v>
      </c>
      <c r="H1548" s="950" t="s">
        <v>793</v>
      </c>
      <c r="I1548" s="951" t="s">
        <v>10069</v>
      </c>
      <c r="J1548" s="947" t="s">
        <v>10070</v>
      </c>
      <c r="K1548" s="143"/>
    </row>
    <row r="1549" spans="1:11">
      <c r="A1549" s="946" t="s">
        <v>28612</v>
      </c>
      <c r="B1549" s="947" t="s">
        <v>10093</v>
      </c>
      <c r="C1549" s="948" t="s">
        <v>10091</v>
      </c>
      <c r="D1549" s="242" t="s">
        <v>439</v>
      </c>
      <c r="E1549" s="949">
        <v>304</v>
      </c>
      <c r="F1549" s="949">
        <v>304</v>
      </c>
      <c r="G1549" s="950" t="s">
        <v>6911</v>
      </c>
      <c r="H1549" s="950" t="s">
        <v>793</v>
      </c>
      <c r="I1549" s="951" t="s">
        <v>10092</v>
      </c>
      <c r="J1549" s="947" t="s">
        <v>10093</v>
      </c>
      <c r="K1549" s="143"/>
    </row>
    <row r="1550" spans="1:11">
      <c r="A1550" s="946" t="s">
        <v>28612</v>
      </c>
      <c r="B1550" s="947" t="s">
        <v>10165</v>
      </c>
      <c r="C1550" s="948" t="s">
        <v>10163</v>
      </c>
      <c r="D1550" s="242" t="s">
        <v>439</v>
      </c>
      <c r="E1550" s="949">
        <v>304</v>
      </c>
      <c r="F1550" s="949">
        <v>304</v>
      </c>
      <c r="G1550" s="950" t="s">
        <v>6911</v>
      </c>
      <c r="H1550" s="950" t="s">
        <v>793</v>
      </c>
      <c r="I1550" s="951" t="s">
        <v>10164</v>
      </c>
      <c r="J1550" s="947" t="s">
        <v>10165</v>
      </c>
      <c r="K1550" s="143"/>
    </row>
    <row r="1551" spans="1:11">
      <c r="A1551" s="946" t="s">
        <v>28612</v>
      </c>
      <c r="B1551" s="947" t="s">
        <v>10396</v>
      </c>
      <c r="C1551" s="948" t="s">
        <v>10394</v>
      </c>
      <c r="D1551" s="242" t="s">
        <v>439</v>
      </c>
      <c r="E1551" s="949">
        <v>304</v>
      </c>
      <c r="F1551" s="949">
        <v>304</v>
      </c>
      <c r="G1551" s="950" t="s">
        <v>6911</v>
      </c>
      <c r="H1551" s="950" t="s">
        <v>793</v>
      </c>
      <c r="I1551" s="951" t="s">
        <v>10395</v>
      </c>
      <c r="J1551" s="947" t="s">
        <v>10396</v>
      </c>
      <c r="K1551" s="143"/>
    </row>
    <row r="1552" spans="1:11">
      <c r="A1552" s="946" t="s">
        <v>28612</v>
      </c>
      <c r="B1552" s="947" t="s">
        <v>10442</v>
      </c>
      <c r="C1552" s="948" t="s">
        <v>10440</v>
      </c>
      <c r="D1552" s="242" t="s">
        <v>439</v>
      </c>
      <c r="E1552" s="949">
        <v>304</v>
      </c>
      <c r="F1552" s="949">
        <v>304</v>
      </c>
      <c r="G1552" s="950" t="s">
        <v>6911</v>
      </c>
      <c r="H1552" s="950" t="s">
        <v>793</v>
      </c>
      <c r="I1552" s="951" t="s">
        <v>10441</v>
      </c>
      <c r="J1552" s="947" t="s">
        <v>10442</v>
      </c>
      <c r="K1552" s="143"/>
    </row>
    <row r="1553" spans="1:11">
      <c r="A1553" s="946" t="s">
        <v>28612</v>
      </c>
      <c r="B1553" s="947" t="s">
        <v>10469</v>
      </c>
      <c r="C1553" s="948" t="s">
        <v>10467</v>
      </c>
      <c r="D1553" s="242" t="s">
        <v>439</v>
      </c>
      <c r="E1553" s="949">
        <v>304</v>
      </c>
      <c r="F1553" s="949">
        <v>304</v>
      </c>
      <c r="G1553" s="950" t="s">
        <v>6911</v>
      </c>
      <c r="H1553" s="950" t="s">
        <v>793</v>
      </c>
      <c r="I1553" s="951" t="s">
        <v>10468</v>
      </c>
      <c r="J1553" s="947" t="s">
        <v>10469</v>
      </c>
      <c r="K1553" s="143"/>
    </row>
    <row r="1554" spans="1:11">
      <c r="A1554" s="946" t="s">
        <v>28612</v>
      </c>
      <c r="B1554" s="947" t="s">
        <v>10495</v>
      </c>
      <c r="C1554" s="948" t="s">
        <v>10493</v>
      </c>
      <c r="D1554" s="242" t="s">
        <v>439</v>
      </c>
      <c r="E1554" s="949">
        <v>304</v>
      </c>
      <c r="F1554" s="949">
        <v>304</v>
      </c>
      <c r="G1554" s="950" t="s">
        <v>6911</v>
      </c>
      <c r="H1554" s="950" t="s">
        <v>793</v>
      </c>
      <c r="I1554" s="951" t="s">
        <v>10494</v>
      </c>
      <c r="J1554" s="947" t="s">
        <v>10495</v>
      </c>
      <c r="K1554" s="143"/>
    </row>
    <row r="1555" spans="1:11">
      <c r="A1555" s="946" t="s">
        <v>28612</v>
      </c>
      <c r="B1555" s="947" t="s">
        <v>10528</v>
      </c>
      <c r="C1555" s="948" t="s">
        <v>10526</v>
      </c>
      <c r="D1555" s="242" t="s">
        <v>439</v>
      </c>
      <c r="E1555" s="949">
        <v>304</v>
      </c>
      <c r="F1555" s="949">
        <v>304</v>
      </c>
      <c r="G1555" s="950" t="s">
        <v>6911</v>
      </c>
      <c r="H1555" s="950" t="s">
        <v>793</v>
      </c>
      <c r="I1555" s="951" t="s">
        <v>10527</v>
      </c>
      <c r="J1555" s="947" t="s">
        <v>10528</v>
      </c>
      <c r="K1555" s="143"/>
    </row>
    <row r="1556" spans="1:11">
      <c r="A1556" s="946" t="s">
        <v>28612</v>
      </c>
      <c r="B1556" s="947" t="s">
        <v>10566</v>
      </c>
      <c r="C1556" s="948" t="s">
        <v>10564</v>
      </c>
      <c r="D1556" s="242" t="s">
        <v>439</v>
      </c>
      <c r="E1556" s="949">
        <v>304</v>
      </c>
      <c r="F1556" s="949">
        <v>304</v>
      </c>
      <c r="G1556" s="950" t="s">
        <v>6911</v>
      </c>
      <c r="H1556" s="950" t="s">
        <v>793</v>
      </c>
      <c r="I1556" s="951" t="s">
        <v>10565</v>
      </c>
      <c r="J1556" s="947" t="s">
        <v>10566</v>
      </c>
      <c r="K1556" s="143"/>
    </row>
    <row r="1557" spans="1:11">
      <c r="A1557" s="946" t="s">
        <v>28612</v>
      </c>
      <c r="B1557" s="947" t="s">
        <v>10616</v>
      </c>
      <c r="C1557" s="948" t="s">
        <v>10614</v>
      </c>
      <c r="D1557" s="242" t="s">
        <v>439</v>
      </c>
      <c r="E1557" s="949">
        <v>304</v>
      </c>
      <c r="F1557" s="949">
        <v>304</v>
      </c>
      <c r="G1557" s="950" t="s">
        <v>6911</v>
      </c>
      <c r="H1557" s="950" t="s">
        <v>793</v>
      </c>
      <c r="I1557" s="951" t="s">
        <v>10615</v>
      </c>
      <c r="J1557" s="947" t="s">
        <v>10616</v>
      </c>
      <c r="K1557" s="143"/>
    </row>
    <row r="1558" spans="1:11">
      <c r="A1558" s="946" t="s">
        <v>28612</v>
      </c>
      <c r="B1558" s="947" t="s">
        <v>10724</v>
      </c>
      <c r="C1558" s="948" t="s">
        <v>10722</v>
      </c>
      <c r="D1558" s="242" t="s">
        <v>439</v>
      </c>
      <c r="E1558" s="949">
        <v>304</v>
      </c>
      <c r="F1558" s="949">
        <v>304</v>
      </c>
      <c r="G1558" s="950" t="s">
        <v>6911</v>
      </c>
      <c r="H1558" s="950" t="s">
        <v>793</v>
      </c>
      <c r="I1558" s="951" t="s">
        <v>10723</v>
      </c>
      <c r="J1558" s="947" t="s">
        <v>10724</v>
      </c>
      <c r="K1558" s="143"/>
    </row>
    <row r="1559" spans="1:11">
      <c r="A1559" s="946" t="s">
        <v>28612</v>
      </c>
      <c r="B1559" s="947" t="s">
        <v>10752</v>
      </c>
      <c r="C1559" s="948" t="s">
        <v>10750</v>
      </c>
      <c r="D1559" s="242" t="s">
        <v>439</v>
      </c>
      <c r="E1559" s="949">
        <v>304</v>
      </c>
      <c r="F1559" s="949">
        <v>304</v>
      </c>
      <c r="G1559" s="950" t="s">
        <v>6911</v>
      </c>
      <c r="H1559" s="950" t="s">
        <v>793</v>
      </c>
      <c r="I1559" s="951" t="s">
        <v>10751</v>
      </c>
      <c r="J1559" s="947" t="s">
        <v>10752</v>
      </c>
      <c r="K1559" s="143"/>
    </row>
    <row r="1560" spans="1:11">
      <c r="A1560" s="946" t="s">
        <v>28612</v>
      </c>
      <c r="B1560" s="947" t="s">
        <v>10755</v>
      </c>
      <c r="C1560" s="948" t="s">
        <v>10753</v>
      </c>
      <c r="D1560" s="242" t="s">
        <v>439</v>
      </c>
      <c r="E1560" s="949">
        <v>304</v>
      </c>
      <c r="F1560" s="949">
        <v>304</v>
      </c>
      <c r="G1560" s="950" t="s">
        <v>6911</v>
      </c>
      <c r="H1560" s="950" t="s">
        <v>793</v>
      </c>
      <c r="I1560" s="951" t="s">
        <v>10754</v>
      </c>
      <c r="J1560" s="947" t="s">
        <v>10755</v>
      </c>
      <c r="K1560" s="143"/>
    </row>
    <row r="1561" spans="1:11">
      <c r="A1561" s="946" t="s">
        <v>28612</v>
      </c>
      <c r="B1561" s="947" t="s">
        <v>10762</v>
      </c>
      <c r="C1561" s="948" t="s">
        <v>10760</v>
      </c>
      <c r="D1561" s="242" t="s">
        <v>439</v>
      </c>
      <c r="E1561" s="949">
        <v>304</v>
      </c>
      <c r="F1561" s="949">
        <v>304</v>
      </c>
      <c r="G1561" s="950" t="s">
        <v>6911</v>
      </c>
      <c r="H1561" s="950" t="s">
        <v>793</v>
      </c>
      <c r="I1561" s="951" t="s">
        <v>10761</v>
      </c>
      <c r="J1561" s="947" t="s">
        <v>10762</v>
      </c>
      <c r="K1561" s="143"/>
    </row>
    <row r="1562" spans="1:11">
      <c r="A1562" s="946" t="s">
        <v>28612</v>
      </c>
      <c r="B1562" s="947" t="s">
        <v>10923</v>
      </c>
      <c r="C1562" s="948" t="s">
        <v>10921</v>
      </c>
      <c r="D1562" s="242" t="s">
        <v>439</v>
      </c>
      <c r="E1562" s="949">
        <v>304</v>
      </c>
      <c r="F1562" s="949">
        <v>304</v>
      </c>
      <c r="G1562" s="950" t="s">
        <v>6911</v>
      </c>
      <c r="H1562" s="950" t="s">
        <v>793</v>
      </c>
      <c r="I1562" s="951" t="s">
        <v>10922</v>
      </c>
      <c r="J1562" s="947" t="s">
        <v>10923</v>
      </c>
      <c r="K1562" s="143"/>
    </row>
    <row r="1563" spans="1:11">
      <c r="A1563" s="946" t="s">
        <v>28612</v>
      </c>
      <c r="B1563" s="947" t="s">
        <v>11197</v>
      </c>
      <c r="C1563" s="948" t="s">
        <v>11195</v>
      </c>
      <c r="D1563" s="242" t="s">
        <v>439</v>
      </c>
      <c r="E1563" s="949">
        <v>304</v>
      </c>
      <c r="F1563" s="949">
        <v>304</v>
      </c>
      <c r="G1563" s="950" t="s">
        <v>6911</v>
      </c>
      <c r="H1563" s="950" t="s">
        <v>793</v>
      </c>
      <c r="I1563" s="951" t="s">
        <v>11196</v>
      </c>
      <c r="J1563" s="947" t="s">
        <v>11197</v>
      </c>
      <c r="K1563" s="143"/>
    </row>
    <row r="1564" spans="1:11">
      <c r="A1564" s="946" t="s">
        <v>28612</v>
      </c>
      <c r="B1564" s="947" t="s">
        <v>11365</v>
      </c>
      <c r="C1564" s="948" t="s">
        <v>11363</v>
      </c>
      <c r="D1564" s="242" t="s">
        <v>439</v>
      </c>
      <c r="E1564" s="949">
        <v>304</v>
      </c>
      <c r="F1564" s="949">
        <v>304</v>
      </c>
      <c r="G1564" s="950" t="s">
        <v>6911</v>
      </c>
      <c r="H1564" s="950" t="s">
        <v>793</v>
      </c>
      <c r="I1564" s="951" t="s">
        <v>11364</v>
      </c>
      <c r="J1564" s="947" t="s">
        <v>11365</v>
      </c>
      <c r="K1564" s="143"/>
    </row>
    <row r="1565" spans="1:11">
      <c r="A1565" s="946" t="s">
        <v>28612</v>
      </c>
      <c r="B1565" s="947" t="s">
        <v>11588</v>
      </c>
      <c r="C1565" s="948" t="s">
        <v>11586</v>
      </c>
      <c r="D1565" s="242" t="s">
        <v>439</v>
      </c>
      <c r="E1565" s="949">
        <v>304</v>
      </c>
      <c r="F1565" s="949">
        <v>304</v>
      </c>
      <c r="G1565" s="950" t="s">
        <v>6911</v>
      </c>
      <c r="H1565" s="950" t="s">
        <v>793</v>
      </c>
      <c r="I1565" s="951" t="s">
        <v>11587</v>
      </c>
      <c r="J1565" s="947" t="s">
        <v>11588</v>
      </c>
      <c r="K1565" s="143"/>
    </row>
    <row r="1566" spans="1:11">
      <c r="A1566" s="946" t="s">
        <v>28612</v>
      </c>
      <c r="B1566" s="947" t="s">
        <v>11654</v>
      </c>
      <c r="C1566" s="948" t="s">
        <v>11652</v>
      </c>
      <c r="D1566" s="242" t="s">
        <v>439</v>
      </c>
      <c r="E1566" s="949">
        <v>304</v>
      </c>
      <c r="F1566" s="949">
        <v>304</v>
      </c>
      <c r="G1566" s="950" t="s">
        <v>6911</v>
      </c>
      <c r="H1566" s="950" t="s">
        <v>793</v>
      </c>
      <c r="I1566" s="951" t="s">
        <v>11653</v>
      </c>
      <c r="J1566" s="947" t="s">
        <v>11654</v>
      </c>
      <c r="K1566" s="143"/>
    </row>
    <row r="1567" spans="1:11">
      <c r="A1567" s="946" t="s">
        <v>28612</v>
      </c>
      <c r="B1567" s="947" t="s">
        <v>11967</v>
      </c>
      <c r="C1567" s="948" t="s">
        <v>11965</v>
      </c>
      <c r="D1567" s="242" t="s">
        <v>439</v>
      </c>
      <c r="E1567" s="949">
        <v>304</v>
      </c>
      <c r="F1567" s="949">
        <v>304</v>
      </c>
      <c r="G1567" s="950" t="s">
        <v>6911</v>
      </c>
      <c r="H1567" s="950" t="s">
        <v>793</v>
      </c>
      <c r="I1567" s="951" t="s">
        <v>11966</v>
      </c>
      <c r="J1567" s="947" t="s">
        <v>11967</v>
      </c>
      <c r="K1567" s="143"/>
    </row>
    <row r="1568" spans="1:11">
      <c r="A1568" s="946" t="s">
        <v>28612</v>
      </c>
      <c r="B1568" s="947" t="s">
        <v>12118</v>
      </c>
      <c r="C1568" s="948" t="s">
        <v>12116</v>
      </c>
      <c r="D1568" s="242" t="s">
        <v>439</v>
      </c>
      <c r="E1568" s="949">
        <v>304</v>
      </c>
      <c r="F1568" s="949">
        <v>304</v>
      </c>
      <c r="G1568" s="950" t="s">
        <v>6911</v>
      </c>
      <c r="H1568" s="950" t="s">
        <v>793</v>
      </c>
      <c r="I1568" s="951" t="s">
        <v>12117</v>
      </c>
      <c r="J1568" s="947" t="s">
        <v>12118</v>
      </c>
      <c r="K1568" s="143"/>
    </row>
    <row r="1569" spans="1:11">
      <c r="A1569" s="946" t="s">
        <v>28612</v>
      </c>
      <c r="B1569" s="947" t="s">
        <v>12248</v>
      </c>
      <c r="C1569" s="948" t="s">
        <v>12246</v>
      </c>
      <c r="D1569" s="242" t="s">
        <v>439</v>
      </c>
      <c r="E1569" s="949">
        <v>304</v>
      </c>
      <c r="F1569" s="949">
        <v>304</v>
      </c>
      <c r="G1569" s="950" t="s">
        <v>6911</v>
      </c>
      <c r="H1569" s="950" t="s">
        <v>793</v>
      </c>
      <c r="I1569" s="951" t="s">
        <v>12247</v>
      </c>
      <c r="J1569" s="947" t="s">
        <v>12248</v>
      </c>
      <c r="K1569" s="143"/>
    </row>
    <row r="1570" spans="1:11">
      <c r="A1570" s="946" t="s">
        <v>28612</v>
      </c>
      <c r="B1570" s="947" t="s">
        <v>12629</v>
      </c>
      <c r="C1570" s="948" t="s">
        <v>12627</v>
      </c>
      <c r="D1570" s="242" t="s">
        <v>439</v>
      </c>
      <c r="E1570" s="949">
        <v>304</v>
      </c>
      <c r="F1570" s="949">
        <v>304</v>
      </c>
      <c r="G1570" s="950" t="s">
        <v>6911</v>
      </c>
      <c r="H1570" s="950" t="s">
        <v>793</v>
      </c>
      <c r="I1570" s="951" t="s">
        <v>12628</v>
      </c>
      <c r="J1570" s="947" t="s">
        <v>12629</v>
      </c>
      <c r="K1570" s="143"/>
    </row>
    <row r="1571" spans="1:11">
      <c r="A1571" s="946" t="s">
        <v>28612</v>
      </c>
      <c r="B1571" s="947" t="s">
        <v>12845</v>
      </c>
      <c r="C1571" s="948" t="s">
        <v>12843</v>
      </c>
      <c r="D1571" s="242" t="s">
        <v>439</v>
      </c>
      <c r="E1571" s="949">
        <v>304</v>
      </c>
      <c r="F1571" s="949">
        <v>304</v>
      </c>
      <c r="G1571" s="950" t="s">
        <v>6911</v>
      </c>
      <c r="H1571" s="950" t="s">
        <v>793</v>
      </c>
      <c r="I1571" s="951" t="s">
        <v>12844</v>
      </c>
      <c r="J1571" s="947" t="s">
        <v>12845</v>
      </c>
      <c r="K1571" s="143"/>
    </row>
    <row r="1572" spans="1:11">
      <c r="A1572" s="946" t="s">
        <v>28612</v>
      </c>
      <c r="B1572" s="947" t="s">
        <v>13074</v>
      </c>
      <c r="C1572" s="948" t="s">
        <v>13072</v>
      </c>
      <c r="D1572" s="242" t="s">
        <v>439</v>
      </c>
      <c r="E1572" s="949">
        <v>304</v>
      </c>
      <c r="F1572" s="949">
        <v>304</v>
      </c>
      <c r="G1572" s="950" t="s">
        <v>6911</v>
      </c>
      <c r="H1572" s="950" t="s">
        <v>793</v>
      </c>
      <c r="I1572" s="951" t="s">
        <v>13073</v>
      </c>
      <c r="J1572" s="947" t="s">
        <v>13074</v>
      </c>
      <c r="K1572" s="143"/>
    </row>
    <row r="1573" spans="1:11">
      <c r="A1573" s="946" t="s">
        <v>28612</v>
      </c>
      <c r="B1573" s="947" t="s">
        <v>13135</v>
      </c>
      <c r="C1573" s="948" t="s">
        <v>13133</v>
      </c>
      <c r="D1573" s="242" t="s">
        <v>439</v>
      </c>
      <c r="E1573" s="949">
        <v>304</v>
      </c>
      <c r="F1573" s="949">
        <v>304</v>
      </c>
      <c r="G1573" s="950" t="s">
        <v>6911</v>
      </c>
      <c r="H1573" s="950" t="s">
        <v>793</v>
      </c>
      <c r="I1573" s="951" t="s">
        <v>13134</v>
      </c>
      <c r="J1573" s="947" t="s">
        <v>13135</v>
      </c>
      <c r="K1573" s="143"/>
    </row>
    <row r="1574" spans="1:11">
      <c r="A1574" s="946" t="s">
        <v>28612</v>
      </c>
      <c r="B1574" s="947" t="s">
        <v>13233</v>
      </c>
      <c r="C1574" s="948" t="s">
        <v>13231</v>
      </c>
      <c r="D1574" s="242" t="s">
        <v>439</v>
      </c>
      <c r="E1574" s="949">
        <v>304</v>
      </c>
      <c r="F1574" s="949">
        <v>304</v>
      </c>
      <c r="G1574" s="950" t="s">
        <v>6911</v>
      </c>
      <c r="H1574" s="950" t="s">
        <v>793</v>
      </c>
      <c r="I1574" s="951" t="s">
        <v>13232</v>
      </c>
      <c r="J1574" s="947" t="s">
        <v>13233</v>
      </c>
      <c r="K1574" s="143"/>
    </row>
    <row r="1575" spans="1:11">
      <c r="A1575" s="946" t="s">
        <v>28612</v>
      </c>
      <c r="B1575" s="947" t="s">
        <v>13418</v>
      </c>
      <c r="C1575" s="948" t="s">
        <v>13416</v>
      </c>
      <c r="D1575" s="242" t="s">
        <v>439</v>
      </c>
      <c r="E1575" s="949">
        <v>304</v>
      </c>
      <c r="F1575" s="949">
        <v>304</v>
      </c>
      <c r="G1575" s="950" t="s">
        <v>6911</v>
      </c>
      <c r="H1575" s="950" t="s">
        <v>793</v>
      </c>
      <c r="I1575" s="951" t="s">
        <v>13417</v>
      </c>
      <c r="J1575" s="947" t="s">
        <v>13418</v>
      </c>
      <c r="K1575" s="143"/>
    </row>
    <row r="1576" spans="1:11">
      <c r="A1576" s="946" t="s">
        <v>28612</v>
      </c>
      <c r="B1576" s="947" t="s">
        <v>13566</v>
      </c>
      <c r="C1576" s="948" t="s">
        <v>13564</v>
      </c>
      <c r="D1576" s="242" t="s">
        <v>439</v>
      </c>
      <c r="E1576" s="949">
        <v>304</v>
      </c>
      <c r="F1576" s="949">
        <v>304</v>
      </c>
      <c r="G1576" s="950" t="s">
        <v>6911</v>
      </c>
      <c r="H1576" s="950" t="s">
        <v>793</v>
      </c>
      <c r="I1576" s="951" t="s">
        <v>13565</v>
      </c>
      <c r="J1576" s="947" t="s">
        <v>13566</v>
      </c>
      <c r="K1576" s="143"/>
    </row>
    <row r="1577" spans="1:11">
      <c r="A1577" s="946" t="s">
        <v>28612</v>
      </c>
      <c r="B1577" s="947" t="s">
        <v>13628</v>
      </c>
      <c r="C1577" s="948" t="s">
        <v>13626</v>
      </c>
      <c r="D1577" s="242" t="s">
        <v>439</v>
      </c>
      <c r="E1577" s="949">
        <v>304</v>
      </c>
      <c r="F1577" s="949">
        <v>304</v>
      </c>
      <c r="G1577" s="950" t="s">
        <v>6911</v>
      </c>
      <c r="H1577" s="950" t="s">
        <v>793</v>
      </c>
      <c r="I1577" s="951" t="s">
        <v>13627</v>
      </c>
      <c r="J1577" s="947" t="s">
        <v>13628</v>
      </c>
      <c r="K1577" s="143"/>
    </row>
    <row r="1578" spans="1:11">
      <c r="A1578" s="946" t="s">
        <v>28612</v>
      </c>
      <c r="B1578" s="947" t="s">
        <v>13768</v>
      </c>
      <c r="C1578" s="948" t="s">
        <v>13766</v>
      </c>
      <c r="D1578" s="242" t="s">
        <v>439</v>
      </c>
      <c r="E1578" s="949">
        <v>304</v>
      </c>
      <c r="F1578" s="949">
        <v>304</v>
      </c>
      <c r="G1578" s="950" t="s">
        <v>6911</v>
      </c>
      <c r="H1578" s="950" t="s">
        <v>793</v>
      </c>
      <c r="I1578" s="951" t="s">
        <v>13767</v>
      </c>
      <c r="J1578" s="947" t="s">
        <v>13768</v>
      </c>
      <c r="K1578" s="143"/>
    </row>
    <row r="1579" spans="1:11">
      <c r="A1579" s="946" t="s">
        <v>28612</v>
      </c>
      <c r="B1579" s="947" t="s">
        <v>14417</v>
      </c>
      <c r="C1579" s="948" t="s">
        <v>14415</v>
      </c>
      <c r="D1579" s="242" t="s">
        <v>439</v>
      </c>
      <c r="E1579" s="949">
        <v>304</v>
      </c>
      <c r="F1579" s="949">
        <v>304</v>
      </c>
      <c r="G1579" s="950" t="s">
        <v>6911</v>
      </c>
      <c r="H1579" s="950" t="s">
        <v>793</v>
      </c>
      <c r="I1579" s="951" t="s">
        <v>14416</v>
      </c>
      <c r="J1579" s="947" t="s">
        <v>14417</v>
      </c>
      <c r="K1579" s="143"/>
    </row>
    <row r="1580" spans="1:11">
      <c r="A1580" s="946" t="s">
        <v>28612</v>
      </c>
      <c r="B1580" s="947" t="s">
        <v>14731</v>
      </c>
      <c r="C1580" s="948" t="s">
        <v>14729</v>
      </c>
      <c r="D1580" s="242" t="s">
        <v>439</v>
      </c>
      <c r="E1580" s="949">
        <v>304</v>
      </c>
      <c r="F1580" s="949">
        <v>304</v>
      </c>
      <c r="G1580" s="950" t="s">
        <v>6911</v>
      </c>
      <c r="H1580" s="950" t="s">
        <v>793</v>
      </c>
      <c r="I1580" s="951" t="s">
        <v>14730</v>
      </c>
      <c r="J1580" s="947" t="s">
        <v>14731</v>
      </c>
      <c r="K1580" s="143"/>
    </row>
    <row r="1581" spans="1:11">
      <c r="A1581" s="946" t="s">
        <v>28612</v>
      </c>
      <c r="B1581" s="947" t="s">
        <v>14990</v>
      </c>
      <c r="C1581" s="948" t="s">
        <v>14988</v>
      </c>
      <c r="D1581" s="242" t="s">
        <v>439</v>
      </c>
      <c r="E1581" s="949">
        <v>304</v>
      </c>
      <c r="F1581" s="949">
        <v>304</v>
      </c>
      <c r="G1581" s="950" t="s">
        <v>6911</v>
      </c>
      <c r="H1581" s="950" t="s">
        <v>793</v>
      </c>
      <c r="I1581" s="951" t="s">
        <v>14989</v>
      </c>
      <c r="J1581" s="947" t="s">
        <v>14990</v>
      </c>
      <c r="K1581" s="143"/>
    </row>
    <row r="1582" spans="1:11">
      <c r="A1582" s="946" t="s">
        <v>28612</v>
      </c>
      <c r="B1582" s="947" t="s">
        <v>15141</v>
      </c>
      <c r="C1582" s="948" t="s">
        <v>15139</v>
      </c>
      <c r="D1582" s="242" t="s">
        <v>439</v>
      </c>
      <c r="E1582" s="949">
        <v>304</v>
      </c>
      <c r="F1582" s="949">
        <v>304</v>
      </c>
      <c r="G1582" s="950" t="s">
        <v>6911</v>
      </c>
      <c r="H1582" s="950" t="s">
        <v>793</v>
      </c>
      <c r="I1582" s="951" t="s">
        <v>15140</v>
      </c>
      <c r="J1582" s="947" t="s">
        <v>15141</v>
      </c>
      <c r="K1582" s="143"/>
    </row>
    <row r="1583" spans="1:11">
      <c r="A1583" s="946" t="s">
        <v>28612</v>
      </c>
      <c r="B1583" s="947" t="s">
        <v>15232</v>
      </c>
      <c r="C1583" s="948" t="s">
        <v>15230</v>
      </c>
      <c r="D1583" s="242" t="s">
        <v>439</v>
      </c>
      <c r="E1583" s="949">
        <v>304</v>
      </c>
      <c r="F1583" s="949">
        <v>304</v>
      </c>
      <c r="G1583" s="950" t="s">
        <v>6911</v>
      </c>
      <c r="H1583" s="950" t="s">
        <v>793</v>
      </c>
      <c r="I1583" s="951" t="s">
        <v>15231</v>
      </c>
      <c r="J1583" s="947" t="s">
        <v>15232</v>
      </c>
      <c r="K1583" s="143"/>
    </row>
    <row r="1584" spans="1:11">
      <c r="A1584" s="946" t="s">
        <v>28612</v>
      </c>
      <c r="B1584" s="947" t="s">
        <v>15359</v>
      </c>
      <c r="C1584" s="948" t="s">
        <v>15357</v>
      </c>
      <c r="D1584" s="242" t="s">
        <v>439</v>
      </c>
      <c r="E1584" s="949">
        <v>304</v>
      </c>
      <c r="F1584" s="949">
        <v>304</v>
      </c>
      <c r="G1584" s="950" t="s">
        <v>6911</v>
      </c>
      <c r="H1584" s="950" t="s">
        <v>793</v>
      </c>
      <c r="I1584" s="951" t="s">
        <v>15358</v>
      </c>
      <c r="J1584" s="947" t="s">
        <v>15359</v>
      </c>
      <c r="K1584" s="143"/>
    </row>
    <row r="1585" spans="1:11">
      <c r="A1585" s="946" t="s">
        <v>28612</v>
      </c>
      <c r="B1585" s="947" t="s">
        <v>15394</v>
      </c>
      <c r="C1585" s="948" t="s">
        <v>15392</v>
      </c>
      <c r="D1585" s="242" t="s">
        <v>439</v>
      </c>
      <c r="E1585" s="949">
        <v>304</v>
      </c>
      <c r="F1585" s="949">
        <v>304</v>
      </c>
      <c r="G1585" s="950" t="s">
        <v>6911</v>
      </c>
      <c r="H1585" s="950" t="s">
        <v>793</v>
      </c>
      <c r="I1585" s="951" t="s">
        <v>15393</v>
      </c>
      <c r="J1585" s="947" t="s">
        <v>15394</v>
      </c>
      <c r="K1585" s="143"/>
    </row>
    <row r="1586" spans="1:11">
      <c r="A1586" s="946" t="s">
        <v>28612</v>
      </c>
      <c r="B1586" s="947" t="s">
        <v>15520</v>
      </c>
      <c r="C1586" s="948" t="s">
        <v>15518</v>
      </c>
      <c r="D1586" s="242" t="s">
        <v>439</v>
      </c>
      <c r="E1586" s="949">
        <v>304</v>
      </c>
      <c r="F1586" s="949">
        <v>304</v>
      </c>
      <c r="G1586" s="950" t="s">
        <v>6911</v>
      </c>
      <c r="H1586" s="950" t="s">
        <v>793</v>
      </c>
      <c r="I1586" s="951" t="s">
        <v>15519</v>
      </c>
      <c r="J1586" s="947" t="s">
        <v>15520</v>
      </c>
      <c r="K1586" s="143"/>
    </row>
    <row r="1587" spans="1:11">
      <c r="A1587" s="946" t="s">
        <v>28612</v>
      </c>
      <c r="B1587" s="947" t="s">
        <v>15903</v>
      </c>
      <c r="C1587" s="948" t="s">
        <v>15901</v>
      </c>
      <c r="D1587" s="242" t="s">
        <v>439</v>
      </c>
      <c r="E1587" s="949">
        <v>304</v>
      </c>
      <c r="F1587" s="949">
        <v>304</v>
      </c>
      <c r="G1587" s="950" t="s">
        <v>6911</v>
      </c>
      <c r="H1587" s="950" t="s">
        <v>793</v>
      </c>
      <c r="I1587" s="951" t="s">
        <v>15902</v>
      </c>
      <c r="J1587" s="947" t="s">
        <v>15903</v>
      </c>
      <c r="K1587" s="143"/>
    </row>
    <row r="1588" spans="1:11">
      <c r="A1588" s="946" t="s">
        <v>28612</v>
      </c>
      <c r="B1588" s="947" t="s">
        <v>15937</v>
      </c>
      <c r="C1588" s="948" t="s">
        <v>15935</v>
      </c>
      <c r="D1588" s="242" t="s">
        <v>439</v>
      </c>
      <c r="E1588" s="949">
        <v>304</v>
      </c>
      <c r="F1588" s="949">
        <v>304</v>
      </c>
      <c r="G1588" s="950" t="s">
        <v>6911</v>
      </c>
      <c r="H1588" s="950" t="s">
        <v>793</v>
      </c>
      <c r="I1588" s="951" t="s">
        <v>15936</v>
      </c>
      <c r="J1588" s="947" t="s">
        <v>15937</v>
      </c>
      <c r="K1588" s="143"/>
    </row>
    <row r="1589" spans="1:11">
      <c r="A1589" s="946" t="s">
        <v>28612</v>
      </c>
      <c r="B1589" s="947" t="s">
        <v>16235</v>
      </c>
      <c r="C1589" s="948" t="s">
        <v>16233</v>
      </c>
      <c r="D1589" s="242" t="s">
        <v>439</v>
      </c>
      <c r="E1589" s="949">
        <v>304</v>
      </c>
      <c r="F1589" s="949">
        <v>304</v>
      </c>
      <c r="G1589" s="950" t="s">
        <v>6911</v>
      </c>
      <c r="H1589" s="950" t="s">
        <v>793</v>
      </c>
      <c r="I1589" s="951" t="s">
        <v>16234</v>
      </c>
      <c r="J1589" s="947" t="s">
        <v>16235</v>
      </c>
      <c r="K1589" s="143"/>
    </row>
    <row r="1590" spans="1:11">
      <c r="A1590" s="946" t="s">
        <v>28612</v>
      </c>
      <c r="B1590" s="947" t="s">
        <v>16758</v>
      </c>
      <c r="C1590" s="948" t="s">
        <v>16756</v>
      </c>
      <c r="D1590" s="242" t="s">
        <v>439</v>
      </c>
      <c r="E1590" s="949">
        <v>304</v>
      </c>
      <c r="F1590" s="949">
        <v>304</v>
      </c>
      <c r="G1590" s="950" t="s">
        <v>6911</v>
      </c>
      <c r="H1590" s="950" t="s">
        <v>793</v>
      </c>
      <c r="I1590" s="951" t="s">
        <v>16757</v>
      </c>
      <c r="J1590" s="947" t="s">
        <v>16758</v>
      </c>
      <c r="K1590" s="143"/>
    </row>
    <row r="1591" spans="1:11">
      <c r="A1591" s="946" t="s">
        <v>28612</v>
      </c>
      <c r="B1591" s="947" t="s">
        <v>17033</v>
      </c>
      <c r="C1591" s="948" t="s">
        <v>17031</v>
      </c>
      <c r="D1591" s="242" t="s">
        <v>439</v>
      </c>
      <c r="E1591" s="949">
        <v>304</v>
      </c>
      <c r="F1591" s="949">
        <v>304</v>
      </c>
      <c r="G1591" s="950" t="s">
        <v>6911</v>
      </c>
      <c r="H1591" s="950" t="s">
        <v>793</v>
      </c>
      <c r="I1591" s="951" t="s">
        <v>17032</v>
      </c>
      <c r="J1591" s="947" t="s">
        <v>17033</v>
      </c>
      <c r="K1591" s="143"/>
    </row>
    <row r="1592" spans="1:11">
      <c r="A1592" s="946" t="s">
        <v>28612</v>
      </c>
      <c r="B1592" s="947" t="s">
        <v>17036</v>
      </c>
      <c r="C1592" s="948" t="s">
        <v>17034</v>
      </c>
      <c r="D1592" s="242" t="s">
        <v>439</v>
      </c>
      <c r="E1592" s="949">
        <v>304</v>
      </c>
      <c r="F1592" s="949">
        <v>304</v>
      </c>
      <c r="G1592" s="950" t="s">
        <v>6911</v>
      </c>
      <c r="H1592" s="950" t="s">
        <v>793</v>
      </c>
      <c r="I1592" s="951" t="s">
        <v>17035</v>
      </c>
      <c r="J1592" s="947" t="s">
        <v>17036</v>
      </c>
      <c r="K1592" s="143"/>
    </row>
    <row r="1593" spans="1:11">
      <c r="A1593" s="946" t="s">
        <v>28612</v>
      </c>
      <c r="B1593" s="947" t="s">
        <v>17203</v>
      </c>
      <c r="C1593" s="948" t="s">
        <v>17201</v>
      </c>
      <c r="D1593" s="242" t="s">
        <v>439</v>
      </c>
      <c r="E1593" s="949">
        <v>304</v>
      </c>
      <c r="F1593" s="949">
        <v>304</v>
      </c>
      <c r="G1593" s="950" t="s">
        <v>6911</v>
      </c>
      <c r="H1593" s="950" t="s">
        <v>793</v>
      </c>
      <c r="I1593" s="951" t="s">
        <v>17202</v>
      </c>
      <c r="J1593" s="947" t="s">
        <v>17203</v>
      </c>
      <c r="K1593" s="143"/>
    </row>
    <row r="1594" spans="1:11">
      <c r="A1594" s="946" t="s">
        <v>28612</v>
      </c>
      <c r="B1594" s="947" t="s">
        <v>17367</v>
      </c>
      <c r="C1594" s="948" t="s">
        <v>17365</v>
      </c>
      <c r="D1594" s="242" t="s">
        <v>439</v>
      </c>
      <c r="E1594" s="949">
        <v>304</v>
      </c>
      <c r="F1594" s="949">
        <v>304</v>
      </c>
      <c r="G1594" s="950" t="s">
        <v>6911</v>
      </c>
      <c r="H1594" s="950" t="s">
        <v>793</v>
      </c>
      <c r="I1594" s="951" t="s">
        <v>17366</v>
      </c>
      <c r="J1594" s="947" t="s">
        <v>17367</v>
      </c>
      <c r="K1594" s="143"/>
    </row>
    <row r="1595" spans="1:11">
      <c r="A1595" s="946" t="s">
        <v>28612</v>
      </c>
      <c r="B1595" s="947" t="s">
        <v>17570</v>
      </c>
      <c r="C1595" s="948" t="s">
        <v>17568</v>
      </c>
      <c r="D1595" s="242" t="s">
        <v>439</v>
      </c>
      <c r="E1595" s="949">
        <v>304</v>
      </c>
      <c r="F1595" s="949">
        <v>304</v>
      </c>
      <c r="G1595" s="950" t="s">
        <v>6911</v>
      </c>
      <c r="H1595" s="950" t="s">
        <v>793</v>
      </c>
      <c r="I1595" s="951" t="s">
        <v>17569</v>
      </c>
      <c r="J1595" s="947" t="s">
        <v>17570</v>
      </c>
      <c r="K1595" s="143"/>
    </row>
    <row r="1596" spans="1:11">
      <c r="A1596" s="946" t="s">
        <v>28612</v>
      </c>
      <c r="B1596" s="947" t="s">
        <v>18001</v>
      </c>
      <c r="C1596" s="948" t="s">
        <v>17999</v>
      </c>
      <c r="D1596" s="242" t="s">
        <v>439</v>
      </c>
      <c r="E1596" s="949">
        <v>304</v>
      </c>
      <c r="F1596" s="949">
        <v>304</v>
      </c>
      <c r="G1596" s="950" t="s">
        <v>6911</v>
      </c>
      <c r="H1596" s="950" t="s">
        <v>793</v>
      </c>
      <c r="I1596" s="951" t="s">
        <v>18000</v>
      </c>
      <c r="J1596" s="947" t="s">
        <v>18001</v>
      </c>
      <c r="K1596" s="143"/>
    </row>
    <row r="1597" spans="1:11">
      <c r="A1597" s="946" t="s">
        <v>28612</v>
      </c>
      <c r="B1597" s="947" t="s">
        <v>19079</v>
      </c>
      <c r="C1597" s="948" t="s">
        <v>19077</v>
      </c>
      <c r="D1597" s="242" t="s">
        <v>439</v>
      </c>
      <c r="E1597" s="949">
        <v>304</v>
      </c>
      <c r="F1597" s="949">
        <v>304</v>
      </c>
      <c r="G1597" s="950" t="s">
        <v>6911</v>
      </c>
      <c r="H1597" s="950" t="s">
        <v>793</v>
      </c>
      <c r="I1597" s="951" t="s">
        <v>19078</v>
      </c>
      <c r="J1597" s="947" t="s">
        <v>19079</v>
      </c>
      <c r="K1597" s="143"/>
    </row>
    <row r="1598" spans="1:11">
      <c r="A1598" s="946" t="s">
        <v>28612</v>
      </c>
      <c r="B1598" s="947" t="s">
        <v>19262</v>
      </c>
      <c r="C1598" s="948" t="s">
        <v>19260</v>
      </c>
      <c r="D1598" s="242" t="s">
        <v>439</v>
      </c>
      <c r="E1598" s="949">
        <v>304</v>
      </c>
      <c r="F1598" s="949">
        <v>304</v>
      </c>
      <c r="G1598" s="950" t="s">
        <v>6911</v>
      </c>
      <c r="H1598" s="950" t="s">
        <v>793</v>
      </c>
      <c r="I1598" s="951" t="s">
        <v>19261</v>
      </c>
      <c r="J1598" s="947" t="s">
        <v>19262</v>
      </c>
      <c r="K1598" s="143"/>
    </row>
    <row r="1599" spans="1:11">
      <c r="A1599" s="946" t="s">
        <v>28612</v>
      </c>
      <c r="B1599" s="947" t="s">
        <v>19769</v>
      </c>
      <c r="C1599" s="948" t="s">
        <v>19767</v>
      </c>
      <c r="D1599" s="242" t="s">
        <v>439</v>
      </c>
      <c r="E1599" s="949">
        <v>304</v>
      </c>
      <c r="F1599" s="949">
        <v>304</v>
      </c>
      <c r="G1599" s="950" t="s">
        <v>6911</v>
      </c>
      <c r="H1599" s="950" t="s">
        <v>793</v>
      </c>
      <c r="I1599" s="951" t="s">
        <v>19768</v>
      </c>
      <c r="J1599" s="947" t="s">
        <v>19769</v>
      </c>
      <c r="K1599" s="143"/>
    </row>
    <row r="1600" spans="1:11">
      <c r="A1600" s="946" t="s">
        <v>28612</v>
      </c>
      <c r="B1600" s="947" t="s">
        <v>19778</v>
      </c>
      <c r="C1600" s="948" t="s">
        <v>19776</v>
      </c>
      <c r="D1600" s="242" t="s">
        <v>439</v>
      </c>
      <c r="E1600" s="949">
        <v>304</v>
      </c>
      <c r="F1600" s="949">
        <v>304</v>
      </c>
      <c r="G1600" s="950" t="s">
        <v>6911</v>
      </c>
      <c r="H1600" s="950" t="s">
        <v>793</v>
      </c>
      <c r="I1600" s="951" t="s">
        <v>19777</v>
      </c>
      <c r="J1600" s="947" t="s">
        <v>19778</v>
      </c>
      <c r="K1600" s="143"/>
    </row>
    <row r="1601" spans="1:11">
      <c r="A1601" s="946" t="s">
        <v>28612</v>
      </c>
      <c r="B1601" s="947" t="s">
        <v>19978</v>
      </c>
      <c r="C1601" s="948" t="s">
        <v>19976</v>
      </c>
      <c r="D1601" s="242" t="s">
        <v>439</v>
      </c>
      <c r="E1601" s="949">
        <v>304</v>
      </c>
      <c r="F1601" s="949">
        <v>304</v>
      </c>
      <c r="G1601" s="950" t="s">
        <v>6911</v>
      </c>
      <c r="H1601" s="950" t="s">
        <v>793</v>
      </c>
      <c r="I1601" s="951" t="s">
        <v>19977</v>
      </c>
      <c r="J1601" s="947" t="s">
        <v>19978</v>
      </c>
      <c r="K1601" s="143"/>
    </row>
    <row r="1602" spans="1:11">
      <c r="A1602" s="946" t="s">
        <v>28612</v>
      </c>
      <c r="B1602" s="947" t="s">
        <v>20263</v>
      </c>
      <c r="C1602" s="948" t="s">
        <v>20261</v>
      </c>
      <c r="D1602" s="242" t="s">
        <v>439</v>
      </c>
      <c r="E1602" s="949">
        <v>304</v>
      </c>
      <c r="F1602" s="949">
        <v>304</v>
      </c>
      <c r="G1602" s="950" t="s">
        <v>6911</v>
      </c>
      <c r="H1602" s="950" t="s">
        <v>793</v>
      </c>
      <c r="I1602" s="951" t="s">
        <v>20262</v>
      </c>
      <c r="J1602" s="947" t="s">
        <v>20263</v>
      </c>
      <c r="K1602" s="143"/>
    </row>
    <row r="1603" spans="1:11">
      <c r="A1603" s="946" t="s">
        <v>28612</v>
      </c>
      <c r="B1603" s="947" t="s">
        <v>20605</v>
      </c>
      <c r="C1603" s="948" t="s">
        <v>20603</v>
      </c>
      <c r="D1603" s="242" t="s">
        <v>439</v>
      </c>
      <c r="E1603" s="949">
        <v>304</v>
      </c>
      <c r="F1603" s="949">
        <v>304</v>
      </c>
      <c r="G1603" s="950" t="s">
        <v>6911</v>
      </c>
      <c r="H1603" s="950" t="s">
        <v>793</v>
      </c>
      <c r="I1603" s="951" t="s">
        <v>20604</v>
      </c>
      <c r="J1603" s="947" t="s">
        <v>20605</v>
      </c>
      <c r="K1603" s="143"/>
    </row>
    <row r="1604" spans="1:11">
      <c r="A1604" s="946" t="s">
        <v>28612</v>
      </c>
      <c r="B1604" s="947" t="s">
        <v>21004</v>
      </c>
      <c r="C1604" s="948" t="s">
        <v>21002</v>
      </c>
      <c r="D1604" s="242" t="s">
        <v>439</v>
      </c>
      <c r="E1604" s="949">
        <v>304</v>
      </c>
      <c r="F1604" s="949">
        <v>304</v>
      </c>
      <c r="G1604" s="950" t="s">
        <v>6911</v>
      </c>
      <c r="H1604" s="950" t="s">
        <v>793</v>
      </c>
      <c r="I1604" s="951" t="s">
        <v>21003</v>
      </c>
      <c r="J1604" s="947" t="s">
        <v>21004</v>
      </c>
      <c r="K1604" s="143"/>
    </row>
    <row r="1605" spans="1:11">
      <c r="A1605" s="946" t="s">
        <v>28612</v>
      </c>
      <c r="B1605" s="947" t="s">
        <v>21131</v>
      </c>
      <c r="C1605" s="948" t="s">
        <v>21129</v>
      </c>
      <c r="D1605" s="242" t="s">
        <v>439</v>
      </c>
      <c r="E1605" s="949">
        <v>304</v>
      </c>
      <c r="F1605" s="949">
        <v>304</v>
      </c>
      <c r="G1605" s="950" t="s">
        <v>6911</v>
      </c>
      <c r="H1605" s="950" t="s">
        <v>793</v>
      </c>
      <c r="I1605" s="951" t="s">
        <v>21130</v>
      </c>
      <c r="J1605" s="947" t="s">
        <v>21131</v>
      </c>
      <c r="K1605" s="143"/>
    </row>
    <row r="1606" spans="1:11">
      <c r="A1606" s="946" t="s">
        <v>28612</v>
      </c>
      <c r="B1606" s="947" t="s">
        <v>21305</v>
      </c>
      <c r="C1606" s="948" t="s">
        <v>21303</v>
      </c>
      <c r="D1606" s="242" t="s">
        <v>439</v>
      </c>
      <c r="E1606" s="949">
        <v>304</v>
      </c>
      <c r="F1606" s="949">
        <v>304</v>
      </c>
      <c r="G1606" s="950" t="s">
        <v>6911</v>
      </c>
      <c r="H1606" s="950" t="s">
        <v>793</v>
      </c>
      <c r="I1606" s="951" t="s">
        <v>21304</v>
      </c>
      <c r="J1606" s="947" t="s">
        <v>21305</v>
      </c>
      <c r="K1606" s="143"/>
    </row>
    <row r="1607" spans="1:11">
      <c r="A1607" s="946" t="s">
        <v>28612</v>
      </c>
      <c r="B1607" s="947" t="s">
        <v>21499</v>
      </c>
      <c r="C1607" s="948" t="s">
        <v>21497</v>
      </c>
      <c r="D1607" s="242" t="s">
        <v>439</v>
      </c>
      <c r="E1607" s="949">
        <v>304</v>
      </c>
      <c r="F1607" s="949">
        <v>304</v>
      </c>
      <c r="G1607" s="950" t="s">
        <v>6911</v>
      </c>
      <c r="H1607" s="950" t="s">
        <v>793</v>
      </c>
      <c r="I1607" s="951" t="s">
        <v>21498</v>
      </c>
      <c r="J1607" s="947" t="s">
        <v>21499</v>
      </c>
      <c r="K1607" s="143"/>
    </row>
    <row r="1608" spans="1:11">
      <c r="A1608" s="946" t="s">
        <v>28612</v>
      </c>
      <c r="B1608" s="947" t="s">
        <v>21293</v>
      </c>
      <c r="C1608" s="948" t="s">
        <v>21291</v>
      </c>
      <c r="D1608" s="242" t="s">
        <v>439</v>
      </c>
      <c r="E1608" s="949">
        <v>304</v>
      </c>
      <c r="F1608" s="949">
        <v>304</v>
      </c>
      <c r="G1608" s="950" t="s">
        <v>6911</v>
      </c>
      <c r="H1608" s="950" t="s">
        <v>793</v>
      </c>
      <c r="I1608" s="951" t="s">
        <v>21292</v>
      </c>
      <c r="J1608" s="947" t="s">
        <v>21293</v>
      </c>
      <c r="K1608" s="143"/>
    </row>
    <row r="1609" spans="1:11">
      <c r="A1609" s="946" t="s">
        <v>28612</v>
      </c>
      <c r="B1609" s="947" t="s">
        <v>21523</v>
      </c>
      <c r="C1609" s="948" t="s">
        <v>21521</v>
      </c>
      <c r="D1609" s="242" t="s">
        <v>439</v>
      </c>
      <c r="E1609" s="949">
        <v>304</v>
      </c>
      <c r="F1609" s="949">
        <v>304</v>
      </c>
      <c r="G1609" s="950" t="s">
        <v>6911</v>
      </c>
      <c r="H1609" s="950" t="s">
        <v>793</v>
      </c>
      <c r="I1609" s="951" t="s">
        <v>21522</v>
      </c>
      <c r="J1609" s="947" t="s">
        <v>21523</v>
      </c>
      <c r="K1609" s="143"/>
    </row>
    <row r="1610" spans="1:11">
      <c r="A1610" s="946" t="s">
        <v>28612</v>
      </c>
      <c r="B1610" s="947" t="s">
        <v>21655</v>
      </c>
      <c r="C1610" s="948" t="s">
        <v>21653</v>
      </c>
      <c r="D1610" s="242" t="s">
        <v>439</v>
      </c>
      <c r="E1610" s="949">
        <v>304</v>
      </c>
      <c r="F1610" s="949">
        <v>304</v>
      </c>
      <c r="G1610" s="950" t="s">
        <v>6911</v>
      </c>
      <c r="H1610" s="950" t="s">
        <v>793</v>
      </c>
      <c r="I1610" s="951" t="s">
        <v>21654</v>
      </c>
      <c r="J1610" s="947" t="s">
        <v>21655</v>
      </c>
      <c r="K1610" s="143"/>
    </row>
    <row r="1611" spans="1:11">
      <c r="A1611" s="946" t="s">
        <v>28612</v>
      </c>
      <c r="B1611" s="947" t="s">
        <v>21704</v>
      </c>
      <c r="C1611" s="948" t="s">
        <v>21702</v>
      </c>
      <c r="D1611" s="242" t="s">
        <v>439</v>
      </c>
      <c r="E1611" s="949">
        <v>304</v>
      </c>
      <c r="F1611" s="949">
        <v>304</v>
      </c>
      <c r="G1611" s="950" t="s">
        <v>6911</v>
      </c>
      <c r="H1611" s="950" t="s">
        <v>793</v>
      </c>
      <c r="I1611" s="951" t="s">
        <v>21703</v>
      </c>
      <c r="J1611" s="947" t="s">
        <v>21704</v>
      </c>
      <c r="K1611" s="143"/>
    </row>
    <row r="1612" spans="1:11">
      <c r="A1612" s="946" t="s">
        <v>28612</v>
      </c>
      <c r="B1612" s="947" t="s">
        <v>21733</v>
      </c>
      <c r="C1612" s="948" t="s">
        <v>21731</v>
      </c>
      <c r="D1612" s="242" t="s">
        <v>439</v>
      </c>
      <c r="E1612" s="949">
        <v>304</v>
      </c>
      <c r="F1612" s="949">
        <v>304</v>
      </c>
      <c r="G1612" s="950" t="s">
        <v>6911</v>
      </c>
      <c r="H1612" s="950" t="s">
        <v>793</v>
      </c>
      <c r="I1612" s="951" t="s">
        <v>21732</v>
      </c>
      <c r="J1612" s="947" t="s">
        <v>21733</v>
      </c>
      <c r="K1612" s="143"/>
    </row>
    <row r="1613" spans="1:11">
      <c r="A1613" s="946" t="s">
        <v>28612</v>
      </c>
      <c r="B1613" s="947" t="s">
        <v>21819</v>
      </c>
      <c r="C1613" s="948" t="s">
        <v>21817</v>
      </c>
      <c r="D1613" s="242" t="s">
        <v>439</v>
      </c>
      <c r="E1613" s="949">
        <v>304</v>
      </c>
      <c r="F1613" s="949">
        <v>304</v>
      </c>
      <c r="G1613" s="950" t="s">
        <v>6911</v>
      </c>
      <c r="H1613" s="950" t="s">
        <v>793</v>
      </c>
      <c r="I1613" s="951" t="s">
        <v>21818</v>
      </c>
      <c r="J1613" s="947" t="s">
        <v>21819</v>
      </c>
      <c r="K1613" s="143"/>
    </row>
    <row r="1614" spans="1:11">
      <c r="A1614" s="946" t="s">
        <v>28612</v>
      </c>
      <c r="B1614" s="947" t="s">
        <v>22103</v>
      </c>
      <c r="C1614" s="948" t="s">
        <v>22101</v>
      </c>
      <c r="D1614" s="242" t="s">
        <v>439</v>
      </c>
      <c r="E1614" s="949">
        <v>304</v>
      </c>
      <c r="F1614" s="949">
        <v>304</v>
      </c>
      <c r="G1614" s="950" t="s">
        <v>6911</v>
      </c>
      <c r="H1614" s="950" t="s">
        <v>793</v>
      </c>
      <c r="I1614" s="951" t="s">
        <v>22102</v>
      </c>
      <c r="J1614" s="947" t="s">
        <v>22103</v>
      </c>
      <c r="K1614" s="143"/>
    </row>
    <row r="1615" spans="1:11">
      <c r="A1615" s="946" t="s">
        <v>28612</v>
      </c>
      <c r="B1615" s="947" t="s">
        <v>22582</v>
      </c>
      <c r="C1615" s="948" t="s">
        <v>22580</v>
      </c>
      <c r="D1615" s="242" t="s">
        <v>439</v>
      </c>
      <c r="E1615" s="949">
        <v>304</v>
      </c>
      <c r="F1615" s="949">
        <v>304</v>
      </c>
      <c r="G1615" s="950" t="s">
        <v>6911</v>
      </c>
      <c r="H1615" s="950" t="s">
        <v>793</v>
      </c>
      <c r="I1615" s="951" t="s">
        <v>22581</v>
      </c>
      <c r="J1615" s="947" t="s">
        <v>22582</v>
      </c>
      <c r="K1615" s="143"/>
    </row>
    <row r="1616" spans="1:11">
      <c r="A1616" s="946" t="s">
        <v>28612</v>
      </c>
      <c r="B1616" s="947" t="s">
        <v>18228</v>
      </c>
      <c r="C1616" s="948" t="s">
        <v>18226</v>
      </c>
      <c r="D1616" s="242" t="s">
        <v>439</v>
      </c>
      <c r="E1616" s="949">
        <v>304</v>
      </c>
      <c r="F1616" s="949">
        <v>304</v>
      </c>
      <c r="G1616" s="950" t="s">
        <v>6911</v>
      </c>
      <c r="H1616" s="950" t="s">
        <v>793</v>
      </c>
      <c r="I1616" s="951" t="s">
        <v>18227</v>
      </c>
      <c r="J1616" s="947" t="s">
        <v>18228</v>
      </c>
      <c r="K1616" s="143"/>
    </row>
    <row r="1617" spans="1:11">
      <c r="A1617" s="946" t="s">
        <v>28612</v>
      </c>
      <c r="B1617" s="947" t="s">
        <v>9489</v>
      </c>
      <c r="C1617" s="948" t="s">
        <v>9487</v>
      </c>
      <c r="D1617" s="242" t="s">
        <v>439</v>
      </c>
      <c r="E1617" s="949">
        <v>304</v>
      </c>
      <c r="F1617" s="949">
        <v>304</v>
      </c>
      <c r="G1617" s="950" t="s">
        <v>6911</v>
      </c>
      <c r="H1617" s="950" t="s">
        <v>793</v>
      </c>
      <c r="I1617" s="951" t="s">
        <v>9488</v>
      </c>
      <c r="J1617" s="947" t="s">
        <v>9489</v>
      </c>
      <c r="K1617" s="143"/>
    </row>
    <row r="1618" spans="1:11">
      <c r="A1618" s="946" t="s">
        <v>28612</v>
      </c>
      <c r="B1618" s="947" t="s">
        <v>2171</v>
      </c>
      <c r="C1618" s="948" t="s">
        <v>2170</v>
      </c>
      <c r="D1618" s="242" t="s">
        <v>439</v>
      </c>
      <c r="E1618" s="949">
        <v>304</v>
      </c>
      <c r="F1618" s="949">
        <v>304</v>
      </c>
      <c r="G1618" s="950" t="s">
        <v>6911</v>
      </c>
      <c r="H1618" s="950" t="s">
        <v>793</v>
      </c>
      <c r="I1618" s="951" t="s">
        <v>24914</v>
      </c>
      <c r="J1618" s="947" t="s">
        <v>2171</v>
      </c>
      <c r="K1618" s="143"/>
    </row>
    <row r="1619" spans="1:11">
      <c r="A1619" s="946" t="s">
        <v>28612</v>
      </c>
      <c r="B1619" s="947" t="s">
        <v>24921</v>
      </c>
      <c r="C1619" s="948" t="s">
        <v>26166</v>
      </c>
      <c r="D1619" s="242" t="s">
        <v>439</v>
      </c>
      <c r="E1619" s="949">
        <v>304</v>
      </c>
      <c r="F1619" s="949">
        <v>304</v>
      </c>
      <c r="G1619" s="950" t="s">
        <v>6911</v>
      </c>
      <c r="H1619" s="950" t="s">
        <v>793</v>
      </c>
      <c r="I1619" s="951" t="s">
        <v>24922</v>
      </c>
      <c r="J1619" s="947" t="s">
        <v>24921</v>
      </c>
      <c r="K1619" s="143"/>
    </row>
    <row r="1620" spans="1:11">
      <c r="A1620" s="946" t="s">
        <v>28612</v>
      </c>
      <c r="B1620" s="947" t="s">
        <v>26167</v>
      </c>
      <c r="C1620" s="948" t="s">
        <v>26168</v>
      </c>
      <c r="D1620" s="242" t="s">
        <v>439</v>
      </c>
      <c r="E1620" s="949">
        <v>304</v>
      </c>
      <c r="F1620" s="949">
        <v>304</v>
      </c>
      <c r="G1620" s="950" t="s">
        <v>6911</v>
      </c>
      <c r="H1620" s="950" t="s">
        <v>793</v>
      </c>
      <c r="I1620" s="951" t="s">
        <v>24960</v>
      </c>
      <c r="J1620" s="947" t="s">
        <v>26167</v>
      </c>
      <c r="K1620" s="143"/>
    </row>
    <row r="1621" spans="1:11">
      <c r="A1621" s="946" t="s">
        <v>28612</v>
      </c>
      <c r="B1621" s="947" t="s">
        <v>26169</v>
      </c>
      <c r="C1621" s="948" t="s">
        <v>26170</v>
      </c>
      <c r="D1621" s="242" t="s">
        <v>439</v>
      </c>
      <c r="E1621" s="949">
        <v>304</v>
      </c>
      <c r="F1621" s="949">
        <v>304</v>
      </c>
      <c r="G1621" s="950" t="s">
        <v>6911</v>
      </c>
      <c r="H1621" s="950" t="s">
        <v>793</v>
      </c>
      <c r="I1621" s="951" t="s">
        <v>26171</v>
      </c>
      <c r="J1621" s="947" t="s">
        <v>26169</v>
      </c>
      <c r="K1621" s="143"/>
    </row>
    <row r="1622" spans="1:11">
      <c r="A1622" s="946" t="s">
        <v>28612</v>
      </c>
      <c r="B1622" s="947" t="s">
        <v>28640</v>
      </c>
      <c r="C1622" s="948" t="s">
        <v>28763</v>
      </c>
      <c r="D1622" s="242" t="s">
        <v>439</v>
      </c>
      <c r="E1622" s="949">
        <v>304</v>
      </c>
      <c r="F1622" s="949">
        <v>304</v>
      </c>
      <c r="G1622" s="950" t="s">
        <v>6911</v>
      </c>
      <c r="H1622" s="950" t="s">
        <v>793</v>
      </c>
      <c r="I1622" s="951" t="s">
        <v>28684</v>
      </c>
      <c r="J1622" s="947" t="s">
        <v>28640</v>
      </c>
      <c r="K1622" s="143"/>
    </row>
    <row r="1623" spans="1:11">
      <c r="A1623" s="946" t="s">
        <v>28612</v>
      </c>
      <c r="B1623" s="947" t="s">
        <v>28641</v>
      </c>
      <c r="C1623" s="948" t="s">
        <v>28764</v>
      </c>
      <c r="D1623" s="242" t="s">
        <v>439</v>
      </c>
      <c r="E1623" s="949">
        <v>304</v>
      </c>
      <c r="F1623" s="949">
        <v>304</v>
      </c>
      <c r="G1623" s="950" t="s">
        <v>6911</v>
      </c>
      <c r="H1623" s="950" t="s">
        <v>793</v>
      </c>
      <c r="I1623" s="951" t="s">
        <v>28685</v>
      </c>
      <c r="J1623" s="947" t="s">
        <v>28641</v>
      </c>
      <c r="K1623" s="143"/>
    </row>
    <row r="1624" spans="1:11">
      <c r="A1624" s="946" t="s">
        <v>28612</v>
      </c>
      <c r="B1624" s="947" t="s">
        <v>32002</v>
      </c>
      <c r="C1624" s="948" t="s">
        <v>32003</v>
      </c>
      <c r="D1624" s="242" t="s">
        <v>439</v>
      </c>
      <c r="E1624" s="949">
        <v>304</v>
      </c>
      <c r="F1624" s="949">
        <v>304</v>
      </c>
      <c r="G1624" s="950" t="s">
        <v>6911</v>
      </c>
      <c r="H1624" s="950" t="s">
        <v>793</v>
      </c>
      <c r="I1624" s="951" t="s">
        <v>32004</v>
      </c>
      <c r="J1624" s="947" t="s">
        <v>32002</v>
      </c>
      <c r="K1624" s="143"/>
    </row>
    <row r="1625" spans="1:11">
      <c r="A1625" s="946" t="s">
        <v>28612</v>
      </c>
      <c r="B1625" s="947" t="s">
        <v>784</v>
      </c>
      <c r="C1625" s="948" t="s">
        <v>781</v>
      </c>
      <c r="D1625" s="242" t="s">
        <v>469</v>
      </c>
      <c r="E1625" s="949">
        <v>311</v>
      </c>
      <c r="F1625" s="949">
        <v>311</v>
      </c>
      <c r="G1625" s="950" t="s">
        <v>19717</v>
      </c>
      <c r="H1625" s="950" t="s">
        <v>782</v>
      </c>
      <c r="I1625" s="951" t="s">
        <v>783</v>
      </c>
      <c r="J1625" s="947" t="s">
        <v>784</v>
      </c>
      <c r="K1625" s="143"/>
    </row>
    <row r="1626" spans="1:11">
      <c r="A1626" s="946" t="s">
        <v>28612</v>
      </c>
      <c r="B1626" s="947" t="s">
        <v>856</v>
      </c>
      <c r="C1626" s="948" t="s">
        <v>854</v>
      </c>
      <c r="D1626" s="242" t="s">
        <v>469</v>
      </c>
      <c r="E1626" s="949">
        <v>311</v>
      </c>
      <c r="F1626" s="949">
        <v>311</v>
      </c>
      <c r="G1626" s="950" t="s">
        <v>19717</v>
      </c>
      <c r="H1626" s="950" t="s">
        <v>782</v>
      </c>
      <c r="I1626" s="951" t="s">
        <v>855</v>
      </c>
      <c r="J1626" s="947" t="s">
        <v>856</v>
      </c>
      <c r="K1626" s="143"/>
    </row>
    <row r="1627" spans="1:11">
      <c r="A1627" s="946" t="s">
        <v>28612</v>
      </c>
      <c r="B1627" s="947" t="s">
        <v>1121</v>
      </c>
      <c r="C1627" s="948" t="s">
        <v>1119</v>
      </c>
      <c r="D1627" s="242" t="s">
        <v>469</v>
      </c>
      <c r="E1627" s="949">
        <v>311</v>
      </c>
      <c r="F1627" s="949">
        <v>311</v>
      </c>
      <c r="G1627" s="950" t="s">
        <v>19717</v>
      </c>
      <c r="H1627" s="950" t="s">
        <v>782</v>
      </c>
      <c r="I1627" s="951" t="s">
        <v>1120</v>
      </c>
      <c r="J1627" s="947" t="s">
        <v>1121</v>
      </c>
      <c r="K1627" s="143"/>
    </row>
    <row r="1628" spans="1:11">
      <c r="A1628" s="946" t="s">
        <v>28612</v>
      </c>
      <c r="B1628" s="947" t="s">
        <v>1263</v>
      </c>
      <c r="C1628" s="948" t="s">
        <v>1261</v>
      </c>
      <c r="D1628" s="242" t="s">
        <v>469</v>
      </c>
      <c r="E1628" s="949">
        <v>311</v>
      </c>
      <c r="F1628" s="949">
        <v>311</v>
      </c>
      <c r="G1628" s="950" t="s">
        <v>19717</v>
      </c>
      <c r="H1628" s="950" t="s">
        <v>782</v>
      </c>
      <c r="I1628" s="951" t="s">
        <v>1262</v>
      </c>
      <c r="J1628" s="947" t="s">
        <v>1263</v>
      </c>
      <c r="K1628" s="143"/>
    </row>
    <row r="1629" spans="1:11">
      <c r="A1629" s="946" t="s">
        <v>28612</v>
      </c>
      <c r="B1629" s="947" t="s">
        <v>1361</v>
      </c>
      <c r="C1629" s="948" t="s">
        <v>1359</v>
      </c>
      <c r="D1629" s="242" t="s">
        <v>469</v>
      </c>
      <c r="E1629" s="949">
        <v>311</v>
      </c>
      <c r="F1629" s="949">
        <v>311</v>
      </c>
      <c r="G1629" s="950" t="s">
        <v>19717</v>
      </c>
      <c r="H1629" s="950" t="s">
        <v>782</v>
      </c>
      <c r="I1629" s="951" t="s">
        <v>1360</v>
      </c>
      <c r="J1629" s="947" t="s">
        <v>1361</v>
      </c>
      <c r="K1629" s="143"/>
    </row>
    <row r="1630" spans="1:11">
      <c r="A1630" s="946" t="s">
        <v>28612</v>
      </c>
      <c r="B1630" s="947" t="s">
        <v>2250</v>
      </c>
      <c r="C1630" s="948" t="s">
        <v>2248</v>
      </c>
      <c r="D1630" s="242" t="s">
        <v>469</v>
      </c>
      <c r="E1630" s="949">
        <v>311</v>
      </c>
      <c r="F1630" s="949">
        <v>311</v>
      </c>
      <c r="G1630" s="950" t="s">
        <v>19717</v>
      </c>
      <c r="H1630" s="950" t="s">
        <v>782</v>
      </c>
      <c r="I1630" s="951" t="s">
        <v>2249</v>
      </c>
      <c r="J1630" s="947" t="s">
        <v>2250</v>
      </c>
      <c r="K1630" s="143"/>
    </row>
    <row r="1631" spans="1:11">
      <c r="A1631" s="946" t="s">
        <v>28612</v>
      </c>
      <c r="B1631" s="947" t="s">
        <v>2279</v>
      </c>
      <c r="C1631" s="948" t="s">
        <v>2277</v>
      </c>
      <c r="D1631" s="242" t="s">
        <v>469</v>
      </c>
      <c r="E1631" s="949">
        <v>311</v>
      </c>
      <c r="F1631" s="949">
        <v>311</v>
      </c>
      <c r="G1631" s="950" t="s">
        <v>19717</v>
      </c>
      <c r="H1631" s="950" t="s">
        <v>782</v>
      </c>
      <c r="I1631" s="951" t="s">
        <v>2278</v>
      </c>
      <c r="J1631" s="947" t="s">
        <v>2279</v>
      </c>
      <c r="K1631" s="143"/>
    </row>
    <row r="1632" spans="1:11">
      <c r="A1632" s="946" t="s">
        <v>28612</v>
      </c>
      <c r="B1632" s="947" t="s">
        <v>2405</v>
      </c>
      <c r="C1632" s="948" t="s">
        <v>2403</v>
      </c>
      <c r="D1632" s="242" t="s">
        <v>469</v>
      </c>
      <c r="E1632" s="949">
        <v>311</v>
      </c>
      <c r="F1632" s="949">
        <v>311</v>
      </c>
      <c r="G1632" s="950" t="s">
        <v>19717</v>
      </c>
      <c r="H1632" s="950" t="s">
        <v>782</v>
      </c>
      <c r="I1632" s="951" t="s">
        <v>2404</v>
      </c>
      <c r="J1632" s="947" t="s">
        <v>2405</v>
      </c>
      <c r="K1632" s="143"/>
    </row>
    <row r="1633" spans="1:11">
      <c r="A1633" s="946" t="s">
        <v>28612</v>
      </c>
      <c r="B1633" s="947" t="s">
        <v>2820</v>
      </c>
      <c r="C1633" s="948" t="s">
        <v>2818</v>
      </c>
      <c r="D1633" s="242" t="s">
        <v>469</v>
      </c>
      <c r="E1633" s="949">
        <v>311</v>
      </c>
      <c r="F1633" s="949">
        <v>311</v>
      </c>
      <c r="G1633" s="950" t="s">
        <v>19717</v>
      </c>
      <c r="H1633" s="950" t="s">
        <v>782</v>
      </c>
      <c r="I1633" s="951" t="s">
        <v>2819</v>
      </c>
      <c r="J1633" s="947" t="s">
        <v>2820</v>
      </c>
      <c r="K1633" s="143"/>
    </row>
    <row r="1634" spans="1:11">
      <c r="A1634" s="946" t="s">
        <v>28612</v>
      </c>
      <c r="B1634" s="947" t="s">
        <v>3218</v>
      </c>
      <c r="C1634" s="948" t="s">
        <v>3216</v>
      </c>
      <c r="D1634" s="242" t="s">
        <v>469</v>
      </c>
      <c r="E1634" s="949">
        <v>311</v>
      </c>
      <c r="F1634" s="949">
        <v>311</v>
      </c>
      <c r="G1634" s="950" t="s">
        <v>19717</v>
      </c>
      <c r="H1634" s="950" t="s">
        <v>782</v>
      </c>
      <c r="I1634" s="951" t="s">
        <v>3217</v>
      </c>
      <c r="J1634" s="947" t="s">
        <v>3218</v>
      </c>
      <c r="K1634" s="143"/>
    </row>
    <row r="1635" spans="1:11">
      <c r="A1635" s="946" t="s">
        <v>28612</v>
      </c>
      <c r="B1635" s="947" t="s">
        <v>3397</v>
      </c>
      <c r="C1635" s="948" t="s">
        <v>3395</v>
      </c>
      <c r="D1635" s="242" t="s">
        <v>469</v>
      </c>
      <c r="E1635" s="949">
        <v>311</v>
      </c>
      <c r="F1635" s="949">
        <v>311</v>
      </c>
      <c r="G1635" s="950" t="s">
        <v>19717</v>
      </c>
      <c r="H1635" s="950" t="s">
        <v>782</v>
      </c>
      <c r="I1635" s="951" t="s">
        <v>3396</v>
      </c>
      <c r="J1635" s="947" t="s">
        <v>3397</v>
      </c>
      <c r="K1635" s="143"/>
    </row>
    <row r="1636" spans="1:11">
      <c r="A1636" s="946" t="s">
        <v>28612</v>
      </c>
      <c r="B1636" s="947" t="s">
        <v>3768</v>
      </c>
      <c r="C1636" s="948" t="s">
        <v>3766</v>
      </c>
      <c r="D1636" s="242" t="s">
        <v>469</v>
      </c>
      <c r="E1636" s="949">
        <v>311</v>
      </c>
      <c r="F1636" s="949">
        <v>311</v>
      </c>
      <c r="G1636" s="950" t="s">
        <v>19717</v>
      </c>
      <c r="H1636" s="950" t="s">
        <v>782</v>
      </c>
      <c r="I1636" s="951" t="s">
        <v>3767</v>
      </c>
      <c r="J1636" s="947" t="s">
        <v>3768</v>
      </c>
      <c r="K1636" s="143"/>
    </row>
    <row r="1637" spans="1:11">
      <c r="A1637" s="946" t="s">
        <v>28612</v>
      </c>
      <c r="B1637" s="947" t="s">
        <v>4812</v>
      </c>
      <c r="C1637" s="948" t="s">
        <v>4810</v>
      </c>
      <c r="D1637" s="242" t="s">
        <v>469</v>
      </c>
      <c r="E1637" s="949">
        <v>311</v>
      </c>
      <c r="F1637" s="949">
        <v>311</v>
      </c>
      <c r="G1637" s="950" t="s">
        <v>19717</v>
      </c>
      <c r="H1637" s="950" t="s">
        <v>782</v>
      </c>
      <c r="I1637" s="951" t="s">
        <v>4811</v>
      </c>
      <c r="J1637" s="947" t="s">
        <v>4812</v>
      </c>
      <c r="K1637" s="143"/>
    </row>
    <row r="1638" spans="1:11">
      <c r="A1638" s="946" t="s">
        <v>28612</v>
      </c>
      <c r="B1638" s="947" t="s">
        <v>5254</v>
      </c>
      <c r="C1638" s="948" t="s">
        <v>5252</v>
      </c>
      <c r="D1638" s="242" t="s">
        <v>469</v>
      </c>
      <c r="E1638" s="949">
        <v>311</v>
      </c>
      <c r="F1638" s="949">
        <v>311</v>
      </c>
      <c r="G1638" s="950" t="s">
        <v>19717</v>
      </c>
      <c r="H1638" s="950" t="s">
        <v>782</v>
      </c>
      <c r="I1638" s="951" t="s">
        <v>5253</v>
      </c>
      <c r="J1638" s="947" t="s">
        <v>5254</v>
      </c>
      <c r="K1638" s="143"/>
    </row>
    <row r="1639" spans="1:11">
      <c r="A1639" s="946" t="s">
        <v>28612</v>
      </c>
      <c r="B1639" s="947" t="s">
        <v>5548</v>
      </c>
      <c r="C1639" s="948" t="s">
        <v>5546</v>
      </c>
      <c r="D1639" s="242" t="s">
        <v>469</v>
      </c>
      <c r="E1639" s="949">
        <v>311</v>
      </c>
      <c r="F1639" s="949">
        <v>311</v>
      </c>
      <c r="G1639" s="950" t="s">
        <v>19717</v>
      </c>
      <c r="H1639" s="950" t="s">
        <v>782</v>
      </c>
      <c r="I1639" s="951" t="s">
        <v>5547</v>
      </c>
      <c r="J1639" s="947" t="s">
        <v>5548</v>
      </c>
      <c r="K1639" s="143"/>
    </row>
    <row r="1640" spans="1:11">
      <c r="A1640" s="946" t="s">
        <v>28612</v>
      </c>
      <c r="B1640" s="947" t="s">
        <v>5763</v>
      </c>
      <c r="C1640" s="948" t="s">
        <v>5761</v>
      </c>
      <c r="D1640" s="242" t="s">
        <v>469</v>
      </c>
      <c r="E1640" s="949">
        <v>311</v>
      </c>
      <c r="F1640" s="949">
        <v>311</v>
      </c>
      <c r="G1640" s="950" t="s">
        <v>19717</v>
      </c>
      <c r="H1640" s="950" t="s">
        <v>782</v>
      </c>
      <c r="I1640" s="951" t="s">
        <v>5762</v>
      </c>
      <c r="J1640" s="947" t="s">
        <v>5763</v>
      </c>
      <c r="K1640" s="143"/>
    </row>
    <row r="1641" spans="1:11">
      <c r="A1641" s="946" t="s">
        <v>28612</v>
      </c>
      <c r="B1641" s="947" t="s">
        <v>5918</v>
      </c>
      <c r="C1641" s="948" t="s">
        <v>5916</v>
      </c>
      <c r="D1641" s="242" t="s">
        <v>469</v>
      </c>
      <c r="E1641" s="949">
        <v>311</v>
      </c>
      <c r="F1641" s="949">
        <v>311</v>
      </c>
      <c r="G1641" s="950" t="s">
        <v>19717</v>
      </c>
      <c r="H1641" s="950" t="s">
        <v>782</v>
      </c>
      <c r="I1641" s="951" t="s">
        <v>5917</v>
      </c>
      <c r="J1641" s="947" t="s">
        <v>5918</v>
      </c>
      <c r="K1641" s="143"/>
    </row>
    <row r="1642" spans="1:11">
      <c r="A1642" s="946" t="s">
        <v>28612</v>
      </c>
      <c r="B1642" s="947" t="s">
        <v>6240</v>
      </c>
      <c r="C1642" s="948" t="s">
        <v>6238</v>
      </c>
      <c r="D1642" s="242" t="s">
        <v>469</v>
      </c>
      <c r="E1642" s="949">
        <v>311</v>
      </c>
      <c r="F1642" s="949">
        <v>311</v>
      </c>
      <c r="G1642" s="950" t="s">
        <v>19717</v>
      </c>
      <c r="H1642" s="950" t="s">
        <v>782</v>
      </c>
      <c r="I1642" s="951" t="s">
        <v>6239</v>
      </c>
      <c r="J1642" s="947" t="s">
        <v>6240</v>
      </c>
      <c r="K1642" s="143"/>
    </row>
    <row r="1643" spans="1:11">
      <c r="A1643" s="946" t="s">
        <v>28612</v>
      </c>
      <c r="B1643" s="947" t="s">
        <v>6253</v>
      </c>
      <c r="C1643" s="948" t="s">
        <v>6251</v>
      </c>
      <c r="D1643" s="242" t="s">
        <v>469</v>
      </c>
      <c r="E1643" s="949">
        <v>311</v>
      </c>
      <c r="F1643" s="949">
        <v>311</v>
      </c>
      <c r="G1643" s="950" t="s">
        <v>19717</v>
      </c>
      <c r="H1643" s="950" t="s">
        <v>782</v>
      </c>
      <c r="I1643" s="951" t="s">
        <v>6252</v>
      </c>
      <c r="J1643" s="947" t="s">
        <v>6253</v>
      </c>
      <c r="K1643" s="143"/>
    </row>
    <row r="1644" spans="1:11">
      <c r="A1644" s="946" t="s">
        <v>28612</v>
      </c>
      <c r="B1644" s="947" t="s">
        <v>6298</v>
      </c>
      <c r="C1644" s="948" t="s">
        <v>6296</v>
      </c>
      <c r="D1644" s="242" t="s">
        <v>469</v>
      </c>
      <c r="E1644" s="949">
        <v>311</v>
      </c>
      <c r="F1644" s="949">
        <v>311</v>
      </c>
      <c r="G1644" s="950" t="s">
        <v>19717</v>
      </c>
      <c r="H1644" s="950" t="s">
        <v>782</v>
      </c>
      <c r="I1644" s="951" t="s">
        <v>6297</v>
      </c>
      <c r="J1644" s="947" t="s">
        <v>6298</v>
      </c>
      <c r="K1644" s="143"/>
    </row>
    <row r="1645" spans="1:11">
      <c r="A1645" s="946" t="s">
        <v>28612</v>
      </c>
      <c r="B1645" s="947" t="s">
        <v>6425</v>
      </c>
      <c r="C1645" s="948" t="s">
        <v>6423</v>
      </c>
      <c r="D1645" s="242" t="s">
        <v>469</v>
      </c>
      <c r="E1645" s="949">
        <v>311</v>
      </c>
      <c r="F1645" s="949">
        <v>311</v>
      </c>
      <c r="G1645" s="950" t="s">
        <v>19717</v>
      </c>
      <c r="H1645" s="950" t="s">
        <v>782</v>
      </c>
      <c r="I1645" s="951" t="s">
        <v>6424</v>
      </c>
      <c r="J1645" s="947" t="s">
        <v>6425</v>
      </c>
      <c r="K1645" s="143"/>
    </row>
    <row r="1646" spans="1:11">
      <c r="A1646" s="946" t="s">
        <v>28612</v>
      </c>
      <c r="B1646" s="947" t="s">
        <v>6606</v>
      </c>
      <c r="C1646" s="948" t="s">
        <v>6604</v>
      </c>
      <c r="D1646" s="242" t="s">
        <v>469</v>
      </c>
      <c r="E1646" s="949">
        <v>311</v>
      </c>
      <c r="F1646" s="949">
        <v>311</v>
      </c>
      <c r="G1646" s="950" t="s">
        <v>19717</v>
      </c>
      <c r="H1646" s="950" t="s">
        <v>782</v>
      </c>
      <c r="I1646" s="951" t="s">
        <v>6605</v>
      </c>
      <c r="J1646" s="947" t="s">
        <v>6606</v>
      </c>
      <c r="K1646" s="143"/>
    </row>
    <row r="1647" spans="1:11">
      <c r="A1647" s="946" t="s">
        <v>28612</v>
      </c>
      <c r="B1647" s="947" t="s">
        <v>6851</v>
      </c>
      <c r="C1647" s="948" t="s">
        <v>6849</v>
      </c>
      <c r="D1647" s="242" t="s">
        <v>469</v>
      </c>
      <c r="E1647" s="949">
        <v>311</v>
      </c>
      <c r="F1647" s="949">
        <v>311</v>
      </c>
      <c r="G1647" s="950" t="s">
        <v>19717</v>
      </c>
      <c r="H1647" s="950" t="s">
        <v>782</v>
      </c>
      <c r="I1647" s="951" t="s">
        <v>6850</v>
      </c>
      <c r="J1647" s="947" t="s">
        <v>6851</v>
      </c>
      <c r="K1647" s="143"/>
    </row>
    <row r="1648" spans="1:11">
      <c r="A1648" s="946" t="s">
        <v>28612</v>
      </c>
      <c r="B1648" s="947" t="s">
        <v>7227</v>
      </c>
      <c r="C1648" s="948" t="s">
        <v>7225</v>
      </c>
      <c r="D1648" s="242" t="s">
        <v>469</v>
      </c>
      <c r="E1648" s="949">
        <v>311</v>
      </c>
      <c r="F1648" s="949">
        <v>311</v>
      </c>
      <c r="G1648" s="950" t="s">
        <v>19717</v>
      </c>
      <c r="H1648" s="950" t="s">
        <v>782</v>
      </c>
      <c r="I1648" s="951" t="s">
        <v>7226</v>
      </c>
      <c r="J1648" s="947" t="s">
        <v>7227</v>
      </c>
      <c r="K1648" s="143"/>
    </row>
    <row r="1649" spans="1:11">
      <c r="A1649" s="946" t="s">
        <v>28612</v>
      </c>
      <c r="B1649" s="947" t="s">
        <v>7571</v>
      </c>
      <c r="C1649" s="948" t="s">
        <v>7569</v>
      </c>
      <c r="D1649" s="242" t="s">
        <v>469</v>
      </c>
      <c r="E1649" s="949">
        <v>311</v>
      </c>
      <c r="F1649" s="949">
        <v>311</v>
      </c>
      <c r="G1649" s="950" t="s">
        <v>19717</v>
      </c>
      <c r="H1649" s="950" t="s">
        <v>782</v>
      </c>
      <c r="I1649" s="951" t="s">
        <v>7570</v>
      </c>
      <c r="J1649" s="947" t="s">
        <v>7571</v>
      </c>
      <c r="K1649" s="143"/>
    </row>
    <row r="1650" spans="1:11">
      <c r="A1650" s="946" t="s">
        <v>28612</v>
      </c>
      <c r="B1650" s="947" t="s">
        <v>7586</v>
      </c>
      <c r="C1650" s="948" t="s">
        <v>7584</v>
      </c>
      <c r="D1650" s="242" t="s">
        <v>469</v>
      </c>
      <c r="E1650" s="949">
        <v>311</v>
      </c>
      <c r="F1650" s="949">
        <v>311</v>
      </c>
      <c r="G1650" s="950" t="s">
        <v>19717</v>
      </c>
      <c r="H1650" s="950" t="s">
        <v>782</v>
      </c>
      <c r="I1650" s="951" t="s">
        <v>7585</v>
      </c>
      <c r="J1650" s="947" t="s">
        <v>7586</v>
      </c>
      <c r="K1650" s="143"/>
    </row>
    <row r="1651" spans="1:11">
      <c r="A1651" s="946" t="s">
        <v>28612</v>
      </c>
      <c r="B1651" s="947" t="s">
        <v>7791</v>
      </c>
      <c r="C1651" s="948" t="s">
        <v>7789</v>
      </c>
      <c r="D1651" s="242" t="s">
        <v>469</v>
      </c>
      <c r="E1651" s="949">
        <v>311</v>
      </c>
      <c r="F1651" s="949">
        <v>311</v>
      </c>
      <c r="G1651" s="950" t="s">
        <v>19717</v>
      </c>
      <c r="H1651" s="950" t="s">
        <v>782</v>
      </c>
      <c r="I1651" s="951" t="s">
        <v>7790</v>
      </c>
      <c r="J1651" s="947" t="s">
        <v>7791</v>
      </c>
      <c r="K1651" s="143"/>
    </row>
    <row r="1652" spans="1:11">
      <c r="A1652" s="946" t="s">
        <v>28612</v>
      </c>
      <c r="B1652" s="947" t="s">
        <v>7953</v>
      </c>
      <c r="C1652" s="948" t="s">
        <v>7951</v>
      </c>
      <c r="D1652" s="242" t="s">
        <v>469</v>
      </c>
      <c r="E1652" s="949">
        <v>311</v>
      </c>
      <c r="F1652" s="949">
        <v>311</v>
      </c>
      <c r="G1652" s="950" t="s">
        <v>19717</v>
      </c>
      <c r="H1652" s="950" t="s">
        <v>782</v>
      </c>
      <c r="I1652" s="951" t="s">
        <v>7952</v>
      </c>
      <c r="J1652" s="947" t="s">
        <v>7953</v>
      </c>
      <c r="K1652" s="143"/>
    </row>
    <row r="1653" spans="1:11">
      <c r="A1653" s="946" t="s">
        <v>28612</v>
      </c>
      <c r="B1653" s="947" t="s">
        <v>8468</v>
      </c>
      <c r="C1653" s="948" t="s">
        <v>8466</v>
      </c>
      <c r="D1653" s="242" t="s">
        <v>469</v>
      </c>
      <c r="E1653" s="949">
        <v>311</v>
      </c>
      <c r="F1653" s="949">
        <v>311</v>
      </c>
      <c r="G1653" s="950" t="s">
        <v>19717</v>
      </c>
      <c r="H1653" s="950" t="s">
        <v>782</v>
      </c>
      <c r="I1653" s="951" t="s">
        <v>8467</v>
      </c>
      <c r="J1653" s="947" t="s">
        <v>8468</v>
      </c>
      <c r="K1653" s="143"/>
    </row>
    <row r="1654" spans="1:11">
      <c r="A1654" s="946" t="s">
        <v>28612</v>
      </c>
      <c r="B1654" s="947" t="s">
        <v>8779</v>
      </c>
      <c r="C1654" s="948" t="s">
        <v>8777</v>
      </c>
      <c r="D1654" s="242" t="s">
        <v>469</v>
      </c>
      <c r="E1654" s="949">
        <v>311</v>
      </c>
      <c r="F1654" s="949">
        <v>311</v>
      </c>
      <c r="G1654" s="950" t="s">
        <v>19717</v>
      </c>
      <c r="H1654" s="950" t="s">
        <v>782</v>
      </c>
      <c r="I1654" s="951" t="s">
        <v>8778</v>
      </c>
      <c r="J1654" s="947" t="s">
        <v>8779</v>
      </c>
      <c r="K1654" s="143"/>
    </row>
    <row r="1655" spans="1:11">
      <c r="A1655" s="946" t="s">
        <v>28612</v>
      </c>
      <c r="B1655" s="947" t="s">
        <v>9137</v>
      </c>
      <c r="C1655" s="948" t="s">
        <v>9135</v>
      </c>
      <c r="D1655" s="242" t="s">
        <v>469</v>
      </c>
      <c r="E1655" s="949">
        <v>311</v>
      </c>
      <c r="F1655" s="949">
        <v>311</v>
      </c>
      <c r="G1655" s="950" t="s">
        <v>19717</v>
      </c>
      <c r="H1655" s="950" t="s">
        <v>782</v>
      </c>
      <c r="I1655" s="951" t="s">
        <v>9136</v>
      </c>
      <c r="J1655" s="947" t="s">
        <v>9137</v>
      </c>
      <c r="K1655" s="143"/>
    </row>
    <row r="1656" spans="1:11">
      <c r="A1656" s="946" t="s">
        <v>28612</v>
      </c>
      <c r="B1656" s="947" t="s">
        <v>9361</v>
      </c>
      <c r="C1656" s="948" t="s">
        <v>9359</v>
      </c>
      <c r="D1656" s="242" t="s">
        <v>469</v>
      </c>
      <c r="E1656" s="949">
        <v>311</v>
      </c>
      <c r="F1656" s="949">
        <v>311</v>
      </c>
      <c r="G1656" s="950" t="s">
        <v>19717</v>
      </c>
      <c r="H1656" s="950" t="s">
        <v>782</v>
      </c>
      <c r="I1656" s="951" t="s">
        <v>9360</v>
      </c>
      <c r="J1656" s="947" t="s">
        <v>9361</v>
      </c>
      <c r="K1656" s="143"/>
    </row>
    <row r="1657" spans="1:11">
      <c r="A1657" s="946" t="s">
        <v>28612</v>
      </c>
      <c r="B1657" s="947" t="s">
        <v>9594</v>
      </c>
      <c r="C1657" s="948" t="s">
        <v>9592</v>
      </c>
      <c r="D1657" s="242" t="s">
        <v>469</v>
      </c>
      <c r="E1657" s="949">
        <v>311</v>
      </c>
      <c r="F1657" s="949">
        <v>311</v>
      </c>
      <c r="G1657" s="950" t="s">
        <v>19717</v>
      </c>
      <c r="H1657" s="950" t="s">
        <v>782</v>
      </c>
      <c r="I1657" s="951" t="s">
        <v>9593</v>
      </c>
      <c r="J1657" s="947" t="s">
        <v>9594</v>
      </c>
      <c r="K1657" s="143"/>
    </row>
    <row r="1658" spans="1:11">
      <c r="A1658" s="946" t="s">
        <v>28612</v>
      </c>
      <c r="B1658" s="947" t="s">
        <v>9597</v>
      </c>
      <c r="C1658" s="948" t="s">
        <v>9595</v>
      </c>
      <c r="D1658" s="242" t="s">
        <v>469</v>
      </c>
      <c r="E1658" s="949">
        <v>311</v>
      </c>
      <c r="F1658" s="949">
        <v>311</v>
      </c>
      <c r="G1658" s="950" t="s">
        <v>19717</v>
      </c>
      <c r="H1658" s="950" t="s">
        <v>782</v>
      </c>
      <c r="I1658" s="951" t="s">
        <v>9596</v>
      </c>
      <c r="J1658" s="947" t="s">
        <v>9597</v>
      </c>
      <c r="K1658" s="143"/>
    </row>
    <row r="1659" spans="1:11">
      <c r="A1659" s="946" t="s">
        <v>28612</v>
      </c>
      <c r="B1659" s="947" t="s">
        <v>10841</v>
      </c>
      <c r="C1659" s="948" t="s">
        <v>10839</v>
      </c>
      <c r="D1659" s="242" t="s">
        <v>469</v>
      </c>
      <c r="E1659" s="949">
        <v>311</v>
      </c>
      <c r="F1659" s="949">
        <v>311</v>
      </c>
      <c r="G1659" s="950" t="s">
        <v>19717</v>
      </c>
      <c r="H1659" s="950" t="s">
        <v>782</v>
      </c>
      <c r="I1659" s="951" t="s">
        <v>10840</v>
      </c>
      <c r="J1659" s="947" t="s">
        <v>10841</v>
      </c>
      <c r="K1659" s="143"/>
    </row>
    <row r="1660" spans="1:11">
      <c r="A1660" s="946" t="s">
        <v>28612</v>
      </c>
      <c r="B1660" s="947" t="s">
        <v>10131</v>
      </c>
      <c r="C1660" s="948" t="s">
        <v>10129</v>
      </c>
      <c r="D1660" s="242" t="s">
        <v>469</v>
      </c>
      <c r="E1660" s="949">
        <v>311</v>
      </c>
      <c r="F1660" s="949">
        <v>311</v>
      </c>
      <c r="G1660" s="950" t="s">
        <v>19717</v>
      </c>
      <c r="H1660" s="950" t="s">
        <v>782</v>
      </c>
      <c r="I1660" s="951" t="s">
        <v>10130</v>
      </c>
      <c r="J1660" s="947" t="s">
        <v>10131</v>
      </c>
      <c r="K1660" s="143"/>
    </row>
    <row r="1661" spans="1:11">
      <c r="A1661" s="946" t="s">
        <v>28612</v>
      </c>
      <c r="B1661" s="947" t="s">
        <v>10489</v>
      </c>
      <c r="C1661" s="948" t="s">
        <v>10487</v>
      </c>
      <c r="D1661" s="242" t="s">
        <v>469</v>
      </c>
      <c r="E1661" s="949">
        <v>311</v>
      </c>
      <c r="F1661" s="949">
        <v>311</v>
      </c>
      <c r="G1661" s="950" t="s">
        <v>19717</v>
      </c>
      <c r="H1661" s="950" t="s">
        <v>782</v>
      </c>
      <c r="I1661" s="951" t="s">
        <v>10488</v>
      </c>
      <c r="J1661" s="947" t="s">
        <v>10489</v>
      </c>
      <c r="K1661" s="143"/>
    </row>
    <row r="1662" spans="1:11">
      <c r="A1662" s="946" t="s">
        <v>28612</v>
      </c>
      <c r="B1662" s="947" t="s">
        <v>10664</v>
      </c>
      <c r="C1662" s="948" t="s">
        <v>10662</v>
      </c>
      <c r="D1662" s="242" t="s">
        <v>469</v>
      </c>
      <c r="E1662" s="949">
        <v>311</v>
      </c>
      <c r="F1662" s="949">
        <v>311</v>
      </c>
      <c r="G1662" s="950" t="s">
        <v>19717</v>
      </c>
      <c r="H1662" s="950" t="s">
        <v>782</v>
      </c>
      <c r="I1662" s="951" t="s">
        <v>10663</v>
      </c>
      <c r="J1662" s="947" t="s">
        <v>10664</v>
      </c>
      <c r="K1662" s="143"/>
    </row>
    <row r="1663" spans="1:11">
      <c r="A1663" s="946" t="s">
        <v>28612</v>
      </c>
      <c r="B1663" s="947" t="s">
        <v>11072</v>
      </c>
      <c r="C1663" s="948" t="s">
        <v>11070</v>
      </c>
      <c r="D1663" s="242" t="s">
        <v>469</v>
      </c>
      <c r="E1663" s="949">
        <v>311</v>
      </c>
      <c r="F1663" s="949">
        <v>311</v>
      </c>
      <c r="G1663" s="950" t="s">
        <v>19717</v>
      </c>
      <c r="H1663" s="950" t="s">
        <v>782</v>
      </c>
      <c r="I1663" s="951" t="s">
        <v>11071</v>
      </c>
      <c r="J1663" s="947" t="s">
        <v>11072</v>
      </c>
      <c r="K1663" s="143"/>
    </row>
    <row r="1664" spans="1:11">
      <c r="A1664" s="946" t="s">
        <v>28612</v>
      </c>
      <c r="B1664" s="947" t="s">
        <v>11479</v>
      </c>
      <c r="C1664" s="948" t="s">
        <v>11477</v>
      </c>
      <c r="D1664" s="242" t="s">
        <v>469</v>
      </c>
      <c r="E1664" s="949">
        <v>311</v>
      </c>
      <c r="F1664" s="949">
        <v>311</v>
      </c>
      <c r="G1664" s="950" t="s">
        <v>19717</v>
      </c>
      <c r="H1664" s="950" t="s">
        <v>782</v>
      </c>
      <c r="I1664" s="951" t="s">
        <v>11478</v>
      </c>
      <c r="J1664" s="947" t="s">
        <v>11479</v>
      </c>
      <c r="K1664" s="143"/>
    </row>
    <row r="1665" spans="1:11">
      <c r="A1665" s="946" t="s">
        <v>28612</v>
      </c>
      <c r="B1665" s="947" t="s">
        <v>11578</v>
      </c>
      <c r="C1665" s="948" t="s">
        <v>11576</v>
      </c>
      <c r="D1665" s="242" t="s">
        <v>469</v>
      </c>
      <c r="E1665" s="949">
        <v>311</v>
      </c>
      <c r="F1665" s="949">
        <v>311</v>
      </c>
      <c r="G1665" s="950" t="s">
        <v>19717</v>
      </c>
      <c r="H1665" s="950" t="s">
        <v>782</v>
      </c>
      <c r="I1665" s="951" t="s">
        <v>11577</v>
      </c>
      <c r="J1665" s="947" t="s">
        <v>11578</v>
      </c>
      <c r="K1665" s="143"/>
    </row>
    <row r="1666" spans="1:11">
      <c r="A1666" s="946" t="s">
        <v>28612</v>
      </c>
      <c r="B1666" s="947" t="s">
        <v>11660</v>
      </c>
      <c r="C1666" s="948" t="s">
        <v>11658</v>
      </c>
      <c r="D1666" s="242" t="s">
        <v>469</v>
      </c>
      <c r="E1666" s="949">
        <v>311</v>
      </c>
      <c r="F1666" s="949">
        <v>311</v>
      </c>
      <c r="G1666" s="950" t="s">
        <v>19717</v>
      </c>
      <c r="H1666" s="950" t="s">
        <v>782</v>
      </c>
      <c r="I1666" s="951" t="s">
        <v>11659</v>
      </c>
      <c r="J1666" s="947" t="s">
        <v>11660</v>
      </c>
      <c r="K1666" s="143"/>
    </row>
    <row r="1667" spans="1:11">
      <c r="A1667" s="946" t="s">
        <v>28612</v>
      </c>
      <c r="B1667" s="947" t="s">
        <v>12171</v>
      </c>
      <c r="C1667" s="948" t="s">
        <v>12169</v>
      </c>
      <c r="D1667" s="242" t="s">
        <v>469</v>
      </c>
      <c r="E1667" s="949">
        <v>311</v>
      </c>
      <c r="F1667" s="949">
        <v>311</v>
      </c>
      <c r="G1667" s="950" t="s">
        <v>19717</v>
      </c>
      <c r="H1667" s="950" t="s">
        <v>782</v>
      </c>
      <c r="I1667" s="951" t="s">
        <v>12170</v>
      </c>
      <c r="J1667" s="947" t="s">
        <v>12171</v>
      </c>
      <c r="K1667" s="143"/>
    </row>
    <row r="1668" spans="1:11">
      <c r="A1668" s="946" t="s">
        <v>28612</v>
      </c>
      <c r="B1668" s="947" t="s">
        <v>12890</v>
      </c>
      <c r="C1668" s="948" t="s">
        <v>12888</v>
      </c>
      <c r="D1668" s="242" t="s">
        <v>469</v>
      </c>
      <c r="E1668" s="949">
        <v>311</v>
      </c>
      <c r="F1668" s="949">
        <v>311</v>
      </c>
      <c r="G1668" s="950" t="s">
        <v>19717</v>
      </c>
      <c r="H1668" s="950" t="s">
        <v>782</v>
      </c>
      <c r="I1668" s="951" t="s">
        <v>12889</v>
      </c>
      <c r="J1668" s="947" t="s">
        <v>12890</v>
      </c>
      <c r="K1668" s="143"/>
    </row>
    <row r="1669" spans="1:11">
      <c r="A1669" s="946" t="s">
        <v>28612</v>
      </c>
      <c r="B1669" s="947" t="s">
        <v>13409</v>
      </c>
      <c r="C1669" s="948" t="s">
        <v>13407</v>
      </c>
      <c r="D1669" s="242" t="s">
        <v>469</v>
      </c>
      <c r="E1669" s="949">
        <v>311</v>
      </c>
      <c r="F1669" s="949">
        <v>311</v>
      </c>
      <c r="G1669" s="950" t="s">
        <v>19717</v>
      </c>
      <c r="H1669" s="950" t="s">
        <v>782</v>
      </c>
      <c r="I1669" s="951" t="s">
        <v>13408</v>
      </c>
      <c r="J1669" s="947" t="s">
        <v>13409</v>
      </c>
      <c r="K1669" s="143"/>
    </row>
    <row r="1670" spans="1:11">
      <c r="A1670" s="946" t="s">
        <v>28612</v>
      </c>
      <c r="B1670" s="947" t="s">
        <v>14408</v>
      </c>
      <c r="C1670" s="948" t="s">
        <v>14406</v>
      </c>
      <c r="D1670" s="242" t="s">
        <v>469</v>
      </c>
      <c r="E1670" s="949">
        <v>311</v>
      </c>
      <c r="F1670" s="949">
        <v>311</v>
      </c>
      <c r="G1670" s="950" t="s">
        <v>19717</v>
      </c>
      <c r="H1670" s="950" t="s">
        <v>782</v>
      </c>
      <c r="I1670" s="951" t="s">
        <v>14407</v>
      </c>
      <c r="J1670" s="947" t="s">
        <v>14408</v>
      </c>
      <c r="K1670" s="143"/>
    </row>
    <row r="1671" spans="1:11">
      <c r="A1671" s="946" t="s">
        <v>28612</v>
      </c>
      <c r="B1671" s="947" t="s">
        <v>14767</v>
      </c>
      <c r="C1671" s="948" t="s">
        <v>14765</v>
      </c>
      <c r="D1671" s="242" t="s">
        <v>469</v>
      </c>
      <c r="E1671" s="949">
        <v>311</v>
      </c>
      <c r="F1671" s="949">
        <v>311</v>
      </c>
      <c r="G1671" s="950" t="s">
        <v>19717</v>
      </c>
      <c r="H1671" s="950" t="s">
        <v>782</v>
      </c>
      <c r="I1671" s="951" t="s">
        <v>14766</v>
      </c>
      <c r="J1671" s="947" t="s">
        <v>14767</v>
      </c>
      <c r="K1671" s="143"/>
    </row>
    <row r="1672" spans="1:11">
      <c r="A1672" s="946" t="s">
        <v>28612</v>
      </c>
      <c r="B1672" s="947" t="s">
        <v>14776</v>
      </c>
      <c r="C1672" s="948" t="s">
        <v>14774</v>
      </c>
      <c r="D1672" s="242" t="s">
        <v>469</v>
      </c>
      <c r="E1672" s="949">
        <v>311</v>
      </c>
      <c r="F1672" s="949">
        <v>311</v>
      </c>
      <c r="G1672" s="950" t="s">
        <v>19717</v>
      </c>
      <c r="H1672" s="950" t="s">
        <v>782</v>
      </c>
      <c r="I1672" s="951" t="s">
        <v>14775</v>
      </c>
      <c r="J1672" s="947" t="s">
        <v>14776</v>
      </c>
      <c r="K1672" s="143"/>
    </row>
    <row r="1673" spans="1:11">
      <c r="A1673" s="946" t="s">
        <v>28612</v>
      </c>
      <c r="B1673" s="947" t="s">
        <v>15103</v>
      </c>
      <c r="C1673" s="948" t="s">
        <v>15101</v>
      </c>
      <c r="D1673" s="242" t="s">
        <v>469</v>
      </c>
      <c r="E1673" s="949">
        <v>311</v>
      </c>
      <c r="F1673" s="949">
        <v>311</v>
      </c>
      <c r="G1673" s="950" t="s">
        <v>19717</v>
      </c>
      <c r="H1673" s="950" t="s">
        <v>782</v>
      </c>
      <c r="I1673" s="951" t="s">
        <v>15102</v>
      </c>
      <c r="J1673" s="947" t="s">
        <v>15103</v>
      </c>
      <c r="K1673" s="143"/>
    </row>
    <row r="1674" spans="1:11">
      <c r="A1674" s="946" t="s">
        <v>28612</v>
      </c>
      <c r="B1674" s="947" t="s">
        <v>15226</v>
      </c>
      <c r="C1674" s="948" t="s">
        <v>15224</v>
      </c>
      <c r="D1674" s="242" t="s">
        <v>469</v>
      </c>
      <c r="E1674" s="949">
        <v>311</v>
      </c>
      <c r="F1674" s="949">
        <v>311</v>
      </c>
      <c r="G1674" s="950" t="s">
        <v>19717</v>
      </c>
      <c r="H1674" s="950" t="s">
        <v>782</v>
      </c>
      <c r="I1674" s="951" t="s">
        <v>15225</v>
      </c>
      <c r="J1674" s="947" t="s">
        <v>15226</v>
      </c>
      <c r="K1674" s="143"/>
    </row>
    <row r="1675" spans="1:11">
      <c r="A1675" s="946" t="s">
        <v>28612</v>
      </c>
      <c r="B1675" s="947" t="s">
        <v>15391</v>
      </c>
      <c r="C1675" s="948" t="s">
        <v>15389</v>
      </c>
      <c r="D1675" s="242" t="s">
        <v>469</v>
      </c>
      <c r="E1675" s="949">
        <v>311</v>
      </c>
      <c r="F1675" s="949">
        <v>311</v>
      </c>
      <c r="G1675" s="950" t="s">
        <v>19717</v>
      </c>
      <c r="H1675" s="950" t="s">
        <v>782</v>
      </c>
      <c r="I1675" s="951" t="s">
        <v>15390</v>
      </c>
      <c r="J1675" s="947" t="s">
        <v>15391</v>
      </c>
      <c r="K1675" s="143"/>
    </row>
    <row r="1676" spans="1:11">
      <c r="A1676" s="946" t="s">
        <v>28612</v>
      </c>
      <c r="B1676" s="947" t="s">
        <v>15629</v>
      </c>
      <c r="C1676" s="948" t="s">
        <v>15627</v>
      </c>
      <c r="D1676" s="242" t="s">
        <v>469</v>
      </c>
      <c r="E1676" s="949">
        <v>311</v>
      </c>
      <c r="F1676" s="949">
        <v>311</v>
      </c>
      <c r="G1676" s="950" t="s">
        <v>19717</v>
      </c>
      <c r="H1676" s="950" t="s">
        <v>782</v>
      </c>
      <c r="I1676" s="951" t="s">
        <v>15628</v>
      </c>
      <c r="J1676" s="947" t="s">
        <v>15629</v>
      </c>
      <c r="K1676" s="143"/>
    </row>
    <row r="1677" spans="1:11">
      <c r="A1677" s="946" t="s">
        <v>28612</v>
      </c>
      <c r="B1677" s="947" t="s">
        <v>15748</v>
      </c>
      <c r="C1677" s="948" t="s">
        <v>15746</v>
      </c>
      <c r="D1677" s="242" t="s">
        <v>469</v>
      </c>
      <c r="E1677" s="949">
        <v>311</v>
      </c>
      <c r="F1677" s="949">
        <v>311</v>
      </c>
      <c r="G1677" s="950" t="s">
        <v>19717</v>
      </c>
      <c r="H1677" s="950" t="s">
        <v>782</v>
      </c>
      <c r="I1677" s="951" t="s">
        <v>15747</v>
      </c>
      <c r="J1677" s="947" t="s">
        <v>15748</v>
      </c>
      <c r="K1677" s="143"/>
    </row>
    <row r="1678" spans="1:11">
      <c r="A1678" s="946" t="s">
        <v>28612</v>
      </c>
      <c r="B1678" s="947" t="s">
        <v>16110</v>
      </c>
      <c r="C1678" s="948" t="s">
        <v>16108</v>
      </c>
      <c r="D1678" s="242" t="s">
        <v>469</v>
      </c>
      <c r="E1678" s="949">
        <v>311</v>
      </c>
      <c r="F1678" s="949">
        <v>311</v>
      </c>
      <c r="G1678" s="950" t="s">
        <v>19717</v>
      </c>
      <c r="H1678" s="950" t="s">
        <v>782</v>
      </c>
      <c r="I1678" s="951" t="s">
        <v>16109</v>
      </c>
      <c r="J1678" s="947" t="s">
        <v>16110</v>
      </c>
      <c r="K1678" s="143"/>
    </row>
    <row r="1679" spans="1:11">
      <c r="A1679" s="946" t="s">
        <v>28612</v>
      </c>
      <c r="B1679" s="947" t="s">
        <v>16794</v>
      </c>
      <c r="C1679" s="948" t="s">
        <v>16792</v>
      </c>
      <c r="D1679" s="242" t="s">
        <v>469</v>
      </c>
      <c r="E1679" s="949">
        <v>311</v>
      </c>
      <c r="F1679" s="949">
        <v>311</v>
      </c>
      <c r="G1679" s="950" t="s">
        <v>19717</v>
      </c>
      <c r="H1679" s="950" t="s">
        <v>782</v>
      </c>
      <c r="I1679" s="951" t="s">
        <v>16793</v>
      </c>
      <c r="J1679" s="947" t="s">
        <v>16794</v>
      </c>
      <c r="K1679" s="143"/>
    </row>
    <row r="1680" spans="1:11">
      <c r="A1680" s="946" t="s">
        <v>28612</v>
      </c>
      <c r="B1680" s="947" t="s">
        <v>17350</v>
      </c>
      <c r="C1680" s="948" t="s">
        <v>17348</v>
      </c>
      <c r="D1680" s="242" t="s">
        <v>469</v>
      </c>
      <c r="E1680" s="949">
        <v>311</v>
      </c>
      <c r="F1680" s="949">
        <v>311</v>
      </c>
      <c r="G1680" s="950" t="s">
        <v>19717</v>
      </c>
      <c r="H1680" s="950" t="s">
        <v>782</v>
      </c>
      <c r="I1680" s="951" t="s">
        <v>17349</v>
      </c>
      <c r="J1680" s="947" t="s">
        <v>17350</v>
      </c>
      <c r="K1680" s="143"/>
    </row>
    <row r="1681" spans="1:11">
      <c r="A1681" s="946" t="s">
        <v>28612</v>
      </c>
      <c r="B1681" s="947" t="s">
        <v>17623</v>
      </c>
      <c r="C1681" s="948" t="s">
        <v>17621</v>
      </c>
      <c r="D1681" s="242" t="s">
        <v>469</v>
      </c>
      <c r="E1681" s="949">
        <v>311</v>
      </c>
      <c r="F1681" s="949">
        <v>311</v>
      </c>
      <c r="G1681" s="950" t="s">
        <v>19717</v>
      </c>
      <c r="H1681" s="950" t="s">
        <v>782</v>
      </c>
      <c r="I1681" s="951" t="s">
        <v>17622</v>
      </c>
      <c r="J1681" s="947" t="s">
        <v>17623</v>
      </c>
      <c r="K1681" s="143"/>
    </row>
    <row r="1682" spans="1:11">
      <c r="A1682" s="946" t="s">
        <v>28612</v>
      </c>
      <c r="B1682" s="947" t="s">
        <v>19310</v>
      </c>
      <c r="C1682" s="948" t="s">
        <v>19308</v>
      </c>
      <c r="D1682" s="242" t="s">
        <v>469</v>
      </c>
      <c r="E1682" s="949">
        <v>311</v>
      </c>
      <c r="F1682" s="949">
        <v>311</v>
      </c>
      <c r="G1682" s="950" t="s">
        <v>19717</v>
      </c>
      <c r="H1682" s="950" t="s">
        <v>782</v>
      </c>
      <c r="I1682" s="951" t="s">
        <v>19309</v>
      </c>
      <c r="J1682" s="947" t="s">
        <v>19310</v>
      </c>
      <c r="K1682" s="143"/>
    </row>
    <row r="1683" spans="1:11">
      <c r="A1683" s="946" t="s">
        <v>28612</v>
      </c>
      <c r="B1683" s="947" t="s">
        <v>19714</v>
      </c>
      <c r="C1683" s="948" t="s">
        <v>19712</v>
      </c>
      <c r="D1683" s="242" t="s">
        <v>469</v>
      </c>
      <c r="E1683" s="949">
        <v>311</v>
      </c>
      <c r="F1683" s="949">
        <v>311</v>
      </c>
      <c r="G1683" s="950" t="s">
        <v>19717</v>
      </c>
      <c r="H1683" s="950" t="s">
        <v>782</v>
      </c>
      <c r="I1683" s="951" t="s">
        <v>19713</v>
      </c>
      <c r="J1683" s="947" t="s">
        <v>19714</v>
      </c>
      <c r="K1683" s="143"/>
    </row>
    <row r="1684" spans="1:11">
      <c r="A1684" s="946" t="s">
        <v>28612</v>
      </c>
      <c r="B1684" s="947" t="s">
        <v>19717</v>
      </c>
      <c r="C1684" s="948" t="s">
        <v>19715</v>
      </c>
      <c r="D1684" s="242" t="s">
        <v>469</v>
      </c>
      <c r="E1684" s="949">
        <v>311</v>
      </c>
      <c r="F1684" s="949">
        <v>311</v>
      </c>
      <c r="G1684" s="950" t="s">
        <v>19717</v>
      </c>
      <c r="H1684" s="950" t="s">
        <v>782</v>
      </c>
      <c r="I1684" s="951" t="s">
        <v>19716</v>
      </c>
      <c r="J1684" s="947" t="s">
        <v>19717</v>
      </c>
      <c r="K1684" s="143"/>
    </row>
    <row r="1685" spans="1:11">
      <c r="A1685" s="946" t="s">
        <v>28612</v>
      </c>
      <c r="B1685" s="947" t="s">
        <v>19942</v>
      </c>
      <c r="C1685" s="948" t="s">
        <v>19940</v>
      </c>
      <c r="D1685" s="242" t="s">
        <v>469</v>
      </c>
      <c r="E1685" s="949">
        <v>311</v>
      </c>
      <c r="F1685" s="949">
        <v>311</v>
      </c>
      <c r="G1685" s="950" t="s">
        <v>19717</v>
      </c>
      <c r="H1685" s="950" t="s">
        <v>782</v>
      </c>
      <c r="I1685" s="951" t="s">
        <v>19941</v>
      </c>
      <c r="J1685" s="947" t="s">
        <v>19942</v>
      </c>
      <c r="K1685" s="143"/>
    </row>
    <row r="1686" spans="1:11">
      <c r="A1686" s="946" t="s">
        <v>28612</v>
      </c>
      <c r="B1686" s="947" t="s">
        <v>20185</v>
      </c>
      <c r="C1686" s="948" t="s">
        <v>20183</v>
      </c>
      <c r="D1686" s="242" t="s">
        <v>469</v>
      </c>
      <c r="E1686" s="949">
        <v>311</v>
      </c>
      <c r="F1686" s="949">
        <v>311</v>
      </c>
      <c r="G1686" s="950" t="s">
        <v>19717</v>
      </c>
      <c r="H1686" s="950" t="s">
        <v>782</v>
      </c>
      <c r="I1686" s="951" t="s">
        <v>20184</v>
      </c>
      <c r="J1686" s="947" t="s">
        <v>20185</v>
      </c>
      <c r="K1686" s="143"/>
    </row>
    <row r="1687" spans="1:11">
      <c r="A1687" s="946" t="s">
        <v>28612</v>
      </c>
      <c r="B1687" s="947" t="s">
        <v>20224</v>
      </c>
      <c r="C1687" s="948" t="s">
        <v>20222</v>
      </c>
      <c r="D1687" s="242" t="s">
        <v>469</v>
      </c>
      <c r="E1687" s="949">
        <v>311</v>
      </c>
      <c r="F1687" s="949">
        <v>311</v>
      </c>
      <c r="G1687" s="950" t="s">
        <v>19717</v>
      </c>
      <c r="H1687" s="950" t="s">
        <v>782</v>
      </c>
      <c r="I1687" s="951" t="s">
        <v>20223</v>
      </c>
      <c r="J1687" s="947" t="s">
        <v>20224</v>
      </c>
      <c r="K1687" s="143"/>
    </row>
    <row r="1688" spans="1:11">
      <c r="A1688" s="946" t="s">
        <v>28612</v>
      </c>
      <c r="B1688" s="947" t="s">
        <v>20293</v>
      </c>
      <c r="C1688" s="948" t="s">
        <v>20291</v>
      </c>
      <c r="D1688" s="242" t="s">
        <v>469</v>
      </c>
      <c r="E1688" s="949">
        <v>311</v>
      </c>
      <c r="F1688" s="949">
        <v>311</v>
      </c>
      <c r="G1688" s="950" t="s">
        <v>19717</v>
      </c>
      <c r="H1688" s="950" t="s">
        <v>782</v>
      </c>
      <c r="I1688" s="951" t="s">
        <v>20292</v>
      </c>
      <c r="J1688" s="947" t="s">
        <v>20293</v>
      </c>
      <c r="K1688" s="143"/>
    </row>
    <row r="1689" spans="1:11">
      <c r="A1689" s="946" t="s">
        <v>28612</v>
      </c>
      <c r="B1689" s="947" t="s">
        <v>20478</v>
      </c>
      <c r="C1689" s="948" t="s">
        <v>20476</v>
      </c>
      <c r="D1689" s="242" t="s">
        <v>469</v>
      </c>
      <c r="E1689" s="949">
        <v>311</v>
      </c>
      <c r="F1689" s="949">
        <v>311</v>
      </c>
      <c r="G1689" s="950" t="s">
        <v>19717</v>
      </c>
      <c r="H1689" s="950" t="s">
        <v>782</v>
      </c>
      <c r="I1689" s="951" t="s">
        <v>20477</v>
      </c>
      <c r="J1689" s="947" t="s">
        <v>20478</v>
      </c>
      <c r="K1689" s="143"/>
    </row>
    <row r="1690" spans="1:11">
      <c r="A1690" s="946" t="s">
        <v>28612</v>
      </c>
      <c r="B1690" s="947" t="s">
        <v>20673</v>
      </c>
      <c r="C1690" s="948" t="s">
        <v>20671</v>
      </c>
      <c r="D1690" s="242" t="s">
        <v>469</v>
      </c>
      <c r="E1690" s="949">
        <v>311</v>
      </c>
      <c r="F1690" s="949">
        <v>311</v>
      </c>
      <c r="G1690" s="950" t="s">
        <v>19717</v>
      </c>
      <c r="H1690" s="950" t="s">
        <v>782</v>
      </c>
      <c r="I1690" s="951" t="s">
        <v>20672</v>
      </c>
      <c r="J1690" s="947" t="s">
        <v>20673</v>
      </c>
      <c r="K1690" s="143"/>
    </row>
    <row r="1691" spans="1:11">
      <c r="A1691" s="946" t="s">
        <v>28612</v>
      </c>
      <c r="B1691" s="947" t="s">
        <v>20808</v>
      </c>
      <c r="C1691" s="948" t="s">
        <v>20806</v>
      </c>
      <c r="D1691" s="242" t="s">
        <v>469</v>
      </c>
      <c r="E1691" s="949">
        <v>311</v>
      </c>
      <c r="F1691" s="949">
        <v>311</v>
      </c>
      <c r="G1691" s="950" t="s">
        <v>19717</v>
      </c>
      <c r="H1691" s="950" t="s">
        <v>782</v>
      </c>
      <c r="I1691" s="951" t="s">
        <v>20807</v>
      </c>
      <c r="J1691" s="947" t="s">
        <v>20808</v>
      </c>
      <c r="K1691" s="143"/>
    </row>
    <row r="1692" spans="1:11">
      <c r="A1692" s="946" t="s">
        <v>28612</v>
      </c>
      <c r="B1692" s="947" t="s">
        <v>20842</v>
      </c>
      <c r="C1692" s="948" t="s">
        <v>20840</v>
      </c>
      <c r="D1692" s="242" t="s">
        <v>469</v>
      </c>
      <c r="E1692" s="949">
        <v>311</v>
      </c>
      <c r="F1692" s="949">
        <v>311</v>
      </c>
      <c r="G1692" s="950" t="s">
        <v>19717</v>
      </c>
      <c r="H1692" s="950" t="s">
        <v>782</v>
      </c>
      <c r="I1692" s="951" t="s">
        <v>20841</v>
      </c>
      <c r="J1692" s="947" t="s">
        <v>20842</v>
      </c>
      <c r="K1692" s="143"/>
    </row>
    <row r="1693" spans="1:11">
      <c r="A1693" s="946" t="s">
        <v>28612</v>
      </c>
      <c r="B1693" s="947" t="s">
        <v>20954</v>
      </c>
      <c r="C1693" s="948" t="s">
        <v>20952</v>
      </c>
      <c r="D1693" s="242" t="s">
        <v>469</v>
      </c>
      <c r="E1693" s="949">
        <v>311</v>
      </c>
      <c r="F1693" s="949">
        <v>311</v>
      </c>
      <c r="G1693" s="950" t="s">
        <v>19717</v>
      </c>
      <c r="H1693" s="950" t="s">
        <v>782</v>
      </c>
      <c r="I1693" s="951" t="s">
        <v>20953</v>
      </c>
      <c r="J1693" s="947" t="s">
        <v>20954</v>
      </c>
      <c r="K1693" s="143"/>
    </row>
    <row r="1694" spans="1:11">
      <c r="A1694" s="946" t="s">
        <v>28612</v>
      </c>
      <c r="B1694" s="947" t="s">
        <v>21321</v>
      </c>
      <c r="C1694" s="948" t="s">
        <v>21319</v>
      </c>
      <c r="D1694" s="242" t="s">
        <v>469</v>
      </c>
      <c r="E1694" s="949">
        <v>311</v>
      </c>
      <c r="F1694" s="949">
        <v>311</v>
      </c>
      <c r="G1694" s="950" t="s">
        <v>19717</v>
      </c>
      <c r="H1694" s="950" t="s">
        <v>782</v>
      </c>
      <c r="I1694" s="951" t="s">
        <v>21320</v>
      </c>
      <c r="J1694" s="947" t="s">
        <v>21321</v>
      </c>
      <c r="K1694" s="143"/>
    </row>
    <row r="1695" spans="1:11">
      <c r="A1695" s="946" t="s">
        <v>28612</v>
      </c>
      <c r="B1695" s="947" t="s">
        <v>21330</v>
      </c>
      <c r="C1695" s="948" t="s">
        <v>21328</v>
      </c>
      <c r="D1695" s="242" t="s">
        <v>469</v>
      </c>
      <c r="E1695" s="949">
        <v>311</v>
      </c>
      <c r="F1695" s="949">
        <v>311</v>
      </c>
      <c r="G1695" s="950" t="s">
        <v>19717</v>
      </c>
      <c r="H1695" s="950" t="s">
        <v>782</v>
      </c>
      <c r="I1695" s="951" t="s">
        <v>21329</v>
      </c>
      <c r="J1695" s="947" t="s">
        <v>21330</v>
      </c>
      <c r="K1695" s="143"/>
    </row>
    <row r="1696" spans="1:11">
      <c r="A1696" s="946" t="s">
        <v>28612</v>
      </c>
      <c r="B1696" s="947" t="s">
        <v>21366</v>
      </c>
      <c r="C1696" s="948" t="s">
        <v>21364</v>
      </c>
      <c r="D1696" s="242" t="s">
        <v>469</v>
      </c>
      <c r="E1696" s="949">
        <v>311</v>
      </c>
      <c r="F1696" s="949">
        <v>311</v>
      </c>
      <c r="G1696" s="950" t="s">
        <v>19717</v>
      </c>
      <c r="H1696" s="950" t="s">
        <v>782</v>
      </c>
      <c r="I1696" s="951" t="s">
        <v>21365</v>
      </c>
      <c r="J1696" s="947" t="s">
        <v>21366</v>
      </c>
      <c r="K1696" s="143"/>
    </row>
    <row r="1697" spans="1:11">
      <c r="A1697" s="946" t="s">
        <v>28612</v>
      </c>
      <c r="B1697" s="947" t="s">
        <v>21290</v>
      </c>
      <c r="C1697" s="948" t="s">
        <v>21288</v>
      </c>
      <c r="D1697" s="242" t="s">
        <v>469</v>
      </c>
      <c r="E1697" s="949">
        <v>311</v>
      </c>
      <c r="F1697" s="949">
        <v>311</v>
      </c>
      <c r="G1697" s="950" t="s">
        <v>19717</v>
      </c>
      <c r="H1697" s="950" t="s">
        <v>782</v>
      </c>
      <c r="I1697" s="951" t="s">
        <v>21289</v>
      </c>
      <c r="J1697" s="947" t="s">
        <v>21290</v>
      </c>
      <c r="K1697" s="143"/>
    </row>
    <row r="1698" spans="1:11">
      <c r="A1698" s="946" t="s">
        <v>28612</v>
      </c>
      <c r="B1698" s="947" t="s">
        <v>21736</v>
      </c>
      <c r="C1698" s="948" t="s">
        <v>21734</v>
      </c>
      <c r="D1698" s="242" t="s">
        <v>469</v>
      </c>
      <c r="E1698" s="949">
        <v>311</v>
      </c>
      <c r="F1698" s="949">
        <v>311</v>
      </c>
      <c r="G1698" s="950" t="s">
        <v>19717</v>
      </c>
      <c r="H1698" s="950" t="s">
        <v>782</v>
      </c>
      <c r="I1698" s="951" t="s">
        <v>21735</v>
      </c>
      <c r="J1698" s="947" t="s">
        <v>21736</v>
      </c>
      <c r="K1698" s="143"/>
    </row>
    <row r="1699" spans="1:11">
      <c r="A1699" s="946" t="s">
        <v>28612</v>
      </c>
      <c r="B1699" s="947" t="s">
        <v>21828</v>
      </c>
      <c r="C1699" s="948" t="s">
        <v>21826</v>
      </c>
      <c r="D1699" s="242" t="s">
        <v>469</v>
      </c>
      <c r="E1699" s="949">
        <v>311</v>
      </c>
      <c r="F1699" s="949">
        <v>311</v>
      </c>
      <c r="G1699" s="950" t="s">
        <v>19717</v>
      </c>
      <c r="H1699" s="950" t="s">
        <v>782</v>
      </c>
      <c r="I1699" s="951" t="s">
        <v>21827</v>
      </c>
      <c r="J1699" s="947" t="s">
        <v>21828</v>
      </c>
      <c r="K1699" s="143"/>
    </row>
    <row r="1700" spans="1:11">
      <c r="A1700" s="946" t="s">
        <v>28612</v>
      </c>
      <c r="B1700" s="947" t="s">
        <v>22085</v>
      </c>
      <c r="C1700" s="948" t="s">
        <v>22083</v>
      </c>
      <c r="D1700" s="242" t="s">
        <v>469</v>
      </c>
      <c r="E1700" s="949">
        <v>311</v>
      </c>
      <c r="F1700" s="949">
        <v>311</v>
      </c>
      <c r="G1700" s="950" t="s">
        <v>19717</v>
      </c>
      <c r="H1700" s="950" t="s">
        <v>782</v>
      </c>
      <c r="I1700" s="951" t="s">
        <v>22084</v>
      </c>
      <c r="J1700" s="947" t="s">
        <v>22085</v>
      </c>
      <c r="K1700" s="143"/>
    </row>
    <row r="1701" spans="1:11">
      <c r="A1701" s="946" t="s">
        <v>28612</v>
      </c>
      <c r="B1701" s="947" t="s">
        <v>22091</v>
      </c>
      <c r="C1701" s="948" t="s">
        <v>22089</v>
      </c>
      <c r="D1701" s="242" t="s">
        <v>469</v>
      </c>
      <c r="E1701" s="949">
        <v>311</v>
      </c>
      <c r="F1701" s="949">
        <v>311</v>
      </c>
      <c r="G1701" s="950" t="s">
        <v>19717</v>
      </c>
      <c r="H1701" s="950" t="s">
        <v>782</v>
      </c>
      <c r="I1701" s="951" t="s">
        <v>22090</v>
      </c>
      <c r="J1701" s="947" t="s">
        <v>22091</v>
      </c>
      <c r="K1701" s="143"/>
    </row>
    <row r="1702" spans="1:11">
      <c r="A1702" s="946" t="s">
        <v>28612</v>
      </c>
      <c r="B1702" s="947" t="s">
        <v>360</v>
      </c>
      <c r="C1702" s="948" t="s">
        <v>357</v>
      </c>
      <c r="D1702" s="242" t="s">
        <v>28724</v>
      </c>
      <c r="E1702" s="949">
        <v>308</v>
      </c>
      <c r="F1702" s="949">
        <v>308</v>
      </c>
      <c r="G1702" s="950" t="s">
        <v>7773</v>
      </c>
      <c r="H1702" s="950" t="s">
        <v>358</v>
      </c>
      <c r="I1702" s="951" t="s">
        <v>359</v>
      </c>
      <c r="J1702" s="947" t="s">
        <v>360</v>
      </c>
      <c r="K1702" s="143"/>
    </row>
    <row r="1703" spans="1:11">
      <c r="A1703" s="946" t="s">
        <v>28612</v>
      </c>
      <c r="B1703" s="947" t="s">
        <v>762</v>
      </c>
      <c r="C1703" s="948" t="s">
        <v>760</v>
      </c>
      <c r="D1703" s="242" t="s">
        <v>28724</v>
      </c>
      <c r="E1703" s="949">
        <v>308</v>
      </c>
      <c r="F1703" s="949">
        <v>308</v>
      </c>
      <c r="G1703" s="950" t="s">
        <v>7773</v>
      </c>
      <c r="H1703" s="950" t="s">
        <v>358</v>
      </c>
      <c r="I1703" s="951" t="s">
        <v>761</v>
      </c>
      <c r="J1703" s="947" t="s">
        <v>762</v>
      </c>
      <c r="K1703" s="143"/>
    </row>
    <row r="1704" spans="1:11">
      <c r="A1704" s="946" t="s">
        <v>28612</v>
      </c>
      <c r="B1704" s="947" t="s">
        <v>1346</v>
      </c>
      <c r="C1704" s="948" t="s">
        <v>1344</v>
      </c>
      <c r="D1704" s="242" t="s">
        <v>28724</v>
      </c>
      <c r="E1704" s="949">
        <v>308</v>
      </c>
      <c r="F1704" s="949">
        <v>308</v>
      </c>
      <c r="G1704" s="950" t="s">
        <v>7773</v>
      </c>
      <c r="H1704" s="950" t="s">
        <v>358</v>
      </c>
      <c r="I1704" s="951" t="s">
        <v>1345</v>
      </c>
      <c r="J1704" s="947" t="s">
        <v>1346</v>
      </c>
      <c r="K1704" s="143"/>
    </row>
    <row r="1705" spans="1:11">
      <c r="A1705" s="946" t="s">
        <v>28612</v>
      </c>
      <c r="B1705" s="947" t="s">
        <v>1379</v>
      </c>
      <c r="C1705" s="948" t="s">
        <v>1377</v>
      </c>
      <c r="D1705" s="242" t="s">
        <v>28724</v>
      </c>
      <c r="E1705" s="949">
        <v>308</v>
      </c>
      <c r="F1705" s="949">
        <v>308</v>
      </c>
      <c r="G1705" s="950" t="s">
        <v>7773</v>
      </c>
      <c r="H1705" s="950" t="s">
        <v>358</v>
      </c>
      <c r="I1705" s="951" t="s">
        <v>1378</v>
      </c>
      <c r="J1705" s="947" t="s">
        <v>1379</v>
      </c>
      <c r="K1705" s="143"/>
    </row>
    <row r="1706" spans="1:11">
      <c r="A1706" s="946" t="s">
        <v>28612</v>
      </c>
      <c r="B1706" s="947" t="s">
        <v>1433</v>
      </c>
      <c r="C1706" s="948" t="s">
        <v>1431</v>
      </c>
      <c r="D1706" s="242" t="s">
        <v>28724</v>
      </c>
      <c r="E1706" s="949">
        <v>308</v>
      </c>
      <c r="F1706" s="949">
        <v>308</v>
      </c>
      <c r="G1706" s="950" t="s">
        <v>7773</v>
      </c>
      <c r="H1706" s="950" t="s">
        <v>358</v>
      </c>
      <c r="I1706" s="951" t="s">
        <v>1432</v>
      </c>
      <c r="J1706" s="947" t="s">
        <v>1433</v>
      </c>
      <c r="K1706" s="143"/>
    </row>
    <row r="1707" spans="1:11">
      <c r="A1707" s="946" t="s">
        <v>28612</v>
      </c>
      <c r="B1707" s="947" t="s">
        <v>1568</v>
      </c>
      <c r="C1707" s="948" t="s">
        <v>1566</v>
      </c>
      <c r="D1707" s="242" t="s">
        <v>28724</v>
      </c>
      <c r="E1707" s="949">
        <v>308</v>
      </c>
      <c r="F1707" s="949">
        <v>308</v>
      </c>
      <c r="G1707" s="950" t="s">
        <v>7773</v>
      </c>
      <c r="H1707" s="950" t="s">
        <v>358</v>
      </c>
      <c r="I1707" s="951" t="s">
        <v>1567</v>
      </c>
      <c r="J1707" s="947" t="s">
        <v>1568</v>
      </c>
      <c r="K1707" s="143"/>
    </row>
    <row r="1708" spans="1:11">
      <c r="A1708" s="946" t="s">
        <v>28612</v>
      </c>
      <c r="B1708" s="947" t="s">
        <v>1971</v>
      </c>
      <c r="C1708" s="948" t="s">
        <v>1969</v>
      </c>
      <c r="D1708" s="242" t="s">
        <v>28724</v>
      </c>
      <c r="E1708" s="949">
        <v>308</v>
      </c>
      <c r="F1708" s="949">
        <v>308</v>
      </c>
      <c r="G1708" s="950" t="s">
        <v>7773</v>
      </c>
      <c r="H1708" s="950" t="s">
        <v>358</v>
      </c>
      <c r="I1708" s="951" t="s">
        <v>1970</v>
      </c>
      <c r="J1708" s="947" t="s">
        <v>1971</v>
      </c>
      <c r="K1708" s="143"/>
    </row>
    <row r="1709" spans="1:11">
      <c r="A1709" s="946" t="s">
        <v>28612</v>
      </c>
      <c r="B1709" s="947" t="s">
        <v>2063</v>
      </c>
      <c r="C1709" s="948" t="s">
        <v>2061</v>
      </c>
      <c r="D1709" s="242" t="s">
        <v>28724</v>
      </c>
      <c r="E1709" s="949">
        <v>308</v>
      </c>
      <c r="F1709" s="949">
        <v>308</v>
      </c>
      <c r="G1709" s="950" t="s">
        <v>7773</v>
      </c>
      <c r="H1709" s="950" t="s">
        <v>358</v>
      </c>
      <c r="I1709" s="951" t="s">
        <v>2062</v>
      </c>
      <c r="J1709" s="947" t="s">
        <v>2063</v>
      </c>
      <c r="K1709" s="143"/>
    </row>
    <row r="1710" spans="1:11">
      <c r="A1710" s="946" t="s">
        <v>28612</v>
      </c>
      <c r="B1710" s="947" t="s">
        <v>2069</v>
      </c>
      <c r="C1710" s="948" t="s">
        <v>2067</v>
      </c>
      <c r="D1710" s="242" t="s">
        <v>28724</v>
      </c>
      <c r="E1710" s="949">
        <v>308</v>
      </c>
      <c r="F1710" s="949">
        <v>308</v>
      </c>
      <c r="G1710" s="950" t="s">
        <v>7773</v>
      </c>
      <c r="H1710" s="950" t="s">
        <v>358</v>
      </c>
      <c r="I1710" s="951" t="s">
        <v>2068</v>
      </c>
      <c r="J1710" s="947" t="s">
        <v>2069</v>
      </c>
      <c r="K1710" s="143"/>
    </row>
    <row r="1711" spans="1:11">
      <c r="A1711" s="946" t="s">
        <v>28612</v>
      </c>
      <c r="B1711" s="947" t="s">
        <v>2190</v>
      </c>
      <c r="C1711" s="948" t="s">
        <v>2188</v>
      </c>
      <c r="D1711" s="242" t="s">
        <v>28724</v>
      </c>
      <c r="E1711" s="949">
        <v>308</v>
      </c>
      <c r="F1711" s="949">
        <v>308</v>
      </c>
      <c r="G1711" s="950" t="s">
        <v>7773</v>
      </c>
      <c r="H1711" s="950" t="s">
        <v>358</v>
      </c>
      <c r="I1711" s="951" t="s">
        <v>2189</v>
      </c>
      <c r="J1711" s="947" t="s">
        <v>2190</v>
      </c>
      <c r="K1711" s="143"/>
    </row>
    <row r="1712" spans="1:11">
      <c r="A1712" s="946" t="s">
        <v>28612</v>
      </c>
      <c r="B1712" s="947" t="s">
        <v>2315</v>
      </c>
      <c r="C1712" s="948" t="s">
        <v>2313</v>
      </c>
      <c r="D1712" s="242" t="s">
        <v>28724</v>
      </c>
      <c r="E1712" s="949">
        <v>308</v>
      </c>
      <c r="F1712" s="949">
        <v>308</v>
      </c>
      <c r="G1712" s="950" t="s">
        <v>7773</v>
      </c>
      <c r="H1712" s="950" t="s">
        <v>358</v>
      </c>
      <c r="I1712" s="951" t="s">
        <v>2314</v>
      </c>
      <c r="J1712" s="947" t="s">
        <v>2315</v>
      </c>
      <c r="K1712" s="143"/>
    </row>
    <row r="1713" spans="1:11">
      <c r="A1713" s="946" t="s">
        <v>28612</v>
      </c>
      <c r="B1713" s="947" t="s">
        <v>2350</v>
      </c>
      <c r="C1713" s="948" t="s">
        <v>2348</v>
      </c>
      <c r="D1713" s="242" t="s">
        <v>28724</v>
      </c>
      <c r="E1713" s="949">
        <v>308</v>
      </c>
      <c r="F1713" s="949">
        <v>308</v>
      </c>
      <c r="G1713" s="950" t="s">
        <v>7773</v>
      </c>
      <c r="H1713" s="950" t="s">
        <v>358</v>
      </c>
      <c r="I1713" s="951" t="s">
        <v>2349</v>
      </c>
      <c r="J1713" s="947" t="s">
        <v>2350</v>
      </c>
      <c r="K1713" s="143"/>
    </row>
    <row r="1714" spans="1:11">
      <c r="A1714" s="946" t="s">
        <v>28612</v>
      </c>
      <c r="B1714" s="947" t="s">
        <v>2447</v>
      </c>
      <c r="C1714" s="948" t="s">
        <v>2445</v>
      </c>
      <c r="D1714" s="242" t="s">
        <v>28724</v>
      </c>
      <c r="E1714" s="949">
        <v>308</v>
      </c>
      <c r="F1714" s="949">
        <v>308</v>
      </c>
      <c r="G1714" s="950" t="s">
        <v>7773</v>
      </c>
      <c r="H1714" s="950" t="s">
        <v>358</v>
      </c>
      <c r="I1714" s="951" t="s">
        <v>2446</v>
      </c>
      <c r="J1714" s="947" t="s">
        <v>2447</v>
      </c>
      <c r="K1714" s="143"/>
    </row>
    <row r="1715" spans="1:11">
      <c r="A1715" s="946" t="s">
        <v>28612</v>
      </c>
      <c r="B1715" s="947" t="s">
        <v>2552</v>
      </c>
      <c r="C1715" s="948" t="s">
        <v>2550</v>
      </c>
      <c r="D1715" s="242" t="s">
        <v>28724</v>
      </c>
      <c r="E1715" s="949">
        <v>308</v>
      </c>
      <c r="F1715" s="949">
        <v>308</v>
      </c>
      <c r="G1715" s="950" t="s">
        <v>7773</v>
      </c>
      <c r="H1715" s="950" t="s">
        <v>358</v>
      </c>
      <c r="I1715" s="951" t="s">
        <v>2551</v>
      </c>
      <c r="J1715" s="947" t="s">
        <v>2552</v>
      </c>
      <c r="K1715" s="143"/>
    </row>
    <row r="1716" spans="1:11">
      <c r="A1716" s="946" t="s">
        <v>28612</v>
      </c>
      <c r="B1716" s="947" t="s">
        <v>2575</v>
      </c>
      <c r="C1716" s="948" t="s">
        <v>2573</v>
      </c>
      <c r="D1716" s="242" t="s">
        <v>28724</v>
      </c>
      <c r="E1716" s="949">
        <v>308</v>
      </c>
      <c r="F1716" s="949">
        <v>308</v>
      </c>
      <c r="G1716" s="950" t="s">
        <v>7773</v>
      </c>
      <c r="H1716" s="950" t="s">
        <v>358</v>
      </c>
      <c r="I1716" s="951" t="s">
        <v>2574</v>
      </c>
      <c r="J1716" s="947" t="s">
        <v>2575</v>
      </c>
      <c r="K1716" s="143"/>
    </row>
    <row r="1717" spans="1:11">
      <c r="A1717" s="946" t="s">
        <v>28612</v>
      </c>
      <c r="B1717" s="947" t="s">
        <v>3034</v>
      </c>
      <c r="C1717" s="948" t="s">
        <v>3032</v>
      </c>
      <c r="D1717" s="242" t="s">
        <v>28724</v>
      </c>
      <c r="E1717" s="949">
        <v>308</v>
      </c>
      <c r="F1717" s="949">
        <v>308</v>
      </c>
      <c r="G1717" s="950" t="s">
        <v>7773</v>
      </c>
      <c r="H1717" s="950" t="s">
        <v>358</v>
      </c>
      <c r="I1717" s="951" t="s">
        <v>3033</v>
      </c>
      <c r="J1717" s="947" t="s">
        <v>3034</v>
      </c>
      <c r="K1717" s="143"/>
    </row>
    <row r="1718" spans="1:11">
      <c r="A1718" s="946" t="s">
        <v>28612</v>
      </c>
      <c r="B1718" s="947" t="s">
        <v>3182</v>
      </c>
      <c r="C1718" s="948" t="s">
        <v>3180</v>
      </c>
      <c r="D1718" s="242" t="s">
        <v>28724</v>
      </c>
      <c r="E1718" s="949">
        <v>308</v>
      </c>
      <c r="F1718" s="949">
        <v>308</v>
      </c>
      <c r="G1718" s="950" t="s">
        <v>7773</v>
      </c>
      <c r="H1718" s="950" t="s">
        <v>358</v>
      </c>
      <c r="I1718" s="951" t="s">
        <v>3181</v>
      </c>
      <c r="J1718" s="947" t="s">
        <v>3182</v>
      </c>
      <c r="K1718" s="143"/>
    </row>
    <row r="1719" spans="1:11">
      <c r="A1719" s="946" t="s">
        <v>28612</v>
      </c>
      <c r="B1719" s="947" t="s">
        <v>3197</v>
      </c>
      <c r="C1719" s="948" t="s">
        <v>3195</v>
      </c>
      <c r="D1719" s="242" t="s">
        <v>28724</v>
      </c>
      <c r="E1719" s="949">
        <v>308</v>
      </c>
      <c r="F1719" s="949">
        <v>308</v>
      </c>
      <c r="G1719" s="950" t="s">
        <v>7773</v>
      </c>
      <c r="H1719" s="950" t="s">
        <v>358</v>
      </c>
      <c r="I1719" s="951" t="s">
        <v>3196</v>
      </c>
      <c r="J1719" s="947" t="s">
        <v>3197</v>
      </c>
      <c r="K1719" s="143"/>
    </row>
    <row r="1720" spans="1:11">
      <c r="A1720" s="946" t="s">
        <v>28612</v>
      </c>
      <c r="B1720" s="947" t="s">
        <v>3280</v>
      </c>
      <c r="C1720" s="948" t="s">
        <v>3278</v>
      </c>
      <c r="D1720" s="242" t="s">
        <v>28724</v>
      </c>
      <c r="E1720" s="949">
        <v>308</v>
      </c>
      <c r="F1720" s="949">
        <v>308</v>
      </c>
      <c r="G1720" s="950" t="s">
        <v>7773</v>
      </c>
      <c r="H1720" s="950" t="s">
        <v>358</v>
      </c>
      <c r="I1720" s="951" t="s">
        <v>3279</v>
      </c>
      <c r="J1720" s="947" t="s">
        <v>3280</v>
      </c>
      <c r="K1720" s="143"/>
    </row>
    <row r="1721" spans="1:11">
      <c r="A1721" s="946" t="s">
        <v>28612</v>
      </c>
      <c r="B1721" s="947" t="s">
        <v>3291</v>
      </c>
      <c r="C1721" s="948" t="s">
        <v>3289</v>
      </c>
      <c r="D1721" s="242" t="s">
        <v>28724</v>
      </c>
      <c r="E1721" s="949">
        <v>308</v>
      </c>
      <c r="F1721" s="949">
        <v>308</v>
      </c>
      <c r="G1721" s="950" t="s">
        <v>7773</v>
      </c>
      <c r="H1721" s="950" t="s">
        <v>358</v>
      </c>
      <c r="I1721" s="951" t="s">
        <v>3290</v>
      </c>
      <c r="J1721" s="947" t="s">
        <v>3291</v>
      </c>
      <c r="K1721" s="143"/>
    </row>
    <row r="1722" spans="1:11">
      <c r="A1722" s="946" t="s">
        <v>28612</v>
      </c>
      <c r="B1722" s="947" t="s">
        <v>3312</v>
      </c>
      <c r="C1722" s="948" t="s">
        <v>3310</v>
      </c>
      <c r="D1722" s="242" t="s">
        <v>28724</v>
      </c>
      <c r="E1722" s="949">
        <v>308</v>
      </c>
      <c r="F1722" s="949">
        <v>308</v>
      </c>
      <c r="G1722" s="950" t="s">
        <v>7773</v>
      </c>
      <c r="H1722" s="950" t="s">
        <v>358</v>
      </c>
      <c r="I1722" s="951" t="s">
        <v>3311</v>
      </c>
      <c r="J1722" s="947" t="s">
        <v>3312</v>
      </c>
      <c r="K1722" s="143"/>
    </row>
    <row r="1723" spans="1:11">
      <c r="A1723" s="946" t="s">
        <v>28612</v>
      </c>
      <c r="B1723" s="947" t="s">
        <v>3588</v>
      </c>
      <c r="C1723" s="948" t="s">
        <v>3586</v>
      </c>
      <c r="D1723" s="242" t="s">
        <v>28724</v>
      </c>
      <c r="E1723" s="949">
        <v>308</v>
      </c>
      <c r="F1723" s="949">
        <v>308</v>
      </c>
      <c r="G1723" s="950" t="s">
        <v>7773</v>
      </c>
      <c r="H1723" s="950" t="s">
        <v>358</v>
      </c>
      <c r="I1723" s="951" t="s">
        <v>3587</v>
      </c>
      <c r="J1723" s="947" t="s">
        <v>3588</v>
      </c>
      <c r="K1723" s="143"/>
    </row>
    <row r="1724" spans="1:11">
      <c r="A1724" s="946" t="s">
        <v>28612</v>
      </c>
      <c r="B1724" s="947" t="s">
        <v>3609</v>
      </c>
      <c r="C1724" s="948" t="s">
        <v>3607</v>
      </c>
      <c r="D1724" s="242" t="s">
        <v>28724</v>
      </c>
      <c r="E1724" s="949">
        <v>308</v>
      </c>
      <c r="F1724" s="949">
        <v>308</v>
      </c>
      <c r="G1724" s="950" t="s">
        <v>7773</v>
      </c>
      <c r="H1724" s="950" t="s">
        <v>358</v>
      </c>
      <c r="I1724" s="951" t="s">
        <v>3608</v>
      </c>
      <c r="J1724" s="947" t="s">
        <v>3609</v>
      </c>
      <c r="K1724" s="143"/>
    </row>
    <row r="1725" spans="1:11">
      <c r="A1725" s="946" t="s">
        <v>28612</v>
      </c>
      <c r="B1725" s="947" t="s">
        <v>3909</v>
      </c>
      <c r="C1725" s="948" t="s">
        <v>3907</v>
      </c>
      <c r="D1725" s="242" t="s">
        <v>28724</v>
      </c>
      <c r="E1725" s="949">
        <v>308</v>
      </c>
      <c r="F1725" s="949">
        <v>308</v>
      </c>
      <c r="G1725" s="950" t="s">
        <v>7773</v>
      </c>
      <c r="H1725" s="950" t="s">
        <v>358</v>
      </c>
      <c r="I1725" s="951" t="s">
        <v>3908</v>
      </c>
      <c r="J1725" s="947" t="s">
        <v>3909</v>
      </c>
      <c r="K1725" s="143"/>
    </row>
    <row r="1726" spans="1:11">
      <c r="A1726" s="946" t="s">
        <v>28612</v>
      </c>
      <c r="B1726" s="947" t="s">
        <v>4414</v>
      </c>
      <c r="C1726" s="948" t="s">
        <v>4412</v>
      </c>
      <c r="D1726" s="242" t="s">
        <v>28724</v>
      </c>
      <c r="E1726" s="949">
        <v>308</v>
      </c>
      <c r="F1726" s="949">
        <v>308</v>
      </c>
      <c r="G1726" s="950" t="s">
        <v>7773</v>
      </c>
      <c r="H1726" s="950" t="s">
        <v>358</v>
      </c>
      <c r="I1726" s="951" t="s">
        <v>4413</v>
      </c>
      <c r="J1726" s="947" t="s">
        <v>4414</v>
      </c>
      <c r="K1726" s="143"/>
    </row>
    <row r="1727" spans="1:11">
      <c r="A1727" s="946" t="s">
        <v>28612</v>
      </c>
      <c r="B1727" s="947" t="s">
        <v>4480</v>
      </c>
      <c r="C1727" s="948" t="s">
        <v>4478</v>
      </c>
      <c r="D1727" s="242" t="s">
        <v>28724</v>
      </c>
      <c r="E1727" s="949">
        <v>308</v>
      </c>
      <c r="F1727" s="949">
        <v>308</v>
      </c>
      <c r="G1727" s="950" t="s">
        <v>7773</v>
      </c>
      <c r="H1727" s="950" t="s">
        <v>358</v>
      </c>
      <c r="I1727" s="951" t="s">
        <v>4479</v>
      </c>
      <c r="J1727" s="947" t="s">
        <v>4480</v>
      </c>
      <c r="K1727" s="143"/>
    </row>
    <row r="1728" spans="1:11">
      <c r="A1728" s="946" t="s">
        <v>28612</v>
      </c>
      <c r="B1728" s="947" t="s">
        <v>4700</v>
      </c>
      <c r="C1728" s="948" t="s">
        <v>4698</v>
      </c>
      <c r="D1728" s="242" t="s">
        <v>28724</v>
      </c>
      <c r="E1728" s="949">
        <v>308</v>
      </c>
      <c r="F1728" s="949">
        <v>308</v>
      </c>
      <c r="G1728" s="950" t="s">
        <v>7773</v>
      </c>
      <c r="H1728" s="950" t="s">
        <v>358</v>
      </c>
      <c r="I1728" s="951" t="s">
        <v>4699</v>
      </c>
      <c r="J1728" s="947" t="s">
        <v>4700</v>
      </c>
      <c r="K1728" s="143"/>
    </row>
    <row r="1729" spans="1:11">
      <c r="A1729" s="946" t="s">
        <v>28612</v>
      </c>
      <c r="B1729" s="947" t="s">
        <v>4802</v>
      </c>
      <c r="C1729" s="948" t="s">
        <v>4800</v>
      </c>
      <c r="D1729" s="242" t="s">
        <v>28724</v>
      </c>
      <c r="E1729" s="949">
        <v>308</v>
      </c>
      <c r="F1729" s="949">
        <v>308</v>
      </c>
      <c r="G1729" s="950" t="s">
        <v>7773</v>
      </c>
      <c r="H1729" s="950" t="s">
        <v>358</v>
      </c>
      <c r="I1729" s="951" t="s">
        <v>4801</v>
      </c>
      <c r="J1729" s="947" t="s">
        <v>4802</v>
      </c>
      <c r="K1729" s="143"/>
    </row>
    <row r="1730" spans="1:11">
      <c r="A1730" s="946" t="s">
        <v>28612</v>
      </c>
      <c r="B1730" s="947" t="s">
        <v>4824</v>
      </c>
      <c r="C1730" s="948" t="s">
        <v>4822</v>
      </c>
      <c r="D1730" s="242" t="s">
        <v>28724</v>
      </c>
      <c r="E1730" s="949">
        <v>308</v>
      </c>
      <c r="F1730" s="949">
        <v>308</v>
      </c>
      <c r="G1730" s="950" t="s">
        <v>7773</v>
      </c>
      <c r="H1730" s="950" t="s">
        <v>358</v>
      </c>
      <c r="I1730" s="951" t="s">
        <v>4823</v>
      </c>
      <c r="J1730" s="947" t="s">
        <v>4824</v>
      </c>
      <c r="K1730" s="143"/>
    </row>
    <row r="1731" spans="1:11">
      <c r="A1731" s="946" t="s">
        <v>28612</v>
      </c>
      <c r="B1731" s="947" t="s">
        <v>4847</v>
      </c>
      <c r="C1731" s="948" t="s">
        <v>4845</v>
      </c>
      <c r="D1731" s="242" t="s">
        <v>28724</v>
      </c>
      <c r="E1731" s="949">
        <v>308</v>
      </c>
      <c r="F1731" s="949">
        <v>308</v>
      </c>
      <c r="G1731" s="950" t="s">
        <v>7773</v>
      </c>
      <c r="H1731" s="950" t="s">
        <v>358</v>
      </c>
      <c r="I1731" s="951" t="s">
        <v>4846</v>
      </c>
      <c r="J1731" s="947" t="s">
        <v>4847</v>
      </c>
      <c r="K1731" s="143"/>
    </row>
    <row r="1732" spans="1:11">
      <c r="A1732" s="946" t="s">
        <v>28612</v>
      </c>
      <c r="B1732" s="947" t="s">
        <v>4865</v>
      </c>
      <c r="C1732" s="948" t="s">
        <v>4863</v>
      </c>
      <c r="D1732" s="242" t="s">
        <v>28724</v>
      </c>
      <c r="E1732" s="949">
        <v>308</v>
      </c>
      <c r="F1732" s="949">
        <v>308</v>
      </c>
      <c r="G1732" s="950" t="s">
        <v>7773</v>
      </c>
      <c r="H1732" s="950" t="s">
        <v>358</v>
      </c>
      <c r="I1732" s="951" t="s">
        <v>4864</v>
      </c>
      <c r="J1732" s="947" t="s">
        <v>4865</v>
      </c>
      <c r="K1732" s="143"/>
    </row>
    <row r="1733" spans="1:11">
      <c r="A1733" s="946" t="s">
        <v>28612</v>
      </c>
      <c r="B1733" s="947" t="s">
        <v>4901</v>
      </c>
      <c r="C1733" s="948" t="s">
        <v>4899</v>
      </c>
      <c r="D1733" s="242" t="s">
        <v>28724</v>
      </c>
      <c r="E1733" s="949">
        <v>308</v>
      </c>
      <c r="F1733" s="949">
        <v>308</v>
      </c>
      <c r="G1733" s="950" t="s">
        <v>7773</v>
      </c>
      <c r="H1733" s="950" t="s">
        <v>358</v>
      </c>
      <c r="I1733" s="951" t="s">
        <v>4900</v>
      </c>
      <c r="J1733" s="947" t="s">
        <v>4901</v>
      </c>
      <c r="K1733" s="143"/>
    </row>
    <row r="1734" spans="1:11">
      <c r="A1734" s="946" t="s">
        <v>28612</v>
      </c>
      <c r="B1734" s="947" t="s">
        <v>5992</v>
      </c>
      <c r="C1734" s="948" t="s">
        <v>5990</v>
      </c>
      <c r="D1734" s="242" t="s">
        <v>28724</v>
      </c>
      <c r="E1734" s="949">
        <v>308</v>
      </c>
      <c r="F1734" s="949">
        <v>308</v>
      </c>
      <c r="G1734" s="950" t="s">
        <v>7773</v>
      </c>
      <c r="H1734" s="950" t="s">
        <v>358</v>
      </c>
      <c r="I1734" s="951" t="s">
        <v>5991</v>
      </c>
      <c r="J1734" s="947" t="s">
        <v>5992</v>
      </c>
      <c r="K1734" s="143"/>
    </row>
    <row r="1735" spans="1:11">
      <c r="A1735" s="946" t="s">
        <v>28612</v>
      </c>
      <c r="B1735" s="947" t="s">
        <v>6025</v>
      </c>
      <c r="C1735" s="948" t="s">
        <v>6023</v>
      </c>
      <c r="D1735" s="242" t="s">
        <v>28724</v>
      </c>
      <c r="E1735" s="949">
        <v>308</v>
      </c>
      <c r="F1735" s="949">
        <v>308</v>
      </c>
      <c r="G1735" s="950" t="s">
        <v>7773</v>
      </c>
      <c r="H1735" s="950" t="s">
        <v>358</v>
      </c>
      <c r="I1735" s="951" t="s">
        <v>6024</v>
      </c>
      <c r="J1735" s="947" t="s">
        <v>6025</v>
      </c>
      <c r="K1735" s="143"/>
    </row>
    <row r="1736" spans="1:11">
      <c r="A1736" s="946" t="s">
        <v>28612</v>
      </c>
      <c r="B1736" s="947" t="s">
        <v>6031</v>
      </c>
      <c r="C1736" s="948" t="s">
        <v>6029</v>
      </c>
      <c r="D1736" s="242" t="s">
        <v>28724</v>
      </c>
      <c r="E1736" s="949">
        <v>308</v>
      </c>
      <c r="F1736" s="949">
        <v>308</v>
      </c>
      <c r="G1736" s="950" t="s">
        <v>7773</v>
      </c>
      <c r="H1736" s="950" t="s">
        <v>358</v>
      </c>
      <c r="I1736" s="951" t="s">
        <v>6030</v>
      </c>
      <c r="J1736" s="947" t="s">
        <v>6031</v>
      </c>
      <c r="K1736" s="143"/>
    </row>
    <row r="1737" spans="1:11">
      <c r="A1737" s="946" t="s">
        <v>28612</v>
      </c>
      <c r="B1737" s="947" t="s">
        <v>6112</v>
      </c>
      <c r="C1737" s="948" t="s">
        <v>6110</v>
      </c>
      <c r="D1737" s="242" t="s">
        <v>28724</v>
      </c>
      <c r="E1737" s="949">
        <v>308</v>
      </c>
      <c r="F1737" s="949">
        <v>308</v>
      </c>
      <c r="G1737" s="950" t="s">
        <v>7773</v>
      </c>
      <c r="H1737" s="950" t="s">
        <v>358</v>
      </c>
      <c r="I1737" s="951" t="s">
        <v>6111</v>
      </c>
      <c r="J1737" s="947" t="s">
        <v>6112</v>
      </c>
      <c r="K1737" s="143"/>
    </row>
    <row r="1738" spans="1:11">
      <c r="A1738" s="946" t="s">
        <v>28612</v>
      </c>
      <c r="B1738" s="947" t="s">
        <v>6122</v>
      </c>
      <c r="C1738" s="948" t="s">
        <v>6120</v>
      </c>
      <c r="D1738" s="242" t="s">
        <v>28724</v>
      </c>
      <c r="E1738" s="949">
        <v>308</v>
      </c>
      <c r="F1738" s="949">
        <v>308</v>
      </c>
      <c r="G1738" s="950" t="s">
        <v>7773</v>
      </c>
      <c r="H1738" s="950" t="s">
        <v>358</v>
      </c>
      <c r="I1738" s="951" t="s">
        <v>6121</v>
      </c>
      <c r="J1738" s="947" t="s">
        <v>6122</v>
      </c>
      <c r="K1738" s="143"/>
    </row>
    <row r="1739" spans="1:11">
      <c r="A1739" s="946" t="s">
        <v>28612</v>
      </c>
      <c r="B1739" s="947" t="s">
        <v>6419</v>
      </c>
      <c r="C1739" s="948" t="s">
        <v>6417</v>
      </c>
      <c r="D1739" s="242" t="s">
        <v>28724</v>
      </c>
      <c r="E1739" s="949">
        <v>308</v>
      </c>
      <c r="F1739" s="949">
        <v>308</v>
      </c>
      <c r="G1739" s="950" t="s">
        <v>7773</v>
      </c>
      <c r="H1739" s="950" t="s">
        <v>358</v>
      </c>
      <c r="I1739" s="951" t="s">
        <v>6418</v>
      </c>
      <c r="J1739" s="947" t="s">
        <v>6419</v>
      </c>
      <c r="K1739" s="143"/>
    </row>
    <row r="1740" spans="1:11">
      <c r="A1740" s="946" t="s">
        <v>28612</v>
      </c>
      <c r="B1740" s="947" t="s">
        <v>6483</v>
      </c>
      <c r="C1740" s="948" t="s">
        <v>6481</v>
      </c>
      <c r="D1740" s="242" t="s">
        <v>28724</v>
      </c>
      <c r="E1740" s="949">
        <v>308</v>
      </c>
      <c r="F1740" s="949">
        <v>308</v>
      </c>
      <c r="G1740" s="950" t="s">
        <v>7773</v>
      </c>
      <c r="H1740" s="950" t="s">
        <v>358</v>
      </c>
      <c r="I1740" s="951" t="s">
        <v>6482</v>
      </c>
      <c r="J1740" s="947" t="s">
        <v>6483</v>
      </c>
      <c r="K1740" s="143"/>
    </row>
    <row r="1741" spans="1:11">
      <c r="A1741" s="946" t="s">
        <v>28612</v>
      </c>
      <c r="B1741" s="947" t="s">
        <v>6836</v>
      </c>
      <c r="C1741" s="948" t="s">
        <v>6834</v>
      </c>
      <c r="D1741" s="242" t="s">
        <v>28724</v>
      </c>
      <c r="E1741" s="949">
        <v>308</v>
      </c>
      <c r="F1741" s="949">
        <v>308</v>
      </c>
      <c r="G1741" s="950" t="s">
        <v>7773</v>
      </c>
      <c r="H1741" s="950" t="s">
        <v>358</v>
      </c>
      <c r="I1741" s="951" t="s">
        <v>6835</v>
      </c>
      <c r="J1741" s="947" t="s">
        <v>6836</v>
      </c>
      <c r="K1741" s="143"/>
    </row>
    <row r="1742" spans="1:11">
      <c r="A1742" s="946" t="s">
        <v>28612</v>
      </c>
      <c r="B1742" s="947" t="s">
        <v>6860</v>
      </c>
      <c r="C1742" s="948" t="s">
        <v>6858</v>
      </c>
      <c r="D1742" s="242" t="s">
        <v>28724</v>
      </c>
      <c r="E1742" s="949">
        <v>308</v>
      </c>
      <c r="F1742" s="949">
        <v>308</v>
      </c>
      <c r="G1742" s="950" t="s">
        <v>7773</v>
      </c>
      <c r="H1742" s="950" t="s">
        <v>358</v>
      </c>
      <c r="I1742" s="951" t="s">
        <v>6859</v>
      </c>
      <c r="J1742" s="947" t="s">
        <v>6860</v>
      </c>
      <c r="K1742" s="143"/>
    </row>
    <row r="1743" spans="1:11">
      <c r="A1743" s="946" t="s">
        <v>28612</v>
      </c>
      <c r="B1743" s="947" t="s">
        <v>7027</v>
      </c>
      <c r="C1743" s="948" t="s">
        <v>7025</v>
      </c>
      <c r="D1743" s="242" t="s">
        <v>28724</v>
      </c>
      <c r="E1743" s="949">
        <v>308</v>
      </c>
      <c r="F1743" s="949">
        <v>308</v>
      </c>
      <c r="G1743" s="950" t="s">
        <v>7773</v>
      </c>
      <c r="H1743" s="950" t="s">
        <v>358</v>
      </c>
      <c r="I1743" s="951" t="s">
        <v>7026</v>
      </c>
      <c r="J1743" s="947" t="s">
        <v>7027</v>
      </c>
      <c r="K1743" s="143"/>
    </row>
    <row r="1744" spans="1:11">
      <c r="A1744" s="946" t="s">
        <v>28612</v>
      </c>
      <c r="B1744" s="947" t="s">
        <v>7084</v>
      </c>
      <c r="C1744" s="948" t="s">
        <v>7082</v>
      </c>
      <c r="D1744" s="242" t="s">
        <v>28724</v>
      </c>
      <c r="E1744" s="949">
        <v>308</v>
      </c>
      <c r="F1744" s="949">
        <v>308</v>
      </c>
      <c r="G1744" s="950" t="s">
        <v>7773</v>
      </c>
      <c r="H1744" s="950" t="s">
        <v>358</v>
      </c>
      <c r="I1744" s="951" t="s">
        <v>7083</v>
      </c>
      <c r="J1744" s="947" t="s">
        <v>7084</v>
      </c>
      <c r="K1744" s="143"/>
    </row>
    <row r="1745" spans="1:11">
      <c r="A1745" s="946" t="s">
        <v>28612</v>
      </c>
      <c r="B1745" s="947" t="s">
        <v>7096</v>
      </c>
      <c r="C1745" s="948" t="s">
        <v>7094</v>
      </c>
      <c r="D1745" s="242" t="s">
        <v>28724</v>
      </c>
      <c r="E1745" s="949">
        <v>308</v>
      </c>
      <c r="F1745" s="949">
        <v>308</v>
      </c>
      <c r="G1745" s="950" t="s">
        <v>7773</v>
      </c>
      <c r="H1745" s="950" t="s">
        <v>358</v>
      </c>
      <c r="I1745" s="951" t="s">
        <v>7095</v>
      </c>
      <c r="J1745" s="947" t="s">
        <v>7096</v>
      </c>
      <c r="K1745" s="143"/>
    </row>
    <row r="1746" spans="1:11">
      <c r="A1746" s="946" t="s">
        <v>28612</v>
      </c>
      <c r="B1746" s="947" t="s">
        <v>7146</v>
      </c>
      <c r="C1746" s="948" t="s">
        <v>7144</v>
      </c>
      <c r="D1746" s="242" t="s">
        <v>28724</v>
      </c>
      <c r="E1746" s="949">
        <v>308</v>
      </c>
      <c r="F1746" s="949">
        <v>308</v>
      </c>
      <c r="G1746" s="950" t="s">
        <v>7773</v>
      </c>
      <c r="H1746" s="950" t="s">
        <v>358</v>
      </c>
      <c r="I1746" s="951" t="s">
        <v>7145</v>
      </c>
      <c r="J1746" s="947" t="s">
        <v>7146</v>
      </c>
      <c r="K1746" s="143"/>
    </row>
    <row r="1747" spans="1:11">
      <c r="A1747" s="946" t="s">
        <v>28612</v>
      </c>
      <c r="B1747" s="947" t="s">
        <v>7445</v>
      </c>
      <c r="C1747" s="948" t="s">
        <v>7443</v>
      </c>
      <c r="D1747" s="242" t="s">
        <v>28724</v>
      </c>
      <c r="E1747" s="949">
        <v>308</v>
      </c>
      <c r="F1747" s="949">
        <v>308</v>
      </c>
      <c r="G1747" s="950" t="s">
        <v>7773</v>
      </c>
      <c r="H1747" s="950" t="s">
        <v>358</v>
      </c>
      <c r="I1747" s="951" t="s">
        <v>7444</v>
      </c>
      <c r="J1747" s="947" t="s">
        <v>7445</v>
      </c>
      <c r="K1747" s="143"/>
    </row>
    <row r="1748" spans="1:11">
      <c r="A1748" s="946" t="s">
        <v>28612</v>
      </c>
      <c r="B1748" s="947" t="s">
        <v>7516</v>
      </c>
      <c r="C1748" s="948" t="s">
        <v>7514</v>
      </c>
      <c r="D1748" s="242" t="s">
        <v>28724</v>
      </c>
      <c r="E1748" s="949">
        <v>308</v>
      </c>
      <c r="F1748" s="949">
        <v>308</v>
      </c>
      <c r="G1748" s="950" t="s">
        <v>7773</v>
      </c>
      <c r="H1748" s="950" t="s">
        <v>358</v>
      </c>
      <c r="I1748" s="951" t="s">
        <v>7515</v>
      </c>
      <c r="J1748" s="947" t="s">
        <v>7516</v>
      </c>
      <c r="K1748" s="143"/>
    </row>
    <row r="1749" spans="1:11">
      <c r="A1749" s="946" t="s">
        <v>28612</v>
      </c>
      <c r="B1749" s="947" t="s">
        <v>7519</v>
      </c>
      <c r="C1749" s="948" t="s">
        <v>7517</v>
      </c>
      <c r="D1749" s="242" t="s">
        <v>28724</v>
      </c>
      <c r="E1749" s="949">
        <v>308</v>
      </c>
      <c r="F1749" s="949">
        <v>308</v>
      </c>
      <c r="G1749" s="950" t="s">
        <v>7773</v>
      </c>
      <c r="H1749" s="950" t="s">
        <v>358</v>
      </c>
      <c r="I1749" s="951" t="s">
        <v>7518</v>
      </c>
      <c r="J1749" s="947" t="s">
        <v>7519</v>
      </c>
      <c r="K1749" s="143"/>
    </row>
    <row r="1750" spans="1:11">
      <c r="A1750" s="946" t="s">
        <v>28612</v>
      </c>
      <c r="B1750" s="947" t="s">
        <v>7545</v>
      </c>
      <c r="C1750" s="948" t="s">
        <v>7543</v>
      </c>
      <c r="D1750" s="242" t="s">
        <v>28724</v>
      </c>
      <c r="E1750" s="949">
        <v>308</v>
      </c>
      <c r="F1750" s="949">
        <v>308</v>
      </c>
      <c r="G1750" s="950" t="s">
        <v>7773</v>
      </c>
      <c r="H1750" s="950" t="s">
        <v>358</v>
      </c>
      <c r="I1750" s="951" t="s">
        <v>7544</v>
      </c>
      <c r="J1750" s="947" t="s">
        <v>7545</v>
      </c>
      <c r="K1750" s="143"/>
    </row>
    <row r="1751" spans="1:11">
      <c r="A1751" s="946" t="s">
        <v>28612</v>
      </c>
      <c r="B1751" s="947" t="s">
        <v>7775</v>
      </c>
      <c r="C1751" s="948" t="s">
        <v>7772</v>
      </c>
      <c r="D1751" s="242" t="s">
        <v>28724</v>
      </c>
      <c r="E1751" s="949">
        <v>308</v>
      </c>
      <c r="F1751" s="949">
        <v>308</v>
      </c>
      <c r="G1751" s="950" t="s">
        <v>7773</v>
      </c>
      <c r="H1751" s="950" t="s">
        <v>358</v>
      </c>
      <c r="I1751" s="951" t="s">
        <v>7774</v>
      </c>
      <c r="J1751" s="947" t="s">
        <v>7775</v>
      </c>
      <c r="K1751" s="143"/>
    </row>
    <row r="1752" spans="1:11">
      <c r="A1752" s="946" t="s">
        <v>28612</v>
      </c>
      <c r="B1752" s="947" t="s">
        <v>8808</v>
      </c>
      <c r="C1752" s="948" t="s">
        <v>8806</v>
      </c>
      <c r="D1752" s="242" t="s">
        <v>28724</v>
      </c>
      <c r="E1752" s="949">
        <v>308</v>
      </c>
      <c r="F1752" s="949">
        <v>308</v>
      </c>
      <c r="G1752" s="950" t="s">
        <v>7773</v>
      </c>
      <c r="H1752" s="950" t="s">
        <v>358</v>
      </c>
      <c r="I1752" s="951" t="s">
        <v>8807</v>
      </c>
      <c r="J1752" s="947" t="s">
        <v>8808</v>
      </c>
      <c r="K1752" s="143"/>
    </row>
    <row r="1753" spans="1:11">
      <c r="A1753" s="946" t="s">
        <v>28612</v>
      </c>
      <c r="B1753" s="947" t="s">
        <v>8971</v>
      </c>
      <c r="C1753" s="948" t="s">
        <v>8969</v>
      </c>
      <c r="D1753" s="242" t="s">
        <v>28724</v>
      </c>
      <c r="E1753" s="949">
        <v>308</v>
      </c>
      <c r="F1753" s="949">
        <v>308</v>
      </c>
      <c r="G1753" s="950" t="s">
        <v>7773</v>
      </c>
      <c r="H1753" s="950" t="s">
        <v>358</v>
      </c>
      <c r="I1753" s="951" t="s">
        <v>8970</v>
      </c>
      <c r="J1753" s="947" t="s">
        <v>8971</v>
      </c>
      <c r="K1753" s="143"/>
    </row>
    <row r="1754" spans="1:11">
      <c r="A1754" s="946" t="s">
        <v>28612</v>
      </c>
      <c r="B1754" s="947" t="s">
        <v>9144</v>
      </c>
      <c r="C1754" s="948" t="s">
        <v>9142</v>
      </c>
      <c r="D1754" s="242" t="s">
        <v>28724</v>
      </c>
      <c r="E1754" s="949">
        <v>308</v>
      </c>
      <c r="F1754" s="949">
        <v>308</v>
      </c>
      <c r="G1754" s="950" t="s">
        <v>7773</v>
      </c>
      <c r="H1754" s="950" t="s">
        <v>358</v>
      </c>
      <c r="I1754" s="951" t="s">
        <v>9143</v>
      </c>
      <c r="J1754" s="947" t="s">
        <v>9144</v>
      </c>
      <c r="K1754" s="143"/>
    </row>
    <row r="1755" spans="1:11">
      <c r="A1755" s="946" t="s">
        <v>28612</v>
      </c>
      <c r="B1755" s="947" t="s">
        <v>9373</v>
      </c>
      <c r="C1755" s="948" t="s">
        <v>9371</v>
      </c>
      <c r="D1755" s="242" t="s">
        <v>28724</v>
      </c>
      <c r="E1755" s="949">
        <v>308</v>
      </c>
      <c r="F1755" s="949">
        <v>308</v>
      </c>
      <c r="G1755" s="950" t="s">
        <v>7773</v>
      </c>
      <c r="H1755" s="950" t="s">
        <v>358</v>
      </c>
      <c r="I1755" s="951" t="s">
        <v>9372</v>
      </c>
      <c r="J1755" s="947" t="s">
        <v>9373</v>
      </c>
      <c r="K1755" s="143"/>
    </row>
    <row r="1756" spans="1:11">
      <c r="A1756" s="946" t="s">
        <v>28612</v>
      </c>
      <c r="B1756" s="947" t="s">
        <v>9534</v>
      </c>
      <c r="C1756" s="948" t="s">
        <v>9532</v>
      </c>
      <c r="D1756" s="242" t="s">
        <v>28724</v>
      </c>
      <c r="E1756" s="949">
        <v>308</v>
      </c>
      <c r="F1756" s="949">
        <v>308</v>
      </c>
      <c r="G1756" s="950" t="s">
        <v>7773</v>
      </c>
      <c r="H1756" s="950" t="s">
        <v>358</v>
      </c>
      <c r="I1756" s="951" t="s">
        <v>9533</v>
      </c>
      <c r="J1756" s="947" t="s">
        <v>9534</v>
      </c>
      <c r="K1756" s="143"/>
    </row>
    <row r="1757" spans="1:11">
      <c r="A1757" s="946" t="s">
        <v>28612</v>
      </c>
      <c r="B1757" s="947" t="s">
        <v>9736</v>
      </c>
      <c r="C1757" s="948" t="s">
        <v>9734</v>
      </c>
      <c r="D1757" s="242" t="s">
        <v>28724</v>
      </c>
      <c r="E1757" s="949">
        <v>308</v>
      </c>
      <c r="F1757" s="949">
        <v>308</v>
      </c>
      <c r="G1757" s="950" t="s">
        <v>7773</v>
      </c>
      <c r="H1757" s="950" t="s">
        <v>358</v>
      </c>
      <c r="I1757" s="951" t="s">
        <v>9735</v>
      </c>
      <c r="J1757" s="947" t="s">
        <v>9736</v>
      </c>
      <c r="K1757" s="143"/>
    </row>
    <row r="1758" spans="1:11">
      <c r="A1758" s="946" t="s">
        <v>28612</v>
      </c>
      <c r="B1758" s="947" t="s">
        <v>9827</v>
      </c>
      <c r="C1758" s="948" t="s">
        <v>9825</v>
      </c>
      <c r="D1758" s="242" t="s">
        <v>28724</v>
      </c>
      <c r="E1758" s="949">
        <v>308</v>
      </c>
      <c r="F1758" s="949">
        <v>308</v>
      </c>
      <c r="G1758" s="950" t="s">
        <v>7773</v>
      </c>
      <c r="H1758" s="950" t="s">
        <v>358</v>
      </c>
      <c r="I1758" s="951" t="s">
        <v>9826</v>
      </c>
      <c r="J1758" s="947" t="s">
        <v>9827</v>
      </c>
      <c r="K1758" s="143"/>
    </row>
    <row r="1759" spans="1:11">
      <c r="A1759" s="946" t="s">
        <v>28612</v>
      </c>
      <c r="B1759" s="947" t="s">
        <v>9833</v>
      </c>
      <c r="C1759" s="948" t="s">
        <v>9831</v>
      </c>
      <c r="D1759" s="242" t="s">
        <v>28724</v>
      </c>
      <c r="E1759" s="949">
        <v>308</v>
      </c>
      <c r="F1759" s="949">
        <v>308</v>
      </c>
      <c r="G1759" s="950" t="s">
        <v>7773</v>
      </c>
      <c r="H1759" s="950" t="s">
        <v>358</v>
      </c>
      <c r="I1759" s="951" t="s">
        <v>9832</v>
      </c>
      <c r="J1759" s="947" t="s">
        <v>9833</v>
      </c>
      <c r="K1759" s="143"/>
    </row>
    <row r="1760" spans="1:11">
      <c r="A1760" s="946" t="s">
        <v>28612</v>
      </c>
      <c r="B1760" s="947" t="s">
        <v>10025</v>
      </c>
      <c r="C1760" s="948" t="s">
        <v>10023</v>
      </c>
      <c r="D1760" s="242" t="s">
        <v>28724</v>
      </c>
      <c r="E1760" s="949">
        <v>308</v>
      </c>
      <c r="F1760" s="949">
        <v>308</v>
      </c>
      <c r="G1760" s="950" t="s">
        <v>7773</v>
      </c>
      <c r="H1760" s="950" t="s">
        <v>358</v>
      </c>
      <c r="I1760" s="951" t="s">
        <v>10024</v>
      </c>
      <c r="J1760" s="947" t="s">
        <v>10025</v>
      </c>
      <c r="K1760" s="143"/>
    </row>
    <row r="1761" spans="1:11">
      <c r="A1761" s="946" t="s">
        <v>28612</v>
      </c>
      <c r="B1761" s="947" t="s">
        <v>10067</v>
      </c>
      <c r="C1761" s="948" t="s">
        <v>10065</v>
      </c>
      <c r="D1761" s="242" t="s">
        <v>28724</v>
      </c>
      <c r="E1761" s="949">
        <v>308</v>
      </c>
      <c r="F1761" s="949">
        <v>308</v>
      </c>
      <c r="G1761" s="950" t="s">
        <v>7773</v>
      </c>
      <c r="H1761" s="950" t="s">
        <v>358</v>
      </c>
      <c r="I1761" s="951" t="s">
        <v>10066</v>
      </c>
      <c r="J1761" s="947" t="s">
        <v>10067</v>
      </c>
      <c r="K1761" s="143"/>
    </row>
    <row r="1762" spans="1:11">
      <c r="A1762" s="946" t="s">
        <v>28612</v>
      </c>
      <c r="B1762" s="947" t="s">
        <v>10273</v>
      </c>
      <c r="C1762" s="948" t="s">
        <v>10271</v>
      </c>
      <c r="D1762" s="242" t="s">
        <v>28724</v>
      </c>
      <c r="E1762" s="949">
        <v>308</v>
      </c>
      <c r="F1762" s="949">
        <v>308</v>
      </c>
      <c r="G1762" s="950" t="s">
        <v>7773</v>
      </c>
      <c r="H1762" s="950" t="s">
        <v>358</v>
      </c>
      <c r="I1762" s="951" t="s">
        <v>10272</v>
      </c>
      <c r="J1762" s="947" t="s">
        <v>10273</v>
      </c>
      <c r="K1762" s="143"/>
    </row>
    <row r="1763" spans="1:11">
      <c r="A1763" s="946" t="s">
        <v>28612</v>
      </c>
      <c r="B1763" s="947" t="s">
        <v>10472</v>
      </c>
      <c r="C1763" s="948" t="s">
        <v>10470</v>
      </c>
      <c r="D1763" s="242" t="s">
        <v>28724</v>
      </c>
      <c r="E1763" s="949">
        <v>308</v>
      </c>
      <c r="F1763" s="949">
        <v>308</v>
      </c>
      <c r="G1763" s="950" t="s">
        <v>7773</v>
      </c>
      <c r="H1763" s="950" t="s">
        <v>358</v>
      </c>
      <c r="I1763" s="951" t="s">
        <v>10471</v>
      </c>
      <c r="J1763" s="947" t="s">
        <v>10472</v>
      </c>
      <c r="K1763" s="143"/>
    </row>
    <row r="1764" spans="1:11">
      <c r="A1764" s="946" t="s">
        <v>28612</v>
      </c>
      <c r="B1764" s="947" t="s">
        <v>10525</v>
      </c>
      <c r="C1764" s="948" t="s">
        <v>10523</v>
      </c>
      <c r="D1764" s="242" t="s">
        <v>28724</v>
      </c>
      <c r="E1764" s="949">
        <v>308</v>
      </c>
      <c r="F1764" s="949">
        <v>308</v>
      </c>
      <c r="G1764" s="950" t="s">
        <v>7773</v>
      </c>
      <c r="H1764" s="950" t="s">
        <v>358</v>
      </c>
      <c r="I1764" s="951" t="s">
        <v>10524</v>
      </c>
      <c r="J1764" s="947" t="s">
        <v>10525</v>
      </c>
      <c r="K1764" s="143"/>
    </row>
    <row r="1765" spans="1:11">
      <c r="A1765" s="946" t="s">
        <v>28612</v>
      </c>
      <c r="B1765" s="947" t="s">
        <v>10861</v>
      </c>
      <c r="C1765" s="948" t="s">
        <v>10859</v>
      </c>
      <c r="D1765" s="242" t="s">
        <v>28724</v>
      </c>
      <c r="E1765" s="949">
        <v>308</v>
      </c>
      <c r="F1765" s="949">
        <v>308</v>
      </c>
      <c r="G1765" s="950" t="s">
        <v>7773</v>
      </c>
      <c r="H1765" s="950" t="s">
        <v>358</v>
      </c>
      <c r="I1765" s="951" t="s">
        <v>10860</v>
      </c>
      <c r="J1765" s="947" t="s">
        <v>10861</v>
      </c>
      <c r="K1765" s="143"/>
    </row>
    <row r="1766" spans="1:11">
      <c r="A1766" s="946" t="s">
        <v>28612</v>
      </c>
      <c r="B1766" s="947" t="s">
        <v>10911</v>
      </c>
      <c r="C1766" s="948" t="s">
        <v>10909</v>
      </c>
      <c r="D1766" s="242" t="s">
        <v>28724</v>
      </c>
      <c r="E1766" s="949">
        <v>308</v>
      </c>
      <c r="F1766" s="949">
        <v>308</v>
      </c>
      <c r="G1766" s="950" t="s">
        <v>7773</v>
      </c>
      <c r="H1766" s="950" t="s">
        <v>358</v>
      </c>
      <c r="I1766" s="951" t="s">
        <v>10910</v>
      </c>
      <c r="J1766" s="947" t="s">
        <v>10911</v>
      </c>
      <c r="K1766" s="143"/>
    </row>
    <row r="1767" spans="1:11">
      <c r="A1767" s="946" t="s">
        <v>28612</v>
      </c>
      <c r="B1767" s="947" t="s">
        <v>11131</v>
      </c>
      <c r="C1767" s="948" t="s">
        <v>11129</v>
      </c>
      <c r="D1767" s="242" t="s">
        <v>28724</v>
      </c>
      <c r="E1767" s="949">
        <v>308</v>
      </c>
      <c r="F1767" s="949">
        <v>308</v>
      </c>
      <c r="G1767" s="950" t="s">
        <v>7773</v>
      </c>
      <c r="H1767" s="950" t="s">
        <v>358</v>
      </c>
      <c r="I1767" s="951" t="s">
        <v>11130</v>
      </c>
      <c r="J1767" s="947" t="s">
        <v>11131</v>
      </c>
      <c r="K1767" s="143"/>
    </row>
    <row r="1768" spans="1:11">
      <c r="A1768" s="946" t="s">
        <v>28612</v>
      </c>
      <c r="B1768" s="947" t="s">
        <v>11330</v>
      </c>
      <c r="C1768" s="948" t="s">
        <v>11328</v>
      </c>
      <c r="D1768" s="242" t="s">
        <v>28724</v>
      </c>
      <c r="E1768" s="949">
        <v>308</v>
      </c>
      <c r="F1768" s="949">
        <v>308</v>
      </c>
      <c r="G1768" s="950" t="s">
        <v>7773</v>
      </c>
      <c r="H1768" s="950" t="s">
        <v>358</v>
      </c>
      <c r="I1768" s="951" t="s">
        <v>11329</v>
      </c>
      <c r="J1768" s="947" t="s">
        <v>11330</v>
      </c>
      <c r="K1768" s="143"/>
    </row>
    <row r="1769" spans="1:11">
      <c r="A1769" s="946" t="s">
        <v>28612</v>
      </c>
      <c r="B1769" s="947" t="s">
        <v>11501</v>
      </c>
      <c r="C1769" s="948" t="s">
        <v>11499</v>
      </c>
      <c r="D1769" s="242" t="s">
        <v>28724</v>
      </c>
      <c r="E1769" s="949">
        <v>308</v>
      </c>
      <c r="F1769" s="949">
        <v>308</v>
      </c>
      <c r="G1769" s="950" t="s">
        <v>7773</v>
      </c>
      <c r="H1769" s="950" t="s">
        <v>358</v>
      </c>
      <c r="I1769" s="951" t="s">
        <v>11500</v>
      </c>
      <c r="J1769" s="947" t="s">
        <v>11501</v>
      </c>
      <c r="K1769" s="143"/>
    </row>
    <row r="1770" spans="1:11">
      <c r="A1770" s="946" t="s">
        <v>28612</v>
      </c>
      <c r="B1770" s="947" t="s">
        <v>11537</v>
      </c>
      <c r="C1770" s="948" t="s">
        <v>11535</v>
      </c>
      <c r="D1770" s="242" t="s">
        <v>28724</v>
      </c>
      <c r="E1770" s="949">
        <v>308</v>
      </c>
      <c r="F1770" s="949">
        <v>308</v>
      </c>
      <c r="G1770" s="950" t="s">
        <v>7773</v>
      </c>
      <c r="H1770" s="950" t="s">
        <v>358</v>
      </c>
      <c r="I1770" s="951" t="s">
        <v>11536</v>
      </c>
      <c r="J1770" s="947" t="s">
        <v>11537</v>
      </c>
      <c r="K1770" s="143"/>
    </row>
    <row r="1771" spans="1:11">
      <c r="A1771" s="946" t="s">
        <v>28612</v>
      </c>
      <c r="B1771" s="947" t="s">
        <v>11585</v>
      </c>
      <c r="C1771" s="948" t="s">
        <v>11583</v>
      </c>
      <c r="D1771" s="242" t="s">
        <v>28724</v>
      </c>
      <c r="E1771" s="949">
        <v>308</v>
      </c>
      <c r="F1771" s="949">
        <v>308</v>
      </c>
      <c r="G1771" s="950" t="s">
        <v>7773</v>
      </c>
      <c r="H1771" s="950" t="s">
        <v>358</v>
      </c>
      <c r="I1771" s="951" t="s">
        <v>11584</v>
      </c>
      <c r="J1771" s="947" t="s">
        <v>11585</v>
      </c>
      <c r="K1771" s="143"/>
    </row>
    <row r="1772" spans="1:11">
      <c r="A1772" s="946" t="s">
        <v>28612</v>
      </c>
      <c r="B1772" s="947" t="s">
        <v>11666</v>
      </c>
      <c r="C1772" s="948" t="s">
        <v>11664</v>
      </c>
      <c r="D1772" s="242" t="s">
        <v>28724</v>
      </c>
      <c r="E1772" s="949">
        <v>308</v>
      </c>
      <c r="F1772" s="949">
        <v>308</v>
      </c>
      <c r="G1772" s="950" t="s">
        <v>7773</v>
      </c>
      <c r="H1772" s="950" t="s">
        <v>358</v>
      </c>
      <c r="I1772" s="951" t="s">
        <v>11665</v>
      </c>
      <c r="J1772" s="947" t="s">
        <v>11666</v>
      </c>
      <c r="K1772" s="143"/>
    </row>
    <row r="1773" spans="1:11">
      <c r="A1773" s="946" t="s">
        <v>28612</v>
      </c>
      <c r="B1773" s="947" t="s">
        <v>7773</v>
      </c>
      <c r="C1773" s="948" t="s">
        <v>11757</v>
      </c>
      <c r="D1773" s="242" t="s">
        <v>28724</v>
      </c>
      <c r="E1773" s="949">
        <v>308</v>
      </c>
      <c r="F1773" s="949">
        <v>308</v>
      </c>
      <c r="G1773" s="950" t="s">
        <v>7773</v>
      </c>
      <c r="H1773" s="950" t="s">
        <v>358</v>
      </c>
      <c r="I1773" s="951" t="s">
        <v>11758</v>
      </c>
      <c r="J1773" s="947" t="s">
        <v>7773</v>
      </c>
      <c r="K1773" s="143"/>
    </row>
    <row r="1774" spans="1:11">
      <c r="A1774" s="946" t="s">
        <v>28612</v>
      </c>
      <c r="B1774" s="947" t="s">
        <v>12941</v>
      </c>
      <c r="C1774" s="948" t="s">
        <v>12939</v>
      </c>
      <c r="D1774" s="242" t="s">
        <v>28724</v>
      </c>
      <c r="E1774" s="949">
        <v>308</v>
      </c>
      <c r="F1774" s="949">
        <v>308</v>
      </c>
      <c r="G1774" s="950" t="s">
        <v>7773</v>
      </c>
      <c r="H1774" s="950" t="s">
        <v>358</v>
      </c>
      <c r="I1774" s="951" t="s">
        <v>12940</v>
      </c>
      <c r="J1774" s="947" t="s">
        <v>12941</v>
      </c>
      <c r="K1774" s="143"/>
    </row>
    <row r="1775" spans="1:11">
      <c r="A1775" s="946" t="s">
        <v>28612</v>
      </c>
      <c r="B1775" s="947" t="s">
        <v>13053</v>
      </c>
      <c r="C1775" s="948" t="s">
        <v>13051</v>
      </c>
      <c r="D1775" s="242" t="s">
        <v>28724</v>
      </c>
      <c r="E1775" s="949">
        <v>308</v>
      </c>
      <c r="F1775" s="949">
        <v>308</v>
      </c>
      <c r="G1775" s="950" t="s">
        <v>7773</v>
      </c>
      <c r="H1775" s="950" t="s">
        <v>358</v>
      </c>
      <c r="I1775" s="951" t="s">
        <v>13052</v>
      </c>
      <c r="J1775" s="947" t="s">
        <v>13053</v>
      </c>
      <c r="K1775" s="143"/>
    </row>
    <row r="1776" spans="1:11">
      <c r="A1776" s="946" t="s">
        <v>28612</v>
      </c>
      <c r="B1776" s="947" t="s">
        <v>13227</v>
      </c>
      <c r="C1776" s="948" t="s">
        <v>13225</v>
      </c>
      <c r="D1776" s="242" t="s">
        <v>28724</v>
      </c>
      <c r="E1776" s="949">
        <v>308</v>
      </c>
      <c r="F1776" s="949">
        <v>308</v>
      </c>
      <c r="G1776" s="950" t="s">
        <v>7773</v>
      </c>
      <c r="H1776" s="950" t="s">
        <v>358</v>
      </c>
      <c r="I1776" s="951" t="s">
        <v>13226</v>
      </c>
      <c r="J1776" s="947" t="s">
        <v>13227</v>
      </c>
      <c r="K1776" s="143"/>
    </row>
    <row r="1777" spans="1:11">
      <c r="A1777" s="946" t="s">
        <v>28612</v>
      </c>
      <c r="B1777" s="947" t="s">
        <v>13379</v>
      </c>
      <c r="C1777" s="948" t="s">
        <v>13377</v>
      </c>
      <c r="D1777" s="242" t="s">
        <v>28724</v>
      </c>
      <c r="E1777" s="949">
        <v>308</v>
      </c>
      <c r="F1777" s="949">
        <v>308</v>
      </c>
      <c r="G1777" s="950" t="s">
        <v>7773</v>
      </c>
      <c r="H1777" s="950" t="s">
        <v>358</v>
      </c>
      <c r="I1777" s="951" t="s">
        <v>13378</v>
      </c>
      <c r="J1777" s="947" t="s">
        <v>13379</v>
      </c>
      <c r="K1777" s="143"/>
    </row>
    <row r="1778" spans="1:11">
      <c r="A1778" s="946" t="s">
        <v>28612</v>
      </c>
      <c r="B1778" s="947" t="s">
        <v>13412</v>
      </c>
      <c r="C1778" s="948" t="s">
        <v>13410</v>
      </c>
      <c r="D1778" s="242" t="s">
        <v>28724</v>
      </c>
      <c r="E1778" s="949">
        <v>308</v>
      </c>
      <c r="F1778" s="949">
        <v>308</v>
      </c>
      <c r="G1778" s="950" t="s">
        <v>7773</v>
      </c>
      <c r="H1778" s="950" t="s">
        <v>358</v>
      </c>
      <c r="I1778" s="951" t="s">
        <v>13411</v>
      </c>
      <c r="J1778" s="947" t="s">
        <v>13412</v>
      </c>
      <c r="K1778" s="143"/>
    </row>
    <row r="1779" spans="1:11">
      <c r="A1779" s="946" t="s">
        <v>28612</v>
      </c>
      <c r="B1779" s="947" t="s">
        <v>13445</v>
      </c>
      <c r="C1779" s="948" t="s">
        <v>13443</v>
      </c>
      <c r="D1779" s="242" t="s">
        <v>28724</v>
      </c>
      <c r="E1779" s="949">
        <v>308</v>
      </c>
      <c r="F1779" s="949">
        <v>308</v>
      </c>
      <c r="G1779" s="950" t="s">
        <v>7773</v>
      </c>
      <c r="H1779" s="950" t="s">
        <v>358</v>
      </c>
      <c r="I1779" s="951" t="s">
        <v>13444</v>
      </c>
      <c r="J1779" s="947" t="s">
        <v>13445</v>
      </c>
      <c r="K1779" s="143"/>
    </row>
    <row r="1780" spans="1:11">
      <c r="A1780" s="946" t="s">
        <v>28612</v>
      </c>
      <c r="B1780" s="947" t="s">
        <v>13665</v>
      </c>
      <c r="C1780" s="948" t="s">
        <v>13663</v>
      </c>
      <c r="D1780" s="242" t="s">
        <v>28724</v>
      </c>
      <c r="E1780" s="949">
        <v>308</v>
      </c>
      <c r="F1780" s="949">
        <v>308</v>
      </c>
      <c r="G1780" s="950" t="s">
        <v>7773</v>
      </c>
      <c r="H1780" s="950" t="s">
        <v>358</v>
      </c>
      <c r="I1780" s="951" t="s">
        <v>13664</v>
      </c>
      <c r="J1780" s="947" t="s">
        <v>13665</v>
      </c>
      <c r="K1780" s="143"/>
    </row>
    <row r="1781" spans="1:11">
      <c r="A1781" s="946" t="s">
        <v>28612</v>
      </c>
      <c r="B1781" s="947" t="s">
        <v>13890</v>
      </c>
      <c r="C1781" s="948" t="s">
        <v>13888</v>
      </c>
      <c r="D1781" s="242" t="s">
        <v>28724</v>
      </c>
      <c r="E1781" s="949">
        <v>308</v>
      </c>
      <c r="F1781" s="949">
        <v>308</v>
      </c>
      <c r="G1781" s="950" t="s">
        <v>7773</v>
      </c>
      <c r="H1781" s="950" t="s">
        <v>358</v>
      </c>
      <c r="I1781" s="951" t="s">
        <v>13889</v>
      </c>
      <c r="J1781" s="947" t="s">
        <v>13890</v>
      </c>
      <c r="K1781" s="143"/>
    </row>
    <row r="1782" spans="1:11">
      <c r="A1782" s="946" t="s">
        <v>28612</v>
      </c>
      <c r="B1782" s="947" t="s">
        <v>13968</v>
      </c>
      <c r="C1782" s="948" t="s">
        <v>13966</v>
      </c>
      <c r="D1782" s="242" t="s">
        <v>28724</v>
      </c>
      <c r="E1782" s="949">
        <v>308</v>
      </c>
      <c r="F1782" s="949">
        <v>308</v>
      </c>
      <c r="G1782" s="950" t="s">
        <v>7773</v>
      </c>
      <c r="H1782" s="950" t="s">
        <v>358</v>
      </c>
      <c r="I1782" s="951" t="s">
        <v>13967</v>
      </c>
      <c r="J1782" s="947" t="s">
        <v>13968</v>
      </c>
      <c r="K1782" s="143"/>
    </row>
    <row r="1783" spans="1:11">
      <c r="A1783" s="946" t="s">
        <v>28612</v>
      </c>
      <c r="B1783" s="947" t="s">
        <v>13996</v>
      </c>
      <c r="C1783" s="948" t="s">
        <v>13994</v>
      </c>
      <c r="D1783" s="242" t="s">
        <v>28724</v>
      </c>
      <c r="E1783" s="949">
        <v>308</v>
      </c>
      <c r="F1783" s="949">
        <v>308</v>
      </c>
      <c r="G1783" s="950" t="s">
        <v>7773</v>
      </c>
      <c r="H1783" s="950" t="s">
        <v>358</v>
      </c>
      <c r="I1783" s="951" t="s">
        <v>13995</v>
      </c>
      <c r="J1783" s="947" t="s">
        <v>13996</v>
      </c>
      <c r="K1783" s="143"/>
    </row>
    <row r="1784" spans="1:11">
      <c r="A1784" s="946" t="s">
        <v>28612</v>
      </c>
      <c r="B1784" s="947" t="s">
        <v>14219</v>
      </c>
      <c r="C1784" s="948" t="s">
        <v>14217</v>
      </c>
      <c r="D1784" s="242" t="s">
        <v>28724</v>
      </c>
      <c r="E1784" s="949">
        <v>308</v>
      </c>
      <c r="F1784" s="949">
        <v>308</v>
      </c>
      <c r="G1784" s="950" t="s">
        <v>7773</v>
      </c>
      <c r="H1784" s="950" t="s">
        <v>358</v>
      </c>
      <c r="I1784" s="951" t="s">
        <v>14218</v>
      </c>
      <c r="J1784" s="947" t="s">
        <v>14219</v>
      </c>
      <c r="K1784" s="143"/>
    </row>
    <row r="1785" spans="1:11">
      <c r="A1785" s="946" t="s">
        <v>28612</v>
      </c>
      <c r="B1785" s="947" t="s">
        <v>14234</v>
      </c>
      <c r="C1785" s="948" t="s">
        <v>14232</v>
      </c>
      <c r="D1785" s="242" t="s">
        <v>28724</v>
      </c>
      <c r="E1785" s="949">
        <v>308</v>
      </c>
      <c r="F1785" s="949">
        <v>308</v>
      </c>
      <c r="G1785" s="950" t="s">
        <v>7773</v>
      </c>
      <c r="H1785" s="950" t="s">
        <v>358</v>
      </c>
      <c r="I1785" s="951" t="s">
        <v>14233</v>
      </c>
      <c r="J1785" s="947" t="s">
        <v>14234</v>
      </c>
      <c r="K1785" s="143"/>
    </row>
    <row r="1786" spans="1:11">
      <c r="A1786" s="946" t="s">
        <v>28612</v>
      </c>
      <c r="B1786" s="947" t="s">
        <v>14358</v>
      </c>
      <c r="C1786" s="948" t="s">
        <v>14356</v>
      </c>
      <c r="D1786" s="242" t="s">
        <v>28724</v>
      </c>
      <c r="E1786" s="949">
        <v>308</v>
      </c>
      <c r="F1786" s="949">
        <v>308</v>
      </c>
      <c r="G1786" s="950" t="s">
        <v>7773</v>
      </c>
      <c r="H1786" s="950" t="s">
        <v>358</v>
      </c>
      <c r="I1786" s="951" t="s">
        <v>14357</v>
      </c>
      <c r="J1786" s="947" t="s">
        <v>14358</v>
      </c>
      <c r="K1786" s="143"/>
    </row>
    <row r="1787" spans="1:11">
      <c r="A1787" s="946" t="s">
        <v>28612</v>
      </c>
      <c r="B1787" s="947" t="s">
        <v>14520</v>
      </c>
      <c r="C1787" s="948" t="s">
        <v>14518</v>
      </c>
      <c r="D1787" s="242" t="s">
        <v>28724</v>
      </c>
      <c r="E1787" s="949">
        <v>308</v>
      </c>
      <c r="F1787" s="949">
        <v>308</v>
      </c>
      <c r="G1787" s="950" t="s">
        <v>7773</v>
      </c>
      <c r="H1787" s="950" t="s">
        <v>358</v>
      </c>
      <c r="I1787" s="951" t="s">
        <v>14519</v>
      </c>
      <c r="J1787" s="947" t="s">
        <v>14520</v>
      </c>
      <c r="K1787" s="143"/>
    </row>
    <row r="1788" spans="1:11">
      <c r="A1788" s="946" t="s">
        <v>28612</v>
      </c>
      <c r="B1788" s="947" t="s">
        <v>14580</v>
      </c>
      <c r="C1788" s="948" t="s">
        <v>14578</v>
      </c>
      <c r="D1788" s="242" t="s">
        <v>28724</v>
      </c>
      <c r="E1788" s="949">
        <v>308</v>
      </c>
      <c r="F1788" s="949">
        <v>308</v>
      </c>
      <c r="G1788" s="950" t="s">
        <v>7773</v>
      </c>
      <c r="H1788" s="950" t="s">
        <v>358</v>
      </c>
      <c r="I1788" s="951" t="s">
        <v>14579</v>
      </c>
      <c r="J1788" s="947" t="s">
        <v>14580</v>
      </c>
      <c r="K1788" s="143"/>
    </row>
    <row r="1789" spans="1:11">
      <c r="A1789" s="946" t="s">
        <v>28612</v>
      </c>
      <c r="B1789" s="947" t="s">
        <v>14616</v>
      </c>
      <c r="C1789" s="948" t="s">
        <v>14614</v>
      </c>
      <c r="D1789" s="242" t="s">
        <v>28724</v>
      </c>
      <c r="E1789" s="949">
        <v>308</v>
      </c>
      <c r="F1789" s="949">
        <v>308</v>
      </c>
      <c r="G1789" s="950" t="s">
        <v>7773</v>
      </c>
      <c r="H1789" s="950" t="s">
        <v>358</v>
      </c>
      <c r="I1789" s="951" t="s">
        <v>14615</v>
      </c>
      <c r="J1789" s="947" t="s">
        <v>14616</v>
      </c>
      <c r="K1789" s="143"/>
    </row>
    <row r="1790" spans="1:11">
      <c r="A1790" s="946" t="s">
        <v>28612</v>
      </c>
      <c r="B1790" s="947" t="s">
        <v>14940</v>
      </c>
      <c r="C1790" s="948" t="s">
        <v>14938</v>
      </c>
      <c r="D1790" s="242" t="s">
        <v>28724</v>
      </c>
      <c r="E1790" s="949">
        <v>308</v>
      </c>
      <c r="F1790" s="949">
        <v>308</v>
      </c>
      <c r="G1790" s="950" t="s">
        <v>7773</v>
      </c>
      <c r="H1790" s="950" t="s">
        <v>358</v>
      </c>
      <c r="I1790" s="951" t="s">
        <v>14939</v>
      </c>
      <c r="J1790" s="947" t="s">
        <v>14940</v>
      </c>
      <c r="K1790" s="143"/>
    </row>
    <row r="1791" spans="1:11">
      <c r="A1791" s="946" t="s">
        <v>28612</v>
      </c>
      <c r="B1791" s="947" t="s">
        <v>15039</v>
      </c>
      <c r="C1791" s="948" t="s">
        <v>15037</v>
      </c>
      <c r="D1791" s="242" t="s">
        <v>28724</v>
      </c>
      <c r="E1791" s="949">
        <v>308</v>
      </c>
      <c r="F1791" s="949">
        <v>308</v>
      </c>
      <c r="G1791" s="950" t="s">
        <v>7773</v>
      </c>
      <c r="H1791" s="950" t="s">
        <v>358</v>
      </c>
      <c r="I1791" s="951" t="s">
        <v>15038</v>
      </c>
      <c r="J1791" s="947" t="s">
        <v>15039</v>
      </c>
      <c r="K1791" s="143"/>
    </row>
    <row r="1792" spans="1:11">
      <c r="A1792" s="946" t="s">
        <v>28612</v>
      </c>
      <c r="B1792" s="947" t="s">
        <v>15229</v>
      </c>
      <c r="C1792" s="948" t="s">
        <v>15227</v>
      </c>
      <c r="D1792" s="242" t="s">
        <v>28724</v>
      </c>
      <c r="E1792" s="949">
        <v>308</v>
      </c>
      <c r="F1792" s="949">
        <v>308</v>
      </c>
      <c r="G1792" s="950" t="s">
        <v>7773</v>
      </c>
      <c r="H1792" s="950" t="s">
        <v>358</v>
      </c>
      <c r="I1792" s="951" t="s">
        <v>15228</v>
      </c>
      <c r="J1792" s="947" t="s">
        <v>15229</v>
      </c>
      <c r="K1792" s="143"/>
    </row>
    <row r="1793" spans="1:11">
      <c r="A1793" s="946" t="s">
        <v>28612</v>
      </c>
      <c r="B1793" s="947" t="s">
        <v>15671</v>
      </c>
      <c r="C1793" s="948" t="s">
        <v>15669</v>
      </c>
      <c r="D1793" s="242" t="s">
        <v>28724</v>
      </c>
      <c r="E1793" s="949">
        <v>308</v>
      </c>
      <c r="F1793" s="949">
        <v>308</v>
      </c>
      <c r="G1793" s="950" t="s">
        <v>7773</v>
      </c>
      <c r="H1793" s="950" t="s">
        <v>358</v>
      </c>
      <c r="I1793" s="951" t="s">
        <v>15670</v>
      </c>
      <c r="J1793" s="947" t="s">
        <v>15671</v>
      </c>
      <c r="K1793" s="143"/>
    </row>
    <row r="1794" spans="1:11">
      <c r="A1794" s="946" t="s">
        <v>28612</v>
      </c>
      <c r="B1794" s="947" t="s">
        <v>15697</v>
      </c>
      <c r="C1794" s="948" t="s">
        <v>15695</v>
      </c>
      <c r="D1794" s="242" t="s">
        <v>28724</v>
      </c>
      <c r="E1794" s="949">
        <v>308</v>
      </c>
      <c r="F1794" s="949">
        <v>308</v>
      </c>
      <c r="G1794" s="950" t="s">
        <v>7773</v>
      </c>
      <c r="H1794" s="950" t="s">
        <v>358</v>
      </c>
      <c r="I1794" s="951" t="s">
        <v>15696</v>
      </c>
      <c r="J1794" s="947" t="s">
        <v>15697</v>
      </c>
      <c r="K1794" s="143"/>
    </row>
    <row r="1795" spans="1:11">
      <c r="A1795" s="946" t="s">
        <v>28612</v>
      </c>
      <c r="B1795" s="947" t="s">
        <v>15815</v>
      </c>
      <c r="C1795" s="948" t="s">
        <v>15813</v>
      </c>
      <c r="D1795" s="242" t="s">
        <v>28724</v>
      </c>
      <c r="E1795" s="949">
        <v>308</v>
      </c>
      <c r="F1795" s="949">
        <v>308</v>
      </c>
      <c r="G1795" s="950" t="s">
        <v>7773</v>
      </c>
      <c r="H1795" s="950" t="s">
        <v>358</v>
      </c>
      <c r="I1795" s="951" t="s">
        <v>15814</v>
      </c>
      <c r="J1795" s="947" t="s">
        <v>15815</v>
      </c>
      <c r="K1795" s="143"/>
    </row>
    <row r="1796" spans="1:11">
      <c r="A1796" s="946" t="s">
        <v>28612</v>
      </c>
      <c r="B1796" s="947" t="s">
        <v>16211</v>
      </c>
      <c r="C1796" s="948" t="s">
        <v>16209</v>
      </c>
      <c r="D1796" s="242" t="s">
        <v>28724</v>
      </c>
      <c r="E1796" s="949">
        <v>308</v>
      </c>
      <c r="F1796" s="949">
        <v>308</v>
      </c>
      <c r="G1796" s="950" t="s">
        <v>7773</v>
      </c>
      <c r="H1796" s="950" t="s">
        <v>358</v>
      </c>
      <c r="I1796" s="951" t="s">
        <v>16210</v>
      </c>
      <c r="J1796" s="947" t="s">
        <v>16211</v>
      </c>
      <c r="K1796" s="143"/>
    </row>
    <row r="1797" spans="1:11">
      <c r="A1797" s="946" t="s">
        <v>28612</v>
      </c>
      <c r="B1797" s="947" t="s">
        <v>16249</v>
      </c>
      <c r="C1797" s="948" t="s">
        <v>16247</v>
      </c>
      <c r="D1797" s="242" t="s">
        <v>28724</v>
      </c>
      <c r="E1797" s="949">
        <v>308</v>
      </c>
      <c r="F1797" s="949">
        <v>308</v>
      </c>
      <c r="G1797" s="950" t="s">
        <v>7773</v>
      </c>
      <c r="H1797" s="950" t="s">
        <v>358</v>
      </c>
      <c r="I1797" s="951" t="s">
        <v>16248</v>
      </c>
      <c r="J1797" s="947" t="s">
        <v>16249</v>
      </c>
      <c r="K1797" s="143"/>
    </row>
    <row r="1798" spans="1:11">
      <c r="A1798" s="946" t="s">
        <v>28612</v>
      </c>
      <c r="B1798" s="947" t="s">
        <v>16483</v>
      </c>
      <c r="C1798" s="948" t="s">
        <v>16481</v>
      </c>
      <c r="D1798" s="242" t="s">
        <v>28724</v>
      </c>
      <c r="E1798" s="949">
        <v>308</v>
      </c>
      <c r="F1798" s="949">
        <v>308</v>
      </c>
      <c r="G1798" s="950" t="s">
        <v>7773</v>
      </c>
      <c r="H1798" s="950" t="s">
        <v>358</v>
      </c>
      <c r="I1798" s="951" t="s">
        <v>16482</v>
      </c>
      <c r="J1798" s="947" t="s">
        <v>16483</v>
      </c>
      <c r="K1798" s="143"/>
    </row>
    <row r="1799" spans="1:11">
      <c r="A1799" s="946" t="s">
        <v>28612</v>
      </c>
      <c r="B1799" s="947" t="s">
        <v>16492</v>
      </c>
      <c r="C1799" s="948" t="s">
        <v>16490</v>
      </c>
      <c r="D1799" s="242" t="s">
        <v>28724</v>
      </c>
      <c r="E1799" s="949">
        <v>308</v>
      </c>
      <c r="F1799" s="949">
        <v>308</v>
      </c>
      <c r="G1799" s="950" t="s">
        <v>7773</v>
      </c>
      <c r="H1799" s="950" t="s">
        <v>358</v>
      </c>
      <c r="I1799" s="951" t="s">
        <v>16491</v>
      </c>
      <c r="J1799" s="947" t="s">
        <v>16492</v>
      </c>
      <c r="K1799" s="143"/>
    </row>
    <row r="1800" spans="1:11">
      <c r="A1800" s="946" t="s">
        <v>28612</v>
      </c>
      <c r="B1800" s="947" t="s">
        <v>16742</v>
      </c>
      <c r="C1800" s="948" t="s">
        <v>16740</v>
      </c>
      <c r="D1800" s="242" t="s">
        <v>28724</v>
      </c>
      <c r="E1800" s="949">
        <v>308</v>
      </c>
      <c r="F1800" s="949">
        <v>308</v>
      </c>
      <c r="G1800" s="950" t="s">
        <v>7773</v>
      </c>
      <c r="H1800" s="950" t="s">
        <v>358</v>
      </c>
      <c r="I1800" s="951" t="s">
        <v>16741</v>
      </c>
      <c r="J1800" s="947" t="s">
        <v>16742</v>
      </c>
      <c r="K1800" s="143"/>
    </row>
    <row r="1801" spans="1:11">
      <c r="A1801" s="946" t="s">
        <v>28612</v>
      </c>
      <c r="B1801" s="947" t="s">
        <v>16937</v>
      </c>
      <c r="C1801" s="948" t="s">
        <v>16935</v>
      </c>
      <c r="D1801" s="242" t="s">
        <v>28724</v>
      </c>
      <c r="E1801" s="949">
        <v>308</v>
      </c>
      <c r="F1801" s="949">
        <v>308</v>
      </c>
      <c r="G1801" s="950" t="s">
        <v>7773</v>
      </c>
      <c r="H1801" s="950" t="s">
        <v>358</v>
      </c>
      <c r="I1801" s="951" t="s">
        <v>16936</v>
      </c>
      <c r="J1801" s="947" t="s">
        <v>16937</v>
      </c>
      <c r="K1801" s="143"/>
    </row>
    <row r="1802" spans="1:11">
      <c r="A1802" s="946" t="s">
        <v>28612</v>
      </c>
      <c r="B1802" s="947" t="s">
        <v>17078</v>
      </c>
      <c r="C1802" s="948" t="s">
        <v>17076</v>
      </c>
      <c r="D1802" s="242" t="s">
        <v>28724</v>
      </c>
      <c r="E1802" s="949">
        <v>308</v>
      </c>
      <c r="F1802" s="949">
        <v>308</v>
      </c>
      <c r="G1802" s="950" t="s">
        <v>7773</v>
      </c>
      <c r="H1802" s="950" t="s">
        <v>358</v>
      </c>
      <c r="I1802" s="951" t="s">
        <v>17077</v>
      </c>
      <c r="J1802" s="947" t="s">
        <v>17078</v>
      </c>
      <c r="K1802" s="143"/>
    </row>
    <row r="1803" spans="1:11">
      <c r="A1803" s="946" t="s">
        <v>28612</v>
      </c>
      <c r="B1803" s="947" t="s">
        <v>17478</v>
      </c>
      <c r="C1803" s="948" t="s">
        <v>17476</v>
      </c>
      <c r="D1803" s="242" t="s">
        <v>28724</v>
      </c>
      <c r="E1803" s="949">
        <v>308</v>
      </c>
      <c r="F1803" s="949">
        <v>308</v>
      </c>
      <c r="G1803" s="950" t="s">
        <v>7773</v>
      </c>
      <c r="H1803" s="950" t="s">
        <v>358</v>
      </c>
      <c r="I1803" s="951" t="s">
        <v>17477</v>
      </c>
      <c r="J1803" s="947" t="s">
        <v>17478</v>
      </c>
      <c r="K1803" s="143"/>
    </row>
    <row r="1804" spans="1:11">
      <c r="A1804" s="946" t="s">
        <v>28612</v>
      </c>
      <c r="B1804" s="947" t="s">
        <v>17540</v>
      </c>
      <c r="C1804" s="948" t="s">
        <v>17538</v>
      </c>
      <c r="D1804" s="242" t="s">
        <v>28724</v>
      </c>
      <c r="E1804" s="949">
        <v>308</v>
      </c>
      <c r="F1804" s="949">
        <v>308</v>
      </c>
      <c r="G1804" s="950" t="s">
        <v>7773</v>
      </c>
      <c r="H1804" s="950" t="s">
        <v>358</v>
      </c>
      <c r="I1804" s="951" t="s">
        <v>17539</v>
      </c>
      <c r="J1804" s="947" t="s">
        <v>17540</v>
      </c>
      <c r="K1804" s="143"/>
    </row>
    <row r="1805" spans="1:11">
      <c r="A1805" s="946" t="s">
        <v>28612</v>
      </c>
      <c r="B1805" s="947" t="s">
        <v>17690</v>
      </c>
      <c r="C1805" s="948" t="s">
        <v>17688</v>
      </c>
      <c r="D1805" s="242" t="s">
        <v>28724</v>
      </c>
      <c r="E1805" s="949">
        <v>308</v>
      </c>
      <c r="F1805" s="949">
        <v>308</v>
      </c>
      <c r="G1805" s="950" t="s">
        <v>7773</v>
      </c>
      <c r="H1805" s="950" t="s">
        <v>358</v>
      </c>
      <c r="I1805" s="951" t="s">
        <v>17689</v>
      </c>
      <c r="J1805" s="947" t="s">
        <v>17690</v>
      </c>
      <c r="K1805" s="143"/>
    </row>
    <row r="1806" spans="1:11">
      <c r="A1806" s="946" t="s">
        <v>28612</v>
      </c>
      <c r="B1806" s="947" t="s">
        <v>17760</v>
      </c>
      <c r="C1806" s="948" t="s">
        <v>17758</v>
      </c>
      <c r="D1806" s="242" t="s">
        <v>28724</v>
      </c>
      <c r="E1806" s="949">
        <v>308</v>
      </c>
      <c r="F1806" s="949">
        <v>308</v>
      </c>
      <c r="G1806" s="950" t="s">
        <v>7773</v>
      </c>
      <c r="H1806" s="950" t="s">
        <v>358</v>
      </c>
      <c r="I1806" s="951" t="s">
        <v>17759</v>
      </c>
      <c r="J1806" s="947" t="s">
        <v>17760</v>
      </c>
      <c r="K1806" s="143"/>
    </row>
    <row r="1807" spans="1:11">
      <c r="A1807" s="946" t="s">
        <v>28612</v>
      </c>
      <c r="B1807" s="947" t="s">
        <v>18792</v>
      </c>
      <c r="C1807" s="948" t="s">
        <v>18790</v>
      </c>
      <c r="D1807" s="242" t="s">
        <v>28724</v>
      </c>
      <c r="E1807" s="949">
        <v>308</v>
      </c>
      <c r="F1807" s="949">
        <v>308</v>
      </c>
      <c r="G1807" s="950" t="s">
        <v>7773</v>
      </c>
      <c r="H1807" s="950" t="s">
        <v>358</v>
      </c>
      <c r="I1807" s="951" t="s">
        <v>18791</v>
      </c>
      <c r="J1807" s="947" t="s">
        <v>18792</v>
      </c>
      <c r="K1807" s="143"/>
    </row>
    <row r="1808" spans="1:11">
      <c r="A1808" s="946" t="s">
        <v>28612</v>
      </c>
      <c r="B1808" s="947" t="s">
        <v>18311</v>
      </c>
      <c r="C1808" s="948" t="s">
        <v>18309</v>
      </c>
      <c r="D1808" s="242" t="s">
        <v>28724</v>
      </c>
      <c r="E1808" s="949">
        <v>308</v>
      </c>
      <c r="F1808" s="949">
        <v>308</v>
      </c>
      <c r="G1808" s="950" t="s">
        <v>7773</v>
      </c>
      <c r="H1808" s="950" t="s">
        <v>358</v>
      </c>
      <c r="I1808" s="951" t="s">
        <v>18310</v>
      </c>
      <c r="J1808" s="947" t="s">
        <v>18311</v>
      </c>
      <c r="K1808" s="143"/>
    </row>
    <row r="1809" spans="1:11">
      <c r="A1809" s="946" t="s">
        <v>28612</v>
      </c>
      <c r="B1809" s="947" t="s">
        <v>18320</v>
      </c>
      <c r="C1809" s="948" t="s">
        <v>18318</v>
      </c>
      <c r="D1809" s="242" t="s">
        <v>28724</v>
      </c>
      <c r="E1809" s="949">
        <v>308</v>
      </c>
      <c r="F1809" s="949">
        <v>308</v>
      </c>
      <c r="G1809" s="950" t="s">
        <v>7773</v>
      </c>
      <c r="H1809" s="950" t="s">
        <v>358</v>
      </c>
      <c r="I1809" s="951" t="s">
        <v>18319</v>
      </c>
      <c r="J1809" s="947" t="s">
        <v>18320</v>
      </c>
      <c r="K1809" s="143"/>
    </row>
    <row r="1810" spans="1:11">
      <c r="A1810" s="946" t="s">
        <v>28612</v>
      </c>
      <c r="B1810" s="947" t="s">
        <v>19173</v>
      </c>
      <c r="C1810" s="948" t="s">
        <v>19171</v>
      </c>
      <c r="D1810" s="242" t="s">
        <v>28724</v>
      </c>
      <c r="E1810" s="949">
        <v>308</v>
      </c>
      <c r="F1810" s="949">
        <v>308</v>
      </c>
      <c r="G1810" s="950" t="s">
        <v>7773</v>
      </c>
      <c r="H1810" s="950" t="s">
        <v>358</v>
      </c>
      <c r="I1810" s="951" t="s">
        <v>19172</v>
      </c>
      <c r="J1810" s="947" t="s">
        <v>19173</v>
      </c>
      <c r="K1810" s="143"/>
    </row>
    <row r="1811" spans="1:11">
      <c r="A1811" s="946" t="s">
        <v>28612</v>
      </c>
      <c r="B1811" s="947" t="s">
        <v>19192</v>
      </c>
      <c r="C1811" s="948" t="s">
        <v>19190</v>
      </c>
      <c r="D1811" s="242" t="s">
        <v>28724</v>
      </c>
      <c r="E1811" s="949">
        <v>308</v>
      </c>
      <c r="F1811" s="949">
        <v>308</v>
      </c>
      <c r="G1811" s="950" t="s">
        <v>7773</v>
      </c>
      <c r="H1811" s="950" t="s">
        <v>358</v>
      </c>
      <c r="I1811" s="951" t="s">
        <v>19191</v>
      </c>
      <c r="J1811" s="947" t="s">
        <v>19192</v>
      </c>
      <c r="K1811" s="143"/>
    </row>
    <row r="1812" spans="1:11">
      <c r="A1812" s="946" t="s">
        <v>28612</v>
      </c>
      <c r="B1812" s="947" t="s">
        <v>19241</v>
      </c>
      <c r="C1812" s="948" t="s">
        <v>19239</v>
      </c>
      <c r="D1812" s="242" t="s">
        <v>28724</v>
      </c>
      <c r="E1812" s="949">
        <v>308</v>
      </c>
      <c r="F1812" s="949">
        <v>308</v>
      </c>
      <c r="G1812" s="950" t="s">
        <v>7773</v>
      </c>
      <c r="H1812" s="950" t="s">
        <v>358</v>
      </c>
      <c r="I1812" s="951" t="s">
        <v>19240</v>
      </c>
      <c r="J1812" s="947" t="s">
        <v>19241</v>
      </c>
      <c r="K1812" s="143"/>
    </row>
    <row r="1813" spans="1:11">
      <c r="A1813" s="946" t="s">
        <v>28612</v>
      </c>
      <c r="B1813" s="947" t="s">
        <v>19432</v>
      </c>
      <c r="C1813" s="948" t="s">
        <v>19430</v>
      </c>
      <c r="D1813" s="242" t="s">
        <v>28724</v>
      </c>
      <c r="E1813" s="949">
        <v>308</v>
      </c>
      <c r="F1813" s="949">
        <v>308</v>
      </c>
      <c r="G1813" s="950" t="s">
        <v>7773</v>
      </c>
      <c r="H1813" s="950" t="s">
        <v>358</v>
      </c>
      <c r="I1813" s="951" t="s">
        <v>19431</v>
      </c>
      <c r="J1813" s="947" t="s">
        <v>19432</v>
      </c>
      <c r="K1813" s="143"/>
    </row>
    <row r="1814" spans="1:11">
      <c r="A1814" s="946" t="s">
        <v>28612</v>
      </c>
      <c r="B1814" s="947" t="s">
        <v>19446</v>
      </c>
      <c r="C1814" s="948" t="s">
        <v>19444</v>
      </c>
      <c r="D1814" s="242" t="s">
        <v>28724</v>
      </c>
      <c r="E1814" s="949">
        <v>308</v>
      </c>
      <c r="F1814" s="949">
        <v>308</v>
      </c>
      <c r="G1814" s="950" t="s">
        <v>7773</v>
      </c>
      <c r="H1814" s="950" t="s">
        <v>358</v>
      </c>
      <c r="I1814" s="951" t="s">
        <v>19445</v>
      </c>
      <c r="J1814" s="947" t="s">
        <v>19446</v>
      </c>
      <c r="K1814" s="143"/>
    </row>
    <row r="1815" spans="1:11">
      <c r="A1815" s="946" t="s">
        <v>28612</v>
      </c>
      <c r="B1815" s="947" t="s">
        <v>19455</v>
      </c>
      <c r="C1815" s="948" t="s">
        <v>19453</v>
      </c>
      <c r="D1815" s="242" t="s">
        <v>28724</v>
      </c>
      <c r="E1815" s="949">
        <v>308</v>
      </c>
      <c r="F1815" s="949">
        <v>308</v>
      </c>
      <c r="G1815" s="950" t="s">
        <v>7773</v>
      </c>
      <c r="H1815" s="950" t="s">
        <v>358</v>
      </c>
      <c r="I1815" s="951" t="s">
        <v>19454</v>
      </c>
      <c r="J1815" s="947" t="s">
        <v>19455</v>
      </c>
      <c r="K1815" s="143"/>
    </row>
    <row r="1816" spans="1:11">
      <c r="A1816" s="946" t="s">
        <v>28612</v>
      </c>
      <c r="B1816" s="947" t="s">
        <v>19627</v>
      </c>
      <c r="C1816" s="948" t="s">
        <v>19625</v>
      </c>
      <c r="D1816" s="242" t="s">
        <v>28724</v>
      </c>
      <c r="E1816" s="949">
        <v>308</v>
      </c>
      <c r="F1816" s="949">
        <v>308</v>
      </c>
      <c r="G1816" s="950" t="s">
        <v>7773</v>
      </c>
      <c r="H1816" s="950" t="s">
        <v>358</v>
      </c>
      <c r="I1816" s="951" t="s">
        <v>19626</v>
      </c>
      <c r="J1816" s="947" t="s">
        <v>19627</v>
      </c>
      <c r="K1816" s="143"/>
    </row>
    <row r="1817" spans="1:11">
      <c r="A1817" s="946" t="s">
        <v>28612</v>
      </c>
      <c r="B1817" s="947" t="s">
        <v>20992</v>
      </c>
      <c r="C1817" s="948" t="s">
        <v>20990</v>
      </c>
      <c r="D1817" s="242" t="s">
        <v>28724</v>
      </c>
      <c r="E1817" s="949">
        <v>308</v>
      </c>
      <c r="F1817" s="949">
        <v>308</v>
      </c>
      <c r="G1817" s="950" t="s">
        <v>7773</v>
      </c>
      <c r="H1817" s="950" t="s">
        <v>358</v>
      </c>
      <c r="I1817" s="951" t="s">
        <v>20991</v>
      </c>
      <c r="J1817" s="947" t="s">
        <v>20992</v>
      </c>
      <c r="K1817" s="143"/>
    </row>
    <row r="1818" spans="1:11">
      <c r="A1818" s="946" t="s">
        <v>28612</v>
      </c>
      <c r="B1818" s="947" t="s">
        <v>20995</v>
      </c>
      <c r="C1818" s="948" t="s">
        <v>20993</v>
      </c>
      <c r="D1818" s="242" t="s">
        <v>28724</v>
      </c>
      <c r="E1818" s="949">
        <v>308</v>
      </c>
      <c r="F1818" s="949">
        <v>308</v>
      </c>
      <c r="G1818" s="950" t="s">
        <v>7773</v>
      </c>
      <c r="H1818" s="950" t="s">
        <v>358</v>
      </c>
      <c r="I1818" s="951" t="s">
        <v>20994</v>
      </c>
      <c r="J1818" s="947" t="s">
        <v>20995</v>
      </c>
      <c r="K1818" s="143"/>
    </row>
    <row r="1819" spans="1:11">
      <c r="A1819" s="946" t="s">
        <v>28612</v>
      </c>
      <c r="B1819" s="947" t="s">
        <v>20998</v>
      </c>
      <c r="C1819" s="948" t="s">
        <v>20996</v>
      </c>
      <c r="D1819" s="242" t="s">
        <v>28724</v>
      </c>
      <c r="E1819" s="949">
        <v>308</v>
      </c>
      <c r="F1819" s="949">
        <v>308</v>
      </c>
      <c r="G1819" s="950" t="s">
        <v>7773</v>
      </c>
      <c r="H1819" s="950" t="s">
        <v>358</v>
      </c>
      <c r="I1819" s="951" t="s">
        <v>20997</v>
      </c>
      <c r="J1819" s="947" t="s">
        <v>20998</v>
      </c>
      <c r="K1819" s="143"/>
    </row>
    <row r="1820" spans="1:11">
      <c r="A1820" s="946" t="s">
        <v>28612</v>
      </c>
      <c r="B1820" s="947" t="s">
        <v>21010</v>
      </c>
      <c r="C1820" s="948" t="s">
        <v>21008</v>
      </c>
      <c r="D1820" s="242" t="s">
        <v>28724</v>
      </c>
      <c r="E1820" s="949">
        <v>308</v>
      </c>
      <c r="F1820" s="949">
        <v>308</v>
      </c>
      <c r="G1820" s="950" t="s">
        <v>7773</v>
      </c>
      <c r="H1820" s="950" t="s">
        <v>358</v>
      </c>
      <c r="I1820" s="951" t="s">
        <v>21009</v>
      </c>
      <c r="J1820" s="947" t="s">
        <v>21010</v>
      </c>
      <c r="K1820" s="143"/>
    </row>
    <row r="1821" spans="1:11">
      <c r="A1821" s="946" t="s">
        <v>28612</v>
      </c>
      <c r="B1821" s="947" t="s">
        <v>21100</v>
      </c>
      <c r="C1821" s="948" t="s">
        <v>21098</v>
      </c>
      <c r="D1821" s="242" t="s">
        <v>28724</v>
      </c>
      <c r="E1821" s="949">
        <v>308</v>
      </c>
      <c r="F1821" s="949">
        <v>308</v>
      </c>
      <c r="G1821" s="950" t="s">
        <v>7773</v>
      </c>
      <c r="H1821" s="950" t="s">
        <v>358</v>
      </c>
      <c r="I1821" s="951" t="s">
        <v>21099</v>
      </c>
      <c r="J1821" s="947" t="s">
        <v>21100</v>
      </c>
      <c r="K1821" s="143"/>
    </row>
    <row r="1822" spans="1:11">
      <c r="A1822" s="946" t="s">
        <v>28612</v>
      </c>
      <c r="B1822" s="947" t="s">
        <v>21134</v>
      </c>
      <c r="C1822" s="948" t="s">
        <v>21132</v>
      </c>
      <c r="D1822" s="242" t="s">
        <v>28724</v>
      </c>
      <c r="E1822" s="949">
        <v>308</v>
      </c>
      <c r="F1822" s="949">
        <v>308</v>
      </c>
      <c r="G1822" s="950" t="s">
        <v>7773</v>
      </c>
      <c r="H1822" s="950" t="s">
        <v>358</v>
      </c>
      <c r="I1822" s="951" t="s">
        <v>21133</v>
      </c>
      <c r="J1822" s="947" t="s">
        <v>21134</v>
      </c>
      <c r="K1822" s="143"/>
    </row>
    <row r="1823" spans="1:11">
      <c r="A1823" s="946" t="s">
        <v>28612</v>
      </c>
      <c r="B1823" s="947" t="s">
        <v>21549</v>
      </c>
      <c r="C1823" s="948" t="s">
        <v>21547</v>
      </c>
      <c r="D1823" s="242" t="s">
        <v>28724</v>
      </c>
      <c r="E1823" s="949">
        <v>308</v>
      </c>
      <c r="F1823" s="949">
        <v>308</v>
      </c>
      <c r="G1823" s="950" t="s">
        <v>7773</v>
      </c>
      <c r="H1823" s="950" t="s">
        <v>358</v>
      </c>
      <c r="I1823" s="951" t="s">
        <v>21548</v>
      </c>
      <c r="J1823" s="947" t="s">
        <v>21549</v>
      </c>
      <c r="K1823" s="143"/>
    </row>
    <row r="1824" spans="1:11">
      <c r="A1824" s="946" t="s">
        <v>28612</v>
      </c>
      <c r="B1824" s="947" t="s">
        <v>21554</v>
      </c>
      <c r="C1824" s="948" t="s">
        <v>21552</v>
      </c>
      <c r="D1824" s="242" t="s">
        <v>28724</v>
      </c>
      <c r="E1824" s="949">
        <v>308</v>
      </c>
      <c r="F1824" s="949">
        <v>308</v>
      </c>
      <c r="G1824" s="950" t="s">
        <v>7773</v>
      </c>
      <c r="H1824" s="950" t="s">
        <v>358</v>
      </c>
      <c r="I1824" s="951" t="s">
        <v>21553</v>
      </c>
      <c r="J1824" s="947" t="s">
        <v>21554</v>
      </c>
      <c r="K1824" s="143"/>
    </row>
    <row r="1825" spans="1:11">
      <c r="A1825" s="946" t="s">
        <v>28612</v>
      </c>
      <c r="B1825" s="947" t="s">
        <v>21772</v>
      </c>
      <c r="C1825" s="948" t="s">
        <v>21770</v>
      </c>
      <c r="D1825" s="242" t="s">
        <v>28724</v>
      </c>
      <c r="E1825" s="949">
        <v>308</v>
      </c>
      <c r="F1825" s="949">
        <v>308</v>
      </c>
      <c r="G1825" s="950" t="s">
        <v>7773</v>
      </c>
      <c r="H1825" s="950" t="s">
        <v>358</v>
      </c>
      <c r="I1825" s="951" t="s">
        <v>21771</v>
      </c>
      <c r="J1825" s="947" t="s">
        <v>21772</v>
      </c>
      <c r="K1825" s="143"/>
    </row>
    <row r="1826" spans="1:11">
      <c r="A1826" s="946" t="s">
        <v>28612</v>
      </c>
      <c r="B1826" s="947" t="s">
        <v>22005</v>
      </c>
      <c r="C1826" s="948" t="s">
        <v>22003</v>
      </c>
      <c r="D1826" s="242" t="s">
        <v>28724</v>
      </c>
      <c r="E1826" s="949">
        <v>308</v>
      </c>
      <c r="F1826" s="949">
        <v>308</v>
      </c>
      <c r="G1826" s="950" t="s">
        <v>7773</v>
      </c>
      <c r="H1826" s="950" t="s">
        <v>358</v>
      </c>
      <c r="I1826" s="951" t="s">
        <v>22004</v>
      </c>
      <c r="J1826" s="947" t="s">
        <v>22005</v>
      </c>
      <c r="K1826" s="143"/>
    </row>
    <row r="1827" spans="1:11">
      <c r="A1827" s="946" t="s">
        <v>28612</v>
      </c>
      <c r="B1827" s="947" t="s">
        <v>22363</v>
      </c>
      <c r="C1827" s="948" t="s">
        <v>22361</v>
      </c>
      <c r="D1827" s="242" t="s">
        <v>28724</v>
      </c>
      <c r="E1827" s="949">
        <v>308</v>
      </c>
      <c r="F1827" s="949">
        <v>308</v>
      </c>
      <c r="G1827" s="950" t="s">
        <v>7773</v>
      </c>
      <c r="H1827" s="950" t="s">
        <v>358</v>
      </c>
      <c r="I1827" s="951" t="s">
        <v>22362</v>
      </c>
      <c r="J1827" s="947" t="s">
        <v>22363</v>
      </c>
      <c r="K1827" s="143"/>
    </row>
    <row r="1828" spans="1:11">
      <c r="A1828" s="946" t="s">
        <v>28612</v>
      </c>
      <c r="B1828" s="947" t="s">
        <v>22442</v>
      </c>
      <c r="C1828" s="948" t="s">
        <v>22440</v>
      </c>
      <c r="D1828" s="242" t="s">
        <v>28724</v>
      </c>
      <c r="E1828" s="949">
        <v>308</v>
      </c>
      <c r="F1828" s="949">
        <v>308</v>
      </c>
      <c r="G1828" s="950" t="s">
        <v>7773</v>
      </c>
      <c r="H1828" s="950" t="s">
        <v>358</v>
      </c>
      <c r="I1828" s="951" t="s">
        <v>22441</v>
      </c>
      <c r="J1828" s="947" t="s">
        <v>22442</v>
      </c>
      <c r="K1828" s="143"/>
    </row>
    <row r="1829" spans="1:11">
      <c r="A1829" s="946" t="s">
        <v>28612</v>
      </c>
      <c r="B1829" s="947" t="s">
        <v>22469</v>
      </c>
      <c r="C1829" s="948" t="s">
        <v>22467</v>
      </c>
      <c r="D1829" s="242" t="s">
        <v>28724</v>
      </c>
      <c r="E1829" s="949">
        <v>308</v>
      </c>
      <c r="F1829" s="949">
        <v>308</v>
      </c>
      <c r="G1829" s="950" t="s">
        <v>7773</v>
      </c>
      <c r="H1829" s="950" t="s">
        <v>358</v>
      </c>
      <c r="I1829" s="951" t="s">
        <v>22468</v>
      </c>
      <c r="J1829" s="947" t="s">
        <v>22469</v>
      </c>
      <c r="K1829" s="143"/>
    </row>
    <row r="1830" spans="1:11">
      <c r="A1830" s="946" t="s">
        <v>28612</v>
      </c>
      <c r="B1830" s="947" t="s">
        <v>22626</v>
      </c>
      <c r="C1830" s="948" t="s">
        <v>22624</v>
      </c>
      <c r="D1830" s="242" t="s">
        <v>28724</v>
      </c>
      <c r="E1830" s="949">
        <v>308</v>
      </c>
      <c r="F1830" s="949">
        <v>308</v>
      </c>
      <c r="G1830" s="950" t="s">
        <v>7773</v>
      </c>
      <c r="H1830" s="950" t="s">
        <v>358</v>
      </c>
      <c r="I1830" s="951" t="s">
        <v>22625</v>
      </c>
      <c r="J1830" s="947" t="s">
        <v>22626</v>
      </c>
      <c r="K1830" s="143"/>
    </row>
    <row r="1831" spans="1:11">
      <c r="A1831" s="946" t="s">
        <v>28612</v>
      </c>
      <c r="B1831" s="947" t="s">
        <v>22067</v>
      </c>
      <c r="C1831" s="948" t="s">
        <v>22065</v>
      </c>
      <c r="D1831" s="242" t="s">
        <v>28724</v>
      </c>
      <c r="E1831" s="949">
        <v>308</v>
      </c>
      <c r="F1831" s="949">
        <v>308</v>
      </c>
      <c r="G1831" s="950" t="s">
        <v>7773</v>
      </c>
      <c r="H1831" s="950" t="s">
        <v>358</v>
      </c>
      <c r="I1831" s="951" t="s">
        <v>22066</v>
      </c>
      <c r="J1831" s="947" t="s">
        <v>22067</v>
      </c>
      <c r="K1831" s="143"/>
    </row>
    <row r="1832" spans="1:11">
      <c r="A1832" s="946" t="s">
        <v>28612</v>
      </c>
      <c r="B1832" s="947" t="s">
        <v>21546</v>
      </c>
      <c r="C1832" s="948" t="s">
        <v>21544</v>
      </c>
      <c r="D1832" s="242" t="s">
        <v>28724</v>
      </c>
      <c r="E1832" s="949">
        <v>308</v>
      </c>
      <c r="F1832" s="949">
        <v>308</v>
      </c>
      <c r="G1832" s="950" t="s">
        <v>7773</v>
      </c>
      <c r="H1832" s="950" t="s">
        <v>358</v>
      </c>
      <c r="I1832" s="951" t="s">
        <v>21545</v>
      </c>
      <c r="J1832" s="947" t="s">
        <v>21546</v>
      </c>
      <c r="K1832" s="143"/>
    </row>
    <row r="1833" spans="1:11">
      <c r="A1833" s="946" t="s">
        <v>28612</v>
      </c>
      <c r="B1833" s="947" t="s">
        <v>1914</v>
      </c>
      <c r="C1833" s="948" t="s">
        <v>1912</v>
      </c>
      <c r="D1833" s="242" t="s">
        <v>28724</v>
      </c>
      <c r="E1833" s="949">
        <v>308</v>
      </c>
      <c r="F1833" s="949">
        <v>308</v>
      </c>
      <c r="G1833" s="950" t="s">
        <v>7773</v>
      </c>
      <c r="H1833" s="950" t="s">
        <v>358</v>
      </c>
      <c r="I1833" s="951" t="s">
        <v>1913</v>
      </c>
      <c r="J1833" s="947" t="s">
        <v>1914</v>
      </c>
      <c r="K1833" s="143"/>
    </row>
    <row r="1834" spans="1:11">
      <c r="A1834" s="946" t="s">
        <v>28612</v>
      </c>
      <c r="B1834" s="947" t="s">
        <v>28639</v>
      </c>
      <c r="C1834" s="948" t="s">
        <v>28762</v>
      </c>
      <c r="D1834" s="242" t="s">
        <v>28724</v>
      </c>
      <c r="E1834" s="949">
        <v>308</v>
      </c>
      <c r="F1834" s="949">
        <v>308</v>
      </c>
      <c r="G1834" s="950" t="s">
        <v>7773</v>
      </c>
      <c r="H1834" s="950" t="s">
        <v>358</v>
      </c>
      <c r="I1834" s="951" t="s">
        <v>28683</v>
      </c>
      <c r="J1834" s="947" t="s">
        <v>28639</v>
      </c>
      <c r="K1834" s="143"/>
    </row>
    <row r="1835" spans="1:11">
      <c r="A1835" s="946" t="s">
        <v>28612</v>
      </c>
      <c r="B1835" s="947" t="s">
        <v>535</v>
      </c>
      <c r="C1835" s="948" t="s">
        <v>532</v>
      </c>
      <c r="D1835" s="242" t="s">
        <v>30097</v>
      </c>
      <c r="E1835" s="949">
        <v>301</v>
      </c>
      <c r="F1835" s="949">
        <v>301</v>
      </c>
      <c r="G1835" s="950" t="s">
        <v>2295</v>
      </c>
      <c r="H1835" s="950" t="s">
        <v>533</v>
      </c>
      <c r="I1835" s="951" t="s">
        <v>534</v>
      </c>
      <c r="J1835" s="947" t="s">
        <v>535</v>
      </c>
      <c r="K1835" s="143"/>
    </row>
    <row r="1836" spans="1:11">
      <c r="A1836" s="946" t="s">
        <v>28612</v>
      </c>
      <c r="B1836" s="947" t="s">
        <v>539</v>
      </c>
      <c r="C1836" s="948" t="s">
        <v>537</v>
      </c>
      <c r="D1836" s="242" t="s">
        <v>30097</v>
      </c>
      <c r="E1836" s="949">
        <v>301</v>
      </c>
      <c r="F1836" s="949">
        <v>301</v>
      </c>
      <c r="G1836" s="950" t="s">
        <v>2295</v>
      </c>
      <c r="H1836" s="950" t="s">
        <v>533</v>
      </c>
      <c r="I1836" s="951" t="s">
        <v>538</v>
      </c>
      <c r="J1836" s="947" t="s">
        <v>539</v>
      </c>
      <c r="K1836" s="143"/>
    </row>
    <row r="1837" spans="1:11">
      <c r="A1837" s="946" t="s">
        <v>28612</v>
      </c>
      <c r="B1837" s="947" t="s">
        <v>774</v>
      </c>
      <c r="C1837" s="948" t="s">
        <v>772</v>
      </c>
      <c r="D1837" s="242" t="s">
        <v>30097</v>
      </c>
      <c r="E1837" s="949">
        <v>301</v>
      </c>
      <c r="F1837" s="949">
        <v>301</v>
      </c>
      <c r="G1837" s="950" t="s">
        <v>2295</v>
      </c>
      <c r="H1837" s="950" t="s">
        <v>533</v>
      </c>
      <c r="I1837" s="951" t="s">
        <v>773</v>
      </c>
      <c r="J1837" s="947" t="s">
        <v>774</v>
      </c>
      <c r="K1837" s="143"/>
    </row>
    <row r="1838" spans="1:11">
      <c r="A1838" s="946" t="s">
        <v>28612</v>
      </c>
      <c r="B1838" s="947" t="s">
        <v>838</v>
      </c>
      <c r="C1838" s="948" t="s">
        <v>836</v>
      </c>
      <c r="D1838" s="242" t="s">
        <v>30097</v>
      </c>
      <c r="E1838" s="949">
        <v>301</v>
      </c>
      <c r="F1838" s="949">
        <v>301</v>
      </c>
      <c r="G1838" s="950" t="s">
        <v>2295</v>
      </c>
      <c r="H1838" s="950" t="s">
        <v>533</v>
      </c>
      <c r="I1838" s="951" t="s">
        <v>837</v>
      </c>
      <c r="J1838" s="947" t="s">
        <v>838</v>
      </c>
      <c r="K1838" s="143"/>
    </row>
    <row r="1839" spans="1:11">
      <c r="A1839" s="946" t="s">
        <v>28612</v>
      </c>
      <c r="B1839" s="947" t="s">
        <v>962</v>
      </c>
      <c r="C1839" s="948" t="s">
        <v>960</v>
      </c>
      <c r="D1839" s="242" t="s">
        <v>30097</v>
      </c>
      <c r="E1839" s="949">
        <v>301</v>
      </c>
      <c r="F1839" s="949">
        <v>301</v>
      </c>
      <c r="G1839" s="950" t="s">
        <v>2295</v>
      </c>
      <c r="H1839" s="950" t="s">
        <v>533</v>
      </c>
      <c r="I1839" s="951" t="s">
        <v>961</v>
      </c>
      <c r="J1839" s="947" t="s">
        <v>962</v>
      </c>
      <c r="K1839" s="143"/>
    </row>
    <row r="1840" spans="1:11">
      <c r="A1840" s="946" t="s">
        <v>28612</v>
      </c>
      <c r="B1840" s="947" t="s">
        <v>965</v>
      </c>
      <c r="C1840" s="948" t="s">
        <v>963</v>
      </c>
      <c r="D1840" s="242" t="s">
        <v>30097</v>
      </c>
      <c r="E1840" s="949">
        <v>301</v>
      </c>
      <c r="F1840" s="949">
        <v>301</v>
      </c>
      <c r="G1840" s="950" t="s">
        <v>2295</v>
      </c>
      <c r="H1840" s="950" t="s">
        <v>533</v>
      </c>
      <c r="I1840" s="951" t="s">
        <v>964</v>
      </c>
      <c r="J1840" s="947" t="s">
        <v>965</v>
      </c>
      <c r="K1840" s="143"/>
    </row>
    <row r="1841" spans="1:11">
      <c r="A1841" s="946" t="s">
        <v>28612</v>
      </c>
      <c r="B1841" s="947" t="s">
        <v>968</v>
      </c>
      <c r="C1841" s="948" t="s">
        <v>966</v>
      </c>
      <c r="D1841" s="242" t="s">
        <v>30097</v>
      </c>
      <c r="E1841" s="949">
        <v>301</v>
      </c>
      <c r="F1841" s="949">
        <v>301</v>
      </c>
      <c r="G1841" s="950" t="s">
        <v>2295</v>
      </c>
      <c r="H1841" s="950" t="s">
        <v>533</v>
      </c>
      <c r="I1841" s="951" t="s">
        <v>967</v>
      </c>
      <c r="J1841" s="947" t="s">
        <v>968</v>
      </c>
      <c r="K1841" s="143"/>
    </row>
    <row r="1842" spans="1:11">
      <c r="A1842" s="946" t="s">
        <v>28612</v>
      </c>
      <c r="B1842" s="947" t="s">
        <v>1049</v>
      </c>
      <c r="C1842" s="948" t="s">
        <v>1047</v>
      </c>
      <c r="D1842" s="242" t="s">
        <v>30097</v>
      </c>
      <c r="E1842" s="949">
        <v>301</v>
      </c>
      <c r="F1842" s="949">
        <v>301</v>
      </c>
      <c r="G1842" s="950" t="s">
        <v>2295</v>
      </c>
      <c r="H1842" s="950" t="s">
        <v>533</v>
      </c>
      <c r="I1842" s="951" t="s">
        <v>1048</v>
      </c>
      <c r="J1842" s="947" t="s">
        <v>1049</v>
      </c>
      <c r="K1842" s="143"/>
    </row>
    <row r="1843" spans="1:11">
      <c r="A1843" s="946" t="s">
        <v>28612</v>
      </c>
      <c r="B1843" s="947" t="s">
        <v>1081</v>
      </c>
      <c r="C1843" s="948" t="s">
        <v>1079</v>
      </c>
      <c r="D1843" s="242" t="s">
        <v>30097</v>
      </c>
      <c r="E1843" s="949">
        <v>301</v>
      </c>
      <c r="F1843" s="949">
        <v>301</v>
      </c>
      <c r="G1843" s="950" t="s">
        <v>2295</v>
      </c>
      <c r="H1843" s="950" t="s">
        <v>533</v>
      </c>
      <c r="I1843" s="951" t="s">
        <v>1080</v>
      </c>
      <c r="J1843" s="947" t="s">
        <v>1081</v>
      </c>
      <c r="K1843" s="143"/>
    </row>
    <row r="1844" spans="1:11">
      <c r="A1844" s="946" t="s">
        <v>28612</v>
      </c>
      <c r="B1844" s="947" t="s">
        <v>1194</v>
      </c>
      <c r="C1844" s="948" t="s">
        <v>1192</v>
      </c>
      <c r="D1844" s="242" t="s">
        <v>30097</v>
      </c>
      <c r="E1844" s="949">
        <v>301</v>
      </c>
      <c r="F1844" s="949">
        <v>301</v>
      </c>
      <c r="G1844" s="950" t="s">
        <v>2295</v>
      </c>
      <c r="H1844" s="950" t="s">
        <v>533</v>
      </c>
      <c r="I1844" s="951" t="s">
        <v>1193</v>
      </c>
      <c r="J1844" s="947" t="s">
        <v>1194</v>
      </c>
      <c r="K1844" s="143"/>
    </row>
    <row r="1845" spans="1:11">
      <c r="A1845" s="946" t="s">
        <v>28612</v>
      </c>
      <c r="B1845" s="947" t="s">
        <v>1318</v>
      </c>
      <c r="C1845" s="948" t="s">
        <v>1316</v>
      </c>
      <c r="D1845" s="242" t="s">
        <v>30097</v>
      </c>
      <c r="E1845" s="949">
        <v>301</v>
      </c>
      <c r="F1845" s="949">
        <v>301</v>
      </c>
      <c r="G1845" s="950" t="s">
        <v>2295</v>
      </c>
      <c r="H1845" s="950" t="s">
        <v>533</v>
      </c>
      <c r="I1845" s="951" t="s">
        <v>1317</v>
      </c>
      <c r="J1845" s="947" t="s">
        <v>1318</v>
      </c>
      <c r="K1845" s="143"/>
    </row>
    <row r="1846" spans="1:11">
      <c r="A1846" s="946" t="s">
        <v>28612</v>
      </c>
      <c r="B1846" s="947" t="s">
        <v>1364</v>
      </c>
      <c r="C1846" s="948" t="s">
        <v>1362</v>
      </c>
      <c r="D1846" s="242" t="s">
        <v>30097</v>
      </c>
      <c r="E1846" s="949">
        <v>301</v>
      </c>
      <c r="F1846" s="949">
        <v>301</v>
      </c>
      <c r="G1846" s="950" t="s">
        <v>2295</v>
      </c>
      <c r="H1846" s="950" t="s">
        <v>533</v>
      </c>
      <c r="I1846" s="951" t="s">
        <v>1363</v>
      </c>
      <c r="J1846" s="947" t="s">
        <v>1364</v>
      </c>
      <c r="K1846" s="143"/>
    </row>
    <row r="1847" spans="1:11">
      <c r="A1847" s="946" t="s">
        <v>28612</v>
      </c>
      <c r="B1847" s="947" t="s">
        <v>1525</v>
      </c>
      <c r="C1847" s="948" t="s">
        <v>1523</v>
      </c>
      <c r="D1847" s="242" t="s">
        <v>30097</v>
      </c>
      <c r="E1847" s="949">
        <v>301</v>
      </c>
      <c r="F1847" s="949">
        <v>301</v>
      </c>
      <c r="G1847" s="950" t="s">
        <v>2295</v>
      </c>
      <c r="H1847" s="950" t="s">
        <v>533</v>
      </c>
      <c r="I1847" s="951" t="s">
        <v>1524</v>
      </c>
      <c r="J1847" s="947" t="s">
        <v>1525</v>
      </c>
      <c r="K1847" s="143"/>
    </row>
    <row r="1848" spans="1:11">
      <c r="A1848" s="946" t="s">
        <v>28612</v>
      </c>
      <c r="B1848" s="947" t="s">
        <v>1656</v>
      </c>
      <c r="C1848" s="948" t="s">
        <v>1654</v>
      </c>
      <c r="D1848" s="242" t="s">
        <v>30097</v>
      </c>
      <c r="E1848" s="949">
        <v>301</v>
      </c>
      <c r="F1848" s="949">
        <v>301</v>
      </c>
      <c r="G1848" s="950" t="s">
        <v>2295</v>
      </c>
      <c r="H1848" s="950" t="s">
        <v>533</v>
      </c>
      <c r="I1848" s="951" t="s">
        <v>1655</v>
      </c>
      <c r="J1848" s="947" t="s">
        <v>1656</v>
      </c>
      <c r="K1848" s="143"/>
    </row>
    <row r="1849" spans="1:11">
      <c r="A1849" s="946" t="s">
        <v>28612</v>
      </c>
      <c r="B1849" s="947" t="s">
        <v>1673</v>
      </c>
      <c r="C1849" s="948" t="s">
        <v>1671</v>
      </c>
      <c r="D1849" s="242" t="s">
        <v>30097</v>
      </c>
      <c r="E1849" s="949">
        <v>301</v>
      </c>
      <c r="F1849" s="949">
        <v>301</v>
      </c>
      <c r="G1849" s="950" t="s">
        <v>2295</v>
      </c>
      <c r="H1849" s="950" t="s">
        <v>533</v>
      </c>
      <c r="I1849" s="951" t="s">
        <v>1672</v>
      </c>
      <c r="J1849" s="947" t="s">
        <v>1673</v>
      </c>
      <c r="K1849" s="143"/>
    </row>
    <row r="1850" spans="1:11">
      <c r="A1850" s="946" t="s">
        <v>28612</v>
      </c>
      <c r="B1850" s="947" t="s">
        <v>1718</v>
      </c>
      <c r="C1850" s="948" t="s">
        <v>1716</v>
      </c>
      <c r="D1850" s="242" t="s">
        <v>30097</v>
      </c>
      <c r="E1850" s="949">
        <v>301</v>
      </c>
      <c r="F1850" s="949">
        <v>301</v>
      </c>
      <c r="G1850" s="950" t="s">
        <v>2295</v>
      </c>
      <c r="H1850" s="950" t="s">
        <v>533</v>
      </c>
      <c r="I1850" s="951" t="s">
        <v>1717</v>
      </c>
      <c r="J1850" s="947" t="s">
        <v>1718</v>
      </c>
      <c r="K1850" s="143"/>
    </row>
    <row r="1851" spans="1:11">
      <c r="A1851" s="946" t="s">
        <v>28612</v>
      </c>
      <c r="B1851" s="947" t="s">
        <v>1727</v>
      </c>
      <c r="C1851" s="948" t="s">
        <v>1725</v>
      </c>
      <c r="D1851" s="242" t="s">
        <v>30097</v>
      </c>
      <c r="E1851" s="949">
        <v>301</v>
      </c>
      <c r="F1851" s="949">
        <v>301</v>
      </c>
      <c r="G1851" s="950" t="s">
        <v>2295</v>
      </c>
      <c r="H1851" s="950" t="s">
        <v>533</v>
      </c>
      <c r="I1851" s="951" t="s">
        <v>1726</v>
      </c>
      <c r="J1851" s="947" t="s">
        <v>1727</v>
      </c>
      <c r="K1851" s="143"/>
    </row>
    <row r="1852" spans="1:11">
      <c r="A1852" s="946" t="s">
        <v>28612</v>
      </c>
      <c r="B1852" s="947" t="s">
        <v>1779</v>
      </c>
      <c r="C1852" s="948" t="s">
        <v>1777</v>
      </c>
      <c r="D1852" s="242" t="s">
        <v>30097</v>
      </c>
      <c r="E1852" s="949">
        <v>301</v>
      </c>
      <c r="F1852" s="949">
        <v>301</v>
      </c>
      <c r="G1852" s="950" t="s">
        <v>2295</v>
      </c>
      <c r="H1852" s="950" t="s">
        <v>533</v>
      </c>
      <c r="I1852" s="951" t="s">
        <v>1778</v>
      </c>
      <c r="J1852" s="947" t="s">
        <v>1779</v>
      </c>
      <c r="K1852" s="143"/>
    </row>
    <row r="1853" spans="1:11">
      <c r="A1853" s="946" t="s">
        <v>28612</v>
      </c>
      <c r="B1853" s="947" t="s">
        <v>1937</v>
      </c>
      <c r="C1853" s="948" t="s">
        <v>1935</v>
      </c>
      <c r="D1853" s="242" t="s">
        <v>30097</v>
      </c>
      <c r="E1853" s="949">
        <v>301</v>
      </c>
      <c r="F1853" s="949">
        <v>301</v>
      </c>
      <c r="G1853" s="950" t="s">
        <v>2295</v>
      </c>
      <c r="H1853" s="950" t="s">
        <v>533</v>
      </c>
      <c r="I1853" s="951" t="s">
        <v>1936</v>
      </c>
      <c r="J1853" s="947" t="s">
        <v>1937</v>
      </c>
      <c r="K1853" s="143"/>
    </row>
    <row r="1854" spans="1:11">
      <c r="A1854" s="946" t="s">
        <v>28612</v>
      </c>
      <c r="B1854" s="947" t="s">
        <v>1997</v>
      </c>
      <c r="C1854" s="948" t="s">
        <v>1995</v>
      </c>
      <c r="D1854" s="242" t="s">
        <v>30097</v>
      </c>
      <c r="E1854" s="949">
        <v>301</v>
      </c>
      <c r="F1854" s="949">
        <v>301</v>
      </c>
      <c r="G1854" s="950" t="s">
        <v>2295</v>
      </c>
      <c r="H1854" s="950" t="s">
        <v>533</v>
      </c>
      <c r="I1854" s="951" t="s">
        <v>1996</v>
      </c>
      <c r="J1854" s="947" t="s">
        <v>1997</v>
      </c>
      <c r="K1854" s="143"/>
    </row>
    <row r="1855" spans="1:11">
      <c r="A1855" s="946" t="s">
        <v>28612</v>
      </c>
      <c r="B1855" s="947" t="s">
        <v>2036</v>
      </c>
      <c r="C1855" s="948" t="s">
        <v>2034</v>
      </c>
      <c r="D1855" s="242" t="s">
        <v>30097</v>
      </c>
      <c r="E1855" s="949">
        <v>301</v>
      </c>
      <c r="F1855" s="949">
        <v>301</v>
      </c>
      <c r="G1855" s="950" t="s">
        <v>2295</v>
      </c>
      <c r="H1855" s="950" t="s">
        <v>533</v>
      </c>
      <c r="I1855" s="951" t="s">
        <v>2035</v>
      </c>
      <c r="J1855" s="947" t="s">
        <v>2036</v>
      </c>
      <c r="K1855" s="143"/>
    </row>
    <row r="1856" spans="1:11">
      <c r="A1856" s="946" t="s">
        <v>28612</v>
      </c>
      <c r="B1856" s="947" t="s">
        <v>2138</v>
      </c>
      <c r="C1856" s="948" t="s">
        <v>2136</v>
      </c>
      <c r="D1856" s="242" t="s">
        <v>30097</v>
      </c>
      <c r="E1856" s="949">
        <v>301</v>
      </c>
      <c r="F1856" s="949">
        <v>301</v>
      </c>
      <c r="G1856" s="950" t="s">
        <v>2295</v>
      </c>
      <c r="H1856" s="950" t="s">
        <v>533</v>
      </c>
      <c r="I1856" s="951" t="s">
        <v>2137</v>
      </c>
      <c r="J1856" s="947" t="s">
        <v>2138</v>
      </c>
      <c r="K1856" s="143"/>
    </row>
    <row r="1857" spans="1:11">
      <c r="A1857" s="946" t="s">
        <v>28612</v>
      </c>
      <c r="B1857" s="947" t="s">
        <v>2276</v>
      </c>
      <c r="C1857" s="948" t="s">
        <v>2274</v>
      </c>
      <c r="D1857" s="242" t="s">
        <v>30097</v>
      </c>
      <c r="E1857" s="949">
        <v>301</v>
      </c>
      <c r="F1857" s="949">
        <v>301</v>
      </c>
      <c r="G1857" s="950" t="s">
        <v>2295</v>
      </c>
      <c r="H1857" s="950" t="s">
        <v>533</v>
      </c>
      <c r="I1857" s="951" t="s">
        <v>2275</v>
      </c>
      <c r="J1857" s="947" t="s">
        <v>2276</v>
      </c>
      <c r="K1857" s="143"/>
    </row>
    <row r="1858" spans="1:11">
      <c r="A1858" s="946" t="s">
        <v>28612</v>
      </c>
      <c r="B1858" s="947" t="s">
        <v>2295</v>
      </c>
      <c r="C1858" s="948" t="s">
        <v>2293</v>
      </c>
      <c r="D1858" s="242" t="s">
        <v>30097</v>
      </c>
      <c r="E1858" s="949">
        <v>301</v>
      </c>
      <c r="F1858" s="949">
        <v>301</v>
      </c>
      <c r="G1858" s="950" t="s">
        <v>2295</v>
      </c>
      <c r="H1858" s="950" t="s">
        <v>533</v>
      </c>
      <c r="I1858" s="951" t="s">
        <v>2294</v>
      </c>
      <c r="J1858" s="947" t="s">
        <v>2295</v>
      </c>
      <c r="K1858" s="143"/>
    </row>
    <row r="1859" spans="1:11">
      <c r="A1859" s="946" t="s">
        <v>28612</v>
      </c>
      <c r="B1859" s="947" t="s">
        <v>2342</v>
      </c>
      <c r="C1859" s="948" t="s">
        <v>2340</v>
      </c>
      <c r="D1859" s="242" t="s">
        <v>30097</v>
      </c>
      <c r="E1859" s="949">
        <v>301</v>
      </c>
      <c r="F1859" s="949">
        <v>301</v>
      </c>
      <c r="G1859" s="950" t="s">
        <v>2295</v>
      </c>
      <c r="H1859" s="950" t="s">
        <v>533</v>
      </c>
      <c r="I1859" s="951" t="s">
        <v>2341</v>
      </c>
      <c r="J1859" s="947" t="s">
        <v>2342</v>
      </c>
      <c r="K1859" s="143"/>
    </row>
    <row r="1860" spans="1:11">
      <c r="A1860" s="946" t="s">
        <v>28612</v>
      </c>
      <c r="B1860" s="947" t="s">
        <v>2399</v>
      </c>
      <c r="C1860" s="948" t="s">
        <v>2397</v>
      </c>
      <c r="D1860" s="242" t="s">
        <v>30097</v>
      </c>
      <c r="E1860" s="949">
        <v>301</v>
      </c>
      <c r="F1860" s="949">
        <v>301</v>
      </c>
      <c r="G1860" s="950" t="s">
        <v>2295</v>
      </c>
      <c r="H1860" s="950" t="s">
        <v>533</v>
      </c>
      <c r="I1860" s="951" t="s">
        <v>2398</v>
      </c>
      <c r="J1860" s="947" t="s">
        <v>2399</v>
      </c>
      <c r="K1860" s="143"/>
    </row>
    <row r="1861" spans="1:11">
      <c r="A1861" s="946" t="s">
        <v>28612</v>
      </c>
      <c r="B1861" s="947" t="s">
        <v>2510</v>
      </c>
      <c r="C1861" s="948" t="s">
        <v>2508</v>
      </c>
      <c r="D1861" s="242" t="s">
        <v>30097</v>
      </c>
      <c r="E1861" s="949">
        <v>301</v>
      </c>
      <c r="F1861" s="949">
        <v>301</v>
      </c>
      <c r="G1861" s="950" t="s">
        <v>2295</v>
      </c>
      <c r="H1861" s="950" t="s">
        <v>533</v>
      </c>
      <c r="I1861" s="951" t="s">
        <v>2509</v>
      </c>
      <c r="J1861" s="947" t="s">
        <v>2510</v>
      </c>
      <c r="K1861" s="143"/>
    </row>
    <row r="1862" spans="1:11">
      <c r="A1862" s="946" t="s">
        <v>28612</v>
      </c>
      <c r="B1862" s="947" t="s">
        <v>2572</v>
      </c>
      <c r="C1862" s="948" t="s">
        <v>2570</v>
      </c>
      <c r="D1862" s="242" t="s">
        <v>30097</v>
      </c>
      <c r="E1862" s="949">
        <v>301</v>
      </c>
      <c r="F1862" s="949">
        <v>301</v>
      </c>
      <c r="G1862" s="950" t="s">
        <v>2295</v>
      </c>
      <c r="H1862" s="950" t="s">
        <v>533</v>
      </c>
      <c r="I1862" s="951" t="s">
        <v>2571</v>
      </c>
      <c r="J1862" s="947" t="s">
        <v>2572</v>
      </c>
      <c r="K1862" s="143"/>
    </row>
    <row r="1863" spans="1:11">
      <c r="A1863" s="946" t="s">
        <v>28612</v>
      </c>
      <c r="B1863" s="947" t="s">
        <v>2598</v>
      </c>
      <c r="C1863" s="948" t="s">
        <v>2596</v>
      </c>
      <c r="D1863" s="242" t="s">
        <v>30097</v>
      </c>
      <c r="E1863" s="949">
        <v>301</v>
      </c>
      <c r="F1863" s="949">
        <v>301</v>
      </c>
      <c r="G1863" s="950" t="s">
        <v>2295</v>
      </c>
      <c r="H1863" s="950" t="s">
        <v>533</v>
      </c>
      <c r="I1863" s="951" t="s">
        <v>2597</v>
      </c>
      <c r="J1863" s="947" t="s">
        <v>2598</v>
      </c>
      <c r="K1863" s="143"/>
    </row>
    <row r="1864" spans="1:11">
      <c r="A1864" s="946" t="s">
        <v>28612</v>
      </c>
      <c r="B1864" s="947" t="s">
        <v>2628</v>
      </c>
      <c r="C1864" s="948" t="s">
        <v>2626</v>
      </c>
      <c r="D1864" s="242" t="s">
        <v>30097</v>
      </c>
      <c r="E1864" s="949">
        <v>301</v>
      </c>
      <c r="F1864" s="949">
        <v>301</v>
      </c>
      <c r="G1864" s="950" t="s">
        <v>2295</v>
      </c>
      <c r="H1864" s="950" t="s">
        <v>533</v>
      </c>
      <c r="I1864" s="951" t="s">
        <v>2627</v>
      </c>
      <c r="J1864" s="947" t="s">
        <v>2628</v>
      </c>
      <c r="K1864" s="143"/>
    </row>
    <row r="1865" spans="1:11">
      <c r="A1865" s="946" t="s">
        <v>28612</v>
      </c>
      <c r="B1865" s="947" t="s">
        <v>2631</v>
      </c>
      <c r="C1865" s="948" t="s">
        <v>2629</v>
      </c>
      <c r="D1865" s="242" t="s">
        <v>30097</v>
      </c>
      <c r="E1865" s="949">
        <v>301</v>
      </c>
      <c r="F1865" s="949">
        <v>301</v>
      </c>
      <c r="G1865" s="950" t="s">
        <v>2295</v>
      </c>
      <c r="H1865" s="950" t="s">
        <v>533</v>
      </c>
      <c r="I1865" s="951" t="s">
        <v>2630</v>
      </c>
      <c r="J1865" s="947" t="s">
        <v>2631</v>
      </c>
      <c r="K1865" s="143"/>
    </row>
    <row r="1866" spans="1:11">
      <c r="A1866" s="946" t="s">
        <v>28612</v>
      </c>
      <c r="B1866" s="947" t="s">
        <v>2730</v>
      </c>
      <c r="C1866" s="948" t="s">
        <v>2728</v>
      </c>
      <c r="D1866" s="242" t="s">
        <v>30097</v>
      </c>
      <c r="E1866" s="949">
        <v>301</v>
      </c>
      <c r="F1866" s="949">
        <v>301</v>
      </c>
      <c r="G1866" s="950" t="s">
        <v>2295</v>
      </c>
      <c r="H1866" s="950" t="s">
        <v>533</v>
      </c>
      <c r="I1866" s="951" t="s">
        <v>2729</v>
      </c>
      <c r="J1866" s="947" t="s">
        <v>2730</v>
      </c>
      <c r="K1866" s="143"/>
    </row>
    <row r="1867" spans="1:11">
      <c r="A1867" s="946" t="s">
        <v>28612</v>
      </c>
      <c r="B1867" s="947" t="s">
        <v>2885</v>
      </c>
      <c r="C1867" s="948" t="s">
        <v>2883</v>
      </c>
      <c r="D1867" s="242" t="s">
        <v>30097</v>
      </c>
      <c r="E1867" s="949">
        <v>301</v>
      </c>
      <c r="F1867" s="949">
        <v>301</v>
      </c>
      <c r="G1867" s="950" t="s">
        <v>2295</v>
      </c>
      <c r="H1867" s="950" t="s">
        <v>533</v>
      </c>
      <c r="I1867" s="951" t="s">
        <v>2884</v>
      </c>
      <c r="J1867" s="947" t="s">
        <v>2885</v>
      </c>
      <c r="K1867" s="143"/>
    </row>
    <row r="1868" spans="1:11">
      <c r="A1868" s="946" t="s">
        <v>28612</v>
      </c>
      <c r="B1868" s="947" t="s">
        <v>2897</v>
      </c>
      <c r="C1868" s="948" t="s">
        <v>2895</v>
      </c>
      <c r="D1868" s="242" t="s">
        <v>30097</v>
      </c>
      <c r="E1868" s="949">
        <v>301</v>
      </c>
      <c r="F1868" s="949">
        <v>301</v>
      </c>
      <c r="G1868" s="950" t="s">
        <v>2295</v>
      </c>
      <c r="H1868" s="950" t="s">
        <v>533</v>
      </c>
      <c r="I1868" s="951" t="s">
        <v>2896</v>
      </c>
      <c r="J1868" s="947" t="s">
        <v>2897</v>
      </c>
      <c r="K1868" s="143"/>
    </row>
    <row r="1869" spans="1:11">
      <c r="A1869" s="946" t="s">
        <v>28612</v>
      </c>
      <c r="B1869" s="947" t="s">
        <v>2946</v>
      </c>
      <c r="C1869" s="948" t="s">
        <v>2944</v>
      </c>
      <c r="D1869" s="242" t="s">
        <v>30097</v>
      </c>
      <c r="E1869" s="949">
        <v>301</v>
      </c>
      <c r="F1869" s="949">
        <v>301</v>
      </c>
      <c r="G1869" s="950" t="s">
        <v>2295</v>
      </c>
      <c r="H1869" s="950" t="s">
        <v>533</v>
      </c>
      <c r="I1869" s="951" t="s">
        <v>2945</v>
      </c>
      <c r="J1869" s="947" t="s">
        <v>2946</v>
      </c>
      <c r="K1869" s="143"/>
    </row>
    <row r="1870" spans="1:11">
      <c r="A1870" s="946" t="s">
        <v>28612</v>
      </c>
      <c r="B1870" s="947" t="s">
        <v>2968</v>
      </c>
      <c r="C1870" s="948" t="s">
        <v>2966</v>
      </c>
      <c r="D1870" s="242" t="s">
        <v>30097</v>
      </c>
      <c r="E1870" s="949">
        <v>301</v>
      </c>
      <c r="F1870" s="949">
        <v>301</v>
      </c>
      <c r="G1870" s="950" t="s">
        <v>2295</v>
      </c>
      <c r="H1870" s="950" t="s">
        <v>533</v>
      </c>
      <c r="I1870" s="951" t="s">
        <v>2967</v>
      </c>
      <c r="J1870" s="947" t="s">
        <v>2968</v>
      </c>
      <c r="K1870" s="143"/>
    </row>
    <row r="1871" spans="1:11">
      <c r="A1871" s="946" t="s">
        <v>28612</v>
      </c>
      <c r="B1871" s="947" t="s">
        <v>2986</v>
      </c>
      <c r="C1871" s="948" t="s">
        <v>2984</v>
      </c>
      <c r="D1871" s="242" t="s">
        <v>30097</v>
      </c>
      <c r="E1871" s="949">
        <v>301</v>
      </c>
      <c r="F1871" s="949">
        <v>301</v>
      </c>
      <c r="G1871" s="950" t="s">
        <v>2295</v>
      </c>
      <c r="H1871" s="950" t="s">
        <v>533</v>
      </c>
      <c r="I1871" s="951" t="s">
        <v>2985</v>
      </c>
      <c r="J1871" s="947" t="s">
        <v>2986</v>
      </c>
      <c r="K1871" s="143"/>
    </row>
    <row r="1872" spans="1:11">
      <c r="A1872" s="946" t="s">
        <v>28612</v>
      </c>
      <c r="B1872" s="947" t="s">
        <v>2989</v>
      </c>
      <c r="C1872" s="948" t="s">
        <v>2987</v>
      </c>
      <c r="D1872" s="242" t="s">
        <v>30097</v>
      </c>
      <c r="E1872" s="949">
        <v>301</v>
      </c>
      <c r="F1872" s="949">
        <v>301</v>
      </c>
      <c r="G1872" s="950" t="s">
        <v>2295</v>
      </c>
      <c r="H1872" s="950" t="s">
        <v>533</v>
      </c>
      <c r="I1872" s="951" t="s">
        <v>2988</v>
      </c>
      <c r="J1872" s="947" t="s">
        <v>2989</v>
      </c>
      <c r="K1872" s="143"/>
    </row>
    <row r="1873" spans="1:11">
      <c r="A1873" s="946" t="s">
        <v>28612</v>
      </c>
      <c r="B1873" s="947" t="s">
        <v>3060</v>
      </c>
      <c r="C1873" s="948" t="s">
        <v>3058</v>
      </c>
      <c r="D1873" s="242" t="s">
        <v>30097</v>
      </c>
      <c r="E1873" s="949">
        <v>301</v>
      </c>
      <c r="F1873" s="949">
        <v>301</v>
      </c>
      <c r="G1873" s="950" t="s">
        <v>2295</v>
      </c>
      <c r="H1873" s="950" t="s">
        <v>533</v>
      </c>
      <c r="I1873" s="951" t="s">
        <v>3059</v>
      </c>
      <c r="J1873" s="947" t="s">
        <v>3060</v>
      </c>
      <c r="K1873" s="143"/>
    </row>
    <row r="1874" spans="1:11">
      <c r="A1874" s="946" t="s">
        <v>28612</v>
      </c>
      <c r="B1874" s="947" t="s">
        <v>3145</v>
      </c>
      <c r="C1874" s="948" t="s">
        <v>3143</v>
      </c>
      <c r="D1874" s="242" t="s">
        <v>30097</v>
      </c>
      <c r="E1874" s="949">
        <v>301</v>
      </c>
      <c r="F1874" s="949">
        <v>301</v>
      </c>
      <c r="G1874" s="950" t="s">
        <v>2295</v>
      </c>
      <c r="H1874" s="950" t="s">
        <v>533</v>
      </c>
      <c r="I1874" s="951" t="s">
        <v>3144</v>
      </c>
      <c r="J1874" s="947" t="s">
        <v>3145</v>
      </c>
      <c r="K1874" s="143"/>
    </row>
    <row r="1875" spans="1:11">
      <c r="A1875" s="946" t="s">
        <v>28612</v>
      </c>
      <c r="B1875" s="947" t="s">
        <v>3158</v>
      </c>
      <c r="C1875" s="948" t="s">
        <v>3156</v>
      </c>
      <c r="D1875" s="242" t="s">
        <v>30097</v>
      </c>
      <c r="E1875" s="949">
        <v>301</v>
      </c>
      <c r="F1875" s="949">
        <v>301</v>
      </c>
      <c r="G1875" s="950" t="s">
        <v>2295</v>
      </c>
      <c r="H1875" s="950" t="s">
        <v>533</v>
      </c>
      <c r="I1875" s="951" t="s">
        <v>3157</v>
      </c>
      <c r="J1875" s="947" t="s">
        <v>3158</v>
      </c>
      <c r="K1875" s="143"/>
    </row>
    <row r="1876" spans="1:11">
      <c r="A1876" s="946" t="s">
        <v>28612</v>
      </c>
      <c r="B1876" s="947" t="s">
        <v>3456</v>
      </c>
      <c r="C1876" s="948" t="s">
        <v>3454</v>
      </c>
      <c r="D1876" s="242" t="s">
        <v>30097</v>
      </c>
      <c r="E1876" s="949">
        <v>301</v>
      </c>
      <c r="F1876" s="949">
        <v>301</v>
      </c>
      <c r="G1876" s="950" t="s">
        <v>2295</v>
      </c>
      <c r="H1876" s="950" t="s">
        <v>533</v>
      </c>
      <c r="I1876" s="951" t="s">
        <v>3455</v>
      </c>
      <c r="J1876" s="947" t="s">
        <v>3456</v>
      </c>
      <c r="K1876" s="143"/>
    </row>
    <row r="1877" spans="1:11">
      <c r="A1877" s="946" t="s">
        <v>28612</v>
      </c>
      <c r="B1877" s="947" t="s">
        <v>3462</v>
      </c>
      <c r="C1877" s="948" t="s">
        <v>3460</v>
      </c>
      <c r="D1877" s="242" t="s">
        <v>30097</v>
      </c>
      <c r="E1877" s="949">
        <v>301</v>
      </c>
      <c r="F1877" s="949">
        <v>301</v>
      </c>
      <c r="G1877" s="950" t="s">
        <v>2295</v>
      </c>
      <c r="H1877" s="950" t="s">
        <v>533</v>
      </c>
      <c r="I1877" s="951" t="s">
        <v>3461</v>
      </c>
      <c r="J1877" s="947" t="s">
        <v>3462</v>
      </c>
      <c r="K1877" s="143"/>
    </row>
    <row r="1878" spans="1:11">
      <c r="A1878" s="946" t="s">
        <v>28612</v>
      </c>
      <c r="B1878" s="947" t="s">
        <v>3549</v>
      </c>
      <c r="C1878" s="948" t="s">
        <v>3547</v>
      </c>
      <c r="D1878" s="242" t="s">
        <v>30097</v>
      </c>
      <c r="E1878" s="949">
        <v>301</v>
      </c>
      <c r="F1878" s="949">
        <v>301</v>
      </c>
      <c r="G1878" s="950" t="s">
        <v>2295</v>
      </c>
      <c r="H1878" s="950" t="s">
        <v>533</v>
      </c>
      <c r="I1878" s="951" t="s">
        <v>3548</v>
      </c>
      <c r="J1878" s="947" t="s">
        <v>3549</v>
      </c>
      <c r="K1878" s="143"/>
    </row>
    <row r="1879" spans="1:11">
      <c r="A1879" s="946" t="s">
        <v>28612</v>
      </c>
      <c r="B1879" s="947" t="s">
        <v>3570</v>
      </c>
      <c r="C1879" s="948" t="s">
        <v>3568</v>
      </c>
      <c r="D1879" s="242" t="s">
        <v>30097</v>
      </c>
      <c r="E1879" s="949">
        <v>301</v>
      </c>
      <c r="F1879" s="949">
        <v>301</v>
      </c>
      <c r="G1879" s="950" t="s">
        <v>2295</v>
      </c>
      <c r="H1879" s="950" t="s">
        <v>533</v>
      </c>
      <c r="I1879" s="951" t="s">
        <v>3569</v>
      </c>
      <c r="J1879" s="947" t="s">
        <v>3570</v>
      </c>
      <c r="K1879" s="143"/>
    </row>
    <row r="1880" spans="1:11">
      <c r="A1880" s="946" t="s">
        <v>28612</v>
      </c>
      <c r="B1880" s="947" t="s">
        <v>3629</v>
      </c>
      <c r="C1880" s="948" t="s">
        <v>3627</v>
      </c>
      <c r="D1880" s="242" t="s">
        <v>30097</v>
      </c>
      <c r="E1880" s="949">
        <v>301</v>
      </c>
      <c r="F1880" s="949">
        <v>301</v>
      </c>
      <c r="G1880" s="950" t="s">
        <v>2295</v>
      </c>
      <c r="H1880" s="950" t="s">
        <v>533</v>
      </c>
      <c r="I1880" s="951" t="s">
        <v>3628</v>
      </c>
      <c r="J1880" s="947" t="s">
        <v>3629</v>
      </c>
      <c r="K1880" s="143"/>
    </row>
    <row r="1881" spans="1:11">
      <c r="A1881" s="946" t="s">
        <v>28612</v>
      </c>
      <c r="B1881" s="947" t="s">
        <v>3961</v>
      </c>
      <c r="C1881" s="948" t="s">
        <v>3959</v>
      </c>
      <c r="D1881" s="242" t="s">
        <v>30097</v>
      </c>
      <c r="E1881" s="949">
        <v>301</v>
      </c>
      <c r="F1881" s="949">
        <v>301</v>
      </c>
      <c r="G1881" s="950" t="s">
        <v>2295</v>
      </c>
      <c r="H1881" s="950" t="s">
        <v>533</v>
      </c>
      <c r="I1881" s="951" t="s">
        <v>3960</v>
      </c>
      <c r="J1881" s="947" t="s">
        <v>3961</v>
      </c>
      <c r="K1881" s="143"/>
    </row>
    <row r="1882" spans="1:11">
      <c r="A1882" s="946" t="s">
        <v>28612</v>
      </c>
      <c r="B1882" s="947" t="s">
        <v>4061</v>
      </c>
      <c r="C1882" s="948" t="s">
        <v>4059</v>
      </c>
      <c r="D1882" s="242" t="s">
        <v>30097</v>
      </c>
      <c r="E1882" s="949">
        <v>301</v>
      </c>
      <c r="F1882" s="949">
        <v>301</v>
      </c>
      <c r="G1882" s="950" t="s">
        <v>2295</v>
      </c>
      <c r="H1882" s="950" t="s">
        <v>533</v>
      </c>
      <c r="I1882" s="951" t="s">
        <v>4060</v>
      </c>
      <c r="J1882" s="947" t="s">
        <v>4061</v>
      </c>
      <c r="K1882" s="143"/>
    </row>
    <row r="1883" spans="1:11">
      <c r="A1883" s="946" t="s">
        <v>28612</v>
      </c>
      <c r="B1883" s="947" t="s">
        <v>4157</v>
      </c>
      <c r="C1883" s="948" t="s">
        <v>4155</v>
      </c>
      <c r="D1883" s="242" t="s">
        <v>30097</v>
      </c>
      <c r="E1883" s="949">
        <v>301</v>
      </c>
      <c r="F1883" s="949">
        <v>301</v>
      </c>
      <c r="G1883" s="950" t="s">
        <v>2295</v>
      </c>
      <c r="H1883" s="950" t="s">
        <v>533</v>
      </c>
      <c r="I1883" s="951" t="s">
        <v>4156</v>
      </c>
      <c r="J1883" s="947" t="s">
        <v>4157</v>
      </c>
      <c r="K1883" s="143"/>
    </row>
    <row r="1884" spans="1:11">
      <c r="A1884" s="946" t="s">
        <v>28612</v>
      </c>
      <c r="B1884" s="947" t="s">
        <v>4175</v>
      </c>
      <c r="C1884" s="948" t="s">
        <v>4173</v>
      </c>
      <c r="D1884" s="242" t="s">
        <v>30097</v>
      </c>
      <c r="E1884" s="949">
        <v>301</v>
      </c>
      <c r="F1884" s="949">
        <v>301</v>
      </c>
      <c r="G1884" s="950" t="s">
        <v>2295</v>
      </c>
      <c r="H1884" s="950" t="s">
        <v>533</v>
      </c>
      <c r="I1884" s="951" t="s">
        <v>4174</v>
      </c>
      <c r="J1884" s="947" t="s">
        <v>4175</v>
      </c>
      <c r="K1884" s="143"/>
    </row>
    <row r="1885" spans="1:11">
      <c r="A1885" s="946" t="s">
        <v>28612</v>
      </c>
      <c r="B1885" s="947" t="s">
        <v>4226</v>
      </c>
      <c r="C1885" s="948" t="s">
        <v>4224</v>
      </c>
      <c r="D1885" s="242" t="s">
        <v>30097</v>
      </c>
      <c r="E1885" s="949">
        <v>301</v>
      </c>
      <c r="F1885" s="949">
        <v>301</v>
      </c>
      <c r="G1885" s="950" t="s">
        <v>2295</v>
      </c>
      <c r="H1885" s="950" t="s">
        <v>533</v>
      </c>
      <c r="I1885" s="951" t="s">
        <v>4225</v>
      </c>
      <c r="J1885" s="947" t="s">
        <v>4226</v>
      </c>
      <c r="K1885" s="143"/>
    </row>
    <row r="1886" spans="1:11">
      <c r="A1886" s="946" t="s">
        <v>28612</v>
      </c>
      <c r="B1886" s="947" t="s">
        <v>4369</v>
      </c>
      <c r="C1886" s="948" t="s">
        <v>4367</v>
      </c>
      <c r="D1886" s="242" t="s">
        <v>30097</v>
      </c>
      <c r="E1886" s="949">
        <v>301</v>
      </c>
      <c r="F1886" s="949">
        <v>301</v>
      </c>
      <c r="G1886" s="950" t="s">
        <v>2295</v>
      </c>
      <c r="H1886" s="950" t="s">
        <v>533</v>
      </c>
      <c r="I1886" s="951" t="s">
        <v>4368</v>
      </c>
      <c r="J1886" s="947" t="s">
        <v>4369</v>
      </c>
      <c r="K1886" s="143"/>
    </row>
    <row r="1887" spans="1:11">
      <c r="A1887" s="946" t="s">
        <v>28612</v>
      </c>
      <c r="B1887" s="947" t="s">
        <v>4375</v>
      </c>
      <c r="C1887" s="948" t="s">
        <v>4373</v>
      </c>
      <c r="D1887" s="242" t="s">
        <v>30097</v>
      </c>
      <c r="E1887" s="949">
        <v>301</v>
      </c>
      <c r="F1887" s="949">
        <v>301</v>
      </c>
      <c r="G1887" s="950" t="s">
        <v>2295</v>
      </c>
      <c r="H1887" s="950" t="s">
        <v>533</v>
      </c>
      <c r="I1887" s="951" t="s">
        <v>4374</v>
      </c>
      <c r="J1887" s="947" t="s">
        <v>4375</v>
      </c>
      <c r="K1887" s="143"/>
    </row>
    <row r="1888" spans="1:11">
      <c r="A1888" s="946" t="s">
        <v>28612</v>
      </c>
      <c r="B1888" s="947" t="s">
        <v>4489</v>
      </c>
      <c r="C1888" s="948" t="s">
        <v>4487</v>
      </c>
      <c r="D1888" s="242" t="s">
        <v>30097</v>
      </c>
      <c r="E1888" s="949">
        <v>301</v>
      </c>
      <c r="F1888" s="949">
        <v>301</v>
      </c>
      <c r="G1888" s="950" t="s">
        <v>2295</v>
      </c>
      <c r="H1888" s="950" t="s">
        <v>533</v>
      </c>
      <c r="I1888" s="951" t="s">
        <v>4488</v>
      </c>
      <c r="J1888" s="947" t="s">
        <v>4489</v>
      </c>
      <c r="K1888" s="143"/>
    </row>
    <row r="1889" spans="1:11">
      <c r="A1889" s="946" t="s">
        <v>28612</v>
      </c>
      <c r="B1889" s="947" t="s">
        <v>4721</v>
      </c>
      <c r="C1889" s="948" t="s">
        <v>4719</v>
      </c>
      <c r="D1889" s="242" t="s">
        <v>30097</v>
      </c>
      <c r="E1889" s="949">
        <v>301</v>
      </c>
      <c r="F1889" s="949">
        <v>301</v>
      </c>
      <c r="G1889" s="950" t="s">
        <v>2295</v>
      </c>
      <c r="H1889" s="950" t="s">
        <v>533</v>
      </c>
      <c r="I1889" s="951" t="s">
        <v>4720</v>
      </c>
      <c r="J1889" s="947" t="s">
        <v>4721</v>
      </c>
      <c r="K1889" s="143"/>
    </row>
    <row r="1890" spans="1:11">
      <c r="A1890" s="946" t="s">
        <v>28612</v>
      </c>
      <c r="B1890" s="947" t="s">
        <v>4769</v>
      </c>
      <c r="C1890" s="948" t="s">
        <v>4767</v>
      </c>
      <c r="D1890" s="242" t="s">
        <v>30097</v>
      </c>
      <c r="E1890" s="949">
        <v>301</v>
      </c>
      <c r="F1890" s="949">
        <v>301</v>
      </c>
      <c r="G1890" s="950" t="s">
        <v>2295</v>
      </c>
      <c r="H1890" s="950" t="s">
        <v>533</v>
      </c>
      <c r="I1890" s="951" t="s">
        <v>4768</v>
      </c>
      <c r="J1890" s="947" t="s">
        <v>4769</v>
      </c>
      <c r="K1890" s="143"/>
    </row>
    <row r="1891" spans="1:11">
      <c r="A1891" s="946" t="s">
        <v>28612</v>
      </c>
      <c r="B1891" s="947" t="s">
        <v>4778</v>
      </c>
      <c r="C1891" s="948" t="s">
        <v>4776</v>
      </c>
      <c r="D1891" s="242" t="s">
        <v>30097</v>
      </c>
      <c r="E1891" s="949">
        <v>301</v>
      </c>
      <c r="F1891" s="949">
        <v>301</v>
      </c>
      <c r="G1891" s="950" t="s">
        <v>2295</v>
      </c>
      <c r="H1891" s="950" t="s">
        <v>533</v>
      </c>
      <c r="I1891" s="951" t="s">
        <v>4777</v>
      </c>
      <c r="J1891" s="947" t="s">
        <v>4778</v>
      </c>
      <c r="K1891" s="143"/>
    </row>
    <row r="1892" spans="1:11">
      <c r="A1892" s="946" t="s">
        <v>28612</v>
      </c>
      <c r="B1892" s="947" t="s">
        <v>4844</v>
      </c>
      <c r="C1892" s="948" t="s">
        <v>4842</v>
      </c>
      <c r="D1892" s="242" t="s">
        <v>30097</v>
      </c>
      <c r="E1892" s="949">
        <v>301</v>
      </c>
      <c r="F1892" s="949">
        <v>301</v>
      </c>
      <c r="G1892" s="950" t="s">
        <v>2295</v>
      </c>
      <c r="H1892" s="950" t="s">
        <v>533</v>
      </c>
      <c r="I1892" s="951" t="s">
        <v>4843</v>
      </c>
      <c r="J1892" s="947" t="s">
        <v>4844</v>
      </c>
      <c r="K1892" s="143"/>
    </row>
    <row r="1893" spans="1:11">
      <c r="A1893" s="946" t="s">
        <v>28612</v>
      </c>
      <c r="B1893" s="947" t="s">
        <v>5223</v>
      </c>
      <c r="C1893" s="948" t="s">
        <v>5221</v>
      </c>
      <c r="D1893" s="242" t="s">
        <v>30097</v>
      </c>
      <c r="E1893" s="949">
        <v>301</v>
      </c>
      <c r="F1893" s="949">
        <v>301</v>
      </c>
      <c r="G1893" s="950" t="s">
        <v>2295</v>
      </c>
      <c r="H1893" s="950" t="s">
        <v>533</v>
      </c>
      <c r="I1893" s="951" t="s">
        <v>5222</v>
      </c>
      <c r="J1893" s="947" t="s">
        <v>5223</v>
      </c>
      <c r="K1893" s="143"/>
    </row>
    <row r="1894" spans="1:11">
      <c r="A1894" s="946" t="s">
        <v>28612</v>
      </c>
      <c r="B1894" s="947" t="s">
        <v>5012</v>
      </c>
      <c r="C1894" s="948" t="s">
        <v>5010</v>
      </c>
      <c r="D1894" s="242" t="s">
        <v>30097</v>
      </c>
      <c r="E1894" s="949">
        <v>301</v>
      </c>
      <c r="F1894" s="949">
        <v>301</v>
      </c>
      <c r="G1894" s="950" t="s">
        <v>2295</v>
      </c>
      <c r="H1894" s="950" t="s">
        <v>533</v>
      </c>
      <c r="I1894" s="951" t="s">
        <v>5011</v>
      </c>
      <c r="J1894" s="947" t="s">
        <v>5012</v>
      </c>
      <c r="K1894" s="143"/>
    </row>
    <row r="1895" spans="1:11">
      <c r="A1895" s="946" t="s">
        <v>28612</v>
      </c>
      <c r="B1895" s="947" t="s">
        <v>5551</v>
      </c>
      <c r="C1895" s="948" t="s">
        <v>5549</v>
      </c>
      <c r="D1895" s="242" t="s">
        <v>30097</v>
      </c>
      <c r="E1895" s="949">
        <v>301</v>
      </c>
      <c r="F1895" s="949">
        <v>301</v>
      </c>
      <c r="G1895" s="950" t="s">
        <v>2295</v>
      </c>
      <c r="H1895" s="950" t="s">
        <v>533</v>
      </c>
      <c r="I1895" s="951" t="s">
        <v>5550</v>
      </c>
      <c r="J1895" s="947" t="s">
        <v>5551</v>
      </c>
      <c r="K1895" s="143"/>
    </row>
    <row r="1896" spans="1:11">
      <c r="A1896" s="946" t="s">
        <v>28612</v>
      </c>
      <c r="B1896" s="947" t="s">
        <v>5578</v>
      </c>
      <c r="C1896" s="948" t="s">
        <v>5576</v>
      </c>
      <c r="D1896" s="242" t="s">
        <v>30097</v>
      </c>
      <c r="E1896" s="949">
        <v>301</v>
      </c>
      <c r="F1896" s="949">
        <v>301</v>
      </c>
      <c r="G1896" s="950" t="s">
        <v>2295</v>
      </c>
      <c r="H1896" s="950" t="s">
        <v>533</v>
      </c>
      <c r="I1896" s="951" t="s">
        <v>5577</v>
      </c>
      <c r="J1896" s="947" t="s">
        <v>5578</v>
      </c>
      <c r="K1896" s="143"/>
    </row>
    <row r="1897" spans="1:11">
      <c r="A1897" s="946" t="s">
        <v>28612</v>
      </c>
      <c r="B1897" s="947" t="s">
        <v>5718</v>
      </c>
      <c r="C1897" s="948" t="s">
        <v>5716</v>
      </c>
      <c r="D1897" s="242" t="s">
        <v>30097</v>
      </c>
      <c r="E1897" s="949">
        <v>301</v>
      </c>
      <c r="F1897" s="949">
        <v>301</v>
      </c>
      <c r="G1897" s="950" t="s">
        <v>2295</v>
      </c>
      <c r="H1897" s="950" t="s">
        <v>533</v>
      </c>
      <c r="I1897" s="951" t="s">
        <v>5717</v>
      </c>
      <c r="J1897" s="947" t="s">
        <v>5718</v>
      </c>
      <c r="K1897" s="143"/>
    </row>
    <row r="1898" spans="1:11">
      <c r="A1898" s="946" t="s">
        <v>28612</v>
      </c>
      <c r="B1898" s="947" t="s">
        <v>5748</v>
      </c>
      <c r="C1898" s="948" t="s">
        <v>5746</v>
      </c>
      <c r="D1898" s="242" t="s">
        <v>30097</v>
      </c>
      <c r="E1898" s="949">
        <v>301</v>
      </c>
      <c r="F1898" s="949">
        <v>301</v>
      </c>
      <c r="G1898" s="950" t="s">
        <v>2295</v>
      </c>
      <c r="H1898" s="950" t="s">
        <v>533</v>
      </c>
      <c r="I1898" s="951" t="s">
        <v>5747</v>
      </c>
      <c r="J1898" s="947" t="s">
        <v>5748</v>
      </c>
      <c r="K1898" s="143"/>
    </row>
    <row r="1899" spans="1:11">
      <c r="A1899" s="946" t="s">
        <v>28612</v>
      </c>
      <c r="B1899" s="947" t="s">
        <v>5841</v>
      </c>
      <c r="C1899" s="948" t="s">
        <v>5839</v>
      </c>
      <c r="D1899" s="242" t="s">
        <v>30097</v>
      </c>
      <c r="E1899" s="949">
        <v>301</v>
      </c>
      <c r="F1899" s="949">
        <v>301</v>
      </c>
      <c r="G1899" s="950" t="s">
        <v>2295</v>
      </c>
      <c r="H1899" s="950" t="s">
        <v>533</v>
      </c>
      <c r="I1899" s="951" t="s">
        <v>5840</v>
      </c>
      <c r="J1899" s="947" t="s">
        <v>5841</v>
      </c>
      <c r="K1899" s="143"/>
    </row>
    <row r="1900" spans="1:11">
      <c r="A1900" s="946" t="s">
        <v>28612</v>
      </c>
      <c r="B1900" s="947" t="s">
        <v>5844</v>
      </c>
      <c r="C1900" s="948" t="s">
        <v>5842</v>
      </c>
      <c r="D1900" s="242" t="s">
        <v>30097</v>
      </c>
      <c r="E1900" s="949">
        <v>301</v>
      </c>
      <c r="F1900" s="949">
        <v>301</v>
      </c>
      <c r="G1900" s="950" t="s">
        <v>2295</v>
      </c>
      <c r="H1900" s="950" t="s">
        <v>533</v>
      </c>
      <c r="I1900" s="951" t="s">
        <v>5843</v>
      </c>
      <c r="J1900" s="947" t="s">
        <v>5844</v>
      </c>
      <c r="K1900" s="143"/>
    </row>
    <row r="1901" spans="1:11">
      <c r="A1901" s="946" t="s">
        <v>28612</v>
      </c>
      <c r="B1901" s="947" t="s">
        <v>5850</v>
      </c>
      <c r="C1901" s="948" t="s">
        <v>5848</v>
      </c>
      <c r="D1901" s="242" t="s">
        <v>30097</v>
      </c>
      <c r="E1901" s="949">
        <v>301</v>
      </c>
      <c r="F1901" s="949">
        <v>301</v>
      </c>
      <c r="G1901" s="950" t="s">
        <v>2295</v>
      </c>
      <c r="H1901" s="950" t="s">
        <v>533</v>
      </c>
      <c r="I1901" s="951" t="s">
        <v>5849</v>
      </c>
      <c r="J1901" s="947" t="s">
        <v>5850</v>
      </c>
      <c r="K1901" s="143"/>
    </row>
    <row r="1902" spans="1:11">
      <c r="A1902" s="946" t="s">
        <v>28612</v>
      </c>
      <c r="B1902" s="947" t="s">
        <v>5953</v>
      </c>
      <c r="C1902" s="948" t="s">
        <v>5951</v>
      </c>
      <c r="D1902" s="242" t="s">
        <v>30097</v>
      </c>
      <c r="E1902" s="949">
        <v>301</v>
      </c>
      <c r="F1902" s="949">
        <v>301</v>
      </c>
      <c r="G1902" s="950" t="s">
        <v>2295</v>
      </c>
      <c r="H1902" s="950" t="s">
        <v>533</v>
      </c>
      <c r="I1902" s="951" t="s">
        <v>5952</v>
      </c>
      <c r="J1902" s="947" t="s">
        <v>5953</v>
      </c>
      <c r="K1902" s="143"/>
    </row>
    <row r="1903" spans="1:11">
      <c r="A1903" s="946" t="s">
        <v>28612</v>
      </c>
      <c r="B1903" s="947" t="s">
        <v>6271</v>
      </c>
      <c r="C1903" s="948" t="s">
        <v>6269</v>
      </c>
      <c r="D1903" s="242" t="s">
        <v>30097</v>
      </c>
      <c r="E1903" s="949">
        <v>301</v>
      </c>
      <c r="F1903" s="949">
        <v>301</v>
      </c>
      <c r="G1903" s="950" t="s">
        <v>2295</v>
      </c>
      <c r="H1903" s="950" t="s">
        <v>533</v>
      </c>
      <c r="I1903" s="951" t="s">
        <v>6270</v>
      </c>
      <c r="J1903" s="947" t="s">
        <v>6271</v>
      </c>
      <c r="K1903" s="143"/>
    </row>
    <row r="1904" spans="1:11">
      <c r="A1904" s="946" t="s">
        <v>28612</v>
      </c>
      <c r="B1904" s="947" t="s">
        <v>6292</v>
      </c>
      <c r="C1904" s="948" t="s">
        <v>6290</v>
      </c>
      <c r="D1904" s="242" t="s">
        <v>30097</v>
      </c>
      <c r="E1904" s="949">
        <v>301</v>
      </c>
      <c r="F1904" s="949">
        <v>301</v>
      </c>
      <c r="G1904" s="950" t="s">
        <v>2295</v>
      </c>
      <c r="H1904" s="950" t="s">
        <v>533</v>
      </c>
      <c r="I1904" s="951" t="s">
        <v>6291</v>
      </c>
      <c r="J1904" s="947" t="s">
        <v>6292</v>
      </c>
      <c r="K1904" s="143"/>
    </row>
    <row r="1905" spans="1:11">
      <c r="A1905" s="946" t="s">
        <v>28612</v>
      </c>
      <c r="B1905" s="947" t="s">
        <v>6471</v>
      </c>
      <c r="C1905" s="948" t="s">
        <v>6469</v>
      </c>
      <c r="D1905" s="242" t="s">
        <v>30097</v>
      </c>
      <c r="E1905" s="949">
        <v>301</v>
      </c>
      <c r="F1905" s="949">
        <v>301</v>
      </c>
      <c r="G1905" s="950" t="s">
        <v>2295</v>
      </c>
      <c r="H1905" s="950" t="s">
        <v>533</v>
      </c>
      <c r="I1905" s="951" t="s">
        <v>6470</v>
      </c>
      <c r="J1905" s="947" t="s">
        <v>6471</v>
      </c>
      <c r="K1905" s="143"/>
    </row>
    <row r="1906" spans="1:11">
      <c r="A1906" s="946" t="s">
        <v>28612</v>
      </c>
      <c r="B1906" s="947" t="s">
        <v>6477</v>
      </c>
      <c r="C1906" s="948" t="s">
        <v>6475</v>
      </c>
      <c r="D1906" s="242" t="s">
        <v>30097</v>
      </c>
      <c r="E1906" s="949">
        <v>301</v>
      </c>
      <c r="F1906" s="949">
        <v>301</v>
      </c>
      <c r="G1906" s="950" t="s">
        <v>2295</v>
      </c>
      <c r="H1906" s="950" t="s">
        <v>533</v>
      </c>
      <c r="I1906" s="951" t="s">
        <v>6476</v>
      </c>
      <c r="J1906" s="947" t="s">
        <v>6477</v>
      </c>
      <c r="K1906" s="143"/>
    </row>
    <row r="1907" spans="1:11">
      <c r="A1907" s="946" t="s">
        <v>28612</v>
      </c>
      <c r="B1907" s="947" t="s">
        <v>6543</v>
      </c>
      <c r="C1907" s="948" t="s">
        <v>6541</v>
      </c>
      <c r="D1907" s="242" t="s">
        <v>30097</v>
      </c>
      <c r="E1907" s="949">
        <v>301</v>
      </c>
      <c r="F1907" s="949">
        <v>301</v>
      </c>
      <c r="G1907" s="950" t="s">
        <v>2295</v>
      </c>
      <c r="H1907" s="950" t="s">
        <v>533</v>
      </c>
      <c r="I1907" s="951" t="s">
        <v>6542</v>
      </c>
      <c r="J1907" s="947" t="s">
        <v>6543</v>
      </c>
      <c r="K1907" s="143"/>
    </row>
    <row r="1908" spans="1:11">
      <c r="A1908" s="946" t="s">
        <v>28612</v>
      </c>
      <c r="B1908" s="947" t="s">
        <v>6633</v>
      </c>
      <c r="C1908" s="948" t="s">
        <v>6631</v>
      </c>
      <c r="D1908" s="242" t="s">
        <v>30097</v>
      </c>
      <c r="E1908" s="949">
        <v>301</v>
      </c>
      <c r="F1908" s="949">
        <v>301</v>
      </c>
      <c r="G1908" s="950" t="s">
        <v>2295</v>
      </c>
      <c r="H1908" s="950" t="s">
        <v>533</v>
      </c>
      <c r="I1908" s="951" t="s">
        <v>6632</v>
      </c>
      <c r="J1908" s="947" t="s">
        <v>6633</v>
      </c>
      <c r="K1908" s="143"/>
    </row>
    <row r="1909" spans="1:11">
      <c r="A1909" s="946" t="s">
        <v>28612</v>
      </c>
      <c r="B1909" s="947" t="s">
        <v>6697</v>
      </c>
      <c r="C1909" s="948" t="s">
        <v>6695</v>
      </c>
      <c r="D1909" s="242" t="s">
        <v>30097</v>
      </c>
      <c r="E1909" s="949">
        <v>301</v>
      </c>
      <c r="F1909" s="949">
        <v>301</v>
      </c>
      <c r="G1909" s="950" t="s">
        <v>2295</v>
      </c>
      <c r="H1909" s="950" t="s">
        <v>533</v>
      </c>
      <c r="I1909" s="951" t="s">
        <v>6696</v>
      </c>
      <c r="J1909" s="947" t="s">
        <v>6697</v>
      </c>
      <c r="K1909" s="143"/>
    </row>
    <row r="1910" spans="1:11">
      <c r="A1910" s="946" t="s">
        <v>28612</v>
      </c>
      <c r="B1910" s="947" t="s">
        <v>6833</v>
      </c>
      <c r="C1910" s="948" t="s">
        <v>6831</v>
      </c>
      <c r="D1910" s="242" t="s">
        <v>30097</v>
      </c>
      <c r="E1910" s="949">
        <v>301</v>
      </c>
      <c r="F1910" s="949">
        <v>301</v>
      </c>
      <c r="G1910" s="950" t="s">
        <v>2295</v>
      </c>
      <c r="H1910" s="950" t="s">
        <v>533</v>
      </c>
      <c r="I1910" s="951" t="s">
        <v>6832</v>
      </c>
      <c r="J1910" s="947" t="s">
        <v>6833</v>
      </c>
      <c r="K1910" s="143"/>
    </row>
    <row r="1911" spans="1:11">
      <c r="A1911" s="946" t="s">
        <v>28612</v>
      </c>
      <c r="B1911" s="947" t="s">
        <v>6863</v>
      </c>
      <c r="C1911" s="948" t="s">
        <v>6861</v>
      </c>
      <c r="D1911" s="242" t="s">
        <v>30097</v>
      </c>
      <c r="E1911" s="949">
        <v>301</v>
      </c>
      <c r="F1911" s="949">
        <v>301</v>
      </c>
      <c r="G1911" s="950" t="s">
        <v>2295</v>
      </c>
      <c r="H1911" s="950" t="s">
        <v>533</v>
      </c>
      <c r="I1911" s="951" t="s">
        <v>6862</v>
      </c>
      <c r="J1911" s="947" t="s">
        <v>6863</v>
      </c>
      <c r="K1911" s="143"/>
    </row>
    <row r="1912" spans="1:11">
      <c r="A1912" s="946" t="s">
        <v>28612</v>
      </c>
      <c r="B1912" s="947" t="s">
        <v>6917</v>
      </c>
      <c r="C1912" s="948" t="s">
        <v>6915</v>
      </c>
      <c r="D1912" s="242" t="s">
        <v>30097</v>
      </c>
      <c r="E1912" s="949">
        <v>301</v>
      </c>
      <c r="F1912" s="949">
        <v>301</v>
      </c>
      <c r="G1912" s="950" t="s">
        <v>2295</v>
      </c>
      <c r="H1912" s="950" t="s">
        <v>533</v>
      </c>
      <c r="I1912" s="951" t="s">
        <v>6916</v>
      </c>
      <c r="J1912" s="947" t="s">
        <v>6917</v>
      </c>
      <c r="K1912" s="143"/>
    </row>
    <row r="1913" spans="1:11">
      <c r="A1913" s="946" t="s">
        <v>28612</v>
      </c>
      <c r="B1913" s="947" t="s">
        <v>7090</v>
      </c>
      <c r="C1913" s="948" t="s">
        <v>7088</v>
      </c>
      <c r="D1913" s="242" t="s">
        <v>30097</v>
      </c>
      <c r="E1913" s="949">
        <v>301</v>
      </c>
      <c r="F1913" s="949">
        <v>301</v>
      </c>
      <c r="G1913" s="950" t="s">
        <v>2295</v>
      </c>
      <c r="H1913" s="950" t="s">
        <v>533</v>
      </c>
      <c r="I1913" s="951" t="s">
        <v>7089</v>
      </c>
      <c r="J1913" s="947" t="s">
        <v>7090</v>
      </c>
      <c r="K1913" s="143"/>
    </row>
    <row r="1914" spans="1:11">
      <c r="A1914" s="946" t="s">
        <v>28612</v>
      </c>
      <c r="B1914" s="947" t="s">
        <v>7192</v>
      </c>
      <c r="C1914" s="948" t="s">
        <v>7190</v>
      </c>
      <c r="D1914" s="242" t="s">
        <v>30097</v>
      </c>
      <c r="E1914" s="949">
        <v>301</v>
      </c>
      <c r="F1914" s="949">
        <v>301</v>
      </c>
      <c r="G1914" s="950" t="s">
        <v>2295</v>
      </c>
      <c r="H1914" s="950" t="s">
        <v>533</v>
      </c>
      <c r="I1914" s="951" t="s">
        <v>7191</v>
      </c>
      <c r="J1914" s="947" t="s">
        <v>7192</v>
      </c>
      <c r="K1914" s="143"/>
    </row>
    <row r="1915" spans="1:11">
      <c r="A1915" s="946" t="s">
        <v>28612</v>
      </c>
      <c r="B1915" s="947" t="s">
        <v>7258</v>
      </c>
      <c r="C1915" s="948" t="s">
        <v>7256</v>
      </c>
      <c r="D1915" s="242" t="s">
        <v>30097</v>
      </c>
      <c r="E1915" s="949">
        <v>301</v>
      </c>
      <c r="F1915" s="949">
        <v>301</v>
      </c>
      <c r="G1915" s="950" t="s">
        <v>2295</v>
      </c>
      <c r="H1915" s="950" t="s">
        <v>533</v>
      </c>
      <c r="I1915" s="951" t="s">
        <v>7257</v>
      </c>
      <c r="J1915" s="947" t="s">
        <v>7258</v>
      </c>
      <c r="K1915" s="143"/>
    </row>
    <row r="1916" spans="1:11">
      <c r="A1916" s="946" t="s">
        <v>28612</v>
      </c>
      <c r="B1916" s="947" t="s">
        <v>7270</v>
      </c>
      <c r="C1916" s="948" t="s">
        <v>7268</v>
      </c>
      <c r="D1916" s="242" t="s">
        <v>30097</v>
      </c>
      <c r="E1916" s="949">
        <v>301</v>
      </c>
      <c r="F1916" s="949">
        <v>301</v>
      </c>
      <c r="G1916" s="950" t="s">
        <v>2295</v>
      </c>
      <c r="H1916" s="950" t="s">
        <v>533</v>
      </c>
      <c r="I1916" s="951" t="s">
        <v>7269</v>
      </c>
      <c r="J1916" s="947" t="s">
        <v>7270</v>
      </c>
      <c r="K1916" s="143"/>
    </row>
    <row r="1917" spans="1:11">
      <c r="A1917" s="946" t="s">
        <v>28612</v>
      </c>
      <c r="B1917" s="947" t="s">
        <v>7276</v>
      </c>
      <c r="C1917" s="948" t="s">
        <v>7274</v>
      </c>
      <c r="D1917" s="242" t="s">
        <v>30097</v>
      </c>
      <c r="E1917" s="949">
        <v>301</v>
      </c>
      <c r="F1917" s="949">
        <v>301</v>
      </c>
      <c r="G1917" s="950" t="s">
        <v>2295</v>
      </c>
      <c r="H1917" s="950" t="s">
        <v>533</v>
      </c>
      <c r="I1917" s="951" t="s">
        <v>7275</v>
      </c>
      <c r="J1917" s="947" t="s">
        <v>7276</v>
      </c>
      <c r="K1917" s="143"/>
    </row>
    <row r="1918" spans="1:11">
      <c r="A1918" s="946" t="s">
        <v>28612</v>
      </c>
      <c r="B1918" s="947" t="s">
        <v>7309</v>
      </c>
      <c r="C1918" s="948" t="s">
        <v>7307</v>
      </c>
      <c r="D1918" s="242" t="s">
        <v>30097</v>
      </c>
      <c r="E1918" s="949">
        <v>301</v>
      </c>
      <c r="F1918" s="949">
        <v>301</v>
      </c>
      <c r="G1918" s="950" t="s">
        <v>2295</v>
      </c>
      <c r="H1918" s="950" t="s">
        <v>533</v>
      </c>
      <c r="I1918" s="951" t="s">
        <v>7308</v>
      </c>
      <c r="J1918" s="947" t="s">
        <v>7309</v>
      </c>
      <c r="K1918" s="143"/>
    </row>
    <row r="1919" spans="1:11">
      <c r="A1919" s="946" t="s">
        <v>28612</v>
      </c>
      <c r="B1919" s="947" t="s">
        <v>7335</v>
      </c>
      <c r="C1919" s="948" t="s">
        <v>7333</v>
      </c>
      <c r="D1919" s="242" t="s">
        <v>30097</v>
      </c>
      <c r="E1919" s="949">
        <v>301</v>
      </c>
      <c r="F1919" s="949">
        <v>301</v>
      </c>
      <c r="G1919" s="950" t="s">
        <v>2295</v>
      </c>
      <c r="H1919" s="950" t="s">
        <v>533</v>
      </c>
      <c r="I1919" s="951" t="s">
        <v>7334</v>
      </c>
      <c r="J1919" s="947" t="s">
        <v>7335</v>
      </c>
      <c r="K1919" s="143"/>
    </row>
    <row r="1920" spans="1:11">
      <c r="A1920" s="946" t="s">
        <v>28612</v>
      </c>
      <c r="B1920" s="947" t="s">
        <v>7500</v>
      </c>
      <c r="C1920" s="948" t="s">
        <v>7498</v>
      </c>
      <c r="D1920" s="242" t="s">
        <v>30097</v>
      </c>
      <c r="E1920" s="949">
        <v>301</v>
      </c>
      <c r="F1920" s="949">
        <v>301</v>
      </c>
      <c r="G1920" s="950" t="s">
        <v>2295</v>
      </c>
      <c r="H1920" s="950" t="s">
        <v>533</v>
      </c>
      <c r="I1920" s="951" t="s">
        <v>7499</v>
      </c>
      <c r="J1920" s="947" t="s">
        <v>7500</v>
      </c>
      <c r="K1920" s="143"/>
    </row>
    <row r="1921" spans="1:11">
      <c r="A1921" s="946" t="s">
        <v>28612</v>
      </c>
      <c r="B1921" s="947" t="s">
        <v>7528</v>
      </c>
      <c r="C1921" s="948" t="s">
        <v>7526</v>
      </c>
      <c r="D1921" s="242" t="s">
        <v>30097</v>
      </c>
      <c r="E1921" s="949">
        <v>301</v>
      </c>
      <c r="F1921" s="949">
        <v>301</v>
      </c>
      <c r="G1921" s="950" t="s">
        <v>2295</v>
      </c>
      <c r="H1921" s="950" t="s">
        <v>533</v>
      </c>
      <c r="I1921" s="951" t="s">
        <v>7527</v>
      </c>
      <c r="J1921" s="947" t="s">
        <v>7528</v>
      </c>
      <c r="K1921" s="143"/>
    </row>
    <row r="1922" spans="1:11">
      <c r="A1922" s="946" t="s">
        <v>28612</v>
      </c>
      <c r="B1922" s="947" t="s">
        <v>7548</v>
      </c>
      <c r="C1922" s="948" t="s">
        <v>7546</v>
      </c>
      <c r="D1922" s="242" t="s">
        <v>30097</v>
      </c>
      <c r="E1922" s="949">
        <v>301</v>
      </c>
      <c r="F1922" s="949">
        <v>301</v>
      </c>
      <c r="G1922" s="950" t="s">
        <v>2295</v>
      </c>
      <c r="H1922" s="950" t="s">
        <v>533</v>
      </c>
      <c r="I1922" s="951" t="s">
        <v>7547</v>
      </c>
      <c r="J1922" s="947" t="s">
        <v>7548</v>
      </c>
      <c r="K1922" s="143"/>
    </row>
    <row r="1923" spans="1:11">
      <c r="A1923" s="946" t="s">
        <v>28612</v>
      </c>
      <c r="B1923" s="947" t="s">
        <v>7745</v>
      </c>
      <c r="C1923" s="948" t="s">
        <v>7743</v>
      </c>
      <c r="D1923" s="242" t="s">
        <v>30097</v>
      </c>
      <c r="E1923" s="949">
        <v>301</v>
      </c>
      <c r="F1923" s="949">
        <v>301</v>
      </c>
      <c r="G1923" s="950" t="s">
        <v>2295</v>
      </c>
      <c r="H1923" s="950" t="s">
        <v>533</v>
      </c>
      <c r="I1923" s="951" t="s">
        <v>7744</v>
      </c>
      <c r="J1923" s="947" t="s">
        <v>7745</v>
      </c>
      <c r="K1923" s="143"/>
    </row>
    <row r="1924" spans="1:11">
      <c r="A1924" s="946" t="s">
        <v>28612</v>
      </c>
      <c r="B1924" s="947" t="s">
        <v>7845</v>
      </c>
      <c r="C1924" s="948" t="s">
        <v>7843</v>
      </c>
      <c r="D1924" s="242" t="s">
        <v>30097</v>
      </c>
      <c r="E1924" s="949">
        <v>301</v>
      </c>
      <c r="F1924" s="949">
        <v>301</v>
      </c>
      <c r="G1924" s="950" t="s">
        <v>2295</v>
      </c>
      <c r="H1924" s="950" t="s">
        <v>533</v>
      </c>
      <c r="I1924" s="951" t="s">
        <v>7844</v>
      </c>
      <c r="J1924" s="947" t="s">
        <v>7845</v>
      </c>
      <c r="K1924" s="143"/>
    </row>
    <row r="1925" spans="1:11">
      <c r="A1925" s="946" t="s">
        <v>28612</v>
      </c>
      <c r="B1925" s="947" t="s">
        <v>7860</v>
      </c>
      <c r="C1925" s="948" t="s">
        <v>7858</v>
      </c>
      <c r="D1925" s="242" t="s">
        <v>30097</v>
      </c>
      <c r="E1925" s="949">
        <v>301</v>
      </c>
      <c r="F1925" s="949">
        <v>301</v>
      </c>
      <c r="G1925" s="950" t="s">
        <v>2295</v>
      </c>
      <c r="H1925" s="950" t="s">
        <v>533</v>
      </c>
      <c r="I1925" s="951" t="s">
        <v>7859</v>
      </c>
      <c r="J1925" s="947" t="s">
        <v>7860</v>
      </c>
      <c r="K1925" s="143"/>
    </row>
    <row r="1926" spans="1:11">
      <c r="A1926" s="946" t="s">
        <v>28612</v>
      </c>
      <c r="B1926" s="947" t="s">
        <v>8034</v>
      </c>
      <c r="C1926" s="948" t="s">
        <v>8032</v>
      </c>
      <c r="D1926" s="242" t="s">
        <v>30097</v>
      </c>
      <c r="E1926" s="949">
        <v>301</v>
      </c>
      <c r="F1926" s="949">
        <v>301</v>
      </c>
      <c r="G1926" s="950" t="s">
        <v>2295</v>
      </c>
      <c r="H1926" s="950" t="s">
        <v>533</v>
      </c>
      <c r="I1926" s="951" t="s">
        <v>8033</v>
      </c>
      <c r="J1926" s="947" t="s">
        <v>8034</v>
      </c>
      <c r="K1926" s="143"/>
    </row>
    <row r="1927" spans="1:11">
      <c r="A1927" s="946" t="s">
        <v>28612</v>
      </c>
      <c r="B1927" s="947" t="s">
        <v>8043</v>
      </c>
      <c r="C1927" s="948" t="s">
        <v>8041</v>
      </c>
      <c r="D1927" s="242" t="s">
        <v>30097</v>
      </c>
      <c r="E1927" s="949">
        <v>301</v>
      </c>
      <c r="F1927" s="949">
        <v>301</v>
      </c>
      <c r="G1927" s="950" t="s">
        <v>2295</v>
      </c>
      <c r="H1927" s="950" t="s">
        <v>533</v>
      </c>
      <c r="I1927" s="951" t="s">
        <v>8042</v>
      </c>
      <c r="J1927" s="947" t="s">
        <v>8043</v>
      </c>
      <c r="K1927" s="143"/>
    </row>
    <row r="1928" spans="1:11">
      <c r="A1928" s="946" t="s">
        <v>28612</v>
      </c>
      <c r="B1928" s="947" t="s">
        <v>8234</v>
      </c>
      <c r="C1928" s="948" t="s">
        <v>8232</v>
      </c>
      <c r="D1928" s="242" t="s">
        <v>30097</v>
      </c>
      <c r="E1928" s="949">
        <v>301</v>
      </c>
      <c r="F1928" s="949">
        <v>301</v>
      </c>
      <c r="G1928" s="950" t="s">
        <v>2295</v>
      </c>
      <c r="H1928" s="950" t="s">
        <v>533</v>
      </c>
      <c r="I1928" s="951" t="s">
        <v>8233</v>
      </c>
      <c r="J1928" s="947" t="s">
        <v>8234</v>
      </c>
      <c r="K1928" s="143"/>
    </row>
    <row r="1929" spans="1:11">
      <c r="A1929" s="946" t="s">
        <v>28612</v>
      </c>
      <c r="B1929" s="947" t="s">
        <v>8268</v>
      </c>
      <c r="C1929" s="948" t="s">
        <v>8266</v>
      </c>
      <c r="D1929" s="242" t="s">
        <v>30097</v>
      </c>
      <c r="E1929" s="949">
        <v>301</v>
      </c>
      <c r="F1929" s="949">
        <v>301</v>
      </c>
      <c r="G1929" s="950" t="s">
        <v>2295</v>
      </c>
      <c r="H1929" s="950" t="s">
        <v>533</v>
      </c>
      <c r="I1929" s="951" t="s">
        <v>8267</v>
      </c>
      <c r="J1929" s="947" t="s">
        <v>8268</v>
      </c>
      <c r="K1929" s="143"/>
    </row>
    <row r="1930" spans="1:11">
      <c r="A1930" s="946" t="s">
        <v>28612</v>
      </c>
      <c r="B1930" s="947" t="s">
        <v>8274</v>
      </c>
      <c r="C1930" s="948" t="s">
        <v>8272</v>
      </c>
      <c r="D1930" s="242" t="s">
        <v>30097</v>
      </c>
      <c r="E1930" s="949">
        <v>301</v>
      </c>
      <c r="F1930" s="949">
        <v>301</v>
      </c>
      <c r="G1930" s="950" t="s">
        <v>2295</v>
      </c>
      <c r="H1930" s="950" t="s">
        <v>533</v>
      </c>
      <c r="I1930" s="951" t="s">
        <v>8273</v>
      </c>
      <c r="J1930" s="947" t="s">
        <v>8274</v>
      </c>
      <c r="K1930" s="143"/>
    </row>
    <row r="1931" spans="1:11">
      <c r="A1931" s="946" t="s">
        <v>28612</v>
      </c>
      <c r="B1931" s="947" t="s">
        <v>8409</v>
      </c>
      <c r="C1931" s="948" t="s">
        <v>8407</v>
      </c>
      <c r="D1931" s="242" t="s">
        <v>30097</v>
      </c>
      <c r="E1931" s="949">
        <v>301</v>
      </c>
      <c r="F1931" s="949">
        <v>301</v>
      </c>
      <c r="G1931" s="950" t="s">
        <v>2295</v>
      </c>
      <c r="H1931" s="950" t="s">
        <v>533</v>
      </c>
      <c r="I1931" s="951" t="s">
        <v>8408</v>
      </c>
      <c r="J1931" s="947" t="s">
        <v>8409</v>
      </c>
      <c r="K1931" s="143"/>
    </row>
    <row r="1932" spans="1:11">
      <c r="A1932" s="946" t="s">
        <v>28612</v>
      </c>
      <c r="B1932" s="947" t="s">
        <v>8447</v>
      </c>
      <c r="C1932" s="948" t="s">
        <v>8445</v>
      </c>
      <c r="D1932" s="242" t="s">
        <v>30097</v>
      </c>
      <c r="E1932" s="949">
        <v>301</v>
      </c>
      <c r="F1932" s="949">
        <v>301</v>
      </c>
      <c r="G1932" s="950" t="s">
        <v>2295</v>
      </c>
      <c r="H1932" s="950" t="s">
        <v>533</v>
      </c>
      <c r="I1932" s="951" t="s">
        <v>8446</v>
      </c>
      <c r="J1932" s="947" t="s">
        <v>8447</v>
      </c>
      <c r="K1932" s="143"/>
    </row>
    <row r="1933" spans="1:11">
      <c r="A1933" s="946" t="s">
        <v>28612</v>
      </c>
      <c r="B1933" s="947" t="s">
        <v>8456</v>
      </c>
      <c r="C1933" s="948" t="s">
        <v>8454</v>
      </c>
      <c r="D1933" s="242" t="s">
        <v>30097</v>
      </c>
      <c r="E1933" s="949">
        <v>301</v>
      </c>
      <c r="F1933" s="949">
        <v>301</v>
      </c>
      <c r="G1933" s="950" t="s">
        <v>2295</v>
      </c>
      <c r="H1933" s="950" t="s">
        <v>533</v>
      </c>
      <c r="I1933" s="951" t="s">
        <v>8455</v>
      </c>
      <c r="J1933" s="947" t="s">
        <v>8456</v>
      </c>
      <c r="K1933" s="143"/>
    </row>
    <row r="1934" spans="1:11">
      <c r="A1934" s="946" t="s">
        <v>28612</v>
      </c>
      <c r="B1934" s="947" t="s">
        <v>8476</v>
      </c>
      <c r="C1934" s="948" t="s">
        <v>8474</v>
      </c>
      <c r="D1934" s="242" t="s">
        <v>30097</v>
      </c>
      <c r="E1934" s="949">
        <v>301</v>
      </c>
      <c r="F1934" s="949">
        <v>301</v>
      </c>
      <c r="G1934" s="950" t="s">
        <v>2295</v>
      </c>
      <c r="H1934" s="950" t="s">
        <v>533</v>
      </c>
      <c r="I1934" s="951" t="s">
        <v>8475</v>
      </c>
      <c r="J1934" s="947" t="s">
        <v>8476</v>
      </c>
      <c r="K1934" s="143"/>
    </row>
    <row r="1935" spans="1:11">
      <c r="A1935" s="946" t="s">
        <v>28612</v>
      </c>
      <c r="B1935" s="947" t="s">
        <v>8538</v>
      </c>
      <c r="C1935" s="948" t="s">
        <v>8536</v>
      </c>
      <c r="D1935" s="242" t="s">
        <v>30097</v>
      </c>
      <c r="E1935" s="949">
        <v>301</v>
      </c>
      <c r="F1935" s="949">
        <v>301</v>
      </c>
      <c r="G1935" s="950" t="s">
        <v>2295</v>
      </c>
      <c r="H1935" s="950" t="s">
        <v>533</v>
      </c>
      <c r="I1935" s="951" t="s">
        <v>8537</v>
      </c>
      <c r="J1935" s="947" t="s">
        <v>8538</v>
      </c>
      <c r="K1935" s="143"/>
    </row>
    <row r="1936" spans="1:11">
      <c r="A1936" s="946" t="s">
        <v>28612</v>
      </c>
      <c r="B1936" s="947" t="s">
        <v>8750</v>
      </c>
      <c r="C1936" s="948" t="s">
        <v>8748</v>
      </c>
      <c r="D1936" s="242" t="s">
        <v>30097</v>
      </c>
      <c r="E1936" s="949">
        <v>301</v>
      </c>
      <c r="F1936" s="949">
        <v>301</v>
      </c>
      <c r="G1936" s="950" t="s">
        <v>2295</v>
      </c>
      <c r="H1936" s="950" t="s">
        <v>533</v>
      </c>
      <c r="I1936" s="951" t="s">
        <v>8749</v>
      </c>
      <c r="J1936" s="947" t="s">
        <v>8750</v>
      </c>
      <c r="K1936" s="143"/>
    </row>
    <row r="1937" spans="1:11">
      <c r="A1937" s="946" t="s">
        <v>28612</v>
      </c>
      <c r="B1937" s="947" t="s">
        <v>8950</v>
      </c>
      <c r="C1937" s="948" t="s">
        <v>8948</v>
      </c>
      <c r="D1937" s="242" t="s">
        <v>30097</v>
      </c>
      <c r="E1937" s="949">
        <v>301</v>
      </c>
      <c r="F1937" s="949">
        <v>301</v>
      </c>
      <c r="G1937" s="950" t="s">
        <v>2295</v>
      </c>
      <c r="H1937" s="950" t="s">
        <v>533</v>
      </c>
      <c r="I1937" s="951" t="s">
        <v>8949</v>
      </c>
      <c r="J1937" s="947" t="s">
        <v>8950</v>
      </c>
      <c r="K1937" s="143"/>
    </row>
    <row r="1938" spans="1:11">
      <c r="A1938" s="946" t="s">
        <v>28612</v>
      </c>
      <c r="B1938" s="947" t="s">
        <v>8953</v>
      </c>
      <c r="C1938" s="948" t="s">
        <v>8951</v>
      </c>
      <c r="D1938" s="242" t="s">
        <v>30097</v>
      </c>
      <c r="E1938" s="949">
        <v>301</v>
      </c>
      <c r="F1938" s="949">
        <v>301</v>
      </c>
      <c r="G1938" s="950" t="s">
        <v>2295</v>
      </c>
      <c r="H1938" s="950" t="s">
        <v>533</v>
      </c>
      <c r="I1938" s="951" t="s">
        <v>8952</v>
      </c>
      <c r="J1938" s="947" t="s">
        <v>8953</v>
      </c>
      <c r="K1938" s="143"/>
    </row>
    <row r="1939" spans="1:11">
      <c r="A1939" s="946" t="s">
        <v>28612</v>
      </c>
      <c r="B1939" s="947" t="s">
        <v>8956</v>
      </c>
      <c r="C1939" s="948" t="s">
        <v>8954</v>
      </c>
      <c r="D1939" s="242" t="s">
        <v>30097</v>
      </c>
      <c r="E1939" s="949">
        <v>301</v>
      </c>
      <c r="F1939" s="949">
        <v>301</v>
      </c>
      <c r="G1939" s="950" t="s">
        <v>2295</v>
      </c>
      <c r="H1939" s="950" t="s">
        <v>533</v>
      </c>
      <c r="I1939" s="951" t="s">
        <v>8955</v>
      </c>
      <c r="J1939" s="947" t="s">
        <v>8956</v>
      </c>
      <c r="K1939" s="143"/>
    </row>
    <row r="1940" spans="1:11">
      <c r="A1940" s="946" t="s">
        <v>28612</v>
      </c>
      <c r="B1940" s="947" t="s">
        <v>9035</v>
      </c>
      <c r="C1940" s="948" t="s">
        <v>9033</v>
      </c>
      <c r="D1940" s="242" t="s">
        <v>30097</v>
      </c>
      <c r="E1940" s="949">
        <v>301</v>
      </c>
      <c r="F1940" s="949">
        <v>301</v>
      </c>
      <c r="G1940" s="950" t="s">
        <v>2295</v>
      </c>
      <c r="H1940" s="950" t="s">
        <v>533</v>
      </c>
      <c r="I1940" s="951" t="s">
        <v>9034</v>
      </c>
      <c r="J1940" s="947" t="s">
        <v>9035</v>
      </c>
      <c r="K1940" s="143"/>
    </row>
    <row r="1941" spans="1:11">
      <c r="A1941" s="946" t="s">
        <v>28612</v>
      </c>
      <c r="B1941" s="947" t="s">
        <v>9058</v>
      </c>
      <c r="C1941" s="948" t="s">
        <v>9056</v>
      </c>
      <c r="D1941" s="242" t="s">
        <v>30097</v>
      </c>
      <c r="E1941" s="949">
        <v>301</v>
      </c>
      <c r="F1941" s="949">
        <v>301</v>
      </c>
      <c r="G1941" s="950" t="s">
        <v>2295</v>
      </c>
      <c r="H1941" s="950" t="s">
        <v>533</v>
      </c>
      <c r="I1941" s="951" t="s">
        <v>9057</v>
      </c>
      <c r="J1941" s="947" t="s">
        <v>9058</v>
      </c>
      <c r="K1941" s="143"/>
    </row>
    <row r="1942" spans="1:11">
      <c r="A1942" s="946" t="s">
        <v>28612</v>
      </c>
      <c r="B1942" s="947" t="s">
        <v>9164</v>
      </c>
      <c r="C1942" s="948" t="s">
        <v>9162</v>
      </c>
      <c r="D1942" s="242" t="s">
        <v>30097</v>
      </c>
      <c r="E1942" s="949">
        <v>301</v>
      </c>
      <c r="F1942" s="949">
        <v>301</v>
      </c>
      <c r="G1942" s="950" t="s">
        <v>2295</v>
      </c>
      <c r="H1942" s="950" t="s">
        <v>533</v>
      </c>
      <c r="I1942" s="951" t="s">
        <v>9163</v>
      </c>
      <c r="J1942" s="947" t="s">
        <v>9164</v>
      </c>
      <c r="K1942" s="143"/>
    </row>
    <row r="1943" spans="1:11">
      <c r="A1943" s="946" t="s">
        <v>28612</v>
      </c>
      <c r="B1943" s="947" t="s">
        <v>9388</v>
      </c>
      <c r="C1943" s="948" t="s">
        <v>9386</v>
      </c>
      <c r="D1943" s="242" t="s">
        <v>30097</v>
      </c>
      <c r="E1943" s="949">
        <v>301</v>
      </c>
      <c r="F1943" s="949">
        <v>301</v>
      </c>
      <c r="G1943" s="950" t="s">
        <v>2295</v>
      </c>
      <c r="H1943" s="950" t="s">
        <v>533</v>
      </c>
      <c r="I1943" s="951" t="s">
        <v>9387</v>
      </c>
      <c r="J1943" s="947" t="s">
        <v>9388</v>
      </c>
      <c r="K1943" s="143"/>
    </row>
    <row r="1944" spans="1:11">
      <c r="A1944" s="946" t="s">
        <v>28612</v>
      </c>
      <c r="B1944" s="947" t="s">
        <v>9391</v>
      </c>
      <c r="C1944" s="948" t="s">
        <v>9389</v>
      </c>
      <c r="D1944" s="242" t="s">
        <v>30097</v>
      </c>
      <c r="E1944" s="949">
        <v>301</v>
      </c>
      <c r="F1944" s="949">
        <v>301</v>
      </c>
      <c r="G1944" s="950" t="s">
        <v>2295</v>
      </c>
      <c r="H1944" s="950" t="s">
        <v>533</v>
      </c>
      <c r="I1944" s="951" t="s">
        <v>9390</v>
      </c>
      <c r="J1944" s="947" t="s">
        <v>9391</v>
      </c>
      <c r="K1944" s="143"/>
    </row>
    <row r="1945" spans="1:11">
      <c r="A1945" s="946" t="s">
        <v>28612</v>
      </c>
      <c r="B1945" s="947" t="s">
        <v>9395</v>
      </c>
      <c r="C1945" s="948" t="s">
        <v>9393</v>
      </c>
      <c r="D1945" s="242" t="s">
        <v>30097</v>
      </c>
      <c r="E1945" s="949">
        <v>301</v>
      </c>
      <c r="F1945" s="949">
        <v>301</v>
      </c>
      <c r="G1945" s="950" t="s">
        <v>2295</v>
      </c>
      <c r="H1945" s="950" t="s">
        <v>533</v>
      </c>
      <c r="I1945" s="951" t="s">
        <v>9394</v>
      </c>
      <c r="J1945" s="947" t="s">
        <v>9395</v>
      </c>
      <c r="K1945" s="143"/>
    </row>
    <row r="1946" spans="1:11">
      <c r="A1946" s="946" t="s">
        <v>28612</v>
      </c>
      <c r="B1946" s="947" t="s">
        <v>9483</v>
      </c>
      <c r="C1946" s="948" t="s">
        <v>9481</v>
      </c>
      <c r="D1946" s="242" t="s">
        <v>30097</v>
      </c>
      <c r="E1946" s="949">
        <v>301</v>
      </c>
      <c r="F1946" s="949">
        <v>301</v>
      </c>
      <c r="G1946" s="950" t="s">
        <v>2295</v>
      </c>
      <c r="H1946" s="950" t="s">
        <v>533</v>
      </c>
      <c r="I1946" s="951" t="s">
        <v>9482</v>
      </c>
      <c r="J1946" s="947" t="s">
        <v>9483</v>
      </c>
      <c r="K1946" s="143"/>
    </row>
    <row r="1947" spans="1:11">
      <c r="A1947" s="946" t="s">
        <v>28612</v>
      </c>
      <c r="B1947" s="947" t="s">
        <v>9573</v>
      </c>
      <c r="C1947" s="948" t="s">
        <v>9571</v>
      </c>
      <c r="D1947" s="242" t="s">
        <v>30097</v>
      </c>
      <c r="E1947" s="949">
        <v>301</v>
      </c>
      <c r="F1947" s="949">
        <v>301</v>
      </c>
      <c r="G1947" s="950" t="s">
        <v>2295</v>
      </c>
      <c r="H1947" s="950" t="s">
        <v>533</v>
      </c>
      <c r="I1947" s="951" t="s">
        <v>9572</v>
      </c>
      <c r="J1947" s="947" t="s">
        <v>9573</v>
      </c>
      <c r="K1947" s="143"/>
    </row>
    <row r="1948" spans="1:11">
      <c r="A1948" s="946" t="s">
        <v>28612</v>
      </c>
      <c r="B1948" s="947" t="s">
        <v>9579</v>
      </c>
      <c r="C1948" s="948" t="s">
        <v>9577</v>
      </c>
      <c r="D1948" s="242" t="s">
        <v>30097</v>
      </c>
      <c r="E1948" s="949">
        <v>301</v>
      </c>
      <c r="F1948" s="949">
        <v>301</v>
      </c>
      <c r="G1948" s="950" t="s">
        <v>2295</v>
      </c>
      <c r="H1948" s="950" t="s">
        <v>533</v>
      </c>
      <c r="I1948" s="951" t="s">
        <v>9578</v>
      </c>
      <c r="J1948" s="947" t="s">
        <v>9579</v>
      </c>
      <c r="K1948" s="143"/>
    </row>
    <row r="1949" spans="1:11">
      <c r="A1949" s="946" t="s">
        <v>28612</v>
      </c>
      <c r="B1949" s="947" t="s">
        <v>9644</v>
      </c>
      <c r="C1949" s="948" t="s">
        <v>9642</v>
      </c>
      <c r="D1949" s="242" t="s">
        <v>30097</v>
      </c>
      <c r="E1949" s="949">
        <v>301</v>
      </c>
      <c r="F1949" s="949">
        <v>301</v>
      </c>
      <c r="G1949" s="950" t="s">
        <v>2295</v>
      </c>
      <c r="H1949" s="950" t="s">
        <v>533</v>
      </c>
      <c r="I1949" s="951" t="s">
        <v>9643</v>
      </c>
      <c r="J1949" s="947" t="s">
        <v>9644</v>
      </c>
      <c r="K1949" s="143"/>
    </row>
    <row r="1950" spans="1:11">
      <c r="A1950" s="946" t="s">
        <v>28612</v>
      </c>
      <c r="B1950" s="947" t="s">
        <v>9898</v>
      </c>
      <c r="C1950" s="948" t="s">
        <v>9896</v>
      </c>
      <c r="D1950" s="242" t="s">
        <v>30097</v>
      </c>
      <c r="E1950" s="949">
        <v>301</v>
      </c>
      <c r="F1950" s="949">
        <v>301</v>
      </c>
      <c r="G1950" s="950" t="s">
        <v>2295</v>
      </c>
      <c r="H1950" s="950" t="s">
        <v>533</v>
      </c>
      <c r="I1950" s="951" t="s">
        <v>9897</v>
      </c>
      <c r="J1950" s="947" t="s">
        <v>9898</v>
      </c>
      <c r="K1950" s="143"/>
    </row>
    <row r="1951" spans="1:11">
      <c r="A1951" s="946" t="s">
        <v>28612</v>
      </c>
      <c r="B1951" s="947" t="s">
        <v>9940</v>
      </c>
      <c r="C1951" s="948" t="s">
        <v>9938</v>
      </c>
      <c r="D1951" s="242" t="s">
        <v>30097</v>
      </c>
      <c r="E1951" s="949">
        <v>301</v>
      </c>
      <c r="F1951" s="949">
        <v>301</v>
      </c>
      <c r="G1951" s="950" t="s">
        <v>2295</v>
      </c>
      <c r="H1951" s="950" t="s">
        <v>533</v>
      </c>
      <c r="I1951" s="951" t="s">
        <v>9939</v>
      </c>
      <c r="J1951" s="947" t="s">
        <v>9940</v>
      </c>
      <c r="K1951" s="143"/>
    </row>
    <row r="1952" spans="1:11">
      <c r="A1952" s="946" t="s">
        <v>28612</v>
      </c>
      <c r="B1952" s="947" t="s">
        <v>10084</v>
      </c>
      <c r="C1952" s="948" t="s">
        <v>10082</v>
      </c>
      <c r="D1952" s="242" t="s">
        <v>30097</v>
      </c>
      <c r="E1952" s="949">
        <v>301</v>
      </c>
      <c r="F1952" s="949">
        <v>301</v>
      </c>
      <c r="G1952" s="950" t="s">
        <v>2295</v>
      </c>
      <c r="H1952" s="950" t="s">
        <v>533</v>
      </c>
      <c r="I1952" s="951" t="s">
        <v>10083</v>
      </c>
      <c r="J1952" s="947" t="s">
        <v>10084</v>
      </c>
      <c r="K1952" s="143"/>
    </row>
    <row r="1953" spans="1:11">
      <c r="A1953" s="946" t="s">
        <v>28612</v>
      </c>
      <c r="B1953" s="947" t="s">
        <v>10264</v>
      </c>
      <c r="C1953" s="948" t="s">
        <v>10262</v>
      </c>
      <c r="D1953" s="242" t="s">
        <v>30097</v>
      </c>
      <c r="E1953" s="949">
        <v>301</v>
      </c>
      <c r="F1953" s="949">
        <v>301</v>
      </c>
      <c r="G1953" s="950" t="s">
        <v>2295</v>
      </c>
      <c r="H1953" s="950" t="s">
        <v>533</v>
      </c>
      <c r="I1953" s="951" t="s">
        <v>10263</v>
      </c>
      <c r="J1953" s="947" t="s">
        <v>10264</v>
      </c>
      <c r="K1953" s="143"/>
    </row>
    <row r="1954" spans="1:11">
      <c r="A1954" s="946" t="s">
        <v>28612</v>
      </c>
      <c r="B1954" s="947" t="s">
        <v>10294</v>
      </c>
      <c r="C1954" s="948" t="s">
        <v>10292</v>
      </c>
      <c r="D1954" s="242" t="s">
        <v>30097</v>
      </c>
      <c r="E1954" s="949">
        <v>301</v>
      </c>
      <c r="F1954" s="949">
        <v>301</v>
      </c>
      <c r="G1954" s="950" t="s">
        <v>2295</v>
      </c>
      <c r="H1954" s="950" t="s">
        <v>533</v>
      </c>
      <c r="I1954" s="951" t="s">
        <v>10293</v>
      </c>
      <c r="J1954" s="947" t="s">
        <v>10294</v>
      </c>
      <c r="K1954" s="143"/>
    </row>
    <row r="1955" spans="1:11">
      <c r="A1955" s="946" t="s">
        <v>28612</v>
      </c>
      <c r="B1955" s="947" t="s">
        <v>10381</v>
      </c>
      <c r="C1955" s="948" t="s">
        <v>10379</v>
      </c>
      <c r="D1955" s="242" t="s">
        <v>30097</v>
      </c>
      <c r="E1955" s="949">
        <v>301</v>
      </c>
      <c r="F1955" s="949">
        <v>301</v>
      </c>
      <c r="G1955" s="950" t="s">
        <v>2295</v>
      </c>
      <c r="H1955" s="950" t="s">
        <v>533</v>
      </c>
      <c r="I1955" s="951" t="s">
        <v>10380</v>
      </c>
      <c r="J1955" s="947" t="s">
        <v>10381</v>
      </c>
      <c r="K1955" s="143"/>
    </row>
    <row r="1956" spans="1:11">
      <c r="A1956" s="946" t="s">
        <v>28612</v>
      </c>
      <c r="B1956" s="947" t="s">
        <v>10531</v>
      </c>
      <c r="C1956" s="948" t="s">
        <v>10529</v>
      </c>
      <c r="D1956" s="242" t="s">
        <v>30097</v>
      </c>
      <c r="E1956" s="949">
        <v>301</v>
      </c>
      <c r="F1956" s="949">
        <v>301</v>
      </c>
      <c r="G1956" s="950" t="s">
        <v>2295</v>
      </c>
      <c r="H1956" s="950" t="s">
        <v>533</v>
      </c>
      <c r="I1956" s="951" t="s">
        <v>10530</v>
      </c>
      <c r="J1956" s="947" t="s">
        <v>10531</v>
      </c>
      <c r="K1956" s="143"/>
    </row>
    <row r="1957" spans="1:11">
      <c r="A1957" s="946" t="s">
        <v>28612</v>
      </c>
      <c r="B1957" s="947" t="s">
        <v>10661</v>
      </c>
      <c r="C1957" s="948" t="s">
        <v>10659</v>
      </c>
      <c r="D1957" s="242" t="s">
        <v>30097</v>
      </c>
      <c r="E1957" s="949">
        <v>301</v>
      </c>
      <c r="F1957" s="949">
        <v>301</v>
      </c>
      <c r="G1957" s="950" t="s">
        <v>2295</v>
      </c>
      <c r="H1957" s="950" t="s">
        <v>533</v>
      </c>
      <c r="I1957" s="951" t="s">
        <v>10660</v>
      </c>
      <c r="J1957" s="947" t="s">
        <v>10661</v>
      </c>
      <c r="K1957" s="143"/>
    </row>
    <row r="1958" spans="1:11">
      <c r="A1958" s="946" t="s">
        <v>28612</v>
      </c>
      <c r="B1958" s="947" t="s">
        <v>10758</v>
      </c>
      <c r="C1958" s="948" t="s">
        <v>10756</v>
      </c>
      <c r="D1958" s="242" t="s">
        <v>30097</v>
      </c>
      <c r="E1958" s="949">
        <v>301</v>
      </c>
      <c r="F1958" s="949">
        <v>301</v>
      </c>
      <c r="G1958" s="950" t="s">
        <v>2295</v>
      </c>
      <c r="H1958" s="950" t="s">
        <v>533</v>
      </c>
      <c r="I1958" s="951" t="s">
        <v>10757</v>
      </c>
      <c r="J1958" s="947" t="s">
        <v>10758</v>
      </c>
      <c r="K1958" s="143"/>
    </row>
    <row r="1959" spans="1:11">
      <c r="A1959" s="946" t="s">
        <v>28612</v>
      </c>
      <c r="B1959" s="947" t="s">
        <v>10793</v>
      </c>
      <c r="C1959" s="948" t="s">
        <v>10791</v>
      </c>
      <c r="D1959" s="242" t="s">
        <v>30097</v>
      </c>
      <c r="E1959" s="949">
        <v>301</v>
      </c>
      <c r="F1959" s="949">
        <v>301</v>
      </c>
      <c r="G1959" s="950" t="s">
        <v>2295</v>
      </c>
      <c r="H1959" s="950" t="s">
        <v>533</v>
      </c>
      <c r="I1959" s="951" t="s">
        <v>10792</v>
      </c>
      <c r="J1959" s="947" t="s">
        <v>10793</v>
      </c>
      <c r="K1959" s="143"/>
    </row>
    <row r="1960" spans="1:11">
      <c r="A1960" s="946" t="s">
        <v>28612</v>
      </c>
      <c r="B1960" s="947" t="s">
        <v>10847</v>
      </c>
      <c r="C1960" s="948" t="s">
        <v>10845</v>
      </c>
      <c r="D1960" s="242" t="s">
        <v>30097</v>
      </c>
      <c r="E1960" s="949">
        <v>301</v>
      </c>
      <c r="F1960" s="949">
        <v>301</v>
      </c>
      <c r="G1960" s="950" t="s">
        <v>2295</v>
      </c>
      <c r="H1960" s="950" t="s">
        <v>533</v>
      </c>
      <c r="I1960" s="951" t="s">
        <v>10846</v>
      </c>
      <c r="J1960" s="947" t="s">
        <v>10847</v>
      </c>
      <c r="K1960" s="143"/>
    </row>
    <row r="1961" spans="1:11">
      <c r="A1961" s="946" t="s">
        <v>28612</v>
      </c>
      <c r="B1961" s="947" t="s">
        <v>11084</v>
      </c>
      <c r="C1961" s="948" t="s">
        <v>11082</v>
      </c>
      <c r="D1961" s="242" t="s">
        <v>30097</v>
      </c>
      <c r="E1961" s="949">
        <v>301</v>
      </c>
      <c r="F1961" s="949">
        <v>301</v>
      </c>
      <c r="G1961" s="950" t="s">
        <v>2295</v>
      </c>
      <c r="H1961" s="950" t="s">
        <v>533</v>
      </c>
      <c r="I1961" s="951" t="s">
        <v>11083</v>
      </c>
      <c r="J1961" s="947" t="s">
        <v>11084</v>
      </c>
      <c r="K1961" s="143"/>
    </row>
    <row r="1962" spans="1:11">
      <c r="A1962" s="946" t="s">
        <v>28612</v>
      </c>
      <c r="B1962" s="947" t="s">
        <v>11285</v>
      </c>
      <c r="C1962" s="948" t="s">
        <v>11283</v>
      </c>
      <c r="D1962" s="242" t="s">
        <v>30097</v>
      </c>
      <c r="E1962" s="949">
        <v>301</v>
      </c>
      <c r="F1962" s="949">
        <v>301</v>
      </c>
      <c r="G1962" s="950" t="s">
        <v>2295</v>
      </c>
      <c r="H1962" s="950" t="s">
        <v>533</v>
      </c>
      <c r="I1962" s="951" t="s">
        <v>11284</v>
      </c>
      <c r="J1962" s="947" t="s">
        <v>11285</v>
      </c>
      <c r="K1962" s="143"/>
    </row>
    <row r="1963" spans="1:11">
      <c r="A1963" s="946" t="s">
        <v>28612</v>
      </c>
      <c r="B1963" s="947" t="s">
        <v>11718</v>
      </c>
      <c r="C1963" s="948" t="s">
        <v>11716</v>
      </c>
      <c r="D1963" s="242" t="s">
        <v>30097</v>
      </c>
      <c r="E1963" s="949">
        <v>301</v>
      </c>
      <c r="F1963" s="949">
        <v>301</v>
      </c>
      <c r="G1963" s="950" t="s">
        <v>2295</v>
      </c>
      <c r="H1963" s="950" t="s">
        <v>533</v>
      </c>
      <c r="I1963" s="951" t="s">
        <v>11717</v>
      </c>
      <c r="J1963" s="947" t="s">
        <v>11718</v>
      </c>
      <c r="K1963" s="143"/>
    </row>
    <row r="1964" spans="1:11">
      <c r="A1964" s="946" t="s">
        <v>28612</v>
      </c>
      <c r="B1964" s="947" t="s">
        <v>11845</v>
      </c>
      <c r="C1964" s="948" t="s">
        <v>11843</v>
      </c>
      <c r="D1964" s="242" t="s">
        <v>30097</v>
      </c>
      <c r="E1964" s="949">
        <v>301</v>
      </c>
      <c r="F1964" s="949">
        <v>301</v>
      </c>
      <c r="G1964" s="950" t="s">
        <v>2295</v>
      </c>
      <c r="H1964" s="950" t="s">
        <v>533</v>
      </c>
      <c r="I1964" s="951" t="s">
        <v>11844</v>
      </c>
      <c r="J1964" s="947" t="s">
        <v>11845</v>
      </c>
      <c r="K1964" s="143"/>
    </row>
    <row r="1965" spans="1:11">
      <c r="A1965" s="946" t="s">
        <v>28612</v>
      </c>
      <c r="B1965" s="947" t="s">
        <v>11916</v>
      </c>
      <c r="C1965" s="948" t="s">
        <v>11914</v>
      </c>
      <c r="D1965" s="242" t="s">
        <v>30097</v>
      </c>
      <c r="E1965" s="949">
        <v>301</v>
      </c>
      <c r="F1965" s="949">
        <v>301</v>
      </c>
      <c r="G1965" s="950" t="s">
        <v>2295</v>
      </c>
      <c r="H1965" s="950" t="s">
        <v>533</v>
      </c>
      <c r="I1965" s="951" t="s">
        <v>11915</v>
      </c>
      <c r="J1965" s="947" t="s">
        <v>11916</v>
      </c>
      <c r="K1965" s="143"/>
    </row>
    <row r="1966" spans="1:11">
      <c r="A1966" s="946" t="s">
        <v>28612</v>
      </c>
      <c r="B1966" s="947" t="s">
        <v>12030</v>
      </c>
      <c r="C1966" s="948" t="s">
        <v>12028</v>
      </c>
      <c r="D1966" s="242" t="s">
        <v>30097</v>
      </c>
      <c r="E1966" s="949">
        <v>301</v>
      </c>
      <c r="F1966" s="949">
        <v>301</v>
      </c>
      <c r="G1966" s="950" t="s">
        <v>2295</v>
      </c>
      <c r="H1966" s="950" t="s">
        <v>533</v>
      </c>
      <c r="I1966" s="951" t="s">
        <v>12029</v>
      </c>
      <c r="J1966" s="947" t="s">
        <v>12030</v>
      </c>
      <c r="K1966" s="143"/>
    </row>
    <row r="1967" spans="1:11">
      <c r="A1967" s="946" t="s">
        <v>28612</v>
      </c>
      <c r="B1967" s="947" t="s">
        <v>12593</v>
      </c>
      <c r="C1967" s="948" t="s">
        <v>12591</v>
      </c>
      <c r="D1967" s="242" t="s">
        <v>30097</v>
      </c>
      <c r="E1967" s="949">
        <v>301</v>
      </c>
      <c r="F1967" s="949">
        <v>301</v>
      </c>
      <c r="G1967" s="950" t="s">
        <v>2295</v>
      </c>
      <c r="H1967" s="950" t="s">
        <v>533</v>
      </c>
      <c r="I1967" s="951" t="s">
        <v>12592</v>
      </c>
      <c r="J1967" s="947" t="s">
        <v>12593</v>
      </c>
      <c r="K1967" s="143"/>
    </row>
    <row r="1968" spans="1:11">
      <c r="A1968" s="946" t="s">
        <v>28612</v>
      </c>
      <c r="B1968" s="947" t="s">
        <v>12908</v>
      </c>
      <c r="C1968" s="948" t="s">
        <v>12906</v>
      </c>
      <c r="D1968" s="242" t="s">
        <v>30097</v>
      </c>
      <c r="E1968" s="949">
        <v>301</v>
      </c>
      <c r="F1968" s="949">
        <v>301</v>
      </c>
      <c r="G1968" s="950" t="s">
        <v>2295</v>
      </c>
      <c r="H1968" s="950" t="s">
        <v>533</v>
      </c>
      <c r="I1968" s="951" t="s">
        <v>12907</v>
      </c>
      <c r="J1968" s="947" t="s">
        <v>12908</v>
      </c>
      <c r="K1968" s="143"/>
    </row>
    <row r="1969" spans="1:11">
      <c r="A1969" s="946" t="s">
        <v>28612</v>
      </c>
      <c r="B1969" s="947" t="s">
        <v>12962</v>
      </c>
      <c r="C1969" s="948" t="s">
        <v>12960</v>
      </c>
      <c r="D1969" s="242" t="s">
        <v>30097</v>
      </c>
      <c r="E1969" s="949">
        <v>301</v>
      </c>
      <c r="F1969" s="949">
        <v>301</v>
      </c>
      <c r="G1969" s="950" t="s">
        <v>2295</v>
      </c>
      <c r="H1969" s="950" t="s">
        <v>533</v>
      </c>
      <c r="I1969" s="951" t="s">
        <v>12961</v>
      </c>
      <c r="J1969" s="947" t="s">
        <v>12962</v>
      </c>
      <c r="K1969" s="143"/>
    </row>
    <row r="1970" spans="1:11">
      <c r="A1970" s="946" t="s">
        <v>28612</v>
      </c>
      <c r="B1970" s="947" t="s">
        <v>13071</v>
      </c>
      <c r="C1970" s="948" t="s">
        <v>13069</v>
      </c>
      <c r="D1970" s="242" t="s">
        <v>30097</v>
      </c>
      <c r="E1970" s="949">
        <v>301</v>
      </c>
      <c r="F1970" s="949">
        <v>301</v>
      </c>
      <c r="G1970" s="950" t="s">
        <v>2295</v>
      </c>
      <c r="H1970" s="950" t="s">
        <v>533</v>
      </c>
      <c r="I1970" s="951" t="s">
        <v>13070</v>
      </c>
      <c r="J1970" s="947" t="s">
        <v>13071</v>
      </c>
      <c r="K1970" s="143"/>
    </row>
    <row r="1971" spans="1:11">
      <c r="A1971" s="946" t="s">
        <v>28612</v>
      </c>
      <c r="B1971" s="947" t="s">
        <v>13080</v>
      </c>
      <c r="C1971" s="948" t="s">
        <v>13078</v>
      </c>
      <c r="D1971" s="242" t="s">
        <v>30097</v>
      </c>
      <c r="E1971" s="949">
        <v>301</v>
      </c>
      <c r="F1971" s="949">
        <v>301</v>
      </c>
      <c r="G1971" s="950" t="s">
        <v>2295</v>
      </c>
      <c r="H1971" s="950" t="s">
        <v>533</v>
      </c>
      <c r="I1971" s="951" t="s">
        <v>13079</v>
      </c>
      <c r="J1971" s="947" t="s">
        <v>13080</v>
      </c>
      <c r="K1971" s="143"/>
    </row>
    <row r="1972" spans="1:11">
      <c r="A1972" s="946" t="s">
        <v>28612</v>
      </c>
      <c r="B1972" s="947" t="s">
        <v>13204</v>
      </c>
      <c r="C1972" s="948" t="s">
        <v>13202</v>
      </c>
      <c r="D1972" s="242" t="s">
        <v>30097</v>
      </c>
      <c r="E1972" s="949">
        <v>301</v>
      </c>
      <c r="F1972" s="949">
        <v>301</v>
      </c>
      <c r="G1972" s="950" t="s">
        <v>2295</v>
      </c>
      <c r="H1972" s="950" t="s">
        <v>533</v>
      </c>
      <c r="I1972" s="951" t="s">
        <v>13203</v>
      </c>
      <c r="J1972" s="947" t="s">
        <v>13204</v>
      </c>
      <c r="K1972" s="143"/>
    </row>
    <row r="1973" spans="1:11">
      <c r="A1973" s="946" t="s">
        <v>28612</v>
      </c>
      <c r="B1973" s="947" t="s">
        <v>13616</v>
      </c>
      <c r="C1973" s="948" t="s">
        <v>13614</v>
      </c>
      <c r="D1973" s="242" t="s">
        <v>30097</v>
      </c>
      <c r="E1973" s="949">
        <v>301</v>
      </c>
      <c r="F1973" s="949">
        <v>301</v>
      </c>
      <c r="G1973" s="950" t="s">
        <v>2295</v>
      </c>
      <c r="H1973" s="950" t="s">
        <v>533</v>
      </c>
      <c r="I1973" s="951" t="s">
        <v>13615</v>
      </c>
      <c r="J1973" s="947" t="s">
        <v>13616</v>
      </c>
      <c r="K1973" s="143"/>
    </row>
    <row r="1974" spans="1:11">
      <c r="A1974" s="946" t="s">
        <v>28612</v>
      </c>
      <c r="B1974" s="947" t="s">
        <v>13622</v>
      </c>
      <c r="C1974" s="948" t="s">
        <v>13620</v>
      </c>
      <c r="D1974" s="242" t="s">
        <v>30097</v>
      </c>
      <c r="E1974" s="949">
        <v>301</v>
      </c>
      <c r="F1974" s="949">
        <v>301</v>
      </c>
      <c r="G1974" s="950" t="s">
        <v>2295</v>
      </c>
      <c r="H1974" s="950" t="s">
        <v>533</v>
      </c>
      <c r="I1974" s="951" t="s">
        <v>13621</v>
      </c>
      <c r="J1974" s="947" t="s">
        <v>13622</v>
      </c>
      <c r="K1974" s="143"/>
    </row>
    <row r="1975" spans="1:11">
      <c r="A1975" s="946" t="s">
        <v>28612</v>
      </c>
      <c r="B1975" s="947" t="s">
        <v>13625</v>
      </c>
      <c r="C1975" s="948" t="s">
        <v>13623</v>
      </c>
      <c r="D1975" s="242" t="s">
        <v>30097</v>
      </c>
      <c r="E1975" s="949">
        <v>301</v>
      </c>
      <c r="F1975" s="949">
        <v>301</v>
      </c>
      <c r="G1975" s="950" t="s">
        <v>2295</v>
      </c>
      <c r="H1975" s="950" t="s">
        <v>533</v>
      </c>
      <c r="I1975" s="951" t="s">
        <v>13624</v>
      </c>
      <c r="J1975" s="947" t="s">
        <v>13625</v>
      </c>
      <c r="K1975" s="143"/>
    </row>
    <row r="1976" spans="1:11">
      <c r="A1976" s="946" t="s">
        <v>28612</v>
      </c>
      <c r="B1976" s="947" t="s">
        <v>13649</v>
      </c>
      <c r="C1976" s="948" t="s">
        <v>13647</v>
      </c>
      <c r="D1976" s="242" t="s">
        <v>30097</v>
      </c>
      <c r="E1976" s="949">
        <v>301</v>
      </c>
      <c r="F1976" s="949">
        <v>301</v>
      </c>
      <c r="G1976" s="950" t="s">
        <v>2295</v>
      </c>
      <c r="H1976" s="950" t="s">
        <v>533</v>
      </c>
      <c r="I1976" s="951" t="s">
        <v>13648</v>
      </c>
      <c r="J1976" s="947" t="s">
        <v>13649</v>
      </c>
      <c r="K1976" s="143"/>
    </row>
    <row r="1977" spans="1:11">
      <c r="A1977" s="946" t="s">
        <v>28612</v>
      </c>
      <c r="B1977" s="947" t="s">
        <v>13659</v>
      </c>
      <c r="C1977" s="948" t="s">
        <v>13657</v>
      </c>
      <c r="D1977" s="242" t="s">
        <v>30097</v>
      </c>
      <c r="E1977" s="949">
        <v>301</v>
      </c>
      <c r="F1977" s="949">
        <v>301</v>
      </c>
      <c r="G1977" s="950" t="s">
        <v>2295</v>
      </c>
      <c r="H1977" s="950" t="s">
        <v>533</v>
      </c>
      <c r="I1977" s="951" t="s">
        <v>13658</v>
      </c>
      <c r="J1977" s="947" t="s">
        <v>13659</v>
      </c>
      <c r="K1977" s="143"/>
    </row>
    <row r="1978" spans="1:11">
      <c r="A1978" s="946" t="s">
        <v>28612</v>
      </c>
      <c r="B1978" s="947" t="s">
        <v>13721</v>
      </c>
      <c r="C1978" s="948" t="s">
        <v>13719</v>
      </c>
      <c r="D1978" s="242" t="s">
        <v>30097</v>
      </c>
      <c r="E1978" s="949">
        <v>301</v>
      </c>
      <c r="F1978" s="949">
        <v>301</v>
      </c>
      <c r="G1978" s="950" t="s">
        <v>2295</v>
      </c>
      <c r="H1978" s="950" t="s">
        <v>533</v>
      </c>
      <c r="I1978" s="951" t="s">
        <v>13720</v>
      </c>
      <c r="J1978" s="947" t="s">
        <v>13721</v>
      </c>
      <c r="K1978" s="143"/>
    </row>
    <row r="1979" spans="1:11">
      <c r="A1979" s="946" t="s">
        <v>28612</v>
      </c>
      <c r="B1979" s="947" t="s">
        <v>13748</v>
      </c>
      <c r="C1979" s="948" t="s">
        <v>13746</v>
      </c>
      <c r="D1979" s="242" t="s">
        <v>30097</v>
      </c>
      <c r="E1979" s="949">
        <v>301</v>
      </c>
      <c r="F1979" s="949">
        <v>301</v>
      </c>
      <c r="G1979" s="950" t="s">
        <v>2295</v>
      </c>
      <c r="H1979" s="950" t="s">
        <v>533</v>
      </c>
      <c r="I1979" s="951" t="s">
        <v>13747</v>
      </c>
      <c r="J1979" s="947" t="s">
        <v>13748</v>
      </c>
      <c r="K1979" s="143"/>
    </row>
    <row r="1980" spans="1:11">
      <c r="A1980" s="946" t="s">
        <v>28612</v>
      </c>
      <c r="B1980" s="947" t="s">
        <v>13846</v>
      </c>
      <c r="C1980" s="948" t="s">
        <v>13844</v>
      </c>
      <c r="D1980" s="242" t="s">
        <v>30097</v>
      </c>
      <c r="E1980" s="949">
        <v>301</v>
      </c>
      <c r="F1980" s="949">
        <v>301</v>
      </c>
      <c r="G1980" s="950" t="s">
        <v>2295</v>
      </c>
      <c r="H1980" s="950" t="s">
        <v>533</v>
      </c>
      <c r="I1980" s="951" t="s">
        <v>13845</v>
      </c>
      <c r="J1980" s="947" t="s">
        <v>13846</v>
      </c>
      <c r="K1980" s="143"/>
    </row>
    <row r="1981" spans="1:11">
      <c r="A1981" s="946" t="s">
        <v>28612</v>
      </c>
      <c r="B1981" s="947" t="s">
        <v>13849</v>
      </c>
      <c r="C1981" s="948" t="s">
        <v>13847</v>
      </c>
      <c r="D1981" s="242" t="s">
        <v>30097</v>
      </c>
      <c r="E1981" s="949">
        <v>301</v>
      </c>
      <c r="F1981" s="949">
        <v>301</v>
      </c>
      <c r="G1981" s="950" t="s">
        <v>2295</v>
      </c>
      <c r="H1981" s="950" t="s">
        <v>533</v>
      </c>
      <c r="I1981" s="951" t="s">
        <v>13848</v>
      </c>
      <c r="J1981" s="947" t="s">
        <v>13849</v>
      </c>
      <c r="K1981" s="143"/>
    </row>
    <row r="1982" spans="1:11">
      <c r="A1982" s="946" t="s">
        <v>28612</v>
      </c>
      <c r="B1982" s="947" t="s">
        <v>14029</v>
      </c>
      <c r="C1982" s="948" t="s">
        <v>14027</v>
      </c>
      <c r="D1982" s="242" t="s">
        <v>30097</v>
      </c>
      <c r="E1982" s="949">
        <v>301</v>
      </c>
      <c r="F1982" s="949">
        <v>301</v>
      </c>
      <c r="G1982" s="950" t="s">
        <v>2295</v>
      </c>
      <c r="H1982" s="950" t="s">
        <v>533</v>
      </c>
      <c r="I1982" s="951" t="s">
        <v>14028</v>
      </c>
      <c r="J1982" s="947" t="s">
        <v>14029</v>
      </c>
      <c r="K1982" s="143"/>
    </row>
    <row r="1983" spans="1:11">
      <c r="A1983" s="946" t="s">
        <v>28612</v>
      </c>
      <c r="B1983" s="947" t="s">
        <v>14059</v>
      </c>
      <c r="C1983" s="948" t="s">
        <v>14057</v>
      </c>
      <c r="D1983" s="242" t="s">
        <v>30097</v>
      </c>
      <c r="E1983" s="949">
        <v>301</v>
      </c>
      <c r="F1983" s="949">
        <v>301</v>
      </c>
      <c r="G1983" s="950" t="s">
        <v>2295</v>
      </c>
      <c r="H1983" s="950" t="s">
        <v>533</v>
      </c>
      <c r="I1983" s="951" t="s">
        <v>14058</v>
      </c>
      <c r="J1983" s="947" t="s">
        <v>14059</v>
      </c>
      <c r="K1983" s="143"/>
    </row>
    <row r="1984" spans="1:11">
      <c r="A1984" s="946" t="s">
        <v>28612</v>
      </c>
      <c r="B1984" s="947" t="s">
        <v>14084</v>
      </c>
      <c r="C1984" s="948" t="s">
        <v>14082</v>
      </c>
      <c r="D1984" s="242" t="s">
        <v>30097</v>
      </c>
      <c r="E1984" s="949">
        <v>301</v>
      </c>
      <c r="F1984" s="949">
        <v>301</v>
      </c>
      <c r="G1984" s="950" t="s">
        <v>2295</v>
      </c>
      <c r="H1984" s="950" t="s">
        <v>533</v>
      </c>
      <c r="I1984" s="951" t="s">
        <v>14083</v>
      </c>
      <c r="J1984" s="947" t="s">
        <v>14084</v>
      </c>
      <c r="K1984" s="143"/>
    </row>
    <row r="1985" spans="1:11">
      <c r="A1985" s="946" t="s">
        <v>28612</v>
      </c>
      <c r="B1985" s="947" t="s">
        <v>14174</v>
      </c>
      <c r="C1985" s="948" t="s">
        <v>14172</v>
      </c>
      <c r="D1985" s="242" t="s">
        <v>30097</v>
      </c>
      <c r="E1985" s="949">
        <v>301</v>
      </c>
      <c r="F1985" s="949">
        <v>301</v>
      </c>
      <c r="G1985" s="950" t="s">
        <v>2295</v>
      </c>
      <c r="H1985" s="950" t="s">
        <v>533</v>
      </c>
      <c r="I1985" s="951" t="s">
        <v>14173</v>
      </c>
      <c r="J1985" s="947" t="s">
        <v>14174</v>
      </c>
      <c r="K1985" s="143"/>
    </row>
    <row r="1986" spans="1:11">
      <c r="A1986" s="946" t="s">
        <v>28612</v>
      </c>
      <c r="B1986" s="947" t="s">
        <v>14279</v>
      </c>
      <c r="C1986" s="948" t="s">
        <v>14277</v>
      </c>
      <c r="D1986" s="242" t="s">
        <v>30097</v>
      </c>
      <c r="E1986" s="949">
        <v>301</v>
      </c>
      <c r="F1986" s="949">
        <v>301</v>
      </c>
      <c r="G1986" s="950" t="s">
        <v>2295</v>
      </c>
      <c r="H1986" s="950" t="s">
        <v>533</v>
      </c>
      <c r="I1986" s="951" t="s">
        <v>14278</v>
      </c>
      <c r="J1986" s="947" t="s">
        <v>14279</v>
      </c>
      <c r="K1986" s="143"/>
    </row>
    <row r="1987" spans="1:11">
      <c r="A1987" s="946" t="s">
        <v>28612</v>
      </c>
      <c r="B1987" s="947" t="s">
        <v>14291</v>
      </c>
      <c r="C1987" s="948" t="s">
        <v>14289</v>
      </c>
      <c r="D1987" s="242" t="s">
        <v>30097</v>
      </c>
      <c r="E1987" s="949">
        <v>301</v>
      </c>
      <c r="F1987" s="949">
        <v>301</v>
      </c>
      <c r="G1987" s="950" t="s">
        <v>2295</v>
      </c>
      <c r="H1987" s="950" t="s">
        <v>533</v>
      </c>
      <c r="I1987" s="951" t="s">
        <v>14290</v>
      </c>
      <c r="J1987" s="947" t="s">
        <v>14291</v>
      </c>
      <c r="K1987" s="143"/>
    </row>
    <row r="1988" spans="1:11">
      <c r="A1988" s="946" t="s">
        <v>28612</v>
      </c>
      <c r="B1988" s="947" t="s">
        <v>14414</v>
      </c>
      <c r="C1988" s="948" t="s">
        <v>14412</v>
      </c>
      <c r="D1988" s="242" t="s">
        <v>30097</v>
      </c>
      <c r="E1988" s="949">
        <v>301</v>
      </c>
      <c r="F1988" s="949">
        <v>301</v>
      </c>
      <c r="G1988" s="950" t="s">
        <v>2295</v>
      </c>
      <c r="H1988" s="950" t="s">
        <v>533</v>
      </c>
      <c r="I1988" s="951" t="s">
        <v>14413</v>
      </c>
      <c r="J1988" s="947" t="s">
        <v>14414</v>
      </c>
      <c r="K1988" s="143"/>
    </row>
    <row r="1989" spans="1:11">
      <c r="A1989" s="946" t="s">
        <v>28612</v>
      </c>
      <c r="B1989" s="947" t="s">
        <v>14423</v>
      </c>
      <c r="C1989" s="948" t="s">
        <v>14421</v>
      </c>
      <c r="D1989" s="242" t="s">
        <v>30097</v>
      </c>
      <c r="E1989" s="949">
        <v>301</v>
      </c>
      <c r="F1989" s="949">
        <v>301</v>
      </c>
      <c r="G1989" s="950" t="s">
        <v>2295</v>
      </c>
      <c r="H1989" s="950" t="s">
        <v>533</v>
      </c>
      <c r="I1989" s="951" t="s">
        <v>14422</v>
      </c>
      <c r="J1989" s="947" t="s">
        <v>14423</v>
      </c>
      <c r="K1989" s="143"/>
    </row>
    <row r="1990" spans="1:11">
      <c r="A1990" s="946" t="s">
        <v>28612</v>
      </c>
      <c r="B1990" s="947" t="s">
        <v>14749</v>
      </c>
      <c r="C1990" s="948" t="s">
        <v>14747</v>
      </c>
      <c r="D1990" s="242" t="s">
        <v>30097</v>
      </c>
      <c r="E1990" s="949">
        <v>301</v>
      </c>
      <c r="F1990" s="949">
        <v>301</v>
      </c>
      <c r="G1990" s="950" t="s">
        <v>2295</v>
      </c>
      <c r="H1990" s="950" t="s">
        <v>533</v>
      </c>
      <c r="I1990" s="951" t="s">
        <v>14748</v>
      </c>
      <c r="J1990" s="947" t="s">
        <v>14749</v>
      </c>
      <c r="K1990" s="143"/>
    </row>
    <row r="1991" spans="1:11">
      <c r="A1991" s="946" t="s">
        <v>28612</v>
      </c>
      <c r="B1991" s="947" t="s">
        <v>14770</v>
      </c>
      <c r="C1991" s="948" t="s">
        <v>14768</v>
      </c>
      <c r="D1991" s="242" t="s">
        <v>30097</v>
      </c>
      <c r="E1991" s="949">
        <v>301</v>
      </c>
      <c r="F1991" s="949">
        <v>301</v>
      </c>
      <c r="G1991" s="950" t="s">
        <v>2295</v>
      </c>
      <c r="H1991" s="950" t="s">
        <v>533</v>
      </c>
      <c r="I1991" s="951" t="s">
        <v>14769</v>
      </c>
      <c r="J1991" s="947" t="s">
        <v>14770</v>
      </c>
      <c r="K1991" s="143"/>
    </row>
    <row r="1992" spans="1:11">
      <c r="A1992" s="946" t="s">
        <v>28612</v>
      </c>
      <c r="B1992" s="947" t="s">
        <v>14788</v>
      </c>
      <c r="C1992" s="948" t="s">
        <v>14786</v>
      </c>
      <c r="D1992" s="242" t="s">
        <v>30097</v>
      </c>
      <c r="E1992" s="949">
        <v>301</v>
      </c>
      <c r="F1992" s="949">
        <v>301</v>
      </c>
      <c r="G1992" s="950" t="s">
        <v>2295</v>
      </c>
      <c r="H1992" s="950" t="s">
        <v>533</v>
      </c>
      <c r="I1992" s="951" t="s">
        <v>14787</v>
      </c>
      <c r="J1992" s="947" t="s">
        <v>14788</v>
      </c>
      <c r="K1992" s="143"/>
    </row>
    <row r="1993" spans="1:11">
      <c r="A1993" s="946" t="s">
        <v>28612</v>
      </c>
      <c r="B1993" s="947" t="s">
        <v>14791</v>
      </c>
      <c r="C1993" s="948" t="s">
        <v>14789</v>
      </c>
      <c r="D1993" s="242" t="s">
        <v>30097</v>
      </c>
      <c r="E1993" s="949">
        <v>301</v>
      </c>
      <c r="F1993" s="949">
        <v>301</v>
      </c>
      <c r="G1993" s="950" t="s">
        <v>2295</v>
      </c>
      <c r="H1993" s="950" t="s">
        <v>533</v>
      </c>
      <c r="I1993" s="951" t="s">
        <v>14790</v>
      </c>
      <c r="J1993" s="947" t="s">
        <v>14791</v>
      </c>
      <c r="K1993" s="143"/>
    </row>
    <row r="1994" spans="1:11">
      <c r="A1994" s="946" t="s">
        <v>28612</v>
      </c>
      <c r="B1994" s="947" t="s">
        <v>14797</v>
      </c>
      <c r="C1994" s="948" t="s">
        <v>14795</v>
      </c>
      <c r="D1994" s="242" t="s">
        <v>30097</v>
      </c>
      <c r="E1994" s="949">
        <v>301</v>
      </c>
      <c r="F1994" s="949">
        <v>301</v>
      </c>
      <c r="G1994" s="950" t="s">
        <v>2295</v>
      </c>
      <c r="H1994" s="950" t="s">
        <v>533</v>
      </c>
      <c r="I1994" s="951" t="s">
        <v>14796</v>
      </c>
      <c r="J1994" s="947" t="s">
        <v>14797</v>
      </c>
      <c r="K1994" s="143"/>
    </row>
    <row r="1995" spans="1:11">
      <c r="A1995" s="946" t="s">
        <v>28612</v>
      </c>
      <c r="B1995" s="947" t="s">
        <v>15235</v>
      </c>
      <c r="C1995" s="948" t="s">
        <v>15233</v>
      </c>
      <c r="D1995" s="242" t="s">
        <v>30097</v>
      </c>
      <c r="E1995" s="949">
        <v>301</v>
      </c>
      <c r="F1995" s="949">
        <v>301</v>
      </c>
      <c r="G1995" s="950" t="s">
        <v>2295</v>
      </c>
      <c r="H1995" s="950" t="s">
        <v>533</v>
      </c>
      <c r="I1995" s="951" t="s">
        <v>15234</v>
      </c>
      <c r="J1995" s="947" t="s">
        <v>15235</v>
      </c>
      <c r="K1995" s="143"/>
    </row>
    <row r="1996" spans="1:11">
      <c r="A1996" s="946" t="s">
        <v>28612</v>
      </c>
      <c r="B1996" s="947" t="s">
        <v>15403</v>
      </c>
      <c r="C1996" s="948" t="s">
        <v>15401</v>
      </c>
      <c r="D1996" s="242" t="s">
        <v>30097</v>
      </c>
      <c r="E1996" s="949">
        <v>301</v>
      </c>
      <c r="F1996" s="949">
        <v>301</v>
      </c>
      <c r="G1996" s="950" t="s">
        <v>2295</v>
      </c>
      <c r="H1996" s="950" t="s">
        <v>533</v>
      </c>
      <c r="I1996" s="951" t="s">
        <v>15402</v>
      </c>
      <c r="J1996" s="947" t="s">
        <v>15403</v>
      </c>
      <c r="K1996" s="143"/>
    </row>
    <row r="1997" spans="1:11">
      <c r="A1997" s="946" t="s">
        <v>28612</v>
      </c>
      <c r="B1997" s="947" t="s">
        <v>15448</v>
      </c>
      <c r="C1997" s="948" t="s">
        <v>15446</v>
      </c>
      <c r="D1997" s="242" t="s">
        <v>30097</v>
      </c>
      <c r="E1997" s="949">
        <v>301</v>
      </c>
      <c r="F1997" s="949">
        <v>301</v>
      </c>
      <c r="G1997" s="950" t="s">
        <v>2295</v>
      </c>
      <c r="H1997" s="950" t="s">
        <v>533</v>
      </c>
      <c r="I1997" s="951" t="s">
        <v>15447</v>
      </c>
      <c r="J1997" s="947" t="s">
        <v>15448</v>
      </c>
      <c r="K1997" s="143"/>
    </row>
    <row r="1998" spans="1:11">
      <c r="A1998" s="946" t="s">
        <v>28612</v>
      </c>
      <c r="B1998" s="947" t="s">
        <v>15409</v>
      </c>
      <c r="C1998" s="948" t="s">
        <v>15407</v>
      </c>
      <c r="D1998" s="242" t="s">
        <v>30097</v>
      </c>
      <c r="E1998" s="949">
        <v>301</v>
      </c>
      <c r="F1998" s="949">
        <v>301</v>
      </c>
      <c r="G1998" s="950" t="s">
        <v>2295</v>
      </c>
      <c r="H1998" s="950" t="s">
        <v>533</v>
      </c>
      <c r="I1998" s="951" t="s">
        <v>15408</v>
      </c>
      <c r="J1998" s="947" t="s">
        <v>15409</v>
      </c>
      <c r="K1998" s="143"/>
    </row>
    <row r="1999" spans="1:11">
      <c r="A1999" s="946" t="s">
        <v>28612</v>
      </c>
      <c r="B1999" s="947" t="s">
        <v>15466</v>
      </c>
      <c r="C1999" s="948" t="s">
        <v>15464</v>
      </c>
      <c r="D1999" s="242" t="s">
        <v>30097</v>
      </c>
      <c r="E1999" s="949">
        <v>301</v>
      </c>
      <c r="F1999" s="949">
        <v>301</v>
      </c>
      <c r="G1999" s="950" t="s">
        <v>2295</v>
      </c>
      <c r="H1999" s="950" t="s">
        <v>533</v>
      </c>
      <c r="I1999" s="951" t="s">
        <v>15465</v>
      </c>
      <c r="J1999" s="947" t="s">
        <v>15466</v>
      </c>
      <c r="K1999" s="143"/>
    </row>
    <row r="2000" spans="1:11">
      <c r="A2000" s="946" t="s">
        <v>28612</v>
      </c>
      <c r="B2000" s="947" t="s">
        <v>15475</v>
      </c>
      <c r="C2000" s="948" t="s">
        <v>15473</v>
      </c>
      <c r="D2000" s="242" t="s">
        <v>30097</v>
      </c>
      <c r="E2000" s="949">
        <v>301</v>
      </c>
      <c r="F2000" s="949">
        <v>301</v>
      </c>
      <c r="G2000" s="950" t="s">
        <v>2295</v>
      </c>
      <c r="H2000" s="950" t="s">
        <v>533</v>
      </c>
      <c r="I2000" s="951" t="s">
        <v>15474</v>
      </c>
      <c r="J2000" s="947" t="s">
        <v>15475</v>
      </c>
      <c r="K2000" s="143"/>
    </row>
    <row r="2001" spans="1:11">
      <c r="A2001" s="946" t="s">
        <v>28612</v>
      </c>
      <c r="B2001" s="947" t="s">
        <v>15700</v>
      </c>
      <c r="C2001" s="948" t="s">
        <v>15698</v>
      </c>
      <c r="D2001" s="242" t="s">
        <v>30097</v>
      </c>
      <c r="E2001" s="949">
        <v>301</v>
      </c>
      <c r="F2001" s="949">
        <v>301</v>
      </c>
      <c r="G2001" s="950" t="s">
        <v>2295</v>
      </c>
      <c r="H2001" s="950" t="s">
        <v>533</v>
      </c>
      <c r="I2001" s="951" t="s">
        <v>15699</v>
      </c>
      <c r="J2001" s="947" t="s">
        <v>15700</v>
      </c>
      <c r="K2001" s="143"/>
    </row>
    <row r="2002" spans="1:11">
      <c r="A2002" s="946" t="s">
        <v>28612</v>
      </c>
      <c r="B2002" s="947" t="s">
        <v>15806</v>
      </c>
      <c r="C2002" s="948" t="s">
        <v>15804</v>
      </c>
      <c r="D2002" s="242" t="s">
        <v>30097</v>
      </c>
      <c r="E2002" s="949">
        <v>301</v>
      </c>
      <c r="F2002" s="949">
        <v>301</v>
      </c>
      <c r="G2002" s="950" t="s">
        <v>2295</v>
      </c>
      <c r="H2002" s="950" t="s">
        <v>533</v>
      </c>
      <c r="I2002" s="951" t="s">
        <v>15805</v>
      </c>
      <c r="J2002" s="947" t="s">
        <v>15806</v>
      </c>
      <c r="K2002" s="143"/>
    </row>
    <row r="2003" spans="1:11">
      <c r="A2003" s="946" t="s">
        <v>28612</v>
      </c>
      <c r="B2003" s="947" t="s">
        <v>15834</v>
      </c>
      <c r="C2003" s="948" t="s">
        <v>15832</v>
      </c>
      <c r="D2003" s="242" t="s">
        <v>30097</v>
      </c>
      <c r="E2003" s="949">
        <v>301</v>
      </c>
      <c r="F2003" s="949">
        <v>301</v>
      </c>
      <c r="G2003" s="950" t="s">
        <v>2295</v>
      </c>
      <c r="H2003" s="950" t="s">
        <v>533</v>
      </c>
      <c r="I2003" s="951" t="s">
        <v>15833</v>
      </c>
      <c r="J2003" s="947" t="s">
        <v>15834</v>
      </c>
      <c r="K2003" s="143"/>
    </row>
    <row r="2004" spans="1:11">
      <c r="A2004" s="946" t="s">
        <v>28612</v>
      </c>
      <c r="B2004" s="947" t="s">
        <v>15852</v>
      </c>
      <c r="C2004" s="948" t="s">
        <v>15850</v>
      </c>
      <c r="D2004" s="242" t="s">
        <v>30097</v>
      </c>
      <c r="E2004" s="949">
        <v>301</v>
      </c>
      <c r="F2004" s="949">
        <v>301</v>
      </c>
      <c r="G2004" s="950" t="s">
        <v>2295</v>
      </c>
      <c r="H2004" s="950" t="s">
        <v>533</v>
      </c>
      <c r="I2004" s="951" t="s">
        <v>15851</v>
      </c>
      <c r="J2004" s="947" t="s">
        <v>15852</v>
      </c>
      <c r="K2004" s="143"/>
    </row>
    <row r="2005" spans="1:11">
      <c r="A2005" s="946" t="s">
        <v>28612</v>
      </c>
      <c r="B2005" s="947" t="s">
        <v>15934</v>
      </c>
      <c r="C2005" s="948" t="s">
        <v>15932</v>
      </c>
      <c r="D2005" s="242" t="s">
        <v>30097</v>
      </c>
      <c r="E2005" s="949">
        <v>301</v>
      </c>
      <c r="F2005" s="949">
        <v>301</v>
      </c>
      <c r="G2005" s="950" t="s">
        <v>2295</v>
      </c>
      <c r="H2005" s="950" t="s">
        <v>533</v>
      </c>
      <c r="I2005" s="951" t="s">
        <v>15933</v>
      </c>
      <c r="J2005" s="947" t="s">
        <v>15934</v>
      </c>
      <c r="K2005" s="143"/>
    </row>
    <row r="2006" spans="1:11">
      <c r="A2006" s="946" t="s">
        <v>28612</v>
      </c>
      <c r="B2006" s="947" t="s">
        <v>16080</v>
      </c>
      <c r="C2006" s="948" t="s">
        <v>16078</v>
      </c>
      <c r="D2006" s="242" t="s">
        <v>30097</v>
      </c>
      <c r="E2006" s="949">
        <v>301</v>
      </c>
      <c r="F2006" s="949">
        <v>301</v>
      </c>
      <c r="G2006" s="950" t="s">
        <v>2295</v>
      </c>
      <c r="H2006" s="950" t="s">
        <v>533</v>
      </c>
      <c r="I2006" s="951" t="s">
        <v>16079</v>
      </c>
      <c r="J2006" s="947" t="s">
        <v>16080</v>
      </c>
      <c r="K2006" s="143"/>
    </row>
    <row r="2007" spans="1:11">
      <c r="A2007" s="946" t="s">
        <v>28612</v>
      </c>
      <c r="B2007" s="947" t="s">
        <v>16083</v>
      </c>
      <c r="C2007" s="948" t="s">
        <v>16081</v>
      </c>
      <c r="D2007" s="242" t="s">
        <v>30097</v>
      </c>
      <c r="E2007" s="949">
        <v>301</v>
      </c>
      <c r="F2007" s="949">
        <v>301</v>
      </c>
      <c r="G2007" s="950" t="s">
        <v>2295</v>
      </c>
      <c r="H2007" s="950" t="s">
        <v>533</v>
      </c>
      <c r="I2007" s="951" t="s">
        <v>16082</v>
      </c>
      <c r="J2007" s="947" t="s">
        <v>16083</v>
      </c>
      <c r="K2007" s="143"/>
    </row>
    <row r="2008" spans="1:11">
      <c r="A2008" s="946" t="s">
        <v>28612</v>
      </c>
      <c r="B2008" s="947" t="s">
        <v>16387</v>
      </c>
      <c r="C2008" s="948" t="s">
        <v>16385</v>
      </c>
      <c r="D2008" s="242" t="s">
        <v>30097</v>
      </c>
      <c r="E2008" s="949">
        <v>301</v>
      </c>
      <c r="F2008" s="949">
        <v>301</v>
      </c>
      <c r="G2008" s="950" t="s">
        <v>2295</v>
      </c>
      <c r="H2008" s="950" t="s">
        <v>533</v>
      </c>
      <c r="I2008" s="951" t="s">
        <v>16386</v>
      </c>
      <c r="J2008" s="947" t="s">
        <v>16387</v>
      </c>
      <c r="K2008" s="143"/>
    </row>
    <row r="2009" spans="1:11">
      <c r="A2009" s="946" t="s">
        <v>28612</v>
      </c>
      <c r="B2009" s="947" t="s">
        <v>16791</v>
      </c>
      <c r="C2009" s="948" t="s">
        <v>16789</v>
      </c>
      <c r="D2009" s="242" t="s">
        <v>30097</v>
      </c>
      <c r="E2009" s="949">
        <v>301</v>
      </c>
      <c r="F2009" s="949">
        <v>301</v>
      </c>
      <c r="G2009" s="950" t="s">
        <v>2295</v>
      </c>
      <c r="H2009" s="950" t="s">
        <v>533</v>
      </c>
      <c r="I2009" s="951" t="s">
        <v>16790</v>
      </c>
      <c r="J2009" s="947" t="s">
        <v>16791</v>
      </c>
      <c r="K2009" s="143"/>
    </row>
    <row r="2010" spans="1:11">
      <c r="A2010" s="946" t="s">
        <v>28612</v>
      </c>
      <c r="B2010" s="947" t="s">
        <v>16835</v>
      </c>
      <c r="C2010" s="948" t="s">
        <v>16833</v>
      </c>
      <c r="D2010" s="242" t="s">
        <v>30097</v>
      </c>
      <c r="E2010" s="949">
        <v>301</v>
      </c>
      <c r="F2010" s="949">
        <v>301</v>
      </c>
      <c r="G2010" s="950" t="s">
        <v>2295</v>
      </c>
      <c r="H2010" s="950" t="s">
        <v>533</v>
      </c>
      <c r="I2010" s="951" t="s">
        <v>16834</v>
      </c>
      <c r="J2010" s="947" t="s">
        <v>16835</v>
      </c>
      <c r="K2010" s="143"/>
    </row>
    <row r="2011" spans="1:11">
      <c r="A2011" s="946" t="s">
        <v>28612</v>
      </c>
      <c r="B2011" s="947" t="s">
        <v>16895</v>
      </c>
      <c r="C2011" s="948" t="s">
        <v>16893</v>
      </c>
      <c r="D2011" s="242" t="s">
        <v>30097</v>
      </c>
      <c r="E2011" s="949">
        <v>301</v>
      </c>
      <c r="F2011" s="949">
        <v>301</v>
      </c>
      <c r="G2011" s="950" t="s">
        <v>2295</v>
      </c>
      <c r="H2011" s="950" t="s">
        <v>533</v>
      </c>
      <c r="I2011" s="951" t="s">
        <v>16894</v>
      </c>
      <c r="J2011" s="947" t="s">
        <v>16895</v>
      </c>
      <c r="K2011" s="143"/>
    </row>
    <row r="2012" spans="1:11">
      <c r="A2012" s="946" t="s">
        <v>28612</v>
      </c>
      <c r="B2012" s="947" t="s">
        <v>16904</v>
      </c>
      <c r="C2012" s="948" t="s">
        <v>16902</v>
      </c>
      <c r="D2012" s="242" t="s">
        <v>30097</v>
      </c>
      <c r="E2012" s="949">
        <v>301</v>
      </c>
      <c r="F2012" s="949">
        <v>301</v>
      </c>
      <c r="G2012" s="950" t="s">
        <v>2295</v>
      </c>
      <c r="H2012" s="950" t="s">
        <v>533</v>
      </c>
      <c r="I2012" s="951" t="s">
        <v>16903</v>
      </c>
      <c r="J2012" s="947" t="s">
        <v>16904</v>
      </c>
      <c r="K2012" s="143"/>
    </row>
    <row r="2013" spans="1:11">
      <c r="A2013" s="946" t="s">
        <v>28612</v>
      </c>
      <c r="B2013" s="947" t="s">
        <v>16994</v>
      </c>
      <c r="C2013" s="948" t="s">
        <v>16992</v>
      </c>
      <c r="D2013" s="242" t="s">
        <v>30097</v>
      </c>
      <c r="E2013" s="949">
        <v>301</v>
      </c>
      <c r="F2013" s="949">
        <v>301</v>
      </c>
      <c r="G2013" s="950" t="s">
        <v>2295</v>
      </c>
      <c r="H2013" s="950" t="s">
        <v>533</v>
      </c>
      <c r="I2013" s="951" t="s">
        <v>16993</v>
      </c>
      <c r="J2013" s="947" t="s">
        <v>16994</v>
      </c>
      <c r="K2013" s="143"/>
    </row>
    <row r="2014" spans="1:11">
      <c r="A2014" s="946" t="s">
        <v>28612</v>
      </c>
      <c r="B2014" s="947" t="s">
        <v>17063</v>
      </c>
      <c r="C2014" s="948" t="s">
        <v>17061</v>
      </c>
      <c r="D2014" s="242" t="s">
        <v>30097</v>
      </c>
      <c r="E2014" s="949">
        <v>301</v>
      </c>
      <c r="F2014" s="949">
        <v>301</v>
      </c>
      <c r="G2014" s="950" t="s">
        <v>2295</v>
      </c>
      <c r="H2014" s="950" t="s">
        <v>533</v>
      </c>
      <c r="I2014" s="951" t="s">
        <v>17062</v>
      </c>
      <c r="J2014" s="947" t="s">
        <v>17063</v>
      </c>
      <c r="K2014" s="143"/>
    </row>
    <row r="2015" spans="1:11">
      <c r="A2015" s="946" t="s">
        <v>28612</v>
      </c>
      <c r="B2015" s="947" t="s">
        <v>17702</v>
      </c>
      <c r="C2015" s="948" t="s">
        <v>17700</v>
      </c>
      <c r="D2015" s="242" t="s">
        <v>30097</v>
      </c>
      <c r="E2015" s="949">
        <v>301</v>
      </c>
      <c r="F2015" s="949">
        <v>301</v>
      </c>
      <c r="G2015" s="950" t="s">
        <v>2295</v>
      </c>
      <c r="H2015" s="950" t="s">
        <v>533</v>
      </c>
      <c r="I2015" s="951" t="s">
        <v>17701</v>
      </c>
      <c r="J2015" s="947" t="s">
        <v>17702</v>
      </c>
      <c r="K2015" s="143"/>
    </row>
    <row r="2016" spans="1:11">
      <c r="A2016" s="946" t="s">
        <v>28612</v>
      </c>
      <c r="B2016" s="947" t="s">
        <v>18042</v>
      </c>
      <c r="C2016" s="948" t="s">
        <v>18040</v>
      </c>
      <c r="D2016" s="242" t="s">
        <v>30097</v>
      </c>
      <c r="E2016" s="949">
        <v>301</v>
      </c>
      <c r="F2016" s="949">
        <v>301</v>
      </c>
      <c r="G2016" s="950" t="s">
        <v>2295</v>
      </c>
      <c r="H2016" s="950" t="s">
        <v>533</v>
      </c>
      <c r="I2016" s="951" t="s">
        <v>18041</v>
      </c>
      <c r="J2016" s="947" t="s">
        <v>18042</v>
      </c>
      <c r="K2016" s="143"/>
    </row>
    <row r="2017" spans="1:11">
      <c r="A2017" s="946" t="s">
        <v>28612</v>
      </c>
      <c r="B2017" s="947" t="s">
        <v>18054</v>
      </c>
      <c r="C2017" s="948" t="s">
        <v>18052</v>
      </c>
      <c r="D2017" s="242" t="s">
        <v>30097</v>
      </c>
      <c r="E2017" s="949">
        <v>301</v>
      </c>
      <c r="F2017" s="949">
        <v>301</v>
      </c>
      <c r="G2017" s="950" t="s">
        <v>2295</v>
      </c>
      <c r="H2017" s="950" t="s">
        <v>533</v>
      </c>
      <c r="I2017" s="951" t="s">
        <v>18053</v>
      </c>
      <c r="J2017" s="947" t="s">
        <v>18054</v>
      </c>
      <c r="K2017" s="143"/>
    </row>
    <row r="2018" spans="1:11">
      <c r="A2018" s="946" t="s">
        <v>28612</v>
      </c>
      <c r="B2018" s="947" t="s">
        <v>18372</v>
      </c>
      <c r="C2018" s="948" t="s">
        <v>18370</v>
      </c>
      <c r="D2018" s="242" t="s">
        <v>30097</v>
      </c>
      <c r="E2018" s="949">
        <v>301</v>
      </c>
      <c r="F2018" s="949">
        <v>301</v>
      </c>
      <c r="G2018" s="950" t="s">
        <v>2295</v>
      </c>
      <c r="H2018" s="950" t="s">
        <v>533</v>
      </c>
      <c r="I2018" s="951" t="s">
        <v>18371</v>
      </c>
      <c r="J2018" s="947" t="s">
        <v>18372</v>
      </c>
      <c r="K2018" s="143"/>
    </row>
    <row r="2019" spans="1:11">
      <c r="A2019" s="946" t="s">
        <v>28612</v>
      </c>
      <c r="B2019" s="947" t="s">
        <v>18876</v>
      </c>
      <c r="C2019" s="948" t="s">
        <v>18874</v>
      </c>
      <c r="D2019" s="242" t="s">
        <v>30097</v>
      </c>
      <c r="E2019" s="949">
        <v>301</v>
      </c>
      <c r="F2019" s="949">
        <v>301</v>
      </c>
      <c r="G2019" s="950" t="s">
        <v>2295</v>
      </c>
      <c r="H2019" s="950" t="s">
        <v>533</v>
      </c>
      <c r="I2019" s="951" t="s">
        <v>18875</v>
      </c>
      <c r="J2019" s="947" t="s">
        <v>18876</v>
      </c>
      <c r="K2019" s="143"/>
    </row>
    <row r="2020" spans="1:11">
      <c r="A2020" s="946" t="s">
        <v>28612</v>
      </c>
      <c r="B2020" s="947" t="s">
        <v>19048</v>
      </c>
      <c r="C2020" s="948" t="s">
        <v>19046</v>
      </c>
      <c r="D2020" s="242" t="s">
        <v>30097</v>
      </c>
      <c r="E2020" s="949">
        <v>301</v>
      </c>
      <c r="F2020" s="949">
        <v>301</v>
      </c>
      <c r="G2020" s="950" t="s">
        <v>2295</v>
      </c>
      <c r="H2020" s="950" t="s">
        <v>533</v>
      </c>
      <c r="I2020" s="951" t="s">
        <v>19047</v>
      </c>
      <c r="J2020" s="947" t="s">
        <v>19048</v>
      </c>
      <c r="K2020" s="143"/>
    </row>
    <row r="2021" spans="1:11">
      <c r="A2021" s="946" t="s">
        <v>28612</v>
      </c>
      <c r="B2021" s="947" t="s">
        <v>19082</v>
      </c>
      <c r="C2021" s="948" t="s">
        <v>19080</v>
      </c>
      <c r="D2021" s="242" t="s">
        <v>30097</v>
      </c>
      <c r="E2021" s="949">
        <v>301</v>
      </c>
      <c r="F2021" s="949">
        <v>301</v>
      </c>
      <c r="G2021" s="950" t="s">
        <v>2295</v>
      </c>
      <c r="H2021" s="950" t="s">
        <v>533</v>
      </c>
      <c r="I2021" s="951" t="s">
        <v>19081</v>
      </c>
      <c r="J2021" s="947" t="s">
        <v>19082</v>
      </c>
      <c r="K2021" s="143"/>
    </row>
    <row r="2022" spans="1:11">
      <c r="A2022" s="946" t="s">
        <v>28612</v>
      </c>
      <c r="B2022" s="947" t="s">
        <v>19176</v>
      </c>
      <c r="C2022" s="948" t="s">
        <v>19174</v>
      </c>
      <c r="D2022" s="242" t="s">
        <v>30097</v>
      </c>
      <c r="E2022" s="949">
        <v>301</v>
      </c>
      <c r="F2022" s="949">
        <v>301</v>
      </c>
      <c r="G2022" s="950" t="s">
        <v>2295</v>
      </c>
      <c r="H2022" s="950" t="s">
        <v>533</v>
      </c>
      <c r="I2022" s="951" t="s">
        <v>19175</v>
      </c>
      <c r="J2022" s="947" t="s">
        <v>19176</v>
      </c>
      <c r="K2022" s="143"/>
    </row>
    <row r="2023" spans="1:11">
      <c r="A2023" s="946" t="s">
        <v>28612</v>
      </c>
      <c r="B2023" s="947" t="s">
        <v>19227</v>
      </c>
      <c r="C2023" s="948" t="s">
        <v>19225</v>
      </c>
      <c r="D2023" s="242" t="s">
        <v>30097</v>
      </c>
      <c r="E2023" s="949">
        <v>301</v>
      </c>
      <c r="F2023" s="949">
        <v>301</v>
      </c>
      <c r="G2023" s="950" t="s">
        <v>2295</v>
      </c>
      <c r="H2023" s="950" t="s">
        <v>533</v>
      </c>
      <c r="I2023" s="951" t="s">
        <v>19226</v>
      </c>
      <c r="J2023" s="947" t="s">
        <v>19227</v>
      </c>
      <c r="K2023" s="143"/>
    </row>
    <row r="2024" spans="1:11">
      <c r="A2024" s="946" t="s">
        <v>28612</v>
      </c>
      <c r="B2024" s="947" t="s">
        <v>19291</v>
      </c>
      <c r="C2024" s="948" t="s">
        <v>19289</v>
      </c>
      <c r="D2024" s="242" t="s">
        <v>30097</v>
      </c>
      <c r="E2024" s="949">
        <v>301</v>
      </c>
      <c r="F2024" s="949">
        <v>301</v>
      </c>
      <c r="G2024" s="950" t="s">
        <v>2295</v>
      </c>
      <c r="H2024" s="950" t="s">
        <v>533</v>
      </c>
      <c r="I2024" s="951" t="s">
        <v>19290</v>
      </c>
      <c r="J2024" s="947" t="s">
        <v>19291</v>
      </c>
      <c r="K2024" s="143"/>
    </row>
    <row r="2025" spans="1:11">
      <c r="A2025" s="946" t="s">
        <v>28612</v>
      </c>
      <c r="B2025" s="947" t="s">
        <v>19294</v>
      </c>
      <c r="C2025" s="948" t="s">
        <v>19292</v>
      </c>
      <c r="D2025" s="242" t="s">
        <v>30097</v>
      </c>
      <c r="E2025" s="949">
        <v>301</v>
      </c>
      <c r="F2025" s="949">
        <v>301</v>
      </c>
      <c r="G2025" s="950" t="s">
        <v>2295</v>
      </c>
      <c r="H2025" s="950" t="s">
        <v>533</v>
      </c>
      <c r="I2025" s="951" t="s">
        <v>19293</v>
      </c>
      <c r="J2025" s="947" t="s">
        <v>19294</v>
      </c>
      <c r="K2025" s="143"/>
    </row>
    <row r="2026" spans="1:11">
      <c r="A2026" s="946" t="s">
        <v>28612</v>
      </c>
      <c r="B2026" s="947" t="s">
        <v>19675</v>
      </c>
      <c r="C2026" s="948" t="s">
        <v>19673</v>
      </c>
      <c r="D2026" s="242" t="s">
        <v>30097</v>
      </c>
      <c r="E2026" s="949">
        <v>301</v>
      </c>
      <c r="F2026" s="949">
        <v>301</v>
      </c>
      <c r="G2026" s="950" t="s">
        <v>2295</v>
      </c>
      <c r="H2026" s="950" t="s">
        <v>533</v>
      </c>
      <c r="I2026" s="951" t="s">
        <v>19674</v>
      </c>
      <c r="J2026" s="947" t="s">
        <v>19675</v>
      </c>
      <c r="K2026" s="143"/>
    </row>
    <row r="2027" spans="1:11">
      <c r="A2027" s="946" t="s">
        <v>28612</v>
      </c>
      <c r="B2027" s="947" t="s">
        <v>19720</v>
      </c>
      <c r="C2027" s="948" t="s">
        <v>19718</v>
      </c>
      <c r="D2027" s="242" t="s">
        <v>30097</v>
      </c>
      <c r="E2027" s="949">
        <v>301</v>
      </c>
      <c r="F2027" s="949">
        <v>301</v>
      </c>
      <c r="G2027" s="950" t="s">
        <v>2295</v>
      </c>
      <c r="H2027" s="950" t="s">
        <v>533</v>
      </c>
      <c r="I2027" s="951" t="s">
        <v>19719</v>
      </c>
      <c r="J2027" s="947" t="s">
        <v>19720</v>
      </c>
      <c r="K2027" s="143"/>
    </row>
    <row r="2028" spans="1:11">
      <c r="A2028" s="946" t="s">
        <v>28612</v>
      </c>
      <c r="B2028" s="947" t="s">
        <v>19775</v>
      </c>
      <c r="C2028" s="948" t="s">
        <v>19773</v>
      </c>
      <c r="D2028" s="242" t="s">
        <v>30097</v>
      </c>
      <c r="E2028" s="949">
        <v>301</v>
      </c>
      <c r="F2028" s="949">
        <v>301</v>
      </c>
      <c r="G2028" s="950" t="s">
        <v>2295</v>
      </c>
      <c r="H2028" s="950" t="s">
        <v>533</v>
      </c>
      <c r="I2028" s="951" t="s">
        <v>19774</v>
      </c>
      <c r="J2028" s="947" t="s">
        <v>19775</v>
      </c>
      <c r="K2028" s="143"/>
    </row>
    <row r="2029" spans="1:11">
      <c r="A2029" s="946" t="s">
        <v>28612</v>
      </c>
      <c r="B2029" s="947" t="s">
        <v>19803</v>
      </c>
      <c r="C2029" s="948" t="s">
        <v>19801</v>
      </c>
      <c r="D2029" s="242" t="s">
        <v>30097</v>
      </c>
      <c r="E2029" s="949">
        <v>301</v>
      </c>
      <c r="F2029" s="949">
        <v>301</v>
      </c>
      <c r="G2029" s="950" t="s">
        <v>2295</v>
      </c>
      <c r="H2029" s="950" t="s">
        <v>533</v>
      </c>
      <c r="I2029" s="951" t="s">
        <v>19802</v>
      </c>
      <c r="J2029" s="947" t="s">
        <v>19803</v>
      </c>
      <c r="K2029" s="143"/>
    </row>
    <row r="2030" spans="1:11">
      <c r="A2030" s="946" t="s">
        <v>28612</v>
      </c>
      <c r="B2030" s="947" t="s">
        <v>19812</v>
      </c>
      <c r="C2030" s="948" t="s">
        <v>19810</v>
      </c>
      <c r="D2030" s="242" t="s">
        <v>30097</v>
      </c>
      <c r="E2030" s="949">
        <v>301</v>
      </c>
      <c r="F2030" s="949">
        <v>301</v>
      </c>
      <c r="G2030" s="950" t="s">
        <v>2295</v>
      </c>
      <c r="H2030" s="950" t="s">
        <v>533</v>
      </c>
      <c r="I2030" s="951" t="s">
        <v>19811</v>
      </c>
      <c r="J2030" s="947" t="s">
        <v>19812</v>
      </c>
      <c r="K2030" s="143"/>
    </row>
    <row r="2031" spans="1:11">
      <c r="A2031" s="946" t="s">
        <v>28612</v>
      </c>
      <c r="B2031" s="947" t="s">
        <v>19912</v>
      </c>
      <c r="C2031" s="948" t="s">
        <v>19910</v>
      </c>
      <c r="D2031" s="242" t="s">
        <v>30097</v>
      </c>
      <c r="E2031" s="949">
        <v>301</v>
      </c>
      <c r="F2031" s="949">
        <v>301</v>
      </c>
      <c r="G2031" s="950" t="s">
        <v>2295</v>
      </c>
      <c r="H2031" s="950" t="s">
        <v>533</v>
      </c>
      <c r="I2031" s="951" t="s">
        <v>19911</v>
      </c>
      <c r="J2031" s="947" t="s">
        <v>19912</v>
      </c>
      <c r="K2031" s="143"/>
    </row>
    <row r="2032" spans="1:11">
      <c r="A2032" s="946" t="s">
        <v>28612</v>
      </c>
      <c r="B2032" s="947" t="s">
        <v>19918</v>
      </c>
      <c r="C2032" s="948" t="s">
        <v>19916</v>
      </c>
      <c r="D2032" s="242" t="s">
        <v>30097</v>
      </c>
      <c r="E2032" s="949">
        <v>301</v>
      </c>
      <c r="F2032" s="949">
        <v>301</v>
      </c>
      <c r="G2032" s="950" t="s">
        <v>2295</v>
      </c>
      <c r="H2032" s="950" t="s">
        <v>533</v>
      </c>
      <c r="I2032" s="951" t="s">
        <v>19917</v>
      </c>
      <c r="J2032" s="947" t="s">
        <v>19918</v>
      </c>
      <c r="K2032" s="143"/>
    </row>
    <row r="2033" spans="1:11">
      <c r="A2033" s="946" t="s">
        <v>28612</v>
      </c>
      <c r="B2033" s="947" t="s">
        <v>19999</v>
      </c>
      <c r="C2033" s="948" t="s">
        <v>19997</v>
      </c>
      <c r="D2033" s="242" t="s">
        <v>30097</v>
      </c>
      <c r="E2033" s="949">
        <v>301</v>
      </c>
      <c r="F2033" s="949">
        <v>301</v>
      </c>
      <c r="G2033" s="950" t="s">
        <v>2295</v>
      </c>
      <c r="H2033" s="950" t="s">
        <v>533</v>
      </c>
      <c r="I2033" s="951" t="s">
        <v>19998</v>
      </c>
      <c r="J2033" s="947" t="s">
        <v>19999</v>
      </c>
      <c r="K2033" s="143"/>
    </row>
    <row r="2034" spans="1:11">
      <c r="A2034" s="946" t="s">
        <v>28612</v>
      </c>
      <c r="B2034" s="947" t="s">
        <v>20074</v>
      </c>
      <c r="C2034" s="948" t="s">
        <v>20072</v>
      </c>
      <c r="D2034" s="242" t="s">
        <v>30097</v>
      </c>
      <c r="E2034" s="949">
        <v>301</v>
      </c>
      <c r="F2034" s="949">
        <v>301</v>
      </c>
      <c r="G2034" s="950" t="s">
        <v>2295</v>
      </c>
      <c r="H2034" s="950" t="s">
        <v>533</v>
      </c>
      <c r="I2034" s="951" t="s">
        <v>20073</v>
      </c>
      <c r="J2034" s="947" t="s">
        <v>20074</v>
      </c>
      <c r="K2034" s="143"/>
    </row>
    <row r="2035" spans="1:11">
      <c r="A2035" s="946" t="s">
        <v>28612</v>
      </c>
      <c r="B2035" s="947" t="s">
        <v>20099</v>
      </c>
      <c r="C2035" s="948" t="s">
        <v>20097</v>
      </c>
      <c r="D2035" s="242" t="s">
        <v>30097</v>
      </c>
      <c r="E2035" s="949">
        <v>301</v>
      </c>
      <c r="F2035" s="949">
        <v>301</v>
      </c>
      <c r="G2035" s="950" t="s">
        <v>2295</v>
      </c>
      <c r="H2035" s="950" t="s">
        <v>533</v>
      </c>
      <c r="I2035" s="951" t="s">
        <v>20098</v>
      </c>
      <c r="J2035" s="947" t="s">
        <v>20099</v>
      </c>
      <c r="K2035" s="143"/>
    </row>
    <row r="2036" spans="1:11">
      <c r="A2036" s="946" t="s">
        <v>28612</v>
      </c>
      <c r="B2036" s="947" t="s">
        <v>20189</v>
      </c>
      <c r="C2036" s="948" t="s">
        <v>20187</v>
      </c>
      <c r="D2036" s="242" t="s">
        <v>30097</v>
      </c>
      <c r="E2036" s="949">
        <v>301</v>
      </c>
      <c r="F2036" s="949">
        <v>301</v>
      </c>
      <c r="G2036" s="950" t="s">
        <v>2295</v>
      </c>
      <c r="H2036" s="950" t="s">
        <v>533</v>
      </c>
      <c r="I2036" s="951" t="s">
        <v>20188</v>
      </c>
      <c r="J2036" s="947" t="s">
        <v>20189</v>
      </c>
      <c r="K2036" s="143"/>
    </row>
    <row r="2037" spans="1:11">
      <c r="A2037" s="946" t="s">
        <v>28612</v>
      </c>
      <c r="B2037" s="947" t="s">
        <v>20266</v>
      </c>
      <c r="C2037" s="948" t="s">
        <v>20264</v>
      </c>
      <c r="D2037" s="242" t="s">
        <v>30097</v>
      </c>
      <c r="E2037" s="949">
        <v>301</v>
      </c>
      <c r="F2037" s="949">
        <v>301</v>
      </c>
      <c r="G2037" s="950" t="s">
        <v>2295</v>
      </c>
      <c r="H2037" s="950" t="s">
        <v>533</v>
      </c>
      <c r="I2037" s="951" t="s">
        <v>20265</v>
      </c>
      <c r="J2037" s="947" t="s">
        <v>20266</v>
      </c>
      <c r="K2037" s="143"/>
    </row>
    <row r="2038" spans="1:11">
      <c r="A2038" s="946" t="s">
        <v>28612</v>
      </c>
      <c r="B2038" s="947" t="s">
        <v>20302</v>
      </c>
      <c r="C2038" s="948" t="s">
        <v>20300</v>
      </c>
      <c r="D2038" s="242" t="s">
        <v>30097</v>
      </c>
      <c r="E2038" s="949">
        <v>301</v>
      </c>
      <c r="F2038" s="949">
        <v>301</v>
      </c>
      <c r="G2038" s="950" t="s">
        <v>2295</v>
      </c>
      <c r="H2038" s="950" t="s">
        <v>533</v>
      </c>
      <c r="I2038" s="951" t="s">
        <v>20301</v>
      </c>
      <c r="J2038" s="947" t="s">
        <v>20302</v>
      </c>
      <c r="K2038" s="143"/>
    </row>
    <row r="2039" spans="1:11">
      <c r="A2039" s="946" t="s">
        <v>28612</v>
      </c>
      <c r="B2039" s="947" t="s">
        <v>20366</v>
      </c>
      <c r="C2039" s="948" t="s">
        <v>20364</v>
      </c>
      <c r="D2039" s="242" t="s">
        <v>30097</v>
      </c>
      <c r="E2039" s="949">
        <v>301</v>
      </c>
      <c r="F2039" s="949">
        <v>301</v>
      </c>
      <c r="G2039" s="950" t="s">
        <v>2295</v>
      </c>
      <c r="H2039" s="950" t="s">
        <v>533</v>
      </c>
      <c r="I2039" s="951" t="s">
        <v>20365</v>
      </c>
      <c r="J2039" s="947" t="s">
        <v>20366</v>
      </c>
      <c r="K2039" s="143"/>
    </row>
    <row r="2040" spans="1:11">
      <c r="A2040" s="946" t="s">
        <v>28612</v>
      </c>
      <c r="B2040" s="947" t="s">
        <v>20636</v>
      </c>
      <c r="C2040" s="948" t="s">
        <v>20634</v>
      </c>
      <c r="D2040" s="242" t="s">
        <v>30097</v>
      </c>
      <c r="E2040" s="949">
        <v>301</v>
      </c>
      <c r="F2040" s="949">
        <v>301</v>
      </c>
      <c r="G2040" s="950" t="s">
        <v>2295</v>
      </c>
      <c r="H2040" s="950" t="s">
        <v>533</v>
      </c>
      <c r="I2040" s="951" t="s">
        <v>20635</v>
      </c>
      <c r="J2040" s="947" t="s">
        <v>20636</v>
      </c>
      <c r="K2040" s="143"/>
    </row>
    <row r="2041" spans="1:11">
      <c r="A2041" s="946" t="s">
        <v>28612</v>
      </c>
      <c r="B2041" s="947" t="s">
        <v>20649</v>
      </c>
      <c r="C2041" s="948" t="s">
        <v>28760</v>
      </c>
      <c r="D2041" s="242" t="s">
        <v>30097</v>
      </c>
      <c r="E2041" s="949">
        <v>301</v>
      </c>
      <c r="F2041" s="949">
        <v>301</v>
      </c>
      <c r="G2041" s="950" t="s">
        <v>2295</v>
      </c>
      <c r="H2041" s="950" t="s">
        <v>533</v>
      </c>
      <c r="I2041" s="951" t="s">
        <v>28681</v>
      </c>
      <c r="J2041" s="947" t="s">
        <v>20649</v>
      </c>
      <c r="K2041" s="143"/>
    </row>
    <row r="2042" spans="1:11">
      <c r="A2042" s="946" t="s">
        <v>28612</v>
      </c>
      <c r="B2042" s="947" t="s">
        <v>20661</v>
      </c>
      <c r="C2042" s="948" t="s">
        <v>20659</v>
      </c>
      <c r="D2042" s="242" t="s">
        <v>30097</v>
      </c>
      <c r="E2042" s="949">
        <v>301</v>
      </c>
      <c r="F2042" s="949">
        <v>301</v>
      </c>
      <c r="G2042" s="950" t="s">
        <v>2295</v>
      </c>
      <c r="H2042" s="950" t="s">
        <v>533</v>
      </c>
      <c r="I2042" s="951" t="s">
        <v>20660</v>
      </c>
      <c r="J2042" s="947" t="s">
        <v>20661</v>
      </c>
      <c r="K2042" s="143"/>
    </row>
    <row r="2043" spans="1:11">
      <c r="A2043" s="946" t="s">
        <v>28612</v>
      </c>
      <c r="B2043" s="947" t="s">
        <v>20688</v>
      </c>
      <c r="C2043" s="948" t="s">
        <v>20686</v>
      </c>
      <c r="D2043" s="242" t="s">
        <v>30097</v>
      </c>
      <c r="E2043" s="949">
        <v>301</v>
      </c>
      <c r="F2043" s="949">
        <v>301</v>
      </c>
      <c r="G2043" s="950" t="s">
        <v>2295</v>
      </c>
      <c r="H2043" s="950" t="s">
        <v>533</v>
      </c>
      <c r="I2043" s="951" t="s">
        <v>20687</v>
      </c>
      <c r="J2043" s="947" t="s">
        <v>20688</v>
      </c>
      <c r="K2043" s="143"/>
    </row>
    <row r="2044" spans="1:11">
      <c r="A2044" s="946" t="s">
        <v>28612</v>
      </c>
      <c r="B2044" s="947" t="s">
        <v>20948</v>
      </c>
      <c r="C2044" s="948" t="s">
        <v>20946</v>
      </c>
      <c r="D2044" s="242" t="s">
        <v>30097</v>
      </c>
      <c r="E2044" s="949">
        <v>301</v>
      </c>
      <c r="F2044" s="949">
        <v>301</v>
      </c>
      <c r="G2044" s="950" t="s">
        <v>2295</v>
      </c>
      <c r="H2044" s="950" t="s">
        <v>533</v>
      </c>
      <c r="I2044" s="951" t="s">
        <v>20947</v>
      </c>
      <c r="J2044" s="947" t="s">
        <v>20948</v>
      </c>
      <c r="K2044" s="143"/>
    </row>
    <row r="2045" spans="1:11">
      <c r="A2045" s="946" t="s">
        <v>28612</v>
      </c>
      <c r="B2045" s="947" t="s">
        <v>20971</v>
      </c>
      <c r="C2045" s="948" t="s">
        <v>20969</v>
      </c>
      <c r="D2045" s="242" t="s">
        <v>30097</v>
      </c>
      <c r="E2045" s="949">
        <v>301</v>
      </c>
      <c r="F2045" s="949">
        <v>301</v>
      </c>
      <c r="G2045" s="950" t="s">
        <v>2295</v>
      </c>
      <c r="H2045" s="950" t="s">
        <v>533</v>
      </c>
      <c r="I2045" s="951" t="s">
        <v>20970</v>
      </c>
      <c r="J2045" s="947" t="s">
        <v>20971</v>
      </c>
      <c r="K2045" s="143"/>
    </row>
    <row r="2046" spans="1:11">
      <c r="A2046" s="946" t="s">
        <v>28612</v>
      </c>
      <c r="B2046" s="947" t="s">
        <v>20983</v>
      </c>
      <c r="C2046" s="948" t="s">
        <v>20981</v>
      </c>
      <c r="D2046" s="242" t="s">
        <v>30097</v>
      </c>
      <c r="E2046" s="949">
        <v>301</v>
      </c>
      <c r="F2046" s="949">
        <v>301</v>
      </c>
      <c r="G2046" s="950" t="s">
        <v>2295</v>
      </c>
      <c r="H2046" s="950" t="s">
        <v>533</v>
      </c>
      <c r="I2046" s="951" t="s">
        <v>20982</v>
      </c>
      <c r="J2046" s="947" t="s">
        <v>20983</v>
      </c>
      <c r="K2046" s="143"/>
    </row>
    <row r="2047" spans="1:11">
      <c r="A2047" s="946" t="s">
        <v>28612</v>
      </c>
      <c r="B2047" s="947" t="s">
        <v>21156</v>
      </c>
      <c r="C2047" s="948" t="s">
        <v>21154</v>
      </c>
      <c r="D2047" s="242" t="s">
        <v>30097</v>
      </c>
      <c r="E2047" s="949">
        <v>301</v>
      </c>
      <c r="F2047" s="949">
        <v>301</v>
      </c>
      <c r="G2047" s="950" t="s">
        <v>2295</v>
      </c>
      <c r="H2047" s="950" t="s">
        <v>533</v>
      </c>
      <c r="I2047" s="951" t="s">
        <v>21155</v>
      </c>
      <c r="J2047" s="947" t="s">
        <v>21156</v>
      </c>
      <c r="K2047" s="143"/>
    </row>
    <row r="2048" spans="1:11">
      <c r="A2048" s="946" t="s">
        <v>28612</v>
      </c>
      <c r="B2048" s="947" t="s">
        <v>21203</v>
      </c>
      <c r="C2048" s="948" t="s">
        <v>21201</v>
      </c>
      <c r="D2048" s="242" t="s">
        <v>30097</v>
      </c>
      <c r="E2048" s="949">
        <v>301</v>
      </c>
      <c r="F2048" s="949">
        <v>301</v>
      </c>
      <c r="G2048" s="950" t="s">
        <v>2295</v>
      </c>
      <c r="H2048" s="950" t="s">
        <v>533</v>
      </c>
      <c r="I2048" s="951" t="s">
        <v>21202</v>
      </c>
      <c r="J2048" s="947" t="s">
        <v>21203</v>
      </c>
      <c r="K2048" s="143"/>
    </row>
    <row r="2049" spans="1:11">
      <c r="A2049" s="946" t="s">
        <v>28612</v>
      </c>
      <c r="B2049" s="947" t="s">
        <v>21296</v>
      </c>
      <c r="C2049" s="948" t="s">
        <v>21294</v>
      </c>
      <c r="D2049" s="242" t="s">
        <v>30097</v>
      </c>
      <c r="E2049" s="949">
        <v>301</v>
      </c>
      <c r="F2049" s="949">
        <v>301</v>
      </c>
      <c r="G2049" s="950" t="s">
        <v>2295</v>
      </c>
      <c r="H2049" s="950" t="s">
        <v>533</v>
      </c>
      <c r="I2049" s="951" t="s">
        <v>21295</v>
      </c>
      <c r="J2049" s="947" t="s">
        <v>21296</v>
      </c>
      <c r="K2049" s="143"/>
    </row>
    <row r="2050" spans="1:11">
      <c r="A2050" s="946" t="s">
        <v>28612</v>
      </c>
      <c r="B2050" s="947" t="s">
        <v>21299</v>
      </c>
      <c r="C2050" s="948" t="s">
        <v>21297</v>
      </c>
      <c r="D2050" s="242" t="s">
        <v>30097</v>
      </c>
      <c r="E2050" s="949">
        <v>301</v>
      </c>
      <c r="F2050" s="949">
        <v>301</v>
      </c>
      <c r="G2050" s="950" t="s">
        <v>2295</v>
      </c>
      <c r="H2050" s="950" t="s">
        <v>533</v>
      </c>
      <c r="I2050" s="951" t="s">
        <v>21298</v>
      </c>
      <c r="J2050" s="947" t="s">
        <v>21299</v>
      </c>
      <c r="K2050" s="143"/>
    </row>
    <row r="2051" spans="1:11">
      <c r="A2051" s="946" t="s">
        <v>28612</v>
      </c>
      <c r="B2051" s="947" t="s">
        <v>21375</v>
      </c>
      <c r="C2051" s="948" t="s">
        <v>21373</v>
      </c>
      <c r="D2051" s="242" t="s">
        <v>30097</v>
      </c>
      <c r="E2051" s="949">
        <v>301</v>
      </c>
      <c r="F2051" s="949">
        <v>301</v>
      </c>
      <c r="G2051" s="950" t="s">
        <v>2295</v>
      </c>
      <c r="H2051" s="950" t="s">
        <v>533</v>
      </c>
      <c r="I2051" s="951" t="s">
        <v>21374</v>
      </c>
      <c r="J2051" s="947" t="s">
        <v>21375</v>
      </c>
      <c r="K2051" s="143"/>
    </row>
    <row r="2052" spans="1:11">
      <c r="A2052" s="946" t="s">
        <v>28612</v>
      </c>
      <c r="B2052" s="947" t="s">
        <v>21466</v>
      </c>
      <c r="C2052" s="948" t="s">
        <v>21464</v>
      </c>
      <c r="D2052" s="242" t="s">
        <v>30097</v>
      </c>
      <c r="E2052" s="949">
        <v>301</v>
      </c>
      <c r="F2052" s="949">
        <v>301</v>
      </c>
      <c r="G2052" s="950" t="s">
        <v>2295</v>
      </c>
      <c r="H2052" s="950" t="s">
        <v>533</v>
      </c>
      <c r="I2052" s="951" t="s">
        <v>21465</v>
      </c>
      <c r="J2052" s="947" t="s">
        <v>21466</v>
      </c>
      <c r="K2052" s="143"/>
    </row>
    <row r="2053" spans="1:11">
      <c r="A2053" s="946" t="s">
        <v>28612</v>
      </c>
      <c r="B2053" s="947" t="s">
        <v>21505</v>
      </c>
      <c r="C2053" s="948" t="s">
        <v>21503</v>
      </c>
      <c r="D2053" s="242" t="s">
        <v>30097</v>
      </c>
      <c r="E2053" s="949">
        <v>301</v>
      </c>
      <c r="F2053" s="949">
        <v>301</v>
      </c>
      <c r="G2053" s="950" t="s">
        <v>2295</v>
      </c>
      <c r="H2053" s="950" t="s">
        <v>533</v>
      </c>
      <c r="I2053" s="951" t="s">
        <v>21504</v>
      </c>
      <c r="J2053" s="947" t="s">
        <v>21505</v>
      </c>
      <c r="K2053" s="143"/>
    </row>
    <row r="2054" spans="1:11">
      <c r="A2054" s="946" t="s">
        <v>28612</v>
      </c>
      <c r="B2054" s="947" t="s">
        <v>21531</v>
      </c>
      <c r="C2054" s="948" t="s">
        <v>21529</v>
      </c>
      <c r="D2054" s="242" t="s">
        <v>30097</v>
      </c>
      <c r="E2054" s="949">
        <v>301</v>
      </c>
      <c r="F2054" s="949">
        <v>301</v>
      </c>
      <c r="G2054" s="950" t="s">
        <v>2295</v>
      </c>
      <c r="H2054" s="950" t="s">
        <v>533</v>
      </c>
      <c r="I2054" s="951" t="s">
        <v>21530</v>
      </c>
      <c r="J2054" s="947" t="s">
        <v>21531</v>
      </c>
      <c r="K2054" s="143"/>
    </row>
    <row r="2055" spans="1:11">
      <c r="A2055" s="946" t="s">
        <v>28612</v>
      </c>
      <c r="B2055" s="947" t="s">
        <v>21638</v>
      </c>
      <c r="C2055" s="948" t="s">
        <v>21636</v>
      </c>
      <c r="D2055" s="242" t="s">
        <v>30097</v>
      </c>
      <c r="E2055" s="949">
        <v>301</v>
      </c>
      <c r="F2055" s="949">
        <v>301</v>
      </c>
      <c r="G2055" s="950" t="s">
        <v>2295</v>
      </c>
      <c r="H2055" s="950" t="s">
        <v>533</v>
      </c>
      <c r="I2055" s="951" t="s">
        <v>21637</v>
      </c>
      <c r="J2055" s="947" t="s">
        <v>21638</v>
      </c>
      <c r="K2055" s="143"/>
    </row>
    <row r="2056" spans="1:11">
      <c r="A2056" s="946" t="s">
        <v>28612</v>
      </c>
      <c r="B2056" s="947" t="s">
        <v>21745</v>
      </c>
      <c r="C2056" s="948" t="s">
        <v>21743</v>
      </c>
      <c r="D2056" s="242" t="s">
        <v>30097</v>
      </c>
      <c r="E2056" s="949">
        <v>301</v>
      </c>
      <c r="F2056" s="949">
        <v>301</v>
      </c>
      <c r="G2056" s="950" t="s">
        <v>2295</v>
      </c>
      <c r="H2056" s="950" t="s">
        <v>533</v>
      </c>
      <c r="I2056" s="951" t="s">
        <v>21744</v>
      </c>
      <c r="J2056" s="947" t="s">
        <v>21745</v>
      </c>
      <c r="K2056" s="143"/>
    </row>
    <row r="2057" spans="1:11">
      <c r="A2057" s="946" t="s">
        <v>28612</v>
      </c>
      <c r="B2057" s="947" t="s">
        <v>21748</v>
      </c>
      <c r="C2057" s="948" t="s">
        <v>21746</v>
      </c>
      <c r="D2057" s="242" t="s">
        <v>30097</v>
      </c>
      <c r="E2057" s="949">
        <v>301</v>
      </c>
      <c r="F2057" s="949">
        <v>301</v>
      </c>
      <c r="G2057" s="950" t="s">
        <v>2295</v>
      </c>
      <c r="H2057" s="950" t="s">
        <v>533</v>
      </c>
      <c r="I2057" s="951" t="s">
        <v>21747</v>
      </c>
      <c r="J2057" s="947" t="s">
        <v>21748</v>
      </c>
      <c r="K2057" s="143"/>
    </row>
    <row r="2058" spans="1:11">
      <c r="A2058" s="946" t="s">
        <v>28612</v>
      </c>
      <c r="B2058" s="947" t="s">
        <v>21822</v>
      </c>
      <c r="C2058" s="948" t="s">
        <v>21820</v>
      </c>
      <c r="D2058" s="242" t="s">
        <v>30097</v>
      </c>
      <c r="E2058" s="949">
        <v>301</v>
      </c>
      <c r="F2058" s="949">
        <v>301</v>
      </c>
      <c r="G2058" s="950" t="s">
        <v>2295</v>
      </c>
      <c r="H2058" s="950" t="s">
        <v>533</v>
      </c>
      <c r="I2058" s="951" t="s">
        <v>21821</v>
      </c>
      <c r="J2058" s="947" t="s">
        <v>21822</v>
      </c>
      <c r="K2058" s="143"/>
    </row>
    <row r="2059" spans="1:11">
      <c r="A2059" s="946" t="s">
        <v>28612</v>
      </c>
      <c r="B2059" s="947" t="s">
        <v>21887</v>
      </c>
      <c r="C2059" s="948" t="s">
        <v>21885</v>
      </c>
      <c r="D2059" s="242" t="s">
        <v>30097</v>
      </c>
      <c r="E2059" s="949">
        <v>301</v>
      </c>
      <c r="F2059" s="949">
        <v>301</v>
      </c>
      <c r="G2059" s="950" t="s">
        <v>2295</v>
      </c>
      <c r="H2059" s="950" t="s">
        <v>533</v>
      </c>
      <c r="I2059" s="951" t="s">
        <v>21886</v>
      </c>
      <c r="J2059" s="947" t="s">
        <v>21887</v>
      </c>
      <c r="K2059" s="143"/>
    </row>
    <row r="2060" spans="1:11">
      <c r="A2060" s="946" t="s">
        <v>28612</v>
      </c>
      <c r="B2060" s="947" t="s">
        <v>21972</v>
      </c>
      <c r="C2060" s="948" t="s">
        <v>21970</v>
      </c>
      <c r="D2060" s="242" t="s">
        <v>30097</v>
      </c>
      <c r="E2060" s="949">
        <v>301</v>
      </c>
      <c r="F2060" s="949">
        <v>301</v>
      </c>
      <c r="G2060" s="950" t="s">
        <v>2295</v>
      </c>
      <c r="H2060" s="950" t="s">
        <v>533</v>
      </c>
      <c r="I2060" s="951" t="s">
        <v>21971</v>
      </c>
      <c r="J2060" s="947" t="s">
        <v>21972</v>
      </c>
      <c r="K2060" s="143"/>
    </row>
    <row r="2061" spans="1:11">
      <c r="A2061" s="946" t="s">
        <v>28612</v>
      </c>
      <c r="B2061" s="947" t="s">
        <v>22028</v>
      </c>
      <c r="C2061" s="948" t="s">
        <v>22026</v>
      </c>
      <c r="D2061" s="242" t="s">
        <v>30097</v>
      </c>
      <c r="E2061" s="949">
        <v>301</v>
      </c>
      <c r="F2061" s="949">
        <v>301</v>
      </c>
      <c r="G2061" s="950" t="s">
        <v>2295</v>
      </c>
      <c r="H2061" s="950" t="s">
        <v>533</v>
      </c>
      <c r="I2061" s="951" t="s">
        <v>22027</v>
      </c>
      <c r="J2061" s="947" t="s">
        <v>22028</v>
      </c>
      <c r="K2061" s="143"/>
    </row>
    <row r="2062" spans="1:11">
      <c r="A2062" s="946" t="s">
        <v>28612</v>
      </c>
      <c r="B2062" s="947" t="s">
        <v>22070</v>
      </c>
      <c r="C2062" s="948" t="s">
        <v>22068</v>
      </c>
      <c r="D2062" s="242" t="s">
        <v>30097</v>
      </c>
      <c r="E2062" s="949">
        <v>301</v>
      </c>
      <c r="F2062" s="949">
        <v>301</v>
      </c>
      <c r="G2062" s="950" t="s">
        <v>2295</v>
      </c>
      <c r="H2062" s="950" t="s">
        <v>533</v>
      </c>
      <c r="I2062" s="951" t="s">
        <v>22069</v>
      </c>
      <c r="J2062" s="947" t="s">
        <v>22070</v>
      </c>
      <c r="K2062" s="143"/>
    </row>
    <row r="2063" spans="1:11">
      <c r="A2063" s="946" t="s">
        <v>28612</v>
      </c>
      <c r="B2063" s="947" t="s">
        <v>22073</v>
      </c>
      <c r="C2063" s="948" t="s">
        <v>22071</v>
      </c>
      <c r="D2063" s="242" t="s">
        <v>30097</v>
      </c>
      <c r="E2063" s="949">
        <v>301</v>
      </c>
      <c r="F2063" s="949">
        <v>301</v>
      </c>
      <c r="G2063" s="950" t="s">
        <v>2295</v>
      </c>
      <c r="H2063" s="950" t="s">
        <v>533</v>
      </c>
      <c r="I2063" s="951" t="s">
        <v>22072</v>
      </c>
      <c r="J2063" s="947" t="s">
        <v>22073</v>
      </c>
      <c r="K2063" s="143"/>
    </row>
    <row r="2064" spans="1:11">
      <c r="A2064" s="946" t="s">
        <v>28612</v>
      </c>
      <c r="B2064" s="947" t="s">
        <v>22088</v>
      </c>
      <c r="C2064" s="948" t="s">
        <v>22086</v>
      </c>
      <c r="D2064" s="242" t="s">
        <v>30097</v>
      </c>
      <c r="E2064" s="949">
        <v>301</v>
      </c>
      <c r="F2064" s="949">
        <v>301</v>
      </c>
      <c r="G2064" s="950" t="s">
        <v>2295</v>
      </c>
      <c r="H2064" s="950" t="s">
        <v>533</v>
      </c>
      <c r="I2064" s="951" t="s">
        <v>22087</v>
      </c>
      <c r="J2064" s="947" t="s">
        <v>22088</v>
      </c>
      <c r="K2064" s="143"/>
    </row>
    <row r="2065" spans="1:11">
      <c r="A2065" s="946" t="s">
        <v>28612</v>
      </c>
      <c r="B2065" s="947" t="s">
        <v>22094</v>
      </c>
      <c r="C2065" s="948" t="s">
        <v>22092</v>
      </c>
      <c r="D2065" s="242" t="s">
        <v>30097</v>
      </c>
      <c r="E2065" s="949">
        <v>301</v>
      </c>
      <c r="F2065" s="949">
        <v>301</v>
      </c>
      <c r="G2065" s="950" t="s">
        <v>2295</v>
      </c>
      <c r="H2065" s="950" t="s">
        <v>533</v>
      </c>
      <c r="I2065" s="951" t="s">
        <v>22093</v>
      </c>
      <c r="J2065" s="947" t="s">
        <v>22094</v>
      </c>
      <c r="K2065" s="143"/>
    </row>
    <row r="2066" spans="1:11">
      <c r="A2066" s="946" t="s">
        <v>28612</v>
      </c>
      <c r="B2066" s="947" t="s">
        <v>22352</v>
      </c>
      <c r="C2066" s="948" t="s">
        <v>22350</v>
      </c>
      <c r="D2066" s="242" t="s">
        <v>30097</v>
      </c>
      <c r="E2066" s="949">
        <v>301</v>
      </c>
      <c r="F2066" s="949">
        <v>301</v>
      </c>
      <c r="G2066" s="950" t="s">
        <v>2295</v>
      </c>
      <c r="H2066" s="950" t="s">
        <v>533</v>
      </c>
      <c r="I2066" s="951" t="s">
        <v>22351</v>
      </c>
      <c r="J2066" s="947" t="s">
        <v>22352</v>
      </c>
      <c r="K2066" s="143"/>
    </row>
    <row r="2067" spans="1:11">
      <c r="A2067" s="946" t="s">
        <v>28612</v>
      </c>
      <c r="B2067" s="947" t="s">
        <v>22358</v>
      </c>
      <c r="C2067" s="948" t="s">
        <v>22356</v>
      </c>
      <c r="D2067" s="242" t="s">
        <v>30097</v>
      </c>
      <c r="E2067" s="949">
        <v>301</v>
      </c>
      <c r="F2067" s="949">
        <v>301</v>
      </c>
      <c r="G2067" s="950" t="s">
        <v>2295</v>
      </c>
      <c r="H2067" s="950" t="s">
        <v>533</v>
      </c>
      <c r="I2067" s="951" t="s">
        <v>22357</v>
      </c>
      <c r="J2067" s="947" t="s">
        <v>22358</v>
      </c>
      <c r="K2067" s="143"/>
    </row>
    <row r="2068" spans="1:11">
      <c r="A2068" s="946" t="s">
        <v>28612</v>
      </c>
      <c r="B2068" s="947" t="s">
        <v>22562</v>
      </c>
      <c r="C2068" s="948" t="s">
        <v>22560</v>
      </c>
      <c r="D2068" s="242" t="s">
        <v>30097</v>
      </c>
      <c r="E2068" s="949">
        <v>301</v>
      </c>
      <c r="F2068" s="949">
        <v>301</v>
      </c>
      <c r="G2068" s="950" t="s">
        <v>2295</v>
      </c>
      <c r="H2068" s="950" t="s">
        <v>533</v>
      </c>
      <c r="I2068" s="951" t="s">
        <v>22561</v>
      </c>
      <c r="J2068" s="947" t="s">
        <v>22562</v>
      </c>
      <c r="K2068" s="143"/>
    </row>
    <row r="2069" spans="1:11">
      <c r="A2069" s="946" t="s">
        <v>28612</v>
      </c>
      <c r="B2069" s="947" t="s">
        <v>22568</v>
      </c>
      <c r="C2069" s="948" t="s">
        <v>22566</v>
      </c>
      <c r="D2069" s="242" t="s">
        <v>30097</v>
      </c>
      <c r="E2069" s="949">
        <v>301</v>
      </c>
      <c r="F2069" s="949">
        <v>301</v>
      </c>
      <c r="G2069" s="950" t="s">
        <v>2295</v>
      </c>
      <c r="H2069" s="950" t="s">
        <v>533</v>
      </c>
      <c r="I2069" s="951" t="s">
        <v>22567</v>
      </c>
      <c r="J2069" s="947" t="s">
        <v>22568</v>
      </c>
      <c r="K2069" s="143"/>
    </row>
    <row r="2070" spans="1:11">
      <c r="A2070" s="946" t="s">
        <v>28612</v>
      </c>
      <c r="B2070" s="947" t="s">
        <v>22647</v>
      </c>
      <c r="C2070" s="948" t="s">
        <v>22645</v>
      </c>
      <c r="D2070" s="242" t="s">
        <v>30097</v>
      </c>
      <c r="E2070" s="949">
        <v>301</v>
      </c>
      <c r="F2070" s="949">
        <v>301</v>
      </c>
      <c r="G2070" s="950" t="s">
        <v>2295</v>
      </c>
      <c r="H2070" s="950" t="s">
        <v>533</v>
      </c>
      <c r="I2070" s="951" t="s">
        <v>22646</v>
      </c>
      <c r="J2070" s="947" t="s">
        <v>22647</v>
      </c>
      <c r="K2070" s="143"/>
    </row>
    <row r="2071" spans="1:11">
      <c r="A2071" s="946" t="s">
        <v>28612</v>
      </c>
      <c r="B2071" s="947" t="s">
        <v>7267</v>
      </c>
      <c r="C2071" s="948" t="s">
        <v>7265</v>
      </c>
      <c r="D2071" s="242" t="s">
        <v>30097</v>
      </c>
      <c r="E2071" s="949">
        <v>301</v>
      </c>
      <c r="F2071" s="949">
        <v>301</v>
      </c>
      <c r="G2071" s="950" t="s">
        <v>2295</v>
      </c>
      <c r="H2071" s="950" t="s">
        <v>533</v>
      </c>
      <c r="I2071" s="951" t="s">
        <v>7266</v>
      </c>
      <c r="J2071" s="947" t="s">
        <v>7267</v>
      </c>
      <c r="K2071" s="143"/>
    </row>
    <row r="2072" spans="1:11">
      <c r="A2072" s="946" t="s">
        <v>28612</v>
      </c>
      <c r="B2072" s="947" t="s">
        <v>913</v>
      </c>
      <c r="C2072" s="948" t="s">
        <v>911</v>
      </c>
      <c r="D2072" s="242" t="s">
        <v>30097</v>
      </c>
      <c r="E2072" s="949">
        <v>301</v>
      </c>
      <c r="F2072" s="949">
        <v>301</v>
      </c>
      <c r="G2072" s="950" t="s">
        <v>2295</v>
      </c>
      <c r="H2072" s="950" t="s">
        <v>533</v>
      </c>
      <c r="I2072" s="951" t="s">
        <v>912</v>
      </c>
      <c r="J2072" s="947" t="s">
        <v>913</v>
      </c>
      <c r="K2072" s="143"/>
    </row>
    <row r="2073" spans="1:11">
      <c r="A2073" s="946" t="s">
        <v>28612</v>
      </c>
      <c r="B2073" s="947" t="s">
        <v>7093</v>
      </c>
      <c r="C2073" s="948" t="s">
        <v>7091</v>
      </c>
      <c r="D2073" s="242" t="s">
        <v>30097</v>
      </c>
      <c r="E2073" s="949">
        <v>301</v>
      </c>
      <c r="F2073" s="949">
        <v>301</v>
      </c>
      <c r="G2073" s="950" t="s">
        <v>2295</v>
      </c>
      <c r="H2073" s="950" t="s">
        <v>533</v>
      </c>
      <c r="I2073" s="951" t="s">
        <v>7092</v>
      </c>
      <c r="J2073" s="947" t="s">
        <v>7093</v>
      </c>
      <c r="K2073" s="143"/>
    </row>
    <row r="2074" spans="1:11">
      <c r="A2074" s="946" t="s">
        <v>28612</v>
      </c>
      <c r="B2074" s="947" t="s">
        <v>11504</v>
      </c>
      <c r="C2074" s="948" t="s">
        <v>11502</v>
      </c>
      <c r="D2074" s="242" t="s">
        <v>30097</v>
      </c>
      <c r="E2074" s="949">
        <v>301</v>
      </c>
      <c r="F2074" s="949">
        <v>301</v>
      </c>
      <c r="G2074" s="950" t="s">
        <v>2295</v>
      </c>
      <c r="H2074" s="950" t="s">
        <v>533</v>
      </c>
      <c r="I2074" s="951" t="s">
        <v>11503</v>
      </c>
      <c r="J2074" s="947" t="s">
        <v>11504</v>
      </c>
      <c r="K2074" s="143"/>
    </row>
    <row r="2075" spans="1:11">
      <c r="A2075" s="946" t="s">
        <v>28612</v>
      </c>
      <c r="B2075" s="947" t="s">
        <v>19678</v>
      </c>
      <c r="C2075" s="948" t="s">
        <v>19676</v>
      </c>
      <c r="D2075" s="242" t="s">
        <v>30097</v>
      </c>
      <c r="E2075" s="949">
        <v>301</v>
      </c>
      <c r="F2075" s="949">
        <v>301</v>
      </c>
      <c r="G2075" s="950" t="s">
        <v>2295</v>
      </c>
      <c r="H2075" s="950" t="s">
        <v>533</v>
      </c>
      <c r="I2075" s="951" t="s">
        <v>19677</v>
      </c>
      <c r="J2075" s="947" t="s">
        <v>19678</v>
      </c>
      <c r="K2075" s="143"/>
    </row>
    <row r="2076" spans="1:11">
      <c r="A2076" s="946" t="s">
        <v>28612</v>
      </c>
      <c r="B2076" s="947" t="s">
        <v>18803</v>
      </c>
      <c r="C2076" s="948" t="s">
        <v>18802</v>
      </c>
      <c r="D2076" s="242" t="s">
        <v>30097</v>
      </c>
      <c r="E2076" s="949">
        <v>301</v>
      </c>
      <c r="F2076" s="949">
        <v>301</v>
      </c>
      <c r="G2076" s="950" t="s">
        <v>2295</v>
      </c>
      <c r="H2076" s="950" t="s">
        <v>533</v>
      </c>
      <c r="I2076" s="951" t="s">
        <v>24951</v>
      </c>
      <c r="J2076" s="947" t="s">
        <v>18803</v>
      </c>
      <c r="K2076" s="143"/>
    </row>
    <row r="2077" spans="1:11">
      <c r="A2077" s="946" t="s">
        <v>28612</v>
      </c>
      <c r="B2077" s="947" t="s">
        <v>24961</v>
      </c>
      <c r="C2077" s="948" t="s">
        <v>26172</v>
      </c>
      <c r="D2077" s="242" t="s">
        <v>30097</v>
      </c>
      <c r="E2077" s="949">
        <v>301</v>
      </c>
      <c r="F2077" s="949">
        <v>301</v>
      </c>
      <c r="G2077" s="950" t="s">
        <v>2295</v>
      </c>
      <c r="H2077" s="950" t="s">
        <v>533</v>
      </c>
      <c r="I2077" s="951" t="s">
        <v>24962</v>
      </c>
      <c r="J2077" s="947" t="s">
        <v>24961</v>
      </c>
      <c r="K2077" s="143"/>
    </row>
    <row r="2078" spans="1:11">
      <c r="A2078" s="946" t="s">
        <v>28612</v>
      </c>
      <c r="B2078" s="947" t="s">
        <v>443</v>
      </c>
      <c r="C2078" s="948" t="s">
        <v>440</v>
      </c>
      <c r="D2078" s="242" t="s">
        <v>28723</v>
      </c>
      <c r="E2078" s="949">
        <v>302</v>
      </c>
      <c r="F2078" s="949">
        <v>302</v>
      </c>
      <c r="G2078" s="950" t="s">
        <v>3021</v>
      </c>
      <c r="H2078" s="950" t="s">
        <v>441</v>
      </c>
      <c r="I2078" s="951" t="s">
        <v>442</v>
      </c>
      <c r="J2078" s="947" t="s">
        <v>443</v>
      </c>
      <c r="K2078" s="143"/>
    </row>
    <row r="2079" spans="1:11">
      <c r="A2079" s="946" t="s">
        <v>28612</v>
      </c>
      <c r="B2079" s="947" t="s">
        <v>549</v>
      </c>
      <c r="C2079" s="948" t="s">
        <v>547</v>
      </c>
      <c r="D2079" s="242" t="s">
        <v>28723</v>
      </c>
      <c r="E2079" s="949">
        <v>302</v>
      </c>
      <c r="F2079" s="949">
        <v>302</v>
      </c>
      <c r="G2079" s="950" t="s">
        <v>3021</v>
      </c>
      <c r="H2079" s="950" t="s">
        <v>441</v>
      </c>
      <c r="I2079" s="951" t="s">
        <v>548</v>
      </c>
      <c r="J2079" s="947" t="s">
        <v>549</v>
      </c>
      <c r="K2079" s="143"/>
    </row>
    <row r="2080" spans="1:11">
      <c r="A2080" s="946" t="s">
        <v>28612</v>
      </c>
      <c r="B2080" s="947" t="s">
        <v>624</v>
      </c>
      <c r="C2080" s="948" t="s">
        <v>622</v>
      </c>
      <c r="D2080" s="242" t="s">
        <v>28723</v>
      </c>
      <c r="E2080" s="949">
        <v>302</v>
      </c>
      <c r="F2080" s="949">
        <v>302</v>
      </c>
      <c r="G2080" s="950" t="s">
        <v>3021</v>
      </c>
      <c r="H2080" s="950" t="s">
        <v>441</v>
      </c>
      <c r="I2080" s="951" t="s">
        <v>623</v>
      </c>
      <c r="J2080" s="947" t="s">
        <v>624</v>
      </c>
      <c r="K2080" s="143"/>
    </row>
    <row r="2081" spans="1:11">
      <c r="A2081" s="946" t="s">
        <v>28612</v>
      </c>
      <c r="B2081" s="947" t="s">
        <v>900</v>
      </c>
      <c r="C2081" s="948" t="s">
        <v>898</v>
      </c>
      <c r="D2081" s="242" t="s">
        <v>28723</v>
      </c>
      <c r="E2081" s="949">
        <v>302</v>
      </c>
      <c r="F2081" s="949">
        <v>302</v>
      </c>
      <c r="G2081" s="950" t="s">
        <v>3021</v>
      </c>
      <c r="H2081" s="950" t="s">
        <v>441</v>
      </c>
      <c r="I2081" s="951" t="s">
        <v>899</v>
      </c>
      <c r="J2081" s="947" t="s">
        <v>900</v>
      </c>
      <c r="K2081" s="143"/>
    </row>
    <row r="2082" spans="1:11">
      <c r="A2082" s="946" t="s">
        <v>28612</v>
      </c>
      <c r="B2082" s="947" t="s">
        <v>1153</v>
      </c>
      <c r="C2082" s="948" t="s">
        <v>1151</v>
      </c>
      <c r="D2082" s="242" t="s">
        <v>28723</v>
      </c>
      <c r="E2082" s="949">
        <v>302</v>
      </c>
      <c r="F2082" s="949">
        <v>302</v>
      </c>
      <c r="G2082" s="950" t="s">
        <v>3021</v>
      </c>
      <c r="H2082" s="950" t="s">
        <v>441</v>
      </c>
      <c r="I2082" s="951" t="s">
        <v>1152</v>
      </c>
      <c r="J2082" s="947" t="s">
        <v>1153</v>
      </c>
      <c r="K2082" s="143"/>
    </row>
    <row r="2083" spans="1:11">
      <c r="A2083" s="946" t="s">
        <v>28612</v>
      </c>
      <c r="B2083" s="947" t="s">
        <v>1166</v>
      </c>
      <c r="C2083" s="948" t="s">
        <v>1164</v>
      </c>
      <c r="D2083" s="242" t="s">
        <v>28723</v>
      </c>
      <c r="E2083" s="949">
        <v>302</v>
      </c>
      <c r="F2083" s="949">
        <v>302</v>
      </c>
      <c r="G2083" s="950" t="s">
        <v>3021</v>
      </c>
      <c r="H2083" s="950" t="s">
        <v>441</v>
      </c>
      <c r="I2083" s="951" t="s">
        <v>1165</v>
      </c>
      <c r="J2083" s="947" t="s">
        <v>1166</v>
      </c>
      <c r="K2083" s="143"/>
    </row>
    <row r="2084" spans="1:11">
      <c r="A2084" s="946" t="s">
        <v>28612</v>
      </c>
      <c r="B2084" s="947" t="s">
        <v>1518</v>
      </c>
      <c r="C2084" s="948" t="s">
        <v>1516</v>
      </c>
      <c r="D2084" s="242" t="s">
        <v>28723</v>
      </c>
      <c r="E2084" s="949">
        <v>302</v>
      </c>
      <c r="F2084" s="949">
        <v>302</v>
      </c>
      <c r="G2084" s="950" t="s">
        <v>3021</v>
      </c>
      <c r="H2084" s="950" t="s">
        <v>441</v>
      </c>
      <c r="I2084" s="951" t="s">
        <v>1517</v>
      </c>
      <c r="J2084" s="947" t="s">
        <v>1518</v>
      </c>
      <c r="K2084" s="143"/>
    </row>
    <row r="2085" spans="1:11">
      <c r="A2085" s="946" t="s">
        <v>28612</v>
      </c>
      <c r="B2085" s="947" t="s">
        <v>1715</v>
      </c>
      <c r="C2085" s="948" t="s">
        <v>1713</v>
      </c>
      <c r="D2085" s="242" t="s">
        <v>28723</v>
      </c>
      <c r="E2085" s="949">
        <v>302</v>
      </c>
      <c r="F2085" s="949">
        <v>302</v>
      </c>
      <c r="G2085" s="950" t="s">
        <v>3021</v>
      </c>
      <c r="H2085" s="950" t="s">
        <v>441</v>
      </c>
      <c r="I2085" s="951" t="s">
        <v>1714</v>
      </c>
      <c r="J2085" s="947" t="s">
        <v>1715</v>
      </c>
      <c r="K2085" s="143"/>
    </row>
    <row r="2086" spans="1:11">
      <c r="A2086" s="946" t="s">
        <v>28612</v>
      </c>
      <c r="B2086" s="947" t="s">
        <v>1814</v>
      </c>
      <c r="C2086" s="948" t="s">
        <v>1812</v>
      </c>
      <c r="D2086" s="242" t="s">
        <v>28723</v>
      </c>
      <c r="E2086" s="949">
        <v>302</v>
      </c>
      <c r="F2086" s="949">
        <v>302</v>
      </c>
      <c r="G2086" s="950" t="s">
        <v>3021</v>
      </c>
      <c r="H2086" s="950" t="s">
        <v>441</v>
      </c>
      <c r="I2086" s="951" t="s">
        <v>1813</v>
      </c>
      <c r="J2086" s="947" t="s">
        <v>1814</v>
      </c>
      <c r="K2086" s="143"/>
    </row>
    <row r="2087" spans="1:11">
      <c r="A2087" s="946" t="s">
        <v>28612</v>
      </c>
      <c r="B2087" s="947" t="s">
        <v>1829</v>
      </c>
      <c r="C2087" s="948" t="s">
        <v>1827</v>
      </c>
      <c r="D2087" s="242" t="s">
        <v>28723</v>
      </c>
      <c r="E2087" s="949">
        <v>302</v>
      </c>
      <c r="F2087" s="949">
        <v>302</v>
      </c>
      <c r="G2087" s="950" t="s">
        <v>3021</v>
      </c>
      <c r="H2087" s="950" t="s">
        <v>441</v>
      </c>
      <c r="I2087" s="951" t="s">
        <v>1828</v>
      </c>
      <c r="J2087" s="947" t="s">
        <v>1829</v>
      </c>
      <c r="K2087" s="143"/>
    </row>
    <row r="2088" spans="1:11">
      <c r="A2088" s="946" t="s">
        <v>28612</v>
      </c>
      <c r="B2088" s="947" t="s">
        <v>1934</v>
      </c>
      <c r="C2088" s="948" t="s">
        <v>1932</v>
      </c>
      <c r="D2088" s="242" t="s">
        <v>28723</v>
      </c>
      <c r="E2088" s="949">
        <v>302</v>
      </c>
      <c r="F2088" s="949">
        <v>302</v>
      </c>
      <c r="G2088" s="950" t="s">
        <v>3021</v>
      </c>
      <c r="H2088" s="950" t="s">
        <v>441</v>
      </c>
      <c r="I2088" s="951" t="s">
        <v>1933</v>
      </c>
      <c r="J2088" s="947" t="s">
        <v>1934</v>
      </c>
      <c r="K2088" s="143"/>
    </row>
    <row r="2089" spans="1:11">
      <c r="A2089" s="946" t="s">
        <v>28612</v>
      </c>
      <c r="B2089" s="947" t="s">
        <v>1991</v>
      </c>
      <c r="C2089" s="948" t="s">
        <v>1989</v>
      </c>
      <c r="D2089" s="242" t="s">
        <v>28723</v>
      </c>
      <c r="E2089" s="949">
        <v>302</v>
      </c>
      <c r="F2089" s="949">
        <v>302</v>
      </c>
      <c r="G2089" s="950" t="s">
        <v>3021</v>
      </c>
      <c r="H2089" s="950" t="s">
        <v>441</v>
      </c>
      <c r="I2089" s="951" t="s">
        <v>1990</v>
      </c>
      <c r="J2089" s="947" t="s">
        <v>1991</v>
      </c>
      <c r="K2089" s="143"/>
    </row>
    <row r="2090" spans="1:11">
      <c r="A2090" s="946" t="s">
        <v>28612</v>
      </c>
      <c r="B2090" s="947" t="s">
        <v>2075</v>
      </c>
      <c r="C2090" s="948" t="s">
        <v>2073</v>
      </c>
      <c r="D2090" s="242" t="s">
        <v>28723</v>
      </c>
      <c r="E2090" s="949">
        <v>302</v>
      </c>
      <c r="F2090" s="949">
        <v>302</v>
      </c>
      <c r="G2090" s="950" t="s">
        <v>3021</v>
      </c>
      <c r="H2090" s="950" t="s">
        <v>441</v>
      </c>
      <c r="I2090" s="951" t="s">
        <v>2074</v>
      </c>
      <c r="J2090" s="947" t="s">
        <v>2075</v>
      </c>
      <c r="K2090" s="143"/>
    </row>
    <row r="2091" spans="1:11">
      <c r="A2091" s="946" t="s">
        <v>28612</v>
      </c>
      <c r="B2091" s="947" t="s">
        <v>2129</v>
      </c>
      <c r="C2091" s="948" t="s">
        <v>2127</v>
      </c>
      <c r="D2091" s="242" t="s">
        <v>28723</v>
      </c>
      <c r="E2091" s="949">
        <v>302</v>
      </c>
      <c r="F2091" s="949">
        <v>302</v>
      </c>
      <c r="G2091" s="950" t="s">
        <v>3021</v>
      </c>
      <c r="H2091" s="950" t="s">
        <v>441</v>
      </c>
      <c r="I2091" s="951" t="s">
        <v>2128</v>
      </c>
      <c r="J2091" s="947" t="s">
        <v>2129</v>
      </c>
      <c r="K2091" s="143"/>
    </row>
    <row r="2092" spans="1:11">
      <c r="A2092" s="946" t="s">
        <v>28612</v>
      </c>
      <c r="B2092" s="947" t="s">
        <v>2307</v>
      </c>
      <c r="C2092" s="948" t="s">
        <v>2305</v>
      </c>
      <c r="D2092" s="242" t="s">
        <v>28723</v>
      </c>
      <c r="E2092" s="949">
        <v>302</v>
      </c>
      <c r="F2092" s="949">
        <v>302</v>
      </c>
      <c r="G2092" s="950" t="s">
        <v>3021</v>
      </c>
      <c r="H2092" s="950" t="s">
        <v>441</v>
      </c>
      <c r="I2092" s="951" t="s">
        <v>2306</v>
      </c>
      <c r="J2092" s="947" t="s">
        <v>2307</v>
      </c>
      <c r="K2092" s="143"/>
    </row>
    <row r="2093" spans="1:11">
      <c r="A2093" s="946" t="s">
        <v>28612</v>
      </c>
      <c r="B2093" s="947" t="s">
        <v>2336</v>
      </c>
      <c r="C2093" s="948" t="s">
        <v>2334</v>
      </c>
      <c r="D2093" s="242" t="s">
        <v>28723</v>
      </c>
      <c r="E2093" s="949">
        <v>302</v>
      </c>
      <c r="F2093" s="949">
        <v>302</v>
      </c>
      <c r="G2093" s="950" t="s">
        <v>3021</v>
      </c>
      <c r="H2093" s="950" t="s">
        <v>441</v>
      </c>
      <c r="I2093" s="951" t="s">
        <v>2335</v>
      </c>
      <c r="J2093" s="947" t="s">
        <v>2336</v>
      </c>
      <c r="K2093" s="143"/>
    </row>
    <row r="2094" spans="1:11">
      <c r="A2094" s="946" t="s">
        <v>28612</v>
      </c>
      <c r="B2094" s="947" t="s">
        <v>2339</v>
      </c>
      <c r="C2094" s="948" t="s">
        <v>2337</v>
      </c>
      <c r="D2094" s="242" t="s">
        <v>28723</v>
      </c>
      <c r="E2094" s="949">
        <v>302</v>
      </c>
      <c r="F2094" s="949">
        <v>302</v>
      </c>
      <c r="G2094" s="950" t="s">
        <v>3021</v>
      </c>
      <c r="H2094" s="950" t="s">
        <v>441</v>
      </c>
      <c r="I2094" s="951" t="s">
        <v>2338</v>
      </c>
      <c r="J2094" s="947" t="s">
        <v>2339</v>
      </c>
      <c r="K2094" s="143"/>
    </row>
    <row r="2095" spans="1:11">
      <c r="A2095" s="946" t="s">
        <v>28612</v>
      </c>
      <c r="B2095" s="947" t="s">
        <v>2434</v>
      </c>
      <c r="C2095" s="948" t="s">
        <v>2432</v>
      </c>
      <c r="D2095" s="242" t="s">
        <v>28723</v>
      </c>
      <c r="E2095" s="949">
        <v>302</v>
      </c>
      <c r="F2095" s="949">
        <v>302</v>
      </c>
      <c r="G2095" s="950" t="s">
        <v>3021</v>
      </c>
      <c r="H2095" s="950" t="s">
        <v>441</v>
      </c>
      <c r="I2095" s="951" t="s">
        <v>2433</v>
      </c>
      <c r="J2095" s="947" t="s">
        <v>2434</v>
      </c>
      <c r="K2095" s="143"/>
    </row>
    <row r="2096" spans="1:11">
      <c r="A2096" s="946" t="s">
        <v>28612</v>
      </c>
      <c r="B2096" s="947" t="s">
        <v>2459</v>
      </c>
      <c r="C2096" s="948" t="s">
        <v>2457</v>
      </c>
      <c r="D2096" s="242" t="s">
        <v>28723</v>
      </c>
      <c r="E2096" s="949">
        <v>302</v>
      </c>
      <c r="F2096" s="949">
        <v>302</v>
      </c>
      <c r="G2096" s="950" t="s">
        <v>3021</v>
      </c>
      <c r="H2096" s="950" t="s">
        <v>441</v>
      </c>
      <c r="I2096" s="951" t="s">
        <v>2458</v>
      </c>
      <c r="J2096" s="947" t="s">
        <v>2459</v>
      </c>
      <c r="K2096" s="143"/>
    </row>
    <row r="2097" spans="1:11">
      <c r="A2097" s="946" t="s">
        <v>28612</v>
      </c>
      <c r="B2097" s="947" t="s">
        <v>2742</v>
      </c>
      <c r="C2097" s="948" t="s">
        <v>2740</v>
      </c>
      <c r="D2097" s="242" t="s">
        <v>28723</v>
      </c>
      <c r="E2097" s="949">
        <v>302</v>
      </c>
      <c r="F2097" s="949">
        <v>302</v>
      </c>
      <c r="G2097" s="950" t="s">
        <v>3021</v>
      </c>
      <c r="H2097" s="950" t="s">
        <v>441</v>
      </c>
      <c r="I2097" s="951" t="s">
        <v>2741</v>
      </c>
      <c r="J2097" s="947" t="s">
        <v>2742</v>
      </c>
      <c r="K2097" s="143"/>
    </row>
    <row r="2098" spans="1:11">
      <c r="A2098" s="946" t="s">
        <v>28612</v>
      </c>
      <c r="B2098" s="947" t="s">
        <v>2811</v>
      </c>
      <c r="C2098" s="948" t="s">
        <v>2809</v>
      </c>
      <c r="D2098" s="242" t="s">
        <v>28723</v>
      </c>
      <c r="E2098" s="949">
        <v>302</v>
      </c>
      <c r="F2098" s="949">
        <v>302</v>
      </c>
      <c r="G2098" s="950" t="s">
        <v>3021</v>
      </c>
      <c r="H2098" s="950" t="s">
        <v>441</v>
      </c>
      <c r="I2098" s="951" t="s">
        <v>2810</v>
      </c>
      <c r="J2098" s="947" t="s">
        <v>2811</v>
      </c>
      <c r="K2098" s="143"/>
    </row>
    <row r="2099" spans="1:11">
      <c r="A2099" s="946" t="s">
        <v>28612</v>
      </c>
      <c r="B2099" s="947" t="s">
        <v>2826</v>
      </c>
      <c r="C2099" s="948" t="s">
        <v>2824</v>
      </c>
      <c r="D2099" s="242" t="s">
        <v>28723</v>
      </c>
      <c r="E2099" s="949">
        <v>302</v>
      </c>
      <c r="F2099" s="949">
        <v>302</v>
      </c>
      <c r="G2099" s="950" t="s">
        <v>3021</v>
      </c>
      <c r="H2099" s="950" t="s">
        <v>441</v>
      </c>
      <c r="I2099" s="951" t="s">
        <v>2825</v>
      </c>
      <c r="J2099" s="947" t="s">
        <v>2826</v>
      </c>
      <c r="K2099" s="143"/>
    </row>
    <row r="2100" spans="1:11">
      <c r="A2100" s="946" t="s">
        <v>28612</v>
      </c>
      <c r="B2100" s="947" t="s">
        <v>2900</v>
      </c>
      <c r="C2100" s="948" t="s">
        <v>2898</v>
      </c>
      <c r="D2100" s="242" t="s">
        <v>28723</v>
      </c>
      <c r="E2100" s="949">
        <v>302</v>
      </c>
      <c r="F2100" s="949">
        <v>302</v>
      </c>
      <c r="G2100" s="950" t="s">
        <v>3021</v>
      </c>
      <c r="H2100" s="950" t="s">
        <v>441</v>
      </c>
      <c r="I2100" s="951" t="s">
        <v>2899</v>
      </c>
      <c r="J2100" s="947" t="s">
        <v>2900</v>
      </c>
      <c r="K2100" s="143"/>
    </row>
    <row r="2101" spans="1:11">
      <c r="A2101" s="946" t="s">
        <v>28612</v>
      </c>
      <c r="B2101" s="947" t="s">
        <v>2914</v>
      </c>
      <c r="C2101" s="948" t="s">
        <v>2912</v>
      </c>
      <c r="D2101" s="242" t="s">
        <v>28723</v>
      </c>
      <c r="E2101" s="949">
        <v>302</v>
      </c>
      <c r="F2101" s="949">
        <v>302</v>
      </c>
      <c r="G2101" s="950" t="s">
        <v>3021</v>
      </c>
      <c r="H2101" s="950" t="s">
        <v>441</v>
      </c>
      <c r="I2101" s="951" t="s">
        <v>2913</v>
      </c>
      <c r="J2101" s="947" t="s">
        <v>2914</v>
      </c>
      <c r="K2101" s="143"/>
    </row>
    <row r="2102" spans="1:11">
      <c r="A2102" s="946" t="s">
        <v>28612</v>
      </c>
      <c r="B2102" s="947" t="s">
        <v>2920</v>
      </c>
      <c r="C2102" s="948" t="s">
        <v>2918</v>
      </c>
      <c r="D2102" s="242" t="s">
        <v>28723</v>
      </c>
      <c r="E2102" s="949">
        <v>302</v>
      </c>
      <c r="F2102" s="949">
        <v>302</v>
      </c>
      <c r="G2102" s="950" t="s">
        <v>3021</v>
      </c>
      <c r="H2102" s="950" t="s">
        <v>441</v>
      </c>
      <c r="I2102" s="951" t="s">
        <v>2919</v>
      </c>
      <c r="J2102" s="947" t="s">
        <v>2920</v>
      </c>
      <c r="K2102" s="143"/>
    </row>
    <row r="2103" spans="1:11">
      <c r="A2103" s="946" t="s">
        <v>28612</v>
      </c>
      <c r="B2103" s="947" t="s">
        <v>2962</v>
      </c>
      <c r="C2103" s="948" t="s">
        <v>2960</v>
      </c>
      <c r="D2103" s="242" t="s">
        <v>28723</v>
      </c>
      <c r="E2103" s="949">
        <v>302</v>
      </c>
      <c r="F2103" s="949">
        <v>302</v>
      </c>
      <c r="G2103" s="950" t="s">
        <v>3021</v>
      </c>
      <c r="H2103" s="950" t="s">
        <v>441</v>
      </c>
      <c r="I2103" s="951" t="s">
        <v>2961</v>
      </c>
      <c r="J2103" s="947" t="s">
        <v>2962</v>
      </c>
      <c r="K2103" s="143"/>
    </row>
    <row r="2104" spans="1:11">
      <c r="A2104" s="946" t="s">
        <v>28612</v>
      </c>
      <c r="B2104" s="947" t="s">
        <v>2971</v>
      </c>
      <c r="C2104" s="948" t="s">
        <v>2969</v>
      </c>
      <c r="D2104" s="242" t="s">
        <v>28723</v>
      </c>
      <c r="E2104" s="949">
        <v>302</v>
      </c>
      <c r="F2104" s="949">
        <v>302</v>
      </c>
      <c r="G2104" s="950" t="s">
        <v>3021</v>
      </c>
      <c r="H2104" s="950" t="s">
        <v>441</v>
      </c>
      <c r="I2104" s="951" t="s">
        <v>2970</v>
      </c>
      <c r="J2104" s="947" t="s">
        <v>2971</v>
      </c>
      <c r="K2104" s="143"/>
    </row>
    <row r="2105" spans="1:11">
      <c r="A2105" s="946" t="s">
        <v>28612</v>
      </c>
      <c r="B2105" s="947" t="s">
        <v>3005</v>
      </c>
      <c r="C2105" s="948" t="s">
        <v>3003</v>
      </c>
      <c r="D2105" s="242" t="s">
        <v>28723</v>
      </c>
      <c r="E2105" s="949">
        <v>302</v>
      </c>
      <c r="F2105" s="949">
        <v>302</v>
      </c>
      <c r="G2105" s="950" t="s">
        <v>3021</v>
      </c>
      <c r="H2105" s="950" t="s">
        <v>441</v>
      </c>
      <c r="I2105" s="951" t="s">
        <v>3004</v>
      </c>
      <c r="J2105" s="947" t="s">
        <v>3005</v>
      </c>
      <c r="K2105" s="143"/>
    </row>
    <row r="2106" spans="1:11">
      <c r="A2106" s="946" t="s">
        <v>28612</v>
      </c>
      <c r="B2106" s="947" t="s">
        <v>3021</v>
      </c>
      <c r="C2106" s="948" t="s">
        <v>3019</v>
      </c>
      <c r="D2106" s="242" t="s">
        <v>28723</v>
      </c>
      <c r="E2106" s="949">
        <v>302</v>
      </c>
      <c r="F2106" s="949">
        <v>302</v>
      </c>
      <c r="G2106" s="950" t="s">
        <v>3021</v>
      </c>
      <c r="H2106" s="950" t="s">
        <v>441</v>
      </c>
      <c r="I2106" s="951" t="s">
        <v>3020</v>
      </c>
      <c r="J2106" s="947" t="s">
        <v>3021</v>
      </c>
      <c r="K2106" s="143"/>
    </row>
    <row r="2107" spans="1:11">
      <c r="A2107" s="946" t="s">
        <v>28612</v>
      </c>
      <c r="B2107" s="947" t="s">
        <v>3079</v>
      </c>
      <c r="C2107" s="948" t="s">
        <v>3077</v>
      </c>
      <c r="D2107" s="242" t="s">
        <v>28723</v>
      </c>
      <c r="E2107" s="949">
        <v>302</v>
      </c>
      <c r="F2107" s="949">
        <v>302</v>
      </c>
      <c r="G2107" s="950" t="s">
        <v>3021</v>
      </c>
      <c r="H2107" s="950" t="s">
        <v>441</v>
      </c>
      <c r="I2107" s="951" t="s">
        <v>3078</v>
      </c>
      <c r="J2107" s="947" t="s">
        <v>3079</v>
      </c>
      <c r="K2107" s="143"/>
    </row>
    <row r="2108" spans="1:11">
      <c r="A2108" s="946" t="s">
        <v>28612</v>
      </c>
      <c r="B2108" s="947" t="s">
        <v>3394</v>
      </c>
      <c r="C2108" s="948" t="s">
        <v>3392</v>
      </c>
      <c r="D2108" s="242" t="s">
        <v>28723</v>
      </c>
      <c r="E2108" s="949">
        <v>302</v>
      </c>
      <c r="F2108" s="949">
        <v>302</v>
      </c>
      <c r="G2108" s="950" t="s">
        <v>3021</v>
      </c>
      <c r="H2108" s="950" t="s">
        <v>441</v>
      </c>
      <c r="I2108" s="951" t="s">
        <v>3393</v>
      </c>
      <c r="J2108" s="947" t="s">
        <v>3394</v>
      </c>
      <c r="K2108" s="143"/>
    </row>
    <row r="2109" spans="1:11">
      <c r="A2109" s="946" t="s">
        <v>28612</v>
      </c>
      <c r="B2109" s="947" t="s">
        <v>3459</v>
      </c>
      <c r="C2109" s="948" t="s">
        <v>3457</v>
      </c>
      <c r="D2109" s="242" t="s">
        <v>28723</v>
      </c>
      <c r="E2109" s="949">
        <v>302</v>
      </c>
      <c r="F2109" s="949">
        <v>302</v>
      </c>
      <c r="G2109" s="950" t="s">
        <v>3021</v>
      </c>
      <c r="H2109" s="950" t="s">
        <v>441</v>
      </c>
      <c r="I2109" s="951" t="s">
        <v>3458</v>
      </c>
      <c r="J2109" s="947" t="s">
        <v>3459</v>
      </c>
      <c r="K2109" s="143"/>
    </row>
    <row r="2110" spans="1:11">
      <c r="A2110" s="946" t="s">
        <v>28612</v>
      </c>
      <c r="B2110" s="947" t="s">
        <v>3555</v>
      </c>
      <c r="C2110" s="948" t="s">
        <v>3553</v>
      </c>
      <c r="D2110" s="242" t="s">
        <v>28723</v>
      </c>
      <c r="E2110" s="949">
        <v>302</v>
      </c>
      <c r="F2110" s="949">
        <v>302</v>
      </c>
      <c r="G2110" s="950" t="s">
        <v>3021</v>
      </c>
      <c r="H2110" s="950" t="s">
        <v>441</v>
      </c>
      <c r="I2110" s="951" t="s">
        <v>3554</v>
      </c>
      <c r="J2110" s="947" t="s">
        <v>3555</v>
      </c>
      <c r="K2110" s="143"/>
    </row>
    <row r="2111" spans="1:11">
      <c r="A2111" s="946" t="s">
        <v>28612</v>
      </c>
      <c r="B2111" s="947" t="s">
        <v>3591</v>
      </c>
      <c r="C2111" s="948" t="s">
        <v>3589</v>
      </c>
      <c r="D2111" s="242" t="s">
        <v>28723</v>
      </c>
      <c r="E2111" s="949">
        <v>302</v>
      </c>
      <c r="F2111" s="949">
        <v>302</v>
      </c>
      <c r="G2111" s="950" t="s">
        <v>3021</v>
      </c>
      <c r="H2111" s="950" t="s">
        <v>441</v>
      </c>
      <c r="I2111" s="951" t="s">
        <v>3590</v>
      </c>
      <c r="J2111" s="947" t="s">
        <v>3591</v>
      </c>
      <c r="K2111" s="143"/>
    </row>
    <row r="2112" spans="1:11">
      <c r="A2112" s="946" t="s">
        <v>28612</v>
      </c>
      <c r="B2112" s="947" t="s">
        <v>4064</v>
      </c>
      <c r="C2112" s="948" t="s">
        <v>4062</v>
      </c>
      <c r="D2112" s="242" t="s">
        <v>28723</v>
      </c>
      <c r="E2112" s="949">
        <v>302</v>
      </c>
      <c r="F2112" s="949">
        <v>302</v>
      </c>
      <c r="G2112" s="950" t="s">
        <v>3021</v>
      </c>
      <c r="H2112" s="950" t="s">
        <v>441</v>
      </c>
      <c r="I2112" s="951" t="s">
        <v>4063</v>
      </c>
      <c r="J2112" s="947" t="s">
        <v>4064</v>
      </c>
      <c r="K2112" s="143"/>
    </row>
    <row r="2113" spans="1:11">
      <c r="A2113" s="946" t="s">
        <v>28612</v>
      </c>
      <c r="B2113" s="947" t="s">
        <v>4092</v>
      </c>
      <c r="C2113" s="948" t="s">
        <v>4090</v>
      </c>
      <c r="D2113" s="242" t="s">
        <v>28723</v>
      </c>
      <c r="E2113" s="949">
        <v>302</v>
      </c>
      <c r="F2113" s="949">
        <v>302</v>
      </c>
      <c r="G2113" s="950" t="s">
        <v>3021</v>
      </c>
      <c r="H2113" s="950" t="s">
        <v>441</v>
      </c>
      <c r="I2113" s="951" t="s">
        <v>4091</v>
      </c>
      <c r="J2113" s="947" t="s">
        <v>4092</v>
      </c>
      <c r="K2113" s="143"/>
    </row>
    <row r="2114" spans="1:11">
      <c r="A2114" s="946" t="s">
        <v>28612</v>
      </c>
      <c r="B2114" s="947" t="s">
        <v>4151</v>
      </c>
      <c r="C2114" s="948" t="s">
        <v>4149</v>
      </c>
      <c r="D2114" s="242" t="s">
        <v>28723</v>
      </c>
      <c r="E2114" s="949">
        <v>302</v>
      </c>
      <c r="F2114" s="949">
        <v>302</v>
      </c>
      <c r="G2114" s="950" t="s">
        <v>3021</v>
      </c>
      <c r="H2114" s="950" t="s">
        <v>441</v>
      </c>
      <c r="I2114" s="951" t="s">
        <v>4150</v>
      </c>
      <c r="J2114" s="947" t="s">
        <v>4151</v>
      </c>
      <c r="K2114" s="143"/>
    </row>
    <row r="2115" spans="1:11">
      <c r="A2115" s="946" t="s">
        <v>28612</v>
      </c>
      <c r="B2115" s="947" t="s">
        <v>4181</v>
      </c>
      <c r="C2115" s="948" t="s">
        <v>4179</v>
      </c>
      <c r="D2115" s="242" t="s">
        <v>28723</v>
      </c>
      <c r="E2115" s="949">
        <v>302</v>
      </c>
      <c r="F2115" s="949">
        <v>302</v>
      </c>
      <c r="G2115" s="950" t="s">
        <v>3021</v>
      </c>
      <c r="H2115" s="950" t="s">
        <v>441</v>
      </c>
      <c r="I2115" s="951" t="s">
        <v>4180</v>
      </c>
      <c r="J2115" s="947" t="s">
        <v>4181</v>
      </c>
      <c r="K2115" s="143"/>
    </row>
    <row r="2116" spans="1:11">
      <c r="A2116" s="946" t="s">
        <v>28612</v>
      </c>
      <c r="B2116" s="947" t="s">
        <v>4405</v>
      </c>
      <c r="C2116" s="948" t="s">
        <v>4403</v>
      </c>
      <c r="D2116" s="242" t="s">
        <v>28723</v>
      </c>
      <c r="E2116" s="949">
        <v>302</v>
      </c>
      <c r="F2116" s="949">
        <v>302</v>
      </c>
      <c r="G2116" s="950" t="s">
        <v>3021</v>
      </c>
      <c r="H2116" s="950" t="s">
        <v>441</v>
      </c>
      <c r="I2116" s="951" t="s">
        <v>4404</v>
      </c>
      <c r="J2116" s="947" t="s">
        <v>4405</v>
      </c>
      <c r="K2116" s="143"/>
    </row>
    <row r="2117" spans="1:11">
      <c r="A2117" s="946" t="s">
        <v>28612</v>
      </c>
      <c r="B2117" s="947" t="s">
        <v>4907</v>
      </c>
      <c r="C2117" s="948" t="s">
        <v>4905</v>
      </c>
      <c r="D2117" s="242" t="s">
        <v>28723</v>
      </c>
      <c r="E2117" s="949">
        <v>302</v>
      </c>
      <c r="F2117" s="949">
        <v>302</v>
      </c>
      <c r="G2117" s="950" t="s">
        <v>3021</v>
      </c>
      <c r="H2117" s="950" t="s">
        <v>441</v>
      </c>
      <c r="I2117" s="951" t="s">
        <v>4906</v>
      </c>
      <c r="J2117" s="947" t="s">
        <v>4907</v>
      </c>
      <c r="K2117" s="143"/>
    </row>
    <row r="2118" spans="1:11">
      <c r="A2118" s="946" t="s">
        <v>28612</v>
      </c>
      <c r="B2118" s="947" t="s">
        <v>5073</v>
      </c>
      <c r="C2118" s="948" t="s">
        <v>5071</v>
      </c>
      <c r="D2118" s="242" t="s">
        <v>28723</v>
      </c>
      <c r="E2118" s="949">
        <v>302</v>
      </c>
      <c r="F2118" s="949">
        <v>302</v>
      </c>
      <c r="G2118" s="950" t="s">
        <v>3021</v>
      </c>
      <c r="H2118" s="950" t="s">
        <v>441</v>
      </c>
      <c r="I2118" s="951" t="s">
        <v>5072</v>
      </c>
      <c r="J2118" s="947" t="s">
        <v>5073</v>
      </c>
      <c r="K2118" s="143"/>
    </row>
    <row r="2119" spans="1:11">
      <c r="A2119" s="946" t="s">
        <v>28612</v>
      </c>
      <c r="B2119" s="947" t="s">
        <v>5000</v>
      </c>
      <c r="C2119" s="948" t="s">
        <v>4998</v>
      </c>
      <c r="D2119" s="242" t="s">
        <v>28723</v>
      </c>
      <c r="E2119" s="949">
        <v>302</v>
      </c>
      <c r="F2119" s="949">
        <v>302</v>
      </c>
      <c r="G2119" s="950" t="s">
        <v>3021</v>
      </c>
      <c r="H2119" s="950" t="s">
        <v>441</v>
      </c>
      <c r="I2119" s="951" t="s">
        <v>4999</v>
      </c>
      <c r="J2119" s="947" t="s">
        <v>5000</v>
      </c>
      <c r="K2119" s="143"/>
    </row>
    <row r="2120" spans="1:11">
      <c r="A2120" s="946" t="s">
        <v>28612</v>
      </c>
      <c r="B2120" s="947" t="s">
        <v>5472</v>
      </c>
      <c r="C2120" s="948" t="s">
        <v>5470</v>
      </c>
      <c r="D2120" s="242" t="s">
        <v>28723</v>
      </c>
      <c r="E2120" s="949">
        <v>302</v>
      </c>
      <c r="F2120" s="949">
        <v>302</v>
      </c>
      <c r="G2120" s="950" t="s">
        <v>3021</v>
      </c>
      <c r="H2120" s="950" t="s">
        <v>441</v>
      </c>
      <c r="I2120" s="951" t="s">
        <v>5471</v>
      </c>
      <c r="J2120" s="947" t="s">
        <v>5472</v>
      </c>
      <c r="K2120" s="143"/>
    </row>
    <row r="2121" spans="1:11">
      <c r="A2121" s="946" t="s">
        <v>28612</v>
      </c>
      <c r="B2121" s="947" t="s">
        <v>5560</v>
      </c>
      <c r="C2121" s="948" t="s">
        <v>5558</v>
      </c>
      <c r="D2121" s="242" t="s">
        <v>28723</v>
      </c>
      <c r="E2121" s="949">
        <v>302</v>
      </c>
      <c r="F2121" s="949">
        <v>302</v>
      </c>
      <c r="G2121" s="950" t="s">
        <v>3021</v>
      </c>
      <c r="H2121" s="950" t="s">
        <v>441</v>
      </c>
      <c r="I2121" s="951" t="s">
        <v>5559</v>
      </c>
      <c r="J2121" s="947" t="s">
        <v>5560</v>
      </c>
      <c r="K2121" s="143"/>
    </row>
    <row r="2122" spans="1:11">
      <c r="A2122" s="946" t="s">
        <v>28612</v>
      </c>
      <c r="B2122" s="947" t="s">
        <v>5566</v>
      </c>
      <c r="C2122" s="948" t="s">
        <v>5564</v>
      </c>
      <c r="D2122" s="242" t="s">
        <v>28723</v>
      </c>
      <c r="E2122" s="949">
        <v>302</v>
      </c>
      <c r="F2122" s="949">
        <v>302</v>
      </c>
      <c r="G2122" s="950" t="s">
        <v>3021</v>
      </c>
      <c r="H2122" s="950" t="s">
        <v>441</v>
      </c>
      <c r="I2122" s="951" t="s">
        <v>5565</v>
      </c>
      <c r="J2122" s="947" t="s">
        <v>5566</v>
      </c>
      <c r="K2122" s="143"/>
    </row>
    <row r="2123" spans="1:11">
      <c r="A2123" s="946" t="s">
        <v>28612</v>
      </c>
      <c r="B2123" s="947" t="s">
        <v>5742</v>
      </c>
      <c r="C2123" s="948" t="s">
        <v>5740</v>
      </c>
      <c r="D2123" s="242" t="s">
        <v>28723</v>
      </c>
      <c r="E2123" s="949">
        <v>302</v>
      </c>
      <c r="F2123" s="949">
        <v>302</v>
      </c>
      <c r="G2123" s="950" t="s">
        <v>3021</v>
      </c>
      <c r="H2123" s="950" t="s">
        <v>441</v>
      </c>
      <c r="I2123" s="951" t="s">
        <v>5741</v>
      </c>
      <c r="J2123" s="947" t="s">
        <v>5742</v>
      </c>
      <c r="K2123" s="143"/>
    </row>
    <row r="2124" spans="1:11">
      <c r="A2124" s="946" t="s">
        <v>28612</v>
      </c>
      <c r="B2124" s="947" t="s">
        <v>5760</v>
      </c>
      <c r="C2124" s="948" t="s">
        <v>5758</v>
      </c>
      <c r="D2124" s="242" t="s">
        <v>28723</v>
      </c>
      <c r="E2124" s="949">
        <v>302</v>
      </c>
      <c r="F2124" s="949">
        <v>302</v>
      </c>
      <c r="G2124" s="950" t="s">
        <v>3021</v>
      </c>
      <c r="H2124" s="950" t="s">
        <v>441</v>
      </c>
      <c r="I2124" s="951" t="s">
        <v>5759</v>
      </c>
      <c r="J2124" s="947" t="s">
        <v>5760</v>
      </c>
      <c r="K2124" s="143"/>
    </row>
    <row r="2125" spans="1:11">
      <c r="A2125" s="946" t="s">
        <v>28612</v>
      </c>
      <c r="B2125" s="947" t="s">
        <v>5805</v>
      </c>
      <c r="C2125" s="948" t="s">
        <v>5803</v>
      </c>
      <c r="D2125" s="242" t="s">
        <v>28723</v>
      </c>
      <c r="E2125" s="949">
        <v>302</v>
      </c>
      <c r="F2125" s="949">
        <v>302</v>
      </c>
      <c r="G2125" s="950" t="s">
        <v>3021</v>
      </c>
      <c r="H2125" s="950" t="s">
        <v>441</v>
      </c>
      <c r="I2125" s="951" t="s">
        <v>5804</v>
      </c>
      <c r="J2125" s="947" t="s">
        <v>5805</v>
      </c>
      <c r="K2125" s="143"/>
    </row>
    <row r="2126" spans="1:11">
      <c r="A2126" s="946" t="s">
        <v>28612</v>
      </c>
      <c r="B2126" s="947" t="s">
        <v>6067</v>
      </c>
      <c r="C2126" s="948" t="s">
        <v>6065</v>
      </c>
      <c r="D2126" s="242" t="s">
        <v>28723</v>
      </c>
      <c r="E2126" s="949">
        <v>302</v>
      </c>
      <c r="F2126" s="949">
        <v>302</v>
      </c>
      <c r="G2126" s="950" t="s">
        <v>3021</v>
      </c>
      <c r="H2126" s="950" t="s">
        <v>441</v>
      </c>
      <c r="I2126" s="951" t="s">
        <v>6066</v>
      </c>
      <c r="J2126" s="947" t="s">
        <v>6067</v>
      </c>
      <c r="K2126" s="143"/>
    </row>
    <row r="2127" spans="1:11">
      <c r="A2127" s="946" t="s">
        <v>28612</v>
      </c>
      <c r="B2127" s="947" t="s">
        <v>6154</v>
      </c>
      <c r="C2127" s="948" t="s">
        <v>6152</v>
      </c>
      <c r="D2127" s="242" t="s">
        <v>28723</v>
      </c>
      <c r="E2127" s="949">
        <v>302</v>
      </c>
      <c r="F2127" s="949">
        <v>302</v>
      </c>
      <c r="G2127" s="950" t="s">
        <v>3021</v>
      </c>
      <c r="H2127" s="950" t="s">
        <v>441</v>
      </c>
      <c r="I2127" s="951" t="s">
        <v>6153</v>
      </c>
      <c r="J2127" s="947" t="s">
        <v>6154</v>
      </c>
      <c r="K2127" s="143"/>
    </row>
    <row r="2128" spans="1:11">
      <c r="A2128" s="946" t="s">
        <v>28612</v>
      </c>
      <c r="B2128" s="947" t="s">
        <v>6166</v>
      </c>
      <c r="C2128" s="948" t="s">
        <v>6164</v>
      </c>
      <c r="D2128" s="242" t="s">
        <v>28723</v>
      </c>
      <c r="E2128" s="949">
        <v>302</v>
      </c>
      <c r="F2128" s="949">
        <v>302</v>
      </c>
      <c r="G2128" s="950" t="s">
        <v>3021</v>
      </c>
      <c r="H2128" s="950" t="s">
        <v>441</v>
      </c>
      <c r="I2128" s="951" t="s">
        <v>6165</v>
      </c>
      <c r="J2128" s="947" t="s">
        <v>6166</v>
      </c>
      <c r="K2128" s="143"/>
    </row>
    <row r="2129" spans="1:11">
      <c r="A2129" s="946" t="s">
        <v>28612</v>
      </c>
      <c r="B2129" s="947" t="s">
        <v>6228</v>
      </c>
      <c r="C2129" s="948" t="s">
        <v>6226</v>
      </c>
      <c r="D2129" s="242" t="s">
        <v>28723</v>
      </c>
      <c r="E2129" s="949">
        <v>302</v>
      </c>
      <c r="F2129" s="949">
        <v>302</v>
      </c>
      <c r="G2129" s="950" t="s">
        <v>3021</v>
      </c>
      <c r="H2129" s="950" t="s">
        <v>441</v>
      </c>
      <c r="I2129" s="951" t="s">
        <v>6227</v>
      </c>
      <c r="J2129" s="947" t="s">
        <v>6228</v>
      </c>
      <c r="K2129" s="143"/>
    </row>
    <row r="2130" spans="1:11">
      <c r="A2130" s="946" t="s">
        <v>28612</v>
      </c>
      <c r="B2130" s="947" t="s">
        <v>6377</v>
      </c>
      <c r="C2130" s="948" t="s">
        <v>6375</v>
      </c>
      <c r="D2130" s="242" t="s">
        <v>28723</v>
      </c>
      <c r="E2130" s="949">
        <v>302</v>
      </c>
      <c r="F2130" s="949">
        <v>302</v>
      </c>
      <c r="G2130" s="950" t="s">
        <v>3021</v>
      </c>
      <c r="H2130" s="950" t="s">
        <v>441</v>
      </c>
      <c r="I2130" s="951" t="s">
        <v>6376</v>
      </c>
      <c r="J2130" s="947" t="s">
        <v>6377</v>
      </c>
      <c r="K2130" s="143"/>
    </row>
    <row r="2131" spans="1:11">
      <c r="A2131" s="946" t="s">
        <v>28612</v>
      </c>
      <c r="B2131" s="947" t="s">
        <v>6386</v>
      </c>
      <c r="C2131" s="948" t="s">
        <v>6384</v>
      </c>
      <c r="D2131" s="242" t="s">
        <v>28723</v>
      </c>
      <c r="E2131" s="949">
        <v>302</v>
      </c>
      <c r="F2131" s="949">
        <v>302</v>
      </c>
      <c r="G2131" s="950" t="s">
        <v>3021</v>
      </c>
      <c r="H2131" s="950" t="s">
        <v>441</v>
      </c>
      <c r="I2131" s="951" t="s">
        <v>6385</v>
      </c>
      <c r="J2131" s="947" t="s">
        <v>6386</v>
      </c>
      <c r="K2131" s="143"/>
    </row>
    <row r="2132" spans="1:11">
      <c r="A2132" s="946" t="s">
        <v>28612</v>
      </c>
      <c r="B2132" s="947" t="s">
        <v>6546</v>
      </c>
      <c r="C2132" s="948" t="s">
        <v>6544</v>
      </c>
      <c r="D2132" s="242" t="s">
        <v>28723</v>
      </c>
      <c r="E2132" s="949">
        <v>302</v>
      </c>
      <c r="F2132" s="949">
        <v>302</v>
      </c>
      <c r="G2132" s="950" t="s">
        <v>3021</v>
      </c>
      <c r="H2132" s="950" t="s">
        <v>441</v>
      </c>
      <c r="I2132" s="951" t="s">
        <v>6545</v>
      </c>
      <c r="J2132" s="947" t="s">
        <v>6546</v>
      </c>
      <c r="K2132" s="143"/>
    </row>
    <row r="2133" spans="1:11">
      <c r="A2133" s="946" t="s">
        <v>28612</v>
      </c>
      <c r="B2133" s="947" t="s">
        <v>6645</v>
      </c>
      <c r="C2133" s="948" t="s">
        <v>6643</v>
      </c>
      <c r="D2133" s="242" t="s">
        <v>28723</v>
      </c>
      <c r="E2133" s="949">
        <v>302</v>
      </c>
      <c r="F2133" s="949">
        <v>302</v>
      </c>
      <c r="G2133" s="950" t="s">
        <v>3021</v>
      </c>
      <c r="H2133" s="950" t="s">
        <v>441</v>
      </c>
      <c r="I2133" s="951" t="s">
        <v>6644</v>
      </c>
      <c r="J2133" s="947" t="s">
        <v>6645</v>
      </c>
      <c r="K2133" s="143"/>
    </row>
    <row r="2134" spans="1:11">
      <c r="A2134" s="946" t="s">
        <v>28612</v>
      </c>
      <c r="B2134" s="947" t="s">
        <v>6742</v>
      </c>
      <c r="C2134" s="948" t="s">
        <v>6740</v>
      </c>
      <c r="D2134" s="242" t="s">
        <v>28723</v>
      </c>
      <c r="E2134" s="949">
        <v>302</v>
      </c>
      <c r="F2134" s="949">
        <v>302</v>
      </c>
      <c r="G2134" s="950" t="s">
        <v>3021</v>
      </c>
      <c r="H2134" s="950" t="s">
        <v>441</v>
      </c>
      <c r="I2134" s="951" t="s">
        <v>6741</v>
      </c>
      <c r="J2134" s="947" t="s">
        <v>6742</v>
      </c>
      <c r="K2134" s="143"/>
    </row>
    <row r="2135" spans="1:11">
      <c r="A2135" s="946" t="s">
        <v>28612</v>
      </c>
      <c r="B2135" s="947" t="s">
        <v>6812</v>
      </c>
      <c r="C2135" s="948" t="s">
        <v>6810</v>
      </c>
      <c r="D2135" s="242" t="s">
        <v>28723</v>
      </c>
      <c r="E2135" s="949">
        <v>302</v>
      </c>
      <c r="F2135" s="949">
        <v>302</v>
      </c>
      <c r="G2135" s="950" t="s">
        <v>3021</v>
      </c>
      <c r="H2135" s="950" t="s">
        <v>441</v>
      </c>
      <c r="I2135" s="951" t="s">
        <v>6811</v>
      </c>
      <c r="J2135" s="947" t="s">
        <v>6812</v>
      </c>
      <c r="K2135" s="143"/>
    </row>
    <row r="2136" spans="1:11">
      <c r="A2136" s="946" t="s">
        <v>28612</v>
      </c>
      <c r="B2136" s="947" t="s">
        <v>6830</v>
      </c>
      <c r="C2136" s="948" t="s">
        <v>6828</v>
      </c>
      <c r="D2136" s="242" t="s">
        <v>28723</v>
      </c>
      <c r="E2136" s="949">
        <v>302</v>
      </c>
      <c r="F2136" s="949">
        <v>302</v>
      </c>
      <c r="G2136" s="950" t="s">
        <v>3021</v>
      </c>
      <c r="H2136" s="950" t="s">
        <v>441</v>
      </c>
      <c r="I2136" s="951" t="s">
        <v>6829</v>
      </c>
      <c r="J2136" s="947" t="s">
        <v>6830</v>
      </c>
      <c r="K2136" s="143"/>
    </row>
    <row r="2137" spans="1:11">
      <c r="A2137" s="946" t="s">
        <v>28612</v>
      </c>
      <c r="B2137" s="947" t="s">
        <v>6890</v>
      </c>
      <c r="C2137" s="948" t="s">
        <v>6888</v>
      </c>
      <c r="D2137" s="242" t="s">
        <v>28723</v>
      </c>
      <c r="E2137" s="949">
        <v>302</v>
      </c>
      <c r="F2137" s="949">
        <v>302</v>
      </c>
      <c r="G2137" s="950" t="s">
        <v>3021</v>
      </c>
      <c r="H2137" s="950" t="s">
        <v>441</v>
      </c>
      <c r="I2137" s="951" t="s">
        <v>6889</v>
      </c>
      <c r="J2137" s="947" t="s">
        <v>6890</v>
      </c>
      <c r="K2137" s="143"/>
    </row>
    <row r="2138" spans="1:11">
      <c r="A2138" s="946" t="s">
        <v>28612</v>
      </c>
      <c r="B2138" s="947" t="s">
        <v>6941</v>
      </c>
      <c r="C2138" s="948" t="s">
        <v>6939</v>
      </c>
      <c r="D2138" s="242" t="s">
        <v>28723</v>
      </c>
      <c r="E2138" s="949">
        <v>302</v>
      </c>
      <c r="F2138" s="949">
        <v>302</v>
      </c>
      <c r="G2138" s="950" t="s">
        <v>3021</v>
      </c>
      <c r="H2138" s="950" t="s">
        <v>441</v>
      </c>
      <c r="I2138" s="951" t="s">
        <v>6940</v>
      </c>
      <c r="J2138" s="947" t="s">
        <v>6941</v>
      </c>
      <c r="K2138" s="143"/>
    </row>
    <row r="2139" spans="1:11">
      <c r="A2139" s="946" t="s">
        <v>28612</v>
      </c>
      <c r="B2139" s="947" t="s">
        <v>7174</v>
      </c>
      <c r="C2139" s="948" t="s">
        <v>7172</v>
      </c>
      <c r="D2139" s="242" t="s">
        <v>28723</v>
      </c>
      <c r="E2139" s="949">
        <v>302</v>
      </c>
      <c r="F2139" s="949">
        <v>302</v>
      </c>
      <c r="G2139" s="950" t="s">
        <v>3021</v>
      </c>
      <c r="H2139" s="950" t="s">
        <v>441</v>
      </c>
      <c r="I2139" s="951" t="s">
        <v>7173</v>
      </c>
      <c r="J2139" s="947" t="s">
        <v>7174</v>
      </c>
      <c r="K2139" s="143"/>
    </row>
    <row r="2140" spans="1:11">
      <c r="A2140" s="946" t="s">
        <v>28612</v>
      </c>
      <c r="B2140" s="947" t="s">
        <v>7186</v>
      </c>
      <c r="C2140" s="948" t="s">
        <v>7184</v>
      </c>
      <c r="D2140" s="242" t="s">
        <v>28723</v>
      </c>
      <c r="E2140" s="949">
        <v>302</v>
      </c>
      <c r="F2140" s="949">
        <v>302</v>
      </c>
      <c r="G2140" s="950" t="s">
        <v>3021</v>
      </c>
      <c r="H2140" s="950" t="s">
        <v>441</v>
      </c>
      <c r="I2140" s="951" t="s">
        <v>7185</v>
      </c>
      <c r="J2140" s="947" t="s">
        <v>7186</v>
      </c>
      <c r="K2140" s="143"/>
    </row>
    <row r="2141" spans="1:11">
      <c r="A2141" s="946" t="s">
        <v>28612</v>
      </c>
      <c r="B2141" s="947" t="s">
        <v>7215</v>
      </c>
      <c r="C2141" s="948" t="s">
        <v>7213</v>
      </c>
      <c r="D2141" s="242" t="s">
        <v>28723</v>
      </c>
      <c r="E2141" s="949">
        <v>302</v>
      </c>
      <c r="F2141" s="949">
        <v>302</v>
      </c>
      <c r="G2141" s="950" t="s">
        <v>3021</v>
      </c>
      <c r="H2141" s="950" t="s">
        <v>441</v>
      </c>
      <c r="I2141" s="951" t="s">
        <v>7214</v>
      </c>
      <c r="J2141" s="947" t="s">
        <v>7215</v>
      </c>
      <c r="K2141" s="143"/>
    </row>
    <row r="2142" spans="1:11">
      <c r="A2142" s="946" t="s">
        <v>28612</v>
      </c>
      <c r="B2142" s="947" t="s">
        <v>7557</v>
      </c>
      <c r="C2142" s="948" t="s">
        <v>7555</v>
      </c>
      <c r="D2142" s="242" t="s">
        <v>28723</v>
      </c>
      <c r="E2142" s="949">
        <v>302</v>
      </c>
      <c r="F2142" s="949">
        <v>302</v>
      </c>
      <c r="G2142" s="950" t="s">
        <v>3021</v>
      </c>
      <c r="H2142" s="950" t="s">
        <v>441</v>
      </c>
      <c r="I2142" s="951" t="s">
        <v>7556</v>
      </c>
      <c r="J2142" s="947" t="s">
        <v>7557</v>
      </c>
      <c r="K2142" s="143"/>
    </row>
    <row r="2143" spans="1:11">
      <c r="A2143" s="946" t="s">
        <v>28612</v>
      </c>
      <c r="B2143" s="947" t="s">
        <v>7598</v>
      </c>
      <c r="C2143" s="948" t="s">
        <v>7596</v>
      </c>
      <c r="D2143" s="242" t="s">
        <v>28723</v>
      </c>
      <c r="E2143" s="949">
        <v>302</v>
      </c>
      <c r="F2143" s="949">
        <v>302</v>
      </c>
      <c r="G2143" s="950" t="s">
        <v>3021</v>
      </c>
      <c r="H2143" s="950" t="s">
        <v>441</v>
      </c>
      <c r="I2143" s="951" t="s">
        <v>7597</v>
      </c>
      <c r="J2143" s="947" t="s">
        <v>7598</v>
      </c>
      <c r="K2143" s="143"/>
    </row>
    <row r="2144" spans="1:11">
      <c r="A2144" s="946" t="s">
        <v>28612</v>
      </c>
      <c r="B2144" s="947" t="s">
        <v>7625</v>
      </c>
      <c r="C2144" s="948" t="s">
        <v>7623</v>
      </c>
      <c r="D2144" s="242" t="s">
        <v>28723</v>
      </c>
      <c r="E2144" s="949">
        <v>302</v>
      </c>
      <c r="F2144" s="949">
        <v>302</v>
      </c>
      <c r="G2144" s="950" t="s">
        <v>3021</v>
      </c>
      <c r="H2144" s="950" t="s">
        <v>441</v>
      </c>
      <c r="I2144" s="951" t="s">
        <v>7624</v>
      </c>
      <c r="J2144" s="947" t="s">
        <v>7625</v>
      </c>
      <c r="K2144" s="143"/>
    </row>
    <row r="2145" spans="1:11">
      <c r="A2145" s="946" t="s">
        <v>28612</v>
      </c>
      <c r="B2145" s="947" t="s">
        <v>7823</v>
      </c>
      <c r="C2145" s="948" t="s">
        <v>7821</v>
      </c>
      <c r="D2145" s="242" t="s">
        <v>28723</v>
      </c>
      <c r="E2145" s="949">
        <v>302</v>
      </c>
      <c r="F2145" s="949">
        <v>302</v>
      </c>
      <c r="G2145" s="950" t="s">
        <v>3021</v>
      </c>
      <c r="H2145" s="950" t="s">
        <v>441</v>
      </c>
      <c r="I2145" s="951" t="s">
        <v>7822</v>
      </c>
      <c r="J2145" s="947" t="s">
        <v>7823</v>
      </c>
      <c r="K2145" s="143"/>
    </row>
    <row r="2146" spans="1:11">
      <c r="A2146" s="946" t="s">
        <v>28612</v>
      </c>
      <c r="B2146" s="947" t="s">
        <v>7881</v>
      </c>
      <c r="C2146" s="948" t="s">
        <v>7879</v>
      </c>
      <c r="D2146" s="242" t="s">
        <v>28723</v>
      </c>
      <c r="E2146" s="949">
        <v>302</v>
      </c>
      <c r="F2146" s="949">
        <v>302</v>
      </c>
      <c r="G2146" s="950" t="s">
        <v>3021</v>
      </c>
      <c r="H2146" s="950" t="s">
        <v>441</v>
      </c>
      <c r="I2146" s="951" t="s">
        <v>7880</v>
      </c>
      <c r="J2146" s="947" t="s">
        <v>7881</v>
      </c>
      <c r="K2146" s="143"/>
    </row>
    <row r="2147" spans="1:11">
      <c r="A2147" s="946" t="s">
        <v>28612</v>
      </c>
      <c r="B2147" s="947" t="s">
        <v>7909</v>
      </c>
      <c r="C2147" s="948" t="s">
        <v>7907</v>
      </c>
      <c r="D2147" s="242" t="s">
        <v>28723</v>
      </c>
      <c r="E2147" s="949">
        <v>302</v>
      </c>
      <c r="F2147" s="949">
        <v>302</v>
      </c>
      <c r="G2147" s="950" t="s">
        <v>3021</v>
      </c>
      <c r="H2147" s="950" t="s">
        <v>441</v>
      </c>
      <c r="I2147" s="951" t="s">
        <v>7908</v>
      </c>
      <c r="J2147" s="947" t="s">
        <v>7909</v>
      </c>
      <c r="K2147" s="143"/>
    </row>
    <row r="2148" spans="1:11">
      <c r="A2148" s="946" t="s">
        <v>28612</v>
      </c>
      <c r="B2148" s="947" t="s">
        <v>8214</v>
      </c>
      <c r="C2148" s="948" t="s">
        <v>8212</v>
      </c>
      <c r="D2148" s="242" t="s">
        <v>28723</v>
      </c>
      <c r="E2148" s="949">
        <v>302</v>
      </c>
      <c r="F2148" s="949">
        <v>302</v>
      </c>
      <c r="G2148" s="950" t="s">
        <v>3021</v>
      </c>
      <c r="H2148" s="950" t="s">
        <v>441</v>
      </c>
      <c r="I2148" s="951" t="s">
        <v>8213</v>
      </c>
      <c r="J2148" s="947" t="s">
        <v>8214</v>
      </c>
      <c r="K2148" s="143"/>
    </row>
    <row r="2149" spans="1:11">
      <c r="A2149" s="946" t="s">
        <v>28612</v>
      </c>
      <c r="B2149" s="947" t="s">
        <v>8328</v>
      </c>
      <c r="C2149" s="948" t="s">
        <v>8326</v>
      </c>
      <c r="D2149" s="242" t="s">
        <v>28723</v>
      </c>
      <c r="E2149" s="949">
        <v>302</v>
      </c>
      <c r="F2149" s="949">
        <v>302</v>
      </c>
      <c r="G2149" s="950" t="s">
        <v>3021</v>
      </c>
      <c r="H2149" s="950" t="s">
        <v>441</v>
      </c>
      <c r="I2149" s="951" t="s">
        <v>8327</v>
      </c>
      <c r="J2149" s="947" t="s">
        <v>8328</v>
      </c>
      <c r="K2149" s="143"/>
    </row>
    <row r="2150" spans="1:11">
      <c r="A2150" s="946" t="s">
        <v>28612</v>
      </c>
      <c r="B2150" s="947" t="s">
        <v>8923</v>
      </c>
      <c r="C2150" s="948" t="s">
        <v>8921</v>
      </c>
      <c r="D2150" s="242" t="s">
        <v>28723</v>
      </c>
      <c r="E2150" s="949">
        <v>302</v>
      </c>
      <c r="F2150" s="949">
        <v>302</v>
      </c>
      <c r="G2150" s="950" t="s">
        <v>3021</v>
      </c>
      <c r="H2150" s="950" t="s">
        <v>441</v>
      </c>
      <c r="I2150" s="951" t="s">
        <v>8922</v>
      </c>
      <c r="J2150" s="947" t="s">
        <v>8923</v>
      </c>
      <c r="K2150" s="143"/>
    </row>
    <row r="2151" spans="1:11">
      <c r="A2151" s="946" t="s">
        <v>28612</v>
      </c>
      <c r="B2151" s="947" t="s">
        <v>8980</v>
      </c>
      <c r="C2151" s="948" t="s">
        <v>8978</v>
      </c>
      <c r="D2151" s="242" t="s">
        <v>28723</v>
      </c>
      <c r="E2151" s="949">
        <v>302</v>
      </c>
      <c r="F2151" s="949">
        <v>302</v>
      </c>
      <c r="G2151" s="950" t="s">
        <v>3021</v>
      </c>
      <c r="H2151" s="950" t="s">
        <v>441</v>
      </c>
      <c r="I2151" s="951" t="s">
        <v>8979</v>
      </c>
      <c r="J2151" s="947" t="s">
        <v>8980</v>
      </c>
      <c r="K2151" s="143"/>
    </row>
    <row r="2152" spans="1:11">
      <c r="A2152" s="946" t="s">
        <v>28612</v>
      </c>
      <c r="B2152" s="947" t="s">
        <v>8983</v>
      </c>
      <c r="C2152" s="948" t="s">
        <v>8981</v>
      </c>
      <c r="D2152" s="242" t="s">
        <v>28723</v>
      </c>
      <c r="E2152" s="949">
        <v>302</v>
      </c>
      <c r="F2152" s="949">
        <v>302</v>
      </c>
      <c r="G2152" s="950" t="s">
        <v>3021</v>
      </c>
      <c r="H2152" s="950" t="s">
        <v>441</v>
      </c>
      <c r="I2152" s="951" t="s">
        <v>8982</v>
      </c>
      <c r="J2152" s="947" t="s">
        <v>8983</v>
      </c>
      <c r="K2152" s="143"/>
    </row>
    <row r="2153" spans="1:11">
      <c r="A2153" s="946" t="s">
        <v>28612</v>
      </c>
      <c r="B2153" s="947" t="s">
        <v>8993</v>
      </c>
      <c r="C2153" s="948" t="s">
        <v>8991</v>
      </c>
      <c r="D2153" s="242" t="s">
        <v>28723</v>
      </c>
      <c r="E2153" s="949">
        <v>302</v>
      </c>
      <c r="F2153" s="949">
        <v>302</v>
      </c>
      <c r="G2153" s="950" t="s">
        <v>3021</v>
      </c>
      <c r="H2153" s="950" t="s">
        <v>441</v>
      </c>
      <c r="I2153" s="951" t="s">
        <v>8992</v>
      </c>
      <c r="J2153" s="947" t="s">
        <v>8993</v>
      </c>
      <c r="K2153" s="143"/>
    </row>
    <row r="2154" spans="1:11">
      <c r="A2154" s="946" t="s">
        <v>28612</v>
      </c>
      <c r="B2154" s="947" t="s">
        <v>9029</v>
      </c>
      <c r="C2154" s="948" t="s">
        <v>9027</v>
      </c>
      <c r="D2154" s="242" t="s">
        <v>28723</v>
      </c>
      <c r="E2154" s="949">
        <v>302</v>
      </c>
      <c r="F2154" s="949">
        <v>302</v>
      </c>
      <c r="G2154" s="950" t="s">
        <v>3021</v>
      </c>
      <c r="H2154" s="950" t="s">
        <v>441</v>
      </c>
      <c r="I2154" s="951" t="s">
        <v>9028</v>
      </c>
      <c r="J2154" s="947" t="s">
        <v>9029</v>
      </c>
      <c r="K2154" s="143"/>
    </row>
    <row r="2155" spans="1:11">
      <c r="A2155" s="946" t="s">
        <v>28612</v>
      </c>
      <c r="B2155" s="947" t="s">
        <v>9154</v>
      </c>
      <c r="C2155" s="948" t="s">
        <v>9152</v>
      </c>
      <c r="D2155" s="242" t="s">
        <v>28723</v>
      </c>
      <c r="E2155" s="949">
        <v>302</v>
      </c>
      <c r="F2155" s="949">
        <v>302</v>
      </c>
      <c r="G2155" s="950" t="s">
        <v>3021</v>
      </c>
      <c r="H2155" s="950" t="s">
        <v>441</v>
      </c>
      <c r="I2155" s="951" t="s">
        <v>9153</v>
      </c>
      <c r="J2155" s="947" t="s">
        <v>9154</v>
      </c>
      <c r="K2155" s="143"/>
    </row>
    <row r="2156" spans="1:11">
      <c r="A2156" s="946" t="s">
        <v>28612</v>
      </c>
      <c r="B2156" s="947" t="s">
        <v>9176</v>
      </c>
      <c r="C2156" s="948" t="s">
        <v>9174</v>
      </c>
      <c r="D2156" s="242" t="s">
        <v>28723</v>
      </c>
      <c r="E2156" s="949">
        <v>302</v>
      </c>
      <c r="F2156" s="949">
        <v>302</v>
      </c>
      <c r="G2156" s="950" t="s">
        <v>3021</v>
      </c>
      <c r="H2156" s="950" t="s">
        <v>441</v>
      </c>
      <c r="I2156" s="951" t="s">
        <v>9175</v>
      </c>
      <c r="J2156" s="947" t="s">
        <v>9176</v>
      </c>
      <c r="K2156" s="143"/>
    </row>
    <row r="2157" spans="1:11">
      <c r="A2157" s="946" t="s">
        <v>28612</v>
      </c>
      <c r="B2157" s="947" t="s">
        <v>9416</v>
      </c>
      <c r="C2157" s="948" t="s">
        <v>9414</v>
      </c>
      <c r="D2157" s="242" t="s">
        <v>28723</v>
      </c>
      <c r="E2157" s="949">
        <v>302</v>
      </c>
      <c r="F2157" s="949">
        <v>302</v>
      </c>
      <c r="G2157" s="950" t="s">
        <v>3021</v>
      </c>
      <c r="H2157" s="950" t="s">
        <v>441</v>
      </c>
      <c r="I2157" s="951" t="s">
        <v>9415</v>
      </c>
      <c r="J2157" s="947" t="s">
        <v>9416</v>
      </c>
      <c r="K2157" s="143"/>
    </row>
    <row r="2158" spans="1:11">
      <c r="A2158" s="946" t="s">
        <v>28612</v>
      </c>
      <c r="B2158" s="947" t="s">
        <v>9757</v>
      </c>
      <c r="C2158" s="948" t="s">
        <v>9755</v>
      </c>
      <c r="D2158" s="242" t="s">
        <v>28723</v>
      </c>
      <c r="E2158" s="949">
        <v>302</v>
      </c>
      <c r="F2158" s="949">
        <v>302</v>
      </c>
      <c r="G2158" s="950" t="s">
        <v>3021</v>
      </c>
      <c r="H2158" s="950" t="s">
        <v>441</v>
      </c>
      <c r="I2158" s="951" t="s">
        <v>9756</v>
      </c>
      <c r="J2158" s="947" t="s">
        <v>9757</v>
      </c>
      <c r="K2158" s="143"/>
    </row>
    <row r="2159" spans="1:11">
      <c r="A2159" s="946" t="s">
        <v>28612</v>
      </c>
      <c r="B2159" s="947" t="s">
        <v>9764</v>
      </c>
      <c r="C2159" s="948" t="s">
        <v>9762</v>
      </c>
      <c r="D2159" s="242" t="s">
        <v>28723</v>
      </c>
      <c r="E2159" s="949">
        <v>302</v>
      </c>
      <c r="F2159" s="949">
        <v>302</v>
      </c>
      <c r="G2159" s="950" t="s">
        <v>3021</v>
      </c>
      <c r="H2159" s="950" t="s">
        <v>441</v>
      </c>
      <c r="I2159" s="951" t="s">
        <v>9763</v>
      </c>
      <c r="J2159" s="947" t="s">
        <v>9764</v>
      </c>
      <c r="K2159" s="143"/>
    </row>
    <row r="2160" spans="1:11">
      <c r="A2160" s="946" t="s">
        <v>28612</v>
      </c>
      <c r="B2160" s="947" t="s">
        <v>9798</v>
      </c>
      <c r="C2160" s="948" t="s">
        <v>9796</v>
      </c>
      <c r="D2160" s="242" t="s">
        <v>28723</v>
      </c>
      <c r="E2160" s="949">
        <v>302</v>
      </c>
      <c r="F2160" s="949">
        <v>302</v>
      </c>
      <c r="G2160" s="950" t="s">
        <v>3021</v>
      </c>
      <c r="H2160" s="950" t="s">
        <v>441</v>
      </c>
      <c r="I2160" s="951" t="s">
        <v>9797</v>
      </c>
      <c r="J2160" s="947" t="s">
        <v>9798</v>
      </c>
      <c r="K2160" s="143"/>
    </row>
    <row r="2161" spans="1:11">
      <c r="A2161" s="946" t="s">
        <v>28612</v>
      </c>
      <c r="B2161" s="947" t="s">
        <v>9838</v>
      </c>
      <c r="C2161" s="948" t="s">
        <v>9836</v>
      </c>
      <c r="D2161" s="242" t="s">
        <v>28723</v>
      </c>
      <c r="E2161" s="949">
        <v>302</v>
      </c>
      <c r="F2161" s="949">
        <v>302</v>
      </c>
      <c r="G2161" s="950" t="s">
        <v>3021</v>
      </c>
      <c r="H2161" s="950" t="s">
        <v>441</v>
      </c>
      <c r="I2161" s="951" t="s">
        <v>9837</v>
      </c>
      <c r="J2161" s="947" t="s">
        <v>9838</v>
      </c>
      <c r="K2161" s="143"/>
    </row>
    <row r="2162" spans="1:11">
      <c r="A2162" s="946" t="s">
        <v>28612</v>
      </c>
      <c r="B2162" s="947" t="s">
        <v>9859</v>
      </c>
      <c r="C2162" s="948" t="s">
        <v>9857</v>
      </c>
      <c r="D2162" s="242" t="s">
        <v>28723</v>
      </c>
      <c r="E2162" s="949">
        <v>302</v>
      </c>
      <c r="F2162" s="949">
        <v>302</v>
      </c>
      <c r="G2162" s="950" t="s">
        <v>3021</v>
      </c>
      <c r="H2162" s="950" t="s">
        <v>441</v>
      </c>
      <c r="I2162" s="951" t="s">
        <v>9858</v>
      </c>
      <c r="J2162" s="947" t="s">
        <v>9859</v>
      </c>
      <c r="K2162" s="143"/>
    </row>
    <row r="2163" spans="1:11">
      <c r="A2163" s="946" t="s">
        <v>28612</v>
      </c>
      <c r="B2163" s="947" t="s">
        <v>9922</v>
      </c>
      <c r="C2163" s="948" t="s">
        <v>9920</v>
      </c>
      <c r="D2163" s="242" t="s">
        <v>28723</v>
      </c>
      <c r="E2163" s="949">
        <v>302</v>
      </c>
      <c r="F2163" s="949">
        <v>302</v>
      </c>
      <c r="G2163" s="950" t="s">
        <v>3021</v>
      </c>
      <c r="H2163" s="950" t="s">
        <v>441</v>
      </c>
      <c r="I2163" s="951" t="s">
        <v>9921</v>
      </c>
      <c r="J2163" s="947" t="s">
        <v>9922</v>
      </c>
      <c r="K2163" s="143"/>
    </row>
    <row r="2164" spans="1:11">
      <c r="A2164" s="946" t="s">
        <v>28612</v>
      </c>
      <c r="B2164" s="947" t="s">
        <v>10239</v>
      </c>
      <c r="C2164" s="948" t="s">
        <v>10237</v>
      </c>
      <c r="D2164" s="242" t="s">
        <v>28723</v>
      </c>
      <c r="E2164" s="949">
        <v>302</v>
      </c>
      <c r="F2164" s="949">
        <v>302</v>
      </c>
      <c r="G2164" s="950" t="s">
        <v>3021</v>
      </c>
      <c r="H2164" s="950" t="s">
        <v>441</v>
      </c>
      <c r="I2164" s="951" t="s">
        <v>10238</v>
      </c>
      <c r="J2164" s="947" t="s">
        <v>10239</v>
      </c>
      <c r="K2164" s="143"/>
    </row>
    <row r="2165" spans="1:11">
      <c r="A2165" s="946" t="s">
        <v>28612</v>
      </c>
      <c r="B2165" s="947" t="s">
        <v>10297</v>
      </c>
      <c r="C2165" s="948" t="s">
        <v>10295</v>
      </c>
      <c r="D2165" s="242" t="s">
        <v>28723</v>
      </c>
      <c r="E2165" s="949">
        <v>302</v>
      </c>
      <c r="F2165" s="949">
        <v>302</v>
      </c>
      <c r="G2165" s="950" t="s">
        <v>3021</v>
      </c>
      <c r="H2165" s="950" t="s">
        <v>441</v>
      </c>
      <c r="I2165" s="951" t="s">
        <v>10296</v>
      </c>
      <c r="J2165" s="947" t="s">
        <v>10297</v>
      </c>
      <c r="K2165" s="143"/>
    </row>
    <row r="2166" spans="1:11">
      <c r="A2166" s="946" t="s">
        <v>28612</v>
      </c>
      <c r="B2166" s="947" t="s">
        <v>10451</v>
      </c>
      <c r="C2166" s="948" t="s">
        <v>10449</v>
      </c>
      <c r="D2166" s="242" t="s">
        <v>28723</v>
      </c>
      <c r="E2166" s="949">
        <v>302</v>
      </c>
      <c r="F2166" s="949">
        <v>302</v>
      </c>
      <c r="G2166" s="950" t="s">
        <v>3021</v>
      </c>
      <c r="H2166" s="950" t="s">
        <v>441</v>
      </c>
      <c r="I2166" s="951" t="s">
        <v>10450</v>
      </c>
      <c r="J2166" s="947" t="s">
        <v>10451</v>
      </c>
      <c r="K2166" s="143"/>
    </row>
    <row r="2167" spans="1:11">
      <c r="A2167" s="946" t="s">
        <v>28612</v>
      </c>
      <c r="B2167" s="947" t="s">
        <v>10553</v>
      </c>
      <c r="C2167" s="948" t="s">
        <v>10551</v>
      </c>
      <c r="D2167" s="242" t="s">
        <v>28723</v>
      </c>
      <c r="E2167" s="949">
        <v>302</v>
      </c>
      <c r="F2167" s="949">
        <v>302</v>
      </c>
      <c r="G2167" s="950" t="s">
        <v>3021</v>
      </c>
      <c r="H2167" s="950" t="s">
        <v>441</v>
      </c>
      <c r="I2167" s="951" t="s">
        <v>10552</v>
      </c>
      <c r="J2167" s="947" t="s">
        <v>10553</v>
      </c>
      <c r="K2167" s="143"/>
    </row>
    <row r="2168" spans="1:11">
      <c r="A2168" s="946" t="s">
        <v>28612</v>
      </c>
      <c r="B2168" s="947" t="s">
        <v>10556</v>
      </c>
      <c r="C2168" s="948" t="s">
        <v>10554</v>
      </c>
      <c r="D2168" s="242" t="s">
        <v>28723</v>
      </c>
      <c r="E2168" s="949">
        <v>302</v>
      </c>
      <c r="F2168" s="949">
        <v>302</v>
      </c>
      <c r="G2168" s="950" t="s">
        <v>3021</v>
      </c>
      <c r="H2168" s="950" t="s">
        <v>441</v>
      </c>
      <c r="I2168" s="951" t="s">
        <v>10555</v>
      </c>
      <c r="J2168" s="947" t="s">
        <v>10556</v>
      </c>
      <c r="K2168" s="143"/>
    </row>
    <row r="2169" spans="1:11">
      <c r="A2169" s="946" t="s">
        <v>28612</v>
      </c>
      <c r="B2169" s="947" t="s">
        <v>10587</v>
      </c>
      <c r="C2169" s="948" t="s">
        <v>10585</v>
      </c>
      <c r="D2169" s="242" t="s">
        <v>28723</v>
      </c>
      <c r="E2169" s="949">
        <v>302</v>
      </c>
      <c r="F2169" s="949">
        <v>302</v>
      </c>
      <c r="G2169" s="950" t="s">
        <v>3021</v>
      </c>
      <c r="H2169" s="950" t="s">
        <v>441</v>
      </c>
      <c r="I2169" s="951" t="s">
        <v>10586</v>
      </c>
      <c r="J2169" s="947" t="s">
        <v>10587</v>
      </c>
      <c r="K2169" s="143"/>
    </row>
    <row r="2170" spans="1:11">
      <c r="A2170" s="946" t="s">
        <v>28612</v>
      </c>
      <c r="B2170" s="947" t="s">
        <v>10601</v>
      </c>
      <c r="C2170" s="948" t="s">
        <v>10599</v>
      </c>
      <c r="D2170" s="242" t="s">
        <v>28723</v>
      </c>
      <c r="E2170" s="949">
        <v>302</v>
      </c>
      <c r="F2170" s="949">
        <v>302</v>
      </c>
      <c r="G2170" s="950" t="s">
        <v>3021</v>
      </c>
      <c r="H2170" s="950" t="s">
        <v>441</v>
      </c>
      <c r="I2170" s="951" t="s">
        <v>10600</v>
      </c>
      <c r="J2170" s="947" t="s">
        <v>10601</v>
      </c>
      <c r="K2170" s="143"/>
    </row>
    <row r="2171" spans="1:11">
      <c r="A2171" s="946" t="s">
        <v>28612</v>
      </c>
      <c r="B2171" s="947" t="s">
        <v>10657</v>
      </c>
      <c r="C2171" s="948" t="s">
        <v>10655</v>
      </c>
      <c r="D2171" s="242" t="s">
        <v>28723</v>
      </c>
      <c r="E2171" s="949">
        <v>302</v>
      </c>
      <c r="F2171" s="949">
        <v>302</v>
      </c>
      <c r="G2171" s="950" t="s">
        <v>3021</v>
      </c>
      <c r="H2171" s="950" t="s">
        <v>441</v>
      </c>
      <c r="I2171" s="951" t="s">
        <v>10656</v>
      </c>
      <c r="J2171" s="947" t="s">
        <v>10657</v>
      </c>
      <c r="K2171" s="143"/>
    </row>
    <row r="2172" spans="1:11">
      <c r="A2172" s="946" t="s">
        <v>28612</v>
      </c>
      <c r="B2172" s="947" t="s">
        <v>10667</v>
      </c>
      <c r="C2172" s="948" t="s">
        <v>10665</v>
      </c>
      <c r="D2172" s="242" t="s">
        <v>28723</v>
      </c>
      <c r="E2172" s="949">
        <v>302</v>
      </c>
      <c r="F2172" s="949">
        <v>302</v>
      </c>
      <c r="G2172" s="950" t="s">
        <v>3021</v>
      </c>
      <c r="H2172" s="950" t="s">
        <v>441</v>
      </c>
      <c r="I2172" s="951" t="s">
        <v>10666</v>
      </c>
      <c r="J2172" s="947" t="s">
        <v>10667</v>
      </c>
      <c r="K2172" s="143"/>
    </row>
    <row r="2173" spans="1:11">
      <c r="A2173" s="946" t="s">
        <v>28612</v>
      </c>
      <c r="B2173" s="947" t="s">
        <v>10732</v>
      </c>
      <c r="C2173" s="948" t="s">
        <v>10730</v>
      </c>
      <c r="D2173" s="242" t="s">
        <v>28723</v>
      </c>
      <c r="E2173" s="949">
        <v>302</v>
      </c>
      <c r="F2173" s="949">
        <v>302</v>
      </c>
      <c r="G2173" s="950" t="s">
        <v>3021</v>
      </c>
      <c r="H2173" s="950" t="s">
        <v>441</v>
      </c>
      <c r="I2173" s="951" t="s">
        <v>10731</v>
      </c>
      <c r="J2173" s="947" t="s">
        <v>10732</v>
      </c>
      <c r="K2173" s="143"/>
    </row>
    <row r="2174" spans="1:11">
      <c r="A2174" s="946" t="s">
        <v>28612</v>
      </c>
      <c r="B2174" s="947" t="s">
        <v>10828</v>
      </c>
      <c r="C2174" s="948" t="s">
        <v>10826</v>
      </c>
      <c r="D2174" s="242" t="s">
        <v>28723</v>
      </c>
      <c r="E2174" s="949">
        <v>302</v>
      </c>
      <c r="F2174" s="949">
        <v>302</v>
      </c>
      <c r="G2174" s="950" t="s">
        <v>3021</v>
      </c>
      <c r="H2174" s="950" t="s">
        <v>441</v>
      </c>
      <c r="I2174" s="951" t="s">
        <v>10827</v>
      </c>
      <c r="J2174" s="947" t="s">
        <v>10828</v>
      </c>
      <c r="K2174" s="143"/>
    </row>
    <row r="2175" spans="1:11">
      <c r="A2175" s="946" t="s">
        <v>28612</v>
      </c>
      <c r="B2175" s="947" t="s">
        <v>10858</v>
      </c>
      <c r="C2175" s="948" t="s">
        <v>10856</v>
      </c>
      <c r="D2175" s="242" t="s">
        <v>28723</v>
      </c>
      <c r="E2175" s="949">
        <v>302</v>
      </c>
      <c r="F2175" s="949">
        <v>302</v>
      </c>
      <c r="G2175" s="950" t="s">
        <v>3021</v>
      </c>
      <c r="H2175" s="950" t="s">
        <v>441</v>
      </c>
      <c r="I2175" s="951" t="s">
        <v>10857</v>
      </c>
      <c r="J2175" s="947" t="s">
        <v>10858</v>
      </c>
      <c r="K2175" s="143"/>
    </row>
    <row r="2176" spans="1:11">
      <c r="A2176" s="946" t="s">
        <v>28612</v>
      </c>
      <c r="B2176" s="947" t="s">
        <v>10945</v>
      </c>
      <c r="C2176" s="948" t="s">
        <v>10943</v>
      </c>
      <c r="D2176" s="242" t="s">
        <v>28723</v>
      </c>
      <c r="E2176" s="949">
        <v>302</v>
      </c>
      <c r="F2176" s="949">
        <v>302</v>
      </c>
      <c r="G2176" s="950" t="s">
        <v>3021</v>
      </c>
      <c r="H2176" s="950" t="s">
        <v>441</v>
      </c>
      <c r="I2176" s="951" t="s">
        <v>10944</v>
      </c>
      <c r="J2176" s="947" t="s">
        <v>10945</v>
      </c>
      <c r="K2176" s="143"/>
    </row>
    <row r="2177" spans="1:11">
      <c r="A2177" s="946" t="s">
        <v>28612</v>
      </c>
      <c r="B2177" s="947" t="s">
        <v>10967</v>
      </c>
      <c r="C2177" s="948" t="s">
        <v>10965</v>
      </c>
      <c r="D2177" s="242" t="s">
        <v>28723</v>
      </c>
      <c r="E2177" s="949">
        <v>302</v>
      </c>
      <c r="F2177" s="949">
        <v>302</v>
      </c>
      <c r="G2177" s="950" t="s">
        <v>3021</v>
      </c>
      <c r="H2177" s="950" t="s">
        <v>441</v>
      </c>
      <c r="I2177" s="951" t="s">
        <v>10966</v>
      </c>
      <c r="J2177" s="947" t="s">
        <v>10967</v>
      </c>
      <c r="K2177" s="143"/>
    </row>
    <row r="2178" spans="1:11">
      <c r="A2178" s="946" t="s">
        <v>28612</v>
      </c>
      <c r="B2178" s="947" t="s">
        <v>10997</v>
      </c>
      <c r="C2178" s="948" t="s">
        <v>10995</v>
      </c>
      <c r="D2178" s="242" t="s">
        <v>28723</v>
      </c>
      <c r="E2178" s="949">
        <v>302</v>
      </c>
      <c r="F2178" s="949">
        <v>302</v>
      </c>
      <c r="G2178" s="950" t="s">
        <v>3021</v>
      </c>
      <c r="H2178" s="950" t="s">
        <v>441</v>
      </c>
      <c r="I2178" s="951" t="s">
        <v>10996</v>
      </c>
      <c r="J2178" s="947" t="s">
        <v>10997</v>
      </c>
      <c r="K2178" s="143"/>
    </row>
    <row r="2179" spans="1:11">
      <c r="A2179" s="946" t="s">
        <v>28612</v>
      </c>
      <c r="B2179" s="947" t="s">
        <v>11039</v>
      </c>
      <c r="C2179" s="948" t="s">
        <v>11037</v>
      </c>
      <c r="D2179" s="242" t="s">
        <v>28723</v>
      </c>
      <c r="E2179" s="949">
        <v>302</v>
      </c>
      <c r="F2179" s="949">
        <v>302</v>
      </c>
      <c r="G2179" s="950" t="s">
        <v>3021</v>
      </c>
      <c r="H2179" s="950" t="s">
        <v>441</v>
      </c>
      <c r="I2179" s="951" t="s">
        <v>11038</v>
      </c>
      <c r="J2179" s="947" t="s">
        <v>11039</v>
      </c>
      <c r="K2179" s="143"/>
    </row>
    <row r="2180" spans="1:11">
      <c r="A2180" s="946" t="s">
        <v>28612</v>
      </c>
      <c r="B2180" s="947" t="s">
        <v>11042</v>
      </c>
      <c r="C2180" s="948" t="s">
        <v>11040</v>
      </c>
      <c r="D2180" s="242" t="s">
        <v>28723</v>
      </c>
      <c r="E2180" s="949">
        <v>302</v>
      </c>
      <c r="F2180" s="949">
        <v>302</v>
      </c>
      <c r="G2180" s="950" t="s">
        <v>3021</v>
      </c>
      <c r="H2180" s="950" t="s">
        <v>441</v>
      </c>
      <c r="I2180" s="951" t="s">
        <v>11041</v>
      </c>
      <c r="J2180" s="947" t="s">
        <v>11042</v>
      </c>
      <c r="K2180" s="143"/>
    </row>
    <row r="2181" spans="1:11">
      <c r="A2181" s="946" t="s">
        <v>28612</v>
      </c>
      <c r="B2181" s="947" t="s">
        <v>11149</v>
      </c>
      <c r="C2181" s="948" t="s">
        <v>11147</v>
      </c>
      <c r="D2181" s="242" t="s">
        <v>28723</v>
      </c>
      <c r="E2181" s="949">
        <v>302</v>
      </c>
      <c r="F2181" s="949">
        <v>302</v>
      </c>
      <c r="G2181" s="950" t="s">
        <v>3021</v>
      </c>
      <c r="H2181" s="950" t="s">
        <v>441</v>
      </c>
      <c r="I2181" s="951" t="s">
        <v>11148</v>
      </c>
      <c r="J2181" s="947" t="s">
        <v>11149</v>
      </c>
      <c r="K2181" s="143"/>
    </row>
    <row r="2182" spans="1:11">
      <c r="A2182" s="946" t="s">
        <v>28612</v>
      </c>
      <c r="B2182" s="947" t="s">
        <v>11225</v>
      </c>
      <c r="C2182" s="948" t="s">
        <v>11223</v>
      </c>
      <c r="D2182" s="242" t="s">
        <v>28723</v>
      </c>
      <c r="E2182" s="949">
        <v>302</v>
      </c>
      <c r="F2182" s="949">
        <v>302</v>
      </c>
      <c r="G2182" s="950" t="s">
        <v>3021</v>
      </c>
      <c r="H2182" s="950" t="s">
        <v>441</v>
      </c>
      <c r="I2182" s="951" t="s">
        <v>11224</v>
      </c>
      <c r="J2182" s="947" t="s">
        <v>11225</v>
      </c>
      <c r="K2182" s="143"/>
    </row>
    <row r="2183" spans="1:11">
      <c r="A2183" s="946" t="s">
        <v>28612</v>
      </c>
      <c r="B2183" s="947" t="s">
        <v>11237</v>
      </c>
      <c r="C2183" s="948" t="s">
        <v>11235</v>
      </c>
      <c r="D2183" s="242" t="s">
        <v>28723</v>
      </c>
      <c r="E2183" s="949">
        <v>302</v>
      </c>
      <c r="F2183" s="949">
        <v>302</v>
      </c>
      <c r="G2183" s="950" t="s">
        <v>3021</v>
      </c>
      <c r="H2183" s="950" t="s">
        <v>441</v>
      </c>
      <c r="I2183" s="951" t="s">
        <v>11236</v>
      </c>
      <c r="J2183" s="947" t="s">
        <v>11237</v>
      </c>
      <c r="K2183" s="143"/>
    </row>
    <row r="2184" spans="1:11">
      <c r="A2184" s="946" t="s">
        <v>28612</v>
      </c>
      <c r="B2184" s="947" t="s">
        <v>11458</v>
      </c>
      <c r="C2184" s="948" t="s">
        <v>11456</v>
      </c>
      <c r="D2184" s="242" t="s">
        <v>28723</v>
      </c>
      <c r="E2184" s="949">
        <v>302</v>
      </c>
      <c r="F2184" s="949">
        <v>302</v>
      </c>
      <c r="G2184" s="950" t="s">
        <v>3021</v>
      </c>
      <c r="H2184" s="950" t="s">
        <v>441</v>
      </c>
      <c r="I2184" s="951" t="s">
        <v>11457</v>
      </c>
      <c r="J2184" s="947" t="s">
        <v>11458</v>
      </c>
      <c r="K2184" s="143"/>
    </row>
    <row r="2185" spans="1:11">
      <c r="A2185" s="946" t="s">
        <v>28612</v>
      </c>
      <c r="B2185" s="947" t="s">
        <v>11783</v>
      </c>
      <c r="C2185" s="948" t="s">
        <v>11781</v>
      </c>
      <c r="D2185" s="242" t="s">
        <v>28723</v>
      </c>
      <c r="E2185" s="949">
        <v>302</v>
      </c>
      <c r="F2185" s="949">
        <v>302</v>
      </c>
      <c r="G2185" s="950" t="s">
        <v>3021</v>
      </c>
      <c r="H2185" s="950" t="s">
        <v>441</v>
      </c>
      <c r="I2185" s="951" t="s">
        <v>11782</v>
      </c>
      <c r="J2185" s="947" t="s">
        <v>11783</v>
      </c>
      <c r="K2185" s="143"/>
    </row>
    <row r="2186" spans="1:11">
      <c r="A2186" s="946" t="s">
        <v>28612</v>
      </c>
      <c r="B2186" s="947" t="s">
        <v>12121</v>
      </c>
      <c r="C2186" s="948" t="s">
        <v>12119</v>
      </c>
      <c r="D2186" s="242" t="s">
        <v>28723</v>
      </c>
      <c r="E2186" s="949">
        <v>302</v>
      </c>
      <c r="F2186" s="949">
        <v>302</v>
      </c>
      <c r="G2186" s="950" t="s">
        <v>3021</v>
      </c>
      <c r="H2186" s="950" t="s">
        <v>441</v>
      </c>
      <c r="I2186" s="951" t="s">
        <v>12120</v>
      </c>
      <c r="J2186" s="947" t="s">
        <v>12121</v>
      </c>
      <c r="K2186" s="143"/>
    </row>
    <row r="2187" spans="1:11">
      <c r="A2187" s="946" t="s">
        <v>28612</v>
      </c>
      <c r="B2187" s="947" t="s">
        <v>12127</v>
      </c>
      <c r="C2187" s="948" t="s">
        <v>12125</v>
      </c>
      <c r="D2187" s="242" t="s">
        <v>28723</v>
      </c>
      <c r="E2187" s="949">
        <v>302</v>
      </c>
      <c r="F2187" s="949">
        <v>302</v>
      </c>
      <c r="G2187" s="950" t="s">
        <v>3021</v>
      </c>
      <c r="H2187" s="950" t="s">
        <v>441</v>
      </c>
      <c r="I2187" s="951" t="s">
        <v>12126</v>
      </c>
      <c r="J2187" s="947" t="s">
        <v>12127</v>
      </c>
      <c r="K2187" s="143"/>
    </row>
    <row r="2188" spans="1:11">
      <c r="A2188" s="946" t="s">
        <v>28612</v>
      </c>
      <c r="B2188" s="947" t="s">
        <v>12294</v>
      </c>
      <c r="C2188" s="948" t="s">
        <v>12292</v>
      </c>
      <c r="D2188" s="242" t="s">
        <v>28723</v>
      </c>
      <c r="E2188" s="949">
        <v>302</v>
      </c>
      <c r="F2188" s="949">
        <v>302</v>
      </c>
      <c r="G2188" s="950" t="s">
        <v>3021</v>
      </c>
      <c r="H2188" s="950" t="s">
        <v>441</v>
      </c>
      <c r="I2188" s="951" t="s">
        <v>12293</v>
      </c>
      <c r="J2188" s="947" t="s">
        <v>12294</v>
      </c>
      <c r="K2188" s="143"/>
    </row>
    <row r="2189" spans="1:11">
      <c r="A2189" s="946" t="s">
        <v>28612</v>
      </c>
      <c r="B2189" s="947" t="s">
        <v>12791</v>
      </c>
      <c r="C2189" s="948" t="s">
        <v>12789</v>
      </c>
      <c r="D2189" s="242" t="s">
        <v>28723</v>
      </c>
      <c r="E2189" s="949">
        <v>302</v>
      </c>
      <c r="F2189" s="949">
        <v>302</v>
      </c>
      <c r="G2189" s="950" t="s">
        <v>3021</v>
      </c>
      <c r="H2189" s="950" t="s">
        <v>441</v>
      </c>
      <c r="I2189" s="951" t="s">
        <v>12790</v>
      </c>
      <c r="J2189" s="947" t="s">
        <v>12791</v>
      </c>
      <c r="K2189" s="143"/>
    </row>
    <row r="2190" spans="1:11">
      <c r="A2190" s="946" t="s">
        <v>28612</v>
      </c>
      <c r="B2190" s="947" t="s">
        <v>12809</v>
      </c>
      <c r="C2190" s="948" t="s">
        <v>12807</v>
      </c>
      <c r="D2190" s="242" t="s">
        <v>28723</v>
      </c>
      <c r="E2190" s="949">
        <v>302</v>
      </c>
      <c r="F2190" s="949">
        <v>302</v>
      </c>
      <c r="G2190" s="950" t="s">
        <v>3021</v>
      </c>
      <c r="H2190" s="950" t="s">
        <v>441</v>
      </c>
      <c r="I2190" s="951" t="s">
        <v>12808</v>
      </c>
      <c r="J2190" s="947" t="s">
        <v>12809</v>
      </c>
      <c r="K2190" s="143"/>
    </row>
    <row r="2191" spans="1:11">
      <c r="A2191" s="946" t="s">
        <v>28612</v>
      </c>
      <c r="B2191" s="947" t="s">
        <v>12824</v>
      </c>
      <c r="C2191" s="948" t="s">
        <v>12822</v>
      </c>
      <c r="D2191" s="242" t="s">
        <v>28723</v>
      </c>
      <c r="E2191" s="949">
        <v>302</v>
      </c>
      <c r="F2191" s="949">
        <v>302</v>
      </c>
      <c r="G2191" s="950" t="s">
        <v>3021</v>
      </c>
      <c r="H2191" s="950" t="s">
        <v>441</v>
      </c>
      <c r="I2191" s="951" t="s">
        <v>12823</v>
      </c>
      <c r="J2191" s="947" t="s">
        <v>12824</v>
      </c>
      <c r="K2191" s="143"/>
    </row>
    <row r="2192" spans="1:11">
      <c r="A2192" s="946" t="s">
        <v>28612</v>
      </c>
      <c r="B2192" s="947" t="s">
        <v>13103</v>
      </c>
      <c r="C2192" s="948" t="s">
        <v>13101</v>
      </c>
      <c r="D2192" s="242" t="s">
        <v>28723</v>
      </c>
      <c r="E2192" s="949">
        <v>302</v>
      </c>
      <c r="F2192" s="949">
        <v>302</v>
      </c>
      <c r="G2192" s="950" t="s">
        <v>3021</v>
      </c>
      <c r="H2192" s="950" t="s">
        <v>441</v>
      </c>
      <c r="I2192" s="951" t="s">
        <v>13102</v>
      </c>
      <c r="J2192" s="947" t="s">
        <v>13103</v>
      </c>
      <c r="K2192" s="143"/>
    </row>
    <row r="2193" spans="1:11">
      <c r="A2193" s="946" t="s">
        <v>28612</v>
      </c>
      <c r="B2193" s="947" t="s">
        <v>13128</v>
      </c>
      <c r="C2193" s="948" t="s">
        <v>13126</v>
      </c>
      <c r="D2193" s="242" t="s">
        <v>28723</v>
      </c>
      <c r="E2193" s="949">
        <v>302</v>
      </c>
      <c r="F2193" s="949">
        <v>302</v>
      </c>
      <c r="G2193" s="950" t="s">
        <v>3021</v>
      </c>
      <c r="H2193" s="950" t="s">
        <v>441</v>
      </c>
      <c r="I2193" s="951" t="s">
        <v>13127</v>
      </c>
      <c r="J2193" s="947" t="s">
        <v>13128</v>
      </c>
      <c r="K2193" s="143"/>
    </row>
    <row r="2194" spans="1:11">
      <c r="A2194" s="946" t="s">
        <v>28612</v>
      </c>
      <c r="B2194" s="947" t="s">
        <v>13181</v>
      </c>
      <c r="C2194" s="948" t="s">
        <v>13179</v>
      </c>
      <c r="D2194" s="242" t="s">
        <v>28723</v>
      </c>
      <c r="E2194" s="949">
        <v>302</v>
      </c>
      <c r="F2194" s="949">
        <v>302</v>
      </c>
      <c r="G2194" s="950" t="s">
        <v>3021</v>
      </c>
      <c r="H2194" s="950" t="s">
        <v>441</v>
      </c>
      <c r="I2194" s="951" t="s">
        <v>13180</v>
      </c>
      <c r="J2194" s="947" t="s">
        <v>13181</v>
      </c>
      <c r="K2194" s="143"/>
    </row>
    <row r="2195" spans="1:11">
      <c r="A2195" s="946" t="s">
        <v>28612</v>
      </c>
      <c r="B2195" s="947" t="s">
        <v>13251</v>
      </c>
      <c r="C2195" s="948" t="s">
        <v>13249</v>
      </c>
      <c r="D2195" s="242" t="s">
        <v>28723</v>
      </c>
      <c r="E2195" s="949">
        <v>302</v>
      </c>
      <c r="F2195" s="949">
        <v>302</v>
      </c>
      <c r="G2195" s="950" t="s">
        <v>3021</v>
      </c>
      <c r="H2195" s="950" t="s">
        <v>441</v>
      </c>
      <c r="I2195" s="951" t="s">
        <v>13250</v>
      </c>
      <c r="J2195" s="947" t="s">
        <v>13251</v>
      </c>
      <c r="K2195" s="143"/>
    </row>
    <row r="2196" spans="1:11">
      <c r="A2196" s="946" t="s">
        <v>28612</v>
      </c>
      <c r="B2196" s="947" t="s">
        <v>13481</v>
      </c>
      <c r="C2196" s="948" t="s">
        <v>13479</v>
      </c>
      <c r="D2196" s="242" t="s">
        <v>28723</v>
      </c>
      <c r="E2196" s="949">
        <v>302</v>
      </c>
      <c r="F2196" s="949">
        <v>302</v>
      </c>
      <c r="G2196" s="950" t="s">
        <v>3021</v>
      </c>
      <c r="H2196" s="950" t="s">
        <v>441</v>
      </c>
      <c r="I2196" s="951" t="s">
        <v>13480</v>
      </c>
      <c r="J2196" s="947" t="s">
        <v>13481</v>
      </c>
      <c r="K2196" s="143"/>
    </row>
    <row r="2197" spans="1:11">
      <c r="A2197" s="946" t="s">
        <v>28612</v>
      </c>
      <c r="B2197" s="947" t="s">
        <v>13484</v>
      </c>
      <c r="C2197" s="948" t="s">
        <v>13482</v>
      </c>
      <c r="D2197" s="242" t="s">
        <v>28723</v>
      </c>
      <c r="E2197" s="949">
        <v>302</v>
      </c>
      <c r="F2197" s="949">
        <v>302</v>
      </c>
      <c r="G2197" s="950" t="s">
        <v>3021</v>
      </c>
      <c r="H2197" s="950" t="s">
        <v>441</v>
      </c>
      <c r="I2197" s="951" t="s">
        <v>13483</v>
      </c>
      <c r="J2197" s="947" t="s">
        <v>13484</v>
      </c>
      <c r="K2197" s="143"/>
    </row>
    <row r="2198" spans="1:11">
      <c r="A2198" s="946" t="s">
        <v>28612</v>
      </c>
      <c r="B2198" s="947" t="s">
        <v>13512</v>
      </c>
      <c r="C2198" s="948" t="s">
        <v>13510</v>
      </c>
      <c r="D2198" s="242" t="s">
        <v>28723</v>
      </c>
      <c r="E2198" s="949">
        <v>302</v>
      </c>
      <c r="F2198" s="949">
        <v>302</v>
      </c>
      <c r="G2198" s="950" t="s">
        <v>3021</v>
      </c>
      <c r="H2198" s="950" t="s">
        <v>441</v>
      </c>
      <c r="I2198" s="951" t="s">
        <v>13511</v>
      </c>
      <c r="J2198" s="947" t="s">
        <v>13512</v>
      </c>
      <c r="K2198" s="143"/>
    </row>
    <row r="2199" spans="1:11">
      <c r="A2199" s="946" t="s">
        <v>28612</v>
      </c>
      <c r="B2199" s="947" t="s">
        <v>13527</v>
      </c>
      <c r="C2199" s="948" t="s">
        <v>13525</v>
      </c>
      <c r="D2199" s="242" t="s">
        <v>28723</v>
      </c>
      <c r="E2199" s="949">
        <v>302</v>
      </c>
      <c r="F2199" s="949">
        <v>302</v>
      </c>
      <c r="G2199" s="950" t="s">
        <v>3021</v>
      </c>
      <c r="H2199" s="950" t="s">
        <v>441</v>
      </c>
      <c r="I2199" s="951" t="s">
        <v>13526</v>
      </c>
      <c r="J2199" s="947" t="s">
        <v>13527</v>
      </c>
      <c r="K2199" s="143"/>
    </row>
    <row r="2200" spans="1:11">
      <c r="A2200" s="946" t="s">
        <v>28612</v>
      </c>
      <c r="B2200" s="947" t="s">
        <v>13633</v>
      </c>
      <c r="C2200" s="948" t="s">
        <v>13631</v>
      </c>
      <c r="D2200" s="242" t="s">
        <v>28723</v>
      </c>
      <c r="E2200" s="949">
        <v>302</v>
      </c>
      <c r="F2200" s="949">
        <v>302</v>
      </c>
      <c r="G2200" s="950" t="s">
        <v>3021</v>
      </c>
      <c r="H2200" s="950" t="s">
        <v>441</v>
      </c>
      <c r="I2200" s="951" t="s">
        <v>13632</v>
      </c>
      <c r="J2200" s="947" t="s">
        <v>13633</v>
      </c>
      <c r="K2200" s="143"/>
    </row>
    <row r="2201" spans="1:11">
      <c r="A2201" s="946" t="s">
        <v>28612</v>
      </c>
      <c r="B2201" s="947" t="s">
        <v>13656</v>
      </c>
      <c r="C2201" s="948" t="s">
        <v>13654</v>
      </c>
      <c r="D2201" s="242" t="s">
        <v>28723</v>
      </c>
      <c r="E2201" s="949">
        <v>302</v>
      </c>
      <c r="F2201" s="949">
        <v>302</v>
      </c>
      <c r="G2201" s="950" t="s">
        <v>3021</v>
      </c>
      <c r="H2201" s="950" t="s">
        <v>441</v>
      </c>
      <c r="I2201" s="951" t="s">
        <v>13655</v>
      </c>
      <c r="J2201" s="947" t="s">
        <v>13656</v>
      </c>
      <c r="K2201" s="143"/>
    </row>
    <row r="2202" spans="1:11">
      <c r="A2202" s="946" t="s">
        <v>28612</v>
      </c>
      <c r="B2202" s="947" t="s">
        <v>13822</v>
      </c>
      <c r="C2202" s="948" t="s">
        <v>13820</v>
      </c>
      <c r="D2202" s="242" t="s">
        <v>28723</v>
      </c>
      <c r="E2202" s="949">
        <v>302</v>
      </c>
      <c r="F2202" s="949">
        <v>302</v>
      </c>
      <c r="G2202" s="950" t="s">
        <v>3021</v>
      </c>
      <c r="H2202" s="950" t="s">
        <v>441</v>
      </c>
      <c r="I2202" s="951" t="s">
        <v>13821</v>
      </c>
      <c r="J2202" s="947" t="s">
        <v>13822</v>
      </c>
      <c r="K2202" s="143"/>
    </row>
    <row r="2203" spans="1:11">
      <c r="A2203" s="946" t="s">
        <v>28612</v>
      </c>
      <c r="B2203" s="947" t="s">
        <v>13825</v>
      </c>
      <c r="C2203" s="948" t="s">
        <v>13823</v>
      </c>
      <c r="D2203" s="242" t="s">
        <v>28723</v>
      </c>
      <c r="E2203" s="949">
        <v>302</v>
      </c>
      <c r="F2203" s="949">
        <v>302</v>
      </c>
      <c r="G2203" s="950" t="s">
        <v>3021</v>
      </c>
      <c r="H2203" s="950" t="s">
        <v>441</v>
      </c>
      <c r="I2203" s="951" t="s">
        <v>13824</v>
      </c>
      <c r="J2203" s="947" t="s">
        <v>13825</v>
      </c>
      <c r="K2203" s="143"/>
    </row>
    <row r="2204" spans="1:11">
      <c r="A2204" s="946" t="s">
        <v>28612</v>
      </c>
      <c r="B2204" s="947" t="s">
        <v>13876</v>
      </c>
      <c r="C2204" s="948" t="s">
        <v>13874</v>
      </c>
      <c r="D2204" s="242" t="s">
        <v>28723</v>
      </c>
      <c r="E2204" s="949">
        <v>302</v>
      </c>
      <c r="F2204" s="949">
        <v>302</v>
      </c>
      <c r="G2204" s="950" t="s">
        <v>3021</v>
      </c>
      <c r="H2204" s="950" t="s">
        <v>441</v>
      </c>
      <c r="I2204" s="951" t="s">
        <v>13875</v>
      </c>
      <c r="J2204" s="947" t="s">
        <v>13876</v>
      </c>
      <c r="K2204" s="143"/>
    </row>
    <row r="2205" spans="1:11">
      <c r="A2205" s="946" t="s">
        <v>28612</v>
      </c>
      <c r="B2205" s="947" t="s">
        <v>13887</v>
      </c>
      <c r="C2205" s="948" t="s">
        <v>13885</v>
      </c>
      <c r="D2205" s="242" t="s">
        <v>28723</v>
      </c>
      <c r="E2205" s="949">
        <v>302</v>
      </c>
      <c r="F2205" s="949">
        <v>302</v>
      </c>
      <c r="G2205" s="950" t="s">
        <v>3021</v>
      </c>
      <c r="H2205" s="950" t="s">
        <v>441</v>
      </c>
      <c r="I2205" s="951" t="s">
        <v>13886</v>
      </c>
      <c r="J2205" s="947" t="s">
        <v>13887</v>
      </c>
      <c r="K2205" s="143"/>
    </row>
    <row r="2206" spans="1:11">
      <c r="A2206" s="946" t="s">
        <v>28612</v>
      </c>
      <c r="B2206" s="947" t="s">
        <v>13987</v>
      </c>
      <c r="C2206" s="948" t="s">
        <v>13985</v>
      </c>
      <c r="D2206" s="242" t="s">
        <v>28723</v>
      </c>
      <c r="E2206" s="949">
        <v>302</v>
      </c>
      <c r="F2206" s="949">
        <v>302</v>
      </c>
      <c r="G2206" s="950" t="s">
        <v>3021</v>
      </c>
      <c r="H2206" s="950" t="s">
        <v>441</v>
      </c>
      <c r="I2206" s="951" t="s">
        <v>13986</v>
      </c>
      <c r="J2206" s="947" t="s">
        <v>13987</v>
      </c>
      <c r="K2206" s="143"/>
    </row>
    <row r="2207" spans="1:11">
      <c r="A2207" s="946" t="s">
        <v>28612</v>
      </c>
      <c r="B2207" s="947" t="s">
        <v>13999</v>
      </c>
      <c r="C2207" s="948" t="s">
        <v>13997</v>
      </c>
      <c r="D2207" s="242" t="s">
        <v>28723</v>
      </c>
      <c r="E2207" s="949">
        <v>302</v>
      </c>
      <c r="F2207" s="949">
        <v>302</v>
      </c>
      <c r="G2207" s="950" t="s">
        <v>3021</v>
      </c>
      <c r="H2207" s="950" t="s">
        <v>441</v>
      </c>
      <c r="I2207" s="951" t="s">
        <v>13998</v>
      </c>
      <c r="J2207" s="947" t="s">
        <v>13999</v>
      </c>
      <c r="K2207" s="143"/>
    </row>
    <row r="2208" spans="1:11">
      <c r="A2208" s="946" t="s">
        <v>28612</v>
      </c>
      <c r="B2208" s="947" t="s">
        <v>14053</v>
      </c>
      <c r="C2208" s="948" t="s">
        <v>14051</v>
      </c>
      <c r="D2208" s="242" t="s">
        <v>28723</v>
      </c>
      <c r="E2208" s="949">
        <v>302</v>
      </c>
      <c r="F2208" s="949">
        <v>302</v>
      </c>
      <c r="G2208" s="950" t="s">
        <v>3021</v>
      </c>
      <c r="H2208" s="950" t="s">
        <v>441</v>
      </c>
      <c r="I2208" s="951" t="s">
        <v>14052</v>
      </c>
      <c r="J2208" s="947" t="s">
        <v>14053</v>
      </c>
      <c r="K2208" s="143"/>
    </row>
    <row r="2209" spans="1:11">
      <c r="A2209" s="946" t="s">
        <v>28612</v>
      </c>
      <c r="B2209" s="947" t="s">
        <v>14056</v>
      </c>
      <c r="C2209" s="948" t="s">
        <v>14054</v>
      </c>
      <c r="D2209" s="242" t="s">
        <v>28723</v>
      </c>
      <c r="E2209" s="949">
        <v>302</v>
      </c>
      <c r="F2209" s="949">
        <v>302</v>
      </c>
      <c r="G2209" s="950" t="s">
        <v>3021</v>
      </c>
      <c r="H2209" s="950" t="s">
        <v>441</v>
      </c>
      <c r="I2209" s="951" t="s">
        <v>14055</v>
      </c>
      <c r="J2209" s="947" t="s">
        <v>14056</v>
      </c>
      <c r="K2209" s="143"/>
    </row>
    <row r="2210" spans="1:11">
      <c r="A2210" s="946" t="s">
        <v>28612</v>
      </c>
      <c r="B2210" s="947" t="s">
        <v>14105</v>
      </c>
      <c r="C2210" s="948" t="s">
        <v>14103</v>
      </c>
      <c r="D2210" s="242" t="s">
        <v>28723</v>
      </c>
      <c r="E2210" s="949">
        <v>302</v>
      </c>
      <c r="F2210" s="949">
        <v>302</v>
      </c>
      <c r="G2210" s="950" t="s">
        <v>3021</v>
      </c>
      <c r="H2210" s="950" t="s">
        <v>441</v>
      </c>
      <c r="I2210" s="951" t="s">
        <v>14104</v>
      </c>
      <c r="J2210" s="947" t="s">
        <v>14105</v>
      </c>
      <c r="K2210" s="143"/>
    </row>
    <row r="2211" spans="1:11">
      <c r="A2211" s="946" t="s">
        <v>28612</v>
      </c>
      <c r="B2211" s="947" t="s">
        <v>14240</v>
      </c>
      <c r="C2211" s="948" t="s">
        <v>14238</v>
      </c>
      <c r="D2211" s="242" t="s">
        <v>28723</v>
      </c>
      <c r="E2211" s="949">
        <v>302</v>
      </c>
      <c r="F2211" s="949">
        <v>302</v>
      </c>
      <c r="G2211" s="950" t="s">
        <v>3021</v>
      </c>
      <c r="H2211" s="950" t="s">
        <v>441</v>
      </c>
      <c r="I2211" s="951" t="s">
        <v>14239</v>
      </c>
      <c r="J2211" s="947" t="s">
        <v>14240</v>
      </c>
      <c r="K2211" s="143"/>
    </row>
    <row r="2212" spans="1:11">
      <c r="A2212" s="946" t="s">
        <v>28612</v>
      </c>
      <c r="B2212" s="947" t="s">
        <v>14300</v>
      </c>
      <c r="C2212" s="948" t="s">
        <v>14298</v>
      </c>
      <c r="D2212" s="242" t="s">
        <v>28723</v>
      </c>
      <c r="E2212" s="949">
        <v>302</v>
      </c>
      <c r="F2212" s="949">
        <v>302</v>
      </c>
      <c r="G2212" s="950" t="s">
        <v>3021</v>
      </c>
      <c r="H2212" s="950" t="s">
        <v>441</v>
      </c>
      <c r="I2212" s="951" t="s">
        <v>14299</v>
      </c>
      <c r="J2212" s="947" t="s">
        <v>14300</v>
      </c>
      <c r="K2212" s="143"/>
    </row>
    <row r="2213" spans="1:11">
      <c r="A2213" s="946" t="s">
        <v>28612</v>
      </c>
      <c r="B2213" s="947" t="s">
        <v>14309</v>
      </c>
      <c r="C2213" s="948" t="s">
        <v>14307</v>
      </c>
      <c r="D2213" s="242" t="s">
        <v>28723</v>
      </c>
      <c r="E2213" s="949">
        <v>302</v>
      </c>
      <c r="F2213" s="949">
        <v>302</v>
      </c>
      <c r="G2213" s="950" t="s">
        <v>3021</v>
      </c>
      <c r="H2213" s="950" t="s">
        <v>441</v>
      </c>
      <c r="I2213" s="951" t="s">
        <v>14308</v>
      </c>
      <c r="J2213" s="947" t="s">
        <v>14309</v>
      </c>
      <c r="K2213" s="143"/>
    </row>
    <row r="2214" spans="1:11">
      <c r="A2214" s="946" t="s">
        <v>28612</v>
      </c>
      <c r="B2214" s="947" t="s">
        <v>14376</v>
      </c>
      <c r="C2214" s="948" t="s">
        <v>14374</v>
      </c>
      <c r="D2214" s="242" t="s">
        <v>28723</v>
      </c>
      <c r="E2214" s="949">
        <v>302</v>
      </c>
      <c r="F2214" s="949">
        <v>302</v>
      </c>
      <c r="G2214" s="950" t="s">
        <v>3021</v>
      </c>
      <c r="H2214" s="950" t="s">
        <v>441</v>
      </c>
      <c r="I2214" s="951" t="s">
        <v>14375</v>
      </c>
      <c r="J2214" s="947" t="s">
        <v>14376</v>
      </c>
      <c r="K2214" s="143"/>
    </row>
    <row r="2215" spans="1:11">
      <c r="A2215" s="946" t="s">
        <v>28612</v>
      </c>
      <c r="B2215" s="947" t="s">
        <v>18033</v>
      </c>
      <c r="C2215" s="948" t="s">
        <v>18031</v>
      </c>
      <c r="D2215" s="242" t="s">
        <v>28723</v>
      </c>
      <c r="E2215" s="949">
        <v>302</v>
      </c>
      <c r="F2215" s="949">
        <v>302</v>
      </c>
      <c r="G2215" s="950" t="s">
        <v>3021</v>
      </c>
      <c r="H2215" s="950" t="s">
        <v>441</v>
      </c>
      <c r="I2215" s="951" t="s">
        <v>18032</v>
      </c>
      <c r="J2215" s="947" t="s">
        <v>18033</v>
      </c>
      <c r="K2215" s="143"/>
    </row>
    <row r="2216" spans="1:11">
      <c r="A2216" s="946" t="s">
        <v>28612</v>
      </c>
      <c r="B2216" s="947" t="s">
        <v>14538</v>
      </c>
      <c r="C2216" s="948" t="s">
        <v>14536</v>
      </c>
      <c r="D2216" s="242" t="s">
        <v>28723</v>
      </c>
      <c r="E2216" s="949">
        <v>302</v>
      </c>
      <c r="F2216" s="949">
        <v>302</v>
      </c>
      <c r="G2216" s="950" t="s">
        <v>3021</v>
      </c>
      <c r="H2216" s="950" t="s">
        <v>441</v>
      </c>
      <c r="I2216" s="951" t="s">
        <v>14537</v>
      </c>
      <c r="J2216" s="947" t="s">
        <v>14538</v>
      </c>
      <c r="K2216" s="143"/>
    </row>
    <row r="2217" spans="1:11">
      <c r="A2217" s="946" t="s">
        <v>28612</v>
      </c>
      <c r="B2217" s="947" t="s">
        <v>14541</v>
      </c>
      <c r="C2217" s="948" t="s">
        <v>14539</v>
      </c>
      <c r="D2217" s="242" t="s">
        <v>28723</v>
      </c>
      <c r="E2217" s="949">
        <v>302</v>
      </c>
      <c r="F2217" s="949">
        <v>302</v>
      </c>
      <c r="G2217" s="950" t="s">
        <v>3021</v>
      </c>
      <c r="H2217" s="950" t="s">
        <v>441</v>
      </c>
      <c r="I2217" s="951" t="s">
        <v>14540</v>
      </c>
      <c r="J2217" s="947" t="s">
        <v>14541</v>
      </c>
      <c r="K2217" s="143"/>
    </row>
    <row r="2218" spans="1:11">
      <c r="A2218" s="946" t="s">
        <v>28612</v>
      </c>
      <c r="B2218" s="947" t="s">
        <v>14689</v>
      </c>
      <c r="C2218" s="948" t="s">
        <v>14687</v>
      </c>
      <c r="D2218" s="242" t="s">
        <v>28723</v>
      </c>
      <c r="E2218" s="949">
        <v>302</v>
      </c>
      <c r="F2218" s="949">
        <v>302</v>
      </c>
      <c r="G2218" s="950" t="s">
        <v>3021</v>
      </c>
      <c r="H2218" s="950" t="s">
        <v>441</v>
      </c>
      <c r="I2218" s="951" t="s">
        <v>14688</v>
      </c>
      <c r="J2218" s="947" t="s">
        <v>14689</v>
      </c>
      <c r="K2218" s="143"/>
    </row>
    <row r="2219" spans="1:11">
      <c r="A2219" s="946" t="s">
        <v>28612</v>
      </c>
      <c r="B2219" s="947" t="s">
        <v>14704</v>
      </c>
      <c r="C2219" s="948" t="s">
        <v>14702</v>
      </c>
      <c r="D2219" s="242" t="s">
        <v>28723</v>
      </c>
      <c r="E2219" s="949">
        <v>302</v>
      </c>
      <c r="F2219" s="949">
        <v>302</v>
      </c>
      <c r="G2219" s="950" t="s">
        <v>3021</v>
      </c>
      <c r="H2219" s="950" t="s">
        <v>441</v>
      </c>
      <c r="I2219" s="951" t="s">
        <v>14703</v>
      </c>
      <c r="J2219" s="947" t="s">
        <v>14704</v>
      </c>
      <c r="K2219" s="143"/>
    </row>
    <row r="2220" spans="1:11">
      <c r="A2220" s="946" t="s">
        <v>28612</v>
      </c>
      <c r="B2220" s="947" t="s">
        <v>15085</v>
      </c>
      <c r="C2220" s="948" t="s">
        <v>15083</v>
      </c>
      <c r="D2220" s="242" t="s">
        <v>28723</v>
      </c>
      <c r="E2220" s="949">
        <v>302</v>
      </c>
      <c r="F2220" s="949">
        <v>302</v>
      </c>
      <c r="G2220" s="950" t="s">
        <v>3021</v>
      </c>
      <c r="H2220" s="950" t="s">
        <v>441</v>
      </c>
      <c r="I2220" s="951" t="s">
        <v>15084</v>
      </c>
      <c r="J2220" s="947" t="s">
        <v>15085</v>
      </c>
      <c r="K2220" s="143"/>
    </row>
    <row r="2221" spans="1:11">
      <c r="A2221" s="946" t="s">
        <v>28612</v>
      </c>
      <c r="B2221" s="947" t="s">
        <v>15247</v>
      </c>
      <c r="C2221" s="948" t="s">
        <v>15245</v>
      </c>
      <c r="D2221" s="242" t="s">
        <v>28723</v>
      </c>
      <c r="E2221" s="949">
        <v>302</v>
      </c>
      <c r="F2221" s="949">
        <v>302</v>
      </c>
      <c r="G2221" s="950" t="s">
        <v>3021</v>
      </c>
      <c r="H2221" s="950" t="s">
        <v>441</v>
      </c>
      <c r="I2221" s="951" t="s">
        <v>15246</v>
      </c>
      <c r="J2221" s="947" t="s">
        <v>15247</v>
      </c>
      <c r="K2221" s="143"/>
    </row>
    <row r="2222" spans="1:11">
      <c r="A2222" s="946" t="s">
        <v>28612</v>
      </c>
      <c r="B2222" s="947" t="s">
        <v>15306</v>
      </c>
      <c r="C2222" s="948" t="s">
        <v>15304</v>
      </c>
      <c r="D2222" s="242" t="s">
        <v>28723</v>
      </c>
      <c r="E2222" s="949">
        <v>302</v>
      </c>
      <c r="F2222" s="949">
        <v>302</v>
      </c>
      <c r="G2222" s="950" t="s">
        <v>3021</v>
      </c>
      <c r="H2222" s="950" t="s">
        <v>441</v>
      </c>
      <c r="I2222" s="951" t="s">
        <v>15305</v>
      </c>
      <c r="J2222" s="947" t="s">
        <v>15306</v>
      </c>
      <c r="K2222" s="143"/>
    </row>
    <row r="2223" spans="1:11">
      <c r="A2223" s="946" t="s">
        <v>28612</v>
      </c>
      <c r="B2223" s="947" t="s">
        <v>15345</v>
      </c>
      <c r="C2223" s="948" t="s">
        <v>15343</v>
      </c>
      <c r="D2223" s="242" t="s">
        <v>28723</v>
      </c>
      <c r="E2223" s="949">
        <v>302</v>
      </c>
      <c r="F2223" s="949">
        <v>302</v>
      </c>
      <c r="G2223" s="950" t="s">
        <v>3021</v>
      </c>
      <c r="H2223" s="950" t="s">
        <v>441</v>
      </c>
      <c r="I2223" s="951" t="s">
        <v>15344</v>
      </c>
      <c r="J2223" s="947" t="s">
        <v>15345</v>
      </c>
      <c r="K2223" s="143"/>
    </row>
    <row r="2224" spans="1:11">
      <c r="A2224" s="946" t="s">
        <v>28612</v>
      </c>
      <c r="B2224" s="947" t="s">
        <v>15353</v>
      </c>
      <c r="C2224" s="948" t="s">
        <v>15351</v>
      </c>
      <c r="D2224" s="242" t="s">
        <v>28723</v>
      </c>
      <c r="E2224" s="949">
        <v>302</v>
      </c>
      <c r="F2224" s="949">
        <v>302</v>
      </c>
      <c r="G2224" s="950" t="s">
        <v>3021</v>
      </c>
      <c r="H2224" s="950" t="s">
        <v>441</v>
      </c>
      <c r="I2224" s="951" t="s">
        <v>15352</v>
      </c>
      <c r="J2224" s="947" t="s">
        <v>15353</v>
      </c>
      <c r="K2224" s="143"/>
    </row>
    <row r="2225" spans="1:11">
      <c r="A2225" s="946" t="s">
        <v>28612</v>
      </c>
      <c r="B2225" s="947" t="s">
        <v>15384</v>
      </c>
      <c r="C2225" s="948" t="s">
        <v>15382</v>
      </c>
      <c r="D2225" s="242" t="s">
        <v>28723</v>
      </c>
      <c r="E2225" s="949">
        <v>302</v>
      </c>
      <c r="F2225" s="949">
        <v>302</v>
      </c>
      <c r="G2225" s="950" t="s">
        <v>3021</v>
      </c>
      <c r="H2225" s="950" t="s">
        <v>441</v>
      </c>
      <c r="I2225" s="951" t="s">
        <v>15383</v>
      </c>
      <c r="J2225" s="947" t="s">
        <v>15384</v>
      </c>
      <c r="K2225" s="143"/>
    </row>
    <row r="2226" spans="1:11">
      <c r="A2226" s="946" t="s">
        <v>28612</v>
      </c>
      <c r="B2226" s="947" t="s">
        <v>15454</v>
      </c>
      <c r="C2226" s="948" t="s">
        <v>15452</v>
      </c>
      <c r="D2226" s="242" t="s">
        <v>28723</v>
      </c>
      <c r="E2226" s="949">
        <v>302</v>
      </c>
      <c r="F2226" s="949">
        <v>302</v>
      </c>
      <c r="G2226" s="950" t="s">
        <v>3021</v>
      </c>
      <c r="H2226" s="950" t="s">
        <v>441</v>
      </c>
      <c r="I2226" s="951" t="s">
        <v>15453</v>
      </c>
      <c r="J2226" s="947" t="s">
        <v>15454</v>
      </c>
      <c r="K2226" s="143"/>
    </row>
    <row r="2227" spans="1:11">
      <c r="A2227" s="946" t="s">
        <v>28612</v>
      </c>
      <c r="B2227" s="947" t="s">
        <v>15478</v>
      </c>
      <c r="C2227" s="948" t="s">
        <v>15476</v>
      </c>
      <c r="D2227" s="242" t="s">
        <v>28723</v>
      </c>
      <c r="E2227" s="949">
        <v>302</v>
      </c>
      <c r="F2227" s="949">
        <v>302</v>
      </c>
      <c r="G2227" s="950" t="s">
        <v>3021</v>
      </c>
      <c r="H2227" s="950" t="s">
        <v>441</v>
      </c>
      <c r="I2227" s="951" t="s">
        <v>15477</v>
      </c>
      <c r="J2227" s="947" t="s">
        <v>15478</v>
      </c>
      <c r="K2227" s="143"/>
    </row>
    <row r="2228" spans="1:11">
      <c r="A2228" s="946" t="s">
        <v>28612</v>
      </c>
      <c r="B2228" s="947" t="s">
        <v>15677</v>
      </c>
      <c r="C2228" s="948" t="s">
        <v>15675</v>
      </c>
      <c r="D2228" s="242" t="s">
        <v>28723</v>
      </c>
      <c r="E2228" s="949">
        <v>302</v>
      </c>
      <c r="F2228" s="949">
        <v>302</v>
      </c>
      <c r="G2228" s="950" t="s">
        <v>3021</v>
      </c>
      <c r="H2228" s="950" t="s">
        <v>441</v>
      </c>
      <c r="I2228" s="951" t="s">
        <v>15676</v>
      </c>
      <c r="J2228" s="947" t="s">
        <v>15677</v>
      </c>
      <c r="K2228" s="143"/>
    </row>
    <row r="2229" spans="1:11">
      <c r="A2229" s="946" t="s">
        <v>28612</v>
      </c>
      <c r="B2229" s="947" t="s">
        <v>15718</v>
      </c>
      <c r="C2229" s="948" t="s">
        <v>15716</v>
      </c>
      <c r="D2229" s="242" t="s">
        <v>28723</v>
      </c>
      <c r="E2229" s="949">
        <v>302</v>
      </c>
      <c r="F2229" s="949">
        <v>302</v>
      </c>
      <c r="G2229" s="950" t="s">
        <v>3021</v>
      </c>
      <c r="H2229" s="950" t="s">
        <v>441</v>
      </c>
      <c r="I2229" s="951" t="s">
        <v>15717</v>
      </c>
      <c r="J2229" s="947" t="s">
        <v>15718</v>
      </c>
      <c r="K2229" s="143"/>
    </row>
    <row r="2230" spans="1:11">
      <c r="A2230" s="946" t="s">
        <v>28612</v>
      </c>
      <c r="B2230" s="947" t="s">
        <v>15846</v>
      </c>
      <c r="C2230" s="948" t="s">
        <v>15844</v>
      </c>
      <c r="D2230" s="242" t="s">
        <v>28723</v>
      </c>
      <c r="E2230" s="949">
        <v>302</v>
      </c>
      <c r="F2230" s="949">
        <v>302</v>
      </c>
      <c r="G2230" s="950" t="s">
        <v>3021</v>
      </c>
      <c r="H2230" s="950" t="s">
        <v>441</v>
      </c>
      <c r="I2230" s="951" t="s">
        <v>15845</v>
      </c>
      <c r="J2230" s="947" t="s">
        <v>15846</v>
      </c>
      <c r="K2230" s="143"/>
    </row>
    <row r="2231" spans="1:11">
      <c r="A2231" s="946" t="s">
        <v>28612</v>
      </c>
      <c r="B2231" s="947" t="s">
        <v>15861</v>
      </c>
      <c r="C2231" s="948" t="s">
        <v>15859</v>
      </c>
      <c r="D2231" s="242" t="s">
        <v>28723</v>
      </c>
      <c r="E2231" s="949">
        <v>302</v>
      </c>
      <c r="F2231" s="949">
        <v>302</v>
      </c>
      <c r="G2231" s="950" t="s">
        <v>3021</v>
      </c>
      <c r="H2231" s="950" t="s">
        <v>441</v>
      </c>
      <c r="I2231" s="951" t="s">
        <v>15860</v>
      </c>
      <c r="J2231" s="947" t="s">
        <v>15861</v>
      </c>
      <c r="K2231" s="143"/>
    </row>
    <row r="2232" spans="1:11">
      <c r="A2232" s="946" t="s">
        <v>28612</v>
      </c>
      <c r="B2232" s="947" t="s">
        <v>15909</v>
      </c>
      <c r="C2232" s="948" t="s">
        <v>15907</v>
      </c>
      <c r="D2232" s="242" t="s">
        <v>28723</v>
      </c>
      <c r="E2232" s="949">
        <v>302</v>
      </c>
      <c r="F2232" s="949">
        <v>302</v>
      </c>
      <c r="G2232" s="950" t="s">
        <v>3021</v>
      </c>
      <c r="H2232" s="950" t="s">
        <v>441</v>
      </c>
      <c r="I2232" s="951" t="s">
        <v>15908</v>
      </c>
      <c r="J2232" s="947" t="s">
        <v>15909</v>
      </c>
      <c r="K2232" s="143"/>
    </row>
    <row r="2233" spans="1:11">
      <c r="A2233" s="946" t="s">
        <v>28612</v>
      </c>
      <c r="B2233" s="947" t="s">
        <v>15912</v>
      </c>
      <c r="C2233" s="948" t="s">
        <v>15910</v>
      </c>
      <c r="D2233" s="242" t="s">
        <v>28723</v>
      </c>
      <c r="E2233" s="949">
        <v>302</v>
      </c>
      <c r="F2233" s="949">
        <v>302</v>
      </c>
      <c r="G2233" s="950" t="s">
        <v>3021</v>
      </c>
      <c r="H2233" s="950" t="s">
        <v>441</v>
      </c>
      <c r="I2233" s="951" t="s">
        <v>15911</v>
      </c>
      <c r="J2233" s="947" t="s">
        <v>15912</v>
      </c>
      <c r="K2233" s="143"/>
    </row>
    <row r="2234" spans="1:11">
      <c r="A2234" s="946" t="s">
        <v>28612</v>
      </c>
      <c r="B2234" s="947" t="s">
        <v>31111</v>
      </c>
      <c r="C2234" s="948" t="s">
        <v>31112</v>
      </c>
      <c r="D2234" s="242" t="s">
        <v>28723</v>
      </c>
      <c r="E2234" s="949">
        <v>302</v>
      </c>
      <c r="F2234" s="949">
        <v>302</v>
      </c>
      <c r="G2234" s="950" t="s">
        <v>3021</v>
      </c>
      <c r="H2234" s="950" t="s">
        <v>441</v>
      </c>
      <c r="I2234" s="951" t="s">
        <v>15920</v>
      </c>
      <c r="J2234" s="947" t="s">
        <v>31111</v>
      </c>
      <c r="K2234" s="143"/>
    </row>
    <row r="2235" spans="1:11">
      <c r="A2235" s="946" t="s">
        <v>28612</v>
      </c>
      <c r="B2235" s="947" t="s">
        <v>16019</v>
      </c>
      <c r="C2235" s="948" t="s">
        <v>16017</v>
      </c>
      <c r="D2235" s="242" t="s">
        <v>28723</v>
      </c>
      <c r="E2235" s="949">
        <v>302</v>
      </c>
      <c r="F2235" s="949">
        <v>302</v>
      </c>
      <c r="G2235" s="950" t="s">
        <v>3021</v>
      </c>
      <c r="H2235" s="950" t="s">
        <v>441</v>
      </c>
      <c r="I2235" s="951" t="s">
        <v>16018</v>
      </c>
      <c r="J2235" s="947" t="s">
        <v>16019</v>
      </c>
      <c r="K2235" s="143"/>
    </row>
    <row r="2236" spans="1:11">
      <c r="A2236" s="946" t="s">
        <v>28612</v>
      </c>
      <c r="B2236" s="947" t="s">
        <v>16199</v>
      </c>
      <c r="C2236" s="948" t="s">
        <v>16197</v>
      </c>
      <c r="D2236" s="242" t="s">
        <v>28723</v>
      </c>
      <c r="E2236" s="949">
        <v>302</v>
      </c>
      <c r="F2236" s="949">
        <v>302</v>
      </c>
      <c r="G2236" s="950" t="s">
        <v>3021</v>
      </c>
      <c r="H2236" s="950" t="s">
        <v>441</v>
      </c>
      <c r="I2236" s="951" t="s">
        <v>16198</v>
      </c>
      <c r="J2236" s="947" t="s">
        <v>16199</v>
      </c>
      <c r="K2236" s="143"/>
    </row>
    <row r="2237" spans="1:11">
      <c r="A2237" s="946" t="s">
        <v>28612</v>
      </c>
      <c r="B2237" s="947" t="s">
        <v>16238</v>
      </c>
      <c r="C2237" s="948" t="s">
        <v>16236</v>
      </c>
      <c r="D2237" s="242" t="s">
        <v>28723</v>
      </c>
      <c r="E2237" s="949">
        <v>302</v>
      </c>
      <c r="F2237" s="949">
        <v>302</v>
      </c>
      <c r="G2237" s="950" t="s">
        <v>3021</v>
      </c>
      <c r="H2237" s="950" t="s">
        <v>441</v>
      </c>
      <c r="I2237" s="951" t="s">
        <v>16237</v>
      </c>
      <c r="J2237" s="947" t="s">
        <v>16238</v>
      </c>
      <c r="K2237" s="143"/>
    </row>
    <row r="2238" spans="1:11">
      <c r="A2238" s="946" t="s">
        <v>28612</v>
      </c>
      <c r="B2238" s="947" t="s">
        <v>16619</v>
      </c>
      <c r="C2238" s="948" t="s">
        <v>16617</v>
      </c>
      <c r="D2238" s="242" t="s">
        <v>28723</v>
      </c>
      <c r="E2238" s="949">
        <v>302</v>
      </c>
      <c r="F2238" s="949">
        <v>302</v>
      </c>
      <c r="G2238" s="950" t="s">
        <v>3021</v>
      </c>
      <c r="H2238" s="950" t="s">
        <v>441</v>
      </c>
      <c r="I2238" s="951" t="s">
        <v>16618</v>
      </c>
      <c r="J2238" s="947" t="s">
        <v>16619</v>
      </c>
      <c r="K2238" s="143"/>
    </row>
    <row r="2239" spans="1:11">
      <c r="A2239" s="946" t="s">
        <v>28612</v>
      </c>
      <c r="B2239" s="947" t="s">
        <v>16755</v>
      </c>
      <c r="C2239" s="948" t="s">
        <v>16753</v>
      </c>
      <c r="D2239" s="242" t="s">
        <v>28723</v>
      </c>
      <c r="E2239" s="949">
        <v>302</v>
      </c>
      <c r="F2239" s="949">
        <v>302</v>
      </c>
      <c r="G2239" s="950" t="s">
        <v>3021</v>
      </c>
      <c r="H2239" s="950" t="s">
        <v>441</v>
      </c>
      <c r="I2239" s="951" t="s">
        <v>16754</v>
      </c>
      <c r="J2239" s="947" t="s">
        <v>16755</v>
      </c>
      <c r="K2239" s="143"/>
    </row>
    <row r="2240" spans="1:11">
      <c r="A2240" s="946" t="s">
        <v>28612</v>
      </c>
      <c r="B2240" s="947" t="s">
        <v>16770</v>
      </c>
      <c r="C2240" s="948" t="s">
        <v>16768</v>
      </c>
      <c r="D2240" s="242" t="s">
        <v>28723</v>
      </c>
      <c r="E2240" s="949">
        <v>302</v>
      </c>
      <c r="F2240" s="949">
        <v>302</v>
      </c>
      <c r="G2240" s="950" t="s">
        <v>3021</v>
      </c>
      <c r="H2240" s="950" t="s">
        <v>441</v>
      </c>
      <c r="I2240" s="951" t="s">
        <v>16769</v>
      </c>
      <c r="J2240" s="947" t="s">
        <v>16770</v>
      </c>
      <c r="K2240" s="143"/>
    </row>
    <row r="2241" spans="1:11">
      <c r="A2241" s="946" t="s">
        <v>28612</v>
      </c>
      <c r="B2241" s="947" t="s">
        <v>16858</v>
      </c>
      <c r="C2241" s="948" t="s">
        <v>16856</v>
      </c>
      <c r="D2241" s="242" t="s">
        <v>28723</v>
      </c>
      <c r="E2241" s="949">
        <v>302</v>
      </c>
      <c r="F2241" s="949">
        <v>302</v>
      </c>
      <c r="G2241" s="950" t="s">
        <v>3021</v>
      </c>
      <c r="H2241" s="950" t="s">
        <v>441</v>
      </c>
      <c r="I2241" s="951" t="s">
        <v>16857</v>
      </c>
      <c r="J2241" s="947" t="s">
        <v>16858</v>
      </c>
      <c r="K2241" s="143"/>
    </row>
    <row r="2242" spans="1:11">
      <c r="A2242" s="946" t="s">
        <v>28612</v>
      </c>
      <c r="B2242" s="947" t="s">
        <v>17027</v>
      </c>
      <c r="C2242" s="948" t="s">
        <v>17025</v>
      </c>
      <c r="D2242" s="242" t="s">
        <v>28723</v>
      </c>
      <c r="E2242" s="949">
        <v>302</v>
      </c>
      <c r="F2242" s="949">
        <v>302</v>
      </c>
      <c r="G2242" s="950" t="s">
        <v>3021</v>
      </c>
      <c r="H2242" s="950" t="s">
        <v>441</v>
      </c>
      <c r="I2242" s="951" t="s">
        <v>17026</v>
      </c>
      <c r="J2242" s="947" t="s">
        <v>17027</v>
      </c>
      <c r="K2242" s="143"/>
    </row>
    <row r="2243" spans="1:11">
      <c r="A2243" s="946" t="s">
        <v>28612</v>
      </c>
      <c r="B2243" s="947" t="s">
        <v>17093</v>
      </c>
      <c r="C2243" s="948" t="s">
        <v>17091</v>
      </c>
      <c r="D2243" s="242" t="s">
        <v>28723</v>
      </c>
      <c r="E2243" s="949">
        <v>302</v>
      </c>
      <c r="F2243" s="949">
        <v>302</v>
      </c>
      <c r="G2243" s="950" t="s">
        <v>3021</v>
      </c>
      <c r="H2243" s="950" t="s">
        <v>441</v>
      </c>
      <c r="I2243" s="951" t="s">
        <v>17092</v>
      </c>
      <c r="J2243" s="947" t="s">
        <v>17093</v>
      </c>
      <c r="K2243" s="143"/>
    </row>
    <row r="2244" spans="1:11">
      <c r="A2244" s="946" t="s">
        <v>28612</v>
      </c>
      <c r="B2244" s="947" t="s">
        <v>17140</v>
      </c>
      <c r="C2244" s="948" t="s">
        <v>17138</v>
      </c>
      <c r="D2244" s="242" t="s">
        <v>28723</v>
      </c>
      <c r="E2244" s="949">
        <v>302</v>
      </c>
      <c r="F2244" s="949">
        <v>302</v>
      </c>
      <c r="G2244" s="950" t="s">
        <v>3021</v>
      </c>
      <c r="H2244" s="950" t="s">
        <v>441</v>
      </c>
      <c r="I2244" s="951" t="s">
        <v>17139</v>
      </c>
      <c r="J2244" s="947" t="s">
        <v>17140</v>
      </c>
      <c r="K2244" s="143"/>
    </row>
    <row r="2245" spans="1:11">
      <c r="A2245" s="946" t="s">
        <v>28612</v>
      </c>
      <c r="B2245" s="947" t="s">
        <v>17242</v>
      </c>
      <c r="C2245" s="948" t="s">
        <v>17240</v>
      </c>
      <c r="D2245" s="242" t="s">
        <v>28723</v>
      </c>
      <c r="E2245" s="949">
        <v>302</v>
      </c>
      <c r="F2245" s="949">
        <v>302</v>
      </c>
      <c r="G2245" s="950" t="s">
        <v>3021</v>
      </c>
      <c r="H2245" s="950" t="s">
        <v>441</v>
      </c>
      <c r="I2245" s="951" t="s">
        <v>17241</v>
      </c>
      <c r="J2245" s="947" t="s">
        <v>17242</v>
      </c>
      <c r="K2245" s="143"/>
    </row>
    <row r="2246" spans="1:11">
      <c r="A2246" s="946" t="s">
        <v>28612</v>
      </c>
      <c r="B2246" s="947" t="s">
        <v>17287</v>
      </c>
      <c r="C2246" s="948" t="s">
        <v>17285</v>
      </c>
      <c r="D2246" s="242" t="s">
        <v>28723</v>
      </c>
      <c r="E2246" s="949">
        <v>302</v>
      </c>
      <c r="F2246" s="949">
        <v>302</v>
      </c>
      <c r="G2246" s="950" t="s">
        <v>3021</v>
      </c>
      <c r="H2246" s="950" t="s">
        <v>441</v>
      </c>
      <c r="I2246" s="951" t="s">
        <v>17286</v>
      </c>
      <c r="J2246" s="947" t="s">
        <v>17287</v>
      </c>
      <c r="K2246" s="143"/>
    </row>
    <row r="2247" spans="1:11">
      <c r="A2247" s="946" t="s">
        <v>28612</v>
      </c>
      <c r="B2247" s="947" t="s">
        <v>17556</v>
      </c>
      <c r="C2247" s="948" t="s">
        <v>17554</v>
      </c>
      <c r="D2247" s="242" t="s">
        <v>28723</v>
      </c>
      <c r="E2247" s="949">
        <v>302</v>
      </c>
      <c r="F2247" s="949">
        <v>302</v>
      </c>
      <c r="G2247" s="950" t="s">
        <v>3021</v>
      </c>
      <c r="H2247" s="950" t="s">
        <v>441</v>
      </c>
      <c r="I2247" s="951" t="s">
        <v>17555</v>
      </c>
      <c r="J2247" s="947" t="s">
        <v>17556</v>
      </c>
      <c r="K2247" s="143"/>
    </row>
    <row r="2248" spans="1:11">
      <c r="A2248" s="946" t="s">
        <v>28612</v>
      </c>
      <c r="B2248" s="947" t="s">
        <v>17614</v>
      </c>
      <c r="C2248" s="948" t="s">
        <v>17612</v>
      </c>
      <c r="D2248" s="242" t="s">
        <v>28723</v>
      </c>
      <c r="E2248" s="949">
        <v>302</v>
      </c>
      <c r="F2248" s="949">
        <v>302</v>
      </c>
      <c r="G2248" s="950" t="s">
        <v>3021</v>
      </c>
      <c r="H2248" s="950" t="s">
        <v>441</v>
      </c>
      <c r="I2248" s="951" t="s">
        <v>17613</v>
      </c>
      <c r="J2248" s="947" t="s">
        <v>17614</v>
      </c>
      <c r="K2248" s="143"/>
    </row>
    <row r="2249" spans="1:11">
      <c r="A2249" s="946" t="s">
        <v>28612</v>
      </c>
      <c r="B2249" s="947" t="s">
        <v>18317</v>
      </c>
      <c r="C2249" s="948" t="s">
        <v>18315</v>
      </c>
      <c r="D2249" s="242" t="s">
        <v>28723</v>
      </c>
      <c r="E2249" s="949">
        <v>302</v>
      </c>
      <c r="F2249" s="949">
        <v>302</v>
      </c>
      <c r="G2249" s="950" t="s">
        <v>3021</v>
      </c>
      <c r="H2249" s="950" t="s">
        <v>441</v>
      </c>
      <c r="I2249" s="951" t="s">
        <v>18316</v>
      </c>
      <c r="J2249" s="947" t="s">
        <v>18317</v>
      </c>
      <c r="K2249" s="143"/>
    </row>
    <row r="2250" spans="1:11">
      <c r="A2250" s="946" t="s">
        <v>28612</v>
      </c>
      <c r="B2250" s="947" t="s">
        <v>18864</v>
      </c>
      <c r="C2250" s="948" t="s">
        <v>18862</v>
      </c>
      <c r="D2250" s="242" t="s">
        <v>28723</v>
      </c>
      <c r="E2250" s="949">
        <v>302</v>
      </c>
      <c r="F2250" s="949">
        <v>302</v>
      </c>
      <c r="G2250" s="950" t="s">
        <v>3021</v>
      </c>
      <c r="H2250" s="950" t="s">
        <v>441</v>
      </c>
      <c r="I2250" s="951" t="s">
        <v>18863</v>
      </c>
      <c r="J2250" s="947" t="s">
        <v>18864</v>
      </c>
      <c r="K2250" s="143"/>
    </row>
    <row r="2251" spans="1:11">
      <c r="A2251" s="946" t="s">
        <v>28612</v>
      </c>
      <c r="B2251" s="947" t="s">
        <v>18972</v>
      </c>
      <c r="C2251" s="948" t="s">
        <v>18970</v>
      </c>
      <c r="D2251" s="242" t="s">
        <v>28723</v>
      </c>
      <c r="E2251" s="949">
        <v>302</v>
      </c>
      <c r="F2251" s="949">
        <v>302</v>
      </c>
      <c r="G2251" s="950" t="s">
        <v>3021</v>
      </c>
      <c r="H2251" s="950" t="s">
        <v>441</v>
      </c>
      <c r="I2251" s="951" t="s">
        <v>18971</v>
      </c>
      <c r="J2251" s="947" t="s">
        <v>18972</v>
      </c>
      <c r="K2251" s="143"/>
    </row>
    <row r="2252" spans="1:11">
      <c r="A2252" s="946" t="s">
        <v>28612</v>
      </c>
      <c r="B2252" s="947" t="s">
        <v>19207</v>
      </c>
      <c r="C2252" s="948" t="s">
        <v>19205</v>
      </c>
      <c r="D2252" s="242" t="s">
        <v>28723</v>
      </c>
      <c r="E2252" s="949">
        <v>302</v>
      </c>
      <c r="F2252" s="949">
        <v>302</v>
      </c>
      <c r="G2252" s="950" t="s">
        <v>3021</v>
      </c>
      <c r="H2252" s="950" t="s">
        <v>441</v>
      </c>
      <c r="I2252" s="951" t="s">
        <v>19206</v>
      </c>
      <c r="J2252" s="947" t="s">
        <v>19207</v>
      </c>
      <c r="K2252" s="143"/>
    </row>
    <row r="2253" spans="1:11">
      <c r="A2253" s="946" t="s">
        <v>28612</v>
      </c>
      <c r="B2253" s="947" t="s">
        <v>19251</v>
      </c>
      <c r="C2253" s="948" t="s">
        <v>19249</v>
      </c>
      <c r="D2253" s="242" t="s">
        <v>28723</v>
      </c>
      <c r="E2253" s="949">
        <v>302</v>
      </c>
      <c r="F2253" s="949">
        <v>302</v>
      </c>
      <c r="G2253" s="950" t="s">
        <v>3021</v>
      </c>
      <c r="H2253" s="950" t="s">
        <v>441</v>
      </c>
      <c r="I2253" s="951" t="s">
        <v>19250</v>
      </c>
      <c r="J2253" s="947" t="s">
        <v>19251</v>
      </c>
      <c r="K2253" s="143"/>
    </row>
    <row r="2254" spans="1:11">
      <c r="A2254" s="946" t="s">
        <v>28612</v>
      </c>
      <c r="B2254" s="947" t="s">
        <v>19300</v>
      </c>
      <c r="C2254" s="948" t="s">
        <v>19298</v>
      </c>
      <c r="D2254" s="242" t="s">
        <v>28723</v>
      </c>
      <c r="E2254" s="949">
        <v>302</v>
      </c>
      <c r="F2254" s="949">
        <v>302</v>
      </c>
      <c r="G2254" s="950" t="s">
        <v>3021</v>
      </c>
      <c r="H2254" s="950" t="s">
        <v>441</v>
      </c>
      <c r="I2254" s="951" t="s">
        <v>19299</v>
      </c>
      <c r="J2254" s="947" t="s">
        <v>19300</v>
      </c>
      <c r="K2254" s="143"/>
    </row>
    <row r="2255" spans="1:11">
      <c r="A2255" s="946" t="s">
        <v>28612</v>
      </c>
      <c r="B2255" s="947" t="s">
        <v>19579</v>
      </c>
      <c r="C2255" s="948" t="s">
        <v>19577</v>
      </c>
      <c r="D2255" s="242" t="s">
        <v>28723</v>
      </c>
      <c r="E2255" s="949">
        <v>302</v>
      </c>
      <c r="F2255" s="949">
        <v>302</v>
      </c>
      <c r="G2255" s="950" t="s">
        <v>3021</v>
      </c>
      <c r="H2255" s="950" t="s">
        <v>441</v>
      </c>
      <c r="I2255" s="951" t="s">
        <v>19578</v>
      </c>
      <c r="J2255" s="947" t="s">
        <v>19579</v>
      </c>
      <c r="K2255" s="143"/>
    </row>
    <row r="2256" spans="1:11">
      <c r="A2256" s="946" t="s">
        <v>28612</v>
      </c>
      <c r="B2256" s="947" t="s">
        <v>19618</v>
      </c>
      <c r="C2256" s="948" t="s">
        <v>19616</v>
      </c>
      <c r="D2256" s="242" t="s">
        <v>28723</v>
      </c>
      <c r="E2256" s="949">
        <v>302</v>
      </c>
      <c r="F2256" s="949">
        <v>302</v>
      </c>
      <c r="G2256" s="950" t="s">
        <v>3021</v>
      </c>
      <c r="H2256" s="950" t="s">
        <v>441</v>
      </c>
      <c r="I2256" s="951" t="s">
        <v>19617</v>
      </c>
      <c r="J2256" s="947" t="s">
        <v>19618</v>
      </c>
      <c r="K2256" s="143"/>
    </row>
    <row r="2257" spans="1:11">
      <c r="A2257" s="946" t="s">
        <v>28612</v>
      </c>
      <c r="B2257" s="947" t="s">
        <v>19723</v>
      </c>
      <c r="C2257" s="948" t="s">
        <v>19721</v>
      </c>
      <c r="D2257" s="242" t="s">
        <v>28723</v>
      </c>
      <c r="E2257" s="949">
        <v>302</v>
      </c>
      <c r="F2257" s="949">
        <v>302</v>
      </c>
      <c r="G2257" s="950" t="s">
        <v>3021</v>
      </c>
      <c r="H2257" s="950" t="s">
        <v>441</v>
      </c>
      <c r="I2257" s="951" t="s">
        <v>19722</v>
      </c>
      <c r="J2257" s="947" t="s">
        <v>19723</v>
      </c>
      <c r="K2257" s="143"/>
    </row>
    <row r="2258" spans="1:11">
      <c r="A2258" s="946" t="s">
        <v>28612</v>
      </c>
      <c r="B2258" s="947" t="s">
        <v>20107</v>
      </c>
      <c r="C2258" s="948" t="s">
        <v>20105</v>
      </c>
      <c r="D2258" s="242" t="s">
        <v>28723</v>
      </c>
      <c r="E2258" s="949">
        <v>302</v>
      </c>
      <c r="F2258" s="949">
        <v>302</v>
      </c>
      <c r="G2258" s="950" t="s">
        <v>3021</v>
      </c>
      <c r="H2258" s="950" t="s">
        <v>441</v>
      </c>
      <c r="I2258" s="951" t="s">
        <v>20106</v>
      </c>
      <c r="J2258" s="947" t="s">
        <v>20107</v>
      </c>
      <c r="K2258" s="143"/>
    </row>
    <row r="2259" spans="1:11">
      <c r="A2259" s="946" t="s">
        <v>28612</v>
      </c>
      <c r="B2259" s="947" t="s">
        <v>20269</v>
      </c>
      <c r="C2259" s="948" t="s">
        <v>20267</v>
      </c>
      <c r="D2259" s="242" t="s">
        <v>28723</v>
      </c>
      <c r="E2259" s="949">
        <v>302</v>
      </c>
      <c r="F2259" s="949">
        <v>302</v>
      </c>
      <c r="G2259" s="950" t="s">
        <v>3021</v>
      </c>
      <c r="H2259" s="950" t="s">
        <v>441</v>
      </c>
      <c r="I2259" s="951" t="s">
        <v>20268</v>
      </c>
      <c r="J2259" s="947" t="s">
        <v>20269</v>
      </c>
      <c r="K2259" s="143"/>
    </row>
    <row r="2260" spans="1:11">
      <c r="A2260" s="946" t="s">
        <v>28612</v>
      </c>
      <c r="B2260" s="947" t="s">
        <v>20313</v>
      </c>
      <c r="C2260" s="948" t="s">
        <v>20311</v>
      </c>
      <c r="D2260" s="242" t="s">
        <v>28723</v>
      </c>
      <c r="E2260" s="949">
        <v>302</v>
      </c>
      <c r="F2260" s="949">
        <v>302</v>
      </c>
      <c r="G2260" s="950" t="s">
        <v>3021</v>
      </c>
      <c r="H2260" s="950" t="s">
        <v>441</v>
      </c>
      <c r="I2260" s="951" t="s">
        <v>20312</v>
      </c>
      <c r="J2260" s="947" t="s">
        <v>20313</v>
      </c>
      <c r="K2260" s="143"/>
    </row>
    <row r="2261" spans="1:11">
      <c r="A2261" s="946" t="s">
        <v>28612</v>
      </c>
      <c r="B2261" s="947" t="s">
        <v>20467</v>
      </c>
      <c r="C2261" s="948" t="s">
        <v>20465</v>
      </c>
      <c r="D2261" s="242" t="s">
        <v>28723</v>
      </c>
      <c r="E2261" s="949">
        <v>302</v>
      </c>
      <c r="F2261" s="949">
        <v>302</v>
      </c>
      <c r="G2261" s="950" t="s">
        <v>3021</v>
      </c>
      <c r="H2261" s="950" t="s">
        <v>441</v>
      </c>
      <c r="I2261" s="951" t="s">
        <v>20466</v>
      </c>
      <c r="J2261" s="947" t="s">
        <v>20467</v>
      </c>
      <c r="K2261" s="143"/>
    </row>
    <row r="2262" spans="1:11">
      <c r="A2262" s="946" t="s">
        <v>28612</v>
      </c>
      <c r="B2262" s="947" t="s">
        <v>20558</v>
      </c>
      <c r="C2262" s="948" t="s">
        <v>20556</v>
      </c>
      <c r="D2262" s="242" t="s">
        <v>28723</v>
      </c>
      <c r="E2262" s="949">
        <v>302</v>
      </c>
      <c r="F2262" s="949">
        <v>302</v>
      </c>
      <c r="G2262" s="950" t="s">
        <v>3021</v>
      </c>
      <c r="H2262" s="950" t="s">
        <v>441</v>
      </c>
      <c r="I2262" s="951" t="s">
        <v>20557</v>
      </c>
      <c r="J2262" s="947" t="s">
        <v>20558</v>
      </c>
      <c r="K2262" s="143"/>
    </row>
    <row r="2263" spans="1:11">
      <c r="A2263" s="946" t="s">
        <v>28612</v>
      </c>
      <c r="B2263" s="947" t="s">
        <v>20802</v>
      </c>
      <c r="C2263" s="948" t="s">
        <v>20800</v>
      </c>
      <c r="D2263" s="242" t="s">
        <v>28723</v>
      </c>
      <c r="E2263" s="949">
        <v>302</v>
      </c>
      <c r="F2263" s="949">
        <v>302</v>
      </c>
      <c r="G2263" s="950" t="s">
        <v>3021</v>
      </c>
      <c r="H2263" s="950" t="s">
        <v>441</v>
      </c>
      <c r="I2263" s="951" t="s">
        <v>20801</v>
      </c>
      <c r="J2263" s="947" t="s">
        <v>20802</v>
      </c>
      <c r="K2263" s="143"/>
    </row>
    <row r="2264" spans="1:11">
      <c r="A2264" s="946" t="s">
        <v>28612</v>
      </c>
      <c r="B2264" s="947" t="s">
        <v>20865</v>
      </c>
      <c r="C2264" s="948" t="s">
        <v>20863</v>
      </c>
      <c r="D2264" s="242" t="s">
        <v>28723</v>
      </c>
      <c r="E2264" s="949">
        <v>302</v>
      </c>
      <c r="F2264" s="949">
        <v>302</v>
      </c>
      <c r="G2264" s="950" t="s">
        <v>3021</v>
      </c>
      <c r="H2264" s="950" t="s">
        <v>441</v>
      </c>
      <c r="I2264" s="951" t="s">
        <v>20864</v>
      </c>
      <c r="J2264" s="947" t="s">
        <v>20865</v>
      </c>
      <c r="K2264" s="143"/>
    </row>
    <row r="2265" spans="1:11">
      <c r="A2265" s="946" t="s">
        <v>28612</v>
      </c>
      <c r="B2265" s="947" t="s">
        <v>31113</v>
      </c>
      <c r="C2265" s="948" t="s">
        <v>31114</v>
      </c>
      <c r="D2265" s="242" t="s">
        <v>28723</v>
      </c>
      <c r="E2265" s="949">
        <v>302</v>
      </c>
      <c r="F2265" s="949">
        <v>302</v>
      </c>
      <c r="G2265" s="950" t="s">
        <v>3021</v>
      </c>
      <c r="H2265" s="950" t="s">
        <v>441</v>
      </c>
      <c r="I2265" s="951" t="s">
        <v>20923</v>
      </c>
      <c r="J2265" s="947" t="s">
        <v>31113</v>
      </c>
      <c r="K2265" s="143"/>
    </row>
    <row r="2266" spans="1:11">
      <c r="A2266" s="946" t="s">
        <v>28612</v>
      </c>
      <c r="B2266" s="947" t="s">
        <v>20933</v>
      </c>
      <c r="C2266" s="948" t="s">
        <v>20931</v>
      </c>
      <c r="D2266" s="242" t="s">
        <v>28723</v>
      </c>
      <c r="E2266" s="949">
        <v>302</v>
      </c>
      <c r="F2266" s="949">
        <v>302</v>
      </c>
      <c r="G2266" s="950" t="s">
        <v>3021</v>
      </c>
      <c r="H2266" s="950" t="s">
        <v>441</v>
      </c>
      <c r="I2266" s="951" t="s">
        <v>20932</v>
      </c>
      <c r="J2266" s="947" t="s">
        <v>20933</v>
      </c>
      <c r="K2266" s="143"/>
    </row>
    <row r="2267" spans="1:11">
      <c r="A2267" s="946" t="s">
        <v>28612</v>
      </c>
      <c r="B2267" s="947" t="s">
        <v>20989</v>
      </c>
      <c r="C2267" s="948" t="s">
        <v>20987</v>
      </c>
      <c r="D2267" s="242" t="s">
        <v>28723</v>
      </c>
      <c r="E2267" s="949">
        <v>302</v>
      </c>
      <c r="F2267" s="949">
        <v>302</v>
      </c>
      <c r="G2267" s="950" t="s">
        <v>3021</v>
      </c>
      <c r="H2267" s="950" t="s">
        <v>441</v>
      </c>
      <c r="I2267" s="951" t="s">
        <v>20988</v>
      </c>
      <c r="J2267" s="947" t="s">
        <v>20989</v>
      </c>
      <c r="K2267" s="143"/>
    </row>
    <row r="2268" spans="1:11">
      <c r="A2268" s="946" t="s">
        <v>28612</v>
      </c>
      <c r="B2268" s="947" t="s">
        <v>21183</v>
      </c>
      <c r="C2268" s="948" t="s">
        <v>21181</v>
      </c>
      <c r="D2268" s="242" t="s">
        <v>28723</v>
      </c>
      <c r="E2268" s="949">
        <v>302</v>
      </c>
      <c r="F2268" s="949">
        <v>302</v>
      </c>
      <c r="G2268" s="950" t="s">
        <v>3021</v>
      </c>
      <c r="H2268" s="950" t="s">
        <v>441</v>
      </c>
      <c r="I2268" s="951" t="s">
        <v>21182</v>
      </c>
      <c r="J2268" s="947" t="s">
        <v>21183</v>
      </c>
      <c r="K2268" s="143"/>
    </row>
    <row r="2269" spans="1:11">
      <c r="A2269" s="946" t="s">
        <v>28612</v>
      </c>
      <c r="B2269" s="947" t="s">
        <v>21475</v>
      </c>
      <c r="C2269" s="948" t="s">
        <v>21473</v>
      </c>
      <c r="D2269" s="242" t="s">
        <v>28723</v>
      </c>
      <c r="E2269" s="949">
        <v>302</v>
      </c>
      <c r="F2269" s="949">
        <v>302</v>
      </c>
      <c r="G2269" s="950" t="s">
        <v>3021</v>
      </c>
      <c r="H2269" s="950" t="s">
        <v>441</v>
      </c>
      <c r="I2269" s="951" t="s">
        <v>21474</v>
      </c>
      <c r="J2269" s="947" t="s">
        <v>21475</v>
      </c>
      <c r="K2269" s="143"/>
    </row>
    <row r="2270" spans="1:11">
      <c r="A2270" s="946" t="s">
        <v>28612</v>
      </c>
      <c r="B2270" s="947" t="s">
        <v>21542</v>
      </c>
      <c r="C2270" s="948" t="s">
        <v>21540</v>
      </c>
      <c r="D2270" s="242" t="s">
        <v>28723</v>
      </c>
      <c r="E2270" s="949">
        <v>302</v>
      </c>
      <c r="F2270" s="949">
        <v>302</v>
      </c>
      <c r="G2270" s="950" t="s">
        <v>3021</v>
      </c>
      <c r="H2270" s="950" t="s">
        <v>441</v>
      </c>
      <c r="I2270" s="951" t="s">
        <v>21541</v>
      </c>
      <c r="J2270" s="947" t="s">
        <v>21542</v>
      </c>
      <c r="K2270" s="143"/>
    </row>
    <row r="2271" spans="1:11">
      <c r="A2271" s="946" t="s">
        <v>28612</v>
      </c>
      <c r="B2271" s="947" t="s">
        <v>21783</v>
      </c>
      <c r="C2271" s="948" t="s">
        <v>21781</v>
      </c>
      <c r="D2271" s="242" t="s">
        <v>28723</v>
      </c>
      <c r="E2271" s="949">
        <v>302</v>
      </c>
      <c r="F2271" s="949">
        <v>302</v>
      </c>
      <c r="G2271" s="950" t="s">
        <v>3021</v>
      </c>
      <c r="H2271" s="950" t="s">
        <v>441</v>
      </c>
      <c r="I2271" s="951" t="s">
        <v>21782</v>
      </c>
      <c r="J2271" s="947" t="s">
        <v>21783</v>
      </c>
      <c r="K2271" s="143"/>
    </row>
    <row r="2272" spans="1:11">
      <c r="A2272" s="946" t="s">
        <v>28612</v>
      </c>
      <c r="B2272" s="947" t="s">
        <v>21786</v>
      </c>
      <c r="C2272" s="948" t="s">
        <v>21784</v>
      </c>
      <c r="D2272" s="242" t="s">
        <v>28723</v>
      </c>
      <c r="E2272" s="949">
        <v>302</v>
      </c>
      <c r="F2272" s="949">
        <v>302</v>
      </c>
      <c r="G2272" s="950" t="s">
        <v>3021</v>
      </c>
      <c r="H2272" s="950" t="s">
        <v>441</v>
      </c>
      <c r="I2272" s="951" t="s">
        <v>21785</v>
      </c>
      <c r="J2272" s="947" t="s">
        <v>21786</v>
      </c>
      <c r="K2272" s="143"/>
    </row>
    <row r="2273" spans="1:11">
      <c r="A2273" s="946" t="s">
        <v>28612</v>
      </c>
      <c r="B2273" s="947" t="s">
        <v>21860</v>
      </c>
      <c r="C2273" s="948" t="s">
        <v>21858</v>
      </c>
      <c r="D2273" s="242" t="s">
        <v>28723</v>
      </c>
      <c r="E2273" s="949">
        <v>302</v>
      </c>
      <c r="F2273" s="949">
        <v>302</v>
      </c>
      <c r="G2273" s="950" t="s">
        <v>3021</v>
      </c>
      <c r="H2273" s="950" t="s">
        <v>441</v>
      </c>
      <c r="I2273" s="951" t="s">
        <v>21859</v>
      </c>
      <c r="J2273" s="947" t="s">
        <v>21860</v>
      </c>
      <c r="K2273" s="143"/>
    </row>
    <row r="2274" spans="1:11">
      <c r="A2274" s="946" t="s">
        <v>28612</v>
      </c>
      <c r="B2274" s="947" t="s">
        <v>21872</v>
      </c>
      <c r="C2274" s="948" t="s">
        <v>21870</v>
      </c>
      <c r="D2274" s="242" t="s">
        <v>28723</v>
      </c>
      <c r="E2274" s="949">
        <v>302</v>
      </c>
      <c r="F2274" s="949">
        <v>302</v>
      </c>
      <c r="G2274" s="950" t="s">
        <v>3021</v>
      </c>
      <c r="H2274" s="950" t="s">
        <v>441</v>
      </c>
      <c r="I2274" s="951" t="s">
        <v>21871</v>
      </c>
      <c r="J2274" s="947" t="s">
        <v>21872</v>
      </c>
      <c r="K2274" s="143"/>
    </row>
    <row r="2275" spans="1:11">
      <c r="A2275" s="946" t="s">
        <v>28612</v>
      </c>
      <c r="B2275" s="947" t="s">
        <v>22055</v>
      </c>
      <c r="C2275" s="948" t="s">
        <v>22053</v>
      </c>
      <c r="D2275" s="242" t="s">
        <v>28723</v>
      </c>
      <c r="E2275" s="949">
        <v>302</v>
      </c>
      <c r="F2275" s="949">
        <v>302</v>
      </c>
      <c r="G2275" s="950" t="s">
        <v>3021</v>
      </c>
      <c r="H2275" s="950" t="s">
        <v>441</v>
      </c>
      <c r="I2275" s="951" t="s">
        <v>22054</v>
      </c>
      <c r="J2275" s="947" t="s">
        <v>22055</v>
      </c>
      <c r="K2275" s="143"/>
    </row>
    <row r="2276" spans="1:11">
      <c r="A2276" s="946" t="s">
        <v>28612</v>
      </c>
      <c r="B2276" s="947" t="s">
        <v>22155</v>
      </c>
      <c r="C2276" s="948" t="s">
        <v>22153</v>
      </c>
      <c r="D2276" s="242" t="s">
        <v>28723</v>
      </c>
      <c r="E2276" s="949">
        <v>302</v>
      </c>
      <c r="F2276" s="949">
        <v>302</v>
      </c>
      <c r="G2276" s="950" t="s">
        <v>3021</v>
      </c>
      <c r="H2276" s="950" t="s">
        <v>441</v>
      </c>
      <c r="I2276" s="951" t="s">
        <v>22154</v>
      </c>
      <c r="J2276" s="947" t="s">
        <v>22155</v>
      </c>
      <c r="K2276" s="143"/>
    </row>
    <row r="2277" spans="1:11">
      <c r="A2277" s="946" t="s">
        <v>28612</v>
      </c>
      <c r="B2277" s="947" t="s">
        <v>22277</v>
      </c>
      <c r="C2277" s="948" t="s">
        <v>22275</v>
      </c>
      <c r="D2277" s="242" t="s">
        <v>28723</v>
      </c>
      <c r="E2277" s="949">
        <v>302</v>
      </c>
      <c r="F2277" s="949">
        <v>302</v>
      </c>
      <c r="G2277" s="950" t="s">
        <v>3021</v>
      </c>
      <c r="H2277" s="950" t="s">
        <v>441</v>
      </c>
      <c r="I2277" s="951" t="s">
        <v>22276</v>
      </c>
      <c r="J2277" s="947" t="s">
        <v>22277</v>
      </c>
      <c r="K2277" s="143"/>
    </row>
    <row r="2278" spans="1:11">
      <c r="A2278" s="946" t="s">
        <v>28612</v>
      </c>
      <c r="B2278" s="947" t="s">
        <v>22387</v>
      </c>
      <c r="C2278" s="948" t="s">
        <v>22385</v>
      </c>
      <c r="D2278" s="242" t="s">
        <v>28723</v>
      </c>
      <c r="E2278" s="949">
        <v>302</v>
      </c>
      <c r="F2278" s="949">
        <v>302</v>
      </c>
      <c r="G2278" s="950" t="s">
        <v>3021</v>
      </c>
      <c r="H2278" s="950" t="s">
        <v>441</v>
      </c>
      <c r="I2278" s="951" t="s">
        <v>22386</v>
      </c>
      <c r="J2278" s="947" t="s">
        <v>22387</v>
      </c>
      <c r="K2278" s="143"/>
    </row>
    <row r="2279" spans="1:11">
      <c r="A2279" s="946" t="s">
        <v>28612</v>
      </c>
      <c r="B2279" s="947" t="s">
        <v>22394</v>
      </c>
      <c r="C2279" s="948" t="s">
        <v>22392</v>
      </c>
      <c r="D2279" s="242" t="s">
        <v>28723</v>
      </c>
      <c r="E2279" s="949">
        <v>302</v>
      </c>
      <c r="F2279" s="949">
        <v>302</v>
      </c>
      <c r="G2279" s="950" t="s">
        <v>3021</v>
      </c>
      <c r="H2279" s="950" t="s">
        <v>441</v>
      </c>
      <c r="I2279" s="951" t="s">
        <v>22393</v>
      </c>
      <c r="J2279" s="947" t="s">
        <v>22394</v>
      </c>
      <c r="K2279" s="143"/>
    </row>
    <row r="2280" spans="1:11">
      <c r="A2280" s="946" t="s">
        <v>28612</v>
      </c>
      <c r="B2280" s="947" t="s">
        <v>22475</v>
      </c>
      <c r="C2280" s="948" t="s">
        <v>22473</v>
      </c>
      <c r="D2280" s="242" t="s">
        <v>28723</v>
      </c>
      <c r="E2280" s="949">
        <v>302</v>
      </c>
      <c r="F2280" s="949">
        <v>302</v>
      </c>
      <c r="G2280" s="950" t="s">
        <v>3021</v>
      </c>
      <c r="H2280" s="950" t="s">
        <v>441</v>
      </c>
      <c r="I2280" s="951" t="s">
        <v>22474</v>
      </c>
      <c r="J2280" s="947" t="s">
        <v>22475</v>
      </c>
      <c r="K2280" s="143"/>
    </row>
    <row r="2281" spans="1:11">
      <c r="A2281" s="946" t="s">
        <v>28612</v>
      </c>
      <c r="B2281" s="947" t="s">
        <v>22656</v>
      </c>
      <c r="C2281" s="948" t="s">
        <v>22654</v>
      </c>
      <c r="D2281" s="242" t="s">
        <v>28723</v>
      </c>
      <c r="E2281" s="949">
        <v>302</v>
      </c>
      <c r="F2281" s="949">
        <v>302</v>
      </c>
      <c r="G2281" s="950" t="s">
        <v>3021</v>
      </c>
      <c r="H2281" s="950" t="s">
        <v>441</v>
      </c>
      <c r="I2281" s="951" t="s">
        <v>22655</v>
      </c>
      <c r="J2281" s="947" t="s">
        <v>22656</v>
      </c>
      <c r="K2281" s="143"/>
    </row>
    <row r="2282" spans="1:11">
      <c r="A2282" s="946" t="s">
        <v>28612</v>
      </c>
      <c r="B2282" s="947" t="s">
        <v>14719</v>
      </c>
      <c r="C2282" s="948" t="s">
        <v>14717</v>
      </c>
      <c r="D2282" s="242" t="s">
        <v>28723</v>
      </c>
      <c r="E2282" s="949">
        <v>302</v>
      </c>
      <c r="F2282" s="949">
        <v>302</v>
      </c>
      <c r="G2282" s="950" t="s">
        <v>3021</v>
      </c>
      <c r="H2282" s="950" t="s">
        <v>441</v>
      </c>
      <c r="I2282" s="951" t="s">
        <v>14718</v>
      </c>
      <c r="J2282" s="947" t="s">
        <v>14719</v>
      </c>
      <c r="K2282" s="143"/>
    </row>
    <row r="2283" spans="1:11">
      <c r="A2283" s="946" t="s">
        <v>28612</v>
      </c>
      <c r="B2283" s="947" t="s">
        <v>736</v>
      </c>
      <c r="C2283" s="948" t="s">
        <v>733</v>
      </c>
      <c r="D2283" s="242" t="s">
        <v>28722</v>
      </c>
      <c r="E2283" s="949">
        <v>310</v>
      </c>
      <c r="F2283" s="949">
        <v>310</v>
      </c>
      <c r="G2283" s="950" t="s">
        <v>14367</v>
      </c>
      <c r="H2283" s="950" t="s">
        <v>734</v>
      </c>
      <c r="I2283" s="951" t="s">
        <v>735</v>
      </c>
      <c r="J2283" s="947" t="s">
        <v>736</v>
      </c>
      <c r="K2283" s="143"/>
    </row>
    <row r="2284" spans="1:11">
      <c r="A2284" s="946" t="s">
        <v>28612</v>
      </c>
      <c r="B2284" s="947" t="s">
        <v>853</v>
      </c>
      <c r="C2284" s="948" t="s">
        <v>851</v>
      </c>
      <c r="D2284" s="242" t="s">
        <v>28722</v>
      </c>
      <c r="E2284" s="949">
        <v>310</v>
      </c>
      <c r="F2284" s="949">
        <v>310</v>
      </c>
      <c r="G2284" s="950" t="s">
        <v>14367</v>
      </c>
      <c r="H2284" s="950" t="s">
        <v>734</v>
      </c>
      <c r="I2284" s="951" t="s">
        <v>852</v>
      </c>
      <c r="J2284" s="947" t="s">
        <v>853</v>
      </c>
      <c r="K2284" s="143"/>
    </row>
    <row r="2285" spans="1:11">
      <c r="A2285" s="946" t="s">
        <v>28612</v>
      </c>
      <c r="B2285" s="947" t="s">
        <v>862</v>
      </c>
      <c r="C2285" s="948" t="s">
        <v>860</v>
      </c>
      <c r="D2285" s="242" t="s">
        <v>28722</v>
      </c>
      <c r="E2285" s="949">
        <v>310</v>
      </c>
      <c r="F2285" s="949">
        <v>310</v>
      </c>
      <c r="G2285" s="950" t="s">
        <v>14367</v>
      </c>
      <c r="H2285" s="950" t="s">
        <v>734</v>
      </c>
      <c r="I2285" s="951" t="s">
        <v>861</v>
      </c>
      <c r="J2285" s="947" t="s">
        <v>862</v>
      </c>
      <c r="K2285" s="143"/>
    </row>
    <row r="2286" spans="1:11">
      <c r="A2286" s="946" t="s">
        <v>28612</v>
      </c>
      <c r="B2286" s="947" t="s">
        <v>1372</v>
      </c>
      <c r="C2286" s="948" t="s">
        <v>1370</v>
      </c>
      <c r="D2286" s="242" t="s">
        <v>28722</v>
      </c>
      <c r="E2286" s="949">
        <v>310</v>
      </c>
      <c r="F2286" s="949">
        <v>310</v>
      </c>
      <c r="G2286" s="950" t="s">
        <v>14367</v>
      </c>
      <c r="H2286" s="950" t="s">
        <v>734</v>
      </c>
      <c r="I2286" s="951" t="s">
        <v>1371</v>
      </c>
      <c r="J2286" s="947" t="s">
        <v>1372</v>
      </c>
      <c r="K2286" s="143"/>
    </row>
    <row r="2287" spans="1:11">
      <c r="A2287" s="946" t="s">
        <v>28612</v>
      </c>
      <c r="B2287" s="947" t="s">
        <v>1743</v>
      </c>
      <c r="C2287" s="948" t="s">
        <v>1741</v>
      </c>
      <c r="D2287" s="242" t="s">
        <v>28722</v>
      </c>
      <c r="E2287" s="949">
        <v>310</v>
      </c>
      <c r="F2287" s="949">
        <v>310</v>
      </c>
      <c r="G2287" s="950" t="s">
        <v>14367</v>
      </c>
      <c r="H2287" s="950" t="s">
        <v>734</v>
      </c>
      <c r="I2287" s="951" t="s">
        <v>1742</v>
      </c>
      <c r="J2287" s="947" t="s">
        <v>1743</v>
      </c>
      <c r="K2287" s="143"/>
    </row>
    <row r="2288" spans="1:11">
      <c r="A2288" s="946" t="s">
        <v>28612</v>
      </c>
      <c r="B2288" s="947" t="s">
        <v>1770</v>
      </c>
      <c r="C2288" s="948" t="s">
        <v>1768</v>
      </c>
      <c r="D2288" s="242" t="s">
        <v>28722</v>
      </c>
      <c r="E2288" s="949">
        <v>310</v>
      </c>
      <c r="F2288" s="949">
        <v>310</v>
      </c>
      <c r="G2288" s="950" t="s">
        <v>14367</v>
      </c>
      <c r="H2288" s="950" t="s">
        <v>734</v>
      </c>
      <c r="I2288" s="951" t="s">
        <v>1769</v>
      </c>
      <c r="J2288" s="947" t="s">
        <v>1770</v>
      </c>
      <c r="K2288" s="143"/>
    </row>
    <row r="2289" spans="1:11">
      <c r="A2289" s="946" t="s">
        <v>28612</v>
      </c>
      <c r="B2289" s="947" t="s">
        <v>1943</v>
      </c>
      <c r="C2289" s="948" t="s">
        <v>1941</v>
      </c>
      <c r="D2289" s="242" t="s">
        <v>28722</v>
      </c>
      <c r="E2289" s="949">
        <v>310</v>
      </c>
      <c r="F2289" s="949">
        <v>310</v>
      </c>
      <c r="G2289" s="950" t="s">
        <v>14367</v>
      </c>
      <c r="H2289" s="950" t="s">
        <v>734</v>
      </c>
      <c r="I2289" s="951" t="s">
        <v>1942</v>
      </c>
      <c r="J2289" s="947" t="s">
        <v>1943</v>
      </c>
      <c r="K2289" s="143"/>
    </row>
    <row r="2290" spans="1:11">
      <c r="A2290" s="946" t="s">
        <v>28612</v>
      </c>
      <c r="B2290" s="947" t="s">
        <v>2048</v>
      </c>
      <c r="C2290" s="948" t="s">
        <v>2046</v>
      </c>
      <c r="D2290" s="242" t="s">
        <v>28722</v>
      </c>
      <c r="E2290" s="949">
        <v>310</v>
      </c>
      <c r="F2290" s="949">
        <v>310</v>
      </c>
      <c r="G2290" s="950" t="s">
        <v>14367</v>
      </c>
      <c r="H2290" s="950" t="s">
        <v>734</v>
      </c>
      <c r="I2290" s="951" t="s">
        <v>2047</v>
      </c>
      <c r="J2290" s="947" t="s">
        <v>2048</v>
      </c>
      <c r="K2290" s="143"/>
    </row>
    <row r="2291" spans="1:11">
      <c r="A2291" s="946" t="s">
        <v>28612</v>
      </c>
      <c r="B2291" s="947" t="s">
        <v>2099</v>
      </c>
      <c r="C2291" s="948" t="s">
        <v>2097</v>
      </c>
      <c r="D2291" s="242" t="s">
        <v>28722</v>
      </c>
      <c r="E2291" s="949">
        <v>310</v>
      </c>
      <c r="F2291" s="949">
        <v>310</v>
      </c>
      <c r="G2291" s="950" t="s">
        <v>14367</v>
      </c>
      <c r="H2291" s="950" t="s">
        <v>734</v>
      </c>
      <c r="I2291" s="951" t="s">
        <v>2098</v>
      </c>
      <c r="J2291" s="947" t="s">
        <v>2099</v>
      </c>
      <c r="K2291" s="143"/>
    </row>
    <row r="2292" spans="1:11">
      <c r="A2292" s="946" t="s">
        <v>28612</v>
      </c>
      <c r="B2292" s="947" t="s">
        <v>2115</v>
      </c>
      <c r="C2292" s="948" t="s">
        <v>2113</v>
      </c>
      <c r="D2292" s="242" t="s">
        <v>28722</v>
      </c>
      <c r="E2292" s="949">
        <v>310</v>
      </c>
      <c r="F2292" s="949">
        <v>310</v>
      </c>
      <c r="G2292" s="950" t="s">
        <v>14367</v>
      </c>
      <c r="H2292" s="950" t="s">
        <v>734</v>
      </c>
      <c r="I2292" s="951" t="s">
        <v>2114</v>
      </c>
      <c r="J2292" s="947" t="s">
        <v>2115</v>
      </c>
      <c r="K2292" s="143"/>
    </row>
    <row r="2293" spans="1:11">
      <c r="A2293" s="946" t="s">
        <v>28612</v>
      </c>
      <c r="B2293" s="947" t="s">
        <v>2164</v>
      </c>
      <c r="C2293" s="948" t="s">
        <v>2162</v>
      </c>
      <c r="D2293" s="242" t="s">
        <v>28722</v>
      </c>
      <c r="E2293" s="949">
        <v>310</v>
      </c>
      <c r="F2293" s="949">
        <v>310</v>
      </c>
      <c r="G2293" s="950" t="s">
        <v>14367</v>
      </c>
      <c r="H2293" s="950" t="s">
        <v>734</v>
      </c>
      <c r="I2293" s="951" t="s">
        <v>2163</v>
      </c>
      <c r="J2293" s="947" t="s">
        <v>2164</v>
      </c>
      <c r="K2293" s="143"/>
    </row>
    <row r="2294" spans="1:11">
      <c r="A2294" s="946" t="s">
        <v>28612</v>
      </c>
      <c r="B2294" s="947" t="s">
        <v>2289</v>
      </c>
      <c r="C2294" s="948" t="s">
        <v>2287</v>
      </c>
      <c r="D2294" s="242" t="s">
        <v>28722</v>
      </c>
      <c r="E2294" s="949">
        <v>310</v>
      </c>
      <c r="F2294" s="949">
        <v>310</v>
      </c>
      <c r="G2294" s="950" t="s">
        <v>14367</v>
      </c>
      <c r="H2294" s="950" t="s">
        <v>734</v>
      </c>
      <c r="I2294" s="951" t="s">
        <v>2288</v>
      </c>
      <c r="J2294" s="947" t="s">
        <v>2289</v>
      </c>
      <c r="K2294" s="143"/>
    </row>
    <row r="2295" spans="1:11">
      <c r="A2295" s="946" t="s">
        <v>28612</v>
      </c>
      <c r="B2295" s="947" t="s">
        <v>2688</v>
      </c>
      <c r="C2295" s="948" t="s">
        <v>2686</v>
      </c>
      <c r="D2295" s="242" t="s">
        <v>28722</v>
      </c>
      <c r="E2295" s="949">
        <v>310</v>
      </c>
      <c r="F2295" s="949">
        <v>310</v>
      </c>
      <c r="G2295" s="950" t="s">
        <v>14367</v>
      </c>
      <c r="H2295" s="950" t="s">
        <v>734</v>
      </c>
      <c r="I2295" s="951" t="s">
        <v>2687</v>
      </c>
      <c r="J2295" s="947" t="s">
        <v>2688</v>
      </c>
      <c r="K2295" s="143"/>
    </row>
    <row r="2296" spans="1:11">
      <c r="A2296" s="946" t="s">
        <v>28612</v>
      </c>
      <c r="B2296" s="947" t="s">
        <v>2736</v>
      </c>
      <c r="C2296" s="948" t="s">
        <v>2734</v>
      </c>
      <c r="D2296" s="242" t="s">
        <v>28722</v>
      </c>
      <c r="E2296" s="949">
        <v>310</v>
      </c>
      <c r="F2296" s="949">
        <v>310</v>
      </c>
      <c r="G2296" s="950" t="s">
        <v>14367</v>
      </c>
      <c r="H2296" s="950" t="s">
        <v>734</v>
      </c>
      <c r="I2296" s="951" t="s">
        <v>2735</v>
      </c>
      <c r="J2296" s="947" t="s">
        <v>2736</v>
      </c>
      <c r="K2296" s="143"/>
    </row>
    <row r="2297" spans="1:11">
      <c r="A2297" s="946" t="s">
        <v>28612</v>
      </c>
      <c r="B2297" s="947" t="s">
        <v>2802</v>
      </c>
      <c r="C2297" s="948" t="s">
        <v>2800</v>
      </c>
      <c r="D2297" s="242" t="s">
        <v>28722</v>
      </c>
      <c r="E2297" s="949">
        <v>310</v>
      </c>
      <c r="F2297" s="949">
        <v>310</v>
      </c>
      <c r="G2297" s="950" t="s">
        <v>14367</v>
      </c>
      <c r="H2297" s="950" t="s">
        <v>734</v>
      </c>
      <c r="I2297" s="951" t="s">
        <v>2801</v>
      </c>
      <c r="J2297" s="947" t="s">
        <v>2802</v>
      </c>
      <c r="K2297" s="143"/>
    </row>
    <row r="2298" spans="1:11">
      <c r="A2298" s="946" t="s">
        <v>28612</v>
      </c>
      <c r="B2298" s="947" t="s">
        <v>2754</v>
      </c>
      <c r="C2298" s="948" t="s">
        <v>2752</v>
      </c>
      <c r="D2298" s="242" t="s">
        <v>28722</v>
      </c>
      <c r="E2298" s="949">
        <v>310</v>
      </c>
      <c r="F2298" s="949">
        <v>310</v>
      </c>
      <c r="G2298" s="950" t="s">
        <v>14367</v>
      </c>
      <c r="H2298" s="950" t="s">
        <v>734</v>
      </c>
      <c r="I2298" s="951" t="s">
        <v>2753</v>
      </c>
      <c r="J2298" s="947" t="s">
        <v>2754</v>
      </c>
      <c r="K2298" s="143"/>
    </row>
    <row r="2299" spans="1:11">
      <c r="A2299" s="946" t="s">
        <v>28612</v>
      </c>
      <c r="B2299" s="947" t="s">
        <v>2823</v>
      </c>
      <c r="C2299" s="948" t="s">
        <v>2821</v>
      </c>
      <c r="D2299" s="242" t="s">
        <v>28722</v>
      </c>
      <c r="E2299" s="949">
        <v>310</v>
      </c>
      <c r="F2299" s="949">
        <v>310</v>
      </c>
      <c r="G2299" s="950" t="s">
        <v>14367</v>
      </c>
      <c r="H2299" s="950" t="s">
        <v>734</v>
      </c>
      <c r="I2299" s="951" t="s">
        <v>2822</v>
      </c>
      <c r="J2299" s="947" t="s">
        <v>2823</v>
      </c>
      <c r="K2299" s="143"/>
    </row>
    <row r="2300" spans="1:11">
      <c r="A2300" s="946" t="s">
        <v>28612</v>
      </c>
      <c r="B2300" s="947" t="s">
        <v>2882</v>
      </c>
      <c r="C2300" s="948" t="s">
        <v>2880</v>
      </c>
      <c r="D2300" s="242" t="s">
        <v>28722</v>
      </c>
      <c r="E2300" s="949">
        <v>310</v>
      </c>
      <c r="F2300" s="949">
        <v>310</v>
      </c>
      <c r="G2300" s="950" t="s">
        <v>14367</v>
      </c>
      <c r="H2300" s="950" t="s">
        <v>734</v>
      </c>
      <c r="I2300" s="951" t="s">
        <v>2881</v>
      </c>
      <c r="J2300" s="947" t="s">
        <v>2882</v>
      </c>
      <c r="K2300" s="143"/>
    </row>
    <row r="2301" spans="1:11">
      <c r="A2301" s="946" t="s">
        <v>28612</v>
      </c>
      <c r="B2301" s="947" t="s">
        <v>2956</v>
      </c>
      <c r="C2301" s="948" t="s">
        <v>2954</v>
      </c>
      <c r="D2301" s="242" t="s">
        <v>28722</v>
      </c>
      <c r="E2301" s="949">
        <v>310</v>
      </c>
      <c r="F2301" s="949">
        <v>310</v>
      </c>
      <c r="G2301" s="950" t="s">
        <v>14367</v>
      </c>
      <c r="H2301" s="950" t="s">
        <v>734</v>
      </c>
      <c r="I2301" s="951" t="s">
        <v>2955</v>
      </c>
      <c r="J2301" s="947" t="s">
        <v>2956</v>
      </c>
      <c r="K2301" s="143"/>
    </row>
    <row r="2302" spans="1:11">
      <c r="A2302" s="946" t="s">
        <v>28612</v>
      </c>
      <c r="B2302" s="947" t="s">
        <v>2995</v>
      </c>
      <c r="C2302" s="948" t="s">
        <v>2993</v>
      </c>
      <c r="D2302" s="242" t="s">
        <v>28722</v>
      </c>
      <c r="E2302" s="949">
        <v>310</v>
      </c>
      <c r="F2302" s="949">
        <v>310</v>
      </c>
      <c r="G2302" s="950" t="s">
        <v>14367</v>
      </c>
      <c r="H2302" s="950" t="s">
        <v>734</v>
      </c>
      <c r="I2302" s="951" t="s">
        <v>2994</v>
      </c>
      <c r="J2302" s="947" t="s">
        <v>2995</v>
      </c>
      <c r="K2302" s="143"/>
    </row>
    <row r="2303" spans="1:11">
      <c r="A2303" s="946" t="s">
        <v>28612</v>
      </c>
      <c r="B2303" s="947" t="s">
        <v>3027</v>
      </c>
      <c r="C2303" s="948" t="s">
        <v>3025</v>
      </c>
      <c r="D2303" s="242" t="s">
        <v>28722</v>
      </c>
      <c r="E2303" s="949">
        <v>310</v>
      </c>
      <c r="F2303" s="949">
        <v>310</v>
      </c>
      <c r="G2303" s="950" t="s">
        <v>14367</v>
      </c>
      <c r="H2303" s="950" t="s">
        <v>734</v>
      </c>
      <c r="I2303" s="951" t="s">
        <v>3026</v>
      </c>
      <c r="J2303" s="947" t="s">
        <v>3027</v>
      </c>
      <c r="K2303" s="143"/>
    </row>
    <row r="2304" spans="1:11">
      <c r="A2304" s="946" t="s">
        <v>28612</v>
      </c>
      <c r="B2304" s="947" t="s">
        <v>3113</v>
      </c>
      <c r="C2304" s="948" t="s">
        <v>3111</v>
      </c>
      <c r="D2304" s="242" t="s">
        <v>28722</v>
      </c>
      <c r="E2304" s="949">
        <v>310</v>
      </c>
      <c r="F2304" s="949">
        <v>310</v>
      </c>
      <c r="G2304" s="950" t="s">
        <v>14367</v>
      </c>
      <c r="H2304" s="950" t="s">
        <v>734</v>
      </c>
      <c r="I2304" s="951" t="s">
        <v>3112</v>
      </c>
      <c r="J2304" s="947" t="s">
        <v>3113</v>
      </c>
      <c r="K2304" s="143"/>
    </row>
    <row r="2305" spans="1:11">
      <c r="A2305" s="946" t="s">
        <v>28612</v>
      </c>
      <c r="B2305" s="947" t="s">
        <v>3585</v>
      </c>
      <c r="C2305" s="948" t="s">
        <v>3583</v>
      </c>
      <c r="D2305" s="242" t="s">
        <v>28722</v>
      </c>
      <c r="E2305" s="949">
        <v>310</v>
      </c>
      <c r="F2305" s="949">
        <v>310</v>
      </c>
      <c r="G2305" s="950" t="s">
        <v>14367</v>
      </c>
      <c r="H2305" s="950" t="s">
        <v>734</v>
      </c>
      <c r="I2305" s="951" t="s">
        <v>3584</v>
      </c>
      <c r="J2305" s="947" t="s">
        <v>3585</v>
      </c>
      <c r="K2305" s="143"/>
    </row>
    <row r="2306" spans="1:11">
      <c r="A2306" s="946" t="s">
        <v>28612</v>
      </c>
      <c r="B2306" s="947" t="s">
        <v>32005</v>
      </c>
      <c r="C2306" s="948" t="s">
        <v>32006</v>
      </c>
      <c r="D2306" s="242" t="s">
        <v>28722</v>
      </c>
      <c r="E2306" s="949">
        <v>310</v>
      </c>
      <c r="F2306" s="949">
        <v>310</v>
      </c>
      <c r="G2306" s="950" t="s">
        <v>14367</v>
      </c>
      <c r="H2306" s="950" t="s">
        <v>734</v>
      </c>
      <c r="I2306" s="951" t="s">
        <v>3849</v>
      </c>
      <c r="J2306" s="947" t="s">
        <v>32005</v>
      </c>
      <c r="K2306" s="143"/>
    </row>
    <row r="2307" spans="1:11">
      <c r="A2307" s="946" t="s">
        <v>28612</v>
      </c>
      <c r="B2307" s="947" t="s">
        <v>3894</v>
      </c>
      <c r="C2307" s="948" t="s">
        <v>3892</v>
      </c>
      <c r="D2307" s="242" t="s">
        <v>28722</v>
      </c>
      <c r="E2307" s="949">
        <v>310</v>
      </c>
      <c r="F2307" s="949">
        <v>310</v>
      </c>
      <c r="G2307" s="950" t="s">
        <v>14367</v>
      </c>
      <c r="H2307" s="950" t="s">
        <v>734</v>
      </c>
      <c r="I2307" s="951" t="s">
        <v>3893</v>
      </c>
      <c r="J2307" s="947" t="s">
        <v>3894</v>
      </c>
      <c r="K2307" s="143"/>
    </row>
    <row r="2308" spans="1:11">
      <c r="A2308" s="946" t="s">
        <v>28612</v>
      </c>
      <c r="B2308" s="947" t="s">
        <v>3947</v>
      </c>
      <c r="C2308" s="948" t="s">
        <v>3945</v>
      </c>
      <c r="D2308" s="242" t="s">
        <v>28722</v>
      </c>
      <c r="E2308" s="949">
        <v>310</v>
      </c>
      <c r="F2308" s="949">
        <v>310</v>
      </c>
      <c r="G2308" s="950" t="s">
        <v>14367</v>
      </c>
      <c r="H2308" s="950" t="s">
        <v>734</v>
      </c>
      <c r="I2308" s="951" t="s">
        <v>3946</v>
      </c>
      <c r="J2308" s="947" t="s">
        <v>3947</v>
      </c>
      <c r="K2308" s="143"/>
    </row>
    <row r="2309" spans="1:11">
      <c r="A2309" s="946" t="s">
        <v>28612</v>
      </c>
      <c r="B2309" s="947" t="s">
        <v>4241</v>
      </c>
      <c r="C2309" s="948" t="s">
        <v>4239</v>
      </c>
      <c r="D2309" s="242" t="s">
        <v>28722</v>
      </c>
      <c r="E2309" s="949">
        <v>310</v>
      </c>
      <c r="F2309" s="949">
        <v>310</v>
      </c>
      <c r="G2309" s="950" t="s">
        <v>14367</v>
      </c>
      <c r="H2309" s="950" t="s">
        <v>734</v>
      </c>
      <c r="I2309" s="951" t="s">
        <v>4240</v>
      </c>
      <c r="J2309" s="947" t="s">
        <v>4241</v>
      </c>
      <c r="K2309" s="143"/>
    </row>
    <row r="2310" spans="1:11">
      <c r="A2310" s="946" t="s">
        <v>28612</v>
      </c>
      <c r="B2310" s="947" t="s">
        <v>4676</v>
      </c>
      <c r="C2310" s="948" t="s">
        <v>4674</v>
      </c>
      <c r="D2310" s="242" t="s">
        <v>28722</v>
      </c>
      <c r="E2310" s="949">
        <v>310</v>
      </c>
      <c r="F2310" s="949">
        <v>310</v>
      </c>
      <c r="G2310" s="950" t="s">
        <v>14367</v>
      </c>
      <c r="H2310" s="950" t="s">
        <v>734</v>
      </c>
      <c r="I2310" s="951" t="s">
        <v>4675</v>
      </c>
      <c r="J2310" s="947" t="s">
        <v>4676</v>
      </c>
      <c r="K2310" s="143"/>
    </row>
    <row r="2311" spans="1:11">
      <c r="A2311" s="946" t="s">
        <v>28612</v>
      </c>
      <c r="B2311" s="947" t="s">
        <v>4715</v>
      </c>
      <c r="C2311" s="948" t="s">
        <v>4713</v>
      </c>
      <c r="D2311" s="242" t="s">
        <v>28722</v>
      </c>
      <c r="E2311" s="949">
        <v>310</v>
      </c>
      <c r="F2311" s="949">
        <v>310</v>
      </c>
      <c r="G2311" s="950" t="s">
        <v>14367</v>
      </c>
      <c r="H2311" s="950" t="s">
        <v>734</v>
      </c>
      <c r="I2311" s="951" t="s">
        <v>4714</v>
      </c>
      <c r="J2311" s="947" t="s">
        <v>4715</v>
      </c>
      <c r="K2311" s="143"/>
    </row>
    <row r="2312" spans="1:11">
      <c r="A2312" s="946" t="s">
        <v>28612</v>
      </c>
      <c r="B2312" s="947" t="s">
        <v>4736</v>
      </c>
      <c r="C2312" s="948" t="s">
        <v>4734</v>
      </c>
      <c r="D2312" s="242" t="s">
        <v>28722</v>
      </c>
      <c r="E2312" s="949">
        <v>310</v>
      </c>
      <c r="F2312" s="949">
        <v>310</v>
      </c>
      <c r="G2312" s="950" t="s">
        <v>14367</v>
      </c>
      <c r="H2312" s="950" t="s">
        <v>734</v>
      </c>
      <c r="I2312" s="951" t="s">
        <v>4735</v>
      </c>
      <c r="J2312" s="947" t="s">
        <v>4736</v>
      </c>
      <c r="K2312" s="143"/>
    </row>
    <row r="2313" spans="1:11">
      <c r="A2313" s="946" t="s">
        <v>28612</v>
      </c>
      <c r="B2313" s="947" t="s">
        <v>4796</v>
      </c>
      <c r="C2313" s="948" t="s">
        <v>4794</v>
      </c>
      <c r="D2313" s="242" t="s">
        <v>28722</v>
      </c>
      <c r="E2313" s="949">
        <v>310</v>
      </c>
      <c r="F2313" s="949">
        <v>310</v>
      </c>
      <c r="G2313" s="950" t="s">
        <v>14367</v>
      </c>
      <c r="H2313" s="950" t="s">
        <v>734</v>
      </c>
      <c r="I2313" s="951" t="s">
        <v>4795</v>
      </c>
      <c r="J2313" s="947" t="s">
        <v>4796</v>
      </c>
      <c r="K2313" s="143"/>
    </row>
    <row r="2314" spans="1:11">
      <c r="A2314" s="946" t="s">
        <v>28612</v>
      </c>
      <c r="B2314" s="947" t="s">
        <v>4874</v>
      </c>
      <c r="C2314" s="948" t="s">
        <v>4872</v>
      </c>
      <c r="D2314" s="242" t="s">
        <v>28722</v>
      </c>
      <c r="E2314" s="949">
        <v>310</v>
      </c>
      <c r="F2314" s="949">
        <v>310</v>
      </c>
      <c r="G2314" s="950" t="s">
        <v>14367</v>
      </c>
      <c r="H2314" s="950" t="s">
        <v>734</v>
      </c>
      <c r="I2314" s="951" t="s">
        <v>4873</v>
      </c>
      <c r="J2314" s="947" t="s">
        <v>4874</v>
      </c>
      <c r="K2314" s="143"/>
    </row>
    <row r="2315" spans="1:11">
      <c r="A2315" s="946" t="s">
        <v>28612</v>
      </c>
      <c r="B2315" s="947" t="s">
        <v>4898</v>
      </c>
      <c r="C2315" s="948" t="s">
        <v>4896</v>
      </c>
      <c r="D2315" s="242" t="s">
        <v>28722</v>
      </c>
      <c r="E2315" s="949">
        <v>310</v>
      </c>
      <c r="F2315" s="949">
        <v>310</v>
      </c>
      <c r="G2315" s="950" t="s">
        <v>14367</v>
      </c>
      <c r="H2315" s="950" t="s">
        <v>734</v>
      </c>
      <c r="I2315" s="951" t="s">
        <v>4897</v>
      </c>
      <c r="J2315" s="947" t="s">
        <v>4898</v>
      </c>
      <c r="K2315" s="143"/>
    </row>
    <row r="2316" spans="1:11">
      <c r="A2316" s="946" t="s">
        <v>28612</v>
      </c>
      <c r="B2316" s="947" t="s">
        <v>4904</v>
      </c>
      <c r="C2316" s="948" t="s">
        <v>4902</v>
      </c>
      <c r="D2316" s="242" t="s">
        <v>28722</v>
      </c>
      <c r="E2316" s="949">
        <v>310</v>
      </c>
      <c r="F2316" s="949">
        <v>310</v>
      </c>
      <c r="G2316" s="950" t="s">
        <v>14367</v>
      </c>
      <c r="H2316" s="950" t="s">
        <v>734</v>
      </c>
      <c r="I2316" s="951" t="s">
        <v>4903</v>
      </c>
      <c r="J2316" s="947" t="s">
        <v>4904</v>
      </c>
      <c r="K2316" s="143"/>
    </row>
    <row r="2317" spans="1:11">
      <c r="A2317" s="946" t="s">
        <v>28612</v>
      </c>
      <c r="B2317" s="947" t="s">
        <v>5196</v>
      </c>
      <c r="C2317" s="948" t="s">
        <v>5194</v>
      </c>
      <c r="D2317" s="242" t="s">
        <v>28722</v>
      </c>
      <c r="E2317" s="949">
        <v>310</v>
      </c>
      <c r="F2317" s="949">
        <v>310</v>
      </c>
      <c r="G2317" s="950" t="s">
        <v>14367</v>
      </c>
      <c r="H2317" s="950" t="s">
        <v>734</v>
      </c>
      <c r="I2317" s="951" t="s">
        <v>5195</v>
      </c>
      <c r="J2317" s="947" t="s">
        <v>5196</v>
      </c>
      <c r="K2317" s="143"/>
    </row>
    <row r="2318" spans="1:11">
      <c r="A2318" s="946" t="s">
        <v>28612</v>
      </c>
      <c r="B2318" s="947" t="s">
        <v>5245</v>
      </c>
      <c r="C2318" s="948" t="s">
        <v>5243</v>
      </c>
      <c r="D2318" s="242" t="s">
        <v>28722</v>
      </c>
      <c r="E2318" s="949">
        <v>310</v>
      </c>
      <c r="F2318" s="949">
        <v>310</v>
      </c>
      <c r="G2318" s="950" t="s">
        <v>14367</v>
      </c>
      <c r="H2318" s="950" t="s">
        <v>734</v>
      </c>
      <c r="I2318" s="951" t="s">
        <v>5244</v>
      </c>
      <c r="J2318" s="947" t="s">
        <v>5245</v>
      </c>
      <c r="K2318" s="143"/>
    </row>
    <row r="2319" spans="1:11">
      <c r="A2319" s="946" t="s">
        <v>28612</v>
      </c>
      <c r="B2319" s="947" t="s">
        <v>5311</v>
      </c>
      <c r="C2319" s="948" t="s">
        <v>5309</v>
      </c>
      <c r="D2319" s="242" t="s">
        <v>28722</v>
      </c>
      <c r="E2319" s="949">
        <v>310</v>
      </c>
      <c r="F2319" s="949">
        <v>310</v>
      </c>
      <c r="G2319" s="950" t="s">
        <v>14367</v>
      </c>
      <c r="H2319" s="950" t="s">
        <v>734</v>
      </c>
      <c r="I2319" s="951" t="s">
        <v>5310</v>
      </c>
      <c r="J2319" s="947" t="s">
        <v>5311</v>
      </c>
      <c r="K2319" s="143"/>
    </row>
    <row r="2320" spans="1:11">
      <c r="A2320" s="946" t="s">
        <v>28612</v>
      </c>
      <c r="B2320" s="947" t="s">
        <v>5644</v>
      </c>
      <c r="C2320" s="948" t="s">
        <v>5642</v>
      </c>
      <c r="D2320" s="242" t="s">
        <v>28722</v>
      </c>
      <c r="E2320" s="949">
        <v>310</v>
      </c>
      <c r="F2320" s="949">
        <v>310</v>
      </c>
      <c r="G2320" s="950" t="s">
        <v>14367</v>
      </c>
      <c r="H2320" s="950" t="s">
        <v>734</v>
      </c>
      <c r="I2320" s="951" t="s">
        <v>5643</v>
      </c>
      <c r="J2320" s="947" t="s">
        <v>5644</v>
      </c>
      <c r="K2320" s="143"/>
    </row>
    <row r="2321" spans="1:11">
      <c r="A2321" s="946" t="s">
        <v>28612</v>
      </c>
      <c r="B2321" s="947" t="s">
        <v>5754</v>
      </c>
      <c r="C2321" s="948" t="s">
        <v>5752</v>
      </c>
      <c r="D2321" s="242" t="s">
        <v>28722</v>
      </c>
      <c r="E2321" s="949">
        <v>310</v>
      </c>
      <c r="F2321" s="949">
        <v>310</v>
      </c>
      <c r="G2321" s="950" t="s">
        <v>14367</v>
      </c>
      <c r="H2321" s="950" t="s">
        <v>734</v>
      </c>
      <c r="I2321" s="951" t="s">
        <v>5753</v>
      </c>
      <c r="J2321" s="947" t="s">
        <v>5754</v>
      </c>
      <c r="K2321" s="143"/>
    </row>
    <row r="2322" spans="1:11">
      <c r="A2322" s="946" t="s">
        <v>28612</v>
      </c>
      <c r="B2322" s="947" t="s">
        <v>5897</v>
      </c>
      <c r="C2322" s="948" t="s">
        <v>5895</v>
      </c>
      <c r="D2322" s="242" t="s">
        <v>28722</v>
      </c>
      <c r="E2322" s="949">
        <v>310</v>
      </c>
      <c r="F2322" s="949">
        <v>310</v>
      </c>
      <c r="G2322" s="950" t="s">
        <v>14367</v>
      </c>
      <c r="H2322" s="950" t="s">
        <v>734</v>
      </c>
      <c r="I2322" s="951" t="s">
        <v>5896</v>
      </c>
      <c r="J2322" s="947" t="s">
        <v>5897</v>
      </c>
      <c r="K2322" s="143"/>
    </row>
    <row r="2323" spans="1:11">
      <c r="A2323" s="946" t="s">
        <v>28612</v>
      </c>
      <c r="B2323" s="947" t="s">
        <v>5956</v>
      </c>
      <c r="C2323" s="948" t="s">
        <v>5954</v>
      </c>
      <c r="D2323" s="242" t="s">
        <v>28722</v>
      </c>
      <c r="E2323" s="949">
        <v>310</v>
      </c>
      <c r="F2323" s="949">
        <v>310</v>
      </c>
      <c r="G2323" s="950" t="s">
        <v>14367</v>
      </c>
      <c r="H2323" s="950" t="s">
        <v>734</v>
      </c>
      <c r="I2323" s="951" t="s">
        <v>5955</v>
      </c>
      <c r="J2323" s="947" t="s">
        <v>5956</v>
      </c>
      <c r="K2323" s="143"/>
    </row>
    <row r="2324" spans="1:11">
      <c r="A2324" s="946" t="s">
        <v>28612</v>
      </c>
      <c r="B2324" s="947" t="s">
        <v>5959</v>
      </c>
      <c r="C2324" s="948" t="s">
        <v>5957</v>
      </c>
      <c r="D2324" s="242" t="s">
        <v>28722</v>
      </c>
      <c r="E2324" s="949">
        <v>310</v>
      </c>
      <c r="F2324" s="949">
        <v>310</v>
      </c>
      <c r="G2324" s="950" t="s">
        <v>14367</v>
      </c>
      <c r="H2324" s="950" t="s">
        <v>734</v>
      </c>
      <c r="I2324" s="951" t="s">
        <v>5958</v>
      </c>
      <c r="J2324" s="947" t="s">
        <v>5959</v>
      </c>
      <c r="K2324" s="143"/>
    </row>
    <row r="2325" spans="1:11">
      <c r="A2325" s="946" t="s">
        <v>28612</v>
      </c>
      <c r="B2325" s="947" t="s">
        <v>6046</v>
      </c>
      <c r="C2325" s="948" t="s">
        <v>6044</v>
      </c>
      <c r="D2325" s="242" t="s">
        <v>28722</v>
      </c>
      <c r="E2325" s="949">
        <v>310</v>
      </c>
      <c r="F2325" s="949">
        <v>310</v>
      </c>
      <c r="G2325" s="950" t="s">
        <v>14367</v>
      </c>
      <c r="H2325" s="950" t="s">
        <v>734</v>
      </c>
      <c r="I2325" s="951" t="s">
        <v>6045</v>
      </c>
      <c r="J2325" s="947" t="s">
        <v>6046</v>
      </c>
      <c r="K2325" s="143"/>
    </row>
    <row r="2326" spans="1:11">
      <c r="A2326" s="946" t="s">
        <v>28612</v>
      </c>
      <c r="B2326" s="947" t="s">
        <v>6073</v>
      </c>
      <c r="C2326" s="948" t="s">
        <v>6071</v>
      </c>
      <c r="D2326" s="242" t="s">
        <v>28722</v>
      </c>
      <c r="E2326" s="949">
        <v>310</v>
      </c>
      <c r="F2326" s="949">
        <v>310</v>
      </c>
      <c r="G2326" s="950" t="s">
        <v>14367</v>
      </c>
      <c r="H2326" s="950" t="s">
        <v>734</v>
      </c>
      <c r="I2326" s="951" t="s">
        <v>6072</v>
      </c>
      <c r="J2326" s="947" t="s">
        <v>6073</v>
      </c>
      <c r="K2326" s="143"/>
    </row>
    <row r="2327" spans="1:11">
      <c r="A2327" s="946" t="s">
        <v>28612</v>
      </c>
      <c r="B2327" s="947" t="s">
        <v>6274</v>
      </c>
      <c r="C2327" s="948" t="s">
        <v>6272</v>
      </c>
      <c r="D2327" s="242" t="s">
        <v>28722</v>
      </c>
      <c r="E2327" s="949">
        <v>310</v>
      </c>
      <c r="F2327" s="949">
        <v>310</v>
      </c>
      <c r="G2327" s="950" t="s">
        <v>14367</v>
      </c>
      <c r="H2327" s="950" t="s">
        <v>734</v>
      </c>
      <c r="I2327" s="951" t="s">
        <v>6273</v>
      </c>
      <c r="J2327" s="947" t="s">
        <v>6274</v>
      </c>
      <c r="K2327" s="143"/>
    </row>
    <row r="2328" spans="1:11">
      <c r="A2328" s="946" t="s">
        <v>28612</v>
      </c>
      <c r="B2328" s="947" t="s">
        <v>6374</v>
      </c>
      <c r="C2328" s="948" t="s">
        <v>6372</v>
      </c>
      <c r="D2328" s="242" t="s">
        <v>28722</v>
      </c>
      <c r="E2328" s="949">
        <v>310</v>
      </c>
      <c r="F2328" s="949">
        <v>310</v>
      </c>
      <c r="G2328" s="950" t="s">
        <v>14367</v>
      </c>
      <c r="H2328" s="950" t="s">
        <v>734</v>
      </c>
      <c r="I2328" s="951" t="s">
        <v>6373</v>
      </c>
      <c r="J2328" s="947" t="s">
        <v>6374</v>
      </c>
      <c r="K2328" s="143"/>
    </row>
    <row r="2329" spans="1:11">
      <c r="A2329" s="946" t="s">
        <v>28612</v>
      </c>
      <c r="B2329" s="947" t="s">
        <v>6380</v>
      </c>
      <c r="C2329" s="948" t="s">
        <v>6378</v>
      </c>
      <c r="D2329" s="242" t="s">
        <v>28722</v>
      </c>
      <c r="E2329" s="949">
        <v>310</v>
      </c>
      <c r="F2329" s="949">
        <v>310</v>
      </c>
      <c r="G2329" s="950" t="s">
        <v>14367</v>
      </c>
      <c r="H2329" s="950" t="s">
        <v>734</v>
      </c>
      <c r="I2329" s="951" t="s">
        <v>6379</v>
      </c>
      <c r="J2329" s="947" t="s">
        <v>6380</v>
      </c>
      <c r="K2329" s="143"/>
    </row>
    <row r="2330" spans="1:11">
      <c r="A2330" s="946" t="s">
        <v>28612</v>
      </c>
      <c r="B2330" s="947" t="s">
        <v>6660</v>
      </c>
      <c r="C2330" s="948" t="s">
        <v>6658</v>
      </c>
      <c r="D2330" s="242" t="s">
        <v>28722</v>
      </c>
      <c r="E2330" s="949">
        <v>310</v>
      </c>
      <c r="F2330" s="949">
        <v>310</v>
      </c>
      <c r="G2330" s="950" t="s">
        <v>14367</v>
      </c>
      <c r="H2330" s="950" t="s">
        <v>734</v>
      </c>
      <c r="I2330" s="951" t="s">
        <v>6659</v>
      </c>
      <c r="J2330" s="947" t="s">
        <v>6660</v>
      </c>
      <c r="K2330" s="143"/>
    </row>
    <row r="2331" spans="1:11">
      <c r="A2331" s="946" t="s">
        <v>28612</v>
      </c>
      <c r="B2331" s="947" t="s">
        <v>6964</v>
      </c>
      <c r="C2331" s="948" t="s">
        <v>6962</v>
      </c>
      <c r="D2331" s="242" t="s">
        <v>28722</v>
      </c>
      <c r="E2331" s="949">
        <v>310</v>
      </c>
      <c r="F2331" s="949">
        <v>310</v>
      </c>
      <c r="G2331" s="950" t="s">
        <v>14367</v>
      </c>
      <c r="H2331" s="950" t="s">
        <v>734</v>
      </c>
      <c r="I2331" s="951" t="s">
        <v>6963</v>
      </c>
      <c r="J2331" s="947" t="s">
        <v>6964</v>
      </c>
      <c r="K2331" s="143"/>
    </row>
    <row r="2332" spans="1:11">
      <c r="A2332" s="946" t="s">
        <v>28612</v>
      </c>
      <c r="B2332" s="947" t="s">
        <v>7012</v>
      </c>
      <c r="C2332" s="948" t="s">
        <v>7010</v>
      </c>
      <c r="D2332" s="242" t="s">
        <v>28722</v>
      </c>
      <c r="E2332" s="949">
        <v>310</v>
      </c>
      <c r="F2332" s="949">
        <v>310</v>
      </c>
      <c r="G2332" s="950" t="s">
        <v>14367</v>
      </c>
      <c r="H2332" s="950" t="s">
        <v>734</v>
      </c>
      <c r="I2332" s="951" t="s">
        <v>7011</v>
      </c>
      <c r="J2332" s="947" t="s">
        <v>7012</v>
      </c>
      <c r="K2332" s="143"/>
    </row>
    <row r="2333" spans="1:11">
      <c r="A2333" s="946" t="s">
        <v>28612</v>
      </c>
      <c r="B2333" s="947" t="s">
        <v>7018</v>
      </c>
      <c r="C2333" s="948" t="s">
        <v>7016</v>
      </c>
      <c r="D2333" s="242" t="s">
        <v>28722</v>
      </c>
      <c r="E2333" s="949">
        <v>310</v>
      </c>
      <c r="F2333" s="949">
        <v>310</v>
      </c>
      <c r="G2333" s="950" t="s">
        <v>14367</v>
      </c>
      <c r="H2333" s="950" t="s">
        <v>734</v>
      </c>
      <c r="I2333" s="951" t="s">
        <v>7017</v>
      </c>
      <c r="J2333" s="947" t="s">
        <v>7018</v>
      </c>
      <c r="K2333" s="143"/>
    </row>
    <row r="2334" spans="1:11">
      <c r="A2334" s="946" t="s">
        <v>28612</v>
      </c>
      <c r="B2334" s="947" t="s">
        <v>7212</v>
      </c>
      <c r="C2334" s="948" t="s">
        <v>7210</v>
      </c>
      <c r="D2334" s="242" t="s">
        <v>28722</v>
      </c>
      <c r="E2334" s="949">
        <v>310</v>
      </c>
      <c r="F2334" s="949">
        <v>310</v>
      </c>
      <c r="G2334" s="950" t="s">
        <v>14367</v>
      </c>
      <c r="H2334" s="950" t="s">
        <v>734</v>
      </c>
      <c r="I2334" s="951" t="s">
        <v>7211</v>
      </c>
      <c r="J2334" s="947" t="s">
        <v>7212</v>
      </c>
      <c r="K2334" s="143"/>
    </row>
    <row r="2335" spans="1:11">
      <c r="A2335" s="946" t="s">
        <v>28612</v>
      </c>
      <c r="B2335" s="947" t="s">
        <v>7255</v>
      </c>
      <c r="C2335" s="948" t="s">
        <v>7253</v>
      </c>
      <c r="D2335" s="242" t="s">
        <v>28722</v>
      </c>
      <c r="E2335" s="949">
        <v>310</v>
      </c>
      <c r="F2335" s="949">
        <v>310</v>
      </c>
      <c r="G2335" s="950" t="s">
        <v>14367</v>
      </c>
      <c r="H2335" s="950" t="s">
        <v>734</v>
      </c>
      <c r="I2335" s="951" t="s">
        <v>7254</v>
      </c>
      <c r="J2335" s="947" t="s">
        <v>7255</v>
      </c>
      <c r="K2335" s="143"/>
    </row>
    <row r="2336" spans="1:11">
      <c r="A2336" s="946" t="s">
        <v>28612</v>
      </c>
      <c r="B2336" s="947" t="s">
        <v>7312</v>
      </c>
      <c r="C2336" s="948" t="s">
        <v>7310</v>
      </c>
      <c r="D2336" s="242" t="s">
        <v>28722</v>
      </c>
      <c r="E2336" s="949">
        <v>310</v>
      </c>
      <c r="F2336" s="949">
        <v>310</v>
      </c>
      <c r="G2336" s="950" t="s">
        <v>14367</v>
      </c>
      <c r="H2336" s="950" t="s">
        <v>734</v>
      </c>
      <c r="I2336" s="951" t="s">
        <v>7311</v>
      </c>
      <c r="J2336" s="947" t="s">
        <v>7312</v>
      </c>
      <c r="K2336" s="143"/>
    </row>
    <row r="2337" spans="1:11">
      <c r="A2337" s="946" t="s">
        <v>28612</v>
      </c>
      <c r="B2337" s="947" t="s">
        <v>7483</v>
      </c>
      <c r="C2337" s="948" t="s">
        <v>7481</v>
      </c>
      <c r="D2337" s="242" t="s">
        <v>28722</v>
      </c>
      <c r="E2337" s="949">
        <v>310</v>
      </c>
      <c r="F2337" s="949">
        <v>310</v>
      </c>
      <c r="G2337" s="950" t="s">
        <v>14367</v>
      </c>
      <c r="H2337" s="950" t="s">
        <v>734</v>
      </c>
      <c r="I2337" s="951" t="s">
        <v>7482</v>
      </c>
      <c r="J2337" s="947" t="s">
        <v>7483</v>
      </c>
      <c r="K2337" s="143"/>
    </row>
    <row r="2338" spans="1:11">
      <c r="A2338" s="946" t="s">
        <v>28612</v>
      </c>
      <c r="B2338" s="947" t="s">
        <v>7736</v>
      </c>
      <c r="C2338" s="948" t="s">
        <v>7734</v>
      </c>
      <c r="D2338" s="242" t="s">
        <v>28722</v>
      </c>
      <c r="E2338" s="949">
        <v>310</v>
      </c>
      <c r="F2338" s="949">
        <v>310</v>
      </c>
      <c r="G2338" s="950" t="s">
        <v>14367</v>
      </c>
      <c r="H2338" s="950" t="s">
        <v>734</v>
      </c>
      <c r="I2338" s="951" t="s">
        <v>7735</v>
      </c>
      <c r="J2338" s="947" t="s">
        <v>7736</v>
      </c>
      <c r="K2338" s="143"/>
    </row>
    <row r="2339" spans="1:11">
      <c r="A2339" s="946" t="s">
        <v>28612</v>
      </c>
      <c r="B2339" s="947" t="s">
        <v>8162</v>
      </c>
      <c r="C2339" s="948" t="s">
        <v>8160</v>
      </c>
      <c r="D2339" s="242" t="s">
        <v>28722</v>
      </c>
      <c r="E2339" s="949">
        <v>310</v>
      </c>
      <c r="F2339" s="949">
        <v>310</v>
      </c>
      <c r="G2339" s="950" t="s">
        <v>14367</v>
      </c>
      <c r="H2339" s="950" t="s">
        <v>734</v>
      </c>
      <c r="I2339" s="951" t="s">
        <v>8161</v>
      </c>
      <c r="J2339" s="947" t="s">
        <v>8162</v>
      </c>
      <c r="K2339" s="143"/>
    </row>
    <row r="2340" spans="1:11">
      <c r="A2340" s="946" t="s">
        <v>28612</v>
      </c>
      <c r="B2340" s="947" t="s">
        <v>8251</v>
      </c>
      <c r="C2340" s="948" t="s">
        <v>8249</v>
      </c>
      <c r="D2340" s="242" t="s">
        <v>28722</v>
      </c>
      <c r="E2340" s="949">
        <v>310</v>
      </c>
      <c r="F2340" s="949">
        <v>310</v>
      </c>
      <c r="G2340" s="950" t="s">
        <v>14367</v>
      </c>
      <c r="H2340" s="950" t="s">
        <v>734</v>
      </c>
      <c r="I2340" s="951" t="s">
        <v>8250</v>
      </c>
      <c r="J2340" s="947" t="s">
        <v>8251</v>
      </c>
      <c r="K2340" s="143"/>
    </row>
    <row r="2341" spans="1:11">
      <c r="A2341" s="946" t="s">
        <v>28612</v>
      </c>
      <c r="B2341" s="947" t="s">
        <v>8545</v>
      </c>
      <c r="C2341" s="948" t="s">
        <v>8543</v>
      </c>
      <c r="D2341" s="242" t="s">
        <v>28722</v>
      </c>
      <c r="E2341" s="949">
        <v>310</v>
      </c>
      <c r="F2341" s="949">
        <v>310</v>
      </c>
      <c r="G2341" s="950" t="s">
        <v>14367</v>
      </c>
      <c r="H2341" s="950" t="s">
        <v>734</v>
      </c>
      <c r="I2341" s="951" t="s">
        <v>8544</v>
      </c>
      <c r="J2341" s="947" t="s">
        <v>8545</v>
      </c>
      <c r="K2341" s="143"/>
    </row>
    <row r="2342" spans="1:11">
      <c r="A2342" s="946" t="s">
        <v>28612</v>
      </c>
      <c r="B2342" s="947" t="s">
        <v>8647</v>
      </c>
      <c r="C2342" s="948" t="s">
        <v>8645</v>
      </c>
      <c r="D2342" s="242" t="s">
        <v>28722</v>
      </c>
      <c r="E2342" s="949">
        <v>310</v>
      </c>
      <c r="F2342" s="949">
        <v>310</v>
      </c>
      <c r="G2342" s="950" t="s">
        <v>14367</v>
      </c>
      <c r="H2342" s="950" t="s">
        <v>734</v>
      </c>
      <c r="I2342" s="951" t="s">
        <v>8646</v>
      </c>
      <c r="J2342" s="947" t="s">
        <v>8647</v>
      </c>
      <c r="K2342" s="143"/>
    </row>
    <row r="2343" spans="1:11">
      <c r="A2343" s="946" t="s">
        <v>28612</v>
      </c>
      <c r="B2343" s="947" t="s">
        <v>8879</v>
      </c>
      <c r="C2343" s="948" t="s">
        <v>8877</v>
      </c>
      <c r="D2343" s="242" t="s">
        <v>28722</v>
      </c>
      <c r="E2343" s="949">
        <v>310</v>
      </c>
      <c r="F2343" s="949">
        <v>310</v>
      </c>
      <c r="G2343" s="950" t="s">
        <v>14367</v>
      </c>
      <c r="H2343" s="950" t="s">
        <v>734</v>
      </c>
      <c r="I2343" s="951" t="s">
        <v>8878</v>
      </c>
      <c r="J2343" s="947" t="s">
        <v>8879</v>
      </c>
      <c r="K2343" s="143"/>
    </row>
    <row r="2344" spans="1:11">
      <c r="A2344" s="946" t="s">
        <v>28612</v>
      </c>
      <c r="B2344" s="947" t="s">
        <v>8926</v>
      </c>
      <c r="C2344" s="948" t="s">
        <v>8924</v>
      </c>
      <c r="D2344" s="242" t="s">
        <v>28722</v>
      </c>
      <c r="E2344" s="949">
        <v>310</v>
      </c>
      <c r="F2344" s="949">
        <v>310</v>
      </c>
      <c r="G2344" s="950" t="s">
        <v>14367</v>
      </c>
      <c r="H2344" s="950" t="s">
        <v>734</v>
      </c>
      <c r="I2344" s="951" t="s">
        <v>8925</v>
      </c>
      <c r="J2344" s="947" t="s">
        <v>8926</v>
      </c>
      <c r="K2344" s="143"/>
    </row>
    <row r="2345" spans="1:11">
      <c r="A2345" s="946" t="s">
        <v>28612</v>
      </c>
      <c r="B2345" s="947" t="s">
        <v>8947</v>
      </c>
      <c r="C2345" s="948" t="s">
        <v>8945</v>
      </c>
      <c r="D2345" s="242" t="s">
        <v>28722</v>
      </c>
      <c r="E2345" s="949">
        <v>310</v>
      </c>
      <c r="F2345" s="949">
        <v>310</v>
      </c>
      <c r="G2345" s="950" t="s">
        <v>14367</v>
      </c>
      <c r="H2345" s="950" t="s">
        <v>734</v>
      </c>
      <c r="I2345" s="951" t="s">
        <v>8946</v>
      </c>
      <c r="J2345" s="947" t="s">
        <v>8947</v>
      </c>
      <c r="K2345" s="143"/>
    </row>
    <row r="2346" spans="1:11">
      <c r="A2346" s="946" t="s">
        <v>28612</v>
      </c>
      <c r="B2346" s="947" t="s">
        <v>8996</v>
      </c>
      <c r="C2346" s="948" t="s">
        <v>8994</v>
      </c>
      <c r="D2346" s="242" t="s">
        <v>28722</v>
      </c>
      <c r="E2346" s="949">
        <v>310</v>
      </c>
      <c r="F2346" s="949">
        <v>310</v>
      </c>
      <c r="G2346" s="950" t="s">
        <v>14367</v>
      </c>
      <c r="H2346" s="950" t="s">
        <v>734</v>
      </c>
      <c r="I2346" s="951" t="s">
        <v>8995</v>
      </c>
      <c r="J2346" s="947" t="s">
        <v>8996</v>
      </c>
      <c r="K2346" s="143"/>
    </row>
    <row r="2347" spans="1:11">
      <c r="A2347" s="946" t="s">
        <v>28612</v>
      </c>
      <c r="B2347" s="947" t="s">
        <v>9120</v>
      </c>
      <c r="C2347" s="948" t="s">
        <v>9118</v>
      </c>
      <c r="D2347" s="242" t="s">
        <v>28722</v>
      </c>
      <c r="E2347" s="949">
        <v>310</v>
      </c>
      <c r="F2347" s="949">
        <v>310</v>
      </c>
      <c r="G2347" s="950" t="s">
        <v>14367</v>
      </c>
      <c r="H2347" s="950" t="s">
        <v>734</v>
      </c>
      <c r="I2347" s="951" t="s">
        <v>9119</v>
      </c>
      <c r="J2347" s="947" t="s">
        <v>9120</v>
      </c>
      <c r="K2347" s="143"/>
    </row>
    <row r="2348" spans="1:11">
      <c r="A2348" s="946" t="s">
        <v>28612</v>
      </c>
      <c r="B2348" s="947" t="s">
        <v>9305</v>
      </c>
      <c r="C2348" s="948" t="s">
        <v>9303</v>
      </c>
      <c r="D2348" s="242" t="s">
        <v>28722</v>
      </c>
      <c r="E2348" s="949">
        <v>310</v>
      </c>
      <c r="F2348" s="949">
        <v>310</v>
      </c>
      <c r="G2348" s="950" t="s">
        <v>14367</v>
      </c>
      <c r="H2348" s="950" t="s">
        <v>734</v>
      </c>
      <c r="I2348" s="951" t="s">
        <v>9304</v>
      </c>
      <c r="J2348" s="947" t="s">
        <v>9305</v>
      </c>
      <c r="K2348" s="143"/>
    </row>
    <row r="2349" spans="1:11">
      <c r="A2349" s="946" t="s">
        <v>28612</v>
      </c>
      <c r="B2349" s="947" t="s">
        <v>31107</v>
      </c>
      <c r="C2349" s="948" t="s">
        <v>31108</v>
      </c>
      <c r="D2349" s="242" t="s">
        <v>28722</v>
      </c>
      <c r="E2349" s="949">
        <v>310</v>
      </c>
      <c r="F2349" s="949">
        <v>310</v>
      </c>
      <c r="G2349" s="950" t="s">
        <v>14367</v>
      </c>
      <c r="H2349" s="950" t="s">
        <v>734</v>
      </c>
      <c r="I2349" s="951" t="s">
        <v>9327</v>
      </c>
      <c r="J2349" s="947" t="s">
        <v>31107</v>
      </c>
      <c r="K2349" s="143"/>
    </row>
    <row r="2350" spans="1:11">
      <c r="A2350" s="946" t="s">
        <v>28612</v>
      </c>
      <c r="B2350" s="947" t="s">
        <v>9339</v>
      </c>
      <c r="C2350" s="948" t="s">
        <v>9337</v>
      </c>
      <c r="D2350" s="242" t="s">
        <v>28722</v>
      </c>
      <c r="E2350" s="949">
        <v>310</v>
      </c>
      <c r="F2350" s="949">
        <v>310</v>
      </c>
      <c r="G2350" s="950" t="s">
        <v>14367</v>
      </c>
      <c r="H2350" s="950" t="s">
        <v>734</v>
      </c>
      <c r="I2350" s="951" t="s">
        <v>9338</v>
      </c>
      <c r="J2350" s="947" t="s">
        <v>9339</v>
      </c>
      <c r="K2350" s="143"/>
    </row>
    <row r="2351" spans="1:11">
      <c r="A2351" s="946" t="s">
        <v>28612</v>
      </c>
      <c r="B2351" s="947" t="s">
        <v>9492</v>
      </c>
      <c r="C2351" s="948" t="s">
        <v>9490</v>
      </c>
      <c r="D2351" s="242" t="s">
        <v>28722</v>
      </c>
      <c r="E2351" s="949">
        <v>310</v>
      </c>
      <c r="F2351" s="949">
        <v>310</v>
      </c>
      <c r="G2351" s="950" t="s">
        <v>14367</v>
      </c>
      <c r="H2351" s="950" t="s">
        <v>734</v>
      </c>
      <c r="I2351" s="951" t="s">
        <v>9491</v>
      </c>
      <c r="J2351" s="947" t="s">
        <v>9492</v>
      </c>
      <c r="K2351" s="143"/>
    </row>
    <row r="2352" spans="1:11">
      <c r="A2352" s="946" t="s">
        <v>28612</v>
      </c>
      <c r="B2352" s="947" t="s">
        <v>9585</v>
      </c>
      <c r="C2352" s="948" t="s">
        <v>9583</v>
      </c>
      <c r="D2352" s="242" t="s">
        <v>28722</v>
      </c>
      <c r="E2352" s="949">
        <v>310</v>
      </c>
      <c r="F2352" s="949">
        <v>310</v>
      </c>
      <c r="G2352" s="950" t="s">
        <v>14367</v>
      </c>
      <c r="H2352" s="950" t="s">
        <v>734</v>
      </c>
      <c r="I2352" s="951" t="s">
        <v>9584</v>
      </c>
      <c r="J2352" s="947" t="s">
        <v>9585</v>
      </c>
      <c r="K2352" s="143"/>
    </row>
    <row r="2353" spans="1:11">
      <c r="A2353" s="946" t="s">
        <v>28612</v>
      </c>
      <c r="B2353" s="947" t="s">
        <v>9821</v>
      </c>
      <c r="C2353" s="948" t="s">
        <v>9819</v>
      </c>
      <c r="D2353" s="242" t="s">
        <v>28722</v>
      </c>
      <c r="E2353" s="949">
        <v>310</v>
      </c>
      <c r="F2353" s="949">
        <v>310</v>
      </c>
      <c r="G2353" s="950" t="s">
        <v>14367</v>
      </c>
      <c r="H2353" s="950" t="s">
        <v>734</v>
      </c>
      <c r="I2353" s="951" t="s">
        <v>9820</v>
      </c>
      <c r="J2353" s="947" t="s">
        <v>9821</v>
      </c>
      <c r="K2353" s="143"/>
    </row>
    <row r="2354" spans="1:11">
      <c r="A2354" s="946" t="s">
        <v>28612</v>
      </c>
      <c r="B2354" s="947" t="s">
        <v>10118</v>
      </c>
      <c r="C2354" s="948" t="s">
        <v>10116</v>
      </c>
      <c r="D2354" s="242" t="s">
        <v>28722</v>
      </c>
      <c r="E2354" s="949">
        <v>310</v>
      </c>
      <c r="F2354" s="949">
        <v>310</v>
      </c>
      <c r="G2354" s="950" t="s">
        <v>14367</v>
      </c>
      <c r="H2354" s="950" t="s">
        <v>734</v>
      </c>
      <c r="I2354" s="951" t="s">
        <v>10117</v>
      </c>
      <c r="J2354" s="947" t="s">
        <v>10118</v>
      </c>
      <c r="K2354" s="143"/>
    </row>
    <row r="2355" spans="1:11">
      <c r="A2355" s="946" t="s">
        <v>28612</v>
      </c>
      <c r="B2355" s="947" t="s">
        <v>10124</v>
      </c>
      <c r="C2355" s="948" t="s">
        <v>10122</v>
      </c>
      <c r="D2355" s="242" t="s">
        <v>28722</v>
      </c>
      <c r="E2355" s="949">
        <v>310</v>
      </c>
      <c r="F2355" s="949">
        <v>310</v>
      </c>
      <c r="G2355" s="950" t="s">
        <v>14367</v>
      </c>
      <c r="H2355" s="950" t="s">
        <v>734</v>
      </c>
      <c r="I2355" s="951" t="s">
        <v>10123</v>
      </c>
      <c r="J2355" s="947" t="s">
        <v>10124</v>
      </c>
      <c r="K2355" s="143"/>
    </row>
    <row r="2356" spans="1:11">
      <c r="A2356" s="946" t="s">
        <v>28612</v>
      </c>
      <c r="B2356" s="947" t="s">
        <v>10151</v>
      </c>
      <c r="C2356" s="948" t="s">
        <v>10149</v>
      </c>
      <c r="D2356" s="242" t="s">
        <v>28722</v>
      </c>
      <c r="E2356" s="949">
        <v>310</v>
      </c>
      <c r="F2356" s="949">
        <v>310</v>
      </c>
      <c r="G2356" s="950" t="s">
        <v>14367</v>
      </c>
      <c r="H2356" s="950" t="s">
        <v>734</v>
      </c>
      <c r="I2356" s="951" t="s">
        <v>10150</v>
      </c>
      <c r="J2356" s="947" t="s">
        <v>10151</v>
      </c>
      <c r="K2356" s="143"/>
    </row>
    <row r="2357" spans="1:11">
      <c r="A2357" s="946" t="s">
        <v>28612</v>
      </c>
      <c r="B2357" s="947" t="s">
        <v>10457</v>
      </c>
      <c r="C2357" s="948" t="s">
        <v>10455</v>
      </c>
      <c r="D2357" s="242" t="s">
        <v>28722</v>
      </c>
      <c r="E2357" s="949">
        <v>310</v>
      </c>
      <c r="F2357" s="949">
        <v>310</v>
      </c>
      <c r="G2357" s="950" t="s">
        <v>14367</v>
      </c>
      <c r="H2357" s="950" t="s">
        <v>734</v>
      </c>
      <c r="I2357" s="951" t="s">
        <v>10456</v>
      </c>
      <c r="J2357" s="947" t="s">
        <v>10457</v>
      </c>
      <c r="K2357" s="143"/>
    </row>
    <row r="2358" spans="1:11">
      <c r="A2358" s="946" t="s">
        <v>28612</v>
      </c>
      <c r="B2358" s="947" t="s">
        <v>10575</v>
      </c>
      <c r="C2358" s="948" t="s">
        <v>10573</v>
      </c>
      <c r="D2358" s="242" t="s">
        <v>28722</v>
      </c>
      <c r="E2358" s="949">
        <v>310</v>
      </c>
      <c r="F2358" s="949">
        <v>310</v>
      </c>
      <c r="G2358" s="950" t="s">
        <v>14367</v>
      </c>
      <c r="H2358" s="950" t="s">
        <v>734</v>
      </c>
      <c r="I2358" s="951" t="s">
        <v>10574</v>
      </c>
      <c r="J2358" s="947" t="s">
        <v>10575</v>
      </c>
      <c r="K2358" s="143"/>
    </row>
    <row r="2359" spans="1:11">
      <c r="A2359" s="946" t="s">
        <v>28612</v>
      </c>
      <c r="B2359" s="947" t="s">
        <v>10739</v>
      </c>
      <c r="C2359" s="948" t="s">
        <v>10737</v>
      </c>
      <c r="D2359" s="242" t="s">
        <v>28722</v>
      </c>
      <c r="E2359" s="949">
        <v>310</v>
      </c>
      <c r="F2359" s="949">
        <v>310</v>
      </c>
      <c r="G2359" s="950" t="s">
        <v>14367</v>
      </c>
      <c r="H2359" s="950" t="s">
        <v>734</v>
      </c>
      <c r="I2359" s="951" t="s">
        <v>10738</v>
      </c>
      <c r="J2359" s="947" t="s">
        <v>10739</v>
      </c>
      <c r="K2359" s="143"/>
    </row>
    <row r="2360" spans="1:11">
      <c r="A2360" s="946" t="s">
        <v>28612</v>
      </c>
      <c r="B2360" s="947" t="s">
        <v>10867</v>
      </c>
      <c r="C2360" s="948" t="s">
        <v>10865</v>
      </c>
      <c r="D2360" s="242" t="s">
        <v>28722</v>
      </c>
      <c r="E2360" s="949">
        <v>310</v>
      </c>
      <c r="F2360" s="949">
        <v>310</v>
      </c>
      <c r="G2360" s="950" t="s">
        <v>14367</v>
      </c>
      <c r="H2360" s="950" t="s">
        <v>734</v>
      </c>
      <c r="I2360" s="951" t="s">
        <v>10866</v>
      </c>
      <c r="J2360" s="947" t="s">
        <v>10867</v>
      </c>
      <c r="K2360" s="143"/>
    </row>
    <row r="2361" spans="1:11">
      <c r="A2361" s="946" t="s">
        <v>28612</v>
      </c>
      <c r="B2361" s="947" t="s">
        <v>11167</v>
      </c>
      <c r="C2361" s="948" t="s">
        <v>11165</v>
      </c>
      <c r="D2361" s="242" t="s">
        <v>28722</v>
      </c>
      <c r="E2361" s="949">
        <v>310</v>
      </c>
      <c r="F2361" s="949">
        <v>310</v>
      </c>
      <c r="G2361" s="950" t="s">
        <v>14367</v>
      </c>
      <c r="H2361" s="950" t="s">
        <v>734</v>
      </c>
      <c r="I2361" s="951" t="s">
        <v>11166</v>
      </c>
      <c r="J2361" s="947" t="s">
        <v>11167</v>
      </c>
      <c r="K2361" s="143"/>
    </row>
    <row r="2362" spans="1:11">
      <c r="A2362" s="946" t="s">
        <v>28612</v>
      </c>
      <c r="B2362" s="947" t="s">
        <v>11314</v>
      </c>
      <c r="C2362" s="948" t="s">
        <v>11312</v>
      </c>
      <c r="D2362" s="242" t="s">
        <v>28722</v>
      </c>
      <c r="E2362" s="949">
        <v>310</v>
      </c>
      <c r="F2362" s="949">
        <v>310</v>
      </c>
      <c r="G2362" s="950" t="s">
        <v>14367</v>
      </c>
      <c r="H2362" s="950" t="s">
        <v>734</v>
      </c>
      <c r="I2362" s="951" t="s">
        <v>11313</v>
      </c>
      <c r="J2362" s="947" t="s">
        <v>11314</v>
      </c>
      <c r="K2362" s="143"/>
    </row>
    <row r="2363" spans="1:11">
      <c r="A2363" s="946" t="s">
        <v>28612</v>
      </c>
      <c r="B2363" s="947" t="s">
        <v>11489</v>
      </c>
      <c r="C2363" s="948" t="s">
        <v>11487</v>
      </c>
      <c r="D2363" s="242" t="s">
        <v>28722</v>
      </c>
      <c r="E2363" s="949">
        <v>310</v>
      </c>
      <c r="F2363" s="949">
        <v>310</v>
      </c>
      <c r="G2363" s="950" t="s">
        <v>14367</v>
      </c>
      <c r="H2363" s="950" t="s">
        <v>734</v>
      </c>
      <c r="I2363" s="951" t="s">
        <v>11488</v>
      </c>
      <c r="J2363" s="947" t="s">
        <v>11489</v>
      </c>
      <c r="K2363" s="143"/>
    </row>
    <row r="2364" spans="1:11">
      <c r="A2364" s="946" t="s">
        <v>28612</v>
      </c>
      <c r="B2364" s="947" t="s">
        <v>11591</v>
      </c>
      <c r="C2364" s="948" t="s">
        <v>11589</v>
      </c>
      <c r="D2364" s="242" t="s">
        <v>28722</v>
      </c>
      <c r="E2364" s="949">
        <v>310</v>
      </c>
      <c r="F2364" s="949">
        <v>310</v>
      </c>
      <c r="G2364" s="950" t="s">
        <v>14367</v>
      </c>
      <c r="H2364" s="950" t="s">
        <v>734</v>
      </c>
      <c r="I2364" s="951" t="s">
        <v>11590</v>
      </c>
      <c r="J2364" s="947" t="s">
        <v>11591</v>
      </c>
      <c r="K2364" s="143"/>
    </row>
    <row r="2365" spans="1:11">
      <c r="A2365" s="946" t="s">
        <v>28612</v>
      </c>
      <c r="B2365" s="947" t="s">
        <v>11688</v>
      </c>
      <c r="C2365" s="948" t="s">
        <v>11686</v>
      </c>
      <c r="D2365" s="242" t="s">
        <v>28722</v>
      </c>
      <c r="E2365" s="949">
        <v>310</v>
      </c>
      <c r="F2365" s="949">
        <v>310</v>
      </c>
      <c r="G2365" s="950" t="s">
        <v>14367</v>
      </c>
      <c r="H2365" s="950" t="s">
        <v>734</v>
      </c>
      <c r="I2365" s="951" t="s">
        <v>11687</v>
      </c>
      <c r="J2365" s="947" t="s">
        <v>11688</v>
      </c>
      <c r="K2365" s="143"/>
    </row>
    <row r="2366" spans="1:11">
      <c r="A2366" s="946" t="s">
        <v>28612</v>
      </c>
      <c r="B2366" s="947" t="s">
        <v>11694</v>
      </c>
      <c r="C2366" s="948" t="s">
        <v>11692</v>
      </c>
      <c r="D2366" s="242" t="s">
        <v>28722</v>
      </c>
      <c r="E2366" s="949">
        <v>310</v>
      </c>
      <c r="F2366" s="949">
        <v>310</v>
      </c>
      <c r="G2366" s="950" t="s">
        <v>14367</v>
      </c>
      <c r="H2366" s="950" t="s">
        <v>734</v>
      </c>
      <c r="I2366" s="951" t="s">
        <v>11693</v>
      </c>
      <c r="J2366" s="947" t="s">
        <v>11694</v>
      </c>
      <c r="K2366" s="143"/>
    </row>
    <row r="2367" spans="1:11">
      <c r="A2367" s="946" t="s">
        <v>28612</v>
      </c>
      <c r="B2367" s="947" t="s">
        <v>11703</v>
      </c>
      <c r="C2367" s="948" t="s">
        <v>11701</v>
      </c>
      <c r="D2367" s="242" t="s">
        <v>28722</v>
      </c>
      <c r="E2367" s="949">
        <v>310</v>
      </c>
      <c r="F2367" s="949">
        <v>310</v>
      </c>
      <c r="G2367" s="950" t="s">
        <v>14367</v>
      </c>
      <c r="H2367" s="950" t="s">
        <v>734</v>
      </c>
      <c r="I2367" s="951" t="s">
        <v>11702</v>
      </c>
      <c r="J2367" s="947" t="s">
        <v>11703</v>
      </c>
      <c r="K2367" s="143"/>
    </row>
    <row r="2368" spans="1:11">
      <c r="A2368" s="946" t="s">
        <v>28612</v>
      </c>
      <c r="B2368" s="947" t="s">
        <v>11827</v>
      </c>
      <c r="C2368" s="948" t="s">
        <v>11825</v>
      </c>
      <c r="D2368" s="242" t="s">
        <v>28722</v>
      </c>
      <c r="E2368" s="949">
        <v>310</v>
      </c>
      <c r="F2368" s="949">
        <v>310</v>
      </c>
      <c r="G2368" s="950" t="s">
        <v>14367</v>
      </c>
      <c r="H2368" s="950" t="s">
        <v>734</v>
      </c>
      <c r="I2368" s="951" t="s">
        <v>11826</v>
      </c>
      <c r="J2368" s="947" t="s">
        <v>11827</v>
      </c>
      <c r="K2368" s="143"/>
    </row>
    <row r="2369" spans="1:11">
      <c r="A2369" s="946" t="s">
        <v>28612</v>
      </c>
      <c r="B2369" s="947" t="s">
        <v>12230</v>
      </c>
      <c r="C2369" s="948" t="s">
        <v>12228</v>
      </c>
      <c r="D2369" s="242" t="s">
        <v>28722</v>
      </c>
      <c r="E2369" s="949">
        <v>310</v>
      </c>
      <c r="F2369" s="949">
        <v>310</v>
      </c>
      <c r="G2369" s="950" t="s">
        <v>14367</v>
      </c>
      <c r="H2369" s="950" t="s">
        <v>734</v>
      </c>
      <c r="I2369" s="951" t="s">
        <v>12229</v>
      </c>
      <c r="J2369" s="947" t="s">
        <v>12230</v>
      </c>
      <c r="K2369" s="143"/>
    </row>
    <row r="2370" spans="1:11">
      <c r="A2370" s="946" t="s">
        <v>28612</v>
      </c>
      <c r="B2370" s="947" t="s">
        <v>12355</v>
      </c>
      <c r="C2370" s="948" t="s">
        <v>12353</v>
      </c>
      <c r="D2370" s="242" t="s">
        <v>28722</v>
      </c>
      <c r="E2370" s="949">
        <v>310</v>
      </c>
      <c r="F2370" s="949">
        <v>310</v>
      </c>
      <c r="G2370" s="950" t="s">
        <v>14367</v>
      </c>
      <c r="H2370" s="950" t="s">
        <v>734</v>
      </c>
      <c r="I2370" s="951" t="s">
        <v>12354</v>
      </c>
      <c r="J2370" s="947" t="s">
        <v>12355</v>
      </c>
      <c r="K2370" s="143"/>
    </row>
    <row r="2371" spans="1:11">
      <c r="A2371" s="946" t="s">
        <v>28612</v>
      </c>
      <c r="B2371" s="947" t="s">
        <v>12383</v>
      </c>
      <c r="C2371" s="948" t="s">
        <v>12381</v>
      </c>
      <c r="D2371" s="242" t="s">
        <v>28722</v>
      </c>
      <c r="E2371" s="949">
        <v>310</v>
      </c>
      <c r="F2371" s="949">
        <v>310</v>
      </c>
      <c r="G2371" s="950" t="s">
        <v>14367</v>
      </c>
      <c r="H2371" s="950" t="s">
        <v>734</v>
      </c>
      <c r="I2371" s="951" t="s">
        <v>12382</v>
      </c>
      <c r="J2371" s="947" t="s">
        <v>12383</v>
      </c>
      <c r="K2371" s="143"/>
    </row>
    <row r="2372" spans="1:11">
      <c r="A2372" s="946" t="s">
        <v>28612</v>
      </c>
      <c r="B2372" s="947" t="s">
        <v>12740</v>
      </c>
      <c r="C2372" s="948" t="s">
        <v>12738</v>
      </c>
      <c r="D2372" s="242" t="s">
        <v>28722</v>
      </c>
      <c r="E2372" s="949">
        <v>310</v>
      </c>
      <c r="F2372" s="949">
        <v>310</v>
      </c>
      <c r="G2372" s="950" t="s">
        <v>14367</v>
      </c>
      <c r="H2372" s="950" t="s">
        <v>734</v>
      </c>
      <c r="I2372" s="951" t="s">
        <v>12739</v>
      </c>
      <c r="J2372" s="947" t="s">
        <v>12740</v>
      </c>
      <c r="K2372" s="143"/>
    </row>
    <row r="2373" spans="1:11">
      <c r="A2373" s="946" t="s">
        <v>28612</v>
      </c>
      <c r="B2373" s="947" t="s">
        <v>12751</v>
      </c>
      <c r="C2373" s="948" t="s">
        <v>12749</v>
      </c>
      <c r="D2373" s="242" t="s">
        <v>28722</v>
      </c>
      <c r="E2373" s="949">
        <v>310</v>
      </c>
      <c r="F2373" s="949">
        <v>310</v>
      </c>
      <c r="G2373" s="950" t="s">
        <v>14367</v>
      </c>
      <c r="H2373" s="950" t="s">
        <v>734</v>
      </c>
      <c r="I2373" s="951" t="s">
        <v>12750</v>
      </c>
      <c r="J2373" s="947" t="s">
        <v>12751</v>
      </c>
      <c r="K2373" s="143"/>
    </row>
    <row r="2374" spans="1:11">
      <c r="A2374" s="946" t="s">
        <v>28612</v>
      </c>
      <c r="B2374" s="947" t="s">
        <v>12797</v>
      </c>
      <c r="C2374" s="948" t="s">
        <v>12795</v>
      </c>
      <c r="D2374" s="242" t="s">
        <v>28722</v>
      </c>
      <c r="E2374" s="949">
        <v>310</v>
      </c>
      <c r="F2374" s="949">
        <v>310</v>
      </c>
      <c r="G2374" s="950" t="s">
        <v>14367</v>
      </c>
      <c r="H2374" s="950" t="s">
        <v>734</v>
      </c>
      <c r="I2374" s="951" t="s">
        <v>12796</v>
      </c>
      <c r="J2374" s="947" t="s">
        <v>12797</v>
      </c>
      <c r="K2374" s="143"/>
    </row>
    <row r="2375" spans="1:11">
      <c r="A2375" s="946" t="s">
        <v>28612</v>
      </c>
      <c r="B2375" s="947" t="s">
        <v>12864</v>
      </c>
      <c r="C2375" s="948" t="s">
        <v>12862</v>
      </c>
      <c r="D2375" s="242" t="s">
        <v>28722</v>
      </c>
      <c r="E2375" s="949">
        <v>310</v>
      </c>
      <c r="F2375" s="949">
        <v>310</v>
      </c>
      <c r="G2375" s="950" t="s">
        <v>14367</v>
      </c>
      <c r="H2375" s="950" t="s">
        <v>734</v>
      </c>
      <c r="I2375" s="951" t="s">
        <v>12863</v>
      </c>
      <c r="J2375" s="947" t="s">
        <v>12864</v>
      </c>
      <c r="K2375" s="143"/>
    </row>
    <row r="2376" spans="1:11">
      <c r="A2376" s="946" t="s">
        <v>28612</v>
      </c>
      <c r="B2376" s="947" t="s">
        <v>12965</v>
      </c>
      <c r="C2376" s="948" t="s">
        <v>12963</v>
      </c>
      <c r="D2376" s="242" t="s">
        <v>28722</v>
      </c>
      <c r="E2376" s="949">
        <v>310</v>
      </c>
      <c r="F2376" s="949">
        <v>310</v>
      </c>
      <c r="G2376" s="950" t="s">
        <v>14367</v>
      </c>
      <c r="H2376" s="950" t="s">
        <v>734</v>
      </c>
      <c r="I2376" s="951" t="s">
        <v>12964</v>
      </c>
      <c r="J2376" s="947" t="s">
        <v>12965</v>
      </c>
      <c r="K2376" s="143"/>
    </row>
    <row r="2377" spans="1:11">
      <c r="A2377" s="946" t="s">
        <v>28612</v>
      </c>
      <c r="B2377" s="947" t="s">
        <v>12998</v>
      </c>
      <c r="C2377" s="948" t="s">
        <v>12996</v>
      </c>
      <c r="D2377" s="242" t="s">
        <v>28722</v>
      </c>
      <c r="E2377" s="949">
        <v>310</v>
      </c>
      <c r="F2377" s="949">
        <v>310</v>
      </c>
      <c r="G2377" s="950" t="s">
        <v>14367</v>
      </c>
      <c r="H2377" s="950" t="s">
        <v>734</v>
      </c>
      <c r="I2377" s="951" t="s">
        <v>12997</v>
      </c>
      <c r="J2377" s="947" t="s">
        <v>12998</v>
      </c>
      <c r="K2377" s="143"/>
    </row>
    <row r="2378" spans="1:11">
      <c r="A2378" s="946" t="s">
        <v>28612</v>
      </c>
      <c r="B2378" s="947" t="s">
        <v>13266</v>
      </c>
      <c r="C2378" s="948" t="s">
        <v>13264</v>
      </c>
      <c r="D2378" s="242" t="s">
        <v>28722</v>
      </c>
      <c r="E2378" s="949">
        <v>310</v>
      </c>
      <c r="F2378" s="949">
        <v>310</v>
      </c>
      <c r="G2378" s="950" t="s">
        <v>14367</v>
      </c>
      <c r="H2378" s="950" t="s">
        <v>734</v>
      </c>
      <c r="I2378" s="951" t="s">
        <v>13265</v>
      </c>
      <c r="J2378" s="947" t="s">
        <v>13266</v>
      </c>
      <c r="K2378" s="143"/>
    </row>
    <row r="2379" spans="1:11">
      <c r="A2379" s="946" t="s">
        <v>28612</v>
      </c>
      <c r="B2379" s="947" t="s">
        <v>13557</v>
      </c>
      <c r="C2379" s="948" t="s">
        <v>13555</v>
      </c>
      <c r="D2379" s="242" t="s">
        <v>28722</v>
      </c>
      <c r="E2379" s="949">
        <v>310</v>
      </c>
      <c r="F2379" s="949">
        <v>310</v>
      </c>
      <c r="G2379" s="950" t="s">
        <v>14367</v>
      </c>
      <c r="H2379" s="950" t="s">
        <v>734</v>
      </c>
      <c r="I2379" s="951" t="s">
        <v>13556</v>
      </c>
      <c r="J2379" s="947" t="s">
        <v>13557</v>
      </c>
      <c r="K2379" s="143"/>
    </row>
    <row r="2380" spans="1:11">
      <c r="A2380" s="946" t="s">
        <v>28612</v>
      </c>
      <c r="B2380" s="947" t="s">
        <v>13580</v>
      </c>
      <c r="C2380" s="948" t="s">
        <v>13578</v>
      </c>
      <c r="D2380" s="242" t="s">
        <v>28722</v>
      </c>
      <c r="E2380" s="949">
        <v>310</v>
      </c>
      <c r="F2380" s="949">
        <v>310</v>
      </c>
      <c r="G2380" s="950" t="s">
        <v>14367</v>
      </c>
      <c r="H2380" s="950" t="s">
        <v>734</v>
      </c>
      <c r="I2380" s="951" t="s">
        <v>13579</v>
      </c>
      <c r="J2380" s="947" t="s">
        <v>13580</v>
      </c>
      <c r="K2380" s="143"/>
    </row>
    <row r="2381" spans="1:11">
      <c r="A2381" s="946" t="s">
        <v>28612</v>
      </c>
      <c r="B2381" s="947" t="s">
        <v>13931</v>
      </c>
      <c r="C2381" s="948" t="s">
        <v>13929</v>
      </c>
      <c r="D2381" s="242" t="s">
        <v>28722</v>
      </c>
      <c r="E2381" s="949">
        <v>310</v>
      </c>
      <c r="F2381" s="949">
        <v>310</v>
      </c>
      <c r="G2381" s="950" t="s">
        <v>14367</v>
      </c>
      <c r="H2381" s="950" t="s">
        <v>734</v>
      </c>
      <c r="I2381" s="951" t="s">
        <v>13930</v>
      </c>
      <c r="J2381" s="947" t="s">
        <v>13931</v>
      </c>
      <c r="K2381" s="143"/>
    </row>
    <row r="2382" spans="1:11">
      <c r="A2382" s="946" t="s">
        <v>28612</v>
      </c>
      <c r="B2382" s="947" t="s">
        <v>14123</v>
      </c>
      <c r="C2382" s="948" t="s">
        <v>14121</v>
      </c>
      <c r="D2382" s="242" t="s">
        <v>28722</v>
      </c>
      <c r="E2382" s="949">
        <v>310</v>
      </c>
      <c r="F2382" s="949">
        <v>310</v>
      </c>
      <c r="G2382" s="950" t="s">
        <v>14367</v>
      </c>
      <c r="H2382" s="950" t="s">
        <v>734</v>
      </c>
      <c r="I2382" s="951" t="s">
        <v>14122</v>
      </c>
      <c r="J2382" s="947" t="s">
        <v>14123</v>
      </c>
      <c r="K2382" s="143"/>
    </row>
    <row r="2383" spans="1:11">
      <c r="A2383" s="946" t="s">
        <v>28612</v>
      </c>
      <c r="B2383" s="947" t="s">
        <v>14195</v>
      </c>
      <c r="C2383" s="948" t="s">
        <v>14193</v>
      </c>
      <c r="D2383" s="242" t="s">
        <v>28722</v>
      </c>
      <c r="E2383" s="949">
        <v>310</v>
      </c>
      <c r="F2383" s="949">
        <v>310</v>
      </c>
      <c r="G2383" s="950" t="s">
        <v>14367</v>
      </c>
      <c r="H2383" s="950" t="s">
        <v>734</v>
      </c>
      <c r="I2383" s="951" t="s">
        <v>14194</v>
      </c>
      <c r="J2383" s="947" t="s">
        <v>14195</v>
      </c>
      <c r="K2383" s="143"/>
    </row>
    <row r="2384" spans="1:11">
      <c r="A2384" s="946" t="s">
        <v>28612</v>
      </c>
      <c r="B2384" s="947" t="s">
        <v>14273</v>
      </c>
      <c r="C2384" s="948" t="s">
        <v>14271</v>
      </c>
      <c r="D2384" s="242" t="s">
        <v>28722</v>
      </c>
      <c r="E2384" s="949">
        <v>310</v>
      </c>
      <c r="F2384" s="949">
        <v>310</v>
      </c>
      <c r="G2384" s="950" t="s">
        <v>14367</v>
      </c>
      <c r="H2384" s="950" t="s">
        <v>734</v>
      </c>
      <c r="I2384" s="951" t="s">
        <v>14272</v>
      </c>
      <c r="J2384" s="947" t="s">
        <v>14273</v>
      </c>
      <c r="K2384" s="143"/>
    </row>
    <row r="2385" spans="1:11">
      <c r="A2385" s="946" t="s">
        <v>28612</v>
      </c>
      <c r="B2385" s="947" t="s">
        <v>14367</v>
      </c>
      <c r="C2385" s="948" t="s">
        <v>14365</v>
      </c>
      <c r="D2385" s="242" t="s">
        <v>28722</v>
      </c>
      <c r="E2385" s="949">
        <v>310</v>
      </c>
      <c r="F2385" s="949">
        <v>310</v>
      </c>
      <c r="G2385" s="950" t="s">
        <v>14367</v>
      </c>
      <c r="H2385" s="950" t="s">
        <v>734</v>
      </c>
      <c r="I2385" s="951" t="s">
        <v>14366</v>
      </c>
      <c r="J2385" s="947" t="s">
        <v>14367</v>
      </c>
      <c r="K2385" s="143"/>
    </row>
    <row r="2386" spans="1:11">
      <c r="A2386" s="946" t="s">
        <v>28612</v>
      </c>
      <c r="B2386" s="947" t="s">
        <v>14838</v>
      </c>
      <c r="C2386" s="948" t="s">
        <v>14836</v>
      </c>
      <c r="D2386" s="242" t="s">
        <v>28722</v>
      </c>
      <c r="E2386" s="949">
        <v>310</v>
      </c>
      <c r="F2386" s="949">
        <v>310</v>
      </c>
      <c r="G2386" s="950" t="s">
        <v>14367</v>
      </c>
      <c r="H2386" s="950" t="s">
        <v>734</v>
      </c>
      <c r="I2386" s="951" t="s">
        <v>14837</v>
      </c>
      <c r="J2386" s="947" t="s">
        <v>14838</v>
      </c>
      <c r="K2386" s="143"/>
    </row>
    <row r="2387" spans="1:11">
      <c r="A2387" s="946" t="s">
        <v>28612</v>
      </c>
      <c r="B2387" s="947" t="s">
        <v>14919</v>
      </c>
      <c r="C2387" s="948" t="s">
        <v>14917</v>
      </c>
      <c r="D2387" s="242" t="s">
        <v>28722</v>
      </c>
      <c r="E2387" s="949">
        <v>310</v>
      </c>
      <c r="F2387" s="949">
        <v>310</v>
      </c>
      <c r="G2387" s="950" t="s">
        <v>14367</v>
      </c>
      <c r="H2387" s="950" t="s">
        <v>734</v>
      </c>
      <c r="I2387" s="951" t="s">
        <v>14918</v>
      </c>
      <c r="J2387" s="947" t="s">
        <v>14919</v>
      </c>
      <c r="K2387" s="143"/>
    </row>
    <row r="2388" spans="1:11">
      <c r="A2388" s="946" t="s">
        <v>28612</v>
      </c>
      <c r="B2388" s="947" t="s">
        <v>14922</v>
      </c>
      <c r="C2388" s="948" t="s">
        <v>14920</v>
      </c>
      <c r="D2388" s="242" t="s">
        <v>28722</v>
      </c>
      <c r="E2388" s="949">
        <v>310</v>
      </c>
      <c r="F2388" s="949">
        <v>310</v>
      </c>
      <c r="G2388" s="950" t="s">
        <v>14367</v>
      </c>
      <c r="H2388" s="950" t="s">
        <v>734</v>
      </c>
      <c r="I2388" s="951" t="s">
        <v>14921</v>
      </c>
      <c r="J2388" s="947" t="s">
        <v>14922</v>
      </c>
      <c r="K2388" s="143"/>
    </row>
    <row r="2389" spans="1:11">
      <c r="A2389" s="946" t="s">
        <v>28612</v>
      </c>
      <c r="B2389" s="947" t="s">
        <v>14952</v>
      </c>
      <c r="C2389" s="948" t="s">
        <v>14950</v>
      </c>
      <c r="D2389" s="242" t="s">
        <v>28722</v>
      </c>
      <c r="E2389" s="949">
        <v>310</v>
      </c>
      <c r="F2389" s="949">
        <v>310</v>
      </c>
      <c r="G2389" s="950" t="s">
        <v>14367</v>
      </c>
      <c r="H2389" s="950" t="s">
        <v>734</v>
      </c>
      <c r="I2389" s="951" t="s">
        <v>14951</v>
      </c>
      <c r="J2389" s="947" t="s">
        <v>14952</v>
      </c>
      <c r="K2389" s="143"/>
    </row>
    <row r="2390" spans="1:11">
      <c r="A2390" s="946" t="s">
        <v>28612</v>
      </c>
      <c r="B2390" s="947" t="s">
        <v>15000</v>
      </c>
      <c r="C2390" s="948" t="s">
        <v>14998</v>
      </c>
      <c r="D2390" s="242" t="s">
        <v>28722</v>
      </c>
      <c r="E2390" s="949">
        <v>310</v>
      </c>
      <c r="F2390" s="949">
        <v>310</v>
      </c>
      <c r="G2390" s="950" t="s">
        <v>14367</v>
      </c>
      <c r="H2390" s="950" t="s">
        <v>734</v>
      </c>
      <c r="I2390" s="951" t="s">
        <v>14999</v>
      </c>
      <c r="J2390" s="947" t="s">
        <v>15000</v>
      </c>
      <c r="K2390" s="143"/>
    </row>
    <row r="2391" spans="1:11">
      <c r="A2391" s="946" t="s">
        <v>28612</v>
      </c>
      <c r="B2391" s="947" t="s">
        <v>15109</v>
      </c>
      <c r="C2391" s="948" t="s">
        <v>15107</v>
      </c>
      <c r="D2391" s="242" t="s">
        <v>28722</v>
      </c>
      <c r="E2391" s="949">
        <v>310</v>
      </c>
      <c r="F2391" s="949">
        <v>310</v>
      </c>
      <c r="G2391" s="950" t="s">
        <v>14367</v>
      </c>
      <c r="H2391" s="950" t="s">
        <v>734</v>
      </c>
      <c r="I2391" s="951" t="s">
        <v>15108</v>
      </c>
      <c r="J2391" s="947" t="s">
        <v>15109</v>
      </c>
      <c r="K2391" s="143"/>
    </row>
    <row r="2392" spans="1:11">
      <c r="A2392" s="946" t="s">
        <v>28612</v>
      </c>
      <c r="B2392" s="947" t="s">
        <v>15400</v>
      </c>
      <c r="C2392" s="948" t="s">
        <v>15398</v>
      </c>
      <c r="D2392" s="242" t="s">
        <v>28722</v>
      </c>
      <c r="E2392" s="949">
        <v>310</v>
      </c>
      <c r="F2392" s="949">
        <v>310</v>
      </c>
      <c r="G2392" s="950" t="s">
        <v>14367</v>
      </c>
      <c r="H2392" s="950" t="s">
        <v>734</v>
      </c>
      <c r="I2392" s="951" t="s">
        <v>15399</v>
      </c>
      <c r="J2392" s="947" t="s">
        <v>15400</v>
      </c>
      <c r="K2392" s="143"/>
    </row>
    <row r="2393" spans="1:11">
      <c r="A2393" s="946" t="s">
        <v>28612</v>
      </c>
      <c r="B2393" s="947" t="s">
        <v>15532</v>
      </c>
      <c r="C2393" s="948" t="s">
        <v>15530</v>
      </c>
      <c r="D2393" s="242" t="s">
        <v>28722</v>
      </c>
      <c r="E2393" s="949">
        <v>310</v>
      </c>
      <c r="F2393" s="949">
        <v>310</v>
      </c>
      <c r="G2393" s="950" t="s">
        <v>14367</v>
      </c>
      <c r="H2393" s="950" t="s">
        <v>734</v>
      </c>
      <c r="I2393" s="951" t="s">
        <v>15531</v>
      </c>
      <c r="J2393" s="947" t="s">
        <v>15532</v>
      </c>
      <c r="K2393" s="143"/>
    </row>
    <row r="2394" spans="1:11">
      <c r="A2394" s="946" t="s">
        <v>28612</v>
      </c>
      <c r="B2394" s="947" t="s">
        <v>16136</v>
      </c>
      <c r="C2394" s="948" t="s">
        <v>16134</v>
      </c>
      <c r="D2394" s="242" t="s">
        <v>28722</v>
      </c>
      <c r="E2394" s="949">
        <v>310</v>
      </c>
      <c r="F2394" s="949">
        <v>310</v>
      </c>
      <c r="G2394" s="950" t="s">
        <v>14367</v>
      </c>
      <c r="H2394" s="950" t="s">
        <v>734</v>
      </c>
      <c r="I2394" s="951" t="s">
        <v>16135</v>
      </c>
      <c r="J2394" s="947" t="s">
        <v>16136</v>
      </c>
      <c r="K2394" s="143"/>
    </row>
    <row r="2395" spans="1:11">
      <c r="A2395" s="946" t="s">
        <v>28612</v>
      </c>
      <c r="B2395" s="947" t="s">
        <v>16163</v>
      </c>
      <c r="C2395" s="948" t="s">
        <v>16161</v>
      </c>
      <c r="D2395" s="242" t="s">
        <v>28722</v>
      </c>
      <c r="E2395" s="949">
        <v>310</v>
      </c>
      <c r="F2395" s="949">
        <v>310</v>
      </c>
      <c r="G2395" s="950" t="s">
        <v>14367</v>
      </c>
      <c r="H2395" s="950" t="s">
        <v>734</v>
      </c>
      <c r="I2395" s="951" t="s">
        <v>16162</v>
      </c>
      <c r="J2395" s="947" t="s">
        <v>16163</v>
      </c>
      <c r="K2395" s="143"/>
    </row>
    <row r="2396" spans="1:11">
      <c r="A2396" s="946" t="s">
        <v>28612</v>
      </c>
      <c r="B2396" s="947" t="s">
        <v>16223</v>
      </c>
      <c r="C2396" s="948" t="s">
        <v>16221</v>
      </c>
      <c r="D2396" s="242" t="s">
        <v>28722</v>
      </c>
      <c r="E2396" s="949">
        <v>310</v>
      </c>
      <c r="F2396" s="949">
        <v>310</v>
      </c>
      <c r="G2396" s="950" t="s">
        <v>14367</v>
      </c>
      <c r="H2396" s="950" t="s">
        <v>734</v>
      </c>
      <c r="I2396" s="951" t="s">
        <v>16222</v>
      </c>
      <c r="J2396" s="947" t="s">
        <v>16223</v>
      </c>
      <c r="K2396" s="143"/>
    </row>
    <row r="2397" spans="1:11">
      <c r="A2397" s="946" t="s">
        <v>28612</v>
      </c>
      <c r="B2397" s="947" t="s">
        <v>16408</v>
      </c>
      <c r="C2397" s="948" t="s">
        <v>16406</v>
      </c>
      <c r="D2397" s="242" t="s">
        <v>28722</v>
      </c>
      <c r="E2397" s="949">
        <v>310</v>
      </c>
      <c r="F2397" s="949">
        <v>310</v>
      </c>
      <c r="G2397" s="950" t="s">
        <v>14367</v>
      </c>
      <c r="H2397" s="950" t="s">
        <v>734</v>
      </c>
      <c r="I2397" s="951" t="s">
        <v>16407</v>
      </c>
      <c r="J2397" s="947" t="s">
        <v>16408</v>
      </c>
      <c r="K2397" s="143"/>
    </row>
    <row r="2398" spans="1:11">
      <c r="A2398" s="946" t="s">
        <v>28612</v>
      </c>
      <c r="B2398" s="947" t="s">
        <v>16480</v>
      </c>
      <c r="C2398" s="948" t="s">
        <v>16478</v>
      </c>
      <c r="D2398" s="242" t="s">
        <v>28722</v>
      </c>
      <c r="E2398" s="949">
        <v>310</v>
      </c>
      <c r="F2398" s="949">
        <v>310</v>
      </c>
      <c r="G2398" s="950" t="s">
        <v>14367</v>
      </c>
      <c r="H2398" s="950" t="s">
        <v>734</v>
      </c>
      <c r="I2398" s="951" t="s">
        <v>16479</v>
      </c>
      <c r="J2398" s="947" t="s">
        <v>16480</v>
      </c>
      <c r="K2398" s="143"/>
    </row>
    <row r="2399" spans="1:11">
      <c r="A2399" s="946" t="s">
        <v>28612</v>
      </c>
      <c r="B2399" s="947" t="s">
        <v>16489</v>
      </c>
      <c r="C2399" s="948" t="s">
        <v>16487</v>
      </c>
      <c r="D2399" s="242" t="s">
        <v>28722</v>
      </c>
      <c r="E2399" s="949">
        <v>310</v>
      </c>
      <c r="F2399" s="949">
        <v>310</v>
      </c>
      <c r="G2399" s="950" t="s">
        <v>14367</v>
      </c>
      <c r="H2399" s="950" t="s">
        <v>734</v>
      </c>
      <c r="I2399" s="951" t="s">
        <v>16488</v>
      </c>
      <c r="J2399" s="947" t="s">
        <v>16489</v>
      </c>
      <c r="K2399" s="143"/>
    </row>
    <row r="2400" spans="1:11">
      <c r="A2400" s="946" t="s">
        <v>28612</v>
      </c>
      <c r="B2400" s="947" t="s">
        <v>16522</v>
      </c>
      <c r="C2400" s="948" t="s">
        <v>16520</v>
      </c>
      <c r="D2400" s="242" t="s">
        <v>28722</v>
      </c>
      <c r="E2400" s="949">
        <v>310</v>
      </c>
      <c r="F2400" s="949">
        <v>310</v>
      </c>
      <c r="G2400" s="950" t="s">
        <v>14367</v>
      </c>
      <c r="H2400" s="950" t="s">
        <v>734</v>
      </c>
      <c r="I2400" s="951" t="s">
        <v>16521</v>
      </c>
      <c r="J2400" s="947" t="s">
        <v>16522</v>
      </c>
      <c r="K2400" s="143"/>
    </row>
    <row r="2401" spans="1:11">
      <c r="A2401" s="946" t="s">
        <v>28612</v>
      </c>
      <c r="B2401" s="947" t="s">
        <v>16581</v>
      </c>
      <c r="C2401" s="948" t="s">
        <v>16579</v>
      </c>
      <c r="D2401" s="242" t="s">
        <v>28722</v>
      </c>
      <c r="E2401" s="949">
        <v>310</v>
      </c>
      <c r="F2401" s="949">
        <v>310</v>
      </c>
      <c r="G2401" s="950" t="s">
        <v>14367</v>
      </c>
      <c r="H2401" s="950" t="s">
        <v>734</v>
      </c>
      <c r="I2401" s="951" t="s">
        <v>16580</v>
      </c>
      <c r="J2401" s="947" t="s">
        <v>16581</v>
      </c>
      <c r="K2401" s="143"/>
    </row>
    <row r="2402" spans="1:11">
      <c r="A2402" s="946" t="s">
        <v>28612</v>
      </c>
      <c r="B2402" s="947" t="s">
        <v>16788</v>
      </c>
      <c r="C2402" s="948" t="s">
        <v>16786</v>
      </c>
      <c r="D2402" s="242" t="s">
        <v>28722</v>
      </c>
      <c r="E2402" s="949">
        <v>310</v>
      </c>
      <c r="F2402" s="949">
        <v>310</v>
      </c>
      <c r="G2402" s="950" t="s">
        <v>14367</v>
      </c>
      <c r="H2402" s="950" t="s">
        <v>734</v>
      </c>
      <c r="I2402" s="951" t="s">
        <v>16787</v>
      </c>
      <c r="J2402" s="947" t="s">
        <v>16788</v>
      </c>
      <c r="K2402" s="143"/>
    </row>
    <row r="2403" spans="1:11">
      <c r="A2403" s="946" t="s">
        <v>28612</v>
      </c>
      <c r="B2403" s="947" t="s">
        <v>16821</v>
      </c>
      <c r="C2403" s="948" t="s">
        <v>16819</v>
      </c>
      <c r="D2403" s="242" t="s">
        <v>28722</v>
      </c>
      <c r="E2403" s="949">
        <v>310</v>
      </c>
      <c r="F2403" s="949">
        <v>310</v>
      </c>
      <c r="G2403" s="950" t="s">
        <v>14367</v>
      </c>
      <c r="H2403" s="950" t="s">
        <v>734</v>
      </c>
      <c r="I2403" s="951" t="s">
        <v>16820</v>
      </c>
      <c r="J2403" s="947" t="s">
        <v>16821</v>
      </c>
      <c r="K2403" s="143"/>
    </row>
    <row r="2404" spans="1:11">
      <c r="A2404" s="946" t="s">
        <v>28612</v>
      </c>
      <c r="B2404" s="947" t="s">
        <v>16861</v>
      </c>
      <c r="C2404" s="948" t="s">
        <v>16859</v>
      </c>
      <c r="D2404" s="242" t="s">
        <v>28722</v>
      </c>
      <c r="E2404" s="949">
        <v>310</v>
      </c>
      <c r="F2404" s="949">
        <v>310</v>
      </c>
      <c r="G2404" s="950" t="s">
        <v>14367</v>
      </c>
      <c r="H2404" s="950" t="s">
        <v>734</v>
      </c>
      <c r="I2404" s="951" t="s">
        <v>16860</v>
      </c>
      <c r="J2404" s="947" t="s">
        <v>16861</v>
      </c>
      <c r="K2404" s="143"/>
    </row>
    <row r="2405" spans="1:11">
      <c r="A2405" s="946" t="s">
        <v>28612</v>
      </c>
      <c r="B2405" s="947" t="s">
        <v>16934</v>
      </c>
      <c r="C2405" s="948" t="s">
        <v>16932</v>
      </c>
      <c r="D2405" s="242" t="s">
        <v>28722</v>
      </c>
      <c r="E2405" s="949">
        <v>310</v>
      </c>
      <c r="F2405" s="949">
        <v>310</v>
      </c>
      <c r="G2405" s="950" t="s">
        <v>14367</v>
      </c>
      <c r="H2405" s="950" t="s">
        <v>734</v>
      </c>
      <c r="I2405" s="951" t="s">
        <v>16933</v>
      </c>
      <c r="J2405" s="947" t="s">
        <v>16934</v>
      </c>
      <c r="K2405" s="143"/>
    </row>
    <row r="2406" spans="1:11">
      <c r="A2406" s="946" t="s">
        <v>28612</v>
      </c>
      <c r="B2406" s="947" t="s">
        <v>17060</v>
      </c>
      <c r="C2406" s="948" t="s">
        <v>17058</v>
      </c>
      <c r="D2406" s="242" t="s">
        <v>28722</v>
      </c>
      <c r="E2406" s="949">
        <v>310</v>
      </c>
      <c r="F2406" s="949">
        <v>310</v>
      </c>
      <c r="G2406" s="950" t="s">
        <v>14367</v>
      </c>
      <c r="H2406" s="950" t="s">
        <v>734</v>
      </c>
      <c r="I2406" s="951" t="s">
        <v>17059</v>
      </c>
      <c r="J2406" s="947" t="s">
        <v>17060</v>
      </c>
      <c r="K2406" s="143"/>
    </row>
    <row r="2407" spans="1:11">
      <c r="A2407" s="946" t="s">
        <v>28612</v>
      </c>
      <c r="B2407" s="947" t="s">
        <v>17472</v>
      </c>
      <c r="C2407" s="948" t="s">
        <v>17470</v>
      </c>
      <c r="D2407" s="242" t="s">
        <v>28722</v>
      </c>
      <c r="E2407" s="949">
        <v>310</v>
      </c>
      <c r="F2407" s="949">
        <v>310</v>
      </c>
      <c r="G2407" s="950" t="s">
        <v>14367</v>
      </c>
      <c r="H2407" s="950" t="s">
        <v>734</v>
      </c>
      <c r="I2407" s="951" t="s">
        <v>17471</v>
      </c>
      <c r="J2407" s="947" t="s">
        <v>17472</v>
      </c>
      <c r="K2407" s="143"/>
    </row>
    <row r="2408" spans="1:11">
      <c r="A2408" s="946" t="s">
        <v>28612</v>
      </c>
      <c r="B2408" s="947" t="s">
        <v>17504</v>
      </c>
      <c r="C2408" s="948" t="s">
        <v>17502</v>
      </c>
      <c r="D2408" s="242" t="s">
        <v>28722</v>
      </c>
      <c r="E2408" s="949">
        <v>310</v>
      </c>
      <c r="F2408" s="949">
        <v>310</v>
      </c>
      <c r="G2408" s="950" t="s">
        <v>14367</v>
      </c>
      <c r="H2408" s="950" t="s">
        <v>734</v>
      </c>
      <c r="I2408" s="951" t="s">
        <v>17503</v>
      </c>
      <c r="J2408" s="947" t="s">
        <v>17504</v>
      </c>
      <c r="K2408" s="143"/>
    </row>
    <row r="2409" spans="1:11">
      <c r="A2409" s="946" t="s">
        <v>28612</v>
      </c>
      <c r="B2409" s="947" t="s">
        <v>17602</v>
      </c>
      <c r="C2409" s="948" t="s">
        <v>17600</v>
      </c>
      <c r="D2409" s="242" t="s">
        <v>28722</v>
      </c>
      <c r="E2409" s="949">
        <v>310</v>
      </c>
      <c r="F2409" s="949">
        <v>310</v>
      </c>
      <c r="G2409" s="950" t="s">
        <v>14367</v>
      </c>
      <c r="H2409" s="950" t="s">
        <v>734</v>
      </c>
      <c r="I2409" s="951" t="s">
        <v>17601</v>
      </c>
      <c r="J2409" s="947" t="s">
        <v>17602</v>
      </c>
      <c r="K2409" s="143"/>
    </row>
    <row r="2410" spans="1:11">
      <c r="A2410" s="946" t="s">
        <v>28612</v>
      </c>
      <c r="B2410" s="947" t="s">
        <v>17656</v>
      </c>
      <c r="C2410" s="948" t="s">
        <v>17654</v>
      </c>
      <c r="D2410" s="242" t="s">
        <v>28722</v>
      </c>
      <c r="E2410" s="949">
        <v>310</v>
      </c>
      <c r="F2410" s="949">
        <v>310</v>
      </c>
      <c r="G2410" s="950" t="s">
        <v>14367</v>
      </c>
      <c r="H2410" s="950" t="s">
        <v>734</v>
      </c>
      <c r="I2410" s="951" t="s">
        <v>17655</v>
      </c>
      <c r="J2410" s="947" t="s">
        <v>17656</v>
      </c>
      <c r="K2410" s="143"/>
    </row>
    <row r="2411" spans="1:11">
      <c r="A2411" s="946" t="s">
        <v>28612</v>
      </c>
      <c r="B2411" s="947" t="s">
        <v>17924</v>
      </c>
      <c r="C2411" s="948" t="s">
        <v>17922</v>
      </c>
      <c r="D2411" s="242" t="s">
        <v>28722</v>
      </c>
      <c r="E2411" s="949">
        <v>310</v>
      </c>
      <c r="F2411" s="949">
        <v>310</v>
      </c>
      <c r="G2411" s="950" t="s">
        <v>14367</v>
      </c>
      <c r="H2411" s="950" t="s">
        <v>734</v>
      </c>
      <c r="I2411" s="951" t="s">
        <v>17923</v>
      </c>
      <c r="J2411" s="947" t="s">
        <v>17924</v>
      </c>
      <c r="K2411" s="143"/>
    </row>
    <row r="2412" spans="1:11">
      <c r="A2412" s="946" t="s">
        <v>28612</v>
      </c>
      <c r="B2412" s="947" t="s">
        <v>18357</v>
      </c>
      <c r="C2412" s="948" t="s">
        <v>18355</v>
      </c>
      <c r="D2412" s="242" t="s">
        <v>28722</v>
      </c>
      <c r="E2412" s="949">
        <v>310</v>
      </c>
      <c r="F2412" s="949">
        <v>310</v>
      </c>
      <c r="G2412" s="950" t="s">
        <v>14367</v>
      </c>
      <c r="H2412" s="950" t="s">
        <v>734</v>
      </c>
      <c r="I2412" s="951" t="s">
        <v>18356</v>
      </c>
      <c r="J2412" s="947" t="s">
        <v>18357</v>
      </c>
      <c r="K2412" s="143"/>
    </row>
    <row r="2413" spans="1:11">
      <c r="A2413" s="946" t="s">
        <v>28612</v>
      </c>
      <c r="B2413" s="947" t="s">
        <v>18390</v>
      </c>
      <c r="C2413" s="948" t="s">
        <v>18388</v>
      </c>
      <c r="D2413" s="242" t="s">
        <v>28722</v>
      </c>
      <c r="E2413" s="949">
        <v>310</v>
      </c>
      <c r="F2413" s="949">
        <v>310</v>
      </c>
      <c r="G2413" s="950" t="s">
        <v>14367</v>
      </c>
      <c r="H2413" s="950" t="s">
        <v>734</v>
      </c>
      <c r="I2413" s="951" t="s">
        <v>18389</v>
      </c>
      <c r="J2413" s="947" t="s">
        <v>18390</v>
      </c>
      <c r="K2413" s="143"/>
    </row>
    <row r="2414" spans="1:11">
      <c r="A2414" s="946" t="s">
        <v>28612</v>
      </c>
      <c r="B2414" s="947" t="s">
        <v>18424</v>
      </c>
      <c r="C2414" s="948" t="s">
        <v>18422</v>
      </c>
      <c r="D2414" s="242" t="s">
        <v>28722</v>
      </c>
      <c r="E2414" s="949">
        <v>310</v>
      </c>
      <c r="F2414" s="949">
        <v>310</v>
      </c>
      <c r="G2414" s="950" t="s">
        <v>14367</v>
      </c>
      <c r="H2414" s="950" t="s">
        <v>734</v>
      </c>
      <c r="I2414" s="951" t="s">
        <v>18423</v>
      </c>
      <c r="J2414" s="947" t="s">
        <v>18424</v>
      </c>
      <c r="K2414" s="143"/>
    </row>
    <row r="2415" spans="1:11">
      <c r="A2415" s="946" t="s">
        <v>28612</v>
      </c>
      <c r="B2415" s="947" t="s">
        <v>18576</v>
      </c>
      <c r="C2415" s="948" t="s">
        <v>18574</v>
      </c>
      <c r="D2415" s="242" t="s">
        <v>28722</v>
      </c>
      <c r="E2415" s="949">
        <v>310</v>
      </c>
      <c r="F2415" s="949">
        <v>310</v>
      </c>
      <c r="G2415" s="950" t="s">
        <v>14367</v>
      </c>
      <c r="H2415" s="950" t="s">
        <v>734</v>
      </c>
      <c r="I2415" s="951" t="s">
        <v>18575</v>
      </c>
      <c r="J2415" s="947" t="s">
        <v>18576</v>
      </c>
      <c r="K2415" s="143"/>
    </row>
    <row r="2416" spans="1:11">
      <c r="A2416" s="946" t="s">
        <v>28612</v>
      </c>
      <c r="B2416" s="947" t="s">
        <v>18450</v>
      </c>
      <c r="C2416" s="948" t="s">
        <v>18448</v>
      </c>
      <c r="D2416" s="242" t="s">
        <v>28722</v>
      </c>
      <c r="E2416" s="949">
        <v>310</v>
      </c>
      <c r="F2416" s="949">
        <v>310</v>
      </c>
      <c r="G2416" s="950" t="s">
        <v>14367</v>
      </c>
      <c r="H2416" s="950" t="s">
        <v>734</v>
      </c>
      <c r="I2416" s="951" t="s">
        <v>18449</v>
      </c>
      <c r="J2416" s="947" t="s">
        <v>18450</v>
      </c>
      <c r="K2416" s="143"/>
    </row>
    <row r="2417" spans="1:11">
      <c r="A2417" s="946" t="s">
        <v>28612</v>
      </c>
      <c r="B2417" s="947" t="s">
        <v>18473</v>
      </c>
      <c r="C2417" s="948" t="s">
        <v>18471</v>
      </c>
      <c r="D2417" s="242" t="s">
        <v>28722</v>
      </c>
      <c r="E2417" s="949">
        <v>310</v>
      </c>
      <c r="F2417" s="949">
        <v>310</v>
      </c>
      <c r="G2417" s="950" t="s">
        <v>14367</v>
      </c>
      <c r="H2417" s="950" t="s">
        <v>734</v>
      </c>
      <c r="I2417" s="951" t="s">
        <v>18472</v>
      </c>
      <c r="J2417" s="947" t="s">
        <v>18473</v>
      </c>
      <c r="K2417" s="143"/>
    </row>
    <row r="2418" spans="1:11">
      <c r="A2418" s="946" t="s">
        <v>28612</v>
      </c>
      <c r="B2418" s="947" t="s">
        <v>18655</v>
      </c>
      <c r="C2418" s="948" t="s">
        <v>18653</v>
      </c>
      <c r="D2418" s="242" t="s">
        <v>28722</v>
      </c>
      <c r="E2418" s="949">
        <v>310</v>
      </c>
      <c r="F2418" s="949">
        <v>310</v>
      </c>
      <c r="G2418" s="950" t="s">
        <v>14367</v>
      </c>
      <c r="H2418" s="950" t="s">
        <v>734</v>
      </c>
      <c r="I2418" s="951" t="s">
        <v>18654</v>
      </c>
      <c r="J2418" s="947" t="s">
        <v>18655</v>
      </c>
      <c r="K2418" s="143"/>
    </row>
    <row r="2419" spans="1:11">
      <c r="A2419" s="946" t="s">
        <v>28612</v>
      </c>
      <c r="B2419" s="947" t="s">
        <v>18323</v>
      </c>
      <c r="C2419" s="948" t="s">
        <v>18321</v>
      </c>
      <c r="D2419" s="242" t="s">
        <v>28722</v>
      </c>
      <c r="E2419" s="949">
        <v>310</v>
      </c>
      <c r="F2419" s="949">
        <v>310</v>
      </c>
      <c r="G2419" s="950" t="s">
        <v>14367</v>
      </c>
      <c r="H2419" s="950" t="s">
        <v>734</v>
      </c>
      <c r="I2419" s="951" t="s">
        <v>18322</v>
      </c>
      <c r="J2419" s="947" t="s">
        <v>18323</v>
      </c>
      <c r="K2419" s="143"/>
    </row>
    <row r="2420" spans="1:11">
      <c r="A2420" s="946" t="s">
        <v>28612</v>
      </c>
      <c r="B2420" s="947" t="s">
        <v>18899</v>
      </c>
      <c r="C2420" s="948" t="s">
        <v>18897</v>
      </c>
      <c r="D2420" s="242" t="s">
        <v>28722</v>
      </c>
      <c r="E2420" s="949">
        <v>310</v>
      </c>
      <c r="F2420" s="949">
        <v>310</v>
      </c>
      <c r="G2420" s="950" t="s">
        <v>14367</v>
      </c>
      <c r="H2420" s="950" t="s">
        <v>734</v>
      </c>
      <c r="I2420" s="951" t="s">
        <v>18898</v>
      </c>
      <c r="J2420" s="947" t="s">
        <v>18899</v>
      </c>
      <c r="K2420" s="143"/>
    </row>
    <row r="2421" spans="1:11">
      <c r="A2421" s="946" t="s">
        <v>28612</v>
      </c>
      <c r="B2421" s="947" t="s">
        <v>19005</v>
      </c>
      <c r="C2421" s="948" t="s">
        <v>19003</v>
      </c>
      <c r="D2421" s="242" t="s">
        <v>28722</v>
      </c>
      <c r="E2421" s="949">
        <v>310</v>
      </c>
      <c r="F2421" s="949">
        <v>310</v>
      </c>
      <c r="G2421" s="950" t="s">
        <v>14367</v>
      </c>
      <c r="H2421" s="950" t="s">
        <v>734</v>
      </c>
      <c r="I2421" s="951" t="s">
        <v>19004</v>
      </c>
      <c r="J2421" s="947" t="s">
        <v>19005</v>
      </c>
      <c r="K2421" s="143"/>
    </row>
    <row r="2422" spans="1:11">
      <c r="A2422" s="946" t="s">
        <v>28612</v>
      </c>
      <c r="B2422" s="947" t="s">
        <v>19232</v>
      </c>
      <c r="C2422" s="948" t="s">
        <v>19230</v>
      </c>
      <c r="D2422" s="242" t="s">
        <v>28722</v>
      </c>
      <c r="E2422" s="949">
        <v>310</v>
      </c>
      <c r="F2422" s="949">
        <v>310</v>
      </c>
      <c r="G2422" s="950" t="s">
        <v>14367</v>
      </c>
      <c r="H2422" s="950" t="s">
        <v>734</v>
      </c>
      <c r="I2422" s="951" t="s">
        <v>19231</v>
      </c>
      <c r="J2422" s="947" t="s">
        <v>19232</v>
      </c>
      <c r="K2422" s="143"/>
    </row>
    <row r="2423" spans="1:11">
      <c r="A2423" s="946" t="s">
        <v>28612</v>
      </c>
      <c r="B2423" s="947" t="s">
        <v>19536</v>
      </c>
      <c r="C2423" s="948" t="s">
        <v>19534</v>
      </c>
      <c r="D2423" s="242" t="s">
        <v>28722</v>
      </c>
      <c r="E2423" s="949">
        <v>310</v>
      </c>
      <c r="F2423" s="949">
        <v>310</v>
      </c>
      <c r="G2423" s="950" t="s">
        <v>14367</v>
      </c>
      <c r="H2423" s="950" t="s">
        <v>734</v>
      </c>
      <c r="I2423" s="951" t="s">
        <v>19535</v>
      </c>
      <c r="J2423" s="947" t="s">
        <v>19536</v>
      </c>
      <c r="K2423" s="143"/>
    </row>
    <row r="2424" spans="1:11">
      <c r="A2424" s="946" t="s">
        <v>28612</v>
      </c>
      <c r="B2424" s="947" t="s">
        <v>19592</v>
      </c>
      <c r="C2424" s="948" t="s">
        <v>19590</v>
      </c>
      <c r="D2424" s="242" t="s">
        <v>28722</v>
      </c>
      <c r="E2424" s="949">
        <v>310</v>
      </c>
      <c r="F2424" s="949">
        <v>310</v>
      </c>
      <c r="G2424" s="950" t="s">
        <v>14367</v>
      </c>
      <c r="H2424" s="950" t="s">
        <v>734</v>
      </c>
      <c r="I2424" s="951" t="s">
        <v>19591</v>
      </c>
      <c r="J2424" s="947" t="s">
        <v>19592</v>
      </c>
      <c r="K2424" s="143"/>
    </row>
    <row r="2425" spans="1:11">
      <c r="A2425" s="946" t="s">
        <v>28612</v>
      </c>
      <c r="B2425" s="947" t="s">
        <v>19705</v>
      </c>
      <c r="C2425" s="948" t="s">
        <v>19703</v>
      </c>
      <c r="D2425" s="242" t="s">
        <v>28722</v>
      </c>
      <c r="E2425" s="949">
        <v>310</v>
      </c>
      <c r="F2425" s="949">
        <v>310</v>
      </c>
      <c r="G2425" s="950" t="s">
        <v>14367</v>
      </c>
      <c r="H2425" s="950" t="s">
        <v>734</v>
      </c>
      <c r="I2425" s="951" t="s">
        <v>19704</v>
      </c>
      <c r="J2425" s="947" t="s">
        <v>19705</v>
      </c>
      <c r="K2425" s="143"/>
    </row>
    <row r="2426" spans="1:11">
      <c r="A2426" s="946" t="s">
        <v>28612</v>
      </c>
      <c r="B2426" s="947" t="s">
        <v>19863</v>
      </c>
      <c r="C2426" s="948" t="s">
        <v>19861</v>
      </c>
      <c r="D2426" s="242" t="s">
        <v>28722</v>
      </c>
      <c r="E2426" s="949">
        <v>310</v>
      </c>
      <c r="F2426" s="949">
        <v>310</v>
      </c>
      <c r="G2426" s="950" t="s">
        <v>14367</v>
      </c>
      <c r="H2426" s="950" t="s">
        <v>734</v>
      </c>
      <c r="I2426" s="951" t="s">
        <v>19862</v>
      </c>
      <c r="J2426" s="947" t="s">
        <v>19863</v>
      </c>
      <c r="K2426" s="143"/>
    </row>
    <row r="2427" spans="1:11">
      <c r="A2427" s="946" t="s">
        <v>28612</v>
      </c>
      <c r="B2427" s="947" t="s">
        <v>20034</v>
      </c>
      <c r="C2427" s="948" t="s">
        <v>20032</v>
      </c>
      <c r="D2427" s="242" t="s">
        <v>28722</v>
      </c>
      <c r="E2427" s="949">
        <v>310</v>
      </c>
      <c r="F2427" s="949">
        <v>310</v>
      </c>
      <c r="G2427" s="950" t="s">
        <v>14367</v>
      </c>
      <c r="H2427" s="950" t="s">
        <v>734</v>
      </c>
      <c r="I2427" s="951" t="s">
        <v>20033</v>
      </c>
      <c r="J2427" s="947" t="s">
        <v>20034</v>
      </c>
      <c r="K2427" s="143"/>
    </row>
    <row r="2428" spans="1:11">
      <c r="A2428" s="946" t="s">
        <v>28612</v>
      </c>
      <c r="B2428" s="947" t="s">
        <v>20080</v>
      </c>
      <c r="C2428" s="948" t="s">
        <v>20078</v>
      </c>
      <c r="D2428" s="242" t="s">
        <v>28722</v>
      </c>
      <c r="E2428" s="949">
        <v>310</v>
      </c>
      <c r="F2428" s="949">
        <v>310</v>
      </c>
      <c r="G2428" s="950" t="s">
        <v>14367</v>
      </c>
      <c r="H2428" s="950" t="s">
        <v>734</v>
      </c>
      <c r="I2428" s="951" t="s">
        <v>20079</v>
      </c>
      <c r="J2428" s="947" t="s">
        <v>20080</v>
      </c>
      <c r="K2428" s="143"/>
    </row>
    <row r="2429" spans="1:11">
      <c r="A2429" s="946" t="s">
        <v>28612</v>
      </c>
      <c r="B2429" s="947" t="s">
        <v>20621</v>
      </c>
      <c r="C2429" s="948" t="s">
        <v>20619</v>
      </c>
      <c r="D2429" s="242" t="s">
        <v>28722</v>
      </c>
      <c r="E2429" s="949">
        <v>310</v>
      </c>
      <c r="F2429" s="949">
        <v>310</v>
      </c>
      <c r="G2429" s="950" t="s">
        <v>14367</v>
      </c>
      <c r="H2429" s="950" t="s">
        <v>734</v>
      </c>
      <c r="I2429" s="951" t="s">
        <v>20620</v>
      </c>
      <c r="J2429" s="947" t="s">
        <v>20621</v>
      </c>
      <c r="K2429" s="143"/>
    </row>
    <row r="2430" spans="1:11">
      <c r="A2430" s="946" t="s">
        <v>28612</v>
      </c>
      <c r="B2430" s="947" t="s">
        <v>20633</v>
      </c>
      <c r="C2430" s="948" t="s">
        <v>20631</v>
      </c>
      <c r="D2430" s="242" t="s">
        <v>28722</v>
      </c>
      <c r="E2430" s="949">
        <v>310</v>
      </c>
      <c r="F2430" s="949">
        <v>310</v>
      </c>
      <c r="G2430" s="950" t="s">
        <v>14367</v>
      </c>
      <c r="H2430" s="950" t="s">
        <v>734</v>
      </c>
      <c r="I2430" s="951" t="s">
        <v>20632</v>
      </c>
      <c r="J2430" s="947" t="s">
        <v>20633</v>
      </c>
      <c r="K2430" s="143"/>
    </row>
    <row r="2431" spans="1:11">
      <c r="A2431" s="946" t="s">
        <v>28612</v>
      </c>
      <c r="B2431" s="947" t="s">
        <v>20648</v>
      </c>
      <c r="C2431" s="948" t="s">
        <v>20646</v>
      </c>
      <c r="D2431" s="242" t="s">
        <v>28722</v>
      </c>
      <c r="E2431" s="949">
        <v>310</v>
      </c>
      <c r="F2431" s="949">
        <v>310</v>
      </c>
      <c r="G2431" s="950" t="s">
        <v>14367</v>
      </c>
      <c r="H2431" s="950" t="s">
        <v>734</v>
      </c>
      <c r="I2431" s="951" t="s">
        <v>20647</v>
      </c>
      <c r="J2431" s="947" t="s">
        <v>20648</v>
      </c>
      <c r="K2431" s="143"/>
    </row>
    <row r="2432" spans="1:11">
      <c r="A2432" s="946" t="s">
        <v>28612</v>
      </c>
      <c r="B2432" s="947" t="s">
        <v>20652</v>
      </c>
      <c r="C2432" s="948" t="s">
        <v>20650</v>
      </c>
      <c r="D2432" s="242" t="s">
        <v>28722</v>
      </c>
      <c r="E2432" s="949">
        <v>310</v>
      </c>
      <c r="F2432" s="949">
        <v>310</v>
      </c>
      <c r="G2432" s="950" t="s">
        <v>14367</v>
      </c>
      <c r="H2432" s="950" t="s">
        <v>734</v>
      </c>
      <c r="I2432" s="951" t="s">
        <v>20651</v>
      </c>
      <c r="J2432" s="947" t="s">
        <v>20652</v>
      </c>
      <c r="K2432" s="143"/>
    </row>
    <row r="2433" spans="1:11">
      <c r="A2433" s="946" t="s">
        <v>28612</v>
      </c>
      <c r="B2433" s="947" t="s">
        <v>20676</v>
      </c>
      <c r="C2433" s="948" t="s">
        <v>20674</v>
      </c>
      <c r="D2433" s="242" t="s">
        <v>28722</v>
      </c>
      <c r="E2433" s="949">
        <v>310</v>
      </c>
      <c r="F2433" s="949">
        <v>310</v>
      </c>
      <c r="G2433" s="950" t="s">
        <v>14367</v>
      </c>
      <c r="H2433" s="950" t="s">
        <v>734</v>
      </c>
      <c r="I2433" s="951" t="s">
        <v>20675</v>
      </c>
      <c r="J2433" s="947" t="s">
        <v>20676</v>
      </c>
      <c r="K2433" s="143"/>
    </row>
    <row r="2434" spans="1:11">
      <c r="A2434" s="946" t="s">
        <v>28612</v>
      </c>
      <c r="B2434" s="947" t="s">
        <v>20732</v>
      </c>
      <c r="C2434" s="948" t="s">
        <v>20730</v>
      </c>
      <c r="D2434" s="242" t="s">
        <v>28722</v>
      </c>
      <c r="E2434" s="949">
        <v>310</v>
      </c>
      <c r="F2434" s="949">
        <v>310</v>
      </c>
      <c r="G2434" s="950" t="s">
        <v>14367</v>
      </c>
      <c r="H2434" s="950" t="s">
        <v>734</v>
      </c>
      <c r="I2434" s="951" t="s">
        <v>20731</v>
      </c>
      <c r="J2434" s="947" t="s">
        <v>20732</v>
      </c>
      <c r="K2434" s="143"/>
    </row>
    <row r="2435" spans="1:11">
      <c r="A2435" s="946" t="s">
        <v>28612</v>
      </c>
      <c r="B2435" s="947" t="s">
        <v>20765</v>
      </c>
      <c r="C2435" s="948" t="s">
        <v>20763</v>
      </c>
      <c r="D2435" s="242" t="s">
        <v>28722</v>
      </c>
      <c r="E2435" s="949">
        <v>310</v>
      </c>
      <c r="F2435" s="949">
        <v>310</v>
      </c>
      <c r="G2435" s="950" t="s">
        <v>14367</v>
      </c>
      <c r="H2435" s="950" t="s">
        <v>734</v>
      </c>
      <c r="I2435" s="951" t="s">
        <v>20764</v>
      </c>
      <c r="J2435" s="947" t="s">
        <v>20765</v>
      </c>
      <c r="K2435" s="143"/>
    </row>
    <row r="2436" spans="1:11">
      <c r="A2436" s="946" t="s">
        <v>28612</v>
      </c>
      <c r="B2436" s="947" t="s">
        <v>20862</v>
      </c>
      <c r="C2436" s="948" t="s">
        <v>20860</v>
      </c>
      <c r="D2436" s="242" t="s">
        <v>28722</v>
      </c>
      <c r="E2436" s="949">
        <v>310</v>
      </c>
      <c r="F2436" s="949">
        <v>310</v>
      </c>
      <c r="G2436" s="950" t="s">
        <v>14367</v>
      </c>
      <c r="H2436" s="950" t="s">
        <v>734</v>
      </c>
      <c r="I2436" s="951" t="s">
        <v>20861</v>
      </c>
      <c r="J2436" s="947" t="s">
        <v>20862</v>
      </c>
      <c r="K2436" s="143"/>
    </row>
    <row r="2437" spans="1:11">
      <c r="A2437" s="946" t="s">
        <v>28612</v>
      </c>
      <c r="B2437" s="947" t="s">
        <v>21071</v>
      </c>
      <c r="C2437" s="948" t="s">
        <v>21069</v>
      </c>
      <c r="D2437" s="242" t="s">
        <v>28722</v>
      </c>
      <c r="E2437" s="949">
        <v>310</v>
      </c>
      <c r="F2437" s="949">
        <v>310</v>
      </c>
      <c r="G2437" s="950" t="s">
        <v>14367</v>
      </c>
      <c r="H2437" s="950" t="s">
        <v>734</v>
      </c>
      <c r="I2437" s="951" t="s">
        <v>21070</v>
      </c>
      <c r="J2437" s="947" t="s">
        <v>21071</v>
      </c>
      <c r="K2437" s="143"/>
    </row>
    <row r="2438" spans="1:11">
      <c r="A2438" s="946" t="s">
        <v>28612</v>
      </c>
      <c r="B2438" s="947" t="s">
        <v>21084</v>
      </c>
      <c r="C2438" s="948" t="s">
        <v>21082</v>
      </c>
      <c r="D2438" s="242" t="s">
        <v>28722</v>
      </c>
      <c r="E2438" s="949">
        <v>310</v>
      </c>
      <c r="F2438" s="949">
        <v>310</v>
      </c>
      <c r="G2438" s="950" t="s">
        <v>14367</v>
      </c>
      <c r="H2438" s="950" t="s">
        <v>734</v>
      </c>
      <c r="I2438" s="951" t="s">
        <v>21083</v>
      </c>
      <c r="J2438" s="947" t="s">
        <v>21084</v>
      </c>
      <c r="K2438" s="143"/>
    </row>
    <row r="2439" spans="1:11">
      <c r="A2439" s="946" t="s">
        <v>28612</v>
      </c>
      <c r="B2439" s="947" t="s">
        <v>21097</v>
      </c>
      <c r="C2439" s="948" t="s">
        <v>21095</v>
      </c>
      <c r="D2439" s="242" t="s">
        <v>28722</v>
      </c>
      <c r="E2439" s="949">
        <v>310</v>
      </c>
      <c r="F2439" s="949">
        <v>310</v>
      </c>
      <c r="G2439" s="950" t="s">
        <v>14367</v>
      </c>
      <c r="H2439" s="950" t="s">
        <v>734</v>
      </c>
      <c r="I2439" s="951" t="s">
        <v>21096</v>
      </c>
      <c r="J2439" s="947" t="s">
        <v>21097</v>
      </c>
      <c r="K2439" s="143"/>
    </row>
    <row r="2440" spans="1:11">
      <c r="A2440" s="946" t="s">
        <v>28612</v>
      </c>
      <c r="B2440" s="947" t="s">
        <v>21286</v>
      </c>
      <c r="C2440" s="948" t="s">
        <v>21284</v>
      </c>
      <c r="D2440" s="242" t="s">
        <v>28722</v>
      </c>
      <c r="E2440" s="949">
        <v>310</v>
      </c>
      <c r="F2440" s="949">
        <v>310</v>
      </c>
      <c r="G2440" s="950" t="s">
        <v>14367</v>
      </c>
      <c r="H2440" s="950" t="s">
        <v>734</v>
      </c>
      <c r="I2440" s="951" t="s">
        <v>21285</v>
      </c>
      <c r="J2440" s="947" t="s">
        <v>21286</v>
      </c>
      <c r="K2440" s="143"/>
    </row>
    <row r="2441" spans="1:11">
      <c r="A2441" s="946" t="s">
        <v>28612</v>
      </c>
      <c r="B2441" s="947" t="s">
        <v>21339</v>
      </c>
      <c r="C2441" s="948" t="s">
        <v>21337</v>
      </c>
      <c r="D2441" s="242" t="s">
        <v>28722</v>
      </c>
      <c r="E2441" s="949">
        <v>310</v>
      </c>
      <c r="F2441" s="949">
        <v>310</v>
      </c>
      <c r="G2441" s="950" t="s">
        <v>14367</v>
      </c>
      <c r="H2441" s="950" t="s">
        <v>734</v>
      </c>
      <c r="I2441" s="951" t="s">
        <v>21338</v>
      </c>
      <c r="J2441" s="947" t="s">
        <v>21339</v>
      </c>
      <c r="K2441" s="143"/>
    </row>
    <row r="2442" spans="1:11">
      <c r="A2442" s="946" t="s">
        <v>28612</v>
      </c>
      <c r="B2442" s="947" t="s">
        <v>21419</v>
      </c>
      <c r="C2442" s="948" t="s">
        <v>21417</v>
      </c>
      <c r="D2442" s="242" t="s">
        <v>28722</v>
      </c>
      <c r="E2442" s="949">
        <v>310</v>
      </c>
      <c r="F2442" s="949">
        <v>310</v>
      </c>
      <c r="G2442" s="950" t="s">
        <v>14367</v>
      </c>
      <c r="H2442" s="950" t="s">
        <v>734</v>
      </c>
      <c r="I2442" s="951" t="s">
        <v>21418</v>
      </c>
      <c r="J2442" s="947" t="s">
        <v>21419</v>
      </c>
      <c r="K2442" s="143"/>
    </row>
    <row r="2443" spans="1:11">
      <c r="A2443" s="946" t="s">
        <v>28612</v>
      </c>
      <c r="B2443" s="947" t="s">
        <v>21422</v>
      </c>
      <c r="C2443" s="948" t="s">
        <v>21420</v>
      </c>
      <c r="D2443" s="242" t="s">
        <v>28722</v>
      </c>
      <c r="E2443" s="949">
        <v>310</v>
      </c>
      <c r="F2443" s="949">
        <v>310</v>
      </c>
      <c r="G2443" s="950" t="s">
        <v>14367</v>
      </c>
      <c r="H2443" s="950" t="s">
        <v>734</v>
      </c>
      <c r="I2443" s="951" t="s">
        <v>21421</v>
      </c>
      <c r="J2443" s="947" t="s">
        <v>21422</v>
      </c>
      <c r="K2443" s="143"/>
    </row>
    <row r="2444" spans="1:11">
      <c r="A2444" s="946" t="s">
        <v>28612</v>
      </c>
      <c r="B2444" s="947" t="s">
        <v>21602</v>
      </c>
      <c r="C2444" s="948" t="s">
        <v>21600</v>
      </c>
      <c r="D2444" s="242" t="s">
        <v>28722</v>
      </c>
      <c r="E2444" s="949">
        <v>310</v>
      </c>
      <c r="F2444" s="949">
        <v>310</v>
      </c>
      <c r="G2444" s="950" t="s">
        <v>14367</v>
      </c>
      <c r="H2444" s="950" t="s">
        <v>734</v>
      </c>
      <c r="I2444" s="951" t="s">
        <v>21601</v>
      </c>
      <c r="J2444" s="947" t="s">
        <v>21602</v>
      </c>
      <c r="K2444" s="143"/>
    </row>
    <row r="2445" spans="1:11">
      <c r="A2445" s="946" t="s">
        <v>28612</v>
      </c>
      <c r="B2445" s="947" t="s">
        <v>21658</v>
      </c>
      <c r="C2445" s="948" t="s">
        <v>21656</v>
      </c>
      <c r="D2445" s="242" t="s">
        <v>28722</v>
      </c>
      <c r="E2445" s="949">
        <v>310</v>
      </c>
      <c r="F2445" s="949">
        <v>310</v>
      </c>
      <c r="G2445" s="950" t="s">
        <v>14367</v>
      </c>
      <c r="H2445" s="950" t="s">
        <v>734</v>
      </c>
      <c r="I2445" s="951" t="s">
        <v>21657</v>
      </c>
      <c r="J2445" s="947" t="s">
        <v>21658</v>
      </c>
      <c r="K2445" s="143"/>
    </row>
    <row r="2446" spans="1:11">
      <c r="A2446" s="946" t="s">
        <v>28612</v>
      </c>
      <c r="B2446" s="947" t="s">
        <v>21664</v>
      </c>
      <c r="C2446" s="948" t="s">
        <v>21662</v>
      </c>
      <c r="D2446" s="242" t="s">
        <v>28722</v>
      </c>
      <c r="E2446" s="949">
        <v>310</v>
      </c>
      <c r="F2446" s="949">
        <v>310</v>
      </c>
      <c r="G2446" s="950" t="s">
        <v>14367</v>
      </c>
      <c r="H2446" s="950" t="s">
        <v>734</v>
      </c>
      <c r="I2446" s="951" t="s">
        <v>21663</v>
      </c>
      <c r="J2446" s="947" t="s">
        <v>21664</v>
      </c>
      <c r="K2446" s="143"/>
    </row>
    <row r="2447" spans="1:11">
      <c r="A2447" s="946" t="s">
        <v>28612</v>
      </c>
      <c r="B2447" s="947" t="s">
        <v>21807</v>
      </c>
      <c r="C2447" s="948" t="s">
        <v>21805</v>
      </c>
      <c r="D2447" s="242" t="s">
        <v>28722</v>
      </c>
      <c r="E2447" s="949">
        <v>310</v>
      </c>
      <c r="F2447" s="949">
        <v>310</v>
      </c>
      <c r="G2447" s="950" t="s">
        <v>14367</v>
      </c>
      <c r="H2447" s="950" t="s">
        <v>734</v>
      </c>
      <c r="I2447" s="951" t="s">
        <v>21806</v>
      </c>
      <c r="J2447" s="947" t="s">
        <v>21807</v>
      </c>
      <c r="K2447" s="143"/>
    </row>
    <row r="2448" spans="1:11">
      <c r="A2448" s="946" t="s">
        <v>28612</v>
      </c>
      <c r="B2448" s="947" t="s">
        <v>21813</v>
      </c>
      <c r="C2448" s="948" t="s">
        <v>21811</v>
      </c>
      <c r="D2448" s="242" t="s">
        <v>28722</v>
      </c>
      <c r="E2448" s="949">
        <v>310</v>
      </c>
      <c r="F2448" s="949">
        <v>310</v>
      </c>
      <c r="G2448" s="950" t="s">
        <v>14367</v>
      </c>
      <c r="H2448" s="950" t="s">
        <v>734</v>
      </c>
      <c r="I2448" s="951" t="s">
        <v>21812</v>
      </c>
      <c r="J2448" s="947" t="s">
        <v>21813</v>
      </c>
      <c r="K2448" s="143"/>
    </row>
    <row r="2449" spans="1:11">
      <c r="A2449" s="946" t="s">
        <v>28612</v>
      </c>
      <c r="B2449" s="947" t="s">
        <v>21951</v>
      </c>
      <c r="C2449" s="948" t="s">
        <v>21949</v>
      </c>
      <c r="D2449" s="242" t="s">
        <v>28722</v>
      </c>
      <c r="E2449" s="949">
        <v>310</v>
      </c>
      <c r="F2449" s="949">
        <v>310</v>
      </c>
      <c r="G2449" s="950" t="s">
        <v>14367</v>
      </c>
      <c r="H2449" s="950" t="s">
        <v>734</v>
      </c>
      <c r="I2449" s="951" t="s">
        <v>21950</v>
      </c>
      <c r="J2449" s="947" t="s">
        <v>21951</v>
      </c>
      <c r="K2449" s="143"/>
    </row>
    <row r="2450" spans="1:11">
      <c r="A2450" s="946" t="s">
        <v>28612</v>
      </c>
      <c r="B2450" s="947" t="s">
        <v>21981</v>
      </c>
      <c r="C2450" s="948" t="s">
        <v>21979</v>
      </c>
      <c r="D2450" s="242" t="s">
        <v>28722</v>
      </c>
      <c r="E2450" s="949">
        <v>310</v>
      </c>
      <c r="F2450" s="949">
        <v>310</v>
      </c>
      <c r="G2450" s="950" t="s">
        <v>14367</v>
      </c>
      <c r="H2450" s="950" t="s">
        <v>734</v>
      </c>
      <c r="I2450" s="951" t="s">
        <v>21980</v>
      </c>
      <c r="J2450" s="947" t="s">
        <v>21981</v>
      </c>
      <c r="K2450" s="143"/>
    </row>
    <row r="2451" spans="1:11">
      <c r="A2451" s="946" t="s">
        <v>28612</v>
      </c>
      <c r="B2451" s="947" t="s">
        <v>22052</v>
      </c>
      <c r="C2451" s="948" t="s">
        <v>22050</v>
      </c>
      <c r="D2451" s="242" t="s">
        <v>28722</v>
      </c>
      <c r="E2451" s="949">
        <v>310</v>
      </c>
      <c r="F2451" s="949">
        <v>310</v>
      </c>
      <c r="G2451" s="950" t="s">
        <v>14367</v>
      </c>
      <c r="H2451" s="950" t="s">
        <v>734</v>
      </c>
      <c r="I2451" s="951" t="s">
        <v>22051</v>
      </c>
      <c r="J2451" s="947" t="s">
        <v>22052</v>
      </c>
      <c r="K2451" s="143"/>
    </row>
    <row r="2452" spans="1:11">
      <c r="A2452" s="946" t="s">
        <v>28612</v>
      </c>
      <c r="B2452" s="947" t="s">
        <v>22234</v>
      </c>
      <c r="C2452" s="948" t="s">
        <v>22232</v>
      </c>
      <c r="D2452" s="242" t="s">
        <v>28722</v>
      </c>
      <c r="E2452" s="949">
        <v>310</v>
      </c>
      <c r="F2452" s="949">
        <v>310</v>
      </c>
      <c r="G2452" s="950" t="s">
        <v>14367</v>
      </c>
      <c r="H2452" s="950" t="s">
        <v>734</v>
      </c>
      <c r="I2452" s="951" t="s">
        <v>22233</v>
      </c>
      <c r="J2452" s="947" t="s">
        <v>22234</v>
      </c>
      <c r="K2452" s="143"/>
    </row>
    <row r="2453" spans="1:11">
      <c r="A2453" s="946" t="s">
        <v>28612</v>
      </c>
      <c r="B2453" s="947" t="s">
        <v>22274</v>
      </c>
      <c r="C2453" s="948" t="s">
        <v>22272</v>
      </c>
      <c r="D2453" s="242" t="s">
        <v>28722</v>
      </c>
      <c r="E2453" s="949">
        <v>310</v>
      </c>
      <c r="F2453" s="949">
        <v>310</v>
      </c>
      <c r="G2453" s="950" t="s">
        <v>14367</v>
      </c>
      <c r="H2453" s="950" t="s">
        <v>734</v>
      </c>
      <c r="I2453" s="951" t="s">
        <v>22273</v>
      </c>
      <c r="J2453" s="947" t="s">
        <v>22274</v>
      </c>
      <c r="K2453" s="143"/>
    </row>
    <row r="2454" spans="1:11">
      <c r="A2454" s="946" t="s">
        <v>28612</v>
      </c>
      <c r="B2454" s="947" t="s">
        <v>22412</v>
      </c>
      <c r="C2454" s="948" t="s">
        <v>22410</v>
      </c>
      <c r="D2454" s="242" t="s">
        <v>28722</v>
      </c>
      <c r="E2454" s="949">
        <v>310</v>
      </c>
      <c r="F2454" s="949">
        <v>310</v>
      </c>
      <c r="G2454" s="950" t="s">
        <v>14367</v>
      </c>
      <c r="H2454" s="950" t="s">
        <v>734</v>
      </c>
      <c r="I2454" s="951" t="s">
        <v>22411</v>
      </c>
      <c r="J2454" s="947" t="s">
        <v>22412</v>
      </c>
      <c r="K2454" s="143"/>
    </row>
    <row r="2455" spans="1:11">
      <c r="A2455" s="946" t="s">
        <v>28612</v>
      </c>
      <c r="B2455" s="947" t="s">
        <v>22487</v>
      </c>
      <c r="C2455" s="948" t="s">
        <v>22485</v>
      </c>
      <c r="D2455" s="242" t="s">
        <v>28722</v>
      </c>
      <c r="E2455" s="949">
        <v>310</v>
      </c>
      <c r="F2455" s="949">
        <v>310</v>
      </c>
      <c r="G2455" s="950" t="s">
        <v>14367</v>
      </c>
      <c r="H2455" s="950" t="s">
        <v>734</v>
      </c>
      <c r="I2455" s="951" t="s">
        <v>22486</v>
      </c>
      <c r="J2455" s="947" t="s">
        <v>22487</v>
      </c>
      <c r="K2455" s="143"/>
    </row>
    <row r="2456" spans="1:11">
      <c r="A2456" s="946" t="s">
        <v>28612</v>
      </c>
      <c r="B2456" s="947" t="s">
        <v>22507</v>
      </c>
      <c r="C2456" s="948" t="s">
        <v>22505</v>
      </c>
      <c r="D2456" s="242" t="s">
        <v>28722</v>
      </c>
      <c r="E2456" s="949">
        <v>310</v>
      </c>
      <c r="F2456" s="949">
        <v>310</v>
      </c>
      <c r="G2456" s="950" t="s">
        <v>14367</v>
      </c>
      <c r="H2456" s="950" t="s">
        <v>734</v>
      </c>
      <c r="I2456" s="951" t="s">
        <v>22506</v>
      </c>
      <c r="J2456" s="947" t="s">
        <v>22507</v>
      </c>
      <c r="K2456" s="143"/>
    </row>
    <row r="2457" spans="1:11">
      <c r="A2457" s="946" t="s">
        <v>28612</v>
      </c>
      <c r="B2457" s="947" t="s">
        <v>22574</v>
      </c>
      <c r="C2457" s="948" t="s">
        <v>22572</v>
      </c>
      <c r="D2457" s="242" t="s">
        <v>28722</v>
      </c>
      <c r="E2457" s="949">
        <v>310</v>
      </c>
      <c r="F2457" s="949">
        <v>310</v>
      </c>
      <c r="G2457" s="950" t="s">
        <v>14367</v>
      </c>
      <c r="H2457" s="950" t="s">
        <v>734</v>
      </c>
      <c r="I2457" s="951" t="s">
        <v>22573</v>
      </c>
      <c r="J2457" s="947" t="s">
        <v>22574</v>
      </c>
      <c r="K2457" s="143"/>
    </row>
    <row r="2458" spans="1:11">
      <c r="A2458" s="946" t="s">
        <v>28612</v>
      </c>
      <c r="B2458" s="947" t="s">
        <v>22577</v>
      </c>
      <c r="C2458" s="948" t="s">
        <v>22575</v>
      </c>
      <c r="D2458" s="242" t="s">
        <v>28722</v>
      </c>
      <c r="E2458" s="949">
        <v>310</v>
      </c>
      <c r="F2458" s="949">
        <v>310</v>
      </c>
      <c r="G2458" s="950" t="s">
        <v>14367</v>
      </c>
      <c r="H2458" s="950" t="s">
        <v>734</v>
      </c>
      <c r="I2458" s="951" t="s">
        <v>22576</v>
      </c>
      <c r="J2458" s="947" t="s">
        <v>22577</v>
      </c>
      <c r="K2458" s="143"/>
    </row>
    <row r="2459" spans="1:11">
      <c r="A2459" s="946" t="s">
        <v>28612</v>
      </c>
      <c r="B2459" s="947" t="s">
        <v>22588</v>
      </c>
      <c r="C2459" s="948" t="s">
        <v>22586</v>
      </c>
      <c r="D2459" s="242" t="s">
        <v>28722</v>
      </c>
      <c r="E2459" s="949">
        <v>310</v>
      </c>
      <c r="F2459" s="949">
        <v>310</v>
      </c>
      <c r="G2459" s="950" t="s">
        <v>14367</v>
      </c>
      <c r="H2459" s="950" t="s">
        <v>734</v>
      </c>
      <c r="I2459" s="951" t="s">
        <v>22587</v>
      </c>
      <c r="J2459" s="947" t="s">
        <v>22588</v>
      </c>
      <c r="K2459" s="143"/>
    </row>
    <row r="2460" spans="1:11">
      <c r="A2460" s="946" t="s">
        <v>28612</v>
      </c>
      <c r="B2460" s="947" t="s">
        <v>22591</v>
      </c>
      <c r="C2460" s="948" t="s">
        <v>22589</v>
      </c>
      <c r="D2460" s="242" t="s">
        <v>28722</v>
      </c>
      <c r="E2460" s="949">
        <v>310</v>
      </c>
      <c r="F2460" s="949">
        <v>310</v>
      </c>
      <c r="G2460" s="950" t="s">
        <v>14367</v>
      </c>
      <c r="H2460" s="950" t="s">
        <v>734</v>
      </c>
      <c r="I2460" s="951" t="s">
        <v>22590</v>
      </c>
      <c r="J2460" s="947" t="s">
        <v>22591</v>
      </c>
      <c r="K2460" s="143"/>
    </row>
    <row r="2461" spans="1:11">
      <c r="A2461" s="946" t="s">
        <v>28612</v>
      </c>
      <c r="B2461" s="947" t="s">
        <v>22600</v>
      </c>
      <c r="C2461" s="948" t="s">
        <v>22598</v>
      </c>
      <c r="D2461" s="242" t="s">
        <v>28722</v>
      </c>
      <c r="E2461" s="949">
        <v>310</v>
      </c>
      <c r="F2461" s="949">
        <v>310</v>
      </c>
      <c r="G2461" s="950" t="s">
        <v>14367</v>
      </c>
      <c r="H2461" s="950" t="s">
        <v>734</v>
      </c>
      <c r="I2461" s="951" t="s">
        <v>22599</v>
      </c>
      <c r="J2461" s="947" t="s">
        <v>22600</v>
      </c>
      <c r="K2461" s="143"/>
    </row>
    <row r="2462" spans="1:11">
      <c r="A2462" s="946" t="s">
        <v>28612</v>
      </c>
      <c r="B2462" s="947" t="s">
        <v>22603</v>
      </c>
      <c r="C2462" s="948" t="s">
        <v>22601</v>
      </c>
      <c r="D2462" s="242" t="s">
        <v>28722</v>
      </c>
      <c r="E2462" s="949">
        <v>310</v>
      </c>
      <c r="F2462" s="949">
        <v>310</v>
      </c>
      <c r="G2462" s="950" t="s">
        <v>14367</v>
      </c>
      <c r="H2462" s="950" t="s">
        <v>734</v>
      </c>
      <c r="I2462" s="951" t="s">
        <v>22602</v>
      </c>
      <c r="J2462" s="947" t="s">
        <v>22603</v>
      </c>
      <c r="K2462" s="143"/>
    </row>
    <row r="2463" spans="1:11">
      <c r="A2463" s="946" t="s">
        <v>28612</v>
      </c>
      <c r="B2463" s="947" t="s">
        <v>22638</v>
      </c>
      <c r="C2463" s="948" t="s">
        <v>22636</v>
      </c>
      <c r="D2463" s="242" t="s">
        <v>28722</v>
      </c>
      <c r="E2463" s="949">
        <v>310</v>
      </c>
      <c r="F2463" s="949">
        <v>310</v>
      </c>
      <c r="G2463" s="950" t="s">
        <v>14367</v>
      </c>
      <c r="H2463" s="950" t="s">
        <v>734</v>
      </c>
      <c r="I2463" s="951" t="s">
        <v>22637</v>
      </c>
      <c r="J2463" s="947" t="s">
        <v>22638</v>
      </c>
      <c r="K2463" s="143"/>
    </row>
    <row r="2464" spans="1:11">
      <c r="A2464" s="946" t="s">
        <v>28612</v>
      </c>
      <c r="B2464" s="947" t="s">
        <v>24923</v>
      </c>
      <c r="C2464" s="948" t="s">
        <v>26173</v>
      </c>
      <c r="D2464" s="242" t="s">
        <v>28722</v>
      </c>
      <c r="E2464" s="949">
        <v>310</v>
      </c>
      <c r="F2464" s="949">
        <v>310</v>
      </c>
      <c r="G2464" s="950" t="s">
        <v>14367</v>
      </c>
      <c r="H2464" s="950" t="s">
        <v>734</v>
      </c>
      <c r="I2464" s="951" t="s">
        <v>24924</v>
      </c>
      <c r="J2464" s="947" t="s">
        <v>24923</v>
      </c>
      <c r="K2464" s="143"/>
    </row>
    <row r="2465" spans="1:11">
      <c r="A2465" s="946" t="s">
        <v>28612</v>
      </c>
      <c r="B2465" s="947" t="s">
        <v>26174</v>
      </c>
      <c r="C2465" s="948" t="s">
        <v>26175</v>
      </c>
      <c r="D2465" s="242" t="s">
        <v>28722</v>
      </c>
      <c r="E2465" s="949">
        <v>310</v>
      </c>
      <c r="F2465" s="949">
        <v>310</v>
      </c>
      <c r="G2465" s="950" t="s">
        <v>14367</v>
      </c>
      <c r="H2465" s="950" t="s">
        <v>734</v>
      </c>
      <c r="I2465" s="951" t="s">
        <v>26176</v>
      </c>
      <c r="J2465" s="947" t="s">
        <v>26174</v>
      </c>
      <c r="K2465" s="143"/>
    </row>
    <row r="2466" spans="1:11">
      <c r="A2466" s="946" t="s">
        <v>28612</v>
      </c>
      <c r="B2466" s="947" t="s">
        <v>28638</v>
      </c>
      <c r="C2466" s="948" t="s">
        <v>28761</v>
      </c>
      <c r="D2466" s="242" t="s">
        <v>28722</v>
      </c>
      <c r="E2466" s="949">
        <v>310</v>
      </c>
      <c r="F2466" s="949">
        <v>310</v>
      </c>
      <c r="G2466" s="950" t="s">
        <v>14367</v>
      </c>
      <c r="H2466" s="950" t="s">
        <v>734</v>
      </c>
      <c r="I2466" s="951" t="s">
        <v>28682</v>
      </c>
      <c r="J2466" s="947" t="s">
        <v>28638</v>
      </c>
      <c r="K2466" s="143"/>
    </row>
    <row r="2467" spans="1:11">
      <c r="A2467" s="946" t="s">
        <v>28612</v>
      </c>
      <c r="B2467" s="947" t="s">
        <v>452</v>
      </c>
      <c r="C2467" s="948" t="s">
        <v>449</v>
      </c>
      <c r="D2467" s="242" t="s">
        <v>444</v>
      </c>
      <c r="E2467" s="949">
        <v>305</v>
      </c>
      <c r="F2467" s="949">
        <v>305</v>
      </c>
      <c r="G2467" s="950" t="s">
        <v>7359</v>
      </c>
      <c r="H2467" s="950" t="s">
        <v>450</v>
      </c>
      <c r="I2467" s="951" t="s">
        <v>451</v>
      </c>
      <c r="J2467" s="947" t="s">
        <v>452</v>
      </c>
      <c r="K2467" s="143"/>
    </row>
    <row r="2468" spans="1:11">
      <c r="A2468" s="946" t="s">
        <v>28612</v>
      </c>
      <c r="B2468" s="947" t="s">
        <v>613</v>
      </c>
      <c r="C2468" s="948" t="s">
        <v>611</v>
      </c>
      <c r="D2468" s="242" t="s">
        <v>444</v>
      </c>
      <c r="E2468" s="949">
        <v>305</v>
      </c>
      <c r="F2468" s="949">
        <v>305</v>
      </c>
      <c r="G2468" s="950" t="s">
        <v>7359</v>
      </c>
      <c r="H2468" s="950" t="s">
        <v>450</v>
      </c>
      <c r="I2468" s="951" t="s">
        <v>612</v>
      </c>
      <c r="J2468" s="947" t="s">
        <v>613</v>
      </c>
      <c r="K2468" s="143"/>
    </row>
    <row r="2469" spans="1:11">
      <c r="A2469" s="946" t="s">
        <v>28612</v>
      </c>
      <c r="B2469" s="947" t="s">
        <v>1181</v>
      </c>
      <c r="C2469" s="948" t="s">
        <v>1179</v>
      </c>
      <c r="D2469" s="242" t="s">
        <v>444</v>
      </c>
      <c r="E2469" s="949">
        <v>305</v>
      </c>
      <c r="F2469" s="949">
        <v>305</v>
      </c>
      <c r="G2469" s="950" t="s">
        <v>7359</v>
      </c>
      <c r="H2469" s="950" t="s">
        <v>450</v>
      </c>
      <c r="I2469" s="951" t="s">
        <v>1180</v>
      </c>
      <c r="J2469" s="947" t="s">
        <v>1181</v>
      </c>
      <c r="K2469" s="143"/>
    </row>
    <row r="2470" spans="1:11">
      <c r="A2470" s="946" t="s">
        <v>28612</v>
      </c>
      <c r="B2470" s="947" t="s">
        <v>1706</v>
      </c>
      <c r="C2470" s="948" t="s">
        <v>1704</v>
      </c>
      <c r="D2470" s="242" t="s">
        <v>444</v>
      </c>
      <c r="E2470" s="949">
        <v>305</v>
      </c>
      <c r="F2470" s="949">
        <v>305</v>
      </c>
      <c r="G2470" s="950" t="s">
        <v>7359</v>
      </c>
      <c r="H2470" s="950" t="s">
        <v>450</v>
      </c>
      <c r="I2470" s="951" t="s">
        <v>1705</v>
      </c>
      <c r="J2470" s="947" t="s">
        <v>1706</v>
      </c>
      <c r="K2470" s="143"/>
    </row>
    <row r="2471" spans="1:11">
      <c r="A2471" s="946" t="s">
        <v>28612</v>
      </c>
      <c r="B2471" s="947" t="s">
        <v>1802</v>
      </c>
      <c r="C2471" s="948" t="s">
        <v>1800</v>
      </c>
      <c r="D2471" s="242" t="s">
        <v>444</v>
      </c>
      <c r="E2471" s="949">
        <v>305</v>
      </c>
      <c r="F2471" s="949">
        <v>305</v>
      </c>
      <c r="G2471" s="950" t="s">
        <v>7359</v>
      </c>
      <c r="H2471" s="950" t="s">
        <v>450</v>
      </c>
      <c r="I2471" s="951" t="s">
        <v>1801</v>
      </c>
      <c r="J2471" s="947" t="s">
        <v>1802</v>
      </c>
      <c r="K2471" s="143"/>
    </row>
    <row r="2472" spans="1:11">
      <c r="A2472" s="946" t="s">
        <v>28612</v>
      </c>
      <c r="B2472" s="947" t="s">
        <v>2649</v>
      </c>
      <c r="C2472" s="948" t="s">
        <v>2647</v>
      </c>
      <c r="D2472" s="242" t="s">
        <v>444</v>
      </c>
      <c r="E2472" s="949">
        <v>305</v>
      </c>
      <c r="F2472" s="949">
        <v>305</v>
      </c>
      <c r="G2472" s="950" t="s">
        <v>7359</v>
      </c>
      <c r="H2472" s="950" t="s">
        <v>450</v>
      </c>
      <c r="I2472" s="951" t="s">
        <v>2648</v>
      </c>
      <c r="J2472" s="947" t="s">
        <v>2649</v>
      </c>
      <c r="K2472" s="143"/>
    </row>
    <row r="2473" spans="1:11">
      <c r="A2473" s="946" t="s">
        <v>28612</v>
      </c>
      <c r="B2473" s="947" t="s">
        <v>2679</v>
      </c>
      <c r="C2473" s="948" t="s">
        <v>2677</v>
      </c>
      <c r="D2473" s="242" t="s">
        <v>444</v>
      </c>
      <c r="E2473" s="949">
        <v>305</v>
      </c>
      <c r="F2473" s="949">
        <v>305</v>
      </c>
      <c r="G2473" s="950" t="s">
        <v>7359</v>
      </c>
      <c r="H2473" s="950" t="s">
        <v>450</v>
      </c>
      <c r="I2473" s="951" t="s">
        <v>2678</v>
      </c>
      <c r="J2473" s="947" t="s">
        <v>2679</v>
      </c>
      <c r="K2473" s="143"/>
    </row>
    <row r="2474" spans="1:11">
      <c r="A2474" s="946" t="s">
        <v>28612</v>
      </c>
      <c r="B2474" s="947" t="s">
        <v>3561</v>
      </c>
      <c r="C2474" s="948" t="s">
        <v>3559</v>
      </c>
      <c r="D2474" s="242" t="s">
        <v>444</v>
      </c>
      <c r="E2474" s="949">
        <v>305</v>
      </c>
      <c r="F2474" s="949">
        <v>305</v>
      </c>
      <c r="G2474" s="950" t="s">
        <v>7359</v>
      </c>
      <c r="H2474" s="950" t="s">
        <v>450</v>
      </c>
      <c r="I2474" s="951" t="s">
        <v>3560</v>
      </c>
      <c r="J2474" s="947" t="s">
        <v>3561</v>
      </c>
      <c r="K2474" s="143"/>
    </row>
    <row r="2475" spans="1:11">
      <c r="A2475" s="946" t="s">
        <v>28612</v>
      </c>
      <c r="B2475" s="947" t="s">
        <v>3659</v>
      </c>
      <c r="C2475" s="948" t="s">
        <v>3657</v>
      </c>
      <c r="D2475" s="242" t="s">
        <v>444</v>
      </c>
      <c r="E2475" s="949">
        <v>305</v>
      </c>
      <c r="F2475" s="949">
        <v>305</v>
      </c>
      <c r="G2475" s="950" t="s">
        <v>7359</v>
      </c>
      <c r="H2475" s="950" t="s">
        <v>450</v>
      </c>
      <c r="I2475" s="951" t="s">
        <v>3658</v>
      </c>
      <c r="J2475" s="947" t="s">
        <v>3659</v>
      </c>
      <c r="K2475" s="143"/>
    </row>
    <row r="2476" spans="1:11">
      <c r="A2476" s="946" t="s">
        <v>28612</v>
      </c>
      <c r="B2476" s="947" t="s">
        <v>3683</v>
      </c>
      <c r="C2476" s="948" t="s">
        <v>3681</v>
      </c>
      <c r="D2476" s="242" t="s">
        <v>444</v>
      </c>
      <c r="E2476" s="949">
        <v>305</v>
      </c>
      <c r="F2476" s="949">
        <v>305</v>
      </c>
      <c r="G2476" s="950" t="s">
        <v>7359</v>
      </c>
      <c r="H2476" s="950" t="s">
        <v>450</v>
      </c>
      <c r="I2476" s="951" t="s">
        <v>3682</v>
      </c>
      <c r="J2476" s="947" t="s">
        <v>3683</v>
      </c>
      <c r="K2476" s="143"/>
    </row>
    <row r="2477" spans="1:11">
      <c r="A2477" s="946" t="s">
        <v>28612</v>
      </c>
      <c r="B2477" s="947" t="s">
        <v>4041</v>
      </c>
      <c r="C2477" s="948" t="s">
        <v>4039</v>
      </c>
      <c r="D2477" s="242" t="s">
        <v>444</v>
      </c>
      <c r="E2477" s="949">
        <v>305</v>
      </c>
      <c r="F2477" s="949">
        <v>305</v>
      </c>
      <c r="G2477" s="950" t="s">
        <v>7359</v>
      </c>
      <c r="H2477" s="950" t="s">
        <v>450</v>
      </c>
      <c r="I2477" s="951" t="s">
        <v>4040</v>
      </c>
      <c r="J2477" s="947" t="s">
        <v>4041</v>
      </c>
      <c r="K2477" s="143"/>
    </row>
    <row r="2478" spans="1:11">
      <c r="A2478" s="946" t="s">
        <v>28612</v>
      </c>
      <c r="B2478" s="947" t="s">
        <v>4098</v>
      </c>
      <c r="C2478" s="948" t="s">
        <v>4096</v>
      </c>
      <c r="D2478" s="242" t="s">
        <v>444</v>
      </c>
      <c r="E2478" s="949">
        <v>305</v>
      </c>
      <c r="F2478" s="949">
        <v>305</v>
      </c>
      <c r="G2478" s="950" t="s">
        <v>7359</v>
      </c>
      <c r="H2478" s="950" t="s">
        <v>450</v>
      </c>
      <c r="I2478" s="951" t="s">
        <v>4097</v>
      </c>
      <c r="J2478" s="947" t="s">
        <v>4098</v>
      </c>
      <c r="K2478" s="143"/>
    </row>
    <row r="2479" spans="1:11">
      <c r="A2479" s="946" t="s">
        <v>28612</v>
      </c>
      <c r="B2479" s="947" t="s">
        <v>4101</v>
      </c>
      <c r="C2479" s="948" t="s">
        <v>4099</v>
      </c>
      <c r="D2479" s="242" t="s">
        <v>444</v>
      </c>
      <c r="E2479" s="949">
        <v>305</v>
      </c>
      <c r="F2479" s="949">
        <v>305</v>
      </c>
      <c r="G2479" s="950" t="s">
        <v>7359</v>
      </c>
      <c r="H2479" s="950" t="s">
        <v>450</v>
      </c>
      <c r="I2479" s="951" t="s">
        <v>4100</v>
      </c>
      <c r="J2479" s="947" t="s">
        <v>4101</v>
      </c>
      <c r="K2479" s="143"/>
    </row>
    <row r="2480" spans="1:11">
      <c r="A2480" s="946" t="s">
        <v>28612</v>
      </c>
      <c r="B2480" s="947" t="s">
        <v>4119</v>
      </c>
      <c r="C2480" s="948" t="s">
        <v>4117</v>
      </c>
      <c r="D2480" s="242" t="s">
        <v>444</v>
      </c>
      <c r="E2480" s="949">
        <v>305</v>
      </c>
      <c r="F2480" s="949">
        <v>305</v>
      </c>
      <c r="G2480" s="950" t="s">
        <v>7359</v>
      </c>
      <c r="H2480" s="950" t="s">
        <v>450</v>
      </c>
      <c r="I2480" s="951" t="s">
        <v>4118</v>
      </c>
      <c r="J2480" s="947" t="s">
        <v>4119</v>
      </c>
      <c r="K2480" s="143"/>
    </row>
    <row r="2481" spans="1:11">
      <c r="A2481" s="946" t="s">
        <v>28612</v>
      </c>
      <c r="B2481" s="947" t="s">
        <v>4536</v>
      </c>
      <c r="C2481" s="948" t="s">
        <v>4534</v>
      </c>
      <c r="D2481" s="242" t="s">
        <v>444</v>
      </c>
      <c r="E2481" s="949">
        <v>305</v>
      </c>
      <c r="F2481" s="949">
        <v>305</v>
      </c>
      <c r="G2481" s="950" t="s">
        <v>7359</v>
      </c>
      <c r="H2481" s="950" t="s">
        <v>450</v>
      </c>
      <c r="I2481" s="951" t="s">
        <v>4535</v>
      </c>
      <c r="J2481" s="947" t="s">
        <v>4536</v>
      </c>
      <c r="K2481" s="143"/>
    </row>
    <row r="2482" spans="1:11">
      <c r="A2482" s="946" t="s">
        <v>28612</v>
      </c>
      <c r="B2482" s="947" t="s">
        <v>4547</v>
      </c>
      <c r="C2482" s="948" t="s">
        <v>4545</v>
      </c>
      <c r="D2482" s="242" t="s">
        <v>444</v>
      </c>
      <c r="E2482" s="949">
        <v>305</v>
      </c>
      <c r="F2482" s="949">
        <v>305</v>
      </c>
      <c r="G2482" s="950" t="s">
        <v>7359</v>
      </c>
      <c r="H2482" s="950" t="s">
        <v>450</v>
      </c>
      <c r="I2482" s="951" t="s">
        <v>4546</v>
      </c>
      <c r="J2482" s="947" t="s">
        <v>4547</v>
      </c>
      <c r="K2482" s="143"/>
    </row>
    <row r="2483" spans="1:11">
      <c r="A2483" s="946" t="s">
        <v>28612</v>
      </c>
      <c r="B2483" s="947" t="s">
        <v>4577</v>
      </c>
      <c r="C2483" s="948" t="s">
        <v>4575</v>
      </c>
      <c r="D2483" s="242" t="s">
        <v>444</v>
      </c>
      <c r="E2483" s="949">
        <v>305</v>
      </c>
      <c r="F2483" s="949">
        <v>305</v>
      </c>
      <c r="G2483" s="950" t="s">
        <v>7359</v>
      </c>
      <c r="H2483" s="950" t="s">
        <v>450</v>
      </c>
      <c r="I2483" s="951" t="s">
        <v>4576</v>
      </c>
      <c r="J2483" s="947" t="s">
        <v>4577</v>
      </c>
      <c r="K2483" s="143"/>
    </row>
    <row r="2484" spans="1:11">
      <c r="A2484" s="946" t="s">
        <v>28612</v>
      </c>
      <c r="B2484" s="947" t="s">
        <v>4580</v>
      </c>
      <c r="C2484" s="948" t="s">
        <v>4578</v>
      </c>
      <c r="D2484" s="242" t="s">
        <v>444</v>
      </c>
      <c r="E2484" s="949">
        <v>305</v>
      </c>
      <c r="F2484" s="949">
        <v>305</v>
      </c>
      <c r="G2484" s="950" t="s">
        <v>7359</v>
      </c>
      <c r="H2484" s="950" t="s">
        <v>450</v>
      </c>
      <c r="I2484" s="951" t="s">
        <v>4579</v>
      </c>
      <c r="J2484" s="947" t="s">
        <v>4580</v>
      </c>
      <c r="K2484" s="143"/>
    </row>
    <row r="2485" spans="1:11">
      <c r="A2485" s="946" t="s">
        <v>28612</v>
      </c>
      <c r="B2485" s="947" t="s">
        <v>4589</v>
      </c>
      <c r="C2485" s="948" t="s">
        <v>4587</v>
      </c>
      <c r="D2485" s="242" t="s">
        <v>444</v>
      </c>
      <c r="E2485" s="949">
        <v>305</v>
      </c>
      <c r="F2485" s="949">
        <v>305</v>
      </c>
      <c r="G2485" s="950" t="s">
        <v>7359</v>
      </c>
      <c r="H2485" s="950" t="s">
        <v>450</v>
      </c>
      <c r="I2485" s="951" t="s">
        <v>4588</v>
      </c>
      <c r="J2485" s="947" t="s">
        <v>4589</v>
      </c>
      <c r="K2485" s="143"/>
    </row>
    <row r="2486" spans="1:11">
      <c r="A2486" s="946" t="s">
        <v>28612</v>
      </c>
      <c r="B2486" s="947" t="s">
        <v>4607</v>
      </c>
      <c r="C2486" s="948" t="s">
        <v>4605</v>
      </c>
      <c r="D2486" s="242" t="s">
        <v>444</v>
      </c>
      <c r="E2486" s="949">
        <v>305</v>
      </c>
      <c r="F2486" s="949">
        <v>305</v>
      </c>
      <c r="G2486" s="950" t="s">
        <v>7359</v>
      </c>
      <c r="H2486" s="950" t="s">
        <v>450</v>
      </c>
      <c r="I2486" s="951" t="s">
        <v>4606</v>
      </c>
      <c r="J2486" s="947" t="s">
        <v>4607</v>
      </c>
      <c r="K2486" s="143"/>
    </row>
    <row r="2487" spans="1:11">
      <c r="A2487" s="946" t="s">
        <v>28612</v>
      </c>
      <c r="B2487" s="947" t="s">
        <v>4613</v>
      </c>
      <c r="C2487" s="948" t="s">
        <v>4611</v>
      </c>
      <c r="D2487" s="242" t="s">
        <v>444</v>
      </c>
      <c r="E2487" s="949">
        <v>305</v>
      </c>
      <c r="F2487" s="949">
        <v>305</v>
      </c>
      <c r="G2487" s="950" t="s">
        <v>7359</v>
      </c>
      <c r="H2487" s="950" t="s">
        <v>450</v>
      </c>
      <c r="I2487" s="951" t="s">
        <v>4612</v>
      </c>
      <c r="J2487" s="947" t="s">
        <v>4613</v>
      </c>
      <c r="K2487" s="143"/>
    </row>
    <row r="2488" spans="1:11">
      <c r="A2488" s="946" t="s">
        <v>28612</v>
      </c>
      <c r="B2488" s="947" t="s">
        <v>5087</v>
      </c>
      <c r="C2488" s="948" t="s">
        <v>5085</v>
      </c>
      <c r="D2488" s="242" t="s">
        <v>444</v>
      </c>
      <c r="E2488" s="949">
        <v>305</v>
      </c>
      <c r="F2488" s="949">
        <v>305</v>
      </c>
      <c r="G2488" s="950" t="s">
        <v>7359</v>
      </c>
      <c r="H2488" s="950" t="s">
        <v>450</v>
      </c>
      <c r="I2488" s="951" t="s">
        <v>5086</v>
      </c>
      <c r="J2488" s="947" t="s">
        <v>5087</v>
      </c>
      <c r="K2488" s="143"/>
    </row>
    <row r="2489" spans="1:11">
      <c r="A2489" s="946" t="s">
        <v>28612</v>
      </c>
      <c r="B2489" s="947" t="s">
        <v>4979</v>
      </c>
      <c r="C2489" s="948" t="s">
        <v>4977</v>
      </c>
      <c r="D2489" s="242" t="s">
        <v>444</v>
      </c>
      <c r="E2489" s="949">
        <v>305</v>
      </c>
      <c r="F2489" s="949">
        <v>305</v>
      </c>
      <c r="G2489" s="950" t="s">
        <v>7359</v>
      </c>
      <c r="H2489" s="950" t="s">
        <v>450</v>
      </c>
      <c r="I2489" s="951" t="s">
        <v>4978</v>
      </c>
      <c r="J2489" s="947" t="s">
        <v>4979</v>
      </c>
      <c r="K2489" s="143"/>
    </row>
    <row r="2490" spans="1:11">
      <c r="A2490" s="946" t="s">
        <v>28612</v>
      </c>
      <c r="B2490" s="947" t="s">
        <v>5181</v>
      </c>
      <c r="C2490" s="948" t="s">
        <v>5179</v>
      </c>
      <c r="D2490" s="242" t="s">
        <v>444</v>
      </c>
      <c r="E2490" s="949">
        <v>305</v>
      </c>
      <c r="F2490" s="949">
        <v>305</v>
      </c>
      <c r="G2490" s="950" t="s">
        <v>7359</v>
      </c>
      <c r="H2490" s="950" t="s">
        <v>450</v>
      </c>
      <c r="I2490" s="951" t="s">
        <v>5180</v>
      </c>
      <c r="J2490" s="947" t="s">
        <v>5181</v>
      </c>
      <c r="K2490" s="143"/>
    </row>
    <row r="2491" spans="1:11">
      <c r="A2491" s="946" t="s">
        <v>28612</v>
      </c>
      <c r="B2491" s="947" t="s">
        <v>5445</v>
      </c>
      <c r="C2491" s="948" t="s">
        <v>5443</v>
      </c>
      <c r="D2491" s="242" t="s">
        <v>444</v>
      </c>
      <c r="E2491" s="949">
        <v>305</v>
      </c>
      <c r="F2491" s="949">
        <v>305</v>
      </c>
      <c r="G2491" s="950" t="s">
        <v>7359</v>
      </c>
      <c r="H2491" s="950" t="s">
        <v>450</v>
      </c>
      <c r="I2491" s="951" t="s">
        <v>5444</v>
      </c>
      <c r="J2491" s="947" t="s">
        <v>5445</v>
      </c>
      <c r="K2491" s="143"/>
    </row>
    <row r="2492" spans="1:11">
      <c r="A2492" s="946" t="s">
        <v>28612</v>
      </c>
      <c r="B2492" s="947" t="s">
        <v>5466</v>
      </c>
      <c r="C2492" s="948" t="s">
        <v>5464</v>
      </c>
      <c r="D2492" s="242" t="s">
        <v>444</v>
      </c>
      <c r="E2492" s="949">
        <v>305</v>
      </c>
      <c r="F2492" s="949">
        <v>305</v>
      </c>
      <c r="G2492" s="950" t="s">
        <v>7359</v>
      </c>
      <c r="H2492" s="950" t="s">
        <v>450</v>
      </c>
      <c r="I2492" s="951" t="s">
        <v>5465</v>
      </c>
      <c r="J2492" s="947" t="s">
        <v>5466</v>
      </c>
      <c r="K2492" s="143"/>
    </row>
    <row r="2493" spans="1:11">
      <c r="A2493" s="946" t="s">
        <v>28612</v>
      </c>
      <c r="B2493" s="947" t="s">
        <v>5790</v>
      </c>
      <c r="C2493" s="948" t="s">
        <v>5788</v>
      </c>
      <c r="D2493" s="242" t="s">
        <v>444</v>
      </c>
      <c r="E2493" s="949">
        <v>305</v>
      </c>
      <c r="F2493" s="949">
        <v>305</v>
      </c>
      <c r="G2493" s="950" t="s">
        <v>7359</v>
      </c>
      <c r="H2493" s="950" t="s">
        <v>450</v>
      </c>
      <c r="I2493" s="951" t="s">
        <v>5789</v>
      </c>
      <c r="J2493" s="947" t="s">
        <v>5790</v>
      </c>
      <c r="K2493" s="143"/>
    </row>
    <row r="2494" spans="1:11">
      <c r="A2494" s="946" t="s">
        <v>28612</v>
      </c>
      <c r="B2494" s="947" t="s">
        <v>6268</v>
      </c>
      <c r="C2494" s="948" t="s">
        <v>6266</v>
      </c>
      <c r="D2494" s="242" t="s">
        <v>444</v>
      </c>
      <c r="E2494" s="949">
        <v>305</v>
      </c>
      <c r="F2494" s="949">
        <v>305</v>
      </c>
      <c r="G2494" s="950" t="s">
        <v>7359</v>
      </c>
      <c r="H2494" s="950" t="s">
        <v>450</v>
      </c>
      <c r="I2494" s="951" t="s">
        <v>6267</v>
      </c>
      <c r="J2494" s="947" t="s">
        <v>6268</v>
      </c>
      <c r="K2494" s="143"/>
    </row>
    <row r="2495" spans="1:11">
      <c r="A2495" s="946" t="s">
        <v>28612</v>
      </c>
      <c r="B2495" s="947" t="s">
        <v>6362</v>
      </c>
      <c r="C2495" s="948" t="s">
        <v>6360</v>
      </c>
      <c r="D2495" s="242" t="s">
        <v>444</v>
      </c>
      <c r="E2495" s="949">
        <v>305</v>
      </c>
      <c r="F2495" s="949">
        <v>305</v>
      </c>
      <c r="G2495" s="950" t="s">
        <v>7359</v>
      </c>
      <c r="H2495" s="950" t="s">
        <v>450</v>
      </c>
      <c r="I2495" s="951" t="s">
        <v>6361</v>
      </c>
      <c r="J2495" s="947" t="s">
        <v>6362</v>
      </c>
      <c r="K2495" s="143"/>
    </row>
    <row r="2496" spans="1:11">
      <c r="A2496" s="946" t="s">
        <v>28612</v>
      </c>
      <c r="B2496" s="947" t="s">
        <v>6410</v>
      </c>
      <c r="C2496" s="948" t="s">
        <v>6408</v>
      </c>
      <c r="D2496" s="242" t="s">
        <v>444</v>
      </c>
      <c r="E2496" s="949">
        <v>305</v>
      </c>
      <c r="F2496" s="949">
        <v>305</v>
      </c>
      <c r="G2496" s="950" t="s">
        <v>7359</v>
      </c>
      <c r="H2496" s="950" t="s">
        <v>450</v>
      </c>
      <c r="I2496" s="951" t="s">
        <v>6409</v>
      </c>
      <c r="J2496" s="947" t="s">
        <v>6410</v>
      </c>
      <c r="K2496" s="143"/>
    </row>
    <row r="2497" spans="1:11">
      <c r="A2497" s="946" t="s">
        <v>28612</v>
      </c>
      <c r="B2497" s="947" t="s">
        <v>7168</v>
      </c>
      <c r="C2497" s="948" t="s">
        <v>7166</v>
      </c>
      <c r="D2497" s="242" t="s">
        <v>444</v>
      </c>
      <c r="E2497" s="949">
        <v>305</v>
      </c>
      <c r="F2497" s="949">
        <v>305</v>
      </c>
      <c r="G2497" s="950" t="s">
        <v>7359</v>
      </c>
      <c r="H2497" s="950" t="s">
        <v>450</v>
      </c>
      <c r="I2497" s="951" t="s">
        <v>7167</v>
      </c>
      <c r="J2497" s="947" t="s">
        <v>7168</v>
      </c>
      <c r="K2497" s="143"/>
    </row>
    <row r="2498" spans="1:11">
      <c r="A2498" s="946" t="s">
        <v>28612</v>
      </c>
      <c r="B2498" s="947" t="s">
        <v>7171</v>
      </c>
      <c r="C2498" s="948" t="s">
        <v>7169</v>
      </c>
      <c r="D2498" s="242" t="s">
        <v>444</v>
      </c>
      <c r="E2498" s="949">
        <v>305</v>
      </c>
      <c r="F2498" s="949">
        <v>305</v>
      </c>
      <c r="G2498" s="950" t="s">
        <v>7359</v>
      </c>
      <c r="H2498" s="950" t="s">
        <v>450</v>
      </c>
      <c r="I2498" s="951" t="s">
        <v>7170</v>
      </c>
      <c r="J2498" s="947" t="s">
        <v>7171</v>
      </c>
      <c r="K2498" s="143"/>
    </row>
    <row r="2499" spans="1:11">
      <c r="A2499" s="946" t="s">
        <v>28612</v>
      </c>
      <c r="B2499" s="947" t="s">
        <v>7338</v>
      </c>
      <c r="C2499" s="948" t="s">
        <v>7336</v>
      </c>
      <c r="D2499" s="242" t="s">
        <v>444</v>
      </c>
      <c r="E2499" s="949">
        <v>305</v>
      </c>
      <c r="F2499" s="949">
        <v>305</v>
      </c>
      <c r="G2499" s="950" t="s">
        <v>7359</v>
      </c>
      <c r="H2499" s="950" t="s">
        <v>450</v>
      </c>
      <c r="I2499" s="951" t="s">
        <v>7337</v>
      </c>
      <c r="J2499" s="947" t="s">
        <v>7338</v>
      </c>
      <c r="K2499" s="143"/>
    </row>
    <row r="2500" spans="1:11">
      <c r="A2500" s="946" t="s">
        <v>28612</v>
      </c>
      <c r="B2500" s="947" t="s">
        <v>7341</v>
      </c>
      <c r="C2500" s="948" t="s">
        <v>7339</v>
      </c>
      <c r="D2500" s="242" t="s">
        <v>444</v>
      </c>
      <c r="E2500" s="949">
        <v>305</v>
      </c>
      <c r="F2500" s="949">
        <v>305</v>
      </c>
      <c r="G2500" s="950" t="s">
        <v>7359</v>
      </c>
      <c r="H2500" s="950" t="s">
        <v>450</v>
      </c>
      <c r="I2500" s="951" t="s">
        <v>7340</v>
      </c>
      <c r="J2500" s="947" t="s">
        <v>7341</v>
      </c>
      <c r="K2500" s="143"/>
    </row>
    <row r="2501" spans="1:11">
      <c r="A2501" s="946" t="s">
        <v>28612</v>
      </c>
      <c r="B2501" s="947" t="s">
        <v>7359</v>
      </c>
      <c r="C2501" s="948" t="s">
        <v>7357</v>
      </c>
      <c r="D2501" s="242" t="s">
        <v>444</v>
      </c>
      <c r="E2501" s="949">
        <v>305</v>
      </c>
      <c r="F2501" s="949">
        <v>305</v>
      </c>
      <c r="G2501" s="950" t="s">
        <v>7359</v>
      </c>
      <c r="H2501" s="950" t="s">
        <v>450</v>
      </c>
      <c r="I2501" s="951" t="s">
        <v>7358</v>
      </c>
      <c r="J2501" s="947" t="s">
        <v>7359</v>
      </c>
      <c r="K2501" s="143"/>
    </row>
    <row r="2502" spans="1:11">
      <c r="A2502" s="946" t="s">
        <v>28612</v>
      </c>
      <c r="B2502" s="947" t="s">
        <v>7362</v>
      </c>
      <c r="C2502" s="948" t="s">
        <v>7360</v>
      </c>
      <c r="D2502" s="242" t="s">
        <v>444</v>
      </c>
      <c r="E2502" s="949">
        <v>305</v>
      </c>
      <c r="F2502" s="949">
        <v>305</v>
      </c>
      <c r="G2502" s="950" t="s">
        <v>7359</v>
      </c>
      <c r="H2502" s="950" t="s">
        <v>450</v>
      </c>
      <c r="I2502" s="951" t="s">
        <v>7361</v>
      </c>
      <c r="J2502" s="947" t="s">
        <v>7362</v>
      </c>
      <c r="K2502" s="143"/>
    </row>
    <row r="2503" spans="1:11">
      <c r="A2503" s="946" t="s">
        <v>28612</v>
      </c>
      <c r="B2503" s="947" t="s">
        <v>7422</v>
      </c>
      <c r="C2503" s="948" t="s">
        <v>7420</v>
      </c>
      <c r="D2503" s="242" t="s">
        <v>444</v>
      </c>
      <c r="E2503" s="949">
        <v>305</v>
      </c>
      <c r="F2503" s="949">
        <v>305</v>
      </c>
      <c r="G2503" s="950" t="s">
        <v>7359</v>
      </c>
      <c r="H2503" s="950" t="s">
        <v>450</v>
      </c>
      <c r="I2503" s="951" t="s">
        <v>7421</v>
      </c>
      <c r="J2503" s="947" t="s">
        <v>7422</v>
      </c>
      <c r="K2503" s="143"/>
    </row>
    <row r="2504" spans="1:11">
      <c r="A2504" s="946" t="s">
        <v>28612</v>
      </c>
      <c r="B2504" s="947" t="s">
        <v>7459</v>
      </c>
      <c r="C2504" s="948" t="s">
        <v>7457</v>
      </c>
      <c r="D2504" s="242" t="s">
        <v>444</v>
      </c>
      <c r="E2504" s="949">
        <v>305</v>
      </c>
      <c r="F2504" s="949">
        <v>305</v>
      </c>
      <c r="G2504" s="950" t="s">
        <v>7359</v>
      </c>
      <c r="H2504" s="950" t="s">
        <v>450</v>
      </c>
      <c r="I2504" s="951" t="s">
        <v>7458</v>
      </c>
      <c r="J2504" s="947" t="s">
        <v>7459</v>
      </c>
      <c r="K2504" s="143"/>
    </row>
    <row r="2505" spans="1:11">
      <c r="A2505" s="946" t="s">
        <v>28612</v>
      </c>
      <c r="B2505" s="947" t="s">
        <v>7613</v>
      </c>
      <c r="C2505" s="948" t="s">
        <v>7611</v>
      </c>
      <c r="D2505" s="242" t="s">
        <v>444</v>
      </c>
      <c r="E2505" s="949">
        <v>305</v>
      </c>
      <c r="F2505" s="949">
        <v>305</v>
      </c>
      <c r="G2505" s="950" t="s">
        <v>7359</v>
      </c>
      <c r="H2505" s="950" t="s">
        <v>450</v>
      </c>
      <c r="I2505" s="951" t="s">
        <v>7612</v>
      </c>
      <c r="J2505" s="947" t="s">
        <v>7613</v>
      </c>
      <c r="K2505" s="143"/>
    </row>
    <row r="2506" spans="1:11">
      <c r="A2506" s="946" t="s">
        <v>28612</v>
      </c>
      <c r="B2506" s="947" t="s">
        <v>7757</v>
      </c>
      <c r="C2506" s="948" t="s">
        <v>7755</v>
      </c>
      <c r="D2506" s="242" t="s">
        <v>444</v>
      </c>
      <c r="E2506" s="949">
        <v>305</v>
      </c>
      <c r="F2506" s="949">
        <v>305</v>
      </c>
      <c r="G2506" s="950" t="s">
        <v>7359</v>
      </c>
      <c r="H2506" s="950" t="s">
        <v>450</v>
      </c>
      <c r="I2506" s="951" t="s">
        <v>7756</v>
      </c>
      <c r="J2506" s="947" t="s">
        <v>7757</v>
      </c>
      <c r="K2506" s="143"/>
    </row>
    <row r="2507" spans="1:11">
      <c r="A2507" s="946" t="s">
        <v>28612</v>
      </c>
      <c r="B2507" s="947" t="s">
        <v>8208</v>
      </c>
      <c r="C2507" s="948" t="s">
        <v>8206</v>
      </c>
      <c r="D2507" s="242" t="s">
        <v>444</v>
      </c>
      <c r="E2507" s="949">
        <v>305</v>
      </c>
      <c r="F2507" s="949">
        <v>305</v>
      </c>
      <c r="G2507" s="950" t="s">
        <v>7359</v>
      </c>
      <c r="H2507" s="950" t="s">
        <v>450</v>
      </c>
      <c r="I2507" s="951" t="s">
        <v>8207</v>
      </c>
      <c r="J2507" s="947" t="s">
        <v>8208</v>
      </c>
      <c r="K2507" s="143"/>
    </row>
    <row r="2508" spans="1:11">
      <c r="A2508" s="946" t="s">
        <v>28612</v>
      </c>
      <c r="B2508" s="947" t="s">
        <v>8508</v>
      </c>
      <c r="C2508" s="948" t="s">
        <v>8506</v>
      </c>
      <c r="D2508" s="242" t="s">
        <v>444</v>
      </c>
      <c r="E2508" s="949">
        <v>305</v>
      </c>
      <c r="F2508" s="949">
        <v>305</v>
      </c>
      <c r="G2508" s="950" t="s">
        <v>7359</v>
      </c>
      <c r="H2508" s="950" t="s">
        <v>450</v>
      </c>
      <c r="I2508" s="951" t="s">
        <v>8507</v>
      </c>
      <c r="J2508" s="947" t="s">
        <v>8508</v>
      </c>
      <c r="K2508" s="143"/>
    </row>
    <row r="2509" spans="1:11">
      <c r="A2509" s="946" t="s">
        <v>28612</v>
      </c>
      <c r="B2509" s="947" t="s">
        <v>8785</v>
      </c>
      <c r="C2509" s="948" t="s">
        <v>8783</v>
      </c>
      <c r="D2509" s="242" t="s">
        <v>444</v>
      </c>
      <c r="E2509" s="949">
        <v>305</v>
      </c>
      <c r="F2509" s="949">
        <v>305</v>
      </c>
      <c r="G2509" s="950" t="s">
        <v>7359</v>
      </c>
      <c r="H2509" s="950" t="s">
        <v>450</v>
      </c>
      <c r="I2509" s="951" t="s">
        <v>8784</v>
      </c>
      <c r="J2509" s="947" t="s">
        <v>8785</v>
      </c>
      <c r="K2509" s="143"/>
    </row>
    <row r="2510" spans="1:11">
      <c r="A2510" s="946" t="s">
        <v>28612</v>
      </c>
      <c r="B2510" s="947" t="s">
        <v>8797</v>
      </c>
      <c r="C2510" s="948" t="s">
        <v>8795</v>
      </c>
      <c r="D2510" s="242" t="s">
        <v>444</v>
      </c>
      <c r="E2510" s="949">
        <v>305</v>
      </c>
      <c r="F2510" s="949">
        <v>305</v>
      </c>
      <c r="G2510" s="950" t="s">
        <v>7359</v>
      </c>
      <c r="H2510" s="950" t="s">
        <v>450</v>
      </c>
      <c r="I2510" s="951" t="s">
        <v>8796</v>
      </c>
      <c r="J2510" s="947" t="s">
        <v>8797</v>
      </c>
      <c r="K2510" s="143"/>
    </row>
    <row r="2511" spans="1:11">
      <c r="A2511" s="946" t="s">
        <v>28612</v>
      </c>
      <c r="B2511" s="947" t="s">
        <v>9091</v>
      </c>
      <c r="C2511" s="948" t="s">
        <v>9089</v>
      </c>
      <c r="D2511" s="242" t="s">
        <v>444</v>
      </c>
      <c r="E2511" s="949">
        <v>305</v>
      </c>
      <c r="F2511" s="949">
        <v>305</v>
      </c>
      <c r="G2511" s="950" t="s">
        <v>7359</v>
      </c>
      <c r="H2511" s="950" t="s">
        <v>450</v>
      </c>
      <c r="I2511" s="951" t="s">
        <v>9090</v>
      </c>
      <c r="J2511" s="947" t="s">
        <v>9091</v>
      </c>
      <c r="K2511" s="143"/>
    </row>
    <row r="2512" spans="1:11">
      <c r="A2512" s="946" t="s">
        <v>28612</v>
      </c>
      <c r="B2512" s="947" t="s">
        <v>9140</v>
      </c>
      <c r="C2512" s="948" t="s">
        <v>9138</v>
      </c>
      <c r="D2512" s="242" t="s">
        <v>444</v>
      </c>
      <c r="E2512" s="949">
        <v>305</v>
      </c>
      <c r="F2512" s="949">
        <v>305</v>
      </c>
      <c r="G2512" s="950" t="s">
        <v>7359</v>
      </c>
      <c r="H2512" s="950" t="s">
        <v>450</v>
      </c>
      <c r="I2512" s="951" t="s">
        <v>9139</v>
      </c>
      <c r="J2512" s="947" t="s">
        <v>9140</v>
      </c>
      <c r="K2512" s="143"/>
    </row>
    <row r="2513" spans="1:11">
      <c r="A2513" s="946" t="s">
        <v>28612</v>
      </c>
      <c r="B2513" s="947" t="s">
        <v>9343</v>
      </c>
      <c r="C2513" s="948" t="s">
        <v>9341</v>
      </c>
      <c r="D2513" s="242" t="s">
        <v>444</v>
      </c>
      <c r="E2513" s="949">
        <v>305</v>
      </c>
      <c r="F2513" s="949">
        <v>305</v>
      </c>
      <c r="G2513" s="950" t="s">
        <v>7359</v>
      </c>
      <c r="H2513" s="950" t="s">
        <v>450</v>
      </c>
      <c r="I2513" s="951" t="s">
        <v>9342</v>
      </c>
      <c r="J2513" s="947" t="s">
        <v>9343</v>
      </c>
      <c r="K2513" s="143"/>
    </row>
    <row r="2514" spans="1:11">
      <c r="A2514" s="946" t="s">
        <v>28612</v>
      </c>
      <c r="B2514" s="947" t="s">
        <v>9582</v>
      </c>
      <c r="C2514" s="948" t="s">
        <v>9580</v>
      </c>
      <c r="D2514" s="242" t="s">
        <v>444</v>
      </c>
      <c r="E2514" s="949">
        <v>305</v>
      </c>
      <c r="F2514" s="949">
        <v>305</v>
      </c>
      <c r="G2514" s="950" t="s">
        <v>7359</v>
      </c>
      <c r="H2514" s="950" t="s">
        <v>450</v>
      </c>
      <c r="I2514" s="951" t="s">
        <v>9581</v>
      </c>
      <c r="J2514" s="947" t="s">
        <v>9582</v>
      </c>
      <c r="K2514" s="143"/>
    </row>
    <row r="2515" spans="1:11">
      <c r="A2515" s="946" t="s">
        <v>28612</v>
      </c>
      <c r="B2515" s="947" t="s">
        <v>9641</v>
      </c>
      <c r="C2515" s="948" t="s">
        <v>9639</v>
      </c>
      <c r="D2515" s="242" t="s">
        <v>444</v>
      </c>
      <c r="E2515" s="949">
        <v>305</v>
      </c>
      <c r="F2515" s="949">
        <v>305</v>
      </c>
      <c r="G2515" s="950" t="s">
        <v>7359</v>
      </c>
      <c r="H2515" s="950" t="s">
        <v>450</v>
      </c>
      <c r="I2515" s="951" t="s">
        <v>9640</v>
      </c>
      <c r="J2515" s="947" t="s">
        <v>9641</v>
      </c>
      <c r="K2515" s="143"/>
    </row>
    <row r="2516" spans="1:11">
      <c r="A2516" s="946" t="s">
        <v>28612</v>
      </c>
      <c r="B2516" s="947" t="s">
        <v>9760</v>
      </c>
      <c r="C2516" s="948" t="s">
        <v>9758</v>
      </c>
      <c r="D2516" s="242" t="s">
        <v>444</v>
      </c>
      <c r="E2516" s="949">
        <v>305</v>
      </c>
      <c r="F2516" s="949">
        <v>305</v>
      </c>
      <c r="G2516" s="950" t="s">
        <v>7359</v>
      </c>
      <c r="H2516" s="950" t="s">
        <v>450</v>
      </c>
      <c r="I2516" s="951" t="s">
        <v>9759</v>
      </c>
      <c r="J2516" s="947" t="s">
        <v>9760</v>
      </c>
      <c r="K2516" s="143"/>
    </row>
    <row r="2517" spans="1:11">
      <c r="A2517" s="946" t="s">
        <v>28612</v>
      </c>
      <c r="B2517" s="947" t="s">
        <v>9901</v>
      </c>
      <c r="C2517" s="948" t="s">
        <v>9899</v>
      </c>
      <c r="D2517" s="242" t="s">
        <v>444</v>
      </c>
      <c r="E2517" s="949">
        <v>305</v>
      </c>
      <c r="F2517" s="949">
        <v>305</v>
      </c>
      <c r="G2517" s="950" t="s">
        <v>7359</v>
      </c>
      <c r="H2517" s="950" t="s">
        <v>450</v>
      </c>
      <c r="I2517" s="951" t="s">
        <v>9900</v>
      </c>
      <c r="J2517" s="947" t="s">
        <v>9901</v>
      </c>
      <c r="K2517" s="143"/>
    </row>
    <row r="2518" spans="1:11">
      <c r="A2518" s="946" t="s">
        <v>28612</v>
      </c>
      <c r="B2518" s="947" t="s">
        <v>9962</v>
      </c>
      <c r="C2518" s="948" t="s">
        <v>9960</v>
      </c>
      <c r="D2518" s="242" t="s">
        <v>444</v>
      </c>
      <c r="E2518" s="949">
        <v>305</v>
      </c>
      <c r="F2518" s="949">
        <v>305</v>
      </c>
      <c r="G2518" s="950" t="s">
        <v>7359</v>
      </c>
      <c r="H2518" s="950" t="s">
        <v>450</v>
      </c>
      <c r="I2518" s="951" t="s">
        <v>9961</v>
      </c>
      <c r="J2518" s="947" t="s">
        <v>9962</v>
      </c>
      <c r="K2518" s="143"/>
    </row>
    <row r="2519" spans="1:11">
      <c r="A2519" s="946" t="s">
        <v>28612</v>
      </c>
      <c r="B2519" s="947" t="s">
        <v>10844</v>
      </c>
      <c r="C2519" s="948" t="s">
        <v>10842</v>
      </c>
      <c r="D2519" s="242" t="s">
        <v>444</v>
      </c>
      <c r="E2519" s="949">
        <v>305</v>
      </c>
      <c r="F2519" s="949">
        <v>305</v>
      </c>
      <c r="G2519" s="950" t="s">
        <v>7359</v>
      </c>
      <c r="H2519" s="950" t="s">
        <v>450</v>
      </c>
      <c r="I2519" s="951" t="s">
        <v>10843</v>
      </c>
      <c r="J2519" s="947" t="s">
        <v>10844</v>
      </c>
      <c r="K2519" s="143"/>
    </row>
    <row r="2520" spans="1:11">
      <c r="A2520" s="946" t="s">
        <v>28612</v>
      </c>
      <c r="B2520" s="947" t="s">
        <v>10954</v>
      </c>
      <c r="C2520" s="948" t="s">
        <v>10952</v>
      </c>
      <c r="D2520" s="242" t="s">
        <v>444</v>
      </c>
      <c r="E2520" s="949">
        <v>305</v>
      </c>
      <c r="F2520" s="949">
        <v>305</v>
      </c>
      <c r="G2520" s="950" t="s">
        <v>7359</v>
      </c>
      <c r="H2520" s="950" t="s">
        <v>450</v>
      </c>
      <c r="I2520" s="951" t="s">
        <v>10953</v>
      </c>
      <c r="J2520" s="947" t="s">
        <v>10954</v>
      </c>
      <c r="K2520" s="143"/>
    </row>
    <row r="2521" spans="1:11">
      <c r="A2521" s="946" t="s">
        <v>28612</v>
      </c>
      <c r="B2521" s="947" t="s">
        <v>11276</v>
      </c>
      <c r="C2521" s="948" t="s">
        <v>11274</v>
      </c>
      <c r="D2521" s="242" t="s">
        <v>444</v>
      </c>
      <c r="E2521" s="949">
        <v>305</v>
      </c>
      <c r="F2521" s="949">
        <v>305</v>
      </c>
      <c r="G2521" s="950" t="s">
        <v>7359</v>
      </c>
      <c r="H2521" s="950" t="s">
        <v>450</v>
      </c>
      <c r="I2521" s="951" t="s">
        <v>11275</v>
      </c>
      <c r="J2521" s="947" t="s">
        <v>11276</v>
      </c>
      <c r="K2521" s="143"/>
    </row>
    <row r="2522" spans="1:11">
      <c r="A2522" s="946" t="s">
        <v>28612</v>
      </c>
      <c r="B2522" s="947" t="s">
        <v>12280</v>
      </c>
      <c r="C2522" s="948" t="s">
        <v>12278</v>
      </c>
      <c r="D2522" s="242" t="s">
        <v>444</v>
      </c>
      <c r="E2522" s="949">
        <v>305</v>
      </c>
      <c r="F2522" s="949">
        <v>305</v>
      </c>
      <c r="G2522" s="950" t="s">
        <v>7359</v>
      </c>
      <c r="H2522" s="950" t="s">
        <v>450</v>
      </c>
      <c r="I2522" s="951" t="s">
        <v>12279</v>
      </c>
      <c r="J2522" s="947" t="s">
        <v>12280</v>
      </c>
      <c r="K2522" s="143"/>
    </row>
    <row r="2523" spans="1:11">
      <c r="A2523" s="946" t="s">
        <v>28612</v>
      </c>
      <c r="B2523" s="947" t="s">
        <v>12830</v>
      </c>
      <c r="C2523" s="948" t="s">
        <v>12828</v>
      </c>
      <c r="D2523" s="242" t="s">
        <v>444</v>
      </c>
      <c r="E2523" s="949">
        <v>305</v>
      </c>
      <c r="F2523" s="949">
        <v>305</v>
      </c>
      <c r="G2523" s="950" t="s">
        <v>7359</v>
      </c>
      <c r="H2523" s="950" t="s">
        <v>450</v>
      </c>
      <c r="I2523" s="951" t="s">
        <v>12829</v>
      </c>
      <c r="J2523" s="947" t="s">
        <v>12830</v>
      </c>
      <c r="K2523" s="143"/>
    </row>
    <row r="2524" spans="1:11">
      <c r="A2524" s="946" t="s">
        <v>28612</v>
      </c>
      <c r="B2524" s="947" t="s">
        <v>13010</v>
      </c>
      <c r="C2524" s="948" t="s">
        <v>13008</v>
      </c>
      <c r="D2524" s="242" t="s">
        <v>444</v>
      </c>
      <c r="E2524" s="949">
        <v>305</v>
      </c>
      <c r="F2524" s="949">
        <v>305</v>
      </c>
      <c r="G2524" s="950" t="s">
        <v>7359</v>
      </c>
      <c r="H2524" s="950" t="s">
        <v>450</v>
      </c>
      <c r="I2524" s="951" t="s">
        <v>13009</v>
      </c>
      <c r="J2524" s="947" t="s">
        <v>13010</v>
      </c>
      <c r="K2524" s="143"/>
    </row>
    <row r="2525" spans="1:11">
      <c r="A2525" s="946" t="s">
        <v>28612</v>
      </c>
      <c r="B2525" s="947" t="s">
        <v>13026</v>
      </c>
      <c r="C2525" s="948" t="s">
        <v>13024</v>
      </c>
      <c r="D2525" s="242" t="s">
        <v>444</v>
      </c>
      <c r="E2525" s="949">
        <v>305</v>
      </c>
      <c r="F2525" s="949">
        <v>305</v>
      </c>
      <c r="G2525" s="950" t="s">
        <v>7359</v>
      </c>
      <c r="H2525" s="950" t="s">
        <v>450</v>
      </c>
      <c r="I2525" s="951" t="s">
        <v>13025</v>
      </c>
      <c r="J2525" s="947" t="s">
        <v>13026</v>
      </c>
      <c r="K2525" s="143"/>
    </row>
    <row r="2526" spans="1:11">
      <c r="A2526" s="946" t="s">
        <v>28612</v>
      </c>
      <c r="B2526" s="947" t="s">
        <v>13521</v>
      </c>
      <c r="C2526" s="948" t="s">
        <v>13519</v>
      </c>
      <c r="D2526" s="242" t="s">
        <v>444</v>
      </c>
      <c r="E2526" s="949">
        <v>305</v>
      </c>
      <c r="F2526" s="949">
        <v>305</v>
      </c>
      <c r="G2526" s="950" t="s">
        <v>7359</v>
      </c>
      <c r="H2526" s="950" t="s">
        <v>450</v>
      </c>
      <c r="I2526" s="951" t="s">
        <v>13520</v>
      </c>
      <c r="J2526" s="947" t="s">
        <v>13521</v>
      </c>
      <c r="K2526" s="143"/>
    </row>
    <row r="2527" spans="1:11">
      <c r="A2527" s="946" t="s">
        <v>28612</v>
      </c>
      <c r="B2527" s="947" t="s">
        <v>13613</v>
      </c>
      <c r="C2527" s="948" t="s">
        <v>13611</v>
      </c>
      <c r="D2527" s="242" t="s">
        <v>444</v>
      </c>
      <c r="E2527" s="949">
        <v>305</v>
      </c>
      <c r="F2527" s="949">
        <v>305</v>
      </c>
      <c r="G2527" s="950" t="s">
        <v>7359</v>
      </c>
      <c r="H2527" s="950" t="s">
        <v>450</v>
      </c>
      <c r="I2527" s="951" t="s">
        <v>13612</v>
      </c>
      <c r="J2527" s="947" t="s">
        <v>13613</v>
      </c>
      <c r="K2527" s="143"/>
    </row>
    <row r="2528" spans="1:11">
      <c r="A2528" s="946" t="s">
        <v>28612</v>
      </c>
      <c r="B2528" s="947" t="s">
        <v>13899</v>
      </c>
      <c r="C2528" s="948" t="s">
        <v>13897</v>
      </c>
      <c r="D2528" s="242" t="s">
        <v>444</v>
      </c>
      <c r="E2528" s="949">
        <v>305</v>
      </c>
      <c r="F2528" s="949">
        <v>305</v>
      </c>
      <c r="G2528" s="950" t="s">
        <v>7359</v>
      </c>
      <c r="H2528" s="950" t="s">
        <v>450</v>
      </c>
      <c r="I2528" s="951" t="s">
        <v>13898</v>
      </c>
      <c r="J2528" s="947" t="s">
        <v>13899</v>
      </c>
      <c r="K2528" s="143"/>
    </row>
    <row r="2529" spans="1:11">
      <c r="A2529" s="946" t="s">
        <v>28612</v>
      </c>
      <c r="B2529" s="947" t="s">
        <v>14002</v>
      </c>
      <c r="C2529" s="948" t="s">
        <v>14000</v>
      </c>
      <c r="D2529" s="242" t="s">
        <v>444</v>
      </c>
      <c r="E2529" s="949">
        <v>305</v>
      </c>
      <c r="F2529" s="949">
        <v>305</v>
      </c>
      <c r="G2529" s="950" t="s">
        <v>7359</v>
      </c>
      <c r="H2529" s="950" t="s">
        <v>450</v>
      </c>
      <c r="I2529" s="951" t="s">
        <v>14001</v>
      </c>
      <c r="J2529" s="947" t="s">
        <v>14002</v>
      </c>
      <c r="K2529" s="143"/>
    </row>
    <row r="2530" spans="1:11">
      <c r="A2530" s="946" t="s">
        <v>28612</v>
      </c>
      <c r="B2530" s="947" t="s">
        <v>14093</v>
      </c>
      <c r="C2530" s="948" t="s">
        <v>14091</v>
      </c>
      <c r="D2530" s="242" t="s">
        <v>444</v>
      </c>
      <c r="E2530" s="949">
        <v>305</v>
      </c>
      <c r="F2530" s="949">
        <v>305</v>
      </c>
      <c r="G2530" s="950" t="s">
        <v>7359</v>
      </c>
      <c r="H2530" s="950" t="s">
        <v>450</v>
      </c>
      <c r="I2530" s="951" t="s">
        <v>14092</v>
      </c>
      <c r="J2530" s="947" t="s">
        <v>14093</v>
      </c>
      <c r="K2530" s="143"/>
    </row>
    <row r="2531" spans="1:11">
      <c r="A2531" s="946" t="s">
        <v>28612</v>
      </c>
      <c r="B2531" s="947" t="s">
        <v>14201</v>
      </c>
      <c r="C2531" s="948" t="s">
        <v>14199</v>
      </c>
      <c r="D2531" s="242" t="s">
        <v>444</v>
      </c>
      <c r="E2531" s="949">
        <v>305</v>
      </c>
      <c r="F2531" s="949">
        <v>305</v>
      </c>
      <c r="G2531" s="950" t="s">
        <v>7359</v>
      </c>
      <c r="H2531" s="950" t="s">
        <v>450</v>
      </c>
      <c r="I2531" s="951" t="s">
        <v>14200</v>
      </c>
      <c r="J2531" s="947" t="s">
        <v>14201</v>
      </c>
      <c r="K2531" s="143"/>
    </row>
    <row r="2532" spans="1:11">
      <c r="A2532" s="946" t="s">
        <v>28612</v>
      </c>
      <c r="B2532" s="947" t="s">
        <v>14532</v>
      </c>
      <c r="C2532" s="948" t="s">
        <v>14530</v>
      </c>
      <c r="D2532" s="242" t="s">
        <v>444</v>
      </c>
      <c r="E2532" s="949">
        <v>305</v>
      </c>
      <c r="F2532" s="949">
        <v>305</v>
      </c>
      <c r="G2532" s="950" t="s">
        <v>7359</v>
      </c>
      <c r="H2532" s="950" t="s">
        <v>450</v>
      </c>
      <c r="I2532" s="951" t="s">
        <v>14531</v>
      </c>
      <c r="J2532" s="947" t="s">
        <v>14532</v>
      </c>
      <c r="K2532" s="143"/>
    </row>
    <row r="2533" spans="1:11">
      <c r="A2533" s="946" t="s">
        <v>28612</v>
      </c>
      <c r="B2533" s="947" t="s">
        <v>14565</v>
      </c>
      <c r="C2533" s="948" t="s">
        <v>14563</v>
      </c>
      <c r="D2533" s="242" t="s">
        <v>444</v>
      </c>
      <c r="E2533" s="949">
        <v>305</v>
      </c>
      <c r="F2533" s="949">
        <v>305</v>
      </c>
      <c r="G2533" s="950" t="s">
        <v>7359</v>
      </c>
      <c r="H2533" s="950" t="s">
        <v>450</v>
      </c>
      <c r="I2533" s="951" t="s">
        <v>14564</v>
      </c>
      <c r="J2533" s="947" t="s">
        <v>14565</v>
      </c>
      <c r="K2533" s="143"/>
    </row>
    <row r="2534" spans="1:11">
      <c r="A2534" s="946" t="s">
        <v>28612</v>
      </c>
      <c r="B2534" s="947" t="s">
        <v>14619</v>
      </c>
      <c r="C2534" s="948" t="s">
        <v>14617</v>
      </c>
      <c r="D2534" s="242" t="s">
        <v>444</v>
      </c>
      <c r="E2534" s="949">
        <v>305</v>
      </c>
      <c r="F2534" s="949">
        <v>305</v>
      </c>
      <c r="G2534" s="950" t="s">
        <v>7359</v>
      </c>
      <c r="H2534" s="950" t="s">
        <v>450</v>
      </c>
      <c r="I2534" s="951" t="s">
        <v>14618</v>
      </c>
      <c r="J2534" s="947" t="s">
        <v>14619</v>
      </c>
      <c r="K2534" s="143"/>
    </row>
    <row r="2535" spans="1:11">
      <c r="A2535" s="946" t="s">
        <v>28612</v>
      </c>
      <c r="B2535" s="947" t="s">
        <v>14737</v>
      </c>
      <c r="C2535" s="948" t="s">
        <v>14735</v>
      </c>
      <c r="D2535" s="242" t="s">
        <v>444</v>
      </c>
      <c r="E2535" s="949">
        <v>305</v>
      </c>
      <c r="F2535" s="949">
        <v>305</v>
      </c>
      <c r="G2535" s="950" t="s">
        <v>7359</v>
      </c>
      <c r="H2535" s="950" t="s">
        <v>450</v>
      </c>
      <c r="I2535" s="951" t="s">
        <v>14736</v>
      </c>
      <c r="J2535" s="947" t="s">
        <v>14737</v>
      </c>
      <c r="K2535" s="143"/>
    </row>
    <row r="2536" spans="1:11">
      <c r="A2536" s="946" t="s">
        <v>28612</v>
      </c>
      <c r="B2536" s="947" t="s">
        <v>14835</v>
      </c>
      <c r="C2536" s="948" t="s">
        <v>14833</v>
      </c>
      <c r="D2536" s="242" t="s">
        <v>444</v>
      </c>
      <c r="E2536" s="949">
        <v>305</v>
      </c>
      <c r="F2536" s="949">
        <v>305</v>
      </c>
      <c r="G2536" s="950" t="s">
        <v>7359</v>
      </c>
      <c r="H2536" s="950" t="s">
        <v>450</v>
      </c>
      <c r="I2536" s="951" t="s">
        <v>14834</v>
      </c>
      <c r="J2536" s="947" t="s">
        <v>14835</v>
      </c>
      <c r="K2536" s="143"/>
    </row>
    <row r="2537" spans="1:11">
      <c r="A2537" s="946" t="s">
        <v>28612</v>
      </c>
      <c r="B2537" s="947" t="s">
        <v>14937</v>
      </c>
      <c r="C2537" s="948" t="s">
        <v>14935</v>
      </c>
      <c r="D2537" s="242" t="s">
        <v>444</v>
      </c>
      <c r="E2537" s="949">
        <v>305</v>
      </c>
      <c r="F2537" s="949">
        <v>305</v>
      </c>
      <c r="G2537" s="950" t="s">
        <v>7359</v>
      </c>
      <c r="H2537" s="950" t="s">
        <v>450</v>
      </c>
      <c r="I2537" s="951" t="s">
        <v>14936</v>
      </c>
      <c r="J2537" s="947" t="s">
        <v>14937</v>
      </c>
      <c r="K2537" s="143"/>
    </row>
    <row r="2538" spans="1:11">
      <c r="A2538" s="946" t="s">
        <v>28612</v>
      </c>
      <c r="B2538" s="947" t="s">
        <v>14955</v>
      </c>
      <c r="C2538" s="948" t="s">
        <v>14953</v>
      </c>
      <c r="D2538" s="242" t="s">
        <v>444</v>
      </c>
      <c r="E2538" s="949">
        <v>305</v>
      </c>
      <c r="F2538" s="949">
        <v>305</v>
      </c>
      <c r="G2538" s="950" t="s">
        <v>7359</v>
      </c>
      <c r="H2538" s="950" t="s">
        <v>450</v>
      </c>
      <c r="I2538" s="951" t="s">
        <v>14954</v>
      </c>
      <c r="J2538" s="947" t="s">
        <v>14955</v>
      </c>
      <c r="K2538" s="143"/>
    </row>
    <row r="2539" spans="1:11">
      <c r="A2539" s="946" t="s">
        <v>28612</v>
      </c>
      <c r="B2539" s="947" t="s">
        <v>15112</v>
      </c>
      <c r="C2539" s="948" t="s">
        <v>15110</v>
      </c>
      <c r="D2539" s="242" t="s">
        <v>444</v>
      </c>
      <c r="E2539" s="949">
        <v>305</v>
      </c>
      <c r="F2539" s="949">
        <v>305</v>
      </c>
      <c r="G2539" s="950" t="s">
        <v>7359</v>
      </c>
      <c r="H2539" s="950" t="s">
        <v>450</v>
      </c>
      <c r="I2539" s="951" t="s">
        <v>15111</v>
      </c>
      <c r="J2539" s="947" t="s">
        <v>15112</v>
      </c>
      <c r="K2539" s="143"/>
    </row>
    <row r="2540" spans="1:11">
      <c r="A2540" s="946" t="s">
        <v>28612</v>
      </c>
      <c r="B2540" s="947" t="s">
        <v>15662</v>
      </c>
      <c r="C2540" s="948" t="s">
        <v>15660</v>
      </c>
      <c r="D2540" s="242" t="s">
        <v>444</v>
      </c>
      <c r="E2540" s="949">
        <v>305</v>
      </c>
      <c r="F2540" s="949">
        <v>305</v>
      </c>
      <c r="G2540" s="950" t="s">
        <v>7359</v>
      </c>
      <c r="H2540" s="950" t="s">
        <v>450</v>
      </c>
      <c r="I2540" s="951" t="s">
        <v>15661</v>
      </c>
      <c r="J2540" s="947" t="s">
        <v>15662</v>
      </c>
      <c r="K2540" s="143"/>
    </row>
    <row r="2541" spans="1:11">
      <c r="A2541" s="946" t="s">
        <v>28612</v>
      </c>
      <c r="B2541" s="947" t="s">
        <v>16007</v>
      </c>
      <c r="C2541" s="948" t="s">
        <v>16005</v>
      </c>
      <c r="D2541" s="242" t="s">
        <v>444</v>
      </c>
      <c r="E2541" s="949">
        <v>305</v>
      </c>
      <c r="F2541" s="949">
        <v>305</v>
      </c>
      <c r="G2541" s="950" t="s">
        <v>7359</v>
      </c>
      <c r="H2541" s="950" t="s">
        <v>450</v>
      </c>
      <c r="I2541" s="951" t="s">
        <v>16006</v>
      </c>
      <c r="J2541" s="947" t="s">
        <v>16007</v>
      </c>
      <c r="K2541" s="143"/>
    </row>
    <row r="2542" spans="1:11">
      <c r="A2542" s="946" t="s">
        <v>28612</v>
      </c>
      <c r="B2542" s="947" t="s">
        <v>16284</v>
      </c>
      <c r="C2542" s="948" t="s">
        <v>16282</v>
      </c>
      <c r="D2542" s="242" t="s">
        <v>444</v>
      </c>
      <c r="E2542" s="949">
        <v>305</v>
      </c>
      <c r="F2542" s="949">
        <v>305</v>
      </c>
      <c r="G2542" s="950" t="s">
        <v>7359</v>
      </c>
      <c r="H2542" s="950" t="s">
        <v>450</v>
      </c>
      <c r="I2542" s="951" t="s">
        <v>16283</v>
      </c>
      <c r="J2542" s="947" t="s">
        <v>16284</v>
      </c>
      <c r="K2542" s="143"/>
    </row>
    <row r="2543" spans="1:11">
      <c r="A2543" s="946" t="s">
        <v>28612</v>
      </c>
      <c r="B2543" s="947" t="s">
        <v>16357</v>
      </c>
      <c r="C2543" s="948" t="s">
        <v>16355</v>
      </c>
      <c r="D2543" s="242" t="s">
        <v>444</v>
      </c>
      <c r="E2543" s="949">
        <v>305</v>
      </c>
      <c r="F2543" s="949">
        <v>305</v>
      </c>
      <c r="G2543" s="950" t="s">
        <v>7359</v>
      </c>
      <c r="H2543" s="950" t="s">
        <v>450</v>
      </c>
      <c r="I2543" s="951" t="s">
        <v>16356</v>
      </c>
      <c r="J2543" s="947" t="s">
        <v>16357</v>
      </c>
      <c r="K2543" s="143"/>
    </row>
    <row r="2544" spans="1:11">
      <c r="A2544" s="946" t="s">
        <v>28612</v>
      </c>
      <c r="B2544" s="947" t="s">
        <v>16360</v>
      </c>
      <c r="C2544" s="948" t="s">
        <v>16358</v>
      </c>
      <c r="D2544" s="242" t="s">
        <v>444</v>
      </c>
      <c r="E2544" s="949">
        <v>305</v>
      </c>
      <c r="F2544" s="949">
        <v>305</v>
      </c>
      <c r="G2544" s="950" t="s">
        <v>7359</v>
      </c>
      <c r="H2544" s="950" t="s">
        <v>450</v>
      </c>
      <c r="I2544" s="951" t="s">
        <v>16359</v>
      </c>
      <c r="J2544" s="947" t="s">
        <v>16360</v>
      </c>
      <c r="K2544" s="143"/>
    </row>
    <row r="2545" spans="1:11">
      <c r="A2545" s="946" t="s">
        <v>28612</v>
      </c>
      <c r="B2545" s="947" t="s">
        <v>16363</v>
      </c>
      <c r="C2545" s="948" t="s">
        <v>16361</v>
      </c>
      <c r="D2545" s="242" t="s">
        <v>444</v>
      </c>
      <c r="E2545" s="949">
        <v>305</v>
      </c>
      <c r="F2545" s="949">
        <v>305</v>
      </c>
      <c r="G2545" s="950" t="s">
        <v>7359</v>
      </c>
      <c r="H2545" s="950" t="s">
        <v>450</v>
      </c>
      <c r="I2545" s="951" t="s">
        <v>16362</v>
      </c>
      <c r="J2545" s="947" t="s">
        <v>16363</v>
      </c>
      <c r="K2545" s="143"/>
    </row>
    <row r="2546" spans="1:11">
      <c r="A2546" s="946" t="s">
        <v>28612</v>
      </c>
      <c r="B2546" s="947" t="s">
        <v>16417</v>
      </c>
      <c r="C2546" s="948" t="s">
        <v>16415</v>
      </c>
      <c r="D2546" s="242" t="s">
        <v>444</v>
      </c>
      <c r="E2546" s="949">
        <v>305</v>
      </c>
      <c r="F2546" s="949">
        <v>305</v>
      </c>
      <c r="G2546" s="950" t="s">
        <v>7359</v>
      </c>
      <c r="H2546" s="950" t="s">
        <v>450</v>
      </c>
      <c r="I2546" s="951" t="s">
        <v>16416</v>
      </c>
      <c r="J2546" s="947" t="s">
        <v>16417</v>
      </c>
      <c r="K2546" s="143"/>
    </row>
    <row r="2547" spans="1:11">
      <c r="A2547" s="946" t="s">
        <v>28612</v>
      </c>
      <c r="B2547" s="947" t="s">
        <v>16453</v>
      </c>
      <c r="C2547" s="948" t="s">
        <v>16451</v>
      </c>
      <c r="D2547" s="242" t="s">
        <v>444</v>
      </c>
      <c r="E2547" s="949">
        <v>305</v>
      </c>
      <c r="F2547" s="949">
        <v>305</v>
      </c>
      <c r="G2547" s="950" t="s">
        <v>7359</v>
      </c>
      <c r="H2547" s="950" t="s">
        <v>450</v>
      </c>
      <c r="I2547" s="951" t="s">
        <v>16452</v>
      </c>
      <c r="J2547" s="947" t="s">
        <v>16453</v>
      </c>
      <c r="K2547" s="143"/>
    </row>
    <row r="2548" spans="1:11">
      <c r="A2548" s="946" t="s">
        <v>28612</v>
      </c>
      <c r="B2548" s="947" t="s">
        <v>16486</v>
      </c>
      <c r="C2548" s="948" t="s">
        <v>16484</v>
      </c>
      <c r="D2548" s="242" t="s">
        <v>444</v>
      </c>
      <c r="E2548" s="949">
        <v>305</v>
      </c>
      <c r="F2548" s="949">
        <v>305</v>
      </c>
      <c r="G2548" s="950" t="s">
        <v>7359</v>
      </c>
      <c r="H2548" s="950" t="s">
        <v>450</v>
      </c>
      <c r="I2548" s="951" t="s">
        <v>16485</v>
      </c>
      <c r="J2548" s="947" t="s">
        <v>16486</v>
      </c>
      <c r="K2548" s="143"/>
    </row>
    <row r="2549" spans="1:11">
      <c r="A2549" s="946" t="s">
        <v>28612</v>
      </c>
      <c r="B2549" s="947" t="s">
        <v>16826</v>
      </c>
      <c r="C2549" s="948" t="s">
        <v>16824</v>
      </c>
      <c r="D2549" s="242" t="s">
        <v>444</v>
      </c>
      <c r="E2549" s="949">
        <v>305</v>
      </c>
      <c r="F2549" s="949">
        <v>305</v>
      </c>
      <c r="G2549" s="950" t="s">
        <v>7359</v>
      </c>
      <c r="H2549" s="950" t="s">
        <v>450</v>
      </c>
      <c r="I2549" s="951" t="s">
        <v>16825</v>
      </c>
      <c r="J2549" s="947" t="s">
        <v>16826</v>
      </c>
      <c r="K2549" s="143"/>
    </row>
    <row r="2550" spans="1:11">
      <c r="A2550" s="946" t="s">
        <v>28612</v>
      </c>
      <c r="B2550" s="947" t="s">
        <v>17312</v>
      </c>
      <c r="C2550" s="948" t="s">
        <v>17310</v>
      </c>
      <c r="D2550" s="242" t="s">
        <v>444</v>
      </c>
      <c r="E2550" s="949">
        <v>305</v>
      </c>
      <c r="F2550" s="949">
        <v>305</v>
      </c>
      <c r="G2550" s="950" t="s">
        <v>7359</v>
      </c>
      <c r="H2550" s="950" t="s">
        <v>450</v>
      </c>
      <c r="I2550" s="951" t="s">
        <v>17311</v>
      </c>
      <c r="J2550" s="947" t="s">
        <v>17312</v>
      </c>
      <c r="K2550" s="143"/>
    </row>
    <row r="2551" spans="1:11">
      <c r="A2551" s="946" t="s">
        <v>28612</v>
      </c>
      <c r="B2551" s="947" t="s">
        <v>17374</v>
      </c>
      <c r="C2551" s="948" t="s">
        <v>17372</v>
      </c>
      <c r="D2551" s="242" t="s">
        <v>444</v>
      </c>
      <c r="E2551" s="949">
        <v>305</v>
      </c>
      <c r="F2551" s="949">
        <v>305</v>
      </c>
      <c r="G2551" s="950" t="s">
        <v>7359</v>
      </c>
      <c r="H2551" s="950" t="s">
        <v>450</v>
      </c>
      <c r="I2551" s="951" t="s">
        <v>17373</v>
      </c>
      <c r="J2551" s="947" t="s">
        <v>17374</v>
      </c>
      <c r="K2551" s="143"/>
    </row>
    <row r="2552" spans="1:11">
      <c r="A2552" s="946" t="s">
        <v>28612</v>
      </c>
      <c r="B2552" s="947" t="s">
        <v>17516</v>
      </c>
      <c r="C2552" s="948" t="s">
        <v>17514</v>
      </c>
      <c r="D2552" s="242" t="s">
        <v>444</v>
      </c>
      <c r="E2552" s="949">
        <v>305</v>
      </c>
      <c r="F2552" s="949">
        <v>305</v>
      </c>
      <c r="G2552" s="950" t="s">
        <v>7359</v>
      </c>
      <c r="H2552" s="950" t="s">
        <v>450</v>
      </c>
      <c r="I2552" s="951" t="s">
        <v>17515</v>
      </c>
      <c r="J2552" s="947" t="s">
        <v>17516</v>
      </c>
      <c r="K2552" s="143"/>
    </row>
    <row r="2553" spans="1:11">
      <c r="A2553" s="946" t="s">
        <v>28612</v>
      </c>
      <c r="B2553" s="947" t="s">
        <v>17717</v>
      </c>
      <c r="C2553" s="948" t="s">
        <v>17715</v>
      </c>
      <c r="D2553" s="242" t="s">
        <v>444</v>
      </c>
      <c r="E2553" s="949">
        <v>305</v>
      </c>
      <c r="F2553" s="949">
        <v>305</v>
      </c>
      <c r="G2553" s="950" t="s">
        <v>7359</v>
      </c>
      <c r="H2553" s="950" t="s">
        <v>450</v>
      </c>
      <c r="I2553" s="951" t="s">
        <v>17716</v>
      </c>
      <c r="J2553" s="947" t="s">
        <v>17717</v>
      </c>
      <c r="K2553" s="143"/>
    </row>
    <row r="2554" spans="1:11">
      <c r="A2554" s="946" t="s">
        <v>28612</v>
      </c>
      <c r="B2554" s="947" t="s">
        <v>17898</v>
      </c>
      <c r="C2554" s="948" t="s">
        <v>17896</v>
      </c>
      <c r="D2554" s="242" t="s">
        <v>444</v>
      </c>
      <c r="E2554" s="949">
        <v>305</v>
      </c>
      <c r="F2554" s="949">
        <v>305</v>
      </c>
      <c r="G2554" s="950" t="s">
        <v>7359</v>
      </c>
      <c r="H2554" s="950" t="s">
        <v>450</v>
      </c>
      <c r="I2554" s="951" t="s">
        <v>17897</v>
      </c>
      <c r="J2554" s="947" t="s">
        <v>17898</v>
      </c>
      <c r="K2554" s="143"/>
    </row>
    <row r="2555" spans="1:11">
      <c r="A2555" s="946" t="s">
        <v>28612</v>
      </c>
      <c r="B2555" s="947" t="s">
        <v>19028</v>
      </c>
      <c r="C2555" s="948" t="s">
        <v>19026</v>
      </c>
      <c r="D2555" s="242" t="s">
        <v>444</v>
      </c>
      <c r="E2555" s="949">
        <v>305</v>
      </c>
      <c r="F2555" s="949">
        <v>305</v>
      </c>
      <c r="G2555" s="950" t="s">
        <v>7359</v>
      </c>
      <c r="H2555" s="950" t="s">
        <v>450</v>
      </c>
      <c r="I2555" s="951" t="s">
        <v>19027</v>
      </c>
      <c r="J2555" s="947" t="s">
        <v>19028</v>
      </c>
      <c r="K2555" s="143"/>
    </row>
    <row r="2556" spans="1:11">
      <c r="A2556" s="946" t="s">
        <v>28612</v>
      </c>
      <c r="B2556" s="947" t="s">
        <v>19031</v>
      </c>
      <c r="C2556" s="948" t="s">
        <v>19029</v>
      </c>
      <c r="D2556" s="242" t="s">
        <v>444</v>
      </c>
      <c r="E2556" s="949">
        <v>305</v>
      </c>
      <c r="F2556" s="949">
        <v>305</v>
      </c>
      <c r="G2556" s="950" t="s">
        <v>7359</v>
      </c>
      <c r="H2556" s="950" t="s">
        <v>450</v>
      </c>
      <c r="I2556" s="951" t="s">
        <v>19030</v>
      </c>
      <c r="J2556" s="947" t="s">
        <v>19031</v>
      </c>
      <c r="K2556" s="143"/>
    </row>
    <row r="2557" spans="1:11">
      <c r="A2557" s="946" t="s">
        <v>28612</v>
      </c>
      <c r="B2557" s="947" t="s">
        <v>19288</v>
      </c>
      <c r="C2557" s="948" t="s">
        <v>19286</v>
      </c>
      <c r="D2557" s="242" t="s">
        <v>444</v>
      </c>
      <c r="E2557" s="949">
        <v>305</v>
      </c>
      <c r="F2557" s="949">
        <v>305</v>
      </c>
      <c r="G2557" s="950" t="s">
        <v>7359</v>
      </c>
      <c r="H2557" s="950" t="s">
        <v>450</v>
      </c>
      <c r="I2557" s="951" t="s">
        <v>19287</v>
      </c>
      <c r="J2557" s="947" t="s">
        <v>19288</v>
      </c>
      <c r="K2557" s="143"/>
    </row>
    <row r="2558" spans="1:11">
      <c r="A2558" s="946" t="s">
        <v>28612</v>
      </c>
      <c r="B2558" s="947" t="s">
        <v>19426</v>
      </c>
      <c r="C2558" s="948" t="s">
        <v>19424</v>
      </c>
      <c r="D2558" s="242" t="s">
        <v>444</v>
      </c>
      <c r="E2558" s="949">
        <v>305</v>
      </c>
      <c r="F2558" s="949">
        <v>305</v>
      </c>
      <c r="G2558" s="950" t="s">
        <v>7359</v>
      </c>
      <c r="H2558" s="950" t="s">
        <v>450</v>
      </c>
      <c r="I2558" s="951" t="s">
        <v>19425</v>
      </c>
      <c r="J2558" s="947" t="s">
        <v>19426</v>
      </c>
      <c r="K2558" s="143"/>
    </row>
    <row r="2559" spans="1:11">
      <c r="A2559" s="946" t="s">
        <v>28612</v>
      </c>
      <c r="B2559" s="947" t="s">
        <v>19633</v>
      </c>
      <c r="C2559" s="948" t="s">
        <v>19631</v>
      </c>
      <c r="D2559" s="242" t="s">
        <v>444</v>
      </c>
      <c r="E2559" s="949">
        <v>305</v>
      </c>
      <c r="F2559" s="949">
        <v>305</v>
      </c>
      <c r="G2559" s="950" t="s">
        <v>7359</v>
      </c>
      <c r="H2559" s="950" t="s">
        <v>450</v>
      </c>
      <c r="I2559" s="951" t="s">
        <v>19632</v>
      </c>
      <c r="J2559" s="947" t="s">
        <v>19633</v>
      </c>
      <c r="K2559" s="143"/>
    </row>
    <row r="2560" spans="1:11">
      <c r="A2560" s="946" t="s">
        <v>28612</v>
      </c>
      <c r="B2560" s="947" t="s">
        <v>19711</v>
      </c>
      <c r="C2560" s="948" t="s">
        <v>19709</v>
      </c>
      <c r="D2560" s="242" t="s">
        <v>444</v>
      </c>
      <c r="E2560" s="949">
        <v>305</v>
      </c>
      <c r="F2560" s="949">
        <v>305</v>
      </c>
      <c r="G2560" s="950" t="s">
        <v>7359</v>
      </c>
      <c r="H2560" s="950" t="s">
        <v>450</v>
      </c>
      <c r="I2560" s="951" t="s">
        <v>19710</v>
      </c>
      <c r="J2560" s="947" t="s">
        <v>19711</v>
      </c>
      <c r="K2560" s="143"/>
    </row>
    <row r="2561" spans="1:11">
      <c r="A2561" s="946" t="s">
        <v>28612</v>
      </c>
      <c r="B2561" s="947" t="s">
        <v>19751</v>
      </c>
      <c r="C2561" s="948" t="s">
        <v>19749</v>
      </c>
      <c r="D2561" s="242" t="s">
        <v>444</v>
      </c>
      <c r="E2561" s="949">
        <v>305</v>
      </c>
      <c r="F2561" s="949">
        <v>305</v>
      </c>
      <c r="G2561" s="950" t="s">
        <v>7359</v>
      </c>
      <c r="H2561" s="950" t="s">
        <v>450</v>
      </c>
      <c r="I2561" s="951" t="s">
        <v>19750</v>
      </c>
      <c r="J2561" s="947" t="s">
        <v>19751</v>
      </c>
      <c r="K2561" s="143"/>
    </row>
    <row r="2562" spans="1:11">
      <c r="A2562" s="946" t="s">
        <v>28612</v>
      </c>
      <c r="B2562" s="947" t="s">
        <v>19791</v>
      </c>
      <c r="C2562" s="948" t="s">
        <v>19789</v>
      </c>
      <c r="D2562" s="242" t="s">
        <v>444</v>
      </c>
      <c r="E2562" s="949">
        <v>305</v>
      </c>
      <c r="F2562" s="949">
        <v>305</v>
      </c>
      <c r="G2562" s="950" t="s">
        <v>7359</v>
      </c>
      <c r="H2562" s="950" t="s">
        <v>450</v>
      </c>
      <c r="I2562" s="951" t="s">
        <v>19790</v>
      </c>
      <c r="J2562" s="947" t="s">
        <v>19791</v>
      </c>
      <c r="K2562" s="143"/>
    </row>
    <row r="2563" spans="1:11">
      <c r="A2563" s="946" t="s">
        <v>28612</v>
      </c>
      <c r="B2563" s="947" t="s">
        <v>19889</v>
      </c>
      <c r="C2563" s="948" t="s">
        <v>19887</v>
      </c>
      <c r="D2563" s="242" t="s">
        <v>444</v>
      </c>
      <c r="E2563" s="949">
        <v>305</v>
      </c>
      <c r="F2563" s="949">
        <v>305</v>
      </c>
      <c r="G2563" s="950" t="s">
        <v>7359</v>
      </c>
      <c r="H2563" s="950" t="s">
        <v>450</v>
      </c>
      <c r="I2563" s="951" t="s">
        <v>19888</v>
      </c>
      <c r="J2563" s="947" t="s">
        <v>19889</v>
      </c>
      <c r="K2563" s="143"/>
    </row>
    <row r="2564" spans="1:11">
      <c r="A2564" s="946" t="s">
        <v>28612</v>
      </c>
      <c r="B2564" s="947" t="s">
        <v>19897</v>
      </c>
      <c r="C2564" s="948" t="s">
        <v>19895</v>
      </c>
      <c r="D2564" s="242" t="s">
        <v>444</v>
      </c>
      <c r="E2564" s="949">
        <v>305</v>
      </c>
      <c r="F2564" s="949">
        <v>305</v>
      </c>
      <c r="G2564" s="950" t="s">
        <v>7359</v>
      </c>
      <c r="H2564" s="950" t="s">
        <v>450</v>
      </c>
      <c r="I2564" s="951" t="s">
        <v>19896</v>
      </c>
      <c r="J2564" s="947" t="s">
        <v>19897</v>
      </c>
      <c r="K2564" s="143"/>
    </row>
    <row r="2565" spans="1:11">
      <c r="A2565" s="946" t="s">
        <v>28612</v>
      </c>
      <c r="B2565" s="947" t="s">
        <v>19909</v>
      </c>
      <c r="C2565" s="948" t="s">
        <v>19907</v>
      </c>
      <c r="D2565" s="242" t="s">
        <v>444</v>
      </c>
      <c r="E2565" s="949">
        <v>305</v>
      </c>
      <c r="F2565" s="949">
        <v>305</v>
      </c>
      <c r="G2565" s="950" t="s">
        <v>7359</v>
      </c>
      <c r="H2565" s="950" t="s">
        <v>450</v>
      </c>
      <c r="I2565" s="951" t="s">
        <v>19908</v>
      </c>
      <c r="J2565" s="947" t="s">
        <v>19909</v>
      </c>
      <c r="K2565" s="143"/>
    </row>
    <row r="2566" spans="1:11">
      <c r="A2566" s="946" t="s">
        <v>28612</v>
      </c>
      <c r="B2566" s="947" t="s">
        <v>19954</v>
      </c>
      <c r="C2566" s="948" t="s">
        <v>19952</v>
      </c>
      <c r="D2566" s="242" t="s">
        <v>444</v>
      </c>
      <c r="E2566" s="949">
        <v>305</v>
      </c>
      <c r="F2566" s="949">
        <v>305</v>
      </c>
      <c r="G2566" s="950" t="s">
        <v>7359</v>
      </c>
      <c r="H2566" s="950" t="s">
        <v>450</v>
      </c>
      <c r="I2566" s="951" t="s">
        <v>19953</v>
      </c>
      <c r="J2566" s="947" t="s">
        <v>19954</v>
      </c>
      <c r="K2566" s="143"/>
    </row>
    <row r="2567" spans="1:11">
      <c r="A2567" s="946" t="s">
        <v>28612</v>
      </c>
      <c r="B2567" s="947" t="s">
        <v>20452</v>
      </c>
      <c r="C2567" s="948" t="s">
        <v>20450</v>
      </c>
      <c r="D2567" s="242" t="s">
        <v>444</v>
      </c>
      <c r="E2567" s="949">
        <v>305</v>
      </c>
      <c r="F2567" s="949">
        <v>305</v>
      </c>
      <c r="G2567" s="950" t="s">
        <v>7359</v>
      </c>
      <c r="H2567" s="950" t="s">
        <v>450</v>
      </c>
      <c r="I2567" s="951" t="s">
        <v>20451</v>
      </c>
      <c r="J2567" s="947" t="s">
        <v>20452</v>
      </c>
      <c r="K2567" s="143"/>
    </row>
    <row r="2568" spans="1:11">
      <c r="A2568" s="946" t="s">
        <v>28612</v>
      </c>
      <c r="B2568" s="947" t="s">
        <v>20590</v>
      </c>
      <c r="C2568" s="948" t="s">
        <v>20588</v>
      </c>
      <c r="D2568" s="242" t="s">
        <v>444</v>
      </c>
      <c r="E2568" s="949">
        <v>305</v>
      </c>
      <c r="F2568" s="949">
        <v>305</v>
      </c>
      <c r="G2568" s="950" t="s">
        <v>7359</v>
      </c>
      <c r="H2568" s="950" t="s">
        <v>450</v>
      </c>
      <c r="I2568" s="951" t="s">
        <v>20589</v>
      </c>
      <c r="J2568" s="947" t="s">
        <v>20590</v>
      </c>
      <c r="K2568" s="143"/>
    </row>
    <row r="2569" spans="1:11">
      <c r="A2569" s="946" t="s">
        <v>28612</v>
      </c>
      <c r="B2569" s="947" t="s">
        <v>20599</v>
      </c>
      <c r="C2569" s="948" t="s">
        <v>20597</v>
      </c>
      <c r="D2569" s="242" t="s">
        <v>444</v>
      </c>
      <c r="E2569" s="949">
        <v>305</v>
      </c>
      <c r="F2569" s="949">
        <v>305</v>
      </c>
      <c r="G2569" s="950" t="s">
        <v>7359</v>
      </c>
      <c r="H2569" s="950" t="s">
        <v>450</v>
      </c>
      <c r="I2569" s="951" t="s">
        <v>20598</v>
      </c>
      <c r="J2569" s="947" t="s">
        <v>20599</v>
      </c>
      <c r="K2569" s="143"/>
    </row>
    <row r="2570" spans="1:11">
      <c r="A2570" s="946" t="s">
        <v>28612</v>
      </c>
      <c r="B2570" s="947" t="s">
        <v>20658</v>
      </c>
      <c r="C2570" s="948" t="s">
        <v>20656</v>
      </c>
      <c r="D2570" s="242" t="s">
        <v>444</v>
      </c>
      <c r="E2570" s="949">
        <v>305</v>
      </c>
      <c r="F2570" s="949">
        <v>305</v>
      </c>
      <c r="G2570" s="950" t="s">
        <v>7359</v>
      </c>
      <c r="H2570" s="950" t="s">
        <v>450</v>
      </c>
      <c r="I2570" s="951" t="s">
        <v>20657</v>
      </c>
      <c r="J2570" s="947" t="s">
        <v>20658</v>
      </c>
      <c r="K2570" s="143"/>
    </row>
    <row r="2571" spans="1:11">
      <c r="A2571" s="946" t="s">
        <v>28612</v>
      </c>
      <c r="B2571" s="947" t="s">
        <v>20753</v>
      </c>
      <c r="C2571" s="948" t="s">
        <v>20751</v>
      </c>
      <c r="D2571" s="242" t="s">
        <v>444</v>
      </c>
      <c r="E2571" s="949">
        <v>305</v>
      </c>
      <c r="F2571" s="949">
        <v>305</v>
      </c>
      <c r="G2571" s="950" t="s">
        <v>7359</v>
      </c>
      <c r="H2571" s="950" t="s">
        <v>450</v>
      </c>
      <c r="I2571" s="951" t="s">
        <v>20752</v>
      </c>
      <c r="J2571" s="947" t="s">
        <v>20753</v>
      </c>
      <c r="K2571" s="143"/>
    </row>
    <row r="2572" spans="1:11">
      <c r="A2572" s="946" t="s">
        <v>28612</v>
      </c>
      <c r="B2572" s="947" t="s">
        <v>20951</v>
      </c>
      <c r="C2572" s="948" t="s">
        <v>20949</v>
      </c>
      <c r="D2572" s="242" t="s">
        <v>444</v>
      </c>
      <c r="E2572" s="949">
        <v>305</v>
      </c>
      <c r="F2572" s="949">
        <v>305</v>
      </c>
      <c r="G2572" s="950" t="s">
        <v>7359</v>
      </c>
      <c r="H2572" s="950" t="s">
        <v>450</v>
      </c>
      <c r="I2572" s="951" t="s">
        <v>20950</v>
      </c>
      <c r="J2572" s="947" t="s">
        <v>20951</v>
      </c>
      <c r="K2572" s="143"/>
    </row>
    <row r="2573" spans="1:11">
      <c r="A2573" s="946" t="s">
        <v>28612</v>
      </c>
      <c r="B2573" s="947" t="s">
        <v>21035</v>
      </c>
      <c r="C2573" s="948" t="s">
        <v>21033</v>
      </c>
      <c r="D2573" s="242" t="s">
        <v>444</v>
      </c>
      <c r="E2573" s="949">
        <v>305</v>
      </c>
      <c r="F2573" s="949">
        <v>305</v>
      </c>
      <c r="G2573" s="950" t="s">
        <v>7359</v>
      </c>
      <c r="H2573" s="950" t="s">
        <v>450</v>
      </c>
      <c r="I2573" s="951" t="s">
        <v>21034</v>
      </c>
      <c r="J2573" s="947" t="s">
        <v>21035</v>
      </c>
      <c r="K2573" s="143"/>
    </row>
    <row r="2574" spans="1:11">
      <c r="A2574" s="946" t="s">
        <v>28612</v>
      </c>
      <c r="B2574" s="947" t="s">
        <v>21268</v>
      </c>
      <c r="C2574" s="948" t="s">
        <v>21266</v>
      </c>
      <c r="D2574" s="242" t="s">
        <v>444</v>
      </c>
      <c r="E2574" s="949">
        <v>305</v>
      </c>
      <c r="F2574" s="949">
        <v>305</v>
      </c>
      <c r="G2574" s="950" t="s">
        <v>7359</v>
      </c>
      <c r="H2574" s="950" t="s">
        <v>450</v>
      </c>
      <c r="I2574" s="951" t="s">
        <v>21267</v>
      </c>
      <c r="J2574" s="947" t="s">
        <v>21268</v>
      </c>
      <c r="K2574" s="143"/>
    </row>
    <row r="2575" spans="1:11">
      <c r="A2575" s="946" t="s">
        <v>28612</v>
      </c>
      <c r="B2575" s="947" t="s">
        <v>21274</v>
      </c>
      <c r="C2575" s="948" t="s">
        <v>21272</v>
      </c>
      <c r="D2575" s="242" t="s">
        <v>444</v>
      </c>
      <c r="E2575" s="949">
        <v>305</v>
      </c>
      <c r="F2575" s="949">
        <v>305</v>
      </c>
      <c r="G2575" s="950" t="s">
        <v>7359</v>
      </c>
      <c r="H2575" s="950" t="s">
        <v>450</v>
      </c>
      <c r="I2575" s="951" t="s">
        <v>21273</v>
      </c>
      <c r="J2575" s="947" t="s">
        <v>21274</v>
      </c>
      <c r="K2575" s="143"/>
    </row>
    <row r="2576" spans="1:11">
      <c r="A2576" s="946" t="s">
        <v>28612</v>
      </c>
      <c r="B2576" s="947" t="s">
        <v>21842</v>
      </c>
      <c r="C2576" s="948" t="s">
        <v>21840</v>
      </c>
      <c r="D2576" s="242" t="s">
        <v>444</v>
      </c>
      <c r="E2576" s="949">
        <v>305</v>
      </c>
      <c r="F2576" s="949">
        <v>305</v>
      </c>
      <c r="G2576" s="950" t="s">
        <v>7359</v>
      </c>
      <c r="H2576" s="950" t="s">
        <v>450</v>
      </c>
      <c r="I2576" s="951" t="s">
        <v>21841</v>
      </c>
      <c r="J2576" s="947" t="s">
        <v>21842</v>
      </c>
      <c r="K2576" s="143"/>
    </row>
    <row r="2577" spans="1:11">
      <c r="A2577" s="946" t="s">
        <v>28612</v>
      </c>
      <c r="B2577" s="947" t="s">
        <v>22501</v>
      </c>
      <c r="C2577" s="948" t="s">
        <v>22499</v>
      </c>
      <c r="D2577" s="242" t="s">
        <v>444</v>
      </c>
      <c r="E2577" s="949">
        <v>305</v>
      </c>
      <c r="F2577" s="949">
        <v>305</v>
      </c>
      <c r="G2577" s="950" t="s">
        <v>7359</v>
      </c>
      <c r="H2577" s="950" t="s">
        <v>450</v>
      </c>
      <c r="I2577" s="951" t="s">
        <v>22500</v>
      </c>
      <c r="J2577" s="947" t="s">
        <v>22501</v>
      </c>
      <c r="K2577" s="143"/>
    </row>
    <row r="2578" spans="1:11">
      <c r="A2578" s="946" t="s">
        <v>28612</v>
      </c>
      <c r="B2578" s="947" t="s">
        <v>22531</v>
      </c>
      <c r="C2578" s="948" t="s">
        <v>22529</v>
      </c>
      <c r="D2578" s="242" t="s">
        <v>444</v>
      </c>
      <c r="E2578" s="949">
        <v>305</v>
      </c>
      <c r="F2578" s="949">
        <v>305</v>
      </c>
      <c r="G2578" s="950" t="s">
        <v>7359</v>
      </c>
      <c r="H2578" s="950" t="s">
        <v>450</v>
      </c>
      <c r="I2578" s="951" t="s">
        <v>22530</v>
      </c>
      <c r="J2578" s="947" t="s">
        <v>22531</v>
      </c>
      <c r="K2578" s="143"/>
    </row>
    <row r="2579" spans="1:11">
      <c r="A2579" s="946" t="s">
        <v>28612</v>
      </c>
      <c r="B2579" s="947" t="s">
        <v>28636</v>
      </c>
      <c r="C2579" s="948" t="s">
        <v>28758</v>
      </c>
      <c r="D2579" s="242" t="s">
        <v>444</v>
      </c>
      <c r="E2579" s="949">
        <v>305</v>
      </c>
      <c r="F2579" s="949">
        <v>305</v>
      </c>
      <c r="G2579" s="950" t="s">
        <v>7359</v>
      </c>
      <c r="H2579" s="950" t="s">
        <v>450</v>
      </c>
      <c r="I2579" s="951" t="s">
        <v>28679</v>
      </c>
      <c r="J2579" s="947" t="s">
        <v>28636</v>
      </c>
      <c r="K2579" s="143"/>
    </row>
    <row r="2580" spans="1:11">
      <c r="A2580" s="946" t="s">
        <v>28612</v>
      </c>
      <c r="B2580" s="947" t="s">
        <v>457</v>
      </c>
      <c r="C2580" s="948" t="s">
        <v>453</v>
      </c>
      <c r="D2580" s="242" t="s">
        <v>454</v>
      </c>
      <c r="E2580" s="949">
        <v>309</v>
      </c>
      <c r="F2580" s="949">
        <v>309</v>
      </c>
      <c r="G2580" s="950" t="s">
        <v>11075</v>
      </c>
      <c r="H2580" s="950" t="s">
        <v>455</v>
      </c>
      <c r="I2580" s="951" t="s">
        <v>456</v>
      </c>
      <c r="J2580" s="947" t="s">
        <v>457</v>
      </c>
      <c r="K2580" s="143"/>
    </row>
    <row r="2581" spans="1:11">
      <c r="A2581" s="946" t="s">
        <v>28612</v>
      </c>
      <c r="B2581" s="947" t="s">
        <v>1562</v>
      </c>
      <c r="C2581" s="948" t="s">
        <v>1560</v>
      </c>
      <c r="D2581" s="242" t="s">
        <v>454</v>
      </c>
      <c r="E2581" s="949">
        <v>309</v>
      </c>
      <c r="F2581" s="949">
        <v>309</v>
      </c>
      <c r="G2581" s="950" t="s">
        <v>11075</v>
      </c>
      <c r="H2581" s="950" t="s">
        <v>455</v>
      </c>
      <c r="I2581" s="951" t="s">
        <v>1561</v>
      </c>
      <c r="J2581" s="947" t="s">
        <v>1562</v>
      </c>
      <c r="K2581" s="143"/>
    </row>
    <row r="2582" spans="1:11">
      <c r="A2582" s="946" t="s">
        <v>28612</v>
      </c>
      <c r="B2582" s="947" t="s">
        <v>1820</v>
      </c>
      <c r="C2582" s="948" t="s">
        <v>1818</v>
      </c>
      <c r="D2582" s="242" t="s">
        <v>454</v>
      </c>
      <c r="E2582" s="949">
        <v>309</v>
      </c>
      <c r="F2582" s="949">
        <v>309</v>
      </c>
      <c r="G2582" s="950" t="s">
        <v>11075</v>
      </c>
      <c r="H2582" s="950" t="s">
        <v>455</v>
      </c>
      <c r="I2582" s="951" t="s">
        <v>1819</v>
      </c>
      <c r="J2582" s="947" t="s">
        <v>1820</v>
      </c>
      <c r="K2582" s="143"/>
    </row>
    <row r="2583" spans="1:11">
      <c r="A2583" s="946" t="s">
        <v>28612</v>
      </c>
      <c r="B2583" s="947" t="s">
        <v>2940</v>
      </c>
      <c r="C2583" s="948" t="s">
        <v>2938</v>
      </c>
      <c r="D2583" s="242" t="s">
        <v>454</v>
      </c>
      <c r="E2583" s="949">
        <v>309</v>
      </c>
      <c r="F2583" s="949">
        <v>309</v>
      </c>
      <c r="G2583" s="950" t="s">
        <v>11075</v>
      </c>
      <c r="H2583" s="950" t="s">
        <v>455</v>
      </c>
      <c r="I2583" s="951" t="s">
        <v>2939</v>
      </c>
      <c r="J2583" s="947" t="s">
        <v>2940</v>
      </c>
      <c r="K2583" s="143"/>
    </row>
    <row r="2584" spans="1:11">
      <c r="A2584" s="946" t="s">
        <v>28612</v>
      </c>
      <c r="B2584" s="947" t="s">
        <v>3950</v>
      </c>
      <c r="C2584" s="948" t="s">
        <v>3948</v>
      </c>
      <c r="D2584" s="242" t="s">
        <v>454</v>
      </c>
      <c r="E2584" s="949">
        <v>309</v>
      </c>
      <c r="F2584" s="949">
        <v>309</v>
      </c>
      <c r="G2584" s="950" t="s">
        <v>11075</v>
      </c>
      <c r="H2584" s="950" t="s">
        <v>455</v>
      </c>
      <c r="I2584" s="951" t="s">
        <v>3949</v>
      </c>
      <c r="J2584" s="947" t="s">
        <v>3950</v>
      </c>
      <c r="K2584" s="143"/>
    </row>
    <row r="2585" spans="1:11">
      <c r="A2585" s="946" t="s">
        <v>28612</v>
      </c>
      <c r="B2585" s="947" t="s">
        <v>4616</v>
      </c>
      <c r="C2585" s="948" t="s">
        <v>4614</v>
      </c>
      <c r="D2585" s="242" t="s">
        <v>454</v>
      </c>
      <c r="E2585" s="949">
        <v>309</v>
      </c>
      <c r="F2585" s="949">
        <v>309</v>
      </c>
      <c r="G2585" s="950" t="s">
        <v>11075</v>
      </c>
      <c r="H2585" s="950" t="s">
        <v>455</v>
      </c>
      <c r="I2585" s="951" t="s">
        <v>4615</v>
      </c>
      <c r="J2585" s="947" t="s">
        <v>4616</v>
      </c>
      <c r="K2585" s="143"/>
    </row>
    <row r="2586" spans="1:11">
      <c r="A2586" s="946" t="s">
        <v>28612</v>
      </c>
      <c r="B2586" s="947" t="s">
        <v>4628</v>
      </c>
      <c r="C2586" s="948" t="s">
        <v>4626</v>
      </c>
      <c r="D2586" s="242" t="s">
        <v>454</v>
      </c>
      <c r="E2586" s="949">
        <v>309</v>
      </c>
      <c r="F2586" s="949">
        <v>309</v>
      </c>
      <c r="G2586" s="950" t="s">
        <v>11075</v>
      </c>
      <c r="H2586" s="950" t="s">
        <v>455</v>
      </c>
      <c r="I2586" s="951" t="s">
        <v>4627</v>
      </c>
      <c r="J2586" s="947" t="s">
        <v>4628</v>
      </c>
      <c r="K2586" s="143"/>
    </row>
    <row r="2587" spans="1:11">
      <c r="A2587" s="946" t="s">
        <v>28612</v>
      </c>
      <c r="B2587" s="947" t="s">
        <v>4634</v>
      </c>
      <c r="C2587" s="948" t="s">
        <v>4632</v>
      </c>
      <c r="D2587" s="242" t="s">
        <v>454</v>
      </c>
      <c r="E2587" s="949">
        <v>309</v>
      </c>
      <c r="F2587" s="949">
        <v>309</v>
      </c>
      <c r="G2587" s="950" t="s">
        <v>11075</v>
      </c>
      <c r="H2587" s="950" t="s">
        <v>455</v>
      </c>
      <c r="I2587" s="951" t="s">
        <v>4633</v>
      </c>
      <c r="J2587" s="947" t="s">
        <v>4634</v>
      </c>
      <c r="K2587" s="143"/>
    </row>
    <row r="2588" spans="1:11">
      <c r="A2588" s="946" t="s">
        <v>28612</v>
      </c>
      <c r="B2588" s="947" t="s">
        <v>5054</v>
      </c>
      <c r="C2588" s="948" t="s">
        <v>5052</v>
      </c>
      <c r="D2588" s="242" t="s">
        <v>454</v>
      </c>
      <c r="E2588" s="949">
        <v>309</v>
      </c>
      <c r="F2588" s="949">
        <v>309</v>
      </c>
      <c r="G2588" s="950" t="s">
        <v>11075</v>
      </c>
      <c r="H2588" s="950" t="s">
        <v>455</v>
      </c>
      <c r="I2588" s="951" t="s">
        <v>5053</v>
      </c>
      <c r="J2588" s="947" t="s">
        <v>5054</v>
      </c>
      <c r="K2588" s="143"/>
    </row>
    <row r="2589" spans="1:11">
      <c r="A2589" s="946" t="s">
        <v>28612</v>
      </c>
      <c r="B2589" s="947" t="s">
        <v>4931</v>
      </c>
      <c r="C2589" s="948" t="s">
        <v>4929</v>
      </c>
      <c r="D2589" s="242" t="s">
        <v>454</v>
      </c>
      <c r="E2589" s="949">
        <v>309</v>
      </c>
      <c r="F2589" s="949">
        <v>309</v>
      </c>
      <c r="G2589" s="950" t="s">
        <v>11075</v>
      </c>
      <c r="H2589" s="950" t="s">
        <v>455</v>
      </c>
      <c r="I2589" s="951" t="s">
        <v>4930</v>
      </c>
      <c r="J2589" s="947" t="s">
        <v>4931</v>
      </c>
      <c r="K2589" s="143"/>
    </row>
    <row r="2590" spans="1:11">
      <c r="A2590" s="946" t="s">
        <v>28612</v>
      </c>
      <c r="B2590" s="947" t="s">
        <v>4988</v>
      </c>
      <c r="C2590" s="948" t="s">
        <v>4986</v>
      </c>
      <c r="D2590" s="242" t="s">
        <v>454</v>
      </c>
      <c r="E2590" s="949">
        <v>309</v>
      </c>
      <c r="F2590" s="949">
        <v>309</v>
      </c>
      <c r="G2590" s="950" t="s">
        <v>11075</v>
      </c>
      <c r="H2590" s="950" t="s">
        <v>455</v>
      </c>
      <c r="I2590" s="951" t="s">
        <v>4987</v>
      </c>
      <c r="J2590" s="947" t="s">
        <v>4988</v>
      </c>
      <c r="K2590" s="143"/>
    </row>
    <row r="2591" spans="1:11">
      <c r="A2591" s="946" t="s">
        <v>28612</v>
      </c>
      <c r="B2591" s="947" t="s">
        <v>5275</v>
      </c>
      <c r="C2591" s="948" t="s">
        <v>5273</v>
      </c>
      <c r="D2591" s="242" t="s">
        <v>454</v>
      </c>
      <c r="E2591" s="949">
        <v>309</v>
      </c>
      <c r="F2591" s="949">
        <v>309</v>
      </c>
      <c r="G2591" s="950" t="s">
        <v>11075</v>
      </c>
      <c r="H2591" s="950" t="s">
        <v>455</v>
      </c>
      <c r="I2591" s="951" t="s">
        <v>5274</v>
      </c>
      <c r="J2591" s="947" t="s">
        <v>5275</v>
      </c>
      <c r="K2591" s="143"/>
    </row>
    <row r="2592" spans="1:11">
      <c r="A2592" s="946" t="s">
        <v>28612</v>
      </c>
      <c r="B2592" s="947" t="s">
        <v>5506</v>
      </c>
      <c r="C2592" s="948" t="s">
        <v>5504</v>
      </c>
      <c r="D2592" s="242" t="s">
        <v>454</v>
      </c>
      <c r="E2592" s="949">
        <v>309</v>
      </c>
      <c r="F2592" s="949">
        <v>309</v>
      </c>
      <c r="G2592" s="950" t="s">
        <v>11075</v>
      </c>
      <c r="H2592" s="950" t="s">
        <v>455</v>
      </c>
      <c r="I2592" s="951" t="s">
        <v>5505</v>
      </c>
      <c r="J2592" s="947" t="s">
        <v>5506</v>
      </c>
      <c r="K2592" s="143"/>
    </row>
    <row r="2593" spans="1:11">
      <c r="A2593" s="946" t="s">
        <v>28612</v>
      </c>
      <c r="B2593" s="947" t="s">
        <v>5733</v>
      </c>
      <c r="C2593" s="948" t="s">
        <v>5731</v>
      </c>
      <c r="D2593" s="242" t="s">
        <v>454</v>
      </c>
      <c r="E2593" s="949">
        <v>309</v>
      </c>
      <c r="F2593" s="949">
        <v>309</v>
      </c>
      <c r="G2593" s="950" t="s">
        <v>11075</v>
      </c>
      <c r="H2593" s="950" t="s">
        <v>455</v>
      </c>
      <c r="I2593" s="951" t="s">
        <v>5732</v>
      </c>
      <c r="J2593" s="947" t="s">
        <v>5733</v>
      </c>
      <c r="K2593" s="143"/>
    </row>
    <row r="2594" spans="1:11">
      <c r="A2594" s="946" t="s">
        <v>28612</v>
      </c>
      <c r="B2594" s="947" t="s">
        <v>5941</v>
      </c>
      <c r="C2594" s="948" t="s">
        <v>5939</v>
      </c>
      <c r="D2594" s="242" t="s">
        <v>454</v>
      </c>
      <c r="E2594" s="949">
        <v>309</v>
      </c>
      <c r="F2594" s="949">
        <v>309</v>
      </c>
      <c r="G2594" s="950" t="s">
        <v>11075</v>
      </c>
      <c r="H2594" s="950" t="s">
        <v>455</v>
      </c>
      <c r="I2594" s="951" t="s">
        <v>5940</v>
      </c>
      <c r="J2594" s="947" t="s">
        <v>5941</v>
      </c>
      <c r="K2594" s="143"/>
    </row>
    <row r="2595" spans="1:11">
      <c r="A2595" s="946" t="s">
        <v>28612</v>
      </c>
      <c r="B2595" s="947" t="s">
        <v>6905</v>
      </c>
      <c r="C2595" s="948" t="s">
        <v>6903</v>
      </c>
      <c r="D2595" s="242" t="s">
        <v>454</v>
      </c>
      <c r="E2595" s="949">
        <v>309</v>
      </c>
      <c r="F2595" s="949">
        <v>309</v>
      </c>
      <c r="G2595" s="950" t="s">
        <v>11075</v>
      </c>
      <c r="H2595" s="950" t="s">
        <v>455</v>
      </c>
      <c r="I2595" s="951" t="s">
        <v>6904</v>
      </c>
      <c r="J2595" s="947" t="s">
        <v>6905</v>
      </c>
      <c r="K2595" s="143"/>
    </row>
    <row r="2596" spans="1:11">
      <c r="A2596" s="946" t="s">
        <v>28612</v>
      </c>
      <c r="B2596" s="947" t="s">
        <v>7510</v>
      </c>
      <c r="C2596" s="948" t="s">
        <v>7508</v>
      </c>
      <c r="D2596" s="242" t="s">
        <v>454</v>
      </c>
      <c r="E2596" s="949">
        <v>309</v>
      </c>
      <c r="F2596" s="949">
        <v>309</v>
      </c>
      <c r="G2596" s="950" t="s">
        <v>11075</v>
      </c>
      <c r="H2596" s="950" t="s">
        <v>455</v>
      </c>
      <c r="I2596" s="951" t="s">
        <v>7509</v>
      </c>
      <c r="J2596" s="947" t="s">
        <v>7510</v>
      </c>
      <c r="K2596" s="143"/>
    </row>
    <row r="2597" spans="1:11">
      <c r="A2597" s="946" t="s">
        <v>28612</v>
      </c>
      <c r="B2597" s="947" t="s">
        <v>7742</v>
      </c>
      <c r="C2597" s="948" t="s">
        <v>7740</v>
      </c>
      <c r="D2597" s="242" t="s">
        <v>454</v>
      </c>
      <c r="E2597" s="949">
        <v>309</v>
      </c>
      <c r="F2597" s="949">
        <v>309</v>
      </c>
      <c r="G2597" s="950" t="s">
        <v>11075</v>
      </c>
      <c r="H2597" s="950" t="s">
        <v>455</v>
      </c>
      <c r="I2597" s="951" t="s">
        <v>7741</v>
      </c>
      <c r="J2597" s="947" t="s">
        <v>7742</v>
      </c>
      <c r="K2597" s="143"/>
    </row>
    <row r="2598" spans="1:11">
      <c r="A2598" s="946" t="s">
        <v>28612</v>
      </c>
      <c r="B2598" s="947" t="s">
        <v>9052</v>
      </c>
      <c r="C2598" s="948" t="s">
        <v>9050</v>
      </c>
      <c r="D2598" s="242" t="s">
        <v>454</v>
      </c>
      <c r="E2598" s="949">
        <v>309</v>
      </c>
      <c r="F2598" s="949">
        <v>309</v>
      </c>
      <c r="G2598" s="950" t="s">
        <v>11075</v>
      </c>
      <c r="H2598" s="950" t="s">
        <v>455</v>
      </c>
      <c r="I2598" s="951" t="s">
        <v>9051</v>
      </c>
      <c r="J2598" s="947" t="s">
        <v>9052</v>
      </c>
      <c r="K2598" s="143"/>
    </row>
    <row r="2599" spans="1:11">
      <c r="A2599" s="946" t="s">
        <v>28612</v>
      </c>
      <c r="B2599" s="947" t="s">
        <v>9070</v>
      </c>
      <c r="C2599" s="948" t="s">
        <v>9068</v>
      </c>
      <c r="D2599" s="242" t="s">
        <v>454</v>
      </c>
      <c r="E2599" s="949">
        <v>309</v>
      </c>
      <c r="F2599" s="949">
        <v>309</v>
      </c>
      <c r="G2599" s="950" t="s">
        <v>11075</v>
      </c>
      <c r="H2599" s="950" t="s">
        <v>455</v>
      </c>
      <c r="I2599" s="951" t="s">
        <v>9069</v>
      </c>
      <c r="J2599" s="947" t="s">
        <v>9070</v>
      </c>
      <c r="K2599" s="143"/>
    </row>
    <row r="2600" spans="1:11">
      <c r="A2600" s="946" t="s">
        <v>28612</v>
      </c>
      <c r="B2600" s="947" t="s">
        <v>9333</v>
      </c>
      <c r="C2600" s="948" t="s">
        <v>9331</v>
      </c>
      <c r="D2600" s="242" t="s">
        <v>454</v>
      </c>
      <c r="E2600" s="949">
        <v>309</v>
      </c>
      <c r="F2600" s="949">
        <v>309</v>
      </c>
      <c r="G2600" s="950" t="s">
        <v>11075</v>
      </c>
      <c r="H2600" s="950" t="s">
        <v>455</v>
      </c>
      <c r="I2600" s="951" t="s">
        <v>9332</v>
      </c>
      <c r="J2600" s="947" t="s">
        <v>9333</v>
      </c>
      <c r="K2600" s="143"/>
    </row>
    <row r="2601" spans="1:11">
      <c r="A2601" s="946" t="s">
        <v>28612</v>
      </c>
      <c r="B2601" s="947" t="s">
        <v>9358</v>
      </c>
      <c r="C2601" s="948" t="s">
        <v>9356</v>
      </c>
      <c r="D2601" s="242" t="s">
        <v>454</v>
      </c>
      <c r="E2601" s="949">
        <v>309</v>
      </c>
      <c r="F2601" s="949">
        <v>309</v>
      </c>
      <c r="G2601" s="950" t="s">
        <v>11075</v>
      </c>
      <c r="H2601" s="950" t="s">
        <v>455</v>
      </c>
      <c r="I2601" s="951" t="s">
        <v>9357</v>
      </c>
      <c r="J2601" s="947" t="s">
        <v>9358</v>
      </c>
      <c r="K2601" s="143"/>
    </row>
    <row r="2602" spans="1:11">
      <c r="A2602" s="946" t="s">
        <v>28612</v>
      </c>
      <c r="B2602" s="947" t="s">
        <v>9742</v>
      </c>
      <c r="C2602" s="948" t="s">
        <v>9740</v>
      </c>
      <c r="D2602" s="242" t="s">
        <v>454</v>
      </c>
      <c r="E2602" s="949">
        <v>309</v>
      </c>
      <c r="F2602" s="949">
        <v>309</v>
      </c>
      <c r="G2602" s="950" t="s">
        <v>11075</v>
      </c>
      <c r="H2602" s="950" t="s">
        <v>455</v>
      </c>
      <c r="I2602" s="951" t="s">
        <v>9741</v>
      </c>
      <c r="J2602" s="947" t="s">
        <v>9742</v>
      </c>
      <c r="K2602" s="143"/>
    </row>
    <row r="2603" spans="1:11">
      <c r="A2603" s="946" t="s">
        <v>28612</v>
      </c>
      <c r="B2603" s="947" t="s">
        <v>10908</v>
      </c>
      <c r="C2603" s="948" t="s">
        <v>10906</v>
      </c>
      <c r="D2603" s="242" t="s">
        <v>454</v>
      </c>
      <c r="E2603" s="949">
        <v>309</v>
      </c>
      <c r="F2603" s="949">
        <v>309</v>
      </c>
      <c r="G2603" s="950" t="s">
        <v>11075</v>
      </c>
      <c r="H2603" s="950" t="s">
        <v>455</v>
      </c>
      <c r="I2603" s="951" t="s">
        <v>10907</v>
      </c>
      <c r="J2603" s="947" t="s">
        <v>10908</v>
      </c>
      <c r="K2603" s="143"/>
    </row>
    <row r="2604" spans="1:11">
      <c r="A2604" s="946" t="s">
        <v>28612</v>
      </c>
      <c r="B2604" s="947" t="s">
        <v>11075</v>
      </c>
      <c r="C2604" s="948" t="s">
        <v>11073</v>
      </c>
      <c r="D2604" s="242" t="s">
        <v>454</v>
      </c>
      <c r="E2604" s="949">
        <v>309</v>
      </c>
      <c r="F2604" s="949">
        <v>309</v>
      </c>
      <c r="G2604" s="950" t="s">
        <v>11075</v>
      </c>
      <c r="H2604" s="950" t="s">
        <v>455</v>
      </c>
      <c r="I2604" s="951" t="s">
        <v>11074</v>
      </c>
      <c r="J2604" s="947" t="s">
        <v>11075</v>
      </c>
      <c r="K2604" s="143"/>
    </row>
    <row r="2605" spans="1:11">
      <c r="A2605" s="946" t="s">
        <v>28612</v>
      </c>
      <c r="B2605" s="947" t="s">
        <v>11134</v>
      </c>
      <c r="C2605" s="948" t="s">
        <v>11132</v>
      </c>
      <c r="D2605" s="242" t="s">
        <v>454</v>
      </c>
      <c r="E2605" s="949">
        <v>309</v>
      </c>
      <c r="F2605" s="949">
        <v>309</v>
      </c>
      <c r="G2605" s="950" t="s">
        <v>11075</v>
      </c>
      <c r="H2605" s="950" t="s">
        <v>455</v>
      </c>
      <c r="I2605" s="951" t="s">
        <v>11133</v>
      </c>
      <c r="J2605" s="947" t="s">
        <v>11134</v>
      </c>
      <c r="K2605" s="143"/>
    </row>
    <row r="2606" spans="1:11">
      <c r="A2606" s="946" t="s">
        <v>28612</v>
      </c>
      <c r="B2606" s="947" t="s">
        <v>11194</v>
      </c>
      <c r="C2606" s="948" t="s">
        <v>11192</v>
      </c>
      <c r="D2606" s="242" t="s">
        <v>454</v>
      </c>
      <c r="E2606" s="949">
        <v>309</v>
      </c>
      <c r="F2606" s="949">
        <v>309</v>
      </c>
      <c r="G2606" s="950" t="s">
        <v>11075</v>
      </c>
      <c r="H2606" s="950" t="s">
        <v>455</v>
      </c>
      <c r="I2606" s="951" t="s">
        <v>11193</v>
      </c>
      <c r="J2606" s="947" t="s">
        <v>11194</v>
      </c>
      <c r="K2606" s="143"/>
    </row>
    <row r="2607" spans="1:11">
      <c r="A2607" s="946" t="s">
        <v>28612</v>
      </c>
      <c r="B2607" s="947" t="s">
        <v>11228</v>
      </c>
      <c r="C2607" s="948" t="s">
        <v>11226</v>
      </c>
      <c r="D2607" s="242" t="s">
        <v>454</v>
      </c>
      <c r="E2607" s="949">
        <v>309</v>
      </c>
      <c r="F2607" s="949">
        <v>309</v>
      </c>
      <c r="G2607" s="950" t="s">
        <v>11075</v>
      </c>
      <c r="H2607" s="950" t="s">
        <v>455</v>
      </c>
      <c r="I2607" s="951" t="s">
        <v>11227</v>
      </c>
      <c r="J2607" s="947" t="s">
        <v>11228</v>
      </c>
      <c r="K2607" s="143"/>
    </row>
    <row r="2608" spans="1:11">
      <c r="A2608" s="946" t="s">
        <v>28612</v>
      </c>
      <c r="B2608" s="947" t="s">
        <v>11507</v>
      </c>
      <c r="C2608" s="948" t="s">
        <v>11505</v>
      </c>
      <c r="D2608" s="242" t="s">
        <v>454</v>
      </c>
      <c r="E2608" s="949">
        <v>309</v>
      </c>
      <c r="F2608" s="949">
        <v>309</v>
      </c>
      <c r="G2608" s="950" t="s">
        <v>11075</v>
      </c>
      <c r="H2608" s="950" t="s">
        <v>455</v>
      </c>
      <c r="I2608" s="951" t="s">
        <v>11506</v>
      </c>
      <c r="J2608" s="947" t="s">
        <v>11507</v>
      </c>
      <c r="K2608" s="143"/>
    </row>
    <row r="2609" spans="1:11">
      <c r="A2609" s="946" t="s">
        <v>28612</v>
      </c>
      <c r="B2609" s="947" t="s">
        <v>11894</v>
      </c>
      <c r="C2609" s="948" t="s">
        <v>11892</v>
      </c>
      <c r="D2609" s="242" t="s">
        <v>454</v>
      </c>
      <c r="E2609" s="949">
        <v>309</v>
      </c>
      <c r="F2609" s="949">
        <v>309</v>
      </c>
      <c r="G2609" s="950" t="s">
        <v>11075</v>
      </c>
      <c r="H2609" s="950" t="s">
        <v>455</v>
      </c>
      <c r="I2609" s="951" t="s">
        <v>11893</v>
      </c>
      <c r="J2609" s="947" t="s">
        <v>11894</v>
      </c>
      <c r="K2609" s="143"/>
    </row>
    <row r="2610" spans="1:11">
      <c r="A2610" s="946" t="s">
        <v>28612</v>
      </c>
      <c r="B2610" s="947" t="s">
        <v>12872</v>
      </c>
      <c r="C2610" s="948" t="s">
        <v>12870</v>
      </c>
      <c r="D2610" s="242" t="s">
        <v>454</v>
      </c>
      <c r="E2610" s="949">
        <v>309</v>
      </c>
      <c r="F2610" s="949">
        <v>309</v>
      </c>
      <c r="G2610" s="950" t="s">
        <v>11075</v>
      </c>
      <c r="H2610" s="950" t="s">
        <v>455</v>
      </c>
      <c r="I2610" s="951" t="s">
        <v>12871</v>
      </c>
      <c r="J2610" s="947" t="s">
        <v>12872</v>
      </c>
      <c r="K2610" s="143"/>
    </row>
    <row r="2611" spans="1:11">
      <c r="A2611" s="946" t="s">
        <v>28612</v>
      </c>
      <c r="B2611" s="947" t="s">
        <v>13062</v>
      </c>
      <c r="C2611" s="948" t="s">
        <v>13060</v>
      </c>
      <c r="D2611" s="242" t="s">
        <v>454</v>
      </c>
      <c r="E2611" s="949">
        <v>309</v>
      </c>
      <c r="F2611" s="949">
        <v>309</v>
      </c>
      <c r="G2611" s="950" t="s">
        <v>11075</v>
      </c>
      <c r="H2611" s="950" t="s">
        <v>455</v>
      </c>
      <c r="I2611" s="951" t="s">
        <v>13061</v>
      </c>
      <c r="J2611" s="947" t="s">
        <v>13062</v>
      </c>
      <c r="K2611" s="143"/>
    </row>
    <row r="2612" spans="1:11">
      <c r="A2612" s="946" t="s">
        <v>28612</v>
      </c>
      <c r="B2612" s="947" t="s">
        <v>13902</v>
      </c>
      <c r="C2612" s="948" t="s">
        <v>13900</v>
      </c>
      <c r="D2612" s="242" t="s">
        <v>454</v>
      </c>
      <c r="E2612" s="949">
        <v>309</v>
      </c>
      <c r="F2612" s="949">
        <v>309</v>
      </c>
      <c r="G2612" s="950" t="s">
        <v>11075</v>
      </c>
      <c r="H2612" s="950" t="s">
        <v>455</v>
      </c>
      <c r="I2612" s="951" t="s">
        <v>13901</v>
      </c>
      <c r="J2612" s="947" t="s">
        <v>13902</v>
      </c>
      <c r="K2612" s="143"/>
    </row>
    <row r="2613" spans="1:11">
      <c r="A2613" s="946" t="s">
        <v>28612</v>
      </c>
      <c r="B2613" s="947" t="s">
        <v>14420</v>
      </c>
      <c r="C2613" s="948" t="s">
        <v>14418</v>
      </c>
      <c r="D2613" s="242" t="s">
        <v>454</v>
      </c>
      <c r="E2613" s="949">
        <v>309</v>
      </c>
      <c r="F2613" s="949">
        <v>309</v>
      </c>
      <c r="G2613" s="950" t="s">
        <v>11075</v>
      </c>
      <c r="H2613" s="950" t="s">
        <v>455</v>
      </c>
      <c r="I2613" s="951" t="s">
        <v>14419</v>
      </c>
      <c r="J2613" s="947" t="s">
        <v>14420</v>
      </c>
      <c r="K2613" s="143"/>
    </row>
    <row r="2614" spans="1:11">
      <c r="A2614" s="946" t="s">
        <v>28612</v>
      </c>
      <c r="B2614" s="947" t="s">
        <v>15100</v>
      </c>
      <c r="C2614" s="948" t="s">
        <v>15098</v>
      </c>
      <c r="D2614" s="242" t="s">
        <v>454</v>
      </c>
      <c r="E2614" s="949">
        <v>309</v>
      </c>
      <c r="F2614" s="949">
        <v>309</v>
      </c>
      <c r="G2614" s="950" t="s">
        <v>11075</v>
      </c>
      <c r="H2614" s="950" t="s">
        <v>455</v>
      </c>
      <c r="I2614" s="951" t="s">
        <v>15099</v>
      </c>
      <c r="J2614" s="947" t="s">
        <v>15100</v>
      </c>
      <c r="K2614" s="143"/>
    </row>
    <row r="2615" spans="1:11">
      <c r="A2615" s="946" t="s">
        <v>28612</v>
      </c>
      <c r="B2615" s="947" t="s">
        <v>15196</v>
      </c>
      <c r="C2615" s="948" t="s">
        <v>15194</v>
      </c>
      <c r="D2615" s="242" t="s">
        <v>454</v>
      </c>
      <c r="E2615" s="949">
        <v>309</v>
      </c>
      <c r="F2615" s="949">
        <v>309</v>
      </c>
      <c r="G2615" s="950" t="s">
        <v>11075</v>
      </c>
      <c r="H2615" s="950" t="s">
        <v>455</v>
      </c>
      <c r="I2615" s="951" t="s">
        <v>15195</v>
      </c>
      <c r="J2615" s="947" t="s">
        <v>15196</v>
      </c>
      <c r="K2615" s="143"/>
    </row>
    <row r="2616" spans="1:11">
      <c r="A2616" s="946" t="s">
        <v>28612</v>
      </c>
      <c r="B2616" s="947" t="s">
        <v>15348</v>
      </c>
      <c r="C2616" s="948" t="s">
        <v>15346</v>
      </c>
      <c r="D2616" s="242" t="s">
        <v>454</v>
      </c>
      <c r="E2616" s="949">
        <v>309</v>
      </c>
      <c r="F2616" s="949">
        <v>309</v>
      </c>
      <c r="G2616" s="950" t="s">
        <v>11075</v>
      </c>
      <c r="H2616" s="950" t="s">
        <v>455</v>
      </c>
      <c r="I2616" s="951" t="s">
        <v>15347</v>
      </c>
      <c r="J2616" s="947" t="s">
        <v>15348</v>
      </c>
      <c r="K2616" s="143"/>
    </row>
    <row r="2617" spans="1:11">
      <c r="A2617" s="946" t="s">
        <v>28612</v>
      </c>
      <c r="B2617" s="947" t="s">
        <v>15463</v>
      </c>
      <c r="C2617" s="948" t="s">
        <v>15461</v>
      </c>
      <c r="D2617" s="242" t="s">
        <v>454</v>
      </c>
      <c r="E2617" s="949">
        <v>309</v>
      </c>
      <c r="F2617" s="949">
        <v>309</v>
      </c>
      <c r="G2617" s="950" t="s">
        <v>11075</v>
      </c>
      <c r="H2617" s="950" t="s">
        <v>455</v>
      </c>
      <c r="I2617" s="951" t="s">
        <v>15462</v>
      </c>
      <c r="J2617" s="947" t="s">
        <v>15463</v>
      </c>
      <c r="K2617" s="143"/>
    </row>
    <row r="2618" spans="1:11">
      <c r="A2618" s="946" t="s">
        <v>28612</v>
      </c>
      <c r="B2618" s="947" t="s">
        <v>15562</v>
      </c>
      <c r="C2618" s="948" t="s">
        <v>15560</v>
      </c>
      <c r="D2618" s="242" t="s">
        <v>454</v>
      </c>
      <c r="E2618" s="949">
        <v>309</v>
      </c>
      <c r="F2618" s="949">
        <v>309</v>
      </c>
      <c r="G2618" s="950" t="s">
        <v>11075</v>
      </c>
      <c r="H2618" s="950" t="s">
        <v>455</v>
      </c>
      <c r="I2618" s="951" t="s">
        <v>15561</v>
      </c>
      <c r="J2618" s="947" t="s">
        <v>15562</v>
      </c>
      <c r="K2618" s="143"/>
    </row>
    <row r="2619" spans="1:11">
      <c r="A2619" s="946" t="s">
        <v>28612</v>
      </c>
      <c r="B2619" s="947" t="s">
        <v>16004</v>
      </c>
      <c r="C2619" s="948" t="s">
        <v>16002</v>
      </c>
      <c r="D2619" s="242" t="s">
        <v>454</v>
      </c>
      <c r="E2619" s="949">
        <v>309</v>
      </c>
      <c r="F2619" s="949">
        <v>309</v>
      </c>
      <c r="G2619" s="950" t="s">
        <v>11075</v>
      </c>
      <c r="H2619" s="950" t="s">
        <v>455</v>
      </c>
      <c r="I2619" s="951" t="s">
        <v>16003</v>
      </c>
      <c r="J2619" s="947" t="s">
        <v>16004</v>
      </c>
      <c r="K2619" s="143"/>
    </row>
    <row r="2620" spans="1:11">
      <c r="A2620" s="946" t="s">
        <v>28612</v>
      </c>
      <c r="B2620" s="947" t="s">
        <v>16022</v>
      </c>
      <c r="C2620" s="948" t="s">
        <v>16020</v>
      </c>
      <c r="D2620" s="242" t="s">
        <v>454</v>
      </c>
      <c r="E2620" s="949">
        <v>309</v>
      </c>
      <c r="F2620" s="949">
        <v>309</v>
      </c>
      <c r="G2620" s="950" t="s">
        <v>11075</v>
      </c>
      <c r="H2620" s="950" t="s">
        <v>455</v>
      </c>
      <c r="I2620" s="951" t="s">
        <v>16021</v>
      </c>
      <c r="J2620" s="947" t="s">
        <v>16022</v>
      </c>
      <c r="K2620" s="143"/>
    </row>
    <row r="2621" spans="1:11">
      <c r="A2621" s="946" t="s">
        <v>28612</v>
      </c>
      <c r="B2621" s="947" t="s">
        <v>16166</v>
      </c>
      <c r="C2621" s="948" t="s">
        <v>16164</v>
      </c>
      <c r="D2621" s="242" t="s">
        <v>454</v>
      </c>
      <c r="E2621" s="949">
        <v>309</v>
      </c>
      <c r="F2621" s="949">
        <v>309</v>
      </c>
      <c r="G2621" s="950" t="s">
        <v>11075</v>
      </c>
      <c r="H2621" s="950" t="s">
        <v>455</v>
      </c>
      <c r="I2621" s="951" t="s">
        <v>16165</v>
      </c>
      <c r="J2621" s="947" t="s">
        <v>16166</v>
      </c>
      <c r="K2621" s="143"/>
    </row>
    <row r="2622" spans="1:11">
      <c r="A2622" s="946" t="s">
        <v>28612</v>
      </c>
      <c r="B2622" s="947" t="s">
        <v>16420</v>
      </c>
      <c r="C2622" s="948" t="s">
        <v>16418</v>
      </c>
      <c r="D2622" s="242" t="s">
        <v>454</v>
      </c>
      <c r="E2622" s="949">
        <v>309</v>
      </c>
      <c r="F2622" s="949">
        <v>309</v>
      </c>
      <c r="G2622" s="950" t="s">
        <v>11075</v>
      </c>
      <c r="H2622" s="950" t="s">
        <v>455</v>
      </c>
      <c r="I2622" s="951" t="s">
        <v>16419</v>
      </c>
      <c r="J2622" s="947" t="s">
        <v>16420</v>
      </c>
      <c r="K2622" s="143"/>
    </row>
    <row r="2623" spans="1:11">
      <c r="A2623" s="946" t="s">
        <v>28612</v>
      </c>
      <c r="B2623" s="947" t="s">
        <v>16767</v>
      </c>
      <c r="C2623" s="948" t="s">
        <v>16765</v>
      </c>
      <c r="D2623" s="242" t="s">
        <v>454</v>
      </c>
      <c r="E2623" s="949">
        <v>309</v>
      </c>
      <c r="F2623" s="949">
        <v>309</v>
      </c>
      <c r="G2623" s="950" t="s">
        <v>11075</v>
      </c>
      <c r="H2623" s="950" t="s">
        <v>455</v>
      </c>
      <c r="I2623" s="951" t="s">
        <v>16766</v>
      </c>
      <c r="J2623" s="947" t="s">
        <v>16767</v>
      </c>
      <c r="K2623" s="143"/>
    </row>
    <row r="2624" spans="1:11">
      <c r="A2624" s="946" t="s">
        <v>28612</v>
      </c>
      <c r="B2624" s="947" t="s">
        <v>16898</v>
      </c>
      <c r="C2624" s="948" t="s">
        <v>16896</v>
      </c>
      <c r="D2624" s="242" t="s">
        <v>454</v>
      </c>
      <c r="E2624" s="949">
        <v>309</v>
      </c>
      <c r="F2624" s="949">
        <v>309</v>
      </c>
      <c r="G2624" s="950" t="s">
        <v>11075</v>
      </c>
      <c r="H2624" s="950" t="s">
        <v>455</v>
      </c>
      <c r="I2624" s="951" t="s">
        <v>16897</v>
      </c>
      <c r="J2624" s="947" t="s">
        <v>16898</v>
      </c>
      <c r="K2624" s="143"/>
    </row>
    <row r="2625" spans="1:11">
      <c r="A2625" s="946" t="s">
        <v>28612</v>
      </c>
      <c r="B2625" s="947" t="s">
        <v>17039</v>
      </c>
      <c r="C2625" s="948" t="s">
        <v>17037</v>
      </c>
      <c r="D2625" s="242" t="s">
        <v>454</v>
      </c>
      <c r="E2625" s="949">
        <v>309</v>
      </c>
      <c r="F2625" s="949">
        <v>309</v>
      </c>
      <c r="G2625" s="950" t="s">
        <v>11075</v>
      </c>
      <c r="H2625" s="950" t="s">
        <v>455</v>
      </c>
      <c r="I2625" s="951" t="s">
        <v>17038</v>
      </c>
      <c r="J2625" s="947" t="s">
        <v>17039</v>
      </c>
      <c r="K2625" s="143"/>
    </row>
    <row r="2626" spans="1:11">
      <c r="A2626" s="946" t="s">
        <v>28612</v>
      </c>
      <c r="B2626" s="947" t="s">
        <v>17143</v>
      </c>
      <c r="C2626" s="948" t="s">
        <v>17141</v>
      </c>
      <c r="D2626" s="242" t="s">
        <v>454</v>
      </c>
      <c r="E2626" s="949">
        <v>309</v>
      </c>
      <c r="F2626" s="949">
        <v>309</v>
      </c>
      <c r="G2626" s="950" t="s">
        <v>11075</v>
      </c>
      <c r="H2626" s="950" t="s">
        <v>455</v>
      </c>
      <c r="I2626" s="951" t="s">
        <v>17142</v>
      </c>
      <c r="J2626" s="947" t="s">
        <v>17143</v>
      </c>
      <c r="K2626" s="143"/>
    </row>
    <row r="2627" spans="1:11">
      <c r="A2627" s="946" t="s">
        <v>28612</v>
      </c>
      <c r="B2627" s="947" t="s">
        <v>17392</v>
      </c>
      <c r="C2627" s="948" t="s">
        <v>17390</v>
      </c>
      <c r="D2627" s="242" t="s">
        <v>454</v>
      </c>
      <c r="E2627" s="949">
        <v>309</v>
      </c>
      <c r="F2627" s="949">
        <v>309</v>
      </c>
      <c r="G2627" s="950" t="s">
        <v>11075</v>
      </c>
      <c r="H2627" s="950" t="s">
        <v>455</v>
      </c>
      <c r="I2627" s="951" t="s">
        <v>17391</v>
      </c>
      <c r="J2627" s="947" t="s">
        <v>17392</v>
      </c>
      <c r="K2627" s="143"/>
    </row>
    <row r="2628" spans="1:11">
      <c r="A2628" s="946" t="s">
        <v>28612</v>
      </c>
      <c r="B2628" s="947" t="s">
        <v>17620</v>
      </c>
      <c r="C2628" s="948" t="s">
        <v>17618</v>
      </c>
      <c r="D2628" s="242" t="s">
        <v>454</v>
      </c>
      <c r="E2628" s="949">
        <v>309</v>
      </c>
      <c r="F2628" s="949">
        <v>309</v>
      </c>
      <c r="G2628" s="950" t="s">
        <v>11075</v>
      </c>
      <c r="H2628" s="950" t="s">
        <v>455</v>
      </c>
      <c r="I2628" s="951" t="s">
        <v>17619</v>
      </c>
      <c r="J2628" s="947" t="s">
        <v>17620</v>
      </c>
      <c r="K2628" s="143"/>
    </row>
    <row r="2629" spans="1:11">
      <c r="A2629" s="946" t="s">
        <v>28612</v>
      </c>
      <c r="B2629" s="947" t="s">
        <v>28633</v>
      </c>
      <c r="C2629" s="948" t="s">
        <v>28755</v>
      </c>
      <c r="D2629" s="242" t="s">
        <v>454</v>
      </c>
      <c r="E2629" s="949">
        <v>309</v>
      </c>
      <c r="F2629" s="949">
        <v>309</v>
      </c>
      <c r="G2629" s="950" t="s">
        <v>11075</v>
      </c>
      <c r="H2629" s="950" t="s">
        <v>455</v>
      </c>
      <c r="I2629" s="951" t="s">
        <v>17657</v>
      </c>
      <c r="J2629" s="947" t="s">
        <v>28633</v>
      </c>
      <c r="K2629" s="143"/>
    </row>
    <row r="2630" spans="1:11">
      <c r="A2630" s="946" t="s">
        <v>28612</v>
      </c>
      <c r="B2630" s="947" t="s">
        <v>17705</v>
      </c>
      <c r="C2630" s="948" t="s">
        <v>17703</v>
      </c>
      <c r="D2630" s="242" t="s">
        <v>454</v>
      </c>
      <c r="E2630" s="949">
        <v>309</v>
      </c>
      <c r="F2630" s="949">
        <v>309</v>
      </c>
      <c r="G2630" s="950" t="s">
        <v>11075</v>
      </c>
      <c r="H2630" s="950" t="s">
        <v>455</v>
      </c>
      <c r="I2630" s="951" t="s">
        <v>17704</v>
      </c>
      <c r="J2630" s="947" t="s">
        <v>17705</v>
      </c>
      <c r="K2630" s="143"/>
    </row>
    <row r="2631" spans="1:11">
      <c r="A2631" s="946" t="s">
        <v>28612</v>
      </c>
      <c r="B2631" s="947" t="s">
        <v>17895</v>
      </c>
      <c r="C2631" s="948" t="s">
        <v>17893</v>
      </c>
      <c r="D2631" s="242" t="s">
        <v>454</v>
      </c>
      <c r="E2631" s="949">
        <v>309</v>
      </c>
      <c r="F2631" s="949">
        <v>309</v>
      </c>
      <c r="G2631" s="950" t="s">
        <v>11075</v>
      </c>
      <c r="H2631" s="950" t="s">
        <v>455</v>
      </c>
      <c r="I2631" s="951" t="s">
        <v>17894</v>
      </c>
      <c r="J2631" s="947" t="s">
        <v>17895</v>
      </c>
      <c r="K2631" s="143"/>
    </row>
    <row r="2632" spans="1:11">
      <c r="A2632" s="946" t="s">
        <v>28612</v>
      </c>
      <c r="B2632" s="947" t="s">
        <v>19088</v>
      </c>
      <c r="C2632" s="948" t="s">
        <v>19086</v>
      </c>
      <c r="D2632" s="242" t="s">
        <v>454</v>
      </c>
      <c r="E2632" s="949">
        <v>309</v>
      </c>
      <c r="F2632" s="949">
        <v>309</v>
      </c>
      <c r="G2632" s="950" t="s">
        <v>11075</v>
      </c>
      <c r="H2632" s="950" t="s">
        <v>455</v>
      </c>
      <c r="I2632" s="951" t="s">
        <v>19087</v>
      </c>
      <c r="J2632" s="947" t="s">
        <v>19088</v>
      </c>
      <c r="K2632" s="143"/>
    </row>
    <row r="2633" spans="1:11">
      <c r="A2633" s="946" t="s">
        <v>28612</v>
      </c>
      <c r="B2633" s="947" t="s">
        <v>26177</v>
      </c>
      <c r="C2633" s="948" t="s">
        <v>26178</v>
      </c>
      <c r="D2633" s="242" t="s">
        <v>454</v>
      </c>
      <c r="E2633" s="949">
        <v>309</v>
      </c>
      <c r="F2633" s="949">
        <v>309</v>
      </c>
      <c r="G2633" s="950" t="s">
        <v>11075</v>
      </c>
      <c r="H2633" s="950" t="s">
        <v>455</v>
      </c>
      <c r="I2633" s="951" t="s">
        <v>19301</v>
      </c>
      <c r="J2633" s="947" t="s">
        <v>26177</v>
      </c>
      <c r="K2633" s="143"/>
    </row>
    <row r="2634" spans="1:11">
      <c r="A2634" s="946" t="s">
        <v>28612</v>
      </c>
      <c r="B2634" s="947" t="s">
        <v>19367</v>
      </c>
      <c r="C2634" s="948" t="s">
        <v>19365</v>
      </c>
      <c r="D2634" s="242" t="s">
        <v>454</v>
      </c>
      <c r="E2634" s="949">
        <v>309</v>
      </c>
      <c r="F2634" s="949">
        <v>309</v>
      </c>
      <c r="G2634" s="950" t="s">
        <v>11075</v>
      </c>
      <c r="H2634" s="950" t="s">
        <v>455</v>
      </c>
      <c r="I2634" s="951" t="s">
        <v>19366</v>
      </c>
      <c r="J2634" s="947" t="s">
        <v>19367</v>
      </c>
      <c r="K2634" s="143"/>
    </row>
    <row r="2635" spans="1:11">
      <c r="A2635" s="946" t="s">
        <v>28612</v>
      </c>
      <c r="B2635" s="947" t="s">
        <v>19657</v>
      </c>
      <c r="C2635" s="948" t="s">
        <v>19655</v>
      </c>
      <c r="D2635" s="242" t="s">
        <v>454</v>
      </c>
      <c r="E2635" s="949">
        <v>309</v>
      </c>
      <c r="F2635" s="949">
        <v>309</v>
      </c>
      <c r="G2635" s="950" t="s">
        <v>11075</v>
      </c>
      <c r="H2635" s="950" t="s">
        <v>455</v>
      </c>
      <c r="I2635" s="951" t="s">
        <v>19656</v>
      </c>
      <c r="J2635" s="947" t="s">
        <v>19657</v>
      </c>
      <c r="K2635" s="143"/>
    </row>
    <row r="2636" spans="1:11">
      <c r="A2636" s="946" t="s">
        <v>28612</v>
      </c>
      <c r="B2636" s="947" t="s">
        <v>20139</v>
      </c>
      <c r="C2636" s="948" t="s">
        <v>20137</v>
      </c>
      <c r="D2636" s="242" t="s">
        <v>454</v>
      </c>
      <c r="E2636" s="949">
        <v>309</v>
      </c>
      <c r="F2636" s="949">
        <v>309</v>
      </c>
      <c r="G2636" s="950" t="s">
        <v>11075</v>
      </c>
      <c r="H2636" s="950" t="s">
        <v>455</v>
      </c>
      <c r="I2636" s="951" t="s">
        <v>20138</v>
      </c>
      <c r="J2636" s="947" t="s">
        <v>20139</v>
      </c>
      <c r="K2636" s="143"/>
    </row>
    <row r="2637" spans="1:11">
      <c r="A2637" s="946" t="s">
        <v>28612</v>
      </c>
      <c r="B2637" s="947" t="s">
        <v>20154</v>
      </c>
      <c r="C2637" s="948" t="s">
        <v>20152</v>
      </c>
      <c r="D2637" s="242" t="s">
        <v>454</v>
      </c>
      <c r="E2637" s="949">
        <v>309</v>
      </c>
      <c r="F2637" s="949">
        <v>309</v>
      </c>
      <c r="G2637" s="950" t="s">
        <v>11075</v>
      </c>
      <c r="H2637" s="950" t="s">
        <v>455</v>
      </c>
      <c r="I2637" s="951" t="s">
        <v>20153</v>
      </c>
      <c r="J2637" s="947" t="s">
        <v>20154</v>
      </c>
      <c r="K2637" s="143"/>
    </row>
    <row r="2638" spans="1:11">
      <c r="A2638" s="946" t="s">
        <v>28612</v>
      </c>
      <c r="B2638" s="947" t="s">
        <v>21884</v>
      </c>
      <c r="C2638" s="948" t="s">
        <v>21882</v>
      </c>
      <c r="D2638" s="242" t="s">
        <v>454</v>
      </c>
      <c r="E2638" s="949">
        <v>309</v>
      </c>
      <c r="F2638" s="949">
        <v>309</v>
      </c>
      <c r="G2638" s="950" t="s">
        <v>11075</v>
      </c>
      <c r="H2638" s="950" t="s">
        <v>455</v>
      </c>
      <c r="I2638" s="951" t="s">
        <v>21883</v>
      </c>
      <c r="J2638" s="947" t="s">
        <v>21884</v>
      </c>
      <c r="K2638" s="143"/>
    </row>
    <row r="2639" spans="1:11">
      <c r="A2639" s="946" t="s">
        <v>28612</v>
      </c>
      <c r="B2639" s="947" t="s">
        <v>22349</v>
      </c>
      <c r="C2639" s="948" t="s">
        <v>22347</v>
      </c>
      <c r="D2639" s="242" t="s">
        <v>454</v>
      </c>
      <c r="E2639" s="949">
        <v>309</v>
      </c>
      <c r="F2639" s="949">
        <v>309</v>
      </c>
      <c r="G2639" s="950" t="s">
        <v>11075</v>
      </c>
      <c r="H2639" s="950" t="s">
        <v>455</v>
      </c>
      <c r="I2639" s="951" t="s">
        <v>22348</v>
      </c>
      <c r="J2639" s="947" t="s">
        <v>22349</v>
      </c>
      <c r="K2639" s="143"/>
    </row>
    <row r="2640" spans="1:11">
      <c r="A2640" s="946" t="s">
        <v>28612</v>
      </c>
      <c r="B2640" s="947" t="s">
        <v>22519</v>
      </c>
      <c r="C2640" s="948" t="s">
        <v>22517</v>
      </c>
      <c r="D2640" s="242" t="s">
        <v>454</v>
      </c>
      <c r="E2640" s="949">
        <v>309</v>
      </c>
      <c r="F2640" s="949">
        <v>309</v>
      </c>
      <c r="G2640" s="950" t="s">
        <v>11075</v>
      </c>
      <c r="H2640" s="950" t="s">
        <v>455</v>
      </c>
      <c r="I2640" s="951" t="s">
        <v>22518</v>
      </c>
      <c r="J2640" s="947" t="s">
        <v>22519</v>
      </c>
      <c r="K2640" s="143"/>
    </row>
    <row r="2641" spans="1:11">
      <c r="A2641" s="946" t="s">
        <v>28612</v>
      </c>
      <c r="B2641" s="947" t="s">
        <v>24915</v>
      </c>
      <c r="C2641" s="948" t="s">
        <v>26179</v>
      </c>
      <c r="D2641" s="242" t="s">
        <v>454</v>
      </c>
      <c r="E2641" s="949">
        <v>309</v>
      </c>
      <c r="F2641" s="949">
        <v>309</v>
      </c>
      <c r="G2641" s="950" t="s">
        <v>11075</v>
      </c>
      <c r="H2641" s="950" t="s">
        <v>455</v>
      </c>
      <c r="I2641" s="951" t="s">
        <v>24916</v>
      </c>
      <c r="J2641" s="947" t="s">
        <v>24915</v>
      </c>
      <c r="K2641" s="143"/>
    </row>
    <row r="2642" spans="1:11">
      <c r="A2642" s="946" t="s">
        <v>28612</v>
      </c>
      <c r="B2642" s="947" t="s">
        <v>28631</v>
      </c>
      <c r="C2642" s="948" t="s">
        <v>28753</v>
      </c>
      <c r="D2642" s="242" t="s">
        <v>454</v>
      </c>
      <c r="E2642" s="949">
        <v>309</v>
      </c>
      <c r="F2642" s="949">
        <v>309</v>
      </c>
      <c r="G2642" s="950" t="s">
        <v>11075</v>
      </c>
      <c r="H2642" s="950" t="s">
        <v>455</v>
      </c>
      <c r="I2642" s="951" t="s">
        <v>28675</v>
      </c>
      <c r="J2642" s="947" t="s">
        <v>28631</v>
      </c>
      <c r="K2642" s="143"/>
    </row>
    <row r="2643" spans="1:11">
      <c r="A2643" s="946" t="s">
        <v>28612</v>
      </c>
      <c r="B2643" s="947" t="s">
        <v>28632</v>
      </c>
      <c r="C2643" s="948" t="s">
        <v>28754</v>
      </c>
      <c r="D2643" s="242" t="s">
        <v>454</v>
      </c>
      <c r="E2643" s="949">
        <v>309</v>
      </c>
      <c r="F2643" s="949">
        <v>309</v>
      </c>
      <c r="G2643" s="950" t="s">
        <v>11075</v>
      </c>
      <c r="H2643" s="950" t="s">
        <v>455</v>
      </c>
      <c r="I2643" s="951" t="s">
        <v>28676</v>
      </c>
      <c r="J2643" s="947" t="s">
        <v>28632</v>
      </c>
      <c r="K2643" s="143"/>
    </row>
    <row r="2644" spans="1:11">
      <c r="A2644" s="946" t="s">
        <v>32007</v>
      </c>
      <c r="B2644" s="947" t="s">
        <v>32008</v>
      </c>
      <c r="C2644" s="948" t="s">
        <v>32009</v>
      </c>
      <c r="D2644" s="242" t="s">
        <v>32010</v>
      </c>
      <c r="E2644" s="949">
        <v>402</v>
      </c>
      <c r="F2644" s="949">
        <v>402</v>
      </c>
      <c r="G2644" s="950" t="s">
        <v>26409</v>
      </c>
      <c r="H2644" s="950" t="s">
        <v>873</v>
      </c>
      <c r="I2644" s="951" t="s">
        <v>874</v>
      </c>
      <c r="J2644" s="947" t="s">
        <v>32008</v>
      </c>
      <c r="K2644" s="143"/>
    </row>
    <row r="2645" spans="1:11">
      <c r="A2645" s="946" t="s">
        <v>32007</v>
      </c>
      <c r="B2645" s="947" t="s">
        <v>32011</v>
      </c>
      <c r="C2645" s="948" t="s">
        <v>32012</v>
      </c>
      <c r="D2645" s="242" t="s">
        <v>32010</v>
      </c>
      <c r="E2645" s="949">
        <v>402</v>
      </c>
      <c r="F2645" s="949">
        <v>402</v>
      </c>
      <c r="G2645" s="950" t="s">
        <v>26409</v>
      </c>
      <c r="H2645" s="950" t="s">
        <v>873</v>
      </c>
      <c r="I2645" s="951" t="s">
        <v>1148</v>
      </c>
      <c r="J2645" s="947" t="s">
        <v>32011</v>
      </c>
      <c r="K2645" s="143"/>
    </row>
    <row r="2646" spans="1:11">
      <c r="A2646" s="946" t="s">
        <v>32007</v>
      </c>
      <c r="B2646" s="947" t="s">
        <v>32013</v>
      </c>
      <c r="C2646" s="948" t="s">
        <v>32014</v>
      </c>
      <c r="D2646" s="242" t="s">
        <v>32010</v>
      </c>
      <c r="E2646" s="949">
        <v>402</v>
      </c>
      <c r="F2646" s="949">
        <v>402</v>
      </c>
      <c r="G2646" s="950" t="s">
        <v>26409</v>
      </c>
      <c r="H2646" s="950" t="s">
        <v>873</v>
      </c>
      <c r="I2646" s="951" t="s">
        <v>1195</v>
      </c>
      <c r="J2646" s="947" t="s">
        <v>32013</v>
      </c>
      <c r="K2646" s="143"/>
    </row>
    <row r="2647" spans="1:11">
      <c r="A2647" s="946" t="s">
        <v>32007</v>
      </c>
      <c r="B2647" s="947" t="s">
        <v>32015</v>
      </c>
      <c r="C2647" s="948" t="s">
        <v>32016</v>
      </c>
      <c r="D2647" s="242" t="s">
        <v>32010</v>
      </c>
      <c r="E2647" s="949">
        <v>402</v>
      </c>
      <c r="F2647" s="949">
        <v>402</v>
      </c>
      <c r="G2647" s="950" t="s">
        <v>26409</v>
      </c>
      <c r="H2647" s="950" t="s">
        <v>873</v>
      </c>
      <c r="I2647" s="951" t="s">
        <v>1254</v>
      </c>
      <c r="J2647" s="947" t="s">
        <v>32015</v>
      </c>
      <c r="K2647" s="143"/>
    </row>
    <row r="2648" spans="1:11">
      <c r="A2648" s="946" t="s">
        <v>32007</v>
      </c>
      <c r="B2648" s="947" t="s">
        <v>32017</v>
      </c>
      <c r="C2648" s="948" t="s">
        <v>32018</v>
      </c>
      <c r="D2648" s="242" t="s">
        <v>32010</v>
      </c>
      <c r="E2648" s="949">
        <v>402</v>
      </c>
      <c r="F2648" s="949">
        <v>402</v>
      </c>
      <c r="G2648" s="950" t="s">
        <v>26409</v>
      </c>
      <c r="H2648" s="950" t="s">
        <v>873</v>
      </c>
      <c r="I2648" s="951" t="s">
        <v>1647</v>
      </c>
      <c r="J2648" s="947" t="s">
        <v>32017</v>
      </c>
      <c r="K2648" s="143"/>
    </row>
    <row r="2649" spans="1:11">
      <c r="A2649" s="946" t="s">
        <v>32007</v>
      </c>
      <c r="B2649" s="947" t="s">
        <v>32019</v>
      </c>
      <c r="C2649" s="948" t="s">
        <v>32020</v>
      </c>
      <c r="D2649" s="242" t="s">
        <v>32010</v>
      </c>
      <c r="E2649" s="949">
        <v>403</v>
      </c>
      <c r="F2649" s="949">
        <v>403</v>
      </c>
      <c r="G2649" s="950" t="s">
        <v>26409</v>
      </c>
      <c r="H2649" s="950" t="s">
        <v>873</v>
      </c>
      <c r="I2649" s="951" t="s">
        <v>1737</v>
      </c>
      <c r="J2649" s="947" t="s">
        <v>32019</v>
      </c>
      <c r="K2649" s="143"/>
    </row>
    <row r="2650" spans="1:11">
      <c r="A2650" s="946" t="s">
        <v>32007</v>
      </c>
      <c r="B2650" s="947" t="s">
        <v>32021</v>
      </c>
      <c r="C2650" s="948" t="s">
        <v>32022</v>
      </c>
      <c r="D2650" s="242" t="s">
        <v>32010</v>
      </c>
      <c r="E2650" s="949">
        <v>405</v>
      </c>
      <c r="F2650" s="949">
        <v>405</v>
      </c>
      <c r="G2650" s="950" t="s">
        <v>26409</v>
      </c>
      <c r="H2650" s="950" t="s">
        <v>873</v>
      </c>
      <c r="I2650" s="951" t="s">
        <v>1944</v>
      </c>
      <c r="J2650" s="947" t="s">
        <v>32021</v>
      </c>
      <c r="K2650" s="143"/>
    </row>
    <row r="2651" spans="1:11">
      <c r="A2651" s="946" t="s">
        <v>32007</v>
      </c>
      <c r="B2651" s="947" t="s">
        <v>32023</v>
      </c>
      <c r="C2651" s="948" t="s">
        <v>32024</v>
      </c>
      <c r="D2651" s="242" t="s">
        <v>32010</v>
      </c>
      <c r="E2651" s="949">
        <v>402</v>
      </c>
      <c r="F2651" s="949">
        <v>402</v>
      </c>
      <c r="G2651" s="950" t="s">
        <v>26409</v>
      </c>
      <c r="H2651" s="950" t="s">
        <v>873</v>
      </c>
      <c r="I2651" s="951" t="s">
        <v>2599</v>
      </c>
      <c r="J2651" s="947" t="s">
        <v>32023</v>
      </c>
      <c r="K2651" s="143"/>
    </row>
    <row r="2652" spans="1:11">
      <c r="A2652" s="946" t="s">
        <v>32007</v>
      </c>
      <c r="B2652" s="947" t="s">
        <v>32025</v>
      </c>
      <c r="C2652" s="948" t="s">
        <v>32026</v>
      </c>
      <c r="D2652" s="242" t="s">
        <v>32010</v>
      </c>
      <c r="E2652" s="949">
        <v>403</v>
      </c>
      <c r="F2652" s="949">
        <v>403</v>
      </c>
      <c r="G2652" s="950" t="s">
        <v>26409</v>
      </c>
      <c r="H2652" s="950" t="s">
        <v>873</v>
      </c>
      <c r="I2652" s="951" t="s">
        <v>2953</v>
      </c>
      <c r="J2652" s="947" t="s">
        <v>32025</v>
      </c>
      <c r="K2652" s="143"/>
    </row>
    <row r="2653" spans="1:11">
      <c r="A2653" s="946" t="s">
        <v>32007</v>
      </c>
      <c r="B2653" s="947" t="s">
        <v>32027</v>
      </c>
      <c r="C2653" s="948" t="s">
        <v>32028</v>
      </c>
      <c r="D2653" s="242" t="s">
        <v>32010</v>
      </c>
      <c r="E2653" s="949">
        <v>405</v>
      </c>
      <c r="F2653" s="949">
        <v>405</v>
      </c>
      <c r="G2653" s="950" t="s">
        <v>26409</v>
      </c>
      <c r="H2653" s="950" t="s">
        <v>873</v>
      </c>
      <c r="I2653" s="951" t="s">
        <v>3002</v>
      </c>
      <c r="J2653" s="947" t="s">
        <v>32027</v>
      </c>
      <c r="K2653" s="143"/>
    </row>
    <row r="2654" spans="1:11">
      <c r="A2654" s="946" t="s">
        <v>32007</v>
      </c>
      <c r="B2654" s="947" t="s">
        <v>32029</v>
      </c>
      <c r="C2654" s="948" t="s">
        <v>32030</v>
      </c>
      <c r="D2654" s="242" t="s">
        <v>32010</v>
      </c>
      <c r="E2654" s="949">
        <v>405</v>
      </c>
      <c r="F2654" s="949">
        <v>405</v>
      </c>
      <c r="G2654" s="950" t="s">
        <v>26409</v>
      </c>
      <c r="H2654" s="950" t="s">
        <v>873</v>
      </c>
      <c r="I2654" s="951" t="s">
        <v>3028</v>
      </c>
      <c r="J2654" s="947" t="s">
        <v>32029</v>
      </c>
      <c r="K2654" s="143"/>
    </row>
    <row r="2655" spans="1:11">
      <c r="A2655" s="946" t="s">
        <v>32007</v>
      </c>
      <c r="B2655" s="947" t="s">
        <v>32031</v>
      </c>
      <c r="C2655" s="948" t="s">
        <v>32032</v>
      </c>
      <c r="D2655" s="242" t="s">
        <v>32010</v>
      </c>
      <c r="E2655" s="949">
        <v>402</v>
      </c>
      <c r="F2655" s="949">
        <v>402</v>
      </c>
      <c r="G2655" s="950" t="s">
        <v>26409</v>
      </c>
      <c r="H2655" s="950" t="s">
        <v>873</v>
      </c>
      <c r="I2655" s="951" t="s">
        <v>3117</v>
      </c>
      <c r="J2655" s="947" t="s">
        <v>32031</v>
      </c>
      <c r="K2655" s="143"/>
    </row>
    <row r="2656" spans="1:11">
      <c r="A2656" s="946" t="s">
        <v>32007</v>
      </c>
      <c r="B2656" s="947" t="s">
        <v>32033</v>
      </c>
      <c r="C2656" s="948" t="s">
        <v>32034</v>
      </c>
      <c r="D2656" s="242" t="s">
        <v>32010</v>
      </c>
      <c r="E2656" s="949">
        <v>403</v>
      </c>
      <c r="F2656" s="949">
        <v>403</v>
      </c>
      <c r="G2656" s="950" t="s">
        <v>26409</v>
      </c>
      <c r="H2656" s="950" t="s">
        <v>873</v>
      </c>
      <c r="I2656" s="951" t="s">
        <v>3152</v>
      </c>
      <c r="J2656" s="947" t="s">
        <v>32033</v>
      </c>
      <c r="K2656" s="143"/>
    </row>
    <row r="2657" spans="1:11">
      <c r="A2657" s="946" t="s">
        <v>32007</v>
      </c>
      <c r="B2657" s="947" t="s">
        <v>32035</v>
      </c>
      <c r="C2657" s="948" t="s">
        <v>32036</v>
      </c>
      <c r="D2657" s="242" t="s">
        <v>32010</v>
      </c>
      <c r="E2657" s="949">
        <v>402</v>
      </c>
      <c r="F2657" s="949">
        <v>402</v>
      </c>
      <c r="G2657" s="950" t="s">
        <v>26409</v>
      </c>
      <c r="H2657" s="950" t="s">
        <v>873</v>
      </c>
      <c r="I2657" s="951" t="s">
        <v>3391</v>
      </c>
      <c r="J2657" s="947" t="s">
        <v>32035</v>
      </c>
      <c r="K2657" s="143"/>
    </row>
    <row r="2658" spans="1:11">
      <c r="A2658" s="946" t="s">
        <v>32007</v>
      </c>
      <c r="B2658" s="947" t="s">
        <v>32037</v>
      </c>
      <c r="C2658" s="948" t="s">
        <v>32038</v>
      </c>
      <c r="D2658" s="242" t="s">
        <v>32010</v>
      </c>
      <c r="E2658" s="949">
        <v>402</v>
      </c>
      <c r="F2658" s="949">
        <v>402</v>
      </c>
      <c r="G2658" s="950" t="s">
        <v>26409</v>
      </c>
      <c r="H2658" s="950" t="s">
        <v>873</v>
      </c>
      <c r="I2658" s="951" t="s">
        <v>3466</v>
      </c>
      <c r="J2658" s="947" t="s">
        <v>32037</v>
      </c>
      <c r="K2658" s="143"/>
    </row>
    <row r="2659" spans="1:11">
      <c r="A2659" s="946" t="s">
        <v>32007</v>
      </c>
      <c r="B2659" s="947" t="s">
        <v>32039</v>
      </c>
      <c r="C2659" s="948" t="s">
        <v>32040</v>
      </c>
      <c r="D2659" s="242" t="s">
        <v>32010</v>
      </c>
      <c r="E2659" s="949">
        <v>405</v>
      </c>
      <c r="F2659" s="949">
        <v>405</v>
      </c>
      <c r="G2659" s="950" t="s">
        <v>26409</v>
      </c>
      <c r="H2659" s="950" t="s">
        <v>873</v>
      </c>
      <c r="I2659" s="951" t="s">
        <v>3731</v>
      </c>
      <c r="J2659" s="947" t="s">
        <v>32039</v>
      </c>
      <c r="K2659" s="143"/>
    </row>
    <row r="2660" spans="1:11">
      <c r="A2660" s="946" t="s">
        <v>32007</v>
      </c>
      <c r="B2660" s="947" t="s">
        <v>32041</v>
      </c>
      <c r="C2660" s="948" t="s">
        <v>32042</v>
      </c>
      <c r="D2660" s="242" t="s">
        <v>32010</v>
      </c>
      <c r="E2660" s="949">
        <v>403</v>
      </c>
      <c r="F2660" s="949">
        <v>403</v>
      </c>
      <c r="G2660" s="950" t="s">
        <v>26409</v>
      </c>
      <c r="H2660" s="950" t="s">
        <v>873</v>
      </c>
      <c r="I2660" s="951" t="s">
        <v>3741</v>
      </c>
      <c r="J2660" s="947" t="s">
        <v>32041</v>
      </c>
      <c r="K2660" s="143"/>
    </row>
    <row r="2661" spans="1:11">
      <c r="A2661" s="946" t="s">
        <v>32007</v>
      </c>
      <c r="B2661" s="947" t="s">
        <v>32043</v>
      </c>
      <c r="C2661" s="948" t="s">
        <v>32044</v>
      </c>
      <c r="D2661" s="242" t="s">
        <v>32010</v>
      </c>
      <c r="E2661" s="949">
        <v>404</v>
      </c>
      <c r="F2661" s="949">
        <v>404</v>
      </c>
      <c r="G2661" s="950" t="s">
        <v>26409</v>
      </c>
      <c r="H2661" s="950" t="s">
        <v>873</v>
      </c>
      <c r="I2661" s="951" t="s">
        <v>5058</v>
      </c>
      <c r="J2661" s="947" t="s">
        <v>32043</v>
      </c>
      <c r="K2661" s="143"/>
    </row>
    <row r="2662" spans="1:11">
      <c r="A2662" s="946" t="s">
        <v>32007</v>
      </c>
      <c r="B2662" s="947" t="s">
        <v>32045</v>
      </c>
      <c r="C2662" s="948" t="s">
        <v>32046</v>
      </c>
      <c r="D2662" s="242" t="s">
        <v>32010</v>
      </c>
      <c r="E2662" s="949">
        <v>402</v>
      </c>
      <c r="F2662" s="949">
        <v>402</v>
      </c>
      <c r="G2662" s="950" t="s">
        <v>26409</v>
      </c>
      <c r="H2662" s="950" t="s">
        <v>873</v>
      </c>
      <c r="I2662" s="951" t="s">
        <v>5408</v>
      </c>
      <c r="J2662" s="947" t="s">
        <v>32045</v>
      </c>
      <c r="K2662" s="143"/>
    </row>
    <row r="2663" spans="1:11">
      <c r="A2663" s="946" t="s">
        <v>32007</v>
      </c>
      <c r="B2663" s="947" t="s">
        <v>32047</v>
      </c>
      <c r="C2663" s="948" t="s">
        <v>32048</v>
      </c>
      <c r="D2663" s="242" t="s">
        <v>32010</v>
      </c>
      <c r="E2663" s="949">
        <v>402</v>
      </c>
      <c r="F2663" s="949">
        <v>402</v>
      </c>
      <c r="G2663" s="950" t="s">
        <v>26409</v>
      </c>
      <c r="H2663" s="950" t="s">
        <v>873</v>
      </c>
      <c r="I2663" s="951" t="s">
        <v>5980</v>
      </c>
      <c r="J2663" s="947" t="s">
        <v>32047</v>
      </c>
      <c r="K2663" s="143"/>
    </row>
    <row r="2664" spans="1:11">
      <c r="A2664" s="946" t="s">
        <v>32007</v>
      </c>
      <c r="B2664" s="947" t="s">
        <v>32049</v>
      </c>
      <c r="C2664" s="948" t="s">
        <v>32050</v>
      </c>
      <c r="D2664" s="242" t="s">
        <v>32010</v>
      </c>
      <c r="E2664" s="949">
        <v>403</v>
      </c>
      <c r="F2664" s="949">
        <v>403</v>
      </c>
      <c r="G2664" s="950" t="s">
        <v>26409</v>
      </c>
      <c r="H2664" s="950" t="s">
        <v>873</v>
      </c>
      <c r="I2664" s="951" t="s">
        <v>6244</v>
      </c>
      <c r="J2664" s="947" t="s">
        <v>32049</v>
      </c>
      <c r="K2664" s="143"/>
    </row>
    <row r="2665" spans="1:11">
      <c r="A2665" s="946" t="s">
        <v>32007</v>
      </c>
      <c r="B2665" s="947" t="s">
        <v>32051</v>
      </c>
      <c r="C2665" s="948" t="s">
        <v>32052</v>
      </c>
      <c r="D2665" s="242" t="s">
        <v>32010</v>
      </c>
      <c r="E2665" s="949">
        <v>405</v>
      </c>
      <c r="F2665" s="949">
        <v>405</v>
      </c>
      <c r="G2665" s="950" t="s">
        <v>26409</v>
      </c>
      <c r="H2665" s="950" t="s">
        <v>873</v>
      </c>
      <c r="I2665" s="951" t="s">
        <v>6299</v>
      </c>
      <c r="J2665" s="947" t="s">
        <v>32051</v>
      </c>
      <c r="K2665" s="143"/>
    </row>
    <row r="2666" spans="1:11">
      <c r="A2666" s="946" t="s">
        <v>32007</v>
      </c>
      <c r="B2666" s="947" t="s">
        <v>32053</v>
      </c>
      <c r="C2666" s="948" t="s">
        <v>32054</v>
      </c>
      <c r="D2666" s="242" t="s">
        <v>32010</v>
      </c>
      <c r="E2666" s="949">
        <v>402</v>
      </c>
      <c r="F2666" s="949">
        <v>402</v>
      </c>
      <c r="G2666" s="950" t="s">
        <v>26409</v>
      </c>
      <c r="H2666" s="950" t="s">
        <v>873</v>
      </c>
      <c r="I2666" s="951" t="s">
        <v>7099</v>
      </c>
      <c r="J2666" s="947" t="s">
        <v>32053</v>
      </c>
      <c r="K2666" s="143"/>
    </row>
    <row r="2667" spans="1:11">
      <c r="A2667" s="946" t="s">
        <v>32007</v>
      </c>
      <c r="B2667" s="947" t="s">
        <v>32055</v>
      </c>
      <c r="C2667" s="948" t="s">
        <v>32056</v>
      </c>
      <c r="D2667" s="242" t="s">
        <v>32010</v>
      </c>
      <c r="E2667" s="949">
        <v>402</v>
      </c>
      <c r="F2667" s="949">
        <v>402</v>
      </c>
      <c r="G2667" s="950" t="s">
        <v>26409</v>
      </c>
      <c r="H2667" s="950" t="s">
        <v>873</v>
      </c>
      <c r="I2667" s="951" t="s">
        <v>7150</v>
      </c>
      <c r="J2667" s="947" t="s">
        <v>32055</v>
      </c>
      <c r="K2667" s="143"/>
    </row>
    <row r="2668" spans="1:11">
      <c r="A2668" s="946" t="s">
        <v>32007</v>
      </c>
      <c r="B2668" s="947" t="s">
        <v>32057</v>
      </c>
      <c r="C2668" s="948" t="s">
        <v>32058</v>
      </c>
      <c r="D2668" s="242" t="s">
        <v>32010</v>
      </c>
      <c r="E2668" s="949">
        <v>402</v>
      </c>
      <c r="F2668" s="949">
        <v>402</v>
      </c>
      <c r="G2668" s="950" t="s">
        <v>26409</v>
      </c>
      <c r="H2668" s="950" t="s">
        <v>873</v>
      </c>
      <c r="I2668" s="951" t="s">
        <v>7199</v>
      </c>
      <c r="J2668" s="947" t="s">
        <v>32057</v>
      </c>
      <c r="K2668" s="143"/>
    </row>
    <row r="2669" spans="1:11">
      <c r="A2669" s="946" t="s">
        <v>32007</v>
      </c>
      <c r="B2669" s="947" t="s">
        <v>32059</v>
      </c>
      <c r="C2669" s="948" t="s">
        <v>32060</v>
      </c>
      <c r="D2669" s="242" t="s">
        <v>32010</v>
      </c>
      <c r="E2669" s="949">
        <v>403</v>
      </c>
      <c r="F2669" s="949">
        <v>403</v>
      </c>
      <c r="G2669" s="950" t="s">
        <v>26409</v>
      </c>
      <c r="H2669" s="950" t="s">
        <v>873</v>
      </c>
      <c r="I2669" s="951" t="s">
        <v>7209</v>
      </c>
      <c r="J2669" s="947" t="s">
        <v>32059</v>
      </c>
      <c r="K2669" s="143"/>
    </row>
    <row r="2670" spans="1:11">
      <c r="A2670" s="946" t="s">
        <v>32007</v>
      </c>
      <c r="B2670" s="947" t="s">
        <v>32061</v>
      </c>
      <c r="C2670" s="948" t="s">
        <v>32062</v>
      </c>
      <c r="D2670" s="242" t="s">
        <v>32010</v>
      </c>
      <c r="E2670" s="949">
        <v>404</v>
      </c>
      <c r="F2670" s="949">
        <v>404</v>
      </c>
      <c r="G2670" s="950" t="s">
        <v>26409</v>
      </c>
      <c r="H2670" s="950" t="s">
        <v>873</v>
      </c>
      <c r="I2670" s="951" t="s">
        <v>7501</v>
      </c>
      <c r="J2670" s="947" t="s">
        <v>32061</v>
      </c>
      <c r="K2670" s="143"/>
    </row>
    <row r="2671" spans="1:11">
      <c r="A2671" s="946" t="s">
        <v>32007</v>
      </c>
      <c r="B2671" s="947" t="s">
        <v>32063</v>
      </c>
      <c r="C2671" s="948" t="s">
        <v>32064</v>
      </c>
      <c r="D2671" s="242" t="s">
        <v>32010</v>
      </c>
      <c r="E2671" s="949">
        <v>403</v>
      </c>
      <c r="F2671" s="949">
        <v>403</v>
      </c>
      <c r="G2671" s="950" t="s">
        <v>26409</v>
      </c>
      <c r="H2671" s="950" t="s">
        <v>873</v>
      </c>
      <c r="I2671" s="951" t="s">
        <v>7668</v>
      </c>
      <c r="J2671" s="947" t="s">
        <v>32063</v>
      </c>
      <c r="K2671" s="143"/>
    </row>
    <row r="2672" spans="1:11">
      <c r="A2672" s="946" t="s">
        <v>32007</v>
      </c>
      <c r="B2672" s="947" t="s">
        <v>32065</v>
      </c>
      <c r="C2672" s="948" t="s">
        <v>32066</v>
      </c>
      <c r="D2672" s="242" t="s">
        <v>32010</v>
      </c>
      <c r="E2672" s="949">
        <v>402</v>
      </c>
      <c r="F2672" s="949">
        <v>402</v>
      </c>
      <c r="G2672" s="950" t="s">
        <v>26409</v>
      </c>
      <c r="H2672" s="950" t="s">
        <v>873</v>
      </c>
      <c r="I2672" s="951" t="s">
        <v>7824</v>
      </c>
      <c r="J2672" s="947" t="s">
        <v>32065</v>
      </c>
      <c r="K2672" s="143"/>
    </row>
    <row r="2673" spans="1:11">
      <c r="A2673" s="946" t="s">
        <v>32007</v>
      </c>
      <c r="B2673" s="947" t="s">
        <v>32067</v>
      </c>
      <c r="C2673" s="948" t="s">
        <v>32068</v>
      </c>
      <c r="D2673" s="242" t="s">
        <v>32010</v>
      </c>
      <c r="E2673" s="949">
        <v>403</v>
      </c>
      <c r="F2673" s="949">
        <v>403</v>
      </c>
      <c r="G2673" s="950" t="s">
        <v>26409</v>
      </c>
      <c r="H2673" s="950" t="s">
        <v>873</v>
      </c>
      <c r="I2673" s="951" t="s">
        <v>8016</v>
      </c>
      <c r="J2673" s="947" t="s">
        <v>32067</v>
      </c>
      <c r="K2673" s="143"/>
    </row>
    <row r="2674" spans="1:11">
      <c r="A2674" s="946" t="s">
        <v>32007</v>
      </c>
      <c r="B2674" s="947" t="s">
        <v>32069</v>
      </c>
      <c r="C2674" s="948" t="s">
        <v>32070</v>
      </c>
      <c r="D2674" s="242" t="s">
        <v>32010</v>
      </c>
      <c r="E2674" s="949">
        <v>402</v>
      </c>
      <c r="F2674" s="949">
        <v>402</v>
      </c>
      <c r="G2674" s="950" t="s">
        <v>26409</v>
      </c>
      <c r="H2674" s="950" t="s">
        <v>873</v>
      </c>
      <c r="I2674" s="951" t="s">
        <v>8202</v>
      </c>
      <c r="J2674" s="947" t="s">
        <v>32069</v>
      </c>
      <c r="K2674" s="143"/>
    </row>
    <row r="2675" spans="1:11">
      <c r="A2675" s="946" t="s">
        <v>32007</v>
      </c>
      <c r="B2675" s="947" t="s">
        <v>32071</v>
      </c>
      <c r="C2675" s="948" t="s">
        <v>32072</v>
      </c>
      <c r="D2675" s="242" t="s">
        <v>32010</v>
      </c>
      <c r="E2675" s="949">
        <v>405</v>
      </c>
      <c r="F2675" s="949">
        <v>405</v>
      </c>
      <c r="G2675" s="950" t="s">
        <v>26409</v>
      </c>
      <c r="H2675" s="950" t="s">
        <v>873</v>
      </c>
      <c r="I2675" s="951" t="s">
        <v>8542</v>
      </c>
      <c r="J2675" s="947" t="s">
        <v>32071</v>
      </c>
      <c r="K2675" s="143"/>
    </row>
    <row r="2676" spans="1:11">
      <c r="A2676" s="946" t="s">
        <v>32007</v>
      </c>
      <c r="B2676" s="947" t="s">
        <v>32073</v>
      </c>
      <c r="C2676" s="948" t="s">
        <v>32074</v>
      </c>
      <c r="D2676" s="242" t="s">
        <v>32010</v>
      </c>
      <c r="E2676" s="949">
        <v>405</v>
      </c>
      <c r="F2676" s="949">
        <v>405</v>
      </c>
      <c r="G2676" s="950" t="s">
        <v>26409</v>
      </c>
      <c r="H2676" s="950" t="s">
        <v>873</v>
      </c>
      <c r="I2676" s="951" t="s">
        <v>8757</v>
      </c>
      <c r="J2676" s="947" t="s">
        <v>32073</v>
      </c>
      <c r="K2676" s="143"/>
    </row>
    <row r="2677" spans="1:11">
      <c r="A2677" s="946" t="s">
        <v>32007</v>
      </c>
      <c r="B2677" s="947" t="s">
        <v>32075</v>
      </c>
      <c r="C2677" s="948" t="s">
        <v>32076</v>
      </c>
      <c r="D2677" s="242" t="s">
        <v>32010</v>
      </c>
      <c r="E2677" s="949">
        <v>403</v>
      </c>
      <c r="F2677" s="949">
        <v>403</v>
      </c>
      <c r="G2677" s="950" t="s">
        <v>26409</v>
      </c>
      <c r="H2677" s="950" t="s">
        <v>873</v>
      </c>
      <c r="I2677" s="951" t="s">
        <v>8843</v>
      </c>
      <c r="J2677" s="947" t="s">
        <v>32075</v>
      </c>
      <c r="K2677" s="143"/>
    </row>
    <row r="2678" spans="1:11">
      <c r="A2678" s="946" t="s">
        <v>32007</v>
      </c>
      <c r="B2678" s="947" t="s">
        <v>32077</v>
      </c>
      <c r="C2678" s="948" t="s">
        <v>32078</v>
      </c>
      <c r="D2678" s="242" t="s">
        <v>32010</v>
      </c>
      <c r="E2678" s="949">
        <v>402</v>
      </c>
      <c r="F2678" s="949">
        <v>402</v>
      </c>
      <c r="G2678" s="950" t="s">
        <v>26409</v>
      </c>
      <c r="H2678" s="950" t="s">
        <v>873</v>
      </c>
      <c r="I2678" s="951" t="s">
        <v>8990</v>
      </c>
      <c r="J2678" s="947" t="s">
        <v>32077</v>
      </c>
      <c r="K2678" s="143"/>
    </row>
    <row r="2679" spans="1:11">
      <c r="A2679" s="946" t="s">
        <v>32007</v>
      </c>
      <c r="B2679" s="947" t="s">
        <v>32079</v>
      </c>
      <c r="C2679" s="948" t="s">
        <v>32080</v>
      </c>
      <c r="D2679" s="242" t="s">
        <v>32010</v>
      </c>
      <c r="E2679" s="949">
        <v>404</v>
      </c>
      <c r="F2679" s="949">
        <v>404</v>
      </c>
      <c r="G2679" s="950" t="s">
        <v>26409</v>
      </c>
      <c r="H2679" s="950" t="s">
        <v>873</v>
      </c>
      <c r="I2679" s="951" t="s">
        <v>9323</v>
      </c>
      <c r="J2679" s="947" t="s">
        <v>32079</v>
      </c>
      <c r="K2679" s="143"/>
    </row>
    <row r="2680" spans="1:11">
      <c r="A2680" s="946" t="s">
        <v>32007</v>
      </c>
      <c r="B2680" s="947" t="s">
        <v>32081</v>
      </c>
      <c r="C2680" s="948" t="s">
        <v>32082</v>
      </c>
      <c r="D2680" s="242" t="s">
        <v>32010</v>
      </c>
      <c r="E2680" s="949">
        <v>404</v>
      </c>
      <c r="F2680" s="949">
        <v>404</v>
      </c>
      <c r="G2680" s="950" t="s">
        <v>26409</v>
      </c>
      <c r="H2680" s="950" t="s">
        <v>873</v>
      </c>
      <c r="I2680" s="951" t="s">
        <v>10032</v>
      </c>
      <c r="J2680" s="947" t="s">
        <v>32081</v>
      </c>
      <c r="K2680" s="143"/>
    </row>
    <row r="2681" spans="1:11">
      <c r="A2681" s="946" t="s">
        <v>32007</v>
      </c>
      <c r="B2681" s="947" t="s">
        <v>32083</v>
      </c>
      <c r="C2681" s="948" t="s">
        <v>32084</v>
      </c>
      <c r="D2681" s="242" t="s">
        <v>32010</v>
      </c>
      <c r="E2681" s="949">
        <v>402</v>
      </c>
      <c r="F2681" s="949">
        <v>402</v>
      </c>
      <c r="G2681" s="950" t="s">
        <v>26409</v>
      </c>
      <c r="H2681" s="950" t="s">
        <v>873</v>
      </c>
      <c r="I2681" s="951" t="s">
        <v>10061</v>
      </c>
      <c r="J2681" s="947" t="s">
        <v>32083</v>
      </c>
      <c r="K2681" s="143"/>
    </row>
    <row r="2682" spans="1:11">
      <c r="A2682" s="946" t="s">
        <v>32007</v>
      </c>
      <c r="B2682" s="947" t="s">
        <v>32085</v>
      </c>
      <c r="C2682" s="948" t="s">
        <v>32086</v>
      </c>
      <c r="D2682" s="242" t="s">
        <v>32010</v>
      </c>
      <c r="E2682" s="949">
        <v>405</v>
      </c>
      <c r="F2682" s="949">
        <v>405</v>
      </c>
      <c r="G2682" s="950" t="s">
        <v>26409</v>
      </c>
      <c r="H2682" s="950" t="s">
        <v>873</v>
      </c>
      <c r="I2682" s="951" t="s">
        <v>10077</v>
      </c>
      <c r="J2682" s="947" t="s">
        <v>32085</v>
      </c>
      <c r="K2682" s="143"/>
    </row>
    <row r="2683" spans="1:11">
      <c r="A2683" s="946" t="s">
        <v>32007</v>
      </c>
      <c r="B2683" s="947" t="s">
        <v>32087</v>
      </c>
      <c r="C2683" s="948" t="s">
        <v>32088</v>
      </c>
      <c r="D2683" s="242" t="s">
        <v>32010</v>
      </c>
      <c r="E2683" s="949">
        <v>402</v>
      </c>
      <c r="F2683" s="949">
        <v>402</v>
      </c>
      <c r="G2683" s="950" t="s">
        <v>26409</v>
      </c>
      <c r="H2683" s="950" t="s">
        <v>873</v>
      </c>
      <c r="I2683" s="951" t="s">
        <v>10078</v>
      </c>
      <c r="J2683" s="947" t="s">
        <v>32087</v>
      </c>
      <c r="K2683" s="143"/>
    </row>
    <row r="2684" spans="1:11">
      <c r="A2684" s="946" t="s">
        <v>32007</v>
      </c>
      <c r="B2684" s="947" t="s">
        <v>32089</v>
      </c>
      <c r="C2684" s="948" t="s">
        <v>32090</v>
      </c>
      <c r="D2684" s="242" t="s">
        <v>32010</v>
      </c>
      <c r="E2684" s="949">
        <v>402</v>
      </c>
      <c r="F2684" s="949">
        <v>402</v>
      </c>
      <c r="G2684" s="950" t="s">
        <v>26409</v>
      </c>
      <c r="H2684" s="950" t="s">
        <v>873</v>
      </c>
      <c r="I2684" s="951" t="s">
        <v>10109</v>
      </c>
      <c r="J2684" s="947" t="s">
        <v>32089</v>
      </c>
      <c r="K2684" s="143"/>
    </row>
    <row r="2685" spans="1:11">
      <c r="A2685" s="946" t="s">
        <v>32007</v>
      </c>
      <c r="B2685" s="947" t="s">
        <v>32091</v>
      </c>
      <c r="C2685" s="948" t="s">
        <v>32092</v>
      </c>
      <c r="D2685" s="242" t="s">
        <v>32010</v>
      </c>
      <c r="E2685" s="949">
        <v>404</v>
      </c>
      <c r="F2685" s="949">
        <v>404</v>
      </c>
      <c r="G2685" s="950" t="s">
        <v>26409</v>
      </c>
      <c r="H2685" s="950" t="s">
        <v>873</v>
      </c>
      <c r="I2685" s="951" t="s">
        <v>10159</v>
      </c>
      <c r="J2685" s="947" t="s">
        <v>32091</v>
      </c>
      <c r="K2685" s="143"/>
    </row>
    <row r="2686" spans="1:11">
      <c r="A2686" s="946" t="s">
        <v>32007</v>
      </c>
      <c r="B2686" s="947" t="s">
        <v>32093</v>
      </c>
      <c r="C2686" s="948" t="s">
        <v>32094</v>
      </c>
      <c r="D2686" s="242" t="s">
        <v>32010</v>
      </c>
      <c r="E2686" s="949">
        <v>402</v>
      </c>
      <c r="F2686" s="949">
        <v>402</v>
      </c>
      <c r="G2686" s="950" t="s">
        <v>26409</v>
      </c>
      <c r="H2686" s="950" t="s">
        <v>873</v>
      </c>
      <c r="I2686" s="951" t="s">
        <v>10202</v>
      </c>
      <c r="J2686" s="947" t="s">
        <v>32093</v>
      </c>
      <c r="K2686" s="143"/>
    </row>
    <row r="2687" spans="1:11">
      <c r="A2687" s="946" t="s">
        <v>32007</v>
      </c>
      <c r="B2687" s="947" t="s">
        <v>32095</v>
      </c>
      <c r="C2687" s="948" t="s">
        <v>32096</v>
      </c>
      <c r="D2687" s="242" t="s">
        <v>32010</v>
      </c>
      <c r="E2687" s="949">
        <v>405</v>
      </c>
      <c r="F2687" s="949">
        <v>405</v>
      </c>
      <c r="G2687" s="950" t="s">
        <v>26409</v>
      </c>
      <c r="H2687" s="950" t="s">
        <v>873</v>
      </c>
      <c r="I2687" s="951" t="s">
        <v>10784</v>
      </c>
      <c r="J2687" s="947" t="s">
        <v>32095</v>
      </c>
      <c r="K2687" s="143"/>
    </row>
    <row r="2688" spans="1:11">
      <c r="A2688" s="946" t="s">
        <v>32007</v>
      </c>
      <c r="B2688" s="947" t="s">
        <v>32097</v>
      </c>
      <c r="C2688" s="948" t="s">
        <v>32098</v>
      </c>
      <c r="D2688" s="242" t="s">
        <v>32010</v>
      </c>
      <c r="E2688" s="949">
        <v>402</v>
      </c>
      <c r="F2688" s="949">
        <v>402</v>
      </c>
      <c r="G2688" s="950" t="s">
        <v>26409</v>
      </c>
      <c r="H2688" s="950" t="s">
        <v>873</v>
      </c>
      <c r="I2688" s="951" t="s">
        <v>10920</v>
      </c>
      <c r="J2688" s="947" t="s">
        <v>32097</v>
      </c>
      <c r="K2688" s="143"/>
    </row>
    <row r="2689" spans="1:11">
      <c r="A2689" s="946" t="s">
        <v>32007</v>
      </c>
      <c r="B2689" s="947" t="s">
        <v>32099</v>
      </c>
      <c r="C2689" s="948" t="s">
        <v>32100</v>
      </c>
      <c r="D2689" s="242" t="s">
        <v>32010</v>
      </c>
      <c r="E2689" s="949">
        <v>404</v>
      </c>
      <c r="F2689" s="949">
        <v>404</v>
      </c>
      <c r="G2689" s="950" t="s">
        <v>26409</v>
      </c>
      <c r="H2689" s="950" t="s">
        <v>873</v>
      </c>
      <c r="I2689" s="951" t="s">
        <v>10988</v>
      </c>
      <c r="J2689" s="947" t="s">
        <v>32099</v>
      </c>
      <c r="K2689" s="143"/>
    </row>
    <row r="2690" spans="1:11">
      <c r="A2690" s="946" t="s">
        <v>32007</v>
      </c>
      <c r="B2690" s="947" t="s">
        <v>32101</v>
      </c>
      <c r="C2690" s="948" t="s">
        <v>32102</v>
      </c>
      <c r="D2690" s="242" t="s">
        <v>32010</v>
      </c>
      <c r="E2690" s="949">
        <v>403</v>
      </c>
      <c r="F2690" s="949">
        <v>403</v>
      </c>
      <c r="G2690" s="950" t="s">
        <v>26409</v>
      </c>
      <c r="H2690" s="950" t="s">
        <v>873</v>
      </c>
      <c r="I2690" s="951" t="s">
        <v>11171</v>
      </c>
      <c r="J2690" s="947" t="s">
        <v>32101</v>
      </c>
      <c r="K2690" s="143"/>
    </row>
    <row r="2691" spans="1:11">
      <c r="A2691" s="946" t="s">
        <v>32007</v>
      </c>
      <c r="B2691" s="947" t="s">
        <v>32103</v>
      </c>
      <c r="C2691" s="948" t="s">
        <v>32104</v>
      </c>
      <c r="D2691" s="242" t="s">
        <v>32010</v>
      </c>
      <c r="E2691" s="949">
        <v>402</v>
      </c>
      <c r="F2691" s="949">
        <v>402</v>
      </c>
      <c r="G2691" s="950" t="s">
        <v>26409</v>
      </c>
      <c r="H2691" s="950" t="s">
        <v>873</v>
      </c>
      <c r="I2691" s="951" t="s">
        <v>11219</v>
      </c>
      <c r="J2691" s="947" t="s">
        <v>32103</v>
      </c>
      <c r="K2691" s="143"/>
    </row>
    <row r="2692" spans="1:11">
      <c r="A2692" s="946" t="s">
        <v>32007</v>
      </c>
      <c r="B2692" s="947" t="s">
        <v>32105</v>
      </c>
      <c r="C2692" s="948" t="s">
        <v>32106</v>
      </c>
      <c r="D2692" s="242" t="s">
        <v>32010</v>
      </c>
      <c r="E2692" s="949">
        <v>404</v>
      </c>
      <c r="F2692" s="949">
        <v>404</v>
      </c>
      <c r="G2692" s="950" t="s">
        <v>26409</v>
      </c>
      <c r="H2692" s="950" t="s">
        <v>873</v>
      </c>
      <c r="I2692" s="951" t="s">
        <v>11270</v>
      </c>
      <c r="J2692" s="947" t="s">
        <v>32105</v>
      </c>
      <c r="K2692" s="143"/>
    </row>
    <row r="2693" spans="1:11">
      <c r="A2693" s="946" t="s">
        <v>32007</v>
      </c>
      <c r="B2693" s="947" t="s">
        <v>32107</v>
      </c>
      <c r="C2693" s="948" t="s">
        <v>32108</v>
      </c>
      <c r="D2693" s="242" t="s">
        <v>32010</v>
      </c>
      <c r="E2693" s="949">
        <v>402</v>
      </c>
      <c r="F2693" s="949">
        <v>402</v>
      </c>
      <c r="G2693" s="950" t="s">
        <v>26409</v>
      </c>
      <c r="H2693" s="950" t="s">
        <v>873</v>
      </c>
      <c r="I2693" s="951" t="s">
        <v>11582</v>
      </c>
      <c r="J2693" s="947" t="s">
        <v>32107</v>
      </c>
      <c r="K2693" s="143"/>
    </row>
    <row r="2694" spans="1:11">
      <c r="A2694" s="946" t="s">
        <v>32007</v>
      </c>
      <c r="B2694" s="947" t="s">
        <v>32109</v>
      </c>
      <c r="C2694" s="948" t="s">
        <v>32110</v>
      </c>
      <c r="D2694" s="242" t="s">
        <v>32010</v>
      </c>
      <c r="E2694" s="949">
        <v>402</v>
      </c>
      <c r="F2694" s="949">
        <v>402</v>
      </c>
      <c r="G2694" s="950" t="s">
        <v>26409</v>
      </c>
      <c r="H2694" s="950" t="s">
        <v>873</v>
      </c>
      <c r="I2694" s="951" t="s">
        <v>11610</v>
      </c>
      <c r="J2694" s="947" t="s">
        <v>32109</v>
      </c>
      <c r="K2694" s="143"/>
    </row>
    <row r="2695" spans="1:11">
      <c r="A2695" s="946" t="s">
        <v>32007</v>
      </c>
      <c r="B2695" s="947" t="s">
        <v>32111</v>
      </c>
      <c r="C2695" s="948" t="s">
        <v>32112</v>
      </c>
      <c r="D2695" s="242" t="s">
        <v>32010</v>
      </c>
      <c r="E2695" s="949">
        <v>403</v>
      </c>
      <c r="F2695" s="949">
        <v>403</v>
      </c>
      <c r="G2695" s="950" t="s">
        <v>26409</v>
      </c>
      <c r="H2695" s="950" t="s">
        <v>873</v>
      </c>
      <c r="I2695" s="951" t="s">
        <v>12115</v>
      </c>
      <c r="J2695" s="947" t="s">
        <v>32111</v>
      </c>
      <c r="K2695" s="143"/>
    </row>
    <row r="2696" spans="1:11">
      <c r="A2696" s="946" t="s">
        <v>32007</v>
      </c>
      <c r="B2696" s="947" t="s">
        <v>32113</v>
      </c>
      <c r="C2696" s="948" t="s">
        <v>32114</v>
      </c>
      <c r="D2696" s="242" t="s">
        <v>32010</v>
      </c>
      <c r="E2696" s="949">
        <v>402</v>
      </c>
      <c r="F2696" s="949">
        <v>402</v>
      </c>
      <c r="G2696" s="950" t="s">
        <v>26409</v>
      </c>
      <c r="H2696" s="950" t="s">
        <v>873</v>
      </c>
      <c r="I2696" s="951" t="s">
        <v>12168</v>
      </c>
      <c r="J2696" s="947" t="s">
        <v>32113</v>
      </c>
      <c r="K2696" s="143"/>
    </row>
    <row r="2697" spans="1:11">
      <c r="A2697" s="946" t="s">
        <v>32007</v>
      </c>
      <c r="B2697" s="947" t="s">
        <v>32115</v>
      </c>
      <c r="C2697" s="948" t="s">
        <v>32116</v>
      </c>
      <c r="D2697" s="242" t="s">
        <v>32010</v>
      </c>
      <c r="E2697" s="949">
        <v>402</v>
      </c>
      <c r="F2697" s="949">
        <v>402</v>
      </c>
      <c r="G2697" s="950" t="s">
        <v>26409</v>
      </c>
      <c r="H2697" s="950" t="s">
        <v>873</v>
      </c>
      <c r="I2697" s="951" t="s">
        <v>13020</v>
      </c>
      <c r="J2697" s="947" t="s">
        <v>32115</v>
      </c>
      <c r="K2697" s="143"/>
    </row>
    <row r="2698" spans="1:11">
      <c r="A2698" s="946" t="s">
        <v>32007</v>
      </c>
      <c r="B2698" s="947" t="s">
        <v>32117</v>
      </c>
      <c r="C2698" s="948" t="s">
        <v>32118</v>
      </c>
      <c r="D2698" s="242" t="s">
        <v>32010</v>
      </c>
      <c r="E2698" s="949">
        <v>402</v>
      </c>
      <c r="F2698" s="949">
        <v>402</v>
      </c>
      <c r="G2698" s="950" t="s">
        <v>26409</v>
      </c>
      <c r="H2698" s="950" t="s">
        <v>873</v>
      </c>
      <c r="I2698" s="951" t="s">
        <v>13151</v>
      </c>
      <c r="J2698" s="947" t="s">
        <v>32117</v>
      </c>
      <c r="K2698" s="143"/>
    </row>
    <row r="2699" spans="1:11">
      <c r="A2699" s="946" t="s">
        <v>32007</v>
      </c>
      <c r="B2699" s="947" t="s">
        <v>32119</v>
      </c>
      <c r="C2699" s="948" t="s">
        <v>32120</v>
      </c>
      <c r="D2699" s="242" t="s">
        <v>32010</v>
      </c>
      <c r="E2699" s="949">
        <v>402</v>
      </c>
      <c r="F2699" s="949">
        <v>402</v>
      </c>
      <c r="G2699" s="950" t="s">
        <v>26409</v>
      </c>
      <c r="H2699" s="950" t="s">
        <v>873</v>
      </c>
      <c r="I2699" s="951" t="s">
        <v>13178</v>
      </c>
      <c r="J2699" s="947" t="s">
        <v>32119</v>
      </c>
      <c r="K2699" s="143"/>
    </row>
    <row r="2700" spans="1:11">
      <c r="A2700" s="946" t="s">
        <v>32007</v>
      </c>
      <c r="B2700" s="947" t="s">
        <v>32121</v>
      </c>
      <c r="C2700" s="948" t="s">
        <v>32122</v>
      </c>
      <c r="D2700" s="242" t="s">
        <v>32010</v>
      </c>
      <c r="E2700" s="949">
        <v>405</v>
      </c>
      <c r="F2700" s="949">
        <v>405</v>
      </c>
      <c r="G2700" s="950" t="s">
        <v>26409</v>
      </c>
      <c r="H2700" s="950" t="s">
        <v>873</v>
      </c>
      <c r="I2700" s="951" t="s">
        <v>13185</v>
      </c>
      <c r="J2700" s="947" t="s">
        <v>32121</v>
      </c>
      <c r="K2700" s="143"/>
    </row>
    <row r="2701" spans="1:11">
      <c r="A2701" s="946" t="s">
        <v>32007</v>
      </c>
      <c r="B2701" s="947" t="s">
        <v>32123</v>
      </c>
      <c r="C2701" s="948" t="s">
        <v>32124</v>
      </c>
      <c r="D2701" s="242" t="s">
        <v>32010</v>
      </c>
      <c r="E2701" s="949">
        <v>402</v>
      </c>
      <c r="F2701" s="949">
        <v>402</v>
      </c>
      <c r="G2701" s="950" t="s">
        <v>26409</v>
      </c>
      <c r="H2701" s="950" t="s">
        <v>873</v>
      </c>
      <c r="I2701" s="951" t="s">
        <v>13386</v>
      </c>
      <c r="J2701" s="947" t="s">
        <v>32123</v>
      </c>
      <c r="K2701" s="143"/>
    </row>
    <row r="2702" spans="1:11">
      <c r="A2702" s="946" t="s">
        <v>32007</v>
      </c>
      <c r="B2702" s="947" t="s">
        <v>32125</v>
      </c>
      <c r="C2702" s="948" t="s">
        <v>32126</v>
      </c>
      <c r="D2702" s="242" t="s">
        <v>32010</v>
      </c>
      <c r="E2702" s="949">
        <v>402</v>
      </c>
      <c r="F2702" s="949">
        <v>402</v>
      </c>
      <c r="G2702" s="950" t="s">
        <v>26409</v>
      </c>
      <c r="H2702" s="950" t="s">
        <v>873</v>
      </c>
      <c r="I2702" s="951" t="s">
        <v>13389</v>
      </c>
      <c r="J2702" s="947" t="s">
        <v>32125</v>
      </c>
      <c r="K2702" s="143"/>
    </row>
    <row r="2703" spans="1:11">
      <c r="A2703" s="946" t="s">
        <v>32007</v>
      </c>
      <c r="B2703" s="947" t="s">
        <v>32127</v>
      </c>
      <c r="C2703" s="948" t="s">
        <v>32128</v>
      </c>
      <c r="D2703" s="242" t="s">
        <v>32010</v>
      </c>
      <c r="E2703" s="949">
        <v>402</v>
      </c>
      <c r="F2703" s="949">
        <v>402</v>
      </c>
      <c r="G2703" s="950" t="s">
        <v>26409</v>
      </c>
      <c r="H2703" s="950" t="s">
        <v>873</v>
      </c>
      <c r="I2703" s="951" t="s">
        <v>13678</v>
      </c>
      <c r="J2703" s="947" t="s">
        <v>32127</v>
      </c>
      <c r="K2703" s="143"/>
    </row>
    <row r="2704" spans="1:11">
      <c r="A2704" s="946" t="s">
        <v>32007</v>
      </c>
      <c r="B2704" s="947" t="s">
        <v>32129</v>
      </c>
      <c r="C2704" s="948" t="s">
        <v>32130</v>
      </c>
      <c r="D2704" s="242" t="s">
        <v>32010</v>
      </c>
      <c r="E2704" s="949">
        <v>402</v>
      </c>
      <c r="F2704" s="949">
        <v>402</v>
      </c>
      <c r="G2704" s="950" t="s">
        <v>26409</v>
      </c>
      <c r="H2704" s="950" t="s">
        <v>873</v>
      </c>
      <c r="I2704" s="951" t="s">
        <v>13796</v>
      </c>
      <c r="J2704" s="947" t="s">
        <v>32129</v>
      </c>
      <c r="K2704" s="143"/>
    </row>
    <row r="2705" spans="1:11">
      <c r="A2705" s="946" t="s">
        <v>32007</v>
      </c>
      <c r="B2705" s="947" t="s">
        <v>32131</v>
      </c>
      <c r="C2705" s="948" t="s">
        <v>32132</v>
      </c>
      <c r="D2705" s="242" t="s">
        <v>32010</v>
      </c>
      <c r="E2705" s="949">
        <v>402</v>
      </c>
      <c r="F2705" s="949">
        <v>402</v>
      </c>
      <c r="G2705" s="950" t="s">
        <v>26409</v>
      </c>
      <c r="H2705" s="950" t="s">
        <v>873</v>
      </c>
      <c r="I2705" s="951" t="s">
        <v>14241</v>
      </c>
      <c r="J2705" s="947" t="s">
        <v>32131</v>
      </c>
      <c r="K2705" s="143"/>
    </row>
    <row r="2706" spans="1:11">
      <c r="A2706" s="946" t="s">
        <v>32007</v>
      </c>
      <c r="B2706" s="947" t="s">
        <v>32133</v>
      </c>
      <c r="C2706" s="948" t="s">
        <v>32134</v>
      </c>
      <c r="D2706" s="242" t="s">
        <v>32010</v>
      </c>
      <c r="E2706" s="949">
        <v>403</v>
      </c>
      <c r="F2706" s="949">
        <v>403</v>
      </c>
      <c r="G2706" s="950" t="s">
        <v>26409</v>
      </c>
      <c r="H2706" s="950" t="s">
        <v>873</v>
      </c>
      <c r="I2706" s="951" t="s">
        <v>14477</v>
      </c>
      <c r="J2706" s="947" t="s">
        <v>32133</v>
      </c>
      <c r="K2706" s="143"/>
    </row>
    <row r="2707" spans="1:11">
      <c r="A2707" s="946" t="s">
        <v>32007</v>
      </c>
      <c r="B2707" s="947" t="s">
        <v>32135</v>
      </c>
      <c r="C2707" s="948" t="s">
        <v>32136</v>
      </c>
      <c r="D2707" s="242" t="s">
        <v>32010</v>
      </c>
      <c r="E2707" s="949">
        <v>402</v>
      </c>
      <c r="F2707" s="949">
        <v>402</v>
      </c>
      <c r="G2707" s="950" t="s">
        <v>26409</v>
      </c>
      <c r="H2707" s="950" t="s">
        <v>873</v>
      </c>
      <c r="I2707" s="951" t="s">
        <v>15138</v>
      </c>
      <c r="J2707" s="947" t="s">
        <v>32135</v>
      </c>
      <c r="K2707" s="143"/>
    </row>
    <row r="2708" spans="1:11">
      <c r="A2708" s="946" t="s">
        <v>32007</v>
      </c>
      <c r="B2708" s="947" t="s">
        <v>32137</v>
      </c>
      <c r="C2708" s="948" t="s">
        <v>32138</v>
      </c>
      <c r="D2708" s="242" t="s">
        <v>32010</v>
      </c>
      <c r="E2708" s="949">
        <v>405</v>
      </c>
      <c r="F2708" s="949">
        <v>405</v>
      </c>
      <c r="G2708" s="950" t="s">
        <v>26409</v>
      </c>
      <c r="H2708" s="950" t="s">
        <v>873</v>
      </c>
      <c r="I2708" s="951" t="s">
        <v>15388</v>
      </c>
      <c r="J2708" s="947" t="s">
        <v>32137</v>
      </c>
      <c r="K2708" s="143"/>
    </row>
    <row r="2709" spans="1:11">
      <c r="A2709" s="946" t="s">
        <v>32007</v>
      </c>
      <c r="B2709" s="947" t="s">
        <v>32139</v>
      </c>
      <c r="C2709" s="948" t="s">
        <v>32140</v>
      </c>
      <c r="D2709" s="242" t="s">
        <v>32010</v>
      </c>
      <c r="E2709" s="949">
        <v>402</v>
      </c>
      <c r="F2709" s="949">
        <v>402</v>
      </c>
      <c r="G2709" s="950" t="s">
        <v>26409</v>
      </c>
      <c r="H2709" s="950" t="s">
        <v>873</v>
      </c>
      <c r="I2709" s="951" t="s">
        <v>15626</v>
      </c>
      <c r="J2709" s="947" t="s">
        <v>32139</v>
      </c>
      <c r="K2709" s="143"/>
    </row>
    <row r="2710" spans="1:11">
      <c r="A2710" s="946" t="s">
        <v>32007</v>
      </c>
      <c r="B2710" s="947" t="s">
        <v>32141</v>
      </c>
      <c r="C2710" s="948" t="s">
        <v>32142</v>
      </c>
      <c r="D2710" s="242" t="s">
        <v>32010</v>
      </c>
      <c r="E2710" s="949">
        <v>404</v>
      </c>
      <c r="F2710" s="949">
        <v>404</v>
      </c>
      <c r="G2710" s="950" t="s">
        <v>26409</v>
      </c>
      <c r="H2710" s="950" t="s">
        <v>873</v>
      </c>
      <c r="I2710" s="951" t="s">
        <v>15769</v>
      </c>
      <c r="J2710" s="947" t="s">
        <v>32141</v>
      </c>
      <c r="K2710" s="143"/>
    </row>
    <row r="2711" spans="1:11">
      <c r="A2711" s="946" t="s">
        <v>32007</v>
      </c>
      <c r="B2711" s="947" t="s">
        <v>32143</v>
      </c>
      <c r="C2711" s="948" t="s">
        <v>32144</v>
      </c>
      <c r="D2711" s="242" t="s">
        <v>32010</v>
      </c>
      <c r="E2711" s="949">
        <v>403</v>
      </c>
      <c r="F2711" s="949">
        <v>403</v>
      </c>
      <c r="G2711" s="950" t="s">
        <v>26409</v>
      </c>
      <c r="H2711" s="950" t="s">
        <v>873</v>
      </c>
      <c r="I2711" s="951" t="s">
        <v>15803</v>
      </c>
      <c r="J2711" s="947" t="s">
        <v>32143</v>
      </c>
      <c r="K2711" s="143"/>
    </row>
    <row r="2712" spans="1:11">
      <c r="A2712" s="946" t="s">
        <v>32007</v>
      </c>
      <c r="B2712" s="947" t="s">
        <v>32145</v>
      </c>
      <c r="C2712" s="948" t="s">
        <v>32146</v>
      </c>
      <c r="D2712" s="242" t="s">
        <v>32010</v>
      </c>
      <c r="E2712" s="949">
        <v>402</v>
      </c>
      <c r="F2712" s="949">
        <v>402</v>
      </c>
      <c r="G2712" s="950" t="s">
        <v>26409</v>
      </c>
      <c r="H2712" s="950" t="s">
        <v>873</v>
      </c>
      <c r="I2712" s="951" t="s">
        <v>15913</v>
      </c>
      <c r="J2712" s="947" t="s">
        <v>32145</v>
      </c>
      <c r="K2712" s="143"/>
    </row>
    <row r="2713" spans="1:11">
      <c r="A2713" s="946" t="s">
        <v>32007</v>
      </c>
      <c r="B2713" s="947" t="s">
        <v>32147</v>
      </c>
      <c r="C2713" s="948" t="s">
        <v>32148</v>
      </c>
      <c r="D2713" s="242" t="s">
        <v>32010</v>
      </c>
      <c r="E2713" s="949">
        <v>405</v>
      </c>
      <c r="F2713" s="949">
        <v>405</v>
      </c>
      <c r="G2713" s="950" t="s">
        <v>26409</v>
      </c>
      <c r="H2713" s="950" t="s">
        <v>873</v>
      </c>
      <c r="I2713" s="951" t="s">
        <v>16038</v>
      </c>
      <c r="J2713" s="947" t="s">
        <v>32147</v>
      </c>
      <c r="K2713" s="143"/>
    </row>
    <row r="2714" spans="1:11">
      <c r="A2714" s="946" t="s">
        <v>32007</v>
      </c>
      <c r="B2714" s="947" t="s">
        <v>32149</v>
      </c>
      <c r="C2714" s="948" t="s">
        <v>32150</v>
      </c>
      <c r="D2714" s="242" t="s">
        <v>32010</v>
      </c>
      <c r="E2714" s="949">
        <v>403</v>
      </c>
      <c r="F2714" s="949">
        <v>403</v>
      </c>
      <c r="G2714" s="950" t="s">
        <v>26409</v>
      </c>
      <c r="H2714" s="950" t="s">
        <v>873</v>
      </c>
      <c r="I2714" s="951" t="s">
        <v>16107</v>
      </c>
      <c r="J2714" s="947" t="s">
        <v>32149</v>
      </c>
      <c r="K2714" s="143"/>
    </row>
    <row r="2715" spans="1:11">
      <c r="A2715" s="946" t="s">
        <v>32007</v>
      </c>
      <c r="B2715" s="947" t="s">
        <v>32151</v>
      </c>
      <c r="C2715" s="948" t="s">
        <v>32152</v>
      </c>
      <c r="D2715" s="242" t="s">
        <v>32010</v>
      </c>
      <c r="E2715" s="949">
        <v>402</v>
      </c>
      <c r="F2715" s="949">
        <v>402</v>
      </c>
      <c r="G2715" s="950" t="s">
        <v>26409</v>
      </c>
      <c r="H2715" s="950" t="s">
        <v>873</v>
      </c>
      <c r="I2715" s="951" t="s">
        <v>16205</v>
      </c>
      <c r="J2715" s="947" t="s">
        <v>32151</v>
      </c>
      <c r="K2715" s="143"/>
    </row>
    <row r="2716" spans="1:11">
      <c r="A2716" s="946" t="s">
        <v>32007</v>
      </c>
      <c r="B2716" s="947" t="s">
        <v>32153</v>
      </c>
      <c r="C2716" s="948" t="s">
        <v>32154</v>
      </c>
      <c r="D2716" s="242" t="s">
        <v>32010</v>
      </c>
      <c r="E2716" s="949">
        <v>402</v>
      </c>
      <c r="F2716" s="949">
        <v>402</v>
      </c>
      <c r="G2716" s="950" t="s">
        <v>26409</v>
      </c>
      <c r="H2716" s="950" t="s">
        <v>873</v>
      </c>
      <c r="I2716" s="951" t="s">
        <v>16297</v>
      </c>
      <c r="J2716" s="947" t="s">
        <v>32153</v>
      </c>
      <c r="K2716" s="143"/>
    </row>
    <row r="2717" spans="1:11">
      <c r="A2717" s="946" t="s">
        <v>32007</v>
      </c>
      <c r="B2717" s="947" t="s">
        <v>32155</v>
      </c>
      <c r="C2717" s="948" t="s">
        <v>32156</v>
      </c>
      <c r="D2717" s="242" t="s">
        <v>32010</v>
      </c>
      <c r="E2717" s="949">
        <v>403</v>
      </c>
      <c r="F2717" s="949">
        <v>403</v>
      </c>
      <c r="G2717" s="950" t="s">
        <v>26409</v>
      </c>
      <c r="H2717" s="950" t="s">
        <v>873</v>
      </c>
      <c r="I2717" s="951" t="s">
        <v>16319</v>
      </c>
      <c r="J2717" s="947" t="s">
        <v>32155</v>
      </c>
      <c r="K2717" s="143"/>
    </row>
    <row r="2718" spans="1:11">
      <c r="A2718" s="946" t="s">
        <v>32007</v>
      </c>
      <c r="B2718" s="947" t="s">
        <v>32157</v>
      </c>
      <c r="C2718" s="948" t="s">
        <v>32158</v>
      </c>
      <c r="D2718" s="242" t="s">
        <v>32010</v>
      </c>
      <c r="E2718" s="949">
        <v>403</v>
      </c>
      <c r="F2718" s="949">
        <v>403</v>
      </c>
      <c r="G2718" s="950" t="s">
        <v>26409</v>
      </c>
      <c r="H2718" s="950" t="s">
        <v>873</v>
      </c>
      <c r="I2718" s="951" t="s">
        <v>16752</v>
      </c>
      <c r="J2718" s="947" t="s">
        <v>32157</v>
      </c>
      <c r="K2718" s="143"/>
    </row>
    <row r="2719" spans="1:11">
      <c r="A2719" s="946" t="s">
        <v>32007</v>
      </c>
      <c r="B2719" s="947" t="s">
        <v>31137</v>
      </c>
      <c r="C2719" s="948" t="s">
        <v>31138</v>
      </c>
      <c r="D2719" s="242" t="s">
        <v>32010</v>
      </c>
      <c r="E2719" s="949">
        <v>402</v>
      </c>
      <c r="F2719" s="949">
        <v>402</v>
      </c>
      <c r="G2719" s="950" t="s">
        <v>26409</v>
      </c>
      <c r="H2719" s="950" t="s">
        <v>873</v>
      </c>
      <c r="I2719" s="951" t="s">
        <v>17288</v>
      </c>
      <c r="J2719" s="947" t="s">
        <v>31137</v>
      </c>
      <c r="K2719" s="143"/>
    </row>
    <row r="2720" spans="1:11">
      <c r="A2720" s="946" t="s">
        <v>32007</v>
      </c>
      <c r="B2720" s="947" t="s">
        <v>32159</v>
      </c>
      <c r="C2720" s="948" t="s">
        <v>32160</v>
      </c>
      <c r="D2720" s="242" t="s">
        <v>32010</v>
      </c>
      <c r="E2720" s="949">
        <v>403</v>
      </c>
      <c r="F2720" s="949">
        <v>403</v>
      </c>
      <c r="G2720" s="950" t="s">
        <v>26409</v>
      </c>
      <c r="H2720" s="950" t="s">
        <v>873</v>
      </c>
      <c r="I2720" s="951" t="s">
        <v>17427</v>
      </c>
      <c r="J2720" s="947" t="s">
        <v>32159</v>
      </c>
      <c r="K2720" s="143"/>
    </row>
    <row r="2721" spans="1:11">
      <c r="A2721" s="946" t="s">
        <v>32007</v>
      </c>
      <c r="B2721" s="947" t="s">
        <v>32161</v>
      </c>
      <c r="C2721" s="948" t="s">
        <v>32162</v>
      </c>
      <c r="D2721" s="242" t="s">
        <v>32010</v>
      </c>
      <c r="E2721" s="949">
        <v>402</v>
      </c>
      <c r="F2721" s="949">
        <v>402</v>
      </c>
      <c r="G2721" s="950" t="s">
        <v>26409</v>
      </c>
      <c r="H2721" s="950" t="s">
        <v>873</v>
      </c>
      <c r="I2721" s="951" t="s">
        <v>17599</v>
      </c>
      <c r="J2721" s="947" t="s">
        <v>32161</v>
      </c>
      <c r="K2721" s="143"/>
    </row>
    <row r="2722" spans="1:11">
      <c r="A2722" s="946" t="s">
        <v>32007</v>
      </c>
      <c r="B2722" s="947" t="s">
        <v>32163</v>
      </c>
      <c r="C2722" s="948" t="s">
        <v>32164</v>
      </c>
      <c r="D2722" s="242" t="s">
        <v>32010</v>
      </c>
      <c r="E2722" s="949">
        <v>402</v>
      </c>
      <c r="F2722" s="949">
        <v>402</v>
      </c>
      <c r="G2722" s="950" t="s">
        <v>26409</v>
      </c>
      <c r="H2722" s="950" t="s">
        <v>873</v>
      </c>
      <c r="I2722" s="951" t="s">
        <v>17804</v>
      </c>
      <c r="J2722" s="947" t="s">
        <v>32163</v>
      </c>
      <c r="K2722" s="143"/>
    </row>
    <row r="2723" spans="1:11">
      <c r="A2723" s="946" t="s">
        <v>32007</v>
      </c>
      <c r="B2723" s="947" t="s">
        <v>32165</v>
      </c>
      <c r="C2723" s="948" t="s">
        <v>32166</v>
      </c>
      <c r="D2723" s="242" t="s">
        <v>32010</v>
      </c>
      <c r="E2723" s="949">
        <v>403</v>
      </c>
      <c r="F2723" s="949">
        <v>403</v>
      </c>
      <c r="G2723" s="950" t="s">
        <v>26409</v>
      </c>
      <c r="H2723" s="950" t="s">
        <v>873</v>
      </c>
      <c r="I2723" s="951" t="s">
        <v>17823</v>
      </c>
      <c r="J2723" s="947" t="s">
        <v>32165</v>
      </c>
      <c r="K2723" s="143"/>
    </row>
    <row r="2724" spans="1:11">
      <c r="A2724" s="946" t="s">
        <v>32007</v>
      </c>
      <c r="B2724" s="947" t="s">
        <v>32167</v>
      </c>
      <c r="C2724" s="948" t="s">
        <v>32168</v>
      </c>
      <c r="D2724" s="242" t="s">
        <v>32010</v>
      </c>
      <c r="E2724" s="949">
        <v>403</v>
      </c>
      <c r="F2724" s="949">
        <v>403</v>
      </c>
      <c r="G2724" s="950" t="s">
        <v>26409</v>
      </c>
      <c r="H2724" s="950" t="s">
        <v>873</v>
      </c>
      <c r="I2724" s="951" t="s">
        <v>17908</v>
      </c>
      <c r="J2724" s="947" t="s">
        <v>32167</v>
      </c>
      <c r="K2724" s="143"/>
    </row>
    <row r="2725" spans="1:11">
      <c r="A2725" s="946" t="s">
        <v>32007</v>
      </c>
      <c r="B2725" s="947" t="s">
        <v>32169</v>
      </c>
      <c r="C2725" s="948" t="s">
        <v>32170</v>
      </c>
      <c r="D2725" s="242" t="s">
        <v>32010</v>
      </c>
      <c r="E2725" s="949">
        <v>402</v>
      </c>
      <c r="F2725" s="949">
        <v>402</v>
      </c>
      <c r="G2725" s="950" t="s">
        <v>26409</v>
      </c>
      <c r="H2725" s="950" t="s">
        <v>873</v>
      </c>
      <c r="I2725" s="951" t="s">
        <v>17909</v>
      </c>
      <c r="J2725" s="947" t="s">
        <v>32169</v>
      </c>
      <c r="K2725" s="143"/>
    </row>
    <row r="2726" spans="1:11">
      <c r="A2726" s="946" t="s">
        <v>32007</v>
      </c>
      <c r="B2726" s="947" t="s">
        <v>32171</v>
      </c>
      <c r="C2726" s="948" t="s">
        <v>32172</v>
      </c>
      <c r="D2726" s="242" t="s">
        <v>32010</v>
      </c>
      <c r="E2726" s="949">
        <v>402</v>
      </c>
      <c r="F2726" s="949">
        <v>402</v>
      </c>
      <c r="G2726" s="950" t="s">
        <v>26409</v>
      </c>
      <c r="H2726" s="950" t="s">
        <v>873</v>
      </c>
      <c r="I2726" s="951" t="s">
        <v>18027</v>
      </c>
      <c r="J2726" s="947" t="s">
        <v>32171</v>
      </c>
      <c r="K2726" s="143"/>
    </row>
    <row r="2727" spans="1:11">
      <c r="A2727" s="946" t="s">
        <v>32007</v>
      </c>
      <c r="B2727" s="947" t="s">
        <v>32173</v>
      </c>
      <c r="C2727" s="948" t="s">
        <v>32174</v>
      </c>
      <c r="D2727" s="242" t="s">
        <v>32010</v>
      </c>
      <c r="E2727" s="949">
        <v>402</v>
      </c>
      <c r="F2727" s="949">
        <v>402</v>
      </c>
      <c r="G2727" s="950" t="s">
        <v>26409</v>
      </c>
      <c r="H2727" s="950" t="s">
        <v>873</v>
      </c>
      <c r="I2727" s="951" t="s">
        <v>18394</v>
      </c>
      <c r="J2727" s="947" t="s">
        <v>32173</v>
      </c>
      <c r="K2727" s="143"/>
    </row>
    <row r="2728" spans="1:11">
      <c r="A2728" s="946" t="s">
        <v>32007</v>
      </c>
      <c r="B2728" s="947" t="s">
        <v>32175</v>
      </c>
      <c r="C2728" s="948" t="s">
        <v>32176</v>
      </c>
      <c r="D2728" s="242" t="s">
        <v>32010</v>
      </c>
      <c r="E2728" s="949">
        <v>402</v>
      </c>
      <c r="F2728" s="949">
        <v>402</v>
      </c>
      <c r="G2728" s="950" t="s">
        <v>26409</v>
      </c>
      <c r="H2728" s="950" t="s">
        <v>873</v>
      </c>
      <c r="I2728" s="951" t="s">
        <v>18858</v>
      </c>
      <c r="J2728" s="947" t="s">
        <v>32175</v>
      </c>
      <c r="K2728" s="143"/>
    </row>
    <row r="2729" spans="1:11">
      <c r="A2729" s="946" t="s">
        <v>32007</v>
      </c>
      <c r="B2729" s="947" t="s">
        <v>32177</v>
      </c>
      <c r="C2729" s="948" t="s">
        <v>32178</v>
      </c>
      <c r="D2729" s="242" t="s">
        <v>32010</v>
      </c>
      <c r="E2729" s="949">
        <v>402</v>
      </c>
      <c r="F2729" s="949">
        <v>402</v>
      </c>
      <c r="G2729" s="950" t="s">
        <v>26409</v>
      </c>
      <c r="H2729" s="950" t="s">
        <v>873</v>
      </c>
      <c r="I2729" s="951" t="s">
        <v>19061</v>
      </c>
      <c r="J2729" s="947" t="s">
        <v>32177</v>
      </c>
      <c r="K2729" s="143"/>
    </row>
    <row r="2730" spans="1:11">
      <c r="A2730" s="946" t="s">
        <v>32007</v>
      </c>
      <c r="B2730" s="947" t="s">
        <v>32179</v>
      </c>
      <c r="C2730" s="948" t="s">
        <v>32180</v>
      </c>
      <c r="D2730" s="242" t="s">
        <v>32010</v>
      </c>
      <c r="E2730" s="949">
        <v>403</v>
      </c>
      <c r="F2730" s="949">
        <v>403</v>
      </c>
      <c r="G2730" s="950" t="s">
        <v>26409</v>
      </c>
      <c r="H2730" s="950" t="s">
        <v>873</v>
      </c>
      <c r="I2730" s="951" t="s">
        <v>19214</v>
      </c>
      <c r="J2730" s="947" t="s">
        <v>32179</v>
      </c>
      <c r="K2730" s="143"/>
    </row>
    <row r="2731" spans="1:11">
      <c r="A2731" s="946" t="s">
        <v>32007</v>
      </c>
      <c r="B2731" s="947" t="s">
        <v>32181</v>
      </c>
      <c r="C2731" s="948" t="s">
        <v>32182</v>
      </c>
      <c r="D2731" s="242" t="s">
        <v>32010</v>
      </c>
      <c r="E2731" s="949">
        <v>402</v>
      </c>
      <c r="F2731" s="949">
        <v>402</v>
      </c>
      <c r="G2731" s="950" t="s">
        <v>26409</v>
      </c>
      <c r="H2731" s="950" t="s">
        <v>873</v>
      </c>
      <c r="I2731" s="951" t="s">
        <v>19221</v>
      </c>
      <c r="J2731" s="947" t="s">
        <v>32181</v>
      </c>
      <c r="K2731" s="143"/>
    </row>
    <row r="2732" spans="1:11">
      <c r="A2732" s="946" t="s">
        <v>32007</v>
      </c>
      <c r="B2732" s="947" t="s">
        <v>32183</v>
      </c>
      <c r="C2732" s="948" t="s">
        <v>32184</v>
      </c>
      <c r="D2732" s="242" t="s">
        <v>32010</v>
      </c>
      <c r="E2732" s="949">
        <v>404</v>
      </c>
      <c r="F2732" s="949">
        <v>404</v>
      </c>
      <c r="G2732" s="950" t="s">
        <v>26409</v>
      </c>
      <c r="H2732" s="950" t="s">
        <v>873</v>
      </c>
      <c r="I2732" s="951" t="s">
        <v>19242</v>
      </c>
      <c r="J2732" s="947" t="s">
        <v>32183</v>
      </c>
      <c r="K2732" s="143"/>
    </row>
    <row r="2733" spans="1:11">
      <c r="A2733" s="946" t="s">
        <v>32007</v>
      </c>
      <c r="B2733" s="947" t="s">
        <v>32185</v>
      </c>
      <c r="C2733" s="948" t="s">
        <v>32186</v>
      </c>
      <c r="D2733" s="242" t="s">
        <v>32010</v>
      </c>
      <c r="E2733" s="949">
        <v>403</v>
      </c>
      <c r="F2733" s="949">
        <v>403</v>
      </c>
      <c r="G2733" s="950" t="s">
        <v>26409</v>
      </c>
      <c r="H2733" s="950" t="s">
        <v>873</v>
      </c>
      <c r="I2733" s="951" t="s">
        <v>19414</v>
      </c>
      <c r="J2733" s="947" t="s">
        <v>32185</v>
      </c>
      <c r="K2733" s="143"/>
    </row>
    <row r="2734" spans="1:11">
      <c r="A2734" s="946" t="s">
        <v>32007</v>
      </c>
      <c r="B2734" s="947" t="s">
        <v>32187</v>
      </c>
      <c r="C2734" s="948" t="s">
        <v>32188</v>
      </c>
      <c r="D2734" s="242" t="s">
        <v>32010</v>
      </c>
      <c r="E2734" s="949">
        <v>404</v>
      </c>
      <c r="F2734" s="949">
        <v>404</v>
      </c>
      <c r="G2734" s="950" t="s">
        <v>26409</v>
      </c>
      <c r="H2734" s="950" t="s">
        <v>873</v>
      </c>
      <c r="I2734" s="951" t="s">
        <v>19518</v>
      </c>
      <c r="J2734" s="947" t="s">
        <v>32187</v>
      </c>
      <c r="K2734" s="143"/>
    </row>
    <row r="2735" spans="1:11">
      <c r="A2735" s="946" t="s">
        <v>32007</v>
      </c>
      <c r="B2735" s="947" t="s">
        <v>32189</v>
      </c>
      <c r="C2735" s="948" t="s">
        <v>32190</v>
      </c>
      <c r="D2735" s="242" t="s">
        <v>32010</v>
      </c>
      <c r="E2735" s="949">
        <v>404</v>
      </c>
      <c r="F2735" s="949">
        <v>404</v>
      </c>
      <c r="G2735" s="950" t="s">
        <v>26409</v>
      </c>
      <c r="H2735" s="950" t="s">
        <v>873</v>
      </c>
      <c r="I2735" s="951" t="s">
        <v>19596</v>
      </c>
      <c r="J2735" s="947" t="s">
        <v>32189</v>
      </c>
      <c r="K2735" s="143"/>
    </row>
    <row r="2736" spans="1:11">
      <c r="A2736" s="946" t="s">
        <v>32007</v>
      </c>
      <c r="B2736" s="947" t="s">
        <v>32191</v>
      </c>
      <c r="C2736" s="948" t="s">
        <v>32192</v>
      </c>
      <c r="D2736" s="242" t="s">
        <v>32010</v>
      </c>
      <c r="E2736" s="949">
        <v>404</v>
      </c>
      <c r="F2736" s="949">
        <v>404</v>
      </c>
      <c r="G2736" s="950" t="s">
        <v>26409</v>
      </c>
      <c r="H2736" s="950" t="s">
        <v>873</v>
      </c>
      <c r="I2736" s="951" t="s">
        <v>19990</v>
      </c>
      <c r="J2736" s="947" t="s">
        <v>32191</v>
      </c>
      <c r="K2736" s="143"/>
    </row>
    <row r="2737" spans="1:11">
      <c r="A2737" s="946" t="s">
        <v>32007</v>
      </c>
      <c r="B2737" s="947" t="s">
        <v>32193</v>
      </c>
      <c r="C2737" s="948" t="s">
        <v>32194</v>
      </c>
      <c r="D2737" s="242" t="s">
        <v>32010</v>
      </c>
      <c r="E2737" s="949">
        <v>403</v>
      </c>
      <c r="F2737" s="949">
        <v>403</v>
      </c>
      <c r="G2737" s="950" t="s">
        <v>26409</v>
      </c>
      <c r="H2737" s="950" t="s">
        <v>873</v>
      </c>
      <c r="I2737" s="951" t="s">
        <v>20335</v>
      </c>
      <c r="J2737" s="947" t="s">
        <v>32193</v>
      </c>
      <c r="K2737" s="143"/>
    </row>
    <row r="2738" spans="1:11">
      <c r="A2738" s="946" t="s">
        <v>32007</v>
      </c>
      <c r="B2738" s="947" t="s">
        <v>32195</v>
      </c>
      <c r="C2738" s="948" t="s">
        <v>32196</v>
      </c>
      <c r="D2738" s="242" t="s">
        <v>32010</v>
      </c>
      <c r="E2738" s="949">
        <v>402</v>
      </c>
      <c r="F2738" s="949">
        <v>402</v>
      </c>
      <c r="G2738" s="950" t="s">
        <v>26409</v>
      </c>
      <c r="H2738" s="950" t="s">
        <v>873</v>
      </c>
      <c r="I2738" s="951" t="s">
        <v>20341</v>
      </c>
      <c r="J2738" s="947" t="s">
        <v>32195</v>
      </c>
      <c r="K2738" s="143"/>
    </row>
    <row r="2739" spans="1:11">
      <c r="A2739" s="946" t="s">
        <v>32007</v>
      </c>
      <c r="B2739" s="947" t="s">
        <v>32197</v>
      </c>
      <c r="C2739" s="948" t="s">
        <v>32198</v>
      </c>
      <c r="D2739" s="242" t="s">
        <v>32010</v>
      </c>
      <c r="E2739" s="949">
        <v>402</v>
      </c>
      <c r="F2739" s="949">
        <v>402</v>
      </c>
      <c r="G2739" s="950" t="s">
        <v>26409</v>
      </c>
      <c r="H2739" s="950" t="s">
        <v>873</v>
      </c>
      <c r="I2739" s="951" t="s">
        <v>20348</v>
      </c>
      <c r="J2739" s="947" t="s">
        <v>32197</v>
      </c>
      <c r="K2739" s="143"/>
    </row>
    <row r="2740" spans="1:11">
      <c r="A2740" s="946" t="s">
        <v>32007</v>
      </c>
      <c r="B2740" s="947" t="s">
        <v>32199</v>
      </c>
      <c r="C2740" s="948" t="s">
        <v>32200</v>
      </c>
      <c r="D2740" s="242" t="s">
        <v>32010</v>
      </c>
      <c r="E2740" s="949">
        <v>402</v>
      </c>
      <c r="F2740" s="949">
        <v>402</v>
      </c>
      <c r="G2740" s="950" t="s">
        <v>26409</v>
      </c>
      <c r="H2740" s="950" t="s">
        <v>873</v>
      </c>
      <c r="I2740" s="951" t="s">
        <v>20427</v>
      </c>
      <c r="J2740" s="947" t="s">
        <v>32199</v>
      </c>
      <c r="K2740" s="143"/>
    </row>
    <row r="2741" spans="1:11">
      <c r="A2741" s="946" t="s">
        <v>32007</v>
      </c>
      <c r="B2741" s="947" t="s">
        <v>32201</v>
      </c>
      <c r="C2741" s="948" t="s">
        <v>32202</v>
      </c>
      <c r="D2741" s="242" t="s">
        <v>32010</v>
      </c>
      <c r="E2741" s="949">
        <v>402</v>
      </c>
      <c r="F2741" s="949">
        <v>402</v>
      </c>
      <c r="G2741" s="950" t="s">
        <v>26409</v>
      </c>
      <c r="H2741" s="950" t="s">
        <v>873</v>
      </c>
      <c r="I2741" s="951" t="s">
        <v>20479</v>
      </c>
      <c r="J2741" s="947" t="s">
        <v>32201</v>
      </c>
      <c r="K2741" s="143"/>
    </row>
    <row r="2742" spans="1:11">
      <c r="A2742" s="946" t="s">
        <v>32007</v>
      </c>
      <c r="B2742" s="947" t="s">
        <v>32203</v>
      </c>
      <c r="C2742" s="948" t="s">
        <v>32204</v>
      </c>
      <c r="D2742" s="242" t="s">
        <v>32010</v>
      </c>
      <c r="E2742" s="949">
        <v>402</v>
      </c>
      <c r="F2742" s="949">
        <v>402</v>
      </c>
      <c r="G2742" s="950" t="s">
        <v>26409</v>
      </c>
      <c r="H2742" s="950" t="s">
        <v>873</v>
      </c>
      <c r="I2742" s="951" t="s">
        <v>20483</v>
      </c>
      <c r="J2742" s="947" t="s">
        <v>32203</v>
      </c>
      <c r="K2742" s="143"/>
    </row>
    <row r="2743" spans="1:11">
      <c r="A2743" s="946" t="s">
        <v>32007</v>
      </c>
      <c r="B2743" s="947" t="s">
        <v>32205</v>
      </c>
      <c r="C2743" s="948" t="s">
        <v>32206</v>
      </c>
      <c r="D2743" s="242" t="s">
        <v>32010</v>
      </c>
      <c r="E2743" s="949">
        <v>402</v>
      </c>
      <c r="F2743" s="949">
        <v>402</v>
      </c>
      <c r="G2743" s="950" t="s">
        <v>26409</v>
      </c>
      <c r="H2743" s="950" t="s">
        <v>873</v>
      </c>
      <c r="I2743" s="951" t="s">
        <v>21072</v>
      </c>
      <c r="J2743" s="947" t="s">
        <v>32205</v>
      </c>
      <c r="K2743" s="143"/>
    </row>
    <row r="2744" spans="1:11">
      <c r="A2744" s="946" t="s">
        <v>32007</v>
      </c>
      <c r="B2744" s="947" t="s">
        <v>32207</v>
      </c>
      <c r="C2744" s="948" t="s">
        <v>32208</v>
      </c>
      <c r="D2744" s="242" t="s">
        <v>32010</v>
      </c>
      <c r="E2744" s="949">
        <v>402</v>
      </c>
      <c r="F2744" s="949">
        <v>402</v>
      </c>
      <c r="G2744" s="950" t="s">
        <v>26409</v>
      </c>
      <c r="H2744" s="950" t="s">
        <v>873</v>
      </c>
      <c r="I2744" s="951" t="s">
        <v>21101</v>
      </c>
      <c r="J2744" s="947" t="s">
        <v>32207</v>
      </c>
      <c r="K2744" s="143"/>
    </row>
    <row r="2745" spans="1:11">
      <c r="A2745" s="946" t="s">
        <v>32007</v>
      </c>
      <c r="B2745" s="947" t="s">
        <v>32209</v>
      </c>
      <c r="C2745" s="948" t="s">
        <v>32210</v>
      </c>
      <c r="D2745" s="242" t="s">
        <v>32010</v>
      </c>
      <c r="E2745" s="949">
        <v>402</v>
      </c>
      <c r="F2745" s="949">
        <v>402</v>
      </c>
      <c r="G2745" s="950" t="s">
        <v>26409</v>
      </c>
      <c r="H2745" s="950" t="s">
        <v>873</v>
      </c>
      <c r="I2745" s="951" t="s">
        <v>21175</v>
      </c>
      <c r="J2745" s="947" t="s">
        <v>32209</v>
      </c>
      <c r="K2745" s="143"/>
    </row>
    <row r="2746" spans="1:11">
      <c r="A2746" s="946" t="s">
        <v>32007</v>
      </c>
      <c r="B2746" s="947" t="s">
        <v>32211</v>
      </c>
      <c r="C2746" s="948" t="s">
        <v>32212</v>
      </c>
      <c r="D2746" s="242" t="s">
        <v>32010</v>
      </c>
      <c r="E2746" s="949">
        <v>402</v>
      </c>
      <c r="F2746" s="949">
        <v>402</v>
      </c>
      <c r="G2746" s="950" t="s">
        <v>26409</v>
      </c>
      <c r="H2746" s="950" t="s">
        <v>873</v>
      </c>
      <c r="I2746" s="951" t="s">
        <v>21248</v>
      </c>
      <c r="J2746" s="947" t="s">
        <v>32211</v>
      </c>
      <c r="K2746" s="143"/>
    </row>
    <row r="2747" spans="1:11">
      <c r="A2747" s="946" t="s">
        <v>32007</v>
      </c>
      <c r="B2747" s="947" t="s">
        <v>32213</v>
      </c>
      <c r="C2747" s="948" t="s">
        <v>32214</v>
      </c>
      <c r="D2747" s="242" t="s">
        <v>32010</v>
      </c>
      <c r="E2747" s="949">
        <v>403</v>
      </c>
      <c r="F2747" s="949">
        <v>403</v>
      </c>
      <c r="G2747" s="950" t="s">
        <v>26409</v>
      </c>
      <c r="H2747" s="950" t="s">
        <v>873</v>
      </c>
      <c r="I2747" s="951" t="s">
        <v>21309</v>
      </c>
      <c r="J2747" s="947" t="s">
        <v>32213</v>
      </c>
      <c r="K2747" s="143"/>
    </row>
    <row r="2748" spans="1:11">
      <c r="A2748" s="946" t="s">
        <v>32007</v>
      </c>
      <c r="B2748" s="947" t="s">
        <v>32215</v>
      </c>
      <c r="C2748" s="948" t="s">
        <v>32216</v>
      </c>
      <c r="D2748" s="242" t="s">
        <v>32010</v>
      </c>
      <c r="E2748" s="949">
        <v>405</v>
      </c>
      <c r="F2748" s="949">
        <v>405</v>
      </c>
      <c r="G2748" s="950" t="s">
        <v>26409</v>
      </c>
      <c r="H2748" s="950" t="s">
        <v>873</v>
      </c>
      <c r="I2748" s="951" t="s">
        <v>21287</v>
      </c>
      <c r="J2748" s="947" t="s">
        <v>32215</v>
      </c>
      <c r="K2748" s="143"/>
    </row>
    <row r="2749" spans="1:11">
      <c r="A2749" s="946" t="s">
        <v>32007</v>
      </c>
      <c r="B2749" s="947" t="s">
        <v>32217</v>
      </c>
      <c r="C2749" s="948" t="s">
        <v>32218</v>
      </c>
      <c r="D2749" s="242" t="s">
        <v>32010</v>
      </c>
      <c r="E2749" s="949">
        <v>403</v>
      </c>
      <c r="F2749" s="949">
        <v>403</v>
      </c>
      <c r="G2749" s="950" t="s">
        <v>26409</v>
      </c>
      <c r="H2749" s="950" t="s">
        <v>873</v>
      </c>
      <c r="I2749" s="951" t="s">
        <v>21403</v>
      </c>
      <c r="J2749" s="947" t="s">
        <v>32217</v>
      </c>
      <c r="K2749" s="143"/>
    </row>
    <row r="2750" spans="1:11">
      <c r="A2750" s="946" t="s">
        <v>32007</v>
      </c>
      <c r="B2750" s="947" t="s">
        <v>32219</v>
      </c>
      <c r="C2750" s="948" t="s">
        <v>32220</v>
      </c>
      <c r="D2750" s="242" t="s">
        <v>25669</v>
      </c>
      <c r="E2750" s="949">
        <v>401</v>
      </c>
      <c r="F2750" s="949">
        <v>401</v>
      </c>
      <c r="G2750" s="950" t="s">
        <v>26409</v>
      </c>
      <c r="H2750" s="950" t="s">
        <v>873</v>
      </c>
      <c r="I2750" s="951" t="s">
        <v>21413</v>
      </c>
      <c r="J2750" s="947" t="s">
        <v>32219</v>
      </c>
      <c r="K2750" s="143"/>
    </row>
    <row r="2751" spans="1:11">
      <c r="A2751" s="946" t="s">
        <v>32007</v>
      </c>
      <c r="B2751" s="947" t="s">
        <v>32221</v>
      </c>
      <c r="C2751" s="948" t="s">
        <v>32222</v>
      </c>
      <c r="D2751" s="242" t="s">
        <v>32010</v>
      </c>
      <c r="E2751" s="949">
        <v>403</v>
      </c>
      <c r="F2751" s="949">
        <v>403</v>
      </c>
      <c r="G2751" s="950" t="s">
        <v>26409</v>
      </c>
      <c r="H2751" s="950" t="s">
        <v>873</v>
      </c>
      <c r="I2751" s="951" t="s">
        <v>21543</v>
      </c>
      <c r="J2751" s="947" t="s">
        <v>32221</v>
      </c>
      <c r="K2751" s="143"/>
    </row>
    <row r="2752" spans="1:11">
      <c r="A2752" s="946" t="s">
        <v>32007</v>
      </c>
      <c r="B2752" s="947" t="s">
        <v>32223</v>
      </c>
      <c r="C2752" s="948" t="s">
        <v>32224</v>
      </c>
      <c r="D2752" s="242" t="s">
        <v>32010</v>
      </c>
      <c r="E2752" s="949">
        <v>405</v>
      </c>
      <c r="F2752" s="949">
        <v>405</v>
      </c>
      <c r="G2752" s="950" t="s">
        <v>26409</v>
      </c>
      <c r="H2752" s="950" t="s">
        <v>873</v>
      </c>
      <c r="I2752" s="951" t="s">
        <v>21596</v>
      </c>
      <c r="J2752" s="947" t="s">
        <v>32223</v>
      </c>
      <c r="K2752" s="143"/>
    </row>
    <row r="2753" spans="1:11">
      <c r="A2753" s="946" t="s">
        <v>32007</v>
      </c>
      <c r="B2753" s="947" t="s">
        <v>32225</v>
      </c>
      <c r="C2753" s="948" t="s">
        <v>32226</v>
      </c>
      <c r="D2753" s="242" t="s">
        <v>32010</v>
      </c>
      <c r="E2753" s="949">
        <v>402</v>
      </c>
      <c r="F2753" s="949">
        <v>402</v>
      </c>
      <c r="G2753" s="950" t="s">
        <v>26409</v>
      </c>
      <c r="H2753" s="950" t="s">
        <v>873</v>
      </c>
      <c r="I2753" s="951" t="s">
        <v>21723</v>
      </c>
      <c r="J2753" s="947" t="s">
        <v>32225</v>
      </c>
      <c r="K2753" s="143"/>
    </row>
    <row r="2754" spans="1:11">
      <c r="A2754" s="946" t="s">
        <v>32007</v>
      </c>
      <c r="B2754" s="947" t="s">
        <v>32227</v>
      </c>
      <c r="C2754" s="948" t="s">
        <v>32228</v>
      </c>
      <c r="D2754" s="242" t="s">
        <v>32010</v>
      </c>
      <c r="E2754" s="949">
        <v>403</v>
      </c>
      <c r="F2754" s="949">
        <v>403</v>
      </c>
      <c r="G2754" s="950" t="s">
        <v>26409</v>
      </c>
      <c r="H2754" s="950" t="s">
        <v>873</v>
      </c>
      <c r="I2754" s="951" t="s">
        <v>22149</v>
      </c>
      <c r="J2754" s="947" t="s">
        <v>32227</v>
      </c>
      <c r="K2754" s="143"/>
    </row>
    <row r="2755" spans="1:11">
      <c r="A2755" s="946" t="s">
        <v>32007</v>
      </c>
      <c r="B2755" s="947" t="s">
        <v>32229</v>
      </c>
      <c r="C2755" s="948" t="s">
        <v>32230</v>
      </c>
      <c r="D2755" s="242" t="s">
        <v>32010</v>
      </c>
      <c r="E2755" s="949">
        <v>405</v>
      </c>
      <c r="F2755" s="949">
        <v>405</v>
      </c>
      <c r="G2755" s="950" t="s">
        <v>26409</v>
      </c>
      <c r="H2755" s="950" t="s">
        <v>873</v>
      </c>
      <c r="I2755" s="951" t="s">
        <v>22222</v>
      </c>
      <c r="J2755" s="947" t="s">
        <v>32229</v>
      </c>
      <c r="K2755" s="143"/>
    </row>
    <row r="2756" spans="1:11">
      <c r="A2756" s="946" t="s">
        <v>32007</v>
      </c>
      <c r="B2756" s="947" t="s">
        <v>32231</v>
      </c>
      <c r="C2756" s="948" t="s">
        <v>32232</v>
      </c>
      <c r="D2756" s="242" t="s">
        <v>32010</v>
      </c>
      <c r="E2756" s="949">
        <v>405</v>
      </c>
      <c r="F2756" s="949">
        <v>405</v>
      </c>
      <c r="G2756" s="950" t="s">
        <v>26409</v>
      </c>
      <c r="H2756" s="950" t="s">
        <v>873</v>
      </c>
      <c r="I2756" s="951" t="s">
        <v>22388</v>
      </c>
      <c r="J2756" s="947" t="s">
        <v>32231</v>
      </c>
      <c r="K2756" s="143"/>
    </row>
    <row r="2757" spans="1:11">
      <c r="A2757" s="946" t="s">
        <v>32007</v>
      </c>
      <c r="B2757" s="947" t="s">
        <v>32233</v>
      </c>
      <c r="C2757" s="948" t="s">
        <v>32234</v>
      </c>
      <c r="D2757" s="242" t="s">
        <v>32010</v>
      </c>
      <c r="E2757" s="949">
        <v>405</v>
      </c>
      <c r="F2757" s="949">
        <v>405</v>
      </c>
      <c r="G2757" s="950" t="s">
        <v>26409</v>
      </c>
      <c r="H2757" s="950" t="s">
        <v>873</v>
      </c>
      <c r="I2757" s="951" t="s">
        <v>21671</v>
      </c>
      <c r="J2757" s="947" t="s">
        <v>32233</v>
      </c>
      <c r="K2757" s="143"/>
    </row>
    <row r="2758" spans="1:11">
      <c r="A2758" s="946" t="s">
        <v>32007</v>
      </c>
      <c r="B2758" s="947" t="s">
        <v>32235</v>
      </c>
      <c r="C2758" s="948" t="s">
        <v>32236</v>
      </c>
      <c r="D2758" s="242" t="s">
        <v>32010</v>
      </c>
      <c r="E2758" s="949">
        <v>403</v>
      </c>
      <c r="F2758" s="949">
        <v>403</v>
      </c>
      <c r="G2758" s="950" t="s">
        <v>26409</v>
      </c>
      <c r="H2758" s="950" t="s">
        <v>873</v>
      </c>
      <c r="I2758" s="951" t="s">
        <v>10013</v>
      </c>
      <c r="J2758" s="947" t="s">
        <v>32235</v>
      </c>
      <c r="K2758" s="143"/>
    </row>
    <row r="2759" spans="1:11">
      <c r="A2759" s="946" t="s">
        <v>32007</v>
      </c>
      <c r="B2759" s="947" t="s">
        <v>32237</v>
      </c>
      <c r="C2759" s="948" t="s">
        <v>32238</v>
      </c>
      <c r="D2759" s="242" t="s">
        <v>32010</v>
      </c>
      <c r="E2759" s="949">
        <v>402</v>
      </c>
      <c r="F2759" s="949">
        <v>402</v>
      </c>
      <c r="G2759" s="950" t="s">
        <v>26409</v>
      </c>
      <c r="H2759" s="950" t="s">
        <v>873</v>
      </c>
      <c r="I2759" s="951" t="s">
        <v>19243</v>
      </c>
      <c r="J2759" s="947" t="s">
        <v>32237</v>
      </c>
      <c r="K2759" s="143"/>
    </row>
    <row r="2760" spans="1:11">
      <c r="A2760" s="946" t="s">
        <v>32007</v>
      </c>
      <c r="B2760" s="947" t="s">
        <v>726</v>
      </c>
      <c r="C2760" s="948" t="s">
        <v>723</v>
      </c>
      <c r="D2760" s="242" t="s">
        <v>25669</v>
      </c>
      <c r="E2760" s="949">
        <v>401</v>
      </c>
      <c r="F2760" s="949">
        <v>401</v>
      </c>
      <c r="G2760" s="950" t="s">
        <v>20929</v>
      </c>
      <c r="H2760" s="950" t="s">
        <v>724</v>
      </c>
      <c r="I2760" s="951" t="s">
        <v>725</v>
      </c>
      <c r="J2760" s="947" t="s">
        <v>726</v>
      </c>
      <c r="K2760" s="143"/>
    </row>
    <row r="2761" spans="1:11">
      <c r="A2761" s="946" t="s">
        <v>32007</v>
      </c>
      <c r="B2761" s="947" t="s">
        <v>820</v>
      </c>
      <c r="C2761" s="948" t="s">
        <v>818</v>
      </c>
      <c r="D2761" s="242" t="s">
        <v>25669</v>
      </c>
      <c r="E2761" s="949">
        <v>401</v>
      </c>
      <c r="F2761" s="949">
        <v>401</v>
      </c>
      <c r="G2761" s="950" t="s">
        <v>20929</v>
      </c>
      <c r="H2761" s="950" t="s">
        <v>724</v>
      </c>
      <c r="I2761" s="951" t="s">
        <v>819</v>
      </c>
      <c r="J2761" s="947" t="s">
        <v>820</v>
      </c>
      <c r="K2761" s="143"/>
    </row>
    <row r="2762" spans="1:11">
      <c r="A2762" s="946" t="s">
        <v>32007</v>
      </c>
      <c r="B2762" s="947" t="s">
        <v>872</v>
      </c>
      <c r="C2762" s="948" t="s">
        <v>870</v>
      </c>
      <c r="D2762" s="242" t="s">
        <v>25669</v>
      </c>
      <c r="E2762" s="949">
        <v>401</v>
      </c>
      <c r="F2762" s="949">
        <v>401</v>
      </c>
      <c r="G2762" s="950" t="s">
        <v>20929</v>
      </c>
      <c r="H2762" s="950" t="s">
        <v>724</v>
      </c>
      <c r="I2762" s="951" t="s">
        <v>871</v>
      </c>
      <c r="J2762" s="947" t="s">
        <v>872</v>
      </c>
      <c r="K2762" s="143"/>
    </row>
    <row r="2763" spans="1:11">
      <c r="A2763" s="946" t="s">
        <v>32007</v>
      </c>
      <c r="B2763" s="947" t="s">
        <v>1118</v>
      </c>
      <c r="C2763" s="948" t="s">
        <v>1116</v>
      </c>
      <c r="D2763" s="242" t="s">
        <v>25669</v>
      </c>
      <c r="E2763" s="949">
        <v>401</v>
      </c>
      <c r="F2763" s="949">
        <v>401</v>
      </c>
      <c r="G2763" s="950" t="s">
        <v>20929</v>
      </c>
      <c r="H2763" s="950" t="s">
        <v>724</v>
      </c>
      <c r="I2763" s="951" t="s">
        <v>1117</v>
      </c>
      <c r="J2763" s="947" t="s">
        <v>1118</v>
      </c>
      <c r="K2763" s="143"/>
    </row>
    <row r="2764" spans="1:11">
      <c r="A2764" s="946" t="s">
        <v>32007</v>
      </c>
      <c r="B2764" s="947" t="s">
        <v>1337</v>
      </c>
      <c r="C2764" s="948" t="s">
        <v>1335</v>
      </c>
      <c r="D2764" s="242" t="s">
        <v>25669</v>
      </c>
      <c r="E2764" s="949">
        <v>401</v>
      </c>
      <c r="F2764" s="949">
        <v>401</v>
      </c>
      <c r="G2764" s="950" t="s">
        <v>20929</v>
      </c>
      <c r="H2764" s="950" t="s">
        <v>724</v>
      </c>
      <c r="I2764" s="951" t="s">
        <v>1336</v>
      </c>
      <c r="J2764" s="947" t="s">
        <v>1337</v>
      </c>
      <c r="K2764" s="143"/>
    </row>
    <row r="2765" spans="1:11">
      <c r="A2765" s="946" t="s">
        <v>32007</v>
      </c>
      <c r="B2765" s="947" t="s">
        <v>1685</v>
      </c>
      <c r="C2765" s="948" t="s">
        <v>1683</v>
      </c>
      <c r="D2765" s="242" t="s">
        <v>25669</v>
      </c>
      <c r="E2765" s="949">
        <v>401</v>
      </c>
      <c r="F2765" s="949">
        <v>401</v>
      </c>
      <c r="G2765" s="950" t="s">
        <v>20929</v>
      </c>
      <c r="H2765" s="950" t="s">
        <v>724</v>
      </c>
      <c r="I2765" s="951" t="s">
        <v>1684</v>
      </c>
      <c r="J2765" s="947" t="s">
        <v>1685</v>
      </c>
      <c r="K2765" s="143"/>
    </row>
    <row r="2766" spans="1:11">
      <c r="A2766" s="946" t="s">
        <v>32007</v>
      </c>
      <c r="B2766" s="947" t="s">
        <v>2057</v>
      </c>
      <c r="C2766" s="948" t="s">
        <v>2055</v>
      </c>
      <c r="D2766" s="242" t="s">
        <v>25669</v>
      </c>
      <c r="E2766" s="949">
        <v>401</v>
      </c>
      <c r="F2766" s="949">
        <v>401</v>
      </c>
      <c r="G2766" s="950" t="s">
        <v>20929</v>
      </c>
      <c r="H2766" s="950" t="s">
        <v>724</v>
      </c>
      <c r="I2766" s="951" t="s">
        <v>2056</v>
      </c>
      <c r="J2766" s="947" t="s">
        <v>2057</v>
      </c>
      <c r="K2766" s="143"/>
    </row>
    <row r="2767" spans="1:11">
      <c r="A2767" s="946" t="s">
        <v>32007</v>
      </c>
      <c r="B2767" s="947" t="s">
        <v>2132</v>
      </c>
      <c r="C2767" s="948" t="s">
        <v>2130</v>
      </c>
      <c r="D2767" s="242" t="s">
        <v>25669</v>
      </c>
      <c r="E2767" s="949">
        <v>401</v>
      </c>
      <c r="F2767" s="949">
        <v>401</v>
      </c>
      <c r="G2767" s="950" t="s">
        <v>20929</v>
      </c>
      <c r="H2767" s="950" t="s">
        <v>724</v>
      </c>
      <c r="I2767" s="951" t="s">
        <v>2131</v>
      </c>
      <c r="J2767" s="947" t="s">
        <v>2132</v>
      </c>
      <c r="K2767" s="143"/>
    </row>
    <row r="2768" spans="1:11">
      <c r="A2768" s="946" t="s">
        <v>32007</v>
      </c>
      <c r="B2768" s="947" t="s">
        <v>2353</v>
      </c>
      <c r="C2768" s="948" t="s">
        <v>2351</v>
      </c>
      <c r="D2768" s="242" t="s">
        <v>25669</v>
      </c>
      <c r="E2768" s="949">
        <v>401</v>
      </c>
      <c r="F2768" s="949">
        <v>401</v>
      </c>
      <c r="G2768" s="950" t="s">
        <v>20929</v>
      </c>
      <c r="H2768" s="950" t="s">
        <v>724</v>
      </c>
      <c r="I2768" s="951" t="s">
        <v>2352</v>
      </c>
      <c r="J2768" s="947" t="s">
        <v>2353</v>
      </c>
      <c r="K2768" s="143"/>
    </row>
    <row r="2769" spans="1:11">
      <c r="A2769" s="946" t="s">
        <v>32007</v>
      </c>
      <c r="B2769" s="947" t="s">
        <v>2437</v>
      </c>
      <c r="C2769" s="948" t="s">
        <v>2435</v>
      </c>
      <c r="D2769" s="242" t="s">
        <v>25669</v>
      </c>
      <c r="E2769" s="949">
        <v>401</v>
      </c>
      <c r="F2769" s="949">
        <v>401</v>
      </c>
      <c r="G2769" s="950" t="s">
        <v>20929</v>
      </c>
      <c r="H2769" s="950" t="s">
        <v>724</v>
      </c>
      <c r="I2769" s="951" t="s">
        <v>2436</v>
      </c>
      <c r="J2769" s="947" t="s">
        <v>2437</v>
      </c>
      <c r="K2769" s="143"/>
    </row>
    <row r="2770" spans="1:11">
      <c r="A2770" s="946" t="s">
        <v>32007</v>
      </c>
      <c r="B2770" s="947" t="s">
        <v>2507</v>
      </c>
      <c r="C2770" s="948" t="s">
        <v>2505</v>
      </c>
      <c r="D2770" s="242" t="s">
        <v>25669</v>
      </c>
      <c r="E2770" s="949">
        <v>401</v>
      </c>
      <c r="F2770" s="949">
        <v>401</v>
      </c>
      <c r="G2770" s="950" t="s">
        <v>20929</v>
      </c>
      <c r="H2770" s="950" t="s">
        <v>724</v>
      </c>
      <c r="I2770" s="951" t="s">
        <v>2506</v>
      </c>
      <c r="J2770" s="947" t="s">
        <v>2507</v>
      </c>
      <c r="K2770" s="143"/>
    </row>
    <row r="2771" spans="1:11">
      <c r="A2771" s="946" t="s">
        <v>32007</v>
      </c>
      <c r="B2771" s="947" t="s">
        <v>2543</v>
      </c>
      <c r="C2771" s="948" t="s">
        <v>2541</v>
      </c>
      <c r="D2771" s="242" t="s">
        <v>25669</v>
      </c>
      <c r="E2771" s="949">
        <v>401</v>
      </c>
      <c r="F2771" s="949">
        <v>401</v>
      </c>
      <c r="G2771" s="950" t="s">
        <v>20929</v>
      </c>
      <c r="H2771" s="950" t="s">
        <v>724</v>
      </c>
      <c r="I2771" s="951" t="s">
        <v>2542</v>
      </c>
      <c r="J2771" s="947" t="s">
        <v>2543</v>
      </c>
      <c r="K2771" s="143"/>
    </row>
    <row r="2772" spans="1:11">
      <c r="A2772" s="946" t="s">
        <v>32007</v>
      </c>
      <c r="B2772" s="947" t="s">
        <v>2640</v>
      </c>
      <c r="C2772" s="948" t="s">
        <v>2638</v>
      </c>
      <c r="D2772" s="242" t="s">
        <v>25669</v>
      </c>
      <c r="E2772" s="949">
        <v>401</v>
      </c>
      <c r="F2772" s="949">
        <v>401</v>
      </c>
      <c r="G2772" s="950" t="s">
        <v>20929</v>
      </c>
      <c r="H2772" s="950" t="s">
        <v>724</v>
      </c>
      <c r="I2772" s="951" t="s">
        <v>2639</v>
      </c>
      <c r="J2772" s="947" t="s">
        <v>2640</v>
      </c>
      <c r="K2772" s="143"/>
    </row>
    <row r="2773" spans="1:11">
      <c r="A2773" s="946" t="s">
        <v>32007</v>
      </c>
      <c r="B2773" s="947" t="s">
        <v>2766</v>
      </c>
      <c r="C2773" s="948" t="s">
        <v>2764</v>
      </c>
      <c r="D2773" s="242" t="s">
        <v>25669</v>
      </c>
      <c r="E2773" s="949">
        <v>401</v>
      </c>
      <c r="F2773" s="949">
        <v>401</v>
      </c>
      <c r="G2773" s="950" t="s">
        <v>20929</v>
      </c>
      <c r="H2773" s="950" t="s">
        <v>724</v>
      </c>
      <c r="I2773" s="951" t="s">
        <v>2765</v>
      </c>
      <c r="J2773" s="947" t="s">
        <v>2766</v>
      </c>
      <c r="K2773" s="143"/>
    </row>
    <row r="2774" spans="1:11">
      <c r="A2774" s="946" t="s">
        <v>32007</v>
      </c>
      <c r="B2774" s="947" t="s">
        <v>3014</v>
      </c>
      <c r="C2774" s="948" t="s">
        <v>3012</v>
      </c>
      <c r="D2774" s="242" t="s">
        <v>25669</v>
      </c>
      <c r="E2774" s="949">
        <v>401</v>
      </c>
      <c r="F2774" s="949">
        <v>401</v>
      </c>
      <c r="G2774" s="950" t="s">
        <v>20929</v>
      </c>
      <c r="H2774" s="950" t="s">
        <v>724</v>
      </c>
      <c r="I2774" s="951" t="s">
        <v>3013</v>
      </c>
      <c r="J2774" s="947" t="s">
        <v>3014</v>
      </c>
      <c r="K2774" s="143"/>
    </row>
    <row r="2775" spans="1:11">
      <c r="A2775" s="946" t="s">
        <v>32007</v>
      </c>
      <c r="B2775" s="947" t="s">
        <v>3024</v>
      </c>
      <c r="C2775" s="948" t="s">
        <v>3022</v>
      </c>
      <c r="D2775" s="242" t="s">
        <v>25669</v>
      </c>
      <c r="E2775" s="949">
        <v>401</v>
      </c>
      <c r="F2775" s="949">
        <v>401</v>
      </c>
      <c r="G2775" s="950" t="s">
        <v>20929</v>
      </c>
      <c r="H2775" s="950" t="s">
        <v>724</v>
      </c>
      <c r="I2775" s="951" t="s">
        <v>3023</v>
      </c>
      <c r="J2775" s="947" t="s">
        <v>3024</v>
      </c>
      <c r="K2775" s="143"/>
    </row>
    <row r="2776" spans="1:11">
      <c r="A2776" s="946" t="s">
        <v>32007</v>
      </c>
      <c r="B2776" s="947" t="s">
        <v>3355</v>
      </c>
      <c r="C2776" s="948" t="s">
        <v>3353</v>
      </c>
      <c r="D2776" s="242" t="s">
        <v>25669</v>
      </c>
      <c r="E2776" s="949">
        <v>401</v>
      </c>
      <c r="F2776" s="949">
        <v>401</v>
      </c>
      <c r="G2776" s="950" t="s">
        <v>20929</v>
      </c>
      <c r="H2776" s="950" t="s">
        <v>724</v>
      </c>
      <c r="I2776" s="951" t="s">
        <v>3354</v>
      </c>
      <c r="J2776" s="947" t="s">
        <v>3355</v>
      </c>
      <c r="K2776" s="143"/>
    </row>
    <row r="2777" spans="1:11">
      <c r="A2777" s="946" t="s">
        <v>32007</v>
      </c>
      <c r="B2777" s="947" t="s">
        <v>3444</v>
      </c>
      <c r="C2777" s="948" t="s">
        <v>3442</v>
      </c>
      <c r="D2777" s="242" t="s">
        <v>25669</v>
      </c>
      <c r="E2777" s="949">
        <v>401</v>
      </c>
      <c r="F2777" s="949">
        <v>401</v>
      </c>
      <c r="G2777" s="950" t="s">
        <v>20929</v>
      </c>
      <c r="H2777" s="950" t="s">
        <v>724</v>
      </c>
      <c r="I2777" s="951" t="s">
        <v>3443</v>
      </c>
      <c r="J2777" s="947" t="s">
        <v>3444</v>
      </c>
      <c r="K2777" s="143"/>
    </row>
    <row r="2778" spans="1:11">
      <c r="A2778" s="946" t="s">
        <v>32007</v>
      </c>
      <c r="B2778" s="947" t="s">
        <v>3475</v>
      </c>
      <c r="C2778" s="948" t="s">
        <v>3473</v>
      </c>
      <c r="D2778" s="242" t="s">
        <v>25669</v>
      </c>
      <c r="E2778" s="949">
        <v>401</v>
      </c>
      <c r="F2778" s="949">
        <v>401</v>
      </c>
      <c r="G2778" s="950" t="s">
        <v>20929</v>
      </c>
      <c r="H2778" s="950" t="s">
        <v>724</v>
      </c>
      <c r="I2778" s="951" t="s">
        <v>3474</v>
      </c>
      <c r="J2778" s="947" t="s">
        <v>3475</v>
      </c>
      <c r="K2778" s="143"/>
    </row>
    <row r="2779" spans="1:11">
      <c r="A2779" s="946" t="s">
        <v>32007</v>
      </c>
      <c r="B2779" s="947" t="s">
        <v>3484</v>
      </c>
      <c r="C2779" s="948" t="s">
        <v>3482</v>
      </c>
      <c r="D2779" s="242" t="s">
        <v>25669</v>
      </c>
      <c r="E2779" s="949">
        <v>401</v>
      </c>
      <c r="F2779" s="949">
        <v>401</v>
      </c>
      <c r="G2779" s="950" t="s">
        <v>20929</v>
      </c>
      <c r="H2779" s="950" t="s">
        <v>724</v>
      </c>
      <c r="I2779" s="951" t="s">
        <v>3483</v>
      </c>
      <c r="J2779" s="947" t="s">
        <v>3484</v>
      </c>
      <c r="K2779" s="143"/>
    </row>
    <row r="2780" spans="1:11">
      <c r="A2780" s="946" t="s">
        <v>32007</v>
      </c>
      <c r="B2780" s="947" t="s">
        <v>3513</v>
      </c>
      <c r="C2780" s="948" t="s">
        <v>26410</v>
      </c>
      <c r="D2780" s="242" t="s">
        <v>25669</v>
      </c>
      <c r="E2780" s="949">
        <v>401</v>
      </c>
      <c r="F2780" s="949">
        <v>401</v>
      </c>
      <c r="G2780" s="950" t="s">
        <v>20929</v>
      </c>
      <c r="H2780" s="950" t="s">
        <v>724</v>
      </c>
      <c r="I2780" s="951" t="s">
        <v>26411</v>
      </c>
      <c r="J2780" s="947" t="s">
        <v>3513</v>
      </c>
      <c r="K2780" s="143"/>
    </row>
    <row r="2781" spans="1:11">
      <c r="A2781" s="946" t="s">
        <v>32007</v>
      </c>
      <c r="B2781" s="947" t="s">
        <v>3721</v>
      </c>
      <c r="C2781" s="948" t="s">
        <v>3719</v>
      </c>
      <c r="D2781" s="242" t="s">
        <v>25669</v>
      </c>
      <c r="E2781" s="949">
        <v>401</v>
      </c>
      <c r="F2781" s="949">
        <v>401</v>
      </c>
      <c r="G2781" s="950" t="s">
        <v>20929</v>
      </c>
      <c r="H2781" s="950" t="s">
        <v>724</v>
      </c>
      <c r="I2781" s="951" t="s">
        <v>3720</v>
      </c>
      <c r="J2781" s="947" t="s">
        <v>3721</v>
      </c>
      <c r="K2781" s="143"/>
    </row>
    <row r="2782" spans="1:11">
      <c r="A2782" s="946" t="s">
        <v>32007</v>
      </c>
      <c r="B2782" s="947" t="s">
        <v>3759</v>
      </c>
      <c r="C2782" s="948" t="s">
        <v>3757</v>
      </c>
      <c r="D2782" s="242" t="s">
        <v>25669</v>
      </c>
      <c r="E2782" s="949">
        <v>401</v>
      </c>
      <c r="F2782" s="949">
        <v>401</v>
      </c>
      <c r="G2782" s="950" t="s">
        <v>20929</v>
      </c>
      <c r="H2782" s="950" t="s">
        <v>724</v>
      </c>
      <c r="I2782" s="951" t="s">
        <v>3758</v>
      </c>
      <c r="J2782" s="947" t="s">
        <v>3759</v>
      </c>
      <c r="K2782" s="143"/>
    </row>
    <row r="2783" spans="1:11">
      <c r="A2783" s="946" t="s">
        <v>32007</v>
      </c>
      <c r="B2783" s="947" t="s">
        <v>3858</v>
      </c>
      <c r="C2783" s="948" t="s">
        <v>3856</v>
      </c>
      <c r="D2783" s="242" t="s">
        <v>25669</v>
      </c>
      <c r="E2783" s="949">
        <v>401</v>
      </c>
      <c r="F2783" s="949">
        <v>401</v>
      </c>
      <c r="G2783" s="950" t="s">
        <v>20929</v>
      </c>
      <c r="H2783" s="950" t="s">
        <v>724</v>
      </c>
      <c r="I2783" s="951" t="s">
        <v>3857</v>
      </c>
      <c r="J2783" s="947" t="s">
        <v>3858</v>
      </c>
      <c r="K2783" s="143"/>
    </row>
    <row r="2784" spans="1:11">
      <c r="A2784" s="946" t="s">
        <v>32007</v>
      </c>
      <c r="B2784" s="947" t="s">
        <v>3873</v>
      </c>
      <c r="C2784" s="948" t="s">
        <v>3871</v>
      </c>
      <c r="D2784" s="242" t="s">
        <v>25669</v>
      </c>
      <c r="E2784" s="949">
        <v>401</v>
      </c>
      <c r="F2784" s="949">
        <v>401</v>
      </c>
      <c r="G2784" s="950" t="s">
        <v>20929</v>
      </c>
      <c r="H2784" s="950" t="s">
        <v>724</v>
      </c>
      <c r="I2784" s="951" t="s">
        <v>3872</v>
      </c>
      <c r="J2784" s="947" t="s">
        <v>3873</v>
      </c>
      <c r="K2784" s="143"/>
    </row>
    <row r="2785" spans="1:11">
      <c r="A2785" s="946" t="s">
        <v>32007</v>
      </c>
      <c r="B2785" s="947" t="s">
        <v>4148</v>
      </c>
      <c r="C2785" s="948" t="s">
        <v>4146</v>
      </c>
      <c r="D2785" s="242" t="s">
        <v>25669</v>
      </c>
      <c r="E2785" s="949">
        <v>401</v>
      </c>
      <c r="F2785" s="949">
        <v>401</v>
      </c>
      <c r="G2785" s="950" t="s">
        <v>20929</v>
      </c>
      <c r="H2785" s="950" t="s">
        <v>724</v>
      </c>
      <c r="I2785" s="951" t="s">
        <v>4147</v>
      </c>
      <c r="J2785" s="947" t="s">
        <v>4148</v>
      </c>
      <c r="K2785" s="143"/>
    </row>
    <row r="2786" spans="1:11">
      <c r="A2786" s="946" t="s">
        <v>32007</v>
      </c>
      <c r="B2786" s="947" t="s">
        <v>4334</v>
      </c>
      <c r="C2786" s="948" t="s">
        <v>4332</v>
      </c>
      <c r="D2786" s="242" t="s">
        <v>25669</v>
      </c>
      <c r="E2786" s="949">
        <v>401</v>
      </c>
      <c r="F2786" s="949">
        <v>401</v>
      </c>
      <c r="G2786" s="950" t="s">
        <v>20929</v>
      </c>
      <c r="H2786" s="950" t="s">
        <v>724</v>
      </c>
      <c r="I2786" s="951" t="s">
        <v>4333</v>
      </c>
      <c r="J2786" s="947" t="s">
        <v>4334</v>
      </c>
      <c r="K2786" s="143"/>
    </row>
    <row r="2787" spans="1:11">
      <c r="A2787" s="946" t="s">
        <v>32007</v>
      </c>
      <c r="B2787" s="947" t="s">
        <v>4492</v>
      </c>
      <c r="C2787" s="948" t="s">
        <v>4490</v>
      </c>
      <c r="D2787" s="242" t="s">
        <v>25669</v>
      </c>
      <c r="E2787" s="949">
        <v>401</v>
      </c>
      <c r="F2787" s="949">
        <v>401</v>
      </c>
      <c r="G2787" s="950" t="s">
        <v>20929</v>
      </c>
      <c r="H2787" s="950" t="s">
        <v>724</v>
      </c>
      <c r="I2787" s="951" t="s">
        <v>4491</v>
      </c>
      <c r="J2787" s="947" t="s">
        <v>4492</v>
      </c>
      <c r="K2787" s="143"/>
    </row>
    <row r="2788" spans="1:11">
      <c r="A2788" s="946" t="s">
        <v>32007</v>
      </c>
      <c r="B2788" s="947" t="s">
        <v>4925</v>
      </c>
      <c r="C2788" s="948" t="s">
        <v>4923</v>
      </c>
      <c r="D2788" s="242" t="s">
        <v>25669</v>
      </c>
      <c r="E2788" s="949">
        <v>401</v>
      </c>
      <c r="F2788" s="949">
        <v>401</v>
      </c>
      <c r="G2788" s="950" t="s">
        <v>20929</v>
      </c>
      <c r="H2788" s="950" t="s">
        <v>724</v>
      </c>
      <c r="I2788" s="951" t="s">
        <v>4924</v>
      </c>
      <c r="J2788" s="947" t="s">
        <v>4925</v>
      </c>
      <c r="K2788" s="143"/>
    </row>
    <row r="2789" spans="1:11">
      <c r="A2789" s="946" t="s">
        <v>32007</v>
      </c>
      <c r="B2789" s="947" t="s">
        <v>5272</v>
      </c>
      <c r="C2789" s="948" t="s">
        <v>5270</v>
      </c>
      <c r="D2789" s="242" t="s">
        <v>25669</v>
      </c>
      <c r="E2789" s="949">
        <v>401</v>
      </c>
      <c r="F2789" s="949">
        <v>401</v>
      </c>
      <c r="G2789" s="950" t="s">
        <v>20929</v>
      </c>
      <c r="H2789" s="950" t="s">
        <v>724</v>
      </c>
      <c r="I2789" s="951" t="s">
        <v>5271</v>
      </c>
      <c r="J2789" s="947" t="s">
        <v>5272</v>
      </c>
      <c r="K2789" s="143"/>
    </row>
    <row r="2790" spans="1:11">
      <c r="A2790" s="946" t="s">
        <v>32007</v>
      </c>
      <c r="B2790" s="947" t="s">
        <v>5269</v>
      </c>
      <c r="C2790" s="948" t="s">
        <v>5267</v>
      </c>
      <c r="D2790" s="242" t="s">
        <v>25669</v>
      </c>
      <c r="E2790" s="949">
        <v>401</v>
      </c>
      <c r="F2790" s="949">
        <v>401</v>
      </c>
      <c r="G2790" s="950" t="s">
        <v>20929</v>
      </c>
      <c r="H2790" s="950" t="s">
        <v>724</v>
      </c>
      <c r="I2790" s="951" t="s">
        <v>5268</v>
      </c>
      <c r="J2790" s="947" t="s">
        <v>5269</v>
      </c>
      <c r="K2790" s="143"/>
    </row>
    <row r="2791" spans="1:11">
      <c r="A2791" s="946" t="s">
        <v>32007</v>
      </c>
      <c r="B2791" s="947" t="s">
        <v>5326</v>
      </c>
      <c r="C2791" s="948" t="s">
        <v>5324</v>
      </c>
      <c r="D2791" s="242" t="s">
        <v>25669</v>
      </c>
      <c r="E2791" s="949">
        <v>401</v>
      </c>
      <c r="F2791" s="949">
        <v>401</v>
      </c>
      <c r="G2791" s="950" t="s">
        <v>20929</v>
      </c>
      <c r="H2791" s="950" t="s">
        <v>724</v>
      </c>
      <c r="I2791" s="951" t="s">
        <v>5325</v>
      </c>
      <c r="J2791" s="947" t="s">
        <v>5326</v>
      </c>
      <c r="K2791" s="143"/>
    </row>
    <row r="2792" spans="1:11">
      <c r="A2792" s="946" t="s">
        <v>32007</v>
      </c>
      <c r="B2792" s="947" t="s">
        <v>5662</v>
      </c>
      <c r="C2792" s="948" t="s">
        <v>5660</v>
      </c>
      <c r="D2792" s="242" t="s">
        <v>25669</v>
      </c>
      <c r="E2792" s="949">
        <v>401</v>
      </c>
      <c r="F2792" s="949">
        <v>401</v>
      </c>
      <c r="G2792" s="950" t="s">
        <v>20929</v>
      </c>
      <c r="H2792" s="950" t="s">
        <v>724</v>
      </c>
      <c r="I2792" s="951" t="s">
        <v>5661</v>
      </c>
      <c r="J2792" s="947" t="s">
        <v>5662</v>
      </c>
      <c r="K2792" s="143"/>
    </row>
    <row r="2793" spans="1:11">
      <c r="A2793" s="946" t="s">
        <v>32007</v>
      </c>
      <c r="B2793" s="947" t="s">
        <v>5680</v>
      </c>
      <c r="C2793" s="948" t="s">
        <v>5678</v>
      </c>
      <c r="D2793" s="242" t="s">
        <v>25669</v>
      </c>
      <c r="E2793" s="949">
        <v>401</v>
      </c>
      <c r="F2793" s="949">
        <v>401</v>
      </c>
      <c r="G2793" s="950" t="s">
        <v>20929</v>
      </c>
      <c r="H2793" s="950" t="s">
        <v>724</v>
      </c>
      <c r="I2793" s="951" t="s">
        <v>5679</v>
      </c>
      <c r="J2793" s="947" t="s">
        <v>5680</v>
      </c>
      <c r="K2793" s="143"/>
    </row>
    <row r="2794" spans="1:11">
      <c r="A2794" s="946" t="s">
        <v>32007</v>
      </c>
      <c r="B2794" s="947" t="s">
        <v>5707</v>
      </c>
      <c r="C2794" s="948" t="s">
        <v>5705</v>
      </c>
      <c r="D2794" s="242" t="s">
        <v>25669</v>
      </c>
      <c r="E2794" s="949">
        <v>401</v>
      </c>
      <c r="F2794" s="949">
        <v>401</v>
      </c>
      <c r="G2794" s="950" t="s">
        <v>20929</v>
      </c>
      <c r="H2794" s="950" t="s">
        <v>724</v>
      </c>
      <c r="I2794" s="951" t="s">
        <v>5706</v>
      </c>
      <c r="J2794" s="947" t="s">
        <v>5707</v>
      </c>
      <c r="K2794" s="143"/>
    </row>
    <row r="2795" spans="1:11">
      <c r="A2795" s="946" t="s">
        <v>32007</v>
      </c>
      <c r="B2795" s="947" t="s">
        <v>5710</v>
      </c>
      <c r="C2795" s="948" t="s">
        <v>5708</v>
      </c>
      <c r="D2795" s="242" t="s">
        <v>25669</v>
      </c>
      <c r="E2795" s="949">
        <v>401</v>
      </c>
      <c r="F2795" s="949">
        <v>401</v>
      </c>
      <c r="G2795" s="950" t="s">
        <v>20929</v>
      </c>
      <c r="H2795" s="950" t="s">
        <v>724</v>
      </c>
      <c r="I2795" s="951" t="s">
        <v>5709</v>
      </c>
      <c r="J2795" s="947" t="s">
        <v>5710</v>
      </c>
      <c r="K2795" s="143"/>
    </row>
    <row r="2796" spans="1:11">
      <c r="A2796" s="946" t="s">
        <v>32007</v>
      </c>
      <c r="B2796" s="947" t="s">
        <v>5724</v>
      </c>
      <c r="C2796" s="948" t="s">
        <v>5722</v>
      </c>
      <c r="D2796" s="242" t="s">
        <v>25669</v>
      </c>
      <c r="E2796" s="949">
        <v>401</v>
      </c>
      <c r="F2796" s="949">
        <v>401</v>
      </c>
      <c r="G2796" s="950" t="s">
        <v>20929</v>
      </c>
      <c r="H2796" s="950" t="s">
        <v>724</v>
      </c>
      <c r="I2796" s="951" t="s">
        <v>5723</v>
      </c>
      <c r="J2796" s="947" t="s">
        <v>5724</v>
      </c>
      <c r="K2796" s="143"/>
    </row>
    <row r="2797" spans="1:11">
      <c r="A2797" s="946" t="s">
        <v>32007</v>
      </c>
      <c r="B2797" s="947" t="s">
        <v>6401</v>
      </c>
      <c r="C2797" s="948" t="s">
        <v>6399</v>
      </c>
      <c r="D2797" s="242" t="s">
        <v>25669</v>
      </c>
      <c r="E2797" s="949">
        <v>401</v>
      </c>
      <c r="F2797" s="949">
        <v>401</v>
      </c>
      <c r="G2797" s="950" t="s">
        <v>20929</v>
      </c>
      <c r="H2797" s="950" t="s">
        <v>724</v>
      </c>
      <c r="I2797" s="951" t="s">
        <v>6400</v>
      </c>
      <c r="J2797" s="947" t="s">
        <v>6401</v>
      </c>
      <c r="K2797" s="143"/>
    </row>
    <row r="2798" spans="1:11">
      <c r="A2798" s="946" t="s">
        <v>32007</v>
      </c>
      <c r="B2798" s="947" t="s">
        <v>6434</v>
      </c>
      <c r="C2798" s="948" t="s">
        <v>6432</v>
      </c>
      <c r="D2798" s="242" t="s">
        <v>25669</v>
      </c>
      <c r="E2798" s="949">
        <v>401</v>
      </c>
      <c r="F2798" s="949">
        <v>401</v>
      </c>
      <c r="G2798" s="950" t="s">
        <v>20929</v>
      </c>
      <c r="H2798" s="950" t="s">
        <v>724</v>
      </c>
      <c r="I2798" s="951" t="s">
        <v>6433</v>
      </c>
      <c r="J2798" s="947" t="s">
        <v>6434</v>
      </c>
      <c r="K2798" s="143"/>
    </row>
    <row r="2799" spans="1:11">
      <c r="A2799" s="946" t="s">
        <v>32007</v>
      </c>
      <c r="B2799" s="947" t="s">
        <v>6468</v>
      </c>
      <c r="C2799" s="948" t="s">
        <v>6466</v>
      </c>
      <c r="D2799" s="242" t="s">
        <v>25669</v>
      </c>
      <c r="E2799" s="949">
        <v>401</v>
      </c>
      <c r="F2799" s="949">
        <v>401</v>
      </c>
      <c r="G2799" s="950" t="s">
        <v>20929</v>
      </c>
      <c r="H2799" s="950" t="s">
        <v>724</v>
      </c>
      <c r="I2799" s="951" t="s">
        <v>6467</v>
      </c>
      <c r="J2799" s="947" t="s">
        <v>6468</v>
      </c>
      <c r="K2799" s="143"/>
    </row>
    <row r="2800" spans="1:11">
      <c r="A2800" s="946" t="s">
        <v>32007</v>
      </c>
      <c r="B2800" s="947" t="s">
        <v>6534</v>
      </c>
      <c r="C2800" s="948" t="s">
        <v>6532</v>
      </c>
      <c r="D2800" s="242" t="s">
        <v>25669</v>
      </c>
      <c r="E2800" s="949">
        <v>401</v>
      </c>
      <c r="F2800" s="949">
        <v>401</v>
      </c>
      <c r="G2800" s="950" t="s">
        <v>20929</v>
      </c>
      <c r="H2800" s="950" t="s">
        <v>724</v>
      </c>
      <c r="I2800" s="951" t="s">
        <v>6533</v>
      </c>
      <c r="J2800" s="947" t="s">
        <v>6534</v>
      </c>
      <c r="K2800" s="143"/>
    </row>
    <row r="2801" spans="1:11">
      <c r="A2801" s="946" t="s">
        <v>32007</v>
      </c>
      <c r="B2801" s="947" t="s">
        <v>6624</v>
      </c>
      <c r="C2801" s="948" t="s">
        <v>6622</v>
      </c>
      <c r="D2801" s="242" t="s">
        <v>25669</v>
      </c>
      <c r="E2801" s="949">
        <v>401</v>
      </c>
      <c r="F2801" s="949">
        <v>401</v>
      </c>
      <c r="G2801" s="950" t="s">
        <v>20929</v>
      </c>
      <c r="H2801" s="950" t="s">
        <v>724</v>
      </c>
      <c r="I2801" s="951" t="s">
        <v>6623</v>
      </c>
      <c r="J2801" s="947" t="s">
        <v>6624</v>
      </c>
      <c r="K2801" s="143"/>
    </row>
    <row r="2802" spans="1:11">
      <c r="A2802" s="946" t="s">
        <v>32007</v>
      </c>
      <c r="B2802" s="947" t="s">
        <v>6908</v>
      </c>
      <c r="C2802" s="948" t="s">
        <v>6906</v>
      </c>
      <c r="D2802" s="242" t="s">
        <v>25669</v>
      </c>
      <c r="E2802" s="949">
        <v>401</v>
      </c>
      <c r="F2802" s="949">
        <v>401</v>
      </c>
      <c r="G2802" s="950" t="s">
        <v>20929</v>
      </c>
      <c r="H2802" s="950" t="s">
        <v>724</v>
      </c>
      <c r="I2802" s="951" t="s">
        <v>6907</v>
      </c>
      <c r="J2802" s="947" t="s">
        <v>6908</v>
      </c>
      <c r="K2802" s="143"/>
    </row>
    <row r="2803" spans="1:11">
      <c r="A2803" s="946" t="s">
        <v>32007</v>
      </c>
      <c r="B2803" s="947" t="s">
        <v>7428</v>
      </c>
      <c r="C2803" s="948" t="s">
        <v>7426</v>
      </c>
      <c r="D2803" s="242" t="s">
        <v>25669</v>
      </c>
      <c r="E2803" s="949">
        <v>401</v>
      </c>
      <c r="F2803" s="949">
        <v>401</v>
      </c>
      <c r="G2803" s="950" t="s">
        <v>20929</v>
      </c>
      <c r="H2803" s="950" t="s">
        <v>724</v>
      </c>
      <c r="I2803" s="951" t="s">
        <v>7427</v>
      </c>
      <c r="J2803" s="947" t="s">
        <v>7428</v>
      </c>
      <c r="K2803" s="143"/>
    </row>
    <row r="2804" spans="1:11">
      <c r="A2804" s="946" t="s">
        <v>32007</v>
      </c>
      <c r="B2804" s="947" t="s">
        <v>7551</v>
      </c>
      <c r="C2804" s="948" t="s">
        <v>7549</v>
      </c>
      <c r="D2804" s="242" t="s">
        <v>25669</v>
      </c>
      <c r="E2804" s="949">
        <v>401</v>
      </c>
      <c r="F2804" s="949">
        <v>401</v>
      </c>
      <c r="G2804" s="950" t="s">
        <v>20929</v>
      </c>
      <c r="H2804" s="950" t="s">
        <v>724</v>
      </c>
      <c r="I2804" s="951" t="s">
        <v>7550</v>
      </c>
      <c r="J2804" s="947" t="s">
        <v>7551</v>
      </c>
      <c r="K2804" s="143"/>
    </row>
    <row r="2805" spans="1:11">
      <c r="A2805" s="946" t="s">
        <v>32007</v>
      </c>
      <c r="B2805" s="947" t="s">
        <v>7607</v>
      </c>
      <c r="C2805" s="948" t="s">
        <v>7605</v>
      </c>
      <c r="D2805" s="242" t="s">
        <v>25669</v>
      </c>
      <c r="E2805" s="949">
        <v>401</v>
      </c>
      <c r="F2805" s="949">
        <v>401</v>
      </c>
      <c r="G2805" s="950" t="s">
        <v>20929</v>
      </c>
      <c r="H2805" s="950" t="s">
        <v>724</v>
      </c>
      <c r="I2805" s="951" t="s">
        <v>7606</v>
      </c>
      <c r="J2805" s="947" t="s">
        <v>7607</v>
      </c>
      <c r="K2805" s="143"/>
    </row>
    <row r="2806" spans="1:11">
      <c r="A2806" s="946" t="s">
        <v>32007</v>
      </c>
      <c r="B2806" s="947" t="s">
        <v>7768</v>
      </c>
      <c r="C2806" s="948" t="s">
        <v>7766</v>
      </c>
      <c r="D2806" s="242" t="s">
        <v>25669</v>
      </c>
      <c r="E2806" s="949">
        <v>401</v>
      </c>
      <c r="F2806" s="949">
        <v>401</v>
      </c>
      <c r="G2806" s="950" t="s">
        <v>20929</v>
      </c>
      <c r="H2806" s="950" t="s">
        <v>724</v>
      </c>
      <c r="I2806" s="951" t="s">
        <v>7767</v>
      </c>
      <c r="J2806" s="947" t="s">
        <v>7768</v>
      </c>
      <c r="K2806" s="143"/>
    </row>
    <row r="2807" spans="1:11">
      <c r="A2807" s="946" t="s">
        <v>32007</v>
      </c>
      <c r="B2807" s="947" t="s">
        <v>7778</v>
      </c>
      <c r="C2807" s="948" t="s">
        <v>7776</v>
      </c>
      <c r="D2807" s="242" t="s">
        <v>25669</v>
      </c>
      <c r="E2807" s="949">
        <v>401</v>
      </c>
      <c r="F2807" s="949">
        <v>401</v>
      </c>
      <c r="G2807" s="950" t="s">
        <v>20929</v>
      </c>
      <c r="H2807" s="950" t="s">
        <v>724</v>
      </c>
      <c r="I2807" s="951" t="s">
        <v>7777</v>
      </c>
      <c r="J2807" s="947" t="s">
        <v>7778</v>
      </c>
      <c r="K2807" s="143"/>
    </row>
    <row r="2808" spans="1:11">
      <c r="A2808" s="946" t="s">
        <v>32007</v>
      </c>
      <c r="B2808" s="947" t="s">
        <v>7980</v>
      </c>
      <c r="C2808" s="948" t="s">
        <v>7978</v>
      </c>
      <c r="D2808" s="242" t="s">
        <v>25669</v>
      </c>
      <c r="E2808" s="949">
        <v>401</v>
      </c>
      <c r="F2808" s="949">
        <v>401</v>
      </c>
      <c r="G2808" s="950" t="s">
        <v>20929</v>
      </c>
      <c r="H2808" s="950" t="s">
        <v>724</v>
      </c>
      <c r="I2808" s="951" t="s">
        <v>7979</v>
      </c>
      <c r="J2808" s="947" t="s">
        <v>7980</v>
      </c>
      <c r="K2808" s="143"/>
    </row>
    <row r="2809" spans="1:11">
      <c r="A2809" s="946" t="s">
        <v>32007</v>
      </c>
      <c r="B2809" s="947" t="s">
        <v>8186</v>
      </c>
      <c r="C2809" s="948" t="s">
        <v>8184</v>
      </c>
      <c r="D2809" s="242" t="s">
        <v>25669</v>
      </c>
      <c r="E2809" s="949">
        <v>401</v>
      </c>
      <c r="F2809" s="949">
        <v>401</v>
      </c>
      <c r="G2809" s="950" t="s">
        <v>20929</v>
      </c>
      <c r="H2809" s="950" t="s">
        <v>724</v>
      </c>
      <c r="I2809" s="951" t="s">
        <v>8185</v>
      </c>
      <c r="J2809" s="947" t="s">
        <v>8186</v>
      </c>
      <c r="K2809" s="143"/>
    </row>
    <row r="2810" spans="1:11">
      <c r="A2810" s="946" t="s">
        <v>32007</v>
      </c>
      <c r="B2810" s="947" t="s">
        <v>8205</v>
      </c>
      <c r="C2810" s="948" t="s">
        <v>8203</v>
      </c>
      <c r="D2810" s="242" t="s">
        <v>25669</v>
      </c>
      <c r="E2810" s="949">
        <v>401</v>
      </c>
      <c r="F2810" s="949">
        <v>401</v>
      </c>
      <c r="G2810" s="950" t="s">
        <v>20929</v>
      </c>
      <c r="H2810" s="950" t="s">
        <v>724</v>
      </c>
      <c r="I2810" s="951" t="s">
        <v>8204</v>
      </c>
      <c r="J2810" s="947" t="s">
        <v>8205</v>
      </c>
      <c r="K2810" s="143"/>
    </row>
    <row r="2811" spans="1:11">
      <c r="A2811" s="946" t="s">
        <v>32007</v>
      </c>
      <c r="B2811" s="947" t="s">
        <v>8365</v>
      </c>
      <c r="C2811" s="948" t="s">
        <v>8363</v>
      </c>
      <c r="D2811" s="242" t="s">
        <v>25669</v>
      </c>
      <c r="E2811" s="949">
        <v>401</v>
      </c>
      <c r="F2811" s="949">
        <v>401</v>
      </c>
      <c r="G2811" s="950" t="s">
        <v>20929</v>
      </c>
      <c r="H2811" s="950" t="s">
        <v>724</v>
      </c>
      <c r="I2811" s="951" t="s">
        <v>8364</v>
      </c>
      <c r="J2811" s="947" t="s">
        <v>8365</v>
      </c>
      <c r="K2811" s="143"/>
    </row>
    <row r="2812" spans="1:11">
      <c r="A2812" s="946" t="s">
        <v>32007</v>
      </c>
      <c r="B2812" s="947" t="s">
        <v>8517</v>
      </c>
      <c r="C2812" s="948" t="s">
        <v>8515</v>
      </c>
      <c r="D2812" s="242" t="s">
        <v>25669</v>
      </c>
      <c r="E2812" s="949">
        <v>401</v>
      </c>
      <c r="F2812" s="949">
        <v>401</v>
      </c>
      <c r="G2812" s="950" t="s">
        <v>20929</v>
      </c>
      <c r="H2812" s="950" t="s">
        <v>724</v>
      </c>
      <c r="I2812" s="951" t="s">
        <v>8516</v>
      </c>
      <c r="J2812" s="947" t="s">
        <v>8517</v>
      </c>
      <c r="K2812" s="143"/>
    </row>
    <row r="2813" spans="1:11">
      <c r="A2813" s="946" t="s">
        <v>32007</v>
      </c>
      <c r="B2813" s="947" t="s">
        <v>8656</v>
      </c>
      <c r="C2813" s="948" t="s">
        <v>8654</v>
      </c>
      <c r="D2813" s="242" t="s">
        <v>25669</v>
      </c>
      <c r="E2813" s="949">
        <v>401</v>
      </c>
      <c r="F2813" s="949">
        <v>401</v>
      </c>
      <c r="G2813" s="950" t="s">
        <v>20929</v>
      </c>
      <c r="H2813" s="950" t="s">
        <v>724</v>
      </c>
      <c r="I2813" s="951" t="s">
        <v>8655</v>
      </c>
      <c r="J2813" s="947" t="s">
        <v>8656</v>
      </c>
      <c r="K2813" s="143"/>
    </row>
    <row r="2814" spans="1:11">
      <c r="A2814" s="946" t="s">
        <v>32007</v>
      </c>
      <c r="B2814" s="947" t="s">
        <v>9005</v>
      </c>
      <c r="C2814" s="948" t="s">
        <v>9003</v>
      </c>
      <c r="D2814" s="242" t="s">
        <v>25669</v>
      </c>
      <c r="E2814" s="949">
        <v>401</v>
      </c>
      <c r="F2814" s="949">
        <v>401</v>
      </c>
      <c r="G2814" s="950" t="s">
        <v>20929</v>
      </c>
      <c r="H2814" s="950" t="s">
        <v>724</v>
      </c>
      <c r="I2814" s="951" t="s">
        <v>9004</v>
      </c>
      <c r="J2814" s="947" t="s">
        <v>9005</v>
      </c>
      <c r="K2814" s="143"/>
    </row>
    <row r="2815" spans="1:11">
      <c r="A2815" s="946" t="s">
        <v>32007</v>
      </c>
      <c r="B2815" s="947" t="s">
        <v>9271</v>
      </c>
      <c r="C2815" s="948" t="s">
        <v>9269</v>
      </c>
      <c r="D2815" s="242" t="s">
        <v>25669</v>
      </c>
      <c r="E2815" s="949">
        <v>401</v>
      </c>
      <c r="F2815" s="949">
        <v>401</v>
      </c>
      <c r="G2815" s="950" t="s">
        <v>20929</v>
      </c>
      <c r="H2815" s="950" t="s">
        <v>724</v>
      </c>
      <c r="I2815" s="951" t="s">
        <v>9270</v>
      </c>
      <c r="J2815" s="947" t="s">
        <v>9271</v>
      </c>
      <c r="K2815" s="143"/>
    </row>
    <row r="2816" spans="1:11">
      <c r="A2816" s="946" t="s">
        <v>32007</v>
      </c>
      <c r="B2816" s="947" t="s">
        <v>9313</v>
      </c>
      <c r="C2816" s="948" t="s">
        <v>9311</v>
      </c>
      <c r="D2816" s="242" t="s">
        <v>25669</v>
      </c>
      <c r="E2816" s="949">
        <v>401</v>
      </c>
      <c r="F2816" s="949">
        <v>401</v>
      </c>
      <c r="G2816" s="950" t="s">
        <v>20929</v>
      </c>
      <c r="H2816" s="950" t="s">
        <v>724</v>
      </c>
      <c r="I2816" s="951" t="s">
        <v>9312</v>
      </c>
      <c r="J2816" s="947" t="s">
        <v>9313</v>
      </c>
      <c r="K2816" s="143"/>
    </row>
    <row r="2817" spans="1:11">
      <c r="A2817" s="946" t="s">
        <v>32007</v>
      </c>
      <c r="B2817" s="947" t="s">
        <v>9549</v>
      </c>
      <c r="C2817" s="948" t="s">
        <v>9547</v>
      </c>
      <c r="D2817" s="242" t="s">
        <v>25669</v>
      </c>
      <c r="E2817" s="949">
        <v>401</v>
      </c>
      <c r="F2817" s="949">
        <v>401</v>
      </c>
      <c r="G2817" s="950" t="s">
        <v>20929</v>
      </c>
      <c r="H2817" s="950" t="s">
        <v>724</v>
      </c>
      <c r="I2817" s="951" t="s">
        <v>9548</v>
      </c>
      <c r="J2817" s="947" t="s">
        <v>9549</v>
      </c>
      <c r="K2817" s="143"/>
    </row>
    <row r="2818" spans="1:11">
      <c r="A2818" s="946" t="s">
        <v>32007</v>
      </c>
      <c r="B2818" s="947" t="s">
        <v>9780</v>
      </c>
      <c r="C2818" s="948" t="s">
        <v>9778</v>
      </c>
      <c r="D2818" s="242" t="s">
        <v>25669</v>
      </c>
      <c r="E2818" s="949">
        <v>401</v>
      </c>
      <c r="F2818" s="949">
        <v>401</v>
      </c>
      <c r="G2818" s="950" t="s">
        <v>20929</v>
      </c>
      <c r="H2818" s="950" t="s">
        <v>724</v>
      </c>
      <c r="I2818" s="951" t="s">
        <v>9779</v>
      </c>
      <c r="J2818" s="947" t="s">
        <v>9780</v>
      </c>
      <c r="K2818" s="143"/>
    </row>
    <row r="2819" spans="1:11">
      <c r="A2819" s="946" t="s">
        <v>32007</v>
      </c>
      <c r="B2819" s="947" t="s">
        <v>9862</v>
      </c>
      <c r="C2819" s="948" t="s">
        <v>9860</v>
      </c>
      <c r="D2819" s="242" t="s">
        <v>25669</v>
      </c>
      <c r="E2819" s="949">
        <v>401</v>
      </c>
      <c r="F2819" s="949">
        <v>401</v>
      </c>
      <c r="G2819" s="950" t="s">
        <v>20929</v>
      </c>
      <c r="H2819" s="950" t="s">
        <v>724</v>
      </c>
      <c r="I2819" s="951" t="s">
        <v>9861</v>
      </c>
      <c r="J2819" s="947" t="s">
        <v>9862</v>
      </c>
      <c r="K2819" s="143"/>
    </row>
    <row r="2820" spans="1:11">
      <c r="A2820" s="946" t="s">
        <v>32007</v>
      </c>
      <c r="B2820" s="947" t="s">
        <v>10229</v>
      </c>
      <c r="C2820" s="948" t="s">
        <v>10227</v>
      </c>
      <c r="D2820" s="242" t="s">
        <v>25669</v>
      </c>
      <c r="E2820" s="949">
        <v>401</v>
      </c>
      <c r="F2820" s="949">
        <v>401</v>
      </c>
      <c r="G2820" s="950" t="s">
        <v>20929</v>
      </c>
      <c r="H2820" s="950" t="s">
        <v>724</v>
      </c>
      <c r="I2820" s="951" t="s">
        <v>10228</v>
      </c>
      <c r="J2820" s="947" t="s">
        <v>10229</v>
      </c>
      <c r="K2820" s="143"/>
    </row>
    <row r="2821" spans="1:11">
      <c r="A2821" s="946" t="s">
        <v>32007</v>
      </c>
      <c r="B2821" s="947" t="s">
        <v>10245</v>
      </c>
      <c r="C2821" s="948" t="s">
        <v>10243</v>
      </c>
      <c r="D2821" s="242" t="s">
        <v>25669</v>
      </c>
      <c r="E2821" s="949">
        <v>401</v>
      </c>
      <c r="F2821" s="949">
        <v>401</v>
      </c>
      <c r="G2821" s="950" t="s">
        <v>20929</v>
      </c>
      <c r="H2821" s="950" t="s">
        <v>724</v>
      </c>
      <c r="I2821" s="951" t="s">
        <v>10244</v>
      </c>
      <c r="J2821" s="947" t="s">
        <v>10245</v>
      </c>
      <c r="K2821" s="143"/>
    </row>
    <row r="2822" spans="1:11">
      <c r="A2822" s="946" t="s">
        <v>32007</v>
      </c>
      <c r="B2822" s="947" t="s">
        <v>10390</v>
      </c>
      <c r="C2822" s="948" t="s">
        <v>10388</v>
      </c>
      <c r="D2822" s="242" t="s">
        <v>25669</v>
      </c>
      <c r="E2822" s="949">
        <v>401</v>
      </c>
      <c r="F2822" s="949">
        <v>401</v>
      </c>
      <c r="G2822" s="950" t="s">
        <v>20929</v>
      </c>
      <c r="H2822" s="950" t="s">
        <v>724</v>
      </c>
      <c r="I2822" s="951" t="s">
        <v>10389</v>
      </c>
      <c r="J2822" s="947" t="s">
        <v>10390</v>
      </c>
      <c r="K2822" s="143"/>
    </row>
    <row r="2823" spans="1:11">
      <c r="A2823" s="946" t="s">
        <v>32007</v>
      </c>
      <c r="B2823" s="947" t="s">
        <v>10495</v>
      </c>
      <c r="C2823" s="948" t="s">
        <v>26412</v>
      </c>
      <c r="D2823" s="242" t="s">
        <v>25669</v>
      </c>
      <c r="E2823" s="949">
        <v>401</v>
      </c>
      <c r="F2823" s="949">
        <v>401</v>
      </c>
      <c r="G2823" s="950" t="s">
        <v>20929</v>
      </c>
      <c r="H2823" s="950" t="s">
        <v>724</v>
      </c>
      <c r="I2823" s="951" t="s">
        <v>26413</v>
      </c>
      <c r="J2823" s="947" t="s">
        <v>10495</v>
      </c>
      <c r="K2823" s="143"/>
    </row>
    <row r="2824" spans="1:11">
      <c r="A2824" s="946" t="s">
        <v>32007</v>
      </c>
      <c r="B2824" s="947" t="s">
        <v>10578</v>
      </c>
      <c r="C2824" s="948" t="s">
        <v>10576</v>
      </c>
      <c r="D2824" s="242" t="s">
        <v>25669</v>
      </c>
      <c r="E2824" s="949">
        <v>401</v>
      </c>
      <c r="F2824" s="949">
        <v>401</v>
      </c>
      <c r="G2824" s="950" t="s">
        <v>20929</v>
      </c>
      <c r="H2824" s="950" t="s">
        <v>724</v>
      </c>
      <c r="I2824" s="951" t="s">
        <v>10577</v>
      </c>
      <c r="J2824" s="947" t="s">
        <v>10578</v>
      </c>
      <c r="K2824" s="143"/>
    </row>
    <row r="2825" spans="1:11">
      <c r="A2825" s="946" t="s">
        <v>32007</v>
      </c>
      <c r="B2825" s="947" t="s">
        <v>10768</v>
      </c>
      <c r="C2825" s="948" t="s">
        <v>10766</v>
      </c>
      <c r="D2825" s="242" t="s">
        <v>25669</v>
      </c>
      <c r="E2825" s="949">
        <v>401</v>
      </c>
      <c r="F2825" s="949">
        <v>401</v>
      </c>
      <c r="G2825" s="950" t="s">
        <v>20929</v>
      </c>
      <c r="H2825" s="950" t="s">
        <v>724</v>
      </c>
      <c r="I2825" s="951" t="s">
        <v>10767</v>
      </c>
      <c r="J2825" s="947" t="s">
        <v>10768</v>
      </c>
      <c r="K2825" s="143"/>
    </row>
    <row r="2826" spans="1:11">
      <c r="A2826" s="946" t="s">
        <v>32007</v>
      </c>
      <c r="B2826" s="947" t="s">
        <v>31135</v>
      </c>
      <c r="C2826" s="948" t="s">
        <v>31136</v>
      </c>
      <c r="D2826" s="242" t="s">
        <v>25669</v>
      </c>
      <c r="E2826" s="949">
        <v>401</v>
      </c>
      <c r="F2826" s="949">
        <v>401</v>
      </c>
      <c r="G2826" s="950" t="s">
        <v>20929</v>
      </c>
      <c r="H2826" s="950" t="s">
        <v>724</v>
      </c>
      <c r="I2826" s="951" t="s">
        <v>10964</v>
      </c>
      <c r="J2826" s="947" t="s">
        <v>31135</v>
      </c>
      <c r="K2826" s="143"/>
    </row>
    <row r="2827" spans="1:11">
      <c r="A2827" s="946" t="s">
        <v>32007</v>
      </c>
      <c r="B2827" s="947" t="s">
        <v>11421</v>
      </c>
      <c r="C2827" s="948" t="s">
        <v>11419</v>
      </c>
      <c r="D2827" s="242" t="s">
        <v>25669</v>
      </c>
      <c r="E2827" s="949">
        <v>401</v>
      </c>
      <c r="F2827" s="949">
        <v>401</v>
      </c>
      <c r="G2827" s="950" t="s">
        <v>20929</v>
      </c>
      <c r="H2827" s="950" t="s">
        <v>724</v>
      </c>
      <c r="I2827" s="951" t="s">
        <v>11420</v>
      </c>
      <c r="J2827" s="947" t="s">
        <v>11421</v>
      </c>
      <c r="K2827" s="143"/>
    </row>
    <row r="2828" spans="1:11">
      <c r="A2828" s="946" t="s">
        <v>32007</v>
      </c>
      <c r="B2828" s="947" t="s">
        <v>11476</v>
      </c>
      <c r="C2828" s="948" t="s">
        <v>11474</v>
      </c>
      <c r="D2828" s="242" t="s">
        <v>25669</v>
      </c>
      <c r="E2828" s="949">
        <v>401</v>
      </c>
      <c r="F2828" s="949">
        <v>401</v>
      </c>
      <c r="G2828" s="950" t="s">
        <v>20929</v>
      </c>
      <c r="H2828" s="950" t="s">
        <v>724</v>
      </c>
      <c r="I2828" s="951" t="s">
        <v>11475</v>
      </c>
      <c r="J2828" s="947" t="s">
        <v>11476</v>
      </c>
      <c r="K2828" s="143"/>
    </row>
    <row r="2829" spans="1:11">
      <c r="A2829" s="946" t="s">
        <v>32007</v>
      </c>
      <c r="B2829" s="947" t="s">
        <v>11685</v>
      </c>
      <c r="C2829" s="948" t="s">
        <v>11683</v>
      </c>
      <c r="D2829" s="242" t="s">
        <v>25669</v>
      </c>
      <c r="E2829" s="949">
        <v>401</v>
      </c>
      <c r="F2829" s="949">
        <v>401</v>
      </c>
      <c r="G2829" s="950" t="s">
        <v>20929</v>
      </c>
      <c r="H2829" s="950" t="s">
        <v>724</v>
      </c>
      <c r="I2829" s="951" t="s">
        <v>11684</v>
      </c>
      <c r="J2829" s="947" t="s">
        <v>11685</v>
      </c>
      <c r="K2829" s="143"/>
    </row>
    <row r="2830" spans="1:11">
      <c r="A2830" s="946" t="s">
        <v>32007</v>
      </c>
      <c r="B2830" s="947" t="s">
        <v>11706</v>
      </c>
      <c r="C2830" s="948" t="s">
        <v>11704</v>
      </c>
      <c r="D2830" s="242" t="s">
        <v>25669</v>
      </c>
      <c r="E2830" s="949">
        <v>401</v>
      </c>
      <c r="F2830" s="949">
        <v>401</v>
      </c>
      <c r="G2830" s="950" t="s">
        <v>20929</v>
      </c>
      <c r="H2830" s="950" t="s">
        <v>724</v>
      </c>
      <c r="I2830" s="951" t="s">
        <v>11705</v>
      </c>
      <c r="J2830" s="947" t="s">
        <v>11706</v>
      </c>
      <c r="K2830" s="143"/>
    </row>
    <row r="2831" spans="1:11">
      <c r="A2831" s="946" t="s">
        <v>32007</v>
      </c>
      <c r="B2831" s="947" t="s">
        <v>11712</v>
      </c>
      <c r="C2831" s="948" t="s">
        <v>11710</v>
      </c>
      <c r="D2831" s="242" t="s">
        <v>25669</v>
      </c>
      <c r="E2831" s="949">
        <v>401</v>
      </c>
      <c r="F2831" s="949">
        <v>401</v>
      </c>
      <c r="G2831" s="950" t="s">
        <v>20929</v>
      </c>
      <c r="H2831" s="950" t="s">
        <v>724</v>
      </c>
      <c r="I2831" s="951" t="s">
        <v>11711</v>
      </c>
      <c r="J2831" s="947" t="s">
        <v>11712</v>
      </c>
      <c r="K2831" s="143"/>
    </row>
    <row r="2832" spans="1:11">
      <c r="A2832" s="946" t="s">
        <v>32007</v>
      </c>
      <c r="B2832" s="947" t="s">
        <v>11721</v>
      </c>
      <c r="C2832" s="948" t="s">
        <v>11719</v>
      </c>
      <c r="D2832" s="242" t="s">
        <v>25669</v>
      </c>
      <c r="E2832" s="949">
        <v>401</v>
      </c>
      <c r="F2832" s="949">
        <v>401</v>
      </c>
      <c r="G2832" s="950" t="s">
        <v>20929</v>
      </c>
      <c r="H2832" s="950" t="s">
        <v>724</v>
      </c>
      <c r="I2832" s="951" t="s">
        <v>11720</v>
      </c>
      <c r="J2832" s="947" t="s">
        <v>11721</v>
      </c>
      <c r="K2832" s="143"/>
    </row>
    <row r="2833" spans="1:11">
      <c r="A2833" s="946" t="s">
        <v>32007</v>
      </c>
      <c r="B2833" s="947" t="s">
        <v>11885</v>
      </c>
      <c r="C2833" s="948" t="s">
        <v>11883</v>
      </c>
      <c r="D2833" s="242" t="s">
        <v>25669</v>
      </c>
      <c r="E2833" s="949">
        <v>401</v>
      </c>
      <c r="F2833" s="949">
        <v>401</v>
      </c>
      <c r="G2833" s="950" t="s">
        <v>20929</v>
      </c>
      <c r="H2833" s="950" t="s">
        <v>724</v>
      </c>
      <c r="I2833" s="951" t="s">
        <v>11884</v>
      </c>
      <c r="J2833" s="947" t="s">
        <v>11885</v>
      </c>
      <c r="K2833" s="143"/>
    </row>
    <row r="2834" spans="1:11">
      <c r="A2834" s="946" t="s">
        <v>32007</v>
      </c>
      <c r="B2834" s="947" t="s">
        <v>11970</v>
      </c>
      <c r="C2834" s="948" t="s">
        <v>11968</v>
      </c>
      <c r="D2834" s="242" t="s">
        <v>25669</v>
      </c>
      <c r="E2834" s="949">
        <v>401</v>
      </c>
      <c r="F2834" s="949">
        <v>401</v>
      </c>
      <c r="G2834" s="950" t="s">
        <v>20929</v>
      </c>
      <c r="H2834" s="950" t="s">
        <v>724</v>
      </c>
      <c r="I2834" s="951" t="s">
        <v>11969</v>
      </c>
      <c r="J2834" s="947" t="s">
        <v>11970</v>
      </c>
      <c r="K2834" s="143"/>
    </row>
    <row r="2835" spans="1:11">
      <c r="A2835" s="946" t="s">
        <v>32007</v>
      </c>
      <c r="B2835" s="947" t="s">
        <v>12929</v>
      </c>
      <c r="C2835" s="948" t="s">
        <v>12927</v>
      </c>
      <c r="D2835" s="242" t="s">
        <v>25669</v>
      </c>
      <c r="E2835" s="949">
        <v>401</v>
      </c>
      <c r="F2835" s="949">
        <v>401</v>
      </c>
      <c r="G2835" s="950" t="s">
        <v>20929</v>
      </c>
      <c r="H2835" s="950" t="s">
        <v>724</v>
      </c>
      <c r="I2835" s="951" t="s">
        <v>12928</v>
      </c>
      <c r="J2835" s="947" t="s">
        <v>12929</v>
      </c>
      <c r="K2835" s="143"/>
    </row>
    <row r="2836" spans="1:11">
      <c r="A2836" s="946" t="s">
        <v>32007</v>
      </c>
      <c r="B2836" s="947" t="s">
        <v>13150</v>
      </c>
      <c r="C2836" s="948" t="s">
        <v>13148</v>
      </c>
      <c r="D2836" s="242" t="s">
        <v>25669</v>
      </c>
      <c r="E2836" s="949">
        <v>401</v>
      </c>
      <c r="F2836" s="949">
        <v>401</v>
      </c>
      <c r="G2836" s="950" t="s">
        <v>20929</v>
      </c>
      <c r="H2836" s="950" t="s">
        <v>724</v>
      </c>
      <c r="I2836" s="951" t="s">
        <v>13149</v>
      </c>
      <c r="J2836" s="947" t="s">
        <v>13150</v>
      </c>
      <c r="K2836" s="143"/>
    </row>
    <row r="2837" spans="1:11">
      <c r="A2837" s="946" t="s">
        <v>32007</v>
      </c>
      <c r="B2837" s="947" t="s">
        <v>13334</v>
      </c>
      <c r="C2837" s="948" t="s">
        <v>13332</v>
      </c>
      <c r="D2837" s="242" t="s">
        <v>25669</v>
      </c>
      <c r="E2837" s="949">
        <v>401</v>
      </c>
      <c r="F2837" s="949">
        <v>401</v>
      </c>
      <c r="G2837" s="950" t="s">
        <v>20929</v>
      </c>
      <c r="H2837" s="950" t="s">
        <v>724</v>
      </c>
      <c r="I2837" s="951" t="s">
        <v>13333</v>
      </c>
      <c r="J2837" s="947" t="s">
        <v>13334</v>
      </c>
      <c r="K2837" s="143"/>
    </row>
    <row r="2838" spans="1:11">
      <c r="A2838" s="946" t="s">
        <v>32007</v>
      </c>
      <c r="B2838" s="947" t="s">
        <v>13358</v>
      </c>
      <c r="C2838" s="948" t="s">
        <v>13356</v>
      </c>
      <c r="D2838" s="242" t="s">
        <v>25669</v>
      </c>
      <c r="E2838" s="949">
        <v>401</v>
      </c>
      <c r="F2838" s="949">
        <v>401</v>
      </c>
      <c r="G2838" s="950" t="s">
        <v>20929</v>
      </c>
      <c r="H2838" s="950" t="s">
        <v>724</v>
      </c>
      <c r="I2838" s="951" t="s">
        <v>13357</v>
      </c>
      <c r="J2838" s="947" t="s">
        <v>13358</v>
      </c>
      <c r="K2838" s="143"/>
    </row>
    <row r="2839" spans="1:11">
      <c r="A2839" s="946" t="s">
        <v>32007</v>
      </c>
      <c r="B2839" s="947" t="s">
        <v>13397</v>
      </c>
      <c r="C2839" s="948" t="s">
        <v>13395</v>
      </c>
      <c r="D2839" s="242" t="s">
        <v>25669</v>
      </c>
      <c r="E2839" s="949">
        <v>401</v>
      </c>
      <c r="F2839" s="949">
        <v>401</v>
      </c>
      <c r="G2839" s="950" t="s">
        <v>20929</v>
      </c>
      <c r="H2839" s="950" t="s">
        <v>724</v>
      </c>
      <c r="I2839" s="951" t="s">
        <v>13396</v>
      </c>
      <c r="J2839" s="947" t="s">
        <v>13397</v>
      </c>
      <c r="K2839" s="143"/>
    </row>
    <row r="2840" spans="1:11">
      <c r="A2840" s="946" t="s">
        <v>32007</v>
      </c>
      <c r="B2840" s="947" t="s">
        <v>13861</v>
      </c>
      <c r="C2840" s="948" t="s">
        <v>13859</v>
      </c>
      <c r="D2840" s="242" t="s">
        <v>25669</v>
      </c>
      <c r="E2840" s="949">
        <v>401</v>
      </c>
      <c r="F2840" s="949">
        <v>401</v>
      </c>
      <c r="G2840" s="950" t="s">
        <v>20929</v>
      </c>
      <c r="H2840" s="950" t="s">
        <v>724</v>
      </c>
      <c r="I2840" s="951" t="s">
        <v>13860</v>
      </c>
      <c r="J2840" s="947" t="s">
        <v>13861</v>
      </c>
      <c r="K2840" s="143"/>
    </row>
    <row r="2841" spans="1:11">
      <c r="A2841" s="946" t="s">
        <v>32007</v>
      </c>
      <c r="B2841" s="947" t="s">
        <v>13882</v>
      </c>
      <c r="C2841" s="948" t="s">
        <v>13880</v>
      </c>
      <c r="D2841" s="242" t="s">
        <v>25669</v>
      </c>
      <c r="E2841" s="949">
        <v>401</v>
      </c>
      <c r="F2841" s="949">
        <v>401</v>
      </c>
      <c r="G2841" s="950" t="s">
        <v>20929</v>
      </c>
      <c r="H2841" s="950" t="s">
        <v>724</v>
      </c>
      <c r="I2841" s="951" t="s">
        <v>13881</v>
      </c>
      <c r="J2841" s="947" t="s">
        <v>13882</v>
      </c>
      <c r="K2841" s="143"/>
    </row>
    <row r="2842" spans="1:11">
      <c r="A2842" s="946" t="s">
        <v>32007</v>
      </c>
      <c r="B2842" s="947" t="s">
        <v>14180</v>
      </c>
      <c r="C2842" s="948" t="s">
        <v>14178</v>
      </c>
      <c r="D2842" s="242" t="s">
        <v>25669</v>
      </c>
      <c r="E2842" s="949">
        <v>401</v>
      </c>
      <c r="F2842" s="949">
        <v>401</v>
      </c>
      <c r="G2842" s="950" t="s">
        <v>20929</v>
      </c>
      <c r="H2842" s="950" t="s">
        <v>724</v>
      </c>
      <c r="I2842" s="951" t="s">
        <v>14179</v>
      </c>
      <c r="J2842" s="947" t="s">
        <v>14180</v>
      </c>
      <c r="K2842" s="143"/>
    </row>
    <row r="2843" spans="1:11">
      <c r="A2843" s="946" t="s">
        <v>32007</v>
      </c>
      <c r="B2843" s="947" t="s">
        <v>14198</v>
      </c>
      <c r="C2843" s="948" t="s">
        <v>14196</v>
      </c>
      <c r="D2843" s="242" t="s">
        <v>25669</v>
      </c>
      <c r="E2843" s="949">
        <v>401</v>
      </c>
      <c r="F2843" s="949">
        <v>401</v>
      </c>
      <c r="G2843" s="950" t="s">
        <v>20929</v>
      </c>
      <c r="H2843" s="950" t="s">
        <v>724</v>
      </c>
      <c r="I2843" s="951" t="s">
        <v>14197</v>
      </c>
      <c r="J2843" s="947" t="s">
        <v>14198</v>
      </c>
      <c r="K2843" s="143"/>
    </row>
    <row r="2844" spans="1:11">
      <c r="A2844" s="946" t="s">
        <v>32007</v>
      </c>
      <c r="B2844" s="947" t="s">
        <v>16916</v>
      </c>
      <c r="C2844" s="948" t="s">
        <v>16914</v>
      </c>
      <c r="D2844" s="242" t="s">
        <v>25669</v>
      </c>
      <c r="E2844" s="949">
        <v>401</v>
      </c>
      <c r="F2844" s="949">
        <v>401</v>
      </c>
      <c r="G2844" s="950" t="s">
        <v>20929</v>
      </c>
      <c r="H2844" s="950" t="s">
        <v>724</v>
      </c>
      <c r="I2844" s="951" t="s">
        <v>16915</v>
      </c>
      <c r="J2844" s="947" t="s">
        <v>16916</v>
      </c>
      <c r="K2844" s="143"/>
    </row>
    <row r="2845" spans="1:11">
      <c r="A2845" s="946" t="s">
        <v>32007</v>
      </c>
      <c r="B2845" s="947" t="s">
        <v>14426</v>
      </c>
      <c r="C2845" s="948" t="s">
        <v>14424</v>
      </c>
      <c r="D2845" s="242" t="s">
        <v>25669</v>
      </c>
      <c r="E2845" s="949">
        <v>401</v>
      </c>
      <c r="F2845" s="949">
        <v>401</v>
      </c>
      <c r="G2845" s="950" t="s">
        <v>20929</v>
      </c>
      <c r="H2845" s="950" t="s">
        <v>724</v>
      </c>
      <c r="I2845" s="951" t="s">
        <v>14425</v>
      </c>
      <c r="J2845" s="947" t="s">
        <v>14426</v>
      </c>
      <c r="K2845" s="143"/>
    </row>
    <row r="2846" spans="1:11">
      <c r="A2846" s="946" t="s">
        <v>32007</v>
      </c>
      <c r="B2846" s="947" t="s">
        <v>14441</v>
      </c>
      <c r="C2846" s="948" t="s">
        <v>14439</v>
      </c>
      <c r="D2846" s="242" t="s">
        <v>25669</v>
      </c>
      <c r="E2846" s="949">
        <v>401</v>
      </c>
      <c r="F2846" s="949">
        <v>401</v>
      </c>
      <c r="G2846" s="950" t="s">
        <v>20929</v>
      </c>
      <c r="H2846" s="950" t="s">
        <v>724</v>
      </c>
      <c r="I2846" s="951" t="s">
        <v>14440</v>
      </c>
      <c r="J2846" s="947" t="s">
        <v>14441</v>
      </c>
      <c r="K2846" s="143"/>
    </row>
    <row r="2847" spans="1:11">
      <c r="A2847" s="946" t="s">
        <v>32007</v>
      </c>
      <c r="B2847" s="947" t="s">
        <v>14444</v>
      </c>
      <c r="C2847" s="948" t="s">
        <v>14442</v>
      </c>
      <c r="D2847" s="242" t="s">
        <v>25669</v>
      </c>
      <c r="E2847" s="949">
        <v>401</v>
      </c>
      <c r="F2847" s="949">
        <v>401</v>
      </c>
      <c r="G2847" s="950" t="s">
        <v>20929</v>
      </c>
      <c r="H2847" s="950" t="s">
        <v>724</v>
      </c>
      <c r="I2847" s="951" t="s">
        <v>14443</v>
      </c>
      <c r="J2847" s="947" t="s">
        <v>14444</v>
      </c>
      <c r="K2847" s="143"/>
    </row>
    <row r="2848" spans="1:11">
      <c r="A2848" s="946" t="s">
        <v>32007</v>
      </c>
      <c r="B2848" s="947" t="s">
        <v>14493</v>
      </c>
      <c r="C2848" s="948" t="s">
        <v>14491</v>
      </c>
      <c r="D2848" s="242" t="s">
        <v>25669</v>
      </c>
      <c r="E2848" s="949">
        <v>401</v>
      </c>
      <c r="F2848" s="949">
        <v>401</v>
      </c>
      <c r="G2848" s="950" t="s">
        <v>20929</v>
      </c>
      <c r="H2848" s="950" t="s">
        <v>724</v>
      </c>
      <c r="I2848" s="951" t="s">
        <v>14492</v>
      </c>
      <c r="J2848" s="947" t="s">
        <v>14493</v>
      </c>
      <c r="K2848" s="143"/>
    </row>
    <row r="2849" spans="1:11">
      <c r="A2849" s="946" t="s">
        <v>32007</v>
      </c>
      <c r="B2849" s="947" t="s">
        <v>14961</v>
      </c>
      <c r="C2849" s="948" t="s">
        <v>14959</v>
      </c>
      <c r="D2849" s="242" t="s">
        <v>25669</v>
      </c>
      <c r="E2849" s="949">
        <v>401</v>
      </c>
      <c r="F2849" s="949">
        <v>401</v>
      </c>
      <c r="G2849" s="950" t="s">
        <v>20929</v>
      </c>
      <c r="H2849" s="950" t="s">
        <v>724</v>
      </c>
      <c r="I2849" s="951" t="s">
        <v>14960</v>
      </c>
      <c r="J2849" s="947" t="s">
        <v>14961</v>
      </c>
      <c r="K2849" s="143"/>
    </row>
    <row r="2850" spans="1:11">
      <c r="A2850" s="946" t="s">
        <v>32007</v>
      </c>
      <c r="B2850" s="947" t="s">
        <v>15024</v>
      </c>
      <c r="C2850" s="948" t="s">
        <v>15022</v>
      </c>
      <c r="D2850" s="242" t="s">
        <v>25669</v>
      </c>
      <c r="E2850" s="949">
        <v>401</v>
      </c>
      <c r="F2850" s="949">
        <v>401</v>
      </c>
      <c r="G2850" s="950" t="s">
        <v>20929</v>
      </c>
      <c r="H2850" s="950" t="s">
        <v>724</v>
      </c>
      <c r="I2850" s="951" t="s">
        <v>15023</v>
      </c>
      <c r="J2850" s="947" t="s">
        <v>15024</v>
      </c>
      <c r="K2850" s="143"/>
    </row>
    <row r="2851" spans="1:11">
      <c r="A2851" s="946" t="s">
        <v>32007</v>
      </c>
      <c r="B2851" s="947" t="s">
        <v>15327</v>
      </c>
      <c r="C2851" s="948" t="s">
        <v>15325</v>
      </c>
      <c r="D2851" s="242" t="s">
        <v>25669</v>
      </c>
      <c r="E2851" s="949">
        <v>401</v>
      </c>
      <c r="F2851" s="949">
        <v>401</v>
      </c>
      <c r="G2851" s="950" t="s">
        <v>20929</v>
      </c>
      <c r="H2851" s="950" t="s">
        <v>724</v>
      </c>
      <c r="I2851" s="951" t="s">
        <v>15326</v>
      </c>
      <c r="J2851" s="947" t="s">
        <v>15327</v>
      </c>
      <c r="K2851" s="143"/>
    </row>
    <row r="2852" spans="1:11">
      <c r="A2852" s="946" t="s">
        <v>32007</v>
      </c>
      <c r="B2852" s="947" t="s">
        <v>15802</v>
      </c>
      <c r="C2852" s="948" t="s">
        <v>15800</v>
      </c>
      <c r="D2852" s="242" t="s">
        <v>25669</v>
      </c>
      <c r="E2852" s="949">
        <v>401</v>
      </c>
      <c r="F2852" s="949">
        <v>401</v>
      </c>
      <c r="G2852" s="950" t="s">
        <v>20929</v>
      </c>
      <c r="H2852" s="950" t="s">
        <v>724</v>
      </c>
      <c r="I2852" s="951" t="s">
        <v>15801</v>
      </c>
      <c r="J2852" s="947" t="s">
        <v>15802</v>
      </c>
      <c r="K2852" s="143"/>
    </row>
    <row r="2853" spans="1:11">
      <c r="A2853" s="946" t="s">
        <v>32007</v>
      </c>
      <c r="B2853" s="947" t="s">
        <v>16025</v>
      </c>
      <c r="C2853" s="948" t="s">
        <v>16023</v>
      </c>
      <c r="D2853" s="242" t="s">
        <v>25669</v>
      </c>
      <c r="E2853" s="949">
        <v>401</v>
      </c>
      <c r="F2853" s="949">
        <v>401</v>
      </c>
      <c r="G2853" s="950" t="s">
        <v>20929</v>
      </c>
      <c r="H2853" s="950" t="s">
        <v>724</v>
      </c>
      <c r="I2853" s="951" t="s">
        <v>16024</v>
      </c>
      <c r="J2853" s="947" t="s">
        <v>16025</v>
      </c>
      <c r="K2853" s="143"/>
    </row>
    <row r="2854" spans="1:11">
      <c r="A2854" s="946" t="s">
        <v>32007</v>
      </c>
      <c r="B2854" s="947" t="s">
        <v>16384</v>
      </c>
      <c r="C2854" s="948" t="s">
        <v>16382</v>
      </c>
      <c r="D2854" s="242" t="s">
        <v>25669</v>
      </c>
      <c r="E2854" s="949">
        <v>401</v>
      </c>
      <c r="F2854" s="949">
        <v>401</v>
      </c>
      <c r="G2854" s="950" t="s">
        <v>20929</v>
      </c>
      <c r="H2854" s="950" t="s">
        <v>724</v>
      </c>
      <c r="I2854" s="951" t="s">
        <v>16383</v>
      </c>
      <c r="J2854" s="947" t="s">
        <v>16384</v>
      </c>
      <c r="K2854" s="143"/>
    </row>
    <row r="2855" spans="1:11">
      <c r="A2855" s="946" t="s">
        <v>32007</v>
      </c>
      <c r="B2855" s="947" t="s">
        <v>16843</v>
      </c>
      <c r="C2855" s="948" t="s">
        <v>16841</v>
      </c>
      <c r="D2855" s="242" t="s">
        <v>25669</v>
      </c>
      <c r="E2855" s="949">
        <v>401</v>
      </c>
      <c r="F2855" s="949">
        <v>401</v>
      </c>
      <c r="G2855" s="950" t="s">
        <v>20929</v>
      </c>
      <c r="H2855" s="950" t="s">
        <v>724</v>
      </c>
      <c r="I2855" s="951" t="s">
        <v>16842</v>
      </c>
      <c r="J2855" s="947" t="s">
        <v>16843</v>
      </c>
      <c r="K2855" s="143"/>
    </row>
    <row r="2856" spans="1:11">
      <c r="A2856" s="946" t="s">
        <v>32007</v>
      </c>
      <c r="B2856" s="947" t="s">
        <v>16864</v>
      </c>
      <c r="C2856" s="948" t="s">
        <v>16862</v>
      </c>
      <c r="D2856" s="242" t="s">
        <v>25669</v>
      </c>
      <c r="E2856" s="949">
        <v>401</v>
      </c>
      <c r="F2856" s="949">
        <v>401</v>
      </c>
      <c r="G2856" s="950" t="s">
        <v>20929</v>
      </c>
      <c r="H2856" s="950" t="s">
        <v>724</v>
      </c>
      <c r="I2856" s="951" t="s">
        <v>16863</v>
      </c>
      <c r="J2856" s="947" t="s">
        <v>16864</v>
      </c>
      <c r="K2856" s="143"/>
    </row>
    <row r="2857" spans="1:11">
      <c r="A2857" s="946" t="s">
        <v>32007</v>
      </c>
      <c r="B2857" s="947" t="s">
        <v>16872</v>
      </c>
      <c r="C2857" s="948" t="s">
        <v>16870</v>
      </c>
      <c r="D2857" s="242" t="s">
        <v>25669</v>
      </c>
      <c r="E2857" s="949">
        <v>401</v>
      </c>
      <c r="F2857" s="949">
        <v>401</v>
      </c>
      <c r="G2857" s="950" t="s">
        <v>20929</v>
      </c>
      <c r="H2857" s="950" t="s">
        <v>724</v>
      </c>
      <c r="I2857" s="951" t="s">
        <v>16871</v>
      </c>
      <c r="J2857" s="947" t="s">
        <v>16872</v>
      </c>
      <c r="K2857" s="143"/>
    </row>
    <row r="2858" spans="1:11">
      <c r="A2858" s="946" t="s">
        <v>32007</v>
      </c>
      <c r="B2858" s="947" t="s">
        <v>16919</v>
      </c>
      <c r="C2858" s="948" t="s">
        <v>16917</v>
      </c>
      <c r="D2858" s="242" t="s">
        <v>25669</v>
      </c>
      <c r="E2858" s="949">
        <v>401</v>
      </c>
      <c r="F2858" s="949">
        <v>401</v>
      </c>
      <c r="G2858" s="950" t="s">
        <v>20929</v>
      </c>
      <c r="H2858" s="950" t="s">
        <v>724</v>
      </c>
      <c r="I2858" s="951" t="s">
        <v>16918</v>
      </c>
      <c r="J2858" s="947" t="s">
        <v>16919</v>
      </c>
      <c r="K2858" s="143"/>
    </row>
    <row r="2859" spans="1:11">
      <c r="A2859" s="946" t="s">
        <v>32007</v>
      </c>
      <c r="B2859" s="947" t="s">
        <v>17045</v>
      </c>
      <c r="C2859" s="948" t="s">
        <v>17043</v>
      </c>
      <c r="D2859" s="242" t="s">
        <v>25669</v>
      </c>
      <c r="E2859" s="949">
        <v>401</v>
      </c>
      <c r="F2859" s="949">
        <v>401</v>
      </c>
      <c r="G2859" s="950" t="s">
        <v>20929</v>
      </c>
      <c r="H2859" s="950" t="s">
        <v>724</v>
      </c>
      <c r="I2859" s="951" t="s">
        <v>17044</v>
      </c>
      <c r="J2859" s="947" t="s">
        <v>17045</v>
      </c>
      <c r="K2859" s="143"/>
    </row>
    <row r="2860" spans="1:11">
      <c r="A2860" s="946" t="s">
        <v>32007</v>
      </c>
      <c r="B2860" s="947" t="s">
        <v>17057</v>
      </c>
      <c r="C2860" s="948" t="s">
        <v>17055</v>
      </c>
      <c r="D2860" s="242" t="s">
        <v>25669</v>
      </c>
      <c r="E2860" s="949">
        <v>401</v>
      </c>
      <c r="F2860" s="949">
        <v>401</v>
      </c>
      <c r="G2860" s="950" t="s">
        <v>20929</v>
      </c>
      <c r="H2860" s="950" t="s">
        <v>724</v>
      </c>
      <c r="I2860" s="951" t="s">
        <v>17056</v>
      </c>
      <c r="J2860" s="947" t="s">
        <v>17057</v>
      </c>
      <c r="K2860" s="143"/>
    </row>
    <row r="2861" spans="1:11">
      <c r="A2861" s="946" t="s">
        <v>32007</v>
      </c>
      <c r="B2861" s="947" t="s">
        <v>17105</v>
      </c>
      <c r="C2861" s="948" t="s">
        <v>17103</v>
      </c>
      <c r="D2861" s="242" t="s">
        <v>25669</v>
      </c>
      <c r="E2861" s="949">
        <v>401</v>
      </c>
      <c r="F2861" s="949">
        <v>401</v>
      </c>
      <c r="G2861" s="950" t="s">
        <v>20929</v>
      </c>
      <c r="H2861" s="950" t="s">
        <v>724</v>
      </c>
      <c r="I2861" s="951" t="s">
        <v>17104</v>
      </c>
      <c r="J2861" s="947" t="s">
        <v>17105</v>
      </c>
      <c r="K2861" s="143"/>
    </row>
    <row r="2862" spans="1:11">
      <c r="A2862" s="946" t="s">
        <v>32007</v>
      </c>
      <c r="B2862" s="947" t="s">
        <v>17113</v>
      </c>
      <c r="C2862" s="948" t="s">
        <v>17111</v>
      </c>
      <c r="D2862" s="242" t="s">
        <v>25669</v>
      </c>
      <c r="E2862" s="949">
        <v>401</v>
      </c>
      <c r="F2862" s="949">
        <v>401</v>
      </c>
      <c r="G2862" s="950" t="s">
        <v>20929</v>
      </c>
      <c r="H2862" s="950" t="s">
        <v>724</v>
      </c>
      <c r="I2862" s="951" t="s">
        <v>17112</v>
      </c>
      <c r="J2862" s="947" t="s">
        <v>17113</v>
      </c>
      <c r="K2862" s="143"/>
    </row>
    <row r="2863" spans="1:11">
      <c r="A2863" s="946" t="s">
        <v>32007</v>
      </c>
      <c r="B2863" s="947" t="s">
        <v>17167</v>
      </c>
      <c r="C2863" s="948" t="s">
        <v>17165</v>
      </c>
      <c r="D2863" s="242" t="s">
        <v>25669</v>
      </c>
      <c r="E2863" s="949">
        <v>401</v>
      </c>
      <c r="F2863" s="949">
        <v>401</v>
      </c>
      <c r="G2863" s="950" t="s">
        <v>20929</v>
      </c>
      <c r="H2863" s="950" t="s">
        <v>724</v>
      </c>
      <c r="I2863" s="951" t="s">
        <v>17166</v>
      </c>
      <c r="J2863" s="947" t="s">
        <v>17167</v>
      </c>
      <c r="K2863" s="143"/>
    </row>
    <row r="2864" spans="1:11">
      <c r="A2864" s="946" t="s">
        <v>32007</v>
      </c>
      <c r="B2864" s="947" t="s">
        <v>17352</v>
      </c>
      <c r="C2864" s="948" t="s">
        <v>17351</v>
      </c>
      <c r="D2864" s="242" t="s">
        <v>25669</v>
      </c>
      <c r="E2864" s="949">
        <v>401</v>
      </c>
      <c r="F2864" s="949">
        <v>401</v>
      </c>
      <c r="G2864" s="950" t="s">
        <v>20929</v>
      </c>
      <c r="H2864" s="950" t="s">
        <v>724</v>
      </c>
      <c r="I2864" s="951" t="s">
        <v>26414</v>
      </c>
      <c r="J2864" s="947" t="s">
        <v>17352</v>
      </c>
      <c r="K2864" s="143"/>
    </row>
    <row r="2865" spans="1:11">
      <c r="A2865" s="946" t="s">
        <v>32007</v>
      </c>
      <c r="B2865" s="947" t="s">
        <v>17977</v>
      </c>
      <c r="C2865" s="948" t="s">
        <v>17975</v>
      </c>
      <c r="D2865" s="242" t="s">
        <v>25669</v>
      </c>
      <c r="E2865" s="949">
        <v>401</v>
      </c>
      <c r="F2865" s="949">
        <v>401</v>
      </c>
      <c r="G2865" s="950" t="s">
        <v>20929</v>
      </c>
      <c r="H2865" s="950" t="s">
        <v>724</v>
      </c>
      <c r="I2865" s="951" t="s">
        <v>17976</v>
      </c>
      <c r="J2865" s="947" t="s">
        <v>17977</v>
      </c>
      <c r="K2865" s="143"/>
    </row>
    <row r="2866" spans="1:11">
      <c r="A2866" s="946" t="s">
        <v>32007</v>
      </c>
      <c r="B2866" s="947" t="s">
        <v>18817</v>
      </c>
      <c r="C2866" s="948" t="s">
        <v>18815</v>
      </c>
      <c r="D2866" s="242" t="s">
        <v>25669</v>
      </c>
      <c r="E2866" s="949">
        <v>401</v>
      </c>
      <c r="F2866" s="949">
        <v>401</v>
      </c>
      <c r="G2866" s="950" t="s">
        <v>20929</v>
      </c>
      <c r="H2866" s="950" t="s">
        <v>724</v>
      </c>
      <c r="I2866" s="951" t="s">
        <v>18816</v>
      </c>
      <c r="J2866" s="947" t="s">
        <v>18817</v>
      </c>
      <c r="K2866" s="143"/>
    </row>
    <row r="2867" spans="1:11">
      <c r="A2867" s="946" t="s">
        <v>32007</v>
      </c>
      <c r="B2867" s="947" t="s">
        <v>18828</v>
      </c>
      <c r="C2867" s="948" t="s">
        <v>18826</v>
      </c>
      <c r="D2867" s="242" t="s">
        <v>25669</v>
      </c>
      <c r="E2867" s="949">
        <v>401</v>
      </c>
      <c r="F2867" s="949">
        <v>401</v>
      </c>
      <c r="G2867" s="950" t="s">
        <v>20929</v>
      </c>
      <c r="H2867" s="950" t="s">
        <v>724</v>
      </c>
      <c r="I2867" s="951" t="s">
        <v>18827</v>
      </c>
      <c r="J2867" s="947" t="s">
        <v>18828</v>
      </c>
      <c r="K2867" s="143"/>
    </row>
    <row r="2868" spans="1:11">
      <c r="A2868" s="946" t="s">
        <v>32007</v>
      </c>
      <c r="B2868" s="947" t="s">
        <v>18882</v>
      </c>
      <c r="C2868" s="948" t="s">
        <v>18880</v>
      </c>
      <c r="D2868" s="242" t="s">
        <v>25669</v>
      </c>
      <c r="E2868" s="949">
        <v>401</v>
      </c>
      <c r="F2868" s="949">
        <v>401</v>
      </c>
      <c r="G2868" s="950" t="s">
        <v>20929</v>
      </c>
      <c r="H2868" s="950" t="s">
        <v>724</v>
      </c>
      <c r="I2868" s="951" t="s">
        <v>18881</v>
      </c>
      <c r="J2868" s="947" t="s">
        <v>18882</v>
      </c>
      <c r="K2868" s="143"/>
    </row>
    <row r="2869" spans="1:11">
      <c r="A2869" s="946" t="s">
        <v>32007</v>
      </c>
      <c r="B2869" s="947" t="s">
        <v>19145</v>
      </c>
      <c r="C2869" s="948" t="s">
        <v>19143</v>
      </c>
      <c r="D2869" s="242" t="s">
        <v>25669</v>
      </c>
      <c r="E2869" s="949">
        <v>401</v>
      </c>
      <c r="F2869" s="949">
        <v>401</v>
      </c>
      <c r="G2869" s="950" t="s">
        <v>20929</v>
      </c>
      <c r="H2869" s="950" t="s">
        <v>724</v>
      </c>
      <c r="I2869" s="951" t="s">
        <v>19144</v>
      </c>
      <c r="J2869" s="947" t="s">
        <v>19145</v>
      </c>
      <c r="K2869" s="143"/>
    </row>
    <row r="2870" spans="1:11">
      <c r="A2870" s="946" t="s">
        <v>32007</v>
      </c>
      <c r="B2870" s="947" t="s">
        <v>19189</v>
      </c>
      <c r="C2870" s="948" t="s">
        <v>19187</v>
      </c>
      <c r="D2870" s="242" t="s">
        <v>25669</v>
      </c>
      <c r="E2870" s="949">
        <v>401</v>
      </c>
      <c r="F2870" s="949">
        <v>401</v>
      </c>
      <c r="G2870" s="950" t="s">
        <v>20929</v>
      </c>
      <c r="H2870" s="950" t="s">
        <v>724</v>
      </c>
      <c r="I2870" s="951" t="s">
        <v>19188</v>
      </c>
      <c r="J2870" s="947" t="s">
        <v>19189</v>
      </c>
      <c r="K2870" s="143"/>
    </row>
    <row r="2871" spans="1:11">
      <c r="A2871" s="946" t="s">
        <v>32007</v>
      </c>
      <c r="B2871" s="947" t="s">
        <v>19483</v>
      </c>
      <c r="C2871" s="948" t="s">
        <v>19481</v>
      </c>
      <c r="D2871" s="242" t="s">
        <v>25669</v>
      </c>
      <c r="E2871" s="949">
        <v>401</v>
      </c>
      <c r="F2871" s="949">
        <v>401</v>
      </c>
      <c r="G2871" s="950" t="s">
        <v>20929</v>
      </c>
      <c r="H2871" s="950" t="s">
        <v>724</v>
      </c>
      <c r="I2871" s="951" t="s">
        <v>19482</v>
      </c>
      <c r="J2871" s="947" t="s">
        <v>19483</v>
      </c>
      <c r="K2871" s="143"/>
    </row>
    <row r="2872" spans="1:11">
      <c r="A2872" s="946" t="s">
        <v>32007</v>
      </c>
      <c r="B2872" s="947" t="s">
        <v>31141</v>
      </c>
      <c r="C2872" s="948" t="s">
        <v>31142</v>
      </c>
      <c r="D2872" s="242" t="s">
        <v>25669</v>
      </c>
      <c r="E2872" s="949">
        <v>401</v>
      </c>
      <c r="F2872" s="949">
        <v>401</v>
      </c>
      <c r="G2872" s="950" t="s">
        <v>20929</v>
      </c>
      <c r="H2872" s="950" t="s">
        <v>724</v>
      </c>
      <c r="I2872" s="951" t="s">
        <v>19730</v>
      </c>
      <c r="J2872" s="947" t="s">
        <v>31141</v>
      </c>
      <c r="K2872" s="143"/>
    </row>
    <row r="2873" spans="1:11">
      <c r="A2873" s="946" t="s">
        <v>32007</v>
      </c>
      <c r="B2873" s="947" t="s">
        <v>19806</v>
      </c>
      <c r="C2873" s="948" t="s">
        <v>19804</v>
      </c>
      <c r="D2873" s="242" t="s">
        <v>25669</v>
      </c>
      <c r="E2873" s="949">
        <v>401</v>
      </c>
      <c r="F2873" s="949">
        <v>401</v>
      </c>
      <c r="G2873" s="950" t="s">
        <v>20929</v>
      </c>
      <c r="H2873" s="950" t="s">
        <v>724</v>
      </c>
      <c r="I2873" s="951" t="s">
        <v>19805</v>
      </c>
      <c r="J2873" s="947" t="s">
        <v>19806</v>
      </c>
      <c r="K2873" s="143"/>
    </row>
    <row r="2874" spans="1:11">
      <c r="A2874" s="946" t="s">
        <v>32007</v>
      </c>
      <c r="B2874" s="947" t="s">
        <v>19872</v>
      </c>
      <c r="C2874" s="948" t="s">
        <v>19870</v>
      </c>
      <c r="D2874" s="242" t="s">
        <v>25669</v>
      </c>
      <c r="E2874" s="949">
        <v>401</v>
      </c>
      <c r="F2874" s="949">
        <v>401</v>
      </c>
      <c r="G2874" s="950" t="s">
        <v>20929</v>
      </c>
      <c r="H2874" s="950" t="s">
        <v>724</v>
      </c>
      <c r="I2874" s="951" t="s">
        <v>19871</v>
      </c>
      <c r="J2874" s="947" t="s">
        <v>19872</v>
      </c>
      <c r="K2874" s="143"/>
    </row>
    <row r="2875" spans="1:11">
      <c r="A2875" s="946" t="s">
        <v>32007</v>
      </c>
      <c r="B2875" s="947" t="s">
        <v>19930</v>
      </c>
      <c r="C2875" s="948" t="s">
        <v>19928</v>
      </c>
      <c r="D2875" s="242" t="s">
        <v>25669</v>
      </c>
      <c r="E2875" s="949">
        <v>401</v>
      </c>
      <c r="F2875" s="949">
        <v>401</v>
      </c>
      <c r="G2875" s="950" t="s">
        <v>20929</v>
      </c>
      <c r="H2875" s="950" t="s">
        <v>724</v>
      </c>
      <c r="I2875" s="951" t="s">
        <v>19929</v>
      </c>
      <c r="J2875" s="947" t="s">
        <v>19930</v>
      </c>
      <c r="K2875" s="143"/>
    </row>
    <row r="2876" spans="1:11">
      <c r="A2876" s="946" t="s">
        <v>32007</v>
      </c>
      <c r="B2876" s="947" t="s">
        <v>19933</v>
      </c>
      <c r="C2876" s="948" t="s">
        <v>19931</v>
      </c>
      <c r="D2876" s="242" t="s">
        <v>25669</v>
      </c>
      <c r="E2876" s="949">
        <v>401</v>
      </c>
      <c r="F2876" s="949">
        <v>401</v>
      </c>
      <c r="G2876" s="950" t="s">
        <v>20929</v>
      </c>
      <c r="H2876" s="950" t="s">
        <v>724</v>
      </c>
      <c r="I2876" s="951" t="s">
        <v>19932</v>
      </c>
      <c r="J2876" s="947" t="s">
        <v>19933</v>
      </c>
      <c r="K2876" s="143"/>
    </row>
    <row r="2877" spans="1:11">
      <c r="A2877" s="946" t="s">
        <v>32007</v>
      </c>
      <c r="B2877" s="947" t="s">
        <v>19993</v>
      </c>
      <c r="C2877" s="948" t="s">
        <v>19991</v>
      </c>
      <c r="D2877" s="242" t="s">
        <v>25669</v>
      </c>
      <c r="E2877" s="949">
        <v>401</v>
      </c>
      <c r="F2877" s="949">
        <v>401</v>
      </c>
      <c r="G2877" s="950" t="s">
        <v>20929</v>
      </c>
      <c r="H2877" s="950" t="s">
        <v>724</v>
      </c>
      <c r="I2877" s="951" t="s">
        <v>19992</v>
      </c>
      <c r="J2877" s="947" t="s">
        <v>19993</v>
      </c>
      <c r="K2877" s="143"/>
    </row>
    <row r="2878" spans="1:11">
      <c r="A2878" s="946" t="s">
        <v>32007</v>
      </c>
      <c r="B2878" s="947" t="s">
        <v>20028</v>
      </c>
      <c r="C2878" s="948" t="s">
        <v>20026</v>
      </c>
      <c r="D2878" s="242" t="s">
        <v>25669</v>
      </c>
      <c r="E2878" s="949">
        <v>401</v>
      </c>
      <c r="F2878" s="949">
        <v>401</v>
      </c>
      <c r="G2878" s="950" t="s">
        <v>20929</v>
      </c>
      <c r="H2878" s="950" t="s">
        <v>724</v>
      </c>
      <c r="I2878" s="951" t="s">
        <v>20027</v>
      </c>
      <c r="J2878" s="947" t="s">
        <v>20028</v>
      </c>
      <c r="K2878" s="143"/>
    </row>
    <row r="2879" spans="1:11">
      <c r="A2879" s="946" t="s">
        <v>32007</v>
      </c>
      <c r="B2879" s="947" t="s">
        <v>20049</v>
      </c>
      <c r="C2879" s="948" t="s">
        <v>20047</v>
      </c>
      <c r="D2879" s="242" t="s">
        <v>25669</v>
      </c>
      <c r="E2879" s="949">
        <v>401</v>
      </c>
      <c r="F2879" s="949">
        <v>401</v>
      </c>
      <c r="G2879" s="950" t="s">
        <v>20929</v>
      </c>
      <c r="H2879" s="950" t="s">
        <v>724</v>
      </c>
      <c r="I2879" s="951" t="s">
        <v>20048</v>
      </c>
      <c r="J2879" s="947" t="s">
        <v>20049</v>
      </c>
      <c r="K2879" s="143"/>
    </row>
    <row r="2880" spans="1:11">
      <c r="A2880" s="946" t="s">
        <v>32007</v>
      </c>
      <c r="B2880" s="947" t="s">
        <v>20306</v>
      </c>
      <c r="C2880" s="948" t="s">
        <v>20304</v>
      </c>
      <c r="D2880" s="242" t="s">
        <v>25669</v>
      </c>
      <c r="E2880" s="949">
        <v>401</v>
      </c>
      <c r="F2880" s="949">
        <v>401</v>
      </c>
      <c r="G2880" s="950" t="s">
        <v>20929</v>
      </c>
      <c r="H2880" s="950" t="s">
        <v>724</v>
      </c>
      <c r="I2880" s="951" t="s">
        <v>20305</v>
      </c>
      <c r="J2880" s="947" t="s">
        <v>20306</v>
      </c>
      <c r="K2880" s="143"/>
    </row>
    <row r="2881" spans="1:11">
      <c r="A2881" s="946" t="s">
        <v>32007</v>
      </c>
      <c r="B2881" s="947" t="s">
        <v>20309</v>
      </c>
      <c r="C2881" s="948" t="s">
        <v>20307</v>
      </c>
      <c r="D2881" s="242" t="s">
        <v>25669</v>
      </c>
      <c r="E2881" s="949">
        <v>401</v>
      </c>
      <c r="F2881" s="949">
        <v>401</v>
      </c>
      <c r="G2881" s="950" t="s">
        <v>20929</v>
      </c>
      <c r="H2881" s="950" t="s">
        <v>724</v>
      </c>
      <c r="I2881" s="951" t="s">
        <v>20308</v>
      </c>
      <c r="J2881" s="947" t="s">
        <v>20309</v>
      </c>
      <c r="K2881" s="143"/>
    </row>
    <row r="2882" spans="1:11">
      <c r="A2882" s="946" t="s">
        <v>32007</v>
      </c>
      <c r="B2882" s="947" t="s">
        <v>20316</v>
      </c>
      <c r="C2882" s="948" t="s">
        <v>20314</v>
      </c>
      <c r="D2882" s="242" t="s">
        <v>25669</v>
      </c>
      <c r="E2882" s="949">
        <v>401</v>
      </c>
      <c r="F2882" s="949">
        <v>401</v>
      </c>
      <c r="G2882" s="950" t="s">
        <v>20929</v>
      </c>
      <c r="H2882" s="950" t="s">
        <v>724</v>
      </c>
      <c r="I2882" s="951" t="s">
        <v>20315</v>
      </c>
      <c r="J2882" s="947" t="s">
        <v>20316</v>
      </c>
      <c r="K2882" s="143"/>
    </row>
    <row r="2883" spans="1:11">
      <c r="A2883" s="946" t="s">
        <v>32007</v>
      </c>
      <c r="B2883" s="947" t="s">
        <v>20319</v>
      </c>
      <c r="C2883" s="948" t="s">
        <v>20317</v>
      </c>
      <c r="D2883" s="242" t="s">
        <v>25669</v>
      </c>
      <c r="E2883" s="949">
        <v>401</v>
      </c>
      <c r="F2883" s="949">
        <v>401</v>
      </c>
      <c r="G2883" s="950" t="s">
        <v>20929</v>
      </c>
      <c r="H2883" s="950" t="s">
        <v>724</v>
      </c>
      <c r="I2883" s="951" t="s">
        <v>20318</v>
      </c>
      <c r="J2883" s="947" t="s">
        <v>20319</v>
      </c>
      <c r="K2883" s="143"/>
    </row>
    <row r="2884" spans="1:11">
      <c r="A2884" s="946" t="s">
        <v>32007</v>
      </c>
      <c r="B2884" s="947" t="s">
        <v>20372</v>
      </c>
      <c r="C2884" s="948" t="s">
        <v>20370</v>
      </c>
      <c r="D2884" s="242" t="s">
        <v>25669</v>
      </c>
      <c r="E2884" s="949">
        <v>401</v>
      </c>
      <c r="F2884" s="949">
        <v>401</v>
      </c>
      <c r="G2884" s="950" t="s">
        <v>20929</v>
      </c>
      <c r="H2884" s="950" t="s">
        <v>724</v>
      </c>
      <c r="I2884" s="951" t="s">
        <v>20371</v>
      </c>
      <c r="J2884" s="947" t="s">
        <v>20372</v>
      </c>
      <c r="K2884" s="143"/>
    </row>
    <row r="2885" spans="1:11">
      <c r="A2885" s="946" t="s">
        <v>32007</v>
      </c>
      <c r="B2885" s="947" t="s">
        <v>20420</v>
      </c>
      <c r="C2885" s="948" t="s">
        <v>20418</v>
      </c>
      <c r="D2885" s="242" t="s">
        <v>25669</v>
      </c>
      <c r="E2885" s="949">
        <v>401</v>
      </c>
      <c r="F2885" s="949">
        <v>401</v>
      </c>
      <c r="G2885" s="950" t="s">
        <v>20929</v>
      </c>
      <c r="H2885" s="950" t="s">
        <v>724</v>
      </c>
      <c r="I2885" s="951" t="s">
        <v>20419</v>
      </c>
      <c r="J2885" s="947" t="s">
        <v>20420</v>
      </c>
      <c r="K2885" s="143"/>
    </row>
    <row r="2886" spans="1:11">
      <c r="A2886" s="946" t="s">
        <v>32007</v>
      </c>
      <c r="B2886" s="947" t="s">
        <v>20426</v>
      </c>
      <c r="C2886" s="948" t="s">
        <v>20424</v>
      </c>
      <c r="D2886" s="242" t="s">
        <v>25669</v>
      </c>
      <c r="E2886" s="949">
        <v>401</v>
      </c>
      <c r="F2886" s="949">
        <v>401</v>
      </c>
      <c r="G2886" s="950" t="s">
        <v>20929</v>
      </c>
      <c r="H2886" s="950" t="s">
        <v>724</v>
      </c>
      <c r="I2886" s="951" t="s">
        <v>20425</v>
      </c>
      <c r="J2886" s="947" t="s">
        <v>20426</v>
      </c>
      <c r="K2886" s="143"/>
    </row>
    <row r="2887" spans="1:11">
      <c r="A2887" s="946" t="s">
        <v>32007</v>
      </c>
      <c r="B2887" s="947" t="s">
        <v>20475</v>
      </c>
      <c r="C2887" s="948" t="s">
        <v>20473</v>
      </c>
      <c r="D2887" s="242" t="s">
        <v>25669</v>
      </c>
      <c r="E2887" s="949">
        <v>401</v>
      </c>
      <c r="F2887" s="949">
        <v>401</v>
      </c>
      <c r="G2887" s="950" t="s">
        <v>20929</v>
      </c>
      <c r="H2887" s="950" t="s">
        <v>724</v>
      </c>
      <c r="I2887" s="951" t="s">
        <v>20474</v>
      </c>
      <c r="J2887" s="947" t="s">
        <v>20475</v>
      </c>
      <c r="K2887" s="143"/>
    </row>
    <row r="2888" spans="1:11">
      <c r="A2888" s="946" t="s">
        <v>32007</v>
      </c>
      <c r="B2888" s="947" t="s">
        <v>20538</v>
      </c>
      <c r="C2888" s="948" t="s">
        <v>20536</v>
      </c>
      <c r="D2888" s="242" t="s">
        <v>25669</v>
      </c>
      <c r="E2888" s="949">
        <v>401</v>
      </c>
      <c r="F2888" s="949">
        <v>401</v>
      </c>
      <c r="G2888" s="950" t="s">
        <v>20929</v>
      </c>
      <c r="H2888" s="950" t="s">
        <v>724</v>
      </c>
      <c r="I2888" s="951" t="s">
        <v>20537</v>
      </c>
      <c r="J2888" s="947" t="s">
        <v>20538</v>
      </c>
      <c r="K2888" s="143"/>
    </row>
    <row r="2889" spans="1:11">
      <c r="A2889" s="946" t="s">
        <v>32007</v>
      </c>
      <c r="B2889" s="947" t="s">
        <v>20561</v>
      </c>
      <c r="C2889" s="948" t="s">
        <v>20559</v>
      </c>
      <c r="D2889" s="242" t="s">
        <v>25669</v>
      </c>
      <c r="E2889" s="949">
        <v>401</v>
      </c>
      <c r="F2889" s="949">
        <v>401</v>
      </c>
      <c r="G2889" s="950" t="s">
        <v>20929</v>
      </c>
      <c r="H2889" s="950" t="s">
        <v>724</v>
      </c>
      <c r="I2889" s="951" t="s">
        <v>20560</v>
      </c>
      <c r="J2889" s="947" t="s">
        <v>20561</v>
      </c>
      <c r="K2889" s="143"/>
    </row>
    <row r="2890" spans="1:11">
      <c r="A2890" s="946" t="s">
        <v>32007</v>
      </c>
      <c r="B2890" s="947" t="s">
        <v>20822</v>
      </c>
      <c r="C2890" s="948" t="s">
        <v>20820</v>
      </c>
      <c r="D2890" s="242" t="s">
        <v>25669</v>
      </c>
      <c r="E2890" s="949">
        <v>401</v>
      </c>
      <c r="F2890" s="949">
        <v>401</v>
      </c>
      <c r="G2890" s="950" t="s">
        <v>20929</v>
      </c>
      <c r="H2890" s="950" t="s">
        <v>724</v>
      </c>
      <c r="I2890" s="951" t="s">
        <v>20821</v>
      </c>
      <c r="J2890" s="947" t="s">
        <v>20822</v>
      </c>
      <c r="K2890" s="143"/>
    </row>
    <row r="2891" spans="1:11">
      <c r="A2891" s="946" t="s">
        <v>32007</v>
      </c>
      <c r="B2891" s="947" t="s">
        <v>20929</v>
      </c>
      <c r="C2891" s="948" t="s">
        <v>20927</v>
      </c>
      <c r="D2891" s="242" t="s">
        <v>25669</v>
      </c>
      <c r="E2891" s="949">
        <v>401</v>
      </c>
      <c r="F2891" s="949">
        <v>401</v>
      </c>
      <c r="G2891" s="950" t="s">
        <v>20929</v>
      </c>
      <c r="H2891" s="950" t="s">
        <v>724</v>
      </c>
      <c r="I2891" s="951" t="s">
        <v>20928</v>
      </c>
      <c r="J2891" s="947" t="s">
        <v>20929</v>
      </c>
      <c r="K2891" s="143"/>
    </row>
    <row r="2892" spans="1:11">
      <c r="A2892" s="946" t="s">
        <v>32007</v>
      </c>
      <c r="B2892" s="947" t="s">
        <v>21363</v>
      </c>
      <c r="C2892" s="948" t="s">
        <v>21361</v>
      </c>
      <c r="D2892" s="242" t="s">
        <v>25669</v>
      </c>
      <c r="E2892" s="949">
        <v>401</v>
      </c>
      <c r="F2892" s="949">
        <v>401</v>
      </c>
      <c r="G2892" s="950" t="s">
        <v>20929</v>
      </c>
      <c r="H2892" s="950" t="s">
        <v>724</v>
      </c>
      <c r="I2892" s="951" t="s">
        <v>21362</v>
      </c>
      <c r="J2892" s="947" t="s">
        <v>21363</v>
      </c>
      <c r="K2892" s="143"/>
    </row>
    <row r="2893" spans="1:11">
      <c r="A2893" s="946" t="s">
        <v>32007</v>
      </c>
      <c r="B2893" s="947" t="s">
        <v>21396</v>
      </c>
      <c r="C2893" s="948" t="s">
        <v>21394</v>
      </c>
      <c r="D2893" s="242" t="s">
        <v>25669</v>
      </c>
      <c r="E2893" s="949">
        <v>401</v>
      </c>
      <c r="F2893" s="949">
        <v>401</v>
      </c>
      <c r="G2893" s="950" t="s">
        <v>20929</v>
      </c>
      <c r="H2893" s="950" t="s">
        <v>724</v>
      </c>
      <c r="I2893" s="951" t="s">
        <v>21395</v>
      </c>
      <c r="J2893" s="947" t="s">
        <v>21396</v>
      </c>
      <c r="K2893" s="143"/>
    </row>
    <row r="2894" spans="1:11">
      <c r="A2894" s="946" t="s">
        <v>32007</v>
      </c>
      <c r="B2894" s="947" t="s">
        <v>21763</v>
      </c>
      <c r="C2894" s="948" t="s">
        <v>21761</v>
      </c>
      <c r="D2894" s="242" t="s">
        <v>25669</v>
      </c>
      <c r="E2894" s="949">
        <v>401</v>
      </c>
      <c r="F2894" s="949">
        <v>401</v>
      </c>
      <c r="G2894" s="950" t="s">
        <v>20929</v>
      </c>
      <c r="H2894" s="950" t="s">
        <v>724</v>
      </c>
      <c r="I2894" s="951" t="s">
        <v>21762</v>
      </c>
      <c r="J2894" s="947" t="s">
        <v>21763</v>
      </c>
      <c r="K2894" s="143"/>
    </row>
    <row r="2895" spans="1:11">
      <c r="A2895" s="946" t="s">
        <v>32007</v>
      </c>
      <c r="B2895" s="947" t="s">
        <v>22011</v>
      </c>
      <c r="C2895" s="948" t="s">
        <v>22009</v>
      </c>
      <c r="D2895" s="242" t="s">
        <v>25669</v>
      </c>
      <c r="E2895" s="949">
        <v>401</v>
      </c>
      <c r="F2895" s="949">
        <v>401</v>
      </c>
      <c r="G2895" s="950" t="s">
        <v>20929</v>
      </c>
      <c r="H2895" s="950" t="s">
        <v>724</v>
      </c>
      <c r="I2895" s="951" t="s">
        <v>22010</v>
      </c>
      <c r="J2895" s="947" t="s">
        <v>22011</v>
      </c>
      <c r="K2895" s="143"/>
    </row>
    <row r="2896" spans="1:11">
      <c r="A2896" s="946" t="s">
        <v>32007</v>
      </c>
      <c r="B2896" s="947" t="s">
        <v>22106</v>
      </c>
      <c r="C2896" s="948" t="s">
        <v>22104</v>
      </c>
      <c r="D2896" s="242" t="s">
        <v>25669</v>
      </c>
      <c r="E2896" s="949">
        <v>401</v>
      </c>
      <c r="F2896" s="949">
        <v>401</v>
      </c>
      <c r="G2896" s="950" t="s">
        <v>20929</v>
      </c>
      <c r="H2896" s="950" t="s">
        <v>724</v>
      </c>
      <c r="I2896" s="951" t="s">
        <v>22105</v>
      </c>
      <c r="J2896" s="947" t="s">
        <v>22106</v>
      </c>
      <c r="K2896" s="143"/>
    </row>
    <row r="2897" spans="1:11">
      <c r="A2897" s="946" t="s">
        <v>32007</v>
      </c>
      <c r="B2897" s="947" t="s">
        <v>22495</v>
      </c>
      <c r="C2897" s="948" t="s">
        <v>22493</v>
      </c>
      <c r="D2897" s="242" t="s">
        <v>25669</v>
      </c>
      <c r="E2897" s="949">
        <v>401</v>
      </c>
      <c r="F2897" s="949">
        <v>401</v>
      </c>
      <c r="G2897" s="950" t="s">
        <v>20929</v>
      </c>
      <c r="H2897" s="950" t="s">
        <v>724</v>
      </c>
      <c r="I2897" s="951" t="s">
        <v>22494</v>
      </c>
      <c r="J2897" s="947" t="s">
        <v>22495</v>
      </c>
      <c r="K2897" s="143"/>
    </row>
    <row r="2898" spans="1:11">
      <c r="A2898" s="946" t="s">
        <v>32007</v>
      </c>
      <c r="B2898" s="947" t="s">
        <v>22620</v>
      </c>
      <c r="C2898" s="948" t="s">
        <v>22618</v>
      </c>
      <c r="D2898" s="242" t="s">
        <v>25669</v>
      </c>
      <c r="E2898" s="949">
        <v>401</v>
      </c>
      <c r="F2898" s="949">
        <v>401</v>
      </c>
      <c r="G2898" s="950" t="s">
        <v>20929</v>
      </c>
      <c r="H2898" s="950" t="s">
        <v>724</v>
      </c>
      <c r="I2898" s="951" t="s">
        <v>22619</v>
      </c>
      <c r="J2898" s="947" t="s">
        <v>22620</v>
      </c>
      <c r="K2898" s="143"/>
    </row>
    <row r="2899" spans="1:11">
      <c r="A2899" s="946" t="s">
        <v>32007</v>
      </c>
      <c r="B2899" s="947" t="s">
        <v>6875</v>
      </c>
      <c r="C2899" s="948" t="s">
        <v>6873</v>
      </c>
      <c r="D2899" s="242" t="s">
        <v>25669</v>
      </c>
      <c r="E2899" s="949">
        <v>401</v>
      </c>
      <c r="F2899" s="949">
        <v>401</v>
      </c>
      <c r="G2899" s="950" t="s">
        <v>20929</v>
      </c>
      <c r="H2899" s="950" t="s">
        <v>724</v>
      </c>
      <c r="I2899" s="951" t="s">
        <v>6874</v>
      </c>
      <c r="J2899" s="947" t="s">
        <v>6875</v>
      </c>
      <c r="K2899" s="143"/>
    </row>
    <row r="2900" spans="1:11">
      <c r="A2900" s="946" t="s">
        <v>32007</v>
      </c>
      <c r="B2900" s="947" t="s">
        <v>10261</v>
      </c>
      <c r="C2900" s="948" t="s">
        <v>10259</v>
      </c>
      <c r="D2900" s="242" t="s">
        <v>25669</v>
      </c>
      <c r="E2900" s="949">
        <v>401</v>
      </c>
      <c r="F2900" s="949">
        <v>401</v>
      </c>
      <c r="G2900" s="950" t="s">
        <v>20929</v>
      </c>
      <c r="H2900" s="950" t="s">
        <v>724</v>
      </c>
      <c r="I2900" s="951" t="s">
        <v>10260</v>
      </c>
      <c r="J2900" s="947" t="s">
        <v>10261</v>
      </c>
      <c r="K2900" s="143"/>
    </row>
    <row r="2901" spans="1:11">
      <c r="A2901" s="946" t="s">
        <v>32007</v>
      </c>
      <c r="B2901" s="947" t="s">
        <v>24945</v>
      </c>
      <c r="C2901" s="948" t="s">
        <v>26415</v>
      </c>
      <c r="D2901" s="242" t="s">
        <v>25669</v>
      </c>
      <c r="E2901" s="949">
        <v>401</v>
      </c>
      <c r="F2901" s="949">
        <v>401</v>
      </c>
      <c r="G2901" s="950" t="s">
        <v>20929</v>
      </c>
      <c r="H2901" s="950" t="s">
        <v>724</v>
      </c>
      <c r="I2901" s="951" t="s">
        <v>24946</v>
      </c>
      <c r="J2901" s="947" t="s">
        <v>24945</v>
      </c>
      <c r="K2901" s="143"/>
    </row>
    <row r="2902" spans="1:11">
      <c r="A2902" s="946" t="s">
        <v>32007</v>
      </c>
      <c r="B2902" s="947" t="s">
        <v>24949</v>
      </c>
      <c r="C2902" s="948" t="s">
        <v>26416</v>
      </c>
      <c r="D2902" s="242" t="s">
        <v>25669</v>
      </c>
      <c r="E2902" s="949">
        <v>401</v>
      </c>
      <c r="F2902" s="949">
        <v>401</v>
      </c>
      <c r="G2902" s="950" t="s">
        <v>20929</v>
      </c>
      <c r="H2902" s="950" t="s">
        <v>724</v>
      </c>
      <c r="I2902" s="951" t="s">
        <v>24950</v>
      </c>
      <c r="J2902" s="947" t="s">
        <v>24949</v>
      </c>
      <c r="K2902" s="143"/>
    </row>
    <row r="2903" spans="1:11">
      <c r="A2903" s="946" t="s">
        <v>32007</v>
      </c>
      <c r="B2903" s="947" t="s">
        <v>24963</v>
      </c>
      <c r="C2903" s="948" t="s">
        <v>26417</v>
      </c>
      <c r="D2903" s="242" t="s">
        <v>25669</v>
      </c>
      <c r="E2903" s="949">
        <v>401</v>
      </c>
      <c r="F2903" s="949">
        <v>401</v>
      </c>
      <c r="G2903" s="950" t="s">
        <v>20929</v>
      </c>
      <c r="H2903" s="950" t="s">
        <v>724</v>
      </c>
      <c r="I2903" s="951" t="s">
        <v>24964</v>
      </c>
      <c r="J2903" s="947" t="s">
        <v>24963</v>
      </c>
      <c r="K2903" s="143"/>
    </row>
    <row r="2904" spans="1:11">
      <c r="A2904" s="946" t="s">
        <v>32007</v>
      </c>
      <c r="B2904" s="947" t="s">
        <v>26418</v>
      </c>
      <c r="C2904" s="948" t="s">
        <v>26419</v>
      </c>
      <c r="D2904" s="242" t="s">
        <v>25669</v>
      </c>
      <c r="E2904" s="949">
        <v>401</v>
      </c>
      <c r="F2904" s="949">
        <v>401</v>
      </c>
      <c r="G2904" s="950" t="s">
        <v>20929</v>
      </c>
      <c r="H2904" s="950" t="s">
        <v>724</v>
      </c>
      <c r="I2904" s="951" t="s">
        <v>26420</v>
      </c>
      <c r="J2904" s="947" t="s">
        <v>26418</v>
      </c>
      <c r="K2904" s="143"/>
    </row>
    <row r="2905" spans="1:11">
      <c r="A2905" s="946" t="s">
        <v>32007</v>
      </c>
      <c r="B2905" s="947" t="s">
        <v>26421</v>
      </c>
      <c r="C2905" s="948" t="s">
        <v>26422</v>
      </c>
      <c r="D2905" s="242" t="s">
        <v>25669</v>
      </c>
      <c r="E2905" s="949">
        <v>401</v>
      </c>
      <c r="F2905" s="949">
        <v>401</v>
      </c>
      <c r="G2905" s="950" t="s">
        <v>20929</v>
      </c>
      <c r="H2905" s="950" t="s">
        <v>724</v>
      </c>
      <c r="I2905" s="951" t="s">
        <v>26423</v>
      </c>
      <c r="J2905" s="947" t="s">
        <v>26421</v>
      </c>
      <c r="K2905" s="143"/>
    </row>
    <row r="2906" spans="1:11">
      <c r="A2906" s="946" t="s">
        <v>32007</v>
      </c>
      <c r="B2906" s="947" t="s">
        <v>26424</v>
      </c>
      <c r="C2906" s="948" t="s">
        <v>26425</v>
      </c>
      <c r="D2906" s="242" t="s">
        <v>25669</v>
      </c>
      <c r="E2906" s="949">
        <v>401</v>
      </c>
      <c r="F2906" s="949">
        <v>401</v>
      </c>
      <c r="G2906" s="950" t="s">
        <v>20929</v>
      </c>
      <c r="H2906" s="950" t="s">
        <v>724</v>
      </c>
      <c r="I2906" s="951" t="s">
        <v>26426</v>
      </c>
      <c r="J2906" s="947" t="s">
        <v>26424</v>
      </c>
      <c r="K2906" s="143"/>
    </row>
    <row r="2907" spans="1:11">
      <c r="A2907" s="946" t="s">
        <v>32007</v>
      </c>
      <c r="B2907" s="947" t="s">
        <v>26427</v>
      </c>
      <c r="C2907" s="948" t="s">
        <v>26428</v>
      </c>
      <c r="D2907" s="242" t="s">
        <v>25669</v>
      </c>
      <c r="E2907" s="949">
        <v>401</v>
      </c>
      <c r="F2907" s="949">
        <v>401</v>
      </c>
      <c r="G2907" s="950" t="s">
        <v>20929</v>
      </c>
      <c r="H2907" s="950" t="s">
        <v>724</v>
      </c>
      <c r="I2907" s="951" t="s">
        <v>26429</v>
      </c>
      <c r="J2907" s="947" t="s">
        <v>26427</v>
      </c>
      <c r="K2907" s="143"/>
    </row>
    <row r="2908" spans="1:11">
      <c r="A2908" s="946" t="s">
        <v>32007</v>
      </c>
      <c r="B2908" s="947" t="s">
        <v>26430</v>
      </c>
      <c r="C2908" s="948" t="s">
        <v>26431</v>
      </c>
      <c r="D2908" s="242" t="s">
        <v>25669</v>
      </c>
      <c r="E2908" s="949">
        <v>401</v>
      </c>
      <c r="F2908" s="949">
        <v>401</v>
      </c>
      <c r="G2908" s="950" t="s">
        <v>20929</v>
      </c>
      <c r="H2908" s="950" t="s">
        <v>724</v>
      </c>
      <c r="I2908" s="951" t="s">
        <v>26432</v>
      </c>
      <c r="J2908" s="947" t="s">
        <v>26430</v>
      </c>
      <c r="K2908" s="143"/>
    </row>
    <row r="2909" spans="1:11">
      <c r="A2909" s="946" t="s">
        <v>32007</v>
      </c>
      <c r="B2909" s="947" t="s">
        <v>26433</v>
      </c>
      <c r="C2909" s="948" t="s">
        <v>26434</v>
      </c>
      <c r="D2909" s="242" t="s">
        <v>25669</v>
      </c>
      <c r="E2909" s="949">
        <v>401</v>
      </c>
      <c r="F2909" s="949">
        <v>401</v>
      </c>
      <c r="G2909" s="950" t="s">
        <v>20929</v>
      </c>
      <c r="H2909" s="950" t="s">
        <v>724</v>
      </c>
      <c r="I2909" s="951" t="s">
        <v>26435</v>
      </c>
      <c r="J2909" s="947" t="s">
        <v>26433</v>
      </c>
      <c r="K2909" s="143"/>
    </row>
    <row r="2910" spans="1:11">
      <c r="A2910" s="946" t="s">
        <v>32007</v>
      </c>
      <c r="B2910" s="947" t="s">
        <v>26436</v>
      </c>
      <c r="C2910" s="948" t="s">
        <v>26437</v>
      </c>
      <c r="D2910" s="242" t="s">
        <v>25669</v>
      </c>
      <c r="E2910" s="949">
        <v>401</v>
      </c>
      <c r="F2910" s="949">
        <v>401</v>
      </c>
      <c r="G2910" s="950" t="s">
        <v>20929</v>
      </c>
      <c r="H2910" s="950" t="s">
        <v>724</v>
      </c>
      <c r="I2910" s="951" t="s">
        <v>26438</v>
      </c>
      <c r="J2910" s="947" t="s">
        <v>26436</v>
      </c>
      <c r="K2910" s="143"/>
    </row>
    <row r="2911" spans="1:11">
      <c r="A2911" s="946" t="s">
        <v>32007</v>
      </c>
      <c r="B2911" s="947" t="s">
        <v>26439</v>
      </c>
      <c r="C2911" s="948" t="s">
        <v>26440</v>
      </c>
      <c r="D2911" s="242" t="s">
        <v>25669</v>
      </c>
      <c r="E2911" s="949">
        <v>401</v>
      </c>
      <c r="F2911" s="949">
        <v>401</v>
      </c>
      <c r="G2911" s="950" t="s">
        <v>20929</v>
      </c>
      <c r="H2911" s="950" t="s">
        <v>724</v>
      </c>
      <c r="I2911" s="951" t="s">
        <v>26441</v>
      </c>
      <c r="J2911" s="947" t="s">
        <v>26439</v>
      </c>
      <c r="K2911" s="143"/>
    </row>
    <row r="2912" spans="1:11">
      <c r="A2912" s="946" t="s">
        <v>32007</v>
      </c>
      <c r="B2912" s="947" t="s">
        <v>26442</v>
      </c>
      <c r="C2912" s="948" t="s">
        <v>26443</v>
      </c>
      <c r="D2912" s="242" t="s">
        <v>25669</v>
      </c>
      <c r="E2912" s="949">
        <v>401</v>
      </c>
      <c r="F2912" s="949">
        <v>401</v>
      </c>
      <c r="G2912" s="950" t="s">
        <v>20929</v>
      </c>
      <c r="H2912" s="950" t="s">
        <v>724</v>
      </c>
      <c r="I2912" s="951" t="s">
        <v>26444</v>
      </c>
      <c r="J2912" s="947" t="s">
        <v>26442</v>
      </c>
      <c r="K2912" s="143"/>
    </row>
    <row r="2913" spans="1:11">
      <c r="A2913" s="946" t="s">
        <v>32007</v>
      </c>
      <c r="B2913" s="947" t="s">
        <v>26445</v>
      </c>
      <c r="C2913" s="948" t="s">
        <v>26446</v>
      </c>
      <c r="D2913" s="242" t="s">
        <v>25669</v>
      </c>
      <c r="E2913" s="949">
        <v>401</v>
      </c>
      <c r="F2913" s="949">
        <v>401</v>
      </c>
      <c r="G2913" s="950" t="s">
        <v>20929</v>
      </c>
      <c r="H2913" s="950" t="s">
        <v>724</v>
      </c>
      <c r="I2913" s="951" t="s">
        <v>26447</v>
      </c>
      <c r="J2913" s="947" t="s">
        <v>26445</v>
      </c>
      <c r="K2913" s="143"/>
    </row>
    <row r="2914" spans="1:11">
      <c r="A2914" s="946" t="s">
        <v>32007</v>
      </c>
      <c r="B2914" s="947" t="s">
        <v>26448</v>
      </c>
      <c r="C2914" s="948" t="s">
        <v>26449</v>
      </c>
      <c r="D2914" s="242" t="s">
        <v>25669</v>
      </c>
      <c r="E2914" s="949">
        <v>401</v>
      </c>
      <c r="F2914" s="949">
        <v>401</v>
      </c>
      <c r="G2914" s="950" t="s">
        <v>20929</v>
      </c>
      <c r="H2914" s="950" t="s">
        <v>724</v>
      </c>
      <c r="I2914" s="951" t="s">
        <v>26450</v>
      </c>
      <c r="J2914" s="947" t="s">
        <v>26448</v>
      </c>
      <c r="K2914" s="143"/>
    </row>
    <row r="2915" spans="1:11">
      <c r="A2915" s="946" t="s">
        <v>32007</v>
      </c>
      <c r="B2915" s="947" t="s">
        <v>26451</v>
      </c>
      <c r="C2915" s="948" t="s">
        <v>26452</v>
      </c>
      <c r="D2915" s="242" t="s">
        <v>25669</v>
      </c>
      <c r="E2915" s="949">
        <v>401</v>
      </c>
      <c r="F2915" s="949">
        <v>401</v>
      </c>
      <c r="G2915" s="950" t="s">
        <v>20929</v>
      </c>
      <c r="H2915" s="950" t="s">
        <v>724</v>
      </c>
      <c r="I2915" s="951" t="s">
        <v>26453</v>
      </c>
      <c r="J2915" s="947" t="s">
        <v>26451</v>
      </c>
      <c r="K2915" s="143"/>
    </row>
    <row r="2916" spans="1:11">
      <c r="A2916" s="946" t="s">
        <v>32007</v>
      </c>
      <c r="B2916" s="947" t="s">
        <v>26454</v>
      </c>
      <c r="C2916" s="948" t="s">
        <v>26455</v>
      </c>
      <c r="D2916" s="242" t="s">
        <v>25669</v>
      </c>
      <c r="E2916" s="949">
        <v>401</v>
      </c>
      <c r="F2916" s="949">
        <v>401</v>
      </c>
      <c r="G2916" s="950" t="s">
        <v>20929</v>
      </c>
      <c r="H2916" s="950" t="s">
        <v>724</v>
      </c>
      <c r="I2916" s="951" t="s">
        <v>26456</v>
      </c>
      <c r="J2916" s="947" t="s">
        <v>26454</v>
      </c>
      <c r="K2916" s="143"/>
    </row>
    <row r="2917" spans="1:11">
      <c r="A2917" s="946" t="s">
        <v>32007</v>
      </c>
      <c r="B2917" s="947" t="s">
        <v>26457</v>
      </c>
      <c r="C2917" s="948" t="s">
        <v>26458</v>
      </c>
      <c r="D2917" s="242" t="s">
        <v>25669</v>
      </c>
      <c r="E2917" s="949">
        <v>401</v>
      </c>
      <c r="F2917" s="949">
        <v>401</v>
      </c>
      <c r="G2917" s="950" t="s">
        <v>20929</v>
      </c>
      <c r="H2917" s="950" t="s">
        <v>724</v>
      </c>
      <c r="I2917" s="951" t="s">
        <v>26459</v>
      </c>
      <c r="J2917" s="947" t="s">
        <v>26457</v>
      </c>
      <c r="K2917" s="143"/>
    </row>
    <row r="2918" spans="1:11">
      <c r="A2918" s="946" t="s">
        <v>32007</v>
      </c>
      <c r="B2918" s="947" t="s">
        <v>26460</v>
      </c>
      <c r="C2918" s="948" t="s">
        <v>26461</v>
      </c>
      <c r="D2918" s="242" t="s">
        <v>25669</v>
      </c>
      <c r="E2918" s="949">
        <v>401</v>
      </c>
      <c r="F2918" s="949">
        <v>401</v>
      </c>
      <c r="G2918" s="950" t="s">
        <v>20929</v>
      </c>
      <c r="H2918" s="950" t="s">
        <v>724</v>
      </c>
      <c r="I2918" s="951" t="s">
        <v>26462</v>
      </c>
      <c r="J2918" s="947" t="s">
        <v>26460</v>
      </c>
      <c r="K2918" s="143"/>
    </row>
    <row r="2919" spans="1:11">
      <c r="A2919" s="946" t="s">
        <v>32007</v>
      </c>
      <c r="B2919" s="947" t="s">
        <v>26463</v>
      </c>
      <c r="C2919" s="948" t="s">
        <v>26464</v>
      </c>
      <c r="D2919" s="242" t="s">
        <v>25669</v>
      </c>
      <c r="E2919" s="949">
        <v>401</v>
      </c>
      <c r="F2919" s="949">
        <v>401</v>
      </c>
      <c r="G2919" s="950" t="s">
        <v>20929</v>
      </c>
      <c r="H2919" s="950" t="s">
        <v>724</v>
      </c>
      <c r="I2919" s="951" t="s">
        <v>26465</v>
      </c>
      <c r="J2919" s="947" t="s">
        <v>26463</v>
      </c>
      <c r="K2919" s="143"/>
    </row>
    <row r="2920" spans="1:11">
      <c r="A2920" s="946" t="s">
        <v>32007</v>
      </c>
      <c r="B2920" s="947" t="s">
        <v>28659</v>
      </c>
      <c r="C2920" s="948" t="s">
        <v>28782</v>
      </c>
      <c r="D2920" s="242" t="s">
        <v>25669</v>
      </c>
      <c r="E2920" s="949">
        <v>401</v>
      </c>
      <c r="F2920" s="949">
        <v>401</v>
      </c>
      <c r="G2920" s="950" t="s">
        <v>20929</v>
      </c>
      <c r="H2920" s="950" t="s">
        <v>724</v>
      </c>
      <c r="I2920" s="951" t="s">
        <v>26466</v>
      </c>
      <c r="J2920" s="947" t="s">
        <v>28659</v>
      </c>
      <c r="K2920" s="143"/>
    </row>
    <row r="2921" spans="1:11">
      <c r="A2921" s="946" t="s">
        <v>32007</v>
      </c>
      <c r="B2921" s="947" t="s">
        <v>31139</v>
      </c>
      <c r="C2921" s="948" t="s">
        <v>31140</v>
      </c>
      <c r="D2921" s="242" t="s">
        <v>25669</v>
      </c>
      <c r="E2921" s="949">
        <v>401</v>
      </c>
      <c r="F2921" s="949">
        <v>401</v>
      </c>
      <c r="G2921" s="950" t="s">
        <v>20929</v>
      </c>
      <c r="H2921" s="950" t="s">
        <v>724</v>
      </c>
      <c r="I2921" s="951" t="s">
        <v>28702</v>
      </c>
      <c r="J2921" s="947" t="s">
        <v>31139</v>
      </c>
      <c r="K2921" s="143"/>
    </row>
    <row r="2922" spans="1:11">
      <c r="A2922" s="946" t="s">
        <v>32007</v>
      </c>
      <c r="B2922" s="947" t="s">
        <v>28658</v>
      </c>
      <c r="C2922" s="948" t="s">
        <v>28781</v>
      </c>
      <c r="D2922" s="242" t="s">
        <v>25669</v>
      </c>
      <c r="E2922" s="949">
        <v>401</v>
      </c>
      <c r="F2922" s="949">
        <v>401</v>
      </c>
      <c r="G2922" s="950" t="s">
        <v>20929</v>
      </c>
      <c r="H2922" s="950" t="s">
        <v>724</v>
      </c>
      <c r="I2922" s="951" t="s">
        <v>28703</v>
      </c>
      <c r="J2922" s="947" t="s">
        <v>28658</v>
      </c>
      <c r="K2922" s="143"/>
    </row>
    <row r="2923" spans="1:11">
      <c r="A2923" s="946" t="s">
        <v>32007</v>
      </c>
      <c r="B2923" s="947" t="s">
        <v>30116</v>
      </c>
      <c r="C2923" s="948" t="s">
        <v>30117</v>
      </c>
      <c r="D2923" s="242" t="s">
        <v>25669</v>
      </c>
      <c r="E2923" s="949">
        <v>401</v>
      </c>
      <c r="F2923" s="949">
        <v>401</v>
      </c>
      <c r="G2923" s="950" t="s">
        <v>20929</v>
      </c>
      <c r="H2923" s="950" t="s">
        <v>724</v>
      </c>
      <c r="I2923" s="951" t="s">
        <v>30118</v>
      </c>
      <c r="J2923" s="947" t="s">
        <v>30116</v>
      </c>
      <c r="K2923" s="143"/>
    </row>
    <row r="2924" spans="1:11">
      <c r="A2924" s="946" t="s">
        <v>32007</v>
      </c>
      <c r="B2924" s="947" t="s">
        <v>30119</v>
      </c>
      <c r="C2924" s="948" t="s">
        <v>30120</v>
      </c>
      <c r="D2924" s="242" t="s">
        <v>25669</v>
      </c>
      <c r="E2924" s="949">
        <v>401</v>
      </c>
      <c r="F2924" s="949">
        <v>401</v>
      </c>
      <c r="G2924" s="950" t="s">
        <v>20929</v>
      </c>
      <c r="H2924" s="950" t="s">
        <v>724</v>
      </c>
      <c r="I2924" s="951" t="s">
        <v>30121</v>
      </c>
      <c r="J2924" s="947" t="s">
        <v>30119</v>
      </c>
      <c r="K2924" s="143"/>
    </row>
    <row r="2925" spans="1:11">
      <c r="A2925" s="946" t="s">
        <v>32007</v>
      </c>
      <c r="B2925" s="947" t="s">
        <v>30122</v>
      </c>
      <c r="C2925" s="948" t="s">
        <v>30123</v>
      </c>
      <c r="D2925" s="242" t="s">
        <v>25669</v>
      </c>
      <c r="E2925" s="949">
        <v>401</v>
      </c>
      <c r="F2925" s="949">
        <v>401</v>
      </c>
      <c r="G2925" s="950" t="s">
        <v>20929</v>
      </c>
      <c r="H2925" s="950" t="s">
        <v>724</v>
      </c>
      <c r="I2925" s="951" t="s">
        <v>30124</v>
      </c>
      <c r="J2925" s="947" t="s">
        <v>30122</v>
      </c>
      <c r="K2925" s="143"/>
    </row>
    <row r="2926" spans="1:11">
      <c r="A2926" s="946" t="s">
        <v>28620</v>
      </c>
      <c r="B2926" s="947" t="s">
        <v>555</v>
      </c>
      <c r="C2926" s="948" t="s">
        <v>551</v>
      </c>
      <c r="D2926" s="242" t="s">
        <v>552</v>
      </c>
      <c r="E2926" s="949">
        <v>506</v>
      </c>
      <c r="F2926" s="949">
        <v>506</v>
      </c>
      <c r="G2926" s="950" t="s">
        <v>21795</v>
      </c>
      <c r="H2926" s="950" t="s">
        <v>553</v>
      </c>
      <c r="I2926" s="951" t="s">
        <v>554</v>
      </c>
      <c r="J2926" s="947" t="s">
        <v>555</v>
      </c>
      <c r="K2926" s="143"/>
    </row>
    <row r="2927" spans="1:11">
      <c r="A2927" s="946" t="s">
        <v>28620</v>
      </c>
      <c r="B2927" s="947" t="s">
        <v>780</v>
      </c>
      <c r="C2927" s="948" t="s">
        <v>778</v>
      </c>
      <c r="D2927" s="242" t="s">
        <v>552</v>
      </c>
      <c r="E2927" s="949">
        <v>506</v>
      </c>
      <c r="F2927" s="949">
        <v>506</v>
      </c>
      <c r="G2927" s="950" t="s">
        <v>21795</v>
      </c>
      <c r="H2927" s="950" t="s">
        <v>553</v>
      </c>
      <c r="I2927" s="951" t="s">
        <v>779</v>
      </c>
      <c r="J2927" s="947" t="s">
        <v>780</v>
      </c>
      <c r="K2927" s="143"/>
    </row>
    <row r="2928" spans="1:11">
      <c r="A2928" s="946" t="s">
        <v>28620</v>
      </c>
      <c r="B2928" s="947" t="s">
        <v>1163</v>
      </c>
      <c r="C2928" s="948" t="s">
        <v>1161</v>
      </c>
      <c r="D2928" s="242" t="s">
        <v>552</v>
      </c>
      <c r="E2928" s="949">
        <v>506</v>
      </c>
      <c r="F2928" s="949">
        <v>506</v>
      </c>
      <c r="G2928" s="950" t="s">
        <v>21795</v>
      </c>
      <c r="H2928" s="950" t="s">
        <v>553</v>
      </c>
      <c r="I2928" s="951" t="s">
        <v>1162</v>
      </c>
      <c r="J2928" s="947" t="s">
        <v>1163</v>
      </c>
      <c r="K2928" s="143"/>
    </row>
    <row r="2929" spans="1:11">
      <c r="A2929" s="946" t="s">
        <v>28620</v>
      </c>
      <c r="B2929" s="947" t="s">
        <v>1343</v>
      </c>
      <c r="C2929" s="948" t="s">
        <v>1341</v>
      </c>
      <c r="D2929" s="242" t="s">
        <v>552</v>
      </c>
      <c r="E2929" s="949">
        <v>506</v>
      </c>
      <c r="F2929" s="949">
        <v>506</v>
      </c>
      <c r="G2929" s="950" t="s">
        <v>21795</v>
      </c>
      <c r="H2929" s="950" t="s">
        <v>553</v>
      </c>
      <c r="I2929" s="951" t="s">
        <v>1342</v>
      </c>
      <c r="J2929" s="947" t="s">
        <v>1343</v>
      </c>
      <c r="K2929" s="143"/>
    </row>
    <row r="2930" spans="1:11">
      <c r="A2930" s="946" t="s">
        <v>28620</v>
      </c>
      <c r="B2930" s="947" t="s">
        <v>1740</v>
      </c>
      <c r="C2930" s="948" t="s">
        <v>1738</v>
      </c>
      <c r="D2930" s="242" t="s">
        <v>552</v>
      </c>
      <c r="E2930" s="949">
        <v>506</v>
      </c>
      <c r="F2930" s="949">
        <v>506</v>
      </c>
      <c r="G2930" s="950" t="s">
        <v>21795</v>
      </c>
      <c r="H2930" s="950" t="s">
        <v>553</v>
      </c>
      <c r="I2930" s="951" t="s">
        <v>1739</v>
      </c>
      <c r="J2930" s="947" t="s">
        <v>1740</v>
      </c>
      <c r="K2930" s="143"/>
    </row>
    <row r="2931" spans="1:11">
      <c r="A2931" s="946" t="s">
        <v>28620</v>
      </c>
      <c r="B2931" s="947" t="s">
        <v>1965</v>
      </c>
      <c r="C2931" s="948" t="s">
        <v>1963</v>
      </c>
      <c r="D2931" s="242" t="s">
        <v>552</v>
      </c>
      <c r="E2931" s="949">
        <v>506</v>
      </c>
      <c r="F2931" s="949">
        <v>506</v>
      </c>
      <c r="G2931" s="950" t="s">
        <v>21795</v>
      </c>
      <c r="H2931" s="950" t="s">
        <v>553</v>
      </c>
      <c r="I2931" s="951" t="s">
        <v>1964</v>
      </c>
      <c r="J2931" s="947" t="s">
        <v>1965</v>
      </c>
      <c r="K2931" s="143"/>
    </row>
    <row r="2932" spans="1:11">
      <c r="A2932" s="946" t="s">
        <v>28620</v>
      </c>
      <c r="B2932" s="947" t="s">
        <v>2152</v>
      </c>
      <c r="C2932" s="948" t="s">
        <v>2150</v>
      </c>
      <c r="D2932" s="242" t="s">
        <v>552</v>
      </c>
      <c r="E2932" s="949">
        <v>506</v>
      </c>
      <c r="F2932" s="949">
        <v>506</v>
      </c>
      <c r="G2932" s="950" t="s">
        <v>21795</v>
      </c>
      <c r="H2932" s="950" t="s">
        <v>553</v>
      </c>
      <c r="I2932" s="951" t="s">
        <v>2151</v>
      </c>
      <c r="J2932" s="947" t="s">
        <v>2152</v>
      </c>
      <c r="K2932" s="143"/>
    </row>
    <row r="2933" spans="1:11">
      <c r="A2933" s="946" t="s">
        <v>28620</v>
      </c>
      <c r="B2933" s="947" t="s">
        <v>2381</v>
      </c>
      <c r="C2933" s="948" t="s">
        <v>2379</v>
      </c>
      <c r="D2933" s="242" t="s">
        <v>552</v>
      </c>
      <c r="E2933" s="949">
        <v>506</v>
      </c>
      <c r="F2933" s="949">
        <v>506</v>
      </c>
      <c r="G2933" s="950" t="s">
        <v>21795</v>
      </c>
      <c r="H2933" s="950" t="s">
        <v>553</v>
      </c>
      <c r="I2933" s="951" t="s">
        <v>2380</v>
      </c>
      <c r="J2933" s="947" t="s">
        <v>2381</v>
      </c>
      <c r="K2933" s="143"/>
    </row>
    <row r="2934" spans="1:11">
      <c r="A2934" s="946" t="s">
        <v>28620</v>
      </c>
      <c r="B2934" s="947" t="s">
        <v>2634</v>
      </c>
      <c r="C2934" s="948" t="s">
        <v>2632</v>
      </c>
      <c r="D2934" s="242" t="s">
        <v>552</v>
      </c>
      <c r="E2934" s="949">
        <v>506</v>
      </c>
      <c r="F2934" s="949">
        <v>506</v>
      </c>
      <c r="G2934" s="950" t="s">
        <v>21795</v>
      </c>
      <c r="H2934" s="950" t="s">
        <v>553</v>
      </c>
      <c r="I2934" s="951" t="s">
        <v>2633</v>
      </c>
      <c r="J2934" s="947" t="s">
        <v>2634</v>
      </c>
      <c r="K2934" s="143"/>
    </row>
    <row r="2935" spans="1:11">
      <c r="A2935" s="946" t="s">
        <v>28620</v>
      </c>
      <c r="B2935" s="947" t="s">
        <v>2855</v>
      </c>
      <c r="C2935" s="948" t="s">
        <v>2853</v>
      </c>
      <c r="D2935" s="242" t="s">
        <v>552</v>
      </c>
      <c r="E2935" s="949">
        <v>506</v>
      </c>
      <c r="F2935" s="949">
        <v>506</v>
      </c>
      <c r="G2935" s="950" t="s">
        <v>21795</v>
      </c>
      <c r="H2935" s="950" t="s">
        <v>553</v>
      </c>
      <c r="I2935" s="951" t="s">
        <v>2854</v>
      </c>
      <c r="J2935" s="947" t="s">
        <v>2855</v>
      </c>
      <c r="K2935" s="143"/>
    </row>
    <row r="2936" spans="1:11">
      <c r="A2936" s="946" t="s">
        <v>28620</v>
      </c>
      <c r="B2936" s="947" t="s">
        <v>2858</v>
      </c>
      <c r="C2936" s="948" t="s">
        <v>2856</v>
      </c>
      <c r="D2936" s="242" t="s">
        <v>552</v>
      </c>
      <c r="E2936" s="949">
        <v>506</v>
      </c>
      <c r="F2936" s="949">
        <v>506</v>
      </c>
      <c r="G2936" s="950" t="s">
        <v>21795</v>
      </c>
      <c r="H2936" s="950" t="s">
        <v>553</v>
      </c>
      <c r="I2936" s="951" t="s">
        <v>2857</v>
      </c>
      <c r="J2936" s="947" t="s">
        <v>2858</v>
      </c>
      <c r="K2936" s="143"/>
    </row>
    <row r="2937" spans="1:11">
      <c r="A2937" s="946" t="s">
        <v>28620</v>
      </c>
      <c r="B2937" s="947" t="s">
        <v>2934</v>
      </c>
      <c r="C2937" s="948" t="s">
        <v>2932</v>
      </c>
      <c r="D2937" s="242" t="s">
        <v>552</v>
      </c>
      <c r="E2937" s="949">
        <v>506</v>
      </c>
      <c r="F2937" s="949">
        <v>506</v>
      </c>
      <c r="G2937" s="950" t="s">
        <v>21795</v>
      </c>
      <c r="H2937" s="950" t="s">
        <v>553</v>
      </c>
      <c r="I2937" s="951" t="s">
        <v>2933</v>
      </c>
      <c r="J2937" s="947" t="s">
        <v>2934</v>
      </c>
      <c r="K2937" s="143"/>
    </row>
    <row r="2938" spans="1:11">
      <c r="A2938" s="946" t="s">
        <v>28620</v>
      </c>
      <c r="B2938" s="947" t="s">
        <v>3011</v>
      </c>
      <c r="C2938" s="948" t="s">
        <v>3009</v>
      </c>
      <c r="D2938" s="242" t="s">
        <v>552</v>
      </c>
      <c r="E2938" s="949">
        <v>506</v>
      </c>
      <c r="F2938" s="949">
        <v>506</v>
      </c>
      <c r="G2938" s="950" t="s">
        <v>21795</v>
      </c>
      <c r="H2938" s="950" t="s">
        <v>553</v>
      </c>
      <c r="I2938" s="951" t="s">
        <v>3010</v>
      </c>
      <c r="J2938" s="947" t="s">
        <v>3011</v>
      </c>
      <c r="K2938" s="143"/>
    </row>
    <row r="2939" spans="1:11">
      <c r="A2939" s="946" t="s">
        <v>28620</v>
      </c>
      <c r="B2939" s="947" t="s">
        <v>31159</v>
      </c>
      <c r="C2939" s="948" t="s">
        <v>31160</v>
      </c>
      <c r="D2939" s="242" t="s">
        <v>552</v>
      </c>
      <c r="E2939" s="949">
        <v>506</v>
      </c>
      <c r="F2939" s="949">
        <v>506</v>
      </c>
      <c r="G2939" s="950" t="s">
        <v>21795</v>
      </c>
      <c r="H2939" s="950" t="s">
        <v>553</v>
      </c>
      <c r="I2939" s="951" t="s">
        <v>3015</v>
      </c>
      <c r="J2939" s="947" t="s">
        <v>31159</v>
      </c>
      <c r="K2939" s="143"/>
    </row>
    <row r="2940" spans="1:11">
      <c r="A2940" s="946" t="s">
        <v>28620</v>
      </c>
      <c r="B2940" s="947" t="s">
        <v>3303</v>
      </c>
      <c r="C2940" s="948" t="s">
        <v>3301</v>
      </c>
      <c r="D2940" s="242" t="s">
        <v>552</v>
      </c>
      <c r="E2940" s="949">
        <v>506</v>
      </c>
      <c r="F2940" s="949">
        <v>506</v>
      </c>
      <c r="G2940" s="950" t="s">
        <v>21795</v>
      </c>
      <c r="H2940" s="950" t="s">
        <v>553</v>
      </c>
      <c r="I2940" s="951" t="s">
        <v>3302</v>
      </c>
      <c r="J2940" s="947" t="s">
        <v>3303</v>
      </c>
      <c r="K2940" s="143"/>
    </row>
    <row r="2941" spans="1:11">
      <c r="A2941" s="946" t="s">
        <v>28620</v>
      </c>
      <c r="B2941" s="947" t="s">
        <v>3321</v>
      </c>
      <c r="C2941" s="948" t="s">
        <v>3319</v>
      </c>
      <c r="D2941" s="242" t="s">
        <v>552</v>
      </c>
      <c r="E2941" s="949">
        <v>506</v>
      </c>
      <c r="F2941" s="949">
        <v>506</v>
      </c>
      <c r="G2941" s="950" t="s">
        <v>21795</v>
      </c>
      <c r="H2941" s="950" t="s">
        <v>553</v>
      </c>
      <c r="I2941" s="951" t="s">
        <v>3320</v>
      </c>
      <c r="J2941" s="947" t="s">
        <v>3321</v>
      </c>
      <c r="K2941" s="143"/>
    </row>
    <row r="2942" spans="1:11">
      <c r="A2942" s="946" t="s">
        <v>28620</v>
      </c>
      <c r="B2942" s="947" t="s">
        <v>3478</v>
      </c>
      <c r="C2942" s="948" t="s">
        <v>3476</v>
      </c>
      <c r="D2942" s="242" t="s">
        <v>552</v>
      </c>
      <c r="E2942" s="949">
        <v>506</v>
      </c>
      <c r="F2942" s="949">
        <v>506</v>
      </c>
      <c r="G2942" s="950" t="s">
        <v>21795</v>
      </c>
      <c r="H2942" s="950" t="s">
        <v>553</v>
      </c>
      <c r="I2942" s="951" t="s">
        <v>3477</v>
      </c>
      <c r="J2942" s="947" t="s">
        <v>3478</v>
      </c>
      <c r="K2942" s="143"/>
    </row>
    <row r="2943" spans="1:11">
      <c r="A2943" s="946" t="s">
        <v>28620</v>
      </c>
      <c r="B2943" s="947" t="s">
        <v>4178</v>
      </c>
      <c r="C2943" s="948" t="s">
        <v>4176</v>
      </c>
      <c r="D2943" s="242" t="s">
        <v>552</v>
      </c>
      <c r="E2943" s="949">
        <v>506</v>
      </c>
      <c r="F2943" s="949">
        <v>506</v>
      </c>
      <c r="G2943" s="950" t="s">
        <v>21795</v>
      </c>
      <c r="H2943" s="950" t="s">
        <v>553</v>
      </c>
      <c r="I2943" s="951" t="s">
        <v>4177</v>
      </c>
      <c r="J2943" s="947" t="s">
        <v>4178</v>
      </c>
      <c r="K2943" s="143"/>
    </row>
    <row r="2944" spans="1:11">
      <c r="A2944" s="946" t="s">
        <v>28620</v>
      </c>
      <c r="B2944" s="947" t="s">
        <v>4574</v>
      </c>
      <c r="C2944" s="948" t="s">
        <v>4572</v>
      </c>
      <c r="D2944" s="242" t="s">
        <v>552</v>
      </c>
      <c r="E2944" s="949">
        <v>506</v>
      </c>
      <c r="F2944" s="949">
        <v>506</v>
      </c>
      <c r="G2944" s="950" t="s">
        <v>21795</v>
      </c>
      <c r="H2944" s="950" t="s">
        <v>553</v>
      </c>
      <c r="I2944" s="951" t="s">
        <v>4573</v>
      </c>
      <c r="J2944" s="947" t="s">
        <v>4574</v>
      </c>
      <c r="K2944" s="143"/>
    </row>
    <row r="2945" spans="1:11">
      <c r="A2945" s="946" t="s">
        <v>28620</v>
      </c>
      <c r="B2945" s="947" t="s">
        <v>4877</v>
      </c>
      <c r="C2945" s="948" t="s">
        <v>4875</v>
      </c>
      <c r="D2945" s="242" t="s">
        <v>24913</v>
      </c>
      <c r="E2945" s="949">
        <v>505</v>
      </c>
      <c r="F2945" s="949">
        <v>505</v>
      </c>
      <c r="G2945" s="950" t="s">
        <v>21795</v>
      </c>
      <c r="H2945" s="950" t="s">
        <v>553</v>
      </c>
      <c r="I2945" s="951" t="s">
        <v>4876</v>
      </c>
      <c r="J2945" s="947" t="s">
        <v>4877</v>
      </c>
      <c r="K2945" s="143"/>
    </row>
    <row r="2946" spans="1:11">
      <c r="A2946" s="946" t="s">
        <v>28620</v>
      </c>
      <c r="B2946" s="947" t="s">
        <v>4934</v>
      </c>
      <c r="C2946" s="948" t="s">
        <v>4932</v>
      </c>
      <c r="D2946" s="242" t="s">
        <v>552</v>
      </c>
      <c r="E2946" s="949">
        <v>506</v>
      </c>
      <c r="F2946" s="949">
        <v>506</v>
      </c>
      <c r="G2946" s="950" t="s">
        <v>21795</v>
      </c>
      <c r="H2946" s="950" t="s">
        <v>553</v>
      </c>
      <c r="I2946" s="951" t="s">
        <v>4933</v>
      </c>
      <c r="J2946" s="947" t="s">
        <v>4934</v>
      </c>
      <c r="K2946" s="143"/>
    </row>
    <row r="2947" spans="1:11">
      <c r="A2947" s="946" t="s">
        <v>28620</v>
      </c>
      <c r="B2947" s="947" t="s">
        <v>5350</v>
      </c>
      <c r="C2947" s="948" t="s">
        <v>5348</v>
      </c>
      <c r="D2947" s="242" t="s">
        <v>552</v>
      </c>
      <c r="E2947" s="949">
        <v>506</v>
      </c>
      <c r="F2947" s="949">
        <v>506</v>
      </c>
      <c r="G2947" s="950" t="s">
        <v>21795</v>
      </c>
      <c r="H2947" s="950" t="s">
        <v>553</v>
      </c>
      <c r="I2947" s="951" t="s">
        <v>5349</v>
      </c>
      <c r="J2947" s="947" t="s">
        <v>5350</v>
      </c>
      <c r="K2947" s="143"/>
    </row>
    <row r="2948" spans="1:11">
      <c r="A2948" s="946" t="s">
        <v>28620</v>
      </c>
      <c r="B2948" s="947" t="s">
        <v>5659</v>
      </c>
      <c r="C2948" s="948" t="s">
        <v>5657</v>
      </c>
      <c r="D2948" s="242" t="s">
        <v>552</v>
      </c>
      <c r="E2948" s="949">
        <v>506</v>
      </c>
      <c r="F2948" s="949">
        <v>506</v>
      </c>
      <c r="G2948" s="950" t="s">
        <v>21795</v>
      </c>
      <c r="H2948" s="950" t="s">
        <v>553</v>
      </c>
      <c r="I2948" s="951" t="s">
        <v>5658</v>
      </c>
      <c r="J2948" s="947" t="s">
        <v>5659</v>
      </c>
      <c r="K2948" s="143"/>
    </row>
    <row r="2949" spans="1:11">
      <c r="A2949" s="946" t="s">
        <v>28620</v>
      </c>
      <c r="B2949" s="947" t="s">
        <v>5745</v>
      </c>
      <c r="C2949" s="948" t="s">
        <v>5743</v>
      </c>
      <c r="D2949" s="242" t="s">
        <v>552</v>
      </c>
      <c r="E2949" s="949">
        <v>506</v>
      </c>
      <c r="F2949" s="949">
        <v>506</v>
      </c>
      <c r="G2949" s="950" t="s">
        <v>21795</v>
      </c>
      <c r="H2949" s="950" t="s">
        <v>553</v>
      </c>
      <c r="I2949" s="951" t="s">
        <v>5744</v>
      </c>
      <c r="J2949" s="947" t="s">
        <v>5745</v>
      </c>
      <c r="K2949" s="143"/>
    </row>
    <row r="2950" spans="1:11">
      <c r="A2950" s="946" t="s">
        <v>28620</v>
      </c>
      <c r="B2950" s="947" t="s">
        <v>5930</v>
      </c>
      <c r="C2950" s="948" t="s">
        <v>5928</v>
      </c>
      <c r="D2950" s="242" t="s">
        <v>552</v>
      </c>
      <c r="E2950" s="949">
        <v>506</v>
      </c>
      <c r="F2950" s="949">
        <v>506</v>
      </c>
      <c r="G2950" s="950" t="s">
        <v>21795</v>
      </c>
      <c r="H2950" s="950" t="s">
        <v>553</v>
      </c>
      <c r="I2950" s="951" t="s">
        <v>5929</v>
      </c>
      <c r="J2950" s="947" t="s">
        <v>5930</v>
      </c>
      <c r="K2950" s="143"/>
    </row>
    <row r="2951" spans="1:11">
      <c r="A2951" s="946" t="s">
        <v>28620</v>
      </c>
      <c r="B2951" s="947" t="s">
        <v>6037</v>
      </c>
      <c r="C2951" s="948" t="s">
        <v>6035</v>
      </c>
      <c r="D2951" s="242" t="s">
        <v>552</v>
      </c>
      <c r="E2951" s="949">
        <v>506</v>
      </c>
      <c r="F2951" s="949">
        <v>506</v>
      </c>
      <c r="G2951" s="950" t="s">
        <v>21795</v>
      </c>
      <c r="H2951" s="950" t="s">
        <v>553</v>
      </c>
      <c r="I2951" s="951" t="s">
        <v>6036</v>
      </c>
      <c r="J2951" s="947" t="s">
        <v>6037</v>
      </c>
      <c r="K2951" s="143"/>
    </row>
    <row r="2952" spans="1:11">
      <c r="A2952" s="946" t="s">
        <v>28620</v>
      </c>
      <c r="B2952" s="947" t="s">
        <v>6827</v>
      </c>
      <c r="C2952" s="948" t="s">
        <v>6825</v>
      </c>
      <c r="D2952" s="242" t="s">
        <v>552</v>
      </c>
      <c r="E2952" s="949">
        <v>506</v>
      </c>
      <c r="F2952" s="949">
        <v>506</v>
      </c>
      <c r="G2952" s="950" t="s">
        <v>21795</v>
      </c>
      <c r="H2952" s="950" t="s">
        <v>553</v>
      </c>
      <c r="I2952" s="951" t="s">
        <v>6826</v>
      </c>
      <c r="J2952" s="947" t="s">
        <v>6827</v>
      </c>
      <c r="K2952" s="143"/>
    </row>
    <row r="2953" spans="1:11">
      <c r="A2953" s="946" t="s">
        <v>28620</v>
      </c>
      <c r="B2953" s="947" t="s">
        <v>6839</v>
      </c>
      <c r="C2953" s="948" t="s">
        <v>6837</v>
      </c>
      <c r="D2953" s="242" t="s">
        <v>552</v>
      </c>
      <c r="E2953" s="949">
        <v>506</v>
      </c>
      <c r="F2953" s="949">
        <v>506</v>
      </c>
      <c r="G2953" s="950" t="s">
        <v>21795</v>
      </c>
      <c r="H2953" s="950" t="s">
        <v>553</v>
      </c>
      <c r="I2953" s="951" t="s">
        <v>6838</v>
      </c>
      <c r="J2953" s="947" t="s">
        <v>6839</v>
      </c>
      <c r="K2953" s="143"/>
    </row>
    <row r="2954" spans="1:11">
      <c r="A2954" s="946" t="s">
        <v>28620</v>
      </c>
      <c r="B2954" s="947" t="s">
        <v>6935</v>
      </c>
      <c r="C2954" s="948" t="s">
        <v>6933</v>
      </c>
      <c r="D2954" s="242" t="s">
        <v>552</v>
      </c>
      <c r="E2954" s="949">
        <v>506</v>
      </c>
      <c r="F2954" s="949">
        <v>506</v>
      </c>
      <c r="G2954" s="950" t="s">
        <v>21795</v>
      </c>
      <c r="H2954" s="950" t="s">
        <v>553</v>
      </c>
      <c r="I2954" s="951" t="s">
        <v>6934</v>
      </c>
      <c r="J2954" s="947" t="s">
        <v>6935</v>
      </c>
      <c r="K2954" s="143"/>
    </row>
    <row r="2955" spans="1:11">
      <c r="A2955" s="946" t="s">
        <v>28620</v>
      </c>
      <c r="B2955" s="947" t="s">
        <v>31162</v>
      </c>
      <c r="C2955" s="948" t="s">
        <v>31163</v>
      </c>
      <c r="D2955" s="242" t="s">
        <v>552</v>
      </c>
      <c r="E2955" s="949">
        <v>506</v>
      </c>
      <c r="F2955" s="949">
        <v>506</v>
      </c>
      <c r="G2955" s="950" t="s">
        <v>21795</v>
      </c>
      <c r="H2955" s="950" t="s">
        <v>553</v>
      </c>
      <c r="I2955" s="951" t="s">
        <v>7289</v>
      </c>
      <c r="J2955" s="947" t="s">
        <v>31162</v>
      </c>
      <c r="K2955" s="143"/>
    </row>
    <row r="2956" spans="1:11">
      <c r="A2956" s="946" t="s">
        <v>28620</v>
      </c>
      <c r="B2956" s="947" t="s">
        <v>7683</v>
      </c>
      <c r="C2956" s="948" t="s">
        <v>7681</v>
      </c>
      <c r="D2956" s="242" t="s">
        <v>552</v>
      </c>
      <c r="E2956" s="949">
        <v>506</v>
      </c>
      <c r="F2956" s="949">
        <v>506</v>
      </c>
      <c r="G2956" s="950" t="s">
        <v>21795</v>
      </c>
      <c r="H2956" s="950" t="s">
        <v>553</v>
      </c>
      <c r="I2956" s="951" t="s">
        <v>7682</v>
      </c>
      <c r="J2956" s="947" t="s">
        <v>7683</v>
      </c>
      <c r="K2956" s="143"/>
    </row>
    <row r="2957" spans="1:11">
      <c r="A2957" s="946" t="s">
        <v>28620</v>
      </c>
      <c r="B2957" s="947" t="s">
        <v>7875</v>
      </c>
      <c r="C2957" s="948" t="s">
        <v>7873</v>
      </c>
      <c r="D2957" s="242" t="s">
        <v>552</v>
      </c>
      <c r="E2957" s="949">
        <v>506</v>
      </c>
      <c r="F2957" s="949">
        <v>506</v>
      </c>
      <c r="G2957" s="950" t="s">
        <v>21795</v>
      </c>
      <c r="H2957" s="950" t="s">
        <v>553</v>
      </c>
      <c r="I2957" s="951" t="s">
        <v>7874</v>
      </c>
      <c r="J2957" s="947" t="s">
        <v>7875</v>
      </c>
      <c r="K2957" s="143"/>
    </row>
    <row r="2958" spans="1:11">
      <c r="A2958" s="946" t="s">
        <v>28620</v>
      </c>
      <c r="B2958" s="947" t="s">
        <v>7878</v>
      </c>
      <c r="C2958" s="948" t="s">
        <v>7876</v>
      </c>
      <c r="D2958" s="242" t="s">
        <v>552</v>
      </c>
      <c r="E2958" s="949">
        <v>506</v>
      </c>
      <c r="F2958" s="949">
        <v>506</v>
      </c>
      <c r="G2958" s="950" t="s">
        <v>21795</v>
      </c>
      <c r="H2958" s="950" t="s">
        <v>553</v>
      </c>
      <c r="I2958" s="951" t="s">
        <v>7877</v>
      </c>
      <c r="J2958" s="947" t="s">
        <v>7878</v>
      </c>
      <c r="K2958" s="143"/>
    </row>
    <row r="2959" spans="1:11">
      <c r="A2959" s="946" t="s">
        <v>28620</v>
      </c>
      <c r="B2959" s="947" t="s">
        <v>8153</v>
      </c>
      <c r="C2959" s="948" t="s">
        <v>8151</v>
      </c>
      <c r="D2959" s="242" t="s">
        <v>552</v>
      </c>
      <c r="E2959" s="949">
        <v>506</v>
      </c>
      <c r="F2959" s="949">
        <v>506</v>
      </c>
      <c r="G2959" s="950" t="s">
        <v>21795</v>
      </c>
      <c r="H2959" s="950" t="s">
        <v>553</v>
      </c>
      <c r="I2959" s="951" t="s">
        <v>8152</v>
      </c>
      <c r="J2959" s="947" t="s">
        <v>8153</v>
      </c>
      <c r="K2959" s="143"/>
    </row>
    <row r="2960" spans="1:11">
      <c r="A2960" s="946" t="s">
        <v>28620</v>
      </c>
      <c r="B2960" s="947" t="s">
        <v>8753</v>
      </c>
      <c r="C2960" s="948" t="s">
        <v>8751</v>
      </c>
      <c r="D2960" s="242" t="s">
        <v>552</v>
      </c>
      <c r="E2960" s="949">
        <v>506</v>
      </c>
      <c r="F2960" s="949">
        <v>506</v>
      </c>
      <c r="G2960" s="950" t="s">
        <v>21795</v>
      </c>
      <c r="H2960" s="950" t="s">
        <v>553</v>
      </c>
      <c r="I2960" s="951" t="s">
        <v>8752</v>
      </c>
      <c r="J2960" s="947" t="s">
        <v>8753</v>
      </c>
      <c r="K2960" s="143"/>
    </row>
    <row r="2961" spans="1:11">
      <c r="A2961" s="946" t="s">
        <v>28620</v>
      </c>
      <c r="B2961" s="947" t="s">
        <v>8977</v>
      </c>
      <c r="C2961" s="948" t="s">
        <v>8975</v>
      </c>
      <c r="D2961" s="242" t="s">
        <v>552</v>
      </c>
      <c r="E2961" s="949">
        <v>506</v>
      </c>
      <c r="F2961" s="949">
        <v>506</v>
      </c>
      <c r="G2961" s="950" t="s">
        <v>21795</v>
      </c>
      <c r="H2961" s="950" t="s">
        <v>553</v>
      </c>
      <c r="I2961" s="951" t="s">
        <v>8976</v>
      </c>
      <c r="J2961" s="947" t="s">
        <v>8977</v>
      </c>
      <c r="K2961" s="143"/>
    </row>
    <row r="2962" spans="1:11">
      <c r="A2962" s="946" t="s">
        <v>28620</v>
      </c>
      <c r="B2962" s="947" t="s">
        <v>9064</v>
      </c>
      <c r="C2962" s="948" t="s">
        <v>9062</v>
      </c>
      <c r="D2962" s="242" t="s">
        <v>552</v>
      </c>
      <c r="E2962" s="949">
        <v>506</v>
      </c>
      <c r="F2962" s="949">
        <v>506</v>
      </c>
      <c r="G2962" s="950" t="s">
        <v>21795</v>
      </c>
      <c r="H2962" s="950" t="s">
        <v>553</v>
      </c>
      <c r="I2962" s="951" t="s">
        <v>9063</v>
      </c>
      <c r="J2962" s="947" t="s">
        <v>9064</v>
      </c>
      <c r="K2962" s="143"/>
    </row>
    <row r="2963" spans="1:11">
      <c r="A2963" s="946" t="s">
        <v>28620</v>
      </c>
      <c r="B2963" s="947" t="s">
        <v>9537</v>
      </c>
      <c r="C2963" s="948" t="s">
        <v>9535</v>
      </c>
      <c r="D2963" s="242" t="s">
        <v>552</v>
      </c>
      <c r="E2963" s="949">
        <v>506</v>
      </c>
      <c r="F2963" s="949">
        <v>506</v>
      </c>
      <c r="G2963" s="950" t="s">
        <v>21795</v>
      </c>
      <c r="H2963" s="950" t="s">
        <v>553</v>
      </c>
      <c r="I2963" s="951" t="s">
        <v>9536</v>
      </c>
      <c r="J2963" s="947" t="s">
        <v>9537</v>
      </c>
      <c r="K2963" s="143"/>
    </row>
    <row r="2964" spans="1:11">
      <c r="A2964" s="946" t="s">
        <v>28620</v>
      </c>
      <c r="B2964" s="947" t="s">
        <v>9772</v>
      </c>
      <c r="C2964" s="948" t="s">
        <v>9770</v>
      </c>
      <c r="D2964" s="242" t="s">
        <v>552</v>
      </c>
      <c r="E2964" s="949">
        <v>506</v>
      </c>
      <c r="F2964" s="949">
        <v>506</v>
      </c>
      <c r="G2964" s="950" t="s">
        <v>21795</v>
      </c>
      <c r="H2964" s="950" t="s">
        <v>553</v>
      </c>
      <c r="I2964" s="951" t="s">
        <v>9771</v>
      </c>
      <c r="J2964" s="947" t="s">
        <v>9772</v>
      </c>
      <c r="K2964" s="143"/>
    </row>
    <row r="2965" spans="1:11">
      <c r="A2965" s="946" t="s">
        <v>28620</v>
      </c>
      <c r="B2965" s="947" t="s">
        <v>9890</v>
      </c>
      <c r="C2965" s="948" t="s">
        <v>9888</v>
      </c>
      <c r="D2965" s="242" t="s">
        <v>552</v>
      </c>
      <c r="E2965" s="949">
        <v>506</v>
      </c>
      <c r="F2965" s="949">
        <v>506</v>
      </c>
      <c r="G2965" s="950" t="s">
        <v>21795</v>
      </c>
      <c r="H2965" s="950" t="s">
        <v>553</v>
      </c>
      <c r="I2965" s="951" t="s">
        <v>9889</v>
      </c>
      <c r="J2965" s="947" t="s">
        <v>9890</v>
      </c>
      <c r="K2965" s="143"/>
    </row>
    <row r="2966" spans="1:11">
      <c r="A2966" s="946" t="s">
        <v>28620</v>
      </c>
      <c r="B2966" s="947" t="s">
        <v>9904</v>
      </c>
      <c r="C2966" s="948" t="s">
        <v>9902</v>
      </c>
      <c r="D2966" s="242" t="s">
        <v>552</v>
      </c>
      <c r="E2966" s="949">
        <v>506</v>
      </c>
      <c r="F2966" s="949">
        <v>506</v>
      </c>
      <c r="G2966" s="950" t="s">
        <v>21795</v>
      </c>
      <c r="H2966" s="950" t="s">
        <v>553</v>
      </c>
      <c r="I2966" s="951" t="s">
        <v>9903</v>
      </c>
      <c r="J2966" s="947" t="s">
        <v>9904</v>
      </c>
      <c r="K2966" s="143"/>
    </row>
    <row r="2967" spans="1:11">
      <c r="A2967" s="946" t="s">
        <v>28620</v>
      </c>
      <c r="B2967" s="947" t="s">
        <v>10226</v>
      </c>
      <c r="C2967" s="948" t="s">
        <v>10224</v>
      </c>
      <c r="D2967" s="242" t="s">
        <v>552</v>
      </c>
      <c r="E2967" s="949">
        <v>506</v>
      </c>
      <c r="F2967" s="949">
        <v>506</v>
      </c>
      <c r="G2967" s="950" t="s">
        <v>21795</v>
      </c>
      <c r="H2967" s="950" t="s">
        <v>553</v>
      </c>
      <c r="I2967" s="951" t="s">
        <v>10225</v>
      </c>
      <c r="J2967" s="947" t="s">
        <v>10226</v>
      </c>
      <c r="K2967" s="143"/>
    </row>
    <row r="2968" spans="1:11">
      <c r="A2968" s="946" t="s">
        <v>28620</v>
      </c>
      <c r="B2968" s="947" t="s">
        <v>10248</v>
      </c>
      <c r="C2968" s="948" t="s">
        <v>10246</v>
      </c>
      <c r="D2968" s="242" t="s">
        <v>552</v>
      </c>
      <c r="E2968" s="949">
        <v>506</v>
      </c>
      <c r="F2968" s="949">
        <v>506</v>
      </c>
      <c r="G2968" s="950" t="s">
        <v>21795</v>
      </c>
      <c r="H2968" s="950" t="s">
        <v>553</v>
      </c>
      <c r="I2968" s="951" t="s">
        <v>10247</v>
      </c>
      <c r="J2968" s="947" t="s">
        <v>10248</v>
      </c>
      <c r="K2968" s="143"/>
    </row>
    <row r="2969" spans="1:11">
      <c r="A2969" s="946" t="s">
        <v>28620</v>
      </c>
      <c r="B2969" s="947" t="s">
        <v>10270</v>
      </c>
      <c r="C2969" s="948" t="s">
        <v>10268</v>
      </c>
      <c r="D2969" s="242" t="s">
        <v>552</v>
      </c>
      <c r="E2969" s="949">
        <v>506</v>
      </c>
      <c r="F2969" s="949">
        <v>506</v>
      </c>
      <c r="G2969" s="950" t="s">
        <v>21795</v>
      </c>
      <c r="H2969" s="950" t="s">
        <v>553</v>
      </c>
      <c r="I2969" s="951" t="s">
        <v>10269</v>
      </c>
      <c r="J2969" s="947" t="s">
        <v>10270</v>
      </c>
      <c r="K2969" s="143"/>
    </row>
    <row r="2970" spans="1:11">
      <c r="A2970" s="946" t="s">
        <v>28620</v>
      </c>
      <c r="B2970" s="947" t="s">
        <v>10963</v>
      </c>
      <c r="C2970" s="948" t="s">
        <v>10961</v>
      </c>
      <c r="D2970" s="242" t="s">
        <v>552</v>
      </c>
      <c r="E2970" s="949">
        <v>506</v>
      </c>
      <c r="F2970" s="949">
        <v>506</v>
      </c>
      <c r="G2970" s="950" t="s">
        <v>21795</v>
      </c>
      <c r="H2970" s="950" t="s">
        <v>553</v>
      </c>
      <c r="I2970" s="951" t="s">
        <v>10962</v>
      </c>
      <c r="J2970" s="947" t="s">
        <v>10963</v>
      </c>
      <c r="K2970" s="143"/>
    </row>
    <row r="2971" spans="1:11">
      <c r="A2971" s="946" t="s">
        <v>28620</v>
      </c>
      <c r="B2971" s="947" t="s">
        <v>11101</v>
      </c>
      <c r="C2971" s="948" t="s">
        <v>11099</v>
      </c>
      <c r="D2971" s="242" t="s">
        <v>552</v>
      </c>
      <c r="E2971" s="949">
        <v>506</v>
      </c>
      <c r="F2971" s="949">
        <v>506</v>
      </c>
      <c r="G2971" s="950" t="s">
        <v>21795</v>
      </c>
      <c r="H2971" s="950" t="s">
        <v>553</v>
      </c>
      <c r="I2971" s="951" t="s">
        <v>11100</v>
      </c>
      <c r="J2971" s="947" t="s">
        <v>11101</v>
      </c>
      <c r="K2971" s="143"/>
    </row>
    <row r="2972" spans="1:11">
      <c r="A2972" s="946" t="s">
        <v>28620</v>
      </c>
      <c r="B2972" s="947" t="s">
        <v>11697</v>
      </c>
      <c r="C2972" s="948" t="s">
        <v>11695</v>
      </c>
      <c r="D2972" s="242" t="s">
        <v>552</v>
      </c>
      <c r="E2972" s="949">
        <v>506</v>
      </c>
      <c r="F2972" s="949">
        <v>506</v>
      </c>
      <c r="G2972" s="950" t="s">
        <v>21795</v>
      </c>
      <c r="H2972" s="950" t="s">
        <v>553</v>
      </c>
      <c r="I2972" s="951" t="s">
        <v>11696</v>
      </c>
      <c r="J2972" s="947" t="s">
        <v>11697</v>
      </c>
      <c r="K2972" s="143"/>
    </row>
    <row r="2973" spans="1:11">
      <c r="A2973" s="946" t="s">
        <v>28620</v>
      </c>
      <c r="B2973" s="947" t="s">
        <v>11789</v>
      </c>
      <c r="C2973" s="948" t="s">
        <v>11787</v>
      </c>
      <c r="D2973" s="242" t="s">
        <v>552</v>
      </c>
      <c r="E2973" s="949">
        <v>506</v>
      </c>
      <c r="F2973" s="949">
        <v>506</v>
      </c>
      <c r="G2973" s="950" t="s">
        <v>21795</v>
      </c>
      <c r="H2973" s="950" t="s">
        <v>553</v>
      </c>
      <c r="I2973" s="951" t="s">
        <v>11788</v>
      </c>
      <c r="J2973" s="947" t="s">
        <v>11789</v>
      </c>
      <c r="K2973" s="143"/>
    </row>
    <row r="2974" spans="1:11">
      <c r="A2974" s="946" t="s">
        <v>28620</v>
      </c>
      <c r="B2974" s="947" t="s">
        <v>12407</v>
      </c>
      <c r="C2974" s="948" t="s">
        <v>12405</v>
      </c>
      <c r="D2974" s="242" t="s">
        <v>552</v>
      </c>
      <c r="E2974" s="949">
        <v>506</v>
      </c>
      <c r="F2974" s="949">
        <v>506</v>
      </c>
      <c r="G2974" s="950" t="s">
        <v>21795</v>
      </c>
      <c r="H2974" s="950" t="s">
        <v>553</v>
      </c>
      <c r="I2974" s="951" t="s">
        <v>12406</v>
      </c>
      <c r="J2974" s="947" t="s">
        <v>12407</v>
      </c>
      <c r="K2974" s="143"/>
    </row>
    <row r="2975" spans="1:11">
      <c r="A2975" s="946" t="s">
        <v>28620</v>
      </c>
      <c r="B2975" s="947" t="s">
        <v>12502</v>
      </c>
      <c r="C2975" s="948" t="s">
        <v>12500</v>
      </c>
      <c r="D2975" s="242" t="s">
        <v>552</v>
      </c>
      <c r="E2975" s="949">
        <v>506</v>
      </c>
      <c r="F2975" s="949">
        <v>506</v>
      </c>
      <c r="G2975" s="950" t="s">
        <v>21795</v>
      </c>
      <c r="H2975" s="950" t="s">
        <v>553</v>
      </c>
      <c r="I2975" s="951" t="s">
        <v>12501</v>
      </c>
      <c r="J2975" s="947" t="s">
        <v>12502</v>
      </c>
      <c r="K2975" s="143"/>
    </row>
    <row r="2976" spans="1:11">
      <c r="A2976" s="946" t="s">
        <v>28620</v>
      </c>
      <c r="B2976" s="947" t="s">
        <v>13077</v>
      </c>
      <c r="C2976" s="948" t="s">
        <v>13075</v>
      </c>
      <c r="D2976" s="242" t="s">
        <v>552</v>
      </c>
      <c r="E2976" s="949">
        <v>506</v>
      </c>
      <c r="F2976" s="949">
        <v>506</v>
      </c>
      <c r="G2976" s="950" t="s">
        <v>21795</v>
      </c>
      <c r="H2976" s="950" t="s">
        <v>553</v>
      </c>
      <c r="I2976" s="951" t="s">
        <v>13076</v>
      </c>
      <c r="J2976" s="947" t="s">
        <v>13077</v>
      </c>
      <c r="K2976" s="143"/>
    </row>
    <row r="2977" spans="1:11">
      <c r="A2977" s="946" t="s">
        <v>28620</v>
      </c>
      <c r="B2977" s="947" t="s">
        <v>31164</v>
      </c>
      <c r="C2977" s="948" t="s">
        <v>31165</v>
      </c>
      <c r="D2977" s="242" t="s">
        <v>552</v>
      </c>
      <c r="E2977" s="949">
        <v>506</v>
      </c>
      <c r="F2977" s="949">
        <v>506</v>
      </c>
      <c r="G2977" s="950" t="s">
        <v>21795</v>
      </c>
      <c r="H2977" s="950" t="s">
        <v>553</v>
      </c>
      <c r="I2977" s="951" t="s">
        <v>13195</v>
      </c>
      <c r="J2977" s="947" t="s">
        <v>31164</v>
      </c>
      <c r="K2977" s="143"/>
    </row>
    <row r="2978" spans="1:11">
      <c r="A2978" s="946" t="s">
        <v>28620</v>
      </c>
      <c r="B2978" s="947" t="s">
        <v>13331</v>
      </c>
      <c r="C2978" s="948" t="s">
        <v>13329</v>
      </c>
      <c r="D2978" s="242" t="s">
        <v>552</v>
      </c>
      <c r="E2978" s="949">
        <v>506</v>
      </c>
      <c r="F2978" s="949">
        <v>506</v>
      </c>
      <c r="G2978" s="950" t="s">
        <v>21795</v>
      </c>
      <c r="H2978" s="950" t="s">
        <v>553</v>
      </c>
      <c r="I2978" s="951" t="s">
        <v>13330</v>
      </c>
      <c r="J2978" s="947" t="s">
        <v>13331</v>
      </c>
      <c r="K2978" s="143"/>
    </row>
    <row r="2979" spans="1:11">
      <c r="A2979" s="946" t="s">
        <v>28620</v>
      </c>
      <c r="B2979" s="947" t="s">
        <v>13337</v>
      </c>
      <c r="C2979" s="948" t="s">
        <v>13335</v>
      </c>
      <c r="D2979" s="242" t="s">
        <v>552</v>
      </c>
      <c r="E2979" s="949">
        <v>506</v>
      </c>
      <c r="F2979" s="949">
        <v>506</v>
      </c>
      <c r="G2979" s="950" t="s">
        <v>21795</v>
      </c>
      <c r="H2979" s="950" t="s">
        <v>553</v>
      </c>
      <c r="I2979" s="951" t="s">
        <v>13336</v>
      </c>
      <c r="J2979" s="947" t="s">
        <v>13337</v>
      </c>
      <c r="K2979" s="143"/>
    </row>
    <row r="2980" spans="1:11">
      <c r="A2980" s="946" t="s">
        <v>28620</v>
      </c>
      <c r="B2980" s="947" t="s">
        <v>13671</v>
      </c>
      <c r="C2980" s="948" t="s">
        <v>13669</v>
      </c>
      <c r="D2980" s="242" t="s">
        <v>552</v>
      </c>
      <c r="E2980" s="949">
        <v>506</v>
      </c>
      <c r="F2980" s="949">
        <v>506</v>
      </c>
      <c r="G2980" s="950" t="s">
        <v>21795</v>
      </c>
      <c r="H2980" s="950" t="s">
        <v>553</v>
      </c>
      <c r="I2980" s="951" t="s">
        <v>13670</v>
      </c>
      <c r="J2980" s="947" t="s">
        <v>13671</v>
      </c>
      <c r="K2980" s="143"/>
    </row>
    <row r="2981" spans="1:11">
      <c r="A2981" s="946" t="s">
        <v>28620</v>
      </c>
      <c r="B2981" s="947" t="s">
        <v>14177</v>
      </c>
      <c r="C2981" s="948" t="s">
        <v>14175</v>
      </c>
      <c r="D2981" s="242" t="s">
        <v>552</v>
      </c>
      <c r="E2981" s="949">
        <v>506</v>
      </c>
      <c r="F2981" s="949">
        <v>506</v>
      </c>
      <c r="G2981" s="950" t="s">
        <v>21795</v>
      </c>
      <c r="H2981" s="950" t="s">
        <v>553</v>
      </c>
      <c r="I2981" s="951" t="s">
        <v>14176</v>
      </c>
      <c r="J2981" s="947" t="s">
        <v>14177</v>
      </c>
      <c r="K2981" s="143"/>
    </row>
    <row r="2982" spans="1:11">
      <c r="A2982" s="946" t="s">
        <v>28620</v>
      </c>
      <c r="B2982" s="947" t="s">
        <v>14318</v>
      </c>
      <c r="C2982" s="948" t="s">
        <v>14316</v>
      </c>
      <c r="D2982" s="242" t="s">
        <v>552</v>
      </c>
      <c r="E2982" s="949">
        <v>506</v>
      </c>
      <c r="F2982" s="949">
        <v>506</v>
      </c>
      <c r="G2982" s="950" t="s">
        <v>21795</v>
      </c>
      <c r="H2982" s="950" t="s">
        <v>553</v>
      </c>
      <c r="I2982" s="951" t="s">
        <v>14317</v>
      </c>
      <c r="J2982" s="947" t="s">
        <v>14318</v>
      </c>
      <c r="K2982" s="143"/>
    </row>
    <row r="2983" spans="1:11">
      <c r="A2983" s="946" t="s">
        <v>28620</v>
      </c>
      <c r="B2983" s="947" t="s">
        <v>14559</v>
      </c>
      <c r="C2983" s="948" t="s">
        <v>14557</v>
      </c>
      <c r="D2983" s="242" t="s">
        <v>552</v>
      </c>
      <c r="E2983" s="949">
        <v>506</v>
      </c>
      <c r="F2983" s="949">
        <v>506</v>
      </c>
      <c r="G2983" s="950" t="s">
        <v>21795</v>
      </c>
      <c r="H2983" s="950" t="s">
        <v>553</v>
      </c>
      <c r="I2983" s="951" t="s">
        <v>14558</v>
      </c>
      <c r="J2983" s="947" t="s">
        <v>14559</v>
      </c>
      <c r="K2983" s="143"/>
    </row>
    <row r="2984" spans="1:11">
      <c r="A2984" s="946" t="s">
        <v>28620</v>
      </c>
      <c r="B2984" s="947" t="s">
        <v>14583</v>
      </c>
      <c r="C2984" s="948" t="s">
        <v>14581</v>
      </c>
      <c r="D2984" s="242" t="s">
        <v>552</v>
      </c>
      <c r="E2984" s="949">
        <v>506</v>
      </c>
      <c r="F2984" s="949">
        <v>506</v>
      </c>
      <c r="G2984" s="950" t="s">
        <v>21795</v>
      </c>
      <c r="H2984" s="950" t="s">
        <v>553</v>
      </c>
      <c r="I2984" s="951" t="s">
        <v>14582</v>
      </c>
      <c r="J2984" s="947" t="s">
        <v>14583</v>
      </c>
      <c r="K2984" s="143"/>
    </row>
    <row r="2985" spans="1:11">
      <c r="A2985" s="946" t="s">
        <v>28620</v>
      </c>
      <c r="B2985" s="947" t="s">
        <v>15650</v>
      </c>
      <c r="C2985" s="948" t="s">
        <v>15648</v>
      </c>
      <c r="D2985" s="242" t="s">
        <v>552</v>
      </c>
      <c r="E2985" s="949">
        <v>506</v>
      </c>
      <c r="F2985" s="949">
        <v>506</v>
      </c>
      <c r="G2985" s="950" t="s">
        <v>21795</v>
      </c>
      <c r="H2985" s="950" t="s">
        <v>553</v>
      </c>
      <c r="I2985" s="951" t="s">
        <v>15649</v>
      </c>
      <c r="J2985" s="947" t="s">
        <v>15650</v>
      </c>
      <c r="K2985" s="143"/>
    </row>
    <row r="2986" spans="1:11">
      <c r="A2986" s="946" t="s">
        <v>28620</v>
      </c>
      <c r="B2986" s="947" t="s">
        <v>15855</v>
      </c>
      <c r="C2986" s="948" t="s">
        <v>15853</v>
      </c>
      <c r="D2986" s="242" t="s">
        <v>552</v>
      </c>
      <c r="E2986" s="949">
        <v>506</v>
      </c>
      <c r="F2986" s="949">
        <v>506</v>
      </c>
      <c r="G2986" s="950" t="s">
        <v>21795</v>
      </c>
      <c r="H2986" s="950" t="s">
        <v>553</v>
      </c>
      <c r="I2986" s="951" t="s">
        <v>15854</v>
      </c>
      <c r="J2986" s="947" t="s">
        <v>15855</v>
      </c>
      <c r="K2986" s="143"/>
    </row>
    <row r="2987" spans="1:11">
      <c r="A2987" s="946" t="s">
        <v>28620</v>
      </c>
      <c r="B2987" s="947" t="s">
        <v>16450</v>
      </c>
      <c r="C2987" s="948" t="s">
        <v>16448</v>
      </c>
      <c r="D2987" s="242" t="s">
        <v>552</v>
      </c>
      <c r="E2987" s="949">
        <v>506</v>
      </c>
      <c r="F2987" s="949">
        <v>506</v>
      </c>
      <c r="G2987" s="950" t="s">
        <v>21795</v>
      </c>
      <c r="H2987" s="950" t="s">
        <v>553</v>
      </c>
      <c r="I2987" s="951" t="s">
        <v>16449</v>
      </c>
      <c r="J2987" s="947" t="s">
        <v>16450</v>
      </c>
      <c r="K2987" s="143"/>
    </row>
    <row r="2988" spans="1:11">
      <c r="A2988" s="946" t="s">
        <v>28620</v>
      </c>
      <c r="B2988" s="947" t="s">
        <v>16852</v>
      </c>
      <c r="C2988" s="948" t="s">
        <v>16850</v>
      </c>
      <c r="D2988" s="242" t="s">
        <v>552</v>
      </c>
      <c r="E2988" s="949">
        <v>506</v>
      </c>
      <c r="F2988" s="949">
        <v>506</v>
      </c>
      <c r="G2988" s="950" t="s">
        <v>21795</v>
      </c>
      <c r="H2988" s="950" t="s">
        <v>553</v>
      </c>
      <c r="I2988" s="951" t="s">
        <v>16851</v>
      </c>
      <c r="J2988" s="947" t="s">
        <v>16852</v>
      </c>
      <c r="K2988" s="143"/>
    </row>
    <row r="2989" spans="1:11">
      <c r="A2989" s="946" t="s">
        <v>28620</v>
      </c>
      <c r="B2989" s="947" t="s">
        <v>16881</v>
      </c>
      <c r="C2989" s="948" t="s">
        <v>16879</v>
      </c>
      <c r="D2989" s="242" t="s">
        <v>552</v>
      </c>
      <c r="E2989" s="949">
        <v>506</v>
      </c>
      <c r="F2989" s="949">
        <v>506</v>
      </c>
      <c r="G2989" s="950" t="s">
        <v>21795</v>
      </c>
      <c r="H2989" s="950" t="s">
        <v>553</v>
      </c>
      <c r="I2989" s="951" t="s">
        <v>16880</v>
      </c>
      <c r="J2989" s="947" t="s">
        <v>16881</v>
      </c>
      <c r="K2989" s="143"/>
    </row>
    <row r="2990" spans="1:11">
      <c r="A2990" s="946" t="s">
        <v>28620</v>
      </c>
      <c r="B2990" s="947" t="s">
        <v>17042</v>
      </c>
      <c r="C2990" s="948" t="s">
        <v>17040</v>
      </c>
      <c r="D2990" s="242" t="s">
        <v>552</v>
      </c>
      <c r="E2990" s="949">
        <v>506</v>
      </c>
      <c r="F2990" s="949">
        <v>506</v>
      </c>
      <c r="G2990" s="950" t="s">
        <v>21795</v>
      </c>
      <c r="H2990" s="950" t="s">
        <v>553</v>
      </c>
      <c r="I2990" s="951" t="s">
        <v>17041</v>
      </c>
      <c r="J2990" s="947" t="s">
        <v>17042</v>
      </c>
      <c r="K2990" s="143"/>
    </row>
    <row r="2991" spans="1:11">
      <c r="A2991" s="946" t="s">
        <v>28620</v>
      </c>
      <c r="B2991" s="947" t="s">
        <v>17051</v>
      </c>
      <c r="C2991" s="948" t="s">
        <v>17049</v>
      </c>
      <c r="D2991" s="242" t="s">
        <v>552</v>
      </c>
      <c r="E2991" s="949">
        <v>506</v>
      </c>
      <c r="F2991" s="949">
        <v>506</v>
      </c>
      <c r="G2991" s="950" t="s">
        <v>21795</v>
      </c>
      <c r="H2991" s="950" t="s">
        <v>553</v>
      </c>
      <c r="I2991" s="951" t="s">
        <v>17050</v>
      </c>
      <c r="J2991" s="947" t="s">
        <v>17051</v>
      </c>
      <c r="K2991" s="143"/>
    </row>
    <row r="2992" spans="1:11">
      <c r="A2992" s="946" t="s">
        <v>28620</v>
      </c>
      <c r="B2992" s="947" t="s">
        <v>17048</v>
      </c>
      <c r="C2992" s="948" t="s">
        <v>17046</v>
      </c>
      <c r="D2992" s="242" t="s">
        <v>552</v>
      </c>
      <c r="E2992" s="949">
        <v>506</v>
      </c>
      <c r="F2992" s="949">
        <v>506</v>
      </c>
      <c r="G2992" s="950" t="s">
        <v>21795</v>
      </c>
      <c r="H2992" s="950" t="s">
        <v>553</v>
      </c>
      <c r="I2992" s="951" t="s">
        <v>17047</v>
      </c>
      <c r="J2992" s="947" t="s">
        <v>17048</v>
      </c>
      <c r="K2992" s="143"/>
    </row>
    <row r="2993" spans="1:11">
      <c r="A2993" s="946" t="s">
        <v>28620</v>
      </c>
      <c r="B2993" s="947" t="s">
        <v>17278</v>
      </c>
      <c r="C2993" s="948" t="s">
        <v>17276</v>
      </c>
      <c r="D2993" s="242" t="s">
        <v>552</v>
      </c>
      <c r="E2993" s="949">
        <v>506</v>
      </c>
      <c r="F2993" s="949">
        <v>506</v>
      </c>
      <c r="G2993" s="950" t="s">
        <v>21795</v>
      </c>
      <c r="H2993" s="950" t="s">
        <v>553</v>
      </c>
      <c r="I2993" s="951" t="s">
        <v>17277</v>
      </c>
      <c r="J2993" s="947" t="s">
        <v>17278</v>
      </c>
      <c r="K2993" s="143"/>
    </row>
    <row r="2994" spans="1:11">
      <c r="A2994" s="946" t="s">
        <v>28620</v>
      </c>
      <c r="B2994" s="947" t="s">
        <v>17421</v>
      </c>
      <c r="C2994" s="948" t="s">
        <v>17419</v>
      </c>
      <c r="D2994" s="242" t="s">
        <v>552</v>
      </c>
      <c r="E2994" s="949">
        <v>506</v>
      </c>
      <c r="F2994" s="949">
        <v>506</v>
      </c>
      <c r="G2994" s="950" t="s">
        <v>21795</v>
      </c>
      <c r="H2994" s="950" t="s">
        <v>553</v>
      </c>
      <c r="I2994" s="951" t="s">
        <v>17420</v>
      </c>
      <c r="J2994" s="947" t="s">
        <v>17421</v>
      </c>
      <c r="K2994" s="143"/>
    </row>
    <row r="2995" spans="1:11">
      <c r="A2995" s="946" t="s">
        <v>28620</v>
      </c>
      <c r="B2995" s="947" t="s">
        <v>17714</v>
      </c>
      <c r="C2995" s="948" t="s">
        <v>17712</v>
      </c>
      <c r="D2995" s="242" t="s">
        <v>552</v>
      </c>
      <c r="E2995" s="949">
        <v>506</v>
      </c>
      <c r="F2995" s="949">
        <v>506</v>
      </c>
      <c r="G2995" s="950" t="s">
        <v>21795</v>
      </c>
      <c r="H2995" s="950" t="s">
        <v>553</v>
      </c>
      <c r="I2995" s="951" t="s">
        <v>17713</v>
      </c>
      <c r="J2995" s="947" t="s">
        <v>17714</v>
      </c>
      <c r="K2995" s="143"/>
    </row>
    <row r="2996" spans="1:11">
      <c r="A2996" s="946" t="s">
        <v>28620</v>
      </c>
      <c r="B2996" s="947" t="s">
        <v>17741</v>
      </c>
      <c r="C2996" s="948" t="s">
        <v>17739</v>
      </c>
      <c r="D2996" s="242" t="s">
        <v>552</v>
      </c>
      <c r="E2996" s="949">
        <v>506</v>
      </c>
      <c r="F2996" s="949">
        <v>506</v>
      </c>
      <c r="G2996" s="950" t="s">
        <v>21795</v>
      </c>
      <c r="H2996" s="950" t="s">
        <v>553</v>
      </c>
      <c r="I2996" s="951" t="s">
        <v>17740</v>
      </c>
      <c r="J2996" s="947" t="s">
        <v>17741</v>
      </c>
      <c r="K2996" s="143"/>
    </row>
    <row r="2997" spans="1:11">
      <c r="A2997" s="946" t="s">
        <v>28620</v>
      </c>
      <c r="B2997" s="947" t="s">
        <v>18353</v>
      </c>
      <c r="C2997" s="948" t="s">
        <v>18351</v>
      </c>
      <c r="D2997" s="242" t="s">
        <v>552</v>
      </c>
      <c r="E2997" s="949">
        <v>506</v>
      </c>
      <c r="F2997" s="949">
        <v>506</v>
      </c>
      <c r="G2997" s="950" t="s">
        <v>21795</v>
      </c>
      <c r="H2997" s="950" t="s">
        <v>553</v>
      </c>
      <c r="I2997" s="951" t="s">
        <v>18352</v>
      </c>
      <c r="J2997" s="947" t="s">
        <v>18353</v>
      </c>
      <c r="K2997" s="143"/>
    </row>
    <row r="2998" spans="1:11">
      <c r="A2998" s="946" t="s">
        <v>28620</v>
      </c>
      <c r="B2998" s="947" t="s">
        <v>17886</v>
      </c>
      <c r="C2998" s="948" t="s">
        <v>17884</v>
      </c>
      <c r="D2998" s="242" t="s">
        <v>552</v>
      </c>
      <c r="E2998" s="949">
        <v>506</v>
      </c>
      <c r="F2998" s="949">
        <v>506</v>
      </c>
      <c r="G2998" s="950" t="s">
        <v>21795</v>
      </c>
      <c r="H2998" s="950" t="s">
        <v>553</v>
      </c>
      <c r="I2998" s="951" t="s">
        <v>17885</v>
      </c>
      <c r="J2998" s="947" t="s">
        <v>17886</v>
      </c>
      <c r="K2998" s="143"/>
    </row>
    <row r="2999" spans="1:11">
      <c r="A2999" s="946" t="s">
        <v>28620</v>
      </c>
      <c r="B2999" s="947" t="s">
        <v>17957</v>
      </c>
      <c r="C2999" s="948" t="s">
        <v>17955</v>
      </c>
      <c r="D2999" s="242" t="s">
        <v>552</v>
      </c>
      <c r="E2999" s="949">
        <v>506</v>
      </c>
      <c r="F2999" s="949">
        <v>506</v>
      </c>
      <c r="G2999" s="950" t="s">
        <v>21795</v>
      </c>
      <c r="H2999" s="950" t="s">
        <v>553</v>
      </c>
      <c r="I2999" s="951" t="s">
        <v>17956</v>
      </c>
      <c r="J2999" s="947" t="s">
        <v>17957</v>
      </c>
      <c r="K2999" s="143"/>
    </row>
    <row r="3000" spans="1:11">
      <c r="A3000" s="946" t="s">
        <v>28620</v>
      </c>
      <c r="B3000" s="947" t="s">
        <v>18093</v>
      </c>
      <c r="C3000" s="948" t="s">
        <v>18091</v>
      </c>
      <c r="D3000" s="242" t="s">
        <v>552</v>
      </c>
      <c r="E3000" s="949">
        <v>506</v>
      </c>
      <c r="F3000" s="949">
        <v>506</v>
      </c>
      <c r="G3000" s="950" t="s">
        <v>21795</v>
      </c>
      <c r="H3000" s="950" t="s">
        <v>553</v>
      </c>
      <c r="I3000" s="951" t="s">
        <v>18092</v>
      </c>
      <c r="J3000" s="947" t="s">
        <v>18093</v>
      </c>
      <c r="K3000" s="143"/>
    </row>
    <row r="3001" spans="1:11">
      <c r="A3001" s="946" t="s">
        <v>28620</v>
      </c>
      <c r="B3001" s="947" t="s">
        <v>18099</v>
      </c>
      <c r="C3001" s="948" t="s">
        <v>18097</v>
      </c>
      <c r="D3001" s="242" t="s">
        <v>552</v>
      </c>
      <c r="E3001" s="949">
        <v>506</v>
      </c>
      <c r="F3001" s="949">
        <v>506</v>
      </c>
      <c r="G3001" s="950" t="s">
        <v>21795</v>
      </c>
      <c r="H3001" s="950" t="s">
        <v>553</v>
      </c>
      <c r="I3001" s="951" t="s">
        <v>18098</v>
      </c>
      <c r="J3001" s="947" t="s">
        <v>18099</v>
      </c>
      <c r="K3001" s="143"/>
    </row>
    <row r="3002" spans="1:11">
      <c r="A3002" s="946" t="s">
        <v>28620</v>
      </c>
      <c r="B3002" s="947" t="s">
        <v>18591</v>
      </c>
      <c r="C3002" s="948" t="s">
        <v>18589</v>
      </c>
      <c r="D3002" s="242" t="s">
        <v>552</v>
      </c>
      <c r="E3002" s="949">
        <v>506</v>
      </c>
      <c r="F3002" s="949">
        <v>506</v>
      </c>
      <c r="G3002" s="950" t="s">
        <v>21795</v>
      </c>
      <c r="H3002" s="950" t="s">
        <v>553</v>
      </c>
      <c r="I3002" s="951" t="s">
        <v>18590</v>
      </c>
      <c r="J3002" s="947" t="s">
        <v>18591</v>
      </c>
      <c r="K3002" s="143"/>
    </row>
    <row r="3003" spans="1:11">
      <c r="A3003" s="946" t="s">
        <v>28620</v>
      </c>
      <c r="B3003" s="947" t="s">
        <v>18665</v>
      </c>
      <c r="C3003" s="948" t="s">
        <v>18663</v>
      </c>
      <c r="D3003" s="242" t="s">
        <v>552</v>
      </c>
      <c r="E3003" s="949">
        <v>506</v>
      </c>
      <c r="F3003" s="949">
        <v>506</v>
      </c>
      <c r="G3003" s="950" t="s">
        <v>21795</v>
      </c>
      <c r="H3003" s="950" t="s">
        <v>553</v>
      </c>
      <c r="I3003" s="951" t="s">
        <v>18664</v>
      </c>
      <c r="J3003" s="947" t="s">
        <v>18665</v>
      </c>
      <c r="K3003" s="143"/>
    </row>
    <row r="3004" spans="1:11">
      <c r="A3004" s="946" t="s">
        <v>28620</v>
      </c>
      <c r="B3004" s="947" t="s">
        <v>18314</v>
      </c>
      <c r="C3004" s="948" t="s">
        <v>18312</v>
      </c>
      <c r="D3004" s="242" t="s">
        <v>552</v>
      </c>
      <c r="E3004" s="949">
        <v>506</v>
      </c>
      <c r="F3004" s="949">
        <v>506</v>
      </c>
      <c r="G3004" s="950" t="s">
        <v>21795</v>
      </c>
      <c r="H3004" s="950" t="s">
        <v>553</v>
      </c>
      <c r="I3004" s="951" t="s">
        <v>18313</v>
      </c>
      <c r="J3004" s="947" t="s">
        <v>18314</v>
      </c>
      <c r="K3004" s="143"/>
    </row>
    <row r="3005" spans="1:11">
      <c r="A3005" s="946" t="s">
        <v>28620</v>
      </c>
      <c r="B3005" s="947" t="s">
        <v>19220</v>
      </c>
      <c r="C3005" s="948" t="s">
        <v>19218</v>
      </c>
      <c r="D3005" s="242" t="s">
        <v>552</v>
      </c>
      <c r="E3005" s="949">
        <v>506</v>
      </c>
      <c r="F3005" s="949">
        <v>506</v>
      </c>
      <c r="G3005" s="950" t="s">
        <v>21795</v>
      </c>
      <c r="H3005" s="950" t="s">
        <v>553</v>
      </c>
      <c r="I3005" s="951" t="s">
        <v>19219</v>
      </c>
      <c r="J3005" s="947" t="s">
        <v>19220</v>
      </c>
      <c r="K3005" s="143"/>
    </row>
    <row r="3006" spans="1:11">
      <c r="A3006" s="946" t="s">
        <v>28620</v>
      </c>
      <c r="B3006" s="947" t="s">
        <v>19601</v>
      </c>
      <c r="C3006" s="948" t="s">
        <v>19599</v>
      </c>
      <c r="D3006" s="242" t="s">
        <v>552</v>
      </c>
      <c r="E3006" s="949">
        <v>506</v>
      </c>
      <c r="F3006" s="949">
        <v>506</v>
      </c>
      <c r="G3006" s="950" t="s">
        <v>21795</v>
      </c>
      <c r="H3006" s="950" t="s">
        <v>553</v>
      </c>
      <c r="I3006" s="951" t="s">
        <v>19600</v>
      </c>
      <c r="J3006" s="947" t="s">
        <v>19601</v>
      </c>
      <c r="K3006" s="143"/>
    </row>
    <row r="3007" spans="1:11">
      <c r="A3007" s="946" t="s">
        <v>28620</v>
      </c>
      <c r="B3007" s="947" t="s">
        <v>19693</v>
      </c>
      <c r="C3007" s="948" t="s">
        <v>19691</v>
      </c>
      <c r="D3007" s="242" t="s">
        <v>552</v>
      </c>
      <c r="E3007" s="949">
        <v>506</v>
      </c>
      <c r="F3007" s="949">
        <v>506</v>
      </c>
      <c r="G3007" s="950" t="s">
        <v>21795</v>
      </c>
      <c r="H3007" s="950" t="s">
        <v>553</v>
      </c>
      <c r="I3007" s="951" t="s">
        <v>19692</v>
      </c>
      <c r="J3007" s="947" t="s">
        <v>19693</v>
      </c>
      <c r="K3007" s="143"/>
    </row>
    <row r="3008" spans="1:11">
      <c r="A3008" s="946" t="s">
        <v>28620</v>
      </c>
      <c r="B3008" s="947" t="s">
        <v>19708</v>
      </c>
      <c r="C3008" s="948" t="s">
        <v>19706</v>
      </c>
      <c r="D3008" s="242" t="s">
        <v>552</v>
      </c>
      <c r="E3008" s="949">
        <v>506</v>
      </c>
      <c r="F3008" s="949">
        <v>506</v>
      </c>
      <c r="G3008" s="950" t="s">
        <v>21795</v>
      </c>
      <c r="H3008" s="950" t="s">
        <v>553</v>
      </c>
      <c r="I3008" s="951" t="s">
        <v>19707</v>
      </c>
      <c r="J3008" s="947" t="s">
        <v>19708</v>
      </c>
      <c r="K3008" s="143"/>
    </row>
    <row r="3009" spans="1:11">
      <c r="A3009" s="946" t="s">
        <v>28620</v>
      </c>
      <c r="B3009" s="947" t="s">
        <v>19754</v>
      </c>
      <c r="C3009" s="948" t="s">
        <v>19752</v>
      </c>
      <c r="D3009" s="242" t="s">
        <v>552</v>
      </c>
      <c r="E3009" s="949">
        <v>506</v>
      </c>
      <c r="F3009" s="949">
        <v>506</v>
      </c>
      <c r="G3009" s="950" t="s">
        <v>21795</v>
      </c>
      <c r="H3009" s="950" t="s">
        <v>553</v>
      </c>
      <c r="I3009" s="951" t="s">
        <v>19753</v>
      </c>
      <c r="J3009" s="947" t="s">
        <v>19754</v>
      </c>
      <c r="K3009" s="143"/>
    </row>
    <row r="3010" spans="1:11">
      <c r="A3010" s="946" t="s">
        <v>28620</v>
      </c>
      <c r="B3010" s="947" t="s">
        <v>20401</v>
      </c>
      <c r="C3010" s="948" t="s">
        <v>20399</v>
      </c>
      <c r="D3010" s="242" t="s">
        <v>552</v>
      </c>
      <c r="E3010" s="949">
        <v>506</v>
      </c>
      <c r="F3010" s="949">
        <v>506</v>
      </c>
      <c r="G3010" s="950" t="s">
        <v>21795</v>
      </c>
      <c r="H3010" s="950" t="s">
        <v>553</v>
      </c>
      <c r="I3010" s="951" t="s">
        <v>20400</v>
      </c>
      <c r="J3010" s="947" t="s">
        <v>20401</v>
      </c>
      <c r="K3010" s="143"/>
    </row>
    <row r="3011" spans="1:11">
      <c r="A3011" s="946" t="s">
        <v>28620</v>
      </c>
      <c r="B3011" s="947" t="s">
        <v>20738</v>
      </c>
      <c r="C3011" s="948" t="s">
        <v>20736</v>
      </c>
      <c r="D3011" s="242" t="s">
        <v>552</v>
      </c>
      <c r="E3011" s="949">
        <v>506</v>
      </c>
      <c r="F3011" s="949">
        <v>506</v>
      </c>
      <c r="G3011" s="950" t="s">
        <v>21795</v>
      </c>
      <c r="H3011" s="950" t="s">
        <v>553</v>
      </c>
      <c r="I3011" s="951" t="s">
        <v>20737</v>
      </c>
      <c r="J3011" s="947" t="s">
        <v>20738</v>
      </c>
      <c r="K3011" s="143"/>
    </row>
    <row r="3012" spans="1:11">
      <c r="A3012" s="946" t="s">
        <v>28620</v>
      </c>
      <c r="B3012" s="947" t="s">
        <v>20913</v>
      </c>
      <c r="C3012" s="948" t="s">
        <v>20911</v>
      </c>
      <c r="D3012" s="242" t="s">
        <v>552</v>
      </c>
      <c r="E3012" s="949">
        <v>506</v>
      </c>
      <c r="F3012" s="949">
        <v>506</v>
      </c>
      <c r="G3012" s="950" t="s">
        <v>21795</v>
      </c>
      <c r="H3012" s="950" t="s">
        <v>553</v>
      </c>
      <c r="I3012" s="951" t="s">
        <v>20912</v>
      </c>
      <c r="J3012" s="947" t="s">
        <v>20913</v>
      </c>
      <c r="K3012" s="143"/>
    </row>
    <row r="3013" spans="1:11">
      <c r="A3013" s="946" t="s">
        <v>28620</v>
      </c>
      <c r="B3013" s="947" t="s">
        <v>20959</v>
      </c>
      <c r="C3013" s="948" t="s">
        <v>20957</v>
      </c>
      <c r="D3013" s="242" t="s">
        <v>552</v>
      </c>
      <c r="E3013" s="949">
        <v>506</v>
      </c>
      <c r="F3013" s="949">
        <v>506</v>
      </c>
      <c r="G3013" s="950" t="s">
        <v>21795</v>
      </c>
      <c r="H3013" s="950" t="s">
        <v>553</v>
      </c>
      <c r="I3013" s="951" t="s">
        <v>20958</v>
      </c>
      <c r="J3013" s="947" t="s">
        <v>20959</v>
      </c>
      <c r="K3013" s="143"/>
    </row>
    <row r="3014" spans="1:11">
      <c r="A3014" s="946" t="s">
        <v>28620</v>
      </c>
      <c r="B3014" s="947" t="s">
        <v>21342</v>
      </c>
      <c r="C3014" s="948" t="s">
        <v>21340</v>
      </c>
      <c r="D3014" s="242" t="s">
        <v>552</v>
      </c>
      <c r="E3014" s="949">
        <v>506</v>
      </c>
      <c r="F3014" s="949">
        <v>506</v>
      </c>
      <c r="G3014" s="950" t="s">
        <v>21795</v>
      </c>
      <c r="H3014" s="950" t="s">
        <v>553</v>
      </c>
      <c r="I3014" s="951" t="s">
        <v>21341</v>
      </c>
      <c r="J3014" s="947" t="s">
        <v>21342</v>
      </c>
      <c r="K3014" s="143"/>
    </row>
    <row r="3015" spans="1:11">
      <c r="A3015" s="946" t="s">
        <v>28620</v>
      </c>
      <c r="B3015" s="947" t="s">
        <v>21670</v>
      </c>
      <c r="C3015" s="948" t="s">
        <v>21668</v>
      </c>
      <c r="D3015" s="242" t="s">
        <v>552</v>
      </c>
      <c r="E3015" s="949">
        <v>506</v>
      </c>
      <c r="F3015" s="949">
        <v>506</v>
      </c>
      <c r="G3015" s="950" t="s">
        <v>21795</v>
      </c>
      <c r="H3015" s="950" t="s">
        <v>553</v>
      </c>
      <c r="I3015" s="951" t="s">
        <v>21669</v>
      </c>
      <c r="J3015" s="947" t="s">
        <v>21670</v>
      </c>
      <c r="K3015" s="143"/>
    </row>
    <row r="3016" spans="1:11">
      <c r="A3016" s="946" t="s">
        <v>28620</v>
      </c>
      <c r="B3016" s="947" t="s">
        <v>21795</v>
      </c>
      <c r="C3016" s="948" t="s">
        <v>21793</v>
      </c>
      <c r="D3016" s="242" t="s">
        <v>552</v>
      </c>
      <c r="E3016" s="949">
        <v>506</v>
      </c>
      <c r="F3016" s="949">
        <v>506</v>
      </c>
      <c r="G3016" s="950" t="s">
        <v>21795</v>
      </c>
      <c r="H3016" s="950" t="s">
        <v>553</v>
      </c>
      <c r="I3016" s="951" t="s">
        <v>21794</v>
      </c>
      <c r="J3016" s="947" t="s">
        <v>21795</v>
      </c>
      <c r="K3016" s="143"/>
    </row>
    <row r="3017" spans="1:11">
      <c r="A3017" s="946" t="s">
        <v>28620</v>
      </c>
      <c r="B3017" s="947" t="s">
        <v>21798</v>
      </c>
      <c r="C3017" s="948" t="s">
        <v>21796</v>
      </c>
      <c r="D3017" s="242" t="s">
        <v>552</v>
      </c>
      <c r="E3017" s="949">
        <v>506</v>
      </c>
      <c r="F3017" s="949">
        <v>506</v>
      </c>
      <c r="G3017" s="950" t="s">
        <v>21795</v>
      </c>
      <c r="H3017" s="950" t="s">
        <v>553</v>
      </c>
      <c r="I3017" s="951" t="s">
        <v>21797</v>
      </c>
      <c r="J3017" s="947" t="s">
        <v>21798</v>
      </c>
      <c r="K3017" s="143"/>
    </row>
    <row r="3018" spans="1:11">
      <c r="A3018" s="946" t="s">
        <v>28620</v>
      </c>
      <c r="B3018" s="947" t="s">
        <v>21854</v>
      </c>
      <c r="C3018" s="948" t="s">
        <v>21852</v>
      </c>
      <c r="D3018" s="242" t="s">
        <v>552</v>
      </c>
      <c r="E3018" s="949">
        <v>506</v>
      </c>
      <c r="F3018" s="949">
        <v>506</v>
      </c>
      <c r="G3018" s="950" t="s">
        <v>21795</v>
      </c>
      <c r="H3018" s="950" t="s">
        <v>553</v>
      </c>
      <c r="I3018" s="951" t="s">
        <v>21853</v>
      </c>
      <c r="J3018" s="947" t="s">
        <v>21854</v>
      </c>
      <c r="K3018" s="143"/>
    </row>
    <row r="3019" spans="1:11">
      <c r="A3019" s="946" t="s">
        <v>28620</v>
      </c>
      <c r="B3019" s="947" t="s">
        <v>21978</v>
      </c>
      <c r="C3019" s="948" t="s">
        <v>21976</v>
      </c>
      <c r="D3019" s="242" t="s">
        <v>552</v>
      </c>
      <c r="E3019" s="949">
        <v>506</v>
      </c>
      <c r="F3019" s="949">
        <v>506</v>
      </c>
      <c r="G3019" s="950" t="s">
        <v>21795</v>
      </c>
      <c r="H3019" s="950" t="s">
        <v>553</v>
      </c>
      <c r="I3019" s="951" t="s">
        <v>21977</v>
      </c>
      <c r="J3019" s="947" t="s">
        <v>21978</v>
      </c>
      <c r="K3019" s="143"/>
    </row>
    <row r="3020" spans="1:11">
      <c r="A3020" s="946" t="s">
        <v>28620</v>
      </c>
      <c r="B3020" s="947" t="s">
        <v>22046</v>
      </c>
      <c r="C3020" s="948" t="s">
        <v>22044</v>
      </c>
      <c r="D3020" s="242" t="s">
        <v>552</v>
      </c>
      <c r="E3020" s="949">
        <v>506</v>
      </c>
      <c r="F3020" s="949">
        <v>506</v>
      </c>
      <c r="G3020" s="950" t="s">
        <v>21795</v>
      </c>
      <c r="H3020" s="950" t="s">
        <v>553</v>
      </c>
      <c r="I3020" s="951" t="s">
        <v>22045</v>
      </c>
      <c r="J3020" s="947" t="s">
        <v>22046</v>
      </c>
      <c r="K3020" s="143"/>
    </row>
    <row r="3021" spans="1:11">
      <c r="A3021" s="946" t="s">
        <v>28620</v>
      </c>
      <c r="B3021" s="947" t="s">
        <v>22173</v>
      </c>
      <c r="C3021" s="948" t="s">
        <v>22171</v>
      </c>
      <c r="D3021" s="242" t="s">
        <v>552</v>
      </c>
      <c r="E3021" s="949">
        <v>506</v>
      </c>
      <c r="F3021" s="949">
        <v>506</v>
      </c>
      <c r="G3021" s="950" t="s">
        <v>21795</v>
      </c>
      <c r="H3021" s="950" t="s">
        <v>553</v>
      </c>
      <c r="I3021" s="951" t="s">
        <v>22172</v>
      </c>
      <c r="J3021" s="947" t="s">
        <v>22173</v>
      </c>
      <c r="K3021" s="143"/>
    </row>
    <row r="3022" spans="1:11">
      <c r="A3022" s="946" t="s">
        <v>28620</v>
      </c>
      <c r="B3022" s="947" t="s">
        <v>22617</v>
      </c>
      <c r="C3022" s="948" t="s">
        <v>22615</v>
      </c>
      <c r="D3022" s="242" t="s">
        <v>552</v>
      </c>
      <c r="E3022" s="949">
        <v>506</v>
      </c>
      <c r="F3022" s="949">
        <v>506</v>
      </c>
      <c r="G3022" s="950" t="s">
        <v>21795</v>
      </c>
      <c r="H3022" s="950" t="s">
        <v>553</v>
      </c>
      <c r="I3022" s="951" t="s">
        <v>22616</v>
      </c>
      <c r="J3022" s="947" t="s">
        <v>22617</v>
      </c>
      <c r="K3022" s="143"/>
    </row>
    <row r="3023" spans="1:11">
      <c r="A3023" s="946" t="s">
        <v>28620</v>
      </c>
      <c r="B3023" s="947" t="s">
        <v>22632</v>
      </c>
      <c r="C3023" s="948" t="s">
        <v>22630</v>
      </c>
      <c r="D3023" s="242" t="s">
        <v>552</v>
      </c>
      <c r="E3023" s="949">
        <v>506</v>
      </c>
      <c r="F3023" s="949">
        <v>506</v>
      </c>
      <c r="G3023" s="950" t="s">
        <v>21795</v>
      </c>
      <c r="H3023" s="950" t="s">
        <v>553</v>
      </c>
      <c r="I3023" s="951" t="s">
        <v>22631</v>
      </c>
      <c r="J3023" s="947" t="s">
        <v>22632</v>
      </c>
      <c r="K3023" s="143"/>
    </row>
    <row r="3024" spans="1:11">
      <c r="A3024" s="946" t="s">
        <v>28620</v>
      </c>
      <c r="B3024" s="947" t="s">
        <v>662</v>
      </c>
      <c r="C3024" s="948" t="s">
        <v>660</v>
      </c>
      <c r="D3024" s="242" t="s">
        <v>327</v>
      </c>
      <c r="E3024" s="949">
        <v>502</v>
      </c>
      <c r="F3024" s="949">
        <v>502</v>
      </c>
      <c r="G3024" s="950" t="s">
        <v>21922</v>
      </c>
      <c r="H3024" s="950" t="s">
        <v>186</v>
      </c>
      <c r="I3024" s="951" t="s">
        <v>661</v>
      </c>
      <c r="J3024" s="947" t="s">
        <v>662</v>
      </c>
      <c r="K3024" s="143"/>
    </row>
    <row r="3025" spans="1:11">
      <c r="A3025" s="946" t="s">
        <v>28620</v>
      </c>
      <c r="B3025" s="947" t="s">
        <v>813</v>
      </c>
      <c r="C3025" s="948" t="s">
        <v>811</v>
      </c>
      <c r="D3025" s="242" t="s">
        <v>327</v>
      </c>
      <c r="E3025" s="949">
        <v>502</v>
      </c>
      <c r="F3025" s="949">
        <v>502</v>
      </c>
      <c r="G3025" s="950" t="s">
        <v>21922</v>
      </c>
      <c r="H3025" s="950" t="s">
        <v>186</v>
      </c>
      <c r="I3025" s="951" t="s">
        <v>812</v>
      </c>
      <c r="J3025" s="947" t="s">
        <v>813</v>
      </c>
      <c r="K3025" s="143"/>
    </row>
    <row r="3026" spans="1:11">
      <c r="A3026" s="946" t="s">
        <v>28620</v>
      </c>
      <c r="B3026" s="947" t="s">
        <v>974</v>
      </c>
      <c r="C3026" s="948" t="s">
        <v>972</v>
      </c>
      <c r="D3026" s="242" t="s">
        <v>327</v>
      </c>
      <c r="E3026" s="949">
        <v>502</v>
      </c>
      <c r="F3026" s="949">
        <v>502</v>
      </c>
      <c r="G3026" s="950" t="s">
        <v>21922</v>
      </c>
      <c r="H3026" s="950" t="s">
        <v>186</v>
      </c>
      <c r="I3026" s="951" t="s">
        <v>973</v>
      </c>
      <c r="J3026" s="947" t="s">
        <v>974</v>
      </c>
      <c r="K3026" s="143"/>
    </row>
    <row r="3027" spans="1:11">
      <c r="A3027" s="946" t="s">
        <v>28620</v>
      </c>
      <c r="B3027" s="947" t="s">
        <v>1007</v>
      </c>
      <c r="C3027" s="948" t="s">
        <v>1005</v>
      </c>
      <c r="D3027" s="242" t="s">
        <v>327</v>
      </c>
      <c r="E3027" s="949">
        <v>502</v>
      </c>
      <c r="F3027" s="949">
        <v>502</v>
      </c>
      <c r="G3027" s="950" t="s">
        <v>21922</v>
      </c>
      <c r="H3027" s="950" t="s">
        <v>186</v>
      </c>
      <c r="I3027" s="951" t="s">
        <v>1006</v>
      </c>
      <c r="J3027" s="947" t="s">
        <v>1007</v>
      </c>
      <c r="K3027" s="143"/>
    </row>
    <row r="3028" spans="1:11">
      <c r="A3028" s="946" t="s">
        <v>28620</v>
      </c>
      <c r="B3028" s="947" t="s">
        <v>1020</v>
      </c>
      <c r="C3028" s="948" t="s">
        <v>1018</v>
      </c>
      <c r="D3028" s="242" t="s">
        <v>626</v>
      </c>
      <c r="E3028" s="949">
        <v>507</v>
      </c>
      <c r="F3028" s="949">
        <v>507</v>
      </c>
      <c r="G3028" s="950" t="s">
        <v>21922</v>
      </c>
      <c r="H3028" s="950" t="s">
        <v>186</v>
      </c>
      <c r="I3028" s="951" t="s">
        <v>1019</v>
      </c>
      <c r="J3028" s="947" t="s">
        <v>1020</v>
      </c>
      <c r="K3028" s="143"/>
    </row>
    <row r="3029" spans="1:11">
      <c r="A3029" s="946" t="s">
        <v>28620</v>
      </c>
      <c r="B3029" s="947" t="s">
        <v>1351</v>
      </c>
      <c r="C3029" s="948" t="s">
        <v>1349</v>
      </c>
      <c r="D3029" s="242" t="s">
        <v>327</v>
      </c>
      <c r="E3029" s="949">
        <v>502</v>
      </c>
      <c r="F3029" s="949">
        <v>502</v>
      </c>
      <c r="G3029" s="950" t="s">
        <v>21922</v>
      </c>
      <c r="H3029" s="950" t="s">
        <v>186</v>
      </c>
      <c r="I3029" s="951" t="s">
        <v>1350</v>
      </c>
      <c r="J3029" s="947" t="s">
        <v>1351</v>
      </c>
      <c r="K3029" s="143"/>
    </row>
    <row r="3030" spans="1:11">
      <c r="A3030" s="946" t="s">
        <v>28620</v>
      </c>
      <c r="B3030" s="947" t="s">
        <v>1500</v>
      </c>
      <c r="C3030" s="948" t="s">
        <v>1498</v>
      </c>
      <c r="D3030" s="242" t="s">
        <v>327</v>
      </c>
      <c r="E3030" s="949">
        <v>502</v>
      </c>
      <c r="F3030" s="949">
        <v>502</v>
      </c>
      <c r="G3030" s="950" t="s">
        <v>21922</v>
      </c>
      <c r="H3030" s="950" t="s">
        <v>186</v>
      </c>
      <c r="I3030" s="951" t="s">
        <v>1499</v>
      </c>
      <c r="J3030" s="947" t="s">
        <v>1500</v>
      </c>
      <c r="K3030" s="143"/>
    </row>
    <row r="3031" spans="1:11">
      <c r="A3031" s="946" t="s">
        <v>28620</v>
      </c>
      <c r="B3031" s="947" t="s">
        <v>1535</v>
      </c>
      <c r="C3031" s="948" t="s">
        <v>1533</v>
      </c>
      <c r="D3031" s="242" t="s">
        <v>626</v>
      </c>
      <c r="E3031" s="949">
        <v>507</v>
      </c>
      <c r="F3031" s="949">
        <v>507</v>
      </c>
      <c r="G3031" s="950" t="s">
        <v>21922</v>
      </c>
      <c r="H3031" s="950" t="s">
        <v>186</v>
      </c>
      <c r="I3031" s="951" t="s">
        <v>1534</v>
      </c>
      <c r="J3031" s="947" t="s">
        <v>1535</v>
      </c>
      <c r="K3031" s="143"/>
    </row>
    <row r="3032" spans="1:11">
      <c r="A3032" s="946" t="s">
        <v>28620</v>
      </c>
      <c r="B3032" s="947" t="s">
        <v>1553</v>
      </c>
      <c r="C3032" s="948" t="s">
        <v>1551</v>
      </c>
      <c r="D3032" s="242" t="s">
        <v>615</v>
      </c>
      <c r="E3032" s="949">
        <v>503</v>
      </c>
      <c r="F3032" s="949">
        <v>503</v>
      </c>
      <c r="G3032" s="950" t="s">
        <v>21922</v>
      </c>
      <c r="H3032" s="950" t="s">
        <v>186</v>
      </c>
      <c r="I3032" s="951" t="s">
        <v>1552</v>
      </c>
      <c r="J3032" s="947" t="s">
        <v>1553</v>
      </c>
      <c r="K3032" s="143"/>
    </row>
    <row r="3033" spans="1:11">
      <c r="A3033" s="946" t="s">
        <v>28620</v>
      </c>
      <c r="B3033" s="947" t="s">
        <v>1556</v>
      </c>
      <c r="C3033" s="948" t="s">
        <v>1554</v>
      </c>
      <c r="D3033" s="242" t="s">
        <v>327</v>
      </c>
      <c r="E3033" s="949">
        <v>502</v>
      </c>
      <c r="F3033" s="949">
        <v>502</v>
      </c>
      <c r="G3033" s="950" t="s">
        <v>21922</v>
      </c>
      <c r="H3033" s="950" t="s">
        <v>186</v>
      </c>
      <c r="I3033" s="951" t="s">
        <v>1555</v>
      </c>
      <c r="J3033" s="947" t="s">
        <v>1556</v>
      </c>
      <c r="K3033" s="143"/>
    </row>
    <row r="3034" spans="1:11">
      <c r="A3034" s="946" t="s">
        <v>28620</v>
      </c>
      <c r="B3034" s="947" t="s">
        <v>2078</v>
      </c>
      <c r="C3034" s="948" t="s">
        <v>2076</v>
      </c>
      <c r="D3034" s="242" t="s">
        <v>615</v>
      </c>
      <c r="E3034" s="949">
        <v>503</v>
      </c>
      <c r="F3034" s="949">
        <v>503</v>
      </c>
      <c r="G3034" s="950" t="s">
        <v>21922</v>
      </c>
      <c r="H3034" s="950" t="s">
        <v>186</v>
      </c>
      <c r="I3034" s="951" t="s">
        <v>2077</v>
      </c>
      <c r="J3034" s="947" t="s">
        <v>2078</v>
      </c>
      <c r="K3034" s="143"/>
    </row>
    <row r="3035" spans="1:11">
      <c r="A3035" s="946" t="s">
        <v>28620</v>
      </c>
      <c r="B3035" s="947" t="s">
        <v>2605</v>
      </c>
      <c r="C3035" s="948" t="s">
        <v>2603</v>
      </c>
      <c r="D3035" s="242" t="s">
        <v>327</v>
      </c>
      <c r="E3035" s="949">
        <v>502</v>
      </c>
      <c r="F3035" s="949">
        <v>502</v>
      </c>
      <c r="G3035" s="950" t="s">
        <v>21922</v>
      </c>
      <c r="H3035" s="950" t="s">
        <v>186</v>
      </c>
      <c r="I3035" s="951" t="s">
        <v>2604</v>
      </c>
      <c r="J3035" s="947" t="s">
        <v>2605</v>
      </c>
      <c r="K3035" s="143"/>
    </row>
    <row r="3036" spans="1:11">
      <c r="A3036" s="946" t="s">
        <v>28620</v>
      </c>
      <c r="B3036" s="947" t="s">
        <v>2980</v>
      </c>
      <c r="C3036" s="948" t="s">
        <v>2978</v>
      </c>
      <c r="D3036" s="242" t="s">
        <v>327</v>
      </c>
      <c r="E3036" s="949">
        <v>502</v>
      </c>
      <c r="F3036" s="949">
        <v>502</v>
      </c>
      <c r="G3036" s="950" t="s">
        <v>21922</v>
      </c>
      <c r="H3036" s="950" t="s">
        <v>186</v>
      </c>
      <c r="I3036" s="951" t="s">
        <v>2979</v>
      </c>
      <c r="J3036" s="947" t="s">
        <v>2980</v>
      </c>
      <c r="K3036" s="143"/>
    </row>
    <row r="3037" spans="1:11">
      <c r="A3037" s="946" t="s">
        <v>28620</v>
      </c>
      <c r="B3037" s="947" t="s">
        <v>2998</v>
      </c>
      <c r="C3037" s="948" t="s">
        <v>2996</v>
      </c>
      <c r="D3037" s="242" t="s">
        <v>626</v>
      </c>
      <c r="E3037" s="949">
        <v>507</v>
      </c>
      <c r="F3037" s="949">
        <v>507</v>
      </c>
      <c r="G3037" s="950" t="s">
        <v>21922</v>
      </c>
      <c r="H3037" s="950" t="s">
        <v>186</v>
      </c>
      <c r="I3037" s="951" t="s">
        <v>2997</v>
      </c>
      <c r="J3037" s="947" t="s">
        <v>2998</v>
      </c>
      <c r="K3037" s="143"/>
    </row>
    <row r="3038" spans="1:11">
      <c r="A3038" s="946" t="s">
        <v>28620</v>
      </c>
      <c r="B3038" s="947" t="s">
        <v>3031</v>
      </c>
      <c r="C3038" s="948" t="s">
        <v>3029</v>
      </c>
      <c r="D3038" s="242" t="s">
        <v>327</v>
      </c>
      <c r="E3038" s="949">
        <v>502</v>
      </c>
      <c r="F3038" s="949">
        <v>502</v>
      </c>
      <c r="G3038" s="950" t="s">
        <v>21922</v>
      </c>
      <c r="H3038" s="950" t="s">
        <v>186</v>
      </c>
      <c r="I3038" s="951" t="s">
        <v>3030</v>
      </c>
      <c r="J3038" s="947" t="s">
        <v>3031</v>
      </c>
      <c r="K3038" s="143"/>
    </row>
    <row r="3039" spans="1:11">
      <c r="A3039" s="946" t="s">
        <v>28620</v>
      </c>
      <c r="B3039" s="947" t="s">
        <v>3102</v>
      </c>
      <c r="C3039" s="948" t="s">
        <v>3100</v>
      </c>
      <c r="D3039" s="242" t="s">
        <v>327</v>
      </c>
      <c r="E3039" s="949">
        <v>502</v>
      </c>
      <c r="F3039" s="949">
        <v>502</v>
      </c>
      <c r="G3039" s="950" t="s">
        <v>21922</v>
      </c>
      <c r="H3039" s="950" t="s">
        <v>186</v>
      </c>
      <c r="I3039" s="951" t="s">
        <v>3101</v>
      </c>
      <c r="J3039" s="947" t="s">
        <v>3102</v>
      </c>
      <c r="K3039" s="143"/>
    </row>
    <row r="3040" spans="1:11">
      <c r="A3040" s="946" t="s">
        <v>28620</v>
      </c>
      <c r="B3040" s="947" t="s">
        <v>3481</v>
      </c>
      <c r="C3040" s="948" t="s">
        <v>3479</v>
      </c>
      <c r="D3040" s="242" t="s">
        <v>327</v>
      </c>
      <c r="E3040" s="949">
        <v>502</v>
      </c>
      <c r="F3040" s="949">
        <v>502</v>
      </c>
      <c r="G3040" s="950" t="s">
        <v>21922</v>
      </c>
      <c r="H3040" s="950" t="s">
        <v>186</v>
      </c>
      <c r="I3040" s="951" t="s">
        <v>3480</v>
      </c>
      <c r="J3040" s="947" t="s">
        <v>3481</v>
      </c>
      <c r="K3040" s="143"/>
    </row>
    <row r="3041" spans="1:11">
      <c r="A3041" s="946" t="s">
        <v>28620</v>
      </c>
      <c r="B3041" s="947" t="s">
        <v>3546</v>
      </c>
      <c r="C3041" s="948" t="s">
        <v>3544</v>
      </c>
      <c r="D3041" s="242" t="s">
        <v>327</v>
      </c>
      <c r="E3041" s="949">
        <v>502</v>
      </c>
      <c r="F3041" s="949">
        <v>502</v>
      </c>
      <c r="G3041" s="950" t="s">
        <v>21922</v>
      </c>
      <c r="H3041" s="950" t="s">
        <v>186</v>
      </c>
      <c r="I3041" s="951" t="s">
        <v>3545</v>
      </c>
      <c r="J3041" s="947" t="s">
        <v>3546</v>
      </c>
      <c r="K3041" s="143"/>
    </row>
    <row r="3042" spans="1:11">
      <c r="A3042" s="946" t="s">
        <v>28620</v>
      </c>
      <c r="B3042" s="947" t="s">
        <v>3567</v>
      </c>
      <c r="C3042" s="948" t="s">
        <v>3565</v>
      </c>
      <c r="D3042" s="242" t="s">
        <v>327</v>
      </c>
      <c r="E3042" s="949">
        <v>502</v>
      </c>
      <c r="F3042" s="949">
        <v>502</v>
      </c>
      <c r="G3042" s="950" t="s">
        <v>21922</v>
      </c>
      <c r="H3042" s="950" t="s">
        <v>186</v>
      </c>
      <c r="I3042" s="951" t="s">
        <v>3566</v>
      </c>
      <c r="J3042" s="947" t="s">
        <v>3567</v>
      </c>
      <c r="K3042" s="143"/>
    </row>
    <row r="3043" spans="1:11">
      <c r="A3043" s="946" t="s">
        <v>28620</v>
      </c>
      <c r="B3043" s="947" t="s">
        <v>3662</v>
      </c>
      <c r="C3043" s="948" t="s">
        <v>3660</v>
      </c>
      <c r="D3043" s="242" t="s">
        <v>327</v>
      </c>
      <c r="E3043" s="949">
        <v>502</v>
      </c>
      <c r="F3043" s="949">
        <v>502</v>
      </c>
      <c r="G3043" s="950" t="s">
        <v>21922</v>
      </c>
      <c r="H3043" s="950" t="s">
        <v>186</v>
      </c>
      <c r="I3043" s="951" t="s">
        <v>3661</v>
      </c>
      <c r="J3043" s="947" t="s">
        <v>3662</v>
      </c>
      <c r="K3043" s="143"/>
    </row>
    <row r="3044" spans="1:11">
      <c r="A3044" s="946" t="s">
        <v>28620</v>
      </c>
      <c r="B3044" s="947" t="s">
        <v>3711</v>
      </c>
      <c r="C3044" s="948" t="s">
        <v>3709</v>
      </c>
      <c r="D3044" s="242" t="s">
        <v>327</v>
      </c>
      <c r="E3044" s="949">
        <v>502</v>
      </c>
      <c r="F3044" s="949">
        <v>502</v>
      </c>
      <c r="G3044" s="950" t="s">
        <v>21922</v>
      </c>
      <c r="H3044" s="950" t="s">
        <v>186</v>
      </c>
      <c r="I3044" s="951" t="s">
        <v>3710</v>
      </c>
      <c r="J3044" s="947" t="s">
        <v>3711</v>
      </c>
      <c r="K3044" s="143"/>
    </row>
    <row r="3045" spans="1:11">
      <c r="A3045" s="946" t="s">
        <v>28620</v>
      </c>
      <c r="B3045" s="947" t="s">
        <v>4444</v>
      </c>
      <c r="C3045" s="948" t="s">
        <v>4442</v>
      </c>
      <c r="D3045" s="242" t="s">
        <v>327</v>
      </c>
      <c r="E3045" s="949">
        <v>502</v>
      </c>
      <c r="F3045" s="949">
        <v>502</v>
      </c>
      <c r="G3045" s="950" t="s">
        <v>21922</v>
      </c>
      <c r="H3045" s="950" t="s">
        <v>186</v>
      </c>
      <c r="I3045" s="951" t="s">
        <v>4443</v>
      </c>
      <c r="J3045" s="947" t="s">
        <v>4444</v>
      </c>
      <c r="K3045" s="143"/>
    </row>
    <row r="3046" spans="1:11">
      <c r="A3046" s="946" t="s">
        <v>28620</v>
      </c>
      <c r="B3046" s="947" t="s">
        <v>4465</v>
      </c>
      <c r="C3046" s="948" t="s">
        <v>4463</v>
      </c>
      <c r="D3046" s="242" t="s">
        <v>615</v>
      </c>
      <c r="E3046" s="949">
        <v>503</v>
      </c>
      <c r="F3046" s="949">
        <v>503</v>
      </c>
      <c r="G3046" s="950" t="s">
        <v>21922</v>
      </c>
      <c r="H3046" s="950" t="s">
        <v>186</v>
      </c>
      <c r="I3046" s="951" t="s">
        <v>4464</v>
      </c>
      <c r="J3046" s="947" t="s">
        <v>4465</v>
      </c>
      <c r="K3046" s="143"/>
    </row>
    <row r="3047" spans="1:11">
      <c r="A3047" s="946" t="s">
        <v>28620</v>
      </c>
      <c r="B3047" s="947" t="s">
        <v>4871</v>
      </c>
      <c r="C3047" s="948" t="s">
        <v>4869</v>
      </c>
      <c r="D3047" s="242" t="s">
        <v>615</v>
      </c>
      <c r="E3047" s="949">
        <v>503</v>
      </c>
      <c r="F3047" s="949">
        <v>503</v>
      </c>
      <c r="G3047" s="950" t="s">
        <v>21922</v>
      </c>
      <c r="H3047" s="950" t="s">
        <v>186</v>
      </c>
      <c r="I3047" s="951" t="s">
        <v>4870</v>
      </c>
      <c r="J3047" s="947" t="s">
        <v>4871</v>
      </c>
      <c r="K3047" s="143"/>
    </row>
    <row r="3048" spans="1:11">
      <c r="A3048" s="946" t="s">
        <v>28620</v>
      </c>
      <c r="B3048" s="947" t="s">
        <v>5114</v>
      </c>
      <c r="C3048" s="948" t="s">
        <v>5112</v>
      </c>
      <c r="D3048" s="242" t="s">
        <v>327</v>
      </c>
      <c r="E3048" s="949">
        <v>502</v>
      </c>
      <c r="F3048" s="949">
        <v>502</v>
      </c>
      <c r="G3048" s="950" t="s">
        <v>21922</v>
      </c>
      <c r="H3048" s="950" t="s">
        <v>186</v>
      </c>
      <c r="I3048" s="951" t="s">
        <v>5113</v>
      </c>
      <c r="J3048" s="947" t="s">
        <v>5114</v>
      </c>
      <c r="K3048" s="143"/>
    </row>
    <row r="3049" spans="1:11">
      <c r="A3049" s="946" t="s">
        <v>28620</v>
      </c>
      <c r="B3049" s="947" t="s">
        <v>6199</v>
      </c>
      <c r="C3049" s="948" t="s">
        <v>6197</v>
      </c>
      <c r="D3049" s="242" t="s">
        <v>626</v>
      </c>
      <c r="E3049" s="949">
        <v>507</v>
      </c>
      <c r="F3049" s="949">
        <v>507</v>
      </c>
      <c r="G3049" s="950" t="s">
        <v>21922</v>
      </c>
      <c r="H3049" s="950" t="s">
        <v>186</v>
      </c>
      <c r="I3049" s="951" t="s">
        <v>6198</v>
      </c>
      <c r="J3049" s="947" t="s">
        <v>6199</v>
      </c>
      <c r="K3049" s="143"/>
    </row>
    <row r="3050" spans="1:11">
      <c r="A3050" s="946" t="s">
        <v>28620</v>
      </c>
      <c r="B3050" s="947" t="s">
        <v>6295</v>
      </c>
      <c r="C3050" s="948" t="s">
        <v>6293</v>
      </c>
      <c r="D3050" s="242" t="s">
        <v>327</v>
      </c>
      <c r="E3050" s="949">
        <v>502</v>
      </c>
      <c r="F3050" s="949">
        <v>502</v>
      </c>
      <c r="G3050" s="950" t="s">
        <v>21922</v>
      </c>
      <c r="H3050" s="950" t="s">
        <v>186</v>
      </c>
      <c r="I3050" s="951" t="s">
        <v>6294</v>
      </c>
      <c r="J3050" s="947" t="s">
        <v>6295</v>
      </c>
      <c r="K3050" s="143"/>
    </row>
    <row r="3051" spans="1:11">
      <c r="A3051" s="946" t="s">
        <v>28620</v>
      </c>
      <c r="B3051" s="947" t="s">
        <v>6688</v>
      </c>
      <c r="C3051" s="948" t="s">
        <v>6686</v>
      </c>
      <c r="D3051" s="242" t="s">
        <v>327</v>
      </c>
      <c r="E3051" s="949">
        <v>502</v>
      </c>
      <c r="F3051" s="949">
        <v>502</v>
      </c>
      <c r="G3051" s="950" t="s">
        <v>21922</v>
      </c>
      <c r="H3051" s="950" t="s">
        <v>186</v>
      </c>
      <c r="I3051" s="951" t="s">
        <v>6687</v>
      </c>
      <c r="J3051" s="947" t="s">
        <v>6688</v>
      </c>
      <c r="K3051" s="143"/>
    </row>
    <row r="3052" spans="1:11">
      <c r="A3052" s="946" t="s">
        <v>28620</v>
      </c>
      <c r="B3052" s="947" t="s">
        <v>7102</v>
      </c>
      <c r="C3052" s="948" t="s">
        <v>7100</v>
      </c>
      <c r="D3052" s="242" t="s">
        <v>327</v>
      </c>
      <c r="E3052" s="949">
        <v>502</v>
      </c>
      <c r="F3052" s="949">
        <v>502</v>
      </c>
      <c r="G3052" s="950" t="s">
        <v>21922</v>
      </c>
      <c r="H3052" s="950" t="s">
        <v>186</v>
      </c>
      <c r="I3052" s="951" t="s">
        <v>7101</v>
      </c>
      <c r="J3052" s="947" t="s">
        <v>7102</v>
      </c>
      <c r="K3052" s="143"/>
    </row>
    <row r="3053" spans="1:11">
      <c r="A3053" s="946" t="s">
        <v>28620</v>
      </c>
      <c r="B3053" s="947" t="s">
        <v>7279</v>
      </c>
      <c r="C3053" s="948" t="s">
        <v>7277</v>
      </c>
      <c r="D3053" s="242" t="s">
        <v>327</v>
      </c>
      <c r="E3053" s="949">
        <v>502</v>
      </c>
      <c r="F3053" s="949">
        <v>502</v>
      </c>
      <c r="G3053" s="950" t="s">
        <v>21922</v>
      </c>
      <c r="H3053" s="950" t="s">
        <v>186</v>
      </c>
      <c r="I3053" s="951" t="s">
        <v>7278</v>
      </c>
      <c r="J3053" s="947" t="s">
        <v>7279</v>
      </c>
      <c r="K3053" s="143"/>
    </row>
    <row r="3054" spans="1:11">
      <c r="A3054" s="946" t="s">
        <v>28620</v>
      </c>
      <c r="B3054" s="947" t="s">
        <v>7329</v>
      </c>
      <c r="C3054" s="948" t="s">
        <v>7327</v>
      </c>
      <c r="D3054" s="242" t="s">
        <v>327</v>
      </c>
      <c r="E3054" s="949">
        <v>502</v>
      </c>
      <c r="F3054" s="949">
        <v>502</v>
      </c>
      <c r="G3054" s="950" t="s">
        <v>21922</v>
      </c>
      <c r="H3054" s="950" t="s">
        <v>186</v>
      </c>
      <c r="I3054" s="951" t="s">
        <v>7328</v>
      </c>
      <c r="J3054" s="947" t="s">
        <v>7329</v>
      </c>
      <c r="K3054" s="143"/>
    </row>
    <row r="3055" spans="1:11">
      <c r="A3055" s="946" t="s">
        <v>28620</v>
      </c>
      <c r="B3055" s="947" t="s">
        <v>7368</v>
      </c>
      <c r="C3055" s="948" t="s">
        <v>7366</v>
      </c>
      <c r="D3055" s="242" t="s">
        <v>626</v>
      </c>
      <c r="E3055" s="949">
        <v>507</v>
      </c>
      <c r="F3055" s="949">
        <v>507</v>
      </c>
      <c r="G3055" s="950" t="s">
        <v>21922</v>
      </c>
      <c r="H3055" s="950" t="s">
        <v>186</v>
      </c>
      <c r="I3055" s="951" t="s">
        <v>7367</v>
      </c>
      <c r="J3055" s="947" t="s">
        <v>7368</v>
      </c>
      <c r="K3055" s="143"/>
    </row>
    <row r="3056" spans="1:11">
      <c r="A3056" s="946" t="s">
        <v>28620</v>
      </c>
      <c r="B3056" s="947" t="s">
        <v>7797</v>
      </c>
      <c r="C3056" s="948" t="s">
        <v>7795</v>
      </c>
      <c r="D3056" s="242" t="s">
        <v>327</v>
      </c>
      <c r="E3056" s="949">
        <v>502</v>
      </c>
      <c r="F3056" s="949">
        <v>502</v>
      </c>
      <c r="G3056" s="950" t="s">
        <v>21922</v>
      </c>
      <c r="H3056" s="950" t="s">
        <v>186</v>
      </c>
      <c r="I3056" s="951" t="s">
        <v>7796</v>
      </c>
      <c r="J3056" s="947" t="s">
        <v>7797</v>
      </c>
      <c r="K3056" s="143"/>
    </row>
    <row r="3057" spans="1:11">
      <c r="A3057" s="946" t="s">
        <v>28620</v>
      </c>
      <c r="B3057" s="947" t="s">
        <v>7848</v>
      </c>
      <c r="C3057" s="948" t="s">
        <v>7846</v>
      </c>
      <c r="D3057" s="242" t="s">
        <v>615</v>
      </c>
      <c r="E3057" s="949">
        <v>503</v>
      </c>
      <c r="F3057" s="949">
        <v>503</v>
      </c>
      <c r="G3057" s="950" t="s">
        <v>21922</v>
      </c>
      <c r="H3057" s="950" t="s">
        <v>186</v>
      </c>
      <c r="I3057" s="951" t="s">
        <v>7847</v>
      </c>
      <c r="J3057" s="947" t="s">
        <v>7848</v>
      </c>
      <c r="K3057" s="143"/>
    </row>
    <row r="3058" spans="1:11">
      <c r="A3058" s="946" t="s">
        <v>28620</v>
      </c>
      <c r="B3058" s="947" t="s">
        <v>8049</v>
      </c>
      <c r="C3058" s="948" t="s">
        <v>8047</v>
      </c>
      <c r="D3058" s="242" t="s">
        <v>327</v>
      </c>
      <c r="E3058" s="949">
        <v>502</v>
      </c>
      <c r="F3058" s="949">
        <v>502</v>
      </c>
      <c r="G3058" s="950" t="s">
        <v>21922</v>
      </c>
      <c r="H3058" s="950" t="s">
        <v>186</v>
      </c>
      <c r="I3058" s="951" t="s">
        <v>8048</v>
      </c>
      <c r="J3058" s="947" t="s">
        <v>8049</v>
      </c>
      <c r="K3058" s="143"/>
    </row>
    <row r="3059" spans="1:11">
      <c r="A3059" s="946" t="s">
        <v>28620</v>
      </c>
      <c r="B3059" s="947" t="s">
        <v>8587</v>
      </c>
      <c r="C3059" s="948" t="s">
        <v>8585</v>
      </c>
      <c r="D3059" s="242" t="s">
        <v>615</v>
      </c>
      <c r="E3059" s="949">
        <v>503</v>
      </c>
      <c r="F3059" s="949">
        <v>503</v>
      </c>
      <c r="G3059" s="950" t="s">
        <v>21922</v>
      </c>
      <c r="H3059" s="950" t="s">
        <v>186</v>
      </c>
      <c r="I3059" s="951" t="s">
        <v>8586</v>
      </c>
      <c r="J3059" s="947" t="s">
        <v>8587</v>
      </c>
      <c r="K3059" s="143"/>
    </row>
    <row r="3060" spans="1:11">
      <c r="A3060" s="946" t="s">
        <v>28620</v>
      </c>
      <c r="B3060" s="947" t="s">
        <v>8900</v>
      </c>
      <c r="C3060" s="948" t="s">
        <v>8898</v>
      </c>
      <c r="D3060" s="242" t="s">
        <v>615</v>
      </c>
      <c r="E3060" s="949">
        <v>503</v>
      </c>
      <c r="F3060" s="949">
        <v>503</v>
      </c>
      <c r="G3060" s="950" t="s">
        <v>21922</v>
      </c>
      <c r="H3060" s="950" t="s">
        <v>186</v>
      </c>
      <c r="I3060" s="951" t="s">
        <v>8899</v>
      </c>
      <c r="J3060" s="947" t="s">
        <v>8900</v>
      </c>
      <c r="K3060" s="143"/>
    </row>
    <row r="3061" spans="1:11">
      <c r="A3061" s="946" t="s">
        <v>28620</v>
      </c>
      <c r="B3061" s="947" t="s">
        <v>8938</v>
      </c>
      <c r="C3061" s="948" t="s">
        <v>8936</v>
      </c>
      <c r="D3061" s="242" t="s">
        <v>626</v>
      </c>
      <c r="E3061" s="949">
        <v>507</v>
      </c>
      <c r="F3061" s="949">
        <v>507</v>
      </c>
      <c r="G3061" s="950" t="s">
        <v>21922</v>
      </c>
      <c r="H3061" s="950" t="s">
        <v>186</v>
      </c>
      <c r="I3061" s="951" t="s">
        <v>8937</v>
      </c>
      <c r="J3061" s="947" t="s">
        <v>8938</v>
      </c>
      <c r="K3061" s="143"/>
    </row>
    <row r="3062" spans="1:11">
      <c r="A3062" s="946" t="s">
        <v>28620</v>
      </c>
      <c r="B3062" s="947" t="s">
        <v>9561</v>
      </c>
      <c r="C3062" s="948" t="s">
        <v>9559</v>
      </c>
      <c r="D3062" s="242" t="s">
        <v>327</v>
      </c>
      <c r="E3062" s="949">
        <v>502</v>
      </c>
      <c r="F3062" s="949">
        <v>502</v>
      </c>
      <c r="G3062" s="950" t="s">
        <v>21922</v>
      </c>
      <c r="H3062" s="950" t="s">
        <v>186</v>
      </c>
      <c r="I3062" s="951" t="s">
        <v>9560</v>
      </c>
      <c r="J3062" s="947" t="s">
        <v>9561</v>
      </c>
      <c r="K3062" s="143"/>
    </row>
    <row r="3063" spans="1:11">
      <c r="A3063" s="946" t="s">
        <v>28620</v>
      </c>
      <c r="B3063" s="947" t="s">
        <v>9656</v>
      </c>
      <c r="C3063" s="948" t="s">
        <v>9654</v>
      </c>
      <c r="D3063" s="242" t="s">
        <v>327</v>
      </c>
      <c r="E3063" s="949">
        <v>502</v>
      </c>
      <c r="F3063" s="949">
        <v>502</v>
      </c>
      <c r="G3063" s="950" t="s">
        <v>21922</v>
      </c>
      <c r="H3063" s="950" t="s">
        <v>186</v>
      </c>
      <c r="I3063" s="951" t="s">
        <v>9655</v>
      </c>
      <c r="J3063" s="947" t="s">
        <v>9656</v>
      </c>
      <c r="K3063" s="143"/>
    </row>
    <row r="3064" spans="1:11">
      <c r="A3064" s="946" t="s">
        <v>28620</v>
      </c>
      <c r="B3064" s="947" t="s">
        <v>9910</v>
      </c>
      <c r="C3064" s="948" t="s">
        <v>9908</v>
      </c>
      <c r="D3064" s="242" t="s">
        <v>327</v>
      </c>
      <c r="E3064" s="949">
        <v>502</v>
      </c>
      <c r="F3064" s="949">
        <v>502</v>
      </c>
      <c r="G3064" s="950" t="s">
        <v>21922</v>
      </c>
      <c r="H3064" s="950" t="s">
        <v>186</v>
      </c>
      <c r="I3064" s="951" t="s">
        <v>9909</v>
      </c>
      <c r="J3064" s="947" t="s">
        <v>9910</v>
      </c>
      <c r="K3064" s="143"/>
    </row>
    <row r="3065" spans="1:11">
      <c r="A3065" s="946" t="s">
        <v>28620</v>
      </c>
      <c r="B3065" s="947" t="s">
        <v>10045</v>
      </c>
      <c r="C3065" s="948" t="s">
        <v>10043</v>
      </c>
      <c r="D3065" s="242" t="s">
        <v>327</v>
      </c>
      <c r="E3065" s="949">
        <v>502</v>
      </c>
      <c r="F3065" s="949">
        <v>502</v>
      </c>
      <c r="G3065" s="950" t="s">
        <v>21922</v>
      </c>
      <c r="H3065" s="950" t="s">
        <v>186</v>
      </c>
      <c r="I3065" s="951" t="s">
        <v>10044</v>
      </c>
      <c r="J3065" s="947" t="s">
        <v>10045</v>
      </c>
      <c r="K3065" s="143"/>
    </row>
    <row r="3066" spans="1:11">
      <c r="A3066" s="946" t="s">
        <v>28620</v>
      </c>
      <c r="B3066" s="947" t="s">
        <v>10168</v>
      </c>
      <c r="C3066" s="948" t="s">
        <v>10166</v>
      </c>
      <c r="D3066" s="242" t="s">
        <v>327</v>
      </c>
      <c r="E3066" s="949">
        <v>502</v>
      </c>
      <c r="F3066" s="949">
        <v>502</v>
      </c>
      <c r="G3066" s="950" t="s">
        <v>21922</v>
      </c>
      <c r="H3066" s="950" t="s">
        <v>186</v>
      </c>
      <c r="I3066" s="951" t="s">
        <v>10167</v>
      </c>
      <c r="J3066" s="947" t="s">
        <v>10168</v>
      </c>
      <c r="K3066" s="143"/>
    </row>
    <row r="3067" spans="1:11">
      <c r="A3067" s="946" t="s">
        <v>28620</v>
      </c>
      <c r="B3067" s="947" t="s">
        <v>10596</v>
      </c>
      <c r="C3067" s="948" t="s">
        <v>10594</v>
      </c>
      <c r="D3067" s="242" t="s">
        <v>327</v>
      </c>
      <c r="E3067" s="949">
        <v>502</v>
      </c>
      <c r="F3067" s="949">
        <v>502</v>
      </c>
      <c r="G3067" s="950" t="s">
        <v>21922</v>
      </c>
      <c r="H3067" s="950" t="s">
        <v>186</v>
      </c>
      <c r="I3067" s="951" t="s">
        <v>10595</v>
      </c>
      <c r="J3067" s="947" t="s">
        <v>10596</v>
      </c>
      <c r="K3067" s="143"/>
    </row>
    <row r="3068" spans="1:11">
      <c r="A3068" s="946" t="s">
        <v>28620</v>
      </c>
      <c r="B3068" s="947" t="s">
        <v>10622</v>
      </c>
      <c r="C3068" s="948" t="s">
        <v>10620</v>
      </c>
      <c r="D3068" s="242" t="s">
        <v>626</v>
      </c>
      <c r="E3068" s="949">
        <v>507</v>
      </c>
      <c r="F3068" s="949">
        <v>507</v>
      </c>
      <c r="G3068" s="950" t="s">
        <v>21922</v>
      </c>
      <c r="H3068" s="950" t="s">
        <v>186</v>
      </c>
      <c r="I3068" s="951" t="s">
        <v>10621</v>
      </c>
      <c r="J3068" s="947" t="s">
        <v>10622</v>
      </c>
      <c r="K3068" s="143"/>
    </row>
    <row r="3069" spans="1:11">
      <c r="A3069" s="946" t="s">
        <v>28620</v>
      </c>
      <c r="B3069" s="947" t="s">
        <v>10718</v>
      </c>
      <c r="C3069" s="948" t="s">
        <v>10716</v>
      </c>
      <c r="D3069" s="242" t="s">
        <v>327</v>
      </c>
      <c r="E3069" s="949">
        <v>502</v>
      </c>
      <c r="F3069" s="949">
        <v>502</v>
      </c>
      <c r="G3069" s="950" t="s">
        <v>21922</v>
      </c>
      <c r="H3069" s="950" t="s">
        <v>186</v>
      </c>
      <c r="I3069" s="951" t="s">
        <v>10717</v>
      </c>
      <c r="J3069" s="947" t="s">
        <v>10718</v>
      </c>
      <c r="K3069" s="143"/>
    </row>
    <row r="3070" spans="1:11">
      <c r="A3070" s="946" t="s">
        <v>28620</v>
      </c>
      <c r="B3070" s="947" t="s">
        <v>10994</v>
      </c>
      <c r="C3070" s="948" t="s">
        <v>10992</v>
      </c>
      <c r="D3070" s="242" t="s">
        <v>327</v>
      </c>
      <c r="E3070" s="949">
        <v>502</v>
      </c>
      <c r="F3070" s="949">
        <v>502</v>
      </c>
      <c r="G3070" s="950" t="s">
        <v>21922</v>
      </c>
      <c r="H3070" s="950" t="s">
        <v>186</v>
      </c>
      <c r="I3070" s="951" t="s">
        <v>10993</v>
      </c>
      <c r="J3070" s="947" t="s">
        <v>10994</v>
      </c>
      <c r="K3070" s="143"/>
    </row>
    <row r="3071" spans="1:11">
      <c r="A3071" s="946" t="s">
        <v>28620</v>
      </c>
      <c r="B3071" s="947" t="s">
        <v>11122</v>
      </c>
      <c r="C3071" s="948" t="s">
        <v>11120</v>
      </c>
      <c r="D3071" s="242" t="s">
        <v>327</v>
      </c>
      <c r="E3071" s="949">
        <v>502</v>
      </c>
      <c r="F3071" s="949">
        <v>502</v>
      </c>
      <c r="G3071" s="950" t="s">
        <v>21922</v>
      </c>
      <c r="H3071" s="950" t="s">
        <v>186</v>
      </c>
      <c r="I3071" s="951" t="s">
        <v>11121</v>
      </c>
      <c r="J3071" s="947" t="s">
        <v>11122</v>
      </c>
      <c r="K3071" s="143"/>
    </row>
    <row r="3072" spans="1:11">
      <c r="A3072" s="946" t="s">
        <v>28620</v>
      </c>
      <c r="B3072" s="947" t="s">
        <v>11243</v>
      </c>
      <c r="C3072" s="948" t="s">
        <v>11241</v>
      </c>
      <c r="D3072" s="242" t="s">
        <v>615</v>
      </c>
      <c r="E3072" s="949">
        <v>503</v>
      </c>
      <c r="F3072" s="949">
        <v>503</v>
      </c>
      <c r="G3072" s="950" t="s">
        <v>21922</v>
      </c>
      <c r="H3072" s="950" t="s">
        <v>186</v>
      </c>
      <c r="I3072" s="951" t="s">
        <v>11242</v>
      </c>
      <c r="J3072" s="947" t="s">
        <v>11243</v>
      </c>
      <c r="K3072" s="143"/>
    </row>
    <row r="3073" spans="1:11">
      <c r="A3073" s="946" t="s">
        <v>28620</v>
      </c>
      <c r="B3073" s="947" t="s">
        <v>12365</v>
      </c>
      <c r="C3073" s="948" t="s">
        <v>12363</v>
      </c>
      <c r="D3073" s="242" t="s">
        <v>626</v>
      </c>
      <c r="E3073" s="949">
        <v>507</v>
      </c>
      <c r="F3073" s="949">
        <v>507</v>
      </c>
      <c r="G3073" s="950" t="s">
        <v>21922</v>
      </c>
      <c r="H3073" s="950" t="s">
        <v>186</v>
      </c>
      <c r="I3073" s="951" t="s">
        <v>12364</v>
      </c>
      <c r="J3073" s="947" t="s">
        <v>12365</v>
      </c>
      <c r="K3073" s="143"/>
    </row>
    <row r="3074" spans="1:11">
      <c r="A3074" s="946" t="s">
        <v>28620</v>
      </c>
      <c r="B3074" s="947" t="s">
        <v>12416</v>
      </c>
      <c r="C3074" s="948" t="s">
        <v>12414</v>
      </c>
      <c r="D3074" s="242" t="s">
        <v>626</v>
      </c>
      <c r="E3074" s="949">
        <v>507</v>
      </c>
      <c r="F3074" s="949">
        <v>507</v>
      </c>
      <c r="G3074" s="950" t="s">
        <v>21922</v>
      </c>
      <c r="H3074" s="950" t="s">
        <v>186</v>
      </c>
      <c r="I3074" s="951" t="s">
        <v>12415</v>
      </c>
      <c r="J3074" s="947" t="s">
        <v>12416</v>
      </c>
      <c r="K3074" s="143"/>
    </row>
    <row r="3075" spans="1:11">
      <c r="A3075" s="946" t="s">
        <v>28620</v>
      </c>
      <c r="B3075" s="947" t="s">
        <v>12419</v>
      </c>
      <c r="C3075" s="948" t="s">
        <v>12417</v>
      </c>
      <c r="D3075" s="242" t="s">
        <v>327</v>
      </c>
      <c r="E3075" s="949">
        <v>502</v>
      </c>
      <c r="F3075" s="949">
        <v>502</v>
      </c>
      <c r="G3075" s="950" t="s">
        <v>21922</v>
      </c>
      <c r="H3075" s="950" t="s">
        <v>186</v>
      </c>
      <c r="I3075" s="951" t="s">
        <v>12418</v>
      </c>
      <c r="J3075" s="947" t="s">
        <v>12419</v>
      </c>
      <c r="K3075" s="143"/>
    </row>
    <row r="3076" spans="1:11">
      <c r="A3076" s="946" t="s">
        <v>28620</v>
      </c>
      <c r="B3076" s="947" t="s">
        <v>12283</v>
      </c>
      <c r="C3076" s="948" t="s">
        <v>12281</v>
      </c>
      <c r="D3076" s="242" t="s">
        <v>327</v>
      </c>
      <c r="E3076" s="949">
        <v>502</v>
      </c>
      <c r="F3076" s="949">
        <v>502</v>
      </c>
      <c r="G3076" s="950" t="s">
        <v>21922</v>
      </c>
      <c r="H3076" s="950" t="s">
        <v>186</v>
      </c>
      <c r="I3076" s="951" t="s">
        <v>12282</v>
      </c>
      <c r="J3076" s="947" t="s">
        <v>12283</v>
      </c>
      <c r="K3076" s="143"/>
    </row>
    <row r="3077" spans="1:11">
      <c r="A3077" s="946" t="s">
        <v>28620</v>
      </c>
      <c r="B3077" s="947" t="s">
        <v>12522</v>
      </c>
      <c r="C3077" s="948" t="s">
        <v>12520</v>
      </c>
      <c r="D3077" s="242" t="s">
        <v>327</v>
      </c>
      <c r="E3077" s="949">
        <v>502</v>
      </c>
      <c r="F3077" s="949">
        <v>502</v>
      </c>
      <c r="G3077" s="950" t="s">
        <v>21922</v>
      </c>
      <c r="H3077" s="950" t="s">
        <v>186</v>
      </c>
      <c r="I3077" s="951" t="s">
        <v>12521</v>
      </c>
      <c r="J3077" s="947" t="s">
        <v>12522</v>
      </c>
      <c r="K3077" s="143"/>
    </row>
    <row r="3078" spans="1:11">
      <c r="A3078" s="946" t="s">
        <v>28620</v>
      </c>
      <c r="B3078" s="947" t="s">
        <v>12525</v>
      </c>
      <c r="C3078" s="948" t="s">
        <v>12523</v>
      </c>
      <c r="D3078" s="242" t="s">
        <v>327</v>
      </c>
      <c r="E3078" s="949">
        <v>502</v>
      </c>
      <c r="F3078" s="949">
        <v>502</v>
      </c>
      <c r="G3078" s="950" t="s">
        <v>21922</v>
      </c>
      <c r="H3078" s="950" t="s">
        <v>186</v>
      </c>
      <c r="I3078" s="951" t="s">
        <v>12524</v>
      </c>
      <c r="J3078" s="947" t="s">
        <v>12525</v>
      </c>
      <c r="K3078" s="143"/>
    </row>
    <row r="3079" spans="1:11">
      <c r="A3079" s="946" t="s">
        <v>28620</v>
      </c>
      <c r="B3079" s="947" t="s">
        <v>12781</v>
      </c>
      <c r="C3079" s="948" t="s">
        <v>12779</v>
      </c>
      <c r="D3079" s="242" t="s">
        <v>327</v>
      </c>
      <c r="E3079" s="949">
        <v>502</v>
      </c>
      <c r="F3079" s="949">
        <v>502</v>
      </c>
      <c r="G3079" s="950" t="s">
        <v>21922</v>
      </c>
      <c r="H3079" s="950" t="s">
        <v>186</v>
      </c>
      <c r="I3079" s="951" t="s">
        <v>12780</v>
      </c>
      <c r="J3079" s="947" t="s">
        <v>12781</v>
      </c>
      <c r="K3079" s="143"/>
    </row>
    <row r="3080" spans="1:11">
      <c r="A3080" s="946" t="s">
        <v>28620</v>
      </c>
      <c r="B3080" s="947" t="s">
        <v>12803</v>
      </c>
      <c r="C3080" s="948" t="s">
        <v>12801</v>
      </c>
      <c r="D3080" s="242" t="s">
        <v>327</v>
      </c>
      <c r="E3080" s="949">
        <v>502</v>
      </c>
      <c r="F3080" s="949">
        <v>502</v>
      </c>
      <c r="G3080" s="950" t="s">
        <v>21922</v>
      </c>
      <c r="H3080" s="950" t="s">
        <v>186</v>
      </c>
      <c r="I3080" s="951" t="s">
        <v>12802</v>
      </c>
      <c r="J3080" s="947" t="s">
        <v>12803</v>
      </c>
      <c r="K3080" s="143"/>
    </row>
    <row r="3081" spans="1:11">
      <c r="A3081" s="946" t="s">
        <v>28620</v>
      </c>
      <c r="B3081" s="947" t="s">
        <v>12857</v>
      </c>
      <c r="C3081" s="948" t="s">
        <v>12855</v>
      </c>
      <c r="D3081" s="242" t="s">
        <v>626</v>
      </c>
      <c r="E3081" s="949">
        <v>507</v>
      </c>
      <c r="F3081" s="949">
        <v>507</v>
      </c>
      <c r="G3081" s="950" t="s">
        <v>21922</v>
      </c>
      <c r="H3081" s="950" t="s">
        <v>186</v>
      </c>
      <c r="I3081" s="951" t="s">
        <v>12856</v>
      </c>
      <c r="J3081" s="947" t="s">
        <v>12857</v>
      </c>
      <c r="K3081" s="143"/>
    </row>
    <row r="3082" spans="1:11">
      <c r="A3082" s="946" t="s">
        <v>28620</v>
      </c>
      <c r="B3082" s="947" t="s">
        <v>13138</v>
      </c>
      <c r="C3082" s="948" t="s">
        <v>13136</v>
      </c>
      <c r="D3082" s="242" t="s">
        <v>28742</v>
      </c>
      <c r="E3082" s="949">
        <v>508</v>
      </c>
      <c r="F3082" s="949">
        <v>508</v>
      </c>
      <c r="G3082" s="950" t="s">
        <v>21922</v>
      </c>
      <c r="H3082" s="950" t="s">
        <v>186</v>
      </c>
      <c r="I3082" s="951" t="s">
        <v>13137</v>
      </c>
      <c r="J3082" s="947" t="s">
        <v>13138</v>
      </c>
      <c r="K3082" s="143"/>
    </row>
    <row r="3083" spans="1:11">
      <c r="A3083" s="946" t="s">
        <v>28620</v>
      </c>
      <c r="B3083" s="947" t="s">
        <v>13340</v>
      </c>
      <c r="C3083" s="948" t="s">
        <v>13338</v>
      </c>
      <c r="D3083" s="242" t="s">
        <v>626</v>
      </c>
      <c r="E3083" s="949">
        <v>507</v>
      </c>
      <c r="F3083" s="949">
        <v>507</v>
      </c>
      <c r="G3083" s="950" t="s">
        <v>21922</v>
      </c>
      <c r="H3083" s="950" t="s">
        <v>186</v>
      </c>
      <c r="I3083" s="951" t="s">
        <v>13339</v>
      </c>
      <c r="J3083" s="947" t="s">
        <v>13340</v>
      </c>
      <c r="K3083" s="143"/>
    </row>
    <row r="3084" spans="1:11">
      <c r="A3084" s="946" t="s">
        <v>28620</v>
      </c>
      <c r="B3084" s="947" t="s">
        <v>13415</v>
      </c>
      <c r="C3084" s="948" t="s">
        <v>13413</v>
      </c>
      <c r="D3084" s="242" t="s">
        <v>615</v>
      </c>
      <c r="E3084" s="949">
        <v>503</v>
      </c>
      <c r="F3084" s="949">
        <v>503</v>
      </c>
      <c r="G3084" s="950" t="s">
        <v>21922</v>
      </c>
      <c r="H3084" s="950" t="s">
        <v>186</v>
      </c>
      <c r="I3084" s="951" t="s">
        <v>13414</v>
      </c>
      <c r="J3084" s="947" t="s">
        <v>13415</v>
      </c>
      <c r="K3084" s="143"/>
    </row>
    <row r="3085" spans="1:11">
      <c r="A3085" s="946" t="s">
        <v>28620</v>
      </c>
      <c r="B3085" s="947" t="s">
        <v>13433</v>
      </c>
      <c r="C3085" s="948" t="s">
        <v>13431</v>
      </c>
      <c r="D3085" s="242" t="s">
        <v>327</v>
      </c>
      <c r="E3085" s="949">
        <v>502</v>
      </c>
      <c r="F3085" s="949">
        <v>502</v>
      </c>
      <c r="G3085" s="950" t="s">
        <v>21922</v>
      </c>
      <c r="H3085" s="950" t="s">
        <v>186</v>
      </c>
      <c r="I3085" s="951" t="s">
        <v>13432</v>
      </c>
      <c r="J3085" s="947" t="s">
        <v>13433</v>
      </c>
      <c r="K3085" s="143"/>
    </row>
    <row r="3086" spans="1:11">
      <c r="A3086" s="946" t="s">
        <v>28620</v>
      </c>
      <c r="B3086" s="947" t="s">
        <v>13704</v>
      </c>
      <c r="C3086" s="948" t="s">
        <v>13702</v>
      </c>
      <c r="D3086" s="242" t="s">
        <v>327</v>
      </c>
      <c r="E3086" s="949">
        <v>502</v>
      </c>
      <c r="F3086" s="949">
        <v>502</v>
      </c>
      <c r="G3086" s="950" t="s">
        <v>21922</v>
      </c>
      <c r="H3086" s="950" t="s">
        <v>186</v>
      </c>
      <c r="I3086" s="951" t="s">
        <v>13703</v>
      </c>
      <c r="J3086" s="947" t="s">
        <v>13704</v>
      </c>
      <c r="K3086" s="143"/>
    </row>
    <row r="3087" spans="1:11">
      <c r="A3087" s="946" t="s">
        <v>28620</v>
      </c>
      <c r="B3087" s="947" t="s">
        <v>14402</v>
      </c>
      <c r="C3087" s="948" t="s">
        <v>14400</v>
      </c>
      <c r="D3087" s="242" t="s">
        <v>327</v>
      </c>
      <c r="E3087" s="949">
        <v>502</v>
      </c>
      <c r="F3087" s="949">
        <v>502</v>
      </c>
      <c r="G3087" s="950" t="s">
        <v>21922</v>
      </c>
      <c r="H3087" s="950" t="s">
        <v>186</v>
      </c>
      <c r="I3087" s="951" t="s">
        <v>14401</v>
      </c>
      <c r="J3087" s="947" t="s">
        <v>14402</v>
      </c>
      <c r="K3087" s="143"/>
    </row>
    <row r="3088" spans="1:11">
      <c r="A3088" s="946" t="s">
        <v>28620</v>
      </c>
      <c r="B3088" s="947" t="s">
        <v>14743</v>
      </c>
      <c r="C3088" s="948" t="s">
        <v>14741</v>
      </c>
      <c r="D3088" s="242" t="s">
        <v>615</v>
      </c>
      <c r="E3088" s="949">
        <v>503</v>
      </c>
      <c r="F3088" s="949">
        <v>503</v>
      </c>
      <c r="G3088" s="950" t="s">
        <v>21922</v>
      </c>
      <c r="H3088" s="950" t="s">
        <v>186</v>
      </c>
      <c r="I3088" s="951" t="s">
        <v>14742</v>
      </c>
      <c r="J3088" s="947" t="s">
        <v>14743</v>
      </c>
      <c r="K3088" s="143"/>
    </row>
    <row r="3089" spans="1:11">
      <c r="A3089" s="946" t="s">
        <v>28620</v>
      </c>
      <c r="B3089" s="947" t="s">
        <v>15060</v>
      </c>
      <c r="C3089" s="948" t="s">
        <v>15058</v>
      </c>
      <c r="D3089" s="242" t="s">
        <v>327</v>
      </c>
      <c r="E3089" s="949">
        <v>502</v>
      </c>
      <c r="F3089" s="949">
        <v>502</v>
      </c>
      <c r="G3089" s="950" t="s">
        <v>21922</v>
      </c>
      <c r="H3089" s="950" t="s">
        <v>186</v>
      </c>
      <c r="I3089" s="951" t="s">
        <v>15059</v>
      </c>
      <c r="J3089" s="947" t="s">
        <v>15060</v>
      </c>
      <c r="K3089" s="143"/>
    </row>
    <row r="3090" spans="1:11">
      <c r="A3090" s="946" t="s">
        <v>28620</v>
      </c>
      <c r="B3090" s="947" t="s">
        <v>15244</v>
      </c>
      <c r="C3090" s="948" t="s">
        <v>15242</v>
      </c>
      <c r="D3090" s="242" t="s">
        <v>327</v>
      </c>
      <c r="E3090" s="949">
        <v>502</v>
      </c>
      <c r="F3090" s="949">
        <v>502</v>
      </c>
      <c r="G3090" s="950" t="s">
        <v>21922</v>
      </c>
      <c r="H3090" s="950" t="s">
        <v>186</v>
      </c>
      <c r="I3090" s="951" t="s">
        <v>15243</v>
      </c>
      <c r="J3090" s="947" t="s">
        <v>15244</v>
      </c>
      <c r="K3090" s="143"/>
    </row>
    <row r="3091" spans="1:11">
      <c r="A3091" s="946" t="s">
        <v>28620</v>
      </c>
      <c r="B3091" s="947" t="s">
        <v>15613</v>
      </c>
      <c r="C3091" s="948" t="s">
        <v>15611</v>
      </c>
      <c r="D3091" s="242" t="s">
        <v>327</v>
      </c>
      <c r="E3091" s="949">
        <v>502</v>
      </c>
      <c r="F3091" s="949">
        <v>502</v>
      </c>
      <c r="G3091" s="950" t="s">
        <v>21922</v>
      </c>
      <c r="H3091" s="950" t="s">
        <v>186</v>
      </c>
      <c r="I3091" s="951" t="s">
        <v>15612</v>
      </c>
      <c r="J3091" s="947" t="s">
        <v>15613</v>
      </c>
      <c r="K3091" s="143"/>
    </row>
    <row r="3092" spans="1:11">
      <c r="A3092" s="946" t="s">
        <v>28620</v>
      </c>
      <c r="B3092" s="947" t="s">
        <v>15644</v>
      </c>
      <c r="C3092" s="948" t="s">
        <v>15642</v>
      </c>
      <c r="D3092" s="242" t="s">
        <v>615</v>
      </c>
      <c r="E3092" s="949">
        <v>503</v>
      </c>
      <c r="F3092" s="949">
        <v>503</v>
      </c>
      <c r="G3092" s="950" t="s">
        <v>21922</v>
      </c>
      <c r="H3092" s="950" t="s">
        <v>186</v>
      </c>
      <c r="I3092" s="951" t="s">
        <v>15643</v>
      </c>
      <c r="J3092" s="947" t="s">
        <v>15644</v>
      </c>
      <c r="K3092" s="143"/>
    </row>
    <row r="3093" spans="1:11">
      <c r="A3093" s="946" t="s">
        <v>28620</v>
      </c>
      <c r="B3093" s="947" t="s">
        <v>15680</v>
      </c>
      <c r="C3093" s="948" t="s">
        <v>15678</v>
      </c>
      <c r="D3093" s="242" t="s">
        <v>615</v>
      </c>
      <c r="E3093" s="949">
        <v>503</v>
      </c>
      <c r="F3093" s="949">
        <v>503</v>
      </c>
      <c r="G3093" s="950" t="s">
        <v>21922</v>
      </c>
      <c r="H3093" s="950" t="s">
        <v>186</v>
      </c>
      <c r="I3093" s="951" t="s">
        <v>15679</v>
      </c>
      <c r="J3093" s="947" t="s">
        <v>15680</v>
      </c>
      <c r="K3093" s="143"/>
    </row>
    <row r="3094" spans="1:11">
      <c r="A3094" s="946" t="s">
        <v>28620</v>
      </c>
      <c r="B3094" s="947" t="s">
        <v>16016</v>
      </c>
      <c r="C3094" s="948" t="s">
        <v>16014</v>
      </c>
      <c r="D3094" s="242" t="s">
        <v>327</v>
      </c>
      <c r="E3094" s="949">
        <v>502</v>
      </c>
      <c r="F3094" s="949">
        <v>502</v>
      </c>
      <c r="G3094" s="950" t="s">
        <v>21922</v>
      </c>
      <c r="H3094" s="950" t="s">
        <v>186</v>
      </c>
      <c r="I3094" s="951" t="s">
        <v>16015</v>
      </c>
      <c r="J3094" s="947" t="s">
        <v>16016</v>
      </c>
      <c r="K3094" s="143"/>
    </row>
    <row r="3095" spans="1:11">
      <c r="A3095" s="946" t="s">
        <v>28620</v>
      </c>
      <c r="B3095" s="947" t="s">
        <v>16160</v>
      </c>
      <c r="C3095" s="948" t="s">
        <v>16158</v>
      </c>
      <c r="D3095" s="242" t="s">
        <v>327</v>
      </c>
      <c r="E3095" s="949">
        <v>502</v>
      </c>
      <c r="F3095" s="949">
        <v>502</v>
      </c>
      <c r="G3095" s="950" t="s">
        <v>21922</v>
      </c>
      <c r="H3095" s="950" t="s">
        <v>186</v>
      </c>
      <c r="I3095" s="951" t="s">
        <v>16159</v>
      </c>
      <c r="J3095" s="947" t="s">
        <v>16160</v>
      </c>
      <c r="K3095" s="143"/>
    </row>
    <row r="3096" spans="1:11">
      <c r="A3096" s="946" t="s">
        <v>28620</v>
      </c>
      <c r="B3096" s="947" t="s">
        <v>16459</v>
      </c>
      <c r="C3096" s="948" t="s">
        <v>16457</v>
      </c>
      <c r="D3096" s="242" t="s">
        <v>615</v>
      </c>
      <c r="E3096" s="949">
        <v>503</v>
      </c>
      <c r="F3096" s="949">
        <v>503</v>
      </c>
      <c r="G3096" s="950" t="s">
        <v>21922</v>
      </c>
      <c r="H3096" s="950" t="s">
        <v>186</v>
      </c>
      <c r="I3096" s="951" t="s">
        <v>16458</v>
      </c>
      <c r="J3096" s="947" t="s">
        <v>16459</v>
      </c>
      <c r="K3096" s="143"/>
    </row>
    <row r="3097" spans="1:11">
      <c r="A3097" s="946" t="s">
        <v>28620</v>
      </c>
      <c r="B3097" s="947" t="s">
        <v>16832</v>
      </c>
      <c r="C3097" s="948" t="s">
        <v>16830</v>
      </c>
      <c r="D3097" s="242" t="s">
        <v>615</v>
      </c>
      <c r="E3097" s="949">
        <v>503</v>
      </c>
      <c r="F3097" s="949">
        <v>503</v>
      </c>
      <c r="G3097" s="950" t="s">
        <v>21922</v>
      </c>
      <c r="H3097" s="950" t="s">
        <v>186</v>
      </c>
      <c r="I3097" s="951" t="s">
        <v>16831</v>
      </c>
      <c r="J3097" s="947" t="s">
        <v>16832</v>
      </c>
      <c r="K3097" s="143"/>
    </row>
    <row r="3098" spans="1:11">
      <c r="A3098" s="946" t="s">
        <v>28620</v>
      </c>
      <c r="B3098" s="947" t="s">
        <v>16928</v>
      </c>
      <c r="C3098" s="948" t="s">
        <v>16926</v>
      </c>
      <c r="D3098" s="242" t="s">
        <v>615</v>
      </c>
      <c r="E3098" s="949">
        <v>503</v>
      </c>
      <c r="F3098" s="949">
        <v>503</v>
      </c>
      <c r="G3098" s="950" t="s">
        <v>21922</v>
      </c>
      <c r="H3098" s="950" t="s">
        <v>186</v>
      </c>
      <c r="I3098" s="951" t="s">
        <v>16927</v>
      </c>
      <c r="J3098" s="947" t="s">
        <v>16928</v>
      </c>
      <c r="K3098" s="143"/>
    </row>
    <row r="3099" spans="1:11">
      <c r="A3099" s="946" t="s">
        <v>28620</v>
      </c>
      <c r="B3099" s="947" t="s">
        <v>16985</v>
      </c>
      <c r="C3099" s="948" t="s">
        <v>16983</v>
      </c>
      <c r="D3099" s="242" t="s">
        <v>615</v>
      </c>
      <c r="E3099" s="949">
        <v>503</v>
      </c>
      <c r="F3099" s="949">
        <v>503</v>
      </c>
      <c r="G3099" s="950" t="s">
        <v>21922</v>
      </c>
      <c r="H3099" s="950" t="s">
        <v>186</v>
      </c>
      <c r="I3099" s="951" t="s">
        <v>16984</v>
      </c>
      <c r="J3099" s="947" t="s">
        <v>16985</v>
      </c>
      <c r="K3099" s="143"/>
    </row>
    <row r="3100" spans="1:11">
      <c r="A3100" s="946" t="s">
        <v>28620</v>
      </c>
      <c r="B3100" s="947" t="s">
        <v>17018</v>
      </c>
      <c r="C3100" s="948" t="s">
        <v>17016</v>
      </c>
      <c r="D3100" s="242" t="s">
        <v>615</v>
      </c>
      <c r="E3100" s="949">
        <v>503</v>
      </c>
      <c r="F3100" s="949">
        <v>503</v>
      </c>
      <c r="G3100" s="950" t="s">
        <v>21922</v>
      </c>
      <c r="H3100" s="950" t="s">
        <v>186</v>
      </c>
      <c r="I3100" s="951" t="s">
        <v>17017</v>
      </c>
      <c r="J3100" s="947" t="s">
        <v>17018</v>
      </c>
      <c r="K3100" s="143"/>
    </row>
    <row r="3101" spans="1:11">
      <c r="A3101" s="946" t="s">
        <v>28620</v>
      </c>
      <c r="B3101" s="947" t="s">
        <v>17230</v>
      </c>
      <c r="C3101" s="948" t="s">
        <v>17228</v>
      </c>
      <c r="D3101" s="242" t="s">
        <v>327</v>
      </c>
      <c r="E3101" s="949">
        <v>502</v>
      </c>
      <c r="F3101" s="949">
        <v>502</v>
      </c>
      <c r="G3101" s="950" t="s">
        <v>21922</v>
      </c>
      <c r="H3101" s="950" t="s">
        <v>186</v>
      </c>
      <c r="I3101" s="951" t="s">
        <v>17229</v>
      </c>
      <c r="J3101" s="947" t="s">
        <v>17230</v>
      </c>
      <c r="K3101" s="143"/>
    </row>
    <row r="3102" spans="1:11">
      <c r="A3102" s="946" t="s">
        <v>28620</v>
      </c>
      <c r="B3102" s="947" t="s">
        <v>18335</v>
      </c>
      <c r="C3102" s="948" t="s">
        <v>18333</v>
      </c>
      <c r="D3102" s="242" t="s">
        <v>327</v>
      </c>
      <c r="E3102" s="949">
        <v>502</v>
      </c>
      <c r="F3102" s="949">
        <v>502</v>
      </c>
      <c r="G3102" s="950" t="s">
        <v>21922</v>
      </c>
      <c r="H3102" s="950" t="s">
        <v>186</v>
      </c>
      <c r="I3102" s="951" t="s">
        <v>18334</v>
      </c>
      <c r="J3102" s="947" t="s">
        <v>18335</v>
      </c>
      <c r="K3102" s="143"/>
    </row>
    <row r="3103" spans="1:11">
      <c r="A3103" s="946" t="s">
        <v>28620</v>
      </c>
      <c r="B3103" s="947" t="s">
        <v>18123</v>
      </c>
      <c r="C3103" s="948" t="s">
        <v>18121</v>
      </c>
      <c r="D3103" s="242" t="s">
        <v>626</v>
      </c>
      <c r="E3103" s="949">
        <v>507</v>
      </c>
      <c r="F3103" s="949">
        <v>507</v>
      </c>
      <c r="G3103" s="950" t="s">
        <v>21922</v>
      </c>
      <c r="H3103" s="950" t="s">
        <v>186</v>
      </c>
      <c r="I3103" s="951" t="s">
        <v>18122</v>
      </c>
      <c r="J3103" s="947" t="s">
        <v>18123</v>
      </c>
      <c r="K3103" s="143"/>
    </row>
    <row r="3104" spans="1:11">
      <c r="A3104" s="946" t="s">
        <v>28620</v>
      </c>
      <c r="B3104" s="947" t="s">
        <v>18814</v>
      </c>
      <c r="C3104" s="948" t="s">
        <v>18812</v>
      </c>
      <c r="D3104" s="242" t="s">
        <v>327</v>
      </c>
      <c r="E3104" s="949">
        <v>502</v>
      </c>
      <c r="F3104" s="949">
        <v>502</v>
      </c>
      <c r="G3104" s="950" t="s">
        <v>21922</v>
      </c>
      <c r="H3104" s="950" t="s">
        <v>186</v>
      </c>
      <c r="I3104" s="951" t="s">
        <v>18813</v>
      </c>
      <c r="J3104" s="947" t="s">
        <v>18814</v>
      </c>
      <c r="K3104" s="143"/>
    </row>
    <row r="3105" spans="1:11">
      <c r="A3105" s="946" t="s">
        <v>28620</v>
      </c>
      <c r="B3105" s="947" t="s">
        <v>18296</v>
      </c>
      <c r="C3105" s="948" t="s">
        <v>18294</v>
      </c>
      <c r="D3105" s="242" t="s">
        <v>327</v>
      </c>
      <c r="E3105" s="949">
        <v>502</v>
      </c>
      <c r="F3105" s="949">
        <v>502</v>
      </c>
      <c r="G3105" s="950" t="s">
        <v>21922</v>
      </c>
      <c r="H3105" s="950" t="s">
        <v>186</v>
      </c>
      <c r="I3105" s="951" t="s">
        <v>18295</v>
      </c>
      <c r="J3105" s="947" t="s">
        <v>18296</v>
      </c>
      <c r="K3105" s="143"/>
    </row>
    <row r="3106" spans="1:11">
      <c r="A3106" s="946" t="s">
        <v>28620</v>
      </c>
      <c r="B3106" s="947" t="s">
        <v>18847</v>
      </c>
      <c r="C3106" s="948" t="s">
        <v>18845</v>
      </c>
      <c r="D3106" s="242" t="s">
        <v>327</v>
      </c>
      <c r="E3106" s="949">
        <v>502</v>
      </c>
      <c r="F3106" s="949">
        <v>502</v>
      </c>
      <c r="G3106" s="950" t="s">
        <v>21922</v>
      </c>
      <c r="H3106" s="950" t="s">
        <v>186</v>
      </c>
      <c r="I3106" s="951" t="s">
        <v>18846</v>
      </c>
      <c r="J3106" s="947" t="s">
        <v>18847</v>
      </c>
      <c r="K3106" s="143"/>
    </row>
    <row r="3107" spans="1:11">
      <c r="A3107" s="946" t="s">
        <v>28620</v>
      </c>
      <c r="B3107" s="947" t="s">
        <v>18857</v>
      </c>
      <c r="C3107" s="948" t="s">
        <v>18855</v>
      </c>
      <c r="D3107" s="242" t="s">
        <v>327</v>
      </c>
      <c r="E3107" s="949">
        <v>502</v>
      </c>
      <c r="F3107" s="949">
        <v>502</v>
      </c>
      <c r="G3107" s="950" t="s">
        <v>21922</v>
      </c>
      <c r="H3107" s="950" t="s">
        <v>186</v>
      </c>
      <c r="I3107" s="951" t="s">
        <v>18856</v>
      </c>
      <c r="J3107" s="947" t="s">
        <v>18857</v>
      </c>
      <c r="K3107" s="143"/>
    </row>
    <row r="3108" spans="1:11">
      <c r="A3108" s="946" t="s">
        <v>28620</v>
      </c>
      <c r="B3108" s="947" t="s">
        <v>19076</v>
      </c>
      <c r="C3108" s="948" t="s">
        <v>19074</v>
      </c>
      <c r="D3108" s="242" t="s">
        <v>615</v>
      </c>
      <c r="E3108" s="949">
        <v>503</v>
      </c>
      <c r="F3108" s="949">
        <v>503</v>
      </c>
      <c r="G3108" s="950" t="s">
        <v>21922</v>
      </c>
      <c r="H3108" s="950" t="s">
        <v>186</v>
      </c>
      <c r="I3108" s="951" t="s">
        <v>19075</v>
      </c>
      <c r="J3108" s="947" t="s">
        <v>19076</v>
      </c>
      <c r="K3108" s="143"/>
    </row>
    <row r="3109" spans="1:11">
      <c r="A3109" s="946" t="s">
        <v>28620</v>
      </c>
      <c r="B3109" s="947" t="s">
        <v>19085</v>
      </c>
      <c r="C3109" s="948" t="s">
        <v>19083</v>
      </c>
      <c r="D3109" s="242" t="s">
        <v>327</v>
      </c>
      <c r="E3109" s="949">
        <v>502</v>
      </c>
      <c r="F3109" s="949">
        <v>502</v>
      </c>
      <c r="G3109" s="950" t="s">
        <v>21922</v>
      </c>
      <c r="H3109" s="950" t="s">
        <v>186</v>
      </c>
      <c r="I3109" s="951" t="s">
        <v>19084</v>
      </c>
      <c r="J3109" s="947" t="s">
        <v>19085</v>
      </c>
      <c r="K3109" s="143"/>
    </row>
    <row r="3110" spans="1:11">
      <c r="A3110" s="946" t="s">
        <v>28620</v>
      </c>
      <c r="B3110" s="947" t="s">
        <v>19621</v>
      </c>
      <c r="C3110" s="948" t="s">
        <v>19619</v>
      </c>
      <c r="D3110" s="242" t="s">
        <v>615</v>
      </c>
      <c r="E3110" s="949">
        <v>503</v>
      </c>
      <c r="F3110" s="949">
        <v>503</v>
      </c>
      <c r="G3110" s="950" t="s">
        <v>21922</v>
      </c>
      <c r="H3110" s="950" t="s">
        <v>186</v>
      </c>
      <c r="I3110" s="951" t="s">
        <v>19620</v>
      </c>
      <c r="J3110" s="947" t="s">
        <v>19621</v>
      </c>
      <c r="K3110" s="143"/>
    </row>
    <row r="3111" spans="1:11">
      <c r="A3111" s="946" t="s">
        <v>28620</v>
      </c>
      <c r="B3111" s="947" t="s">
        <v>19797</v>
      </c>
      <c r="C3111" s="948" t="s">
        <v>19795</v>
      </c>
      <c r="D3111" s="242" t="s">
        <v>327</v>
      </c>
      <c r="E3111" s="949">
        <v>502</v>
      </c>
      <c r="F3111" s="949">
        <v>502</v>
      </c>
      <c r="G3111" s="950" t="s">
        <v>21922</v>
      </c>
      <c r="H3111" s="950" t="s">
        <v>186</v>
      </c>
      <c r="I3111" s="951" t="s">
        <v>19796</v>
      </c>
      <c r="J3111" s="947" t="s">
        <v>19797</v>
      </c>
      <c r="K3111" s="143"/>
    </row>
    <row r="3112" spans="1:11">
      <c r="A3112" s="946" t="s">
        <v>28620</v>
      </c>
      <c r="B3112" s="947" t="s">
        <v>20442</v>
      </c>
      <c r="C3112" s="948" t="s">
        <v>20440</v>
      </c>
      <c r="D3112" s="242" t="s">
        <v>615</v>
      </c>
      <c r="E3112" s="949">
        <v>503</v>
      </c>
      <c r="F3112" s="949">
        <v>503</v>
      </c>
      <c r="G3112" s="950" t="s">
        <v>21922</v>
      </c>
      <c r="H3112" s="950" t="s">
        <v>186</v>
      </c>
      <c r="I3112" s="951" t="s">
        <v>20441</v>
      </c>
      <c r="J3112" s="947" t="s">
        <v>20442</v>
      </c>
      <c r="K3112" s="143"/>
    </row>
    <row r="3113" spans="1:11">
      <c r="A3113" s="946" t="s">
        <v>28620</v>
      </c>
      <c r="B3113" s="947" t="s">
        <v>20445</v>
      </c>
      <c r="C3113" s="948" t="s">
        <v>20443</v>
      </c>
      <c r="D3113" s="242" t="s">
        <v>327</v>
      </c>
      <c r="E3113" s="949">
        <v>502</v>
      </c>
      <c r="F3113" s="949">
        <v>502</v>
      </c>
      <c r="G3113" s="950" t="s">
        <v>21922</v>
      </c>
      <c r="H3113" s="950" t="s">
        <v>186</v>
      </c>
      <c r="I3113" s="951" t="s">
        <v>20444</v>
      </c>
      <c r="J3113" s="947" t="s">
        <v>20445</v>
      </c>
      <c r="K3113" s="143"/>
    </row>
    <row r="3114" spans="1:11">
      <c r="A3114" s="946" t="s">
        <v>28620</v>
      </c>
      <c r="B3114" s="947" t="s">
        <v>20546</v>
      </c>
      <c r="C3114" s="948" t="s">
        <v>20544</v>
      </c>
      <c r="D3114" s="242" t="s">
        <v>327</v>
      </c>
      <c r="E3114" s="949">
        <v>502</v>
      </c>
      <c r="F3114" s="949">
        <v>502</v>
      </c>
      <c r="G3114" s="950" t="s">
        <v>21922</v>
      </c>
      <c r="H3114" s="950" t="s">
        <v>186</v>
      </c>
      <c r="I3114" s="951" t="s">
        <v>20545</v>
      </c>
      <c r="J3114" s="947" t="s">
        <v>20546</v>
      </c>
      <c r="K3114" s="143"/>
    </row>
    <row r="3115" spans="1:11">
      <c r="A3115" s="946" t="s">
        <v>28620</v>
      </c>
      <c r="B3115" s="947" t="s">
        <v>20705</v>
      </c>
      <c r="C3115" s="948" t="s">
        <v>20703</v>
      </c>
      <c r="D3115" s="242" t="s">
        <v>327</v>
      </c>
      <c r="E3115" s="949">
        <v>502</v>
      </c>
      <c r="F3115" s="949">
        <v>502</v>
      </c>
      <c r="G3115" s="950" t="s">
        <v>21922</v>
      </c>
      <c r="H3115" s="950" t="s">
        <v>186</v>
      </c>
      <c r="I3115" s="951" t="s">
        <v>20704</v>
      </c>
      <c r="J3115" s="947" t="s">
        <v>20705</v>
      </c>
      <c r="K3115" s="143"/>
    </row>
    <row r="3116" spans="1:11">
      <c r="A3116" s="946" t="s">
        <v>28620</v>
      </c>
      <c r="B3116" s="947" t="s">
        <v>20741</v>
      </c>
      <c r="C3116" s="948" t="s">
        <v>20739</v>
      </c>
      <c r="D3116" s="242" t="s">
        <v>327</v>
      </c>
      <c r="E3116" s="949">
        <v>502</v>
      </c>
      <c r="F3116" s="949">
        <v>502</v>
      </c>
      <c r="G3116" s="950" t="s">
        <v>21922</v>
      </c>
      <c r="H3116" s="950" t="s">
        <v>186</v>
      </c>
      <c r="I3116" s="951" t="s">
        <v>20740</v>
      </c>
      <c r="J3116" s="947" t="s">
        <v>20741</v>
      </c>
      <c r="K3116" s="143"/>
    </row>
    <row r="3117" spans="1:11">
      <c r="A3117" s="946" t="s">
        <v>28620</v>
      </c>
      <c r="B3117" s="947" t="s">
        <v>21054</v>
      </c>
      <c r="C3117" s="948" t="s">
        <v>21052</v>
      </c>
      <c r="D3117" s="242" t="s">
        <v>327</v>
      </c>
      <c r="E3117" s="949">
        <v>502</v>
      </c>
      <c r="F3117" s="949">
        <v>502</v>
      </c>
      <c r="G3117" s="950" t="s">
        <v>21922</v>
      </c>
      <c r="H3117" s="950" t="s">
        <v>186</v>
      </c>
      <c r="I3117" s="951" t="s">
        <v>21053</v>
      </c>
      <c r="J3117" s="947" t="s">
        <v>21054</v>
      </c>
      <c r="K3117" s="143"/>
    </row>
    <row r="3118" spans="1:11">
      <c r="A3118" s="946" t="s">
        <v>28620</v>
      </c>
      <c r="B3118" s="947" t="s">
        <v>21308</v>
      </c>
      <c r="C3118" s="948" t="s">
        <v>21306</v>
      </c>
      <c r="D3118" s="242" t="s">
        <v>327</v>
      </c>
      <c r="E3118" s="949">
        <v>502</v>
      </c>
      <c r="F3118" s="949">
        <v>502</v>
      </c>
      <c r="G3118" s="950" t="s">
        <v>21922</v>
      </c>
      <c r="H3118" s="950" t="s">
        <v>186</v>
      </c>
      <c r="I3118" s="951" t="s">
        <v>21307</v>
      </c>
      <c r="J3118" s="947" t="s">
        <v>21308</v>
      </c>
      <c r="K3118" s="143"/>
    </row>
    <row r="3119" spans="1:11">
      <c r="A3119" s="946" t="s">
        <v>28620</v>
      </c>
      <c r="B3119" s="947" t="s">
        <v>21312</v>
      </c>
      <c r="C3119" s="948" t="s">
        <v>21310</v>
      </c>
      <c r="D3119" s="242" t="s">
        <v>327</v>
      </c>
      <c r="E3119" s="949">
        <v>502</v>
      </c>
      <c r="F3119" s="949">
        <v>502</v>
      </c>
      <c r="G3119" s="950" t="s">
        <v>21922</v>
      </c>
      <c r="H3119" s="950" t="s">
        <v>186</v>
      </c>
      <c r="I3119" s="951" t="s">
        <v>21311</v>
      </c>
      <c r="J3119" s="947" t="s">
        <v>21312</v>
      </c>
      <c r="K3119" s="143"/>
    </row>
    <row r="3120" spans="1:11">
      <c r="A3120" s="946" t="s">
        <v>28620</v>
      </c>
      <c r="B3120" s="947" t="s">
        <v>21469</v>
      </c>
      <c r="C3120" s="948" t="s">
        <v>21467</v>
      </c>
      <c r="D3120" s="242" t="s">
        <v>327</v>
      </c>
      <c r="E3120" s="949">
        <v>502</v>
      </c>
      <c r="F3120" s="949">
        <v>502</v>
      </c>
      <c r="G3120" s="950" t="s">
        <v>21922</v>
      </c>
      <c r="H3120" s="950" t="s">
        <v>186</v>
      </c>
      <c r="I3120" s="951" t="s">
        <v>21468</v>
      </c>
      <c r="J3120" s="947" t="s">
        <v>21469</v>
      </c>
      <c r="K3120" s="143"/>
    </row>
    <row r="3121" spans="1:11">
      <c r="A3121" s="946" t="s">
        <v>28620</v>
      </c>
      <c r="B3121" s="947" t="s">
        <v>21667</v>
      </c>
      <c r="C3121" s="948" t="s">
        <v>21665</v>
      </c>
      <c r="D3121" s="242" t="s">
        <v>327</v>
      </c>
      <c r="E3121" s="949">
        <v>502</v>
      </c>
      <c r="F3121" s="949">
        <v>502</v>
      </c>
      <c r="G3121" s="950" t="s">
        <v>21922</v>
      </c>
      <c r="H3121" s="950" t="s">
        <v>186</v>
      </c>
      <c r="I3121" s="951" t="s">
        <v>21666</v>
      </c>
      <c r="J3121" s="947" t="s">
        <v>21667</v>
      </c>
      <c r="K3121" s="143"/>
    </row>
    <row r="3122" spans="1:11">
      <c r="A3122" s="946" t="s">
        <v>28620</v>
      </c>
      <c r="B3122" s="947" t="s">
        <v>21922</v>
      </c>
      <c r="C3122" s="948" t="s">
        <v>21920</v>
      </c>
      <c r="D3122" s="242" t="s">
        <v>327</v>
      </c>
      <c r="E3122" s="949">
        <v>502</v>
      </c>
      <c r="F3122" s="949">
        <v>502</v>
      </c>
      <c r="G3122" s="950" t="s">
        <v>21922</v>
      </c>
      <c r="H3122" s="950" t="s">
        <v>186</v>
      </c>
      <c r="I3122" s="951" t="s">
        <v>21921</v>
      </c>
      <c r="J3122" s="947" t="s">
        <v>21922</v>
      </c>
      <c r="K3122" s="143"/>
    </row>
    <row r="3123" spans="1:11">
      <c r="A3123" s="946" t="s">
        <v>28620</v>
      </c>
      <c r="B3123" s="947" t="s">
        <v>22194</v>
      </c>
      <c r="C3123" s="948" t="s">
        <v>22192</v>
      </c>
      <c r="D3123" s="242" t="s">
        <v>327</v>
      </c>
      <c r="E3123" s="949">
        <v>502</v>
      </c>
      <c r="F3123" s="949">
        <v>502</v>
      </c>
      <c r="G3123" s="950" t="s">
        <v>21922</v>
      </c>
      <c r="H3123" s="950" t="s">
        <v>186</v>
      </c>
      <c r="I3123" s="951" t="s">
        <v>22193</v>
      </c>
      <c r="J3123" s="947" t="s">
        <v>22194</v>
      </c>
      <c r="K3123" s="143"/>
    </row>
    <row r="3124" spans="1:11">
      <c r="A3124" s="946" t="s">
        <v>28620</v>
      </c>
      <c r="B3124" s="947" t="s">
        <v>22335</v>
      </c>
      <c r="C3124" s="948" t="s">
        <v>22333</v>
      </c>
      <c r="D3124" s="242" t="s">
        <v>327</v>
      </c>
      <c r="E3124" s="949">
        <v>502</v>
      </c>
      <c r="F3124" s="949">
        <v>502</v>
      </c>
      <c r="G3124" s="950" t="s">
        <v>21922</v>
      </c>
      <c r="H3124" s="950" t="s">
        <v>186</v>
      </c>
      <c r="I3124" s="951" t="s">
        <v>22334</v>
      </c>
      <c r="J3124" s="947" t="s">
        <v>22335</v>
      </c>
      <c r="K3124" s="143"/>
    </row>
    <row r="3125" spans="1:11">
      <c r="A3125" s="946" t="s">
        <v>28620</v>
      </c>
      <c r="B3125" s="947" t="s">
        <v>22565</v>
      </c>
      <c r="C3125" s="948" t="s">
        <v>22563</v>
      </c>
      <c r="D3125" s="242" t="s">
        <v>327</v>
      </c>
      <c r="E3125" s="949">
        <v>502</v>
      </c>
      <c r="F3125" s="949">
        <v>502</v>
      </c>
      <c r="G3125" s="950" t="s">
        <v>21922</v>
      </c>
      <c r="H3125" s="950" t="s">
        <v>186</v>
      </c>
      <c r="I3125" s="951" t="s">
        <v>22564</v>
      </c>
      <c r="J3125" s="947" t="s">
        <v>22565</v>
      </c>
      <c r="K3125" s="143"/>
    </row>
    <row r="3126" spans="1:11">
      <c r="A3126" s="946" t="s">
        <v>28620</v>
      </c>
      <c r="B3126" s="947" t="s">
        <v>22611</v>
      </c>
      <c r="C3126" s="948" t="s">
        <v>22609</v>
      </c>
      <c r="D3126" s="242" t="s">
        <v>626</v>
      </c>
      <c r="E3126" s="949">
        <v>507</v>
      </c>
      <c r="F3126" s="949">
        <v>507</v>
      </c>
      <c r="G3126" s="950" t="s">
        <v>21922</v>
      </c>
      <c r="H3126" s="950" t="s">
        <v>186</v>
      </c>
      <c r="I3126" s="951" t="s">
        <v>22610</v>
      </c>
      <c r="J3126" s="947" t="s">
        <v>22611</v>
      </c>
      <c r="K3126" s="143"/>
    </row>
    <row r="3127" spans="1:11">
      <c r="A3127" s="946" t="s">
        <v>28620</v>
      </c>
      <c r="B3127" s="947" t="s">
        <v>22665</v>
      </c>
      <c r="C3127" s="948" t="s">
        <v>22663</v>
      </c>
      <c r="D3127" s="242" t="s">
        <v>327</v>
      </c>
      <c r="E3127" s="949">
        <v>502</v>
      </c>
      <c r="F3127" s="949">
        <v>502</v>
      </c>
      <c r="G3127" s="950" t="s">
        <v>21922</v>
      </c>
      <c r="H3127" s="950" t="s">
        <v>186</v>
      </c>
      <c r="I3127" s="951" t="s">
        <v>22664</v>
      </c>
      <c r="J3127" s="947" t="s">
        <v>22665</v>
      </c>
      <c r="K3127" s="143"/>
    </row>
    <row r="3128" spans="1:11">
      <c r="A3128" s="946" t="s">
        <v>28620</v>
      </c>
      <c r="B3128" s="947" t="s">
        <v>22674</v>
      </c>
      <c r="C3128" s="948" t="s">
        <v>22672</v>
      </c>
      <c r="D3128" s="242" t="s">
        <v>327</v>
      </c>
      <c r="E3128" s="949">
        <v>502</v>
      </c>
      <c r="F3128" s="949">
        <v>502</v>
      </c>
      <c r="G3128" s="950" t="s">
        <v>21922</v>
      </c>
      <c r="H3128" s="950" t="s">
        <v>186</v>
      </c>
      <c r="I3128" s="951" t="s">
        <v>22673</v>
      </c>
      <c r="J3128" s="947" t="s">
        <v>22674</v>
      </c>
      <c r="K3128" s="143"/>
    </row>
    <row r="3129" spans="1:11">
      <c r="A3129" s="946" t="s">
        <v>28620</v>
      </c>
      <c r="B3129" s="947" t="s">
        <v>26467</v>
      </c>
      <c r="C3129" s="948" t="s">
        <v>26468</v>
      </c>
      <c r="D3129" s="242" t="s">
        <v>327</v>
      </c>
      <c r="E3129" s="949">
        <v>502</v>
      </c>
      <c r="F3129" s="949">
        <v>502</v>
      </c>
      <c r="G3129" s="950" t="s">
        <v>21922</v>
      </c>
      <c r="H3129" s="950" t="s">
        <v>186</v>
      </c>
      <c r="I3129" s="951" t="s">
        <v>26469</v>
      </c>
      <c r="J3129" s="947" t="s">
        <v>26467</v>
      </c>
      <c r="K3129" s="143"/>
    </row>
    <row r="3130" spans="1:11">
      <c r="A3130" s="946" t="s">
        <v>28620</v>
      </c>
      <c r="B3130" s="947" t="s">
        <v>28665</v>
      </c>
      <c r="C3130" s="948" t="s">
        <v>28788</v>
      </c>
      <c r="D3130" s="242" t="s">
        <v>327</v>
      </c>
      <c r="E3130" s="949">
        <v>502</v>
      </c>
      <c r="F3130" s="949">
        <v>502</v>
      </c>
      <c r="G3130" s="950" t="s">
        <v>21922</v>
      </c>
      <c r="H3130" s="950" t="s">
        <v>186</v>
      </c>
      <c r="I3130" s="951" t="s">
        <v>28709</v>
      </c>
      <c r="J3130" s="947" t="s">
        <v>28665</v>
      </c>
      <c r="K3130" s="143"/>
    </row>
    <row r="3131" spans="1:11">
      <c r="A3131" s="946" t="s">
        <v>28620</v>
      </c>
      <c r="B3131" s="947" t="s">
        <v>28662</v>
      </c>
      <c r="C3131" s="948" t="s">
        <v>28785</v>
      </c>
      <c r="D3131" s="242" t="s">
        <v>615</v>
      </c>
      <c r="E3131" s="949">
        <v>503</v>
      </c>
      <c r="F3131" s="949">
        <v>503</v>
      </c>
      <c r="G3131" s="950" t="s">
        <v>21922</v>
      </c>
      <c r="H3131" s="950" t="s">
        <v>186</v>
      </c>
      <c r="I3131" s="951" t="s">
        <v>28706</v>
      </c>
      <c r="J3131" s="947" t="s">
        <v>28662</v>
      </c>
      <c r="K3131" s="143"/>
    </row>
    <row r="3132" spans="1:11">
      <c r="A3132" s="946" t="s">
        <v>28620</v>
      </c>
      <c r="B3132" s="947" t="s">
        <v>28660</v>
      </c>
      <c r="C3132" s="948" t="s">
        <v>28783</v>
      </c>
      <c r="D3132" s="242" t="s">
        <v>615</v>
      </c>
      <c r="E3132" s="949">
        <v>503</v>
      </c>
      <c r="F3132" s="949">
        <v>503</v>
      </c>
      <c r="G3132" s="950" t="s">
        <v>21922</v>
      </c>
      <c r="H3132" s="950" t="s">
        <v>186</v>
      </c>
      <c r="I3132" s="951" t="s">
        <v>28704</v>
      </c>
      <c r="J3132" s="947" t="s">
        <v>28660</v>
      </c>
      <c r="K3132" s="143"/>
    </row>
    <row r="3133" spans="1:11">
      <c r="A3133" s="946" t="s">
        <v>28620</v>
      </c>
      <c r="B3133" s="947" t="s">
        <v>28661</v>
      </c>
      <c r="C3133" s="948" t="s">
        <v>28784</v>
      </c>
      <c r="D3133" s="242" t="s">
        <v>615</v>
      </c>
      <c r="E3133" s="949">
        <v>503</v>
      </c>
      <c r="F3133" s="949">
        <v>503</v>
      </c>
      <c r="G3133" s="950" t="s">
        <v>21922</v>
      </c>
      <c r="H3133" s="950" t="s">
        <v>186</v>
      </c>
      <c r="I3133" s="951" t="s">
        <v>28705</v>
      </c>
      <c r="J3133" s="947" t="s">
        <v>28661</v>
      </c>
      <c r="K3133" s="143"/>
    </row>
    <row r="3134" spans="1:11">
      <c r="A3134" s="946" t="s">
        <v>28620</v>
      </c>
      <c r="B3134" s="947" t="s">
        <v>19828</v>
      </c>
      <c r="C3134" s="948" t="s">
        <v>19827</v>
      </c>
      <c r="D3134" s="242" t="s">
        <v>327</v>
      </c>
      <c r="E3134" s="949">
        <v>502</v>
      </c>
      <c r="F3134" s="949">
        <v>502</v>
      </c>
      <c r="G3134" s="950" t="s">
        <v>21922</v>
      </c>
      <c r="H3134" s="950" t="s">
        <v>186</v>
      </c>
      <c r="I3134" s="951" t="s">
        <v>32239</v>
      </c>
      <c r="J3134" s="947" t="s">
        <v>19828</v>
      </c>
      <c r="K3134" s="143"/>
    </row>
    <row r="3135" spans="1:11">
      <c r="A3135" s="946" t="s">
        <v>28620</v>
      </c>
      <c r="B3135" s="947" t="s">
        <v>32240</v>
      </c>
      <c r="C3135" s="948" t="s">
        <v>32241</v>
      </c>
      <c r="D3135" s="242" t="s">
        <v>327</v>
      </c>
      <c r="E3135" s="949">
        <v>502</v>
      </c>
      <c r="F3135" s="949">
        <v>502</v>
      </c>
      <c r="G3135" s="950" t="s">
        <v>21922</v>
      </c>
      <c r="H3135" s="950" t="s">
        <v>186</v>
      </c>
      <c r="I3135" s="951" t="s">
        <v>32242</v>
      </c>
      <c r="J3135" s="947" t="s">
        <v>32240</v>
      </c>
      <c r="K3135" s="143"/>
    </row>
    <row r="3136" spans="1:11">
      <c r="A3136" s="946" t="s">
        <v>28620</v>
      </c>
      <c r="B3136" s="947" t="s">
        <v>630</v>
      </c>
      <c r="C3136" s="948" t="s">
        <v>627</v>
      </c>
      <c r="D3136" s="242" t="s">
        <v>606</v>
      </c>
      <c r="E3136" s="949">
        <v>501</v>
      </c>
      <c r="F3136" s="949">
        <v>501</v>
      </c>
      <c r="G3136" s="950" t="s">
        <v>2205</v>
      </c>
      <c r="H3136" s="950" t="s">
        <v>628</v>
      </c>
      <c r="I3136" s="951" t="s">
        <v>629</v>
      </c>
      <c r="J3136" s="947" t="s">
        <v>630</v>
      </c>
      <c r="K3136" s="143"/>
    </row>
    <row r="3137" spans="1:11">
      <c r="A3137" s="946" t="s">
        <v>28620</v>
      </c>
      <c r="B3137" s="947" t="s">
        <v>946</v>
      </c>
      <c r="C3137" s="948" t="s">
        <v>944</v>
      </c>
      <c r="D3137" s="242" t="s">
        <v>606</v>
      </c>
      <c r="E3137" s="949">
        <v>501</v>
      </c>
      <c r="F3137" s="949">
        <v>501</v>
      </c>
      <c r="G3137" s="950" t="s">
        <v>2205</v>
      </c>
      <c r="H3137" s="950" t="s">
        <v>628</v>
      </c>
      <c r="I3137" s="951" t="s">
        <v>945</v>
      </c>
      <c r="J3137" s="947" t="s">
        <v>946</v>
      </c>
      <c r="K3137" s="143"/>
    </row>
    <row r="3138" spans="1:11">
      <c r="A3138" s="946" t="s">
        <v>28620</v>
      </c>
      <c r="B3138" s="947" t="s">
        <v>1497</v>
      </c>
      <c r="C3138" s="948" t="s">
        <v>1495</v>
      </c>
      <c r="D3138" s="242" t="s">
        <v>606</v>
      </c>
      <c r="E3138" s="949">
        <v>501</v>
      </c>
      <c r="F3138" s="949">
        <v>501</v>
      </c>
      <c r="G3138" s="950" t="s">
        <v>2205</v>
      </c>
      <c r="H3138" s="950" t="s">
        <v>628</v>
      </c>
      <c r="I3138" s="951" t="s">
        <v>1496</v>
      </c>
      <c r="J3138" s="947" t="s">
        <v>1497</v>
      </c>
      <c r="K3138" s="143"/>
    </row>
    <row r="3139" spans="1:11">
      <c r="A3139" s="946" t="s">
        <v>28620</v>
      </c>
      <c r="B3139" s="947" t="s">
        <v>1638</v>
      </c>
      <c r="C3139" s="948" t="s">
        <v>1636</v>
      </c>
      <c r="D3139" s="242" t="s">
        <v>606</v>
      </c>
      <c r="E3139" s="949">
        <v>501</v>
      </c>
      <c r="F3139" s="949">
        <v>501</v>
      </c>
      <c r="G3139" s="950" t="s">
        <v>2205</v>
      </c>
      <c r="H3139" s="950" t="s">
        <v>628</v>
      </c>
      <c r="I3139" s="951" t="s">
        <v>1637</v>
      </c>
      <c r="J3139" s="947" t="s">
        <v>1638</v>
      </c>
      <c r="K3139" s="143"/>
    </row>
    <row r="3140" spans="1:11">
      <c r="A3140" s="946" t="s">
        <v>28620</v>
      </c>
      <c r="B3140" s="947" t="s">
        <v>2205</v>
      </c>
      <c r="C3140" s="948" t="s">
        <v>2203</v>
      </c>
      <c r="D3140" s="242" t="s">
        <v>606</v>
      </c>
      <c r="E3140" s="949">
        <v>501</v>
      </c>
      <c r="F3140" s="949">
        <v>501</v>
      </c>
      <c r="G3140" s="950" t="s">
        <v>2205</v>
      </c>
      <c r="H3140" s="950" t="s">
        <v>628</v>
      </c>
      <c r="I3140" s="951" t="s">
        <v>2204</v>
      </c>
      <c r="J3140" s="947" t="s">
        <v>2205</v>
      </c>
      <c r="K3140" s="143"/>
    </row>
    <row r="3141" spans="1:11">
      <c r="A3141" s="946" t="s">
        <v>28620</v>
      </c>
      <c r="B3141" s="947" t="s">
        <v>2670</v>
      </c>
      <c r="C3141" s="948" t="s">
        <v>2668</v>
      </c>
      <c r="D3141" s="242" t="s">
        <v>606</v>
      </c>
      <c r="E3141" s="949">
        <v>501</v>
      </c>
      <c r="F3141" s="949">
        <v>501</v>
      </c>
      <c r="G3141" s="950" t="s">
        <v>2205</v>
      </c>
      <c r="H3141" s="950" t="s">
        <v>628</v>
      </c>
      <c r="I3141" s="951" t="s">
        <v>2669</v>
      </c>
      <c r="J3141" s="947" t="s">
        <v>2670</v>
      </c>
      <c r="K3141" s="143"/>
    </row>
    <row r="3142" spans="1:11">
      <c r="A3142" s="946" t="s">
        <v>28620</v>
      </c>
      <c r="B3142" s="947" t="s">
        <v>3415</v>
      </c>
      <c r="C3142" s="948" t="s">
        <v>3413</v>
      </c>
      <c r="D3142" s="242" t="s">
        <v>606</v>
      </c>
      <c r="E3142" s="949">
        <v>501</v>
      </c>
      <c r="F3142" s="949">
        <v>501</v>
      </c>
      <c r="G3142" s="950" t="s">
        <v>2205</v>
      </c>
      <c r="H3142" s="950" t="s">
        <v>628</v>
      </c>
      <c r="I3142" s="951" t="s">
        <v>3414</v>
      </c>
      <c r="J3142" s="947" t="s">
        <v>3415</v>
      </c>
      <c r="K3142" s="143"/>
    </row>
    <row r="3143" spans="1:11">
      <c r="A3143" s="946" t="s">
        <v>28620</v>
      </c>
      <c r="B3143" s="947" t="s">
        <v>5847</v>
      </c>
      <c r="C3143" s="948" t="s">
        <v>5845</v>
      </c>
      <c r="D3143" s="242" t="s">
        <v>606</v>
      </c>
      <c r="E3143" s="949">
        <v>501</v>
      </c>
      <c r="F3143" s="949">
        <v>501</v>
      </c>
      <c r="G3143" s="950" t="s">
        <v>2205</v>
      </c>
      <c r="H3143" s="950" t="s">
        <v>628</v>
      </c>
      <c r="I3143" s="951" t="s">
        <v>5846</v>
      </c>
      <c r="J3143" s="947" t="s">
        <v>5847</v>
      </c>
      <c r="K3143" s="143"/>
    </row>
    <row r="3144" spans="1:11">
      <c r="A3144" s="946" t="s">
        <v>28620</v>
      </c>
      <c r="B3144" s="947" t="s">
        <v>6137</v>
      </c>
      <c r="C3144" s="948" t="s">
        <v>6135</v>
      </c>
      <c r="D3144" s="242" t="s">
        <v>606</v>
      </c>
      <c r="E3144" s="949">
        <v>501</v>
      </c>
      <c r="F3144" s="949">
        <v>501</v>
      </c>
      <c r="G3144" s="950" t="s">
        <v>2205</v>
      </c>
      <c r="H3144" s="950" t="s">
        <v>628</v>
      </c>
      <c r="I3144" s="951" t="s">
        <v>6136</v>
      </c>
      <c r="J3144" s="947" t="s">
        <v>6137</v>
      </c>
      <c r="K3144" s="143"/>
    </row>
    <row r="3145" spans="1:11">
      <c r="A3145" s="946" t="s">
        <v>28620</v>
      </c>
      <c r="B3145" s="947" t="s">
        <v>6250</v>
      </c>
      <c r="C3145" s="948" t="s">
        <v>6248</v>
      </c>
      <c r="D3145" s="242" t="s">
        <v>606</v>
      </c>
      <c r="E3145" s="949">
        <v>501</v>
      </c>
      <c r="F3145" s="949">
        <v>501</v>
      </c>
      <c r="G3145" s="950" t="s">
        <v>2205</v>
      </c>
      <c r="H3145" s="950" t="s">
        <v>628</v>
      </c>
      <c r="I3145" s="951" t="s">
        <v>6249</v>
      </c>
      <c r="J3145" s="947" t="s">
        <v>6250</v>
      </c>
      <c r="K3145" s="143"/>
    </row>
    <row r="3146" spans="1:11">
      <c r="A3146" s="946" t="s">
        <v>28620</v>
      </c>
      <c r="B3146" s="947" t="s">
        <v>6344</v>
      </c>
      <c r="C3146" s="948" t="s">
        <v>6342</v>
      </c>
      <c r="D3146" s="242" t="s">
        <v>606</v>
      </c>
      <c r="E3146" s="949">
        <v>501</v>
      </c>
      <c r="F3146" s="949">
        <v>501</v>
      </c>
      <c r="G3146" s="950" t="s">
        <v>2205</v>
      </c>
      <c r="H3146" s="950" t="s">
        <v>628</v>
      </c>
      <c r="I3146" s="951" t="s">
        <v>6343</v>
      </c>
      <c r="J3146" s="947" t="s">
        <v>6344</v>
      </c>
      <c r="K3146" s="143"/>
    </row>
    <row r="3147" spans="1:11">
      <c r="A3147" s="946" t="s">
        <v>28620</v>
      </c>
      <c r="B3147" s="947" t="s">
        <v>6736</v>
      </c>
      <c r="C3147" s="948" t="s">
        <v>6734</v>
      </c>
      <c r="D3147" s="242" t="s">
        <v>606</v>
      </c>
      <c r="E3147" s="949">
        <v>501</v>
      </c>
      <c r="F3147" s="949">
        <v>501</v>
      </c>
      <c r="G3147" s="950" t="s">
        <v>2205</v>
      </c>
      <c r="H3147" s="950" t="s">
        <v>628</v>
      </c>
      <c r="I3147" s="951" t="s">
        <v>6735</v>
      </c>
      <c r="J3147" s="947" t="s">
        <v>6736</v>
      </c>
      <c r="K3147" s="143"/>
    </row>
    <row r="3148" spans="1:11">
      <c r="A3148" s="946" t="s">
        <v>28620</v>
      </c>
      <c r="B3148" s="947" t="s">
        <v>6884</v>
      </c>
      <c r="C3148" s="948" t="s">
        <v>6882</v>
      </c>
      <c r="D3148" s="242" t="s">
        <v>606</v>
      </c>
      <c r="E3148" s="949">
        <v>501</v>
      </c>
      <c r="F3148" s="949">
        <v>501</v>
      </c>
      <c r="G3148" s="950" t="s">
        <v>2205</v>
      </c>
      <c r="H3148" s="950" t="s">
        <v>628</v>
      </c>
      <c r="I3148" s="951" t="s">
        <v>6883</v>
      </c>
      <c r="J3148" s="947" t="s">
        <v>6884</v>
      </c>
      <c r="K3148" s="143"/>
    </row>
    <row r="3149" spans="1:11">
      <c r="A3149" s="946" t="s">
        <v>28620</v>
      </c>
      <c r="B3149" s="947" t="s">
        <v>7198</v>
      </c>
      <c r="C3149" s="948" t="s">
        <v>7196</v>
      </c>
      <c r="D3149" s="242" t="s">
        <v>606</v>
      </c>
      <c r="E3149" s="949">
        <v>501</v>
      </c>
      <c r="F3149" s="949">
        <v>501</v>
      </c>
      <c r="G3149" s="950" t="s">
        <v>2205</v>
      </c>
      <c r="H3149" s="950" t="s">
        <v>628</v>
      </c>
      <c r="I3149" s="951" t="s">
        <v>7197</v>
      </c>
      <c r="J3149" s="947" t="s">
        <v>7198</v>
      </c>
      <c r="K3149" s="143"/>
    </row>
    <row r="3150" spans="1:11">
      <c r="A3150" s="946" t="s">
        <v>28620</v>
      </c>
      <c r="B3150" s="947" t="s">
        <v>7554</v>
      </c>
      <c r="C3150" s="948" t="s">
        <v>7552</v>
      </c>
      <c r="D3150" s="242" t="s">
        <v>606</v>
      </c>
      <c r="E3150" s="949">
        <v>501</v>
      </c>
      <c r="F3150" s="949">
        <v>501</v>
      </c>
      <c r="G3150" s="950" t="s">
        <v>2205</v>
      </c>
      <c r="H3150" s="950" t="s">
        <v>628</v>
      </c>
      <c r="I3150" s="951" t="s">
        <v>7553</v>
      </c>
      <c r="J3150" s="947" t="s">
        <v>7554</v>
      </c>
      <c r="K3150" s="143"/>
    </row>
    <row r="3151" spans="1:11">
      <c r="A3151" s="946" t="s">
        <v>28620</v>
      </c>
      <c r="B3151" s="947" t="s">
        <v>7708</v>
      </c>
      <c r="C3151" s="948" t="s">
        <v>7706</v>
      </c>
      <c r="D3151" s="242" t="s">
        <v>606</v>
      </c>
      <c r="E3151" s="949">
        <v>501</v>
      </c>
      <c r="F3151" s="949">
        <v>501</v>
      </c>
      <c r="G3151" s="950" t="s">
        <v>2205</v>
      </c>
      <c r="H3151" s="950" t="s">
        <v>628</v>
      </c>
      <c r="I3151" s="951" t="s">
        <v>7707</v>
      </c>
      <c r="J3151" s="947" t="s">
        <v>7708</v>
      </c>
      <c r="K3151" s="143"/>
    </row>
    <row r="3152" spans="1:11">
      <c r="A3152" s="946" t="s">
        <v>28620</v>
      </c>
      <c r="B3152" s="947" t="s">
        <v>7986</v>
      </c>
      <c r="C3152" s="948" t="s">
        <v>7984</v>
      </c>
      <c r="D3152" s="242" t="s">
        <v>606</v>
      </c>
      <c r="E3152" s="949">
        <v>501</v>
      </c>
      <c r="F3152" s="949">
        <v>501</v>
      </c>
      <c r="G3152" s="950" t="s">
        <v>2205</v>
      </c>
      <c r="H3152" s="950" t="s">
        <v>628</v>
      </c>
      <c r="I3152" s="951" t="s">
        <v>7985</v>
      </c>
      <c r="J3152" s="947" t="s">
        <v>7986</v>
      </c>
      <c r="K3152" s="143"/>
    </row>
    <row r="3153" spans="1:11">
      <c r="A3153" s="946" t="s">
        <v>28620</v>
      </c>
      <c r="B3153" s="947" t="s">
        <v>8112</v>
      </c>
      <c r="C3153" s="948" t="s">
        <v>8110</v>
      </c>
      <c r="D3153" s="242" t="s">
        <v>606</v>
      </c>
      <c r="E3153" s="949">
        <v>501</v>
      </c>
      <c r="F3153" s="949">
        <v>501</v>
      </c>
      <c r="G3153" s="950" t="s">
        <v>2205</v>
      </c>
      <c r="H3153" s="950" t="s">
        <v>628</v>
      </c>
      <c r="I3153" s="951" t="s">
        <v>8111</v>
      </c>
      <c r="J3153" s="947" t="s">
        <v>8112</v>
      </c>
      <c r="K3153" s="143"/>
    </row>
    <row r="3154" spans="1:11">
      <c r="A3154" s="946" t="s">
        <v>28620</v>
      </c>
      <c r="B3154" s="947" t="s">
        <v>8453</v>
      </c>
      <c r="C3154" s="948" t="s">
        <v>8451</v>
      </c>
      <c r="D3154" s="242" t="s">
        <v>606</v>
      </c>
      <c r="E3154" s="949">
        <v>501</v>
      </c>
      <c r="F3154" s="949">
        <v>501</v>
      </c>
      <c r="G3154" s="950" t="s">
        <v>2205</v>
      </c>
      <c r="H3154" s="950" t="s">
        <v>628</v>
      </c>
      <c r="I3154" s="951" t="s">
        <v>8452</v>
      </c>
      <c r="J3154" s="947" t="s">
        <v>8453</v>
      </c>
      <c r="K3154" s="143"/>
    </row>
    <row r="3155" spans="1:11">
      <c r="A3155" s="946" t="s">
        <v>28620</v>
      </c>
      <c r="B3155" s="947" t="s">
        <v>3864</v>
      </c>
      <c r="C3155" s="948" t="s">
        <v>3862</v>
      </c>
      <c r="D3155" s="242" t="s">
        <v>606</v>
      </c>
      <c r="E3155" s="949">
        <v>501</v>
      </c>
      <c r="F3155" s="949">
        <v>501</v>
      </c>
      <c r="G3155" s="950" t="s">
        <v>2205</v>
      </c>
      <c r="H3155" s="950" t="s">
        <v>628</v>
      </c>
      <c r="I3155" s="951" t="s">
        <v>3863</v>
      </c>
      <c r="J3155" s="947" t="s">
        <v>3864</v>
      </c>
      <c r="K3155" s="143"/>
    </row>
    <row r="3156" spans="1:11">
      <c r="A3156" s="946" t="s">
        <v>28620</v>
      </c>
      <c r="B3156" s="947" t="s">
        <v>9407</v>
      </c>
      <c r="C3156" s="948" t="s">
        <v>9405</v>
      </c>
      <c r="D3156" s="242" t="s">
        <v>606</v>
      </c>
      <c r="E3156" s="949">
        <v>501</v>
      </c>
      <c r="F3156" s="949">
        <v>501</v>
      </c>
      <c r="G3156" s="950" t="s">
        <v>2205</v>
      </c>
      <c r="H3156" s="950" t="s">
        <v>628</v>
      </c>
      <c r="I3156" s="951" t="s">
        <v>9406</v>
      </c>
      <c r="J3156" s="947" t="s">
        <v>9407</v>
      </c>
      <c r="K3156" s="143"/>
    </row>
    <row r="3157" spans="1:11">
      <c r="A3157" s="946" t="s">
        <v>28620</v>
      </c>
      <c r="B3157" s="947" t="s">
        <v>10099</v>
      </c>
      <c r="C3157" s="948" t="s">
        <v>10097</v>
      </c>
      <c r="D3157" s="242" t="s">
        <v>606</v>
      </c>
      <c r="E3157" s="949">
        <v>501</v>
      </c>
      <c r="F3157" s="949">
        <v>501</v>
      </c>
      <c r="G3157" s="950" t="s">
        <v>2205</v>
      </c>
      <c r="H3157" s="950" t="s">
        <v>628</v>
      </c>
      <c r="I3157" s="951" t="s">
        <v>10098</v>
      </c>
      <c r="J3157" s="947" t="s">
        <v>10099</v>
      </c>
      <c r="K3157" s="143"/>
    </row>
    <row r="3158" spans="1:11">
      <c r="A3158" s="946" t="s">
        <v>28620</v>
      </c>
      <c r="B3158" s="947" t="s">
        <v>10016</v>
      </c>
      <c r="C3158" s="948" t="s">
        <v>10014</v>
      </c>
      <c r="D3158" s="242" t="s">
        <v>606</v>
      </c>
      <c r="E3158" s="949">
        <v>501</v>
      </c>
      <c r="F3158" s="949">
        <v>501</v>
      </c>
      <c r="G3158" s="950" t="s">
        <v>2205</v>
      </c>
      <c r="H3158" s="950" t="s">
        <v>628</v>
      </c>
      <c r="I3158" s="951" t="s">
        <v>10015</v>
      </c>
      <c r="J3158" s="947" t="s">
        <v>10016</v>
      </c>
      <c r="K3158" s="143"/>
    </row>
    <row r="3159" spans="1:11">
      <c r="A3159" s="946" t="s">
        <v>28620</v>
      </c>
      <c r="B3159" s="947" t="s">
        <v>10429</v>
      </c>
      <c r="C3159" s="948" t="s">
        <v>10427</v>
      </c>
      <c r="D3159" s="242" t="s">
        <v>606</v>
      </c>
      <c r="E3159" s="949">
        <v>501</v>
      </c>
      <c r="F3159" s="949">
        <v>501</v>
      </c>
      <c r="G3159" s="950" t="s">
        <v>2205</v>
      </c>
      <c r="H3159" s="950" t="s">
        <v>628</v>
      </c>
      <c r="I3159" s="951" t="s">
        <v>10428</v>
      </c>
      <c r="J3159" s="947" t="s">
        <v>10429</v>
      </c>
      <c r="K3159" s="143"/>
    </row>
    <row r="3160" spans="1:11">
      <c r="A3160" s="946" t="s">
        <v>28620</v>
      </c>
      <c r="B3160" s="947" t="s">
        <v>10492</v>
      </c>
      <c r="C3160" s="948" t="s">
        <v>10490</v>
      </c>
      <c r="D3160" s="242" t="s">
        <v>606</v>
      </c>
      <c r="E3160" s="949">
        <v>501</v>
      </c>
      <c r="F3160" s="949">
        <v>501</v>
      </c>
      <c r="G3160" s="950" t="s">
        <v>2205</v>
      </c>
      <c r="H3160" s="950" t="s">
        <v>628</v>
      </c>
      <c r="I3160" s="951" t="s">
        <v>10491</v>
      </c>
      <c r="J3160" s="947" t="s">
        <v>10492</v>
      </c>
      <c r="K3160" s="143"/>
    </row>
    <row r="3161" spans="1:11">
      <c r="A3161" s="946" t="s">
        <v>28620</v>
      </c>
      <c r="B3161" s="947" t="s">
        <v>10633</v>
      </c>
      <c r="C3161" s="948" t="s">
        <v>10631</v>
      </c>
      <c r="D3161" s="242" t="s">
        <v>606</v>
      </c>
      <c r="E3161" s="949">
        <v>501</v>
      </c>
      <c r="F3161" s="949">
        <v>501</v>
      </c>
      <c r="G3161" s="950" t="s">
        <v>2205</v>
      </c>
      <c r="H3161" s="950" t="s">
        <v>628</v>
      </c>
      <c r="I3161" s="951" t="s">
        <v>10632</v>
      </c>
      <c r="J3161" s="947" t="s">
        <v>10633</v>
      </c>
      <c r="K3161" s="143"/>
    </row>
    <row r="3162" spans="1:11">
      <c r="A3162" s="946" t="s">
        <v>28620</v>
      </c>
      <c r="B3162" s="947" t="s">
        <v>10676</v>
      </c>
      <c r="C3162" s="948" t="s">
        <v>10674</v>
      </c>
      <c r="D3162" s="242" t="s">
        <v>606</v>
      </c>
      <c r="E3162" s="949">
        <v>501</v>
      </c>
      <c r="F3162" s="949">
        <v>501</v>
      </c>
      <c r="G3162" s="950" t="s">
        <v>2205</v>
      </c>
      <c r="H3162" s="950" t="s">
        <v>628</v>
      </c>
      <c r="I3162" s="951" t="s">
        <v>10675</v>
      </c>
      <c r="J3162" s="947" t="s">
        <v>10676</v>
      </c>
      <c r="K3162" s="143"/>
    </row>
    <row r="3163" spans="1:11">
      <c r="A3163" s="946" t="s">
        <v>28620</v>
      </c>
      <c r="B3163" s="947" t="s">
        <v>13873</v>
      </c>
      <c r="C3163" s="948" t="s">
        <v>13871</v>
      </c>
      <c r="D3163" s="242" t="s">
        <v>606</v>
      </c>
      <c r="E3163" s="949">
        <v>501</v>
      </c>
      <c r="F3163" s="949">
        <v>501</v>
      </c>
      <c r="G3163" s="950" t="s">
        <v>2205</v>
      </c>
      <c r="H3163" s="950" t="s">
        <v>628</v>
      </c>
      <c r="I3163" s="951" t="s">
        <v>13872</v>
      </c>
      <c r="J3163" s="947" t="s">
        <v>13873</v>
      </c>
      <c r="K3163" s="143"/>
    </row>
    <row r="3164" spans="1:11">
      <c r="A3164" s="946" t="s">
        <v>28620</v>
      </c>
      <c r="B3164" s="947" t="s">
        <v>14399</v>
      </c>
      <c r="C3164" s="948" t="s">
        <v>14397</v>
      </c>
      <c r="D3164" s="242" t="s">
        <v>606</v>
      </c>
      <c r="E3164" s="949">
        <v>501</v>
      </c>
      <c r="F3164" s="949">
        <v>501</v>
      </c>
      <c r="G3164" s="950" t="s">
        <v>2205</v>
      </c>
      <c r="H3164" s="950" t="s">
        <v>628</v>
      </c>
      <c r="I3164" s="951" t="s">
        <v>14398</v>
      </c>
      <c r="J3164" s="947" t="s">
        <v>14399</v>
      </c>
      <c r="K3164" s="143"/>
    </row>
    <row r="3165" spans="1:11">
      <c r="A3165" s="946" t="s">
        <v>28620</v>
      </c>
      <c r="B3165" s="947" t="s">
        <v>14476</v>
      </c>
      <c r="C3165" s="948" t="s">
        <v>14474</v>
      </c>
      <c r="D3165" s="242" t="s">
        <v>606</v>
      </c>
      <c r="E3165" s="949">
        <v>501</v>
      </c>
      <c r="F3165" s="949">
        <v>501</v>
      </c>
      <c r="G3165" s="950" t="s">
        <v>2205</v>
      </c>
      <c r="H3165" s="950" t="s">
        <v>628</v>
      </c>
      <c r="I3165" s="951" t="s">
        <v>14475</v>
      </c>
      <c r="J3165" s="947" t="s">
        <v>14476</v>
      </c>
      <c r="K3165" s="143"/>
    </row>
    <row r="3166" spans="1:11">
      <c r="A3166" s="946" t="s">
        <v>28620</v>
      </c>
      <c r="B3166" s="947" t="s">
        <v>14925</v>
      </c>
      <c r="C3166" s="948" t="s">
        <v>14923</v>
      </c>
      <c r="D3166" s="242" t="s">
        <v>606</v>
      </c>
      <c r="E3166" s="949">
        <v>501</v>
      </c>
      <c r="F3166" s="949">
        <v>501</v>
      </c>
      <c r="G3166" s="950" t="s">
        <v>2205</v>
      </c>
      <c r="H3166" s="950" t="s">
        <v>628</v>
      </c>
      <c r="I3166" s="951" t="s">
        <v>14924</v>
      </c>
      <c r="J3166" s="947" t="s">
        <v>14925</v>
      </c>
      <c r="K3166" s="143"/>
    </row>
    <row r="3167" spans="1:11">
      <c r="A3167" s="946" t="s">
        <v>28620</v>
      </c>
      <c r="B3167" s="947" t="s">
        <v>15397</v>
      </c>
      <c r="C3167" s="948" t="s">
        <v>15395</v>
      </c>
      <c r="D3167" s="242" t="s">
        <v>606</v>
      </c>
      <c r="E3167" s="949">
        <v>501</v>
      </c>
      <c r="F3167" s="949">
        <v>501</v>
      </c>
      <c r="G3167" s="950" t="s">
        <v>2205</v>
      </c>
      <c r="H3167" s="950" t="s">
        <v>628</v>
      </c>
      <c r="I3167" s="951" t="s">
        <v>15396</v>
      </c>
      <c r="J3167" s="947" t="s">
        <v>15397</v>
      </c>
      <c r="K3167" s="143"/>
    </row>
    <row r="3168" spans="1:11">
      <c r="A3168" s="946" t="s">
        <v>28620</v>
      </c>
      <c r="B3168" s="947" t="s">
        <v>16405</v>
      </c>
      <c r="C3168" s="948" t="s">
        <v>16403</v>
      </c>
      <c r="D3168" s="242" t="s">
        <v>606</v>
      </c>
      <c r="E3168" s="949">
        <v>501</v>
      </c>
      <c r="F3168" s="949">
        <v>501</v>
      </c>
      <c r="G3168" s="950" t="s">
        <v>2205</v>
      </c>
      <c r="H3168" s="950" t="s">
        <v>628</v>
      </c>
      <c r="I3168" s="951" t="s">
        <v>16404</v>
      </c>
      <c r="J3168" s="947" t="s">
        <v>16405</v>
      </c>
      <c r="K3168" s="143"/>
    </row>
    <row r="3169" spans="1:11">
      <c r="A3169" s="946" t="s">
        <v>28620</v>
      </c>
      <c r="B3169" s="947" t="s">
        <v>16557</v>
      </c>
      <c r="C3169" s="948" t="s">
        <v>16555</v>
      </c>
      <c r="D3169" s="242" t="s">
        <v>606</v>
      </c>
      <c r="E3169" s="949">
        <v>501</v>
      </c>
      <c r="F3169" s="949">
        <v>501</v>
      </c>
      <c r="G3169" s="950" t="s">
        <v>2205</v>
      </c>
      <c r="H3169" s="950" t="s">
        <v>628</v>
      </c>
      <c r="I3169" s="951" t="s">
        <v>16556</v>
      </c>
      <c r="J3169" s="947" t="s">
        <v>16557</v>
      </c>
      <c r="K3169" s="143"/>
    </row>
    <row r="3170" spans="1:11">
      <c r="A3170" s="946" t="s">
        <v>28620</v>
      </c>
      <c r="B3170" s="947" t="s">
        <v>17795</v>
      </c>
      <c r="C3170" s="948" t="s">
        <v>17793</v>
      </c>
      <c r="D3170" s="242" t="s">
        <v>606</v>
      </c>
      <c r="E3170" s="949">
        <v>501</v>
      </c>
      <c r="F3170" s="949">
        <v>501</v>
      </c>
      <c r="G3170" s="950" t="s">
        <v>2205</v>
      </c>
      <c r="H3170" s="950" t="s">
        <v>628</v>
      </c>
      <c r="I3170" s="951" t="s">
        <v>17794</v>
      </c>
      <c r="J3170" s="947" t="s">
        <v>17795</v>
      </c>
      <c r="K3170" s="143"/>
    </row>
    <row r="3171" spans="1:11">
      <c r="A3171" s="946" t="s">
        <v>28620</v>
      </c>
      <c r="B3171" s="947" t="s">
        <v>18025</v>
      </c>
      <c r="C3171" s="948" t="s">
        <v>18023</v>
      </c>
      <c r="D3171" s="242" t="s">
        <v>606</v>
      </c>
      <c r="E3171" s="949">
        <v>501</v>
      </c>
      <c r="F3171" s="949">
        <v>501</v>
      </c>
      <c r="G3171" s="950" t="s">
        <v>2205</v>
      </c>
      <c r="H3171" s="950" t="s">
        <v>628</v>
      </c>
      <c r="I3171" s="951" t="s">
        <v>18024</v>
      </c>
      <c r="J3171" s="947" t="s">
        <v>18025</v>
      </c>
      <c r="K3171" s="143"/>
    </row>
    <row r="3172" spans="1:11">
      <c r="A3172" s="946" t="s">
        <v>28620</v>
      </c>
      <c r="B3172" s="947" t="s">
        <v>18084</v>
      </c>
      <c r="C3172" s="948" t="s">
        <v>18082</v>
      </c>
      <c r="D3172" s="242" t="s">
        <v>606</v>
      </c>
      <c r="E3172" s="949">
        <v>501</v>
      </c>
      <c r="F3172" s="949">
        <v>501</v>
      </c>
      <c r="G3172" s="950" t="s">
        <v>2205</v>
      </c>
      <c r="H3172" s="950" t="s">
        <v>628</v>
      </c>
      <c r="I3172" s="951" t="s">
        <v>18083</v>
      </c>
      <c r="J3172" s="947" t="s">
        <v>18084</v>
      </c>
      <c r="K3172" s="143"/>
    </row>
    <row r="3173" spans="1:11">
      <c r="A3173" s="946" t="s">
        <v>28620</v>
      </c>
      <c r="B3173" s="947" t="s">
        <v>18429</v>
      </c>
      <c r="C3173" s="948" t="s">
        <v>18427</v>
      </c>
      <c r="D3173" s="242" t="s">
        <v>606</v>
      </c>
      <c r="E3173" s="949">
        <v>501</v>
      </c>
      <c r="F3173" s="949">
        <v>501</v>
      </c>
      <c r="G3173" s="950" t="s">
        <v>2205</v>
      </c>
      <c r="H3173" s="950" t="s">
        <v>628</v>
      </c>
      <c r="I3173" s="951" t="s">
        <v>18428</v>
      </c>
      <c r="J3173" s="947" t="s">
        <v>18429</v>
      </c>
      <c r="K3173" s="143"/>
    </row>
    <row r="3174" spans="1:11">
      <c r="A3174" s="946" t="s">
        <v>28620</v>
      </c>
      <c r="B3174" s="947" t="s">
        <v>18248</v>
      </c>
      <c r="C3174" s="948" t="s">
        <v>18246</v>
      </c>
      <c r="D3174" s="242" t="s">
        <v>606</v>
      </c>
      <c r="E3174" s="949">
        <v>501</v>
      </c>
      <c r="F3174" s="949">
        <v>501</v>
      </c>
      <c r="G3174" s="950" t="s">
        <v>2205</v>
      </c>
      <c r="H3174" s="950" t="s">
        <v>628</v>
      </c>
      <c r="I3174" s="951" t="s">
        <v>18247</v>
      </c>
      <c r="J3174" s="947" t="s">
        <v>18248</v>
      </c>
      <c r="K3174" s="143"/>
    </row>
    <row r="3175" spans="1:11">
      <c r="A3175" s="946" t="s">
        <v>28620</v>
      </c>
      <c r="B3175" s="947" t="s">
        <v>18765</v>
      </c>
      <c r="C3175" s="948" t="s">
        <v>18763</v>
      </c>
      <c r="D3175" s="242" t="s">
        <v>606</v>
      </c>
      <c r="E3175" s="949">
        <v>501</v>
      </c>
      <c r="F3175" s="949">
        <v>501</v>
      </c>
      <c r="G3175" s="950" t="s">
        <v>2205</v>
      </c>
      <c r="H3175" s="950" t="s">
        <v>628</v>
      </c>
      <c r="I3175" s="951" t="s">
        <v>18764</v>
      </c>
      <c r="J3175" s="947" t="s">
        <v>18765</v>
      </c>
      <c r="K3175" s="143"/>
    </row>
    <row r="3176" spans="1:11">
      <c r="A3176" s="946" t="s">
        <v>28620</v>
      </c>
      <c r="B3176" s="947" t="s">
        <v>18290</v>
      </c>
      <c r="C3176" s="948" t="s">
        <v>18288</v>
      </c>
      <c r="D3176" s="242" t="s">
        <v>606</v>
      </c>
      <c r="E3176" s="949">
        <v>501</v>
      </c>
      <c r="F3176" s="949">
        <v>501</v>
      </c>
      <c r="G3176" s="950" t="s">
        <v>2205</v>
      </c>
      <c r="H3176" s="950" t="s">
        <v>628</v>
      </c>
      <c r="I3176" s="951" t="s">
        <v>18289</v>
      </c>
      <c r="J3176" s="947" t="s">
        <v>18290</v>
      </c>
      <c r="K3176" s="143"/>
    </row>
    <row r="3177" spans="1:11">
      <c r="A3177" s="946" t="s">
        <v>28620</v>
      </c>
      <c r="B3177" s="947" t="s">
        <v>19166</v>
      </c>
      <c r="C3177" s="948" t="s">
        <v>19164</v>
      </c>
      <c r="D3177" s="242" t="s">
        <v>606</v>
      </c>
      <c r="E3177" s="949">
        <v>501</v>
      </c>
      <c r="F3177" s="949">
        <v>501</v>
      </c>
      <c r="G3177" s="950" t="s">
        <v>2205</v>
      </c>
      <c r="H3177" s="950" t="s">
        <v>628</v>
      </c>
      <c r="I3177" s="951" t="s">
        <v>19165</v>
      </c>
      <c r="J3177" s="947" t="s">
        <v>19166</v>
      </c>
      <c r="K3177" s="143"/>
    </row>
    <row r="3178" spans="1:11">
      <c r="A3178" s="946" t="s">
        <v>28620</v>
      </c>
      <c r="B3178" s="947" t="s">
        <v>19217</v>
      </c>
      <c r="C3178" s="948" t="s">
        <v>19215</v>
      </c>
      <c r="D3178" s="242" t="s">
        <v>606</v>
      </c>
      <c r="E3178" s="949">
        <v>501</v>
      </c>
      <c r="F3178" s="949">
        <v>501</v>
      </c>
      <c r="G3178" s="950" t="s">
        <v>2205</v>
      </c>
      <c r="H3178" s="950" t="s">
        <v>628</v>
      </c>
      <c r="I3178" s="951" t="s">
        <v>19216</v>
      </c>
      <c r="J3178" s="947" t="s">
        <v>19217</v>
      </c>
      <c r="K3178" s="143"/>
    </row>
    <row r="3179" spans="1:11">
      <c r="A3179" s="946" t="s">
        <v>28620</v>
      </c>
      <c r="B3179" s="947" t="s">
        <v>19285</v>
      </c>
      <c r="C3179" s="948" t="s">
        <v>19283</v>
      </c>
      <c r="D3179" s="242" t="s">
        <v>606</v>
      </c>
      <c r="E3179" s="949">
        <v>501</v>
      </c>
      <c r="F3179" s="949">
        <v>501</v>
      </c>
      <c r="G3179" s="950" t="s">
        <v>2205</v>
      </c>
      <c r="H3179" s="950" t="s">
        <v>628</v>
      </c>
      <c r="I3179" s="951" t="s">
        <v>19284</v>
      </c>
      <c r="J3179" s="947" t="s">
        <v>19285</v>
      </c>
      <c r="K3179" s="143"/>
    </row>
    <row r="3180" spans="1:11">
      <c r="A3180" s="946" t="s">
        <v>28620</v>
      </c>
      <c r="B3180" s="947" t="s">
        <v>19794</v>
      </c>
      <c r="C3180" s="948" t="s">
        <v>19792</v>
      </c>
      <c r="D3180" s="242" t="s">
        <v>606</v>
      </c>
      <c r="E3180" s="949">
        <v>501</v>
      </c>
      <c r="F3180" s="949">
        <v>501</v>
      </c>
      <c r="G3180" s="950" t="s">
        <v>2205</v>
      </c>
      <c r="H3180" s="950" t="s">
        <v>628</v>
      </c>
      <c r="I3180" s="951" t="s">
        <v>19793</v>
      </c>
      <c r="J3180" s="947" t="s">
        <v>19794</v>
      </c>
      <c r="K3180" s="143"/>
    </row>
    <row r="3181" spans="1:11">
      <c r="A3181" s="946" t="s">
        <v>28620</v>
      </c>
      <c r="B3181" s="947" t="s">
        <v>19821</v>
      </c>
      <c r="C3181" s="948" t="s">
        <v>19819</v>
      </c>
      <c r="D3181" s="242" t="s">
        <v>606</v>
      </c>
      <c r="E3181" s="949">
        <v>501</v>
      </c>
      <c r="F3181" s="949">
        <v>501</v>
      </c>
      <c r="G3181" s="950" t="s">
        <v>2205</v>
      </c>
      <c r="H3181" s="950" t="s">
        <v>628</v>
      </c>
      <c r="I3181" s="951" t="s">
        <v>19820</v>
      </c>
      <c r="J3181" s="947" t="s">
        <v>19821</v>
      </c>
      <c r="K3181" s="143"/>
    </row>
    <row r="3182" spans="1:11">
      <c r="A3182" s="946" t="s">
        <v>28620</v>
      </c>
      <c r="B3182" s="947" t="s">
        <v>19831</v>
      </c>
      <c r="C3182" s="948" t="s">
        <v>19829</v>
      </c>
      <c r="D3182" s="242" t="s">
        <v>606</v>
      </c>
      <c r="E3182" s="949">
        <v>501</v>
      </c>
      <c r="F3182" s="949">
        <v>501</v>
      </c>
      <c r="G3182" s="950" t="s">
        <v>2205</v>
      </c>
      <c r="H3182" s="950" t="s">
        <v>628</v>
      </c>
      <c r="I3182" s="951" t="s">
        <v>19830</v>
      </c>
      <c r="J3182" s="947" t="s">
        <v>19831</v>
      </c>
      <c r="K3182" s="143"/>
    </row>
    <row r="3183" spans="1:11">
      <c r="A3183" s="946" t="s">
        <v>28620</v>
      </c>
      <c r="B3183" s="947" t="s">
        <v>20174</v>
      </c>
      <c r="C3183" s="948" t="s">
        <v>20172</v>
      </c>
      <c r="D3183" s="242" t="s">
        <v>606</v>
      </c>
      <c r="E3183" s="949">
        <v>501</v>
      </c>
      <c r="F3183" s="949">
        <v>501</v>
      </c>
      <c r="G3183" s="950" t="s">
        <v>2205</v>
      </c>
      <c r="H3183" s="950" t="s">
        <v>628</v>
      </c>
      <c r="I3183" s="951" t="s">
        <v>20173</v>
      </c>
      <c r="J3183" s="947" t="s">
        <v>20174</v>
      </c>
      <c r="K3183" s="143"/>
    </row>
    <row r="3184" spans="1:11">
      <c r="A3184" s="946" t="s">
        <v>28620</v>
      </c>
      <c r="B3184" s="947" t="s">
        <v>20198</v>
      </c>
      <c r="C3184" s="948" t="s">
        <v>20196</v>
      </c>
      <c r="D3184" s="242" t="s">
        <v>606</v>
      </c>
      <c r="E3184" s="949">
        <v>501</v>
      </c>
      <c r="F3184" s="949">
        <v>501</v>
      </c>
      <c r="G3184" s="950" t="s">
        <v>2205</v>
      </c>
      <c r="H3184" s="950" t="s">
        <v>628</v>
      </c>
      <c r="I3184" s="951" t="s">
        <v>20197</v>
      </c>
      <c r="J3184" s="947" t="s">
        <v>20198</v>
      </c>
      <c r="K3184" s="143"/>
    </row>
    <row r="3185" spans="1:11">
      <c r="A3185" s="946" t="s">
        <v>28620</v>
      </c>
      <c r="B3185" s="947" t="s">
        <v>21390</v>
      </c>
      <c r="C3185" s="948" t="s">
        <v>21388</v>
      </c>
      <c r="D3185" s="242" t="s">
        <v>606</v>
      </c>
      <c r="E3185" s="949">
        <v>501</v>
      </c>
      <c r="F3185" s="949">
        <v>501</v>
      </c>
      <c r="G3185" s="950" t="s">
        <v>2205</v>
      </c>
      <c r="H3185" s="950" t="s">
        <v>628</v>
      </c>
      <c r="I3185" s="951" t="s">
        <v>21389</v>
      </c>
      <c r="J3185" s="947" t="s">
        <v>21390</v>
      </c>
      <c r="K3185" s="143"/>
    </row>
    <row r="3186" spans="1:11">
      <c r="A3186" s="946" t="s">
        <v>28620</v>
      </c>
      <c r="B3186" s="947" t="s">
        <v>21412</v>
      </c>
      <c r="C3186" s="948" t="s">
        <v>21410</v>
      </c>
      <c r="D3186" s="242" t="s">
        <v>606</v>
      </c>
      <c r="E3186" s="949">
        <v>501</v>
      </c>
      <c r="F3186" s="949">
        <v>501</v>
      </c>
      <c r="G3186" s="950" t="s">
        <v>2205</v>
      </c>
      <c r="H3186" s="950" t="s">
        <v>628</v>
      </c>
      <c r="I3186" s="951" t="s">
        <v>21411</v>
      </c>
      <c r="J3186" s="947" t="s">
        <v>21412</v>
      </c>
      <c r="K3186" s="143"/>
    </row>
    <row r="3187" spans="1:11">
      <c r="A3187" s="946" t="s">
        <v>28620</v>
      </c>
      <c r="B3187" s="947" t="s">
        <v>22022</v>
      </c>
      <c r="C3187" s="948" t="s">
        <v>22020</v>
      </c>
      <c r="D3187" s="242" t="s">
        <v>606</v>
      </c>
      <c r="E3187" s="949">
        <v>501</v>
      </c>
      <c r="F3187" s="949">
        <v>501</v>
      </c>
      <c r="G3187" s="950" t="s">
        <v>2205</v>
      </c>
      <c r="H3187" s="950" t="s">
        <v>628</v>
      </c>
      <c r="I3187" s="951" t="s">
        <v>22021</v>
      </c>
      <c r="J3187" s="947" t="s">
        <v>22022</v>
      </c>
      <c r="K3187" s="143"/>
    </row>
    <row r="3188" spans="1:11">
      <c r="A3188" s="946" t="s">
        <v>28620</v>
      </c>
      <c r="B3188" s="947" t="s">
        <v>22484</v>
      </c>
      <c r="C3188" s="948" t="s">
        <v>22482</v>
      </c>
      <c r="D3188" s="242" t="s">
        <v>606</v>
      </c>
      <c r="E3188" s="949">
        <v>501</v>
      </c>
      <c r="F3188" s="949">
        <v>501</v>
      </c>
      <c r="G3188" s="950" t="s">
        <v>2205</v>
      </c>
      <c r="H3188" s="950" t="s">
        <v>628</v>
      </c>
      <c r="I3188" s="951" t="s">
        <v>22483</v>
      </c>
      <c r="J3188" s="947" t="s">
        <v>22484</v>
      </c>
      <c r="K3188" s="143"/>
    </row>
    <row r="3189" spans="1:11">
      <c r="A3189" s="946" t="s">
        <v>28620</v>
      </c>
      <c r="B3189" s="947" t="s">
        <v>22525</v>
      </c>
      <c r="C3189" s="948" t="s">
        <v>22523</v>
      </c>
      <c r="D3189" s="242" t="s">
        <v>606</v>
      </c>
      <c r="E3189" s="949">
        <v>501</v>
      </c>
      <c r="F3189" s="949">
        <v>501</v>
      </c>
      <c r="G3189" s="950" t="s">
        <v>2205</v>
      </c>
      <c r="H3189" s="950" t="s">
        <v>628</v>
      </c>
      <c r="I3189" s="951" t="s">
        <v>22524</v>
      </c>
      <c r="J3189" s="947" t="s">
        <v>22525</v>
      </c>
      <c r="K3189" s="143"/>
    </row>
    <row r="3190" spans="1:11">
      <c r="A3190" s="946" t="s">
        <v>28620</v>
      </c>
      <c r="B3190" s="947" t="s">
        <v>22659</v>
      </c>
      <c r="C3190" s="948" t="s">
        <v>22657</v>
      </c>
      <c r="D3190" s="242" t="s">
        <v>606</v>
      </c>
      <c r="E3190" s="949">
        <v>501</v>
      </c>
      <c r="F3190" s="949">
        <v>501</v>
      </c>
      <c r="G3190" s="950" t="s">
        <v>2205</v>
      </c>
      <c r="H3190" s="950" t="s">
        <v>628</v>
      </c>
      <c r="I3190" s="951" t="s">
        <v>22658</v>
      </c>
      <c r="J3190" s="947" t="s">
        <v>22659</v>
      </c>
      <c r="K3190" s="143"/>
    </row>
    <row r="3191" spans="1:11">
      <c r="A3191" s="946" t="s">
        <v>28620</v>
      </c>
      <c r="B3191" s="947" t="s">
        <v>10598</v>
      </c>
      <c r="C3191" s="948" t="s">
        <v>10597</v>
      </c>
      <c r="D3191" s="242" t="s">
        <v>606</v>
      </c>
      <c r="E3191" s="949">
        <v>501</v>
      </c>
      <c r="F3191" s="949">
        <v>501</v>
      </c>
      <c r="G3191" s="950" t="s">
        <v>2205</v>
      </c>
      <c r="H3191" s="950" t="s">
        <v>628</v>
      </c>
      <c r="I3191" s="951" t="s">
        <v>24936</v>
      </c>
      <c r="J3191" s="947" t="s">
        <v>10598</v>
      </c>
      <c r="K3191" s="143"/>
    </row>
    <row r="3192" spans="1:11">
      <c r="A3192" s="946" t="s">
        <v>28620</v>
      </c>
      <c r="B3192" s="947" t="s">
        <v>26470</v>
      </c>
      <c r="C3192" s="948" t="s">
        <v>26471</v>
      </c>
      <c r="D3192" s="242" t="s">
        <v>606</v>
      </c>
      <c r="E3192" s="949">
        <v>501</v>
      </c>
      <c r="F3192" s="949">
        <v>501</v>
      </c>
      <c r="G3192" s="950" t="s">
        <v>2205</v>
      </c>
      <c r="H3192" s="950" t="s">
        <v>628</v>
      </c>
      <c r="I3192" s="951" t="s">
        <v>26472</v>
      </c>
      <c r="J3192" s="947" t="s">
        <v>26470</v>
      </c>
      <c r="K3192" s="143"/>
    </row>
    <row r="3193" spans="1:11">
      <c r="A3193" s="946" t="s">
        <v>28620</v>
      </c>
      <c r="B3193" s="947" t="s">
        <v>26473</v>
      </c>
      <c r="C3193" s="948" t="s">
        <v>26474</v>
      </c>
      <c r="D3193" s="242" t="s">
        <v>606</v>
      </c>
      <c r="E3193" s="949">
        <v>501</v>
      </c>
      <c r="F3193" s="949">
        <v>501</v>
      </c>
      <c r="G3193" s="950" t="s">
        <v>2205</v>
      </c>
      <c r="H3193" s="950" t="s">
        <v>628</v>
      </c>
      <c r="I3193" s="951" t="s">
        <v>26475</v>
      </c>
      <c r="J3193" s="947" t="s">
        <v>26473</v>
      </c>
      <c r="K3193" s="143"/>
    </row>
    <row r="3194" spans="1:11">
      <c r="A3194" s="946" t="s">
        <v>28620</v>
      </c>
      <c r="B3194" s="947" t="s">
        <v>28663</v>
      </c>
      <c r="C3194" s="948" t="s">
        <v>28786</v>
      </c>
      <c r="D3194" s="242" t="s">
        <v>606</v>
      </c>
      <c r="E3194" s="949">
        <v>501</v>
      </c>
      <c r="F3194" s="949">
        <v>501</v>
      </c>
      <c r="G3194" s="950" t="s">
        <v>2205</v>
      </c>
      <c r="H3194" s="950" t="s">
        <v>628</v>
      </c>
      <c r="I3194" s="951" t="s">
        <v>28707</v>
      </c>
      <c r="J3194" s="947" t="s">
        <v>28663</v>
      </c>
      <c r="K3194" s="143"/>
    </row>
    <row r="3195" spans="1:11">
      <c r="A3195" s="946" t="s">
        <v>28620</v>
      </c>
      <c r="B3195" s="947" t="s">
        <v>32243</v>
      </c>
      <c r="C3195" s="948" t="s">
        <v>32244</v>
      </c>
      <c r="D3195" s="242" t="s">
        <v>28742</v>
      </c>
      <c r="E3195" s="949">
        <v>508</v>
      </c>
      <c r="F3195" s="949">
        <v>508</v>
      </c>
      <c r="G3195" s="950" t="s">
        <v>2205</v>
      </c>
      <c r="H3195" s="950" t="s">
        <v>628</v>
      </c>
      <c r="I3195" s="951" t="s">
        <v>32245</v>
      </c>
      <c r="J3195" s="947" t="s">
        <v>32243</v>
      </c>
      <c r="K3195" s="143"/>
    </row>
    <row r="3196" spans="1:11">
      <c r="A3196" s="946" t="s">
        <v>28620</v>
      </c>
      <c r="B3196" s="947" t="s">
        <v>1024</v>
      </c>
      <c r="C3196" s="948" t="s">
        <v>1021</v>
      </c>
      <c r="D3196" s="242" t="s">
        <v>28742</v>
      </c>
      <c r="E3196" s="949">
        <v>508</v>
      </c>
      <c r="F3196" s="949">
        <v>508</v>
      </c>
      <c r="G3196" s="950" t="s">
        <v>20986</v>
      </c>
      <c r="H3196" s="950" t="s">
        <v>1022</v>
      </c>
      <c r="I3196" s="951" t="s">
        <v>1023</v>
      </c>
      <c r="J3196" s="947" t="s">
        <v>1024</v>
      </c>
      <c r="K3196" s="143"/>
    </row>
    <row r="3197" spans="1:11">
      <c r="A3197" s="946" t="s">
        <v>28620</v>
      </c>
      <c r="B3197" s="947" t="s">
        <v>1312</v>
      </c>
      <c r="C3197" s="948" t="s">
        <v>1310</v>
      </c>
      <c r="D3197" s="242" t="s">
        <v>28742</v>
      </c>
      <c r="E3197" s="949">
        <v>508</v>
      </c>
      <c r="F3197" s="949">
        <v>508</v>
      </c>
      <c r="G3197" s="950" t="s">
        <v>20986</v>
      </c>
      <c r="H3197" s="950" t="s">
        <v>1022</v>
      </c>
      <c r="I3197" s="951" t="s">
        <v>1311</v>
      </c>
      <c r="J3197" s="947" t="s">
        <v>1312</v>
      </c>
      <c r="K3197" s="143"/>
    </row>
    <row r="3198" spans="1:11">
      <c r="A3198" s="946" t="s">
        <v>28620</v>
      </c>
      <c r="B3198" s="947" t="s">
        <v>1565</v>
      </c>
      <c r="C3198" s="948" t="s">
        <v>1563</v>
      </c>
      <c r="D3198" s="242" t="s">
        <v>28742</v>
      </c>
      <c r="E3198" s="949">
        <v>508</v>
      </c>
      <c r="F3198" s="949">
        <v>508</v>
      </c>
      <c r="G3198" s="950" t="s">
        <v>20986</v>
      </c>
      <c r="H3198" s="950" t="s">
        <v>1022</v>
      </c>
      <c r="I3198" s="951" t="s">
        <v>1564</v>
      </c>
      <c r="J3198" s="947" t="s">
        <v>1565</v>
      </c>
      <c r="K3198" s="143"/>
    </row>
    <row r="3199" spans="1:11">
      <c r="A3199" s="946" t="s">
        <v>28620</v>
      </c>
      <c r="B3199" s="947" t="s">
        <v>2839</v>
      </c>
      <c r="C3199" s="948" t="s">
        <v>2837</v>
      </c>
      <c r="D3199" s="242" t="s">
        <v>28742</v>
      </c>
      <c r="E3199" s="949">
        <v>508</v>
      </c>
      <c r="F3199" s="949">
        <v>508</v>
      </c>
      <c r="G3199" s="950" t="s">
        <v>20986</v>
      </c>
      <c r="H3199" s="950" t="s">
        <v>1022</v>
      </c>
      <c r="I3199" s="951" t="s">
        <v>2838</v>
      </c>
      <c r="J3199" s="947" t="s">
        <v>2839</v>
      </c>
      <c r="K3199" s="143"/>
    </row>
    <row r="3200" spans="1:11">
      <c r="A3200" s="946" t="s">
        <v>28620</v>
      </c>
      <c r="B3200" s="947" t="s">
        <v>2977</v>
      </c>
      <c r="C3200" s="948" t="s">
        <v>2975</v>
      </c>
      <c r="D3200" s="242" t="s">
        <v>28742</v>
      </c>
      <c r="E3200" s="949">
        <v>508</v>
      </c>
      <c r="F3200" s="949">
        <v>508</v>
      </c>
      <c r="G3200" s="950" t="s">
        <v>20986</v>
      </c>
      <c r="H3200" s="950" t="s">
        <v>1022</v>
      </c>
      <c r="I3200" s="951" t="s">
        <v>2976</v>
      </c>
      <c r="J3200" s="947" t="s">
        <v>2977</v>
      </c>
      <c r="K3200" s="143"/>
    </row>
    <row r="3201" spans="1:11">
      <c r="A3201" s="946" t="s">
        <v>28620</v>
      </c>
      <c r="B3201" s="947" t="s">
        <v>3364</v>
      </c>
      <c r="C3201" s="948" t="s">
        <v>3362</v>
      </c>
      <c r="D3201" s="242" t="s">
        <v>28742</v>
      </c>
      <c r="E3201" s="949">
        <v>508</v>
      </c>
      <c r="F3201" s="949">
        <v>508</v>
      </c>
      <c r="G3201" s="950" t="s">
        <v>20986</v>
      </c>
      <c r="H3201" s="950" t="s">
        <v>1022</v>
      </c>
      <c r="I3201" s="951" t="s">
        <v>3363</v>
      </c>
      <c r="J3201" s="947" t="s">
        <v>3364</v>
      </c>
      <c r="K3201" s="143"/>
    </row>
    <row r="3202" spans="1:11">
      <c r="A3202" s="946" t="s">
        <v>28620</v>
      </c>
      <c r="B3202" s="947" t="s">
        <v>4104</v>
      </c>
      <c r="C3202" s="948" t="s">
        <v>4102</v>
      </c>
      <c r="D3202" s="242" t="s">
        <v>28742</v>
      </c>
      <c r="E3202" s="949">
        <v>508</v>
      </c>
      <c r="F3202" s="949">
        <v>508</v>
      </c>
      <c r="G3202" s="950" t="s">
        <v>20986</v>
      </c>
      <c r="H3202" s="950" t="s">
        <v>1022</v>
      </c>
      <c r="I3202" s="951" t="s">
        <v>4103</v>
      </c>
      <c r="J3202" s="947" t="s">
        <v>4104</v>
      </c>
      <c r="K3202" s="143"/>
    </row>
    <row r="3203" spans="1:11">
      <c r="A3203" s="946" t="s">
        <v>28620</v>
      </c>
      <c r="B3203" s="947" t="s">
        <v>4256</v>
      </c>
      <c r="C3203" s="948" t="s">
        <v>4254</v>
      </c>
      <c r="D3203" s="242" t="s">
        <v>28742</v>
      </c>
      <c r="E3203" s="949">
        <v>508</v>
      </c>
      <c r="F3203" s="949">
        <v>508</v>
      </c>
      <c r="G3203" s="950" t="s">
        <v>20986</v>
      </c>
      <c r="H3203" s="950" t="s">
        <v>1022</v>
      </c>
      <c r="I3203" s="951" t="s">
        <v>4255</v>
      </c>
      <c r="J3203" s="947" t="s">
        <v>4256</v>
      </c>
      <c r="K3203" s="143"/>
    </row>
    <row r="3204" spans="1:11">
      <c r="A3204" s="946" t="s">
        <v>28620</v>
      </c>
      <c r="B3204" s="947" t="s">
        <v>4562</v>
      </c>
      <c r="C3204" s="948" t="s">
        <v>4560</v>
      </c>
      <c r="D3204" s="242" t="s">
        <v>28742</v>
      </c>
      <c r="E3204" s="949">
        <v>508</v>
      </c>
      <c r="F3204" s="949">
        <v>508</v>
      </c>
      <c r="G3204" s="950" t="s">
        <v>20986</v>
      </c>
      <c r="H3204" s="950" t="s">
        <v>1022</v>
      </c>
      <c r="I3204" s="951" t="s">
        <v>4561</v>
      </c>
      <c r="J3204" s="947" t="s">
        <v>4562</v>
      </c>
      <c r="K3204" s="143"/>
    </row>
    <row r="3205" spans="1:11">
      <c r="A3205" s="946" t="s">
        <v>28620</v>
      </c>
      <c r="B3205" s="947" t="s">
        <v>4760</v>
      </c>
      <c r="C3205" s="948" t="s">
        <v>4758</v>
      </c>
      <c r="D3205" s="242" t="s">
        <v>28742</v>
      </c>
      <c r="E3205" s="949">
        <v>508</v>
      </c>
      <c r="F3205" s="949">
        <v>508</v>
      </c>
      <c r="G3205" s="950" t="s">
        <v>20986</v>
      </c>
      <c r="H3205" s="950" t="s">
        <v>1022</v>
      </c>
      <c r="I3205" s="951" t="s">
        <v>4759</v>
      </c>
      <c r="J3205" s="947" t="s">
        <v>4760</v>
      </c>
      <c r="K3205" s="143"/>
    </row>
    <row r="3206" spans="1:11">
      <c r="A3206" s="946" t="s">
        <v>28620</v>
      </c>
      <c r="B3206" s="947" t="s">
        <v>5076</v>
      </c>
      <c r="C3206" s="948" t="s">
        <v>5074</v>
      </c>
      <c r="D3206" s="242" t="s">
        <v>28742</v>
      </c>
      <c r="E3206" s="949">
        <v>508</v>
      </c>
      <c r="F3206" s="949">
        <v>508</v>
      </c>
      <c r="G3206" s="950" t="s">
        <v>20986</v>
      </c>
      <c r="H3206" s="950" t="s">
        <v>1022</v>
      </c>
      <c r="I3206" s="951" t="s">
        <v>5075</v>
      </c>
      <c r="J3206" s="947" t="s">
        <v>5076</v>
      </c>
      <c r="K3206" s="143"/>
    </row>
    <row r="3207" spans="1:11">
      <c r="A3207" s="946" t="s">
        <v>28620</v>
      </c>
      <c r="B3207" s="947" t="s">
        <v>5111</v>
      </c>
      <c r="C3207" s="948" t="s">
        <v>5109</v>
      </c>
      <c r="D3207" s="242" t="s">
        <v>28742</v>
      </c>
      <c r="E3207" s="949">
        <v>508</v>
      </c>
      <c r="F3207" s="949">
        <v>508</v>
      </c>
      <c r="G3207" s="950" t="s">
        <v>20986</v>
      </c>
      <c r="H3207" s="950" t="s">
        <v>1022</v>
      </c>
      <c r="I3207" s="951" t="s">
        <v>5110</v>
      </c>
      <c r="J3207" s="947" t="s">
        <v>5111</v>
      </c>
      <c r="K3207" s="143"/>
    </row>
    <row r="3208" spans="1:11">
      <c r="A3208" s="946" t="s">
        <v>28620</v>
      </c>
      <c r="B3208" s="947" t="s">
        <v>5266</v>
      </c>
      <c r="C3208" s="948" t="s">
        <v>5264</v>
      </c>
      <c r="D3208" s="242" t="s">
        <v>28742</v>
      </c>
      <c r="E3208" s="949">
        <v>508</v>
      </c>
      <c r="F3208" s="949">
        <v>508</v>
      </c>
      <c r="G3208" s="950" t="s">
        <v>20986</v>
      </c>
      <c r="H3208" s="950" t="s">
        <v>1022</v>
      </c>
      <c r="I3208" s="951" t="s">
        <v>5265</v>
      </c>
      <c r="J3208" s="947" t="s">
        <v>5266</v>
      </c>
      <c r="K3208" s="143"/>
    </row>
    <row r="3209" spans="1:11">
      <c r="A3209" s="946" t="s">
        <v>28620</v>
      </c>
      <c r="B3209" s="947" t="s">
        <v>5692</v>
      </c>
      <c r="C3209" s="948" t="s">
        <v>5690</v>
      </c>
      <c r="D3209" s="242" t="s">
        <v>28742</v>
      </c>
      <c r="E3209" s="949">
        <v>508</v>
      </c>
      <c r="F3209" s="949">
        <v>508</v>
      </c>
      <c r="G3209" s="950" t="s">
        <v>20986</v>
      </c>
      <c r="H3209" s="950" t="s">
        <v>1022</v>
      </c>
      <c r="I3209" s="951" t="s">
        <v>5691</v>
      </c>
      <c r="J3209" s="947" t="s">
        <v>5692</v>
      </c>
      <c r="K3209" s="143"/>
    </row>
    <row r="3210" spans="1:11">
      <c r="A3210" s="946" t="s">
        <v>28620</v>
      </c>
      <c r="B3210" s="947" t="s">
        <v>6140</v>
      </c>
      <c r="C3210" s="948" t="s">
        <v>6138</v>
      </c>
      <c r="D3210" s="242" t="s">
        <v>31161</v>
      </c>
      <c r="E3210" s="949">
        <v>504</v>
      </c>
      <c r="F3210" s="949">
        <v>504</v>
      </c>
      <c r="G3210" s="950" t="s">
        <v>20986</v>
      </c>
      <c r="H3210" s="950" t="s">
        <v>1022</v>
      </c>
      <c r="I3210" s="951" t="s">
        <v>6139</v>
      </c>
      <c r="J3210" s="947" t="s">
        <v>6140</v>
      </c>
      <c r="K3210" s="143"/>
    </row>
    <row r="3211" spans="1:11">
      <c r="A3211" s="946" t="s">
        <v>28620</v>
      </c>
      <c r="B3211" s="947" t="s">
        <v>6219</v>
      </c>
      <c r="C3211" s="948" t="s">
        <v>6217</v>
      </c>
      <c r="D3211" s="242" t="s">
        <v>28742</v>
      </c>
      <c r="E3211" s="949">
        <v>508</v>
      </c>
      <c r="F3211" s="949">
        <v>508</v>
      </c>
      <c r="G3211" s="950" t="s">
        <v>20986</v>
      </c>
      <c r="H3211" s="950" t="s">
        <v>1022</v>
      </c>
      <c r="I3211" s="951" t="s">
        <v>6218</v>
      </c>
      <c r="J3211" s="947" t="s">
        <v>6219</v>
      </c>
      <c r="K3211" s="143"/>
    </row>
    <row r="3212" spans="1:11">
      <c r="A3212" s="946" t="s">
        <v>28620</v>
      </c>
      <c r="B3212" s="947" t="s">
        <v>6383</v>
      </c>
      <c r="C3212" s="948" t="s">
        <v>6381</v>
      </c>
      <c r="D3212" s="242" t="s">
        <v>28742</v>
      </c>
      <c r="E3212" s="949">
        <v>508</v>
      </c>
      <c r="F3212" s="949">
        <v>508</v>
      </c>
      <c r="G3212" s="950" t="s">
        <v>20986</v>
      </c>
      <c r="H3212" s="950" t="s">
        <v>1022</v>
      </c>
      <c r="I3212" s="951" t="s">
        <v>6382</v>
      </c>
      <c r="J3212" s="947" t="s">
        <v>6383</v>
      </c>
      <c r="K3212" s="143"/>
    </row>
    <row r="3213" spans="1:11">
      <c r="A3213" s="946" t="s">
        <v>28620</v>
      </c>
      <c r="B3213" s="947" t="s">
        <v>6486</v>
      </c>
      <c r="C3213" s="948" t="s">
        <v>6484</v>
      </c>
      <c r="D3213" s="242" t="s">
        <v>28742</v>
      </c>
      <c r="E3213" s="949">
        <v>508</v>
      </c>
      <c r="F3213" s="949">
        <v>508</v>
      </c>
      <c r="G3213" s="950" t="s">
        <v>20986</v>
      </c>
      <c r="H3213" s="950" t="s">
        <v>1022</v>
      </c>
      <c r="I3213" s="951" t="s">
        <v>6485</v>
      </c>
      <c r="J3213" s="947" t="s">
        <v>6486</v>
      </c>
      <c r="K3213" s="143"/>
    </row>
    <row r="3214" spans="1:11">
      <c r="A3214" s="946" t="s">
        <v>28620</v>
      </c>
      <c r="B3214" s="947" t="s">
        <v>6666</v>
      </c>
      <c r="C3214" s="948" t="s">
        <v>6664</v>
      </c>
      <c r="D3214" s="242" t="s">
        <v>28742</v>
      </c>
      <c r="E3214" s="949">
        <v>508</v>
      </c>
      <c r="F3214" s="949">
        <v>508</v>
      </c>
      <c r="G3214" s="950" t="s">
        <v>20986</v>
      </c>
      <c r="H3214" s="950" t="s">
        <v>1022</v>
      </c>
      <c r="I3214" s="951" t="s">
        <v>6665</v>
      </c>
      <c r="J3214" s="947" t="s">
        <v>6666</v>
      </c>
      <c r="K3214" s="143"/>
    </row>
    <row r="3215" spans="1:11">
      <c r="A3215" s="946" t="s">
        <v>28620</v>
      </c>
      <c r="B3215" s="947" t="s">
        <v>6739</v>
      </c>
      <c r="C3215" s="948" t="s">
        <v>6737</v>
      </c>
      <c r="D3215" s="242" t="s">
        <v>28742</v>
      </c>
      <c r="E3215" s="949">
        <v>508</v>
      </c>
      <c r="F3215" s="949">
        <v>508</v>
      </c>
      <c r="G3215" s="950" t="s">
        <v>20986</v>
      </c>
      <c r="H3215" s="950" t="s">
        <v>1022</v>
      </c>
      <c r="I3215" s="951" t="s">
        <v>6738</v>
      </c>
      <c r="J3215" s="947" t="s">
        <v>6739</v>
      </c>
      <c r="K3215" s="143"/>
    </row>
    <row r="3216" spans="1:11">
      <c r="A3216" s="946" t="s">
        <v>28620</v>
      </c>
      <c r="B3216" s="947" t="s">
        <v>6961</v>
      </c>
      <c r="C3216" s="948" t="s">
        <v>6959</v>
      </c>
      <c r="D3216" s="242" t="s">
        <v>28742</v>
      </c>
      <c r="E3216" s="949">
        <v>508</v>
      </c>
      <c r="F3216" s="949">
        <v>508</v>
      </c>
      <c r="G3216" s="950" t="s">
        <v>20986</v>
      </c>
      <c r="H3216" s="950" t="s">
        <v>1022</v>
      </c>
      <c r="I3216" s="951" t="s">
        <v>6960</v>
      </c>
      <c r="J3216" s="947" t="s">
        <v>6961</v>
      </c>
      <c r="K3216" s="143"/>
    </row>
    <row r="3217" spans="1:11">
      <c r="A3217" s="946" t="s">
        <v>28620</v>
      </c>
      <c r="B3217" s="947" t="s">
        <v>7042</v>
      </c>
      <c r="C3217" s="948" t="s">
        <v>7040</v>
      </c>
      <c r="D3217" s="242" t="s">
        <v>28742</v>
      </c>
      <c r="E3217" s="949">
        <v>508</v>
      </c>
      <c r="F3217" s="949">
        <v>508</v>
      </c>
      <c r="G3217" s="950" t="s">
        <v>20986</v>
      </c>
      <c r="H3217" s="950" t="s">
        <v>1022</v>
      </c>
      <c r="I3217" s="951" t="s">
        <v>7041</v>
      </c>
      <c r="J3217" s="947" t="s">
        <v>7042</v>
      </c>
      <c r="K3217" s="143"/>
    </row>
    <row r="3218" spans="1:11">
      <c r="A3218" s="946" t="s">
        <v>28620</v>
      </c>
      <c r="B3218" s="947" t="s">
        <v>7123</v>
      </c>
      <c r="C3218" s="948" t="s">
        <v>7121</v>
      </c>
      <c r="D3218" s="242" t="s">
        <v>28742</v>
      </c>
      <c r="E3218" s="949">
        <v>508</v>
      </c>
      <c r="F3218" s="949">
        <v>508</v>
      </c>
      <c r="G3218" s="950" t="s">
        <v>20986</v>
      </c>
      <c r="H3218" s="950" t="s">
        <v>1022</v>
      </c>
      <c r="I3218" s="951" t="s">
        <v>7122</v>
      </c>
      <c r="J3218" s="947" t="s">
        <v>7123</v>
      </c>
      <c r="K3218" s="143"/>
    </row>
    <row r="3219" spans="1:11">
      <c r="A3219" s="946" t="s">
        <v>28620</v>
      </c>
      <c r="B3219" s="947" t="s">
        <v>7400</v>
      </c>
      <c r="C3219" s="948" t="s">
        <v>7398</v>
      </c>
      <c r="D3219" s="242" t="s">
        <v>28742</v>
      </c>
      <c r="E3219" s="949">
        <v>508</v>
      </c>
      <c r="F3219" s="949">
        <v>508</v>
      </c>
      <c r="G3219" s="950" t="s">
        <v>20986</v>
      </c>
      <c r="H3219" s="950" t="s">
        <v>1022</v>
      </c>
      <c r="I3219" s="951" t="s">
        <v>7399</v>
      </c>
      <c r="J3219" s="947" t="s">
        <v>7400</v>
      </c>
      <c r="K3219" s="143"/>
    </row>
    <row r="3220" spans="1:11">
      <c r="A3220" s="946" t="s">
        <v>28620</v>
      </c>
      <c r="B3220" s="947" t="s">
        <v>8067</v>
      </c>
      <c r="C3220" s="948" t="s">
        <v>8065</v>
      </c>
      <c r="D3220" s="242" t="s">
        <v>28742</v>
      </c>
      <c r="E3220" s="949">
        <v>508</v>
      </c>
      <c r="F3220" s="949">
        <v>508</v>
      </c>
      <c r="G3220" s="950" t="s">
        <v>20986</v>
      </c>
      <c r="H3220" s="950" t="s">
        <v>1022</v>
      </c>
      <c r="I3220" s="951" t="s">
        <v>8066</v>
      </c>
      <c r="J3220" s="947" t="s">
        <v>8067</v>
      </c>
      <c r="K3220" s="143"/>
    </row>
    <row r="3221" spans="1:11">
      <c r="A3221" s="946" t="s">
        <v>28620</v>
      </c>
      <c r="B3221" s="947" t="s">
        <v>8374</v>
      </c>
      <c r="C3221" s="948" t="s">
        <v>8372</v>
      </c>
      <c r="D3221" s="242" t="s">
        <v>28742</v>
      </c>
      <c r="E3221" s="949">
        <v>508</v>
      </c>
      <c r="F3221" s="949">
        <v>508</v>
      </c>
      <c r="G3221" s="950" t="s">
        <v>20986</v>
      </c>
      <c r="H3221" s="950" t="s">
        <v>1022</v>
      </c>
      <c r="I3221" s="951" t="s">
        <v>8373</v>
      </c>
      <c r="J3221" s="947" t="s">
        <v>8374</v>
      </c>
      <c r="K3221" s="143"/>
    </row>
    <row r="3222" spans="1:11">
      <c r="A3222" s="946" t="s">
        <v>28620</v>
      </c>
      <c r="B3222" s="947" t="s">
        <v>8415</v>
      </c>
      <c r="C3222" s="948" t="s">
        <v>8413</v>
      </c>
      <c r="D3222" s="242" t="s">
        <v>28742</v>
      </c>
      <c r="E3222" s="949">
        <v>508</v>
      </c>
      <c r="F3222" s="949">
        <v>508</v>
      </c>
      <c r="G3222" s="950" t="s">
        <v>20986</v>
      </c>
      <c r="H3222" s="950" t="s">
        <v>1022</v>
      </c>
      <c r="I3222" s="951" t="s">
        <v>8414</v>
      </c>
      <c r="J3222" s="947" t="s">
        <v>8415</v>
      </c>
      <c r="K3222" s="143"/>
    </row>
    <row r="3223" spans="1:11">
      <c r="A3223" s="946" t="s">
        <v>28620</v>
      </c>
      <c r="B3223" s="947" t="s">
        <v>191</v>
      </c>
      <c r="C3223" s="948" t="s">
        <v>8431</v>
      </c>
      <c r="D3223" s="242" t="s">
        <v>28742</v>
      </c>
      <c r="E3223" s="949">
        <v>508</v>
      </c>
      <c r="F3223" s="949">
        <v>508</v>
      </c>
      <c r="G3223" s="950" t="s">
        <v>20986</v>
      </c>
      <c r="H3223" s="950" t="s">
        <v>1022</v>
      </c>
      <c r="I3223" s="951" t="s">
        <v>8432</v>
      </c>
      <c r="J3223" s="947" t="s">
        <v>191</v>
      </c>
      <c r="K3223" s="143"/>
    </row>
    <row r="3224" spans="1:11">
      <c r="A3224" s="946" t="s">
        <v>28620</v>
      </c>
      <c r="B3224" s="947" t="s">
        <v>8701</v>
      </c>
      <c r="C3224" s="948" t="s">
        <v>8699</v>
      </c>
      <c r="D3224" s="242" t="s">
        <v>28742</v>
      </c>
      <c r="E3224" s="949">
        <v>508</v>
      </c>
      <c r="F3224" s="949">
        <v>508</v>
      </c>
      <c r="G3224" s="950" t="s">
        <v>20986</v>
      </c>
      <c r="H3224" s="950" t="s">
        <v>1022</v>
      </c>
      <c r="I3224" s="951" t="s">
        <v>8700</v>
      </c>
      <c r="J3224" s="947" t="s">
        <v>8701</v>
      </c>
      <c r="K3224" s="143"/>
    </row>
    <row r="3225" spans="1:11">
      <c r="A3225" s="946" t="s">
        <v>28620</v>
      </c>
      <c r="B3225" s="947" t="s">
        <v>8832</v>
      </c>
      <c r="C3225" s="948" t="s">
        <v>8830</v>
      </c>
      <c r="D3225" s="242" t="s">
        <v>28742</v>
      </c>
      <c r="E3225" s="949">
        <v>508</v>
      </c>
      <c r="F3225" s="949">
        <v>508</v>
      </c>
      <c r="G3225" s="950" t="s">
        <v>20986</v>
      </c>
      <c r="H3225" s="950" t="s">
        <v>1022</v>
      </c>
      <c r="I3225" s="951" t="s">
        <v>8831</v>
      </c>
      <c r="J3225" s="947" t="s">
        <v>8832</v>
      </c>
      <c r="K3225" s="143"/>
    </row>
    <row r="3226" spans="1:11">
      <c r="A3226" s="946" t="s">
        <v>28620</v>
      </c>
      <c r="B3226" s="947" t="s">
        <v>9205</v>
      </c>
      <c r="C3226" s="948" t="s">
        <v>9203</v>
      </c>
      <c r="D3226" s="242" t="s">
        <v>28742</v>
      </c>
      <c r="E3226" s="949">
        <v>508</v>
      </c>
      <c r="F3226" s="949">
        <v>508</v>
      </c>
      <c r="G3226" s="950" t="s">
        <v>20986</v>
      </c>
      <c r="H3226" s="950" t="s">
        <v>1022</v>
      </c>
      <c r="I3226" s="951" t="s">
        <v>9204</v>
      </c>
      <c r="J3226" s="947" t="s">
        <v>9205</v>
      </c>
      <c r="K3226" s="143"/>
    </row>
    <row r="3227" spans="1:11">
      <c r="A3227" s="946" t="s">
        <v>28620</v>
      </c>
      <c r="B3227" s="947" t="s">
        <v>9326</v>
      </c>
      <c r="C3227" s="948" t="s">
        <v>9324</v>
      </c>
      <c r="D3227" s="242" t="s">
        <v>28742</v>
      </c>
      <c r="E3227" s="949">
        <v>508</v>
      </c>
      <c r="F3227" s="949">
        <v>508</v>
      </c>
      <c r="G3227" s="950" t="s">
        <v>20986</v>
      </c>
      <c r="H3227" s="950" t="s">
        <v>1022</v>
      </c>
      <c r="I3227" s="951" t="s">
        <v>9325</v>
      </c>
      <c r="J3227" s="947" t="s">
        <v>9326</v>
      </c>
      <c r="K3227" s="143"/>
    </row>
    <row r="3228" spans="1:11">
      <c r="A3228" s="946" t="s">
        <v>28620</v>
      </c>
      <c r="B3228" s="947" t="s">
        <v>9367</v>
      </c>
      <c r="C3228" s="948" t="s">
        <v>9365</v>
      </c>
      <c r="D3228" s="242" t="s">
        <v>28742</v>
      </c>
      <c r="E3228" s="949">
        <v>508</v>
      </c>
      <c r="F3228" s="949">
        <v>508</v>
      </c>
      <c r="G3228" s="950" t="s">
        <v>20986</v>
      </c>
      <c r="H3228" s="950" t="s">
        <v>1022</v>
      </c>
      <c r="I3228" s="951" t="s">
        <v>9366</v>
      </c>
      <c r="J3228" s="947" t="s">
        <v>9367</v>
      </c>
      <c r="K3228" s="143"/>
    </row>
    <row r="3229" spans="1:11">
      <c r="A3229" s="946" t="s">
        <v>28620</v>
      </c>
      <c r="B3229" s="947" t="s">
        <v>9946</v>
      </c>
      <c r="C3229" s="948" t="s">
        <v>9944</v>
      </c>
      <c r="D3229" s="242" t="s">
        <v>28742</v>
      </c>
      <c r="E3229" s="949">
        <v>508</v>
      </c>
      <c r="F3229" s="949">
        <v>508</v>
      </c>
      <c r="G3229" s="950" t="s">
        <v>20986</v>
      </c>
      <c r="H3229" s="950" t="s">
        <v>1022</v>
      </c>
      <c r="I3229" s="951" t="s">
        <v>9945</v>
      </c>
      <c r="J3229" s="947" t="s">
        <v>9946</v>
      </c>
      <c r="K3229" s="143"/>
    </row>
    <row r="3230" spans="1:11">
      <c r="A3230" s="946" t="s">
        <v>28620</v>
      </c>
      <c r="B3230" s="947" t="s">
        <v>10645</v>
      </c>
      <c r="C3230" s="948" t="s">
        <v>10643</v>
      </c>
      <c r="D3230" s="242" t="s">
        <v>28742</v>
      </c>
      <c r="E3230" s="949">
        <v>508</v>
      </c>
      <c r="F3230" s="949">
        <v>508</v>
      </c>
      <c r="G3230" s="950" t="s">
        <v>20986</v>
      </c>
      <c r="H3230" s="950" t="s">
        <v>1022</v>
      </c>
      <c r="I3230" s="951" t="s">
        <v>10644</v>
      </c>
      <c r="J3230" s="947" t="s">
        <v>10645</v>
      </c>
      <c r="K3230" s="143"/>
    </row>
    <row r="3231" spans="1:11">
      <c r="A3231" s="946" t="s">
        <v>28620</v>
      </c>
      <c r="B3231" s="947" t="s">
        <v>11066</v>
      </c>
      <c r="C3231" s="948" t="s">
        <v>11064</v>
      </c>
      <c r="D3231" s="242" t="s">
        <v>28742</v>
      </c>
      <c r="E3231" s="949">
        <v>508</v>
      </c>
      <c r="F3231" s="949">
        <v>508</v>
      </c>
      <c r="G3231" s="950" t="s">
        <v>20986</v>
      </c>
      <c r="H3231" s="950" t="s">
        <v>1022</v>
      </c>
      <c r="I3231" s="951" t="s">
        <v>11065</v>
      </c>
      <c r="J3231" s="947" t="s">
        <v>11066</v>
      </c>
      <c r="K3231" s="143"/>
    </row>
    <row r="3232" spans="1:11">
      <c r="A3232" s="946" t="s">
        <v>28620</v>
      </c>
      <c r="B3232" s="947" t="s">
        <v>11177</v>
      </c>
      <c r="C3232" s="948" t="s">
        <v>11175</v>
      </c>
      <c r="D3232" s="242" t="s">
        <v>28742</v>
      </c>
      <c r="E3232" s="949">
        <v>508</v>
      </c>
      <c r="F3232" s="949">
        <v>508</v>
      </c>
      <c r="G3232" s="950" t="s">
        <v>20986</v>
      </c>
      <c r="H3232" s="950" t="s">
        <v>1022</v>
      </c>
      <c r="I3232" s="951" t="s">
        <v>11176</v>
      </c>
      <c r="J3232" s="947" t="s">
        <v>11177</v>
      </c>
      <c r="K3232" s="143"/>
    </row>
    <row r="3233" spans="1:11">
      <c r="A3233" s="946" t="s">
        <v>28620</v>
      </c>
      <c r="B3233" s="947" t="s">
        <v>11345</v>
      </c>
      <c r="C3233" s="948" t="s">
        <v>11343</v>
      </c>
      <c r="D3233" s="242" t="s">
        <v>28742</v>
      </c>
      <c r="E3233" s="949">
        <v>508</v>
      </c>
      <c r="F3233" s="949">
        <v>508</v>
      </c>
      <c r="G3233" s="950" t="s">
        <v>20986</v>
      </c>
      <c r="H3233" s="950" t="s">
        <v>1022</v>
      </c>
      <c r="I3233" s="951" t="s">
        <v>11344</v>
      </c>
      <c r="J3233" s="947" t="s">
        <v>11345</v>
      </c>
      <c r="K3233" s="143"/>
    </row>
    <row r="3234" spans="1:11">
      <c r="A3234" s="946" t="s">
        <v>28620</v>
      </c>
      <c r="B3234" s="947" t="s">
        <v>11353</v>
      </c>
      <c r="C3234" s="948" t="s">
        <v>11351</v>
      </c>
      <c r="D3234" s="242" t="s">
        <v>28742</v>
      </c>
      <c r="E3234" s="949">
        <v>508</v>
      </c>
      <c r="F3234" s="949">
        <v>508</v>
      </c>
      <c r="G3234" s="950" t="s">
        <v>20986</v>
      </c>
      <c r="H3234" s="950" t="s">
        <v>1022</v>
      </c>
      <c r="I3234" s="951" t="s">
        <v>11352</v>
      </c>
      <c r="J3234" s="947" t="s">
        <v>11353</v>
      </c>
      <c r="K3234" s="143"/>
    </row>
    <row r="3235" spans="1:11">
      <c r="A3235" s="946" t="s">
        <v>28620</v>
      </c>
      <c r="B3235" s="947" t="s">
        <v>11513</v>
      </c>
      <c r="C3235" s="948" t="s">
        <v>11511</v>
      </c>
      <c r="D3235" s="242" t="s">
        <v>28714</v>
      </c>
      <c r="E3235" s="949">
        <v>605</v>
      </c>
      <c r="F3235" s="949">
        <v>605</v>
      </c>
      <c r="G3235" s="950" t="s">
        <v>20986</v>
      </c>
      <c r="H3235" s="950" t="s">
        <v>1022</v>
      </c>
      <c r="I3235" s="951" t="s">
        <v>11512</v>
      </c>
      <c r="J3235" s="947" t="s">
        <v>11513</v>
      </c>
      <c r="K3235" s="143"/>
    </row>
    <row r="3236" spans="1:11">
      <c r="A3236" s="946" t="s">
        <v>28620</v>
      </c>
      <c r="B3236" s="947" t="s">
        <v>11730</v>
      </c>
      <c r="C3236" s="948" t="s">
        <v>11728</v>
      </c>
      <c r="D3236" s="242" t="s">
        <v>28742</v>
      </c>
      <c r="E3236" s="949">
        <v>508</v>
      </c>
      <c r="F3236" s="949">
        <v>508</v>
      </c>
      <c r="G3236" s="950" t="s">
        <v>20986</v>
      </c>
      <c r="H3236" s="950" t="s">
        <v>1022</v>
      </c>
      <c r="I3236" s="951" t="s">
        <v>11729</v>
      </c>
      <c r="J3236" s="947" t="s">
        <v>11730</v>
      </c>
      <c r="K3236" s="143"/>
    </row>
    <row r="3237" spans="1:11">
      <c r="A3237" s="946" t="s">
        <v>28620</v>
      </c>
      <c r="B3237" s="947" t="s">
        <v>11900</v>
      </c>
      <c r="C3237" s="948" t="s">
        <v>11898</v>
      </c>
      <c r="D3237" s="242" t="s">
        <v>31161</v>
      </c>
      <c r="E3237" s="949">
        <v>504</v>
      </c>
      <c r="F3237" s="949">
        <v>504</v>
      </c>
      <c r="G3237" s="950" t="s">
        <v>20986</v>
      </c>
      <c r="H3237" s="950" t="s">
        <v>1022</v>
      </c>
      <c r="I3237" s="951" t="s">
        <v>11899</v>
      </c>
      <c r="J3237" s="947" t="s">
        <v>11900</v>
      </c>
      <c r="K3237" s="143"/>
    </row>
    <row r="3238" spans="1:11">
      <c r="A3238" s="946" t="s">
        <v>28620</v>
      </c>
      <c r="B3238" s="947" t="s">
        <v>12036</v>
      </c>
      <c r="C3238" s="948" t="s">
        <v>12034</v>
      </c>
      <c r="D3238" s="242" t="s">
        <v>28742</v>
      </c>
      <c r="E3238" s="949">
        <v>508</v>
      </c>
      <c r="F3238" s="949">
        <v>508</v>
      </c>
      <c r="G3238" s="950" t="s">
        <v>20986</v>
      </c>
      <c r="H3238" s="950" t="s">
        <v>1022</v>
      </c>
      <c r="I3238" s="951" t="s">
        <v>12035</v>
      </c>
      <c r="J3238" s="947" t="s">
        <v>12036</v>
      </c>
      <c r="K3238" s="143"/>
    </row>
    <row r="3239" spans="1:11">
      <c r="A3239" s="946" t="s">
        <v>28620</v>
      </c>
      <c r="B3239" s="947" t="s">
        <v>12094</v>
      </c>
      <c r="C3239" s="948" t="s">
        <v>12092</v>
      </c>
      <c r="D3239" s="242" t="s">
        <v>28742</v>
      </c>
      <c r="E3239" s="949">
        <v>508</v>
      </c>
      <c r="F3239" s="949">
        <v>508</v>
      </c>
      <c r="G3239" s="950" t="s">
        <v>20986</v>
      </c>
      <c r="H3239" s="950" t="s">
        <v>1022</v>
      </c>
      <c r="I3239" s="951" t="s">
        <v>12093</v>
      </c>
      <c r="J3239" s="947" t="s">
        <v>12094</v>
      </c>
      <c r="K3239" s="143"/>
    </row>
    <row r="3240" spans="1:11">
      <c r="A3240" s="946" t="s">
        <v>28620</v>
      </c>
      <c r="B3240" s="947" t="s">
        <v>12368</v>
      </c>
      <c r="C3240" s="948" t="s">
        <v>12366</v>
      </c>
      <c r="D3240" s="242" t="s">
        <v>28742</v>
      </c>
      <c r="E3240" s="949">
        <v>508</v>
      </c>
      <c r="F3240" s="949">
        <v>508</v>
      </c>
      <c r="G3240" s="950" t="s">
        <v>20986</v>
      </c>
      <c r="H3240" s="950" t="s">
        <v>1022</v>
      </c>
      <c r="I3240" s="951" t="s">
        <v>12367</v>
      </c>
      <c r="J3240" s="947" t="s">
        <v>12368</v>
      </c>
      <c r="K3240" s="143"/>
    </row>
    <row r="3241" spans="1:11">
      <c r="A3241" s="946" t="s">
        <v>28620</v>
      </c>
      <c r="B3241" s="947" t="s">
        <v>12921</v>
      </c>
      <c r="C3241" s="948" t="s">
        <v>12919</v>
      </c>
      <c r="D3241" s="242" t="s">
        <v>31161</v>
      </c>
      <c r="E3241" s="949">
        <v>504</v>
      </c>
      <c r="F3241" s="949">
        <v>504</v>
      </c>
      <c r="G3241" s="950" t="s">
        <v>20986</v>
      </c>
      <c r="H3241" s="950" t="s">
        <v>1022</v>
      </c>
      <c r="I3241" s="951" t="s">
        <v>12920</v>
      </c>
      <c r="J3241" s="947" t="s">
        <v>12921</v>
      </c>
      <c r="K3241" s="143"/>
    </row>
    <row r="3242" spans="1:11">
      <c r="A3242" s="946" t="s">
        <v>28620</v>
      </c>
      <c r="B3242" s="947" t="s">
        <v>12932</v>
      </c>
      <c r="C3242" s="948" t="s">
        <v>12930</v>
      </c>
      <c r="D3242" s="242" t="s">
        <v>28742</v>
      </c>
      <c r="E3242" s="949">
        <v>508</v>
      </c>
      <c r="F3242" s="949">
        <v>508</v>
      </c>
      <c r="G3242" s="950" t="s">
        <v>20986</v>
      </c>
      <c r="H3242" s="950" t="s">
        <v>1022</v>
      </c>
      <c r="I3242" s="951" t="s">
        <v>12931</v>
      </c>
      <c r="J3242" s="947" t="s">
        <v>12932</v>
      </c>
      <c r="K3242" s="143"/>
    </row>
    <row r="3243" spans="1:11">
      <c r="A3243" s="946" t="s">
        <v>28620</v>
      </c>
      <c r="B3243" s="947" t="s">
        <v>13038</v>
      </c>
      <c r="C3243" s="948" t="s">
        <v>13036</v>
      </c>
      <c r="D3243" s="242" t="s">
        <v>28742</v>
      </c>
      <c r="E3243" s="949">
        <v>508</v>
      </c>
      <c r="F3243" s="949">
        <v>508</v>
      </c>
      <c r="G3243" s="950" t="s">
        <v>20986</v>
      </c>
      <c r="H3243" s="950" t="s">
        <v>1022</v>
      </c>
      <c r="I3243" s="951" t="s">
        <v>13037</v>
      </c>
      <c r="J3243" s="947" t="s">
        <v>13038</v>
      </c>
      <c r="K3243" s="143"/>
    </row>
    <row r="3244" spans="1:11">
      <c r="A3244" s="946" t="s">
        <v>28620</v>
      </c>
      <c r="B3244" s="947" t="s">
        <v>13224</v>
      </c>
      <c r="C3244" s="948" t="s">
        <v>13222</v>
      </c>
      <c r="D3244" s="242" t="s">
        <v>28742</v>
      </c>
      <c r="E3244" s="949">
        <v>508</v>
      </c>
      <c r="F3244" s="949">
        <v>508</v>
      </c>
      <c r="G3244" s="950" t="s">
        <v>20986</v>
      </c>
      <c r="H3244" s="950" t="s">
        <v>1022</v>
      </c>
      <c r="I3244" s="951" t="s">
        <v>13223</v>
      </c>
      <c r="J3244" s="947" t="s">
        <v>13224</v>
      </c>
      <c r="K3244" s="143"/>
    </row>
    <row r="3245" spans="1:11">
      <c r="A3245" s="946" t="s">
        <v>28620</v>
      </c>
      <c r="B3245" s="947" t="s">
        <v>13509</v>
      </c>
      <c r="C3245" s="948" t="s">
        <v>13507</v>
      </c>
      <c r="D3245" s="242" t="s">
        <v>28742</v>
      </c>
      <c r="E3245" s="949">
        <v>508</v>
      </c>
      <c r="F3245" s="949">
        <v>508</v>
      </c>
      <c r="G3245" s="950" t="s">
        <v>20986</v>
      </c>
      <c r="H3245" s="950" t="s">
        <v>1022</v>
      </c>
      <c r="I3245" s="951" t="s">
        <v>13508</v>
      </c>
      <c r="J3245" s="947" t="s">
        <v>13509</v>
      </c>
      <c r="K3245" s="143"/>
    </row>
    <row r="3246" spans="1:11">
      <c r="A3246" s="946" t="s">
        <v>28620</v>
      </c>
      <c r="B3246" s="947" t="s">
        <v>13741</v>
      </c>
      <c r="C3246" s="948" t="s">
        <v>13739</v>
      </c>
      <c r="D3246" s="242" t="s">
        <v>28742</v>
      </c>
      <c r="E3246" s="949">
        <v>508</v>
      </c>
      <c r="F3246" s="949">
        <v>508</v>
      </c>
      <c r="G3246" s="950" t="s">
        <v>20986</v>
      </c>
      <c r="H3246" s="950" t="s">
        <v>1022</v>
      </c>
      <c r="I3246" s="951" t="s">
        <v>13740</v>
      </c>
      <c r="J3246" s="947" t="s">
        <v>13741</v>
      </c>
      <c r="K3246" s="143"/>
    </row>
    <row r="3247" spans="1:11">
      <c r="A3247" s="946" t="s">
        <v>28620</v>
      </c>
      <c r="B3247" s="947" t="s">
        <v>13759</v>
      </c>
      <c r="C3247" s="948" t="s">
        <v>13757</v>
      </c>
      <c r="D3247" s="242" t="s">
        <v>28742</v>
      </c>
      <c r="E3247" s="949">
        <v>508</v>
      </c>
      <c r="F3247" s="949">
        <v>508</v>
      </c>
      <c r="G3247" s="950" t="s">
        <v>20986</v>
      </c>
      <c r="H3247" s="950" t="s">
        <v>1022</v>
      </c>
      <c r="I3247" s="951" t="s">
        <v>13758</v>
      </c>
      <c r="J3247" s="947" t="s">
        <v>13759</v>
      </c>
      <c r="K3247" s="143"/>
    </row>
    <row r="3248" spans="1:11">
      <c r="A3248" s="946" t="s">
        <v>28620</v>
      </c>
      <c r="B3248" s="947" t="s">
        <v>14020</v>
      </c>
      <c r="C3248" s="948" t="s">
        <v>14018</v>
      </c>
      <c r="D3248" s="242" t="s">
        <v>28742</v>
      </c>
      <c r="E3248" s="949">
        <v>508</v>
      </c>
      <c r="F3248" s="949">
        <v>508</v>
      </c>
      <c r="G3248" s="950" t="s">
        <v>20986</v>
      </c>
      <c r="H3248" s="950" t="s">
        <v>1022</v>
      </c>
      <c r="I3248" s="951" t="s">
        <v>14019</v>
      </c>
      <c r="J3248" s="947" t="s">
        <v>14020</v>
      </c>
      <c r="K3248" s="143"/>
    </row>
    <row r="3249" spans="1:11">
      <c r="A3249" s="946" t="s">
        <v>28620</v>
      </c>
      <c r="B3249" s="947" t="s">
        <v>14405</v>
      </c>
      <c r="C3249" s="948" t="s">
        <v>14403</v>
      </c>
      <c r="D3249" s="242" t="s">
        <v>28742</v>
      </c>
      <c r="E3249" s="949">
        <v>508</v>
      </c>
      <c r="F3249" s="949">
        <v>508</v>
      </c>
      <c r="G3249" s="950" t="s">
        <v>20986</v>
      </c>
      <c r="H3249" s="950" t="s">
        <v>1022</v>
      </c>
      <c r="I3249" s="951" t="s">
        <v>14404</v>
      </c>
      <c r="J3249" s="947" t="s">
        <v>14405</v>
      </c>
      <c r="K3249" s="143"/>
    </row>
    <row r="3250" spans="1:11">
      <c r="A3250" s="946" t="s">
        <v>28620</v>
      </c>
      <c r="B3250" s="947" t="s">
        <v>14931</v>
      </c>
      <c r="C3250" s="948" t="s">
        <v>14929</v>
      </c>
      <c r="D3250" s="242" t="s">
        <v>28742</v>
      </c>
      <c r="E3250" s="949">
        <v>508</v>
      </c>
      <c r="F3250" s="949">
        <v>508</v>
      </c>
      <c r="G3250" s="950" t="s">
        <v>20986</v>
      </c>
      <c r="H3250" s="950" t="s">
        <v>1022</v>
      </c>
      <c r="I3250" s="951" t="s">
        <v>14930</v>
      </c>
      <c r="J3250" s="947" t="s">
        <v>14931</v>
      </c>
      <c r="K3250" s="143"/>
    </row>
    <row r="3251" spans="1:11">
      <c r="A3251" s="946" t="s">
        <v>28620</v>
      </c>
      <c r="B3251" s="947" t="s">
        <v>15387</v>
      </c>
      <c r="C3251" s="948" t="s">
        <v>15385</v>
      </c>
      <c r="D3251" s="242" t="s">
        <v>28742</v>
      </c>
      <c r="E3251" s="949">
        <v>508</v>
      </c>
      <c r="F3251" s="949">
        <v>508</v>
      </c>
      <c r="G3251" s="950" t="s">
        <v>20986</v>
      </c>
      <c r="H3251" s="950" t="s">
        <v>1022</v>
      </c>
      <c r="I3251" s="951" t="s">
        <v>15386</v>
      </c>
      <c r="J3251" s="947" t="s">
        <v>15387</v>
      </c>
      <c r="K3251" s="143"/>
    </row>
    <row r="3252" spans="1:11">
      <c r="A3252" s="946" t="s">
        <v>28620</v>
      </c>
      <c r="B3252" s="947" t="s">
        <v>15498</v>
      </c>
      <c r="C3252" s="948" t="s">
        <v>15496</v>
      </c>
      <c r="D3252" s="242" t="s">
        <v>28742</v>
      </c>
      <c r="E3252" s="949">
        <v>508</v>
      </c>
      <c r="F3252" s="949">
        <v>508</v>
      </c>
      <c r="G3252" s="950" t="s">
        <v>20986</v>
      </c>
      <c r="H3252" s="950" t="s">
        <v>1022</v>
      </c>
      <c r="I3252" s="951" t="s">
        <v>15497</v>
      </c>
      <c r="J3252" s="947" t="s">
        <v>15498</v>
      </c>
      <c r="K3252" s="143"/>
    </row>
    <row r="3253" spans="1:11">
      <c r="A3253" s="946" t="s">
        <v>28620</v>
      </c>
      <c r="B3253" s="947" t="s">
        <v>15583</v>
      </c>
      <c r="C3253" s="948" t="s">
        <v>15581</v>
      </c>
      <c r="D3253" s="242" t="s">
        <v>28742</v>
      </c>
      <c r="E3253" s="949">
        <v>508</v>
      </c>
      <c r="F3253" s="949">
        <v>508</v>
      </c>
      <c r="G3253" s="950" t="s">
        <v>20986</v>
      </c>
      <c r="H3253" s="950" t="s">
        <v>1022</v>
      </c>
      <c r="I3253" s="951" t="s">
        <v>15582</v>
      </c>
      <c r="J3253" s="947" t="s">
        <v>15583</v>
      </c>
      <c r="K3253" s="143"/>
    </row>
    <row r="3254" spans="1:11">
      <c r="A3254" s="946" t="s">
        <v>28620</v>
      </c>
      <c r="B3254" s="947" t="s">
        <v>15619</v>
      </c>
      <c r="C3254" s="948" t="s">
        <v>15617</v>
      </c>
      <c r="D3254" s="242" t="s">
        <v>28742</v>
      </c>
      <c r="E3254" s="949">
        <v>508</v>
      </c>
      <c r="F3254" s="949">
        <v>508</v>
      </c>
      <c r="G3254" s="950" t="s">
        <v>20986</v>
      </c>
      <c r="H3254" s="950" t="s">
        <v>1022</v>
      </c>
      <c r="I3254" s="951" t="s">
        <v>15618</v>
      </c>
      <c r="J3254" s="947" t="s">
        <v>15619</v>
      </c>
      <c r="K3254" s="143"/>
    </row>
    <row r="3255" spans="1:11">
      <c r="A3255" s="946" t="s">
        <v>28620</v>
      </c>
      <c r="B3255" s="947" t="s">
        <v>15647</v>
      </c>
      <c r="C3255" s="948" t="s">
        <v>15645</v>
      </c>
      <c r="D3255" s="242" t="s">
        <v>28742</v>
      </c>
      <c r="E3255" s="949">
        <v>508</v>
      </c>
      <c r="F3255" s="949">
        <v>508</v>
      </c>
      <c r="G3255" s="950" t="s">
        <v>20986</v>
      </c>
      <c r="H3255" s="950" t="s">
        <v>1022</v>
      </c>
      <c r="I3255" s="951" t="s">
        <v>15646</v>
      </c>
      <c r="J3255" s="947" t="s">
        <v>15647</v>
      </c>
      <c r="K3255" s="143"/>
    </row>
    <row r="3256" spans="1:11">
      <c r="A3256" s="946" t="s">
        <v>28620</v>
      </c>
      <c r="B3256" s="947" t="s">
        <v>15812</v>
      </c>
      <c r="C3256" s="948" t="s">
        <v>15810</v>
      </c>
      <c r="D3256" s="242" t="s">
        <v>31161</v>
      </c>
      <c r="E3256" s="949">
        <v>504</v>
      </c>
      <c r="F3256" s="949">
        <v>504</v>
      </c>
      <c r="G3256" s="950" t="s">
        <v>20986</v>
      </c>
      <c r="H3256" s="950" t="s">
        <v>1022</v>
      </c>
      <c r="I3256" s="951" t="s">
        <v>15811</v>
      </c>
      <c r="J3256" s="947" t="s">
        <v>15812</v>
      </c>
      <c r="K3256" s="143"/>
    </row>
    <row r="3257" spans="1:11">
      <c r="A3257" s="946" t="s">
        <v>28620</v>
      </c>
      <c r="B3257" s="947" t="s">
        <v>16010</v>
      </c>
      <c r="C3257" s="948" t="s">
        <v>16008</v>
      </c>
      <c r="D3257" s="242" t="s">
        <v>31161</v>
      </c>
      <c r="E3257" s="949">
        <v>504</v>
      </c>
      <c r="F3257" s="949">
        <v>504</v>
      </c>
      <c r="G3257" s="950" t="s">
        <v>20986</v>
      </c>
      <c r="H3257" s="950" t="s">
        <v>1022</v>
      </c>
      <c r="I3257" s="951" t="s">
        <v>16009</v>
      </c>
      <c r="J3257" s="947" t="s">
        <v>16010</v>
      </c>
      <c r="K3257" s="143"/>
    </row>
    <row r="3258" spans="1:11">
      <c r="A3258" s="946" t="s">
        <v>28620</v>
      </c>
      <c r="B3258" s="947" t="s">
        <v>16172</v>
      </c>
      <c r="C3258" s="948" t="s">
        <v>16170</v>
      </c>
      <c r="D3258" s="242" t="s">
        <v>28742</v>
      </c>
      <c r="E3258" s="949">
        <v>508</v>
      </c>
      <c r="F3258" s="949">
        <v>508</v>
      </c>
      <c r="G3258" s="950" t="s">
        <v>20986</v>
      </c>
      <c r="H3258" s="950" t="s">
        <v>1022</v>
      </c>
      <c r="I3258" s="951" t="s">
        <v>16171</v>
      </c>
      <c r="J3258" s="947" t="s">
        <v>16172</v>
      </c>
      <c r="K3258" s="143"/>
    </row>
    <row r="3259" spans="1:11">
      <c r="A3259" s="946" t="s">
        <v>28620</v>
      </c>
      <c r="B3259" s="947" t="s">
        <v>16208</v>
      </c>
      <c r="C3259" s="948" t="s">
        <v>16206</v>
      </c>
      <c r="D3259" s="242" t="s">
        <v>615</v>
      </c>
      <c r="E3259" s="949">
        <v>503</v>
      </c>
      <c r="F3259" s="949">
        <v>503</v>
      </c>
      <c r="G3259" s="950" t="s">
        <v>20986</v>
      </c>
      <c r="H3259" s="950" t="s">
        <v>1022</v>
      </c>
      <c r="I3259" s="951" t="s">
        <v>16207</v>
      </c>
      <c r="J3259" s="947" t="s">
        <v>16208</v>
      </c>
      <c r="K3259" s="143"/>
    </row>
    <row r="3260" spans="1:11">
      <c r="A3260" s="946" t="s">
        <v>28620</v>
      </c>
      <c r="B3260" s="947" t="s">
        <v>16232</v>
      </c>
      <c r="C3260" s="948" t="s">
        <v>16230</v>
      </c>
      <c r="D3260" s="242" t="s">
        <v>28742</v>
      </c>
      <c r="E3260" s="949">
        <v>508</v>
      </c>
      <c r="F3260" s="949">
        <v>508</v>
      </c>
      <c r="G3260" s="950" t="s">
        <v>20986</v>
      </c>
      <c r="H3260" s="950" t="s">
        <v>1022</v>
      </c>
      <c r="I3260" s="951" t="s">
        <v>16231</v>
      </c>
      <c r="J3260" s="947" t="s">
        <v>16232</v>
      </c>
      <c r="K3260" s="143"/>
    </row>
    <row r="3261" spans="1:11">
      <c r="A3261" s="946" t="s">
        <v>28620</v>
      </c>
      <c r="B3261" s="947" t="s">
        <v>16290</v>
      </c>
      <c r="C3261" s="948" t="s">
        <v>16288</v>
      </c>
      <c r="D3261" s="242" t="s">
        <v>28742</v>
      </c>
      <c r="E3261" s="949">
        <v>508</v>
      </c>
      <c r="F3261" s="949">
        <v>508</v>
      </c>
      <c r="G3261" s="950" t="s">
        <v>20986</v>
      </c>
      <c r="H3261" s="950" t="s">
        <v>1022</v>
      </c>
      <c r="I3261" s="951" t="s">
        <v>16289</v>
      </c>
      <c r="J3261" s="947" t="s">
        <v>16290</v>
      </c>
      <c r="K3261" s="143"/>
    </row>
    <row r="3262" spans="1:11">
      <c r="A3262" s="946" t="s">
        <v>28620</v>
      </c>
      <c r="B3262" s="947" t="s">
        <v>16855</v>
      </c>
      <c r="C3262" s="948" t="s">
        <v>16853</v>
      </c>
      <c r="D3262" s="242" t="s">
        <v>28742</v>
      </c>
      <c r="E3262" s="949">
        <v>508</v>
      </c>
      <c r="F3262" s="949">
        <v>508</v>
      </c>
      <c r="G3262" s="950" t="s">
        <v>20986</v>
      </c>
      <c r="H3262" s="950" t="s">
        <v>1022</v>
      </c>
      <c r="I3262" s="951" t="s">
        <v>16854</v>
      </c>
      <c r="J3262" s="947" t="s">
        <v>16855</v>
      </c>
      <c r="K3262" s="143"/>
    </row>
    <row r="3263" spans="1:11">
      <c r="A3263" s="946" t="s">
        <v>28620</v>
      </c>
      <c r="B3263" s="947" t="s">
        <v>17263</v>
      </c>
      <c r="C3263" s="948" t="s">
        <v>17261</v>
      </c>
      <c r="D3263" s="242" t="s">
        <v>28742</v>
      </c>
      <c r="E3263" s="949">
        <v>508</v>
      </c>
      <c r="F3263" s="949">
        <v>508</v>
      </c>
      <c r="G3263" s="950" t="s">
        <v>20986</v>
      </c>
      <c r="H3263" s="950" t="s">
        <v>1022</v>
      </c>
      <c r="I3263" s="951" t="s">
        <v>17262</v>
      </c>
      <c r="J3263" s="947" t="s">
        <v>17263</v>
      </c>
      <c r="K3263" s="143"/>
    </row>
    <row r="3264" spans="1:11">
      <c r="A3264" s="946" t="s">
        <v>28620</v>
      </c>
      <c r="B3264" s="947" t="s">
        <v>17409</v>
      </c>
      <c r="C3264" s="948" t="s">
        <v>17407</v>
      </c>
      <c r="D3264" s="242" t="s">
        <v>28742</v>
      </c>
      <c r="E3264" s="949">
        <v>508</v>
      </c>
      <c r="F3264" s="949">
        <v>508</v>
      </c>
      <c r="G3264" s="950" t="s">
        <v>20986</v>
      </c>
      <c r="H3264" s="950" t="s">
        <v>1022</v>
      </c>
      <c r="I3264" s="951" t="s">
        <v>17408</v>
      </c>
      <c r="J3264" s="947" t="s">
        <v>17409</v>
      </c>
      <c r="K3264" s="143"/>
    </row>
    <row r="3265" spans="1:11">
      <c r="A3265" s="946" t="s">
        <v>28620</v>
      </c>
      <c r="B3265" s="947" t="s">
        <v>17579</v>
      </c>
      <c r="C3265" s="948" t="s">
        <v>17577</v>
      </c>
      <c r="D3265" s="242" t="s">
        <v>28742</v>
      </c>
      <c r="E3265" s="949">
        <v>508</v>
      </c>
      <c r="F3265" s="949">
        <v>508</v>
      </c>
      <c r="G3265" s="950" t="s">
        <v>20986</v>
      </c>
      <c r="H3265" s="950" t="s">
        <v>1022</v>
      </c>
      <c r="I3265" s="951" t="s">
        <v>17578</v>
      </c>
      <c r="J3265" s="947" t="s">
        <v>17579</v>
      </c>
      <c r="K3265" s="143"/>
    </row>
    <row r="3266" spans="1:11">
      <c r="A3266" s="946" t="s">
        <v>28620</v>
      </c>
      <c r="B3266" s="947" t="s">
        <v>18090</v>
      </c>
      <c r="C3266" s="948" t="s">
        <v>18088</v>
      </c>
      <c r="D3266" s="242" t="s">
        <v>28742</v>
      </c>
      <c r="E3266" s="949">
        <v>508</v>
      </c>
      <c r="F3266" s="949">
        <v>508</v>
      </c>
      <c r="G3266" s="950" t="s">
        <v>20986</v>
      </c>
      <c r="H3266" s="950" t="s">
        <v>1022</v>
      </c>
      <c r="I3266" s="951" t="s">
        <v>18089</v>
      </c>
      <c r="J3266" s="947" t="s">
        <v>18090</v>
      </c>
      <c r="K3266" s="143"/>
    </row>
    <row r="3267" spans="1:11">
      <c r="A3267" s="946" t="s">
        <v>28620</v>
      </c>
      <c r="B3267" s="947" t="s">
        <v>18144</v>
      </c>
      <c r="C3267" s="948" t="s">
        <v>18142</v>
      </c>
      <c r="D3267" s="242" t="s">
        <v>28742</v>
      </c>
      <c r="E3267" s="949">
        <v>508</v>
      </c>
      <c r="F3267" s="949">
        <v>508</v>
      </c>
      <c r="G3267" s="950" t="s">
        <v>20986</v>
      </c>
      <c r="H3267" s="950" t="s">
        <v>1022</v>
      </c>
      <c r="I3267" s="951" t="s">
        <v>18143</v>
      </c>
      <c r="J3267" s="947" t="s">
        <v>18144</v>
      </c>
      <c r="K3267" s="143"/>
    </row>
    <row r="3268" spans="1:11">
      <c r="A3268" s="946" t="s">
        <v>28620</v>
      </c>
      <c r="B3268" s="947" t="s">
        <v>18441</v>
      </c>
      <c r="C3268" s="948" t="s">
        <v>18439</v>
      </c>
      <c r="D3268" s="242" t="s">
        <v>28742</v>
      </c>
      <c r="E3268" s="949">
        <v>508</v>
      </c>
      <c r="F3268" s="949">
        <v>508</v>
      </c>
      <c r="G3268" s="950" t="s">
        <v>20986</v>
      </c>
      <c r="H3268" s="950" t="s">
        <v>1022</v>
      </c>
      <c r="I3268" s="951" t="s">
        <v>18440</v>
      </c>
      <c r="J3268" s="947" t="s">
        <v>18441</v>
      </c>
      <c r="K3268" s="143"/>
    </row>
    <row r="3269" spans="1:11">
      <c r="A3269" s="946" t="s">
        <v>28620</v>
      </c>
      <c r="B3269" s="947" t="s">
        <v>18260</v>
      </c>
      <c r="C3269" s="948" t="s">
        <v>18258</v>
      </c>
      <c r="D3269" s="242" t="s">
        <v>28742</v>
      </c>
      <c r="E3269" s="949">
        <v>508</v>
      </c>
      <c r="F3269" s="949">
        <v>508</v>
      </c>
      <c r="G3269" s="950" t="s">
        <v>20986</v>
      </c>
      <c r="H3269" s="950" t="s">
        <v>1022</v>
      </c>
      <c r="I3269" s="951" t="s">
        <v>18259</v>
      </c>
      <c r="J3269" s="947" t="s">
        <v>18260</v>
      </c>
      <c r="K3269" s="143"/>
    </row>
    <row r="3270" spans="1:11">
      <c r="A3270" s="946" t="s">
        <v>28620</v>
      </c>
      <c r="B3270" s="947" t="s">
        <v>18326</v>
      </c>
      <c r="C3270" s="948" t="s">
        <v>18324</v>
      </c>
      <c r="D3270" s="242" t="s">
        <v>28742</v>
      </c>
      <c r="E3270" s="949">
        <v>508</v>
      </c>
      <c r="F3270" s="949">
        <v>508</v>
      </c>
      <c r="G3270" s="950" t="s">
        <v>20986</v>
      </c>
      <c r="H3270" s="950" t="s">
        <v>1022</v>
      </c>
      <c r="I3270" s="951" t="s">
        <v>18325</v>
      </c>
      <c r="J3270" s="947" t="s">
        <v>18326</v>
      </c>
      <c r="K3270" s="143"/>
    </row>
    <row r="3271" spans="1:11">
      <c r="A3271" s="946" t="s">
        <v>28620</v>
      </c>
      <c r="B3271" s="947" t="s">
        <v>18870</v>
      </c>
      <c r="C3271" s="948" t="s">
        <v>18868</v>
      </c>
      <c r="D3271" s="242" t="s">
        <v>28742</v>
      </c>
      <c r="E3271" s="949">
        <v>508</v>
      </c>
      <c r="F3271" s="949">
        <v>508</v>
      </c>
      <c r="G3271" s="950" t="s">
        <v>20986</v>
      </c>
      <c r="H3271" s="950" t="s">
        <v>1022</v>
      </c>
      <c r="I3271" s="951" t="s">
        <v>18869</v>
      </c>
      <c r="J3271" s="947" t="s">
        <v>18870</v>
      </c>
      <c r="K3271" s="143"/>
    </row>
    <row r="3272" spans="1:11">
      <c r="A3272" s="946" t="s">
        <v>28620</v>
      </c>
      <c r="B3272" s="947" t="s">
        <v>19195</v>
      </c>
      <c r="C3272" s="948" t="s">
        <v>19193</v>
      </c>
      <c r="D3272" s="242" t="s">
        <v>28742</v>
      </c>
      <c r="E3272" s="949">
        <v>508</v>
      </c>
      <c r="F3272" s="949">
        <v>508</v>
      </c>
      <c r="G3272" s="950" t="s">
        <v>20986</v>
      </c>
      <c r="H3272" s="950" t="s">
        <v>1022</v>
      </c>
      <c r="I3272" s="951" t="s">
        <v>19194</v>
      </c>
      <c r="J3272" s="947" t="s">
        <v>19195</v>
      </c>
      <c r="K3272" s="143"/>
    </row>
    <row r="3273" spans="1:11">
      <c r="A3273" s="946" t="s">
        <v>28620</v>
      </c>
      <c r="B3273" s="947" t="s">
        <v>19307</v>
      </c>
      <c r="C3273" s="948" t="s">
        <v>19305</v>
      </c>
      <c r="D3273" s="242" t="s">
        <v>28742</v>
      </c>
      <c r="E3273" s="949">
        <v>508</v>
      </c>
      <c r="F3273" s="949">
        <v>508</v>
      </c>
      <c r="G3273" s="950" t="s">
        <v>20986</v>
      </c>
      <c r="H3273" s="950" t="s">
        <v>1022</v>
      </c>
      <c r="I3273" s="951" t="s">
        <v>19306</v>
      </c>
      <c r="J3273" s="947" t="s">
        <v>19307</v>
      </c>
      <c r="K3273" s="143"/>
    </row>
    <row r="3274" spans="1:11">
      <c r="A3274" s="946" t="s">
        <v>28620</v>
      </c>
      <c r="B3274" s="947" t="s">
        <v>19523</v>
      </c>
      <c r="C3274" s="948" t="s">
        <v>19521</v>
      </c>
      <c r="D3274" s="242" t="s">
        <v>28742</v>
      </c>
      <c r="E3274" s="949">
        <v>508</v>
      </c>
      <c r="F3274" s="949">
        <v>508</v>
      </c>
      <c r="G3274" s="950" t="s">
        <v>20986</v>
      </c>
      <c r="H3274" s="950" t="s">
        <v>1022</v>
      </c>
      <c r="I3274" s="951" t="s">
        <v>19522</v>
      </c>
      <c r="J3274" s="947" t="s">
        <v>19523</v>
      </c>
      <c r="K3274" s="143"/>
    </row>
    <row r="3275" spans="1:11">
      <c r="A3275" s="946" t="s">
        <v>28620</v>
      </c>
      <c r="B3275" s="947" t="s">
        <v>19939</v>
      </c>
      <c r="C3275" s="948" t="s">
        <v>19937</v>
      </c>
      <c r="D3275" s="242" t="s">
        <v>28742</v>
      </c>
      <c r="E3275" s="949">
        <v>508</v>
      </c>
      <c r="F3275" s="949">
        <v>508</v>
      </c>
      <c r="G3275" s="950" t="s">
        <v>20986</v>
      </c>
      <c r="H3275" s="950" t="s">
        <v>1022</v>
      </c>
      <c r="I3275" s="951" t="s">
        <v>19938</v>
      </c>
      <c r="J3275" s="947" t="s">
        <v>19939</v>
      </c>
      <c r="K3275" s="143"/>
    </row>
    <row r="3276" spans="1:11">
      <c r="A3276" s="946" t="s">
        <v>28620</v>
      </c>
      <c r="B3276" s="947" t="s">
        <v>20136</v>
      </c>
      <c r="C3276" s="948" t="s">
        <v>20134</v>
      </c>
      <c r="D3276" s="242" t="s">
        <v>28742</v>
      </c>
      <c r="E3276" s="949">
        <v>508</v>
      </c>
      <c r="F3276" s="949">
        <v>508</v>
      </c>
      <c r="G3276" s="950" t="s">
        <v>20986</v>
      </c>
      <c r="H3276" s="950" t="s">
        <v>1022</v>
      </c>
      <c r="I3276" s="951" t="s">
        <v>20135</v>
      </c>
      <c r="J3276" s="947" t="s">
        <v>20136</v>
      </c>
      <c r="K3276" s="143"/>
    </row>
    <row r="3277" spans="1:11">
      <c r="A3277" s="946" t="s">
        <v>28620</v>
      </c>
      <c r="B3277" s="947" t="s">
        <v>20230</v>
      </c>
      <c r="C3277" s="948" t="s">
        <v>20228</v>
      </c>
      <c r="D3277" s="242" t="s">
        <v>28742</v>
      </c>
      <c r="E3277" s="949">
        <v>508</v>
      </c>
      <c r="F3277" s="949">
        <v>508</v>
      </c>
      <c r="G3277" s="950" t="s">
        <v>20986</v>
      </c>
      <c r="H3277" s="950" t="s">
        <v>1022</v>
      </c>
      <c r="I3277" s="951" t="s">
        <v>20229</v>
      </c>
      <c r="J3277" s="947" t="s">
        <v>20230</v>
      </c>
      <c r="K3277" s="143"/>
    </row>
    <row r="3278" spans="1:11">
      <c r="A3278" s="946" t="s">
        <v>28620</v>
      </c>
      <c r="B3278" s="947" t="s">
        <v>20974</v>
      </c>
      <c r="C3278" s="948" t="s">
        <v>20972</v>
      </c>
      <c r="D3278" s="242" t="s">
        <v>28742</v>
      </c>
      <c r="E3278" s="949">
        <v>508</v>
      </c>
      <c r="F3278" s="949">
        <v>508</v>
      </c>
      <c r="G3278" s="950" t="s">
        <v>20986</v>
      </c>
      <c r="H3278" s="950" t="s">
        <v>1022</v>
      </c>
      <c r="I3278" s="951" t="s">
        <v>20973</v>
      </c>
      <c r="J3278" s="947" t="s">
        <v>20974</v>
      </c>
      <c r="K3278" s="143"/>
    </row>
    <row r="3279" spans="1:11">
      <c r="A3279" s="946" t="s">
        <v>28620</v>
      </c>
      <c r="B3279" s="947" t="s">
        <v>20986</v>
      </c>
      <c r="C3279" s="948" t="s">
        <v>20984</v>
      </c>
      <c r="D3279" s="242" t="s">
        <v>28742</v>
      </c>
      <c r="E3279" s="949">
        <v>508</v>
      </c>
      <c r="F3279" s="949">
        <v>508</v>
      </c>
      <c r="G3279" s="950" t="s">
        <v>20986</v>
      </c>
      <c r="H3279" s="950" t="s">
        <v>1022</v>
      </c>
      <c r="I3279" s="951" t="s">
        <v>20985</v>
      </c>
      <c r="J3279" s="947" t="s">
        <v>20986</v>
      </c>
      <c r="K3279" s="143"/>
    </row>
    <row r="3280" spans="1:11">
      <c r="A3280" s="946" t="s">
        <v>28620</v>
      </c>
      <c r="B3280" s="947" t="s">
        <v>21333</v>
      </c>
      <c r="C3280" s="948" t="s">
        <v>21331</v>
      </c>
      <c r="D3280" s="242" t="s">
        <v>28742</v>
      </c>
      <c r="E3280" s="949">
        <v>508</v>
      </c>
      <c r="F3280" s="949">
        <v>508</v>
      </c>
      <c r="G3280" s="950" t="s">
        <v>20986</v>
      </c>
      <c r="H3280" s="950" t="s">
        <v>1022</v>
      </c>
      <c r="I3280" s="951" t="s">
        <v>21332</v>
      </c>
      <c r="J3280" s="947" t="s">
        <v>21333</v>
      </c>
      <c r="K3280" s="143"/>
    </row>
    <row r="3281" spans="1:11">
      <c r="A3281" s="946" t="s">
        <v>28620</v>
      </c>
      <c r="B3281" s="947" t="s">
        <v>21624</v>
      </c>
      <c r="C3281" s="948" t="s">
        <v>21622</v>
      </c>
      <c r="D3281" s="242" t="s">
        <v>28742</v>
      </c>
      <c r="E3281" s="949">
        <v>508</v>
      </c>
      <c r="F3281" s="949">
        <v>508</v>
      </c>
      <c r="G3281" s="950" t="s">
        <v>20986</v>
      </c>
      <c r="H3281" s="950" t="s">
        <v>1022</v>
      </c>
      <c r="I3281" s="951" t="s">
        <v>21623</v>
      </c>
      <c r="J3281" s="947" t="s">
        <v>21624</v>
      </c>
      <c r="K3281" s="143"/>
    </row>
    <row r="3282" spans="1:11">
      <c r="A3282" s="946" t="s">
        <v>28620</v>
      </c>
      <c r="B3282" s="947" t="s">
        <v>21635</v>
      </c>
      <c r="C3282" s="948" t="s">
        <v>21633</v>
      </c>
      <c r="D3282" s="242" t="s">
        <v>28742</v>
      </c>
      <c r="E3282" s="949">
        <v>508</v>
      </c>
      <c r="F3282" s="949">
        <v>508</v>
      </c>
      <c r="G3282" s="950" t="s">
        <v>20986</v>
      </c>
      <c r="H3282" s="950" t="s">
        <v>1022</v>
      </c>
      <c r="I3282" s="951" t="s">
        <v>21634</v>
      </c>
      <c r="J3282" s="947" t="s">
        <v>21635</v>
      </c>
      <c r="K3282" s="143"/>
    </row>
    <row r="3283" spans="1:11">
      <c r="A3283" s="946" t="s">
        <v>28620</v>
      </c>
      <c r="B3283" s="947" t="s">
        <v>21954</v>
      </c>
      <c r="C3283" s="948" t="s">
        <v>21952</v>
      </c>
      <c r="D3283" s="242" t="s">
        <v>28742</v>
      </c>
      <c r="E3283" s="949">
        <v>508</v>
      </c>
      <c r="F3283" s="949">
        <v>508</v>
      </c>
      <c r="G3283" s="950" t="s">
        <v>20986</v>
      </c>
      <c r="H3283" s="950" t="s">
        <v>1022</v>
      </c>
      <c r="I3283" s="951" t="s">
        <v>21953</v>
      </c>
      <c r="J3283" s="947" t="s">
        <v>21954</v>
      </c>
      <c r="K3283" s="143"/>
    </row>
    <row r="3284" spans="1:11">
      <c r="A3284" s="946" t="s">
        <v>28620</v>
      </c>
      <c r="B3284" s="947" t="s">
        <v>22355</v>
      </c>
      <c r="C3284" s="948" t="s">
        <v>22353</v>
      </c>
      <c r="D3284" s="242" t="s">
        <v>28742</v>
      </c>
      <c r="E3284" s="949">
        <v>508</v>
      </c>
      <c r="F3284" s="949">
        <v>508</v>
      </c>
      <c r="G3284" s="950" t="s">
        <v>20986</v>
      </c>
      <c r="H3284" s="950" t="s">
        <v>1022</v>
      </c>
      <c r="I3284" s="951" t="s">
        <v>22354</v>
      </c>
      <c r="J3284" s="947" t="s">
        <v>22355</v>
      </c>
      <c r="K3284" s="143"/>
    </row>
    <row r="3285" spans="1:11">
      <c r="A3285" s="946" t="s">
        <v>28620</v>
      </c>
      <c r="B3285" s="947" t="s">
        <v>22436</v>
      </c>
      <c r="C3285" s="948" t="s">
        <v>22434</v>
      </c>
      <c r="D3285" s="242" t="s">
        <v>28742</v>
      </c>
      <c r="E3285" s="949">
        <v>508</v>
      </c>
      <c r="F3285" s="949">
        <v>508</v>
      </c>
      <c r="G3285" s="950" t="s">
        <v>20986</v>
      </c>
      <c r="H3285" s="950" t="s">
        <v>1022</v>
      </c>
      <c r="I3285" s="951" t="s">
        <v>22435</v>
      </c>
      <c r="J3285" s="947" t="s">
        <v>22436</v>
      </c>
      <c r="K3285" s="143"/>
    </row>
    <row r="3286" spans="1:11">
      <c r="A3286" s="946" t="s">
        <v>28620</v>
      </c>
      <c r="B3286" s="947" t="s">
        <v>22504</v>
      </c>
      <c r="C3286" s="948" t="s">
        <v>22502</v>
      </c>
      <c r="D3286" s="242" t="s">
        <v>28742</v>
      </c>
      <c r="E3286" s="949">
        <v>508</v>
      </c>
      <c r="F3286" s="949">
        <v>508</v>
      </c>
      <c r="G3286" s="950" t="s">
        <v>20986</v>
      </c>
      <c r="H3286" s="950" t="s">
        <v>1022</v>
      </c>
      <c r="I3286" s="951" t="s">
        <v>22503</v>
      </c>
      <c r="J3286" s="947" t="s">
        <v>22504</v>
      </c>
      <c r="K3286" s="143"/>
    </row>
    <row r="3287" spans="1:11">
      <c r="A3287" s="946" t="s">
        <v>28620</v>
      </c>
      <c r="B3287" s="947" t="s">
        <v>22594</v>
      </c>
      <c r="C3287" s="948" t="s">
        <v>22592</v>
      </c>
      <c r="D3287" s="242" t="s">
        <v>31161</v>
      </c>
      <c r="E3287" s="949">
        <v>504</v>
      </c>
      <c r="F3287" s="949">
        <v>504</v>
      </c>
      <c r="G3287" s="950" t="s">
        <v>20986</v>
      </c>
      <c r="H3287" s="950" t="s">
        <v>1022</v>
      </c>
      <c r="I3287" s="951" t="s">
        <v>22593</v>
      </c>
      <c r="J3287" s="947" t="s">
        <v>22594</v>
      </c>
      <c r="K3287" s="143"/>
    </row>
    <row r="3288" spans="1:11">
      <c r="A3288" s="946" t="s">
        <v>28620</v>
      </c>
      <c r="B3288" s="947" t="s">
        <v>22614</v>
      </c>
      <c r="C3288" s="948" t="s">
        <v>22612</v>
      </c>
      <c r="D3288" s="242" t="s">
        <v>31161</v>
      </c>
      <c r="E3288" s="949">
        <v>504</v>
      </c>
      <c r="F3288" s="949">
        <v>504</v>
      </c>
      <c r="G3288" s="950" t="s">
        <v>20986</v>
      </c>
      <c r="H3288" s="950" t="s">
        <v>1022</v>
      </c>
      <c r="I3288" s="951" t="s">
        <v>22613</v>
      </c>
      <c r="J3288" s="947" t="s">
        <v>22614</v>
      </c>
      <c r="K3288" s="143"/>
    </row>
    <row r="3289" spans="1:11">
      <c r="A3289" s="946" t="s">
        <v>28620</v>
      </c>
      <c r="B3289" s="947" t="s">
        <v>28666</v>
      </c>
      <c r="C3289" s="948" t="s">
        <v>28789</v>
      </c>
      <c r="D3289" s="242" t="s">
        <v>28742</v>
      </c>
      <c r="E3289" s="949">
        <v>508</v>
      </c>
      <c r="F3289" s="949">
        <v>508</v>
      </c>
      <c r="G3289" s="950" t="s">
        <v>20986</v>
      </c>
      <c r="H3289" s="950" t="s">
        <v>1022</v>
      </c>
      <c r="I3289" s="951" t="s">
        <v>28710</v>
      </c>
      <c r="J3289" s="947" t="s">
        <v>28666</v>
      </c>
      <c r="K3289" s="143"/>
    </row>
    <row r="3290" spans="1:11">
      <c r="A3290" s="946" t="s">
        <v>28620</v>
      </c>
      <c r="B3290" s="947" t="s">
        <v>1188</v>
      </c>
      <c r="C3290" s="948" t="s">
        <v>1185</v>
      </c>
      <c r="D3290" s="242" t="s">
        <v>28714</v>
      </c>
      <c r="E3290" s="949">
        <v>605</v>
      </c>
      <c r="F3290" s="949">
        <v>605</v>
      </c>
      <c r="G3290" s="950" t="s">
        <v>21701</v>
      </c>
      <c r="H3290" s="950" t="s">
        <v>1186</v>
      </c>
      <c r="I3290" s="951" t="s">
        <v>1187</v>
      </c>
      <c r="J3290" s="947" t="s">
        <v>1188</v>
      </c>
      <c r="K3290" s="143"/>
    </row>
    <row r="3291" spans="1:11">
      <c r="A3291" s="946" t="s">
        <v>28620</v>
      </c>
      <c r="B3291" s="947" t="s">
        <v>3674</v>
      </c>
      <c r="C3291" s="948" t="s">
        <v>3672</v>
      </c>
      <c r="D3291" s="242" t="s">
        <v>31161</v>
      </c>
      <c r="E3291" s="949">
        <v>504</v>
      </c>
      <c r="F3291" s="949">
        <v>504</v>
      </c>
      <c r="G3291" s="950" t="s">
        <v>21701</v>
      </c>
      <c r="H3291" s="950" t="s">
        <v>1186</v>
      </c>
      <c r="I3291" s="951" t="s">
        <v>3673</v>
      </c>
      <c r="J3291" s="947" t="s">
        <v>3674</v>
      </c>
      <c r="K3291" s="143"/>
    </row>
    <row r="3292" spans="1:11">
      <c r="A3292" s="946" t="s">
        <v>28620</v>
      </c>
      <c r="B3292" s="947" t="s">
        <v>3806</v>
      </c>
      <c r="C3292" s="948" t="s">
        <v>3804</v>
      </c>
      <c r="D3292" s="242" t="s">
        <v>31161</v>
      </c>
      <c r="E3292" s="949">
        <v>504</v>
      </c>
      <c r="F3292" s="949">
        <v>504</v>
      </c>
      <c r="G3292" s="950" t="s">
        <v>21701</v>
      </c>
      <c r="H3292" s="950" t="s">
        <v>1186</v>
      </c>
      <c r="I3292" s="951" t="s">
        <v>3805</v>
      </c>
      <c r="J3292" s="947" t="s">
        <v>3806</v>
      </c>
      <c r="K3292" s="143"/>
    </row>
    <row r="3293" spans="1:11">
      <c r="A3293" s="946" t="s">
        <v>28620</v>
      </c>
      <c r="B3293" s="947" t="s">
        <v>3821</v>
      </c>
      <c r="C3293" s="948" t="s">
        <v>3819</v>
      </c>
      <c r="D3293" s="242" t="s">
        <v>31161</v>
      </c>
      <c r="E3293" s="949">
        <v>504</v>
      </c>
      <c r="F3293" s="949">
        <v>504</v>
      </c>
      <c r="G3293" s="950" t="s">
        <v>21701</v>
      </c>
      <c r="H3293" s="950" t="s">
        <v>1186</v>
      </c>
      <c r="I3293" s="951" t="s">
        <v>3820</v>
      </c>
      <c r="J3293" s="947" t="s">
        <v>3821</v>
      </c>
      <c r="K3293" s="143"/>
    </row>
    <row r="3294" spans="1:11">
      <c r="A3294" s="946" t="s">
        <v>28620</v>
      </c>
      <c r="B3294" s="947" t="s">
        <v>4019</v>
      </c>
      <c r="C3294" s="948" t="s">
        <v>4017</v>
      </c>
      <c r="D3294" s="242" t="s">
        <v>31161</v>
      </c>
      <c r="E3294" s="949">
        <v>504</v>
      </c>
      <c r="F3294" s="949">
        <v>504</v>
      </c>
      <c r="G3294" s="950" t="s">
        <v>21701</v>
      </c>
      <c r="H3294" s="950" t="s">
        <v>1186</v>
      </c>
      <c r="I3294" s="951" t="s">
        <v>4018</v>
      </c>
      <c r="J3294" s="947" t="s">
        <v>4019</v>
      </c>
      <c r="K3294" s="143"/>
    </row>
    <row r="3295" spans="1:11">
      <c r="A3295" s="946" t="s">
        <v>28620</v>
      </c>
      <c r="B3295" s="947" t="s">
        <v>5689</v>
      </c>
      <c r="C3295" s="948" t="s">
        <v>5687</v>
      </c>
      <c r="D3295" s="242" t="s">
        <v>24913</v>
      </c>
      <c r="E3295" s="949">
        <v>505</v>
      </c>
      <c r="F3295" s="949">
        <v>505</v>
      </c>
      <c r="G3295" s="950" t="s">
        <v>21701</v>
      </c>
      <c r="H3295" s="950" t="s">
        <v>1186</v>
      </c>
      <c r="I3295" s="951" t="s">
        <v>5688</v>
      </c>
      <c r="J3295" s="947" t="s">
        <v>5689</v>
      </c>
      <c r="K3295" s="143"/>
    </row>
    <row r="3296" spans="1:11">
      <c r="A3296" s="946" t="s">
        <v>28620</v>
      </c>
      <c r="B3296" s="947" t="s">
        <v>5772</v>
      </c>
      <c r="C3296" s="948" t="s">
        <v>5770</v>
      </c>
      <c r="D3296" s="242" t="s">
        <v>31161</v>
      </c>
      <c r="E3296" s="949">
        <v>504</v>
      </c>
      <c r="F3296" s="949">
        <v>504</v>
      </c>
      <c r="G3296" s="950" t="s">
        <v>21701</v>
      </c>
      <c r="H3296" s="950" t="s">
        <v>1186</v>
      </c>
      <c r="I3296" s="951" t="s">
        <v>5771</v>
      </c>
      <c r="J3296" s="947" t="s">
        <v>5772</v>
      </c>
      <c r="K3296" s="143"/>
    </row>
    <row r="3297" spans="1:11">
      <c r="A3297" s="946" t="s">
        <v>28620</v>
      </c>
      <c r="B3297" s="947" t="s">
        <v>6277</v>
      </c>
      <c r="C3297" s="948" t="s">
        <v>6275</v>
      </c>
      <c r="D3297" s="242" t="s">
        <v>31161</v>
      </c>
      <c r="E3297" s="949">
        <v>504</v>
      </c>
      <c r="F3297" s="949">
        <v>504</v>
      </c>
      <c r="G3297" s="950" t="s">
        <v>21701</v>
      </c>
      <c r="H3297" s="950" t="s">
        <v>1186</v>
      </c>
      <c r="I3297" s="951" t="s">
        <v>6276</v>
      </c>
      <c r="J3297" s="947" t="s">
        <v>6277</v>
      </c>
      <c r="K3297" s="143"/>
    </row>
    <row r="3298" spans="1:11">
      <c r="A3298" s="946" t="s">
        <v>28620</v>
      </c>
      <c r="B3298" s="947" t="s">
        <v>6437</v>
      </c>
      <c r="C3298" s="948" t="s">
        <v>6435</v>
      </c>
      <c r="D3298" s="242" t="s">
        <v>28714</v>
      </c>
      <c r="E3298" s="949">
        <v>605</v>
      </c>
      <c r="F3298" s="949">
        <v>605</v>
      </c>
      <c r="G3298" s="950" t="s">
        <v>21701</v>
      </c>
      <c r="H3298" s="950" t="s">
        <v>1186</v>
      </c>
      <c r="I3298" s="951" t="s">
        <v>6436</v>
      </c>
      <c r="J3298" s="947" t="s">
        <v>6437</v>
      </c>
      <c r="K3298" s="143"/>
    </row>
    <row r="3299" spans="1:11">
      <c r="A3299" s="946" t="s">
        <v>28620</v>
      </c>
      <c r="B3299" s="947" t="s">
        <v>6923</v>
      </c>
      <c r="C3299" s="948" t="s">
        <v>6921</v>
      </c>
      <c r="D3299" s="242" t="s">
        <v>327</v>
      </c>
      <c r="E3299" s="949">
        <v>502</v>
      </c>
      <c r="F3299" s="949">
        <v>502</v>
      </c>
      <c r="G3299" s="950" t="s">
        <v>21701</v>
      </c>
      <c r="H3299" s="950" t="s">
        <v>1186</v>
      </c>
      <c r="I3299" s="951" t="s">
        <v>6922</v>
      </c>
      <c r="J3299" s="947" t="s">
        <v>6923</v>
      </c>
      <c r="K3299" s="143"/>
    </row>
    <row r="3300" spans="1:11">
      <c r="A3300" s="946" t="s">
        <v>28620</v>
      </c>
      <c r="B3300" s="947" t="s">
        <v>6944</v>
      </c>
      <c r="C3300" s="948" t="s">
        <v>6942</v>
      </c>
      <c r="D3300" s="242" t="s">
        <v>28714</v>
      </c>
      <c r="E3300" s="949">
        <v>605</v>
      </c>
      <c r="F3300" s="949">
        <v>605</v>
      </c>
      <c r="G3300" s="950" t="s">
        <v>21701</v>
      </c>
      <c r="H3300" s="950" t="s">
        <v>1186</v>
      </c>
      <c r="I3300" s="951" t="s">
        <v>6943</v>
      </c>
      <c r="J3300" s="947" t="s">
        <v>6944</v>
      </c>
      <c r="K3300" s="143"/>
    </row>
    <row r="3301" spans="1:11">
      <c r="A3301" s="946" t="s">
        <v>28620</v>
      </c>
      <c r="B3301" s="947" t="s">
        <v>7696</v>
      </c>
      <c r="C3301" s="948" t="s">
        <v>7694</v>
      </c>
      <c r="D3301" s="242" t="s">
        <v>31161</v>
      </c>
      <c r="E3301" s="949">
        <v>504</v>
      </c>
      <c r="F3301" s="949">
        <v>504</v>
      </c>
      <c r="G3301" s="950" t="s">
        <v>21701</v>
      </c>
      <c r="H3301" s="950" t="s">
        <v>1186</v>
      </c>
      <c r="I3301" s="951" t="s">
        <v>7695</v>
      </c>
      <c r="J3301" s="947" t="s">
        <v>7696</v>
      </c>
      <c r="K3301" s="143"/>
    </row>
    <row r="3302" spans="1:11">
      <c r="A3302" s="946" t="s">
        <v>28620</v>
      </c>
      <c r="B3302" s="947" t="s">
        <v>7869</v>
      </c>
      <c r="C3302" s="948" t="s">
        <v>7867</v>
      </c>
      <c r="D3302" s="242" t="s">
        <v>31161</v>
      </c>
      <c r="E3302" s="949">
        <v>504</v>
      </c>
      <c r="F3302" s="949">
        <v>504</v>
      </c>
      <c r="G3302" s="950" t="s">
        <v>21701</v>
      </c>
      <c r="H3302" s="950" t="s">
        <v>1186</v>
      </c>
      <c r="I3302" s="951" t="s">
        <v>7868</v>
      </c>
      <c r="J3302" s="947" t="s">
        <v>7869</v>
      </c>
      <c r="K3302" s="143"/>
    </row>
    <row r="3303" spans="1:11">
      <c r="A3303" s="946" t="s">
        <v>28620</v>
      </c>
      <c r="B3303" s="947" t="s">
        <v>8217</v>
      </c>
      <c r="C3303" s="948" t="s">
        <v>8215</v>
      </c>
      <c r="D3303" s="242" t="s">
        <v>31161</v>
      </c>
      <c r="E3303" s="949">
        <v>504</v>
      </c>
      <c r="F3303" s="949">
        <v>504</v>
      </c>
      <c r="G3303" s="950" t="s">
        <v>21701</v>
      </c>
      <c r="H3303" s="950" t="s">
        <v>1186</v>
      </c>
      <c r="I3303" s="951" t="s">
        <v>8216</v>
      </c>
      <c r="J3303" s="947" t="s">
        <v>8217</v>
      </c>
      <c r="K3303" s="143"/>
    </row>
    <row r="3304" spans="1:11">
      <c r="A3304" s="946" t="s">
        <v>28620</v>
      </c>
      <c r="B3304" s="947" t="s">
        <v>8563</v>
      </c>
      <c r="C3304" s="948" t="s">
        <v>8561</v>
      </c>
      <c r="D3304" s="242" t="s">
        <v>31161</v>
      </c>
      <c r="E3304" s="949">
        <v>504</v>
      </c>
      <c r="F3304" s="949">
        <v>504</v>
      </c>
      <c r="G3304" s="950" t="s">
        <v>21701</v>
      </c>
      <c r="H3304" s="950" t="s">
        <v>1186</v>
      </c>
      <c r="I3304" s="951" t="s">
        <v>8562</v>
      </c>
      <c r="J3304" s="947" t="s">
        <v>8563</v>
      </c>
      <c r="K3304" s="143"/>
    </row>
    <row r="3305" spans="1:11">
      <c r="A3305" s="946" t="s">
        <v>28620</v>
      </c>
      <c r="B3305" s="947" t="s">
        <v>8566</v>
      </c>
      <c r="C3305" s="948" t="s">
        <v>8564</v>
      </c>
      <c r="D3305" s="242" t="s">
        <v>28714</v>
      </c>
      <c r="E3305" s="949">
        <v>605</v>
      </c>
      <c r="F3305" s="949">
        <v>605</v>
      </c>
      <c r="G3305" s="950" t="s">
        <v>21701</v>
      </c>
      <c r="H3305" s="950" t="s">
        <v>1186</v>
      </c>
      <c r="I3305" s="951" t="s">
        <v>8565</v>
      </c>
      <c r="J3305" s="947" t="s">
        <v>8566</v>
      </c>
      <c r="K3305" s="143"/>
    </row>
    <row r="3306" spans="1:11">
      <c r="A3306" s="946" t="s">
        <v>28620</v>
      </c>
      <c r="B3306" s="947" t="s">
        <v>8581</v>
      </c>
      <c r="C3306" s="948" t="s">
        <v>8579</v>
      </c>
      <c r="D3306" s="242" t="s">
        <v>31161</v>
      </c>
      <c r="E3306" s="949">
        <v>504</v>
      </c>
      <c r="F3306" s="949">
        <v>504</v>
      </c>
      <c r="G3306" s="950" t="s">
        <v>21701</v>
      </c>
      <c r="H3306" s="950" t="s">
        <v>1186</v>
      </c>
      <c r="I3306" s="951" t="s">
        <v>8580</v>
      </c>
      <c r="J3306" s="947" t="s">
        <v>8581</v>
      </c>
      <c r="K3306" s="143"/>
    </row>
    <row r="3307" spans="1:11">
      <c r="A3307" s="946" t="s">
        <v>28620</v>
      </c>
      <c r="B3307" s="947" t="s">
        <v>9635</v>
      </c>
      <c r="C3307" s="948" t="s">
        <v>9633</v>
      </c>
      <c r="D3307" s="242" t="s">
        <v>28714</v>
      </c>
      <c r="E3307" s="949">
        <v>605</v>
      </c>
      <c r="F3307" s="949">
        <v>605</v>
      </c>
      <c r="G3307" s="950" t="s">
        <v>21701</v>
      </c>
      <c r="H3307" s="950" t="s">
        <v>1186</v>
      </c>
      <c r="I3307" s="951" t="s">
        <v>9634</v>
      </c>
      <c r="J3307" s="947" t="s">
        <v>9635</v>
      </c>
      <c r="K3307" s="143"/>
    </row>
    <row r="3308" spans="1:11">
      <c r="A3308" s="946" t="s">
        <v>28620</v>
      </c>
      <c r="B3308" s="947" t="s">
        <v>9981</v>
      </c>
      <c r="C3308" s="948" t="s">
        <v>9979</v>
      </c>
      <c r="D3308" s="242" t="s">
        <v>31161</v>
      </c>
      <c r="E3308" s="949">
        <v>504</v>
      </c>
      <c r="F3308" s="949">
        <v>504</v>
      </c>
      <c r="G3308" s="950" t="s">
        <v>21701</v>
      </c>
      <c r="H3308" s="950" t="s">
        <v>1186</v>
      </c>
      <c r="I3308" s="951" t="s">
        <v>9980</v>
      </c>
      <c r="J3308" s="947" t="s">
        <v>9981</v>
      </c>
      <c r="K3308" s="143"/>
    </row>
    <row r="3309" spans="1:11">
      <c r="A3309" s="946" t="s">
        <v>28620</v>
      </c>
      <c r="B3309" s="947" t="s">
        <v>11170</v>
      </c>
      <c r="C3309" s="948" t="s">
        <v>11168</v>
      </c>
      <c r="D3309" s="242" t="s">
        <v>28742</v>
      </c>
      <c r="E3309" s="949">
        <v>508</v>
      </c>
      <c r="F3309" s="949">
        <v>508</v>
      </c>
      <c r="G3309" s="950" t="s">
        <v>21701</v>
      </c>
      <c r="H3309" s="950" t="s">
        <v>1186</v>
      </c>
      <c r="I3309" s="951" t="s">
        <v>11169</v>
      </c>
      <c r="J3309" s="947" t="s">
        <v>11170</v>
      </c>
      <c r="K3309" s="143"/>
    </row>
    <row r="3310" spans="1:11">
      <c r="A3310" s="946" t="s">
        <v>28620</v>
      </c>
      <c r="B3310" s="947" t="s">
        <v>11269</v>
      </c>
      <c r="C3310" s="948" t="s">
        <v>11267</v>
      </c>
      <c r="D3310" s="242" t="s">
        <v>31161</v>
      </c>
      <c r="E3310" s="949">
        <v>504</v>
      </c>
      <c r="F3310" s="949">
        <v>504</v>
      </c>
      <c r="G3310" s="950" t="s">
        <v>21701</v>
      </c>
      <c r="H3310" s="950" t="s">
        <v>1186</v>
      </c>
      <c r="I3310" s="951" t="s">
        <v>11268</v>
      </c>
      <c r="J3310" s="947" t="s">
        <v>11269</v>
      </c>
      <c r="K3310" s="143"/>
    </row>
    <row r="3311" spans="1:11">
      <c r="A3311" s="946" t="s">
        <v>28620</v>
      </c>
      <c r="B3311" s="947" t="s">
        <v>11606</v>
      </c>
      <c r="C3311" s="948" t="s">
        <v>11604</v>
      </c>
      <c r="D3311" s="242" t="s">
        <v>28742</v>
      </c>
      <c r="E3311" s="949">
        <v>508</v>
      </c>
      <c r="F3311" s="949">
        <v>508</v>
      </c>
      <c r="G3311" s="950" t="s">
        <v>21701</v>
      </c>
      <c r="H3311" s="950" t="s">
        <v>1186</v>
      </c>
      <c r="I3311" s="951" t="s">
        <v>11605</v>
      </c>
      <c r="J3311" s="947" t="s">
        <v>11606</v>
      </c>
      <c r="K3311" s="143"/>
    </row>
    <row r="3312" spans="1:11">
      <c r="A3312" s="946" t="s">
        <v>28620</v>
      </c>
      <c r="B3312" s="947" t="s">
        <v>11812</v>
      </c>
      <c r="C3312" s="948" t="s">
        <v>11810</v>
      </c>
      <c r="D3312" s="242" t="s">
        <v>31161</v>
      </c>
      <c r="E3312" s="949">
        <v>504</v>
      </c>
      <c r="F3312" s="949">
        <v>504</v>
      </c>
      <c r="G3312" s="950" t="s">
        <v>21701</v>
      </c>
      <c r="H3312" s="950" t="s">
        <v>1186</v>
      </c>
      <c r="I3312" s="951" t="s">
        <v>11811</v>
      </c>
      <c r="J3312" s="947" t="s">
        <v>11812</v>
      </c>
      <c r="K3312" s="143"/>
    </row>
    <row r="3313" spans="1:11">
      <c r="A3313" s="946" t="s">
        <v>28620</v>
      </c>
      <c r="B3313" s="947" t="s">
        <v>11836</v>
      </c>
      <c r="C3313" s="948" t="s">
        <v>11834</v>
      </c>
      <c r="D3313" s="242" t="s">
        <v>31161</v>
      </c>
      <c r="E3313" s="949">
        <v>504</v>
      </c>
      <c r="F3313" s="949">
        <v>504</v>
      </c>
      <c r="G3313" s="950" t="s">
        <v>21701</v>
      </c>
      <c r="H3313" s="950" t="s">
        <v>1186</v>
      </c>
      <c r="I3313" s="951" t="s">
        <v>11835</v>
      </c>
      <c r="J3313" s="947" t="s">
        <v>11836</v>
      </c>
      <c r="K3313" s="143"/>
    </row>
    <row r="3314" spans="1:11">
      <c r="A3314" s="946" t="s">
        <v>28620</v>
      </c>
      <c r="B3314" s="947" t="s">
        <v>13132</v>
      </c>
      <c r="C3314" s="948" t="s">
        <v>13130</v>
      </c>
      <c r="D3314" s="242" t="s">
        <v>31161</v>
      </c>
      <c r="E3314" s="949">
        <v>504</v>
      </c>
      <c r="F3314" s="949">
        <v>504</v>
      </c>
      <c r="G3314" s="950" t="s">
        <v>21701</v>
      </c>
      <c r="H3314" s="950" t="s">
        <v>1186</v>
      </c>
      <c r="I3314" s="951" t="s">
        <v>13131</v>
      </c>
      <c r="J3314" s="947" t="s">
        <v>13132</v>
      </c>
      <c r="K3314" s="143"/>
    </row>
    <row r="3315" spans="1:11">
      <c r="A3315" s="946" t="s">
        <v>28620</v>
      </c>
      <c r="B3315" s="947" t="s">
        <v>13295</v>
      </c>
      <c r="C3315" s="948" t="s">
        <v>13293</v>
      </c>
      <c r="D3315" s="242" t="s">
        <v>31161</v>
      </c>
      <c r="E3315" s="949">
        <v>504</v>
      </c>
      <c r="F3315" s="949">
        <v>504</v>
      </c>
      <c r="G3315" s="950" t="s">
        <v>21701</v>
      </c>
      <c r="H3315" s="950" t="s">
        <v>1186</v>
      </c>
      <c r="I3315" s="951" t="s">
        <v>13294</v>
      </c>
      <c r="J3315" s="947" t="s">
        <v>13295</v>
      </c>
      <c r="K3315" s="143"/>
    </row>
    <row r="3316" spans="1:11">
      <c r="A3316" s="946" t="s">
        <v>28620</v>
      </c>
      <c r="B3316" s="947" t="s">
        <v>13427</v>
      </c>
      <c r="C3316" s="948" t="s">
        <v>13425</v>
      </c>
      <c r="D3316" s="242" t="s">
        <v>31161</v>
      </c>
      <c r="E3316" s="949">
        <v>504</v>
      </c>
      <c r="F3316" s="949">
        <v>504</v>
      </c>
      <c r="G3316" s="950" t="s">
        <v>21701</v>
      </c>
      <c r="H3316" s="950" t="s">
        <v>1186</v>
      </c>
      <c r="I3316" s="951" t="s">
        <v>13426</v>
      </c>
      <c r="J3316" s="947" t="s">
        <v>13427</v>
      </c>
      <c r="K3316" s="143"/>
    </row>
    <row r="3317" spans="1:11">
      <c r="A3317" s="946" t="s">
        <v>28620</v>
      </c>
      <c r="B3317" s="947" t="s">
        <v>14752</v>
      </c>
      <c r="C3317" s="948" t="s">
        <v>14750</v>
      </c>
      <c r="D3317" s="242" t="s">
        <v>31161</v>
      </c>
      <c r="E3317" s="949">
        <v>504</v>
      </c>
      <c r="F3317" s="949">
        <v>504</v>
      </c>
      <c r="G3317" s="950" t="s">
        <v>21701</v>
      </c>
      <c r="H3317" s="950" t="s">
        <v>1186</v>
      </c>
      <c r="I3317" s="951" t="s">
        <v>14751</v>
      </c>
      <c r="J3317" s="947" t="s">
        <v>14752</v>
      </c>
      <c r="K3317" s="143"/>
    </row>
    <row r="3318" spans="1:11">
      <c r="A3318" s="946" t="s">
        <v>28620</v>
      </c>
      <c r="B3318" s="947" t="s">
        <v>15595</v>
      </c>
      <c r="C3318" s="948" t="s">
        <v>15593</v>
      </c>
      <c r="D3318" s="242" t="s">
        <v>28714</v>
      </c>
      <c r="E3318" s="949">
        <v>605</v>
      </c>
      <c r="F3318" s="949">
        <v>605</v>
      </c>
      <c r="G3318" s="950" t="s">
        <v>21701</v>
      </c>
      <c r="H3318" s="950" t="s">
        <v>1186</v>
      </c>
      <c r="I3318" s="951" t="s">
        <v>15594</v>
      </c>
      <c r="J3318" s="947" t="s">
        <v>15595</v>
      </c>
      <c r="K3318" s="143"/>
    </row>
    <row r="3319" spans="1:11">
      <c r="A3319" s="946" t="s">
        <v>28620</v>
      </c>
      <c r="B3319" s="947" t="s">
        <v>15730</v>
      </c>
      <c r="C3319" s="948" t="s">
        <v>15728</v>
      </c>
      <c r="D3319" s="242" t="s">
        <v>28714</v>
      </c>
      <c r="E3319" s="949">
        <v>605</v>
      </c>
      <c r="F3319" s="949">
        <v>605</v>
      </c>
      <c r="G3319" s="950" t="s">
        <v>21701</v>
      </c>
      <c r="H3319" s="950" t="s">
        <v>1186</v>
      </c>
      <c r="I3319" s="951" t="s">
        <v>15729</v>
      </c>
      <c r="J3319" s="947" t="s">
        <v>15730</v>
      </c>
      <c r="K3319" s="143"/>
    </row>
    <row r="3320" spans="1:11">
      <c r="A3320" s="946" t="s">
        <v>28620</v>
      </c>
      <c r="B3320" s="947" t="s">
        <v>15979</v>
      </c>
      <c r="C3320" s="948" t="s">
        <v>15977</v>
      </c>
      <c r="D3320" s="242" t="s">
        <v>28742</v>
      </c>
      <c r="E3320" s="949">
        <v>508</v>
      </c>
      <c r="F3320" s="949">
        <v>508</v>
      </c>
      <c r="G3320" s="950" t="s">
        <v>21701</v>
      </c>
      <c r="H3320" s="950" t="s">
        <v>1186</v>
      </c>
      <c r="I3320" s="951" t="s">
        <v>15978</v>
      </c>
      <c r="J3320" s="947" t="s">
        <v>15979</v>
      </c>
      <c r="K3320" s="143"/>
    </row>
    <row r="3321" spans="1:11">
      <c r="A3321" s="946" t="s">
        <v>28620</v>
      </c>
      <c r="B3321" s="947" t="s">
        <v>17324</v>
      </c>
      <c r="C3321" s="948" t="s">
        <v>17322</v>
      </c>
      <c r="D3321" s="242" t="s">
        <v>31161</v>
      </c>
      <c r="E3321" s="949">
        <v>504</v>
      </c>
      <c r="F3321" s="949">
        <v>504</v>
      </c>
      <c r="G3321" s="950" t="s">
        <v>21701</v>
      </c>
      <c r="H3321" s="950" t="s">
        <v>1186</v>
      </c>
      <c r="I3321" s="951" t="s">
        <v>17323</v>
      </c>
      <c r="J3321" s="947" t="s">
        <v>17324</v>
      </c>
      <c r="K3321" s="143"/>
    </row>
    <row r="3322" spans="1:11">
      <c r="A3322" s="946" t="s">
        <v>28620</v>
      </c>
      <c r="B3322" s="947" t="s">
        <v>17528</v>
      </c>
      <c r="C3322" s="948" t="s">
        <v>17526</v>
      </c>
      <c r="D3322" s="242" t="s">
        <v>31161</v>
      </c>
      <c r="E3322" s="949">
        <v>504</v>
      </c>
      <c r="F3322" s="949">
        <v>504</v>
      </c>
      <c r="G3322" s="950" t="s">
        <v>21701</v>
      </c>
      <c r="H3322" s="950" t="s">
        <v>1186</v>
      </c>
      <c r="I3322" s="951" t="s">
        <v>17527</v>
      </c>
      <c r="J3322" s="947" t="s">
        <v>17528</v>
      </c>
      <c r="K3322" s="143"/>
    </row>
    <row r="3323" spans="1:11">
      <c r="A3323" s="946" t="s">
        <v>28620</v>
      </c>
      <c r="B3323" s="947" t="s">
        <v>17974</v>
      </c>
      <c r="C3323" s="948" t="s">
        <v>17972</v>
      </c>
      <c r="D3323" s="242" t="s">
        <v>28714</v>
      </c>
      <c r="E3323" s="949">
        <v>605</v>
      </c>
      <c r="F3323" s="949">
        <v>605</v>
      </c>
      <c r="G3323" s="950" t="s">
        <v>21701</v>
      </c>
      <c r="H3323" s="950" t="s">
        <v>1186</v>
      </c>
      <c r="I3323" s="951" t="s">
        <v>17973</v>
      </c>
      <c r="J3323" s="947" t="s">
        <v>17974</v>
      </c>
      <c r="K3323" s="143"/>
    </row>
    <row r="3324" spans="1:11">
      <c r="A3324" s="946" t="s">
        <v>28620</v>
      </c>
      <c r="B3324" s="947" t="s">
        <v>18479</v>
      </c>
      <c r="C3324" s="948" t="s">
        <v>18477</v>
      </c>
      <c r="D3324" s="242" t="s">
        <v>31161</v>
      </c>
      <c r="E3324" s="949">
        <v>504</v>
      </c>
      <c r="F3324" s="949">
        <v>504</v>
      </c>
      <c r="G3324" s="950" t="s">
        <v>21701</v>
      </c>
      <c r="H3324" s="950" t="s">
        <v>1186</v>
      </c>
      <c r="I3324" s="951" t="s">
        <v>18478</v>
      </c>
      <c r="J3324" s="947" t="s">
        <v>18479</v>
      </c>
      <c r="K3324" s="143"/>
    </row>
    <row r="3325" spans="1:11">
      <c r="A3325" s="946" t="s">
        <v>28620</v>
      </c>
      <c r="B3325" s="947" t="s">
        <v>31166</v>
      </c>
      <c r="C3325" s="948" t="s">
        <v>31167</v>
      </c>
      <c r="D3325" s="242" t="s">
        <v>28714</v>
      </c>
      <c r="E3325" s="949">
        <v>605</v>
      </c>
      <c r="F3325" s="949">
        <v>605</v>
      </c>
      <c r="G3325" s="950" t="s">
        <v>21701</v>
      </c>
      <c r="H3325" s="950" t="s">
        <v>1186</v>
      </c>
      <c r="I3325" s="951" t="s">
        <v>18239</v>
      </c>
      <c r="J3325" s="947" t="s">
        <v>31166</v>
      </c>
      <c r="K3325" s="143"/>
    </row>
    <row r="3326" spans="1:11">
      <c r="A3326" s="946" t="s">
        <v>28620</v>
      </c>
      <c r="B3326" s="947" t="s">
        <v>19139</v>
      </c>
      <c r="C3326" s="948" t="s">
        <v>19137</v>
      </c>
      <c r="D3326" s="242" t="s">
        <v>31161</v>
      </c>
      <c r="E3326" s="949">
        <v>504</v>
      </c>
      <c r="F3326" s="949">
        <v>504</v>
      </c>
      <c r="G3326" s="950" t="s">
        <v>21701</v>
      </c>
      <c r="H3326" s="950" t="s">
        <v>1186</v>
      </c>
      <c r="I3326" s="951" t="s">
        <v>19138</v>
      </c>
      <c r="J3326" s="947" t="s">
        <v>19139</v>
      </c>
      <c r="K3326" s="143"/>
    </row>
    <row r="3327" spans="1:11">
      <c r="A3327" s="946" t="s">
        <v>28620</v>
      </c>
      <c r="B3327" s="947" t="s">
        <v>19894</v>
      </c>
      <c r="C3327" s="948" t="s">
        <v>19892</v>
      </c>
      <c r="D3327" s="242" t="s">
        <v>31161</v>
      </c>
      <c r="E3327" s="949">
        <v>504</v>
      </c>
      <c r="F3327" s="949">
        <v>504</v>
      </c>
      <c r="G3327" s="950" t="s">
        <v>21701</v>
      </c>
      <c r="H3327" s="950" t="s">
        <v>1186</v>
      </c>
      <c r="I3327" s="951" t="s">
        <v>19893</v>
      </c>
      <c r="J3327" s="947" t="s">
        <v>19894</v>
      </c>
      <c r="K3327" s="143"/>
    </row>
    <row r="3328" spans="1:11">
      <c r="A3328" s="946" t="s">
        <v>28620</v>
      </c>
      <c r="B3328" s="947" t="s">
        <v>20031</v>
      </c>
      <c r="C3328" s="948" t="s">
        <v>20029</v>
      </c>
      <c r="D3328" s="242" t="s">
        <v>31161</v>
      </c>
      <c r="E3328" s="949">
        <v>504</v>
      </c>
      <c r="F3328" s="949">
        <v>504</v>
      </c>
      <c r="G3328" s="950" t="s">
        <v>21701</v>
      </c>
      <c r="H3328" s="950" t="s">
        <v>1186</v>
      </c>
      <c r="I3328" s="951" t="s">
        <v>20030</v>
      </c>
      <c r="J3328" s="947" t="s">
        <v>20031</v>
      </c>
      <c r="K3328" s="143"/>
    </row>
    <row r="3329" spans="1:11">
      <c r="A3329" s="946" t="s">
        <v>28620</v>
      </c>
      <c r="B3329" s="947" t="s">
        <v>20296</v>
      </c>
      <c r="C3329" s="948" t="s">
        <v>20294</v>
      </c>
      <c r="D3329" s="242" t="s">
        <v>28714</v>
      </c>
      <c r="E3329" s="949">
        <v>605</v>
      </c>
      <c r="F3329" s="949">
        <v>605</v>
      </c>
      <c r="G3329" s="950" t="s">
        <v>21701</v>
      </c>
      <c r="H3329" s="950" t="s">
        <v>1186</v>
      </c>
      <c r="I3329" s="951" t="s">
        <v>20295</v>
      </c>
      <c r="J3329" s="947" t="s">
        <v>20296</v>
      </c>
      <c r="K3329" s="143"/>
    </row>
    <row r="3330" spans="1:11">
      <c r="A3330" s="946" t="s">
        <v>28620</v>
      </c>
      <c r="B3330" s="947" t="s">
        <v>20667</v>
      </c>
      <c r="C3330" s="948" t="s">
        <v>20665</v>
      </c>
      <c r="D3330" s="242" t="s">
        <v>31161</v>
      </c>
      <c r="E3330" s="949">
        <v>504</v>
      </c>
      <c r="F3330" s="949">
        <v>504</v>
      </c>
      <c r="G3330" s="950" t="s">
        <v>21701</v>
      </c>
      <c r="H3330" s="950" t="s">
        <v>1186</v>
      </c>
      <c r="I3330" s="951" t="s">
        <v>20666</v>
      </c>
      <c r="J3330" s="947" t="s">
        <v>20667</v>
      </c>
      <c r="K3330" s="143"/>
    </row>
    <row r="3331" spans="1:11">
      <c r="A3331" s="946" t="s">
        <v>28620</v>
      </c>
      <c r="B3331" s="947" t="s">
        <v>21701</v>
      </c>
      <c r="C3331" s="948" t="s">
        <v>21699</v>
      </c>
      <c r="D3331" s="242" t="s">
        <v>31161</v>
      </c>
      <c r="E3331" s="949">
        <v>504</v>
      </c>
      <c r="F3331" s="949">
        <v>504</v>
      </c>
      <c r="G3331" s="950" t="s">
        <v>21701</v>
      </c>
      <c r="H3331" s="950" t="s">
        <v>1186</v>
      </c>
      <c r="I3331" s="951" t="s">
        <v>21700</v>
      </c>
      <c r="J3331" s="947" t="s">
        <v>21701</v>
      </c>
      <c r="K3331" s="143"/>
    </row>
    <row r="3332" spans="1:11">
      <c r="A3332" s="946" t="s">
        <v>28620</v>
      </c>
      <c r="B3332" s="947" t="s">
        <v>22037</v>
      </c>
      <c r="C3332" s="948" t="s">
        <v>22035</v>
      </c>
      <c r="D3332" s="242" t="s">
        <v>31161</v>
      </c>
      <c r="E3332" s="949">
        <v>504</v>
      </c>
      <c r="F3332" s="949">
        <v>504</v>
      </c>
      <c r="G3332" s="950" t="s">
        <v>21701</v>
      </c>
      <c r="H3332" s="950" t="s">
        <v>1186</v>
      </c>
      <c r="I3332" s="951" t="s">
        <v>22036</v>
      </c>
      <c r="J3332" s="947" t="s">
        <v>22037</v>
      </c>
      <c r="K3332" s="143"/>
    </row>
    <row r="3333" spans="1:11">
      <c r="A3333" s="946" t="s">
        <v>28620</v>
      </c>
      <c r="B3333" s="947" t="s">
        <v>5674</v>
      </c>
      <c r="C3333" s="948" t="s">
        <v>5672</v>
      </c>
      <c r="D3333" s="242" t="s">
        <v>31161</v>
      </c>
      <c r="E3333" s="949">
        <v>504</v>
      </c>
      <c r="F3333" s="949">
        <v>504</v>
      </c>
      <c r="G3333" s="950" t="s">
        <v>21701</v>
      </c>
      <c r="H3333" s="950" t="s">
        <v>1186</v>
      </c>
      <c r="I3333" s="951" t="s">
        <v>5673</v>
      </c>
      <c r="J3333" s="947" t="s">
        <v>5674</v>
      </c>
      <c r="K3333" s="143"/>
    </row>
    <row r="3334" spans="1:11">
      <c r="A3334" s="946" t="s">
        <v>28620</v>
      </c>
      <c r="B3334" s="947" t="s">
        <v>330</v>
      </c>
      <c r="C3334" s="948" t="s">
        <v>326</v>
      </c>
      <c r="D3334" s="242" t="s">
        <v>327</v>
      </c>
      <c r="E3334" s="949">
        <v>502</v>
      </c>
      <c r="F3334" s="949">
        <v>502</v>
      </c>
      <c r="G3334" s="950" t="s">
        <v>14005</v>
      </c>
      <c r="H3334" s="950" t="s">
        <v>328</v>
      </c>
      <c r="I3334" s="951" t="s">
        <v>329</v>
      </c>
      <c r="J3334" s="947" t="s">
        <v>330</v>
      </c>
      <c r="K3334" s="143"/>
    </row>
    <row r="3335" spans="1:11">
      <c r="A3335" s="946" t="s">
        <v>28620</v>
      </c>
      <c r="B3335" s="947" t="s">
        <v>609</v>
      </c>
      <c r="C3335" s="948" t="s">
        <v>607</v>
      </c>
      <c r="D3335" s="242" t="s">
        <v>327</v>
      </c>
      <c r="E3335" s="949">
        <v>502</v>
      </c>
      <c r="F3335" s="949">
        <v>502</v>
      </c>
      <c r="G3335" s="950" t="s">
        <v>14005</v>
      </c>
      <c r="H3335" s="950" t="s">
        <v>328</v>
      </c>
      <c r="I3335" s="951" t="s">
        <v>608</v>
      </c>
      <c r="J3335" s="947" t="s">
        <v>609</v>
      </c>
      <c r="K3335" s="143"/>
    </row>
    <row r="3336" spans="1:11">
      <c r="A3336" s="946" t="s">
        <v>28620</v>
      </c>
      <c r="B3336" s="947" t="s">
        <v>831</v>
      </c>
      <c r="C3336" s="948" t="s">
        <v>829</v>
      </c>
      <c r="D3336" s="242" t="s">
        <v>327</v>
      </c>
      <c r="E3336" s="949">
        <v>502</v>
      </c>
      <c r="F3336" s="949">
        <v>502</v>
      </c>
      <c r="G3336" s="950" t="s">
        <v>14005</v>
      </c>
      <c r="H3336" s="950" t="s">
        <v>328</v>
      </c>
      <c r="I3336" s="951" t="s">
        <v>830</v>
      </c>
      <c r="J3336" s="947" t="s">
        <v>831</v>
      </c>
      <c r="K3336" s="143"/>
    </row>
    <row r="3337" spans="1:11">
      <c r="A3337" s="946" t="s">
        <v>28620</v>
      </c>
      <c r="B3337" s="947" t="s">
        <v>1178</v>
      </c>
      <c r="C3337" s="948" t="s">
        <v>1176</v>
      </c>
      <c r="D3337" s="242" t="s">
        <v>327</v>
      </c>
      <c r="E3337" s="949">
        <v>502</v>
      </c>
      <c r="F3337" s="949">
        <v>502</v>
      </c>
      <c r="G3337" s="950" t="s">
        <v>14005</v>
      </c>
      <c r="H3337" s="950" t="s">
        <v>328</v>
      </c>
      <c r="I3337" s="951" t="s">
        <v>1177</v>
      </c>
      <c r="J3337" s="947" t="s">
        <v>1178</v>
      </c>
      <c r="K3337" s="143"/>
    </row>
    <row r="3338" spans="1:11">
      <c r="A3338" s="946" t="s">
        <v>28620</v>
      </c>
      <c r="B3338" s="947" t="s">
        <v>1476</v>
      </c>
      <c r="C3338" s="948" t="s">
        <v>1474</v>
      </c>
      <c r="D3338" s="242" t="s">
        <v>327</v>
      </c>
      <c r="E3338" s="949">
        <v>502</v>
      </c>
      <c r="F3338" s="949">
        <v>502</v>
      </c>
      <c r="G3338" s="950" t="s">
        <v>14005</v>
      </c>
      <c r="H3338" s="950" t="s">
        <v>328</v>
      </c>
      <c r="I3338" s="951" t="s">
        <v>1475</v>
      </c>
      <c r="J3338" s="947" t="s">
        <v>1476</v>
      </c>
      <c r="K3338" s="143"/>
    </row>
    <row r="3339" spans="1:11">
      <c r="A3339" s="946" t="s">
        <v>28620</v>
      </c>
      <c r="B3339" s="947" t="s">
        <v>1488</v>
      </c>
      <c r="C3339" s="948" t="s">
        <v>1486</v>
      </c>
      <c r="D3339" s="242" t="s">
        <v>327</v>
      </c>
      <c r="E3339" s="949">
        <v>502</v>
      </c>
      <c r="F3339" s="949">
        <v>502</v>
      </c>
      <c r="G3339" s="950" t="s">
        <v>14005</v>
      </c>
      <c r="H3339" s="950" t="s">
        <v>328</v>
      </c>
      <c r="I3339" s="951" t="s">
        <v>1487</v>
      </c>
      <c r="J3339" s="947" t="s">
        <v>1488</v>
      </c>
      <c r="K3339" s="143"/>
    </row>
    <row r="3340" spans="1:11">
      <c r="A3340" s="946" t="s">
        <v>28620</v>
      </c>
      <c r="B3340" s="947" t="s">
        <v>1532</v>
      </c>
      <c r="C3340" s="948" t="s">
        <v>1530</v>
      </c>
      <c r="D3340" s="242" t="s">
        <v>327</v>
      </c>
      <c r="E3340" s="949">
        <v>502</v>
      </c>
      <c r="F3340" s="949">
        <v>502</v>
      </c>
      <c r="G3340" s="950" t="s">
        <v>14005</v>
      </c>
      <c r="H3340" s="950" t="s">
        <v>328</v>
      </c>
      <c r="I3340" s="951" t="s">
        <v>1531</v>
      </c>
      <c r="J3340" s="947" t="s">
        <v>1532</v>
      </c>
      <c r="K3340" s="143"/>
    </row>
    <row r="3341" spans="1:11">
      <c r="A3341" s="946" t="s">
        <v>28620</v>
      </c>
      <c r="B3341" s="947" t="s">
        <v>1796</v>
      </c>
      <c r="C3341" s="948" t="s">
        <v>1794</v>
      </c>
      <c r="D3341" s="242" t="s">
        <v>327</v>
      </c>
      <c r="E3341" s="949">
        <v>502</v>
      </c>
      <c r="F3341" s="949">
        <v>502</v>
      </c>
      <c r="G3341" s="950" t="s">
        <v>14005</v>
      </c>
      <c r="H3341" s="950" t="s">
        <v>328</v>
      </c>
      <c r="I3341" s="951" t="s">
        <v>1795</v>
      </c>
      <c r="J3341" s="947" t="s">
        <v>1796</v>
      </c>
      <c r="K3341" s="143"/>
    </row>
    <row r="3342" spans="1:11">
      <c r="A3342" s="946" t="s">
        <v>28620</v>
      </c>
      <c r="B3342" s="947" t="s">
        <v>1900</v>
      </c>
      <c r="C3342" s="948" t="s">
        <v>1898</v>
      </c>
      <c r="D3342" s="242" t="s">
        <v>327</v>
      </c>
      <c r="E3342" s="949">
        <v>502</v>
      </c>
      <c r="F3342" s="949">
        <v>502</v>
      </c>
      <c r="G3342" s="950" t="s">
        <v>14005</v>
      </c>
      <c r="H3342" s="950" t="s">
        <v>328</v>
      </c>
      <c r="I3342" s="951" t="s">
        <v>1899</v>
      </c>
      <c r="J3342" s="947" t="s">
        <v>1900</v>
      </c>
      <c r="K3342" s="143"/>
    </row>
    <row r="3343" spans="1:11">
      <c r="A3343" s="946" t="s">
        <v>28620</v>
      </c>
      <c r="B3343" s="947" t="s">
        <v>1947</v>
      </c>
      <c r="C3343" s="948" t="s">
        <v>1945</v>
      </c>
      <c r="D3343" s="242" t="s">
        <v>327</v>
      </c>
      <c r="E3343" s="949">
        <v>502</v>
      </c>
      <c r="F3343" s="949">
        <v>502</v>
      </c>
      <c r="G3343" s="950" t="s">
        <v>14005</v>
      </c>
      <c r="H3343" s="950" t="s">
        <v>328</v>
      </c>
      <c r="I3343" s="951" t="s">
        <v>1946</v>
      </c>
      <c r="J3343" s="947" t="s">
        <v>1947</v>
      </c>
      <c r="K3343" s="143"/>
    </row>
    <row r="3344" spans="1:11">
      <c r="A3344" s="946" t="s">
        <v>28620</v>
      </c>
      <c r="B3344" s="947" t="s">
        <v>2106</v>
      </c>
      <c r="C3344" s="948" t="s">
        <v>2104</v>
      </c>
      <c r="D3344" s="242" t="s">
        <v>615</v>
      </c>
      <c r="E3344" s="949">
        <v>503</v>
      </c>
      <c r="F3344" s="949">
        <v>503</v>
      </c>
      <c r="G3344" s="950" t="s">
        <v>14005</v>
      </c>
      <c r="H3344" s="950" t="s">
        <v>328</v>
      </c>
      <c r="I3344" s="951" t="s">
        <v>2105</v>
      </c>
      <c r="J3344" s="947" t="s">
        <v>2106</v>
      </c>
      <c r="K3344" s="143"/>
    </row>
    <row r="3345" spans="1:11">
      <c r="A3345" s="946" t="s">
        <v>28620</v>
      </c>
      <c r="B3345" s="947" t="s">
        <v>2525</v>
      </c>
      <c r="C3345" s="948" t="s">
        <v>2523</v>
      </c>
      <c r="D3345" s="242" t="s">
        <v>327</v>
      </c>
      <c r="E3345" s="949">
        <v>502</v>
      </c>
      <c r="F3345" s="949">
        <v>502</v>
      </c>
      <c r="G3345" s="950" t="s">
        <v>14005</v>
      </c>
      <c r="H3345" s="950" t="s">
        <v>328</v>
      </c>
      <c r="I3345" s="951" t="s">
        <v>2524</v>
      </c>
      <c r="J3345" s="947" t="s">
        <v>2525</v>
      </c>
      <c r="K3345" s="143"/>
    </row>
    <row r="3346" spans="1:11">
      <c r="A3346" s="946" t="s">
        <v>28620</v>
      </c>
      <c r="B3346" s="947" t="s">
        <v>2805</v>
      </c>
      <c r="C3346" s="948" t="s">
        <v>2803</v>
      </c>
      <c r="D3346" s="242" t="s">
        <v>615</v>
      </c>
      <c r="E3346" s="949">
        <v>503</v>
      </c>
      <c r="F3346" s="949">
        <v>503</v>
      </c>
      <c r="G3346" s="950" t="s">
        <v>14005</v>
      </c>
      <c r="H3346" s="950" t="s">
        <v>328</v>
      </c>
      <c r="I3346" s="951" t="s">
        <v>2804</v>
      </c>
      <c r="J3346" s="947" t="s">
        <v>2805</v>
      </c>
      <c r="K3346" s="143"/>
    </row>
    <row r="3347" spans="1:11">
      <c r="A3347" s="946" t="s">
        <v>28620</v>
      </c>
      <c r="B3347" s="947" t="s">
        <v>2931</v>
      </c>
      <c r="C3347" s="948" t="s">
        <v>2929</v>
      </c>
      <c r="D3347" s="242" t="s">
        <v>327</v>
      </c>
      <c r="E3347" s="949">
        <v>502</v>
      </c>
      <c r="F3347" s="949">
        <v>502</v>
      </c>
      <c r="G3347" s="950" t="s">
        <v>14005</v>
      </c>
      <c r="H3347" s="950" t="s">
        <v>328</v>
      </c>
      <c r="I3347" s="951" t="s">
        <v>2930</v>
      </c>
      <c r="J3347" s="947" t="s">
        <v>2931</v>
      </c>
      <c r="K3347" s="143"/>
    </row>
    <row r="3348" spans="1:11">
      <c r="A3348" s="946" t="s">
        <v>28620</v>
      </c>
      <c r="B3348" s="947" t="s">
        <v>3133</v>
      </c>
      <c r="C3348" s="948" t="s">
        <v>3131</v>
      </c>
      <c r="D3348" s="242" t="s">
        <v>327</v>
      </c>
      <c r="E3348" s="949">
        <v>502</v>
      </c>
      <c r="F3348" s="949">
        <v>502</v>
      </c>
      <c r="G3348" s="950" t="s">
        <v>14005</v>
      </c>
      <c r="H3348" s="950" t="s">
        <v>328</v>
      </c>
      <c r="I3348" s="951" t="s">
        <v>3132</v>
      </c>
      <c r="J3348" s="947" t="s">
        <v>3133</v>
      </c>
      <c r="K3348" s="143"/>
    </row>
    <row r="3349" spans="1:11">
      <c r="A3349" s="946" t="s">
        <v>28620</v>
      </c>
      <c r="B3349" s="947" t="s">
        <v>3358</v>
      </c>
      <c r="C3349" s="948" t="s">
        <v>3356</v>
      </c>
      <c r="D3349" s="242" t="s">
        <v>615</v>
      </c>
      <c r="E3349" s="949">
        <v>503</v>
      </c>
      <c r="F3349" s="949">
        <v>503</v>
      </c>
      <c r="G3349" s="950" t="s">
        <v>14005</v>
      </c>
      <c r="H3349" s="950" t="s">
        <v>328</v>
      </c>
      <c r="I3349" s="951" t="s">
        <v>3357</v>
      </c>
      <c r="J3349" s="947" t="s">
        <v>3358</v>
      </c>
      <c r="K3349" s="143"/>
    </row>
    <row r="3350" spans="1:11">
      <c r="A3350" s="946" t="s">
        <v>28620</v>
      </c>
      <c r="B3350" s="947" t="s">
        <v>3756</v>
      </c>
      <c r="C3350" s="948" t="s">
        <v>3754</v>
      </c>
      <c r="D3350" s="242" t="s">
        <v>615</v>
      </c>
      <c r="E3350" s="949">
        <v>503</v>
      </c>
      <c r="F3350" s="949">
        <v>503</v>
      </c>
      <c r="G3350" s="950" t="s">
        <v>14005</v>
      </c>
      <c r="H3350" s="950" t="s">
        <v>328</v>
      </c>
      <c r="I3350" s="951" t="s">
        <v>3755</v>
      </c>
      <c r="J3350" s="947" t="s">
        <v>3756</v>
      </c>
      <c r="K3350" s="143"/>
    </row>
    <row r="3351" spans="1:11">
      <c r="A3351" s="946" t="s">
        <v>28620</v>
      </c>
      <c r="B3351" s="947" t="s">
        <v>3771</v>
      </c>
      <c r="C3351" s="948" t="s">
        <v>3769</v>
      </c>
      <c r="D3351" s="242" t="s">
        <v>615</v>
      </c>
      <c r="E3351" s="949">
        <v>503</v>
      </c>
      <c r="F3351" s="949">
        <v>503</v>
      </c>
      <c r="G3351" s="950" t="s">
        <v>14005</v>
      </c>
      <c r="H3351" s="950" t="s">
        <v>328</v>
      </c>
      <c r="I3351" s="951" t="s">
        <v>3770</v>
      </c>
      <c r="J3351" s="947" t="s">
        <v>3771</v>
      </c>
      <c r="K3351" s="143"/>
    </row>
    <row r="3352" spans="1:11">
      <c r="A3352" s="946" t="s">
        <v>28620</v>
      </c>
      <c r="B3352" s="947" t="s">
        <v>3842</v>
      </c>
      <c r="C3352" s="948" t="s">
        <v>3840</v>
      </c>
      <c r="D3352" s="242" t="s">
        <v>615</v>
      </c>
      <c r="E3352" s="949">
        <v>503</v>
      </c>
      <c r="F3352" s="949">
        <v>503</v>
      </c>
      <c r="G3352" s="950" t="s">
        <v>14005</v>
      </c>
      <c r="H3352" s="950" t="s">
        <v>328</v>
      </c>
      <c r="I3352" s="951" t="s">
        <v>3841</v>
      </c>
      <c r="J3352" s="947" t="s">
        <v>3842</v>
      </c>
      <c r="K3352" s="143"/>
    </row>
    <row r="3353" spans="1:11">
      <c r="A3353" s="946" t="s">
        <v>28620</v>
      </c>
      <c r="B3353" s="947" t="s">
        <v>3740</v>
      </c>
      <c r="C3353" s="948" t="s">
        <v>3738</v>
      </c>
      <c r="D3353" s="242" t="s">
        <v>615</v>
      </c>
      <c r="E3353" s="949">
        <v>503</v>
      </c>
      <c r="F3353" s="949">
        <v>503</v>
      </c>
      <c r="G3353" s="950" t="s">
        <v>14005</v>
      </c>
      <c r="H3353" s="950" t="s">
        <v>328</v>
      </c>
      <c r="I3353" s="951" t="s">
        <v>3739</v>
      </c>
      <c r="J3353" s="947" t="s">
        <v>3740</v>
      </c>
      <c r="K3353" s="143"/>
    </row>
    <row r="3354" spans="1:11">
      <c r="A3354" s="946" t="s">
        <v>28620</v>
      </c>
      <c r="B3354" s="947" t="s">
        <v>3897</v>
      </c>
      <c r="C3354" s="948" t="s">
        <v>3895</v>
      </c>
      <c r="D3354" s="242" t="s">
        <v>327</v>
      </c>
      <c r="E3354" s="949">
        <v>502</v>
      </c>
      <c r="F3354" s="949">
        <v>502</v>
      </c>
      <c r="G3354" s="950" t="s">
        <v>14005</v>
      </c>
      <c r="H3354" s="950" t="s">
        <v>328</v>
      </c>
      <c r="I3354" s="951" t="s">
        <v>3896</v>
      </c>
      <c r="J3354" s="947" t="s">
        <v>3897</v>
      </c>
      <c r="K3354" s="143"/>
    </row>
    <row r="3355" spans="1:11">
      <c r="A3355" s="946" t="s">
        <v>28620</v>
      </c>
      <c r="B3355" s="947" t="s">
        <v>4361</v>
      </c>
      <c r="C3355" s="948" t="s">
        <v>4359</v>
      </c>
      <c r="D3355" s="242" t="s">
        <v>615</v>
      </c>
      <c r="E3355" s="949">
        <v>503</v>
      </c>
      <c r="F3355" s="949">
        <v>503</v>
      </c>
      <c r="G3355" s="950" t="s">
        <v>14005</v>
      </c>
      <c r="H3355" s="950" t="s">
        <v>328</v>
      </c>
      <c r="I3355" s="951" t="s">
        <v>4360</v>
      </c>
      <c r="J3355" s="947" t="s">
        <v>4361</v>
      </c>
      <c r="K3355" s="143"/>
    </row>
    <row r="3356" spans="1:11">
      <c r="A3356" s="946" t="s">
        <v>28620</v>
      </c>
      <c r="B3356" s="947" t="s">
        <v>4477</v>
      </c>
      <c r="C3356" s="948" t="s">
        <v>4475</v>
      </c>
      <c r="D3356" s="242" t="s">
        <v>327</v>
      </c>
      <c r="E3356" s="949">
        <v>502</v>
      </c>
      <c r="F3356" s="949">
        <v>502</v>
      </c>
      <c r="G3356" s="950" t="s">
        <v>14005</v>
      </c>
      <c r="H3356" s="950" t="s">
        <v>328</v>
      </c>
      <c r="I3356" s="951" t="s">
        <v>4476</v>
      </c>
      <c r="J3356" s="947" t="s">
        <v>4477</v>
      </c>
      <c r="K3356" s="143"/>
    </row>
    <row r="3357" spans="1:11">
      <c r="A3357" s="946" t="s">
        <v>28620</v>
      </c>
      <c r="B3357" s="947" t="s">
        <v>4550</v>
      </c>
      <c r="C3357" s="948" t="s">
        <v>4548</v>
      </c>
      <c r="D3357" s="242" t="s">
        <v>327</v>
      </c>
      <c r="E3357" s="949">
        <v>502</v>
      </c>
      <c r="F3357" s="949">
        <v>502</v>
      </c>
      <c r="G3357" s="950" t="s">
        <v>14005</v>
      </c>
      <c r="H3357" s="950" t="s">
        <v>328</v>
      </c>
      <c r="I3357" s="951" t="s">
        <v>4549</v>
      </c>
      <c r="J3357" s="947" t="s">
        <v>4550</v>
      </c>
      <c r="K3357" s="143"/>
    </row>
    <row r="3358" spans="1:11">
      <c r="A3358" s="946" t="s">
        <v>28620</v>
      </c>
      <c r="B3358" s="947" t="s">
        <v>4637</v>
      </c>
      <c r="C3358" s="948" t="s">
        <v>4635</v>
      </c>
      <c r="D3358" s="242" t="s">
        <v>327</v>
      </c>
      <c r="E3358" s="949">
        <v>502</v>
      </c>
      <c r="F3358" s="949">
        <v>502</v>
      </c>
      <c r="G3358" s="950" t="s">
        <v>14005</v>
      </c>
      <c r="H3358" s="950" t="s">
        <v>328</v>
      </c>
      <c r="I3358" s="951" t="s">
        <v>4636</v>
      </c>
      <c r="J3358" s="947" t="s">
        <v>4637</v>
      </c>
      <c r="K3358" s="143"/>
    </row>
    <row r="3359" spans="1:11">
      <c r="A3359" s="946" t="s">
        <v>28620</v>
      </c>
      <c r="B3359" s="947" t="s">
        <v>5051</v>
      </c>
      <c r="C3359" s="948" t="s">
        <v>5049</v>
      </c>
      <c r="D3359" s="242" t="s">
        <v>327</v>
      </c>
      <c r="E3359" s="949">
        <v>502</v>
      </c>
      <c r="F3359" s="949">
        <v>502</v>
      </c>
      <c r="G3359" s="950" t="s">
        <v>14005</v>
      </c>
      <c r="H3359" s="950" t="s">
        <v>328</v>
      </c>
      <c r="I3359" s="951" t="s">
        <v>5050</v>
      </c>
      <c r="J3359" s="947" t="s">
        <v>5051</v>
      </c>
      <c r="K3359" s="143"/>
    </row>
    <row r="3360" spans="1:11">
      <c r="A3360" s="946" t="s">
        <v>28620</v>
      </c>
      <c r="B3360" s="947" t="s">
        <v>6055</v>
      </c>
      <c r="C3360" s="948" t="s">
        <v>6053</v>
      </c>
      <c r="D3360" s="242" t="s">
        <v>615</v>
      </c>
      <c r="E3360" s="949">
        <v>503</v>
      </c>
      <c r="F3360" s="949">
        <v>503</v>
      </c>
      <c r="G3360" s="950" t="s">
        <v>14005</v>
      </c>
      <c r="H3360" s="950" t="s">
        <v>328</v>
      </c>
      <c r="I3360" s="951" t="s">
        <v>6054</v>
      </c>
      <c r="J3360" s="947" t="s">
        <v>6055</v>
      </c>
      <c r="K3360" s="143"/>
    </row>
    <row r="3361" spans="1:11">
      <c r="A3361" s="946" t="s">
        <v>28620</v>
      </c>
      <c r="B3361" s="947" t="s">
        <v>6440</v>
      </c>
      <c r="C3361" s="948" t="s">
        <v>6438</v>
      </c>
      <c r="D3361" s="242" t="s">
        <v>327</v>
      </c>
      <c r="E3361" s="949">
        <v>502</v>
      </c>
      <c r="F3361" s="949">
        <v>502</v>
      </c>
      <c r="G3361" s="950" t="s">
        <v>14005</v>
      </c>
      <c r="H3361" s="950" t="s">
        <v>328</v>
      </c>
      <c r="I3361" s="951" t="s">
        <v>6439</v>
      </c>
      <c r="J3361" s="947" t="s">
        <v>6440</v>
      </c>
      <c r="K3361" s="143"/>
    </row>
    <row r="3362" spans="1:11">
      <c r="A3362" s="946" t="s">
        <v>28620</v>
      </c>
      <c r="B3362" s="947" t="s">
        <v>6513</v>
      </c>
      <c r="C3362" s="948" t="s">
        <v>6511</v>
      </c>
      <c r="D3362" s="242" t="s">
        <v>615</v>
      </c>
      <c r="E3362" s="949">
        <v>503</v>
      </c>
      <c r="F3362" s="949">
        <v>503</v>
      </c>
      <c r="G3362" s="950" t="s">
        <v>14005</v>
      </c>
      <c r="H3362" s="950" t="s">
        <v>328</v>
      </c>
      <c r="I3362" s="951" t="s">
        <v>6512</v>
      </c>
      <c r="J3362" s="947" t="s">
        <v>6513</v>
      </c>
      <c r="K3362" s="143"/>
    </row>
    <row r="3363" spans="1:11">
      <c r="A3363" s="946" t="s">
        <v>28620</v>
      </c>
      <c r="B3363" s="947" t="s">
        <v>6657</v>
      </c>
      <c r="C3363" s="948" t="s">
        <v>6655</v>
      </c>
      <c r="D3363" s="242" t="s">
        <v>327</v>
      </c>
      <c r="E3363" s="949">
        <v>502</v>
      </c>
      <c r="F3363" s="949">
        <v>502</v>
      </c>
      <c r="G3363" s="950" t="s">
        <v>14005</v>
      </c>
      <c r="H3363" s="950" t="s">
        <v>328</v>
      </c>
      <c r="I3363" s="951" t="s">
        <v>6656</v>
      </c>
      <c r="J3363" s="947" t="s">
        <v>6657</v>
      </c>
      <c r="K3363" s="143"/>
    </row>
    <row r="3364" spans="1:11">
      <c r="A3364" s="946" t="s">
        <v>28620</v>
      </c>
      <c r="B3364" s="947" t="s">
        <v>6979</v>
      </c>
      <c r="C3364" s="948" t="s">
        <v>6977</v>
      </c>
      <c r="D3364" s="242" t="s">
        <v>327</v>
      </c>
      <c r="E3364" s="949">
        <v>502</v>
      </c>
      <c r="F3364" s="949">
        <v>502</v>
      </c>
      <c r="G3364" s="950" t="s">
        <v>14005</v>
      </c>
      <c r="H3364" s="950" t="s">
        <v>328</v>
      </c>
      <c r="I3364" s="951" t="s">
        <v>6978</v>
      </c>
      <c r="J3364" s="947" t="s">
        <v>6979</v>
      </c>
      <c r="K3364" s="143"/>
    </row>
    <row r="3365" spans="1:11">
      <c r="A3365" s="946" t="s">
        <v>28620</v>
      </c>
      <c r="B3365" s="947" t="s">
        <v>7131</v>
      </c>
      <c r="C3365" s="948" t="s">
        <v>7129</v>
      </c>
      <c r="D3365" s="242" t="s">
        <v>327</v>
      </c>
      <c r="E3365" s="949">
        <v>502</v>
      </c>
      <c r="F3365" s="949">
        <v>502</v>
      </c>
      <c r="G3365" s="950" t="s">
        <v>14005</v>
      </c>
      <c r="H3365" s="950" t="s">
        <v>328</v>
      </c>
      <c r="I3365" s="951" t="s">
        <v>7130</v>
      </c>
      <c r="J3365" s="947" t="s">
        <v>7131</v>
      </c>
      <c r="K3365" s="143"/>
    </row>
    <row r="3366" spans="1:11">
      <c r="A3366" s="946" t="s">
        <v>28620</v>
      </c>
      <c r="B3366" s="947" t="s">
        <v>7507</v>
      </c>
      <c r="C3366" s="948" t="s">
        <v>7505</v>
      </c>
      <c r="D3366" s="242" t="s">
        <v>615</v>
      </c>
      <c r="E3366" s="949">
        <v>503</v>
      </c>
      <c r="F3366" s="949">
        <v>503</v>
      </c>
      <c r="G3366" s="950" t="s">
        <v>14005</v>
      </c>
      <c r="H3366" s="950" t="s">
        <v>328</v>
      </c>
      <c r="I3366" s="951" t="s">
        <v>7506</v>
      </c>
      <c r="J3366" s="947" t="s">
        <v>7507</v>
      </c>
      <c r="K3366" s="143"/>
    </row>
    <row r="3367" spans="1:11">
      <c r="A3367" s="946" t="s">
        <v>28620</v>
      </c>
      <c r="B3367" s="947" t="s">
        <v>7920</v>
      </c>
      <c r="C3367" s="948" t="s">
        <v>7918</v>
      </c>
      <c r="D3367" s="242" t="s">
        <v>327</v>
      </c>
      <c r="E3367" s="949">
        <v>502</v>
      </c>
      <c r="F3367" s="949">
        <v>502</v>
      </c>
      <c r="G3367" s="950" t="s">
        <v>14005</v>
      </c>
      <c r="H3367" s="950" t="s">
        <v>328</v>
      </c>
      <c r="I3367" s="951" t="s">
        <v>7919</v>
      </c>
      <c r="J3367" s="947" t="s">
        <v>7920</v>
      </c>
      <c r="K3367" s="143"/>
    </row>
    <row r="3368" spans="1:11">
      <c r="A3368" s="946" t="s">
        <v>28620</v>
      </c>
      <c r="B3368" s="947" t="s">
        <v>8430</v>
      </c>
      <c r="C3368" s="948" t="s">
        <v>8428</v>
      </c>
      <c r="D3368" s="242" t="s">
        <v>615</v>
      </c>
      <c r="E3368" s="949">
        <v>503</v>
      </c>
      <c r="F3368" s="949">
        <v>503</v>
      </c>
      <c r="G3368" s="950" t="s">
        <v>14005</v>
      </c>
      <c r="H3368" s="950" t="s">
        <v>328</v>
      </c>
      <c r="I3368" s="951" t="s">
        <v>8429</v>
      </c>
      <c r="J3368" s="947" t="s">
        <v>8430</v>
      </c>
      <c r="K3368" s="143"/>
    </row>
    <row r="3369" spans="1:11">
      <c r="A3369" s="946" t="s">
        <v>28620</v>
      </c>
      <c r="B3369" s="947" t="s">
        <v>8894</v>
      </c>
      <c r="C3369" s="948" t="s">
        <v>8892</v>
      </c>
      <c r="D3369" s="242" t="s">
        <v>615</v>
      </c>
      <c r="E3369" s="949">
        <v>503</v>
      </c>
      <c r="F3369" s="949">
        <v>503</v>
      </c>
      <c r="G3369" s="950" t="s">
        <v>14005</v>
      </c>
      <c r="H3369" s="950" t="s">
        <v>328</v>
      </c>
      <c r="I3369" s="951" t="s">
        <v>8893</v>
      </c>
      <c r="J3369" s="947" t="s">
        <v>8894</v>
      </c>
      <c r="K3369" s="143"/>
    </row>
    <row r="3370" spans="1:11">
      <c r="A3370" s="946" t="s">
        <v>28620</v>
      </c>
      <c r="B3370" s="947" t="s">
        <v>8917</v>
      </c>
      <c r="C3370" s="948" t="s">
        <v>8915</v>
      </c>
      <c r="D3370" s="242" t="s">
        <v>615</v>
      </c>
      <c r="E3370" s="949">
        <v>503</v>
      </c>
      <c r="F3370" s="949">
        <v>503</v>
      </c>
      <c r="G3370" s="950" t="s">
        <v>14005</v>
      </c>
      <c r="H3370" s="950" t="s">
        <v>328</v>
      </c>
      <c r="I3370" s="951" t="s">
        <v>8916</v>
      </c>
      <c r="J3370" s="947" t="s">
        <v>8917</v>
      </c>
      <c r="K3370" s="143"/>
    </row>
    <row r="3371" spans="1:11">
      <c r="A3371" s="946" t="s">
        <v>28620</v>
      </c>
      <c r="B3371" s="947" t="s">
        <v>9061</v>
      </c>
      <c r="C3371" s="948" t="s">
        <v>9059</v>
      </c>
      <c r="D3371" s="242" t="s">
        <v>615</v>
      </c>
      <c r="E3371" s="949">
        <v>503</v>
      </c>
      <c r="F3371" s="949">
        <v>503</v>
      </c>
      <c r="G3371" s="950" t="s">
        <v>14005</v>
      </c>
      <c r="H3371" s="950" t="s">
        <v>328</v>
      </c>
      <c r="I3371" s="951" t="s">
        <v>9060</v>
      </c>
      <c r="J3371" s="947" t="s">
        <v>9061</v>
      </c>
      <c r="K3371" s="143"/>
    </row>
    <row r="3372" spans="1:11">
      <c r="A3372" s="946" t="s">
        <v>28620</v>
      </c>
      <c r="B3372" s="947" t="s">
        <v>9474</v>
      </c>
      <c r="C3372" s="948" t="s">
        <v>9472</v>
      </c>
      <c r="D3372" s="242" t="s">
        <v>615</v>
      </c>
      <c r="E3372" s="949">
        <v>503</v>
      </c>
      <c r="F3372" s="949">
        <v>503</v>
      </c>
      <c r="G3372" s="950" t="s">
        <v>14005</v>
      </c>
      <c r="H3372" s="950" t="s">
        <v>328</v>
      </c>
      <c r="I3372" s="951" t="s">
        <v>9473</v>
      </c>
      <c r="J3372" s="947" t="s">
        <v>9474</v>
      </c>
      <c r="K3372" s="143"/>
    </row>
    <row r="3373" spans="1:11">
      <c r="A3373" s="946" t="s">
        <v>28620</v>
      </c>
      <c r="B3373" s="947" t="s">
        <v>9477</v>
      </c>
      <c r="C3373" s="948" t="s">
        <v>9475</v>
      </c>
      <c r="D3373" s="242" t="s">
        <v>327</v>
      </c>
      <c r="E3373" s="949">
        <v>502</v>
      </c>
      <c r="F3373" s="949">
        <v>502</v>
      </c>
      <c r="G3373" s="950" t="s">
        <v>14005</v>
      </c>
      <c r="H3373" s="950" t="s">
        <v>328</v>
      </c>
      <c r="I3373" s="951" t="s">
        <v>9476</v>
      </c>
      <c r="J3373" s="947" t="s">
        <v>9477</v>
      </c>
      <c r="K3373" s="143"/>
    </row>
    <row r="3374" spans="1:11">
      <c r="A3374" s="946" t="s">
        <v>28620</v>
      </c>
      <c r="B3374" s="947" t="s">
        <v>10276</v>
      </c>
      <c r="C3374" s="948" t="s">
        <v>10274</v>
      </c>
      <c r="D3374" s="242" t="s">
        <v>327</v>
      </c>
      <c r="E3374" s="949">
        <v>502</v>
      </c>
      <c r="F3374" s="949">
        <v>502</v>
      </c>
      <c r="G3374" s="950" t="s">
        <v>14005</v>
      </c>
      <c r="H3374" s="950" t="s">
        <v>328</v>
      </c>
      <c r="I3374" s="951" t="s">
        <v>10275</v>
      </c>
      <c r="J3374" s="947" t="s">
        <v>10276</v>
      </c>
      <c r="K3374" s="143"/>
    </row>
    <row r="3375" spans="1:11">
      <c r="A3375" s="946" t="s">
        <v>28620</v>
      </c>
      <c r="B3375" s="947" t="s">
        <v>10439</v>
      </c>
      <c r="C3375" s="948" t="s">
        <v>10437</v>
      </c>
      <c r="D3375" s="242" t="s">
        <v>615</v>
      </c>
      <c r="E3375" s="949">
        <v>503</v>
      </c>
      <c r="F3375" s="949">
        <v>503</v>
      </c>
      <c r="G3375" s="950" t="s">
        <v>14005</v>
      </c>
      <c r="H3375" s="950" t="s">
        <v>328</v>
      </c>
      <c r="I3375" s="951" t="s">
        <v>10438</v>
      </c>
      <c r="J3375" s="947" t="s">
        <v>10439</v>
      </c>
      <c r="K3375" s="143"/>
    </row>
    <row r="3376" spans="1:11">
      <c r="A3376" s="946" t="s">
        <v>28620</v>
      </c>
      <c r="B3376" s="947" t="s">
        <v>10628</v>
      </c>
      <c r="C3376" s="948" t="s">
        <v>10626</v>
      </c>
      <c r="D3376" s="242" t="s">
        <v>615</v>
      </c>
      <c r="E3376" s="949">
        <v>503</v>
      </c>
      <c r="F3376" s="949">
        <v>503</v>
      </c>
      <c r="G3376" s="950" t="s">
        <v>14005</v>
      </c>
      <c r="H3376" s="950" t="s">
        <v>328</v>
      </c>
      <c r="I3376" s="951" t="s">
        <v>10627</v>
      </c>
      <c r="J3376" s="947" t="s">
        <v>10628</v>
      </c>
      <c r="K3376" s="143"/>
    </row>
    <row r="3377" spans="1:11">
      <c r="A3377" s="946" t="s">
        <v>28620</v>
      </c>
      <c r="B3377" s="947" t="s">
        <v>10673</v>
      </c>
      <c r="C3377" s="948" t="s">
        <v>10671</v>
      </c>
      <c r="D3377" s="242" t="s">
        <v>327</v>
      </c>
      <c r="E3377" s="949">
        <v>502</v>
      </c>
      <c r="F3377" s="949">
        <v>502</v>
      </c>
      <c r="G3377" s="950" t="s">
        <v>14005</v>
      </c>
      <c r="H3377" s="950" t="s">
        <v>328</v>
      </c>
      <c r="I3377" s="951" t="s">
        <v>10672</v>
      </c>
      <c r="J3377" s="947" t="s">
        <v>10673</v>
      </c>
      <c r="K3377" s="143"/>
    </row>
    <row r="3378" spans="1:11">
      <c r="A3378" s="946" t="s">
        <v>28620</v>
      </c>
      <c r="B3378" s="947" t="s">
        <v>11350</v>
      </c>
      <c r="C3378" s="948" t="s">
        <v>11348</v>
      </c>
      <c r="D3378" s="242" t="s">
        <v>327</v>
      </c>
      <c r="E3378" s="949">
        <v>502</v>
      </c>
      <c r="F3378" s="949">
        <v>502</v>
      </c>
      <c r="G3378" s="950" t="s">
        <v>14005</v>
      </c>
      <c r="H3378" s="950" t="s">
        <v>328</v>
      </c>
      <c r="I3378" s="951" t="s">
        <v>11349</v>
      </c>
      <c r="J3378" s="947" t="s">
        <v>11350</v>
      </c>
      <c r="K3378" s="143"/>
    </row>
    <row r="3379" spans="1:11">
      <c r="A3379" s="946" t="s">
        <v>28620</v>
      </c>
      <c r="B3379" s="947" t="s">
        <v>11356</v>
      </c>
      <c r="C3379" s="948" t="s">
        <v>11354</v>
      </c>
      <c r="D3379" s="242" t="s">
        <v>327</v>
      </c>
      <c r="E3379" s="949">
        <v>502</v>
      </c>
      <c r="F3379" s="949">
        <v>502</v>
      </c>
      <c r="G3379" s="950" t="s">
        <v>14005</v>
      </c>
      <c r="H3379" s="950" t="s">
        <v>328</v>
      </c>
      <c r="I3379" s="951" t="s">
        <v>11355</v>
      </c>
      <c r="J3379" s="947" t="s">
        <v>11356</v>
      </c>
      <c r="K3379" s="143"/>
    </row>
    <row r="3380" spans="1:11">
      <c r="A3380" s="946" t="s">
        <v>28620</v>
      </c>
      <c r="B3380" s="947" t="s">
        <v>11403</v>
      </c>
      <c r="C3380" s="948" t="s">
        <v>11401</v>
      </c>
      <c r="D3380" s="242" t="s">
        <v>615</v>
      </c>
      <c r="E3380" s="949">
        <v>503</v>
      </c>
      <c r="F3380" s="949">
        <v>503</v>
      </c>
      <c r="G3380" s="950" t="s">
        <v>14005</v>
      </c>
      <c r="H3380" s="950" t="s">
        <v>328</v>
      </c>
      <c r="I3380" s="951" t="s">
        <v>11402</v>
      </c>
      <c r="J3380" s="947" t="s">
        <v>11403</v>
      </c>
      <c r="K3380" s="143"/>
    </row>
    <row r="3381" spans="1:11">
      <c r="A3381" s="946" t="s">
        <v>28620</v>
      </c>
      <c r="B3381" s="947" t="s">
        <v>11519</v>
      </c>
      <c r="C3381" s="948" t="s">
        <v>11517</v>
      </c>
      <c r="D3381" s="242" t="s">
        <v>327</v>
      </c>
      <c r="E3381" s="949">
        <v>502</v>
      </c>
      <c r="F3381" s="949">
        <v>502</v>
      </c>
      <c r="G3381" s="950" t="s">
        <v>14005</v>
      </c>
      <c r="H3381" s="950" t="s">
        <v>328</v>
      </c>
      <c r="I3381" s="951" t="s">
        <v>11518</v>
      </c>
      <c r="J3381" s="947" t="s">
        <v>11519</v>
      </c>
      <c r="K3381" s="143"/>
    </row>
    <row r="3382" spans="1:11">
      <c r="A3382" s="946" t="s">
        <v>28620</v>
      </c>
      <c r="B3382" s="947" t="s">
        <v>11648</v>
      </c>
      <c r="C3382" s="948" t="s">
        <v>11646</v>
      </c>
      <c r="D3382" s="242" t="s">
        <v>327</v>
      </c>
      <c r="E3382" s="949">
        <v>502</v>
      </c>
      <c r="F3382" s="949">
        <v>502</v>
      </c>
      <c r="G3382" s="950" t="s">
        <v>14005</v>
      </c>
      <c r="H3382" s="950" t="s">
        <v>328</v>
      </c>
      <c r="I3382" s="951" t="s">
        <v>11647</v>
      </c>
      <c r="J3382" s="947" t="s">
        <v>11648</v>
      </c>
      <c r="K3382" s="143"/>
    </row>
    <row r="3383" spans="1:11">
      <c r="A3383" s="946" t="s">
        <v>28620</v>
      </c>
      <c r="B3383" s="947" t="s">
        <v>11677</v>
      </c>
      <c r="C3383" s="948" t="s">
        <v>11675</v>
      </c>
      <c r="D3383" s="242" t="s">
        <v>615</v>
      </c>
      <c r="E3383" s="949">
        <v>503</v>
      </c>
      <c r="F3383" s="949">
        <v>503</v>
      </c>
      <c r="G3383" s="950" t="s">
        <v>14005</v>
      </c>
      <c r="H3383" s="950" t="s">
        <v>328</v>
      </c>
      <c r="I3383" s="951" t="s">
        <v>11676</v>
      </c>
      <c r="J3383" s="947" t="s">
        <v>11677</v>
      </c>
      <c r="K3383" s="143"/>
    </row>
    <row r="3384" spans="1:11">
      <c r="A3384" s="946" t="s">
        <v>28620</v>
      </c>
      <c r="B3384" s="947" t="s">
        <v>12147</v>
      </c>
      <c r="C3384" s="948" t="s">
        <v>12145</v>
      </c>
      <c r="D3384" s="242" t="s">
        <v>327</v>
      </c>
      <c r="E3384" s="949">
        <v>502</v>
      </c>
      <c r="F3384" s="949">
        <v>502</v>
      </c>
      <c r="G3384" s="950" t="s">
        <v>14005</v>
      </c>
      <c r="H3384" s="950" t="s">
        <v>328</v>
      </c>
      <c r="I3384" s="951" t="s">
        <v>12146</v>
      </c>
      <c r="J3384" s="947" t="s">
        <v>12147</v>
      </c>
      <c r="K3384" s="143"/>
    </row>
    <row r="3385" spans="1:11">
      <c r="A3385" s="946" t="s">
        <v>28620</v>
      </c>
      <c r="B3385" s="947" t="s">
        <v>12174</v>
      </c>
      <c r="C3385" s="948" t="s">
        <v>12172</v>
      </c>
      <c r="D3385" s="242" t="s">
        <v>327</v>
      </c>
      <c r="E3385" s="949">
        <v>502</v>
      </c>
      <c r="F3385" s="949">
        <v>502</v>
      </c>
      <c r="G3385" s="950" t="s">
        <v>14005</v>
      </c>
      <c r="H3385" s="950" t="s">
        <v>328</v>
      </c>
      <c r="I3385" s="951" t="s">
        <v>12173</v>
      </c>
      <c r="J3385" s="947" t="s">
        <v>12174</v>
      </c>
      <c r="K3385" s="143"/>
    </row>
    <row r="3386" spans="1:11">
      <c r="A3386" s="946" t="s">
        <v>28620</v>
      </c>
      <c r="B3386" s="947" t="s">
        <v>12553</v>
      </c>
      <c r="C3386" s="948" t="s">
        <v>12551</v>
      </c>
      <c r="D3386" s="242" t="s">
        <v>615</v>
      </c>
      <c r="E3386" s="949">
        <v>503</v>
      </c>
      <c r="F3386" s="949">
        <v>503</v>
      </c>
      <c r="G3386" s="950" t="s">
        <v>14005</v>
      </c>
      <c r="H3386" s="950" t="s">
        <v>328</v>
      </c>
      <c r="I3386" s="951" t="s">
        <v>12552</v>
      </c>
      <c r="J3386" s="947" t="s">
        <v>12553</v>
      </c>
      <c r="K3386" s="143"/>
    </row>
    <row r="3387" spans="1:11">
      <c r="A3387" s="946" t="s">
        <v>28620</v>
      </c>
      <c r="B3387" s="947" t="s">
        <v>13430</v>
      </c>
      <c r="C3387" s="948" t="s">
        <v>13428</v>
      </c>
      <c r="D3387" s="242" t="s">
        <v>615</v>
      </c>
      <c r="E3387" s="949">
        <v>503</v>
      </c>
      <c r="F3387" s="949">
        <v>503</v>
      </c>
      <c r="G3387" s="950" t="s">
        <v>14005</v>
      </c>
      <c r="H3387" s="950" t="s">
        <v>328</v>
      </c>
      <c r="I3387" s="951" t="s">
        <v>13429</v>
      </c>
      <c r="J3387" s="947" t="s">
        <v>13430</v>
      </c>
      <c r="K3387" s="143"/>
    </row>
    <row r="3388" spans="1:11">
      <c r="A3388" s="946" t="s">
        <v>28620</v>
      </c>
      <c r="B3388" s="947" t="s">
        <v>13867</v>
      </c>
      <c r="C3388" s="948" t="s">
        <v>13865</v>
      </c>
      <c r="D3388" s="242" t="s">
        <v>327</v>
      </c>
      <c r="E3388" s="949">
        <v>502</v>
      </c>
      <c r="F3388" s="949">
        <v>502</v>
      </c>
      <c r="G3388" s="950" t="s">
        <v>14005</v>
      </c>
      <c r="H3388" s="950" t="s">
        <v>328</v>
      </c>
      <c r="I3388" s="951" t="s">
        <v>13866</v>
      </c>
      <c r="J3388" s="947" t="s">
        <v>13867</v>
      </c>
      <c r="K3388" s="143"/>
    </row>
    <row r="3389" spans="1:11">
      <c r="A3389" s="946" t="s">
        <v>28620</v>
      </c>
      <c r="B3389" s="947" t="s">
        <v>14005</v>
      </c>
      <c r="C3389" s="948" t="s">
        <v>14003</v>
      </c>
      <c r="D3389" s="242" t="s">
        <v>327</v>
      </c>
      <c r="E3389" s="949">
        <v>502</v>
      </c>
      <c r="F3389" s="949">
        <v>502</v>
      </c>
      <c r="G3389" s="950" t="s">
        <v>14005</v>
      </c>
      <c r="H3389" s="950" t="s">
        <v>328</v>
      </c>
      <c r="I3389" s="951" t="s">
        <v>14004</v>
      </c>
      <c r="J3389" s="947" t="s">
        <v>14005</v>
      </c>
      <c r="K3389" s="143"/>
    </row>
    <row r="3390" spans="1:11">
      <c r="A3390" s="946" t="s">
        <v>28620</v>
      </c>
      <c r="B3390" s="947" t="s">
        <v>14517</v>
      </c>
      <c r="C3390" s="948" t="s">
        <v>14515</v>
      </c>
      <c r="D3390" s="242" t="s">
        <v>327</v>
      </c>
      <c r="E3390" s="949">
        <v>502</v>
      </c>
      <c r="F3390" s="949">
        <v>502</v>
      </c>
      <c r="G3390" s="950" t="s">
        <v>14005</v>
      </c>
      <c r="H3390" s="950" t="s">
        <v>328</v>
      </c>
      <c r="I3390" s="951" t="s">
        <v>14516</v>
      </c>
      <c r="J3390" s="947" t="s">
        <v>14517</v>
      </c>
      <c r="K3390" s="143"/>
    </row>
    <row r="3391" spans="1:11">
      <c r="A3391" s="946" t="s">
        <v>28620</v>
      </c>
      <c r="B3391" s="947" t="s">
        <v>14698</v>
      </c>
      <c r="C3391" s="948" t="s">
        <v>14696</v>
      </c>
      <c r="D3391" s="242" t="s">
        <v>327</v>
      </c>
      <c r="E3391" s="949">
        <v>502</v>
      </c>
      <c r="F3391" s="949">
        <v>502</v>
      </c>
      <c r="G3391" s="950" t="s">
        <v>14005</v>
      </c>
      <c r="H3391" s="950" t="s">
        <v>328</v>
      </c>
      <c r="I3391" s="951" t="s">
        <v>14697</v>
      </c>
      <c r="J3391" s="947" t="s">
        <v>14698</v>
      </c>
      <c r="K3391" s="143"/>
    </row>
    <row r="3392" spans="1:11">
      <c r="A3392" s="946" t="s">
        <v>28620</v>
      </c>
      <c r="B3392" s="947" t="s">
        <v>14794</v>
      </c>
      <c r="C3392" s="948" t="s">
        <v>14792</v>
      </c>
      <c r="D3392" s="242" t="s">
        <v>615</v>
      </c>
      <c r="E3392" s="949">
        <v>503</v>
      </c>
      <c r="F3392" s="949">
        <v>503</v>
      </c>
      <c r="G3392" s="950" t="s">
        <v>14005</v>
      </c>
      <c r="H3392" s="950" t="s">
        <v>328</v>
      </c>
      <c r="I3392" s="951" t="s">
        <v>14793</v>
      </c>
      <c r="J3392" s="947" t="s">
        <v>14794</v>
      </c>
      <c r="K3392" s="143"/>
    </row>
    <row r="3393" spans="1:11">
      <c r="A3393" s="946" t="s">
        <v>28620</v>
      </c>
      <c r="B3393" s="947" t="s">
        <v>15045</v>
      </c>
      <c r="C3393" s="948" t="s">
        <v>15043</v>
      </c>
      <c r="D3393" s="242" t="s">
        <v>615</v>
      </c>
      <c r="E3393" s="949">
        <v>503</v>
      </c>
      <c r="F3393" s="949">
        <v>503</v>
      </c>
      <c r="G3393" s="950" t="s">
        <v>14005</v>
      </c>
      <c r="H3393" s="950" t="s">
        <v>328</v>
      </c>
      <c r="I3393" s="951" t="s">
        <v>15044</v>
      </c>
      <c r="J3393" s="947" t="s">
        <v>15045</v>
      </c>
      <c r="K3393" s="143"/>
    </row>
    <row r="3394" spans="1:11">
      <c r="A3394" s="946" t="s">
        <v>28620</v>
      </c>
      <c r="B3394" s="947" t="s">
        <v>15057</v>
      </c>
      <c r="C3394" s="948" t="s">
        <v>15055</v>
      </c>
      <c r="D3394" s="242" t="s">
        <v>327</v>
      </c>
      <c r="E3394" s="949">
        <v>502</v>
      </c>
      <c r="F3394" s="949">
        <v>502</v>
      </c>
      <c r="G3394" s="950" t="s">
        <v>14005</v>
      </c>
      <c r="H3394" s="950" t="s">
        <v>328</v>
      </c>
      <c r="I3394" s="951" t="s">
        <v>15056</v>
      </c>
      <c r="J3394" s="947" t="s">
        <v>15057</v>
      </c>
      <c r="K3394" s="143"/>
    </row>
    <row r="3395" spans="1:11">
      <c r="A3395" s="946" t="s">
        <v>28620</v>
      </c>
      <c r="B3395" s="947" t="s">
        <v>15309</v>
      </c>
      <c r="C3395" s="948" t="s">
        <v>15307</v>
      </c>
      <c r="D3395" s="242" t="s">
        <v>327</v>
      </c>
      <c r="E3395" s="949">
        <v>502</v>
      </c>
      <c r="F3395" s="949">
        <v>502</v>
      </c>
      <c r="G3395" s="950" t="s">
        <v>14005</v>
      </c>
      <c r="H3395" s="950" t="s">
        <v>328</v>
      </c>
      <c r="I3395" s="951" t="s">
        <v>15308</v>
      </c>
      <c r="J3395" s="947" t="s">
        <v>15309</v>
      </c>
      <c r="K3395" s="143"/>
    </row>
    <row r="3396" spans="1:11">
      <c r="A3396" s="946" t="s">
        <v>28620</v>
      </c>
      <c r="B3396" s="947" t="s">
        <v>15365</v>
      </c>
      <c r="C3396" s="948" t="s">
        <v>15363</v>
      </c>
      <c r="D3396" s="242" t="s">
        <v>327</v>
      </c>
      <c r="E3396" s="949">
        <v>502</v>
      </c>
      <c r="F3396" s="949">
        <v>502</v>
      </c>
      <c r="G3396" s="950" t="s">
        <v>14005</v>
      </c>
      <c r="H3396" s="950" t="s">
        <v>328</v>
      </c>
      <c r="I3396" s="951" t="s">
        <v>15364</v>
      </c>
      <c r="J3396" s="947" t="s">
        <v>15365</v>
      </c>
      <c r="K3396" s="143"/>
    </row>
    <row r="3397" spans="1:11">
      <c r="A3397" s="946" t="s">
        <v>28620</v>
      </c>
      <c r="B3397" s="947" t="s">
        <v>15442</v>
      </c>
      <c r="C3397" s="948" t="s">
        <v>15440</v>
      </c>
      <c r="D3397" s="242" t="s">
        <v>327</v>
      </c>
      <c r="E3397" s="949">
        <v>502</v>
      </c>
      <c r="F3397" s="949">
        <v>502</v>
      </c>
      <c r="G3397" s="950" t="s">
        <v>14005</v>
      </c>
      <c r="H3397" s="950" t="s">
        <v>328</v>
      </c>
      <c r="I3397" s="951" t="s">
        <v>15441</v>
      </c>
      <c r="J3397" s="947" t="s">
        <v>15442</v>
      </c>
      <c r="K3397" s="143"/>
    </row>
    <row r="3398" spans="1:11">
      <c r="A3398" s="946" t="s">
        <v>28620</v>
      </c>
      <c r="B3398" s="947" t="s">
        <v>15406</v>
      </c>
      <c r="C3398" s="948" t="s">
        <v>15404</v>
      </c>
      <c r="D3398" s="242" t="s">
        <v>327</v>
      </c>
      <c r="E3398" s="949">
        <v>502</v>
      </c>
      <c r="F3398" s="949">
        <v>502</v>
      </c>
      <c r="G3398" s="950" t="s">
        <v>14005</v>
      </c>
      <c r="H3398" s="950" t="s">
        <v>328</v>
      </c>
      <c r="I3398" s="951" t="s">
        <v>15405</v>
      </c>
      <c r="J3398" s="947" t="s">
        <v>15406</v>
      </c>
      <c r="K3398" s="143"/>
    </row>
    <row r="3399" spans="1:11">
      <c r="A3399" s="946" t="s">
        <v>28620</v>
      </c>
      <c r="B3399" s="947" t="s">
        <v>15688</v>
      </c>
      <c r="C3399" s="948" t="s">
        <v>15686</v>
      </c>
      <c r="D3399" s="242" t="s">
        <v>327</v>
      </c>
      <c r="E3399" s="949">
        <v>502</v>
      </c>
      <c r="F3399" s="949">
        <v>502</v>
      </c>
      <c r="G3399" s="950" t="s">
        <v>14005</v>
      </c>
      <c r="H3399" s="950" t="s">
        <v>328</v>
      </c>
      <c r="I3399" s="951" t="s">
        <v>15687</v>
      </c>
      <c r="J3399" s="947" t="s">
        <v>15688</v>
      </c>
      <c r="K3399" s="143"/>
    </row>
    <row r="3400" spans="1:11">
      <c r="A3400" s="946" t="s">
        <v>28620</v>
      </c>
      <c r="B3400" s="947" t="s">
        <v>17075</v>
      </c>
      <c r="C3400" s="948" t="s">
        <v>17073</v>
      </c>
      <c r="D3400" s="242" t="s">
        <v>615</v>
      </c>
      <c r="E3400" s="949">
        <v>503</v>
      </c>
      <c r="F3400" s="949">
        <v>503</v>
      </c>
      <c r="G3400" s="950" t="s">
        <v>14005</v>
      </c>
      <c r="H3400" s="950" t="s">
        <v>328</v>
      </c>
      <c r="I3400" s="951" t="s">
        <v>17074</v>
      </c>
      <c r="J3400" s="947" t="s">
        <v>17075</v>
      </c>
      <c r="K3400" s="143"/>
    </row>
    <row r="3401" spans="1:11">
      <c r="A3401" s="946" t="s">
        <v>28620</v>
      </c>
      <c r="B3401" s="947" t="s">
        <v>17081</v>
      </c>
      <c r="C3401" s="948" t="s">
        <v>17079</v>
      </c>
      <c r="D3401" s="242" t="s">
        <v>615</v>
      </c>
      <c r="E3401" s="949">
        <v>503</v>
      </c>
      <c r="F3401" s="949">
        <v>503</v>
      </c>
      <c r="G3401" s="950" t="s">
        <v>14005</v>
      </c>
      <c r="H3401" s="950" t="s">
        <v>328</v>
      </c>
      <c r="I3401" s="951" t="s">
        <v>17080</v>
      </c>
      <c r="J3401" s="947" t="s">
        <v>17081</v>
      </c>
      <c r="K3401" s="143"/>
    </row>
    <row r="3402" spans="1:11">
      <c r="A3402" s="946" t="s">
        <v>28620</v>
      </c>
      <c r="B3402" s="947" t="s">
        <v>17149</v>
      </c>
      <c r="C3402" s="948" t="s">
        <v>17147</v>
      </c>
      <c r="D3402" s="242" t="s">
        <v>615</v>
      </c>
      <c r="E3402" s="949">
        <v>503</v>
      </c>
      <c r="F3402" s="949">
        <v>503</v>
      </c>
      <c r="G3402" s="950" t="s">
        <v>14005</v>
      </c>
      <c r="H3402" s="950" t="s">
        <v>328</v>
      </c>
      <c r="I3402" s="951" t="s">
        <v>17148</v>
      </c>
      <c r="J3402" s="947" t="s">
        <v>17149</v>
      </c>
      <c r="K3402" s="143"/>
    </row>
    <row r="3403" spans="1:11">
      <c r="A3403" s="946" t="s">
        <v>28620</v>
      </c>
      <c r="B3403" s="947" t="s">
        <v>17653</v>
      </c>
      <c r="C3403" s="948" t="s">
        <v>17651</v>
      </c>
      <c r="D3403" s="242" t="s">
        <v>615</v>
      </c>
      <c r="E3403" s="949">
        <v>503</v>
      </c>
      <c r="F3403" s="949">
        <v>503</v>
      </c>
      <c r="G3403" s="950" t="s">
        <v>14005</v>
      </c>
      <c r="H3403" s="950" t="s">
        <v>328</v>
      </c>
      <c r="I3403" s="951" t="s">
        <v>17652</v>
      </c>
      <c r="J3403" s="947" t="s">
        <v>17653</v>
      </c>
      <c r="K3403" s="143"/>
    </row>
    <row r="3404" spans="1:11">
      <c r="A3404" s="946" t="s">
        <v>28620</v>
      </c>
      <c r="B3404" s="947" t="s">
        <v>17666</v>
      </c>
      <c r="C3404" s="948" t="s">
        <v>17664</v>
      </c>
      <c r="D3404" s="242" t="s">
        <v>615</v>
      </c>
      <c r="E3404" s="949">
        <v>503</v>
      </c>
      <c r="F3404" s="949">
        <v>503</v>
      </c>
      <c r="G3404" s="950" t="s">
        <v>14005</v>
      </c>
      <c r="H3404" s="950" t="s">
        <v>328</v>
      </c>
      <c r="I3404" s="951" t="s">
        <v>17665</v>
      </c>
      <c r="J3404" s="947" t="s">
        <v>17666</v>
      </c>
      <c r="K3404" s="143"/>
    </row>
    <row r="3405" spans="1:11">
      <c r="A3405" s="946" t="s">
        <v>28620</v>
      </c>
      <c r="B3405" s="947" t="s">
        <v>17904</v>
      </c>
      <c r="C3405" s="948" t="s">
        <v>17902</v>
      </c>
      <c r="D3405" s="242" t="s">
        <v>615</v>
      </c>
      <c r="E3405" s="949">
        <v>503</v>
      </c>
      <c r="F3405" s="949">
        <v>503</v>
      </c>
      <c r="G3405" s="950" t="s">
        <v>14005</v>
      </c>
      <c r="H3405" s="950" t="s">
        <v>328</v>
      </c>
      <c r="I3405" s="951" t="s">
        <v>17903</v>
      </c>
      <c r="J3405" s="947" t="s">
        <v>17904</v>
      </c>
      <c r="K3405" s="143"/>
    </row>
    <row r="3406" spans="1:11">
      <c r="A3406" s="946" t="s">
        <v>28620</v>
      </c>
      <c r="B3406" s="947" t="s">
        <v>18108</v>
      </c>
      <c r="C3406" s="948" t="s">
        <v>18106</v>
      </c>
      <c r="D3406" s="242" t="s">
        <v>615</v>
      </c>
      <c r="E3406" s="949">
        <v>503</v>
      </c>
      <c r="F3406" s="949">
        <v>503</v>
      </c>
      <c r="G3406" s="950" t="s">
        <v>14005</v>
      </c>
      <c r="H3406" s="950" t="s">
        <v>328</v>
      </c>
      <c r="I3406" s="951" t="s">
        <v>18107</v>
      </c>
      <c r="J3406" s="947" t="s">
        <v>18108</v>
      </c>
      <c r="K3406" s="143"/>
    </row>
    <row r="3407" spans="1:11">
      <c r="A3407" s="946" t="s">
        <v>28620</v>
      </c>
      <c r="B3407" s="947" t="s">
        <v>18132</v>
      </c>
      <c r="C3407" s="948" t="s">
        <v>18130</v>
      </c>
      <c r="D3407" s="242" t="s">
        <v>327</v>
      </c>
      <c r="E3407" s="949">
        <v>502</v>
      </c>
      <c r="F3407" s="949">
        <v>502</v>
      </c>
      <c r="G3407" s="950" t="s">
        <v>14005</v>
      </c>
      <c r="H3407" s="950" t="s">
        <v>328</v>
      </c>
      <c r="I3407" s="951" t="s">
        <v>18131</v>
      </c>
      <c r="J3407" s="947" t="s">
        <v>18132</v>
      </c>
      <c r="K3407" s="143"/>
    </row>
    <row r="3408" spans="1:11">
      <c r="A3408" s="946" t="s">
        <v>28620</v>
      </c>
      <c r="B3408" s="947" t="s">
        <v>18432</v>
      </c>
      <c r="C3408" s="948" t="s">
        <v>18430</v>
      </c>
      <c r="D3408" s="242" t="s">
        <v>615</v>
      </c>
      <c r="E3408" s="949">
        <v>503</v>
      </c>
      <c r="F3408" s="949">
        <v>503</v>
      </c>
      <c r="G3408" s="950" t="s">
        <v>14005</v>
      </c>
      <c r="H3408" s="950" t="s">
        <v>328</v>
      </c>
      <c r="I3408" s="951" t="s">
        <v>18431</v>
      </c>
      <c r="J3408" s="947" t="s">
        <v>18432</v>
      </c>
      <c r="K3408" s="143"/>
    </row>
    <row r="3409" spans="1:11">
      <c r="A3409" s="946" t="s">
        <v>28620</v>
      </c>
      <c r="B3409" s="947" t="s">
        <v>18637</v>
      </c>
      <c r="C3409" s="948" t="s">
        <v>18635</v>
      </c>
      <c r="D3409" s="242" t="s">
        <v>327</v>
      </c>
      <c r="E3409" s="949">
        <v>502</v>
      </c>
      <c r="F3409" s="949">
        <v>502</v>
      </c>
      <c r="G3409" s="950" t="s">
        <v>14005</v>
      </c>
      <c r="H3409" s="950" t="s">
        <v>328</v>
      </c>
      <c r="I3409" s="951" t="s">
        <v>18636</v>
      </c>
      <c r="J3409" s="947" t="s">
        <v>18637</v>
      </c>
      <c r="K3409" s="143"/>
    </row>
    <row r="3410" spans="1:11">
      <c r="A3410" s="946" t="s">
        <v>28620</v>
      </c>
      <c r="B3410" s="947" t="s">
        <v>18706</v>
      </c>
      <c r="C3410" s="948" t="s">
        <v>18704</v>
      </c>
      <c r="D3410" s="242" t="s">
        <v>327</v>
      </c>
      <c r="E3410" s="949">
        <v>502</v>
      </c>
      <c r="F3410" s="949">
        <v>502</v>
      </c>
      <c r="G3410" s="950" t="s">
        <v>14005</v>
      </c>
      <c r="H3410" s="950" t="s">
        <v>328</v>
      </c>
      <c r="I3410" s="951" t="s">
        <v>18705</v>
      </c>
      <c r="J3410" s="947" t="s">
        <v>18706</v>
      </c>
      <c r="K3410" s="143"/>
    </row>
    <row r="3411" spans="1:11">
      <c r="A3411" s="946" t="s">
        <v>28620</v>
      </c>
      <c r="B3411" s="947" t="s">
        <v>18822</v>
      </c>
      <c r="C3411" s="948" t="s">
        <v>18820</v>
      </c>
      <c r="D3411" s="242" t="s">
        <v>327</v>
      </c>
      <c r="E3411" s="949">
        <v>502</v>
      </c>
      <c r="F3411" s="949">
        <v>502</v>
      </c>
      <c r="G3411" s="950" t="s">
        <v>14005</v>
      </c>
      <c r="H3411" s="950" t="s">
        <v>328</v>
      </c>
      <c r="I3411" s="951" t="s">
        <v>18821</v>
      </c>
      <c r="J3411" s="947" t="s">
        <v>18822</v>
      </c>
      <c r="K3411" s="143"/>
    </row>
    <row r="3412" spans="1:11">
      <c r="A3412" s="946" t="s">
        <v>28620</v>
      </c>
      <c r="B3412" s="947" t="s">
        <v>18831</v>
      </c>
      <c r="C3412" s="948" t="s">
        <v>18829</v>
      </c>
      <c r="D3412" s="242" t="s">
        <v>615</v>
      </c>
      <c r="E3412" s="949">
        <v>503</v>
      </c>
      <c r="F3412" s="949">
        <v>503</v>
      </c>
      <c r="G3412" s="950" t="s">
        <v>14005</v>
      </c>
      <c r="H3412" s="950" t="s">
        <v>328</v>
      </c>
      <c r="I3412" s="951" t="s">
        <v>18830</v>
      </c>
      <c r="J3412" s="947" t="s">
        <v>18831</v>
      </c>
      <c r="K3412" s="143"/>
    </row>
    <row r="3413" spans="1:11">
      <c r="A3413" s="946" t="s">
        <v>28620</v>
      </c>
      <c r="B3413" s="947" t="s">
        <v>19224</v>
      </c>
      <c r="C3413" s="948" t="s">
        <v>19222</v>
      </c>
      <c r="D3413" s="242" t="s">
        <v>615</v>
      </c>
      <c r="E3413" s="949">
        <v>503</v>
      </c>
      <c r="F3413" s="949">
        <v>503</v>
      </c>
      <c r="G3413" s="950" t="s">
        <v>14005</v>
      </c>
      <c r="H3413" s="950" t="s">
        <v>328</v>
      </c>
      <c r="I3413" s="951" t="s">
        <v>19223</v>
      </c>
      <c r="J3413" s="947" t="s">
        <v>19224</v>
      </c>
      <c r="K3413" s="143"/>
    </row>
    <row r="3414" spans="1:11">
      <c r="A3414" s="946" t="s">
        <v>28620</v>
      </c>
      <c r="B3414" s="947" t="s">
        <v>19651</v>
      </c>
      <c r="C3414" s="948" t="s">
        <v>19649</v>
      </c>
      <c r="D3414" s="242" t="s">
        <v>327</v>
      </c>
      <c r="E3414" s="949">
        <v>502</v>
      </c>
      <c r="F3414" s="949">
        <v>502</v>
      </c>
      <c r="G3414" s="950" t="s">
        <v>14005</v>
      </c>
      <c r="H3414" s="950" t="s">
        <v>328</v>
      </c>
      <c r="I3414" s="951" t="s">
        <v>19650</v>
      </c>
      <c r="J3414" s="947" t="s">
        <v>19651</v>
      </c>
      <c r="K3414" s="143"/>
    </row>
    <row r="3415" spans="1:11">
      <c r="A3415" s="946" t="s">
        <v>28620</v>
      </c>
      <c r="B3415" s="947" t="s">
        <v>19963</v>
      </c>
      <c r="C3415" s="948" t="s">
        <v>19961</v>
      </c>
      <c r="D3415" s="242" t="s">
        <v>327</v>
      </c>
      <c r="E3415" s="949">
        <v>502</v>
      </c>
      <c r="F3415" s="949">
        <v>502</v>
      </c>
      <c r="G3415" s="950" t="s">
        <v>14005</v>
      </c>
      <c r="H3415" s="950" t="s">
        <v>328</v>
      </c>
      <c r="I3415" s="951" t="s">
        <v>19962</v>
      </c>
      <c r="J3415" s="947" t="s">
        <v>19963</v>
      </c>
      <c r="K3415" s="143"/>
    </row>
    <row r="3416" spans="1:11">
      <c r="A3416" s="946" t="s">
        <v>28620</v>
      </c>
      <c r="B3416" s="947" t="s">
        <v>20322</v>
      </c>
      <c r="C3416" s="948" t="s">
        <v>20320</v>
      </c>
      <c r="D3416" s="242" t="s">
        <v>615</v>
      </c>
      <c r="E3416" s="949">
        <v>503</v>
      </c>
      <c r="F3416" s="949">
        <v>503</v>
      </c>
      <c r="G3416" s="950" t="s">
        <v>14005</v>
      </c>
      <c r="H3416" s="950" t="s">
        <v>328</v>
      </c>
      <c r="I3416" s="951" t="s">
        <v>20321</v>
      </c>
      <c r="J3416" s="947" t="s">
        <v>20322</v>
      </c>
      <c r="K3416" s="143"/>
    </row>
    <row r="3417" spans="1:11">
      <c r="A3417" s="946" t="s">
        <v>28620</v>
      </c>
      <c r="B3417" s="947" t="s">
        <v>20395</v>
      </c>
      <c r="C3417" s="948" t="s">
        <v>20393</v>
      </c>
      <c r="D3417" s="242" t="s">
        <v>327</v>
      </c>
      <c r="E3417" s="949">
        <v>502</v>
      </c>
      <c r="F3417" s="949">
        <v>502</v>
      </c>
      <c r="G3417" s="950" t="s">
        <v>14005</v>
      </c>
      <c r="H3417" s="950" t="s">
        <v>328</v>
      </c>
      <c r="I3417" s="951" t="s">
        <v>20394</v>
      </c>
      <c r="J3417" s="947" t="s">
        <v>20395</v>
      </c>
      <c r="K3417" s="143"/>
    </row>
    <row r="3418" spans="1:11">
      <c r="A3418" s="946" t="s">
        <v>28620</v>
      </c>
      <c r="B3418" s="947" t="s">
        <v>20535</v>
      </c>
      <c r="C3418" s="948" t="s">
        <v>20533</v>
      </c>
      <c r="D3418" s="242" t="s">
        <v>615</v>
      </c>
      <c r="E3418" s="949">
        <v>503</v>
      </c>
      <c r="F3418" s="949">
        <v>503</v>
      </c>
      <c r="G3418" s="950" t="s">
        <v>14005</v>
      </c>
      <c r="H3418" s="950" t="s">
        <v>328</v>
      </c>
      <c r="I3418" s="951" t="s">
        <v>20534</v>
      </c>
      <c r="J3418" s="947" t="s">
        <v>20535</v>
      </c>
      <c r="K3418" s="143"/>
    </row>
    <row r="3419" spans="1:11">
      <c r="A3419" s="946" t="s">
        <v>28620</v>
      </c>
      <c r="B3419" s="947" t="s">
        <v>20714</v>
      </c>
      <c r="C3419" s="948" t="s">
        <v>20712</v>
      </c>
      <c r="D3419" s="242" t="s">
        <v>615</v>
      </c>
      <c r="E3419" s="949">
        <v>503</v>
      </c>
      <c r="F3419" s="949">
        <v>503</v>
      </c>
      <c r="G3419" s="950" t="s">
        <v>14005</v>
      </c>
      <c r="H3419" s="950" t="s">
        <v>328</v>
      </c>
      <c r="I3419" s="951" t="s">
        <v>20713</v>
      </c>
      <c r="J3419" s="947" t="s">
        <v>20714</v>
      </c>
      <c r="K3419" s="143"/>
    </row>
    <row r="3420" spans="1:11">
      <c r="A3420" s="946" t="s">
        <v>28620</v>
      </c>
      <c r="B3420" s="947" t="s">
        <v>20886</v>
      </c>
      <c r="C3420" s="948" t="s">
        <v>20884</v>
      </c>
      <c r="D3420" s="242" t="s">
        <v>615</v>
      </c>
      <c r="E3420" s="949">
        <v>503</v>
      </c>
      <c r="F3420" s="949">
        <v>503</v>
      </c>
      <c r="G3420" s="950" t="s">
        <v>14005</v>
      </c>
      <c r="H3420" s="950" t="s">
        <v>328</v>
      </c>
      <c r="I3420" s="951" t="s">
        <v>20885</v>
      </c>
      <c r="J3420" s="947" t="s">
        <v>20886</v>
      </c>
      <c r="K3420" s="143"/>
    </row>
    <row r="3421" spans="1:11">
      <c r="A3421" s="946" t="s">
        <v>28620</v>
      </c>
      <c r="B3421" s="947" t="s">
        <v>21007</v>
      </c>
      <c r="C3421" s="948" t="s">
        <v>21005</v>
      </c>
      <c r="D3421" s="242" t="s">
        <v>327</v>
      </c>
      <c r="E3421" s="949">
        <v>502</v>
      </c>
      <c r="F3421" s="949">
        <v>502</v>
      </c>
      <c r="G3421" s="950" t="s">
        <v>14005</v>
      </c>
      <c r="H3421" s="950" t="s">
        <v>328</v>
      </c>
      <c r="I3421" s="951" t="s">
        <v>21006</v>
      </c>
      <c r="J3421" s="947" t="s">
        <v>21007</v>
      </c>
      <c r="K3421" s="143"/>
    </row>
    <row r="3422" spans="1:11">
      <c r="A3422" s="946" t="s">
        <v>28620</v>
      </c>
      <c r="B3422" s="947" t="s">
        <v>21188</v>
      </c>
      <c r="C3422" s="948" t="s">
        <v>21186</v>
      </c>
      <c r="D3422" s="242" t="s">
        <v>327</v>
      </c>
      <c r="E3422" s="949">
        <v>502</v>
      </c>
      <c r="F3422" s="949">
        <v>502</v>
      </c>
      <c r="G3422" s="950" t="s">
        <v>14005</v>
      </c>
      <c r="H3422" s="950" t="s">
        <v>328</v>
      </c>
      <c r="I3422" s="951" t="s">
        <v>21187</v>
      </c>
      <c r="J3422" s="947" t="s">
        <v>21188</v>
      </c>
      <c r="K3422" s="143"/>
    </row>
    <row r="3423" spans="1:11">
      <c r="A3423" s="946" t="s">
        <v>28620</v>
      </c>
      <c r="B3423" s="947" t="s">
        <v>21643</v>
      </c>
      <c r="C3423" s="948" t="s">
        <v>21641</v>
      </c>
      <c r="D3423" s="242" t="s">
        <v>615</v>
      </c>
      <c r="E3423" s="949">
        <v>503</v>
      </c>
      <c r="F3423" s="949">
        <v>503</v>
      </c>
      <c r="G3423" s="950" t="s">
        <v>14005</v>
      </c>
      <c r="H3423" s="950" t="s">
        <v>328</v>
      </c>
      <c r="I3423" s="951" t="s">
        <v>21642</v>
      </c>
      <c r="J3423" s="947" t="s">
        <v>21643</v>
      </c>
      <c r="K3423" s="143"/>
    </row>
    <row r="3424" spans="1:11">
      <c r="A3424" s="946" t="s">
        <v>28620</v>
      </c>
      <c r="B3424" s="947" t="s">
        <v>21839</v>
      </c>
      <c r="C3424" s="948" t="s">
        <v>21837</v>
      </c>
      <c r="D3424" s="242" t="s">
        <v>327</v>
      </c>
      <c r="E3424" s="949">
        <v>502</v>
      </c>
      <c r="F3424" s="949">
        <v>502</v>
      </c>
      <c r="G3424" s="950" t="s">
        <v>14005</v>
      </c>
      <c r="H3424" s="950" t="s">
        <v>328</v>
      </c>
      <c r="I3424" s="951" t="s">
        <v>21838</v>
      </c>
      <c r="J3424" s="947" t="s">
        <v>21839</v>
      </c>
      <c r="K3424" s="143"/>
    </row>
    <row r="3425" spans="1:11">
      <c r="A3425" s="946" t="s">
        <v>28620</v>
      </c>
      <c r="B3425" s="947" t="s">
        <v>22025</v>
      </c>
      <c r="C3425" s="948" t="s">
        <v>22023</v>
      </c>
      <c r="D3425" s="242" t="s">
        <v>615</v>
      </c>
      <c r="E3425" s="949">
        <v>503</v>
      </c>
      <c r="F3425" s="949">
        <v>503</v>
      </c>
      <c r="G3425" s="950" t="s">
        <v>14005</v>
      </c>
      <c r="H3425" s="950" t="s">
        <v>328</v>
      </c>
      <c r="I3425" s="951" t="s">
        <v>22024</v>
      </c>
      <c r="J3425" s="947" t="s">
        <v>22025</v>
      </c>
      <c r="K3425" s="143"/>
    </row>
    <row r="3426" spans="1:11">
      <c r="A3426" s="946" t="s">
        <v>28620</v>
      </c>
      <c r="B3426" s="947" t="s">
        <v>22040</v>
      </c>
      <c r="C3426" s="948" t="s">
        <v>22038</v>
      </c>
      <c r="D3426" s="242" t="s">
        <v>615</v>
      </c>
      <c r="E3426" s="949">
        <v>503</v>
      </c>
      <c r="F3426" s="949">
        <v>503</v>
      </c>
      <c r="G3426" s="950" t="s">
        <v>14005</v>
      </c>
      <c r="H3426" s="950" t="s">
        <v>328</v>
      </c>
      <c r="I3426" s="951" t="s">
        <v>22039</v>
      </c>
      <c r="J3426" s="947" t="s">
        <v>22040</v>
      </c>
      <c r="K3426" s="143"/>
    </row>
    <row r="3427" spans="1:11">
      <c r="A3427" s="946" t="s">
        <v>28620</v>
      </c>
      <c r="B3427" s="947" t="s">
        <v>22079</v>
      </c>
      <c r="C3427" s="948" t="s">
        <v>22077</v>
      </c>
      <c r="D3427" s="242" t="s">
        <v>615</v>
      </c>
      <c r="E3427" s="949">
        <v>503</v>
      </c>
      <c r="F3427" s="949">
        <v>503</v>
      </c>
      <c r="G3427" s="950" t="s">
        <v>14005</v>
      </c>
      <c r="H3427" s="950" t="s">
        <v>328</v>
      </c>
      <c r="I3427" s="951" t="s">
        <v>22078</v>
      </c>
      <c r="J3427" s="947" t="s">
        <v>22079</v>
      </c>
      <c r="K3427" s="143"/>
    </row>
    <row r="3428" spans="1:11">
      <c r="A3428" s="946" t="s">
        <v>28620</v>
      </c>
      <c r="B3428" s="947" t="s">
        <v>22097</v>
      </c>
      <c r="C3428" s="948" t="s">
        <v>22095</v>
      </c>
      <c r="D3428" s="242" t="s">
        <v>327</v>
      </c>
      <c r="E3428" s="949">
        <v>502</v>
      </c>
      <c r="F3428" s="949">
        <v>502</v>
      </c>
      <c r="G3428" s="950" t="s">
        <v>14005</v>
      </c>
      <c r="H3428" s="950" t="s">
        <v>328</v>
      </c>
      <c r="I3428" s="951" t="s">
        <v>22096</v>
      </c>
      <c r="J3428" s="947" t="s">
        <v>22097</v>
      </c>
      <c r="K3428" s="143"/>
    </row>
    <row r="3429" spans="1:11">
      <c r="A3429" s="946" t="s">
        <v>28620</v>
      </c>
      <c r="B3429" s="947" t="s">
        <v>22179</v>
      </c>
      <c r="C3429" s="948" t="s">
        <v>22177</v>
      </c>
      <c r="D3429" s="242" t="s">
        <v>615</v>
      </c>
      <c r="E3429" s="949">
        <v>503</v>
      </c>
      <c r="F3429" s="949">
        <v>503</v>
      </c>
      <c r="G3429" s="950" t="s">
        <v>14005</v>
      </c>
      <c r="H3429" s="950" t="s">
        <v>328</v>
      </c>
      <c r="I3429" s="951" t="s">
        <v>22178</v>
      </c>
      <c r="J3429" s="947" t="s">
        <v>22179</v>
      </c>
      <c r="K3429" s="143"/>
    </row>
    <row r="3430" spans="1:11">
      <c r="A3430" s="946" t="s">
        <v>28620</v>
      </c>
      <c r="B3430" s="947" t="s">
        <v>22249</v>
      </c>
      <c r="C3430" s="948" t="s">
        <v>22247</v>
      </c>
      <c r="D3430" s="242" t="s">
        <v>615</v>
      </c>
      <c r="E3430" s="949">
        <v>503</v>
      </c>
      <c r="F3430" s="949">
        <v>503</v>
      </c>
      <c r="G3430" s="950" t="s">
        <v>14005</v>
      </c>
      <c r="H3430" s="950" t="s">
        <v>328</v>
      </c>
      <c r="I3430" s="951" t="s">
        <v>22248</v>
      </c>
      <c r="J3430" s="947" t="s">
        <v>22249</v>
      </c>
      <c r="K3430" s="143"/>
    </row>
    <row r="3431" spans="1:11">
      <c r="A3431" s="946" t="s">
        <v>28620</v>
      </c>
      <c r="B3431" s="947" t="s">
        <v>22472</v>
      </c>
      <c r="C3431" s="948" t="s">
        <v>22470</v>
      </c>
      <c r="D3431" s="242" t="s">
        <v>327</v>
      </c>
      <c r="E3431" s="949">
        <v>502</v>
      </c>
      <c r="F3431" s="949">
        <v>502</v>
      </c>
      <c r="G3431" s="950" t="s">
        <v>14005</v>
      </c>
      <c r="H3431" s="950" t="s">
        <v>328</v>
      </c>
      <c r="I3431" s="951" t="s">
        <v>22471</v>
      </c>
      <c r="J3431" s="947" t="s">
        <v>22472</v>
      </c>
      <c r="K3431" s="143"/>
    </row>
    <row r="3432" spans="1:11">
      <c r="A3432" s="946" t="s">
        <v>28620</v>
      </c>
      <c r="B3432" s="947" t="s">
        <v>7794</v>
      </c>
      <c r="C3432" s="948" t="s">
        <v>7792</v>
      </c>
      <c r="D3432" s="242" t="s">
        <v>327</v>
      </c>
      <c r="E3432" s="949">
        <v>502</v>
      </c>
      <c r="F3432" s="949">
        <v>502</v>
      </c>
      <c r="G3432" s="950" t="s">
        <v>14005</v>
      </c>
      <c r="H3432" s="950" t="s">
        <v>328</v>
      </c>
      <c r="I3432" s="951" t="s">
        <v>7793</v>
      </c>
      <c r="J3432" s="947" t="s">
        <v>7794</v>
      </c>
      <c r="K3432" s="143"/>
    </row>
    <row r="3433" spans="1:11">
      <c r="A3433" s="946" t="s">
        <v>28620</v>
      </c>
      <c r="B3433" s="947" t="s">
        <v>28664</v>
      </c>
      <c r="C3433" s="948" t="s">
        <v>28787</v>
      </c>
      <c r="D3433" s="242" t="s">
        <v>327</v>
      </c>
      <c r="E3433" s="949">
        <v>502</v>
      </c>
      <c r="F3433" s="949">
        <v>502</v>
      </c>
      <c r="G3433" s="950" t="s">
        <v>14005</v>
      </c>
      <c r="H3433" s="950" t="s">
        <v>328</v>
      </c>
      <c r="I3433" s="951" t="s">
        <v>28708</v>
      </c>
      <c r="J3433" s="947" t="s">
        <v>28664</v>
      </c>
      <c r="K3433" s="143"/>
    </row>
    <row r="3434" spans="1:11">
      <c r="A3434" s="946" t="s">
        <v>28620</v>
      </c>
      <c r="B3434" s="947" t="s">
        <v>32246</v>
      </c>
      <c r="C3434" s="948" t="s">
        <v>32247</v>
      </c>
      <c r="D3434" s="242" t="s">
        <v>327</v>
      </c>
      <c r="E3434" s="949">
        <v>502</v>
      </c>
      <c r="F3434" s="949">
        <v>502</v>
      </c>
      <c r="G3434" s="950" t="s">
        <v>14005</v>
      </c>
      <c r="H3434" s="950" t="s">
        <v>328</v>
      </c>
      <c r="I3434" s="951" t="s">
        <v>32248</v>
      </c>
      <c r="J3434" s="947" t="s">
        <v>32246</v>
      </c>
      <c r="K3434" s="143"/>
    </row>
    <row r="3435" spans="1:11">
      <c r="A3435" s="946" t="s">
        <v>28620</v>
      </c>
      <c r="B3435" s="947" t="s">
        <v>544</v>
      </c>
      <c r="C3435" s="948" t="s">
        <v>541</v>
      </c>
      <c r="D3435" s="242" t="s">
        <v>24913</v>
      </c>
      <c r="E3435" s="949">
        <v>505</v>
      </c>
      <c r="F3435" s="949">
        <v>505</v>
      </c>
      <c r="G3435" s="950" t="s">
        <v>17069</v>
      </c>
      <c r="H3435" s="950" t="s">
        <v>542</v>
      </c>
      <c r="I3435" s="951" t="s">
        <v>543</v>
      </c>
      <c r="J3435" s="947" t="s">
        <v>544</v>
      </c>
      <c r="K3435" s="143"/>
    </row>
    <row r="3436" spans="1:11">
      <c r="A3436" s="946" t="s">
        <v>28620</v>
      </c>
      <c r="B3436" s="947" t="s">
        <v>1410</v>
      </c>
      <c r="C3436" s="948" t="s">
        <v>1408</v>
      </c>
      <c r="D3436" s="242" t="s">
        <v>24913</v>
      </c>
      <c r="E3436" s="949">
        <v>505</v>
      </c>
      <c r="F3436" s="949">
        <v>505</v>
      </c>
      <c r="G3436" s="950" t="s">
        <v>17069</v>
      </c>
      <c r="H3436" s="950" t="s">
        <v>542</v>
      </c>
      <c r="I3436" s="951" t="s">
        <v>1409</v>
      </c>
      <c r="J3436" s="947" t="s">
        <v>1410</v>
      </c>
      <c r="K3436" s="143"/>
    </row>
    <row r="3437" spans="1:11">
      <c r="A3437" s="946" t="s">
        <v>28620</v>
      </c>
      <c r="B3437" s="947" t="s">
        <v>1479</v>
      </c>
      <c r="C3437" s="948" t="s">
        <v>1477</v>
      </c>
      <c r="D3437" s="242" t="s">
        <v>24913</v>
      </c>
      <c r="E3437" s="949">
        <v>505</v>
      </c>
      <c r="F3437" s="949">
        <v>505</v>
      </c>
      <c r="G3437" s="950" t="s">
        <v>17069</v>
      </c>
      <c r="H3437" s="950" t="s">
        <v>542</v>
      </c>
      <c r="I3437" s="951" t="s">
        <v>1478</v>
      </c>
      <c r="J3437" s="947" t="s">
        <v>1479</v>
      </c>
      <c r="K3437" s="143"/>
    </row>
    <row r="3438" spans="1:11">
      <c r="A3438" s="946" t="s">
        <v>28620</v>
      </c>
      <c r="B3438" s="947" t="s">
        <v>1746</v>
      </c>
      <c r="C3438" s="948" t="s">
        <v>1744</v>
      </c>
      <c r="D3438" s="242" t="s">
        <v>24913</v>
      </c>
      <c r="E3438" s="949">
        <v>505</v>
      </c>
      <c r="F3438" s="949">
        <v>505</v>
      </c>
      <c r="G3438" s="950" t="s">
        <v>17069</v>
      </c>
      <c r="H3438" s="950" t="s">
        <v>542</v>
      </c>
      <c r="I3438" s="951" t="s">
        <v>1745</v>
      </c>
      <c r="J3438" s="947" t="s">
        <v>1746</v>
      </c>
      <c r="K3438" s="143"/>
    </row>
    <row r="3439" spans="1:11">
      <c r="A3439" s="946" t="s">
        <v>28620</v>
      </c>
      <c r="B3439" s="947" t="s">
        <v>1808</v>
      </c>
      <c r="C3439" s="948" t="s">
        <v>1806</v>
      </c>
      <c r="D3439" s="242" t="s">
        <v>24913</v>
      </c>
      <c r="E3439" s="949">
        <v>505</v>
      </c>
      <c r="F3439" s="949">
        <v>505</v>
      </c>
      <c r="G3439" s="950" t="s">
        <v>17069</v>
      </c>
      <c r="H3439" s="950" t="s">
        <v>542</v>
      </c>
      <c r="I3439" s="951" t="s">
        <v>1807</v>
      </c>
      <c r="J3439" s="947" t="s">
        <v>1808</v>
      </c>
      <c r="K3439" s="143"/>
    </row>
    <row r="3440" spans="1:11">
      <c r="A3440" s="946" t="s">
        <v>28620</v>
      </c>
      <c r="B3440" s="947" t="s">
        <v>2298</v>
      </c>
      <c r="C3440" s="948" t="s">
        <v>2296</v>
      </c>
      <c r="D3440" s="242" t="s">
        <v>24913</v>
      </c>
      <c r="E3440" s="949">
        <v>505</v>
      </c>
      <c r="F3440" s="949">
        <v>505</v>
      </c>
      <c r="G3440" s="950" t="s">
        <v>17069</v>
      </c>
      <c r="H3440" s="950" t="s">
        <v>542</v>
      </c>
      <c r="I3440" s="951" t="s">
        <v>2297</v>
      </c>
      <c r="J3440" s="947" t="s">
        <v>2298</v>
      </c>
      <c r="K3440" s="143"/>
    </row>
    <row r="3441" spans="1:11">
      <c r="A3441" s="946" t="s">
        <v>28620</v>
      </c>
      <c r="B3441" s="947" t="s">
        <v>2852</v>
      </c>
      <c r="C3441" s="948" t="s">
        <v>2850</v>
      </c>
      <c r="D3441" s="242" t="s">
        <v>24913</v>
      </c>
      <c r="E3441" s="949">
        <v>505</v>
      </c>
      <c r="F3441" s="949">
        <v>505</v>
      </c>
      <c r="G3441" s="950" t="s">
        <v>17069</v>
      </c>
      <c r="H3441" s="950" t="s">
        <v>542</v>
      </c>
      <c r="I3441" s="951" t="s">
        <v>2851</v>
      </c>
      <c r="J3441" s="947" t="s">
        <v>2852</v>
      </c>
      <c r="K3441" s="143"/>
    </row>
    <row r="3442" spans="1:11">
      <c r="A3442" s="946" t="s">
        <v>28620</v>
      </c>
      <c r="B3442" s="947" t="s">
        <v>3543</v>
      </c>
      <c r="C3442" s="948" t="s">
        <v>3541</v>
      </c>
      <c r="D3442" s="242" t="s">
        <v>24913</v>
      </c>
      <c r="E3442" s="949">
        <v>505</v>
      </c>
      <c r="F3442" s="949">
        <v>505</v>
      </c>
      <c r="G3442" s="950" t="s">
        <v>17069</v>
      </c>
      <c r="H3442" s="950" t="s">
        <v>542</v>
      </c>
      <c r="I3442" s="951" t="s">
        <v>3542</v>
      </c>
      <c r="J3442" s="947" t="s">
        <v>3543</v>
      </c>
      <c r="K3442" s="143"/>
    </row>
    <row r="3443" spans="1:11">
      <c r="A3443" s="946" t="s">
        <v>28620</v>
      </c>
      <c r="B3443" s="947" t="s">
        <v>3870</v>
      </c>
      <c r="C3443" s="948" t="s">
        <v>3868</v>
      </c>
      <c r="D3443" s="242" t="s">
        <v>24913</v>
      </c>
      <c r="E3443" s="949">
        <v>505</v>
      </c>
      <c r="F3443" s="949">
        <v>505</v>
      </c>
      <c r="G3443" s="950" t="s">
        <v>17069</v>
      </c>
      <c r="H3443" s="950" t="s">
        <v>542</v>
      </c>
      <c r="I3443" s="951" t="s">
        <v>3869</v>
      </c>
      <c r="J3443" s="947" t="s">
        <v>3870</v>
      </c>
      <c r="K3443" s="143"/>
    </row>
    <row r="3444" spans="1:11">
      <c r="A3444" s="946" t="s">
        <v>28620</v>
      </c>
      <c r="B3444" s="947" t="s">
        <v>3882</v>
      </c>
      <c r="C3444" s="948" t="s">
        <v>3880</v>
      </c>
      <c r="D3444" s="242" t="s">
        <v>24913</v>
      </c>
      <c r="E3444" s="949">
        <v>505</v>
      </c>
      <c r="F3444" s="949">
        <v>505</v>
      </c>
      <c r="G3444" s="950" t="s">
        <v>17069</v>
      </c>
      <c r="H3444" s="950" t="s">
        <v>542</v>
      </c>
      <c r="I3444" s="951" t="s">
        <v>3881</v>
      </c>
      <c r="J3444" s="947" t="s">
        <v>3882</v>
      </c>
      <c r="K3444" s="143"/>
    </row>
    <row r="3445" spans="1:11">
      <c r="A3445" s="946" t="s">
        <v>28620</v>
      </c>
      <c r="B3445" s="947" t="s">
        <v>5120</v>
      </c>
      <c r="C3445" s="948" t="s">
        <v>5118</v>
      </c>
      <c r="D3445" s="242" t="s">
        <v>24913</v>
      </c>
      <c r="E3445" s="949">
        <v>505</v>
      </c>
      <c r="F3445" s="949">
        <v>505</v>
      </c>
      <c r="G3445" s="950" t="s">
        <v>17069</v>
      </c>
      <c r="H3445" s="950" t="s">
        <v>542</v>
      </c>
      <c r="I3445" s="951" t="s">
        <v>5119</v>
      </c>
      <c r="J3445" s="947" t="s">
        <v>5120</v>
      </c>
      <c r="K3445" s="143"/>
    </row>
    <row r="3446" spans="1:11">
      <c r="A3446" s="946" t="s">
        <v>28620</v>
      </c>
      <c r="B3446" s="947" t="s">
        <v>5299</v>
      </c>
      <c r="C3446" s="948" t="s">
        <v>5297</v>
      </c>
      <c r="D3446" s="242" t="s">
        <v>24913</v>
      </c>
      <c r="E3446" s="949">
        <v>505</v>
      </c>
      <c r="F3446" s="949">
        <v>505</v>
      </c>
      <c r="G3446" s="950" t="s">
        <v>17069</v>
      </c>
      <c r="H3446" s="950" t="s">
        <v>542</v>
      </c>
      <c r="I3446" s="951" t="s">
        <v>5298</v>
      </c>
      <c r="J3446" s="947" t="s">
        <v>5299</v>
      </c>
      <c r="K3446" s="143"/>
    </row>
    <row r="3447" spans="1:11">
      <c r="A3447" s="946" t="s">
        <v>28620</v>
      </c>
      <c r="B3447" s="947" t="s">
        <v>5314</v>
      </c>
      <c r="C3447" s="948" t="s">
        <v>5312</v>
      </c>
      <c r="D3447" s="242" t="s">
        <v>24913</v>
      </c>
      <c r="E3447" s="949">
        <v>505</v>
      </c>
      <c r="F3447" s="949">
        <v>505</v>
      </c>
      <c r="G3447" s="950" t="s">
        <v>17069</v>
      </c>
      <c r="H3447" s="950" t="s">
        <v>542</v>
      </c>
      <c r="I3447" s="951" t="s">
        <v>5313</v>
      </c>
      <c r="J3447" s="947" t="s">
        <v>5314</v>
      </c>
      <c r="K3447" s="143"/>
    </row>
    <row r="3448" spans="1:11">
      <c r="A3448" s="946" t="s">
        <v>28620</v>
      </c>
      <c r="B3448" s="947" t="s">
        <v>5853</v>
      </c>
      <c r="C3448" s="948" t="s">
        <v>5851</v>
      </c>
      <c r="D3448" s="242" t="s">
        <v>24913</v>
      </c>
      <c r="E3448" s="949">
        <v>505</v>
      </c>
      <c r="F3448" s="949">
        <v>505</v>
      </c>
      <c r="G3448" s="950" t="s">
        <v>17069</v>
      </c>
      <c r="H3448" s="950" t="s">
        <v>542</v>
      </c>
      <c r="I3448" s="951" t="s">
        <v>5852</v>
      </c>
      <c r="J3448" s="947" t="s">
        <v>5853</v>
      </c>
      <c r="K3448" s="143"/>
    </row>
    <row r="3449" spans="1:11">
      <c r="A3449" s="946" t="s">
        <v>28620</v>
      </c>
      <c r="B3449" s="947" t="s">
        <v>5933</v>
      </c>
      <c r="C3449" s="948" t="s">
        <v>5931</v>
      </c>
      <c r="D3449" s="242" t="s">
        <v>24913</v>
      </c>
      <c r="E3449" s="949">
        <v>505</v>
      </c>
      <c r="F3449" s="949">
        <v>505</v>
      </c>
      <c r="G3449" s="950" t="s">
        <v>17069</v>
      </c>
      <c r="H3449" s="950" t="s">
        <v>542</v>
      </c>
      <c r="I3449" s="951" t="s">
        <v>5932</v>
      </c>
      <c r="J3449" s="947" t="s">
        <v>5933</v>
      </c>
      <c r="K3449" s="143"/>
    </row>
    <row r="3450" spans="1:11">
      <c r="A3450" s="946" t="s">
        <v>28620</v>
      </c>
      <c r="B3450" s="947" t="s">
        <v>7030</v>
      </c>
      <c r="C3450" s="948" t="s">
        <v>7028</v>
      </c>
      <c r="D3450" s="242" t="s">
        <v>24913</v>
      </c>
      <c r="E3450" s="949">
        <v>505</v>
      </c>
      <c r="F3450" s="949">
        <v>505</v>
      </c>
      <c r="G3450" s="950" t="s">
        <v>17069</v>
      </c>
      <c r="H3450" s="950" t="s">
        <v>542</v>
      </c>
      <c r="I3450" s="951" t="s">
        <v>7029</v>
      </c>
      <c r="J3450" s="947" t="s">
        <v>7030</v>
      </c>
      <c r="K3450" s="143"/>
    </row>
    <row r="3451" spans="1:11">
      <c r="A3451" s="946" t="s">
        <v>28620</v>
      </c>
      <c r="B3451" s="947" t="s">
        <v>7261</v>
      </c>
      <c r="C3451" s="948" t="s">
        <v>7259</v>
      </c>
      <c r="D3451" s="242" t="s">
        <v>24913</v>
      </c>
      <c r="E3451" s="949">
        <v>505</v>
      </c>
      <c r="F3451" s="949">
        <v>505</v>
      </c>
      <c r="G3451" s="950" t="s">
        <v>17069</v>
      </c>
      <c r="H3451" s="950" t="s">
        <v>542</v>
      </c>
      <c r="I3451" s="951" t="s">
        <v>7260</v>
      </c>
      <c r="J3451" s="947" t="s">
        <v>7261</v>
      </c>
      <c r="K3451" s="143"/>
    </row>
    <row r="3452" spans="1:11">
      <c r="A3452" s="946" t="s">
        <v>28620</v>
      </c>
      <c r="B3452" s="947" t="s">
        <v>7374</v>
      </c>
      <c r="C3452" s="948" t="s">
        <v>7372</v>
      </c>
      <c r="D3452" s="242" t="s">
        <v>24913</v>
      </c>
      <c r="E3452" s="949">
        <v>505</v>
      </c>
      <c r="F3452" s="949">
        <v>505</v>
      </c>
      <c r="G3452" s="950" t="s">
        <v>17069</v>
      </c>
      <c r="H3452" s="950" t="s">
        <v>542</v>
      </c>
      <c r="I3452" s="951" t="s">
        <v>7373</v>
      </c>
      <c r="J3452" s="947" t="s">
        <v>7374</v>
      </c>
      <c r="K3452" s="143"/>
    </row>
    <row r="3453" spans="1:11">
      <c r="A3453" s="946" t="s">
        <v>28620</v>
      </c>
      <c r="B3453" s="947" t="s">
        <v>8192</v>
      </c>
      <c r="C3453" s="948" t="s">
        <v>8190</v>
      </c>
      <c r="D3453" s="242" t="s">
        <v>24913</v>
      </c>
      <c r="E3453" s="949">
        <v>505</v>
      </c>
      <c r="F3453" s="949">
        <v>505</v>
      </c>
      <c r="G3453" s="950" t="s">
        <v>17069</v>
      </c>
      <c r="H3453" s="950" t="s">
        <v>542</v>
      </c>
      <c r="I3453" s="951" t="s">
        <v>8191</v>
      </c>
      <c r="J3453" s="947" t="s">
        <v>8192</v>
      </c>
      <c r="K3453" s="143"/>
    </row>
    <row r="3454" spans="1:11">
      <c r="A3454" s="946" t="s">
        <v>28620</v>
      </c>
      <c r="B3454" s="947" t="s">
        <v>8220</v>
      </c>
      <c r="C3454" s="948" t="s">
        <v>8218</v>
      </c>
      <c r="D3454" s="242" t="s">
        <v>24913</v>
      </c>
      <c r="E3454" s="949">
        <v>505</v>
      </c>
      <c r="F3454" s="949">
        <v>505</v>
      </c>
      <c r="G3454" s="950" t="s">
        <v>17069</v>
      </c>
      <c r="H3454" s="950" t="s">
        <v>542</v>
      </c>
      <c r="I3454" s="951" t="s">
        <v>8219</v>
      </c>
      <c r="J3454" s="947" t="s">
        <v>8220</v>
      </c>
      <c r="K3454" s="143"/>
    </row>
    <row r="3455" spans="1:11">
      <c r="A3455" s="946" t="s">
        <v>28620</v>
      </c>
      <c r="B3455" s="947" t="s">
        <v>8659</v>
      </c>
      <c r="C3455" s="948" t="s">
        <v>8657</v>
      </c>
      <c r="D3455" s="242" t="s">
        <v>24913</v>
      </c>
      <c r="E3455" s="949">
        <v>505</v>
      </c>
      <c r="F3455" s="949">
        <v>505</v>
      </c>
      <c r="G3455" s="950" t="s">
        <v>17069</v>
      </c>
      <c r="H3455" s="950" t="s">
        <v>542</v>
      </c>
      <c r="I3455" s="951" t="s">
        <v>8658</v>
      </c>
      <c r="J3455" s="947" t="s">
        <v>8659</v>
      </c>
      <c r="K3455" s="143"/>
    </row>
    <row r="3456" spans="1:11">
      <c r="A3456" s="946" t="s">
        <v>28620</v>
      </c>
      <c r="B3456" s="947" t="s">
        <v>8683</v>
      </c>
      <c r="C3456" s="948" t="s">
        <v>8681</v>
      </c>
      <c r="D3456" s="242" t="s">
        <v>24913</v>
      </c>
      <c r="E3456" s="949">
        <v>505</v>
      </c>
      <c r="F3456" s="949">
        <v>505</v>
      </c>
      <c r="G3456" s="950" t="s">
        <v>17069</v>
      </c>
      <c r="H3456" s="950" t="s">
        <v>542</v>
      </c>
      <c r="I3456" s="951" t="s">
        <v>8682</v>
      </c>
      <c r="J3456" s="947" t="s">
        <v>8683</v>
      </c>
      <c r="K3456" s="143"/>
    </row>
    <row r="3457" spans="1:11">
      <c r="A3457" s="946" t="s">
        <v>28620</v>
      </c>
      <c r="B3457" s="947" t="s">
        <v>8835</v>
      </c>
      <c r="C3457" s="948" t="s">
        <v>8833</v>
      </c>
      <c r="D3457" s="242" t="s">
        <v>24913</v>
      </c>
      <c r="E3457" s="949">
        <v>505</v>
      </c>
      <c r="F3457" s="949">
        <v>505</v>
      </c>
      <c r="G3457" s="950" t="s">
        <v>17069</v>
      </c>
      <c r="H3457" s="950" t="s">
        <v>542</v>
      </c>
      <c r="I3457" s="951" t="s">
        <v>8834</v>
      </c>
      <c r="J3457" s="947" t="s">
        <v>8835</v>
      </c>
      <c r="K3457" s="143"/>
    </row>
    <row r="3458" spans="1:11">
      <c r="A3458" s="946" t="s">
        <v>28620</v>
      </c>
      <c r="B3458" s="947" t="s">
        <v>9032</v>
      </c>
      <c r="C3458" s="948" t="s">
        <v>9030</v>
      </c>
      <c r="D3458" s="242" t="s">
        <v>24913</v>
      </c>
      <c r="E3458" s="949">
        <v>505</v>
      </c>
      <c r="F3458" s="949">
        <v>505</v>
      </c>
      <c r="G3458" s="950" t="s">
        <v>17069</v>
      </c>
      <c r="H3458" s="950" t="s">
        <v>542</v>
      </c>
      <c r="I3458" s="951" t="s">
        <v>9031</v>
      </c>
      <c r="J3458" s="947" t="s">
        <v>9032</v>
      </c>
      <c r="K3458" s="143"/>
    </row>
    <row r="3459" spans="1:11">
      <c r="A3459" s="946" t="s">
        <v>28620</v>
      </c>
      <c r="B3459" s="947" t="s">
        <v>9170</v>
      </c>
      <c r="C3459" s="948" t="s">
        <v>9168</v>
      </c>
      <c r="D3459" s="242" t="s">
        <v>24913</v>
      </c>
      <c r="E3459" s="949">
        <v>505</v>
      </c>
      <c r="F3459" s="949">
        <v>505</v>
      </c>
      <c r="G3459" s="950" t="s">
        <v>17069</v>
      </c>
      <c r="H3459" s="950" t="s">
        <v>542</v>
      </c>
      <c r="I3459" s="951" t="s">
        <v>9169</v>
      </c>
      <c r="J3459" s="947" t="s">
        <v>9170</v>
      </c>
      <c r="K3459" s="143"/>
    </row>
    <row r="3460" spans="1:11">
      <c r="A3460" s="946" t="s">
        <v>28620</v>
      </c>
      <c r="B3460" s="947" t="s">
        <v>9684</v>
      </c>
      <c r="C3460" s="948" t="s">
        <v>9682</v>
      </c>
      <c r="D3460" s="242" t="s">
        <v>24913</v>
      </c>
      <c r="E3460" s="949">
        <v>505</v>
      </c>
      <c r="F3460" s="949">
        <v>505</v>
      </c>
      <c r="G3460" s="950" t="s">
        <v>17069</v>
      </c>
      <c r="H3460" s="950" t="s">
        <v>542</v>
      </c>
      <c r="I3460" s="951" t="s">
        <v>9683</v>
      </c>
      <c r="J3460" s="947" t="s">
        <v>9684</v>
      </c>
      <c r="K3460" s="143"/>
    </row>
    <row r="3461" spans="1:11">
      <c r="A3461" s="946" t="s">
        <v>28620</v>
      </c>
      <c r="B3461" s="947" t="s">
        <v>10288</v>
      </c>
      <c r="C3461" s="948" t="s">
        <v>10286</v>
      </c>
      <c r="D3461" s="242" t="s">
        <v>24913</v>
      </c>
      <c r="E3461" s="949">
        <v>505</v>
      </c>
      <c r="F3461" s="949">
        <v>505</v>
      </c>
      <c r="G3461" s="950" t="s">
        <v>17069</v>
      </c>
      <c r="H3461" s="950" t="s">
        <v>542</v>
      </c>
      <c r="I3461" s="951" t="s">
        <v>10287</v>
      </c>
      <c r="J3461" s="947" t="s">
        <v>10288</v>
      </c>
      <c r="K3461" s="143"/>
    </row>
    <row r="3462" spans="1:11">
      <c r="A3462" s="946" t="s">
        <v>28620</v>
      </c>
      <c r="B3462" s="947" t="s">
        <v>10636</v>
      </c>
      <c r="C3462" s="948" t="s">
        <v>10634</v>
      </c>
      <c r="D3462" s="242" t="s">
        <v>24913</v>
      </c>
      <c r="E3462" s="949">
        <v>505</v>
      </c>
      <c r="F3462" s="949">
        <v>505</v>
      </c>
      <c r="G3462" s="950" t="s">
        <v>17069</v>
      </c>
      <c r="H3462" s="950" t="s">
        <v>542</v>
      </c>
      <c r="I3462" s="951" t="s">
        <v>10635</v>
      </c>
      <c r="J3462" s="947" t="s">
        <v>10636</v>
      </c>
      <c r="K3462" s="143"/>
    </row>
    <row r="3463" spans="1:11">
      <c r="A3463" s="946" t="s">
        <v>28620</v>
      </c>
      <c r="B3463" s="947" t="s">
        <v>10780</v>
      </c>
      <c r="C3463" s="948" t="s">
        <v>10778</v>
      </c>
      <c r="D3463" s="242" t="s">
        <v>24913</v>
      </c>
      <c r="E3463" s="949">
        <v>505</v>
      </c>
      <c r="F3463" s="949">
        <v>505</v>
      </c>
      <c r="G3463" s="950" t="s">
        <v>17069</v>
      </c>
      <c r="H3463" s="950" t="s">
        <v>542</v>
      </c>
      <c r="I3463" s="951" t="s">
        <v>10779</v>
      </c>
      <c r="J3463" s="947" t="s">
        <v>10780</v>
      </c>
      <c r="K3463" s="143"/>
    </row>
    <row r="3464" spans="1:11">
      <c r="A3464" s="946" t="s">
        <v>28620</v>
      </c>
      <c r="B3464" s="947" t="s">
        <v>11525</v>
      </c>
      <c r="C3464" s="948" t="s">
        <v>11523</v>
      </c>
      <c r="D3464" s="242" t="s">
        <v>24913</v>
      </c>
      <c r="E3464" s="949">
        <v>505</v>
      </c>
      <c r="F3464" s="949">
        <v>505</v>
      </c>
      <c r="G3464" s="950" t="s">
        <v>17069</v>
      </c>
      <c r="H3464" s="950" t="s">
        <v>542</v>
      </c>
      <c r="I3464" s="951" t="s">
        <v>11524</v>
      </c>
      <c r="J3464" s="947" t="s">
        <v>11525</v>
      </c>
      <c r="K3464" s="143"/>
    </row>
    <row r="3465" spans="1:11">
      <c r="A3465" s="946" t="s">
        <v>28620</v>
      </c>
      <c r="B3465" s="947" t="s">
        <v>13494</v>
      </c>
      <c r="C3465" s="948" t="s">
        <v>13492</v>
      </c>
      <c r="D3465" s="242" t="s">
        <v>24913</v>
      </c>
      <c r="E3465" s="949">
        <v>505</v>
      </c>
      <c r="F3465" s="949">
        <v>505</v>
      </c>
      <c r="G3465" s="950" t="s">
        <v>17069</v>
      </c>
      <c r="H3465" s="950" t="s">
        <v>542</v>
      </c>
      <c r="I3465" s="951" t="s">
        <v>13493</v>
      </c>
      <c r="J3465" s="947" t="s">
        <v>13494</v>
      </c>
      <c r="K3465" s="143"/>
    </row>
    <row r="3466" spans="1:11">
      <c r="A3466" s="946" t="s">
        <v>28620</v>
      </c>
      <c r="B3466" s="947" t="s">
        <v>14231</v>
      </c>
      <c r="C3466" s="948" t="s">
        <v>14229</v>
      </c>
      <c r="D3466" s="242" t="s">
        <v>24913</v>
      </c>
      <c r="E3466" s="949">
        <v>505</v>
      </c>
      <c r="F3466" s="949">
        <v>505</v>
      </c>
      <c r="G3466" s="950" t="s">
        <v>17069</v>
      </c>
      <c r="H3466" s="950" t="s">
        <v>542</v>
      </c>
      <c r="I3466" s="951" t="s">
        <v>14230</v>
      </c>
      <c r="J3466" s="947" t="s">
        <v>14231</v>
      </c>
      <c r="K3466" s="143"/>
    </row>
    <row r="3467" spans="1:11">
      <c r="A3467" s="946" t="s">
        <v>28620</v>
      </c>
      <c r="B3467" s="947" t="s">
        <v>14680</v>
      </c>
      <c r="C3467" s="948" t="s">
        <v>14678</v>
      </c>
      <c r="D3467" s="242" t="s">
        <v>24913</v>
      </c>
      <c r="E3467" s="949">
        <v>505</v>
      </c>
      <c r="F3467" s="949">
        <v>505</v>
      </c>
      <c r="G3467" s="950" t="s">
        <v>17069</v>
      </c>
      <c r="H3467" s="950" t="s">
        <v>542</v>
      </c>
      <c r="I3467" s="951" t="s">
        <v>14679</v>
      </c>
      <c r="J3467" s="947" t="s">
        <v>14680</v>
      </c>
      <c r="K3467" s="143"/>
    </row>
    <row r="3468" spans="1:11">
      <c r="A3468" s="946" t="s">
        <v>28620</v>
      </c>
      <c r="B3468" s="947" t="s">
        <v>15006</v>
      </c>
      <c r="C3468" s="948" t="s">
        <v>15004</v>
      </c>
      <c r="D3468" s="242" t="s">
        <v>24913</v>
      </c>
      <c r="E3468" s="949">
        <v>505</v>
      </c>
      <c r="F3468" s="949">
        <v>505</v>
      </c>
      <c r="G3468" s="950" t="s">
        <v>17069</v>
      </c>
      <c r="H3468" s="950" t="s">
        <v>542</v>
      </c>
      <c r="I3468" s="951" t="s">
        <v>15005</v>
      </c>
      <c r="J3468" s="947" t="s">
        <v>15006</v>
      </c>
      <c r="K3468" s="143"/>
    </row>
    <row r="3469" spans="1:11">
      <c r="A3469" s="946" t="s">
        <v>28620</v>
      </c>
      <c r="B3469" s="947" t="s">
        <v>15253</v>
      </c>
      <c r="C3469" s="948" t="s">
        <v>15251</v>
      </c>
      <c r="D3469" s="242" t="s">
        <v>24913</v>
      </c>
      <c r="E3469" s="949">
        <v>505</v>
      </c>
      <c r="F3469" s="949">
        <v>505</v>
      </c>
      <c r="G3469" s="950" t="s">
        <v>17069</v>
      </c>
      <c r="H3469" s="950" t="s">
        <v>542</v>
      </c>
      <c r="I3469" s="951" t="s">
        <v>15252</v>
      </c>
      <c r="J3469" s="947" t="s">
        <v>15253</v>
      </c>
      <c r="K3469" s="143"/>
    </row>
    <row r="3470" spans="1:11">
      <c r="A3470" s="946" t="s">
        <v>28620</v>
      </c>
      <c r="B3470" s="947" t="s">
        <v>15418</v>
      </c>
      <c r="C3470" s="948" t="s">
        <v>15416</v>
      </c>
      <c r="D3470" s="242" t="s">
        <v>24913</v>
      </c>
      <c r="E3470" s="949">
        <v>505</v>
      </c>
      <c r="F3470" s="949">
        <v>505</v>
      </c>
      <c r="G3470" s="950" t="s">
        <v>17069</v>
      </c>
      <c r="H3470" s="950" t="s">
        <v>542</v>
      </c>
      <c r="I3470" s="951" t="s">
        <v>15417</v>
      </c>
      <c r="J3470" s="947" t="s">
        <v>15418</v>
      </c>
      <c r="K3470" s="143"/>
    </row>
    <row r="3471" spans="1:11">
      <c r="A3471" s="946" t="s">
        <v>28620</v>
      </c>
      <c r="B3471" s="947" t="s">
        <v>15572</v>
      </c>
      <c r="C3471" s="948" t="s">
        <v>15570</v>
      </c>
      <c r="D3471" s="242" t="s">
        <v>24913</v>
      </c>
      <c r="E3471" s="949">
        <v>505</v>
      </c>
      <c r="F3471" s="949">
        <v>505</v>
      </c>
      <c r="G3471" s="950" t="s">
        <v>17069</v>
      </c>
      <c r="H3471" s="950" t="s">
        <v>542</v>
      </c>
      <c r="I3471" s="951" t="s">
        <v>15571</v>
      </c>
      <c r="J3471" s="947" t="s">
        <v>15572</v>
      </c>
      <c r="K3471" s="143"/>
    </row>
    <row r="3472" spans="1:11">
      <c r="A3472" s="946" t="s">
        <v>28620</v>
      </c>
      <c r="B3472" s="947" t="s">
        <v>16970</v>
      </c>
      <c r="C3472" s="948" t="s">
        <v>16968</v>
      </c>
      <c r="D3472" s="242" t="s">
        <v>24913</v>
      </c>
      <c r="E3472" s="949">
        <v>505</v>
      </c>
      <c r="F3472" s="949">
        <v>505</v>
      </c>
      <c r="G3472" s="950" t="s">
        <v>17069</v>
      </c>
      <c r="H3472" s="950" t="s">
        <v>542</v>
      </c>
      <c r="I3472" s="951" t="s">
        <v>16969</v>
      </c>
      <c r="J3472" s="947" t="s">
        <v>16970</v>
      </c>
      <c r="K3472" s="143"/>
    </row>
    <row r="3473" spans="1:11">
      <c r="A3473" s="946" t="s">
        <v>28620</v>
      </c>
      <c r="B3473" s="947" t="s">
        <v>17069</v>
      </c>
      <c r="C3473" s="948" t="s">
        <v>17067</v>
      </c>
      <c r="D3473" s="242" t="s">
        <v>24913</v>
      </c>
      <c r="E3473" s="949">
        <v>505</v>
      </c>
      <c r="F3473" s="949">
        <v>505</v>
      </c>
      <c r="G3473" s="950" t="s">
        <v>17069</v>
      </c>
      <c r="H3473" s="950" t="s">
        <v>542</v>
      </c>
      <c r="I3473" s="951" t="s">
        <v>17068</v>
      </c>
      <c r="J3473" s="947" t="s">
        <v>17069</v>
      </c>
      <c r="K3473" s="143"/>
    </row>
    <row r="3474" spans="1:11">
      <c r="A3474" s="946" t="s">
        <v>28620</v>
      </c>
      <c r="B3474" s="947" t="s">
        <v>17218</v>
      </c>
      <c r="C3474" s="948" t="s">
        <v>17216</v>
      </c>
      <c r="D3474" s="242" t="s">
        <v>24913</v>
      </c>
      <c r="E3474" s="949">
        <v>505</v>
      </c>
      <c r="F3474" s="949">
        <v>505</v>
      </c>
      <c r="G3474" s="950" t="s">
        <v>17069</v>
      </c>
      <c r="H3474" s="950" t="s">
        <v>542</v>
      </c>
      <c r="I3474" s="951" t="s">
        <v>17217</v>
      </c>
      <c r="J3474" s="947" t="s">
        <v>17218</v>
      </c>
      <c r="K3474" s="143"/>
    </row>
    <row r="3475" spans="1:11">
      <c r="A3475" s="946" t="s">
        <v>28620</v>
      </c>
      <c r="B3475" s="947" t="s">
        <v>17377</v>
      </c>
      <c r="C3475" s="948" t="s">
        <v>17375</v>
      </c>
      <c r="D3475" s="242" t="s">
        <v>24913</v>
      </c>
      <c r="E3475" s="949">
        <v>505</v>
      </c>
      <c r="F3475" s="949">
        <v>505</v>
      </c>
      <c r="G3475" s="950" t="s">
        <v>17069</v>
      </c>
      <c r="H3475" s="950" t="s">
        <v>542</v>
      </c>
      <c r="I3475" s="951" t="s">
        <v>17376</v>
      </c>
      <c r="J3475" s="947" t="s">
        <v>17377</v>
      </c>
      <c r="K3475" s="143"/>
    </row>
    <row r="3476" spans="1:11">
      <c r="A3476" s="946" t="s">
        <v>28620</v>
      </c>
      <c r="B3476" s="947" t="s">
        <v>17907</v>
      </c>
      <c r="C3476" s="948" t="s">
        <v>17905</v>
      </c>
      <c r="D3476" s="242" t="s">
        <v>24913</v>
      </c>
      <c r="E3476" s="949">
        <v>505</v>
      </c>
      <c r="F3476" s="949">
        <v>505</v>
      </c>
      <c r="G3476" s="950" t="s">
        <v>17069</v>
      </c>
      <c r="H3476" s="950" t="s">
        <v>542</v>
      </c>
      <c r="I3476" s="951" t="s">
        <v>17906</v>
      </c>
      <c r="J3476" s="947" t="s">
        <v>17907</v>
      </c>
      <c r="K3476" s="143"/>
    </row>
    <row r="3477" spans="1:11">
      <c r="A3477" s="946" t="s">
        <v>28620</v>
      </c>
      <c r="B3477" s="947" t="s">
        <v>20002</v>
      </c>
      <c r="C3477" s="948" t="s">
        <v>20000</v>
      </c>
      <c r="D3477" s="242" t="s">
        <v>24913</v>
      </c>
      <c r="E3477" s="949">
        <v>505</v>
      </c>
      <c r="F3477" s="949">
        <v>505</v>
      </c>
      <c r="G3477" s="950" t="s">
        <v>17069</v>
      </c>
      <c r="H3477" s="950" t="s">
        <v>542</v>
      </c>
      <c r="I3477" s="951" t="s">
        <v>20001</v>
      </c>
      <c r="J3477" s="947" t="s">
        <v>20002</v>
      </c>
      <c r="K3477" s="143"/>
    </row>
    <row r="3478" spans="1:11">
      <c r="A3478" s="946" t="s">
        <v>28620</v>
      </c>
      <c r="B3478" s="947" t="s">
        <v>20168</v>
      </c>
      <c r="C3478" s="948" t="s">
        <v>20166</v>
      </c>
      <c r="D3478" s="242" t="s">
        <v>24913</v>
      </c>
      <c r="E3478" s="949">
        <v>505</v>
      </c>
      <c r="F3478" s="949">
        <v>505</v>
      </c>
      <c r="G3478" s="950" t="s">
        <v>17069</v>
      </c>
      <c r="H3478" s="950" t="s">
        <v>542</v>
      </c>
      <c r="I3478" s="951" t="s">
        <v>20167</v>
      </c>
      <c r="J3478" s="947" t="s">
        <v>20168</v>
      </c>
      <c r="K3478" s="143"/>
    </row>
    <row r="3479" spans="1:11">
      <c r="A3479" s="946" t="s">
        <v>28620</v>
      </c>
      <c r="B3479" s="947" t="s">
        <v>20904</v>
      </c>
      <c r="C3479" s="948" t="s">
        <v>20902</v>
      </c>
      <c r="D3479" s="242" t="s">
        <v>24913</v>
      </c>
      <c r="E3479" s="949">
        <v>505</v>
      </c>
      <c r="F3479" s="949">
        <v>505</v>
      </c>
      <c r="G3479" s="950" t="s">
        <v>17069</v>
      </c>
      <c r="H3479" s="950" t="s">
        <v>542</v>
      </c>
      <c r="I3479" s="951" t="s">
        <v>20903</v>
      </c>
      <c r="J3479" s="947" t="s">
        <v>20904</v>
      </c>
      <c r="K3479" s="143"/>
    </row>
    <row r="3480" spans="1:11">
      <c r="A3480" s="946" t="s">
        <v>28620</v>
      </c>
      <c r="B3480" s="947" t="s">
        <v>22162</v>
      </c>
      <c r="C3480" s="948" t="s">
        <v>22160</v>
      </c>
      <c r="D3480" s="242" t="s">
        <v>24913</v>
      </c>
      <c r="E3480" s="949">
        <v>505</v>
      </c>
      <c r="F3480" s="949">
        <v>505</v>
      </c>
      <c r="G3480" s="950" t="s">
        <v>17069</v>
      </c>
      <c r="H3480" s="950" t="s">
        <v>542</v>
      </c>
      <c r="I3480" s="951" t="s">
        <v>22161</v>
      </c>
      <c r="J3480" s="947" t="s">
        <v>22162</v>
      </c>
      <c r="K3480" s="143"/>
    </row>
    <row r="3481" spans="1:11">
      <c r="A3481" s="946" t="s">
        <v>28620</v>
      </c>
      <c r="B3481" s="947" t="s">
        <v>22217</v>
      </c>
      <c r="C3481" s="948" t="s">
        <v>22215</v>
      </c>
      <c r="D3481" s="242" t="s">
        <v>24913</v>
      </c>
      <c r="E3481" s="949">
        <v>505</v>
      </c>
      <c r="F3481" s="949">
        <v>505</v>
      </c>
      <c r="G3481" s="950" t="s">
        <v>17069</v>
      </c>
      <c r="H3481" s="950" t="s">
        <v>542</v>
      </c>
      <c r="I3481" s="951" t="s">
        <v>22216</v>
      </c>
      <c r="J3481" s="947" t="s">
        <v>22217</v>
      </c>
      <c r="K3481" s="143"/>
    </row>
    <row r="3482" spans="1:11">
      <c r="A3482" s="946" t="s">
        <v>28620</v>
      </c>
      <c r="B3482" s="947" t="s">
        <v>22243</v>
      </c>
      <c r="C3482" s="948" t="s">
        <v>22241</v>
      </c>
      <c r="D3482" s="242" t="s">
        <v>24913</v>
      </c>
      <c r="E3482" s="949">
        <v>505</v>
      </c>
      <c r="F3482" s="949">
        <v>505</v>
      </c>
      <c r="G3482" s="950" t="s">
        <v>17069</v>
      </c>
      <c r="H3482" s="950" t="s">
        <v>542</v>
      </c>
      <c r="I3482" s="951" t="s">
        <v>22242</v>
      </c>
      <c r="J3482" s="947" t="s">
        <v>22243</v>
      </c>
      <c r="K3482" s="143"/>
    </row>
    <row r="3483" spans="1:11">
      <c r="A3483" s="946" t="s">
        <v>28620</v>
      </c>
      <c r="B3483" s="947" t="s">
        <v>22252</v>
      </c>
      <c r="C3483" s="948" t="s">
        <v>22250</v>
      </c>
      <c r="D3483" s="242" t="s">
        <v>24913</v>
      </c>
      <c r="E3483" s="949">
        <v>505</v>
      </c>
      <c r="F3483" s="949">
        <v>505</v>
      </c>
      <c r="G3483" s="950" t="s">
        <v>17069</v>
      </c>
      <c r="H3483" s="950" t="s">
        <v>542</v>
      </c>
      <c r="I3483" s="951" t="s">
        <v>22251</v>
      </c>
      <c r="J3483" s="947" t="s">
        <v>22252</v>
      </c>
      <c r="K3483" s="143"/>
    </row>
    <row r="3484" spans="1:11">
      <c r="A3484" s="946" t="s">
        <v>28620</v>
      </c>
      <c r="B3484" s="947" t="s">
        <v>15580</v>
      </c>
      <c r="C3484" s="948" t="s">
        <v>15578</v>
      </c>
      <c r="D3484" s="242" t="s">
        <v>24913</v>
      </c>
      <c r="E3484" s="949">
        <v>505</v>
      </c>
      <c r="F3484" s="949">
        <v>505</v>
      </c>
      <c r="G3484" s="950" t="s">
        <v>17069</v>
      </c>
      <c r="H3484" s="950" t="s">
        <v>542</v>
      </c>
      <c r="I3484" s="951" t="s">
        <v>15579</v>
      </c>
      <c r="J3484" s="947" t="s">
        <v>15580</v>
      </c>
      <c r="K3484" s="143"/>
    </row>
    <row r="3485" spans="1:11">
      <c r="A3485" s="946" t="s">
        <v>28609</v>
      </c>
      <c r="B3485" s="947" t="s">
        <v>684</v>
      </c>
      <c r="C3485" s="948" t="s">
        <v>681</v>
      </c>
      <c r="D3485" s="242" t="s">
        <v>28714</v>
      </c>
      <c r="E3485" s="949">
        <v>605</v>
      </c>
      <c r="F3485" s="949">
        <v>605</v>
      </c>
      <c r="G3485" s="950" t="s">
        <v>21165</v>
      </c>
      <c r="H3485" s="950" t="s">
        <v>682</v>
      </c>
      <c r="I3485" s="951" t="s">
        <v>683</v>
      </c>
      <c r="J3485" s="947" t="s">
        <v>684</v>
      </c>
      <c r="K3485" s="143"/>
    </row>
    <row r="3486" spans="1:11">
      <c r="A3486" s="946" t="s">
        <v>28609</v>
      </c>
      <c r="B3486" s="947" t="s">
        <v>1066</v>
      </c>
      <c r="C3486" s="948" t="s">
        <v>1064</v>
      </c>
      <c r="D3486" s="242" t="s">
        <v>28714</v>
      </c>
      <c r="E3486" s="949">
        <v>605</v>
      </c>
      <c r="F3486" s="949">
        <v>605</v>
      </c>
      <c r="G3486" s="950" t="s">
        <v>21165</v>
      </c>
      <c r="H3486" s="950" t="s">
        <v>682</v>
      </c>
      <c r="I3486" s="951" t="s">
        <v>1065</v>
      </c>
      <c r="J3486" s="947" t="s">
        <v>1066</v>
      </c>
      <c r="K3486" s="143"/>
    </row>
    <row r="3487" spans="1:11">
      <c r="A3487" s="946" t="s">
        <v>28609</v>
      </c>
      <c r="B3487" s="947" t="s">
        <v>1100</v>
      </c>
      <c r="C3487" s="948" t="s">
        <v>1098</v>
      </c>
      <c r="D3487" s="242" t="s">
        <v>28714</v>
      </c>
      <c r="E3487" s="949">
        <v>605</v>
      </c>
      <c r="F3487" s="949">
        <v>605</v>
      </c>
      <c r="G3487" s="950" t="s">
        <v>21165</v>
      </c>
      <c r="H3487" s="950" t="s">
        <v>682</v>
      </c>
      <c r="I3487" s="951" t="s">
        <v>1099</v>
      </c>
      <c r="J3487" s="947" t="s">
        <v>1100</v>
      </c>
      <c r="K3487" s="143"/>
    </row>
    <row r="3488" spans="1:11">
      <c r="A3488" s="946" t="s">
        <v>28609</v>
      </c>
      <c r="B3488" s="947" t="s">
        <v>1285</v>
      </c>
      <c r="C3488" s="948" t="s">
        <v>1283</v>
      </c>
      <c r="D3488" s="242" t="s">
        <v>28714</v>
      </c>
      <c r="E3488" s="949">
        <v>605</v>
      </c>
      <c r="F3488" s="949">
        <v>605</v>
      </c>
      <c r="G3488" s="950" t="s">
        <v>21165</v>
      </c>
      <c r="H3488" s="950" t="s">
        <v>682</v>
      </c>
      <c r="I3488" s="951" t="s">
        <v>1284</v>
      </c>
      <c r="J3488" s="947" t="s">
        <v>1285</v>
      </c>
      <c r="K3488" s="143"/>
    </row>
    <row r="3489" spans="1:11">
      <c r="A3489" s="946" t="s">
        <v>28609</v>
      </c>
      <c r="B3489" s="947" t="s">
        <v>1509</v>
      </c>
      <c r="C3489" s="948" t="s">
        <v>1507</v>
      </c>
      <c r="D3489" s="242" t="s">
        <v>28714</v>
      </c>
      <c r="E3489" s="949">
        <v>605</v>
      </c>
      <c r="F3489" s="949">
        <v>605</v>
      </c>
      <c r="G3489" s="950" t="s">
        <v>21165</v>
      </c>
      <c r="H3489" s="950" t="s">
        <v>682</v>
      </c>
      <c r="I3489" s="951" t="s">
        <v>1508</v>
      </c>
      <c r="J3489" s="947" t="s">
        <v>1509</v>
      </c>
      <c r="K3489" s="143"/>
    </row>
    <row r="3490" spans="1:11">
      <c r="A3490" s="946" t="s">
        <v>28609</v>
      </c>
      <c r="B3490" s="947" t="s">
        <v>1512</v>
      </c>
      <c r="C3490" s="948" t="s">
        <v>1510</v>
      </c>
      <c r="D3490" s="242" t="s">
        <v>28714</v>
      </c>
      <c r="E3490" s="949">
        <v>605</v>
      </c>
      <c r="F3490" s="949">
        <v>605</v>
      </c>
      <c r="G3490" s="950" t="s">
        <v>21165</v>
      </c>
      <c r="H3490" s="950" t="s">
        <v>682</v>
      </c>
      <c r="I3490" s="951" t="s">
        <v>1511</v>
      </c>
      <c r="J3490" s="947" t="s">
        <v>1512</v>
      </c>
      <c r="K3490" s="143"/>
    </row>
    <row r="3491" spans="1:11">
      <c r="A3491" s="946" t="s">
        <v>28609</v>
      </c>
      <c r="B3491" s="947" t="s">
        <v>1617</v>
      </c>
      <c r="C3491" s="948" t="s">
        <v>1615</v>
      </c>
      <c r="D3491" s="242" t="s">
        <v>28714</v>
      </c>
      <c r="E3491" s="949">
        <v>605</v>
      </c>
      <c r="F3491" s="949">
        <v>605</v>
      </c>
      <c r="G3491" s="950" t="s">
        <v>21165</v>
      </c>
      <c r="H3491" s="950" t="s">
        <v>682</v>
      </c>
      <c r="I3491" s="951" t="s">
        <v>1616</v>
      </c>
      <c r="J3491" s="947" t="s">
        <v>1617</v>
      </c>
      <c r="K3491" s="143"/>
    </row>
    <row r="3492" spans="1:11">
      <c r="A3492" s="946" t="s">
        <v>28609</v>
      </c>
      <c r="B3492" s="947" t="s">
        <v>1773</v>
      </c>
      <c r="C3492" s="948" t="s">
        <v>1771</v>
      </c>
      <c r="D3492" s="242" t="s">
        <v>28714</v>
      </c>
      <c r="E3492" s="949">
        <v>605</v>
      </c>
      <c r="F3492" s="949">
        <v>605</v>
      </c>
      <c r="G3492" s="950" t="s">
        <v>21165</v>
      </c>
      <c r="H3492" s="950" t="s">
        <v>682</v>
      </c>
      <c r="I3492" s="951" t="s">
        <v>1772</v>
      </c>
      <c r="J3492" s="947" t="s">
        <v>1773</v>
      </c>
      <c r="K3492" s="143"/>
    </row>
    <row r="3493" spans="1:11">
      <c r="A3493" s="946" t="s">
        <v>28609</v>
      </c>
      <c r="B3493" s="947" t="s">
        <v>2072</v>
      </c>
      <c r="C3493" s="948" t="s">
        <v>2070</v>
      </c>
      <c r="D3493" s="242" t="s">
        <v>28714</v>
      </c>
      <c r="E3493" s="949">
        <v>605</v>
      </c>
      <c r="F3493" s="949">
        <v>605</v>
      </c>
      <c r="G3493" s="950" t="s">
        <v>21165</v>
      </c>
      <c r="H3493" s="950" t="s">
        <v>682</v>
      </c>
      <c r="I3493" s="951" t="s">
        <v>2071</v>
      </c>
      <c r="J3493" s="947" t="s">
        <v>2072</v>
      </c>
      <c r="K3493" s="143"/>
    </row>
    <row r="3494" spans="1:11">
      <c r="A3494" s="946" t="s">
        <v>28609</v>
      </c>
      <c r="B3494" s="947" t="s">
        <v>2324</v>
      </c>
      <c r="C3494" s="948" t="s">
        <v>2322</v>
      </c>
      <c r="D3494" s="242" t="s">
        <v>28714</v>
      </c>
      <c r="E3494" s="949">
        <v>605</v>
      </c>
      <c r="F3494" s="949">
        <v>605</v>
      </c>
      <c r="G3494" s="950" t="s">
        <v>21165</v>
      </c>
      <c r="H3494" s="950" t="s">
        <v>682</v>
      </c>
      <c r="I3494" s="951" t="s">
        <v>2323</v>
      </c>
      <c r="J3494" s="947" t="s">
        <v>2324</v>
      </c>
      <c r="K3494" s="143"/>
    </row>
    <row r="3495" spans="1:11">
      <c r="A3495" s="946" t="s">
        <v>28609</v>
      </c>
      <c r="B3495" s="947" t="s">
        <v>2426</v>
      </c>
      <c r="C3495" s="948" t="s">
        <v>2424</v>
      </c>
      <c r="D3495" s="242" t="s">
        <v>28714</v>
      </c>
      <c r="E3495" s="949">
        <v>605</v>
      </c>
      <c r="F3495" s="949">
        <v>605</v>
      </c>
      <c r="G3495" s="950" t="s">
        <v>21165</v>
      </c>
      <c r="H3495" s="950" t="s">
        <v>682</v>
      </c>
      <c r="I3495" s="951" t="s">
        <v>2425</v>
      </c>
      <c r="J3495" s="947" t="s">
        <v>2426</v>
      </c>
      <c r="K3495" s="143"/>
    </row>
    <row r="3496" spans="1:11">
      <c r="A3496" s="946" t="s">
        <v>28609</v>
      </c>
      <c r="B3496" s="947" t="s">
        <v>2673</v>
      </c>
      <c r="C3496" s="948" t="s">
        <v>2671</v>
      </c>
      <c r="D3496" s="242" t="s">
        <v>28714</v>
      </c>
      <c r="E3496" s="949">
        <v>605</v>
      </c>
      <c r="F3496" s="949">
        <v>605</v>
      </c>
      <c r="G3496" s="950" t="s">
        <v>21165</v>
      </c>
      <c r="H3496" s="950" t="s">
        <v>682</v>
      </c>
      <c r="I3496" s="951" t="s">
        <v>2672</v>
      </c>
      <c r="J3496" s="947" t="s">
        <v>2673</v>
      </c>
      <c r="K3496" s="143"/>
    </row>
    <row r="3497" spans="1:11">
      <c r="A3497" s="946" t="s">
        <v>28609</v>
      </c>
      <c r="B3497" s="947" t="s">
        <v>3227</v>
      </c>
      <c r="C3497" s="948" t="s">
        <v>3225</v>
      </c>
      <c r="D3497" s="242" t="s">
        <v>28714</v>
      </c>
      <c r="E3497" s="949">
        <v>605</v>
      </c>
      <c r="F3497" s="949">
        <v>605</v>
      </c>
      <c r="G3497" s="950" t="s">
        <v>21165</v>
      </c>
      <c r="H3497" s="950" t="s">
        <v>682</v>
      </c>
      <c r="I3497" s="951" t="s">
        <v>3226</v>
      </c>
      <c r="J3497" s="947" t="s">
        <v>3227</v>
      </c>
      <c r="K3497" s="143"/>
    </row>
    <row r="3498" spans="1:11">
      <c r="A3498" s="946" t="s">
        <v>28609</v>
      </c>
      <c r="B3498" s="947" t="s">
        <v>3330</v>
      </c>
      <c r="C3498" s="948" t="s">
        <v>3328</v>
      </c>
      <c r="D3498" s="242" t="s">
        <v>28714</v>
      </c>
      <c r="E3498" s="949">
        <v>605</v>
      </c>
      <c r="F3498" s="949">
        <v>605</v>
      </c>
      <c r="G3498" s="950" t="s">
        <v>21165</v>
      </c>
      <c r="H3498" s="950" t="s">
        <v>682</v>
      </c>
      <c r="I3498" s="951" t="s">
        <v>3329</v>
      </c>
      <c r="J3498" s="947" t="s">
        <v>3330</v>
      </c>
      <c r="K3498" s="143"/>
    </row>
    <row r="3499" spans="1:11">
      <c r="A3499" s="946" t="s">
        <v>28609</v>
      </c>
      <c r="B3499" s="947" t="s">
        <v>3656</v>
      </c>
      <c r="C3499" s="948" t="s">
        <v>3654</v>
      </c>
      <c r="D3499" s="242" t="s">
        <v>28714</v>
      </c>
      <c r="E3499" s="949">
        <v>605</v>
      </c>
      <c r="F3499" s="949">
        <v>605</v>
      </c>
      <c r="G3499" s="950" t="s">
        <v>21165</v>
      </c>
      <c r="H3499" s="950" t="s">
        <v>682</v>
      </c>
      <c r="I3499" s="951" t="s">
        <v>3655</v>
      </c>
      <c r="J3499" s="947" t="s">
        <v>3656</v>
      </c>
      <c r="K3499" s="143"/>
    </row>
    <row r="3500" spans="1:11">
      <c r="A3500" s="946" t="s">
        <v>28609</v>
      </c>
      <c r="B3500" s="947" t="s">
        <v>3785</v>
      </c>
      <c r="C3500" s="948" t="s">
        <v>3783</v>
      </c>
      <c r="D3500" s="242" t="s">
        <v>28714</v>
      </c>
      <c r="E3500" s="949">
        <v>605</v>
      </c>
      <c r="F3500" s="949">
        <v>605</v>
      </c>
      <c r="G3500" s="950" t="s">
        <v>21165</v>
      </c>
      <c r="H3500" s="950" t="s">
        <v>682</v>
      </c>
      <c r="I3500" s="951" t="s">
        <v>3784</v>
      </c>
      <c r="J3500" s="947" t="s">
        <v>3785</v>
      </c>
      <c r="K3500" s="143"/>
    </row>
    <row r="3501" spans="1:11">
      <c r="A3501" s="946" t="s">
        <v>28609</v>
      </c>
      <c r="B3501" s="947" t="s">
        <v>4346</v>
      </c>
      <c r="C3501" s="948" t="s">
        <v>4344</v>
      </c>
      <c r="D3501" s="242" t="s">
        <v>28714</v>
      </c>
      <c r="E3501" s="949">
        <v>605</v>
      </c>
      <c r="F3501" s="949">
        <v>605</v>
      </c>
      <c r="G3501" s="950" t="s">
        <v>21165</v>
      </c>
      <c r="H3501" s="950" t="s">
        <v>682</v>
      </c>
      <c r="I3501" s="951" t="s">
        <v>4345</v>
      </c>
      <c r="J3501" s="947" t="s">
        <v>4346</v>
      </c>
      <c r="K3501" s="143"/>
    </row>
    <row r="3502" spans="1:11">
      <c r="A3502" s="946" t="s">
        <v>28609</v>
      </c>
      <c r="B3502" s="947" t="s">
        <v>4815</v>
      </c>
      <c r="C3502" s="948" t="s">
        <v>4813</v>
      </c>
      <c r="D3502" s="242" t="s">
        <v>28714</v>
      </c>
      <c r="E3502" s="949">
        <v>605</v>
      </c>
      <c r="F3502" s="949">
        <v>605</v>
      </c>
      <c r="G3502" s="950" t="s">
        <v>21165</v>
      </c>
      <c r="H3502" s="950" t="s">
        <v>682</v>
      </c>
      <c r="I3502" s="951" t="s">
        <v>4814</v>
      </c>
      <c r="J3502" s="947" t="s">
        <v>4815</v>
      </c>
      <c r="K3502" s="143"/>
    </row>
    <row r="3503" spans="1:11">
      <c r="A3503" s="946" t="s">
        <v>28609</v>
      </c>
      <c r="B3503" s="947" t="s">
        <v>5554</v>
      </c>
      <c r="C3503" s="948" t="s">
        <v>5552</v>
      </c>
      <c r="D3503" s="242" t="s">
        <v>28714</v>
      </c>
      <c r="E3503" s="949">
        <v>605</v>
      </c>
      <c r="F3503" s="949">
        <v>605</v>
      </c>
      <c r="G3503" s="950" t="s">
        <v>21165</v>
      </c>
      <c r="H3503" s="950" t="s">
        <v>682</v>
      </c>
      <c r="I3503" s="951" t="s">
        <v>5553</v>
      </c>
      <c r="J3503" s="947" t="s">
        <v>5554</v>
      </c>
      <c r="K3503" s="143"/>
    </row>
    <row r="3504" spans="1:11">
      <c r="A3504" s="946" t="s">
        <v>28609</v>
      </c>
      <c r="B3504" s="947" t="s">
        <v>5701</v>
      </c>
      <c r="C3504" s="948" t="s">
        <v>5699</v>
      </c>
      <c r="D3504" s="242" t="s">
        <v>28714</v>
      </c>
      <c r="E3504" s="949">
        <v>605</v>
      </c>
      <c r="F3504" s="949">
        <v>605</v>
      </c>
      <c r="G3504" s="950" t="s">
        <v>21165</v>
      </c>
      <c r="H3504" s="950" t="s">
        <v>682</v>
      </c>
      <c r="I3504" s="951" t="s">
        <v>5700</v>
      </c>
      <c r="J3504" s="947" t="s">
        <v>5701</v>
      </c>
      <c r="K3504" s="143"/>
    </row>
    <row r="3505" spans="1:11">
      <c r="A3505" s="946" t="s">
        <v>28609</v>
      </c>
      <c r="B3505" s="947" t="s">
        <v>5921</v>
      </c>
      <c r="C3505" s="948" t="s">
        <v>5919</v>
      </c>
      <c r="D3505" s="242" t="s">
        <v>28714</v>
      </c>
      <c r="E3505" s="949">
        <v>605</v>
      </c>
      <c r="F3505" s="949">
        <v>605</v>
      </c>
      <c r="G3505" s="950" t="s">
        <v>21165</v>
      </c>
      <c r="H3505" s="950" t="s">
        <v>682</v>
      </c>
      <c r="I3505" s="951" t="s">
        <v>5920</v>
      </c>
      <c r="J3505" s="947" t="s">
        <v>5921</v>
      </c>
      <c r="K3505" s="143"/>
    </row>
    <row r="3506" spans="1:11">
      <c r="A3506" s="946" t="s">
        <v>28609</v>
      </c>
      <c r="B3506" s="947" t="s">
        <v>6088</v>
      </c>
      <c r="C3506" s="948" t="s">
        <v>6086</v>
      </c>
      <c r="D3506" s="242" t="s">
        <v>28714</v>
      </c>
      <c r="E3506" s="949">
        <v>605</v>
      </c>
      <c r="F3506" s="949">
        <v>605</v>
      </c>
      <c r="G3506" s="950" t="s">
        <v>21165</v>
      </c>
      <c r="H3506" s="950" t="s">
        <v>682</v>
      </c>
      <c r="I3506" s="951" t="s">
        <v>6087</v>
      </c>
      <c r="J3506" s="947" t="s">
        <v>6088</v>
      </c>
      <c r="K3506" s="143"/>
    </row>
    <row r="3507" spans="1:11">
      <c r="A3507" s="946" t="s">
        <v>28609</v>
      </c>
      <c r="B3507" s="947" t="s">
        <v>6286</v>
      </c>
      <c r="C3507" s="948" t="s">
        <v>6284</v>
      </c>
      <c r="D3507" s="242" t="s">
        <v>28714</v>
      </c>
      <c r="E3507" s="949">
        <v>605</v>
      </c>
      <c r="F3507" s="949">
        <v>605</v>
      </c>
      <c r="G3507" s="950" t="s">
        <v>21165</v>
      </c>
      <c r="H3507" s="950" t="s">
        <v>682</v>
      </c>
      <c r="I3507" s="951" t="s">
        <v>6285</v>
      </c>
      <c r="J3507" s="947" t="s">
        <v>6286</v>
      </c>
      <c r="K3507" s="143"/>
    </row>
    <row r="3508" spans="1:11">
      <c r="A3508" s="946" t="s">
        <v>28609</v>
      </c>
      <c r="B3508" s="947" t="s">
        <v>6311</v>
      </c>
      <c r="C3508" s="948" t="s">
        <v>6309</v>
      </c>
      <c r="D3508" s="242" t="s">
        <v>28714</v>
      </c>
      <c r="E3508" s="949">
        <v>605</v>
      </c>
      <c r="F3508" s="949">
        <v>605</v>
      </c>
      <c r="G3508" s="950" t="s">
        <v>21165</v>
      </c>
      <c r="H3508" s="950" t="s">
        <v>682</v>
      </c>
      <c r="I3508" s="951" t="s">
        <v>6310</v>
      </c>
      <c r="J3508" s="947" t="s">
        <v>6311</v>
      </c>
      <c r="K3508" s="143"/>
    </row>
    <row r="3509" spans="1:11">
      <c r="A3509" s="946" t="s">
        <v>28609</v>
      </c>
      <c r="B3509" s="947" t="s">
        <v>6540</v>
      </c>
      <c r="C3509" s="948" t="s">
        <v>6538</v>
      </c>
      <c r="D3509" s="242" t="s">
        <v>28714</v>
      </c>
      <c r="E3509" s="949">
        <v>605</v>
      </c>
      <c r="F3509" s="949">
        <v>605</v>
      </c>
      <c r="G3509" s="950" t="s">
        <v>21165</v>
      </c>
      <c r="H3509" s="950" t="s">
        <v>682</v>
      </c>
      <c r="I3509" s="951" t="s">
        <v>6539</v>
      </c>
      <c r="J3509" s="947" t="s">
        <v>6540</v>
      </c>
      <c r="K3509" s="143"/>
    </row>
    <row r="3510" spans="1:11">
      <c r="A3510" s="946" t="s">
        <v>28609</v>
      </c>
      <c r="B3510" s="947" t="s">
        <v>6672</v>
      </c>
      <c r="C3510" s="948" t="s">
        <v>6670</v>
      </c>
      <c r="D3510" s="242" t="s">
        <v>28714</v>
      </c>
      <c r="E3510" s="949">
        <v>605</v>
      </c>
      <c r="F3510" s="949">
        <v>605</v>
      </c>
      <c r="G3510" s="950" t="s">
        <v>21165</v>
      </c>
      <c r="H3510" s="950" t="s">
        <v>682</v>
      </c>
      <c r="I3510" s="951" t="s">
        <v>6671</v>
      </c>
      <c r="J3510" s="947" t="s">
        <v>6672</v>
      </c>
      <c r="K3510" s="143"/>
    </row>
    <row r="3511" spans="1:11">
      <c r="A3511" s="946" t="s">
        <v>28609</v>
      </c>
      <c r="B3511" s="947" t="s">
        <v>6818</v>
      </c>
      <c r="C3511" s="948" t="s">
        <v>6816</v>
      </c>
      <c r="D3511" s="242" t="s">
        <v>28714</v>
      </c>
      <c r="E3511" s="949">
        <v>605</v>
      </c>
      <c r="F3511" s="949">
        <v>605</v>
      </c>
      <c r="G3511" s="950" t="s">
        <v>21165</v>
      </c>
      <c r="H3511" s="950" t="s">
        <v>682</v>
      </c>
      <c r="I3511" s="951" t="s">
        <v>6817</v>
      </c>
      <c r="J3511" s="947" t="s">
        <v>6818</v>
      </c>
      <c r="K3511" s="143"/>
    </row>
    <row r="3512" spans="1:11">
      <c r="A3512" s="946" t="s">
        <v>28609</v>
      </c>
      <c r="B3512" s="947" t="s">
        <v>6881</v>
      </c>
      <c r="C3512" s="948" t="s">
        <v>6879</v>
      </c>
      <c r="D3512" s="242" t="s">
        <v>28714</v>
      </c>
      <c r="E3512" s="949">
        <v>605</v>
      </c>
      <c r="F3512" s="949">
        <v>605</v>
      </c>
      <c r="G3512" s="950" t="s">
        <v>21165</v>
      </c>
      <c r="H3512" s="950" t="s">
        <v>682</v>
      </c>
      <c r="I3512" s="951" t="s">
        <v>6880</v>
      </c>
      <c r="J3512" s="947" t="s">
        <v>6881</v>
      </c>
      <c r="K3512" s="143"/>
    </row>
    <row r="3513" spans="1:11">
      <c r="A3513" s="946" t="s">
        <v>28609</v>
      </c>
      <c r="B3513" s="947" t="s">
        <v>7114</v>
      </c>
      <c r="C3513" s="948" t="s">
        <v>7112</v>
      </c>
      <c r="D3513" s="242" t="s">
        <v>28714</v>
      </c>
      <c r="E3513" s="949">
        <v>605</v>
      </c>
      <c r="F3513" s="949">
        <v>605</v>
      </c>
      <c r="G3513" s="950" t="s">
        <v>21165</v>
      </c>
      <c r="H3513" s="950" t="s">
        <v>682</v>
      </c>
      <c r="I3513" s="951" t="s">
        <v>7113</v>
      </c>
      <c r="J3513" s="947" t="s">
        <v>7114</v>
      </c>
      <c r="K3513" s="143"/>
    </row>
    <row r="3514" spans="1:11">
      <c r="A3514" s="946" t="s">
        <v>28609</v>
      </c>
      <c r="B3514" s="947" t="s">
        <v>7218</v>
      </c>
      <c r="C3514" s="948" t="s">
        <v>7216</v>
      </c>
      <c r="D3514" s="242" t="s">
        <v>28714</v>
      </c>
      <c r="E3514" s="949">
        <v>605</v>
      </c>
      <c r="F3514" s="949">
        <v>605</v>
      </c>
      <c r="G3514" s="950" t="s">
        <v>21165</v>
      </c>
      <c r="H3514" s="950" t="s">
        <v>682</v>
      </c>
      <c r="I3514" s="951" t="s">
        <v>7217</v>
      </c>
      <c r="J3514" s="947" t="s">
        <v>7218</v>
      </c>
      <c r="K3514" s="143"/>
    </row>
    <row r="3515" spans="1:11">
      <c r="A3515" s="946" t="s">
        <v>28609</v>
      </c>
      <c r="B3515" s="947" t="s">
        <v>7653</v>
      </c>
      <c r="C3515" s="948" t="s">
        <v>7651</v>
      </c>
      <c r="D3515" s="242" t="s">
        <v>28714</v>
      </c>
      <c r="E3515" s="949">
        <v>605</v>
      </c>
      <c r="F3515" s="949">
        <v>605</v>
      </c>
      <c r="G3515" s="950" t="s">
        <v>21165</v>
      </c>
      <c r="H3515" s="950" t="s">
        <v>682</v>
      </c>
      <c r="I3515" s="951" t="s">
        <v>7652</v>
      </c>
      <c r="J3515" s="947" t="s">
        <v>7653</v>
      </c>
      <c r="K3515" s="143"/>
    </row>
    <row r="3516" spans="1:11">
      <c r="A3516" s="946" t="s">
        <v>28609</v>
      </c>
      <c r="B3516" s="947" t="s">
        <v>7680</v>
      </c>
      <c r="C3516" s="948" t="s">
        <v>7678</v>
      </c>
      <c r="D3516" s="242" t="s">
        <v>28714</v>
      </c>
      <c r="E3516" s="949">
        <v>605</v>
      </c>
      <c r="F3516" s="949">
        <v>605</v>
      </c>
      <c r="G3516" s="950" t="s">
        <v>21165</v>
      </c>
      <c r="H3516" s="950" t="s">
        <v>682</v>
      </c>
      <c r="I3516" s="951" t="s">
        <v>7679</v>
      </c>
      <c r="J3516" s="947" t="s">
        <v>7680</v>
      </c>
      <c r="K3516" s="143"/>
    </row>
    <row r="3517" spans="1:11">
      <c r="A3517" s="946" t="s">
        <v>28609</v>
      </c>
      <c r="B3517" s="947" t="s">
        <v>7771</v>
      </c>
      <c r="C3517" s="948" t="s">
        <v>7769</v>
      </c>
      <c r="D3517" s="242" t="s">
        <v>28714</v>
      </c>
      <c r="E3517" s="949">
        <v>605</v>
      </c>
      <c r="F3517" s="949">
        <v>605</v>
      </c>
      <c r="G3517" s="950" t="s">
        <v>21165</v>
      </c>
      <c r="H3517" s="950" t="s">
        <v>682</v>
      </c>
      <c r="I3517" s="951" t="s">
        <v>7770</v>
      </c>
      <c r="J3517" s="947" t="s">
        <v>7771</v>
      </c>
      <c r="K3517" s="143"/>
    </row>
    <row r="3518" spans="1:11">
      <c r="A3518" s="946" t="s">
        <v>28609</v>
      </c>
      <c r="B3518" s="947" t="s">
        <v>7851</v>
      </c>
      <c r="C3518" s="948" t="s">
        <v>7849</v>
      </c>
      <c r="D3518" s="242" t="s">
        <v>28714</v>
      </c>
      <c r="E3518" s="949">
        <v>605</v>
      </c>
      <c r="F3518" s="949">
        <v>605</v>
      </c>
      <c r="G3518" s="950" t="s">
        <v>21165</v>
      </c>
      <c r="H3518" s="950" t="s">
        <v>682</v>
      </c>
      <c r="I3518" s="951" t="s">
        <v>7850</v>
      </c>
      <c r="J3518" s="947" t="s">
        <v>7851</v>
      </c>
      <c r="K3518" s="143"/>
    </row>
    <row r="3519" spans="1:11">
      <c r="A3519" s="946" t="s">
        <v>28609</v>
      </c>
      <c r="B3519" s="947" t="s">
        <v>7950</v>
      </c>
      <c r="C3519" s="948" t="s">
        <v>7948</v>
      </c>
      <c r="D3519" s="242" t="s">
        <v>28714</v>
      </c>
      <c r="E3519" s="949">
        <v>605</v>
      </c>
      <c r="F3519" s="949">
        <v>605</v>
      </c>
      <c r="G3519" s="950" t="s">
        <v>21165</v>
      </c>
      <c r="H3519" s="950" t="s">
        <v>682</v>
      </c>
      <c r="I3519" s="951" t="s">
        <v>7949</v>
      </c>
      <c r="J3519" s="947" t="s">
        <v>7950</v>
      </c>
      <c r="K3519" s="143"/>
    </row>
    <row r="3520" spans="1:11">
      <c r="A3520" s="946" t="s">
        <v>28609</v>
      </c>
      <c r="B3520" s="947" t="s">
        <v>7962</v>
      </c>
      <c r="C3520" s="948" t="s">
        <v>7960</v>
      </c>
      <c r="D3520" s="242" t="s">
        <v>28714</v>
      </c>
      <c r="E3520" s="949">
        <v>605</v>
      </c>
      <c r="F3520" s="949">
        <v>605</v>
      </c>
      <c r="G3520" s="950" t="s">
        <v>21165</v>
      </c>
      <c r="H3520" s="950" t="s">
        <v>682</v>
      </c>
      <c r="I3520" s="951" t="s">
        <v>7961</v>
      </c>
      <c r="J3520" s="947" t="s">
        <v>7962</v>
      </c>
      <c r="K3520" s="143"/>
    </row>
    <row r="3521" spans="1:11">
      <c r="A3521" s="946" t="s">
        <v>28609</v>
      </c>
      <c r="B3521" s="947" t="s">
        <v>8325</v>
      </c>
      <c r="C3521" s="948" t="s">
        <v>8323</v>
      </c>
      <c r="D3521" s="242" t="s">
        <v>28714</v>
      </c>
      <c r="E3521" s="949">
        <v>605</v>
      </c>
      <c r="F3521" s="949">
        <v>605</v>
      </c>
      <c r="G3521" s="950" t="s">
        <v>21165</v>
      </c>
      <c r="H3521" s="950" t="s">
        <v>682</v>
      </c>
      <c r="I3521" s="951" t="s">
        <v>8324</v>
      </c>
      <c r="J3521" s="947" t="s">
        <v>8325</v>
      </c>
      <c r="K3521" s="143"/>
    </row>
    <row r="3522" spans="1:11">
      <c r="A3522" s="946" t="s">
        <v>28609</v>
      </c>
      <c r="B3522" s="947" t="s">
        <v>8523</v>
      </c>
      <c r="C3522" s="948" t="s">
        <v>8521</v>
      </c>
      <c r="D3522" s="242" t="s">
        <v>28714</v>
      </c>
      <c r="E3522" s="949">
        <v>605</v>
      </c>
      <c r="F3522" s="949">
        <v>605</v>
      </c>
      <c r="G3522" s="950" t="s">
        <v>21165</v>
      </c>
      <c r="H3522" s="950" t="s">
        <v>682</v>
      </c>
      <c r="I3522" s="951" t="s">
        <v>8522</v>
      </c>
      <c r="J3522" s="947" t="s">
        <v>8523</v>
      </c>
      <c r="K3522" s="143"/>
    </row>
    <row r="3523" spans="1:11">
      <c r="A3523" s="946" t="s">
        <v>28609</v>
      </c>
      <c r="B3523" s="947" t="s">
        <v>8526</v>
      </c>
      <c r="C3523" s="948" t="s">
        <v>8524</v>
      </c>
      <c r="D3523" s="242" t="s">
        <v>28714</v>
      </c>
      <c r="E3523" s="949">
        <v>605</v>
      </c>
      <c r="F3523" s="949">
        <v>605</v>
      </c>
      <c r="G3523" s="950" t="s">
        <v>21165</v>
      </c>
      <c r="H3523" s="950" t="s">
        <v>682</v>
      </c>
      <c r="I3523" s="951" t="s">
        <v>8525</v>
      </c>
      <c r="J3523" s="947" t="s">
        <v>8526</v>
      </c>
      <c r="K3523" s="143"/>
    </row>
    <row r="3524" spans="1:11">
      <c r="A3524" s="946" t="s">
        <v>28609</v>
      </c>
      <c r="B3524" s="947" t="s">
        <v>8529</v>
      </c>
      <c r="C3524" s="948" t="s">
        <v>8527</v>
      </c>
      <c r="D3524" s="242" t="s">
        <v>28714</v>
      </c>
      <c r="E3524" s="949">
        <v>605</v>
      </c>
      <c r="F3524" s="949">
        <v>605</v>
      </c>
      <c r="G3524" s="950" t="s">
        <v>21165</v>
      </c>
      <c r="H3524" s="950" t="s">
        <v>682</v>
      </c>
      <c r="I3524" s="951" t="s">
        <v>8528</v>
      </c>
      <c r="J3524" s="947" t="s">
        <v>8529</v>
      </c>
      <c r="K3524" s="143"/>
    </row>
    <row r="3525" spans="1:11">
      <c r="A3525" s="946" t="s">
        <v>28609</v>
      </c>
      <c r="B3525" s="947" t="s">
        <v>9079</v>
      </c>
      <c r="C3525" s="948" t="s">
        <v>9077</v>
      </c>
      <c r="D3525" s="242" t="s">
        <v>28714</v>
      </c>
      <c r="E3525" s="949">
        <v>605</v>
      </c>
      <c r="F3525" s="949">
        <v>605</v>
      </c>
      <c r="G3525" s="950" t="s">
        <v>21165</v>
      </c>
      <c r="H3525" s="950" t="s">
        <v>682</v>
      </c>
      <c r="I3525" s="951" t="s">
        <v>9078</v>
      </c>
      <c r="J3525" s="947" t="s">
        <v>9079</v>
      </c>
      <c r="K3525" s="143"/>
    </row>
    <row r="3526" spans="1:11">
      <c r="A3526" s="946" t="s">
        <v>28609</v>
      </c>
      <c r="B3526" s="947" t="s">
        <v>9346</v>
      </c>
      <c r="C3526" s="948" t="s">
        <v>9344</v>
      </c>
      <c r="D3526" s="242" t="s">
        <v>28714</v>
      </c>
      <c r="E3526" s="949">
        <v>605</v>
      </c>
      <c r="F3526" s="949">
        <v>605</v>
      </c>
      <c r="G3526" s="950" t="s">
        <v>21165</v>
      </c>
      <c r="H3526" s="950" t="s">
        <v>682</v>
      </c>
      <c r="I3526" s="951" t="s">
        <v>9345</v>
      </c>
      <c r="J3526" s="947" t="s">
        <v>9346</v>
      </c>
      <c r="K3526" s="143"/>
    </row>
    <row r="3527" spans="1:11">
      <c r="A3527" s="946" t="s">
        <v>28609</v>
      </c>
      <c r="B3527" s="947" t="s">
        <v>9552</v>
      </c>
      <c r="C3527" s="948" t="s">
        <v>9550</v>
      </c>
      <c r="D3527" s="242" t="s">
        <v>28714</v>
      </c>
      <c r="E3527" s="949">
        <v>605</v>
      </c>
      <c r="F3527" s="949">
        <v>605</v>
      </c>
      <c r="G3527" s="950" t="s">
        <v>21165</v>
      </c>
      <c r="H3527" s="950" t="s">
        <v>682</v>
      </c>
      <c r="I3527" s="951" t="s">
        <v>9551</v>
      </c>
      <c r="J3527" s="947" t="s">
        <v>9552</v>
      </c>
      <c r="K3527" s="143"/>
    </row>
    <row r="3528" spans="1:11">
      <c r="A3528" s="946" t="s">
        <v>28609</v>
      </c>
      <c r="B3528" s="947" t="s">
        <v>10186</v>
      </c>
      <c r="C3528" s="948" t="s">
        <v>10184</v>
      </c>
      <c r="D3528" s="242" t="s">
        <v>28714</v>
      </c>
      <c r="E3528" s="949">
        <v>605</v>
      </c>
      <c r="F3528" s="949">
        <v>605</v>
      </c>
      <c r="G3528" s="950" t="s">
        <v>21165</v>
      </c>
      <c r="H3528" s="950" t="s">
        <v>682</v>
      </c>
      <c r="I3528" s="951" t="s">
        <v>10185</v>
      </c>
      <c r="J3528" s="947" t="s">
        <v>10186</v>
      </c>
      <c r="K3528" s="143"/>
    </row>
    <row r="3529" spans="1:11">
      <c r="A3529" s="946" t="s">
        <v>28609</v>
      </c>
      <c r="B3529" s="947" t="s">
        <v>10195</v>
      </c>
      <c r="C3529" s="948" t="s">
        <v>10193</v>
      </c>
      <c r="D3529" s="242" t="s">
        <v>28714</v>
      </c>
      <c r="E3529" s="949">
        <v>605</v>
      </c>
      <c r="F3529" s="949">
        <v>605</v>
      </c>
      <c r="G3529" s="950" t="s">
        <v>21165</v>
      </c>
      <c r="H3529" s="950" t="s">
        <v>682</v>
      </c>
      <c r="I3529" s="951" t="s">
        <v>10194</v>
      </c>
      <c r="J3529" s="947" t="s">
        <v>10195</v>
      </c>
      <c r="K3529" s="143"/>
    </row>
    <row r="3530" spans="1:11">
      <c r="A3530" s="946" t="s">
        <v>28609</v>
      </c>
      <c r="B3530" s="947" t="s">
        <v>10360</v>
      </c>
      <c r="C3530" s="948" t="s">
        <v>10358</v>
      </c>
      <c r="D3530" s="242" t="s">
        <v>28714</v>
      </c>
      <c r="E3530" s="949">
        <v>605</v>
      </c>
      <c r="F3530" s="949">
        <v>605</v>
      </c>
      <c r="G3530" s="950" t="s">
        <v>21165</v>
      </c>
      <c r="H3530" s="950" t="s">
        <v>682</v>
      </c>
      <c r="I3530" s="951" t="s">
        <v>10359</v>
      </c>
      <c r="J3530" s="947" t="s">
        <v>10360</v>
      </c>
      <c r="K3530" s="143"/>
    </row>
    <row r="3531" spans="1:11">
      <c r="A3531" s="946" t="s">
        <v>28609</v>
      </c>
      <c r="B3531" s="947" t="s">
        <v>10423</v>
      </c>
      <c r="C3531" s="948" t="s">
        <v>10421</v>
      </c>
      <c r="D3531" s="242" t="s">
        <v>28714</v>
      </c>
      <c r="E3531" s="949">
        <v>605</v>
      </c>
      <c r="F3531" s="949">
        <v>605</v>
      </c>
      <c r="G3531" s="950" t="s">
        <v>21165</v>
      </c>
      <c r="H3531" s="950" t="s">
        <v>682</v>
      </c>
      <c r="I3531" s="951" t="s">
        <v>10422</v>
      </c>
      <c r="J3531" s="947" t="s">
        <v>10423</v>
      </c>
      <c r="K3531" s="143"/>
    </row>
    <row r="3532" spans="1:11">
      <c r="A3532" s="946" t="s">
        <v>28609</v>
      </c>
      <c r="B3532" s="947" t="s">
        <v>10777</v>
      </c>
      <c r="C3532" s="948" t="s">
        <v>10775</v>
      </c>
      <c r="D3532" s="242" t="s">
        <v>28714</v>
      </c>
      <c r="E3532" s="949">
        <v>605</v>
      </c>
      <c r="F3532" s="949">
        <v>605</v>
      </c>
      <c r="G3532" s="950" t="s">
        <v>21165</v>
      </c>
      <c r="H3532" s="950" t="s">
        <v>682</v>
      </c>
      <c r="I3532" s="951" t="s">
        <v>10776</v>
      </c>
      <c r="J3532" s="947" t="s">
        <v>10777</v>
      </c>
      <c r="K3532" s="143"/>
    </row>
    <row r="3533" spans="1:11">
      <c r="A3533" s="946" t="s">
        <v>28609</v>
      </c>
      <c r="B3533" s="947" t="s">
        <v>10917</v>
      </c>
      <c r="C3533" s="948" t="s">
        <v>10915</v>
      </c>
      <c r="D3533" s="242" t="s">
        <v>28714</v>
      </c>
      <c r="E3533" s="949">
        <v>605</v>
      </c>
      <c r="F3533" s="949">
        <v>605</v>
      </c>
      <c r="G3533" s="950" t="s">
        <v>21165</v>
      </c>
      <c r="H3533" s="950" t="s">
        <v>682</v>
      </c>
      <c r="I3533" s="951" t="s">
        <v>10916</v>
      </c>
      <c r="J3533" s="947" t="s">
        <v>10917</v>
      </c>
      <c r="K3533" s="143"/>
    </row>
    <row r="3534" spans="1:11">
      <c r="A3534" s="946" t="s">
        <v>28609</v>
      </c>
      <c r="B3534" s="947" t="s">
        <v>10951</v>
      </c>
      <c r="C3534" s="948" t="s">
        <v>10949</v>
      </c>
      <c r="D3534" s="242" t="s">
        <v>28714</v>
      </c>
      <c r="E3534" s="949">
        <v>605</v>
      </c>
      <c r="F3534" s="949">
        <v>605</v>
      </c>
      <c r="G3534" s="950" t="s">
        <v>21165</v>
      </c>
      <c r="H3534" s="950" t="s">
        <v>682</v>
      </c>
      <c r="I3534" s="951" t="s">
        <v>10950</v>
      </c>
      <c r="J3534" s="947" t="s">
        <v>10951</v>
      </c>
      <c r="K3534" s="143"/>
    </row>
    <row r="3535" spans="1:11">
      <c r="A3535" s="946" t="s">
        <v>28609</v>
      </c>
      <c r="B3535" s="947" t="s">
        <v>10960</v>
      </c>
      <c r="C3535" s="948" t="s">
        <v>10958</v>
      </c>
      <c r="D3535" s="242" t="s">
        <v>28714</v>
      </c>
      <c r="E3535" s="949">
        <v>605</v>
      </c>
      <c r="F3535" s="949">
        <v>605</v>
      </c>
      <c r="G3535" s="950" t="s">
        <v>21165</v>
      </c>
      <c r="H3535" s="950" t="s">
        <v>682</v>
      </c>
      <c r="I3535" s="951" t="s">
        <v>10959</v>
      </c>
      <c r="J3535" s="947" t="s">
        <v>10960</v>
      </c>
      <c r="K3535" s="143"/>
    </row>
    <row r="3536" spans="1:11">
      <c r="A3536" s="946" t="s">
        <v>28609</v>
      </c>
      <c r="B3536" s="947" t="s">
        <v>11078</v>
      </c>
      <c r="C3536" s="948" t="s">
        <v>11076</v>
      </c>
      <c r="D3536" s="242" t="s">
        <v>28714</v>
      </c>
      <c r="E3536" s="949">
        <v>605</v>
      </c>
      <c r="F3536" s="949">
        <v>605</v>
      </c>
      <c r="G3536" s="950" t="s">
        <v>21165</v>
      </c>
      <c r="H3536" s="950" t="s">
        <v>682</v>
      </c>
      <c r="I3536" s="951" t="s">
        <v>11077</v>
      </c>
      <c r="J3536" s="947" t="s">
        <v>11078</v>
      </c>
      <c r="K3536" s="143"/>
    </row>
    <row r="3537" spans="1:11">
      <c r="A3537" s="946" t="s">
        <v>28609</v>
      </c>
      <c r="B3537" s="947" t="s">
        <v>11107</v>
      </c>
      <c r="C3537" s="948" t="s">
        <v>11105</v>
      </c>
      <c r="D3537" s="242" t="s">
        <v>28714</v>
      </c>
      <c r="E3537" s="949">
        <v>605</v>
      </c>
      <c r="F3537" s="949">
        <v>605</v>
      </c>
      <c r="G3537" s="950" t="s">
        <v>21165</v>
      </c>
      <c r="H3537" s="950" t="s">
        <v>682</v>
      </c>
      <c r="I3537" s="951" t="s">
        <v>11106</v>
      </c>
      <c r="J3537" s="947" t="s">
        <v>11107</v>
      </c>
      <c r="K3537" s="143"/>
    </row>
    <row r="3538" spans="1:11">
      <c r="A3538" s="946" t="s">
        <v>28609</v>
      </c>
      <c r="B3538" s="947" t="s">
        <v>11273</v>
      </c>
      <c r="C3538" s="948" t="s">
        <v>11271</v>
      </c>
      <c r="D3538" s="242" t="s">
        <v>28714</v>
      </c>
      <c r="E3538" s="949">
        <v>605</v>
      </c>
      <c r="F3538" s="949">
        <v>605</v>
      </c>
      <c r="G3538" s="950" t="s">
        <v>21165</v>
      </c>
      <c r="H3538" s="950" t="s">
        <v>682</v>
      </c>
      <c r="I3538" s="951" t="s">
        <v>11272</v>
      </c>
      <c r="J3538" s="947" t="s">
        <v>11273</v>
      </c>
      <c r="K3538" s="143"/>
    </row>
    <row r="3539" spans="1:11">
      <c r="A3539" s="946" t="s">
        <v>28609</v>
      </c>
      <c r="B3539" s="947" t="s">
        <v>11637</v>
      </c>
      <c r="C3539" s="948" t="s">
        <v>11635</v>
      </c>
      <c r="D3539" s="242" t="s">
        <v>28714</v>
      </c>
      <c r="E3539" s="949">
        <v>605</v>
      </c>
      <c r="F3539" s="949">
        <v>605</v>
      </c>
      <c r="G3539" s="950" t="s">
        <v>21165</v>
      </c>
      <c r="H3539" s="950" t="s">
        <v>682</v>
      </c>
      <c r="I3539" s="951" t="s">
        <v>11636</v>
      </c>
      <c r="J3539" s="947" t="s">
        <v>11637</v>
      </c>
      <c r="K3539" s="143"/>
    </row>
    <row r="3540" spans="1:11">
      <c r="A3540" s="946" t="s">
        <v>28609</v>
      </c>
      <c r="B3540" s="947" t="s">
        <v>11891</v>
      </c>
      <c r="C3540" s="948" t="s">
        <v>11889</v>
      </c>
      <c r="D3540" s="242" t="s">
        <v>28714</v>
      </c>
      <c r="E3540" s="949">
        <v>605</v>
      </c>
      <c r="F3540" s="949">
        <v>605</v>
      </c>
      <c r="G3540" s="950" t="s">
        <v>21165</v>
      </c>
      <c r="H3540" s="950" t="s">
        <v>682</v>
      </c>
      <c r="I3540" s="951" t="s">
        <v>11890</v>
      </c>
      <c r="J3540" s="947" t="s">
        <v>11891</v>
      </c>
      <c r="K3540" s="143"/>
    </row>
    <row r="3541" spans="1:11">
      <c r="A3541" s="946" t="s">
        <v>28609</v>
      </c>
      <c r="B3541" s="947" t="s">
        <v>11910</v>
      </c>
      <c r="C3541" s="948" t="s">
        <v>11908</v>
      </c>
      <c r="D3541" s="242" t="s">
        <v>28714</v>
      </c>
      <c r="E3541" s="949">
        <v>605</v>
      </c>
      <c r="F3541" s="949">
        <v>605</v>
      </c>
      <c r="G3541" s="950" t="s">
        <v>21165</v>
      </c>
      <c r="H3541" s="950" t="s">
        <v>682</v>
      </c>
      <c r="I3541" s="951" t="s">
        <v>11909</v>
      </c>
      <c r="J3541" s="947" t="s">
        <v>11910</v>
      </c>
      <c r="K3541" s="143"/>
    </row>
    <row r="3542" spans="1:11">
      <c r="A3542" s="946" t="s">
        <v>28609</v>
      </c>
      <c r="B3542" s="947" t="s">
        <v>12652</v>
      </c>
      <c r="C3542" s="948" t="s">
        <v>12650</v>
      </c>
      <c r="D3542" s="242" t="s">
        <v>28714</v>
      </c>
      <c r="E3542" s="949">
        <v>605</v>
      </c>
      <c r="F3542" s="949">
        <v>605</v>
      </c>
      <c r="G3542" s="950" t="s">
        <v>21165</v>
      </c>
      <c r="H3542" s="950" t="s">
        <v>682</v>
      </c>
      <c r="I3542" s="951" t="s">
        <v>12651</v>
      </c>
      <c r="J3542" s="947" t="s">
        <v>12652</v>
      </c>
      <c r="K3542" s="143"/>
    </row>
    <row r="3543" spans="1:11">
      <c r="A3543" s="946" t="s">
        <v>28609</v>
      </c>
      <c r="B3543" s="947" t="s">
        <v>13001</v>
      </c>
      <c r="C3543" s="948" t="s">
        <v>12999</v>
      </c>
      <c r="D3543" s="242" t="s">
        <v>28714</v>
      </c>
      <c r="E3543" s="949">
        <v>605</v>
      </c>
      <c r="F3543" s="949">
        <v>605</v>
      </c>
      <c r="G3543" s="950" t="s">
        <v>21165</v>
      </c>
      <c r="H3543" s="950" t="s">
        <v>682</v>
      </c>
      <c r="I3543" s="951" t="s">
        <v>13000</v>
      </c>
      <c r="J3543" s="947" t="s">
        <v>13001</v>
      </c>
      <c r="K3543" s="143"/>
    </row>
    <row r="3544" spans="1:11">
      <c r="A3544" s="946" t="s">
        <v>28609</v>
      </c>
      <c r="B3544" s="947" t="s">
        <v>13007</v>
      </c>
      <c r="C3544" s="948" t="s">
        <v>13005</v>
      </c>
      <c r="D3544" s="242" t="s">
        <v>28714</v>
      </c>
      <c r="E3544" s="949">
        <v>605</v>
      </c>
      <c r="F3544" s="949">
        <v>605</v>
      </c>
      <c r="G3544" s="950" t="s">
        <v>21165</v>
      </c>
      <c r="H3544" s="950" t="s">
        <v>682</v>
      </c>
      <c r="I3544" s="951" t="s">
        <v>13006</v>
      </c>
      <c r="J3544" s="947" t="s">
        <v>13007</v>
      </c>
      <c r="K3544" s="143"/>
    </row>
    <row r="3545" spans="1:11">
      <c r="A3545" s="946" t="s">
        <v>28609</v>
      </c>
      <c r="B3545" s="947" t="s">
        <v>13144</v>
      </c>
      <c r="C3545" s="948" t="s">
        <v>13142</v>
      </c>
      <c r="D3545" s="242" t="s">
        <v>28714</v>
      </c>
      <c r="E3545" s="949">
        <v>605</v>
      </c>
      <c r="F3545" s="949">
        <v>605</v>
      </c>
      <c r="G3545" s="950" t="s">
        <v>21165</v>
      </c>
      <c r="H3545" s="950" t="s">
        <v>682</v>
      </c>
      <c r="I3545" s="951" t="s">
        <v>13143</v>
      </c>
      <c r="J3545" s="947" t="s">
        <v>13144</v>
      </c>
      <c r="K3545" s="143"/>
    </row>
    <row r="3546" spans="1:11">
      <c r="A3546" s="946" t="s">
        <v>28609</v>
      </c>
      <c r="B3546" s="947" t="s">
        <v>13280</v>
      </c>
      <c r="C3546" s="948" t="s">
        <v>13278</v>
      </c>
      <c r="D3546" s="242" t="s">
        <v>28714</v>
      </c>
      <c r="E3546" s="949">
        <v>605</v>
      </c>
      <c r="F3546" s="949">
        <v>605</v>
      </c>
      <c r="G3546" s="950" t="s">
        <v>21165</v>
      </c>
      <c r="H3546" s="950" t="s">
        <v>682</v>
      </c>
      <c r="I3546" s="951" t="s">
        <v>13279</v>
      </c>
      <c r="J3546" s="947" t="s">
        <v>13280</v>
      </c>
      <c r="K3546" s="143"/>
    </row>
    <row r="3547" spans="1:11">
      <c r="A3547" s="946" t="s">
        <v>28609</v>
      </c>
      <c r="B3547" s="947" t="s">
        <v>13855</v>
      </c>
      <c r="C3547" s="948" t="s">
        <v>13853</v>
      </c>
      <c r="D3547" s="242" t="s">
        <v>28714</v>
      </c>
      <c r="E3547" s="949">
        <v>605</v>
      </c>
      <c r="F3547" s="949">
        <v>605</v>
      </c>
      <c r="G3547" s="950" t="s">
        <v>21165</v>
      </c>
      <c r="H3547" s="950" t="s">
        <v>682</v>
      </c>
      <c r="I3547" s="951" t="s">
        <v>13854</v>
      </c>
      <c r="J3547" s="947" t="s">
        <v>13855</v>
      </c>
      <c r="K3547" s="143"/>
    </row>
    <row r="3548" spans="1:11">
      <c r="A3548" s="946" t="s">
        <v>28609</v>
      </c>
      <c r="B3548" s="947" t="s">
        <v>13943</v>
      </c>
      <c r="C3548" s="948" t="s">
        <v>13941</v>
      </c>
      <c r="D3548" s="242" t="s">
        <v>28714</v>
      </c>
      <c r="E3548" s="949">
        <v>605</v>
      </c>
      <c r="F3548" s="949">
        <v>605</v>
      </c>
      <c r="G3548" s="950" t="s">
        <v>21165</v>
      </c>
      <c r="H3548" s="950" t="s">
        <v>682</v>
      </c>
      <c r="I3548" s="951" t="s">
        <v>13942</v>
      </c>
      <c r="J3548" s="947" t="s">
        <v>13943</v>
      </c>
      <c r="K3548" s="143"/>
    </row>
    <row r="3549" spans="1:11">
      <c r="A3549" s="946" t="s">
        <v>28609</v>
      </c>
      <c r="B3549" s="947" t="s">
        <v>14038</v>
      </c>
      <c r="C3549" s="948" t="s">
        <v>14036</v>
      </c>
      <c r="D3549" s="242" t="s">
        <v>28714</v>
      </c>
      <c r="E3549" s="949">
        <v>605</v>
      </c>
      <c r="F3549" s="949">
        <v>605</v>
      </c>
      <c r="G3549" s="950" t="s">
        <v>21165</v>
      </c>
      <c r="H3549" s="950" t="s">
        <v>682</v>
      </c>
      <c r="I3549" s="951" t="s">
        <v>14037</v>
      </c>
      <c r="J3549" s="947" t="s">
        <v>14038</v>
      </c>
      <c r="K3549" s="143"/>
    </row>
    <row r="3550" spans="1:11">
      <c r="A3550" s="946" t="s">
        <v>28609</v>
      </c>
      <c r="B3550" s="947" t="s">
        <v>14102</v>
      </c>
      <c r="C3550" s="948" t="s">
        <v>14100</v>
      </c>
      <c r="D3550" s="242" t="s">
        <v>28714</v>
      </c>
      <c r="E3550" s="949">
        <v>605</v>
      </c>
      <c r="F3550" s="949">
        <v>605</v>
      </c>
      <c r="G3550" s="950" t="s">
        <v>21165</v>
      </c>
      <c r="H3550" s="950" t="s">
        <v>682</v>
      </c>
      <c r="I3550" s="951" t="s">
        <v>14101</v>
      </c>
      <c r="J3550" s="947" t="s">
        <v>14102</v>
      </c>
      <c r="K3550" s="143"/>
    </row>
    <row r="3551" spans="1:11">
      <c r="A3551" s="946" t="s">
        <v>28609</v>
      </c>
      <c r="B3551" s="947" t="s">
        <v>14145</v>
      </c>
      <c r="C3551" s="948" t="s">
        <v>14143</v>
      </c>
      <c r="D3551" s="242" t="s">
        <v>28714</v>
      </c>
      <c r="E3551" s="949">
        <v>605</v>
      </c>
      <c r="F3551" s="949">
        <v>605</v>
      </c>
      <c r="G3551" s="950" t="s">
        <v>21165</v>
      </c>
      <c r="H3551" s="950" t="s">
        <v>682</v>
      </c>
      <c r="I3551" s="951" t="s">
        <v>14144</v>
      </c>
      <c r="J3551" s="947" t="s">
        <v>14145</v>
      </c>
      <c r="K3551" s="143"/>
    </row>
    <row r="3552" spans="1:11">
      <c r="A3552" s="946" t="s">
        <v>28609</v>
      </c>
      <c r="B3552" s="947" t="s">
        <v>14186</v>
      </c>
      <c r="C3552" s="948" t="s">
        <v>14184</v>
      </c>
      <c r="D3552" s="242" t="s">
        <v>28714</v>
      </c>
      <c r="E3552" s="949">
        <v>605</v>
      </c>
      <c r="F3552" s="949">
        <v>605</v>
      </c>
      <c r="G3552" s="950" t="s">
        <v>21165</v>
      </c>
      <c r="H3552" s="950" t="s">
        <v>682</v>
      </c>
      <c r="I3552" s="951" t="s">
        <v>14185</v>
      </c>
      <c r="J3552" s="947" t="s">
        <v>14186</v>
      </c>
      <c r="K3552" s="143"/>
    </row>
    <row r="3553" spans="1:11">
      <c r="A3553" s="946" t="s">
        <v>28609</v>
      </c>
      <c r="B3553" s="947" t="s">
        <v>14294</v>
      </c>
      <c r="C3553" s="948" t="s">
        <v>14292</v>
      </c>
      <c r="D3553" s="242" t="s">
        <v>28714</v>
      </c>
      <c r="E3553" s="949">
        <v>605</v>
      </c>
      <c r="F3553" s="949">
        <v>605</v>
      </c>
      <c r="G3553" s="950" t="s">
        <v>21165</v>
      </c>
      <c r="H3553" s="950" t="s">
        <v>682</v>
      </c>
      <c r="I3553" s="951" t="s">
        <v>14293</v>
      </c>
      <c r="J3553" s="947" t="s">
        <v>14294</v>
      </c>
      <c r="K3553" s="143"/>
    </row>
    <row r="3554" spans="1:11">
      <c r="A3554" s="946" t="s">
        <v>28609</v>
      </c>
      <c r="B3554" s="947" t="s">
        <v>14352</v>
      </c>
      <c r="C3554" s="948" t="s">
        <v>14350</v>
      </c>
      <c r="D3554" s="242" t="s">
        <v>28714</v>
      </c>
      <c r="E3554" s="949">
        <v>605</v>
      </c>
      <c r="F3554" s="949">
        <v>605</v>
      </c>
      <c r="G3554" s="950" t="s">
        <v>21165</v>
      </c>
      <c r="H3554" s="950" t="s">
        <v>682</v>
      </c>
      <c r="I3554" s="951" t="s">
        <v>14351</v>
      </c>
      <c r="J3554" s="947" t="s">
        <v>14352</v>
      </c>
      <c r="K3554" s="143"/>
    </row>
    <row r="3555" spans="1:11">
      <c r="A3555" s="946" t="s">
        <v>28609</v>
      </c>
      <c r="B3555" s="947" t="s">
        <v>14370</v>
      </c>
      <c r="C3555" s="948" t="s">
        <v>14368</v>
      </c>
      <c r="D3555" s="242" t="s">
        <v>28714</v>
      </c>
      <c r="E3555" s="949">
        <v>605</v>
      </c>
      <c r="F3555" s="949">
        <v>605</v>
      </c>
      <c r="G3555" s="950" t="s">
        <v>21165</v>
      </c>
      <c r="H3555" s="950" t="s">
        <v>682</v>
      </c>
      <c r="I3555" s="951" t="s">
        <v>14369</v>
      </c>
      <c r="J3555" s="947" t="s">
        <v>14370</v>
      </c>
      <c r="K3555" s="143"/>
    </row>
    <row r="3556" spans="1:11">
      <c r="A3556" s="946" t="s">
        <v>28609</v>
      </c>
      <c r="B3556" s="947" t="s">
        <v>15152</v>
      </c>
      <c r="C3556" s="948" t="s">
        <v>15150</v>
      </c>
      <c r="D3556" s="242" t="s">
        <v>28714</v>
      </c>
      <c r="E3556" s="949">
        <v>605</v>
      </c>
      <c r="F3556" s="949">
        <v>605</v>
      </c>
      <c r="G3556" s="950" t="s">
        <v>21165</v>
      </c>
      <c r="H3556" s="950" t="s">
        <v>682</v>
      </c>
      <c r="I3556" s="951" t="s">
        <v>15151</v>
      </c>
      <c r="J3556" s="947" t="s">
        <v>15152</v>
      </c>
      <c r="K3556" s="143"/>
    </row>
    <row r="3557" spans="1:11">
      <c r="A3557" s="946" t="s">
        <v>28609</v>
      </c>
      <c r="B3557" s="947" t="s">
        <v>15412</v>
      </c>
      <c r="C3557" s="948" t="s">
        <v>15410</v>
      </c>
      <c r="D3557" s="242" t="s">
        <v>28714</v>
      </c>
      <c r="E3557" s="949">
        <v>605</v>
      </c>
      <c r="F3557" s="949">
        <v>605</v>
      </c>
      <c r="G3557" s="950" t="s">
        <v>21165</v>
      </c>
      <c r="H3557" s="950" t="s">
        <v>682</v>
      </c>
      <c r="I3557" s="951" t="s">
        <v>15411</v>
      </c>
      <c r="J3557" s="947" t="s">
        <v>15412</v>
      </c>
      <c r="K3557" s="143"/>
    </row>
    <row r="3558" spans="1:11">
      <c r="A3558" s="946" t="s">
        <v>28609</v>
      </c>
      <c r="B3558" s="947" t="s">
        <v>15526</v>
      </c>
      <c r="C3558" s="948" t="s">
        <v>15524</v>
      </c>
      <c r="D3558" s="242" t="s">
        <v>28714</v>
      </c>
      <c r="E3558" s="949">
        <v>605</v>
      </c>
      <c r="F3558" s="949">
        <v>605</v>
      </c>
      <c r="G3558" s="950" t="s">
        <v>21165</v>
      </c>
      <c r="H3558" s="950" t="s">
        <v>682</v>
      </c>
      <c r="I3558" s="951" t="s">
        <v>15525</v>
      </c>
      <c r="J3558" s="947" t="s">
        <v>15526</v>
      </c>
      <c r="K3558" s="143"/>
    </row>
    <row r="3559" spans="1:11">
      <c r="A3559" s="946" t="s">
        <v>28609</v>
      </c>
      <c r="B3559" s="947" t="s">
        <v>15656</v>
      </c>
      <c r="C3559" s="948" t="s">
        <v>15654</v>
      </c>
      <c r="D3559" s="242" t="s">
        <v>28714</v>
      </c>
      <c r="E3559" s="949">
        <v>605</v>
      </c>
      <c r="F3559" s="949">
        <v>605</v>
      </c>
      <c r="G3559" s="950" t="s">
        <v>21165</v>
      </c>
      <c r="H3559" s="950" t="s">
        <v>682</v>
      </c>
      <c r="I3559" s="951" t="s">
        <v>15655</v>
      </c>
      <c r="J3559" s="947" t="s">
        <v>15656</v>
      </c>
      <c r="K3559" s="143"/>
    </row>
    <row r="3560" spans="1:11">
      <c r="A3560" s="946" t="s">
        <v>28609</v>
      </c>
      <c r="B3560" s="947" t="s">
        <v>15694</v>
      </c>
      <c r="C3560" s="948" t="s">
        <v>15692</v>
      </c>
      <c r="D3560" s="242" t="s">
        <v>28714</v>
      </c>
      <c r="E3560" s="949">
        <v>605</v>
      </c>
      <c r="F3560" s="949">
        <v>605</v>
      </c>
      <c r="G3560" s="950" t="s">
        <v>21165</v>
      </c>
      <c r="H3560" s="950" t="s">
        <v>682</v>
      </c>
      <c r="I3560" s="951" t="s">
        <v>15693</v>
      </c>
      <c r="J3560" s="947" t="s">
        <v>15694</v>
      </c>
      <c r="K3560" s="143"/>
    </row>
    <row r="3561" spans="1:11">
      <c r="A3561" s="946" t="s">
        <v>28609</v>
      </c>
      <c r="B3561" s="947" t="s">
        <v>15703</v>
      </c>
      <c r="C3561" s="948" t="s">
        <v>15701</v>
      </c>
      <c r="D3561" s="242" t="s">
        <v>28714</v>
      </c>
      <c r="E3561" s="949">
        <v>605</v>
      </c>
      <c r="F3561" s="949">
        <v>605</v>
      </c>
      <c r="G3561" s="950" t="s">
        <v>21165</v>
      </c>
      <c r="H3561" s="950" t="s">
        <v>682</v>
      </c>
      <c r="I3561" s="951" t="s">
        <v>15702</v>
      </c>
      <c r="J3561" s="947" t="s">
        <v>15703</v>
      </c>
      <c r="K3561" s="143"/>
    </row>
    <row r="3562" spans="1:11">
      <c r="A3562" s="946" t="s">
        <v>28609</v>
      </c>
      <c r="B3562" s="947" t="s">
        <v>15772</v>
      </c>
      <c r="C3562" s="948" t="s">
        <v>15770</v>
      </c>
      <c r="D3562" s="242" t="s">
        <v>28714</v>
      </c>
      <c r="E3562" s="949">
        <v>605</v>
      </c>
      <c r="F3562" s="949">
        <v>605</v>
      </c>
      <c r="G3562" s="950" t="s">
        <v>21165</v>
      </c>
      <c r="H3562" s="950" t="s">
        <v>682</v>
      </c>
      <c r="I3562" s="951" t="s">
        <v>15771</v>
      </c>
      <c r="J3562" s="947" t="s">
        <v>15772</v>
      </c>
      <c r="K3562" s="143"/>
    </row>
    <row r="3563" spans="1:11">
      <c r="A3563" s="946" t="s">
        <v>28609</v>
      </c>
      <c r="B3563" s="947" t="s">
        <v>15793</v>
      </c>
      <c r="C3563" s="948" t="s">
        <v>15791</v>
      </c>
      <c r="D3563" s="242" t="s">
        <v>28714</v>
      </c>
      <c r="E3563" s="949">
        <v>605</v>
      </c>
      <c r="F3563" s="949">
        <v>605</v>
      </c>
      <c r="G3563" s="950" t="s">
        <v>21165</v>
      </c>
      <c r="H3563" s="950" t="s">
        <v>682</v>
      </c>
      <c r="I3563" s="951" t="s">
        <v>15792</v>
      </c>
      <c r="J3563" s="947" t="s">
        <v>15793</v>
      </c>
      <c r="K3563" s="143"/>
    </row>
    <row r="3564" spans="1:11">
      <c r="A3564" s="946" t="s">
        <v>28609</v>
      </c>
      <c r="B3564" s="947" t="s">
        <v>15824</v>
      </c>
      <c r="C3564" s="948" t="s">
        <v>15822</v>
      </c>
      <c r="D3564" s="242" t="s">
        <v>28714</v>
      </c>
      <c r="E3564" s="949">
        <v>605</v>
      </c>
      <c r="F3564" s="949">
        <v>605</v>
      </c>
      <c r="G3564" s="950" t="s">
        <v>21165</v>
      </c>
      <c r="H3564" s="950" t="s">
        <v>682</v>
      </c>
      <c r="I3564" s="951" t="s">
        <v>15823</v>
      </c>
      <c r="J3564" s="947" t="s">
        <v>15824</v>
      </c>
      <c r="K3564" s="143"/>
    </row>
    <row r="3565" spans="1:11">
      <c r="A3565" s="946" t="s">
        <v>28609</v>
      </c>
      <c r="B3565" s="947" t="s">
        <v>15839</v>
      </c>
      <c r="C3565" s="948" t="s">
        <v>15837</v>
      </c>
      <c r="D3565" s="242" t="s">
        <v>28714</v>
      </c>
      <c r="E3565" s="949">
        <v>605</v>
      </c>
      <c r="F3565" s="949">
        <v>605</v>
      </c>
      <c r="G3565" s="950" t="s">
        <v>21165</v>
      </c>
      <c r="H3565" s="950" t="s">
        <v>682</v>
      </c>
      <c r="I3565" s="951" t="s">
        <v>15838</v>
      </c>
      <c r="J3565" s="947" t="s">
        <v>15839</v>
      </c>
      <c r="K3565" s="143"/>
    </row>
    <row r="3566" spans="1:11">
      <c r="A3566" s="946" t="s">
        <v>28609</v>
      </c>
      <c r="B3566" s="947" t="s">
        <v>15842</v>
      </c>
      <c r="C3566" s="948" t="s">
        <v>15840</v>
      </c>
      <c r="D3566" s="242" t="s">
        <v>28714</v>
      </c>
      <c r="E3566" s="949">
        <v>605</v>
      </c>
      <c r="F3566" s="949">
        <v>605</v>
      </c>
      <c r="G3566" s="950" t="s">
        <v>21165</v>
      </c>
      <c r="H3566" s="950" t="s">
        <v>682</v>
      </c>
      <c r="I3566" s="951" t="s">
        <v>15841</v>
      </c>
      <c r="J3566" s="947" t="s">
        <v>15842</v>
      </c>
      <c r="K3566" s="143"/>
    </row>
    <row r="3567" spans="1:11">
      <c r="A3567" s="946" t="s">
        <v>28609</v>
      </c>
      <c r="B3567" s="947" t="s">
        <v>15928</v>
      </c>
      <c r="C3567" s="948" t="s">
        <v>15926</v>
      </c>
      <c r="D3567" s="242" t="s">
        <v>28714</v>
      </c>
      <c r="E3567" s="949">
        <v>605</v>
      </c>
      <c r="F3567" s="949">
        <v>605</v>
      </c>
      <c r="G3567" s="950" t="s">
        <v>21165</v>
      </c>
      <c r="H3567" s="950" t="s">
        <v>682</v>
      </c>
      <c r="I3567" s="951" t="s">
        <v>15927</v>
      </c>
      <c r="J3567" s="947" t="s">
        <v>15928</v>
      </c>
      <c r="K3567" s="143"/>
    </row>
    <row r="3568" spans="1:11">
      <c r="A3568" s="946" t="s">
        <v>28609</v>
      </c>
      <c r="B3568" s="947" t="s">
        <v>16059</v>
      </c>
      <c r="C3568" s="948" t="s">
        <v>16057</v>
      </c>
      <c r="D3568" s="242" t="s">
        <v>28714</v>
      </c>
      <c r="E3568" s="949">
        <v>605</v>
      </c>
      <c r="F3568" s="949">
        <v>605</v>
      </c>
      <c r="G3568" s="950" t="s">
        <v>21165</v>
      </c>
      <c r="H3568" s="950" t="s">
        <v>682</v>
      </c>
      <c r="I3568" s="951" t="s">
        <v>16058</v>
      </c>
      <c r="J3568" s="947" t="s">
        <v>16059</v>
      </c>
      <c r="K3568" s="143"/>
    </row>
    <row r="3569" spans="1:11">
      <c r="A3569" s="946" t="s">
        <v>28609</v>
      </c>
      <c r="B3569" s="947" t="s">
        <v>16119</v>
      </c>
      <c r="C3569" s="948" t="s">
        <v>16117</v>
      </c>
      <c r="D3569" s="242" t="s">
        <v>28714</v>
      </c>
      <c r="E3569" s="949">
        <v>605</v>
      </c>
      <c r="F3569" s="949">
        <v>605</v>
      </c>
      <c r="G3569" s="950" t="s">
        <v>21165</v>
      </c>
      <c r="H3569" s="950" t="s">
        <v>682</v>
      </c>
      <c r="I3569" s="951" t="s">
        <v>16118</v>
      </c>
      <c r="J3569" s="947" t="s">
        <v>16119</v>
      </c>
      <c r="K3569" s="143"/>
    </row>
    <row r="3570" spans="1:11">
      <c r="A3570" s="946" t="s">
        <v>28609</v>
      </c>
      <c r="B3570" s="947" t="s">
        <v>16128</v>
      </c>
      <c r="C3570" s="948" t="s">
        <v>16126</v>
      </c>
      <c r="D3570" s="242" t="s">
        <v>28714</v>
      </c>
      <c r="E3570" s="949">
        <v>605</v>
      </c>
      <c r="F3570" s="949">
        <v>605</v>
      </c>
      <c r="G3570" s="950" t="s">
        <v>21165</v>
      </c>
      <c r="H3570" s="950" t="s">
        <v>682</v>
      </c>
      <c r="I3570" s="951" t="s">
        <v>16127</v>
      </c>
      <c r="J3570" s="947" t="s">
        <v>16128</v>
      </c>
      <c r="K3570" s="143"/>
    </row>
    <row r="3571" spans="1:11">
      <c r="A3571" s="946" t="s">
        <v>28609</v>
      </c>
      <c r="B3571" s="947" t="s">
        <v>16142</v>
      </c>
      <c r="C3571" s="948" t="s">
        <v>16140</v>
      </c>
      <c r="D3571" s="242" t="s">
        <v>28714</v>
      </c>
      <c r="E3571" s="949">
        <v>605</v>
      </c>
      <c r="F3571" s="949">
        <v>605</v>
      </c>
      <c r="G3571" s="950" t="s">
        <v>21165</v>
      </c>
      <c r="H3571" s="950" t="s">
        <v>682</v>
      </c>
      <c r="I3571" s="951" t="s">
        <v>16141</v>
      </c>
      <c r="J3571" s="947" t="s">
        <v>16142</v>
      </c>
      <c r="K3571" s="143"/>
    </row>
    <row r="3572" spans="1:11">
      <c r="A3572" s="946" t="s">
        <v>28609</v>
      </c>
      <c r="B3572" s="947" t="s">
        <v>16196</v>
      </c>
      <c r="C3572" s="948" t="s">
        <v>16194</v>
      </c>
      <c r="D3572" s="242" t="s">
        <v>28714</v>
      </c>
      <c r="E3572" s="949">
        <v>605</v>
      </c>
      <c r="F3572" s="949">
        <v>605</v>
      </c>
      <c r="G3572" s="950" t="s">
        <v>21165</v>
      </c>
      <c r="H3572" s="950" t="s">
        <v>682</v>
      </c>
      <c r="I3572" s="951" t="s">
        <v>16195</v>
      </c>
      <c r="J3572" s="947" t="s">
        <v>16196</v>
      </c>
      <c r="K3572" s="143"/>
    </row>
    <row r="3573" spans="1:11">
      <c r="A3573" s="946" t="s">
        <v>28609</v>
      </c>
      <c r="B3573" s="947" t="s">
        <v>16214</v>
      </c>
      <c r="C3573" s="948" t="s">
        <v>16212</v>
      </c>
      <c r="D3573" s="242" t="s">
        <v>28714</v>
      </c>
      <c r="E3573" s="949">
        <v>605</v>
      </c>
      <c r="F3573" s="949">
        <v>605</v>
      </c>
      <c r="G3573" s="950" t="s">
        <v>21165</v>
      </c>
      <c r="H3573" s="950" t="s">
        <v>682</v>
      </c>
      <c r="I3573" s="951" t="s">
        <v>16213</v>
      </c>
      <c r="J3573" s="947" t="s">
        <v>16214</v>
      </c>
      <c r="K3573" s="143"/>
    </row>
    <row r="3574" spans="1:11">
      <c r="A3574" s="946" t="s">
        <v>28609</v>
      </c>
      <c r="B3574" s="947" t="s">
        <v>16217</v>
      </c>
      <c r="C3574" s="948" t="s">
        <v>16215</v>
      </c>
      <c r="D3574" s="242" t="s">
        <v>28714</v>
      </c>
      <c r="E3574" s="949">
        <v>605</v>
      </c>
      <c r="F3574" s="949">
        <v>605</v>
      </c>
      <c r="G3574" s="950" t="s">
        <v>21165</v>
      </c>
      <c r="H3574" s="950" t="s">
        <v>682</v>
      </c>
      <c r="I3574" s="951" t="s">
        <v>16216</v>
      </c>
      <c r="J3574" s="947" t="s">
        <v>16217</v>
      </c>
      <c r="K3574" s="143"/>
    </row>
    <row r="3575" spans="1:11">
      <c r="A3575" s="946" t="s">
        <v>28609</v>
      </c>
      <c r="B3575" s="947" t="s">
        <v>16312</v>
      </c>
      <c r="C3575" s="948" t="s">
        <v>16310</v>
      </c>
      <c r="D3575" s="242" t="s">
        <v>28714</v>
      </c>
      <c r="E3575" s="949">
        <v>605</v>
      </c>
      <c r="F3575" s="949">
        <v>605</v>
      </c>
      <c r="G3575" s="950" t="s">
        <v>21165</v>
      </c>
      <c r="H3575" s="950" t="s">
        <v>682</v>
      </c>
      <c r="I3575" s="951" t="s">
        <v>16311</v>
      </c>
      <c r="J3575" s="947" t="s">
        <v>16312</v>
      </c>
      <c r="K3575" s="143"/>
    </row>
    <row r="3576" spans="1:11">
      <c r="A3576" s="946" t="s">
        <v>28609</v>
      </c>
      <c r="B3576" s="947" t="s">
        <v>16432</v>
      </c>
      <c r="C3576" s="948" t="s">
        <v>16430</v>
      </c>
      <c r="D3576" s="242" t="s">
        <v>28714</v>
      </c>
      <c r="E3576" s="949">
        <v>605</v>
      </c>
      <c r="F3576" s="949">
        <v>605</v>
      </c>
      <c r="G3576" s="950" t="s">
        <v>21165</v>
      </c>
      <c r="H3576" s="950" t="s">
        <v>682</v>
      </c>
      <c r="I3576" s="951" t="s">
        <v>16431</v>
      </c>
      <c r="J3576" s="947" t="s">
        <v>16432</v>
      </c>
      <c r="K3576" s="143"/>
    </row>
    <row r="3577" spans="1:11">
      <c r="A3577" s="946" t="s">
        <v>28609</v>
      </c>
      <c r="B3577" s="947" t="s">
        <v>16875</v>
      </c>
      <c r="C3577" s="948" t="s">
        <v>16873</v>
      </c>
      <c r="D3577" s="242" t="s">
        <v>28714</v>
      </c>
      <c r="E3577" s="949">
        <v>605</v>
      </c>
      <c r="F3577" s="949">
        <v>605</v>
      </c>
      <c r="G3577" s="950" t="s">
        <v>21165</v>
      </c>
      <c r="H3577" s="950" t="s">
        <v>682</v>
      </c>
      <c r="I3577" s="951" t="s">
        <v>16874</v>
      </c>
      <c r="J3577" s="947" t="s">
        <v>16875</v>
      </c>
      <c r="K3577" s="143"/>
    </row>
    <row r="3578" spans="1:11">
      <c r="A3578" s="946" t="s">
        <v>28609</v>
      </c>
      <c r="B3578" s="947" t="s">
        <v>17090</v>
      </c>
      <c r="C3578" s="948" t="s">
        <v>17088</v>
      </c>
      <c r="D3578" s="242" t="s">
        <v>28714</v>
      </c>
      <c r="E3578" s="949">
        <v>605</v>
      </c>
      <c r="F3578" s="949">
        <v>605</v>
      </c>
      <c r="G3578" s="950" t="s">
        <v>21165</v>
      </c>
      <c r="H3578" s="950" t="s">
        <v>682</v>
      </c>
      <c r="I3578" s="951" t="s">
        <v>17089</v>
      </c>
      <c r="J3578" s="947" t="s">
        <v>17090</v>
      </c>
      <c r="K3578" s="143"/>
    </row>
    <row r="3579" spans="1:11">
      <c r="A3579" s="946" t="s">
        <v>28609</v>
      </c>
      <c r="B3579" s="947" t="s">
        <v>17513</v>
      </c>
      <c r="C3579" s="948" t="s">
        <v>17511</v>
      </c>
      <c r="D3579" s="242" t="s">
        <v>28714</v>
      </c>
      <c r="E3579" s="949">
        <v>605</v>
      </c>
      <c r="F3579" s="949">
        <v>605</v>
      </c>
      <c r="G3579" s="950" t="s">
        <v>21165</v>
      </c>
      <c r="H3579" s="950" t="s">
        <v>682</v>
      </c>
      <c r="I3579" s="951" t="s">
        <v>17512</v>
      </c>
      <c r="J3579" s="947" t="s">
        <v>17513</v>
      </c>
      <c r="K3579" s="143"/>
    </row>
    <row r="3580" spans="1:11">
      <c r="A3580" s="946" t="s">
        <v>28609</v>
      </c>
      <c r="B3580" s="947" t="s">
        <v>17660</v>
      </c>
      <c r="C3580" s="948" t="s">
        <v>17658</v>
      </c>
      <c r="D3580" s="242" t="s">
        <v>28714</v>
      </c>
      <c r="E3580" s="949">
        <v>605</v>
      </c>
      <c r="F3580" s="949">
        <v>605</v>
      </c>
      <c r="G3580" s="950" t="s">
        <v>21165</v>
      </c>
      <c r="H3580" s="950" t="s">
        <v>682</v>
      </c>
      <c r="I3580" s="951" t="s">
        <v>17659</v>
      </c>
      <c r="J3580" s="947" t="s">
        <v>17660</v>
      </c>
      <c r="K3580" s="143"/>
    </row>
    <row r="3581" spans="1:11">
      <c r="A3581" s="946" t="s">
        <v>28609</v>
      </c>
      <c r="B3581" s="947" t="s">
        <v>17699</v>
      </c>
      <c r="C3581" s="948" t="s">
        <v>17697</v>
      </c>
      <c r="D3581" s="242" t="s">
        <v>28714</v>
      </c>
      <c r="E3581" s="949">
        <v>605</v>
      </c>
      <c r="F3581" s="949">
        <v>605</v>
      </c>
      <c r="G3581" s="950" t="s">
        <v>21165</v>
      </c>
      <c r="H3581" s="950" t="s">
        <v>682</v>
      </c>
      <c r="I3581" s="951" t="s">
        <v>17698</v>
      </c>
      <c r="J3581" s="947" t="s">
        <v>17699</v>
      </c>
      <c r="K3581" s="143"/>
    </row>
    <row r="3582" spans="1:11">
      <c r="A3582" s="946" t="s">
        <v>28609</v>
      </c>
      <c r="B3582" s="947" t="s">
        <v>17803</v>
      </c>
      <c r="C3582" s="948" t="s">
        <v>17801</v>
      </c>
      <c r="D3582" s="242" t="s">
        <v>28714</v>
      </c>
      <c r="E3582" s="949">
        <v>605</v>
      </c>
      <c r="F3582" s="949">
        <v>605</v>
      </c>
      <c r="G3582" s="950" t="s">
        <v>21165</v>
      </c>
      <c r="H3582" s="950" t="s">
        <v>682</v>
      </c>
      <c r="I3582" s="951" t="s">
        <v>17802</v>
      </c>
      <c r="J3582" s="947" t="s">
        <v>17803</v>
      </c>
      <c r="K3582" s="143"/>
    </row>
    <row r="3583" spans="1:11">
      <c r="A3583" s="946" t="s">
        <v>28609</v>
      </c>
      <c r="B3583" s="947" t="s">
        <v>18069</v>
      </c>
      <c r="C3583" s="948" t="s">
        <v>18067</v>
      </c>
      <c r="D3583" s="242" t="s">
        <v>28714</v>
      </c>
      <c r="E3583" s="949">
        <v>605</v>
      </c>
      <c r="F3583" s="949">
        <v>605</v>
      </c>
      <c r="G3583" s="950" t="s">
        <v>21165</v>
      </c>
      <c r="H3583" s="950" t="s">
        <v>682</v>
      </c>
      <c r="I3583" s="951" t="s">
        <v>18068</v>
      </c>
      <c r="J3583" s="947" t="s">
        <v>18069</v>
      </c>
      <c r="K3583" s="143"/>
    </row>
    <row r="3584" spans="1:11">
      <c r="A3584" s="946" t="s">
        <v>28609</v>
      </c>
      <c r="B3584" s="947" t="s">
        <v>18494</v>
      </c>
      <c r="C3584" s="948" t="s">
        <v>18492</v>
      </c>
      <c r="D3584" s="242" t="s">
        <v>28714</v>
      </c>
      <c r="E3584" s="949">
        <v>605</v>
      </c>
      <c r="F3584" s="949">
        <v>605</v>
      </c>
      <c r="G3584" s="950" t="s">
        <v>21165</v>
      </c>
      <c r="H3584" s="950" t="s">
        <v>682</v>
      </c>
      <c r="I3584" s="951" t="s">
        <v>18493</v>
      </c>
      <c r="J3584" s="947" t="s">
        <v>18494</v>
      </c>
      <c r="K3584" s="143"/>
    </row>
    <row r="3585" spans="1:11">
      <c r="A3585" s="946" t="s">
        <v>28609</v>
      </c>
      <c r="B3585" s="947" t="s">
        <v>18281</v>
      </c>
      <c r="C3585" s="948" t="s">
        <v>18279</v>
      </c>
      <c r="D3585" s="242" t="s">
        <v>28714</v>
      </c>
      <c r="E3585" s="949">
        <v>605</v>
      </c>
      <c r="F3585" s="949">
        <v>605</v>
      </c>
      <c r="G3585" s="950" t="s">
        <v>21165</v>
      </c>
      <c r="H3585" s="950" t="s">
        <v>682</v>
      </c>
      <c r="I3585" s="951" t="s">
        <v>18280</v>
      </c>
      <c r="J3585" s="947" t="s">
        <v>18281</v>
      </c>
      <c r="K3585" s="143"/>
    </row>
    <row r="3586" spans="1:11">
      <c r="A3586" s="946" t="s">
        <v>28609</v>
      </c>
      <c r="B3586" s="947" t="s">
        <v>18293</v>
      </c>
      <c r="C3586" s="948" t="s">
        <v>18291</v>
      </c>
      <c r="D3586" s="242" t="s">
        <v>28714</v>
      </c>
      <c r="E3586" s="949">
        <v>605</v>
      </c>
      <c r="F3586" s="949">
        <v>605</v>
      </c>
      <c r="G3586" s="950" t="s">
        <v>21165</v>
      </c>
      <c r="H3586" s="950" t="s">
        <v>682</v>
      </c>
      <c r="I3586" s="951" t="s">
        <v>18292</v>
      </c>
      <c r="J3586" s="947" t="s">
        <v>18293</v>
      </c>
      <c r="K3586" s="143"/>
    </row>
    <row r="3587" spans="1:11">
      <c r="A3587" s="946" t="s">
        <v>28609</v>
      </c>
      <c r="B3587" s="947" t="s">
        <v>18940</v>
      </c>
      <c r="C3587" s="948" t="s">
        <v>18938</v>
      </c>
      <c r="D3587" s="242" t="s">
        <v>28714</v>
      </c>
      <c r="E3587" s="949">
        <v>605</v>
      </c>
      <c r="F3587" s="949">
        <v>605</v>
      </c>
      <c r="G3587" s="950" t="s">
        <v>21165</v>
      </c>
      <c r="H3587" s="950" t="s">
        <v>682</v>
      </c>
      <c r="I3587" s="951" t="s">
        <v>18939</v>
      </c>
      <c r="J3587" s="947" t="s">
        <v>18940</v>
      </c>
      <c r="K3587" s="143"/>
    </row>
    <row r="3588" spans="1:11">
      <c r="A3588" s="946" t="s">
        <v>28609</v>
      </c>
      <c r="B3588" s="947" t="s">
        <v>18978</v>
      </c>
      <c r="C3588" s="948" t="s">
        <v>18976</v>
      </c>
      <c r="D3588" s="242" t="s">
        <v>28714</v>
      </c>
      <c r="E3588" s="949">
        <v>605</v>
      </c>
      <c r="F3588" s="949">
        <v>605</v>
      </c>
      <c r="G3588" s="950" t="s">
        <v>21165</v>
      </c>
      <c r="H3588" s="950" t="s">
        <v>682</v>
      </c>
      <c r="I3588" s="951" t="s">
        <v>18977</v>
      </c>
      <c r="J3588" s="947" t="s">
        <v>18978</v>
      </c>
      <c r="K3588" s="143"/>
    </row>
    <row r="3589" spans="1:11">
      <c r="A3589" s="946" t="s">
        <v>28609</v>
      </c>
      <c r="B3589" s="947" t="s">
        <v>19163</v>
      </c>
      <c r="C3589" s="948" t="s">
        <v>19161</v>
      </c>
      <c r="D3589" s="242" t="s">
        <v>28714</v>
      </c>
      <c r="E3589" s="949">
        <v>605</v>
      </c>
      <c r="F3589" s="949">
        <v>605</v>
      </c>
      <c r="G3589" s="950" t="s">
        <v>21165</v>
      </c>
      <c r="H3589" s="950" t="s">
        <v>682</v>
      </c>
      <c r="I3589" s="951" t="s">
        <v>19162</v>
      </c>
      <c r="J3589" s="947" t="s">
        <v>19163</v>
      </c>
      <c r="K3589" s="143"/>
    </row>
    <row r="3590" spans="1:11">
      <c r="A3590" s="946" t="s">
        <v>28609</v>
      </c>
      <c r="B3590" s="947" t="s">
        <v>19604</v>
      </c>
      <c r="C3590" s="948" t="s">
        <v>19602</v>
      </c>
      <c r="D3590" s="242" t="s">
        <v>28714</v>
      </c>
      <c r="E3590" s="949">
        <v>605</v>
      </c>
      <c r="F3590" s="949">
        <v>605</v>
      </c>
      <c r="G3590" s="950" t="s">
        <v>21165</v>
      </c>
      <c r="H3590" s="950" t="s">
        <v>682</v>
      </c>
      <c r="I3590" s="951" t="s">
        <v>19603</v>
      </c>
      <c r="J3590" s="947" t="s">
        <v>19604</v>
      </c>
      <c r="K3590" s="143"/>
    </row>
    <row r="3591" spans="1:11">
      <c r="A3591" s="946" t="s">
        <v>28609</v>
      </c>
      <c r="B3591" s="947" t="s">
        <v>20046</v>
      </c>
      <c r="C3591" s="948" t="s">
        <v>20044</v>
      </c>
      <c r="D3591" s="242" t="s">
        <v>28714</v>
      </c>
      <c r="E3591" s="949">
        <v>605</v>
      </c>
      <c r="F3591" s="949">
        <v>605</v>
      </c>
      <c r="G3591" s="950" t="s">
        <v>21165</v>
      </c>
      <c r="H3591" s="950" t="s">
        <v>682</v>
      </c>
      <c r="I3591" s="951" t="s">
        <v>20045</v>
      </c>
      <c r="J3591" s="947" t="s">
        <v>20046</v>
      </c>
      <c r="K3591" s="143"/>
    </row>
    <row r="3592" spans="1:11">
      <c r="A3592" s="946" t="s">
        <v>28609</v>
      </c>
      <c r="B3592" s="947" t="s">
        <v>20148</v>
      </c>
      <c r="C3592" s="948" t="s">
        <v>20146</v>
      </c>
      <c r="D3592" s="242" t="s">
        <v>28714</v>
      </c>
      <c r="E3592" s="949">
        <v>605</v>
      </c>
      <c r="F3592" s="949">
        <v>605</v>
      </c>
      <c r="G3592" s="950" t="s">
        <v>21165</v>
      </c>
      <c r="H3592" s="950" t="s">
        <v>682</v>
      </c>
      <c r="I3592" s="951" t="s">
        <v>20147</v>
      </c>
      <c r="J3592" s="947" t="s">
        <v>20148</v>
      </c>
      <c r="K3592" s="143"/>
    </row>
    <row r="3593" spans="1:11">
      <c r="A3593" s="946" t="s">
        <v>28609</v>
      </c>
      <c r="B3593" s="947" t="s">
        <v>20180</v>
      </c>
      <c r="C3593" s="948" t="s">
        <v>20178</v>
      </c>
      <c r="D3593" s="242" t="s">
        <v>28714</v>
      </c>
      <c r="E3593" s="949">
        <v>605</v>
      </c>
      <c r="F3593" s="949">
        <v>605</v>
      </c>
      <c r="G3593" s="950" t="s">
        <v>21165</v>
      </c>
      <c r="H3593" s="950" t="s">
        <v>682</v>
      </c>
      <c r="I3593" s="951" t="s">
        <v>20179</v>
      </c>
      <c r="J3593" s="947" t="s">
        <v>20180</v>
      </c>
      <c r="K3593" s="143"/>
    </row>
    <row r="3594" spans="1:11">
      <c r="A3594" s="946" t="s">
        <v>28609</v>
      </c>
      <c r="B3594" s="947" t="s">
        <v>20195</v>
      </c>
      <c r="C3594" s="948" t="s">
        <v>20193</v>
      </c>
      <c r="D3594" s="242" t="s">
        <v>28714</v>
      </c>
      <c r="E3594" s="949">
        <v>605</v>
      </c>
      <c r="F3594" s="949">
        <v>605</v>
      </c>
      <c r="G3594" s="950" t="s">
        <v>21165</v>
      </c>
      <c r="H3594" s="950" t="s">
        <v>682</v>
      </c>
      <c r="I3594" s="951" t="s">
        <v>20194</v>
      </c>
      <c r="J3594" s="947" t="s">
        <v>20195</v>
      </c>
      <c r="K3594" s="143"/>
    </row>
    <row r="3595" spans="1:11">
      <c r="A3595" s="946" t="s">
        <v>28609</v>
      </c>
      <c r="B3595" s="947" t="s">
        <v>20215</v>
      </c>
      <c r="C3595" s="948" t="s">
        <v>20213</v>
      </c>
      <c r="D3595" s="242" t="s">
        <v>28714</v>
      </c>
      <c r="E3595" s="949">
        <v>605</v>
      </c>
      <c r="F3595" s="949">
        <v>605</v>
      </c>
      <c r="G3595" s="950" t="s">
        <v>21165</v>
      </c>
      <c r="H3595" s="950" t="s">
        <v>682</v>
      </c>
      <c r="I3595" s="951" t="s">
        <v>20214</v>
      </c>
      <c r="J3595" s="947" t="s">
        <v>20215</v>
      </c>
      <c r="K3595" s="143"/>
    </row>
    <row r="3596" spans="1:11">
      <c r="A3596" s="946" t="s">
        <v>28609</v>
      </c>
      <c r="B3596" s="947" t="s">
        <v>20227</v>
      </c>
      <c r="C3596" s="948" t="s">
        <v>20225</v>
      </c>
      <c r="D3596" s="242" t="s">
        <v>28714</v>
      </c>
      <c r="E3596" s="949">
        <v>605</v>
      </c>
      <c r="F3596" s="949">
        <v>605</v>
      </c>
      <c r="G3596" s="950" t="s">
        <v>21165</v>
      </c>
      <c r="H3596" s="950" t="s">
        <v>682</v>
      </c>
      <c r="I3596" s="951" t="s">
        <v>20226</v>
      </c>
      <c r="J3596" s="947" t="s">
        <v>20227</v>
      </c>
      <c r="K3596" s="143"/>
    </row>
    <row r="3597" spans="1:11">
      <c r="A3597" s="946" t="s">
        <v>28609</v>
      </c>
      <c r="B3597" s="947" t="s">
        <v>20248</v>
      </c>
      <c r="C3597" s="948" t="s">
        <v>20246</v>
      </c>
      <c r="D3597" s="242" t="s">
        <v>28714</v>
      </c>
      <c r="E3597" s="949">
        <v>605</v>
      </c>
      <c r="F3597" s="949">
        <v>605</v>
      </c>
      <c r="G3597" s="950" t="s">
        <v>21165</v>
      </c>
      <c r="H3597" s="950" t="s">
        <v>682</v>
      </c>
      <c r="I3597" s="951" t="s">
        <v>20247</v>
      </c>
      <c r="J3597" s="947" t="s">
        <v>20248</v>
      </c>
      <c r="K3597" s="143"/>
    </row>
    <row r="3598" spans="1:11">
      <c r="A3598" s="946" t="s">
        <v>28609</v>
      </c>
      <c r="B3598" s="947" t="s">
        <v>20417</v>
      </c>
      <c r="C3598" s="948" t="s">
        <v>20415</v>
      </c>
      <c r="D3598" s="242" t="s">
        <v>28714</v>
      </c>
      <c r="E3598" s="949">
        <v>605</v>
      </c>
      <c r="F3598" s="949">
        <v>605</v>
      </c>
      <c r="G3598" s="950" t="s">
        <v>21165</v>
      </c>
      <c r="H3598" s="950" t="s">
        <v>682</v>
      </c>
      <c r="I3598" s="951" t="s">
        <v>20416</v>
      </c>
      <c r="J3598" s="947" t="s">
        <v>20417</v>
      </c>
      <c r="K3598" s="143"/>
    </row>
    <row r="3599" spans="1:11">
      <c r="A3599" s="946" t="s">
        <v>28609</v>
      </c>
      <c r="B3599" s="947" t="s">
        <v>20529</v>
      </c>
      <c r="C3599" s="948" t="s">
        <v>20527</v>
      </c>
      <c r="D3599" s="242" t="s">
        <v>28714</v>
      </c>
      <c r="E3599" s="949">
        <v>605</v>
      </c>
      <c r="F3599" s="949">
        <v>605</v>
      </c>
      <c r="G3599" s="950" t="s">
        <v>21165</v>
      </c>
      <c r="H3599" s="950" t="s">
        <v>682</v>
      </c>
      <c r="I3599" s="951" t="s">
        <v>20528</v>
      </c>
      <c r="J3599" s="947" t="s">
        <v>20529</v>
      </c>
      <c r="K3599" s="143"/>
    </row>
    <row r="3600" spans="1:11">
      <c r="A3600" s="946" t="s">
        <v>28609</v>
      </c>
      <c r="B3600" s="947" t="s">
        <v>20702</v>
      </c>
      <c r="C3600" s="948" t="s">
        <v>20700</v>
      </c>
      <c r="D3600" s="242" t="s">
        <v>28714</v>
      </c>
      <c r="E3600" s="949">
        <v>605</v>
      </c>
      <c r="F3600" s="949">
        <v>605</v>
      </c>
      <c r="G3600" s="950" t="s">
        <v>21165</v>
      </c>
      <c r="H3600" s="950" t="s">
        <v>682</v>
      </c>
      <c r="I3600" s="951" t="s">
        <v>20701</v>
      </c>
      <c r="J3600" s="947" t="s">
        <v>20702</v>
      </c>
      <c r="K3600" s="143"/>
    </row>
    <row r="3601" spans="1:11">
      <c r="A3601" s="946" t="s">
        <v>28609</v>
      </c>
      <c r="B3601" s="947" t="s">
        <v>20799</v>
      </c>
      <c r="C3601" s="948" t="s">
        <v>20797</v>
      </c>
      <c r="D3601" s="242" t="s">
        <v>28714</v>
      </c>
      <c r="E3601" s="949">
        <v>605</v>
      </c>
      <c r="F3601" s="949">
        <v>605</v>
      </c>
      <c r="G3601" s="950" t="s">
        <v>21165</v>
      </c>
      <c r="H3601" s="950" t="s">
        <v>682</v>
      </c>
      <c r="I3601" s="951" t="s">
        <v>20798</v>
      </c>
      <c r="J3601" s="947" t="s">
        <v>20799</v>
      </c>
      <c r="K3601" s="143"/>
    </row>
    <row r="3602" spans="1:11">
      <c r="A3602" s="946" t="s">
        <v>28609</v>
      </c>
      <c r="B3602" s="947" t="s">
        <v>20856</v>
      </c>
      <c r="C3602" s="948" t="s">
        <v>20854</v>
      </c>
      <c r="D3602" s="242" t="s">
        <v>28714</v>
      </c>
      <c r="E3602" s="949">
        <v>605</v>
      </c>
      <c r="F3602" s="949">
        <v>605</v>
      </c>
      <c r="G3602" s="950" t="s">
        <v>21165</v>
      </c>
      <c r="H3602" s="950" t="s">
        <v>682</v>
      </c>
      <c r="I3602" s="951" t="s">
        <v>20855</v>
      </c>
      <c r="J3602" s="947" t="s">
        <v>20856</v>
      </c>
      <c r="K3602" s="143"/>
    </row>
    <row r="3603" spans="1:11">
      <c r="A3603" s="946" t="s">
        <v>28609</v>
      </c>
      <c r="B3603" s="947" t="s">
        <v>20936</v>
      </c>
      <c r="C3603" s="948" t="s">
        <v>20934</v>
      </c>
      <c r="D3603" s="242" t="s">
        <v>28714</v>
      </c>
      <c r="E3603" s="949">
        <v>605</v>
      </c>
      <c r="F3603" s="949">
        <v>605</v>
      </c>
      <c r="G3603" s="950" t="s">
        <v>21165</v>
      </c>
      <c r="H3603" s="950" t="s">
        <v>682</v>
      </c>
      <c r="I3603" s="951" t="s">
        <v>20935</v>
      </c>
      <c r="J3603" s="947" t="s">
        <v>20936</v>
      </c>
      <c r="K3603" s="143"/>
    </row>
    <row r="3604" spans="1:11">
      <c r="A3604" s="946" t="s">
        <v>28609</v>
      </c>
      <c r="B3604" s="947" t="s">
        <v>21025</v>
      </c>
      <c r="C3604" s="948" t="s">
        <v>21023</v>
      </c>
      <c r="D3604" s="242" t="s">
        <v>28714</v>
      </c>
      <c r="E3604" s="949">
        <v>605</v>
      </c>
      <c r="F3604" s="949">
        <v>605</v>
      </c>
      <c r="G3604" s="950" t="s">
        <v>21165</v>
      </c>
      <c r="H3604" s="950" t="s">
        <v>682</v>
      </c>
      <c r="I3604" s="951" t="s">
        <v>21024</v>
      </c>
      <c r="J3604" s="947" t="s">
        <v>21025</v>
      </c>
      <c r="K3604" s="143"/>
    </row>
    <row r="3605" spans="1:11">
      <c r="A3605" s="946" t="s">
        <v>28609</v>
      </c>
      <c r="B3605" s="947" t="s">
        <v>21065</v>
      </c>
      <c r="C3605" s="948" t="s">
        <v>21063</v>
      </c>
      <c r="D3605" s="242" t="s">
        <v>28714</v>
      </c>
      <c r="E3605" s="949">
        <v>605</v>
      </c>
      <c r="F3605" s="949">
        <v>605</v>
      </c>
      <c r="G3605" s="950" t="s">
        <v>21165</v>
      </c>
      <c r="H3605" s="950" t="s">
        <v>682</v>
      </c>
      <c r="I3605" s="951" t="s">
        <v>21064</v>
      </c>
      <c r="J3605" s="947" t="s">
        <v>21065</v>
      </c>
      <c r="K3605" s="143"/>
    </row>
    <row r="3606" spans="1:11">
      <c r="A3606" s="946" t="s">
        <v>28609</v>
      </c>
      <c r="B3606" s="947" t="s">
        <v>21165</v>
      </c>
      <c r="C3606" s="948" t="s">
        <v>21163</v>
      </c>
      <c r="D3606" s="242" t="s">
        <v>28714</v>
      </c>
      <c r="E3606" s="949">
        <v>605</v>
      </c>
      <c r="F3606" s="949">
        <v>605</v>
      </c>
      <c r="G3606" s="950" t="s">
        <v>21165</v>
      </c>
      <c r="H3606" s="950" t="s">
        <v>682</v>
      </c>
      <c r="I3606" s="951" t="s">
        <v>21164</v>
      </c>
      <c r="J3606" s="947" t="s">
        <v>21165</v>
      </c>
      <c r="K3606" s="143"/>
    </row>
    <row r="3607" spans="1:11">
      <c r="A3607" s="946" t="s">
        <v>28609</v>
      </c>
      <c r="B3607" s="947" t="s">
        <v>21595</v>
      </c>
      <c r="C3607" s="948" t="s">
        <v>21593</v>
      </c>
      <c r="D3607" s="242" t="s">
        <v>28714</v>
      </c>
      <c r="E3607" s="949">
        <v>605</v>
      </c>
      <c r="F3607" s="949">
        <v>605</v>
      </c>
      <c r="G3607" s="950" t="s">
        <v>21165</v>
      </c>
      <c r="H3607" s="950" t="s">
        <v>682</v>
      </c>
      <c r="I3607" s="951" t="s">
        <v>21594</v>
      </c>
      <c r="J3607" s="947" t="s">
        <v>21595</v>
      </c>
      <c r="K3607" s="143"/>
    </row>
    <row r="3608" spans="1:11">
      <c r="A3608" s="946" t="s">
        <v>28609</v>
      </c>
      <c r="B3608" s="947" t="s">
        <v>21722</v>
      </c>
      <c r="C3608" s="948" t="s">
        <v>21720</v>
      </c>
      <c r="D3608" s="242" t="s">
        <v>28714</v>
      </c>
      <c r="E3608" s="949">
        <v>605</v>
      </c>
      <c r="F3608" s="949">
        <v>605</v>
      </c>
      <c r="G3608" s="950" t="s">
        <v>21165</v>
      </c>
      <c r="H3608" s="950" t="s">
        <v>682</v>
      </c>
      <c r="I3608" s="951" t="s">
        <v>21721</v>
      </c>
      <c r="J3608" s="947" t="s">
        <v>21722</v>
      </c>
      <c r="K3608" s="143"/>
    </row>
    <row r="3609" spans="1:11">
      <c r="A3609" s="946" t="s">
        <v>28609</v>
      </c>
      <c r="B3609" s="947" t="s">
        <v>21831</v>
      </c>
      <c r="C3609" s="948" t="s">
        <v>21829</v>
      </c>
      <c r="D3609" s="242" t="s">
        <v>28714</v>
      </c>
      <c r="E3609" s="949">
        <v>605</v>
      </c>
      <c r="F3609" s="949">
        <v>605</v>
      </c>
      <c r="G3609" s="950" t="s">
        <v>21165</v>
      </c>
      <c r="H3609" s="950" t="s">
        <v>682</v>
      </c>
      <c r="I3609" s="951" t="s">
        <v>21830</v>
      </c>
      <c r="J3609" s="947" t="s">
        <v>21831</v>
      </c>
      <c r="K3609" s="143"/>
    </row>
    <row r="3610" spans="1:11">
      <c r="A3610" s="946" t="s">
        <v>28609</v>
      </c>
      <c r="B3610" s="947" t="s">
        <v>22143</v>
      </c>
      <c r="C3610" s="948" t="s">
        <v>22141</v>
      </c>
      <c r="D3610" s="242" t="s">
        <v>28714</v>
      </c>
      <c r="E3610" s="949">
        <v>605</v>
      </c>
      <c r="F3610" s="949">
        <v>605</v>
      </c>
      <c r="G3610" s="950" t="s">
        <v>21165</v>
      </c>
      <c r="H3610" s="950" t="s">
        <v>682</v>
      </c>
      <c r="I3610" s="951" t="s">
        <v>22142</v>
      </c>
      <c r="J3610" s="947" t="s">
        <v>22143</v>
      </c>
      <c r="K3610" s="143"/>
    </row>
    <row r="3611" spans="1:11">
      <c r="A3611" s="946" t="s">
        <v>28609</v>
      </c>
      <c r="B3611" s="947" t="s">
        <v>22403</v>
      </c>
      <c r="C3611" s="948" t="s">
        <v>22401</v>
      </c>
      <c r="D3611" s="242" t="s">
        <v>28714</v>
      </c>
      <c r="E3611" s="949">
        <v>605</v>
      </c>
      <c r="F3611" s="949">
        <v>605</v>
      </c>
      <c r="G3611" s="950" t="s">
        <v>21165</v>
      </c>
      <c r="H3611" s="950" t="s">
        <v>682</v>
      </c>
      <c r="I3611" s="951" t="s">
        <v>22402</v>
      </c>
      <c r="J3611" s="947" t="s">
        <v>22403</v>
      </c>
      <c r="K3611" s="143"/>
    </row>
    <row r="3612" spans="1:11">
      <c r="A3612" s="946" t="s">
        <v>28609</v>
      </c>
      <c r="B3612" s="947" t="s">
        <v>22677</v>
      </c>
      <c r="C3612" s="948" t="s">
        <v>22675</v>
      </c>
      <c r="D3612" s="242" t="s">
        <v>28714</v>
      </c>
      <c r="E3612" s="949">
        <v>605</v>
      </c>
      <c r="F3612" s="949">
        <v>605</v>
      </c>
      <c r="G3612" s="950" t="s">
        <v>21165</v>
      </c>
      <c r="H3612" s="950" t="s">
        <v>682</v>
      </c>
      <c r="I3612" s="951" t="s">
        <v>22676</v>
      </c>
      <c r="J3612" s="947" t="s">
        <v>22677</v>
      </c>
      <c r="K3612" s="143"/>
    </row>
    <row r="3613" spans="1:11">
      <c r="A3613" s="946" t="s">
        <v>28609</v>
      </c>
      <c r="B3613" s="947" t="s">
        <v>8479</v>
      </c>
      <c r="C3613" s="948" t="s">
        <v>8477</v>
      </c>
      <c r="D3613" s="242" t="s">
        <v>28714</v>
      </c>
      <c r="E3613" s="949">
        <v>605</v>
      </c>
      <c r="F3613" s="949">
        <v>605</v>
      </c>
      <c r="G3613" s="950" t="s">
        <v>21165</v>
      </c>
      <c r="H3613" s="950" t="s">
        <v>682</v>
      </c>
      <c r="I3613" s="951" t="s">
        <v>8478</v>
      </c>
      <c r="J3613" s="947" t="s">
        <v>8479</v>
      </c>
      <c r="K3613" s="143"/>
    </row>
    <row r="3614" spans="1:11">
      <c r="A3614" s="946" t="s">
        <v>28609</v>
      </c>
      <c r="B3614" s="947" t="s">
        <v>3809</v>
      </c>
      <c r="C3614" s="948" t="s">
        <v>3807</v>
      </c>
      <c r="D3614" s="242" t="s">
        <v>28714</v>
      </c>
      <c r="E3614" s="949">
        <v>605</v>
      </c>
      <c r="F3614" s="949">
        <v>605</v>
      </c>
      <c r="G3614" s="950" t="s">
        <v>21165</v>
      </c>
      <c r="H3614" s="950" t="s">
        <v>682</v>
      </c>
      <c r="I3614" s="951" t="s">
        <v>3808</v>
      </c>
      <c r="J3614" s="947" t="s">
        <v>3809</v>
      </c>
      <c r="K3614" s="143"/>
    </row>
    <row r="3615" spans="1:11">
      <c r="A3615" s="946" t="s">
        <v>28609</v>
      </c>
      <c r="B3615" s="947" t="s">
        <v>24947</v>
      </c>
      <c r="C3615" s="948" t="s">
        <v>26161</v>
      </c>
      <c r="D3615" s="242" t="s">
        <v>28714</v>
      </c>
      <c r="E3615" s="949">
        <v>605</v>
      </c>
      <c r="F3615" s="949">
        <v>605</v>
      </c>
      <c r="G3615" s="950" t="s">
        <v>21165</v>
      </c>
      <c r="H3615" s="950" t="s">
        <v>682</v>
      </c>
      <c r="I3615" s="951" t="s">
        <v>24948</v>
      </c>
      <c r="J3615" s="947" t="s">
        <v>24947</v>
      </c>
      <c r="K3615" s="143"/>
    </row>
    <row r="3616" spans="1:11">
      <c r="A3616" s="946" t="s">
        <v>28609</v>
      </c>
      <c r="B3616" s="947" t="s">
        <v>18835</v>
      </c>
      <c r="C3616" s="948" t="s">
        <v>26476</v>
      </c>
      <c r="D3616" s="242" t="s">
        <v>28714</v>
      </c>
      <c r="E3616" s="949">
        <v>605</v>
      </c>
      <c r="F3616" s="949">
        <v>605</v>
      </c>
      <c r="G3616" s="950" t="s">
        <v>21165</v>
      </c>
      <c r="H3616" s="950" t="s">
        <v>682</v>
      </c>
      <c r="I3616" s="951" t="s">
        <v>26477</v>
      </c>
      <c r="J3616" s="947" t="s">
        <v>18835</v>
      </c>
      <c r="K3616" s="143"/>
    </row>
    <row r="3617" spans="1:11">
      <c r="A3617" s="946" t="s">
        <v>28609</v>
      </c>
      <c r="B3617" s="947" t="s">
        <v>28627</v>
      </c>
      <c r="C3617" s="948" t="s">
        <v>28749</v>
      </c>
      <c r="D3617" s="242" t="s">
        <v>28714</v>
      </c>
      <c r="E3617" s="949">
        <v>605</v>
      </c>
      <c r="F3617" s="949">
        <v>605</v>
      </c>
      <c r="G3617" s="950" t="s">
        <v>21165</v>
      </c>
      <c r="H3617" s="950" t="s">
        <v>682</v>
      </c>
      <c r="I3617" s="951" t="s">
        <v>28672</v>
      </c>
      <c r="J3617" s="947" t="s">
        <v>28627</v>
      </c>
      <c r="K3617" s="143"/>
    </row>
    <row r="3618" spans="1:11">
      <c r="A3618" s="946" t="s">
        <v>28609</v>
      </c>
      <c r="B3618" s="947" t="s">
        <v>28628</v>
      </c>
      <c r="C3618" s="948" t="s">
        <v>28750</v>
      </c>
      <c r="D3618" s="242" t="s">
        <v>28714</v>
      </c>
      <c r="E3618" s="949">
        <v>605</v>
      </c>
      <c r="F3618" s="949">
        <v>605</v>
      </c>
      <c r="G3618" s="950" t="s">
        <v>21165</v>
      </c>
      <c r="H3618" s="950" t="s">
        <v>682</v>
      </c>
      <c r="I3618" s="951" t="s">
        <v>28673</v>
      </c>
      <c r="J3618" s="947" t="s">
        <v>28628</v>
      </c>
      <c r="K3618" s="143"/>
    </row>
    <row r="3619" spans="1:11">
      <c r="A3619" s="946" t="s">
        <v>28609</v>
      </c>
      <c r="B3619" s="947" t="s">
        <v>4185</v>
      </c>
      <c r="C3619" s="948" t="s">
        <v>4182</v>
      </c>
      <c r="D3619" s="242" t="s">
        <v>28714</v>
      </c>
      <c r="E3619" s="949">
        <v>605</v>
      </c>
      <c r="F3619" s="949">
        <v>605</v>
      </c>
      <c r="G3619" s="950" t="s">
        <v>9379</v>
      </c>
      <c r="H3619" s="950" t="s">
        <v>4183</v>
      </c>
      <c r="I3619" s="951" t="s">
        <v>4184</v>
      </c>
      <c r="J3619" s="947" t="s">
        <v>4185</v>
      </c>
      <c r="K3619" s="143"/>
    </row>
    <row r="3620" spans="1:11">
      <c r="A3620" s="946" t="s">
        <v>28609</v>
      </c>
      <c r="B3620" s="947" t="s">
        <v>7087</v>
      </c>
      <c r="C3620" s="948" t="s">
        <v>7085</v>
      </c>
      <c r="D3620" s="242" t="s">
        <v>28714</v>
      </c>
      <c r="E3620" s="949">
        <v>605</v>
      </c>
      <c r="F3620" s="949">
        <v>605</v>
      </c>
      <c r="G3620" s="950" t="s">
        <v>9379</v>
      </c>
      <c r="H3620" s="950" t="s">
        <v>4183</v>
      </c>
      <c r="I3620" s="951" t="s">
        <v>7086</v>
      </c>
      <c r="J3620" s="947" t="s">
        <v>7087</v>
      </c>
      <c r="K3620" s="143"/>
    </row>
    <row r="3621" spans="1:11">
      <c r="A3621" s="946" t="s">
        <v>28609</v>
      </c>
      <c r="B3621" s="947" t="s">
        <v>7671</v>
      </c>
      <c r="C3621" s="948" t="s">
        <v>7669</v>
      </c>
      <c r="D3621" s="242" t="s">
        <v>28714</v>
      </c>
      <c r="E3621" s="949">
        <v>605</v>
      </c>
      <c r="F3621" s="949">
        <v>605</v>
      </c>
      <c r="G3621" s="950" t="s">
        <v>9379</v>
      </c>
      <c r="H3621" s="950" t="s">
        <v>4183</v>
      </c>
      <c r="I3621" s="951" t="s">
        <v>7670</v>
      </c>
      <c r="J3621" s="947" t="s">
        <v>7671</v>
      </c>
      <c r="K3621" s="143"/>
    </row>
    <row r="3622" spans="1:11">
      <c r="A3622" s="946" t="s">
        <v>28609</v>
      </c>
      <c r="B3622" s="947" t="s">
        <v>7692</v>
      </c>
      <c r="C3622" s="948" t="s">
        <v>7690</v>
      </c>
      <c r="D3622" s="242" t="s">
        <v>28714</v>
      </c>
      <c r="E3622" s="949">
        <v>605</v>
      </c>
      <c r="F3622" s="949">
        <v>605</v>
      </c>
      <c r="G3622" s="950" t="s">
        <v>9379</v>
      </c>
      <c r="H3622" s="950" t="s">
        <v>4183</v>
      </c>
      <c r="I3622" s="951" t="s">
        <v>7691</v>
      </c>
      <c r="J3622" s="947" t="s">
        <v>7692</v>
      </c>
      <c r="K3622" s="143"/>
    </row>
    <row r="3623" spans="1:11">
      <c r="A3623" s="946" t="s">
        <v>28609</v>
      </c>
      <c r="B3623" s="947" t="s">
        <v>8070</v>
      </c>
      <c r="C3623" s="948" t="s">
        <v>8068</v>
      </c>
      <c r="D3623" s="242" t="s">
        <v>28714</v>
      </c>
      <c r="E3623" s="949">
        <v>605</v>
      </c>
      <c r="F3623" s="949">
        <v>605</v>
      </c>
      <c r="G3623" s="950" t="s">
        <v>9379</v>
      </c>
      <c r="H3623" s="950" t="s">
        <v>4183</v>
      </c>
      <c r="I3623" s="951" t="s">
        <v>8069</v>
      </c>
      <c r="J3623" s="947" t="s">
        <v>8070</v>
      </c>
      <c r="K3623" s="143"/>
    </row>
    <row r="3624" spans="1:11">
      <c r="A3624" s="946" t="s">
        <v>28609</v>
      </c>
      <c r="B3624" s="947" t="s">
        <v>8353</v>
      </c>
      <c r="C3624" s="948" t="s">
        <v>8351</v>
      </c>
      <c r="D3624" s="242" t="s">
        <v>28714</v>
      </c>
      <c r="E3624" s="949">
        <v>605</v>
      </c>
      <c r="F3624" s="949">
        <v>605</v>
      </c>
      <c r="G3624" s="950" t="s">
        <v>9379</v>
      </c>
      <c r="H3624" s="950" t="s">
        <v>4183</v>
      </c>
      <c r="I3624" s="951" t="s">
        <v>8352</v>
      </c>
      <c r="J3624" s="947" t="s">
        <v>8353</v>
      </c>
      <c r="K3624" s="143"/>
    </row>
    <row r="3625" spans="1:11">
      <c r="A3625" s="946" t="s">
        <v>28609</v>
      </c>
      <c r="B3625" s="947" t="s">
        <v>9379</v>
      </c>
      <c r="C3625" s="948" t="s">
        <v>9377</v>
      </c>
      <c r="D3625" s="242" t="s">
        <v>28714</v>
      </c>
      <c r="E3625" s="949">
        <v>605</v>
      </c>
      <c r="F3625" s="949">
        <v>605</v>
      </c>
      <c r="G3625" s="950" t="s">
        <v>9379</v>
      </c>
      <c r="H3625" s="950" t="s">
        <v>4183</v>
      </c>
      <c r="I3625" s="951" t="s">
        <v>9378</v>
      </c>
      <c r="J3625" s="947" t="s">
        <v>9379</v>
      </c>
      <c r="K3625" s="143"/>
    </row>
    <row r="3626" spans="1:11">
      <c r="A3626" s="946" t="s">
        <v>28609</v>
      </c>
      <c r="B3626" s="947" t="s">
        <v>9428</v>
      </c>
      <c r="C3626" s="948" t="s">
        <v>9426</v>
      </c>
      <c r="D3626" s="242" t="s">
        <v>28714</v>
      </c>
      <c r="E3626" s="949">
        <v>605</v>
      </c>
      <c r="F3626" s="949">
        <v>605</v>
      </c>
      <c r="G3626" s="950" t="s">
        <v>9379</v>
      </c>
      <c r="H3626" s="950" t="s">
        <v>4183</v>
      </c>
      <c r="I3626" s="951" t="s">
        <v>9427</v>
      </c>
      <c r="J3626" s="947" t="s">
        <v>9428</v>
      </c>
      <c r="K3626" s="143"/>
    </row>
    <row r="3627" spans="1:11">
      <c r="A3627" s="946" t="s">
        <v>28609</v>
      </c>
      <c r="B3627" s="947" t="s">
        <v>9431</v>
      </c>
      <c r="C3627" s="948" t="s">
        <v>9429</v>
      </c>
      <c r="D3627" s="242" t="s">
        <v>28714</v>
      </c>
      <c r="E3627" s="949">
        <v>605</v>
      </c>
      <c r="F3627" s="949">
        <v>605</v>
      </c>
      <c r="G3627" s="950" t="s">
        <v>9379</v>
      </c>
      <c r="H3627" s="950" t="s">
        <v>4183</v>
      </c>
      <c r="I3627" s="951" t="s">
        <v>9430</v>
      </c>
      <c r="J3627" s="947" t="s">
        <v>9431</v>
      </c>
      <c r="K3627" s="143"/>
    </row>
    <row r="3628" spans="1:11">
      <c r="A3628" s="946" t="s">
        <v>28609</v>
      </c>
      <c r="B3628" s="947" t="s">
        <v>11200</v>
      </c>
      <c r="C3628" s="948" t="s">
        <v>11198</v>
      </c>
      <c r="D3628" s="242" t="s">
        <v>28714</v>
      </c>
      <c r="E3628" s="949">
        <v>605</v>
      </c>
      <c r="F3628" s="949">
        <v>605</v>
      </c>
      <c r="G3628" s="950" t="s">
        <v>9379</v>
      </c>
      <c r="H3628" s="950" t="s">
        <v>4183</v>
      </c>
      <c r="I3628" s="951" t="s">
        <v>11199</v>
      </c>
      <c r="J3628" s="947" t="s">
        <v>11200</v>
      </c>
      <c r="K3628" s="143"/>
    </row>
    <row r="3629" spans="1:11">
      <c r="A3629" s="946" t="s">
        <v>28609</v>
      </c>
      <c r="B3629" s="947" t="s">
        <v>11492</v>
      </c>
      <c r="C3629" s="948" t="s">
        <v>11490</v>
      </c>
      <c r="D3629" s="242" t="s">
        <v>28714</v>
      </c>
      <c r="E3629" s="949">
        <v>605</v>
      </c>
      <c r="F3629" s="949">
        <v>605</v>
      </c>
      <c r="G3629" s="950" t="s">
        <v>9379</v>
      </c>
      <c r="H3629" s="950" t="s">
        <v>4183</v>
      </c>
      <c r="I3629" s="951" t="s">
        <v>11491</v>
      </c>
      <c r="J3629" s="947" t="s">
        <v>11492</v>
      </c>
      <c r="K3629" s="143"/>
    </row>
    <row r="3630" spans="1:11">
      <c r="A3630" s="946" t="s">
        <v>28609</v>
      </c>
      <c r="B3630" s="947" t="s">
        <v>12085</v>
      </c>
      <c r="C3630" s="948" t="s">
        <v>12083</v>
      </c>
      <c r="D3630" s="242" t="s">
        <v>28714</v>
      </c>
      <c r="E3630" s="949">
        <v>605</v>
      </c>
      <c r="F3630" s="949">
        <v>605</v>
      </c>
      <c r="G3630" s="950" t="s">
        <v>9379</v>
      </c>
      <c r="H3630" s="950" t="s">
        <v>4183</v>
      </c>
      <c r="I3630" s="951" t="s">
        <v>12084</v>
      </c>
      <c r="J3630" s="947" t="s">
        <v>12085</v>
      </c>
      <c r="K3630" s="143"/>
    </row>
    <row r="3631" spans="1:11">
      <c r="A3631" s="946" t="s">
        <v>28609</v>
      </c>
      <c r="B3631" s="947" t="s">
        <v>12884</v>
      </c>
      <c r="C3631" s="948" t="s">
        <v>12882</v>
      </c>
      <c r="D3631" s="242" t="s">
        <v>28714</v>
      </c>
      <c r="E3631" s="949">
        <v>605</v>
      </c>
      <c r="F3631" s="949">
        <v>605</v>
      </c>
      <c r="G3631" s="950" t="s">
        <v>9379</v>
      </c>
      <c r="H3631" s="950" t="s">
        <v>4183</v>
      </c>
      <c r="I3631" s="951" t="s">
        <v>12883</v>
      </c>
      <c r="J3631" s="947" t="s">
        <v>12884</v>
      </c>
      <c r="K3631" s="143"/>
    </row>
    <row r="3632" spans="1:11">
      <c r="A3632" s="946" t="s">
        <v>28609</v>
      </c>
      <c r="B3632" s="947" t="s">
        <v>13023</v>
      </c>
      <c r="C3632" s="948" t="s">
        <v>13021</v>
      </c>
      <c r="D3632" s="242" t="s">
        <v>28714</v>
      </c>
      <c r="E3632" s="949">
        <v>605</v>
      </c>
      <c r="F3632" s="949">
        <v>605</v>
      </c>
      <c r="G3632" s="950" t="s">
        <v>9379</v>
      </c>
      <c r="H3632" s="950" t="s">
        <v>4183</v>
      </c>
      <c r="I3632" s="951" t="s">
        <v>13022</v>
      </c>
      <c r="J3632" s="947" t="s">
        <v>13023</v>
      </c>
      <c r="K3632" s="143"/>
    </row>
    <row r="3633" spans="1:11">
      <c r="A3633" s="946" t="s">
        <v>28609</v>
      </c>
      <c r="B3633" s="947" t="s">
        <v>16838</v>
      </c>
      <c r="C3633" s="948" t="s">
        <v>16836</v>
      </c>
      <c r="D3633" s="242" t="s">
        <v>28714</v>
      </c>
      <c r="E3633" s="949">
        <v>605</v>
      </c>
      <c r="F3633" s="949">
        <v>605</v>
      </c>
      <c r="G3633" s="950" t="s">
        <v>9379</v>
      </c>
      <c r="H3633" s="950" t="s">
        <v>4183</v>
      </c>
      <c r="I3633" s="951" t="s">
        <v>16837</v>
      </c>
      <c r="J3633" s="947" t="s">
        <v>16838</v>
      </c>
      <c r="K3633" s="143"/>
    </row>
    <row r="3634" spans="1:11">
      <c r="A3634" s="946" t="s">
        <v>28609</v>
      </c>
      <c r="B3634" s="947" t="s">
        <v>16869</v>
      </c>
      <c r="C3634" s="948" t="s">
        <v>16867</v>
      </c>
      <c r="D3634" s="242" t="s">
        <v>28714</v>
      </c>
      <c r="E3634" s="949">
        <v>605</v>
      </c>
      <c r="F3634" s="949">
        <v>605</v>
      </c>
      <c r="G3634" s="950" t="s">
        <v>9379</v>
      </c>
      <c r="H3634" s="950" t="s">
        <v>4183</v>
      </c>
      <c r="I3634" s="951" t="s">
        <v>16868</v>
      </c>
      <c r="J3634" s="947" t="s">
        <v>16869</v>
      </c>
      <c r="K3634" s="143"/>
    </row>
    <row r="3635" spans="1:11">
      <c r="A3635" s="946" t="s">
        <v>28609</v>
      </c>
      <c r="B3635" s="947" t="s">
        <v>17164</v>
      </c>
      <c r="C3635" s="948" t="s">
        <v>17162</v>
      </c>
      <c r="D3635" s="242" t="s">
        <v>28714</v>
      </c>
      <c r="E3635" s="949">
        <v>605</v>
      </c>
      <c r="F3635" s="949">
        <v>605</v>
      </c>
      <c r="G3635" s="950" t="s">
        <v>9379</v>
      </c>
      <c r="H3635" s="950" t="s">
        <v>4183</v>
      </c>
      <c r="I3635" s="951" t="s">
        <v>17163</v>
      </c>
      <c r="J3635" s="947" t="s">
        <v>17164</v>
      </c>
      <c r="K3635" s="143"/>
    </row>
    <row r="3636" spans="1:11">
      <c r="A3636" s="946" t="s">
        <v>28609</v>
      </c>
      <c r="B3636" s="947" t="s">
        <v>17430</v>
      </c>
      <c r="C3636" s="948" t="s">
        <v>17428</v>
      </c>
      <c r="D3636" s="242" t="s">
        <v>28714</v>
      </c>
      <c r="E3636" s="949">
        <v>605</v>
      </c>
      <c r="F3636" s="949">
        <v>605</v>
      </c>
      <c r="G3636" s="950" t="s">
        <v>9379</v>
      </c>
      <c r="H3636" s="950" t="s">
        <v>4183</v>
      </c>
      <c r="I3636" s="951" t="s">
        <v>17429</v>
      </c>
      <c r="J3636" s="947" t="s">
        <v>17430</v>
      </c>
      <c r="K3636" s="143"/>
    </row>
    <row r="3637" spans="1:11">
      <c r="A3637" s="946" t="s">
        <v>28609</v>
      </c>
      <c r="B3637" s="947" t="s">
        <v>17585</v>
      </c>
      <c r="C3637" s="948" t="s">
        <v>17583</v>
      </c>
      <c r="D3637" s="242" t="s">
        <v>28714</v>
      </c>
      <c r="E3637" s="949">
        <v>605</v>
      </c>
      <c r="F3637" s="949">
        <v>605</v>
      </c>
      <c r="G3637" s="950" t="s">
        <v>9379</v>
      </c>
      <c r="H3637" s="950" t="s">
        <v>4183</v>
      </c>
      <c r="I3637" s="951" t="s">
        <v>17584</v>
      </c>
      <c r="J3637" s="947" t="s">
        <v>17585</v>
      </c>
      <c r="K3637" s="143"/>
    </row>
    <row r="3638" spans="1:11">
      <c r="A3638" s="946" t="s">
        <v>28609</v>
      </c>
      <c r="B3638" s="947" t="s">
        <v>17829</v>
      </c>
      <c r="C3638" s="948" t="s">
        <v>17827</v>
      </c>
      <c r="D3638" s="242" t="s">
        <v>28714</v>
      </c>
      <c r="E3638" s="949">
        <v>605</v>
      </c>
      <c r="F3638" s="949">
        <v>605</v>
      </c>
      <c r="G3638" s="950" t="s">
        <v>9379</v>
      </c>
      <c r="H3638" s="950" t="s">
        <v>4183</v>
      </c>
      <c r="I3638" s="951" t="s">
        <v>17828</v>
      </c>
      <c r="J3638" s="947" t="s">
        <v>17829</v>
      </c>
      <c r="K3638" s="143"/>
    </row>
    <row r="3639" spans="1:11">
      <c r="A3639" s="946" t="s">
        <v>28609</v>
      </c>
      <c r="B3639" s="947" t="s">
        <v>18057</v>
      </c>
      <c r="C3639" s="948" t="s">
        <v>18055</v>
      </c>
      <c r="D3639" s="242" t="s">
        <v>28714</v>
      </c>
      <c r="E3639" s="949">
        <v>605</v>
      </c>
      <c r="F3639" s="949">
        <v>605</v>
      </c>
      <c r="G3639" s="950" t="s">
        <v>9379</v>
      </c>
      <c r="H3639" s="950" t="s">
        <v>4183</v>
      </c>
      <c r="I3639" s="951" t="s">
        <v>18056</v>
      </c>
      <c r="J3639" s="947" t="s">
        <v>18057</v>
      </c>
      <c r="K3639" s="143"/>
    </row>
    <row r="3640" spans="1:11">
      <c r="A3640" s="946" t="s">
        <v>28609</v>
      </c>
      <c r="B3640" s="947" t="s">
        <v>18981</v>
      </c>
      <c r="C3640" s="948" t="s">
        <v>18979</v>
      </c>
      <c r="D3640" s="242" t="s">
        <v>28714</v>
      </c>
      <c r="E3640" s="949">
        <v>605</v>
      </c>
      <c r="F3640" s="949">
        <v>605</v>
      </c>
      <c r="G3640" s="950" t="s">
        <v>9379</v>
      </c>
      <c r="H3640" s="950" t="s">
        <v>4183</v>
      </c>
      <c r="I3640" s="951" t="s">
        <v>18980</v>
      </c>
      <c r="J3640" s="947" t="s">
        <v>18981</v>
      </c>
      <c r="K3640" s="143"/>
    </row>
    <row r="3641" spans="1:11">
      <c r="A3641" s="946" t="s">
        <v>28609</v>
      </c>
      <c r="B3641" s="947" t="s">
        <v>19966</v>
      </c>
      <c r="C3641" s="948" t="s">
        <v>19964</v>
      </c>
      <c r="D3641" s="242" t="s">
        <v>28714</v>
      </c>
      <c r="E3641" s="949">
        <v>605</v>
      </c>
      <c r="F3641" s="949">
        <v>605</v>
      </c>
      <c r="G3641" s="950" t="s">
        <v>9379</v>
      </c>
      <c r="H3641" s="950" t="s">
        <v>4183</v>
      </c>
      <c r="I3641" s="951" t="s">
        <v>19965</v>
      </c>
      <c r="J3641" s="947" t="s">
        <v>19966</v>
      </c>
      <c r="K3641" s="143"/>
    </row>
    <row r="3642" spans="1:11">
      <c r="A3642" s="946" t="s">
        <v>28609</v>
      </c>
      <c r="B3642" s="947" t="s">
        <v>21141</v>
      </c>
      <c r="C3642" s="948" t="s">
        <v>21139</v>
      </c>
      <c r="D3642" s="242" t="s">
        <v>28714</v>
      </c>
      <c r="E3642" s="949">
        <v>605</v>
      </c>
      <c r="F3642" s="949">
        <v>605</v>
      </c>
      <c r="G3642" s="950" t="s">
        <v>9379</v>
      </c>
      <c r="H3642" s="950" t="s">
        <v>4183</v>
      </c>
      <c r="I3642" s="951" t="s">
        <v>21140</v>
      </c>
      <c r="J3642" s="947" t="s">
        <v>21141</v>
      </c>
      <c r="K3642" s="143"/>
    </row>
    <row r="3643" spans="1:11">
      <c r="A3643" s="946" t="s">
        <v>28609</v>
      </c>
      <c r="B3643" s="947" t="s">
        <v>22341</v>
      </c>
      <c r="C3643" s="948" t="s">
        <v>22339</v>
      </c>
      <c r="D3643" s="242" t="s">
        <v>28714</v>
      </c>
      <c r="E3643" s="949">
        <v>605</v>
      </c>
      <c r="F3643" s="949">
        <v>605</v>
      </c>
      <c r="G3643" s="950" t="s">
        <v>9379</v>
      </c>
      <c r="H3643" s="950" t="s">
        <v>4183</v>
      </c>
      <c r="I3643" s="951" t="s">
        <v>22340</v>
      </c>
      <c r="J3643" s="947" t="s">
        <v>22341</v>
      </c>
      <c r="K3643" s="143"/>
    </row>
    <row r="3644" spans="1:11">
      <c r="A3644" s="946" t="s">
        <v>28609</v>
      </c>
      <c r="B3644" s="947" t="s">
        <v>32249</v>
      </c>
      <c r="C3644" s="948" t="s">
        <v>32250</v>
      </c>
      <c r="D3644" s="242" t="s">
        <v>28714</v>
      </c>
      <c r="E3644" s="949">
        <v>605</v>
      </c>
      <c r="F3644" s="949">
        <v>605</v>
      </c>
      <c r="G3644" s="950" t="s">
        <v>21029</v>
      </c>
      <c r="H3644" s="950" t="s">
        <v>7801</v>
      </c>
      <c r="I3644" s="951" t="s">
        <v>7802</v>
      </c>
      <c r="J3644" s="947" t="s">
        <v>32249</v>
      </c>
      <c r="K3644" s="143"/>
    </row>
    <row r="3645" spans="1:11">
      <c r="A3645" s="946" t="s">
        <v>28609</v>
      </c>
      <c r="B3645" s="947" t="s">
        <v>12136</v>
      </c>
      <c r="C3645" s="948" t="s">
        <v>12134</v>
      </c>
      <c r="D3645" s="242" t="s">
        <v>28714</v>
      </c>
      <c r="E3645" s="949">
        <v>605</v>
      </c>
      <c r="F3645" s="949">
        <v>605</v>
      </c>
      <c r="G3645" s="950" t="s">
        <v>21029</v>
      </c>
      <c r="H3645" s="950" t="s">
        <v>7801</v>
      </c>
      <c r="I3645" s="951" t="s">
        <v>12135</v>
      </c>
      <c r="J3645" s="947" t="s">
        <v>12136</v>
      </c>
      <c r="K3645" s="143"/>
    </row>
    <row r="3646" spans="1:11">
      <c r="A3646" s="946" t="s">
        <v>28609</v>
      </c>
      <c r="B3646" s="947" t="s">
        <v>13086</v>
      </c>
      <c r="C3646" s="948" t="s">
        <v>13084</v>
      </c>
      <c r="D3646" s="242" t="s">
        <v>28714</v>
      </c>
      <c r="E3646" s="949">
        <v>605</v>
      </c>
      <c r="F3646" s="949">
        <v>605</v>
      </c>
      <c r="G3646" s="950" t="s">
        <v>21029</v>
      </c>
      <c r="H3646" s="950" t="s">
        <v>7801</v>
      </c>
      <c r="I3646" s="951" t="s">
        <v>13085</v>
      </c>
      <c r="J3646" s="947" t="s">
        <v>13086</v>
      </c>
      <c r="K3646" s="143"/>
    </row>
    <row r="3647" spans="1:11">
      <c r="A3647" s="946" t="s">
        <v>28609</v>
      </c>
      <c r="B3647" s="947" t="s">
        <v>32251</v>
      </c>
      <c r="C3647" s="948" t="s">
        <v>32252</v>
      </c>
      <c r="D3647" s="242" t="s">
        <v>28714</v>
      </c>
      <c r="E3647" s="949">
        <v>605</v>
      </c>
      <c r="F3647" s="949">
        <v>605</v>
      </c>
      <c r="G3647" s="950" t="s">
        <v>21029</v>
      </c>
      <c r="H3647" s="950" t="s">
        <v>7801</v>
      </c>
      <c r="I3647" s="951" t="s">
        <v>17544</v>
      </c>
      <c r="J3647" s="947" t="s">
        <v>32251</v>
      </c>
      <c r="K3647" s="143"/>
    </row>
    <row r="3648" spans="1:11">
      <c r="A3648" s="946" t="s">
        <v>28609</v>
      </c>
      <c r="B3648" s="947" t="s">
        <v>19486</v>
      </c>
      <c r="C3648" s="948" t="s">
        <v>19484</v>
      </c>
      <c r="D3648" s="242" t="s">
        <v>28714</v>
      </c>
      <c r="E3648" s="949">
        <v>605</v>
      </c>
      <c r="F3648" s="949">
        <v>605</v>
      </c>
      <c r="G3648" s="950" t="s">
        <v>21029</v>
      </c>
      <c r="H3648" s="950" t="s">
        <v>7801</v>
      </c>
      <c r="I3648" s="951" t="s">
        <v>19485</v>
      </c>
      <c r="J3648" s="947" t="s">
        <v>19486</v>
      </c>
      <c r="K3648" s="143"/>
    </row>
    <row r="3649" spans="1:11">
      <c r="A3649" s="946" t="s">
        <v>28609</v>
      </c>
      <c r="B3649" s="947" t="s">
        <v>21029</v>
      </c>
      <c r="C3649" s="948" t="s">
        <v>21027</v>
      </c>
      <c r="D3649" s="242" t="s">
        <v>28714</v>
      </c>
      <c r="E3649" s="949">
        <v>605</v>
      </c>
      <c r="F3649" s="949">
        <v>605</v>
      </c>
      <c r="G3649" s="950" t="s">
        <v>21029</v>
      </c>
      <c r="H3649" s="950" t="s">
        <v>7801</v>
      </c>
      <c r="I3649" s="951" t="s">
        <v>21028</v>
      </c>
      <c r="J3649" s="947" t="s">
        <v>21029</v>
      </c>
      <c r="K3649" s="143"/>
    </row>
    <row r="3650" spans="1:11">
      <c r="A3650" s="946" t="s">
        <v>28608</v>
      </c>
      <c r="B3650" s="947" t="s">
        <v>574</v>
      </c>
      <c r="C3650" s="948" t="s">
        <v>571</v>
      </c>
      <c r="D3650" s="242" t="s">
        <v>28713</v>
      </c>
      <c r="E3650" s="949">
        <v>801</v>
      </c>
      <c r="F3650" s="949">
        <v>801</v>
      </c>
      <c r="G3650" s="950" t="s">
        <v>14695</v>
      </c>
      <c r="H3650" s="950" t="s">
        <v>572</v>
      </c>
      <c r="I3650" s="951" t="s">
        <v>573</v>
      </c>
      <c r="J3650" s="947" t="s">
        <v>574</v>
      </c>
      <c r="K3650" s="143"/>
    </row>
    <row r="3651" spans="1:11">
      <c r="A3651" s="946" t="s">
        <v>28608</v>
      </c>
      <c r="B3651" s="947" t="s">
        <v>983</v>
      </c>
      <c r="C3651" s="948" t="s">
        <v>981</v>
      </c>
      <c r="D3651" s="242" t="s">
        <v>28713</v>
      </c>
      <c r="E3651" s="949">
        <v>801</v>
      </c>
      <c r="F3651" s="949">
        <v>801</v>
      </c>
      <c r="G3651" s="950" t="s">
        <v>14695</v>
      </c>
      <c r="H3651" s="950" t="s">
        <v>572</v>
      </c>
      <c r="I3651" s="951" t="s">
        <v>982</v>
      </c>
      <c r="J3651" s="947" t="s">
        <v>983</v>
      </c>
      <c r="K3651" s="143"/>
    </row>
    <row r="3652" spans="1:11">
      <c r="A3652" s="946" t="s">
        <v>28608</v>
      </c>
      <c r="B3652" s="947" t="s">
        <v>2356</v>
      </c>
      <c r="C3652" s="948" t="s">
        <v>2354</v>
      </c>
      <c r="D3652" s="242" t="s">
        <v>28713</v>
      </c>
      <c r="E3652" s="949">
        <v>801</v>
      </c>
      <c r="F3652" s="949">
        <v>801</v>
      </c>
      <c r="G3652" s="950" t="s">
        <v>14695</v>
      </c>
      <c r="H3652" s="950" t="s">
        <v>572</v>
      </c>
      <c r="I3652" s="951" t="s">
        <v>2355</v>
      </c>
      <c r="J3652" s="947" t="s">
        <v>2356</v>
      </c>
      <c r="K3652" s="143"/>
    </row>
    <row r="3653" spans="1:11">
      <c r="A3653" s="946" t="s">
        <v>28608</v>
      </c>
      <c r="B3653" s="947" t="s">
        <v>2367</v>
      </c>
      <c r="C3653" s="948" t="s">
        <v>2365</v>
      </c>
      <c r="D3653" s="242" t="s">
        <v>28713</v>
      </c>
      <c r="E3653" s="949">
        <v>801</v>
      </c>
      <c r="F3653" s="949">
        <v>801</v>
      </c>
      <c r="G3653" s="950" t="s">
        <v>14695</v>
      </c>
      <c r="H3653" s="950" t="s">
        <v>572</v>
      </c>
      <c r="I3653" s="951" t="s">
        <v>2366</v>
      </c>
      <c r="J3653" s="947" t="s">
        <v>2367</v>
      </c>
      <c r="K3653" s="143"/>
    </row>
    <row r="3654" spans="1:11">
      <c r="A3654" s="946" t="s">
        <v>28608</v>
      </c>
      <c r="B3654" s="947" t="s">
        <v>2528</v>
      </c>
      <c r="C3654" s="948" t="s">
        <v>2526</v>
      </c>
      <c r="D3654" s="242" t="s">
        <v>28713</v>
      </c>
      <c r="E3654" s="949">
        <v>801</v>
      </c>
      <c r="F3654" s="949">
        <v>801</v>
      </c>
      <c r="G3654" s="950" t="s">
        <v>14695</v>
      </c>
      <c r="H3654" s="950" t="s">
        <v>572</v>
      </c>
      <c r="I3654" s="951" t="s">
        <v>2527</v>
      </c>
      <c r="J3654" s="947" t="s">
        <v>2528</v>
      </c>
      <c r="K3654" s="143"/>
    </row>
    <row r="3655" spans="1:11">
      <c r="A3655" s="946" t="s">
        <v>28608</v>
      </c>
      <c r="B3655" s="947" t="s">
        <v>2796</v>
      </c>
      <c r="C3655" s="948" t="s">
        <v>2794</v>
      </c>
      <c r="D3655" s="242" t="s">
        <v>28713</v>
      </c>
      <c r="E3655" s="949">
        <v>801</v>
      </c>
      <c r="F3655" s="949">
        <v>801</v>
      </c>
      <c r="G3655" s="950" t="s">
        <v>14695</v>
      </c>
      <c r="H3655" s="950" t="s">
        <v>572</v>
      </c>
      <c r="I3655" s="951" t="s">
        <v>2795</v>
      </c>
      <c r="J3655" s="947" t="s">
        <v>2796</v>
      </c>
      <c r="K3655" s="143"/>
    </row>
    <row r="3656" spans="1:11">
      <c r="A3656" s="946" t="s">
        <v>28608</v>
      </c>
      <c r="B3656" s="947" t="s">
        <v>3352</v>
      </c>
      <c r="C3656" s="948" t="s">
        <v>3350</v>
      </c>
      <c r="D3656" s="242" t="s">
        <v>28713</v>
      </c>
      <c r="E3656" s="949">
        <v>801</v>
      </c>
      <c r="F3656" s="949">
        <v>801</v>
      </c>
      <c r="G3656" s="950" t="s">
        <v>14695</v>
      </c>
      <c r="H3656" s="950" t="s">
        <v>572</v>
      </c>
      <c r="I3656" s="951" t="s">
        <v>3351</v>
      </c>
      <c r="J3656" s="947" t="s">
        <v>3352</v>
      </c>
      <c r="K3656" s="143"/>
    </row>
    <row r="3657" spans="1:11">
      <c r="A3657" s="946" t="s">
        <v>28608</v>
      </c>
      <c r="B3657" s="947" t="s">
        <v>3487</v>
      </c>
      <c r="C3657" s="948" t="s">
        <v>3485</v>
      </c>
      <c r="D3657" s="242" t="s">
        <v>28713</v>
      </c>
      <c r="E3657" s="949">
        <v>801</v>
      </c>
      <c r="F3657" s="949">
        <v>801</v>
      </c>
      <c r="G3657" s="950" t="s">
        <v>14695</v>
      </c>
      <c r="H3657" s="950" t="s">
        <v>572</v>
      </c>
      <c r="I3657" s="951" t="s">
        <v>3486</v>
      </c>
      <c r="J3657" s="947" t="s">
        <v>3487</v>
      </c>
      <c r="K3657" s="143"/>
    </row>
    <row r="3658" spans="1:11">
      <c r="A3658" s="946" t="s">
        <v>28608</v>
      </c>
      <c r="B3658" s="947" t="s">
        <v>4022</v>
      </c>
      <c r="C3658" s="948" t="s">
        <v>4020</v>
      </c>
      <c r="D3658" s="242" t="s">
        <v>28713</v>
      </c>
      <c r="E3658" s="949">
        <v>801</v>
      </c>
      <c r="F3658" s="949">
        <v>801</v>
      </c>
      <c r="G3658" s="950" t="s">
        <v>14695</v>
      </c>
      <c r="H3658" s="950" t="s">
        <v>572</v>
      </c>
      <c r="I3658" s="951" t="s">
        <v>4021</v>
      </c>
      <c r="J3658" s="947" t="s">
        <v>4022</v>
      </c>
      <c r="K3658" s="143"/>
    </row>
    <row r="3659" spans="1:11">
      <c r="A3659" s="946" t="s">
        <v>28608</v>
      </c>
      <c r="B3659" s="947" t="s">
        <v>4396</v>
      </c>
      <c r="C3659" s="948" t="s">
        <v>4394</v>
      </c>
      <c r="D3659" s="242" t="s">
        <v>28713</v>
      </c>
      <c r="E3659" s="949">
        <v>801</v>
      </c>
      <c r="F3659" s="949">
        <v>801</v>
      </c>
      <c r="G3659" s="950" t="s">
        <v>14695</v>
      </c>
      <c r="H3659" s="950" t="s">
        <v>572</v>
      </c>
      <c r="I3659" s="951" t="s">
        <v>4395</v>
      </c>
      <c r="J3659" s="947" t="s">
        <v>4396</v>
      </c>
      <c r="K3659" s="143"/>
    </row>
    <row r="3660" spans="1:11">
      <c r="A3660" s="946" t="s">
        <v>28608</v>
      </c>
      <c r="B3660" s="947" t="s">
        <v>5169</v>
      </c>
      <c r="C3660" s="948" t="s">
        <v>5167</v>
      </c>
      <c r="D3660" s="242" t="s">
        <v>28713</v>
      </c>
      <c r="E3660" s="949">
        <v>801</v>
      </c>
      <c r="F3660" s="949">
        <v>801</v>
      </c>
      <c r="G3660" s="950" t="s">
        <v>14695</v>
      </c>
      <c r="H3660" s="950" t="s">
        <v>572</v>
      </c>
      <c r="I3660" s="951" t="s">
        <v>5168</v>
      </c>
      <c r="J3660" s="947" t="s">
        <v>5169</v>
      </c>
      <c r="K3660" s="143"/>
    </row>
    <row r="3661" spans="1:11">
      <c r="A3661" s="946" t="s">
        <v>28608</v>
      </c>
      <c r="B3661" s="947" t="s">
        <v>5018</v>
      </c>
      <c r="C3661" s="948" t="s">
        <v>5016</v>
      </c>
      <c r="D3661" s="242" t="s">
        <v>28713</v>
      </c>
      <c r="E3661" s="949">
        <v>801</v>
      </c>
      <c r="F3661" s="949">
        <v>801</v>
      </c>
      <c r="G3661" s="950" t="s">
        <v>14695</v>
      </c>
      <c r="H3661" s="950" t="s">
        <v>572</v>
      </c>
      <c r="I3661" s="951" t="s">
        <v>5017</v>
      </c>
      <c r="J3661" s="947" t="s">
        <v>5018</v>
      </c>
      <c r="K3661" s="143"/>
    </row>
    <row r="3662" spans="1:11">
      <c r="A3662" s="946" t="s">
        <v>28608</v>
      </c>
      <c r="B3662" s="947" t="s">
        <v>5463</v>
      </c>
      <c r="C3662" s="948" t="s">
        <v>5461</v>
      </c>
      <c r="D3662" s="242" t="s">
        <v>28713</v>
      </c>
      <c r="E3662" s="949">
        <v>801</v>
      </c>
      <c r="F3662" s="949">
        <v>801</v>
      </c>
      <c r="G3662" s="950" t="s">
        <v>14695</v>
      </c>
      <c r="H3662" s="950" t="s">
        <v>572</v>
      </c>
      <c r="I3662" s="951" t="s">
        <v>5462</v>
      </c>
      <c r="J3662" s="947" t="s">
        <v>5463</v>
      </c>
      <c r="K3662" s="143"/>
    </row>
    <row r="3663" spans="1:11">
      <c r="A3663" s="946" t="s">
        <v>28608</v>
      </c>
      <c r="B3663" s="947" t="s">
        <v>5970</v>
      </c>
      <c r="C3663" s="948" t="s">
        <v>5968</v>
      </c>
      <c r="D3663" s="242" t="s">
        <v>28713</v>
      </c>
      <c r="E3663" s="949">
        <v>801</v>
      </c>
      <c r="F3663" s="949">
        <v>801</v>
      </c>
      <c r="G3663" s="950" t="s">
        <v>14695</v>
      </c>
      <c r="H3663" s="950" t="s">
        <v>572</v>
      </c>
      <c r="I3663" s="951" t="s">
        <v>5969</v>
      </c>
      <c r="J3663" s="947" t="s">
        <v>5970</v>
      </c>
      <c r="K3663" s="143"/>
    </row>
    <row r="3664" spans="1:11">
      <c r="A3664" s="946" t="s">
        <v>28608</v>
      </c>
      <c r="B3664" s="947" t="s">
        <v>6703</v>
      </c>
      <c r="C3664" s="948" t="s">
        <v>6701</v>
      </c>
      <c r="D3664" s="242" t="s">
        <v>28713</v>
      </c>
      <c r="E3664" s="949">
        <v>801</v>
      </c>
      <c r="F3664" s="949">
        <v>801</v>
      </c>
      <c r="G3664" s="950" t="s">
        <v>14695</v>
      </c>
      <c r="H3664" s="950" t="s">
        <v>572</v>
      </c>
      <c r="I3664" s="951" t="s">
        <v>6702</v>
      </c>
      <c r="J3664" s="947" t="s">
        <v>6703</v>
      </c>
      <c r="K3664" s="143"/>
    </row>
    <row r="3665" spans="1:11">
      <c r="A3665" s="946" t="s">
        <v>28608</v>
      </c>
      <c r="B3665" s="947" t="s">
        <v>7165</v>
      </c>
      <c r="C3665" s="948" t="s">
        <v>7163</v>
      </c>
      <c r="D3665" s="242" t="s">
        <v>28713</v>
      </c>
      <c r="E3665" s="949">
        <v>801</v>
      </c>
      <c r="F3665" s="949">
        <v>801</v>
      </c>
      <c r="G3665" s="950" t="s">
        <v>14695</v>
      </c>
      <c r="H3665" s="950" t="s">
        <v>572</v>
      </c>
      <c r="I3665" s="951" t="s">
        <v>7164</v>
      </c>
      <c r="J3665" s="947" t="s">
        <v>7165</v>
      </c>
      <c r="K3665" s="143"/>
    </row>
    <row r="3666" spans="1:11">
      <c r="A3666" s="946" t="s">
        <v>28608</v>
      </c>
      <c r="B3666" s="947" t="s">
        <v>7180</v>
      </c>
      <c r="C3666" s="948" t="s">
        <v>7178</v>
      </c>
      <c r="D3666" s="242" t="s">
        <v>28713</v>
      </c>
      <c r="E3666" s="949">
        <v>801</v>
      </c>
      <c r="F3666" s="949">
        <v>801</v>
      </c>
      <c r="G3666" s="950" t="s">
        <v>14695</v>
      </c>
      <c r="H3666" s="950" t="s">
        <v>572</v>
      </c>
      <c r="I3666" s="951" t="s">
        <v>7179</v>
      </c>
      <c r="J3666" s="947" t="s">
        <v>7180</v>
      </c>
      <c r="K3666" s="143"/>
    </row>
    <row r="3667" spans="1:11">
      <c r="A3667" s="946" t="s">
        <v>28608</v>
      </c>
      <c r="B3667" s="947" t="s">
        <v>8061</v>
      </c>
      <c r="C3667" s="948" t="s">
        <v>8059</v>
      </c>
      <c r="D3667" s="242" t="s">
        <v>28713</v>
      </c>
      <c r="E3667" s="949">
        <v>801</v>
      </c>
      <c r="F3667" s="949">
        <v>801</v>
      </c>
      <c r="G3667" s="950" t="s">
        <v>14695</v>
      </c>
      <c r="H3667" s="950" t="s">
        <v>572</v>
      </c>
      <c r="I3667" s="951" t="s">
        <v>8060</v>
      </c>
      <c r="J3667" s="947" t="s">
        <v>8061</v>
      </c>
      <c r="K3667" s="143"/>
    </row>
    <row r="3668" spans="1:11">
      <c r="A3668" s="946" t="s">
        <v>28608</v>
      </c>
      <c r="B3668" s="947" t="s">
        <v>8168</v>
      </c>
      <c r="C3668" s="948" t="s">
        <v>8166</v>
      </c>
      <c r="D3668" s="242" t="s">
        <v>28713</v>
      </c>
      <c r="E3668" s="949">
        <v>801</v>
      </c>
      <c r="F3668" s="949">
        <v>801</v>
      </c>
      <c r="G3668" s="950" t="s">
        <v>14695</v>
      </c>
      <c r="H3668" s="950" t="s">
        <v>572</v>
      </c>
      <c r="I3668" s="951" t="s">
        <v>8167</v>
      </c>
      <c r="J3668" s="947" t="s">
        <v>8168</v>
      </c>
      <c r="K3668" s="143"/>
    </row>
    <row r="3669" spans="1:11">
      <c r="A3669" s="946" t="s">
        <v>28608</v>
      </c>
      <c r="B3669" s="947" t="s">
        <v>8283</v>
      </c>
      <c r="C3669" s="948" t="s">
        <v>8281</v>
      </c>
      <c r="D3669" s="242" t="s">
        <v>28713</v>
      </c>
      <c r="E3669" s="949">
        <v>801</v>
      </c>
      <c r="F3669" s="949">
        <v>801</v>
      </c>
      <c r="G3669" s="950" t="s">
        <v>14695</v>
      </c>
      <c r="H3669" s="950" t="s">
        <v>572</v>
      </c>
      <c r="I3669" s="951" t="s">
        <v>8282</v>
      </c>
      <c r="J3669" s="947" t="s">
        <v>8283</v>
      </c>
      <c r="K3669" s="143"/>
    </row>
    <row r="3670" spans="1:11">
      <c r="A3670" s="946" t="s">
        <v>28608</v>
      </c>
      <c r="B3670" s="947" t="s">
        <v>9067</v>
      </c>
      <c r="C3670" s="948" t="s">
        <v>9065</v>
      </c>
      <c r="D3670" s="242" t="s">
        <v>28713</v>
      </c>
      <c r="E3670" s="949">
        <v>801</v>
      </c>
      <c r="F3670" s="949">
        <v>801</v>
      </c>
      <c r="G3670" s="950" t="s">
        <v>14695</v>
      </c>
      <c r="H3670" s="950" t="s">
        <v>572</v>
      </c>
      <c r="I3670" s="951" t="s">
        <v>9066</v>
      </c>
      <c r="J3670" s="947" t="s">
        <v>9067</v>
      </c>
      <c r="K3670" s="143"/>
    </row>
    <row r="3671" spans="1:11">
      <c r="A3671" s="946" t="s">
        <v>28608</v>
      </c>
      <c r="B3671" s="947" t="s">
        <v>9410</v>
      </c>
      <c r="C3671" s="948" t="s">
        <v>9408</v>
      </c>
      <c r="D3671" s="242" t="s">
        <v>28713</v>
      </c>
      <c r="E3671" s="949">
        <v>801</v>
      </c>
      <c r="F3671" s="949">
        <v>801</v>
      </c>
      <c r="G3671" s="950" t="s">
        <v>14695</v>
      </c>
      <c r="H3671" s="950" t="s">
        <v>572</v>
      </c>
      <c r="I3671" s="951" t="s">
        <v>9409</v>
      </c>
      <c r="J3671" s="947" t="s">
        <v>9410</v>
      </c>
      <c r="K3671" s="143"/>
    </row>
    <row r="3672" spans="1:11">
      <c r="A3672" s="946" t="s">
        <v>28608</v>
      </c>
      <c r="B3672" s="947" t="s">
        <v>9449</v>
      </c>
      <c r="C3672" s="948" t="s">
        <v>9447</v>
      </c>
      <c r="D3672" s="242" t="s">
        <v>28713</v>
      </c>
      <c r="E3672" s="949">
        <v>801</v>
      </c>
      <c r="F3672" s="949">
        <v>801</v>
      </c>
      <c r="G3672" s="950" t="s">
        <v>14695</v>
      </c>
      <c r="H3672" s="950" t="s">
        <v>572</v>
      </c>
      <c r="I3672" s="951" t="s">
        <v>9448</v>
      </c>
      <c r="J3672" s="947" t="s">
        <v>9449</v>
      </c>
      <c r="K3672" s="143"/>
    </row>
    <row r="3673" spans="1:11">
      <c r="A3673" s="946" t="s">
        <v>28608</v>
      </c>
      <c r="B3673" s="947" t="s">
        <v>9588</v>
      </c>
      <c r="C3673" s="948" t="s">
        <v>9586</v>
      </c>
      <c r="D3673" s="242" t="s">
        <v>28713</v>
      </c>
      <c r="E3673" s="949">
        <v>801</v>
      </c>
      <c r="F3673" s="949">
        <v>801</v>
      </c>
      <c r="G3673" s="950" t="s">
        <v>14695</v>
      </c>
      <c r="H3673" s="950" t="s">
        <v>572</v>
      </c>
      <c r="I3673" s="951" t="s">
        <v>9587</v>
      </c>
      <c r="J3673" s="947" t="s">
        <v>9588</v>
      </c>
      <c r="K3673" s="143"/>
    </row>
    <row r="3674" spans="1:11">
      <c r="A3674" s="946" t="s">
        <v>28608</v>
      </c>
      <c r="B3674" s="947" t="s">
        <v>10709</v>
      </c>
      <c r="C3674" s="948" t="s">
        <v>10707</v>
      </c>
      <c r="D3674" s="242" t="s">
        <v>28713</v>
      </c>
      <c r="E3674" s="949">
        <v>801</v>
      </c>
      <c r="F3674" s="949">
        <v>801</v>
      </c>
      <c r="G3674" s="950" t="s">
        <v>14695</v>
      </c>
      <c r="H3674" s="950" t="s">
        <v>572</v>
      </c>
      <c r="I3674" s="951" t="s">
        <v>10708</v>
      </c>
      <c r="J3674" s="947" t="s">
        <v>10709</v>
      </c>
      <c r="K3674" s="143"/>
    </row>
    <row r="3675" spans="1:11">
      <c r="A3675" s="946" t="s">
        <v>28608</v>
      </c>
      <c r="B3675" s="947" t="s">
        <v>12794</v>
      </c>
      <c r="C3675" s="948" t="s">
        <v>12792</v>
      </c>
      <c r="D3675" s="242" t="s">
        <v>28713</v>
      </c>
      <c r="E3675" s="949">
        <v>801</v>
      </c>
      <c r="F3675" s="949">
        <v>801</v>
      </c>
      <c r="G3675" s="950" t="s">
        <v>14695</v>
      </c>
      <c r="H3675" s="950" t="s">
        <v>572</v>
      </c>
      <c r="I3675" s="951" t="s">
        <v>12793</v>
      </c>
      <c r="J3675" s="947" t="s">
        <v>12794</v>
      </c>
      <c r="K3675" s="143"/>
    </row>
    <row r="3676" spans="1:11">
      <c r="A3676" s="946" t="s">
        <v>28608</v>
      </c>
      <c r="B3676" s="947" t="s">
        <v>12918</v>
      </c>
      <c r="C3676" s="948" t="s">
        <v>12916</v>
      </c>
      <c r="D3676" s="242" t="s">
        <v>28713</v>
      </c>
      <c r="E3676" s="949">
        <v>801</v>
      </c>
      <c r="F3676" s="949">
        <v>801</v>
      </c>
      <c r="G3676" s="950" t="s">
        <v>14695</v>
      </c>
      <c r="H3676" s="950" t="s">
        <v>572</v>
      </c>
      <c r="I3676" s="951" t="s">
        <v>12917</v>
      </c>
      <c r="J3676" s="947" t="s">
        <v>12918</v>
      </c>
      <c r="K3676" s="143"/>
    </row>
    <row r="3677" spans="1:11">
      <c r="A3677" s="946" t="s">
        <v>28608</v>
      </c>
      <c r="B3677" s="947" t="s">
        <v>13934</v>
      </c>
      <c r="C3677" s="948" t="s">
        <v>13932</v>
      </c>
      <c r="D3677" s="242" t="s">
        <v>28713</v>
      </c>
      <c r="E3677" s="949">
        <v>801</v>
      </c>
      <c r="F3677" s="949">
        <v>801</v>
      </c>
      <c r="G3677" s="950" t="s">
        <v>14695</v>
      </c>
      <c r="H3677" s="950" t="s">
        <v>572</v>
      </c>
      <c r="I3677" s="951" t="s">
        <v>13933</v>
      </c>
      <c r="J3677" s="947" t="s">
        <v>13934</v>
      </c>
      <c r="K3677" s="143"/>
    </row>
    <row r="3678" spans="1:11">
      <c r="A3678" s="946" t="s">
        <v>28608</v>
      </c>
      <c r="B3678" s="947" t="s">
        <v>14695</v>
      </c>
      <c r="C3678" s="948" t="s">
        <v>14693</v>
      </c>
      <c r="D3678" s="242" t="s">
        <v>28713</v>
      </c>
      <c r="E3678" s="949">
        <v>801</v>
      </c>
      <c r="F3678" s="949">
        <v>801</v>
      </c>
      <c r="G3678" s="950" t="s">
        <v>14695</v>
      </c>
      <c r="H3678" s="950" t="s">
        <v>572</v>
      </c>
      <c r="I3678" s="951" t="s">
        <v>14694</v>
      </c>
      <c r="J3678" s="947" t="s">
        <v>14695</v>
      </c>
      <c r="K3678" s="143"/>
    </row>
    <row r="3679" spans="1:11">
      <c r="A3679" s="946" t="s">
        <v>28608</v>
      </c>
      <c r="B3679" s="947" t="s">
        <v>14734</v>
      </c>
      <c r="C3679" s="948" t="s">
        <v>14732</v>
      </c>
      <c r="D3679" s="242" t="s">
        <v>28713</v>
      </c>
      <c r="E3679" s="949">
        <v>801</v>
      </c>
      <c r="F3679" s="949">
        <v>801</v>
      </c>
      <c r="G3679" s="950" t="s">
        <v>14695</v>
      </c>
      <c r="H3679" s="950" t="s">
        <v>572</v>
      </c>
      <c r="I3679" s="951" t="s">
        <v>14733</v>
      </c>
      <c r="J3679" s="947" t="s">
        <v>14734</v>
      </c>
      <c r="K3679" s="143"/>
    </row>
    <row r="3680" spans="1:11">
      <c r="A3680" s="946" t="s">
        <v>28608</v>
      </c>
      <c r="B3680" s="947" t="s">
        <v>15063</v>
      </c>
      <c r="C3680" s="948" t="s">
        <v>15061</v>
      </c>
      <c r="D3680" s="242" t="s">
        <v>28713</v>
      </c>
      <c r="E3680" s="949">
        <v>801</v>
      </c>
      <c r="F3680" s="949">
        <v>801</v>
      </c>
      <c r="G3680" s="950" t="s">
        <v>14695</v>
      </c>
      <c r="H3680" s="950" t="s">
        <v>572</v>
      </c>
      <c r="I3680" s="951" t="s">
        <v>15062</v>
      </c>
      <c r="J3680" s="947" t="s">
        <v>15063</v>
      </c>
      <c r="K3680" s="143"/>
    </row>
    <row r="3681" spans="1:11">
      <c r="A3681" s="946" t="s">
        <v>28608</v>
      </c>
      <c r="B3681" s="947" t="s">
        <v>15158</v>
      </c>
      <c r="C3681" s="948" t="s">
        <v>15156</v>
      </c>
      <c r="D3681" s="242" t="s">
        <v>28713</v>
      </c>
      <c r="E3681" s="949">
        <v>801</v>
      </c>
      <c r="F3681" s="949">
        <v>801</v>
      </c>
      <c r="G3681" s="950" t="s">
        <v>14695</v>
      </c>
      <c r="H3681" s="950" t="s">
        <v>572</v>
      </c>
      <c r="I3681" s="951" t="s">
        <v>15157</v>
      </c>
      <c r="J3681" s="947" t="s">
        <v>15158</v>
      </c>
      <c r="K3681" s="143"/>
    </row>
    <row r="3682" spans="1:11">
      <c r="A3682" s="946" t="s">
        <v>28608</v>
      </c>
      <c r="B3682" s="947" t="s">
        <v>15381</v>
      </c>
      <c r="C3682" s="948" t="s">
        <v>15379</v>
      </c>
      <c r="D3682" s="242" t="s">
        <v>28713</v>
      </c>
      <c r="E3682" s="949">
        <v>801</v>
      </c>
      <c r="F3682" s="949">
        <v>801</v>
      </c>
      <c r="G3682" s="950" t="s">
        <v>14695</v>
      </c>
      <c r="H3682" s="950" t="s">
        <v>572</v>
      </c>
      <c r="I3682" s="951" t="s">
        <v>15380</v>
      </c>
      <c r="J3682" s="947" t="s">
        <v>15381</v>
      </c>
      <c r="K3682" s="143"/>
    </row>
    <row r="3683" spans="1:11">
      <c r="A3683" s="946" t="s">
        <v>28608</v>
      </c>
      <c r="B3683" s="947" t="s">
        <v>15445</v>
      </c>
      <c r="C3683" s="948" t="s">
        <v>15443</v>
      </c>
      <c r="D3683" s="242" t="s">
        <v>28713</v>
      </c>
      <c r="E3683" s="949">
        <v>801</v>
      </c>
      <c r="F3683" s="949">
        <v>801</v>
      </c>
      <c r="G3683" s="950" t="s">
        <v>14695</v>
      </c>
      <c r="H3683" s="950" t="s">
        <v>572</v>
      </c>
      <c r="I3683" s="951" t="s">
        <v>15444</v>
      </c>
      <c r="J3683" s="947" t="s">
        <v>15445</v>
      </c>
      <c r="K3683" s="143"/>
    </row>
    <row r="3684" spans="1:11">
      <c r="A3684" s="946" t="s">
        <v>28608</v>
      </c>
      <c r="B3684" s="947" t="s">
        <v>16438</v>
      </c>
      <c r="C3684" s="948" t="s">
        <v>16436</v>
      </c>
      <c r="D3684" s="242" t="s">
        <v>28713</v>
      </c>
      <c r="E3684" s="949">
        <v>801</v>
      </c>
      <c r="F3684" s="949">
        <v>801</v>
      </c>
      <c r="G3684" s="950" t="s">
        <v>14695</v>
      </c>
      <c r="H3684" s="950" t="s">
        <v>572</v>
      </c>
      <c r="I3684" s="951" t="s">
        <v>16437</v>
      </c>
      <c r="J3684" s="947" t="s">
        <v>16438</v>
      </c>
      <c r="K3684" s="143"/>
    </row>
    <row r="3685" spans="1:11">
      <c r="A3685" s="946" t="s">
        <v>28608</v>
      </c>
      <c r="B3685" s="947" t="s">
        <v>17015</v>
      </c>
      <c r="C3685" s="948" t="s">
        <v>17013</v>
      </c>
      <c r="D3685" s="242" t="s">
        <v>28713</v>
      </c>
      <c r="E3685" s="949">
        <v>801</v>
      </c>
      <c r="F3685" s="949">
        <v>801</v>
      </c>
      <c r="G3685" s="950" t="s">
        <v>14695</v>
      </c>
      <c r="H3685" s="950" t="s">
        <v>572</v>
      </c>
      <c r="I3685" s="951" t="s">
        <v>17014</v>
      </c>
      <c r="J3685" s="947" t="s">
        <v>17015</v>
      </c>
      <c r="K3685" s="143"/>
    </row>
    <row r="3686" spans="1:11">
      <c r="A3686" s="946" t="s">
        <v>28608</v>
      </c>
      <c r="B3686" s="947" t="s">
        <v>17684</v>
      </c>
      <c r="C3686" s="948" t="s">
        <v>17682</v>
      </c>
      <c r="D3686" s="242" t="s">
        <v>28713</v>
      </c>
      <c r="E3686" s="949">
        <v>801</v>
      </c>
      <c r="F3686" s="949">
        <v>801</v>
      </c>
      <c r="G3686" s="950" t="s">
        <v>14695</v>
      </c>
      <c r="H3686" s="950" t="s">
        <v>572</v>
      </c>
      <c r="I3686" s="951" t="s">
        <v>17683</v>
      </c>
      <c r="J3686" s="947" t="s">
        <v>17684</v>
      </c>
      <c r="K3686" s="143"/>
    </row>
    <row r="3687" spans="1:11">
      <c r="A3687" s="946" t="s">
        <v>28608</v>
      </c>
      <c r="B3687" s="947" t="s">
        <v>18105</v>
      </c>
      <c r="C3687" s="948" t="s">
        <v>18103</v>
      </c>
      <c r="D3687" s="242" t="s">
        <v>28713</v>
      </c>
      <c r="E3687" s="949">
        <v>801</v>
      </c>
      <c r="F3687" s="949">
        <v>801</v>
      </c>
      <c r="G3687" s="950" t="s">
        <v>14695</v>
      </c>
      <c r="H3687" s="950" t="s">
        <v>572</v>
      </c>
      <c r="I3687" s="951" t="s">
        <v>18104</v>
      </c>
      <c r="J3687" s="947" t="s">
        <v>18105</v>
      </c>
      <c r="K3687" s="143"/>
    </row>
    <row r="3688" spans="1:11">
      <c r="A3688" s="946" t="s">
        <v>28608</v>
      </c>
      <c r="B3688" s="947" t="s">
        <v>18867</v>
      </c>
      <c r="C3688" s="948" t="s">
        <v>18865</v>
      </c>
      <c r="D3688" s="242" t="s">
        <v>28713</v>
      </c>
      <c r="E3688" s="949">
        <v>801</v>
      </c>
      <c r="F3688" s="949">
        <v>801</v>
      </c>
      <c r="G3688" s="950" t="s">
        <v>14695</v>
      </c>
      <c r="H3688" s="950" t="s">
        <v>572</v>
      </c>
      <c r="I3688" s="951" t="s">
        <v>18866</v>
      </c>
      <c r="J3688" s="947" t="s">
        <v>18867</v>
      </c>
      <c r="K3688" s="143"/>
    </row>
    <row r="3689" spans="1:11">
      <c r="A3689" s="946" t="s">
        <v>28608</v>
      </c>
      <c r="B3689" s="947" t="s">
        <v>20883</v>
      </c>
      <c r="C3689" s="948" t="s">
        <v>20881</v>
      </c>
      <c r="D3689" s="242" t="s">
        <v>28713</v>
      </c>
      <c r="E3689" s="949">
        <v>801</v>
      </c>
      <c r="F3689" s="949">
        <v>801</v>
      </c>
      <c r="G3689" s="950" t="s">
        <v>14695</v>
      </c>
      <c r="H3689" s="950" t="s">
        <v>572</v>
      </c>
      <c r="I3689" s="951" t="s">
        <v>20882</v>
      </c>
      <c r="J3689" s="947" t="s">
        <v>20883</v>
      </c>
      <c r="K3689" s="143"/>
    </row>
    <row r="3690" spans="1:11">
      <c r="A3690" s="946" t="s">
        <v>28608</v>
      </c>
      <c r="B3690" s="947" t="s">
        <v>21769</v>
      </c>
      <c r="C3690" s="948" t="s">
        <v>21767</v>
      </c>
      <c r="D3690" s="242" t="s">
        <v>28713</v>
      </c>
      <c r="E3690" s="949">
        <v>801</v>
      </c>
      <c r="F3690" s="949">
        <v>801</v>
      </c>
      <c r="G3690" s="950" t="s">
        <v>14695</v>
      </c>
      <c r="H3690" s="950" t="s">
        <v>572</v>
      </c>
      <c r="I3690" s="951" t="s">
        <v>21768</v>
      </c>
      <c r="J3690" s="947" t="s">
        <v>21769</v>
      </c>
      <c r="K3690" s="143"/>
    </row>
    <row r="3691" spans="1:11">
      <c r="A3691" s="946" t="s">
        <v>28608</v>
      </c>
      <c r="B3691" s="947" t="s">
        <v>22031</v>
      </c>
      <c r="C3691" s="948" t="s">
        <v>22029</v>
      </c>
      <c r="D3691" s="242" t="s">
        <v>28713</v>
      </c>
      <c r="E3691" s="949">
        <v>801</v>
      </c>
      <c r="F3691" s="949">
        <v>801</v>
      </c>
      <c r="G3691" s="950" t="s">
        <v>14695</v>
      </c>
      <c r="H3691" s="950" t="s">
        <v>572</v>
      </c>
      <c r="I3691" s="951" t="s">
        <v>22030</v>
      </c>
      <c r="J3691" s="947" t="s">
        <v>22031</v>
      </c>
      <c r="K3691" s="143"/>
    </row>
    <row r="3692" spans="1:11">
      <c r="A3692" s="946" t="s">
        <v>28608</v>
      </c>
      <c r="B3692" s="947" t="s">
        <v>22266</v>
      </c>
      <c r="C3692" s="948" t="s">
        <v>22264</v>
      </c>
      <c r="D3692" s="242" t="s">
        <v>28713</v>
      </c>
      <c r="E3692" s="949">
        <v>801</v>
      </c>
      <c r="F3692" s="949">
        <v>801</v>
      </c>
      <c r="G3692" s="950" t="s">
        <v>14695</v>
      </c>
      <c r="H3692" s="950" t="s">
        <v>572</v>
      </c>
      <c r="I3692" s="951" t="s">
        <v>22265</v>
      </c>
      <c r="J3692" s="947" t="s">
        <v>22266</v>
      </c>
      <c r="K3692" s="143"/>
    </row>
    <row r="3693" spans="1:11">
      <c r="A3693" s="946" t="s">
        <v>28608</v>
      </c>
      <c r="B3693" s="947" t="s">
        <v>22597</v>
      </c>
      <c r="C3693" s="948" t="s">
        <v>22595</v>
      </c>
      <c r="D3693" s="242" t="s">
        <v>28713</v>
      </c>
      <c r="E3693" s="949">
        <v>801</v>
      </c>
      <c r="F3693" s="949">
        <v>801</v>
      </c>
      <c r="G3693" s="950" t="s">
        <v>14695</v>
      </c>
      <c r="H3693" s="950" t="s">
        <v>572</v>
      </c>
      <c r="I3693" s="951" t="s">
        <v>22596</v>
      </c>
      <c r="J3693" s="947" t="s">
        <v>22597</v>
      </c>
      <c r="K3693" s="143"/>
    </row>
    <row r="3694" spans="1:11">
      <c r="A3694" s="946" t="s">
        <v>28608</v>
      </c>
      <c r="B3694" s="947" t="s">
        <v>22623</v>
      </c>
      <c r="C3694" s="948" t="s">
        <v>22621</v>
      </c>
      <c r="D3694" s="242" t="s">
        <v>28713</v>
      </c>
      <c r="E3694" s="949">
        <v>801</v>
      </c>
      <c r="F3694" s="949">
        <v>801</v>
      </c>
      <c r="G3694" s="950" t="s">
        <v>14695</v>
      </c>
      <c r="H3694" s="950" t="s">
        <v>572</v>
      </c>
      <c r="I3694" s="951" t="s">
        <v>22622</v>
      </c>
      <c r="J3694" s="947" t="s">
        <v>22623</v>
      </c>
      <c r="K3694" s="143"/>
    </row>
    <row r="3695" spans="1:11">
      <c r="A3695" s="946" t="s">
        <v>28608</v>
      </c>
      <c r="B3695" s="947" t="s">
        <v>28623</v>
      </c>
      <c r="C3695" s="948" t="s">
        <v>28745</v>
      </c>
      <c r="D3695" s="242" t="s">
        <v>28713</v>
      </c>
      <c r="E3695" s="949">
        <v>801</v>
      </c>
      <c r="F3695" s="949">
        <v>801</v>
      </c>
      <c r="G3695" s="950" t="s">
        <v>14695</v>
      </c>
      <c r="H3695" s="950" t="s">
        <v>572</v>
      </c>
      <c r="I3695" s="951" t="s">
        <v>28668</v>
      </c>
      <c r="J3695" s="947" t="s">
        <v>28623</v>
      </c>
      <c r="K3695" s="143"/>
    </row>
    <row r="3696" spans="1:11">
      <c r="A3696" s="946" t="s">
        <v>28608</v>
      </c>
      <c r="B3696" s="947" t="s">
        <v>788</v>
      </c>
      <c r="C3696" s="948" t="s">
        <v>785</v>
      </c>
      <c r="D3696" s="242" t="s">
        <v>28713</v>
      </c>
      <c r="E3696" s="949">
        <v>802</v>
      </c>
      <c r="F3696" s="949">
        <v>802</v>
      </c>
      <c r="G3696" s="950" t="s">
        <v>14261</v>
      </c>
      <c r="H3696" s="950" t="s">
        <v>786</v>
      </c>
      <c r="I3696" s="951" t="s">
        <v>787</v>
      </c>
      <c r="J3696" s="947" t="s">
        <v>788</v>
      </c>
      <c r="K3696" s="143"/>
    </row>
    <row r="3697" spans="1:11">
      <c r="A3697" s="946" t="s">
        <v>28608</v>
      </c>
      <c r="B3697" s="947" t="s">
        <v>1959</v>
      </c>
      <c r="C3697" s="948" t="s">
        <v>1957</v>
      </c>
      <c r="D3697" s="242" t="s">
        <v>28713</v>
      </c>
      <c r="E3697" s="949">
        <v>802</v>
      </c>
      <c r="F3697" s="949">
        <v>802</v>
      </c>
      <c r="G3697" s="950" t="s">
        <v>14261</v>
      </c>
      <c r="H3697" s="950" t="s">
        <v>786</v>
      </c>
      <c r="I3697" s="951" t="s">
        <v>1958</v>
      </c>
      <c r="J3697" s="947" t="s">
        <v>1959</v>
      </c>
      <c r="K3697" s="143"/>
    </row>
    <row r="3698" spans="1:11">
      <c r="A3698" s="946" t="s">
        <v>28608</v>
      </c>
      <c r="B3698" s="947" t="s">
        <v>2135</v>
      </c>
      <c r="C3698" s="948" t="s">
        <v>2133</v>
      </c>
      <c r="D3698" s="242" t="s">
        <v>28713</v>
      </c>
      <c r="E3698" s="949">
        <v>802</v>
      </c>
      <c r="F3698" s="949">
        <v>802</v>
      </c>
      <c r="G3698" s="950" t="s">
        <v>14261</v>
      </c>
      <c r="H3698" s="950" t="s">
        <v>786</v>
      </c>
      <c r="I3698" s="951" t="s">
        <v>2134</v>
      </c>
      <c r="J3698" s="947" t="s">
        <v>2135</v>
      </c>
      <c r="K3698" s="143"/>
    </row>
    <row r="3699" spans="1:11">
      <c r="A3699" s="946" t="s">
        <v>28608</v>
      </c>
      <c r="B3699" s="947" t="s">
        <v>2282</v>
      </c>
      <c r="C3699" s="948" t="s">
        <v>2280</v>
      </c>
      <c r="D3699" s="242" t="s">
        <v>28713</v>
      </c>
      <c r="E3699" s="949">
        <v>802</v>
      </c>
      <c r="F3699" s="949">
        <v>802</v>
      </c>
      <c r="G3699" s="950" t="s">
        <v>14261</v>
      </c>
      <c r="H3699" s="950" t="s">
        <v>786</v>
      </c>
      <c r="I3699" s="951" t="s">
        <v>2281</v>
      </c>
      <c r="J3699" s="947" t="s">
        <v>2282</v>
      </c>
      <c r="K3699" s="143"/>
    </row>
    <row r="3700" spans="1:11">
      <c r="A3700" s="946" t="s">
        <v>28608</v>
      </c>
      <c r="B3700" s="947" t="s">
        <v>2682</v>
      </c>
      <c r="C3700" s="948" t="s">
        <v>2680</v>
      </c>
      <c r="D3700" s="242" t="s">
        <v>28713</v>
      </c>
      <c r="E3700" s="949">
        <v>802</v>
      </c>
      <c r="F3700" s="949">
        <v>802</v>
      </c>
      <c r="G3700" s="950" t="s">
        <v>14261</v>
      </c>
      <c r="H3700" s="950" t="s">
        <v>786</v>
      </c>
      <c r="I3700" s="951" t="s">
        <v>2681</v>
      </c>
      <c r="J3700" s="947" t="s">
        <v>2682</v>
      </c>
      <c r="K3700" s="143"/>
    </row>
    <row r="3701" spans="1:11">
      <c r="A3701" s="946" t="s">
        <v>28608</v>
      </c>
      <c r="B3701" s="947" t="s">
        <v>2763</v>
      </c>
      <c r="C3701" s="948" t="s">
        <v>2761</v>
      </c>
      <c r="D3701" s="242" t="s">
        <v>28713</v>
      </c>
      <c r="E3701" s="949">
        <v>802</v>
      </c>
      <c r="F3701" s="949">
        <v>802</v>
      </c>
      <c r="G3701" s="950" t="s">
        <v>14261</v>
      </c>
      <c r="H3701" s="950" t="s">
        <v>786</v>
      </c>
      <c r="I3701" s="951" t="s">
        <v>2762</v>
      </c>
      <c r="J3701" s="947" t="s">
        <v>2763</v>
      </c>
      <c r="K3701" s="143"/>
    </row>
    <row r="3702" spans="1:11">
      <c r="A3702" s="946" t="s">
        <v>28608</v>
      </c>
      <c r="B3702" s="947" t="s">
        <v>3294</v>
      </c>
      <c r="C3702" s="948" t="s">
        <v>3292</v>
      </c>
      <c r="D3702" s="242" t="s">
        <v>28713</v>
      </c>
      <c r="E3702" s="949">
        <v>802</v>
      </c>
      <c r="F3702" s="949">
        <v>802</v>
      </c>
      <c r="G3702" s="950" t="s">
        <v>14261</v>
      </c>
      <c r="H3702" s="950" t="s">
        <v>786</v>
      </c>
      <c r="I3702" s="951" t="s">
        <v>3293</v>
      </c>
      <c r="J3702" s="947" t="s">
        <v>3294</v>
      </c>
      <c r="K3702" s="143"/>
    </row>
    <row r="3703" spans="1:11">
      <c r="A3703" s="946" t="s">
        <v>28608</v>
      </c>
      <c r="B3703" s="947" t="s">
        <v>3493</v>
      </c>
      <c r="C3703" s="948" t="s">
        <v>3491</v>
      </c>
      <c r="D3703" s="242" t="s">
        <v>28713</v>
      </c>
      <c r="E3703" s="949">
        <v>802</v>
      </c>
      <c r="F3703" s="949">
        <v>802</v>
      </c>
      <c r="G3703" s="950" t="s">
        <v>14261</v>
      </c>
      <c r="H3703" s="950" t="s">
        <v>786</v>
      </c>
      <c r="I3703" s="951" t="s">
        <v>3492</v>
      </c>
      <c r="J3703" s="947" t="s">
        <v>3493</v>
      </c>
      <c r="K3703" s="143"/>
    </row>
    <row r="3704" spans="1:11">
      <c r="A3704" s="946" t="s">
        <v>28608</v>
      </c>
      <c r="B3704" s="947" t="s">
        <v>6745</v>
      </c>
      <c r="C3704" s="948" t="s">
        <v>6743</v>
      </c>
      <c r="D3704" s="242" t="s">
        <v>28713</v>
      </c>
      <c r="E3704" s="949">
        <v>802</v>
      </c>
      <c r="F3704" s="949">
        <v>802</v>
      </c>
      <c r="G3704" s="950" t="s">
        <v>14261</v>
      </c>
      <c r="H3704" s="950" t="s">
        <v>786</v>
      </c>
      <c r="I3704" s="951" t="s">
        <v>6744</v>
      </c>
      <c r="J3704" s="947" t="s">
        <v>6745</v>
      </c>
      <c r="K3704" s="143"/>
    </row>
    <row r="3705" spans="1:11">
      <c r="A3705" s="946" t="s">
        <v>28608</v>
      </c>
      <c r="B3705" s="947" t="s">
        <v>6854</v>
      </c>
      <c r="C3705" s="948" t="s">
        <v>6852</v>
      </c>
      <c r="D3705" s="242" t="s">
        <v>28713</v>
      </c>
      <c r="E3705" s="949">
        <v>802</v>
      </c>
      <c r="F3705" s="949">
        <v>802</v>
      </c>
      <c r="G3705" s="950" t="s">
        <v>14261</v>
      </c>
      <c r="H3705" s="950" t="s">
        <v>786</v>
      </c>
      <c r="I3705" s="951" t="s">
        <v>6853</v>
      </c>
      <c r="J3705" s="947" t="s">
        <v>6854</v>
      </c>
      <c r="K3705" s="143"/>
    </row>
    <row r="3706" spans="1:11">
      <c r="A3706" s="946" t="s">
        <v>28608</v>
      </c>
      <c r="B3706" s="947" t="s">
        <v>6914</v>
      </c>
      <c r="C3706" s="948" t="s">
        <v>6912</v>
      </c>
      <c r="D3706" s="242" t="s">
        <v>28713</v>
      </c>
      <c r="E3706" s="949">
        <v>802</v>
      </c>
      <c r="F3706" s="949">
        <v>802</v>
      </c>
      <c r="G3706" s="950" t="s">
        <v>14261</v>
      </c>
      <c r="H3706" s="950" t="s">
        <v>786</v>
      </c>
      <c r="I3706" s="951" t="s">
        <v>6913</v>
      </c>
      <c r="J3706" s="947" t="s">
        <v>6914</v>
      </c>
      <c r="K3706" s="143"/>
    </row>
    <row r="3707" spans="1:11">
      <c r="A3707" s="946" t="s">
        <v>28608</v>
      </c>
      <c r="B3707" s="947" t="s">
        <v>7111</v>
      </c>
      <c r="C3707" s="948" t="s">
        <v>7109</v>
      </c>
      <c r="D3707" s="242" t="s">
        <v>28713</v>
      </c>
      <c r="E3707" s="949">
        <v>802</v>
      </c>
      <c r="F3707" s="949">
        <v>802</v>
      </c>
      <c r="G3707" s="950" t="s">
        <v>14261</v>
      </c>
      <c r="H3707" s="950" t="s">
        <v>786</v>
      </c>
      <c r="I3707" s="951" t="s">
        <v>7110</v>
      </c>
      <c r="J3707" s="947" t="s">
        <v>7111</v>
      </c>
      <c r="K3707" s="143"/>
    </row>
    <row r="3708" spans="1:11">
      <c r="A3708" s="946" t="s">
        <v>28608</v>
      </c>
      <c r="B3708" s="947" t="s">
        <v>8103</v>
      </c>
      <c r="C3708" s="948" t="s">
        <v>8101</v>
      </c>
      <c r="D3708" s="242" t="s">
        <v>28713</v>
      </c>
      <c r="E3708" s="949">
        <v>802</v>
      </c>
      <c r="F3708" s="949">
        <v>802</v>
      </c>
      <c r="G3708" s="950" t="s">
        <v>14261</v>
      </c>
      <c r="H3708" s="950" t="s">
        <v>786</v>
      </c>
      <c r="I3708" s="951" t="s">
        <v>8102</v>
      </c>
      <c r="J3708" s="947" t="s">
        <v>8103</v>
      </c>
      <c r="K3708" s="143"/>
    </row>
    <row r="3709" spans="1:11">
      <c r="A3709" s="946" t="s">
        <v>28608</v>
      </c>
      <c r="B3709" s="947" t="s">
        <v>8201</v>
      </c>
      <c r="C3709" s="948" t="s">
        <v>8199</v>
      </c>
      <c r="D3709" s="242" t="s">
        <v>28713</v>
      </c>
      <c r="E3709" s="949">
        <v>802</v>
      </c>
      <c r="F3709" s="949">
        <v>802</v>
      </c>
      <c r="G3709" s="950" t="s">
        <v>14261</v>
      </c>
      <c r="H3709" s="950" t="s">
        <v>786</v>
      </c>
      <c r="I3709" s="951" t="s">
        <v>8200</v>
      </c>
      <c r="J3709" s="947" t="s">
        <v>8201</v>
      </c>
      <c r="K3709" s="143"/>
    </row>
    <row r="3710" spans="1:11">
      <c r="A3710" s="946" t="s">
        <v>28608</v>
      </c>
      <c r="B3710" s="947" t="s">
        <v>8412</v>
      </c>
      <c r="C3710" s="948" t="s">
        <v>8410</v>
      </c>
      <c r="D3710" s="242" t="s">
        <v>28713</v>
      </c>
      <c r="E3710" s="949">
        <v>802</v>
      </c>
      <c r="F3710" s="949">
        <v>802</v>
      </c>
      <c r="G3710" s="950" t="s">
        <v>14261</v>
      </c>
      <c r="H3710" s="950" t="s">
        <v>786</v>
      </c>
      <c r="I3710" s="951" t="s">
        <v>8411</v>
      </c>
      <c r="J3710" s="947" t="s">
        <v>8412</v>
      </c>
      <c r="K3710" s="143"/>
    </row>
    <row r="3711" spans="1:11">
      <c r="A3711" s="946" t="s">
        <v>28608</v>
      </c>
      <c r="B3711" s="947" t="s">
        <v>8450</v>
      </c>
      <c r="C3711" s="948" t="s">
        <v>8448</v>
      </c>
      <c r="D3711" s="242" t="s">
        <v>28713</v>
      </c>
      <c r="E3711" s="949">
        <v>802</v>
      </c>
      <c r="F3711" s="949">
        <v>802</v>
      </c>
      <c r="G3711" s="950" t="s">
        <v>14261</v>
      </c>
      <c r="H3711" s="950" t="s">
        <v>786</v>
      </c>
      <c r="I3711" s="951" t="s">
        <v>8449</v>
      </c>
      <c r="J3711" s="947" t="s">
        <v>8450</v>
      </c>
      <c r="K3711" s="143"/>
    </row>
    <row r="3712" spans="1:11">
      <c r="A3712" s="946" t="s">
        <v>28608</v>
      </c>
      <c r="B3712" s="947" t="s">
        <v>8535</v>
      </c>
      <c r="C3712" s="948" t="s">
        <v>8533</v>
      </c>
      <c r="D3712" s="242" t="s">
        <v>28713</v>
      </c>
      <c r="E3712" s="949">
        <v>802</v>
      </c>
      <c r="F3712" s="949">
        <v>802</v>
      </c>
      <c r="G3712" s="950" t="s">
        <v>14261</v>
      </c>
      <c r="H3712" s="950" t="s">
        <v>786</v>
      </c>
      <c r="I3712" s="951" t="s">
        <v>8534</v>
      </c>
      <c r="J3712" s="947" t="s">
        <v>8535</v>
      </c>
      <c r="K3712" s="143"/>
    </row>
    <row r="3713" spans="1:11">
      <c r="A3713" s="946" t="s">
        <v>28608</v>
      </c>
      <c r="B3713" s="947" t="s">
        <v>10121</v>
      </c>
      <c r="C3713" s="948" t="s">
        <v>10119</v>
      </c>
      <c r="D3713" s="242" t="s">
        <v>28713</v>
      </c>
      <c r="E3713" s="949">
        <v>802</v>
      </c>
      <c r="F3713" s="949">
        <v>802</v>
      </c>
      <c r="G3713" s="950" t="s">
        <v>14261</v>
      </c>
      <c r="H3713" s="950" t="s">
        <v>786</v>
      </c>
      <c r="I3713" s="951" t="s">
        <v>10120</v>
      </c>
      <c r="J3713" s="947" t="s">
        <v>10121</v>
      </c>
      <c r="K3713" s="143"/>
    </row>
    <row r="3714" spans="1:11">
      <c r="A3714" s="946" t="s">
        <v>28608</v>
      </c>
      <c r="B3714" s="947" t="s">
        <v>10347</v>
      </c>
      <c r="C3714" s="948" t="s">
        <v>10345</v>
      </c>
      <c r="D3714" s="242" t="s">
        <v>28713</v>
      </c>
      <c r="E3714" s="949">
        <v>802</v>
      </c>
      <c r="F3714" s="949">
        <v>802</v>
      </c>
      <c r="G3714" s="950" t="s">
        <v>14261</v>
      </c>
      <c r="H3714" s="950" t="s">
        <v>786</v>
      </c>
      <c r="I3714" s="951" t="s">
        <v>10346</v>
      </c>
      <c r="J3714" s="947" t="s">
        <v>10347</v>
      </c>
      <c r="K3714" s="143"/>
    </row>
    <row r="3715" spans="1:11">
      <c r="A3715" s="946" t="s">
        <v>28608</v>
      </c>
      <c r="B3715" s="947" t="s">
        <v>11495</v>
      </c>
      <c r="C3715" s="948" t="s">
        <v>11493</v>
      </c>
      <c r="D3715" s="242" t="s">
        <v>28713</v>
      </c>
      <c r="E3715" s="949">
        <v>802</v>
      </c>
      <c r="F3715" s="949">
        <v>802</v>
      </c>
      <c r="G3715" s="950" t="s">
        <v>14261</v>
      </c>
      <c r="H3715" s="950" t="s">
        <v>786</v>
      </c>
      <c r="I3715" s="951" t="s">
        <v>11494</v>
      </c>
      <c r="J3715" s="947" t="s">
        <v>11495</v>
      </c>
      <c r="K3715" s="143"/>
    </row>
    <row r="3716" spans="1:11">
      <c r="A3716" s="946" t="s">
        <v>28608</v>
      </c>
      <c r="B3716" s="947" t="s">
        <v>12055</v>
      </c>
      <c r="C3716" s="948" t="s">
        <v>12053</v>
      </c>
      <c r="D3716" s="242" t="s">
        <v>28713</v>
      </c>
      <c r="E3716" s="949">
        <v>802</v>
      </c>
      <c r="F3716" s="949">
        <v>802</v>
      </c>
      <c r="G3716" s="950" t="s">
        <v>14261</v>
      </c>
      <c r="H3716" s="950" t="s">
        <v>786</v>
      </c>
      <c r="I3716" s="951" t="s">
        <v>12054</v>
      </c>
      <c r="J3716" s="947" t="s">
        <v>12055</v>
      </c>
      <c r="K3716" s="143"/>
    </row>
    <row r="3717" spans="1:11">
      <c r="A3717" s="946" t="s">
        <v>28608</v>
      </c>
      <c r="B3717" s="947" t="s">
        <v>12428</v>
      </c>
      <c r="C3717" s="948" t="s">
        <v>12426</v>
      </c>
      <c r="D3717" s="242" t="s">
        <v>28713</v>
      </c>
      <c r="E3717" s="949">
        <v>802</v>
      </c>
      <c r="F3717" s="949">
        <v>802</v>
      </c>
      <c r="G3717" s="950" t="s">
        <v>14261</v>
      </c>
      <c r="H3717" s="950" t="s">
        <v>786</v>
      </c>
      <c r="I3717" s="951" t="s">
        <v>12427</v>
      </c>
      <c r="J3717" s="947" t="s">
        <v>12428</v>
      </c>
      <c r="K3717" s="143"/>
    </row>
    <row r="3718" spans="1:11">
      <c r="A3718" s="946" t="s">
        <v>28608</v>
      </c>
      <c r="B3718" s="947" t="s">
        <v>13245</v>
      </c>
      <c r="C3718" s="948" t="s">
        <v>13243</v>
      </c>
      <c r="D3718" s="242" t="s">
        <v>28713</v>
      </c>
      <c r="E3718" s="949">
        <v>802</v>
      </c>
      <c r="F3718" s="949">
        <v>802</v>
      </c>
      <c r="G3718" s="950" t="s">
        <v>14261</v>
      </c>
      <c r="H3718" s="950" t="s">
        <v>786</v>
      </c>
      <c r="I3718" s="951" t="s">
        <v>13244</v>
      </c>
      <c r="J3718" s="947" t="s">
        <v>13245</v>
      </c>
      <c r="K3718" s="143"/>
    </row>
    <row r="3719" spans="1:11">
      <c r="A3719" s="946" t="s">
        <v>28608</v>
      </c>
      <c r="B3719" s="947" t="s">
        <v>13319</v>
      </c>
      <c r="C3719" s="948" t="s">
        <v>13317</v>
      </c>
      <c r="D3719" s="242" t="s">
        <v>28713</v>
      </c>
      <c r="E3719" s="949">
        <v>802</v>
      </c>
      <c r="F3719" s="949">
        <v>802</v>
      </c>
      <c r="G3719" s="950" t="s">
        <v>14261</v>
      </c>
      <c r="H3719" s="950" t="s">
        <v>786</v>
      </c>
      <c r="I3719" s="951" t="s">
        <v>13318</v>
      </c>
      <c r="J3719" s="947" t="s">
        <v>13319</v>
      </c>
      <c r="K3719" s="143"/>
    </row>
    <row r="3720" spans="1:11">
      <c r="A3720" s="946" t="s">
        <v>28608</v>
      </c>
      <c r="B3720" s="947" t="s">
        <v>14077</v>
      </c>
      <c r="C3720" s="948" t="s">
        <v>14075</v>
      </c>
      <c r="D3720" s="242" t="s">
        <v>28713</v>
      </c>
      <c r="E3720" s="949">
        <v>802</v>
      </c>
      <c r="F3720" s="949">
        <v>802</v>
      </c>
      <c r="G3720" s="950" t="s">
        <v>14261</v>
      </c>
      <c r="H3720" s="950" t="s">
        <v>786</v>
      </c>
      <c r="I3720" s="951" t="s">
        <v>14076</v>
      </c>
      <c r="J3720" s="947" t="s">
        <v>14077</v>
      </c>
      <c r="K3720" s="143"/>
    </row>
    <row r="3721" spans="1:11">
      <c r="A3721" s="946" t="s">
        <v>28608</v>
      </c>
      <c r="B3721" s="947" t="s">
        <v>14261</v>
      </c>
      <c r="C3721" s="948" t="s">
        <v>14259</v>
      </c>
      <c r="D3721" s="242" t="s">
        <v>28713</v>
      </c>
      <c r="E3721" s="949">
        <v>802</v>
      </c>
      <c r="F3721" s="949">
        <v>802</v>
      </c>
      <c r="G3721" s="950" t="s">
        <v>14261</v>
      </c>
      <c r="H3721" s="950" t="s">
        <v>786</v>
      </c>
      <c r="I3721" s="951" t="s">
        <v>14260</v>
      </c>
      <c r="J3721" s="947" t="s">
        <v>14261</v>
      </c>
      <c r="K3721" s="143"/>
    </row>
    <row r="3722" spans="1:11">
      <c r="A3722" s="946" t="s">
        <v>28608</v>
      </c>
      <c r="B3722" s="947" t="s">
        <v>14435</v>
      </c>
      <c r="C3722" s="948" t="s">
        <v>14433</v>
      </c>
      <c r="D3722" s="242" t="s">
        <v>28713</v>
      </c>
      <c r="E3722" s="949">
        <v>802</v>
      </c>
      <c r="F3722" s="949">
        <v>802</v>
      </c>
      <c r="G3722" s="950" t="s">
        <v>14261</v>
      </c>
      <c r="H3722" s="950" t="s">
        <v>786</v>
      </c>
      <c r="I3722" s="951" t="s">
        <v>14434</v>
      </c>
      <c r="J3722" s="947" t="s">
        <v>14435</v>
      </c>
      <c r="K3722" s="143"/>
    </row>
    <row r="3723" spans="1:11">
      <c r="A3723" s="946" t="s">
        <v>28608</v>
      </c>
      <c r="B3723" s="947" t="s">
        <v>16589</v>
      </c>
      <c r="C3723" s="948" t="s">
        <v>16587</v>
      </c>
      <c r="D3723" s="242" t="s">
        <v>28713</v>
      </c>
      <c r="E3723" s="949">
        <v>802</v>
      </c>
      <c r="F3723" s="949">
        <v>802</v>
      </c>
      <c r="G3723" s="950" t="s">
        <v>14261</v>
      </c>
      <c r="H3723" s="950" t="s">
        <v>786</v>
      </c>
      <c r="I3723" s="951" t="s">
        <v>16588</v>
      </c>
      <c r="J3723" s="947" t="s">
        <v>16589</v>
      </c>
      <c r="K3723" s="143"/>
    </row>
    <row r="3724" spans="1:11">
      <c r="A3724" s="946" t="s">
        <v>28608</v>
      </c>
      <c r="B3724" s="947" t="s">
        <v>17194</v>
      </c>
      <c r="C3724" s="948" t="s">
        <v>17192</v>
      </c>
      <c r="D3724" s="242" t="s">
        <v>28713</v>
      </c>
      <c r="E3724" s="949">
        <v>802</v>
      </c>
      <c r="F3724" s="949">
        <v>802</v>
      </c>
      <c r="G3724" s="950" t="s">
        <v>14261</v>
      </c>
      <c r="H3724" s="950" t="s">
        <v>786</v>
      </c>
      <c r="I3724" s="951" t="s">
        <v>17193</v>
      </c>
      <c r="J3724" s="947" t="s">
        <v>17194</v>
      </c>
      <c r="K3724" s="143"/>
    </row>
    <row r="3725" spans="1:11">
      <c r="A3725" s="946" t="s">
        <v>28608</v>
      </c>
      <c r="B3725" s="947" t="s">
        <v>17291</v>
      </c>
      <c r="C3725" s="948" t="s">
        <v>17289</v>
      </c>
      <c r="D3725" s="242" t="s">
        <v>28713</v>
      </c>
      <c r="E3725" s="949">
        <v>802</v>
      </c>
      <c r="F3725" s="949">
        <v>802</v>
      </c>
      <c r="G3725" s="950" t="s">
        <v>14261</v>
      </c>
      <c r="H3725" s="950" t="s">
        <v>786</v>
      </c>
      <c r="I3725" s="951" t="s">
        <v>17290</v>
      </c>
      <c r="J3725" s="947" t="s">
        <v>17291</v>
      </c>
      <c r="K3725" s="143"/>
    </row>
    <row r="3726" spans="1:11">
      <c r="A3726" s="946" t="s">
        <v>28608</v>
      </c>
      <c r="B3726" s="947" t="s">
        <v>18216</v>
      </c>
      <c r="C3726" s="948" t="s">
        <v>18214</v>
      </c>
      <c r="D3726" s="242" t="s">
        <v>28713</v>
      </c>
      <c r="E3726" s="949">
        <v>802</v>
      </c>
      <c r="F3726" s="949">
        <v>802</v>
      </c>
      <c r="G3726" s="950" t="s">
        <v>14261</v>
      </c>
      <c r="H3726" s="950" t="s">
        <v>786</v>
      </c>
      <c r="I3726" s="951" t="s">
        <v>18215</v>
      </c>
      <c r="J3726" s="947" t="s">
        <v>18216</v>
      </c>
      <c r="K3726" s="143"/>
    </row>
    <row r="3727" spans="1:11">
      <c r="A3727" s="946" t="s">
        <v>28608</v>
      </c>
      <c r="B3727" s="947" t="s">
        <v>19663</v>
      </c>
      <c r="C3727" s="948" t="s">
        <v>19661</v>
      </c>
      <c r="D3727" s="242" t="s">
        <v>28713</v>
      </c>
      <c r="E3727" s="949">
        <v>802</v>
      </c>
      <c r="F3727" s="949">
        <v>802</v>
      </c>
      <c r="G3727" s="950" t="s">
        <v>14261</v>
      </c>
      <c r="H3727" s="950" t="s">
        <v>786</v>
      </c>
      <c r="I3727" s="951" t="s">
        <v>19662</v>
      </c>
      <c r="J3727" s="947" t="s">
        <v>19663</v>
      </c>
      <c r="K3727" s="143"/>
    </row>
    <row r="3728" spans="1:11">
      <c r="A3728" s="946" t="s">
        <v>28608</v>
      </c>
      <c r="B3728" s="947" t="s">
        <v>19733</v>
      </c>
      <c r="C3728" s="948" t="s">
        <v>19731</v>
      </c>
      <c r="D3728" s="242" t="s">
        <v>28713</v>
      </c>
      <c r="E3728" s="949">
        <v>802</v>
      </c>
      <c r="F3728" s="949">
        <v>802</v>
      </c>
      <c r="G3728" s="950" t="s">
        <v>14261</v>
      </c>
      <c r="H3728" s="950" t="s">
        <v>786</v>
      </c>
      <c r="I3728" s="951" t="s">
        <v>19732</v>
      </c>
      <c r="J3728" s="947" t="s">
        <v>19733</v>
      </c>
      <c r="K3728" s="143"/>
    </row>
    <row r="3729" spans="1:11">
      <c r="A3729" s="946" t="s">
        <v>28608</v>
      </c>
      <c r="B3729" s="947" t="s">
        <v>20338</v>
      </c>
      <c r="C3729" s="948" t="s">
        <v>20336</v>
      </c>
      <c r="D3729" s="242" t="s">
        <v>28713</v>
      </c>
      <c r="E3729" s="949">
        <v>802</v>
      </c>
      <c r="F3729" s="949">
        <v>802</v>
      </c>
      <c r="G3729" s="950" t="s">
        <v>14261</v>
      </c>
      <c r="H3729" s="950" t="s">
        <v>786</v>
      </c>
      <c r="I3729" s="951" t="s">
        <v>20337</v>
      </c>
      <c r="J3729" s="947" t="s">
        <v>20338</v>
      </c>
      <c r="K3729" s="143"/>
    </row>
    <row r="3730" spans="1:11">
      <c r="A3730" s="946" t="s">
        <v>28608</v>
      </c>
      <c r="B3730" s="947" t="s">
        <v>20494</v>
      </c>
      <c r="C3730" s="948" t="s">
        <v>20492</v>
      </c>
      <c r="D3730" s="242" t="s">
        <v>28713</v>
      </c>
      <c r="E3730" s="949">
        <v>802</v>
      </c>
      <c r="F3730" s="949">
        <v>802</v>
      </c>
      <c r="G3730" s="950" t="s">
        <v>14261</v>
      </c>
      <c r="H3730" s="950" t="s">
        <v>786</v>
      </c>
      <c r="I3730" s="951" t="s">
        <v>20493</v>
      </c>
      <c r="J3730" s="947" t="s">
        <v>20494</v>
      </c>
      <c r="K3730" s="143"/>
    </row>
    <row r="3731" spans="1:11">
      <c r="A3731" s="946" t="s">
        <v>28608</v>
      </c>
      <c r="B3731" s="947" t="s">
        <v>20608</v>
      </c>
      <c r="C3731" s="948" t="s">
        <v>20606</v>
      </c>
      <c r="D3731" s="242" t="s">
        <v>28713</v>
      </c>
      <c r="E3731" s="949">
        <v>802</v>
      </c>
      <c r="F3731" s="949">
        <v>802</v>
      </c>
      <c r="G3731" s="950" t="s">
        <v>14261</v>
      </c>
      <c r="H3731" s="950" t="s">
        <v>786</v>
      </c>
      <c r="I3731" s="951" t="s">
        <v>20607</v>
      </c>
      <c r="J3731" s="947" t="s">
        <v>20608</v>
      </c>
      <c r="K3731" s="143"/>
    </row>
    <row r="3732" spans="1:11">
      <c r="A3732" s="946" t="s">
        <v>28608</v>
      </c>
      <c r="B3732" s="947" t="s">
        <v>20771</v>
      </c>
      <c r="C3732" s="948" t="s">
        <v>20769</v>
      </c>
      <c r="D3732" s="242" t="s">
        <v>28713</v>
      </c>
      <c r="E3732" s="949">
        <v>802</v>
      </c>
      <c r="F3732" s="949">
        <v>802</v>
      </c>
      <c r="G3732" s="950" t="s">
        <v>14261</v>
      </c>
      <c r="H3732" s="950" t="s">
        <v>786</v>
      </c>
      <c r="I3732" s="951" t="s">
        <v>20770</v>
      </c>
      <c r="J3732" s="947" t="s">
        <v>20771</v>
      </c>
      <c r="K3732" s="143"/>
    </row>
    <row r="3733" spans="1:11">
      <c r="A3733" s="946" t="s">
        <v>28608</v>
      </c>
      <c r="B3733" s="947" t="s">
        <v>20874</v>
      </c>
      <c r="C3733" s="948" t="s">
        <v>20872</v>
      </c>
      <c r="D3733" s="242" t="s">
        <v>28713</v>
      </c>
      <c r="E3733" s="949">
        <v>802</v>
      </c>
      <c r="F3733" s="949">
        <v>802</v>
      </c>
      <c r="G3733" s="950" t="s">
        <v>14261</v>
      </c>
      <c r="H3733" s="950" t="s">
        <v>786</v>
      </c>
      <c r="I3733" s="951" t="s">
        <v>20873</v>
      </c>
      <c r="J3733" s="947" t="s">
        <v>20874</v>
      </c>
      <c r="K3733" s="143"/>
    </row>
    <row r="3734" spans="1:11">
      <c r="A3734" s="946" t="s">
        <v>28608</v>
      </c>
      <c r="B3734" s="947" t="s">
        <v>21502</v>
      </c>
      <c r="C3734" s="948" t="s">
        <v>21500</v>
      </c>
      <c r="D3734" s="242" t="s">
        <v>28713</v>
      </c>
      <c r="E3734" s="949">
        <v>802</v>
      </c>
      <c r="F3734" s="949">
        <v>802</v>
      </c>
      <c r="G3734" s="950" t="s">
        <v>14261</v>
      </c>
      <c r="H3734" s="950" t="s">
        <v>786</v>
      </c>
      <c r="I3734" s="951" t="s">
        <v>21501</v>
      </c>
      <c r="J3734" s="947" t="s">
        <v>21502</v>
      </c>
      <c r="K3734" s="143"/>
    </row>
    <row r="3735" spans="1:11">
      <c r="A3735" s="946" t="s">
        <v>28608</v>
      </c>
      <c r="B3735" s="947" t="s">
        <v>21569</v>
      </c>
      <c r="C3735" s="948" t="s">
        <v>21567</v>
      </c>
      <c r="D3735" s="242" t="s">
        <v>28713</v>
      </c>
      <c r="E3735" s="949">
        <v>802</v>
      </c>
      <c r="F3735" s="949">
        <v>802</v>
      </c>
      <c r="G3735" s="950" t="s">
        <v>14261</v>
      </c>
      <c r="H3735" s="950" t="s">
        <v>786</v>
      </c>
      <c r="I3735" s="951" t="s">
        <v>21568</v>
      </c>
      <c r="J3735" s="947" t="s">
        <v>21569</v>
      </c>
      <c r="K3735" s="143"/>
    </row>
    <row r="3736" spans="1:11">
      <c r="A3736" s="946" t="s">
        <v>28608</v>
      </c>
      <c r="B3736" s="947" t="s">
        <v>21599</v>
      </c>
      <c r="C3736" s="948" t="s">
        <v>21597</v>
      </c>
      <c r="D3736" s="242" t="s">
        <v>28713</v>
      </c>
      <c r="E3736" s="949">
        <v>802</v>
      </c>
      <c r="F3736" s="949">
        <v>802</v>
      </c>
      <c r="G3736" s="950" t="s">
        <v>14261</v>
      </c>
      <c r="H3736" s="950" t="s">
        <v>786</v>
      </c>
      <c r="I3736" s="951" t="s">
        <v>21598</v>
      </c>
      <c r="J3736" s="947" t="s">
        <v>21599</v>
      </c>
      <c r="K3736" s="143"/>
    </row>
    <row r="3737" spans="1:11">
      <c r="A3737" s="946" t="s">
        <v>28608</v>
      </c>
      <c r="B3737" s="947" t="s">
        <v>24956</v>
      </c>
      <c r="C3737" s="948" t="s">
        <v>26136</v>
      </c>
      <c r="D3737" s="242" t="s">
        <v>28713</v>
      </c>
      <c r="E3737" s="949">
        <v>802</v>
      </c>
      <c r="F3737" s="949">
        <v>802</v>
      </c>
      <c r="G3737" s="950" t="s">
        <v>14261</v>
      </c>
      <c r="H3737" s="950" t="s">
        <v>786</v>
      </c>
      <c r="I3737" s="951" t="s">
        <v>24957</v>
      </c>
      <c r="J3737" s="947" t="s">
        <v>24956</v>
      </c>
      <c r="K3737" s="143"/>
    </row>
    <row r="3738" spans="1:11">
      <c r="A3738" s="946" t="s">
        <v>28608</v>
      </c>
      <c r="B3738" s="947" t="s">
        <v>26137</v>
      </c>
      <c r="C3738" s="948" t="s">
        <v>26138</v>
      </c>
      <c r="D3738" s="242" t="s">
        <v>28713</v>
      </c>
      <c r="E3738" s="949">
        <v>802</v>
      </c>
      <c r="F3738" s="949">
        <v>802</v>
      </c>
      <c r="G3738" s="950" t="s">
        <v>14261</v>
      </c>
      <c r="H3738" s="950" t="s">
        <v>786</v>
      </c>
      <c r="I3738" s="951" t="s">
        <v>26139</v>
      </c>
      <c r="J3738" s="947" t="s">
        <v>26137</v>
      </c>
      <c r="K3738" s="143"/>
    </row>
    <row r="3739" spans="1:11">
      <c r="A3739" s="946" t="s">
        <v>28608</v>
      </c>
      <c r="B3739" s="947" t="s">
        <v>28624</v>
      </c>
      <c r="C3739" s="948" t="s">
        <v>28746</v>
      </c>
      <c r="D3739" s="242" t="s">
        <v>28713</v>
      </c>
      <c r="E3739" s="949">
        <v>802</v>
      </c>
      <c r="F3739" s="949">
        <v>802</v>
      </c>
      <c r="G3739" s="950" t="s">
        <v>14261</v>
      </c>
      <c r="H3739" s="950" t="s">
        <v>786</v>
      </c>
      <c r="I3739" s="951" t="s">
        <v>28669</v>
      </c>
      <c r="J3739" s="947" t="s">
        <v>28624</v>
      </c>
      <c r="K3739" s="143"/>
    </row>
    <row r="3740" spans="1:11">
      <c r="A3740" s="946" t="s">
        <v>28608</v>
      </c>
      <c r="B3740" s="947" t="s">
        <v>835</v>
      </c>
      <c r="C3740" s="948" t="s">
        <v>832</v>
      </c>
      <c r="D3740" s="242" t="s">
        <v>28713</v>
      </c>
      <c r="E3740" s="949">
        <v>803</v>
      </c>
      <c r="F3740" s="949">
        <v>803</v>
      </c>
      <c r="G3740" s="950" t="s">
        <v>16184</v>
      </c>
      <c r="H3740" s="950" t="s">
        <v>833</v>
      </c>
      <c r="I3740" s="951" t="s">
        <v>834</v>
      </c>
      <c r="J3740" s="947" t="s">
        <v>835</v>
      </c>
      <c r="K3740" s="143"/>
    </row>
    <row r="3741" spans="1:11">
      <c r="A3741" s="946" t="s">
        <v>28608</v>
      </c>
      <c r="B3741" s="947" t="s">
        <v>1811</v>
      </c>
      <c r="C3741" s="948" t="s">
        <v>1809</v>
      </c>
      <c r="D3741" s="242" t="s">
        <v>28713</v>
      </c>
      <c r="E3741" s="949">
        <v>803</v>
      </c>
      <c r="F3741" s="949">
        <v>803</v>
      </c>
      <c r="G3741" s="950" t="s">
        <v>16184</v>
      </c>
      <c r="H3741" s="950" t="s">
        <v>833</v>
      </c>
      <c r="I3741" s="951" t="s">
        <v>1810</v>
      </c>
      <c r="J3741" s="947" t="s">
        <v>1811</v>
      </c>
      <c r="K3741" s="143"/>
    </row>
    <row r="3742" spans="1:11">
      <c r="A3742" s="946" t="s">
        <v>28608</v>
      </c>
      <c r="B3742" s="947" t="s">
        <v>1841</v>
      </c>
      <c r="C3742" s="948" t="s">
        <v>1839</v>
      </c>
      <c r="D3742" s="242" t="s">
        <v>28713</v>
      </c>
      <c r="E3742" s="949">
        <v>803</v>
      </c>
      <c r="F3742" s="949">
        <v>803</v>
      </c>
      <c r="G3742" s="950" t="s">
        <v>16184</v>
      </c>
      <c r="H3742" s="950" t="s">
        <v>833</v>
      </c>
      <c r="I3742" s="951" t="s">
        <v>1840</v>
      </c>
      <c r="J3742" s="947" t="s">
        <v>1841</v>
      </c>
      <c r="K3742" s="143"/>
    </row>
    <row r="3743" spans="1:11">
      <c r="A3743" s="946" t="s">
        <v>28608</v>
      </c>
      <c r="B3743" s="947" t="s">
        <v>2410</v>
      </c>
      <c r="C3743" s="948" t="s">
        <v>2408</v>
      </c>
      <c r="D3743" s="242" t="s">
        <v>28713</v>
      </c>
      <c r="E3743" s="949">
        <v>803</v>
      </c>
      <c r="F3743" s="949">
        <v>803</v>
      </c>
      <c r="G3743" s="950" t="s">
        <v>16184</v>
      </c>
      <c r="H3743" s="950" t="s">
        <v>833</v>
      </c>
      <c r="I3743" s="951" t="s">
        <v>2409</v>
      </c>
      <c r="J3743" s="947" t="s">
        <v>2410</v>
      </c>
      <c r="K3743" s="143"/>
    </row>
    <row r="3744" spans="1:11">
      <c r="A3744" s="946" t="s">
        <v>28608</v>
      </c>
      <c r="B3744" s="947" t="s">
        <v>2685</v>
      </c>
      <c r="C3744" s="948" t="s">
        <v>2683</v>
      </c>
      <c r="D3744" s="242" t="s">
        <v>28713</v>
      </c>
      <c r="E3744" s="949">
        <v>803</v>
      </c>
      <c r="F3744" s="949">
        <v>803</v>
      </c>
      <c r="G3744" s="950" t="s">
        <v>16184</v>
      </c>
      <c r="H3744" s="950" t="s">
        <v>833</v>
      </c>
      <c r="I3744" s="951" t="s">
        <v>2684</v>
      </c>
      <c r="J3744" s="947" t="s">
        <v>2685</v>
      </c>
      <c r="K3744" s="143"/>
    </row>
    <row r="3745" spans="1:11">
      <c r="A3745" s="946" t="s">
        <v>28608</v>
      </c>
      <c r="B3745" s="947" t="s">
        <v>3018</v>
      </c>
      <c r="C3745" s="948" t="s">
        <v>3016</v>
      </c>
      <c r="D3745" s="242" t="s">
        <v>28713</v>
      </c>
      <c r="E3745" s="949">
        <v>803</v>
      </c>
      <c r="F3745" s="949">
        <v>803</v>
      </c>
      <c r="G3745" s="950" t="s">
        <v>16184</v>
      </c>
      <c r="H3745" s="950" t="s">
        <v>833</v>
      </c>
      <c r="I3745" s="951" t="s">
        <v>3017</v>
      </c>
      <c r="J3745" s="947" t="s">
        <v>3018</v>
      </c>
      <c r="K3745" s="143"/>
    </row>
    <row r="3746" spans="1:11">
      <c r="A3746" s="946" t="s">
        <v>28608</v>
      </c>
      <c r="B3746" s="947" t="s">
        <v>3349</v>
      </c>
      <c r="C3746" s="948" t="s">
        <v>3347</v>
      </c>
      <c r="D3746" s="242" t="s">
        <v>28713</v>
      </c>
      <c r="E3746" s="949">
        <v>803</v>
      </c>
      <c r="F3746" s="949">
        <v>803</v>
      </c>
      <c r="G3746" s="950" t="s">
        <v>16184</v>
      </c>
      <c r="H3746" s="950" t="s">
        <v>833</v>
      </c>
      <c r="I3746" s="951" t="s">
        <v>3348</v>
      </c>
      <c r="J3746" s="947" t="s">
        <v>3349</v>
      </c>
      <c r="K3746" s="143"/>
    </row>
    <row r="3747" spans="1:11">
      <c r="A3747" s="946" t="s">
        <v>28608</v>
      </c>
      <c r="B3747" s="947" t="s">
        <v>3686</v>
      </c>
      <c r="C3747" s="948" t="s">
        <v>3684</v>
      </c>
      <c r="D3747" s="242" t="s">
        <v>28713</v>
      </c>
      <c r="E3747" s="949">
        <v>803</v>
      </c>
      <c r="F3747" s="949">
        <v>803</v>
      </c>
      <c r="G3747" s="950" t="s">
        <v>16184</v>
      </c>
      <c r="H3747" s="950" t="s">
        <v>833</v>
      </c>
      <c r="I3747" s="951" t="s">
        <v>3685</v>
      </c>
      <c r="J3747" s="947" t="s">
        <v>3686</v>
      </c>
      <c r="K3747" s="143"/>
    </row>
    <row r="3748" spans="1:11">
      <c r="A3748" s="946" t="s">
        <v>28608</v>
      </c>
      <c r="B3748" s="947" t="s">
        <v>3694</v>
      </c>
      <c r="C3748" s="948" t="s">
        <v>3692</v>
      </c>
      <c r="D3748" s="242" t="s">
        <v>28713</v>
      </c>
      <c r="E3748" s="949">
        <v>803</v>
      </c>
      <c r="F3748" s="949">
        <v>803</v>
      </c>
      <c r="G3748" s="950" t="s">
        <v>16184</v>
      </c>
      <c r="H3748" s="950" t="s">
        <v>833</v>
      </c>
      <c r="I3748" s="951" t="s">
        <v>3693</v>
      </c>
      <c r="J3748" s="947" t="s">
        <v>3694</v>
      </c>
      <c r="K3748" s="143"/>
    </row>
    <row r="3749" spans="1:11">
      <c r="A3749" s="946" t="s">
        <v>28608</v>
      </c>
      <c r="B3749" s="947" t="s">
        <v>4423</v>
      </c>
      <c r="C3749" s="948" t="s">
        <v>4421</v>
      </c>
      <c r="D3749" s="242" t="s">
        <v>28713</v>
      </c>
      <c r="E3749" s="949">
        <v>803</v>
      </c>
      <c r="F3749" s="949">
        <v>803</v>
      </c>
      <c r="G3749" s="950" t="s">
        <v>16184</v>
      </c>
      <c r="H3749" s="950" t="s">
        <v>833</v>
      </c>
      <c r="I3749" s="951" t="s">
        <v>4422</v>
      </c>
      <c r="J3749" s="947" t="s">
        <v>4423</v>
      </c>
      <c r="K3749" s="143"/>
    </row>
    <row r="3750" spans="1:11">
      <c r="A3750" s="946" t="s">
        <v>28608</v>
      </c>
      <c r="B3750" s="947" t="s">
        <v>4595</v>
      </c>
      <c r="C3750" s="948" t="s">
        <v>4593</v>
      </c>
      <c r="D3750" s="242" t="s">
        <v>28713</v>
      </c>
      <c r="E3750" s="949">
        <v>803</v>
      </c>
      <c r="F3750" s="949">
        <v>803</v>
      </c>
      <c r="G3750" s="950" t="s">
        <v>16184</v>
      </c>
      <c r="H3750" s="950" t="s">
        <v>833</v>
      </c>
      <c r="I3750" s="951" t="s">
        <v>4594</v>
      </c>
      <c r="J3750" s="947" t="s">
        <v>4595</v>
      </c>
      <c r="K3750" s="143"/>
    </row>
    <row r="3751" spans="1:11">
      <c r="A3751" s="946" t="s">
        <v>28608</v>
      </c>
      <c r="B3751" s="947" t="s">
        <v>4766</v>
      </c>
      <c r="C3751" s="948" t="s">
        <v>4764</v>
      </c>
      <c r="D3751" s="242" t="s">
        <v>28713</v>
      </c>
      <c r="E3751" s="949">
        <v>803</v>
      </c>
      <c r="F3751" s="949">
        <v>803</v>
      </c>
      <c r="G3751" s="950" t="s">
        <v>16184</v>
      </c>
      <c r="H3751" s="950" t="s">
        <v>833</v>
      </c>
      <c r="I3751" s="951" t="s">
        <v>4765</v>
      </c>
      <c r="J3751" s="947" t="s">
        <v>4766</v>
      </c>
      <c r="K3751" s="143"/>
    </row>
    <row r="3752" spans="1:11">
      <c r="A3752" s="946" t="s">
        <v>28608</v>
      </c>
      <c r="B3752" s="947" t="s">
        <v>5163</v>
      </c>
      <c r="C3752" s="948" t="s">
        <v>5161</v>
      </c>
      <c r="D3752" s="242" t="s">
        <v>28713</v>
      </c>
      <c r="E3752" s="949">
        <v>803</v>
      </c>
      <c r="F3752" s="949">
        <v>803</v>
      </c>
      <c r="G3752" s="950" t="s">
        <v>16184</v>
      </c>
      <c r="H3752" s="950" t="s">
        <v>833</v>
      </c>
      <c r="I3752" s="951" t="s">
        <v>5162</v>
      </c>
      <c r="J3752" s="947" t="s">
        <v>5163</v>
      </c>
      <c r="K3752" s="143"/>
    </row>
    <row r="3753" spans="1:11">
      <c r="A3753" s="946" t="s">
        <v>28608</v>
      </c>
      <c r="B3753" s="947" t="s">
        <v>5320</v>
      </c>
      <c r="C3753" s="948" t="s">
        <v>5318</v>
      </c>
      <c r="D3753" s="242" t="s">
        <v>28713</v>
      </c>
      <c r="E3753" s="949">
        <v>803</v>
      </c>
      <c r="F3753" s="949">
        <v>803</v>
      </c>
      <c r="G3753" s="950" t="s">
        <v>16184</v>
      </c>
      <c r="H3753" s="950" t="s">
        <v>833</v>
      </c>
      <c r="I3753" s="951" t="s">
        <v>5319</v>
      </c>
      <c r="J3753" s="947" t="s">
        <v>5320</v>
      </c>
      <c r="K3753" s="143"/>
    </row>
    <row r="3754" spans="1:11">
      <c r="A3754" s="946" t="s">
        <v>28608</v>
      </c>
      <c r="B3754" s="947" t="s">
        <v>5323</v>
      </c>
      <c r="C3754" s="948" t="s">
        <v>5321</v>
      </c>
      <c r="D3754" s="242" t="s">
        <v>28713</v>
      </c>
      <c r="E3754" s="949">
        <v>803</v>
      </c>
      <c r="F3754" s="949">
        <v>803</v>
      </c>
      <c r="G3754" s="950" t="s">
        <v>16184</v>
      </c>
      <c r="H3754" s="950" t="s">
        <v>833</v>
      </c>
      <c r="I3754" s="951" t="s">
        <v>5322</v>
      </c>
      <c r="J3754" s="947" t="s">
        <v>5323</v>
      </c>
      <c r="K3754" s="143"/>
    </row>
    <row r="3755" spans="1:11">
      <c r="A3755" s="946" t="s">
        <v>28608</v>
      </c>
      <c r="B3755" s="947" t="s">
        <v>5730</v>
      </c>
      <c r="C3755" s="948" t="s">
        <v>5728</v>
      </c>
      <c r="D3755" s="242" t="s">
        <v>28713</v>
      </c>
      <c r="E3755" s="949">
        <v>803</v>
      </c>
      <c r="F3755" s="949">
        <v>803</v>
      </c>
      <c r="G3755" s="950" t="s">
        <v>16184</v>
      </c>
      <c r="H3755" s="950" t="s">
        <v>833</v>
      </c>
      <c r="I3755" s="951" t="s">
        <v>5729</v>
      </c>
      <c r="J3755" s="947" t="s">
        <v>5730</v>
      </c>
      <c r="K3755" s="143"/>
    </row>
    <row r="3756" spans="1:11">
      <c r="A3756" s="946" t="s">
        <v>28608</v>
      </c>
      <c r="B3756" s="947" t="s">
        <v>3972</v>
      </c>
      <c r="C3756" s="948" t="s">
        <v>3970</v>
      </c>
      <c r="D3756" s="242" t="s">
        <v>28713</v>
      </c>
      <c r="E3756" s="949">
        <v>803</v>
      </c>
      <c r="F3756" s="949">
        <v>803</v>
      </c>
      <c r="G3756" s="950" t="s">
        <v>16184</v>
      </c>
      <c r="H3756" s="950" t="s">
        <v>833</v>
      </c>
      <c r="I3756" s="951" t="s">
        <v>3971</v>
      </c>
      <c r="J3756" s="947" t="s">
        <v>3972</v>
      </c>
      <c r="K3756" s="143"/>
    </row>
    <row r="3757" spans="1:11">
      <c r="A3757" s="946" t="s">
        <v>28608</v>
      </c>
      <c r="B3757" s="947" t="s">
        <v>7126</v>
      </c>
      <c r="C3757" s="948" t="s">
        <v>7124</v>
      </c>
      <c r="D3757" s="242" t="s">
        <v>28713</v>
      </c>
      <c r="E3757" s="949">
        <v>803</v>
      </c>
      <c r="F3757" s="949">
        <v>803</v>
      </c>
      <c r="G3757" s="950" t="s">
        <v>16184</v>
      </c>
      <c r="H3757" s="950" t="s">
        <v>833</v>
      </c>
      <c r="I3757" s="951" t="s">
        <v>7125</v>
      </c>
      <c r="J3757" s="947" t="s">
        <v>7126</v>
      </c>
      <c r="K3757" s="143"/>
    </row>
    <row r="3758" spans="1:11">
      <c r="A3758" s="946" t="s">
        <v>28608</v>
      </c>
      <c r="B3758" s="947" t="s">
        <v>7936</v>
      </c>
      <c r="C3758" s="948" t="s">
        <v>7934</v>
      </c>
      <c r="D3758" s="242" t="s">
        <v>28713</v>
      </c>
      <c r="E3758" s="949">
        <v>803</v>
      </c>
      <c r="F3758" s="949">
        <v>803</v>
      </c>
      <c r="G3758" s="950" t="s">
        <v>16184</v>
      </c>
      <c r="H3758" s="950" t="s">
        <v>833</v>
      </c>
      <c r="I3758" s="951" t="s">
        <v>7935</v>
      </c>
      <c r="J3758" s="947" t="s">
        <v>7936</v>
      </c>
      <c r="K3758" s="143"/>
    </row>
    <row r="3759" spans="1:11">
      <c r="A3759" s="946" t="s">
        <v>28608</v>
      </c>
      <c r="B3759" s="947" t="s">
        <v>9020</v>
      </c>
      <c r="C3759" s="948" t="s">
        <v>9018</v>
      </c>
      <c r="D3759" s="242" t="s">
        <v>28713</v>
      </c>
      <c r="E3759" s="949">
        <v>803</v>
      </c>
      <c r="F3759" s="949">
        <v>803</v>
      </c>
      <c r="G3759" s="950" t="s">
        <v>16184</v>
      </c>
      <c r="H3759" s="950" t="s">
        <v>833</v>
      </c>
      <c r="I3759" s="951" t="s">
        <v>9019</v>
      </c>
      <c r="J3759" s="947" t="s">
        <v>9020</v>
      </c>
      <c r="K3759" s="143"/>
    </row>
    <row r="3760" spans="1:11">
      <c r="A3760" s="946" t="s">
        <v>28608</v>
      </c>
      <c r="B3760" s="947" t="s">
        <v>9671</v>
      </c>
      <c r="C3760" s="948" t="s">
        <v>9669</v>
      </c>
      <c r="D3760" s="242" t="s">
        <v>28713</v>
      </c>
      <c r="E3760" s="949">
        <v>803</v>
      </c>
      <c r="F3760" s="949">
        <v>803</v>
      </c>
      <c r="G3760" s="950" t="s">
        <v>16184</v>
      </c>
      <c r="H3760" s="950" t="s">
        <v>833</v>
      </c>
      <c r="I3760" s="951" t="s">
        <v>9670</v>
      </c>
      <c r="J3760" s="947" t="s">
        <v>9671</v>
      </c>
      <c r="K3760" s="143"/>
    </row>
    <row r="3761" spans="1:11">
      <c r="A3761" s="946" t="s">
        <v>28608</v>
      </c>
      <c r="B3761" s="947" t="s">
        <v>9727</v>
      </c>
      <c r="C3761" s="948" t="s">
        <v>9725</v>
      </c>
      <c r="D3761" s="242" t="s">
        <v>28713</v>
      </c>
      <c r="E3761" s="949">
        <v>803</v>
      </c>
      <c r="F3761" s="949">
        <v>803</v>
      </c>
      <c r="G3761" s="950" t="s">
        <v>16184</v>
      </c>
      <c r="H3761" s="950" t="s">
        <v>833</v>
      </c>
      <c r="I3761" s="951" t="s">
        <v>9726</v>
      </c>
      <c r="J3761" s="947" t="s">
        <v>9727</v>
      </c>
      <c r="K3761" s="143"/>
    </row>
    <row r="3762" spans="1:11">
      <c r="A3762" s="946" t="s">
        <v>28608</v>
      </c>
      <c r="B3762" s="947" t="s">
        <v>10796</v>
      </c>
      <c r="C3762" s="948" t="s">
        <v>10794</v>
      </c>
      <c r="D3762" s="242" t="s">
        <v>28713</v>
      </c>
      <c r="E3762" s="949">
        <v>803</v>
      </c>
      <c r="F3762" s="949">
        <v>803</v>
      </c>
      <c r="G3762" s="950" t="s">
        <v>16184</v>
      </c>
      <c r="H3762" s="950" t="s">
        <v>833</v>
      </c>
      <c r="I3762" s="951" t="s">
        <v>10795</v>
      </c>
      <c r="J3762" s="947" t="s">
        <v>10796</v>
      </c>
      <c r="K3762" s="143"/>
    </row>
    <row r="3763" spans="1:11">
      <c r="A3763" s="946" t="s">
        <v>28608</v>
      </c>
      <c r="B3763" s="947" t="s">
        <v>12413</v>
      </c>
      <c r="C3763" s="948" t="s">
        <v>12411</v>
      </c>
      <c r="D3763" s="242" t="s">
        <v>28713</v>
      </c>
      <c r="E3763" s="949">
        <v>803</v>
      </c>
      <c r="F3763" s="949">
        <v>803</v>
      </c>
      <c r="G3763" s="950" t="s">
        <v>16184</v>
      </c>
      <c r="H3763" s="950" t="s">
        <v>833</v>
      </c>
      <c r="I3763" s="951" t="s">
        <v>12412</v>
      </c>
      <c r="J3763" s="947" t="s">
        <v>12413</v>
      </c>
      <c r="K3763" s="143"/>
    </row>
    <row r="3764" spans="1:11">
      <c r="A3764" s="946" t="s">
        <v>28608</v>
      </c>
      <c r="B3764" s="947" t="s">
        <v>13421</v>
      </c>
      <c r="C3764" s="948" t="s">
        <v>13419</v>
      </c>
      <c r="D3764" s="242" t="s">
        <v>28713</v>
      </c>
      <c r="E3764" s="949">
        <v>803</v>
      </c>
      <c r="F3764" s="949">
        <v>803</v>
      </c>
      <c r="G3764" s="950" t="s">
        <v>16184</v>
      </c>
      <c r="H3764" s="950" t="s">
        <v>833</v>
      </c>
      <c r="I3764" s="951" t="s">
        <v>13420</v>
      </c>
      <c r="J3764" s="947" t="s">
        <v>13421</v>
      </c>
      <c r="K3764" s="143"/>
    </row>
    <row r="3765" spans="1:11">
      <c r="A3765" s="946" t="s">
        <v>28608</v>
      </c>
      <c r="B3765" s="947" t="s">
        <v>15653</v>
      </c>
      <c r="C3765" s="948" t="s">
        <v>15651</v>
      </c>
      <c r="D3765" s="242" t="s">
        <v>28713</v>
      </c>
      <c r="E3765" s="949">
        <v>803</v>
      </c>
      <c r="F3765" s="949">
        <v>803</v>
      </c>
      <c r="G3765" s="950" t="s">
        <v>16184</v>
      </c>
      <c r="H3765" s="950" t="s">
        <v>833</v>
      </c>
      <c r="I3765" s="951" t="s">
        <v>15652</v>
      </c>
      <c r="J3765" s="947" t="s">
        <v>15653</v>
      </c>
      <c r="K3765" s="143"/>
    </row>
    <row r="3766" spans="1:11">
      <c r="A3766" s="946" t="s">
        <v>28608</v>
      </c>
      <c r="B3766" s="947" t="s">
        <v>15992</v>
      </c>
      <c r="C3766" s="948" t="s">
        <v>15990</v>
      </c>
      <c r="D3766" s="242" t="s">
        <v>28713</v>
      </c>
      <c r="E3766" s="949">
        <v>803</v>
      </c>
      <c r="F3766" s="949">
        <v>803</v>
      </c>
      <c r="G3766" s="950" t="s">
        <v>16184</v>
      </c>
      <c r="H3766" s="950" t="s">
        <v>833</v>
      </c>
      <c r="I3766" s="951" t="s">
        <v>15991</v>
      </c>
      <c r="J3766" s="947" t="s">
        <v>15992</v>
      </c>
      <c r="K3766" s="143"/>
    </row>
    <row r="3767" spans="1:11">
      <c r="A3767" s="946" t="s">
        <v>28608</v>
      </c>
      <c r="B3767" s="947" t="s">
        <v>16187</v>
      </c>
      <c r="C3767" s="948" t="s">
        <v>16185</v>
      </c>
      <c r="D3767" s="242" t="s">
        <v>28713</v>
      </c>
      <c r="E3767" s="949">
        <v>803</v>
      </c>
      <c r="F3767" s="949">
        <v>803</v>
      </c>
      <c r="G3767" s="950" t="s">
        <v>16184</v>
      </c>
      <c r="H3767" s="950" t="s">
        <v>833</v>
      </c>
      <c r="I3767" s="951" t="s">
        <v>16186</v>
      </c>
      <c r="J3767" s="947" t="s">
        <v>16187</v>
      </c>
      <c r="K3767" s="143"/>
    </row>
    <row r="3768" spans="1:11">
      <c r="A3768" s="946" t="s">
        <v>28608</v>
      </c>
      <c r="B3768" s="947" t="s">
        <v>16184</v>
      </c>
      <c r="C3768" s="948" t="s">
        <v>16182</v>
      </c>
      <c r="D3768" s="242" t="s">
        <v>28713</v>
      </c>
      <c r="E3768" s="949">
        <v>803</v>
      </c>
      <c r="F3768" s="949">
        <v>803</v>
      </c>
      <c r="G3768" s="950" t="s">
        <v>16184</v>
      </c>
      <c r="H3768" s="950" t="s">
        <v>833</v>
      </c>
      <c r="I3768" s="951" t="s">
        <v>16183</v>
      </c>
      <c r="J3768" s="947" t="s">
        <v>16184</v>
      </c>
      <c r="K3768" s="143"/>
    </row>
    <row r="3769" spans="1:11">
      <c r="A3769" s="946" t="s">
        <v>28608</v>
      </c>
      <c r="B3769" s="947" t="s">
        <v>16322</v>
      </c>
      <c r="C3769" s="948" t="s">
        <v>16320</v>
      </c>
      <c r="D3769" s="242" t="s">
        <v>28713</v>
      </c>
      <c r="E3769" s="949">
        <v>803</v>
      </c>
      <c r="F3769" s="949">
        <v>803</v>
      </c>
      <c r="G3769" s="950" t="s">
        <v>16184</v>
      </c>
      <c r="H3769" s="950" t="s">
        <v>833</v>
      </c>
      <c r="I3769" s="951" t="s">
        <v>16321</v>
      </c>
      <c r="J3769" s="947" t="s">
        <v>16322</v>
      </c>
      <c r="K3769" s="143"/>
    </row>
    <row r="3770" spans="1:11">
      <c r="A3770" s="946" t="s">
        <v>28608</v>
      </c>
      <c r="B3770" s="947" t="s">
        <v>16809</v>
      </c>
      <c r="C3770" s="948" t="s">
        <v>16807</v>
      </c>
      <c r="D3770" s="242" t="s">
        <v>28713</v>
      </c>
      <c r="E3770" s="949">
        <v>803</v>
      </c>
      <c r="F3770" s="949">
        <v>803</v>
      </c>
      <c r="G3770" s="950" t="s">
        <v>16184</v>
      </c>
      <c r="H3770" s="950" t="s">
        <v>833</v>
      </c>
      <c r="I3770" s="951" t="s">
        <v>16808</v>
      </c>
      <c r="J3770" s="947" t="s">
        <v>16809</v>
      </c>
      <c r="K3770" s="143"/>
    </row>
    <row r="3771" spans="1:11">
      <c r="A3771" s="946" t="s">
        <v>28608</v>
      </c>
      <c r="B3771" s="947" t="s">
        <v>17087</v>
      </c>
      <c r="C3771" s="948" t="s">
        <v>17085</v>
      </c>
      <c r="D3771" s="242" t="s">
        <v>28713</v>
      </c>
      <c r="E3771" s="949">
        <v>803</v>
      </c>
      <c r="F3771" s="949">
        <v>803</v>
      </c>
      <c r="G3771" s="950" t="s">
        <v>16184</v>
      </c>
      <c r="H3771" s="950" t="s">
        <v>833</v>
      </c>
      <c r="I3771" s="951" t="s">
        <v>17086</v>
      </c>
      <c r="J3771" s="947" t="s">
        <v>17087</v>
      </c>
      <c r="K3771" s="143"/>
    </row>
    <row r="3772" spans="1:11">
      <c r="A3772" s="946" t="s">
        <v>28608</v>
      </c>
      <c r="B3772" s="947" t="s">
        <v>17915</v>
      </c>
      <c r="C3772" s="948" t="s">
        <v>17913</v>
      </c>
      <c r="D3772" s="242" t="s">
        <v>28713</v>
      </c>
      <c r="E3772" s="949">
        <v>803</v>
      </c>
      <c r="F3772" s="949">
        <v>803</v>
      </c>
      <c r="G3772" s="950" t="s">
        <v>16184</v>
      </c>
      <c r="H3772" s="950" t="s">
        <v>833</v>
      </c>
      <c r="I3772" s="951" t="s">
        <v>17914</v>
      </c>
      <c r="J3772" s="947" t="s">
        <v>17915</v>
      </c>
      <c r="K3772" s="143"/>
    </row>
    <row r="3773" spans="1:11">
      <c r="A3773" s="946" t="s">
        <v>28608</v>
      </c>
      <c r="B3773" s="947" t="s">
        <v>18141</v>
      </c>
      <c r="C3773" s="948" t="s">
        <v>18139</v>
      </c>
      <c r="D3773" s="242" t="s">
        <v>28713</v>
      </c>
      <c r="E3773" s="949">
        <v>803</v>
      </c>
      <c r="F3773" s="949">
        <v>803</v>
      </c>
      <c r="G3773" s="950" t="s">
        <v>16184</v>
      </c>
      <c r="H3773" s="950" t="s">
        <v>833</v>
      </c>
      <c r="I3773" s="951" t="s">
        <v>18140</v>
      </c>
      <c r="J3773" s="947" t="s">
        <v>18141</v>
      </c>
      <c r="K3773" s="143"/>
    </row>
    <row r="3774" spans="1:11">
      <c r="A3774" s="946" t="s">
        <v>28608</v>
      </c>
      <c r="B3774" s="947" t="s">
        <v>18747</v>
      </c>
      <c r="C3774" s="948" t="s">
        <v>18745</v>
      </c>
      <c r="D3774" s="242" t="s">
        <v>28713</v>
      </c>
      <c r="E3774" s="949">
        <v>803</v>
      </c>
      <c r="F3774" s="949">
        <v>803</v>
      </c>
      <c r="G3774" s="950" t="s">
        <v>16184</v>
      </c>
      <c r="H3774" s="950" t="s">
        <v>833</v>
      </c>
      <c r="I3774" s="951" t="s">
        <v>18746</v>
      </c>
      <c r="J3774" s="947" t="s">
        <v>18747</v>
      </c>
      <c r="K3774" s="143"/>
    </row>
    <row r="3775" spans="1:11">
      <c r="A3775" s="946" t="s">
        <v>28608</v>
      </c>
      <c r="B3775" s="947" t="s">
        <v>19022</v>
      </c>
      <c r="C3775" s="948" t="s">
        <v>19020</v>
      </c>
      <c r="D3775" s="242" t="s">
        <v>28713</v>
      </c>
      <c r="E3775" s="949">
        <v>803</v>
      </c>
      <c r="F3775" s="949">
        <v>803</v>
      </c>
      <c r="G3775" s="950" t="s">
        <v>16184</v>
      </c>
      <c r="H3775" s="950" t="s">
        <v>833</v>
      </c>
      <c r="I3775" s="951" t="s">
        <v>19021</v>
      </c>
      <c r="J3775" s="947" t="s">
        <v>19022</v>
      </c>
      <c r="K3775" s="143"/>
    </row>
    <row r="3776" spans="1:11">
      <c r="A3776" s="946" t="s">
        <v>28608</v>
      </c>
      <c r="B3776" s="947" t="s">
        <v>20497</v>
      </c>
      <c r="C3776" s="948" t="s">
        <v>20495</v>
      </c>
      <c r="D3776" s="242" t="s">
        <v>28713</v>
      </c>
      <c r="E3776" s="949">
        <v>803</v>
      </c>
      <c r="F3776" s="949">
        <v>803</v>
      </c>
      <c r="G3776" s="950" t="s">
        <v>16184</v>
      </c>
      <c r="H3776" s="950" t="s">
        <v>833</v>
      </c>
      <c r="I3776" s="951" t="s">
        <v>20496</v>
      </c>
      <c r="J3776" s="947" t="s">
        <v>20497</v>
      </c>
      <c r="K3776" s="143"/>
    </row>
    <row r="3777" spans="1:11">
      <c r="A3777" s="946" t="s">
        <v>28608</v>
      </c>
      <c r="B3777" s="947" t="s">
        <v>21866</v>
      </c>
      <c r="C3777" s="948" t="s">
        <v>21864</v>
      </c>
      <c r="D3777" s="242" t="s">
        <v>28713</v>
      </c>
      <c r="E3777" s="949">
        <v>803</v>
      </c>
      <c r="F3777" s="949">
        <v>803</v>
      </c>
      <c r="G3777" s="950" t="s">
        <v>16184</v>
      </c>
      <c r="H3777" s="950" t="s">
        <v>833</v>
      </c>
      <c r="I3777" s="951" t="s">
        <v>21865</v>
      </c>
      <c r="J3777" s="947" t="s">
        <v>21866</v>
      </c>
      <c r="K3777" s="143"/>
    </row>
    <row r="3778" spans="1:11">
      <c r="A3778" s="946" t="s">
        <v>28608</v>
      </c>
      <c r="B3778" s="947" t="s">
        <v>21878</v>
      </c>
      <c r="C3778" s="948" t="s">
        <v>21876</v>
      </c>
      <c r="D3778" s="242" t="s">
        <v>28713</v>
      </c>
      <c r="E3778" s="949">
        <v>803</v>
      </c>
      <c r="F3778" s="949">
        <v>803</v>
      </c>
      <c r="G3778" s="950" t="s">
        <v>16184</v>
      </c>
      <c r="H3778" s="950" t="s">
        <v>833</v>
      </c>
      <c r="I3778" s="951" t="s">
        <v>21877</v>
      </c>
      <c r="J3778" s="947" t="s">
        <v>21878</v>
      </c>
      <c r="K3778" s="143"/>
    </row>
    <row r="3779" spans="1:11">
      <c r="A3779" s="946" t="s">
        <v>28608</v>
      </c>
      <c r="B3779" s="947" t="s">
        <v>21899</v>
      </c>
      <c r="C3779" s="948" t="s">
        <v>21897</v>
      </c>
      <c r="D3779" s="242" t="s">
        <v>28713</v>
      </c>
      <c r="E3779" s="949">
        <v>803</v>
      </c>
      <c r="F3779" s="949">
        <v>803</v>
      </c>
      <c r="G3779" s="950" t="s">
        <v>16184</v>
      </c>
      <c r="H3779" s="950" t="s">
        <v>833</v>
      </c>
      <c r="I3779" s="951" t="s">
        <v>21898</v>
      </c>
      <c r="J3779" s="947" t="s">
        <v>21899</v>
      </c>
      <c r="K3779" s="143"/>
    </row>
    <row r="3780" spans="1:11">
      <c r="A3780" s="946" t="s">
        <v>28608</v>
      </c>
      <c r="B3780" s="947" t="s">
        <v>22115</v>
      </c>
      <c r="C3780" s="948" t="s">
        <v>22113</v>
      </c>
      <c r="D3780" s="242" t="s">
        <v>28713</v>
      </c>
      <c r="E3780" s="949">
        <v>803</v>
      </c>
      <c r="F3780" s="949">
        <v>803</v>
      </c>
      <c r="G3780" s="950" t="s">
        <v>16184</v>
      </c>
      <c r="H3780" s="950" t="s">
        <v>833</v>
      </c>
      <c r="I3780" s="951" t="s">
        <v>22114</v>
      </c>
      <c r="J3780" s="947" t="s">
        <v>22115</v>
      </c>
      <c r="K3780" s="143"/>
    </row>
    <row r="3781" spans="1:11">
      <c r="A3781" s="946" t="s">
        <v>28608</v>
      </c>
      <c r="B3781" s="947" t="s">
        <v>26140</v>
      </c>
      <c r="C3781" s="948" t="s">
        <v>26141</v>
      </c>
      <c r="D3781" s="242" t="s">
        <v>28713</v>
      </c>
      <c r="E3781" s="949">
        <v>803</v>
      </c>
      <c r="F3781" s="949">
        <v>803</v>
      </c>
      <c r="G3781" s="950" t="s">
        <v>16184</v>
      </c>
      <c r="H3781" s="950" t="s">
        <v>833</v>
      </c>
      <c r="I3781" s="951" t="s">
        <v>26142</v>
      </c>
      <c r="J3781" s="947" t="s">
        <v>26140</v>
      </c>
      <c r="K3781" s="143"/>
    </row>
    <row r="3782" spans="1:11">
      <c r="A3782" s="946" t="s">
        <v>28608</v>
      </c>
      <c r="B3782" s="947" t="s">
        <v>2103</v>
      </c>
      <c r="C3782" s="948" t="s">
        <v>2100</v>
      </c>
      <c r="D3782" s="242" t="s">
        <v>28713</v>
      </c>
      <c r="E3782" s="949">
        <v>804</v>
      </c>
      <c r="F3782" s="949">
        <v>804</v>
      </c>
      <c r="G3782" s="950" t="s">
        <v>11871</v>
      </c>
      <c r="H3782" s="950" t="s">
        <v>2101</v>
      </c>
      <c r="I3782" s="951" t="s">
        <v>2102</v>
      </c>
      <c r="J3782" s="947" t="s">
        <v>2103</v>
      </c>
      <c r="K3782" s="143"/>
    </row>
    <row r="3783" spans="1:11">
      <c r="A3783" s="946" t="s">
        <v>28608</v>
      </c>
      <c r="B3783" s="947" t="s">
        <v>2620</v>
      </c>
      <c r="C3783" s="948" t="s">
        <v>2618</v>
      </c>
      <c r="D3783" s="242" t="s">
        <v>28713</v>
      </c>
      <c r="E3783" s="949">
        <v>804</v>
      </c>
      <c r="F3783" s="949">
        <v>804</v>
      </c>
      <c r="G3783" s="950" t="s">
        <v>11871</v>
      </c>
      <c r="H3783" s="950" t="s">
        <v>2101</v>
      </c>
      <c r="I3783" s="951" t="s">
        <v>2619</v>
      </c>
      <c r="J3783" s="947" t="s">
        <v>2620</v>
      </c>
      <c r="K3783" s="143"/>
    </row>
    <row r="3784" spans="1:11">
      <c r="A3784" s="946" t="s">
        <v>28608</v>
      </c>
      <c r="B3784" s="947" t="s">
        <v>3791</v>
      </c>
      <c r="C3784" s="948" t="s">
        <v>3789</v>
      </c>
      <c r="D3784" s="242" t="s">
        <v>28713</v>
      </c>
      <c r="E3784" s="949">
        <v>804</v>
      </c>
      <c r="F3784" s="949">
        <v>804</v>
      </c>
      <c r="G3784" s="950" t="s">
        <v>11871</v>
      </c>
      <c r="H3784" s="950" t="s">
        <v>2101</v>
      </c>
      <c r="I3784" s="951" t="s">
        <v>3790</v>
      </c>
      <c r="J3784" s="947" t="s">
        <v>3791</v>
      </c>
      <c r="K3784" s="143"/>
    </row>
    <row r="3785" spans="1:11">
      <c r="A3785" s="946" t="s">
        <v>28608</v>
      </c>
      <c r="B3785" s="947" t="s">
        <v>3848</v>
      </c>
      <c r="C3785" s="948" t="s">
        <v>3846</v>
      </c>
      <c r="D3785" s="242" t="s">
        <v>28713</v>
      </c>
      <c r="E3785" s="949">
        <v>804</v>
      </c>
      <c r="F3785" s="949">
        <v>804</v>
      </c>
      <c r="G3785" s="950" t="s">
        <v>11871</v>
      </c>
      <c r="H3785" s="950" t="s">
        <v>2101</v>
      </c>
      <c r="I3785" s="951" t="s">
        <v>3847</v>
      </c>
      <c r="J3785" s="947" t="s">
        <v>3848</v>
      </c>
      <c r="K3785" s="143"/>
    </row>
    <row r="3786" spans="1:11">
      <c r="A3786" s="946" t="s">
        <v>28608</v>
      </c>
      <c r="B3786" s="947" t="s">
        <v>4411</v>
      </c>
      <c r="C3786" s="948" t="s">
        <v>4409</v>
      </c>
      <c r="D3786" s="242" t="s">
        <v>28713</v>
      </c>
      <c r="E3786" s="949">
        <v>804</v>
      </c>
      <c r="F3786" s="949">
        <v>804</v>
      </c>
      <c r="G3786" s="950" t="s">
        <v>11871</v>
      </c>
      <c r="H3786" s="950" t="s">
        <v>2101</v>
      </c>
      <c r="I3786" s="951" t="s">
        <v>4410</v>
      </c>
      <c r="J3786" s="947" t="s">
        <v>4411</v>
      </c>
      <c r="K3786" s="143"/>
    </row>
    <row r="3787" spans="1:11">
      <c r="A3787" s="946" t="s">
        <v>28608</v>
      </c>
      <c r="B3787" s="947" t="s">
        <v>5105</v>
      </c>
      <c r="C3787" s="948" t="s">
        <v>5103</v>
      </c>
      <c r="D3787" s="242" t="s">
        <v>28713</v>
      </c>
      <c r="E3787" s="949">
        <v>804</v>
      </c>
      <c r="F3787" s="949">
        <v>804</v>
      </c>
      <c r="G3787" s="950" t="s">
        <v>11871</v>
      </c>
      <c r="H3787" s="950" t="s">
        <v>2101</v>
      </c>
      <c r="I3787" s="951" t="s">
        <v>5104</v>
      </c>
      <c r="J3787" s="947" t="s">
        <v>5105</v>
      </c>
      <c r="K3787" s="143"/>
    </row>
    <row r="3788" spans="1:11">
      <c r="A3788" s="946" t="s">
        <v>28608</v>
      </c>
      <c r="B3788" s="947" t="s">
        <v>5386</v>
      </c>
      <c r="C3788" s="948" t="s">
        <v>5384</v>
      </c>
      <c r="D3788" s="242" t="s">
        <v>28713</v>
      </c>
      <c r="E3788" s="949">
        <v>804</v>
      </c>
      <c r="F3788" s="949">
        <v>804</v>
      </c>
      <c r="G3788" s="950" t="s">
        <v>11871</v>
      </c>
      <c r="H3788" s="950" t="s">
        <v>2101</v>
      </c>
      <c r="I3788" s="951" t="s">
        <v>5385</v>
      </c>
      <c r="J3788" s="947" t="s">
        <v>5386</v>
      </c>
      <c r="K3788" s="143"/>
    </row>
    <row r="3789" spans="1:11">
      <c r="A3789" s="946" t="s">
        <v>28608</v>
      </c>
      <c r="B3789" s="947" t="s">
        <v>5460</v>
      </c>
      <c r="C3789" s="948" t="s">
        <v>5458</v>
      </c>
      <c r="D3789" s="242" t="s">
        <v>28713</v>
      </c>
      <c r="E3789" s="949">
        <v>804</v>
      </c>
      <c r="F3789" s="949">
        <v>804</v>
      </c>
      <c r="G3789" s="950" t="s">
        <v>11871</v>
      </c>
      <c r="H3789" s="950" t="s">
        <v>2101</v>
      </c>
      <c r="I3789" s="951" t="s">
        <v>5459</v>
      </c>
      <c r="J3789" s="947" t="s">
        <v>5460</v>
      </c>
      <c r="K3789" s="143"/>
    </row>
    <row r="3790" spans="1:11">
      <c r="A3790" s="946" t="s">
        <v>28608</v>
      </c>
      <c r="B3790" s="947" t="s">
        <v>5721</v>
      </c>
      <c r="C3790" s="948" t="s">
        <v>5719</v>
      </c>
      <c r="D3790" s="242" t="s">
        <v>28713</v>
      </c>
      <c r="E3790" s="949">
        <v>804</v>
      </c>
      <c r="F3790" s="949">
        <v>804</v>
      </c>
      <c r="G3790" s="950" t="s">
        <v>11871</v>
      </c>
      <c r="H3790" s="950" t="s">
        <v>2101</v>
      </c>
      <c r="I3790" s="951" t="s">
        <v>5720</v>
      </c>
      <c r="J3790" s="947" t="s">
        <v>5721</v>
      </c>
      <c r="K3790" s="143"/>
    </row>
    <row r="3791" spans="1:11">
      <c r="A3791" s="946" t="s">
        <v>28608</v>
      </c>
      <c r="B3791" s="947" t="s">
        <v>6947</v>
      </c>
      <c r="C3791" s="948" t="s">
        <v>6945</v>
      </c>
      <c r="D3791" s="242" t="s">
        <v>28713</v>
      </c>
      <c r="E3791" s="949">
        <v>804</v>
      </c>
      <c r="F3791" s="949">
        <v>804</v>
      </c>
      <c r="G3791" s="950" t="s">
        <v>11871</v>
      </c>
      <c r="H3791" s="950" t="s">
        <v>2101</v>
      </c>
      <c r="I3791" s="951" t="s">
        <v>6946</v>
      </c>
      <c r="J3791" s="947" t="s">
        <v>6947</v>
      </c>
      <c r="K3791" s="143"/>
    </row>
    <row r="3792" spans="1:11">
      <c r="A3792" s="946" t="s">
        <v>28608</v>
      </c>
      <c r="B3792" s="947" t="s">
        <v>8019</v>
      </c>
      <c r="C3792" s="948" t="s">
        <v>8017</v>
      </c>
      <c r="D3792" s="242" t="s">
        <v>28713</v>
      </c>
      <c r="E3792" s="949">
        <v>804</v>
      </c>
      <c r="F3792" s="949">
        <v>804</v>
      </c>
      <c r="G3792" s="950" t="s">
        <v>11871</v>
      </c>
      <c r="H3792" s="950" t="s">
        <v>2101</v>
      </c>
      <c r="I3792" s="951" t="s">
        <v>8018</v>
      </c>
      <c r="J3792" s="947" t="s">
        <v>8019</v>
      </c>
      <c r="K3792" s="143"/>
    </row>
    <row r="3793" spans="1:11">
      <c r="A3793" s="946" t="s">
        <v>28608</v>
      </c>
      <c r="B3793" s="947" t="s">
        <v>8262</v>
      </c>
      <c r="C3793" s="948" t="s">
        <v>8260</v>
      </c>
      <c r="D3793" s="242" t="s">
        <v>28713</v>
      </c>
      <c r="E3793" s="949">
        <v>804</v>
      </c>
      <c r="F3793" s="949">
        <v>804</v>
      </c>
      <c r="G3793" s="950" t="s">
        <v>11871</v>
      </c>
      <c r="H3793" s="950" t="s">
        <v>2101</v>
      </c>
      <c r="I3793" s="951" t="s">
        <v>8261</v>
      </c>
      <c r="J3793" s="947" t="s">
        <v>8262</v>
      </c>
      <c r="K3793" s="143"/>
    </row>
    <row r="3794" spans="1:11">
      <c r="A3794" s="946" t="s">
        <v>28608</v>
      </c>
      <c r="B3794" s="947" t="s">
        <v>8280</v>
      </c>
      <c r="C3794" s="948" t="s">
        <v>8278</v>
      </c>
      <c r="D3794" s="242" t="s">
        <v>28713</v>
      </c>
      <c r="E3794" s="949">
        <v>804</v>
      </c>
      <c r="F3794" s="949">
        <v>804</v>
      </c>
      <c r="G3794" s="950" t="s">
        <v>11871</v>
      </c>
      <c r="H3794" s="950" t="s">
        <v>2101</v>
      </c>
      <c r="I3794" s="951" t="s">
        <v>8279</v>
      </c>
      <c r="J3794" s="947" t="s">
        <v>8280</v>
      </c>
      <c r="K3794" s="143"/>
    </row>
    <row r="3795" spans="1:11">
      <c r="A3795" s="946" t="s">
        <v>28608</v>
      </c>
      <c r="B3795" s="947" t="s">
        <v>8298</v>
      </c>
      <c r="C3795" s="948" t="s">
        <v>8296</v>
      </c>
      <c r="D3795" s="242" t="s">
        <v>28713</v>
      </c>
      <c r="E3795" s="949">
        <v>804</v>
      </c>
      <c r="F3795" s="949">
        <v>804</v>
      </c>
      <c r="G3795" s="950" t="s">
        <v>11871</v>
      </c>
      <c r="H3795" s="950" t="s">
        <v>2101</v>
      </c>
      <c r="I3795" s="951" t="s">
        <v>8297</v>
      </c>
      <c r="J3795" s="947" t="s">
        <v>8298</v>
      </c>
      <c r="K3795" s="143"/>
    </row>
    <row r="3796" spans="1:11">
      <c r="A3796" s="946" t="s">
        <v>28608</v>
      </c>
      <c r="B3796" s="947" t="s">
        <v>8511</v>
      </c>
      <c r="C3796" s="948" t="s">
        <v>8509</v>
      </c>
      <c r="D3796" s="242" t="s">
        <v>28713</v>
      </c>
      <c r="E3796" s="949">
        <v>804</v>
      </c>
      <c r="F3796" s="949">
        <v>804</v>
      </c>
      <c r="G3796" s="950" t="s">
        <v>11871</v>
      </c>
      <c r="H3796" s="950" t="s">
        <v>2101</v>
      </c>
      <c r="I3796" s="951" t="s">
        <v>8510</v>
      </c>
      <c r="J3796" s="947" t="s">
        <v>8511</v>
      </c>
      <c r="K3796" s="143"/>
    </row>
    <row r="3797" spans="1:11">
      <c r="A3797" s="946" t="s">
        <v>28608</v>
      </c>
      <c r="B3797" s="947" t="s">
        <v>8674</v>
      </c>
      <c r="C3797" s="948" t="s">
        <v>8672</v>
      </c>
      <c r="D3797" s="242" t="s">
        <v>28713</v>
      </c>
      <c r="E3797" s="949">
        <v>804</v>
      </c>
      <c r="F3797" s="949">
        <v>804</v>
      </c>
      <c r="G3797" s="950" t="s">
        <v>11871</v>
      </c>
      <c r="H3797" s="950" t="s">
        <v>2101</v>
      </c>
      <c r="I3797" s="951" t="s">
        <v>8673</v>
      </c>
      <c r="J3797" s="947" t="s">
        <v>8674</v>
      </c>
      <c r="K3797" s="143"/>
    </row>
    <row r="3798" spans="1:11">
      <c r="A3798" s="946" t="s">
        <v>28608</v>
      </c>
      <c r="B3798" s="947" t="s">
        <v>9748</v>
      </c>
      <c r="C3798" s="948" t="s">
        <v>9746</v>
      </c>
      <c r="D3798" s="242" t="s">
        <v>28713</v>
      </c>
      <c r="E3798" s="949">
        <v>804</v>
      </c>
      <c r="F3798" s="949">
        <v>804</v>
      </c>
      <c r="G3798" s="950" t="s">
        <v>11871</v>
      </c>
      <c r="H3798" s="950" t="s">
        <v>2101</v>
      </c>
      <c r="I3798" s="951" t="s">
        <v>9747</v>
      </c>
      <c r="J3798" s="947" t="s">
        <v>9748</v>
      </c>
      <c r="K3798" s="143"/>
    </row>
    <row r="3799" spans="1:11">
      <c r="A3799" s="946" t="s">
        <v>28608</v>
      </c>
      <c r="B3799" s="947" t="s">
        <v>10090</v>
      </c>
      <c r="C3799" s="948" t="s">
        <v>10088</v>
      </c>
      <c r="D3799" s="242" t="s">
        <v>28713</v>
      </c>
      <c r="E3799" s="949">
        <v>804</v>
      </c>
      <c r="F3799" s="949">
        <v>804</v>
      </c>
      <c r="G3799" s="950" t="s">
        <v>11871</v>
      </c>
      <c r="H3799" s="950" t="s">
        <v>2101</v>
      </c>
      <c r="I3799" s="951" t="s">
        <v>10089</v>
      </c>
      <c r="J3799" s="947" t="s">
        <v>10090</v>
      </c>
      <c r="K3799" s="143"/>
    </row>
    <row r="3800" spans="1:11">
      <c r="A3800" s="946" t="s">
        <v>28608</v>
      </c>
      <c r="B3800" s="947" t="s">
        <v>11095</v>
      </c>
      <c r="C3800" s="948" t="s">
        <v>11093</v>
      </c>
      <c r="D3800" s="242" t="s">
        <v>28713</v>
      </c>
      <c r="E3800" s="949">
        <v>804</v>
      </c>
      <c r="F3800" s="949">
        <v>804</v>
      </c>
      <c r="G3800" s="950" t="s">
        <v>11871</v>
      </c>
      <c r="H3800" s="950" t="s">
        <v>2101</v>
      </c>
      <c r="I3800" s="951" t="s">
        <v>11094</v>
      </c>
      <c r="J3800" s="947" t="s">
        <v>11095</v>
      </c>
      <c r="K3800" s="143"/>
    </row>
    <row r="3801" spans="1:11">
      <c r="A3801" s="946" t="s">
        <v>28608</v>
      </c>
      <c r="B3801" s="947" t="s">
        <v>11116</v>
      </c>
      <c r="C3801" s="948" t="s">
        <v>11114</v>
      </c>
      <c r="D3801" s="242" t="s">
        <v>28713</v>
      </c>
      <c r="E3801" s="949">
        <v>804</v>
      </c>
      <c r="F3801" s="949">
        <v>804</v>
      </c>
      <c r="G3801" s="950" t="s">
        <v>11871</v>
      </c>
      <c r="H3801" s="950" t="s">
        <v>2101</v>
      </c>
      <c r="I3801" s="951" t="s">
        <v>11115</v>
      </c>
      <c r="J3801" s="947" t="s">
        <v>11116</v>
      </c>
      <c r="K3801" s="143"/>
    </row>
    <row r="3802" spans="1:11">
      <c r="A3802" s="946" t="s">
        <v>28608</v>
      </c>
      <c r="B3802" s="947" t="s">
        <v>11510</v>
      </c>
      <c r="C3802" s="948" t="s">
        <v>11508</v>
      </c>
      <c r="D3802" s="242" t="s">
        <v>28713</v>
      </c>
      <c r="E3802" s="949">
        <v>804</v>
      </c>
      <c r="F3802" s="949">
        <v>804</v>
      </c>
      <c r="G3802" s="950" t="s">
        <v>11871</v>
      </c>
      <c r="H3802" s="950" t="s">
        <v>2101</v>
      </c>
      <c r="I3802" s="951" t="s">
        <v>11509</v>
      </c>
      <c r="J3802" s="947" t="s">
        <v>11510</v>
      </c>
      <c r="K3802" s="143"/>
    </row>
    <row r="3803" spans="1:11">
      <c r="A3803" s="946" t="s">
        <v>28608</v>
      </c>
      <c r="B3803" s="947" t="s">
        <v>11833</v>
      </c>
      <c r="C3803" s="948" t="s">
        <v>11831</v>
      </c>
      <c r="D3803" s="242" t="s">
        <v>28713</v>
      </c>
      <c r="E3803" s="949">
        <v>804</v>
      </c>
      <c r="F3803" s="949">
        <v>804</v>
      </c>
      <c r="G3803" s="950" t="s">
        <v>11871</v>
      </c>
      <c r="H3803" s="950" t="s">
        <v>2101</v>
      </c>
      <c r="I3803" s="951" t="s">
        <v>11832</v>
      </c>
      <c r="J3803" s="947" t="s">
        <v>11833</v>
      </c>
      <c r="K3803" s="143"/>
    </row>
    <row r="3804" spans="1:11">
      <c r="A3804" s="946" t="s">
        <v>28608</v>
      </c>
      <c r="B3804" s="947" t="s">
        <v>11871</v>
      </c>
      <c r="C3804" s="948" t="s">
        <v>11869</v>
      </c>
      <c r="D3804" s="242" t="s">
        <v>28713</v>
      </c>
      <c r="E3804" s="949">
        <v>804</v>
      </c>
      <c r="F3804" s="949">
        <v>804</v>
      </c>
      <c r="G3804" s="950" t="s">
        <v>11871</v>
      </c>
      <c r="H3804" s="950" t="s">
        <v>2101</v>
      </c>
      <c r="I3804" s="951" t="s">
        <v>11870</v>
      </c>
      <c r="J3804" s="947" t="s">
        <v>11871</v>
      </c>
      <c r="K3804" s="143"/>
    </row>
    <row r="3805" spans="1:11">
      <c r="A3805" s="946" t="s">
        <v>28608</v>
      </c>
      <c r="B3805" s="947" t="s">
        <v>12449</v>
      </c>
      <c r="C3805" s="948" t="s">
        <v>12447</v>
      </c>
      <c r="D3805" s="242" t="s">
        <v>28713</v>
      </c>
      <c r="E3805" s="949">
        <v>804</v>
      </c>
      <c r="F3805" s="949">
        <v>804</v>
      </c>
      <c r="G3805" s="950" t="s">
        <v>11871</v>
      </c>
      <c r="H3805" s="950" t="s">
        <v>2101</v>
      </c>
      <c r="I3805" s="951" t="s">
        <v>12448</v>
      </c>
      <c r="J3805" s="947" t="s">
        <v>12449</v>
      </c>
      <c r="K3805" s="143"/>
    </row>
    <row r="3806" spans="1:11">
      <c r="A3806" s="946" t="s">
        <v>28608</v>
      </c>
      <c r="B3806" s="947" t="s">
        <v>12493</v>
      </c>
      <c r="C3806" s="948" t="s">
        <v>12491</v>
      </c>
      <c r="D3806" s="242" t="s">
        <v>28713</v>
      </c>
      <c r="E3806" s="949">
        <v>804</v>
      </c>
      <c r="F3806" s="949">
        <v>804</v>
      </c>
      <c r="G3806" s="950" t="s">
        <v>11871</v>
      </c>
      <c r="H3806" s="950" t="s">
        <v>2101</v>
      </c>
      <c r="I3806" s="951" t="s">
        <v>12492</v>
      </c>
      <c r="J3806" s="947" t="s">
        <v>12493</v>
      </c>
      <c r="K3806" s="143"/>
    </row>
    <row r="3807" spans="1:11">
      <c r="A3807" s="946" t="s">
        <v>28608</v>
      </c>
      <c r="B3807" s="947" t="s">
        <v>12748</v>
      </c>
      <c r="C3807" s="948" t="s">
        <v>12746</v>
      </c>
      <c r="D3807" s="242" t="s">
        <v>28713</v>
      </c>
      <c r="E3807" s="949">
        <v>804</v>
      </c>
      <c r="F3807" s="949">
        <v>804</v>
      </c>
      <c r="G3807" s="950" t="s">
        <v>11871</v>
      </c>
      <c r="H3807" s="950" t="s">
        <v>2101</v>
      </c>
      <c r="I3807" s="951" t="s">
        <v>12747</v>
      </c>
      <c r="J3807" s="947" t="s">
        <v>12748</v>
      </c>
      <c r="K3807" s="143"/>
    </row>
    <row r="3808" spans="1:11">
      <c r="A3808" s="946" t="s">
        <v>28608</v>
      </c>
      <c r="B3808" s="947" t="s">
        <v>13361</v>
      </c>
      <c r="C3808" s="948" t="s">
        <v>13359</v>
      </c>
      <c r="D3808" s="242" t="s">
        <v>28713</v>
      </c>
      <c r="E3808" s="949">
        <v>804</v>
      </c>
      <c r="F3808" s="949">
        <v>804</v>
      </c>
      <c r="G3808" s="950" t="s">
        <v>11871</v>
      </c>
      <c r="H3808" s="950" t="s">
        <v>2101</v>
      </c>
      <c r="I3808" s="951" t="s">
        <v>13360</v>
      </c>
      <c r="J3808" s="947" t="s">
        <v>13361</v>
      </c>
      <c r="K3808" s="143"/>
    </row>
    <row r="3809" spans="1:11">
      <c r="A3809" s="946" t="s">
        <v>28608</v>
      </c>
      <c r="B3809" s="947" t="s">
        <v>13436</v>
      </c>
      <c r="C3809" s="948" t="s">
        <v>13434</v>
      </c>
      <c r="D3809" s="242" t="s">
        <v>28713</v>
      </c>
      <c r="E3809" s="949">
        <v>804</v>
      </c>
      <c r="F3809" s="949">
        <v>804</v>
      </c>
      <c r="G3809" s="950" t="s">
        <v>11871</v>
      </c>
      <c r="H3809" s="950" t="s">
        <v>2101</v>
      </c>
      <c r="I3809" s="951" t="s">
        <v>13435</v>
      </c>
      <c r="J3809" s="947" t="s">
        <v>13436</v>
      </c>
      <c r="K3809" s="143"/>
    </row>
    <row r="3810" spans="1:11">
      <c r="A3810" s="946" t="s">
        <v>28608</v>
      </c>
      <c r="B3810" s="947" t="s">
        <v>14062</v>
      </c>
      <c r="C3810" s="948" t="s">
        <v>14060</v>
      </c>
      <c r="D3810" s="242" t="s">
        <v>28713</v>
      </c>
      <c r="E3810" s="949">
        <v>804</v>
      </c>
      <c r="F3810" s="949">
        <v>804</v>
      </c>
      <c r="G3810" s="950" t="s">
        <v>11871</v>
      </c>
      <c r="H3810" s="950" t="s">
        <v>2101</v>
      </c>
      <c r="I3810" s="951" t="s">
        <v>14061</v>
      </c>
      <c r="J3810" s="947" t="s">
        <v>14062</v>
      </c>
      <c r="K3810" s="143"/>
    </row>
    <row r="3811" spans="1:11">
      <c r="A3811" s="946" t="s">
        <v>28608</v>
      </c>
      <c r="B3811" s="947" t="s">
        <v>14379</v>
      </c>
      <c r="C3811" s="948" t="s">
        <v>14377</v>
      </c>
      <c r="D3811" s="242" t="s">
        <v>28713</v>
      </c>
      <c r="E3811" s="949">
        <v>804</v>
      </c>
      <c r="F3811" s="949">
        <v>804</v>
      </c>
      <c r="G3811" s="950" t="s">
        <v>11871</v>
      </c>
      <c r="H3811" s="950" t="s">
        <v>2101</v>
      </c>
      <c r="I3811" s="951" t="s">
        <v>14378</v>
      </c>
      <c r="J3811" s="947" t="s">
        <v>14379</v>
      </c>
      <c r="K3811" s="143"/>
    </row>
    <row r="3812" spans="1:11">
      <c r="A3812" s="946" t="s">
        <v>28608</v>
      </c>
      <c r="B3812" s="947" t="s">
        <v>14969</v>
      </c>
      <c r="C3812" s="948" t="s">
        <v>14967</v>
      </c>
      <c r="D3812" s="242" t="s">
        <v>28713</v>
      </c>
      <c r="E3812" s="949">
        <v>804</v>
      </c>
      <c r="F3812" s="949">
        <v>804</v>
      </c>
      <c r="G3812" s="950" t="s">
        <v>11871</v>
      </c>
      <c r="H3812" s="950" t="s">
        <v>2101</v>
      </c>
      <c r="I3812" s="951" t="s">
        <v>14968</v>
      </c>
      <c r="J3812" s="947" t="s">
        <v>14969</v>
      </c>
      <c r="K3812" s="143"/>
    </row>
    <row r="3813" spans="1:11">
      <c r="A3813" s="946" t="s">
        <v>28608</v>
      </c>
      <c r="B3813" s="947" t="s">
        <v>15267</v>
      </c>
      <c r="C3813" s="948" t="s">
        <v>15265</v>
      </c>
      <c r="D3813" s="242" t="s">
        <v>28713</v>
      </c>
      <c r="E3813" s="949">
        <v>804</v>
      </c>
      <c r="F3813" s="949">
        <v>804</v>
      </c>
      <c r="G3813" s="950" t="s">
        <v>11871</v>
      </c>
      <c r="H3813" s="950" t="s">
        <v>2101</v>
      </c>
      <c r="I3813" s="951" t="s">
        <v>15266</v>
      </c>
      <c r="J3813" s="947" t="s">
        <v>15267</v>
      </c>
      <c r="K3813" s="143"/>
    </row>
    <row r="3814" spans="1:11">
      <c r="A3814" s="946" t="s">
        <v>28608</v>
      </c>
      <c r="B3814" s="947" t="s">
        <v>15873</v>
      </c>
      <c r="C3814" s="948" t="s">
        <v>15871</v>
      </c>
      <c r="D3814" s="242" t="s">
        <v>28713</v>
      </c>
      <c r="E3814" s="949">
        <v>804</v>
      </c>
      <c r="F3814" s="949">
        <v>804</v>
      </c>
      <c r="G3814" s="950" t="s">
        <v>11871</v>
      </c>
      <c r="H3814" s="950" t="s">
        <v>2101</v>
      </c>
      <c r="I3814" s="951" t="s">
        <v>15872</v>
      </c>
      <c r="J3814" s="947" t="s">
        <v>15873</v>
      </c>
      <c r="K3814" s="143"/>
    </row>
    <row r="3815" spans="1:11">
      <c r="A3815" s="946" t="s">
        <v>28608</v>
      </c>
      <c r="B3815" s="947" t="s">
        <v>16116</v>
      </c>
      <c r="C3815" s="948" t="s">
        <v>16114</v>
      </c>
      <c r="D3815" s="242" t="s">
        <v>28713</v>
      </c>
      <c r="E3815" s="949">
        <v>804</v>
      </c>
      <c r="F3815" s="949">
        <v>804</v>
      </c>
      <c r="G3815" s="950" t="s">
        <v>11871</v>
      </c>
      <c r="H3815" s="950" t="s">
        <v>2101</v>
      </c>
      <c r="I3815" s="951" t="s">
        <v>16115</v>
      </c>
      <c r="J3815" s="947" t="s">
        <v>16116</v>
      </c>
      <c r="K3815" s="143"/>
    </row>
    <row r="3816" spans="1:11">
      <c r="A3816" s="946" t="s">
        <v>28608</v>
      </c>
      <c r="B3816" s="947" t="s">
        <v>16333</v>
      </c>
      <c r="C3816" s="948" t="s">
        <v>16331</v>
      </c>
      <c r="D3816" s="242" t="s">
        <v>28713</v>
      </c>
      <c r="E3816" s="949">
        <v>804</v>
      </c>
      <c r="F3816" s="949">
        <v>804</v>
      </c>
      <c r="G3816" s="950" t="s">
        <v>11871</v>
      </c>
      <c r="H3816" s="950" t="s">
        <v>2101</v>
      </c>
      <c r="I3816" s="951" t="s">
        <v>16332</v>
      </c>
      <c r="J3816" s="947" t="s">
        <v>16333</v>
      </c>
      <c r="K3816" s="143"/>
    </row>
    <row r="3817" spans="1:11">
      <c r="A3817" s="946" t="s">
        <v>28608</v>
      </c>
      <c r="B3817" s="947" t="s">
        <v>17454</v>
      </c>
      <c r="C3817" s="948" t="s">
        <v>17452</v>
      </c>
      <c r="D3817" s="242" t="s">
        <v>28713</v>
      </c>
      <c r="E3817" s="949">
        <v>804</v>
      </c>
      <c r="F3817" s="949">
        <v>804</v>
      </c>
      <c r="G3817" s="950" t="s">
        <v>11871</v>
      </c>
      <c r="H3817" s="950" t="s">
        <v>2101</v>
      </c>
      <c r="I3817" s="951" t="s">
        <v>17453</v>
      </c>
      <c r="J3817" s="947" t="s">
        <v>17454</v>
      </c>
      <c r="K3817" s="143"/>
    </row>
    <row r="3818" spans="1:11">
      <c r="A3818" s="946" t="s">
        <v>28608</v>
      </c>
      <c r="B3818" s="947" t="s">
        <v>17562</v>
      </c>
      <c r="C3818" s="948" t="s">
        <v>17560</v>
      </c>
      <c r="D3818" s="242" t="s">
        <v>28713</v>
      </c>
      <c r="E3818" s="949">
        <v>804</v>
      </c>
      <c r="F3818" s="949">
        <v>804</v>
      </c>
      <c r="G3818" s="950" t="s">
        <v>11871</v>
      </c>
      <c r="H3818" s="950" t="s">
        <v>2101</v>
      </c>
      <c r="I3818" s="951" t="s">
        <v>17561</v>
      </c>
      <c r="J3818" s="947" t="s">
        <v>17562</v>
      </c>
      <c r="K3818" s="143"/>
    </row>
    <row r="3819" spans="1:11">
      <c r="A3819" s="946" t="s">
        <v>28608</v>
      </c>
      <c r="B3819" s="947" t="s">
        <v>18153</v>
      </c>
      <c r="C3819" s="948" t="s">
        <v>18151</v>
      </c>
      <c r="D3819" s="242" t="s">
        <v>28713</v>
      </c>
      <c r="E3819" s="949">
        <v>804</v>
      </c>
      <c r="F3819" s="949">
        <v>804</v>
      </c>
      <c r="G3819" s="950" t="s">
        <v>11871</v>
      </c>
      <c r="H3819" s="950" t="s">
        <v>2101</v>
      </c>
      <c r="I3819" s="951" t="s">
        <v>18152</v>
      </c>
      <c r="J3819" s="947" t="s">
        <v>18153</v>
      </c>
      <c r="K3819" s="143"/>
    </row>
    <row r="3820" spans="1:11">
      <c r="A3820" s="946" t="s">
        <v>28608</v>
      </c>
      <c r="B3820" s="947" t="s">
        <v>18168</v>
      </c>
      <c r="C3820" s="948" t="s">
        <v>18166</v>
      </c>
      <c r="D3820" s="242" t="s">
        <v>28713</v>
      </c>
      <c r="E3820" s="949">
        <v>804</v>
      </c>
      <c r="F3820" s="949">
        <v>804</v>
      </c>
      <c r="G3820" s="950" t="s">
        <v>11871</v>
      </c>
      <c r="H3820" s="950" t="s">
        <v>2101</v>
      </c>
      <c r="I3820" s="951" t="s">
        <v>18167</v>
      </c>
      <c r="J3820" s="947" t="s">
        <v>18168</v>
      </c>
      <c r="K3820" s="143"/>
    </row>
    <row r="3821" spans="1:11">
      <c r="A3821" s="946" t="s">
        <v>28608</v>
      </c>
      <c r="B3821" s="947" t="s">
        <v>18931</v>
      </c>
      <c r="C3821" s="948" t="s">
        <v>18929</v>
      </c>
      <c r="D3821" s="242" t="s">
        <v>28713</v>
      </c>
      <c r="E3821" s="949">
        <v>804</v>
      </c>
      <c r="F3821" s="949">
        <v>804</v>
      </c>
      <c r="G3821" s="950" t="s">
        <v>11871</v>
      </c>
      <c r="H3821" s="950" t="s">
        <v>2101</v>
      </c>
      <c r="I3821" s="951" t="s">
        <v>18930</v>
      </c>
      <c r="J3821" s="947" t="s">
        <v>18931</v>
      </c>
      <c r="K3821" s="143"/>
    </row>
    <row r="3822" spans="1:11">
      <c r="A3822" s="946" t="s">
        <v>28608</v>
      </c>
      <c r="B3822" s="947" t="s">
        <v>18963</v>
      </c>
      <c r="C3822" s="948" t="s">
        <v>18961</v>
      </c>
      <c r="D3822" s="242" t="s">
        <v>28713</v>
      </c>
      <c r="E3822" s="949">
        <v>804</v>
      </c>
      <c r="F3822" s="949">
        <v>804</v>
      </c>
      <c r="G3822" s="950" t="s">
        <v>11871</v>
      </c>
      <c r="H3822" s="950" t="s">
        <v>2101</v>
      </c>
      <c r="I3822" s="951" t="s">
        <v>18962</v>
      </c>
      <c r="J3822" s="947" t="s">
        <v>18963</v>
      </c>
      <c r="K3822" s="143"/>
    </row>
    <row r="3823" spans="1:11">
      <c r="A3823" s="946" t="s">
        <v>28608</v>
      </c>
      <c r="B3823" s="947" t="s">
        <v>19346</v>
      </c>
      <c r="C3823" s="948" t="s">
        <v>19344</v>
      </c>
      <c r="D3823" s="242" t="s">
        <v>28713</v>
      </c>
      <c r="E3823" s="949">
        <v>804</v>
      </c>
      <c r="F3823" s="949">
        <v>804</v>
      </c>
      <c r="G3823" s="950" t="s">
        <v>11871</v>
      </c>
      <c r="H3823" s="950" t="s">
        <v>2101</v>
      </c>
      <c r="I3823" s="951" t="s">
        <v>19345</v>
      </c>
      <c r="J3823" s="947" t="s">
        <v>19346</v>
      </c>
      <c r="K3823" s="143"/>
    </row>
    <row r="3824" spans="1:11">
      <c r="A3824" s="946" t="s">
        <v>28608</v>
      </c>
      <c r="B3824" s="947" t="s">
        <v>19435</v>
      </c>
      <c r="C3824" s="948" t="s">
        <v>19433</v>
      </c>
      <c r="D3824" s="242" t="s">
        <v>28713</v>
      </c>
      <c r="E3824" s="949">
        <v>804</v>
      </c>
      <c r="F3824" s="949">
        <v>804</v>
      </c>
      <c r="G3824" s="950" t="s">
        <v>11871</v>
      </c>
      <c r="H3824" s="950" t="s">
        <v>2101</v>
      </c>
      <c r="I3824" s="951" t="s">
        <v>19434</v>
      </c>
      <c r="J3824" s="947" t="s">
        <v>19435</v>
      </c>
      <c r="K3824" s="143"/>
    </row>
    <row r="3825" spans="1:11">
      <c r="A3825" s="946" t="s">
        <v>28608</v>
      </c>
      <c r="B3825" s="947" t="s">
        <v>19660</v>
      </c>
      <c r="C3825" s="948" t="s">
        <v>19658</v>
      </c>
      <c r="D3825" s="242" t="s">
        <v>28713</v>
      </c>
      <c r="E3825" s="949">
        <v>804</v>
      </c>
      <c r="F3825" s="949">
        <v>804</v>
      </c>
      <c r="G3825" s="950" t="s">
        <v>11871</v>
      </c>
      <c r="H3825" s="950" t="s">
        <v>2101</v>
      </c>
      <c r="I3825" s="951" t="s">
        <v>19659</v>
      </c>
      <c r="J3825" s="947" t="s">
        <v>19660</v>
      </c>
      <c r="K3825" s="143"/>
    </row>
    <row r="3826" spans="1:11">
      <c r="A3826" s="946" t="s">
        <v>28608</v>
      </c>
      <c r="B3826" s="947" t="s">
        <v>19881</v>
      </c>
      <c r="C3826" s="948" t="s">
        <v>19879</v>
      </c>
      <c r="D3826" s="242" t="s">
        <v>28713</v>
      </c>
      <c r="E3826" s="949">
        <v>804</v>
      </c>
      <c r="F3826" s="949">
        <v>804</v>
      </c>
      <c r="G3826" s="950" t="s">
        <v>11871</v>
      </c>
      <c r="H3826" s="950" t="s">
        <v>2101</v>
      </c>
      <c r="I3826" s="951" t="s">
        <v>19880</v>
      </c>
      <c r="J3826" s="947" t="s">
        <v>19881</v>
      </c>
      <c r="K3826" s="143"/>
    </row>
    <row r="3827" spans="1:11">
      <c r="A3827" s="946" t="s">
        <v>28608</v>
      </c>
      <c r="B3827" s="947" t="s">
        <v>22008</v>
      </c>
      <c r="C3827" s="948" t="s">
        <v>22006</v>
      </c>
      <c r="D3827" s="242" t="s">
        <v>28713</v>
      </c>
      <c r="E3827" s="949">
        <v>804</v>
      </c>
      <c r="F3827" s="949">
        <v>804</v>
      </c>
      <c r="G3827" s="950" t="s">
        <v>11871</v>
      </c>
      <c r="H3827" s="950" t="s">
        <v>2101</v>
      </c>
      <c r="I3827" s="951" t="s">
        <v>22007</v>
      </c>
      <c r="J3827" s="947" t="s">
        <v>22008</v>
      </c>
      <c r="K3827" s="143"/>
    </row>
    <row r="3828" spans="1:11">
      <c r="A3828" s="946" t="s">
        <v>28608</v>
      </c>
      <c r="B3828" s="947" t="s">
        <v>22644</v>
      </c>
      <c r="C3828" s="948" t="s">
        <v>22642</v>
      </c>
      <c r="D3828" s="242" t="s">
        <v>28713</v>
      </c>
      <c r="E3828" s="949">
        <v>804</v>
      </c>
      <c r="F3828" s="949">
        <v>804</v>
      </c>
      <c r="G3828" s="950" t="s">
        <v>11871</v>
      </c>
      <c r="H3828" s="950" t="s">
        <v>2101</v>
      </c>
      <c r="I3828" s="951" t="s">
        <v>22643</v>
      </c>
      <c r="J3828" s="947" t="s">
        <v>22644</v>
      </c>
      <c r="K3828" s="143"/>
    </row>
    <row r="3829" spans="1:11">
      <c r="A3829" s="946" t="s">
        <v>28608</v>
      </c>
      <c r="B3829" s="947" t="s">
        <v>1233</v>
      </c>
      <c r="C3829" s="948" t="s">
        <v>1230</v>
      </c>
      <c r="D3829" s="242" t="s">
        <v>28713</v>
      </c>
      <c r="E3829" s="949">
        <v>805</v>
      </c>
      <c r="F3829" s="949">
        <v>805</v>
      </c>
      <c r="G3829" s="950" t="s">
        <v>2581</v>
      </c>
      <c r="H3829" s="950" t="s">
        <v>1231</v>
      </c>
      <c r="I3829" s="951" t="s">
        <v>1232</v>
      </c>
      <c r="J3829" s="947" t="s">
        <v>1233</v>
      </c>
      <c r="K3829" s="143"/>
    </row>
    <row r="3830" spans="1:11">
      <c r="A3830" s="946" t="s">
        <v>28608</v>
      </c>
      <c r="B3830" s="947" t="s">
        <v>1388</v>
      </c>
      <c r="C3830" s="948" t="s">
        <v>1386</v>
      </c>
      <c r="D3830" s="242" t="s">
        <v>28713</v>
      </c>
      <c r="E3830" s="949">
        <v>805</v>
      </c>
      <c r="F3830" s="949">
        <v>805</v>
      </c>
      <c r="G3830" s="950" t="s">
        <v>2581</v>
      </c>
      <c r="H3830" s="950" t="s">
        <v>1231</v>
      </c>
      <c r="I3830" s="951" t="s">
        <v>1387</v>
      </c>
      <c r="J3830" s="947" t="s">
        <v>1388</v>
      </c>
      <c r="K3830" s="143"/>
    </row>
    <row r="3831" spans="1:11">
      <c r="A3831" s="946" t="s">
        <v>28608</v>
      </c>
      <c r="B3831" s="947" t="s">
        <v>2000</v>
      </c>
      <c r="C3831" s="948" t="s">
        <v>1998</v>
      </c>
      <c r="D3831" s="242" t="s">
        <v>28713</v>
      </c>
      <c r="E3831" s="949">
        <v>805</v>
      </c>
      <c r="F3831" s="949">
        <v>805</v>
      </c>
      <c r="G3831" s="950" t="s">
        <v>2581</v>
      </c>
      <c r="H3831" s="950" t="s">
        <v>1231</v>
      </c>
      <c r="I3831" s="951" t="s">
        <v>1999</v>
      </c>
      <c r="J3831" s="947" t="s">
        <v>2000</v>
      </c>
      <c r="K3831" s="143"/>
    </row>
    <row r="3832" spans="1:11">
      <c r="A3832" s="946" t="s">
        <v>28608</v>
      </c>
      <c r="B3832" s="947" t="s">
        <v>2273</v>
      </c>
      <c r="C3832" s="948" t="s">
        <v>2271</v>
      </c>
      <c r="D3832" s="242" t="s">
        <v>28713</v>
      </c>
      <c r="E3832" s="949">
        <v>805</v>
      </c>
      <c r="F3832" s="949">
        <v>805</v>
      </c>
      <c r="G3832" s="950" t="s">
        <v>2581</v>
      </c>
      <c r="H3832" s="950" t="s">
        <v>1231</v>
      </c>
      <c r="I3832" s="951" t="s">
        <v>2272</v>
      </c>
      <c r="J3832" s="947" t="s">
        <v>2273</v>
      </c>
      <c r="K3832" s="143"/>
    </row>
    <row r="3833" spans="1:11">
      <c r="A3833" s="946" t="s">
        <v>28608</v>
      </c>
      <c r="B3833" s="947" t="s">
        <v>2581</v>
      </c>
      <c r="C3833" s="948" t="s">
        <v>2579</v>
      </c>
      <c r="D3833" s="242" t="s">
        <v>28713</v>
      </c>
      <c r="E3833" s="949">
        <v>805</v>
      </c>
      <c r="F3833" s="949">
        <v>805</v>
      </c>
      <c r="G3833" s="950" t="s">
        <v>2581</v>
      </c>
      <c r="H3833" s="950" t="s">
        <v>1231</v>
      </c>
      <c r="I3833" s="951" t="s">
        <v>2580</v>
      </c>
      <c r="J3833" s="947" t="s">
        <v>2581</v>
      </c>
      <c r="K3833" s="143"/>
    </row>
    <row r="3834" spans="1:11">
      <c r="A3834" s="946" t="s">
        <v>28608</v>
      </c>
      <c r="B3834" s="947" t="s">
        <v>2760</v>
      </c>
      <c r="C3834" s="948" t="s">
        <v>2758</v>
      </c>
      <c r="D3834" s="242" t="s">
        <v>28713</v>
      </c>
      <c r="E3834" s="949">
        <v>805</v>
      </c>
      <c r="F3834" s="949">
        <v>805</v>
      </c>
      <c r="G3834" s="950" t="s">
        <v>2581</v>
      </c>
      <c r="H3834" s="950" t="s">
        <v>1231</v>
      </c>
      <c r="I3834" s="951" t="s">
        <v>2759</v>
      </c>
      <c r="J3834" s="947" t="s">
        <v>2760</v>
      </c>
      <c r="K3834" s="143"/>
    </row>
    <row r="3835" spans="1:11">
      <c r="A3835" s="946" t="s">
        <v>28608</v>
      </c>
      <c r="B3835" s="947" t="s">
        <v>3211</v>
      </c>
      <c r="C3835" s="948" t="s">
        <v>3209</v>
      </c>
      <c r="D3835" s="242" t="s">
        <v>28713</v>
      </c>
      <c r="E3835" s="949">
        <v>805</v>
      </c>
      <c r="F3835" s="949">
        <v>805</v>
      </c>
      <c r="G3835" s="950" t="s">
        <v>2581</v>
      </c>
      <c r="H3835" s="950" t="s">
        <v>1231</v>
      </c>
      <c r="I3835" s="951" t="s">
        <v>3210</v>
      </c>
      <c r="J3835" s="947" t="s">
        <v>3211</v>
      </c>
      <c r="K3835" s="143"/>
    </row>
    <row r="3836" spans="1:11">
      <c r="A3836" s="946" t="s">
        <v>28608</v>
      </c>
      <c r="B3836" s="947" t="s">
        <v>3472</v>
      </c>
      <c r="C3836" s="948" t="s">
        <v>3470</v>
      </c>
      <c r="D3836" s="242" t="s">
        <v>28713</v>
      </c>
      <c r="E3836" s="949">
        <v>805</v>
      </c>
      <c r="F3836" s="949">
        <v>805</v>
      </c>
      <c r="G3836" s="950" t="s">
        <v>2581</v>
      </c>
      <c r="H3836" s="950" t="s">
        <v>1231</v>
      </c>
      <c r="I3836" s="951" t="s">
        <v>3471</v>
      </c>
      <c r="J3836" s="947" t="s">
        <v>3472</v>
      </c>
      <c r="K3836" s="143"/>
    </row>
    <row r="3837" spans="1:11">
      <c r="A3837" s="946" t="s">
        <v>28608</v>
      </c>
      <c r="B3837" s="947" t="s">
        <v>3855</v>
      </c>
      <c r="C3837" s="948" t="s">
        <v>3853</v>
      </c>
      <c r="D3837" s="242" t="s">
        <v>28713</v>
      </c>
      <c r="E3837" s="949">
        <v>805</v>
      </c>
      <c r="F3837" s="949">
        <v>805</v>
      </c>
      <c r="G3837" s="950" t="s">
        <v>2581</v>
      </c>
      <c r="H3837" s="950" t="s">
        <v>1231</v>
      </c>
      <c r="I3837" s="951" t="s">
        <v>3854</v>
      </c>
      <c r="J3837" s="947" t="s">
        <v>3855</v>
      </c>
      <c r="K3837" s="143"/>
    </row>
    <row r="3838" spans="1:11">
      <c r="A3838" s="946" t="s">
        <v>28608</v>
      </c>
      <c r="B3838" s="947" t="s">
        <v>4565</v>
      </c>
      <c r="C3838" s="948" t="s">
        <v>4563</v>
      </c>
      <c r="D3838" s="242" t="s">
        <v>28713</v>
      </c>
      <c r="E3838" s="949">
        <v>805</v>
      </c>
      <c r="F3838" s="949">
        <v>805</v>
      </c>
      <c r="G3838" s="950" t="s">
        <v>2581</v>
      </c>
      <c r="H3838" s="950" t="s">
        <v>1231</v>
      </c>
      <c r="I3838" s="951" t="s">
        <v>4564</v>
      </c>
      <c r="J3838" s="947" t="s">
        <v>4565</v>
      </c>
      <c r="K3838" s="143"/>
    </row>
    <row r="3839" spans="1:11">
      <c r="A3839" s="946" t="s">
        <v>28608</v>
      </c>
      <c r="B3839" s="947" t="s">
        <v>4592</v>
      </c>
      <c r="C3839" s="948" t="s">
        <v>4590</v>
      </c>
      <c r="D3839" s="242" t="s">
        <v>28713</v>
      </c>
      <c r="E3839" s="949">
        <v>805</v>
      </c>
      <c r="F3839" s="949">
        <v>805</v>
      </c>
      <c r="G3839" s="950" t="s">
        <v>2581</v>
      </c>
      <c r="H3839" s="950" t="s">
        <v>1231</v>
      </c>
      <c r="I3839" s="951" t="s">
        <v>4591</v>
      </c>
      <c r="J3839" s="947" t="s">
        <v>4592</v>
      </c>
      <c r="K3839" s="143"/>
    </row>
    <row r="3840" spans="1:11">
      <c r="A3840" s="946" t="s">
        <v>28608</v>
      </c>
      <c r="B3840" s="947" t="s">
        <v>4928</v>
      </c>
      <c r="C3840" s="948" t="s">
        <v>4926</v>
      </c>
      <c r="D3840" s="242" t="s">
        <v>28713</v>
      </c>
      <c r="E3840" s="949">
        <v>805</v>
      </c>
      <c r="F3840" s="949">
        <v>805</v>
      </c>
      <c r="G3840" s="950" t="s">
        <v>2581</v>
      </c>
      <c r="H3840" s="950" t="s">
        <v>1231</v>
      </c>
      <c r="I3840" s="951" t="s">
        <v>4927</v>
      </c>
      <c r="J3840" s="947" t="s">
        <v>4928</v>
      </c>
      <c r="K3840" s="143"/>
    </row>
    <row r="3841" spans="1:11">
      <c r="A3841" s="946" t="s">
        <v>28608</v>
      </c>
      <c r="B3841" s="947" t="s">
        <v>4946</v>
      </c>
      <c r="C3841" s="948" t="s">
        <v>4944</v>
      </c>
      <c r="D3841" s="242" t="s">
        <v>28713</v>
      </c>
      <c r="E3841" s="949">
        <v>805</v>
      </c>
      <c r="F3841" s="949">
        <v>805</v>
      </c>
      <c r="G3841" s="950" t="s">
        <v>2581</v>
      </c>
      <c r="H3841" s="950" t="s">
        <v>1231</v>
      </c>
      <c r="I3841" s="951" t="s">
        <v>4945</v>
      </c>
      <c r="J3841" s="947" t="s">
        <v>4946</v>
      </c>
      <c r="K3841" s="143"/>
    </row>
    <row r="3842" spans="1:11">
      <c r="A3842" s="946" t="s">
        <v>28608</v>
      </c>
      <c r="B3842" s="947" t="s">
        <v>4949</v>
      </c>
      <c r="C3842" s="948" t="s">
        <v>4947</v>
      </c>
      <c r="D3842" s="242" t="s">
        <v>28713</v>
      </c>
      <c r="E3842" s="949">
        <v>805</v>
      </c>
      <c r="F3842" s="949">
        <v>805</v>
      </c>
      <c r="G3842" s="950" t="s">
        <v>2581</v>
      </c>
      <c r="H3842" s="950" t="s">
        <v>1231</v>
      </c>
      <c r="I3842" s="951" t="s">
        <v>4948</v>
      </c>
      <c r="J3842" s="947" t="s">
        <v>4949</v>
      </c>
      <c r="K3842" s="143"/>
    </row>
    <row r="3843" spans="1:11">
      <c r="A3843" s="946" t="s">
        <v>28608</v>
      </c>
      <c r="B3843" s="947" t="s">
        <v>4991</v>
      </c>
      <c r="C3843" s="948" t="s">
        <v>4989</v>
      </c>
      <c r="D3843" s="242" t="s">
        <v>28713</v>
      </c>
      <c r="E3843" s="949">
        <v>805</v>
      </c>
      <c r="F3843" s="949">
        <v>805</v>
      </c>
      <c r="G3843" s="950" t="s">
        <v>2581</v>
      </c>
      <c r="H3843" s="950" t="s">
        <v>1231</v>
      </c>
      <c r="I3843" s="951" t="s">
        <v>4990</v>
      </c>
      <c r="J3843" s="947" t="s">
        <v>4991</v>
      </c>
      <c r="K3843" s="143"/>
    </row>
    <row r="3844" spans="1:11">
      <c r="A3844" s="946" t="s">
        <v>28608</v>
      </c>
      <c r="B3844" s="947" t="s">
        <v>5248</v>
      </c>
      <c r="C3844" s="948" t="s">
        <v>5246</v>
      </c>
      <c r="D3844" s="242" t="s">
        <v>28713</v>
      </c>
      <c r="E3844" s="949">
        <v>805</v>
      </c>
      <c r="F3844" s="949">
        <v>805</v>
      </c>
      <c r="G3844" s="950" t="s">
        <v>2581</v>
      </c>
      <c r="H3844" s="950" t="s">
        <v>1231</v>
      </c>
      <c r="I3844" s="951" t="s">
        <v>5247</v>
      </c>
      <c r="J3844" s="947" t="s">
        <v>5248</v>
      </c>
      <c r="K3844" s="143"/>
    </row>
    <row r="3845" spans="1:11">
      <c r="A3845" s="946" t="s">
        <v>28608</v>
      </c>
      <c r="B3845" s="947" t="s">
        <v>4997</v>
      </c>
      <c r="C3845" s="948" t="s">
        <v>4995</v>
      </c>
      <c r="D3845" s="242" t="s">
        <v>28713</v>
      </c>
      <c r="E3845" s="949">
        <v>805</v>
      </c>
      <c r="F3845" s="949">
        <v>805</v>
      </c>
      <c r="G3845" s="950" t="s">
        <v>2581</v>
      </c>
      <c r="H3845" s="950" t="s">
        <v>1231</v>
      </c>
      <c r="I3845" s="951" t="s">
        <v>4996</v>
      </c>
      <c r="J3845" s="947" t="s">
        <v>4997</v>
      </c>
      <c r="K3845" s="143"/>
    </row>
    <row r="3846" spans="1:11">
      <c r="A3846" s="946" t="s">
        <v>28608</v>
      </c>
      <c r="B3846" s="947" t="s">
        <v>5030</v>
      </c>
      <c r="C3846" s="948" t="s">
        <v>5028</v>
      </c>
      <c r="D3846" s="242" t="s">
        <v>28713</v>
      </c>
      <c r="E3846" s="949">
        <v>805</v>
      </c>
      <c r="F3846" s="949">
        <v>805</v>
      </c>
      <c r="G3846" s="950" t="s">
        <v>2581</v>
      </c>
      <c r="H3846" s="950" t="s">
        <v>1231</v>
      </c>
      <c r="I3846" s="951" t="s">
        <v>5029</v>
      </c>
      <c r="J3846" s="947" t="s">
        <v>5030</v>
      </c>
      <c r="K3846" s="143"/>
    </row>
    <row r="3847" spans="1:11">
      <c r="A3847" s="946" t="s">
        <v>28608</v>
      </c>
      <c r="B3847" s="947" t="s">
        <v>5469</v>
      </c>
      <c r="C3847" s="948" t="s">
        <v>5467</v>
      </c>
      <c r="D3847" s="242" t="s">
        <v>28713</v>
      </c>
      <c r="E3847" s="949">
        <v>805</v>
      </c>
      <c r="F3847" s="949">
        <v>805</v>
      </c>
      <c r="G3847" s="950" t="s">
        <v>2581</v>
      </c>
      <c r="H3847" s="950" t="s">
        <v>1231</v>
      </c>
      <c r="I3847" s="951" t="s">
        <v>5468</v>
      </c>
      <c r="J3847" s="947" t="s">
        <v>5469</v>
      </c>
      <c r="K3847" s="143"/>
    </row>
    <row r="3848" spans="1:11">
      <c r="A3848" s="946" t="s">
        <v>28608</v>
      </c>
      <c r="B3848" s="947" t="s">
        <v>5494</v>
      </c>
      <c r="C3848" s="948" t="s">
        <v>5492</v>
      </c>
      <c r="D3848" s="242" t="s">
        <v>28713</v>
      </c>
      <c r="E3848" s="949">
        <v>805</v>
      </c>
      <c r="F3848" s="949">
        <v>805</v>
      </c>
      <c r="G3848" s="950" t="s">
        <v>2581</v>
      </c>
      <c r="H3848" s="950" t="s">
        <v>1231</v>
      </c>
      <c r="I3848" s="951" t="s">
        <v>5493</v>
      </c>
      <c r="J3848" s="947" t="s">
        <v>5494</v>
      </c>
      <c r="K3848" s="143"/>
    </row>
    <row r="3849" spans="1:11">
      <c r="A3849" s="946" t="s">
        <v>28608</v>
      </c>
      <c r="B3849" s="947" t="s">
        <v>7383</v>
      </c>
      <c r="C3849" s="948" t="s">
        <v>7381</v>
      </c>
      <c r="D3849" s="242" t="s">
        <v>28713</v>
      </c>
      <c r="E3849" s="949">
        <v>805</v>
      </c>
      <c r="F3849" s="949">
        <v>805</v>
      </c>
      <c r="G3849" s="950" t="s">
        <v>2581</v>
      </c>
      <c r="H3849" s="950" t="s">
        <v>1231</v>
      </c>
      <c r="I3849" s="951" t="s">
        <v>7382</v>
      </c>
      <c r="J3849" s="947" t="s">
        <v>7383</v>
      </c>
      <c r="K3849" s="143"/>
    </row>
    <row r="3850" spans="1:11">
      <c r="A3850" s="946" t="s">
        <v>28608</v>
      </c>
      <c r="B3850" s="947" t="s">
        <v>7760</v>
      </c>
      <c r="C3850" s="948" t="s">
        <v>7758</v>
      </c>
      <c r="D3850" s="242" t="s">
        <v>28713</v>
      </c>
      <c r="E3850" s="949">
        <v>805</v>
      </c>
      <c r="F3850" s="949">
        <v>805</v>
      </c>
      <c r="G3850" s="950" t="s">
        <v>2581</v>
      </c>
      <c r="H3850" s="950" t="s">
        <v>1231</v>
      </c>
      <c r="I3850" s="951" t="s">
        <v>7759</v>
      </c>
      <c r="J3850" s="947" t="s">
        <v>7760</v>
      </c>
      <c r="K3850" s="143"/>
    </row>
    <row r="3851" spans="1:11">
      <c r="A3851" s="946" t="s">
        <v>28608</v>
      </c>
      <c r="B3851" s="947" t="s">
        <v>8406</v>
      </c>
      <c r="C3851" s="948" t="s">
        <v>8404</v>
      </c>
      <c r="D3851" s="242" t="s">
        <v>28713</v>
      </c>
      <c r="E3851" s="949">
        <v>805</v>
      </c>
      <c r="F3851" s="949">
        <v>805</v>
      </c>
      <c r="G3851" s="950" t="s">
        <v>2581</v>
      </c>
      <c r="H3851" s="950" t="s">
        <v>1231</v>
      </c>
      <c r="I3851" s="951" t="s">
        <v>8405</v>
      </c>
      <c r="J3851" s="947" t="s">
        <v>8406</v>
      </c>
      <c r="K3851" s="143"/>
    </row>
    <row r="3852" spans="1:11">
      <c r="A3852" s="946" t="s">
        <v>28608</v>
      </c>
      <c r="B3852" s="947" t="s">
        <v>8811</v>
      </c>
      <c r="C3852" s="948" t="s">
        <v>8809</v>
      </c>
      <c r="D3852" s="242" t="s">
        <v>28713</v>
      </c>
      <c r="E3852" s="949">
        <v>805</v>
      </c>
      <c r="F3852" s="949">
        <v>805</v>
      </c>
      <c r="G3852" s="950" t="s">
        <v>2581</v>
      </c>
      <c r="H3852" s="950" t="s">
        <v>1231</v>
      </c>
      <c r="I3852" s="951" t="s">
        <v>8810</v>
      </c>
      <c r="J3852" s="947" t="s">
        <v>8811</v>
      </c>
      <c r="K3852" s="143"/>
    </row>
    <row r="3853" spans="1:11">
      <c r="A3853" s="946" t="s">
        <v>28608</v>
      </c>
      <c r="B3853" s="947" t="s">
        <v>8891</v>
      </c>
      <c r="C3853" s="948" t="s">
        <v>8889</v>
      </c>
      <c r="D3853" s="242" t="s">
        <v>28713</v>
      </c>
      <c r="E3853" s="949">
        <v>805</v>
      </c>
      <c r="F3853" s="949">
        <v>805</v>
      </c>
      <c r="G3853" s="950" t="s">
        <v>2581</v>
      </c>
      <c r="H3853" s="950" t="s">
        <v>1231</v>
      </c>
      <c r="I3853" s="951" t="s">
        <v>8890</v>
      </c>
      <c r="J3853" s="947" t="s">
        <v>8891</v>
      </c>
      <c r="K3853" s="143"/>
    </row>
    <row r="3854" spans="1:11">
      <c r="A3854" s="946" t="s">
        <v>28608</v>
      </c>
      <c r="B3854" s="947" t="s">
        <v>9456</v>
      </c>
      <c r="C3854" s="948" t="s">
        <v>9454</v>
      </c>
      <c r="D3854" s="242" t="s">
        <v>28713</v>
      </c>
      <c r="E3854" s="949">
        <v>805</v>
      </c>
      <c r="F3854" s="949">
        <v>805</v>
      </c>
      <c r="G3854" s="950" t="s">
        <v>2581</v>
      </c>
      <c r="H3854" s="950" t="s">
        <v>1231</v>
      </c>
      <c r="I3854" s="951" t="s">
        <v>9455</v>
      </c>
      <c r="J3854" s="947" t="s">
        <v>9456</v>
      </c>
      <c r="K3854" s="143"/>
    </row>
    <row r="3855" spans="1:11">
      <c r="A3855" s="946" t="s">
        <v>28608</v>
      </c>
      <c r="B3855" s="947" t="s">
        <v>9567</v>
      </c>
      <c r="C3855" s="948" t="s">
        <v>9565</v>
      </c>
      <c r="D3855" s="242" t="s">
        <v>28713</v>
      </c>
      <c r="E3855" s="949">
        <v>805</v>
      </c>
      <c r="F3855" s="949">
        <v>805</v>
      </c>
      <c r="G3855" s="950" t="s">
        <v>2581</v>
      </c>
      <c r="H3855" s="950" t="s">
        <v>1231</v>
      </c>
      <c r="I3855" s="951" t="s">
        <v>9566</v>
      </c>
      <c r="J3855" s="947" t="s">
        <v>9567</v>
      </c>
      <c r="K3855" s="143"/>
    </row>
    <row r="3856" spans="1:11">
      <c r="A3856" s="946" t="s">
        <v>28608</v>
      </c>
      <c r="B3856" s="947" t="s">
        <v>9783</v>
      </c>
      <c r="C3856" s="948" t="s">
        <v>9781</v>
      </c>
      <c r="D3856" s="242" t="s">
        <v>28713</v>
      </c>
      <c r="E3856" s="949">
        <v>805</v>
      </c>
      <c r="F3856" s="949">
        <v>805</v>
      </c>
      <c r="G3856" s="950" t="s">
        <v>2581</v>
      </c>
      <c r="H3856" s="950" t="s">
        <v>1231</v>
      </c>
      <c r="I3856" s="951" t="s">
        <v>9782</v>
      </c>
      <c r="J3856" s="947" t="s">
        <v>9783</v>
      </c>
      <c r="K3856" s="143"/>
    </row>
    <row r="3857" spans="1:11">
      <c r="A3857" s="946" t="s">
        <v>28608</v>
      </c>
      <c r="B3857" s="947" t="s">
        <v>10513</v>
      </c>
      <c r="C3857" s="948" t="s">
        <v>10511</v>
      </c>
      <c r="D3857" s="242" t="s">
        <v>28713</v>
      </c>
      <c r="E3857" s="949">
        <v>805</v>
      </c>
      <c r="F3857" s="949">
        <v>805</v>
      </c>
      <c r="G3857" s="950" t="s">
        <v>2581</v>
      </c>
      <c r="H3857" s="950" t="s">
        <v>1231</v>
      </c>
      <c r="I3857" s="951" t="s">
        <v>10512</v>
      </c>
      <c r="J3857" s="947" t="s">
        <v>10513</v>
      </c>
      <c r="K3857" s="143"/>
    </row>
    <row r="3858" spans="1:11">
      <c r="A3858" s="946" t="s">
        <v>28608</v>
      </c>
      <c r="B3858" s="947" t="s">
        <v>10559</v>
      </c>
      <c r="C3858" s="948" t="s">
        <v>10557</v>
      </c>
      <c r="D3858" s="242" t="s">
        <v>28713</v>
      </c>
      <c r="E3858" s="949">
        <v>805</v>
      </c>
      <c r="F3858" s="949">
        <v>805</v>
      </c>
      <c r="G3858" s="950" t="s">
        <v>2581</v>
      </c>
      <c r="H3858" s="950" t="s">
        <v>1231</v>
      </c>
      <c r="I3858" s="951" t="s">
        <v>10558</v>
      </c>
      <c r="J3858" s="947" t="s">
        <v>10559</v>
      </c>
      <c r="K3858" s="143"/>
    </row>
    <row r="3859" spans="1:11">
      <c r="A3859" s="946" t="s">
        <v>28608</v>
      </c>
      <c r="B3859" s="947" t="s">
        <v>10957</v>
      </c>
      <c r="C3859" s="948" t="s">
        <v>10955</v>
      </c>
      <c r="D3859" s="242" t="s">
        <v>28713</v>
      </c>
      <c r="E3859" s="949">
        <v>805</v>
      </c>
      <c r="F3859" s="949">
        <v>805</v>
      </c>
      <c r="G3859" s="950" t="s">
        <v>2581</v>
      </c>
      <c r="H3859" s="950" t="s">
        <v>1231</v>
      </c>
      <c r="I3859" s="951" t="s">
        <v>10956</v>
      </c>
      <c r="J3859" s="947" t="s">
        <v>10957</v>
      </c>
      <c r="K3859" s="143"/>
    </row>
    <row r="3860" spans="1:11">
      <c r="A3860" s="946" t="s">
        <v>28608</v>
      </c>
      <c r="B3860" s="947" t="s">
        <v>11311</v>
      </c>
      <c r="C3860" s="948" t="s">
        <v>11309</v>
      </c>
      <c r="D3860" s="242" t="s">
        <v>28713</v>
      </c>
      <c r="E3860" s="949">
        <v>805</v>
      </c>
      <c r="F3860" s="949">
        <v>805</v>
      </c>
      <c r="G3860" s="950" t="s">
        <v>2581</v>
      </c>
      <c r="H3860" s="950" t="s">
        <v>1231</v>
      </c>
      <c r="I3860" s="951" t="s">
        <v>11310</v>
      </c>
      <c r="J3860" s="947" t="s">
        <v>11311</v>
      </c>
      <c r="K3860" s="143"/>
    </row>
    <row r="3861" spans="1:11">
      <c r="A3861" s="946" t="s">
        <v>28608</v>
      </c>
      <c r="B3861" s="947" t="s">
        <v>11498</v>
      </c>
      <c r="C3861" s="948" t="s">
        <v>11496</v>
      </c>
      <c r="D3861" s="242" t="s">
        <v>28713</v>
      </c>
      <c r="E3861" s="949">
        <v>805</v>
      </c>
      <c r="F3861" s="949">
        <v>805</v>
      </c>
      <c r="G3861" s="950" t="s">
        <v>2581</v>
      </c>
      <c r="H3861" s="950" t="s">
        <v>1231</v>
      </c>
      <c r="I3861" s="951" t="s">
        <v>11497</v>
      </c>
      <c r="J3861" s="947" t="s">
        <v>11498</v>
      </c>
      <c r="K3861" s="143"/>
    </row>
    <row r="3862" spans="1:11">
      <c r="A3862" s="946" t="s">
        <v>28608</v>
      </c>
      <c r="B3862" s="947" t="s">
        <v>11792</v>
      </c>
      <c r="C3862" s="948" t="s">
        <v>11790</v>
      </c>
      <c r="D3862" s="242" t="s">
        <v>28713</v>
      </c>
      <c r="E3862" s="949">
        <v>805</v>
      </c>
      <c r="F3862" s="949">
        <v>805</v>
      </c>
      <c r="G3862" s="950" t="s">
        <v>2581</v>
      </c>
      <c r="H3862" s="950" t="s">
        <v>1231</v>
      </c>
      <c r="I3862" s="951" t="s">
        <v>11791</v>
      </c>
      <c r="J3862" s="947" t="s">
        <v>11792</v>
      </c>
      <c r="K3862" s="143"/>
    </row>
    <row r="3863" spans="1:11">
      <c r="A3863" s="946" t="s">
        <v>28608</v>
      </c>
      <c r="B3863" s="947" t="s">
        <v>11943</v>
      </c>
      <c r="C3863" s="948" t="s">
        <v>11941</v>
      </c>
      <c r="D3863" s="242" t="s">
        <v>28713</v>
      </c>
      <c r="E3863" s="949">
        <v>805</v>
      </c>
      <c r="F3863" s="949">
        <v>805</v>
      </c>
      <c r="G3863" s="950" t="s">
        <v>2581</v>
      </c>
      <c r="H3863" s="950" t="s">
        <v>1231</v>
      </c>
      <c r="I3863" s="951" t="s">
        <v>11942</v>
      </c>
      <c r="J3863" s="947" t="s">
        <v>11943</v>
      </c>
      <c r="K3863" s="143"/>
    </row>
    <row r="3864" spans="1:11">
      <c r="A3864" s="946" t="s">
        <v>28608</v>
      </c>
      <c r="B3864" s="947" t="s">
        <v>12100</v>
      </c>
      <c r="C3864" s="948" t="s">
        <v>12098</v>
      </c>
      <c r="D3864" s="242" t="s">
        <v>28713</v>
      </c>
      <c r="E3864" s="949">
        <v>805</v>
      </c>
      <c r="F3864" s="949">
        <v>805</v>
      </c>
      <c r="G3864" s="950" t="s">
        <v>2581</v>
      </c>
      <c r="H3864" s="950" t="s">
        <v>1231</v>
      </c>
      <c r="I3864" s="951" t="s">
        <v>12099</v>
      </c>
      <c r="J3864" s="947" t="s">
        <v>12100</v>
      </c>
      <c r="K3864" s="143"/>
    </row>
    <row r="3865" spans="1:11">
      <c r="A3865" s="946" t="s">
        <v>28608</v>
      </c>
      <c r="B3865" s="947" t="s">
        <v>12691</v>
      </c>
      <c r="C3865" s="948" t="s">
        <v>12689</v>
      </c>
      <c r="D3865" s="242" t="s">
        <v>28713</v>
      </c>
      <c r="E3865" s="949">
        <v>805</v>
      </c>
      <c r="F3865" s="949">
        <v>805</v>
      </c>
      <c r="G3865" s="950" t="s">
        <v>2581</v>
      </c>
      <c r="H3865" s="950" t="s">
        <v>1231</v>
      </c>
      <c r="I3865" s="951" t="s">
        <v>12690</v>
      </c>
      <c r="J3865" s="947" t="s">
        <v>12691</v>
      </c>
      <c r="K3865" s="143"/>
    </row>
    <row r="3866" spans="1:11">
      <c r="A3866" s="946" t="s">
        <v>28608</v>
      </c>
      <c r="B3866" s="947" t="s">
        <v>12334</v>
      </c>
      <c r="C3866" s="948" t="s">
        <v>12332</v>
      </c>
      <c r="D3866" s="242" t="s">
        <v>28713</v>
      </c>
      <c r="E3866" s="949">
        <v>805</v>
      </c>
      <c r="F3866" s="949">
        <v>805</v>
      </c>
      <c r="G3866" s="950" t="s">
        <v>2581</v>
      </c>
      <c r="H3866" s="950" t="s">
        <v>1231</v>
      </c>
      <c r="I3866" s="951" t="s">
        <v>12333</v>
      </c>
      <c r="J3866" s="947" t="s">
        <v>12334</v>
      </c>
      <c r="K3866" s="143"/>
    </row>
    <row r="3867" spans="1:11">
      <c r="A3867" s="946" t="s">
        <v>28608</v>
      </c>
      <c r="B3867" s="947" t="s">
        <v>12875</v>
      </c>
      <c r="C3867" s="948" t="s">
        <v>12873</v>
      </c>
      <c r="D3867" s="242" t="s">
        <v>28713</v>
      </c>
      <c r="E3867" s="949">
        <v>805</v>
      </c>
      <c r="F3867" s="949">
        <v>805</v>
      </c>
      <c r="G3867" s="950" t="s">
        <v>2581</v>
      </c>
      <c r="H3867" s="950" t="s">
        <v>1231</v>
      </c>
      <c r="I3867" s="951" t="s">
        <v>12874</v>
      </c>
      <c r="J3867" s="947" t="s">
        <v>12875</v>
      </c>
      <c r="K3867" s="143"/>
    </row>
    <row r="3868" spans="1:11">
      <c r="A3868" s="946" t="s">
        <v>28608</v>
      </c>
      <c r="B3868" s="947" t="s">
        <v>12905</v>
      </c>
      <c r="C3868" s="948" t="s">
        <v>12903</v>
      </c>
      <c r="D3868" s="242" t="s">
        <v>28713</v>
      </c>
      <c r="E3868" s="949">
        <v>805</v>
      </c>
      <c r="F3868" s="949">
        <v>805</v>
      </c>
      <c r="G3868" s="950" t="s">
        <v>2581</v>
      </c>
      <c r="H3868" s="950" t="s">
        <v>1231</v>
      </c>
      <c r="I3868" s="951" t="s">
        <v>12904</v>
      </c>
      <c r="J3868" s="947" t="s">
        <v>12905</v>
      </c>
      <c r="K3868" s="143"/>
    </row>
    <row r="3869" spans="1:11">
      <c r="A3869" s="946" t="s">
        <v>28608</v>
      </c>
      <c r="B3869" s="947" t="s">
        <v>13962</v>
      </c>
      <c r="C3869" s="948" t="s">
        <v>13960</v>
      </c>
      <c r="D3869" s="242" t="s">
        <v>28713</v>
      </c>
      <c r="E3869" s="949">
        <v>805</v>
      </c>
      <c r="F3869" s="949">
        <v>805</v>
      </c>
      <c r="G3869" s="950" t="s">
        <v>2581</v>
      </c>
      <c r="H3869" s="950" t="s">
        <v>1231</v>
      </c>
      <c r="I3869" s="951" t="s">
        <v>13961</v>
      </c>
      <c r="J3869" s="947" t="s">
        <v>13962</v>
      </c>
      <c r="K3869" s="143"/>
    </row>
    <row r="3870" spans="1:11">
      <c r="A3870" s="946" t="s">
        <v>28608</v>
      </c>
      <c r="B3870" s="947" t="s">
        <v>14761</v>
      </c>
      <c r="C3870" s="948" t="s">
        <v>14759</v>
      </c>
      <c r="D3870" s="242" t="s">
        <v>28713</v>
      </c>
      <c r="E3870" s="949">
        <v>805</v>
      </c>
      <c r="F3870" s="949">
        <v>805</v>
      </c>
      <c r="G3870" s="950" t="s">
        <v>2581</v>
      </c>
      <c r="H3870" s="950" t="s">
        <v>1231</v>
      </c>
      <c r="I3870" s="951" t="s">
        <v>14760</v>
      </c>
      <c r="J3870" s="947" t="s">
        <v>14761</v>
      </c>
      <c r="K3870" s="143"/>
    </row>
    <row r="3871" spans="1:11">
      <c r="A3871" s="946" t="s">
        <v>28608</v>
      </c>
      <c r="B3871" s="947" t="s">
        <v>14928</v>
      </c>
      <c r="C3871" s="948" t="s">
        <v>14926</v>
      </c>
      <c r="D3871" s="242" t="s">
        <v>28713</v>
      </c>
      <c r="E3871" s="949">
        <v>805</v>
      </c>
      <c r="F3871" s="949">
        <v>805</v>
      </c>
      <c r="G3871" s="950" t="s">
        <v>2581</v>
      </c>
      <c r="H3871" s="950" t="s">
        <v>1231</v>
      </c>
      <c r="I3871" s="951" t="s">
        <v>14927</v>
      </c>
      <c r="J3871" s="947" t="s">
        <v>14928</v>
      </c>
      <c r="K3871" s="143"/>
    </row>
    <row r="3872" spans="1:11">
      <c r="A3872" s="946" t="s">
        <v>28608</v>
      </c>
      <c r="B3872" s="947" t="s">
        <v>17200</v>
      </c>
      <c r="C3872" s="948" t="s">
        <v>17198</v>
      </c>
      <c r="D3872" s="242" t="s">
        <v>28713</v>
      </c>
      <c r="E3872" s="949">
        <v>805</v>
      </c>
      <c r="F3872" s="949">
        <v>805</v>
      </c>
      <c r="G3872" s="950" t="s">
        <v>2581</v>
      </c>
      <c r="H3872" s="950" t="s">
        <v>1231</v>
      </c>
      <c r="I3872" s="951" t="s">
        <v>17199</v>
      </c>
      <c r="J3872" s="947" t="s">
        <v>17200</v>
      </c>
      <c r="K3872" s="143"/>
    </row>
    <row r="3873" spans="1:11">
      <c r="A3873" s="946" t="s">
        <v>28608</v>
      </c>
      <c r="B3873" s="947" t="s">
        <v>17398</v>
      </c>
      <c r="C3873" s="948" t="s">
        <v>17396</v>
      </c>
      <c r="D3873" s="242" t="s">
        <v>28713</v>
      </c>
      <c r="E3873" s="949">
        <v>805</v>
      </c>
      <c r="F3873" s="949">
        <v>805</v>
      </c>
      <c r="G3873" s="950" t="s">
        <v>2581</v>
      </c>
      <c r="H3873" s="950" t="s">
        <v>1231</v>
      </c>
      <c r="I3873" s="951" t="s">
        <v>17397</v>
      </c>
      <c r="J3873" s="947" t="s">
        <v>17398</v>
      </c>
      <c r="K3873" s="143"/>
    </row>
    <row r="3874" spans="1:11">
      <c r="A3874" s="946" t="s">
        <v>28608</v>
      </c>
      <c r="B3874" s="947" t="s">
        <v>17663</v>
      </c>
      <c r="C3874" s="948" t="s">
        <v>17661</v>
      </c>
      <c r="D3874" s="242" t="s">
        <v>28713</v>
      </c>
      <c r="E3874" s="949">
        <v>805</v>
      </c>
      <c r="F3874" s="949">
        <v>805</v>
      </c>
      <c r="G3874" s="950" t="s">
        <v>2581</v>
      </c>
      <c r="H3874" s="950" t="s">
        <v>1231</v>
      </c>
      <c r="I3874" s="951" t="s">
        <v>17662</v>
      </c>
      <c r="J3874" s="947" t="s">
        <v>17663</v>
      </c>
      <c r="K3874" s="143"/>
    </row>
    <row r="3875" spans="1:11">
      <c r="A3875" s="946" t="s">
        <v>28608</v>
      </c>
      <c r="B3875" s="947" t="s">
        <v>17729</v>
      </c>
      <c r="C3875" s="948" t="s">
        <v>17727</v>
      </c>
      <c r="D3875" s="242" t="s">
        <v>28713</v>
      </c>
      <c r="E3875" s="949">
        <v>805</v>
      </c>
      <c r="F3875" s="949">
        <v>805</v>
      </c>
      <c r="G3875" s="950" t="s">
        <v>2581</v>
      </c>
      <c r="H3875" s="950" t="s">
        <v>1231</v>
      </c>
      <c r="I3875" s="951" t="s">
        <v>17728</v>
      </c>
      <c r="J3875" s="947" t="s">
        <v>17729</v>
      </c>
      <c r="K3875" s="143"/>
    </row>
    <row r="3876" spans="1:11">
      <c r="A3876" s="946" t="s">
        <v>28608</v>
      </c>
      <c r="B3876" s="947" t="s">
        <v>17798</v>
      </c>
      <c r="C3876" s="948" t="s">
        <v>17796</v>
      </c>
      <c r="D3876" s="242" t="s">
        <v>28713</v>
      </c>
      <c r="E3876" s="949">
        <v>805</v>
      </c>
      <c r="F3876" s="949">
        <v>805</v>
      </c>
      <c r="G3876" s="950" t="s">
        <v>2581</v>
      </c>
      <c r="H3876" s="950" t="s">
        <v>1231</v>
      </c>
      <c r="I3876" s="951" t="s">
        <v>17797</v>
      </c>
      <c r="J3876" s="947" t="s">
        <v>17798</v>
      </c>
      <c r="K3876" s="143"/>
    </row>
    <row r="3877" spans="1:11">
      <c r="A3877" s="946" t="s">
        <v>28608</v>
      </c>
      <c r="B3877" s="947" t="s">
        <v>18102</v>
      </c>
      <c r="C3877" s="948" t="s">
        <v>18100</v>
      </c>
      <c r="D3877" s="242" t="s">
        <v>28713</v>
      </c>
      <c r="E3877" s="949">
        <v>805</v>
      </c>
      <c r="F3877" s="949">
        <v>805</v>
      </c>
      <c r="G3877" s="950" t="s">
        <v>2581</v>
      </c>
      <c r="H3877" s="950" t="s">
        <v>1231</v>
      </c>
      <c r="I3877" s="951" t="s">
        <v>18101</v>
      </c>
      <c r="J3877" s="947" t="s">
        <v>18102</v>
      </c>
      <c r="K3877" s="143"/>
    </row>
    <row r="3878" spans="1:11">
      <c r="A3878" s="946" t="s">
        <v>28608</v>
      </c>
      <c r="B3878" s="947" t="s">
        <v>18541</v>
      </c>
      <c r="C3878" s="948" t="s">
        <v>18539</v>
      </c>
      <c r="D3878" s="242" t="s">
        <v>28713</v>
      </c>
      <c r="E3878" s="949">
        <v>805</v>
      </c>
      <c r="F3878" s="949">
        <v>805</v>
      </c>
      <c r="G3878" s="950" t="s">
        <v>2581</v>
      </c>
      <c r="H3878" s="950" t="s">
        <v>1231</v>
      </c>
      <c r="I3878" s="951" t="s">
        <v>18540</v>
      </c>
      <c r="J3878" s="947" t="s">
        <v>18541</v>
      </c>
      <c r="K3878" s="143"/>
    </row>
    <row r="3879" spans="1:11">
      <c r="A3879" s="946" t="s">
        <v>28608</v>
      </c>
      <c r="B3879" s="947" t="s">
        <v>18924</v>
      </c>
      <c r="C3879" s="948" t="s">
        <v>18922</v>
      </c>
      <c r="D3879" s="242" t="s">
        <v>28713</v>
      </c>
      <c r="E3879" s="949">
        <v>805</v>
      </c>
      <c r="F3879" s="949">
        <v>805</v>
      </c>
      <c r="G3879" s="950" t="s">
        <v>2581</v>
      </c>
      <c r="H3879" s="950" t="s">
        <v>1231</v>
      </c>
      <c r="I3879" s="951" t="s">
        <v>18923</v>
      </c>
      <c r="J3879" s="947" t="s">
        <v>18924</v>
      </c>
      <c r="K3879" s="143"/>
    </row>
    <row r="3880" spans="1:11">
      <c r="A3880" s="946" t="s">
        <v>28608</v>
      </c>
      <c r="B3880" s="947" t="s">
        <v>21754</v>
      </c>
      <c r="C3880" s="948" t="s">
        <v>21752</v>
      </c>
      <c r="D3880" s="242" t="s">
        <v>28713</v>
      </c>
      <c r="E3880" s="949">
        <v>805</v>
      </c>
      <c r="F3880" s="949">
        <v>805</v>
      </c>
      <c r="G3880" s="950" t="s">
        <v>2581</v>
      </c>
      <c r="H3880" s="950" t="s">
        <v>1231</v>
      </c>
      <c r="I3880" s="951" t="s">
        <v>21753</v>
      </c>
      <c r="J3880" s="947" t="s">
        <v>21754</v>
      </c>
      <c r="K3880" s="143"/>
    </row>
    <row r="3881" spans="1:11">
      <c r="A3881" s="946" t="s">
        <v>28608</v>
      </c>
      <c r="B3881" s="947" t="s">
        <v>22650</v>
      </c>
      <c r="C3881" s="948" t="s">
        <v>22648</v>
      </c>
      <c r="D3881" s="242" t="s">
        <v>28713</v>
      </c>
      <c r="E3881" s="949">
        <v>805</v>
      </c>
      <c r="F3881" s="949">
        <v>805</v>
      </c>
      <c r="G3881" s="950" t="s">
        <v>2581</v>
      </c>
      <c r="H3881" s="950" t="s">
        <v>1231</v>
      </c>
      <c r="I3881" s="951" t="s">
        <v>22649</v>
      </c>
      <c r="J3881" s="947" t="s">
        <v>22650</v>
      </c>
      <c r="K3881" s="143"/>
    </row>
    <row r="3882" spans="1:11">
      <c r="A3882" s="946" t="s">
        <v>28608</v>
      </c>
      <c r="B3882" s="947" t="s">
        <v>24967</v>
      </c>
      <c r="C3882" s="948" t="s">
        <v>26143</v>
      </c>
      <c r="D3882" s="242" t="s">
        <v>28713</v>
      </c>
      <c r="E3882" s="949">
        <v>805</v>
      </c>
      <c r="F3882" s="949">
        <v>805</v>
      </c>
      <c r="G3882" s="950" t="s">
        <v>2581</v>
      </c>
      <c r="H3882" s="950" t="s">
        <v>1231</v>
      </c>
      <c r="I3882" s="951" t="s">
        <v>24968</v>
      </c>
      <c r="J3882" s="947" t="s">
        <v>24967</v>
      </c>
      <c r="K3882" s="143"/>
    </row>
    <row r="3883" spans="1:11">
      <c r="A3883" s="946" t="s">
        <v>28608</v>
      </c>
      <c r="B3883" s="947" t="s">
        <v>26144</v>
      </c>
      <c r="C3883" s="948" t="s">
        <v>26145</v>
      </c>
      <c r="D3883" s="242" t="s">
        <v>28713</v>
      </c>
      <c r="E3883" s="949">
        <v>805</v>
      </c>
      <c r="F3883" s="949">
        <v>805</v>
      </c>
      <c r="G3883" s="950" t="s">
        <v>2581</v>
      </c>
      <c r="H3883" s="950" t="s">
        <v>1231</v>
      </c>
      <c r="I3883" s="951" t="s">
        <v>26146</v>
      </c>
      <c r="J3883" s="947" t="s">
        <v>26144</v>
      </c>
      <c r="K3883" s="143"/>
    </row>
    <row r="3884" spans="1:11">
      <c r="A3884" s="946" t="s">
        <v>28608</v>
      </c>
      <c r="B3884" s="947" t="s">
        <v>1392</v>
      </c>
      <c r="C3884" s="948" t="s">
        <v>1389</v>
      </c>
      <c r="D3884" s="242" t="s">
        <v>28713</v>
      </c>
      <c r="E3884" s="949">
        <v>806</v>
      </c>
      <c r="F3884" s="949">
        <v>806</v>
      </c>
      <c r="G3884" s="950" t="s">
        <v>8150</v>
      </c>
      <c r="H3884" s="950" t="s">
        <v>1390</v>
      </c>
      <c r="I3884" s="951" t="s">
        <v>1391</v>
      </c>
      <c r="J3884" s="947" t="s">
        <v>1392</v>
      </c>
      <c r="K3884" s="143"/>
    </row>
    <row r="3885" spans="1:11">
      <c r="A3885" s="946" t="s">
        <v>28608</v>
      </c>
      <c r="B3885" s="947" t="s">
        <v>2637</v>
      </c>
      <c r="C3885" s="948" t="s">
        <v>2635</v>
      </c>
      <c r="D3885" s="242" t="s">
        <v>28713</v>
      </c>
      <c r="E3885" s="949">
        <v>806</v>
      </c>
      <c r="F3885" s="949">
        <v>806</v>
      </c>
      <c r="G3885" s="950" t="s">
        <v>8150</v>
      </c>
      <c r="H3885" s="950" t="s">
        <v>1390</v>
      </c>
      <c r="I3885" s="951" t="s">
        <v>2636</v>
      </c>
      <c r="J3885" s="947" t="s">
        <v>2637</v>
      </c>
      <c r="K3885" s="143"/>
    </row>
    <row r="3886" spans="1:11">
      <c r="A3886" s="946" t="s">
        <v>28608</v>
      </c>
      <c r="B3886" s="947" t="s">
        <v>5862</v>
      </c>
      <c r="C3886" s="948" t="s">
        <v>5860</v>
      </c>
      <c r="D3886" s="242" t="s">
        <v>28713</v>
      </c>
      <c r="E3886" s="949">
        <v>806</v>
      </c>
      <c r="F3886" s="949">
        <v>806</v>
      </c>
      <c r="G3886" s="950" t="s">
        <v>8150</v>
      </c>
      <c r="H3886" s="950" t="s">
        <v>1390</v>
      </c>
      <c r="I3886" s="951" t="s">
        <v>5861</v>
      </c>
      <c r="J3886" s="947" t="s">
        <v>5862</v>
      </c>
      <c r="K3886" s="143"/>
    </row>
    <row r="3887" spans="1:11">
      <c r="A3887" s="946" t="s">
        <v>28608</v>
      </c>
      <c r="B3887" s="947" t="s">
        <v>6663</v>
      </c>
      <c r="C3887" s="948" t="s">
        <v>6661</v>
      </c>
      <c r="D3887" s="242" t="s">
        <v>28713</v>
      </c>
      <c r="E3887" s="949">
        <v>806</v>
      </c>
      <c r="F3887" s="949">
        <v>806</v>
      </c>
      <c r="G3887" s="950" t="s">
        <v>8150</v>
      </c>
      <c r="H3887" s="950" t="s">
        <v>1390</v>
      </c>
      <c r="I3887" s="951" t="s">
        <v>6662</v>
      </c>
      <c r="J3887" s="947" t="s">
        <v>6663</v>
      </c>
      <c r="K3887" s="143"/>
    </row>
    <row r="3888" spans="1:11">
      <c r="A3888" s="946" t="s">
        <v>28608</v>
      </c>
      <c r="B3888" s="947" t="s">
        <v>6869</v>
      </c>
      <c r="C3888" s="948" t="s">
        <v>6867</v>
      </c>
      <c r="D3888" s="242" t="s">
        <v>28713</v>
      </c>
      <c r="E3888" s="949">
        <v>806</v>
      </c>
      <c r="F3888" s="949">
        <v>806</v>
      </c>
      <c r="G3888" s="950" t="s">
        <v>8150</v>
      </c>
      <c r="H3888" s="950" t="s">
        <v>1390</v>
      </c>
      <c r="I3888" s="951" t="s">
        <v>6868</v>
      </c>
      <c r="J3888" s="947" t="s">
        <v>6869</v>
      </c>
      <c r="K3888" s="143"/>
    </row>
    <row r="3889" spans="1:11">
      <c r="A3889" s="946" t="s">
        <v>28608</v>
      </c>
      <c r="B3889" s="947" t="s">
        <v>7015</v>
      </c>
      <c r="C3889" s="948" t="s">
        <v>7013</v>
      </c>
      <c r="D3889" s="242" t="s">
        <v>28713</v>
      </c>
      <c r="E3889" s="949">
        <v>806</v>
      </c>
      <c r="F3889" s="949">
        <v>806</v>
      </c>
      <c r="G3889" s="950" t="s">
        <v>8150</v>
      </c>
      <c r="H3889" s="950" t="s">
        <v>1390</v>
      </c>
      <c r="I3889" s="951" t="s">
        <v>7014</v>
      </c>
      <c r="J3889" s="947" t="s">
        <v>7015</v>
      </c>
      <c r="K3889" s="143"/>
    </row>
    <row r="3890" spans="1:11">
      <c r="A3890" s="946" t="s">
        <v>28608</v>
      </c>
      <c r="B3890" s="947" t="s">
        <v>8150</v>
      </c>
      <c r="C3890" s="948" t="s">
        <v>8148</v>
      </c>
      <c r="D3890" s="242" t="s">
        <v>28713</v>
      </c>
      <c r="E3890" s="949">
        <v>806</v>
      </c>
      <c r="F3890" s="949">
        <v>806</v>
      </c>
      <c r="G3890" s="950" t="s">
        <v>8150</v>
      </c>
      <c r="H3890" s="950" t="s">
        <v>1390</v>
      </c>
      <c r="I3890" s="951" t="s">
        <v>8149</v>
      </c>
      <c r="J3890" s="947" t="s">
        <v>8150</v>
      </c>
      <c r="K3890" s="143"/>
    </row>
    <row r="3891" spans="1:11">
      <c r="A3891" s="946" t="s">
        <v>28608</v>
      </c>
      <c r="B3891" s="947" t="s">
        <v>9984</v>
      </c>
      <c r="C3891" s="948" t="s">
        <v>9982</v>
      </c>
      <c r="D3891" s="242" t="s">
        <v>28713</v>
      </c>
      <c r="E3891" s="949">
        <v>806</v>
      </c>
      <c r="F3891" s="949">
        <v>806</v>
      </c>
      <c r="G3891" s="950" t="s">
        <v>8150</v>
      </c>
      <c r="H3891" s="950" t="s">
        <v>1390</v>
      </c>
      <c r="I3891" s="951" t="s">
        <v>9983</v>
      </c>
      <c r="J3891" s="947" t="s">
        <v>9984</v>
      </c>
      <c r="K3891" s="143"/>
    </row>
    <row r="3892" spans="1:11">
      <c r="A3892" s="946" t="s">
        <v>28608</v>
      </c>
      <c r="B3892" s="947" t="s">
        <v>10060</v>
      </c>
      <c r="C3892" s="948" t="s">
        <v>10058</v>
      </c>
      <c r="D3892" s="242" t="s">
        <v>28713</v>
      </c>
      <c r="E3892" s="949">
        <v>806</v>
      </c>
      <c r="F3892" s="949">
        <v>806</v>
      </c>
      <c r="G3892" s="950" t="s">
        <v>8150</v>
      </c>
      <c r="H3892" s="950" t="s">
        <v>1390</v>
      </c>
      <c r="I3892" s="951" t="s">
        <v>10059</v>
      </c>
      <c r="J3892" s="947" t="s">
        <v>10060</v>
      </c>
      <c r="K3892" s="143"/>
    </row>
    <row r="3893" spans="1:11">
      <c r="A3893" s="946" t="s">
        <v>28608</v>
      </c>
      <c r="B3893" s="947" t="s">
        <v>11359</v>
      </c>
      <c r="C3893" s="948" t="s">
        <v>11357</v>
      </c>
      <c r="D3893" s="242" t="s">
        <v>28713</v>
      </c>
      <c r="E3893" s="949">
        <v>806</v>
      </c>
      <c r="F3893" s="949">
        <v>806</v>
      </c>
      <c r="G3893" s="950" t="s">
        <v>8150</v>
      </c>
      <c r="H3893" s="950" t="s">
        <v>1390</v>
      </c>
      <c r="I3893" s="951" t="s">
        <v>11358</v>
      </c>
      <c r="J3893" s="947" t="s">
        <v>11359</v>
      </c>
      <c r="K3893" s="143"/>
    </row>
    <row r="3894" spans="1:11">
      <c r="A3894" s="946" t="s">
        <v>28608</v>
      </c>
      <c r="B3894" s="947" t="s">
        <v>11669</v>
      </c>
      <c r="C3894" s="948" t="s">
        <v>11667</v>
      </c>
      <c r="D3894" s="242" t="s">
        <v>28713</v>
      </c>
      <c r="E3894" s="949">
        <v>806</v>
      </c>
      <c r="F3894" s="949">
        <v>806</v>
      </c>
      <c r="G3894" s="950" t="s">
        <v>8150</v>
      </c>
      <c r="H3894" s="950" t="s">
        <v>1390</v>
      </c>
      <c r="I3894" s="951" t="s">
        <v>11668</v>
      </c>
      <c r="J3894" s="947" t="s">
        <v>11669</v>
      </c>
      <c r="K3894" s="143"/>
    </row>
    <row r="3895" spans="1:11">
      <c r="A3895" s="946" t="s">
        <v>28608</v>
      </c>
      <c r="B3895" s="947" t="s">
        <v>13896</v>
      </c>
      <c r="C3895" s="948" t="s">
        <v>13894</v>
      </c>
      <c r="D3895" s="242" t="s">
        <v>28713</v>
      </c>
      <c r="E3895" s="949">
        <v>806</v>
      </c>
      <c r="F3895" s="949">
        <v>806</v>
      </c>
      <c r="G3895" s="950" t="s">
        <v>8150</v>
      </c>
      <c r="H3895" s="950" t="s">
        <v>1390</v>
      </c>
      <c r="I3895" s="951" t="s">
        <v>13895</v>
      </c>
      <c r="J3895" s="947" t="s">
        <v>13896</v>
      </c>
      <c r="K3895" s="143"/>
    </row>
    <row r="3896" spans="1:11">
      <c r="A3896" s="946" t="s">
        <v>28608</v>
      </c>
      <c r="B3896" s="947" t="s">
        <v>15193</v>
      </c>
      <c r="C3896" s="948" t="s">
        <v>15191</v>
      </c>
      <c r="D3896" s="242" t="s">
        <v>28713</v>
      </c>
      <c r="E3896" s="949">
        <v>806</v>
      </c>
      <c r="F3896" s="949">
        <v>806</v>
      </c>
      <c r="G3896" s="950" t="s">
        <v>8150</v>
      </c>
      <c r="H3896" s="950" t="s">
        <v>1390</v>
      </c>
      <c r="I3896" s="951" t="s">
        <v>15192</v>
      </c>
      <c r="J3896" s="947" t="s">
        <v>15193</v>
      </c>
      <c r="K3896" s="143"/>
    </row>
    <row r="3897" spans="1:11">
      <c r="A3897" s="946" t="s">
        <v>28608</v>
      </c>
      <c r="B3897" s="947" t="s">
        <v>15598</v>
      </c>
      <c r="C3897" s="948" t="s">
        <v>15596</v>
      </c>
      <c r="D3897" s="242" t="s">
        <v>28713</v>
      </c>
      <c r="E3897" s="949">
        <v>806</v>
      </c>
      <c r="F3897" s="949">
        <v>806</v>
      </c>
      <c r="G3897" s="950" t="s">
        <v>8150</v>
      </c>
      <c r="H3897" s="950" t="s">
        <v>1390</v>
      </c>
      <c r="I3897" s="951" t="s">
        <v>15597</v>
      </c>
      <c r="J3897" s="947" t="s">
        <v>15598</v>
      </c>
      <c r="K3897" s="143"/>
    </row>
    <row r="3898" spans="1:11">
      <c r="A3898" s="946" t="s">
        <v>28608</v>
      </c>
      <c r="B3898" s="947" t="s">
        <v>21975</v>
      </c>
      <c r="C3898" s="948" t="s">
        <v>21973</v>
      </c>
      <c r="D3898" s="242" t="s">
        <v>28713</v>
      </c>
      <c r="E3898" s="949">
        <v>806</v>
      </c>
      <c r="F3898" s="949">
        <v>806</v>
      </c>
      <c r="G3898" s="950" t="s">
        <v>8150</v>
      </c>
      <c r="H3898" s="950" t="s">
        <v>1390</v>
      </c>
      <c r="I3898" s="951" t="s">
        <v>21974</v>
      </c>
      <c r="J3898" s="947" t="s">
        <v>21975</v>
      </c>
      <c r="K3898" s="143"/>
    </row>
    <row r="3899" spans="1:11">
      <c r="A3899" s="946" t="s">
        <v>28608</v>
      </c>
      <c r="B3899" s="947" t="s">
        <v>22490</v>
      </c>
      <c r="C3899" s="948" t="s">
        <v>22488</v>
      </c>
      <c r="D3899" s="242" t="s">
        <v>28713</v>
      </c>
      <c r="E3899" s="949">
        <v>806</v>
      </c>
      <c r="F3899" s="949">
        <v>806</v>
      </c>
      <c r="G3899" s="950" t="s">
        <v>8150</v>
      </c>
      <c r="H3899" s="950" t="s">
        <v>1390</v>
      </c>
      <c r="I3899" s="951" t="s">
        <v>22489</v>
      </c>
      <c r="J3899" s="947" t="s">
        <v>22490</v>
      </c>
      <c r="K3899" s="143"/>
    </row>
    <row r="3900" spans="1:11">
      <c r="A3900" s="946" t="s">
        <v>28608</v>
      </c>
      <c r="B3900" s="947" t="s">
        <v>9398</v>
      </c>
      <c r="C3900" s="948" t="s">
        <v>9396</v>
      </c>
      <c r="D3900" s="242" t="s">
        <v>28713</v>
      </c>
      <c r="E3900" s="949">
        <v>806</v>
      </c>
      <c r="F3900" s="949">
        <v>806</v>
      </c>
      <c r="G3900" s="950" t="s">
        <v>8150</v>
      </c>
      <c r="H3900" s="950" t="s">
        <v>1390</v>
      </c>
      <c r="I3900" s="951" t="s">
        <v>9397</v>
      </c>
      <c r="J3900" s="947" t="s">
        <v>9398</v>
      </c>
      <c r="K3900" s="143"/>
    </row>
    <row r="3901" spans="1:11">
      <c r="A3901" s="946" t="s">
        <v>28608</v>
      </c>
      <c r="B3901" s="947" t="s">
        <v>24931</v>
      </c>
      <c r="C3901" s="948" t="s">
        <v>26147</v>
      </c>
      <c r="D3901" s="242" t="s">
        <v>28713</v>
      </c>
      <c r="E3901" s="949">
        <v>806</v>
      </c>
      <c r="F3901" s="949">
        <v>806</v>
      </c>
      <c r="G3901" s="950" t="s">
        <v>8150</v>
      </c>
      <c r="H3901" s="950" t="s">
        <v>1390</v>
      </c>
      <c r="I3901" s="951" t="s">
        <v>24932</v>
      </c>
      <c r="J3901" s="947" t="s">
        <v>24931</v>
      </c>
      <c r="K3901" s="143"/>
    </row>
    <row r="3902" spans="1:11">
      <c r="A3902" s="946" t="s">
        <v>28608</v>
      </c>
      <c r="B3902" s="947" t="s">
        <v>26148</v>
      </c>
      <c r="C3902" s="948" t="s">
        <v>26149</v>
      </c>
      <c r="D3902" s="242" t="s">
        <v>28713</v>
      </c>
      <c r="E3902" s="949">
        <v>806</v>
      </c>
      <c r="F3902" s="949">
        <v>806</v>
      </c>
      <c r="G3902" s="950" t="s">
        <v>8150</v>
      </c>
      <c r="H3902" s="950" t="s">
        <v>1390</v>
      </c>
      <c r="I3902" s="951" t="s">
        <v>26150</v>
      </c>
      <c r="J3902" s="947" t="s">
        <v>26148</v>
      </c>
      <c r="K3902" s="143"/>
    </row>
    <row r="3903" spans="1:11">
      <c r="A3903" s="946" t="s">
        <v>28608</v>
      </c>
      <c r="B3903" s="947" t="s">
        <v>28625</v>
      </c>
      <c r="C3903" s="948" t="s">
        <v>28747</v>
      </c>
      <c r="D3903" s="242" t="s">
        <v>28713</v>
      </c>
      <c r="E3903" s="949">
        <v>806</v>
      </c>
      <c r="F3903" s="949">
        <v>806</v>
      </c>
      <c r="G3903" s="950" t="s">
        <v>8150</v>
      </c>
      <c r="H3903" s="950" t="s">
        <v>1390</v>
      </c>
      <c r="I3903" s="951" t="s">
        <v>28670</v>
      </c>
      <c r="J3903" s="947" t="s">
        <v>28625</v>
      </c>
      <c r="K3903" s="143"/>
    </row>
    <row r="3904" spans="1:11">
      <c r="A3904" s="946" t="s">
        <v>28608</v>
      </c>
      <c r="B3904" s="947" t="s">
        <v>28626</v>
      </c>
      <c r="C3904" s="948" t="s">
        <v>28748</v>
      </c>
      <c r="D3904" s="242" t="s">
        <v>28713</v>
      </c>
      <c r="E3904" s="949">
        <v>806</v>
      </c>
      <c r="F3904" s="949">
        <v>806</v>
      </c>
      <c r="G3904" s="950" t="s">
        <v>8150</v>
      </c>
      <c r="H3904" s="950" t="s">
        <v>1390</v>
      </c>
      <c r="I3904" s="951" t="s">
        <v>28671</v>
      </c>
      <c r="J3904" s="947" t="s">
        <v>28626</v>
      </c>
      <c r="K3904" s="143"/>
    </row>
    <row r="3905" spans="1:11">
      <c r="A3905" s="946" t="s">
        <v>28608</v>
      </c>
      <c r="B3905" s="947" t="s">
        <v>907</v>
      </c>
      <c r="C3905" s="948" t="s">
        <v>904</v>
      </c>
      <c r="D3905" s="242" t="s">
        <v>28713</v>
      </c>
      <c r="E3905" s="949">
        <v>807</v>
      </c>
      <c r="F3905" s="949">
        <v>807</v>
      </c>
      <c r="G3905" s="950" t="s">
        <v>16125</v>
      </c>
      <c r="H3905" s="950" t="s">
        <v>905</v>
      </c>
      <c r="I3905" s="951" t="s">
        <v>906</v>
      </c>
      <c r="J3905" s="947" t="s">
        <v>907</v>
      </c>
      <c r="K3905" s="143"/>
    </row>
    <row r="3906" spans="1:11">
      <c r="A3906" s="946" t="s">
        <v>28608</v>
      </c>
      <c r="B3906" s="947" t="s">
        <v>1761</v>
      </c>
      <c r="C3906" s="948" t="s">
        <v>1759</v>
      </c>
      <c r="D3906" s="242" t="s">
        <v>28713</v>
      </c>
      <c r="E3906" s="949">
        <v>807</v>
      </c>
      <c r="F3906" s="949">
        <v>807</v>
      </c>
      <c r="G3906" s="950" t="s">
        <v>16125</v>
      </c>
      <c r="H3906" s="950" t="s">
        <v>905</v>
      </c>
      <c r="I3906" s="951" t="s">
        <v>1760</v>
      </c>
      <c r="J3906" s="947" t="s">
        <v>1761</v>
      </c>
      <c r="K3906" s="143"/>
    </row>
    <row r="3907" spans="1:11">
      <c r="A3907" s="946" t="s">
        <v>28608</v>
      </c>
      <c r="B3907" s="947" t="s">
        <v>1767</v>
      </c>
      <c r="C3907" s="948" t="s">
        <v>1765</v>
      </c>
      <c r="D3907" s="242" t="s">
        <v>28713</v>
      </c>
      <c r="E3907" s="949">
        <v>807</v>
      </c>
      <c r="F3907" s="949">
        <v>807</v>
      </c>
      <c r="G3907" s="950" t="s">
        <v>16125</v>
      </c>
      <c r="H3907" s="950" t="s">
        <v>905</v>
      </c>
      <c r="I3907" s="951" t="s">
        <v>1766</v>
      </c>
      <c r="J3907" s="947" t="s">
        <v>1767</v>
      </c>
      <c r="K3907" s="143"/>
    </row>
    <row r="3908" spans="1:11">
      <c r="A3908" s="946" t="s">
        <v>28608</v>
      </c>
      <c r="B3908" s="947" t="s">
        <v>3084</v>
      </c>
      <c r="C3908" s="948" t="s">
        <v>3082</v>
      </c>
      <c r="D3908" s="242" t="s">
        <v>28713</v>
      </c>
      <c r="E3908" s="949">
        <v>807</v>
      </c>
      <c r="F3908" s="949">
        <v>807</v>
      </c>
      <c r="G3908" s="950" t="s">
        <v>16125</v>
      </c>
      <c r="H3908" s="950" t="s">
        <v>905</v>
      </c>
      <c r="I3908" s="951" t="s">
        <v>3083</v>
      </c>
      <c r="J3908" s="947" t="s">
        <v>3084</v>
      </c>
      <c r="K3908" s="143"/>
    </row>
    <row r="3909" spans="1:11">
      <c r="A3909" s="946" t="s">
        <v>28608</v>
      </c>
      <c r="B3909" s="947" t="s">
        <v>4787</v>
      </c>
      <c r="C3909" s="948" t="s">
        <v>4785</v>
      </c>
      <c r="D3909" s="242" t="s">
        <v>28713</v>
      </c>
      <c r="E3909" s="949">
        <v>807</v>
      </c>
      <c r="F3909" s="949">
        <v>807</v>
      </c>
      <c r="G3909" s="950" t="s">
        <v>16125</v>
      </c>
      <c r="H3909" s="950" t="s">
        <v>905</v>
      </c>
      <c r="I3909" s="951" t="s">
        <v>4786</v>
      </c>
      <c r="J3909" s="947" t="s">
        <v>4787</v>
      </c>
      <c r="K3909" s="143"/>
    </row>
    <row r="3910" spans="1:11">
      <c r="A3910" s="946" t="s">
        <v>28608</v>
      </c>
      <c r="B3910" s="947" t="s">
        <v>4916</v>
      </c>
      <c r="C3910" s="948" t="s">
        <v>4914</v>
      </c>
      <c r="D3910" s="242" t="s">
        <v>28713</v>
      </c>
      <c r="E3910" s="949">
        <v>807</v>
      </c>
      <c r="F3910" s="949">
        <v>807</v>
      </c>
      <c r="G3910" s="950" t="s">
        <v>16125</v>
      </c>
      <c r="H3910" s="950" t="s">
        <v>905</v>
      </c>
      <c r="I3910" s="951" t="s">
        <v>4915</v>
      </c>
      <c r="J3910" s="947" t="s">
        <v>4916</v>
      </c>
      <c r="K3910" s="143"/>
    </row>
    <row r="3911" spans="1:11">
      <c r="A3911" s="946" t="s">
        <v>28608</v>
      </c>
      <c r="B3911" s="947" t="s">
        <v>6079</v>
      </c>
      <c r="C3911" s="948" t="s">
        <v>6077</v>
      </c>
      <c r="D3911" s="242" t="s">
        <v>28713</v>
      </c>
      <c r="E3911" s="949">
        <v>807</v>
      </c>
      <c r="F3911" s="949">
        <v>807</v>
      </c>
      <c r="G3911" s="950" t="s">
        <v>16125</v>
      </c>
      <c r="H3911" s="950" t="s">
        <v>905</v>
      </c>
      <c r="I3911" s="951" t="s">
        <v>6078</v>
      </c>
      <c r="J3911" s="947" t="s">
        <v>6079</v>
      </c>
      <c r="K3911" s="143"/>
    </row>
    <row r="3912" spans="1:11">
      <c r="A3912" s="946" t="s">
        <v>28608</v>
      </c>
      <c r="B3912" s="947" t="s">
        <v>6976</v>
      </c>
      <c r="C3912" s="948" t="s">
        <v>6974</v>
      </c>
      <c r="D3912" s="242" t="s">
        <v>28713</v>
      </c>
      <c r="E3912" s="949">
        <v>807</v>
      </c>
      <c r="F3912" s="949">
        <v>807</v>
      </c>
      <c r="G3912" s="950" t="s">
        <v>16125</v>
      </c>
      <c r="H3912" s="950" t="s">
        <v>905</v>
      </c>
      <c r="I3912" s="951" t="s">
        <v>6975</v>
      </c>
      <c r="J3912" s="947" t="s">
        <v>6976</v>
      </c>
      <c r="K3912" s="143"/>
    </row>
    <row r="3913" spans="1:11">
      <c r="A3913" s="946" t="s">
        <v>28608</v>
      </c>
      <c r="B3913" s="947" t="s">
        <v>7298</v>
      </c>
      <c r="C3913" s="948" t="s">
        <v>7296</v>
      </c>
      <c r="D3913" s="242" t="s">
        <v>28713</v>
      </c>
      <c r="E3913" s="949">
        <v>807</v>
      </c>
      <c r="F3913" s="949">
        <v>807</v>
      </c>
      <c r="G3913" s="950" t="s">
        <v>16125</v>
      </c>
      <c r="H3913" s="950" t="s">
        <v>905</v>
      </c>
      <c r="I3913" s="951" t="s">
        <v>7297</v>
      </c>
      <c r="J3913" s="947" t="s">
        <v>7298</v>
      </c>
      <c r="K3913" s="143"/>
    </row>
    <row r="3914" spans="1:11">
      <c r="A3914" s="946" t="s">
        <v>28608</v>
      </c>
      <c r="B3914" s="947" t="s">
        <v>7956</v>
      </c>
      <c r="C3914" s="948" t="s">
        <v>7954</v>
      </c>
      <c r="D3914" s="242" t="s">
        <v>28713</v>
      </c>
      <c r="E3914" s="949">
        <v>807</v>
      </c>
      <c r="F3914" s="949">
        <v>807</v>
      </c>
      <c r="G3914" s="950" t="s">
        <v>16125</v>
      </c>
      <c r="H3914" s="950" t="s">
        <v>905</v>
      </c>
      <c r="I3914" s="951" t="s">
        <v>7955</v>
      </c>
      <c r="J3914" s="947" t="s">
        <v>7956</v>
      </c>
      <c r="K3914" s="143"/>
    </row>
    <row r="3915" spans="1:11">
      <c r="A3915" s="946" t="s">
        <v>28608</v>
      </c>
      <c r="B3915" s="947" t="s">
        <v>8776</v>
      </c>
      <c r="C3915" s="948" t="s">
        <v>8774</v>
      </c>
      <c r="D3915" s="242" t="s">
        <v>28713</v>
      </c>
      <c r="E3915" s="949">
        <v>807</v>
      </c>
      <c r="F3915" s="949">
        <v>807</v>
      </c>
      <c r="G3915" s="950" t="s">
        <v>16125</v>
      </c>
      <c r="H3915" s="950" t="s">
        <v>905</v>
      </c>
      <c r="I3915" s="951" t="s">
        <v>8775</v>
      </c>
      <c r="J3915" s="947" t="s">
        <v>8776</v>
      </c>
      <c r="K3915" s="143"/>
    </row>
    <row r="3916" spans="1:11">
      <c r="A3916" s="946" t="s">
        <v>28608</v>
      </c>
      <c r="B3916" s="947" t="s">
        <v>10715</v>
      </c>
      <c r="C3916" s="948" t="s">
        <v>10713</v>
      </c>
      <c r="D3916" s="242" t="s">
        <v>28713</v>
      </c>
      <c r="E3916" s="949">
        <v>807</v>
      </c>
      <c r="F3916" s="949">
        <v>807</v>
      </c>
      <c r="G3916" s="950" t="s">
        <v>16125</v>
      </c>
      <c r="H3916" s="950" t="s">
        <v>905</v>
      </c>
      <c r="I3916" s="951" t="s">
        <v>10714</v>
      </c>
      <c r="J3916" s="947" t="s">
        <v>10715</v>
      </c>
      <c r="K3916" s="143"/>
    </row>
    <row r="3917" spans="1:11">
      <c r="A3917" s="946" t="s">
        <v>28608</v>
      </c>
      <c r="B3917" s="947" t="s">
        <v>11385</v>
      </c>
      <c r="C3917" s="948" t="s">
        <v>11383</v>
      </c>
      <c r="D3917" s="242" t="s">
        <v>28713</v>
      </c>
      <c r="E3917" s="949">
        <v>807</v>
      </c>
      <c r="F3917" s="949">
        <v>807</v>
      </c>
      <c r="G3917" s="950" t="s">
        <v>16125</v>
      </c>
      <c r="H3917" s="950" t="s">
        <v>905</v>
      </c>
      <c r="I3917" s="951" t="s">
        <v>11384</v>
      </c>
      <c r="J3917" s="947" t="s">
        <v>11385</v>
      </c>
      <c r="K3917" s="143"/>
    </row>
    <row r="3918" spans="1:11">
      <c r="A3918" s="946" t="s">
        <v>28608</v>
      </c>
      <c r="B3918" s="947" t="s">
        <v>16125</v>
      </c>
      <c r="C3918" s="948" t="s">
        <v>16123</v>
      </c>
      <c r="D3918" s="242" t="s">
        <v>28713</v>
      </c>
      <c r="E3918" s="949">
        <v>807</v>
      </c>
      <c r="F3918" s="949">
        <v>807</v>
      </c>
      <c r="G3918" s="950" t="s">
        <v>16125</v>
      </c>
      <c r="H3918" s="950" t="s">
        <v>905</v>
      </c>
      <c r="I3918" s="951" t="s">
        <v>16124</v>
      </c>
      <c r="J3918" s="947" t="s">
        <v>16125</v>
      </c>
      <c r="K3918" s="143"/>
    </row>
    <row r="3919" spans="1:11">
      <c r="A3919" s="946" t="s">
        <v>28608</v>
      </c>
      <c r="B3919" s="947" t="s">
        <v>16330</v>
      </c>
      <c r="C3919" s="948" t="s">
        <v>16328</v>
      </c>
      <c r="D3919" s="242" t="s">
        <v>28713</v>
      </c>
      <c r="E3919" s="949">
        <v>807</v>
      </c>
      <c r="F3919" s="949">
        <v>807</v>
      </c>
      <c r="G3919" s="950" t="s">
        <v>16125</v>
      </c>
      <c r="H3919" s="950" t="s">
        <v>905</v>
      </c>
      <c r="I3919" s="951" t="s">
        <v>16329</v>
      </c>
      <c r="J3919" s="947" t="s">
        <v>16330</v>
      </c>
      <c r="K3919" s="143"/>
    </row>
    <row r="3920" spans="1:11">
      <c r="A3920" s="946" t="s">
        <v>28608</v>
      </c>
      <c r="B3920" s="947" t="s">
        <v>17119</v>
      </c>
      <c r="C3920" s="948" t="s">
        <v>17117</v>
      </c>
      <c r="D3920" s="242" t="s">
        <v>28713</v>
      </c>
      <c r="E3920" s="949">
        <v>807</v>
      </c>
      <c r="F3920" s="949">
        <v>807</v>
      </c>
      <c r="G3920" s="950" t="s">
        <v>16125</v>
      </c>
      <c r="H3920" s="950" t="s">
        <v>905</v>
      </c>
      <c r="I3920" s="951" t="s">
        <v>17118</v>
      </c>
      <c r="J3920" s="947" t="s">
        <v>17119</v>
      </c>
      <c r="K3920" s="143"/>
    </row>
    <row r="3921" spans="1:11">
      <c r="A3921" s="946" t="s">
        <v>28608</v>
      </c>
      <c r="B3921" s="947" t="s">
        <v>18567</v>
      </c>
      <c r="C3921" s="948" t="s">
        <v>18565</v>
      </c>
      <c r="D3921" s="242" t="s">
        <v>28713</v>
      </c>
      <c r="E3921" s="949">
        <v>807</v>
      </c>
      <c r="F3921" s="949">
        <v>807</v>
      </c>
      <c r="G3921" s="950" t="s">
        <v>16125</v>
      </c>
      <c r="H3921" s="950" t="s">
        <v>905</v>
      </c>
      <c r="I3921" s="951" t="s">
        <v>18566</v>
      </c>
      <c r="J3921" s="947" t="s">
        <v>18567</v>
      </c>
      <c r="K3921" s="143"/>
    </row>
    <row r="3922" spans="1:11">
      <c r="A3922" s="946" t="s">
        <v>28608</v>
      </c>
      <c r="B3922" s="947" t="s">
        <v>19630</v>
      </c>
      <c r="C3922" s="948" t="s">
        <v>19628</v>
      </c>
      <c r="D3922" s="242" t="s">
        <v>28713</v>
      </c>
      <c r="E3922" s="949">
        <v>807</v>
      </c>
      <c r="F3922" s="949">
        <v>807</v>
      </c>
      <c r="G3922" s="950" t="s">
        <v>16125</v>
      </c>
      <c r="H3922" s="950" t="s">
        <v>905</v>
      </c>
      <c r="I3922" s="951" t="s">
        <v>19629</v>
      </c>
      <c r="J3922" s="947" t="s">
        <v>19630</v>
      </c>
      <c r="K3922" s="143"/>
    </row>
    <row r="3923" spans="1:11">
      <c r="A3923" s="946" t="s">
        <v>28608</v>
      </c>
      <c r="B3923" s="947" t="s">
        <v>1790</v>
      </c>
      <c r="C3923" s="948" t="s">
        <v>1787</v>
      </c>
      <c r="D3923" s="242" t="s">
        <v>28713</v>
      </c>
      <c r="E3923" s="949">
        <v>808</v>
      </c>
      <c r="F3923" s="949">
        <v>808</v>
      </c>
      <c r="G3923" s="950" t="s">
        <v>26151</v>
      </c>
      <c r="H3923" s="950" t="s">
        <v>1788</v>
      </c>
      <c r="I3923" s="951" t="s">
        <v>1789</v>
      </c>
      <c r="J3923" s="947" t="s">
        <v>1790</v>
      </c>
      <c r="K3923" s="143"/>
    </row>
    <row r="3924" spans="1:11">
      <c r="A3924" s="946" t="s">
        <v>28608</v>
      </c>
      <c r="B3924" s="947" t="s">
        <v>2321</v>
      </c>
      <c r="C3924" s="948" t="s">
        <v>2319</v>
      </c>
      <c r="D3924" s="242" t="s">
        <v>28713</v>
      </c>
      <c r="E3924" s="949">
        <v>808</v>
      </c>
      <c r="F3924" s="949">
        <v>808</v>
      </c>
      <c r="G3924" s="950" t="s">
        <v>26151</v>
      </c>
      <c r="H3924" s="950" t="s">
        <v>1788</v>
      </c>
      <c r="I3924" s="951" t="s">
        <v>2320</v>
      </c>
      <c r="J3924" s="947" t="s">
        <v>2321</v>
      </c>
      <c r="K3924" s="143"/>
    </row>
    <row r="3925" spans="1:11">
      <c r="A3925" s="946" t="s">
        <v>28608</v>
      </c>
      <c r="B3925" s="947" t="s">
        <v>2712</v>
      </c>
      <c r="C3925" s="948" t="s">
        <v>2710</v>
      </c>
      <c r="D3925" s="242" t="s">
        <v>28713</v>
      </c>
      <c r="E3925" s="949">
        <v>808</v>
      </c>
      <c r="F3925" s="949">
        <v>808</v>
      </c>
      <c r="G3925" s="950" t="s">
        <v>26151</v>
      </c>
      <c r="H3925" s="950" t="s">
        <v>1788</v>
      </c>
      <c r="I3925" s="951" t="s">
        <v>2711</v>
      </c>
      <c r="J3925" s="947" t="s">
        <v>2712</v>
      </c>
      <c r="K3925" s="143"/>
    </row>
    <row r="3926" spans="1:11">
      <c r="A3926" s="946" t="s">
        <v>28608</v>
      </c>
      <c r="B3926" s="947" t="s">
        <v>5584</v>
      </c>
      <c r="C3926" s="948" t="s">
        <v>5582</v>
      </c>
      <c r="D3926" s="242" t="s">
        <v>28713</v>
      </c>
      <c r="E3926" s="949">
        <v>808</v>
      </c>
      <c r="F3926" s="949">
        <v>808</v>
      </c>
      <c r="G3926" s="950" t="s">
        <v>26151</v>
      </c>
      <c r="H3926" s="950" t="s">
        <v>1788</v>
      </c>
      <c r="I3926" s="951" t="s">
        <v>5583</v>
      </c>
      <c r="J3926" s="947" t="s">
        <v>5584</v>
      </c>
      <c r="K3926" s="143"/>
    </row>
    <row r="3927" spans="1:11">
      <c r="A3927" s="946" t="s">
        <v>28608</v>
      </c>
      <c r="B3927" s="947" t="s">
        <v>6125</v>
      </c>
      <c r="C3927" s="948" t="s">
        <v>6123</v>
      </c>
      <c r="D3927" s="242" t="s">
        <v>28713</v>
      </c>
      <c r="E3927" s="949">
        <v>808</v>
      </c>
      <c r="F3927" s="949">
        <v>808</v>
      </c>
      <c r="G3927" s="950" t="s">
        <v>26151</v>
      </c>
      <c r="H3927" s="950" t="s">
        <v>1788</v>
      </c>
      <c r="I3927" s="951" t="s">
        <v>6124</v>
      </c>
      <c r="J3927" s="947" t="s">
        <v>6125</v>
      </c>
      <c r="K3927" s="143"/>
    </row>
    <row r="3928" spans="1:11">
      <c r="A3928" s="946" t="s">
        <v>28608</v>
      </c>
      <c r="B3928" s="947" t="s">
        <v>6128</v>
      </c>
      <c r="C3928" s="948" t="s">
        <v>6126</v>
      </c>
      <c r="D3928" s="242" t="s">
        <v>28713</v>
      </c>
      <c r="E3928" s="949">
        <v>808</v>
      </c>
      <c r="F3928" s="949">
        <v>808</v>
      </c>
      <c r="G3928" s="950" t="s">
        <v>26151</v>
      </c>
      <c r="H3928" s="950" t="s">
        <v>1788</v>
      </c>
      <c r="I3928" s="951" t="s">
        <v>6127</v>
      </c>
      <c r="J3928" s="947" t="s">
        <v>6128</v>
      </c>
      <c r="K3928" s="143"/>
    </row>
    <row r="3929" spans="1:11">
      <c r="A3929" s="946" t="s">
        <v>28608</v>
      </c>
      <c r="B3929" s="947" t="s">
        <v>6588</v>
      </c>
      <c r="C3929" s="948" t="s">
        <v>6586</v>
      </c>
      <c r="D3929" s="242" t="s">
        <v>28713</v>
      </c>
      <c r="E3929" s="949">
        <v>808</v>
      </c>
      <c r="F3929" s="949">
        <v>808</v>
      </c>
      <c r="G3929" s="950" t="s">
        <v>26151</v>
      </c>
      <c r="H3929" s="950" t="s">
        <v>1788</v>
      </c>
      <c r="I3929" s="951" t="s">
        <v>6587</v>
      </c>
      <c r="J3929" s="947" t="s">
        <v>6588</v>
      </c>
      <c r="K3929" s="143"/>
    </row>
    <row r="3930" spans="1:11">
      <c r="A3930" s="946" t="s">
        <v>28608</v>
      </c>
      <c r="B3930" s="947" t="s">
        <v>7754</v>
      </c>
      <c r="C3930" s="948" t="s">
        <v>7752</v>
      </c>
      <c r="D3930" s="242" t="s">
        <v>28713</v>
      </c>
      <c r="E3930" s="949">
        <v>808</v>
      </c>
      <c r="F3930" s="949">
        <v>808</v>
      </c>
      <c r="G3930" s="950" t="s">
        <v>26151</v>
      </c>
      <c r="H3930" s="950" t="s">
        <v>1788</v>
      </c>
      <c r="I3930" s="951" t="s">
        <v>7753</v>
      </c>
      <c r="J3930" s="947" t="s">
        <v>7754</v>
      </c>
      <c r="K3930" s="143"/>
    </row>
    <row r="3931" spans="1:11">
      <c r="A3931" s="946" t="s">
        <v>28608</v>
      </c>
      <c r="B3931" s="947" t="s">
        <v>8488</v>
      </c>
      <c r="C3931" s="948" t="s">
        <v>8486</v>
      </c>
      <c r="D3931" s="242" t="s">
        <v>28713</v>
      </c>
      <c r="E3931" s="949">
        <v>808</v>
      </c>
      <c r="F3931" s="949">
        <v>808</v>
      </c>
      <c r="G3931" s="950" t="s">
        <v>26151</v>
      </c>
      <c r="H3931" s="950" t="s">
        <v>1788</v>
      </c>
      <c r="I3931" s="951" t="s">
        <v>8487</v>
      </c>
      <c r="J3931" s="947" t="s">
        <v>8488</v>
      </c>
      <c r="K3931" s="143"/>
    </row>
    <row r="3932" spans="1:11">
      <c r="A3932" s="946" t="s">
        <v>28608</v>
      </c>
      <c r="B3932" s="947" t="s">
        <v>8494</v>
      </c>
      <c r="C3932" s="948" t="s">
        <v>8492</v>
      </c>
      <c r="D3932" s="242" t="s">
        <v>28713</v>
      </c>
      <c r="E3932" s="949">
        <v>808</v>
      </c>
      <c r="F3932" s="949">
        <v>808</v>
      </c>
      <c r="G3932" s="950" t="s">
        <v>26151</v>
      </c>
      <c r="H3932" s="950" t="s">
        <v>1788</v>
      </c>
      <c r="I3932" s="951" t="s">
        <v>8493</v>
      </c>
      <c r="J3932" s="947" t="s">
        <v>8494</v>
      </c>
      <c r="K3932" s="143"/>
    </row>
    <row r="3933" spans="1:11">
      <c r="A3933" s="946" t="s">
        <v>28608</v>
      </c>
      <c r="B3933" s="947" t="s">
        <v>8861</v>
      </c>
      <c r="C3933" s="948" t="s">
        <v>8859</v>
      </c>
      <c r="D3933" s="242" t="s">
        <v>28713</v>
      </c>
      <c r="E3933" s="949">
        <v>808</v>
      </c>
      <c r="F3933" s="949">
        <v>808</v>
      </c>
      <c r="G3933" s="950" t="s">
        <v>26151</v>
      </c>
      <c r="H3933" s="950" t="s">
        <v>1788</v>
      </c>
      <c r="I3933" s="951" t="s">
        <v>8860</v>
      </c>
      <c r="J3933" s="947" t="s">
        <v>8861</v>
      </c>
      <c r="K3933" s="143"/>
    </row>
    <row r="3934" spans="1:11">
      <c r="A3934" s="946" t="s">
        <v>28608</v>
      </c>
      <c r="B3934" s="947" t="s">
        <v>8944</v>
      </c>
      <c r="C3934" s="948" t="s">
        <v>8942</v>
      </c>
      <c r="D3934" s="242" t="s">
        <v>28713</v>
      </c>
      <c r="E3934" s="949">
        <v>808</v>
      </c>
      <c r="F3934" s="949">
        <v>808</v>
      </c>
      <c r="G3934" s="950" t="s">
        <v>26151</v>
      </c>
      <c r="H3934" s="950" t="s">
        <v>1788</v>
      </c>
      <c r="I3934" s="951" t="s">
        <v>8943</v>
      </c>
      <c r="J3934" s="947" t="s">
        <v>8944</v>
      </c>
      <c r="K3934" s="143"/>
    </row>
    <row r="3935" spans="1:11">
      <c r="A3935" s="946" t="s">
        <v>28608</v>
      </c>
      <c r="B3935" s="947" t="s">
        <v>9023</v>
      </c>
      <c r="C3935" s="948" t="s">
        <v>9021</v>
      </c>
      <c r="D3935" s="242" t="s">
        <v>28713</v>
      </c>
      <c r="E3935" s="949">
        <v>808</v>
      </c>
      <c r="F3935" s="949">
        <v>808</v>
      </c>
      <c r="G3935" s="950" t="s">
        <v>26151</v>
      </c>
      <c r="H3935" s="950" t="s">
        <v>1788</v>
      </c>
      <c r="I3935" s="951" t="s">
        <v>9022</v>
      </c>
      <c r="J3935" s="947" t="s">
        <v>9023</v>
      </c>
      <c r="K3935" s="143"/>
    </row>
    <row r="3936" spans="1:11">
      <c r="A3936" s="946" t="s">
        <v>28608</v>
      </c>
      <c r="B3936" s="947" t="s">
        <v>10607</v>
      </c>
      <c r="C3936" s="948" t="s">
        <v>10605</v>
      </c>
      <c r="D3936" s="242" t="s">
        <v>28713</v>
      </c>
      <c r="E3936" s="949">
        <v>808</v>
      </c>
      <c r="F3936" s="949">
        <v>808</v>
      </c>
      <c r="G3936" s="950" t="s">
        <v>26151</v>
      </c>
      <c r="H3936" s="950" t="s">
        <v>1788</v>
      </c>
      <c r="I3936" s="951" t="s">
        <v>10606</v>
      </c>
      <c r="J3936" s="947" t="s">
        <v>10607</v>
      </c>
      <c r="K3936" s="143"/>
    </row>
    <row r="3937" spans="1:11">
      <c r="A3937" s="946" t="s">
        <v>28608</v>
      </c>
      <c r="B3937" s="947" t="s">
        <v>11531</v>
      </c>
      <c r="C3937" s="948" t="s">
        <v>11529</v>
      </c>
      <c r="D3937" s="242" t="s">
        <v>28713</v>
      </c>
      <c r="E3937" s="949">
        <v>808</v>
      </c>
      <c r="F3937" s="949">
        <v>808</v>
      </c>
      <c r="G3937" s="950" t="s">
        <v>26151</v>
      </c>
      <c r="H3937" s="950" t="s">
        <v>1788</v>
      </c>
      <c r="I3937" s="951" t="s">
        <v>11530</v>
      </c>
      <c r="J3937" s="947" t="s">
        <v>11531</v>
      </c>
      <c r="K3937" s="143"/>
    </row>
    <row r="3938" spans="1:11">
      <c r="A3938" s="946" t="s">
        <v>28608</v>
      </c>
      <c r="B3938" s="947" t="s">
        <v>11628</v>
      </c>
      <c r="C3938" s="948" t="s">
        <v>11626</v>
      </c>
      <c r="D3938" s="242" t="s">
        <v>28713</v>
      </c>
      <c r="E3938" s="949">
        <v>808</v>
      </c>
      <c r="F3938" s="949">
        <v>808</v>
      </c>
      <c r="G3938" s="950" t="s">
        <v>26151</v>
      </c>
      <c r="H3938" s="950" t="s">
        <v>1788</v>
      </c>
      <c r="I3938" s="951" t="s">
        <v>11627</v>
      </c>
      <c r="J3938" s="947" t="s">
        <v>11628</v>
      </c>
      <c r="K3938" s="143"/>
    </row>
    <row r="3939" spans="1:11">
      <c r="A3939" s="946" t="s">
        <v>28608</v>
      </c>
      <c r="B3939" s="947" t="s">
        <v>11877</v>
      </c>
      <c r="C3939" s="948" t="s">
        <v>11875</v>
      </c>
      <c r="D3939" s="242" t="s">
        <v>28713</v>
      </c>
      <c r="E3939" s="949">
        <v>808</v>
      </c>
      <c r="F3939" s="949">
        <v>808</v>
      </c>
      <c r="G3939" s="950" t="s">
        <v>26151</v>
      </c>
      <c r="H3939" s="950" t="s">
        <v>1788</v>
      </c>
      <c r="I3939" s="951" t="s">
        <v>11876</v>
      </c>
      <c r="J3939" s="947" t="s">
        <v>11877</v>
      </c>
      <c r="K3939" s="143"/>
    </row>
    <row r="3940" spans="1:11">
      <c r="A3940" s="946" t="s">
        <v>28608</v>
      </c>
      <c r="B3940" s="947" t="s">
        <v>12788</v>
      </c>
      <c r="C3940" s="948" t="s">
        <v>12786</v>
      </c>
      <c r="D3940" s="242" t="s">
        <v>28713</v>
      </c>
      <c r="E3940" s="949">
        <v>808</v>
      </c>
      <c r="F3940" s="949">
        <v>808</v>
      </c>
      <c r="G3940" s="950" t="s">
        <v>26151</v>
      </c>
      <c r="H3940" s="950" t="s">
        <v>1788</v>
      </c>
      <c r="I3940" s="951" t="s">
        <v>12787</v>
      </c>
      <c r="J3940" s="947" t="s">
        <v>12788</v>
      </c>
      <c r="K3940" s="143"/>
    </row>
    <row r="3941" spans="1:11">
      <c r="A3941" s="946" t="s">
        <v>28608</v>
      </c>
      <c r="B3941" s="947" t="s">
        <v>15544</v>
      </c>
      <c r="C3941" s="948" t="s">
        <v>15542</v>
      </c>
      <c r="D3941" s="242" t="s">
        <v>28713</v>
      </c>
      <c r="E3941" s="949">
        <v>808</v>
      </c>
      <c r="F3941" s="949">
        <v>808</v>
      </c>
      <c r="G3941" s="950" t="s">
        <v>26151</v>
      </c>
      <c r="H3941" s="950" t="s">
        <v>1788</v>
      </c>
      <c r="I3941" s="951" t="s">
        <v>15543</v>
      </c>
      <c r="J3941" s="947" t="s">
        <v>15544</v>
      </c>
      <c r="K3941" s="143"/>
    </row>
    <row r="3942" spans="1:11">
      <c r="A3942" s="946" t="s">
        <v>28608</v>
      </c>
      <c r="B3942" s="947" t="s">
        <v>15799</v>
      </c>
      <c r="C3942" s="948" t="s">
        <v>15797</v>
      </c>
      <c r="D3942" s="242" t="s">
        <v>28713</v>
      </c>
      <c r="E3942" s="949">
        <v>808</v>
      </c>
      <c r="F3942" s="949">
        <v>808</v>
      </c>
      <c r="G3942" s="950" t="s">
        <v>26151</v>
      </c>
      <c r="H3942" s="950" t="s">
        <v>1788</v>
      </c>
      <c r="I3942" s="951" t="s">
        <v>15798</v>
      </c>
      <c r="J3942" s="947" t="s">
        <v>15799</v>
      </c>
      <c r="K3942" s="143"/>
    </row>
    <row r="3943" spans="1:11">
      <c r="A3943" s="946" t="s">
        <v>28608</v>
      </c>
      <c r="B3943" s="947" t="s">
        <v>15831</v>
      </c>
      <c r="C3943" s="948" t="s">
        <v>15829</v>
      </c>
      <c r="D3943" s="242" t="s">
        <v>28713</v>
      </c>
      <c r="E3943" s="949">
        <v>808</v>
      </c>
      <c r="F3943" s="949">
        <v>808</v>
      </c>
      <c r="G3943" s="950" t="s">
        <v>26151</v>
      </c>
      <c r="H3943" s="950" t="s">
        <v>1788</v>
      </c>
      <c r="I3943" s="951" t="s">
        <v>15830</v>
      </c>
      <c r="J3943" s="947" t="s">
        <v>15831</v>
      </c>
      <c r="K3943" s="143"/>
    </row>
    <row r="3944" spans="1:11">
      <c r="A3944" s="946" t="s">
        <v>28608</v>
      </c>
      <c r="B3944" s="947" t="s">
        <v>16563</v>
      </c>
      <c r="C3944" s="948" t="s">
        <v>16561</v>
      </c>
      <c r="D3944" s="242" t="s">
        <v>28713</v>
      </c>
      <c r="E3944" s="949">
        <v>808</v>
      </c>
      <c r="F3944" s="949">
        <v>808</v>
      </c>
      <c r="G3944" s="950" t="s">
        <v>26151</v>
      </c>
      <c r="H3944" s="950" t="s">
        <v>1788</v>
      </c>
      <c r="I3944" s="951" t="s">
        <v>16562</v>
      </c>
      <c r="J3944" s="947" t="s">
        <v>16563</v>
      </c>
      <c r="K3944" s="143"/>
    </row>
    <row r="3945" spans="1:11">
      <c r="A3945" s="946" t="s">
        <v>28608</v>
      </c>
      <c r="B3945" s="947" t="s">
        <v>16901</v>
      </c>
      <c r="C3945" s="948" t="s">
        <v>16899</v>
      </c>
      <c r="D3945" s="242" t="s">
        <v>28713</v>
      </c>
      <c r="E3945" s="949">
        <v>808</v>
      </c>
      <c r="F3945" s="949">
        <v>808</v>
      </c>
      <c r="G3945" s="950" t="s">
        <v>26151</v>
      </c>
      <c r="H3945" s="950" t="s">
        <v>1788</v>
      </c>
      <c r="I3945" s="951" t="s">
        <v>16900</v>
      </c>
      <c r="J3945" s="947" t="s">
        <v>16901</v>
      </c>
      <c r="K3945" s="143"/>
    </row>
    <row r="3946" spans="1:11">
      <c r="A3946" s="946" t="s">
        <v>28608</v>
      </c>
      <c r="B3946" s="947" t="s">
        <v>17968</v>
      </c>
      <c r="C3946" s="948" t="s">
        <v>17966</v>
      </c>
      <c r="D3946" s="242" t="s">
        <v>28713</v>
      </c>
      <c r="E3946" s="949">
        <v>808</v>
      </c>
      <c r="F3946" s="949">
        <v>808</v>
      </c>
      <c r="G3946" s="950" t="s">
        <v>26151</v>
      </c>
      <c r="H3946" s="950" t="s">
        <v>1788</v>
      </c>
      <c r="I3946" s="951" t="s">
        <v>17967</v>
      </c>
      <c r="J3946" s="947" t="s">
        <v>17968</v>
      </c>
      <c r="K3946" s="143"/>
    </row>
    <row r="3947" spans="1:11">
      <c r="A3947" s="946" t="s">
        <v>28608</v>
      </c>
      <c r="B3947" s="947" t="s">
        <v>18519</v>
      </c>
      <c r="C3947" s="948" t="s">
        <v>18517</v>
      </c>
      <c r="D3947" s="242" t="s">
        <v>28713</v>
      </c>
      <c r="E3947" s="949">
        <v>808</v>
      </c>
      <c r="F3947" s="949">
        <v>808</v>
      </c>
      <c r="G3947" s="950" t="s">
        <v>26151</v>
      </c>
      <c r="H3947" s="950" t="s">
        <v>1788</v>
      </c>
      <c r="I3947" s="951" t="s">
        <v>18518</v>
      </c>
      <c r="J3947" s="947" t="s">
        <v>18519</v>
      </c>
      <c r="K3947" s="143"/>
    </row>
    <row r="3948" spans="1:11">
      <c r="A3948" s="946" t="s">
        <v>28608</v>
      </c>
      <c r="B3948" s="947" t="s">
        <v>18893</v>
      </c>
      <c r="C3948" s="948" t="s">
        <v>18891</v>
      </c>
      <c r="D3948" s="242" t="s">
        <v>28713</v>
      </c>
      <c r="E3948" s="949">
        <v>808</v>
      </c>
      <c r="F3948" s="949">
        <v>808</v>
      </c>
      <c r="G3948" s="950" t="s">
        <v>26151</v>
      </c>
      <c r="H3948" s="950" t="s">
        <v>1788</v>
      </c>
      <c r="I3948" s="951" t="s">
        <v>18892</v>
      </c>
      <c r="J3948" s="947" t="s">
        <v>18893</v>
      </c>
      <c r="K3948" s="143"/>
    </row>
    <row r="3949" spans="1:11">
      <c r="A3949" s="946" t="s">
        <v>28608</v>
      </c>
      <c r="B3949" s="947" t="s">
        <v>18966</v>
      </c>
      <c r="C3949" s="948" t="s">
        <v>18964</v>
      </c>
      <c r="D3949" s="242" t="s">
        <v>28713</v>
      </c>
      <c r="E3949" s="949">
        <v>808</v>
      </c>
      <c r="F3949" s="949">
        <v>808</v>
      </c>
      <c r="G3949" s="950" t="s">
        <v>26151</v>
      </c>
      <c r="H3949" s="950" t="s">
        <v>1788</v>
      </c>
      <c r="I3949" s="951" t="s">
        <v>18965</v>
      </c>
      <c r="J3949" s="947" t="s">
        <v>18966</v>
      </c>
      <c r="K3949" s="143"/>
    </row>
    <row r="3950" spans="1:11">
      <c r="A3950" s="946" t="s">
        <v>28608</v>
      </c>
      <c r="B3950" s="947" t="s">
        <v>19609</v>
      </c>
      <c r="C3950" s="948" t="s">
        <v>19607</v>
      </c>
      <c r="D3950" s="242" t="s">
        <v>28713</v>
      </c>
      <c r="E3950" s="949">
        <v>808</v>
      </c>
      <c r="F3950" s="949">
        <v>808</v>
      </c>
      <c r="G3950" s="950" t="s">
        <v>26151</v>
      </c>
      <c r="H3950" s="950" t="s">
        <v>1788</v>
      </c>
      <c r="I3950" s="951" t="s">
        <v>19608</v>
      </c>
      <c r="J3950" s="947" t="s">
        <v>19609</v>
      </c>
      <c r="K3950" s="143"/>
    </row>
    <row r="3951" spans="1:11">
      <c r="A3951" s="946" t="s">
        <v>28608</v>
      </c>
      <c r="B3951" s="947" t="s">
        <v>20907</v>
      </c>
      <c r="C3951" s="948" t="s">
        <v>20905</v>
      </c>
      <c r="D3951" s="242" t="s">
        <v>28713</v>
      </c>
      <c r="E3951" s="949">
        <v>808</v>
      </c>
      <c r="F3951" s="949">
        <v>808</v>
      </c>
      <c r="G3951" s="950" t="s">
        <v>26151</v>
      </c>
      <c r="H3951" s="950" t="s">
        <v>1788</v>
      </c>
      <c r="I3951" s="951" t="s">
        <v>20906</v>
      </c>
      <c r="J3951" s="947" t="s">
        <v>20907</v>
      </c>
      <c r="K3951" s="143"/>
    </row>
    <row r="3952" spans="1:11">
      <c r="A3952" s="946" t="s">
        <v>28608</v>
      </c>
      <c r="B3952" s="947" t="s">
        <v>21757</v>
      </c>
      <c r="C3952" s="948" t="s">
        <v>21755</v>
      </c>
      <c r="D3952" s="242" t="s">
        <v>28713</v>
      </c>
      <c r="E3952" s="949">
        <v>808</v>
      </c>
      <c r="F3952" s="949">
        <v>808</v>
      </c>
      <c r="G3952" s="950" t="s">
        <v>26151</v>
      </c>
      <c r="H3952" s="950" t="s">
        <v>1788</v>
      </c>
      <c r="I3952" s="951" t="s">
        <v>21756</v>
      </c>
      <c r="J3952" s="947" t="s">
        <v>21757</v>
      </c>
      <c r="K3952" s="143"/>
    </row>
    <row r="3953" spans="1:11">
      <c r="A3953" s="946" t="s">
        <v>28613</v>
      </c>
      <c r="B3953" s="947" t="s">
        <v>448</v>
      </c>
      <c r="C3953" s="948" t="s">
        <v>445</v>
      </c>
      <c r="D3953" s="242" t="s">
        <v>28730</v>
      </c>
      <c r="E3953" s="949">
        <v>1101</v>
      </c>
      <c r="F3953" s="949">
        <v>1101</v>
      </c>
      <c r="G3953" s="950" t="s">
        <v>26239</v>
      </c>
      <c r="H3953" s="950" t="s">
        <v>446</v>
      </c>
      <c r="I3953" s="951" t="s">
        <v>447</v>
      </c>
      <c r="J3953" s="947" t="s">
        <v>448</v>
      </c>
      <c r="K3953" s="143"/>
    </row>
    <row r="3954" spans="1:11">
      <c r="A3954" s="946" t="s">
        <v>28613</v>
      </c>
      <c r="B3954" s="947" t="s">
        <v>1241</v>
      </c>
      <c r="C3954" s="948" t="s">
        <v>1239</v>
      </c>
      <c r="D3954" s="242" t="s">
        <v>28730</v>
      </c>
      <c r="E3954" s="949">
        <v>1101</v>
      </c>
      <c r="F3954" s="949">
        <v>1101</v>
      </c>
      <c r="G3954" s="950" t="s">
        <v>26239</v>
      </c>
      <c r="H3954" s="950" t="s">
        <v>446</v>
      </c>
      <c r="I3954" s="951" t="s">
        <v>1240</v>
      </c>
      <c r="J3954" s="947" t="s">
        <v>1241</v>
      </c>
      <c r="K3954" s="143"/>
    </row>
    <row r="3955" spans="1:11">
      <c r="A3955" s="946" t="s">
        <v>28613</v>
      </c>
      <c r="B3955" s="947" t="s">
        <v>2155</v>
      </c>
      <c r="C3955" s="948" t="s">
        <v>2153</v>
      </c>
      <c r="D3955" s="242" t="s">
        <v>28730</v>
      </c>
      <c r="E3955" s="949">
        <v>1101</v>
      </c>
      <c r="F3955" s="949">
        <v>1101</v>
      </c>
      <c r="G3955" s="950" t="s">
        <v>26239</v>
      </c>
      <c r="H3955" s="950" t="s">
        <v>446</v>
      </c>
      <c r="I3955" s="951" t="s">
        <v>2154</v>
      </c>
      <c r="J3955" s="947" t="s">
        <v>2155</v>
      </c>
      <c r="K3955" s="143"/>
    </row>
    <row r="3956" spans="1:11">
      <c r="A3956" s="946" t="s">
        <v>28613</v>
      </c>
      <c r="B3956" s="947" t="s">
        <v>2733</v>
      </c>
      <c r="C3956" s="948" t="s">
        <v>2731</v>
      </c>
      <c r="D3956" s="242" t="s">
        <v>28730</v>
      </c>
      <c r="E3956" s="949">
        <v>1101</v>
      </c>
      <c r="F3956" s="949">
        <v>1101</v>
      </c>
      <c r="G3956" s="950" t="s">
        <v>26239</v>
      </c>
      <c r="H3956" s="950" t="s">
        <v>446</v>
      </c>
      <c r="I3956" s="951" t="s">
        <v>2732</v>
      </c>
      <c r="J3956" s="947" t="s">
        <v>2733</v>
      </c>
      <c r="K3956" s="143"/>
    </row>
    <row r="3957" spans="1:11">
      <c r="A3957" s="946" t="s">
        <v>28613</v>
      </c>
      <c r="B3957" s="947" t="s">
        <v>3373</v>
      </c>
      <c r="C3957" s="948" t="s">
        <v>3371</v>
      </c>
      <c r="D3957" s="242" t="s">
        <v>28730</v>
      </c>
      <c r="E3957" s="949">
        <v>1101</v>
      </c>
      <c r="F3957" s="949">
        <v>1101</v>
      </c>
      <c r="G3957" s="950" t="s">
        <v>26239</v>
      </c>
      <c r="H3957" s="950" t="s">
        <v>446</v>
      </c>
      <c r="I3957" s="951" t="s">
        <v>3372</v>
      </c>
      <c r="J3957" s="947" t="s">
        <v>3373</v>
      </c>
      <c r="K3957" s="143"/>
    </row>
    <row r="3958" spans="1:11">
      <c r="A3958" s="946" t="s">
        <v>28613</v>
      </c>
      <c r="B3958" s="947" t="s">
        <v>4004</v>
      </c>
      <c r="C3958" s="948" t="s">
        <v>4002</v>
      </c>
      <c r="D3958" s="242" t="s">
        <v>28730</v>
      </c>
      <c r="E3958" s="949">
        <v>1101</v>
      </c>
      <c r="F3958" s="949">
        <v>1101</v>
      </c>
      <c r="G3958" s="950" t="s">
        <v>26239</v>
      </c>
      <c r="H3958" s="950" t="s">
        <v>446</v>
      </c>
      <c r="I3958" s="951" t="s">
        <v>4003</v>
      </c>
      <c r="J3958" s="947" t="s">
        <v>4004</v>
      </c>
      <c r="K3958" s="143"/>
    </row>
    <row r="3959" spans="1:11">
      <c r="A3959" s="946" t="s">
        <v>28613</v>
      </c>
      <c r="B3959" s="947" t="s">
        <v>4402</v>
      </c>
      <c r="C3959" s="948" t="s">
        <v>4400</v>
      </c>
      <c r="D3959" s="242" t="s">
        <v>28730</v>
      </c>
      <c r="E3959" s="949">
        <v>1101</v>
      </c>
      <c r="F3959" s="949">
        <v>1101</v>
      </c>
      <c r="G3959" s="950" t="s">
        <v>26239</v>
      </c>
      <c r="H3959" s="950" t="s">
        <v>446</v>
      </c>
      <c r="I3959" s="951" t="s">
        <v>4401</v>
      </c>
      <c r="J3959" s="947" t="s">
        <v>4402</v>
      </c>
      <c r="K3959" s="143"/>
    </row>
    <row r="3960" spans="1:11">
      <c r="A3960" s="946" t="s">
        <v>28613</v>
      </c>
      <c r="B3960" s="947" t="s">
        <v>4471</v>
      </c>
      <c r="C3960" s="948" t="s">
        <v>4469</v>
      </c>
      <c r="D3960" s="242" t="s">
        <v>28730</v>
      </c>
      <c r="E3960" s="949">
        <v>1101</v>
      </c>
      <c r="F3960" s="949">
        <v>1101</v>
      </c>
      <c r="G3960" s="950" t="s">
        <v>26239</v>
      </c>
      <c r="H3960" s="950" t="s">
        <v>446</v>
      </c>
      <c r="I3960" s="951" t="s">
        <v>4470</v>
      </c>
      <c r="J3960" s="947" t="s">
        <v>4471</v>
      </c>
      <c r="K3960" s="143"/>
    </row>
    <row r="3961" spans="1:11">
      <c r="A3961" s="946" t="s">
        <v>28613</v>
      </c>
      <c r="B3961" s="947" t="s">
        <v>8025</v>
      </c>
      <c r="C3961" s="948" t="s">
        <v>8023</v>
      </c>
      <c r="D3961" s="242" t="s">
        <v>28730</v>
      </c>
      <c r="E3961" s="949">
        <v>1101</v>
      </c>
      <c r="F3961" s="949">
        <v>1101</v>
      </c>
      <c r="G3961" s="950" t="s">
        <v>26239</v>
      </c>
      <c r="H3961" s="950" t="s">
        <v>446</v>
      </c>
      <c r="I3961" s="951" t="s">
        <v>8024</v>
      </c>
      <c r="J3961" s="947" t="s">
        <v>8025</v>
      </c>
      <c r="K3961" s="143"/>
    </row>
    <row r="3962" spans="1:11">
      <c r="A3962" s="946" t="s">
        <v>28613</v>
      </c>
      <c r="B3962" s="947" t="s">
        <v>8133</v>
      </c>
      <c r="C3962" s="948" t="s">
        <v>8131</v>
      </c>
      <c r="D3962" s="242" t="s">
        <v>28730</v>
      </c>
      <c r="E3962" s="949">
        <v>1101</v>
      </c>
      <c r="F3962" s="949">
        <v>1101</v>
      </c>
      <c r="G3962" s="950" t="s">
        <v>26239</v>
      </c>
      <c r="H3962" s="950" t="s">
        <v>446</v>
      </c>
      <c r="I3962" s="951" t="s">
        <v>8132</v>
      </c>
      <c r="J3962" s="947" t="s">
        <v>8133</v>
      </c>
      <c r="K3962" s="143"/>
    </row>
    <row r="3963" spans="1:11">
      <c r="A3963" s="946" t="s">
        <v>28613</v>
      </c>
      <c r="B3963" s="947" t="s">
        <v>8584</v>
      </c>
      <c r="C3963" s="948" t="s">
        <v>8582</v>
      </c>
      <c r="D3963" s="242" t="s">
        <v>28730</v>
      </c>
      <c r="E3963" s="949">
        <v>1101</v>
      </c>
      <c r="F3963" s="949">
        <v>1101</v>
      </c>
      <c r="G3963" s="950" t="s">
        <v>26239</v>
      </c>
      <c r="H3963" s="950" t="s">
        <v>446</v>
      </c>
      <c r="I3963" s="951" t="s">
        <v>8583</v>
      </c>
      <c r="J3963" s="947" t="s">
        <v>8584</v>
      </c>
      <c r="K3963" s="143"/>
    </row>
    <row r="3964" spans="1:11">
      <c r="A3964" s="946" t="s">
        <v>28613</v>
      </c>
      <c r="B3964" s="947" t="s">
        <v>8695</v>
      </c>
      <c r="C3964" s="948" t="s">
        <v>8693</v>
      </c>
      <c r="D3964" s="242" t="s">
        <v>28730</v>
      </c>
      <c r="E3964" s="949">
        <v>1101</v>
      </c>
      <c r="F3964" s="949">
        <v>1101</v>
      </c>
      <c r="G3964" s="950" t="s">
        <v>26239</v>
      </c>
      <c r="H3964" s="950" t="s">
        <v>446</v>
      </c>
      <c r="I3964" s="951" t="s">
        <v>8694</v>
      </c>
      <c r="J3964" s="947" t="s">
        <v>8695</v>
      </c>
      <c r="K3964" s="143"/>
    </row>
    <row r="3965" spans="1:11">
      <c r="A3965" s="946" t="s">
        <v>28613</v>
      </c>
      <c r="B3965" s="947" t="s">
        <v>8728</v>
      </c>
      <c r="C3965" s="948" t="s">
        <v>8726</v>
      </c>
      <c r="D3965" s="242" t="s">
        <v>28730</v>
      </c>
      <c r="E3965" s="949">
        <v>1101</v>
      </c>
      <c r="F3965" s="949">
        <v>1101</v>
      </c>
      <c r="G3965" s="950" t="s">
        <v>26239</v>
      </c>
      <c r="H3965" s="950" t="s">
        <v>446</v>
      </c>
      <c r="I3965" s="951" t="s">
        <v>8727</v>
      </c>
      <c r="J3965" s="947" t="s">
        <v>8728</v>
      </c>
      <c r="K3965" s="143"/>
    </row>
    <row r="3966" spans="1:11">
      <c r="A3966" s="946" t="s">
        <v>28613</v>
      </c>
      <c r="B3966" s="947" t="s">
        <v>8731</v>
      </c>
      <c r="C3966" s="948" t="s">
        <v>8729</v>
      </c>
      <c r="D3966" s="242" t="s">
        <v>28730</v>
      </c>
      <c r="E3966" s="949">
        <v>1101</v>
      </c>
      <c r="F3966" s="949">
        <v>1101</v>
      </c>
      <c r="G3966" s="950" t="s">
        <v>26239</v>
      </c>
      <c r="H3966" s="950" t="s">
        <v>446</v>
      </c>
      <c r="I3966" s="951" t="s">
        <v>8730</v>
      </c>
      <c r="J3966" s="947" t="s">
        <v>8731</v>
      </c>
      <c r="K3966" s="143"/>
    </row>
    <row r="3967" spans="1:11">
      <c r="A3967" s="946" t="s">
        <v>28613</v>
      </c>
      <c r="B3967" s="947" t="s">
        <v>8791</v>
      </c>
      <c r="C3967" s="948" t="s">
        <v>8789</v>
      </c>
      <c r="D3967" s="242" t="s">
        <v>28730</v>
      </c>
      <c r="E3967" s="949">
        <v>1101</v>
      </c>
      <c r="F3967" s="949">
        <v>1101</v>
      </c>
      <c r="G3967" s="950" t="s">
        <v>26239</v>
      </c>
      <c r="H3967" s="950" t="s">
        <v>446</v>
      </c>
      <c r="I3967" s="951" t="s">
        <v>8790</v>
      </c>
      <c r="J3967" s="947" t="s">
        <v>8791</v>
      </c>
      <c r="K3967" s="143"/>
    </row>
    <row r="3968" spans="1:11">
      <c r="A3968" s="946" t="s">
        <v>28613</v>
      </c>
      <c r="B3968" s="947" t="s">
        <v>9425</v>
      </c>
      <c r="C3968" s="948" t="s">
        <v>9423</v>
      </c>
      <c r="D3968" s="242" t="s">
        <v>28730</v>
      </c>
      <c r="E3968" s="949">
        <v>1101</v>
      </c>
      <c r="F3968" s="949">
        <v>1101</v>
      </c>
      <c r="G3968" s="950" t="s">
        <v>26239</v>
      </c>
      <c r="H3968" s="950" t="s">
        <v>446</v>
      </c>
      <c r="I3968" s="951" t="s">
        <v>9424</v>
      </c>
      <c r="J3968" s="947" t="s">
        <v>9425</v>
      </c>
      <c r="K3968" s="143"/>
    </row>
    <row r="3969" spans="1:11">
      <c r="A3969" s="946" t="s">
        <v>28613</v>
      </c>
      <c r="B3969" s="947" t="s">
        <v>9887</v>
      </c>
      <c r="C3969" s="948" t="s">
        <v>9885</v>
      </c>
      <c r="D3969" s="242" t="s">
        <v>28730</v>
      </c>
      <c r="E3969" s="949">
        <v>1101</v>
      </c>
      <c r="F3969" s="949">
        <v>1101</v>
      </c>
      <c r="G3969" s="950" t="s">
        <v>26239</v>
      </c>
      <c r="H3969" s="950" t="s">
        <v>446</v>
      </c>
      <c r="I3969" s="951" t="s">
        <v>9886</v>
      </c>
      <c r="J3969" s="947" t="s">
        <v>9887</v>
      </c>
      <c r="K3969" s="143"/>
    </row>
    <row r="3970" spans="1:11">
      <c r="A3970" s="946" t="s">
        <v>28613</v>
      </c>
      <c r="B3970" s="947" t="s">
        <v>10736</v>
      </c>
      <c r="C3970" s="948" t="s">
        <v>10734</v>
      </c>
      <c r="D3970" s="242" t="s">
        <v>28730</v>
      </c>
      <c r="E3970" s="949">
        <v>1101</v>
      </c>
      <c r="F3970" s="949">
        <v>1101</v>
      </c>
      <c r="G3970" s="950" t="s">
        <v>26239</v>
      </c>
      <c r="H3970" s="950" t="s">
        <v>446</v>
      </c>
      <c r="I3970" s="951" t="s">
        <v>10735</v>
      </c>
      <c r="J3970" s="947" t="s">
        <v>10736</v>
      </c>
      <c r="K3970" s="143"/>
    </row>
    <row r="3971" spans="1:11">
      <c r="A3971" s="946" t="s">
        <v>28613</v>
      </c>
      <c r="B3971" s="947" t="s">
        <v>10823</v>
      </c>
      <c r="C3971" s="948" t="s">
        <v>10821</v>
      </c>
      <c r="D3971" s="242" t="s">
        <v>28730</v>
      </c>
      <c r="E3971" s="949">
        <v>1101</v>
      </c>
      <c r="F3971" s="949">
        <v>1101</v>
      </c>
      <c r="G3971" s="950" t="s">
        <v>26239</v>
      </c>
      <c r="H3971" s="950" t="s">
        <v>446</v>
      </c>
      <c r="I3971" s="951" t="s">
        <v>10822</v>
      </c>
      <c r="J3971" s="947" t="s">
        <v>10823</v>
      </c>
      <c r="K3971" s="143"/>
    </row>
    <row r="3972" spans="1:11">
      <c r="A3972" s="946" t="s">
        <v>28613</v>
      </c>
      <c r="B3972" s="947" t="s">
        <v>11619</v>
      </c>
      <c r="C3972" s="948" t="s">
        <v>11617</v>
      </c>
      <c r="D3972" s="242" t="s">
        <v>28730</v>
      </c>
      <c r="E3972" s="949">
        <v>1101</v>
      </c>
      <c r="F3972" s="949">
        <v>1101</v>
      </c>
      <c r="G3972" s="950" t="s">
        <v>26239</v>
      </c>
      <c r="H3972" s="950" t="s">
        <v>446</v>
      </c>
      <c r="I3972" s="951" t="s">
        <v>11618</v>
      </c>
      <c r="J3972" s="947" t="s">
        <v>11619</v>
      </c>
      <c r="K3972" s="143"/>
    </row>
    <row r="3973" spans="1:11">
      <c r="A3973" s="946" t="s">
        <v>28613</v>
      </c>
      <c r="B3973" s="947" t="s">
        <v>11622</v>
      </c>
      <c r="C3973" s="948" t="s">
        <v>11620</v>
      </c>
      <c r="D3973" s="242" t="s">
        <v>28730</v>
      </c>
      <c r="E3973" s="949">
        <v>1101</v>
      </c>
      <c r="F3973" s="949">
        <v>1101</v>
      </c>
      <c r="G3973" s="950" t="s">
        <v>26239</v>
      </c>
      <c r="H3973" s="950" t="s">
        <v>446</v>
      </c>
      <c r="I3973" s="951" t="s">
        <v>11621</v>
      </c>
      <c r="J3973" s="947" t="s">
        <v>11622</v>
      </c>
      <c r="K3973" s="143"/>
    </row>
    <row r="3974" spans="1:11">
      <c r="A3974" s="946" t="s">
        <v>28613</v>
      </c>
      <c r="B3974" s="947" t="s">
        <v>11979</v>
      </c>
      <c r="C3974" s="948" t="s">
        <v>11977</v>
      </c>
      <c r="D3974" s="242" t="s">
        <v>28730</v>
      </c>
      <c r="E3974" s="949">
        <v>1101</v>
      </c>
      <c r="F3974" s="949">
        <v>1101</v>
      </c>
      <c r="G3974" s="950" t="s">
        <v>26239</v>
      </c>
      <c r="H3974" s="950" t="s">
        <v>446</v>
      </c>
      <c r="I3974" s="951" t="s">
        <v>11978</v>
      </c>
      <c r="J3974" s="947" t="s">
        <v>11979</v>
      </c>
      <c r="K3974" s="143"/>
    </row>
    <row r="3975" spans="1:11">
      <c r="A3975" s="946" t="s">
        <v>28613</v>
      </c>
      <c r="B3975" s="947" t="s">
        <v>12067</v>
      </c>
      <c r="C3975" s="948" t="s">
        <v>12065</v>
      </c>
      <c r="D3975" s="242" t="s">
        <v>28730</v>
      </c>
      <c r="E3975" s="949">
        <v>1101</v>
      </c>
      <c r="F3975" s="949">
        <v>1101</v>
      </c>
      <c r="G3975" s="950" t="s">
        <v>26239</v>
      </c>
      <c r="H3975" s="950" t="s">
        <v>446</v>
      </c>
      <c r="I3975" s="951" t="s">
        <v>12066</v>
      </c>
      <c r="J3975" s="947" t="s">
        <v>12067</v>
      </c>
      <c r="K3975" s="143"/>
    </row>
    <row r="3976" spans="1:11">
      <c r="A3976" s="946" t="s">
        <v>28613</v>
      </c>
      <c r="B3976" s="947" t="s">
        <v>12070</v>
      </c>
      <c r="C3976" s="948" t="s">
        <v>12068</v>
      </c>
      <c r="D3976" s="242" t="s">
        <v>28730</v>
      </c>
      <c r="E3976" s="949">
        <v>1101</v>
      </c>
      <c r="F3976" s="949">
        <v>1101</v>
      </c>
      <c r="G3976" s="950" t="s">
        <v>26239</v>
      </c>
      <c r="H3976" s="950" t="s">
        <v>446</v>
      </c>
      <c r="I3976" s="951" t="s">
        <v>12069</v>
      </c>
      <c r="J3976" s="947" t="s">
        <v>12070</v>
      </c>
      <c r="K3976" s="143"/>
    </row>
    <row r="3977" spans="1:11">
      <c r="A3977" s="946" t="s">
        <v>28613</v>
      </c>
      <c r="B3977" s="947" t="s">
        <v>12377</v>
      </c>
      <c r="C3977" s="948" t="s">
        <v>12375</v>
      </c>
      <c r="D3977" s="242" t="s">
        <v>28730</v>
      </c>
      <c r="E3977" s="949">
        <v>1101</v>
      </c>
      <c r="F3977" s="949">
        <v>1101</v>
      </c>
      <c r="G3977" s="950" t="s">
        <v>26239</v>
      </c>
      <c r="H3977" s="950" t="s">
        <v>446</v>
      </c>
      <c r="I3977" s="951" t="s">
        <v>12376</v>
      </c>
      <c r="J3977" s="947" t="s">
        <v>12377</v>
      </c>
      <c r="K3977" s="143"/>
    </row>
    <row r="3978" spans="1:11">
      <c r="A3978" s="946" t="s">
        <v>28613</v>
      </c>
      <c r="B3978" s="947" t="s">
        <v>12274</v>
      </c>
      <c r="C3978" s="948" t="s">
        <v>12272</v>
      </c>
      <c r="D3978" s="242" t="s">
        <v>28730</v>
      </c>
      <c r="E3978" s="949">
        <v>1101</v>
      </c>
      <c r="F3978" s="949">
        <v>1101</v>
      </c>
      <c r="G3978" s="950" t="s">
        <v>26239</v>
      </c>
      <c r="H3978" s="950" t="s">
        <v>446</v>
      </c>
      <c r="I3978" s="951" t="s">
        <v>12273</v>
      </c>
      <c r="J3978" s="947" t="s">
        <v>12274</v>
      </c>
      <c r="K3978" s="143"/>
    </row>
    <row r="3979" spans="1:11">
      <c r="A3979" s="946" t="s">
        <v>28613</v>
      </c>
      <c r="B3979" s="947" t="s">
        <v>12475</v>
      </c>
      <c r="C3979" s="948" t="s">
        <v>12473</v>
      </c>
      <c r="D3979" s="242" t="s">
        <v>28730</v>
      </c>
      <c r="E3979" s="949">
        <v>1101</v>
      </c>
      <c r="F3979" s="949">
        <v>1101</v>
      </c>
      <c r="G3979" s="950" t="s">
        <v>26239</v>
      </c>
      <c r="H3979" s="950" t="s">
        <v>446</v>
      </c>
      <c r="I3979" s="951" t="s">
        <v>12474</v>
      </c>
      <c r="J3979" s="947" t="s">
        <v>12475</v>
      </c>
      <c r="K3979" s="143"/>
    </row>
    <row r="3980" spans="1:11">
      <c r="A3980" s="946" t="s">
        <v>28613</v>
      </c>
      <c r="B3980" s="947" t="s">
        <v>12291</v>
      </c>
      <c r="C3980" s="948" t="s">
        <v>12289</v>
      </c>
      <c r="D3980" s="242" t="s">
        <v>28730</v>
      </c>
      <c r="E3980" s="949">
        <v>1101</v>
      </c>
      <c r="F3980" s="949">
        <v>1101</v>
      </c>
      <c r="G3980" s="950" t="s">
        <v>26239</v>
      </c>
      <c r="H3980" s="950" t="s">
        <v>446</v>
      </c>
      <c r="I3980" s="951" t="s">
        <v>12290</v>
      </c>
      <c r="J3980" s="947" t="s">
        <v>12291</v>
      </c>
      <c r="K3980" s="143"/>
    </row>
    <row r="3981" spans="1:11">
      <c r="A3981" s="946" t="s">
        <v>28613</v>
      </c>
      <c r="B3981" s="947" t="s">
        <v>12559</v>
      </c>
      <c r="C3981" s="948" t="s">
        <v>12557</v>
      </c>
      <c r="D3981" s="242" t="s">
        <v>28730</v>
      </c>
      <c r="E3981" s="949">
        <v>1101</v>
      </c>
      <c r="F3981" s="949">
        <v>1101</v>
      </c>
      <c r="G3981" s="950" t="s">
        <v>26239</v>
      </c>
      <c r="H3981" s="950" t="s">
        <v>446</v>
      </c>
      <c r="I3981" s="951" t="s">
        <v>12558</v>
      </c>
      <c r="J3981" s="947" t="s">
        <v>12559</v>
      </c>
      <c r="K3981" s="143"/>
    </row>
    <row r="3982" spans="1:11">
      <c r="A3982" s="946" t="s">
        <v>28613</v>
      </c>
      <c r="B3982" s="947" t="s">
        <v>12300</v>
      </c>
      <c r="C3982" s="948" t="s">
        <v>12298</v>
      </c>
      <c r="D3982" s="242" t="s">
        <v>28730</v>
      </c>
      <c r="E3982" s="949">
        <v>1101</v>
      </c>
      <c r="F3982" s="949">
        <v>1101</v>
      </c>
      <c r="G3982" s="950" t="s">
        <v>26239</v>
      </c>
      <c r="H3982" s="950" t="s">
        <v>446</v>
      </c>
      <c r="I3982" s="951" t="s">
        <v>12299</v>
      </c>
      <c r="J3982" s="947" t="s">
        <v>12300</v>
      </c>
      <c r="K3982" s="143"/>
    </row>
    <row r="3983" spans="1:11">
      <c r="A3983" s="946" t="s">
        <v>28613</v>
      </c>
      <c r="B3983" s="947" t="s">
        <v>14417</v>
      </c>
      <c r="C3983" s="948" t="s">
        <v>26240</v>
      </c>
      <c r="D3983" s="242" t="s">
        <v>28730</v>
      </c>
      <c r="E3983" s="949">
        <v>1101</v>
      </c>
      <c r="F3983" s="949">
        <v>1101</v>
      </c>
      <c r="G3983" s="950" t="s">
        <v>26239</v>
      </c>
      <c r="H3983" s="950" t="s">
        <v>446</v>
      </c>
      <c r="I3983" s="951" t="s">
        <v>26241</v>
      </c>
      <c r="J3983" s="947" t="s">
        <v>14417</v>
      </c>
      <c r="K3983" s="143"/>
    </row>
    <row r="3984" spans="1:11">
      <c r="A3984" s="946" t="s">
        <v>28613</v>
      </c>
      <c r="B3984" s="947" t="s">
        <v>14496</v>
      </c>
      <c r="C3984" s="948" t="s">
        <v>14494</v>
      </c>
      <c r="D3984" s="242" t="s">
        <v>28730</v>
      </c>
      <c r="E3984" s="949">
        <v>1101</v>
      </c>
      <c r="F3984" s="949">
        <v>1101</v>
      </c>
      <c r="G3984" s="950" t="s">
        <v>26239</v>
      </c>
      <c r="H3984" s="950" t="s">
        <v>446</v>
      </c>
      <c r="I3984" s="951" t="s">
        <v>14495</v>
      </c>
      <c r="J3984" s="947" t="s">
        <v>14496</v>
      </c>
      <c r="K3984" s="143"/>
    </row>
    <row r="3985" spans="1:11">
      <c r="A3985" s="946" t="s">
        <v>28613</v>
      </c>
      <c r="B3985" s="947" t="s">
        <v>14553</v>
      </c>
      <c r="C3985" s="948" t="s">
        <v>14551</v>
      </c>
      <c r="D3985" s="242" t="s">
        <v>28730</v>
      </c>
      <c r="E3985" s="949">
        <v>1101</v>
      </c>
      <c r="F3985" s="949">
        <v>1101</v>
      </c>
      <c r="G3985" s="950" t="s">
        <v>26239</v>
      </c>
      <c r="H3985" s="950" t="s">
        <v>446</v>
      </c>
      <c r="I3985" s="951" t="s">
        <v>14552</v>
      </c>
      <c r="J3985" s="947" t="s">
        <v>14553</v>
      </c>
      <c r="K3985" s="143"/>
    </row>
    <row r="3986" spans="1:11">
      <c r="A3986" s="946" t="s">
        <v>28613</v>
      </c>
      <c r="B3986" s="947" t="s">
        <v>14645</v>
      </c>
      <c r="C3986" s="948" t="s">
        <v>14643</v>
      </c>
      <c r="D3986" s="242" t="s">
        <v>28730</v>
      </c>
      <c r="E3986" s="949">
        <v>1101</v>
      </c>
      <c r="F3986" s="949">
        <v>1101</v>
      </c>
      <c r="G3986" s="950" t="s">
        <v>26239</v>
      </c>
      <c r="H3986" s="950" t="s">
        <v>446</v>
      </c>
      <c r="I3986" s="951" t="s">
        <v>14644</v>
      </c>
      <c r="J3986" s="947" t="s">
        <v>14645</v>
      </c>
      <c r="K3986" s="143"/>
    </row>
    <row r="3987" spans="1:11">
      <c r="A3987" s="946" t="s">
        <v>28613</v>
      </c>
      <c r="B3987" s="947" t="s">
        <v>14722</v>
      </c>
      <c r="C3987" s="948" t="s">
        <v>14720</v>
      </c>
      <c r="D3987" s="242" t="s">
        <v>28730</v>
      </c>
      <c r="E3987" s="949">
        <v>1101</v>
      </c>
      <c r="F3987" s="949">
        <v>1101</v>
      </c>
      <c r="G3987" s="950" t="s">
        <v>26239</v>
      </c>
      <c r="H3987" s="950" t="s">
        <v>446</v>
      </c>
      <c r="I3987" s="951" t="s">
        <v>14721</v>
      </c>
      <c r="J3987" s="947" t="s">
        <v>14722</v>
      </c>
      <c r="K3987" s="143"/>
    </row>
    <row r="3988" spans="1:11">
      <c r="A3988" s="946" t="s">
        <v>28613</v>
      </c>
      <c r="B3988" s="947" t="s">
        <v>14901</v>
      </c>
      <c r="C3988" s="948" t="s">
        <v>14899</v>
      </c>
      <c r="D3988" s="242" t="s">
        <v>28730</v>
      </c>
      <c r="E3988" s="949">
        <v>1101</v>
      </c>
      <c r="F3988" s="949">
        <v>1101</v>
      </c>
      <c r="G3988" s="950" t="s">
        <v>26239</v>
      </c>
      <c r="H3988" s="950" t="s">
        <v>446</v>
      </c>
      <c r="I3988" s="951" t="s">
        <v>14900</v>
      </c>
      <c r="J3988" s="947" t="s">
        <v>14901</v>
      </c>
      <c r="K3988" s="143"/>
    </row>
    <row r="3989" spans="1:11">
      <c r="A3989" s="946" t="s">
        <v>28613</v>
      </c>
      <c r="B3989" s="947" t="s">
        <v>15027</v>
      </c>
      <c r="C3989" s="948" t="s">
        <v>15025</v>
      </c>
      <c r="D3989" s="242" t="s">
        <v>28730</v>
      </c>
      <c r="E3989" s="949">
        <v>1101</v>
      </c>
      <c r="F3989" s="949">
        <v>1101</v>
      </c>
      <c r="G3989" s="950" t="s">
        <v>26239</v>
      </c>
      <c r="H3989" s="950" t="s">
        <v>446</v>
      </c>
      <c r="I3989" s="951" t="s">
        <v>15026</v>
      </c>
      <c r="J3989" s="947" t="s">
        <v>15027</v>
      </c>
      <c r="K3989" s="143"/>
    </row>
    <row r="3990" spans="1:11">
      <c r="A3990" s="946" t="s">
        <v>28613</v>
      </c>
      <c r="B3990" s="947" t="s">
        <v>17498</v>
      </c>
      <c r="C3990" s="948" t="s">
        <v>17496</v>
      </c>
      <c r="D3990" s="242" t="s">
        <v>28730</v>
      </c>
      <c r="E3990" s="949">
        <v>1101</v>
      </c>
      <c r="F3990" s="949">
        <v>1101</v>
      </c>
      <c r="G3990" s="950" t="s">
        <v>26239</v>
      </c>
      <c r="H3990" s="950" t="s">
        <v>446</v>
      </c>
      <c r="I3990" s="951" t="s">
        <v>17497</v>
      </c>
      <c r="J3990" s="947" t="s">
        <v>17498</v>
      </c>
      <c r="K3990" s="143"/>
    </row>
    <row r="3991" spans="1:11">
      <c r="A3991" s="946" t="s">
        <v>28613</v>
      </c>
      <c r="B3991" s="947" t="s">
        <v>17826</v>
      </c>
      <c r="C3991" s="948" t="s">
        <v>17824</v>
      </c>
      <c r="D3991" s="242" t="s">
        <v>28730</v>
      </c>
      <c r="E3991" s="949">
        <v>1101</v>
      </c>
      <c r="F3991" s="949">
        <v>1101</v>
      </c>
      <c r="G3991" s="950" t="s">
        <v>26239</v>
      </c>
      <c r="H3991" s="950" t="s">
        <v>446</v>
      </c>
      <c r="I3991" s="951" t="s">
        <v>17825</v>
      </c>
      <c r="J3991" s="947" t="s">
        <v>17826</v>
      </c>
      <c r="K3991" s="143"/>
    </row>
    <row r="3992" spans="1:11">
      <c r="A3992" s="946" t="s">
        <v>28613</v>
      </c>
      <c r="B3992" s="947" t="s">
        <v>18643</v>
      </c>
      <c r="C3992" s="948" t="s">
        <v>18641</v>
      </c>
      <c r="D3992" s="242" t="s">
        <v>28730</v>
      </c>
      <c r="E3992" s="949">
        <v>1101</v>
      </c>
      <c r="F3992" s="949">
        <v>1101</v>
      </c>
      <c r="G3992" s="950" t="s">
        <v>26239</v>
      </c>
      <c r="H3992" s="950" t="s">
        <v>446</v>
      </c>
      <c r="I3992" s="951" t="s">
        <v>18642</v>
      </c>
      <c r="J3992" s="947" t="s">
        <v>18643</v>
      </c>
      <c r="K3992" s="143"/>
    </row>
    <row r="3993" spans="1:11">
      <c r="A3993" s="946" t="s">
        <v>28613</v>
      </c>
      <c r="B3993" s="947" t="s">
        <v>18750</v>
      </c>
      <c r="C3993" s="948" t="s">
        <v>18748</v>
      </c>
      <c r="D3993" s="242" t="s">
        <v>28730</v>
      </c>
      <c r="E3993" s="949">
        <v>1101</v>
      </c>
      <c r="F3993" s="949">
        <v>1101</v>
      </c>
      <c r="G3993" s="950" t="s">
        <v>26239</v>
      </c>
      <c r="H3993" s="950" t="s">
        <v>446</v>
      </c>
      <c r="I3993" s="951" t="s">
        <v>18749</v>
      </c>
      <c r="J3993" s="947" t="s">
        <v>18750</v>
      </c>
      <c r="K3993" s="143"/>
    </row>
    <row r="3994" spans="1:11">
      <c r="A3994" s="946" t="s">
        <v>28613</v>
      </c>
      <c r="B3994" s="947" t="s">
        <v>19330</v>
      </c>
      <c r="C3994" s="948" t="s">
        <v>19328</v>
      </c>
      <c r="D3994" s="242" t="s">
        <v>28730</v>
      </c>
      <c r="E3994" s="949">
        <v>1101</v>
      </c>
      <c r="F3994" s="949">
        <v>1101</v>
      </c>
      <c r="G3994" s="950" t="s">
        <v>26239</v>
      </c>
      <c r="H3994" s="950" t="s">
        <v>446</v>
      </c>
      <c r="I3994" s="951" t="s">
        <v>19329</v>
      </c>
      <c r="J3994" s="947" t="s">
        <v>19330</v>
      </c>
      <c r="K3994" s="143"/>
    </row>
    <row r="3995" spans="1:11">
      <c r="A3995" s="946" t="s">
        <v>28613</v>
      </c>
      <c r="B3995" s="947" t="s">
        <v>20278</v>
      </c>
      <c r="C3995" s="948" t="s">
        <v>20276</v>
      </c>
      <c r="D3995" s="242" t="s">
        <v>28730</v>
      </c>
      <c r="E3995" s="949">
        <v>1101</v>
      </c>
      <c r="F3995" s="949">
        <v>1101</v>
      </c>
      <c r="G3995" s="950" t="s">
        <v>26239</v>
      </c>
      <c r="H3995" s="950" t="s">
        <v>446</v>
      </c>
      <c r="I3995" s="951" t="s">
        <v>20277</v>
      </c>
      <c r="J3995" s="947" t="s">
        <v>20278</v>
      </c>
      <c r="K3995" s="143"/>
    </row>
    <row r="3996" spans="1:11">
      <c r="A3996" s="946" t="s">
        <v>28613</v>
      </c>
      <c r="B3996" s="947" t="s">
        <v>20281</v>
      </c>
      <c r="C3996" s="948" t="s">
        <v>20279</v>
      </c>
      <c r="D3996" s="242" t="s">
        <v>28730</v>
      </c>
      <c r="E3996" s="949">
        <v>1101</v>
      </c>
      <c r="F3996" s="949">
        <v>1101</v>
      </c>
      <c r="G3996" s="950" t="s">
        <v>26239</v>
      </c>
      <c r="H3996" s="950" t="s">
        <v>446</v>
      </c>
      <c r="I3996" s="951" t="s">
        <v>20280</v>
      </c>
      <c r="J3996" s="947" t="s">
        <v>20281</v>
      </c>
      <c r="K3996" s="143"/>
    </row>
    <row r="3997" spans="1:11">
      <c r="A3997" s="946" t="s">
        <v>28613</v>
      </c>
      <c r="B3997" s="947" t="s">
        <v>21191</v>
      </c>
      <c r="C3997" s="948" t="s">
        <v>21189</v>
      </c>
      <c r="D3997" s="242" t="s">
        <v>28730</v>
      </c>
      <c r="E3997" s="949">
        <v>1101</v>
      </c>
      <c r="F3997" s="949">
        <v>1101</v>
      </c>
      <c r="G3997" s="950" t="s">
        <v>26239</v>
      </c>
      <c r="H3997" s="950" t="s">
        <v>446</v>
      </c>
      <c r="I3997" s="951" t="s">
        <v>21190</v>
      </c>
      <c r="J3997" s="947" t="s">
        <v>21191</v>
      </c>
      <c r="K3997" s="143"/>
    </row>
    <row r="3998" spans="1:11">
      <c r="A3998" s="946" t="s">
        <v>28613</v>
      </c>
      <c r="B3998" s="947" t="s">
        <v>21197</v>
      </c>
      <c r="C3998" s="948" t="s">
        <v>21195</v>
      </c>
      <c r="D3998" s="242" t="s">
        <v>28730</v>
      </c>
      <c r="E3998" s="949">
        <v>1101</v>
      </c>
      <c r="F3998" s="949">
        <v>1101</v>
      </c>
      <c r="G3998" s="950" t="s">
        <v>26239</v>
      </c>
      <c r="H3998" s="950" t="s">
        <v>446</v>
      </c>
      <c r="I3998" s="951" t="s">
        <v>21196</v>
      </c>
      <c r="J3998" s="947" t="s">
        <v>21197</v>
      </c>
      <c r="K3998" s="143"/>
    </row>
    <row r="3999" spans="1:11">
      <c r="A3999" s="946" t="s">
        <v>28613</v>
      </c>
      <c r="B3999" s="947" t="s">
        <v>24965</v>
      </c>
      <c r="C3999" s="948" t="s">
        <v>26242</v>
      </c>
      <c r="D3999" s="242" t="s">
        <v>28730</v>
      </c>
      <c r="E3999" s="949">
        <v>1101</v>
      </c>
      <c r="F3999" s="949">
        <v>1101</v>
      </c>
      <c r="G3999" s="950" t="s">
        <v>26239</v>
      </c>
      <c r="H3999" s="950" t="s">
        <v>446</v>
      </c>
      <c r="I3999" s="951" t="s">
        <v>24966</v>
      </c>
      <c r="J3999" s="947" t="s">
        <v>24965</v>
      </c>
      <c r="K3999" s="143"/>
    </row>
    <row r="4000" spans="1:11">
      <c r="A4000" s="946" t="s">
        <v>28613</v>
      </c>
      <c r="B4000" s="947" t="s">
        <v>26243</v>
      </c>
      <c r="C4000" s="948" t="s">
        <v>26244</v>
      </c>
      <c r="D4000" s="242" t="s">
        <v>28730</v>
      </c>
      <c r="E4000" s="949">
        <v>1101</v>
      </c>
      <c r="F4000" s="949">
        <v>1101</v>
      </c>
      <c r="G4000" s="950" t="s">
        <v>26239</v>
      </c>
      <c r="H4000" s="950" t="s">
        <v>446</v>
      </c>
      <c r="I4000" s="951" t="s">
        <v>26245</v>
      </c>
      <c r="J4000" s="947" t="s">
        <v>26243</v>
      </c>
      <c r="K4000" s="143"/>
    </row>
    <row r="4001" spans="1:11">
      <c r="A4001" s="946" t="s">
        <v>28613</v>
      </c>
      <c r="B4001" s="947" t="s">
        <v>26246</v>
      </c>
      <c r="C4001" s="948" t="s">
        <v>26247</v>
      </c>
      <c r="D4001" s="242" t="s">
        <v>28730</v>
      </c>
      <c r="E4001" s="949">
        <v>1101</v>
      </c>
      <c r="F4001" s="949">
        <v>1101</v>
      </c>
      <c r="G4001" s="950" t="s">
        <v>26239</v>
      </c>
      <c r="H4001" s="950" t="s">
        <v>446</v>
      </c>
      <c r="I4001" s="951" t="s">
        <v>26248</v>
      </c>
      <c r="J4001" s="947" t="s">
        <v>26246</v>
      </c>
      <c r="K4001" s="143"/>
    </row>
    <row r="4002" spans="1:11">
      <c r="A4002" s="946" t="s">
        <v>28613</v>
      </c>
      <c r="B4002" s="947" t="s">
        <v>28642</v>
      </c>
      <c r="C4002" s="948" t="s">
        <v>28765</v>
      </c>
      <c r="D4002" s="242" t="s">
        <v>28730</v>
      </c>
      <c r="E4002" s="949">
        <v>1101</v>
      </c>
      <c r="F4002" s="949">
        <v>1101</v>
      </c>
      <c r="G4002" s="950" t="s">
        <v>26239</v>
      </c>
      <c r="H4002" s="950" t="s">
        <v>446</v>
      </c>
      <c r="I4002" s="951" t="s">
        <v>28686</v>
      </c>
      <c r="J4002" s="947" t="s">
        <v>28642</v>
      </c>
      <c r="K4002" s="143"/>
    </row>
    <row r="4003" spans="1:11">
      <c r="A4003" s="946" t="s">
        <v>28613</v>
      </c>
      <c r="B4003" s="947" t="s">
        <v>658</v>
      </c>
      <c r="C4003" s="948" t="s">
        <v>655</v>
      </c>
      <c r="D4003" s="242" t="s">
        <v>28726</v>
      </c>
      <c r="E4003" s="949">
        <v>1102</v>
      </c>
      <c r="F4003" s="949">
        <v>1102</v>
      </c>
      <c r="G4003" s="950" t="s">
        <v>1112</v>
      </c>
      <c r="H4003" s="950" t="s">
        <v>656</v>
      </c>
      <c r="I4003" s="951" t="s">
        <v>657</v>
      </c>
      <c r="J4003" s="947" t="s">
        <v>658</v>
      </c>
      <c r="K4003" s="143"/>
    </row>
    <row r="4004" spans="1:11">
      <c r="A4004" s="946" t="s">
        <v>28613</v>
      </c>
      <c r="B4004" s="947" t="s">
        <v>1112</v>
      </c>
      <c r="C4004" s="948" t="s">
        <v>1110</v>
      </c>
      <c r="D4004" s="242" t="s">
        <v>28726</v>
      </c>
      <c r="E4004" s="949">
        <v>1102</v>
      </c>
      <c r="F4004" s="949">
        <v>1102</v>
      </c>
      <c r="G4004" s="950" t="s">
        <v>1112</v>
      </c>
      <c r="H4004" s="950" t="s">
        <v>656</v>
      </c>
      <c r="I4004" s="951" t="s">
        <v>1111</v>
      </c>
      <c r="J4004" s="947" t="s">
        <v>1112</v>
      </c>
      <c r="K4004" s="143"/>
    </row>
    <row r="4005" spans="1:11">
      <c r="A4005" s="946" t="s">
        <v>28613</v>
      </c>
      <c r="B4005" s="947" t="s">
        <v>1321</v>
      </c>
      <c r="C4005" s="948" t="s">
        <v>1319</v>
      </c>
      <c r="D4005" s="242" t="s">
        <v>28726</v>
      </c>
      <c r="E4005" s="949">
        <v>1102</v>
      </c>
      <c r="F4005" s="949">
        <v>1102</v>
      </c>
      <c r="G4005" s="950" t="s">
        <v>1112</v>
      </c>
      <c r="H4005" s="950" t="s">
        <v>656</v>
      </c>
      <c r="I4005" s="951" t="s">
        <v>1320</v>
      </c>
      <c r="J4005" s="947" t="s">
        <v>1321</v>
      </c>
      <c r="K4005" s="143"/>
    </row>
    <row r="4006" spans="1:11">
      <c r="A4006" s="946" t="s">
        <v>28613</v>
      </c>
      <c r="B4006" s="947" t="s">
        <v>1925</v>
      </c>
      <c r="C4006" s="948" t="s">
        <v>1923</v>
      </c>
      <c r="D4006" s="242" t="s">
        <v>28726</v>
      </c>
      <c r="E4006" s="949">
        <v>1102</v>
      </c>
      <c r="F4006" s="949">
        <v>1102</v>
      </c>
      <c r="G4006" s="950" t="s">
        <v>1112</v>
      </c>
      <c r="H4006" s="950" t="s">
        <v>656</v>
      </c>
      <c r="I4006" s="951" t="s">
        <v>1924</v>
      </c>
      <c r="J4006" s="947" t="s">
        <v>1925</v>
      </c>
      <c r="K4006" s="143"/>
    </row>
    <row r="4007" spans="1:11">
      <c r="A4007" s="946" t="s">
        <v>28613</v>
      </c>
      <c r="B4007" s="947" t="s">
        <v>2242</v>
      </c>
      <c r="C4007" s="948" t="s">
        <v>2240</v>
      </c>
      <c r="D4007" s="242" t="s">
        <v>28726</v>
      </c>
      <c r="E4007" s="949">
        <v>1102</v>
      </c>
      <c r="F4007" s="949">
        <v>1102</v>
      </c>
      <c r="G4007" s="950" t="s">
        <v>1112</v>
      </c>
      <c r="H4007" s="950" t="s">
        <v>656</v>
      </c>
      <c r="I4007" s="951" t="s">
        <v>2241</v>
      </c>
      <c r="J4007" s="947" t="s">
        <v>2242</v>
      </c>
      <c r="K4007" s="143"/>
    </row>
    <row r="4008" spans="1:11">
      <c r="A4008" s="946" t="s">
        <v>28613</v>
      </c>
      <c r="B4008" s="947" t="s">
        <v>3623</v>
      </c>
      <c r="C4008" s="948" t="s">
        <v>3621</v>
      </c>
      <c r="D4008" s="242" t="s">
        <v>28726</v>
      </c>
      <c r="E4008" s="949">
        <v>1102</v>
      </c>
      <c r="F4008" s="949">
        <v>1102</v>
      </c>
      <c r="G4008" s="950" t="s">
        <v>1112</v>
      </c>
      <c r="H4008" s="950" t="s">
        <v>656</v>
      </c>
      <c r="I4008" s="951" t="s">
        <v>3622</v>
      </c>
      <c r="J4008" s="947" t="s">
        <v>3623</v>
      </c>
      <c r="K4008" s="143"/>
    </row>
    <row r="4009" spans="1:11">
      <c r="A4009" s="946" t="s">
        <v>28613</v>
      </c>
      <c r="B4009" s="947" t="s">
        <v>3635</v>
      </c>
      <c r="C4009" s="948" t="s">
        <v>3633</v>
      </c>
      <c r="D4009" s="242" t="s">
        <v>28726</v>
      </c>
      <c r="E4009" s="949">
        <v>1102</v>
      </c>
      <c r="F4009" s="949">
        <v>1102</v>
      </c>
      <c r="G4009" s="950" t="s">
        <v>1112</v>
      </c>
      <c r="H4009" s="950" t="s">
        <v>656</v>
      </c>
      <c r="I4009" s="951" t="s">
        <v>3634</v>
      </c>
      <c r="J4009" s="947" t="s">
        <v>3635</v>
      </c>
      <c r="K4009" s="143"/>
    </row>
    <row r="4010" spans="1:11">
      <c r="A4010" s="946" t="s">
        <v>28613</v>
      </c>
      <c r="B4010" s="947" t="s">
        <v>5057</v>
      </c>
      <c r="C4010" s="948" t="s">
        <v>5055</v>
      </c>
      <c r="D4010" s="242" t="s">
        <v>28726</v>
      </c>
      <c r="E4010" s="949">
        <v>1102</v>
      </c>
      <c r="F4010" s="949">
        <v>1102</v>
      </c>
      <c r="G4010" s="950" t="s">
        <v>1112</v>
      </c>
      <c r="H4010" s="950" t="s">
        <v>656</v>
      </c>
      <c r="I4010" s="951" t="s">
        <v>5056</v>
      </c>
      <c r="J4010" s="947" t="s">
        <v>5057</v>
      </c>
      <c r="K4010" s="143"/>
    </row>
    <row r="4011" spans="1:11">
      <c r="A4011" s="946" t="s">
        <v>28613</v>
      </c>
      <c r="B4011" s="947" t="s">
        <v>5090</v>
      </c>
      <c r="C4011" s="948" t="s">
        <v>5088</v>
      </c>
      <c r="D4011" s="242" t="s">
        <v>28728</v>
      </c>
      <c r="E4011" s="949">
        <v>1103</v>
      </c>
      <c r="F4011" s="949">
        <v>1103</v>
      </c>
      <c r="G4011" s="950" t="s">
        <v>1112</v>
      </c>
      <c r="H4011" s="950" t="s">
        <v>656</v>
      </c>
      <c r="I4011" s="951" t="s">
        <v>5089</v>
      </c>
      <c r="J4011" s="947" t="s">
        <v>5090</v>
      </c>
      <c r="K4011" s="143"/>
    </row>
    <row r="4012" spans="1:11">
      <c r="A4012" s="946" t="s">
        <v>28613</v>
      </c>
      <c r="B4012" s="947" t="s">
        <v>5184</v>
      </c>
      <c r="C4012" s="948" t="s">
        <v>5182</v>
      </c>
      <c r="D4012" s="242" t="s">
        <v>28726</v>
      </c>
      <c r="E4012" s="949">
        <v>1102</v>
      </c>
      <c r="F4012" s="949">
        <v>1102</v>
      </c>
      <c r="G4012" s="950" t="s">
        <v>1112</v>
      </c>
      <c r="H4012" s="950" t="s">
        <v>656</v>
      </c>
      <c r="I4012" s="951" t="s">
        <v>5183</v>
      </c>
      <c r="J4012" s="947" t="s">
        <v>5184</v>
      </c>
      <c r="K4012" s="143"/>
    </row>
    <row r="4013" spans="1:11">
      <c r="A4013" s="946" t="s">
        <v>28613</v>
      </c>
      <c r="B4013" s="947" t="s">
        <v>5401</v>
      </c>
      <c r="C4013" s="948" t="s">
        <v>5399</v>
      </c>
      <c r="D4013" s="242" t="s">
        <v>28726</v>
      </c>
      <c r="E4013" s="949">
        <v>1102</v>
      </c>
      <c r="F4013" s="949">
        <v>1102</v>
      </c>
      <c r="G4013" s="950" t="s">
        <v>1112</v>
      </c>
      <c r="H4013" s="950" t="s">
        <v>656</v>
      </c>
      <c r="I4013" s="951" t="s">
        <v>5400</v>
      </c>
      <c r="J4013" s="947" t="s">
        <v>5401</v>
      </c>
      <c r="K4013" s="143"/>
    </row>
    <row r="4014" spans="1:11">
      <c r="A4014" s="946" t="s">
        <v>28613</v>
      </c>
      <c r="B4014" s="947" t="s">
        <v>5998</v>
      </c>
      <c r="C4014" s="948" t="s">
        <v>5996</v>
      </c>
      <c r="D4014" s="242" t="s">
        <v>28726</v>
      </c>
      <c r="E4014" s="949">
        <v>1102</v>
      </c>
      <c r="F4014" s="949">
        <v>1102</v>
      </c>
      <c r="G4014" s="950" t="s">
        <v>1112</v>
      </c>
      <c r="H4014" s="950" t="s">
        <v>656</v>
      </c>
      <c r="I4014" s="951" t="s">
        <v>5997</v>
      </c>
      <c r="J4014" s="947" t="s">
        <v>5998</v>
      </c>
      <c r="K4014" s="143"/>
    </row>
    <row r="4015" spans="1:11">
      <c r="A4015" s="946" t="s">
        <v>28613</v>
      </c>
      <c r="B4015" s="947" t="s">
        <v>6222</v>
      </c>
      <c r="C4015" s="948" t="s">
        <v>6220</v>
      </c>
      <c r="D4015" s="242" t="s">
        <v>28726</v>
      </c>
      <c r="E4015" s="949">
        <v>1102</v>
      </c>
      <c r="F4015" s="949">
        <v>1102</v>
      </c>
      <c r="G4015" s="950" t="s">
        <v>1112</v>
      </c>
      <c r="H4015" s="950" t="s">
        <v>656</v>
      </c>
      <c r="I4015" s="951" t="s">
        <v>6221</v>
      </c>
      <c r="J4015" s="947" t="s">
        <v>6222</v>
      </c>
      <c r="K4015" s="143"/>
    </row>
    <row r="4016" spans="1:11">
      <c r="A4016" s="946" t="s">
        <v>28613</v>
      </c>
      <c r="B4016" s="947" t="s">
        <v>7069</v>
      </c>
      <c r="C4016" s="948" t="s">
        <v>7067</v>
      </c>
      <c r="D4016" s="242" t="s">
        <v>28726</v>
      </c>
      <c r="E4016" s="949">
        <v>1102</v>
      </c>
      <c r="F4016" s="949">
        <v>1102</v>
      </c>
      <c r="G4016" s="950" t="s">
        <v>1112</v>
      </c>
      <c r="H4016" s="950" t="s">
        <v>656</v>
      </c>
      <c r="I4016" s="951" t="s">
        <v>7068</v>
      </c>
      <c r="J4016" s="947" t="s">
        <v>7069</v>
      </c>
      <c r="K4016" s="143"/>
    </row>
    <row r="4017" spans="1:11">
      <c r="A4017" s="946" t="s">
        <v>28613</v>
      </c>
      <c r="B4017" s="947" t="s">
        <v>7480</v>
      </c>
      <c r="C4017" s="948" t="s">
        <v>7478</v>
      </c>
      <c r="D4017" s="242" t="s">
        <v>28726</v>
      </c>
      <c r="E4017" s="949">
        <v>1102</v>
      </c>
      <c r="F4017" s="949">
        <v>1102</v>
      </c>
      <c r="G4017" s="950" t="s">
        <v>1112</v>
      </c>
      <c r="H4017" s="950" t="s">
        <v>656</v>
      </c>
      <c r="I4017" s="951" t="s">
        <v>7479</v>
      </c>
      <c r="J4017" s="947" t="s">
        <v>7480</v>
      </c>
      <c r="K4017" s="143"/>
    </row>
    <row r="4018" spans="1:11">
      <c r="A4018" s="946" t="s">
        <v>28613</v>
      </c>
      <c r="B4018" s="947" t="s">
        <v>7939</v>
      </c>
      <c r="C4018" s="948" t="s">
        <v>7937</v>
      </c>
      <c r="D4018" s="242" t="s">
        <v>28726</v>
      </c>
      <c r="E4018" s="949">
        <v>1102</v>
      </c>
      <c r="F4018" s="949">
        <v>1102</v>
      </c>
      <c r="G4018" s="950" t="s">
        <v>1112</v>
      </c>
      <c r="H4018" s="950" t="s">
        <v>656</v>
      </c>
      <c r="I4018" s="951" t="s">
        <v>7938</v>
      </c>
      <c r="J4018" s="947" t="s">
        <v>7939</v>
      </c>
      <c r="K4018" s="143"/>
    </row>
    <row r="4019" spans="1:11">
      <c r="A4019" s="946" t="s">
        <v>28613</v>
      </c>
      <c r="B4019" s="947" t="s">
        <v>7995</v>
      </c>
      <c r="C4019" s="948" t="s">
        <v>7993</v>
      </c>
      <c r="D4019" s="242" t="s">
        <v>28726</v>
      </c>
      <c r="E4019" s="949">
        <v>1102</v>
      </c>
      <c r="F4019" s="949">
        <v>1102</v>
      </c>
      <c r="G4019" s="950" t="s">
        <v>1112</v>
      </c>
      <c r="H4019" s="950" t="s">
        <v>656</v>
      </c>
      <c r="I4019" s="951" t="s">
        <v>7994</v>
      </c>
      <c r="J4019" s="947" t="s">
        <v>7995</v>
      </c>
      <c r="K4019" s="143"/>
    </row>
    <row r="4020" spans="1:11">
      <c r="A4020" s="946" t="s">
        <v>28613</v>
      </c>
      <c r="B4020" s="947" t="s">
        <v>8259</v>
      </c>
      <c r="C4020" s="948" t="s">
        <v>8257</v>
      </c>
      <c r="D4020" s="242" t="s">
        <v>28728</v>
      </c>
      <c r="E4020" s="949">
        <v>1103</v>
      </c>
      <c r="F4020" s="949">
        <v>1103</v>
      </c>
      <c r="G4020" s="950" t="s">
        <v>1112</v>
      </c>
      <c r="H4020" s="950" t="s">
        <v>656</v>
      </c>
      <c r="I4020" s="951" t="s">
        <v>8258</v>
      </c>
      <c r="J4020" s="947" t="s">
        <v>8259</v>
      </c>
      <c r="K4020" s="143"/>
    </row>
    <row r="4021" spans="1:11">
      <c r="A4021" s="946" t="s">
        <v>28613</v>
      </c>
      <c r="B4021" s="947" t="s">
        <v>9088</v>
      </c>
      <c r="C4021" s="948" t="s">
        <v>9086</v>
      </c>
      <c r="D4021" s="242" t="s">
        <v>28726</v>
      </c>
      <c r="E4021" s="949">
        <v>1102</v>
      </c>
      <c r="F4021" s="949">
        <v>1102</v>
      </c>
      <c r="G4021" s="950" t="s">
        <v>1112</v>
      </c>
      <c r="H4021" s="950" t="s">
        <v>656</v>
      </c>
      <c r="I4021" s="951" t="s">
        <v>9087</v>
      </c>
      <c r="J4021" s="947" t="s">
        <v>9088</v>
      </c>
      <c r="K4021" s="143"/>
    </row>
    <row r="4022" spans="1:11">
      <c r="A4022" s="946" t="s">
        <v>28613</v>
      </c>
      <c r="B4022" s="947" t="s">
        <v>9978</v>
      </c>
      <c r="C4022" s="948" t="s">
        <v>9976</v>
      </c>
      <c r="D4022" s="242" t="s">
        <v>28726</v>
      </c>
      <c r="E4022" s="949">
        <v>1102</v>
      </c>
      <c r="F4022" s="949">
        <v>1102</v>
      </c>
      <c r="G4022" s="950" t="s">
        <v>1112</v>
      </c>
      <c r="H4022" s="950" t="s">
        <v>656</v>
      </c>
      <c r="I4022" s="951" t="s">
        <v>9977</v>
      </c>
      <c r="J4022" s="947" t="s">
        <v>9978</v>
      </c>
      <c r="K4022" s="143"/>
    </row>
    <row r="4023" spans="1:11">
      <c r="A4023" s="946" t="s">
        <v>28613</v>
      </c>
      <c r="B4023" s="947" t="s">
        <v>10639</v>
      </c>
      <c r="C4023" s="948" t="s">
        <v>10637</v>
      </c>
      <c r="D4023" s="242" t="s">
        <v>28728</v>
      </c>
      <c r="E4023" s="949">
        <v>1103</v>
      </c>
      <c r="F4023" s="949">
        <v>1103</v>
      </c>
      <c r="G4023" s="950" t="s">
        <v>1112</v>
      </c>
      <c r="H4023" s="950" t="s">
        <v>656</v>
      </c>
      <c r="I4023" s="951" t="s">
        <v>10638</v>
      </c>
      <c r="J4023" s="947" t="s">
        <v>10639</v>
      </c>
      <c r="K4023" s="143"/>
    </row>
    <row r="4024" spans="1:11">
      <c r="A4024" s="946" t="s">
        <v>28613</v>
      </c>
      <c r="B4024" s="947" t="s">
        <v>10934</v>
      </c>
      <c r="C4024" s="948" t="s">
        <v>10932</v>
      </c>
      <c r="D4024" s="242" t="s">
        <v>28726</v>
      </c>
      <c r="E4024" s="949">
        <v>1102</v>
      </c>
      <c r="F4024" s="949">
        <v>1102</v>
      </c>
      <c r="G4024" s="950" t="s">
        <v>1112</v>
      </c>
      <c r="H4024" s="950" t="s">
        <v>656</v>
      </c>
      <c r="I4024" s="951" t="s">
        <v>10933</v>
      </c>
      <c r="J4024" s="947" t="s">
        <v>10934</v>
      </c>
      <c r="K4024" s="143"/>
    </row>
    <row r="4025" spans="1:11">
      <c r="A4025" s="946" t="s">
        <v>28613</v>
      </c>
      <c r="B4025" s="947" t="s">
        <v>11640</v>
      </c>
      <c r="C4025" s="948" t="s">
        <v>11638</v>
      </c>
      <c r="D4025" s="242" t="s">
        <v>28726</v>
      </c>
      <c r="E4025" s="949">
        <v>1102</v>
      </c>
      <c r="F4025" s="949">
        <v>1102</v>
      </c>
      <c r="G4025" s="950" t="s">
        <v>1112</v>
      </c>
      <c r="H4025" s="950" t="s">
        <v>656</v>
      </c>
      <c r="I4025" s="951" t="s">
        <v>11639</v>
      </c>
      <c r="J4025" s="947" t="s">
        <v>11640</v>
      </c>
      <c r="K4025" s="143"/>
    </row>
    <row r="4026" spans="1:11">
      <c r="A4026" s="946" t="s">
        <v>28613</v>
      </c>
      <c r="B4026" s="947" t="s">
        <v>12144</v>
      </c>
      <c r="C4026" s="948" t="s">
        <v>12142</v>
      </c>
      <c r="D4026" s="242" t="s">
        <v>28726</v>
      </c>
      <c r="E4026" s="949">
        <v>1102</v>
      </c>
      <c r="F4026" s="949">
        <v>1102</v>
      </c>
      <c r="G4026" s="950" t="s">
        <v>1112</v>
      </c>
      <c r="H4026" s="950" t="s">
        <v>656</v>
      </c>
      <c r="I4026" s="951" t="s">
        <v>12143</v>
      </c>
      <c r="J4026" s="947" t="s">
        <v>12144</v>
      </c>
      <c r="K4026" s="143"/>
    </row>
    <row r="4027" spans="1:11">
      <c r="A4027" s="946" t="s">
        <v>28613</v>
      </c>
      <c r="B4027" s="947" t="s">
        <v>12389</v>
      </c>
      <c r="C4027" s="948" t="s">
        <v>12387</v>
      </c>
      <c r="D4027" s="242" t="s">
        <v>28726</v>
      </c>
      <c r="E4027" s="949">
        <v>1102</v>
      </c>
      <c r="F4027" s="949">
        <v>1102</v>
      </c>
      <c r="G4027" s="950" t="s">
        <v>1112</v>
      </c>
      <c r="H4027" s="950" t="s">
        <v>656</v>
      </c>
      <c r="I4027" s="951" t="s">
        <v>12388</v>
      </c>
      <c r="J4027" s="947" t="s">
        <v>12389</v>
      </c>
      <c r="K4027" s="143"/>
    </row>
    <row r="4028" spans="1:11">
      <c r="A4028" s="946" t="s">
        <v>28613</v>
      </c>
      <c r="B4028" s="947" t="s">
        <v>12620</v>
      </c>
      <c r="C4028" s="948" t="s">
        <v>12618</v>
      </c>
      <c r="D4028" s="242" t="s">
        <v>28726</v>
      </c>
      <c r="E4028" s="949">
        <v>1102</v>
      </c>
      <c r="F4028" s="949">
        <v>1102</v>
      </c>
      <c r="G4028" s="950" t="s">
        <v>1112</v>
      </c>
      <c r="H4028" s="950" t="s">
        <v>656</v>
      </c>
      <c r="I4028" s="951" t="s">
        <v>12619</v>
      </c>
      <c r="J4028" s="947" t="s">
        <v>12620</v>
      </c>
      <c r="K4028" s="143"/>
    </row>
    <row r="4029" spans="1:11">
      <c r="A4029" s="946" t="s">
        <v>28613</v>
      </c>
      <c r="B4029" s="947" t="s">
        <v>12308</v>
      </c>
      <c r="C4029" s="948" t="s">
        <v>12306</v>
      </c>
      <c r="D4029" s="242" t="s">
        <v>28726</v>
      </c>
      <c r="E4029" s="949">
        <v>1102</v>
      </c>
      <c r="F4029" s="949">
        <v>1102</v>
      </c>
      <c r="G4029" s="950" t="s">
        <v>1112</v>
      </c>
      <c r="H4029" s="950" t="s">
        <v>656</v>
      </c>
      <c r="I4029" s="951" t="s">
        <v>12307</v>
      </c>
      <c r="J4029" s="947" t="s">
        <v>12308</v>
      </c>
      <c r="K4029" s="143"/>
    </row>
    <row r="4030" spans="1:11">
      <c r="A4030" s="946" t="s">
        <v>28613</v>
      </c>
      <c r="B4030" s="947" t="s">
        <v>12340</v>
      </c>
      <c r="C4030" s="948" t="s">
        <v>12338</v>
      </c>
      <c r="D4030" s="242" t="s">
        <v>28726</v>
      </c>
      <c r="E4030" s="949">
        <v>1102</v>
      </c>
      <c r="F4030" s="949">
        <v>1102</v>
      </c>
      <c r="G4030" s="950" t="s">
        <v>1112</v>
      </c>
      <c r="H4030" s="950" t="s">
        <v>656</v>
      </c>
      <c r="I4030" s="951" t="s">
        <v>12339</v>
      </c>
      <c r="J4030" s="947" t="s">
        <v>12340</v>
      </c>
      <c r="K4030" s="143"/>
    </row>
    <row r="4031" spans="1:11">
      <c r="A4031" s="946" t="s">
        <v>28613</v>
      </c>
      <c r="B4031" s="947" t="s">
        <v>12977</v>
      </c>
      <c r="C4031" s="948" t="s">
        <v>12975</v>
      </c>
      <c r="D4031" s="242" t="s">
        <v>28726</v>
      </c>
      <c r="E4031" s="949">
        <v>1102</v>
      </c>
      <c r="F4031" s="949">
        <v>1102</v>
      </c>
      <c r="G4031" s="950" t="s">
        <v>1112</v>
      </c>
      <c r="H4031" s="950" t="s">
        <v>656</v>
      </c>
      <c r="I4031" s="951" t="s">
        <v>12976</v>
      </c>
      <c r="J4031" s="947" t="s">
        <v>12977</v>
      </c>
      <c r="K4031" s="143"/>
    </row>
    <row r="4032" spans="1:11">
      <c r="A4032" s="946" t="s">
        <v>28613</v>
      </c>
      <c r="B4032" s="947" t="s">
        <v>13462</v>
      </c>
      <c r="C4032" s="948" t="s">
        <v>13460</v>
      </c>
      <c r="D4032" s="242" t="s">
        <v>28728</v>
      </c>
      <c r="E4032" s="949">
        <v>1103</v>
      </c>
      <c r="F4032" s="949">
        <v>1103</v>
      </c>
      <c r="G4032" s="950" t="s">
        <v>1112</v>
      </c>
      <c r="H4032" s="950" t="s">
        <v>656</v>
      </c>
      <c r="I4032" s="951" t="s">
        <v>13461</v>
      </c>
      <c r="J4032" s="947" t="s">
        <v>13462</v>
      </c>
      <c r="K4032" s="143"/>
    </row>
    <row r="4033" spans="1:11">
      <c r="A4033" s="946" t="s">
        <v>28613</v>
      </c>
      <c r="B4033" s="947" t="s">
        <v>13518</v>
      </c>
      <c r="C4033" s="948" t="s">
        <v>13516</v>
      </c>
      <c r="D4033" s="242" t="s">
        <v>28726</v>
      </c>
      <c r="E4033" s="949">
        <v>1102</v>
      </c>
      <c r="F4033" s="949">
        <v>1102</v>
      </c>
      <c r="G4033" s="950" t="s">
        <v>1112</v>
      </c>
      <c r="H4033" s="950" t="s">
        <v>656</v>
      </c>
      <c r="I4033" s="951" t="s">
        <v>13517</v>
      </c>
      <c r="J4033" s="947" t="s">
        <v>13518</v>
      </c>
      <c r="K4033" s="143"/>
    </row>
    <row r="4034" spans="1:11">
      <c r="A4034" s="946" t="s">
        <v>28613</v>
      </c>
      <c r="B4034" s="947" t="s">
        <v>13842</v>
      </c>
      <c r="C4034" s="948" t="s">
        <v>13840</v>
      </c>
      <c r="D4034" s="242" t="s">
        <v>28728</v>
      </c>
      <c r="E4034" s="949">
        <v>1103</v>
      </c>
      <c r="F4034" s="949">
        <v>1103</v>
      </c>
      <c r="G4034" s="950" t="s">
        <v>1112</v>
      </c>
      <c r="H4034" s="950" t="s">
        <v>656</v>
      </c>
      <c r="I4034" s="951" t="s">
        <v>13841</v>
      </c>
      <c r="J4034" s="947" t="s">
        <v>13842</v>
      </c>
      <c r="K4034" s="143"/>
    </row>
    <row r="4035" spans="1:11">
      <c r="A4035" s="946" t="s">
        <v>28613</v>
      </c>
      <c r="B4035" s="947" t="s">
        <v>13905</v>
      </c>
      <c r="C4035" s="948" t="s">
        <v>13903</v>
      </c>
      <c r="D4035" s="242" t="s">
        <v>28726</v>
      </c>
      <c r="E4035" s="949">
        <v>1102</v>
      </c>
      <c r="F4035" s="949">
        <v>1102</v>
      </c>
      <c r="G4035" s="950" t="s">
        <v>1112</v>
      </c>
      <c r="H4035" s="950" t="s">
        <v>656</v>
      </c>
      <c r="I4035" s="951" t="s">
        <v>13904</v>
      </c>
      <c r="J4035" s="947" t="s">
        <v>13905</v>
      </c>
      <c r="K4035" s="143"/>
    </row>
    <row r="4036" spans="1:11">
      <c r="A4036" s="946" t="s">
        <v>28613</v>
      </c>
      <c r="B4036" s="947" t="s">
        <v>13908</v>
      </c>
      <c r="C4036" s="948" t="s">
        <v>13906</v>
      </c>
      <c r="D4036" s="242" t="s">
        <v>28726</v>
      </c>
      <c r="E4036" s="949">
        <v>1102</v>
      </c>
      <c r="F4036" s="949">
        <v>1102</v>
      </c>
      <c r="G4036" s="950" t="s">
        <v>1112</v>
      </c>
      <c r="H4036" s="950" t="s">
        <v>656</v>
      </c>
      <c r="I4036" s="951" t="s">
        <v>13907</v>
      </c>
      <c r="J4036" s="947" t="s">
        <v>13908</v>
      </c>
      <c r="K4036" s="143"/>
    </row>
    <row r="4037" spans="1:11">
      <c r="A4037" s="946" t="s">
        <v>28613</v>
      </c>
      <c r="B4037" s="947" t="s">
        <v>15202</v>
      </c>
      <c r="C4037" s="948" t="s">
        <v>15200</v>
      </c>
      <c r="D4037" s="242" t="s">
        <v>28726</v>
      </c>
      <c r="E4037" s="949">
        <v>1102</v>
      </c>
      <c r="F4037" s="949">
        <v>1102</v>
      </c>
      <c r="G4037" s="950" t="s">
        <v>1112</v>
      </c>
      <c r="H4037" s="950" t="s">
        <v>656</v>
      </c>
      <c r="I4037" s="951" t="s">
        <v>15201</v>
      </c>
      <c r="J4037" s="947" t="s">
        <v>15202</v>
      </c>
      <c r="K4037" s="143"/>
    </row>
    <row r="4038" spans="1:11">
      <c r="A4038" s="946" t="s">
        <v>28613</v>
      </c>
      <c r="B4038" s="947" t="s">
        <v>15312</v>
      </c>
      <c r="C4038" s="948" t="s">
        <v>15310</v>
      </c>
      <c r="D4038" s="242" t="s">
        <v>28726</v>
      </c>
      <c r="E4038" s="949">
        <v>1102</v>
      </c>
      <c r="F4038" s="949">
        <v>1102</v>
      </c>
      <c r="G4038" s="950" t="s">
        <v>1112</v>
      </c>
      <c r="H4038" s="950" t="s">
        <v>656</v>
      </c>
      <c r="I4038" s="951" t="s">
        <v>15311</v>
      </c>
      <c r="J4038" s="947" t="s">
        <v>15312</v>
      </c>
      <c r="K4038" s="143"/>
    </row>
    <row r="4039" spans="1:11">
      <c r="A4039" s="946" t="s">
        <v>28613</v>
      </c>
      <c r="B4039" s="947" t="s">
        <v>16976</v>
      </c>
      <c r="C4039" s="948" t="s">
        <v>16974</v>
      </c>
      <c r="D4039" s="242" t="s">
        <v>28726</v>
      </c>
      <c r="E4039" s="949">
        <v>1102</v>
      </c>
      <c r="F4039" s="949">
        <v>1102</v>
      </c>
      <c r="G4039" s="950" t="s">
        <v>1112</v>
      </c>
      <c r="H4039" s="950" t="s">
        <v>656</v>
      </c>
      <c r="I4039" s="951" t="s">
        <v>16975</v>
      </c>
      <c r="J4039" s="947" t="s">
        <v>16976</v>
      </c>
      <c r="K4039" s="143"/>
    </row>
    <row r="4040" spans="1:11">
      <c r="A4040" s="946" t="s">
        <v>28613</v>
      </c>
      <c r="B4040" s="947" t="s">
        <v>17859</v>
      </c>
      <c r="C4040" s="948" t="s">
        <v>17857</v>
      </c>
      <c r="D4040" s="242" t="s">
        <v>28726</v>
      </c>
      <c r="E4040" s="949">
        <v>1102</v>
      </c>
      <c r="F4040" s="949">
        <v>1102</v>
      </c>
      <c r="G4040" s="950" t="s">
        <v>1112</v>
      </c>
      <c r="H4040" s="950" t="s">
        <v>656</v>
      </c>
      <c r="I4040" s="951" t="s">
        <v>17858</v>
      </c>
      <c r="J4040" s="947" t="s">
        <v>17859</v>
      </c>
      <c r="K4040" s="143"/>
    </row>
    <row r="4041" spans="1:11">
      <c r="A4041" s="946" t="s">
        <v>28613</v>
      </c>
      <c r="B4041" s="947" t="s">
        <v>18048</v>
      </c>
      <c r="C4041" s="948" t="s">
        <v>18046</v>
      </c>
      <c r="D4041" s="242" t="s">
        <v>28726</v>
      </c>
      <c r="E4041" s="949">
        <v>1102</v>
      </c>
      <c r="F4041" s="949">
        <v>1102</v>
      </c>
      <c r="G4041" s="950" t="s">
        <v>1112</v>
      </c>
      <c r="H4041" s="950" t="s">
        <v>656</v>
      </c>
      <c r="I4041" s="951" t="s">
        <v>18047</v>
      </c>
      <c r="J4041" s="947" t="s">
        <v>18048</v>
      </c>
      <c r="K4041" s="143"/>
    </row>
    <row r="4042" spans="1:11">
      <c r="A4042" s="946" t="s">
        <v>28613</v>
      </c>
      <c r="B4042" s="947" t="s">
        <v>18499</v>
      </c>
      <c r="C4042" s="948" t="s">
        <v>18497</v>
      </c>
      <c r="D4042" s="242" t="s">
        <v>28726</v>
      </c>
      <c r="E4042" s="949">
        <v>1102</v>
      </c>
      <c r="F4042" s="949">
        <v>1102</v>
      </c>
      <c r="G4042" s="950" t="s">
        <v>1112</v>
      </c>
      <c r="H4042" s="950" t="s">
        <v>656</v>
      </c>
      <c r="I4042" s="951" t="s">
        <v>18498</v>
      </c>
      <c r="J4042" s="947" t="s">
        <v>18499</v>
      </c>
      <c r="K4042" s="143"/>
    </row>
    <row r="4043" spans="1:11">
      <c r="A4043" s="946" t="s">
        <v>28613</v>
      </c>
      <c r="B4043" s="947" t="s">
        <v>18928</v>
      </c>
      <c r="C4043" s="948" t="s">
        <v>18926</v>
      </c>
      <c r="D4043" s="242" t="s">
        <v>28726</v>
      </c>
      <c r="E4043" s="949">
        <v>1102</v>
      </c>
      <c r="F4043" s="949">
        <v>1102</v>
      </c>
      <c r="G4043" s="950" t="s">
        <v>1112</v>
      </c>
      <c r="H4043" s="950" t="s">
        <v>656</v>
      </c>
      <c r="I4043" s="951" t="s">
        <v>18927</v>
      </c>
      <c r="J4043" s="947" t="s">
        <v>18928</v>
      </c>
      <c r="K4043" s="143"/>
    </row>
    <row r="4044" spans="1:11">
      <c r="A4044" s="946" t="s">
        <v>28613</v>
      </c>
      <c r="B4044" s="947" t="s">
        <v>19254</v>
      </c>
      <c r="C4044" s="948" t="s">
        <v>19252</v>
      </c>
      <c r="D4044" s="242" t="s">
        <v>28726</v>
      </c>
      <c r="E4044" s="949">
        <v>1102</v>
      </c>
      <c r="F4044" s="949">
        <v>1102</v>
      </c>
      <c r="G4044" s="950" t="s">
        <v>1112</v>
      </c>
      <c r="H4044" s="950" t="s">
        <v>656</v>
      </c>
      <c r="I4044" s="951" t="s">
        <v>19253</v>
      </c>
      <c r="J4044" s="947" t="s">
        <v>19254</v>
      </c>
      <c r="K4044" s="143"/>
    </row>
    <row r="4045" spans="1:11">
      <c r="A4045" s="946" t="s">
        <v>28613</v>
      </c>
      <c r="B4045" s="947" t="s">
        <v>19319</v>
      </c>
      <c r="C4045" s="948" t="s">
        <v>19317</v>
      </c>
      <c r="D4045" s="242" t="s">
        <v>28726</v>
      </c>
      <c r="E4045" s="949">
        <v>1102</v>
      </c>
      <c r="F4045" s="949">
        <v>1102</v>
      </c>
      <c r="G4045" s="950" t="s">
        <v>1112</v>
      </c>
      <c r="H4045" s="950" t="s">
        <v>656</v>
      </c>
      <c r="I4045" s="951" t="s">
        <v>19318</v>
      </c>
      <c r="J4045" s="947" t="s">
        <v>19319</v>
      </c>
      <c r="K4045" s="143"/>
    </row>
    <row r="4046" spans="1:11">
      <c r="A4046" s="946" t="s">
        <v>28613</v>
      </c>
      <c r="B4046" s="947" t="s">
        <v>19327</v>
      </c>
      <c r="C4046" s="948" t="s">
        <v>19325</v>
      </c>
      <c r="D4046" s="242" t="s">
        <v>28726</v>
      </c>
      <c r="E4046" s="949">
        <v>1102</v>
      </c>
      <c r="F4046" s="949">
        <v>1102</v>
      </c>
      <c r="G4046" s="950" t="s">
        <v>1112</v>
      </c>
      <c r="H4046" s="950" t="s">
        <v>656</v>
      </c>
      <c r="I4046" s="951" t="s">
        <v>19326</v>
      </c>
      <c r="J4046" s="947" t="s">
        <v>19327</v>
      </c>
      <c r="K4046" s="143"/>
    </row>
    <row r="4047" spans="1:11">
      <c r="A4047" s="946" t="s">
        <v>28613</v>
      </c>
      <c r="B4047" s="947" t="s">
        <v>19582</v>
      </c>
      <c r="C4047" s="948" t="s">
        <v>19580</v>
      </c>
      <c r="D4047" s="242" t="s">
        <v>28728</v>
      </c>
      <c r="E4047" s="949">
        <v>1103</v>
      </c>
      <c r="F4047" s="949">
        <v>1103</v>
      </c>
      <c r="G4047" s="950" t="s">
        <v>1112</v>
      </c>
      <c r="H4047" s="950" t="s">
        <v>656</v>
      </c>
      <c r="I4047" s="951" t="s">
        <v>19581</v>
      </c>
      <c r="J4047" s="947" t="s">
        <v>19582</v>
      </c>
      <c r="K4047" s="143"/>
    </row>
    <row r="4048" spans="1:11">
      <c r="A4048" s="946" t="s">
        <v>28613</v>
      </c>
      <c r="B4048" s="947" t="s">
        <v>19951</v>
      </c>
      <c r="C4048" s="948" t="s">
        <v>19949</v>
      </c>
      <c r="D4048" s="242" t="s">
        <v>28726</v>
      </c>
      <c r="E4048" s="949">
        <v>1102</v>
      </c>
      <c r="F4048" s="949">
        <v>1102</v>
      </c>
      <c r="G4048" s="950" t="s">
        <v>1112</v>
      </c>
      <c r="H4048" s="950" t="s">
        <v>656</v>
      </c>
      <c r="I4048" s="951" t="s">
        <v>19950</v>
      </c>
      <c r="J4048" s="947" t="s">
        <v>19951</v>
      </c>
      <c r="K4048" s="143"/>
    </row>
    <row r="4049" spans="1:11">
      <c r="A4049" s="946" t="s">
        <v>28613</v>
      </c>
      <c r="B4049" s="947" t="s">
        <v>24958</v>
      </c>
      <c r="C4049" s="948" t="s">
        <v>26249</v>
      </c>
      <c r="D4049" s="242" t="s">
        <v>28726</v>
      </c>
      <c r="E4049" s="949">
        <v>1102</v>
      </c>
      <c r="F4049" s="949">
        <v>1102</v>
      </c>
      <c r="G4049" s="950" t="s">
        <v>1112</v>
      </c>
      <c r="H4049" s="950" t="s">
        <v>656</v>
      </c>
      <c r="I4049" s="951" t="s">
        <v>24959</v>
      </c>
      <c r="J4049" s="947" t="s">
        <v>24958</v>
      </c>
      <c r="K4049" s="143"/>
    </row>
    <row r="4050" spans="1:11">
      <c r="A4050" s="946" t="s">
        <v>28613</v>
      </c>
      <c r="B4050" s="947" t="s">
        <v>1247</v>
      </c>
      <c r="C4050" s="948" t="s">
        <v>1245</v>
      </c>
      <c r="D4050" s="242" t="s">
        <v>28728</v>
      </c>
      <c r="E4050" s="949">
        <v>1103</v>
      </c>
      <c r="F4050" s="949">
        <v>1103</v>
      </c>
      <c r="G4050" s="950" t="s">
        <v>10817</v>
      </c>
      <c r="H4050" s="950" t="s">
        <v>429</v>
      </c>
      <c r="I4050" s="951" t="s">
        <v>1246</v>
      </c>
      <c r="J4050" s="947" t="s">
        <v>1247</v>
      </c>
      <c r="K4050" s="143"/>
    </row>
    <row r="4051" spans="1:11">
      <c r="A4051" s="946" t="s">
        <v>28613</v>
      </c>
      <c r="B4051" s="947" t="s">
        <v>1257</v>
      </c>
      <c r="C4051" s="948" t="s">
        <v>1255</v>
      </c>
      <c r="D4051" s="242" t="s">
        <v>28728</v>
      </c>
      <c r="E4051" s="949">
        <v>1103</v>
      </c>
      <c r="F4051" s="949">
        <v>1103</v>
      </c>
      <c r="G4051" s="950" t="s">
        <v>10817</v>
      </c>
      <c r="H4051" s="950" t="s">
        <v>429</v>
      </c>
      <c r="I4051" s="951" t="s">
        <v>1256</v>
      </c>
      <c r="J4051" s="947" t="s">
        <v>1257</v>
      </c>
      <c r="K4051" s="143"/>
    </row>
    <row r="4052" spans="1:11">
      <c r="A4052" s="946" t="s">
        <v>28613</v>
      </c>
      <c r="B4052" s="947" t="s">
        <v>2158</v>
      </c>
      <c r="C4052" s="948" t="s">
        <v>2156</v>
      </c>
      <c r="D4052" s="242" t="s">
        <v>28728</v>
      </c>
      <c r="E4052" s="949">
        <v>1103</v>
      </c>
      <c r="F4052" s="949">
        <v>1103</v>
      </c>
      <c r="G4052" s="950" t="s">
        <v>10817</v>
      </c>
      <c r="H4052" s="950" t="s">
        <v>429</v>
      </c>
      <c r="I4052" s="951" t="s">
        <v>2157</v>
      </c>
      <c r="J4052" s="947" t="s">
        <v>2158</v>
      </c>
      <c r="K4052" s="143"/>
    </row>
    <row r="4053" spans="1:11">
      <c r="A4053" s="946" t="s">
        <v>28613</v>
      </c>
      <c r="B4053" s="947" t="s">
        <v>2590</v>
      </c>
      <c r="C4053" s="948" t="s">
        <v>2588</v>
      </c>
      <c r="D4053" s="242" t="s">
        <v>28728</v>
      </c>
      <c r="E4053" s="949">
        <v>1103</v>
      </c>
      <c r="F4053" s="949">
        <v>1103</v>
      </c>
      <c r="G4053" s="950" t="s">
        <v>10817</v>
      </c>
      <c r="H4053" s="950" t="s">
        <v>429</v>
      </c>
      <c r="I4053" s="951" t="s">
        <v>2589</v>
      </c>
      <c r="J4053" s="947" t="s">
        <v>2590</v>
      </c>
      <c r="K4053" s="143"/>
    </row>
    <row r="4054" spans="1:11">
      <c r="A4054" s="946" t="s">
        <v>28613</v>
      </c>
      <c r="B4054" s="947" t="s">
        <v>3469</v>
      </c>
      <c r="C4054" s="948" t="s">
        <v>3467</v>
      </c>
      <c r="D4054" s="242" t="s">
        <v>28728</v>
      </c>
      <c r="E4054" s="949">
        <v>1103</v>
      </c>
      <c r="F4054" s="949">
        <v>1103</v>
      </c>
      <c r="G4054" s="950" t="s">
        <v>10817</v>
      </c>
      <c r="H4054" s="950" t="s">
        <v>429</v>
      </c>
      <c r="I4054" s="951" t="s">
        <v>3468</v>
      </c>
      <c r="J4054" s="947" t="s">
        <v>3469</v>
      </c>
      <c r="K4054" s="143"/>
    </row>
    <row r="4055" spans="1:11">
      <c r="A4055" s="946" t="s">
        <v>28613</v>
      </c>
      <c r="B4055" s="947" t="s">
        <v>3641</v>
      </c>
      <c r="C4055" s="948" t="s">
        <v>3639</v>
      </c>
      <c r="D4055" s="242" t="s">
        <v>28728</v>
      </c>
      <c r="E4055" s="949">
        <v>1103</v>
      </c>
      <c r="F4055" s="949">
        <v>1103</v>
      </c>
      <c r="G4055" s="950" t="s">
        <v>10817</v>
      </c>
      <c r="H4055" s="950" t="s">
        <v>429</v>
      </c>
      <c r="I4055" s="951" t="s">
        <v>3640</v>
      </c>
      <c r="J4055" s="947" t="s">
        <v>3641</v>
      </c>
      <c r="K4055" s="143"/>
    </row>
    <row r="4056" spans="1:11">
      <c r="A4056" s="946" t="s">
        <v>28613</v>
      </c>
      <c r="B4056" s="947" t="s">
        <v>3836</v>
      </c>
      <c r="C4056" s="948" t="s">
        <v>3834</v>
      </c>
      <c r="D4056" s="242" t="s">
        <v>28728</v>
      </c>
      <c r="E4056" s="949">
        <v>1103</v>
      </c>
      <c r="F4056" s="949">
        <v>1103</v>
      </c>
      <c r="G4056" s="950" t="s">
        <v>10817</v>
      </c>
      <c r="H4056" s="950" t="s">
        <v>429</v>
      </c>
      <c r="I4056" s="951" t="s">
        <v>3835</v>
      </c>
      <c r="J4056" s="947" t="s">
        <v>3836</v>
      </c>
      <c r="K4056" s="143"/>
    </row>
    <row r="4057" spans="1:11">
      <c r="A4057" s="946" t="s">
        <v>28613</v>
      </c>
      <c r="B4057" s="947" t="s">
        <v>5407</v>
      </c>
      <c r="C4057" s="948" t="s">
        <v>5405</v>
      </c>
      <c r="D4057" s="242" t="s">
        <v>28728</v>
      </c>
      <c r="E4057" s="949">
        <v>1103</v>
      </c>
      <c r="F4057" s="949">
        <v>1103</v>
      </c>
      <c r="G4057" s="950" t="s">
        <v>10817</v>
      </c>
      <c r="H4057" s="950" t="s">
        <v>429</v>
      </c>
      <c r="I4057" s="951" t="s">
        <v>5406</v>
      </c>
      <c r="J4057" s="947" t="s">
        <v>5407</v>
      </c>
      <c r="K4057" s="143"/>
    </row>
    <row r="4058" spans="1:11">
      <c r="A4058" s="946" t="s">
        <v>28613</v>
      </c>
      <c r="B4058" s="947" t="s">
        <v>5411</v>
      </c>
      <c r="C4058" s="948" t="s">
        <v>5409</v>
      </c>
      <c r="D4058" s="242" t="s">
        <v>28728</v>
      </c>
      <c r="E4058" s="949">
        <v>1103</v>
      </c>
      <c r="F4058" s="949">
        <v>1103</v>
      </c>
      <c r="G4058" s="950" t="s">
        <v>10817</v>
      </c>
      <c r="H4058" s="950" t="s">
        <v>429</v>
      </c>
      <c r="I4058" s="951" t="s">
        <v>5410</v>
      </c>
      <c r="J4058" s="947" t="s">
        <v>5411</v>
      </c>
      <c r="K4058" s="143"/>
    </row>
    <row r="4059" spans="1:11">
      <c r="A4059" s="946" t="s">
        <v>28613</v>
      </c>
      <c r="B4059" s="947" t="s">
        <v>6145</v>
      </c>
      <c r="C4059" s="948" t="s">
        <v>6143</v>
      </c>
      <c r="D4059" s="242" t="s">
        <v>28728</v>
      </c>
      <c r="E4059" s="949">
        <v>1103</v>
      </c>
      <c r="F4059" s="949">
        <v>1103</v>
      </c>
      <c r="G4059" s="950" t="s">
        <v>10817</v>
      </c>
      <c r="H4059" s="950" t="s">
        <v>429</v>
      </c>
      <c r="I4059" s="951" t="s">
        <v>6144</v>
      </c>
      <c r="J4059" s="947" t="s">
        <v>6145</v>
      </c>
      <c r="K4059" s="143"/>
    </row>
    <row r="4060" spans="1:11">
      <c r="A4060" s="946" t="s">
        <v>28613</v>
      </c>
      <c r="B4060" s="947" t="s">
        <v>6413</v>
      </c>
      <c r="C4060" s="948" t="s">
        <v>6411</v>
      </c>
      <c r="D4060" s="242" t="s">
        <v>28728</v>
      </c>
      <c r="E4060" s="949">
        <v>1103</v>
      </c>
      <c r="F4060" s="949">
        <v>1103</v>
      </c>
      <c r="G4060" s="950" t="s">
        <v>10817</v>
      </c>
      <c r="H4060" s="950" t="s">
        <v>429</v>
      </c>
      <c r="I4060" s="951" t="s">
        <v>6412</v>
      </c>
      <c r="J4060" s="947" t="s">
        <v>6413</v>
      </c>
      <c r="K4060" s="143"/>
    </row>
    <row r="4061" spans="1:11">
      <c r="A4061" s="946" t="s">
        <v>28613</v>
      </c>
      <c r="B4061" s="947" t="s">
        <v>6567</v>
      </c>
      <c r="C4061" s="948" t="s">
        <v>6565</v>
      </c>
      <c r="D4061" s="242" t="s">
        <v>28728</v>
      </c>
      <c r="E4061" s="949">
        <v>1103</v>
      </c>
      <c r="F4061" s="949">
        <v>1103</v>
      </c>
      <c r="G4061" s="950" t="s">
        <v>10817</v>
      </c>
      <c r="H4061" s="950" t="s">
        <v>429</v>
      </c>
      <c r="I4061" s="951" t="s">
        <v>6566</v>
      </c>
      <c r="J4061" s="947" t="s">
        <v>6567</v>
      </c>
      <c r="K4061" s="143"/>
    </row>
    <row r="4062" spans="1:11">
      <c r="A4062" s="946" t="s">
        <v>28613</v>
      </c>
      <c r="B4062" s="947" t="s">
        <v>6821</v>
      </c>
      <c r="C4062" s="948" t="s">
        <v>6819</v>
      </c>
      <c r="D4062" s="242" t="s">
        <v>28727</v>
      </c>
      <c r="E4062" s="949">
        <v>1104</v>
      </c>
      <c r="F4062" s="949">
        <v>1104</v>
      </c>
      <c r="G4062" s="950" t="s">
        <v>10817</v>
      </c>
      <c r="H4062" s="950" t="s">
        <v>429</v>
      </c>
      <c r="I4062" s="951" t="s">
        <v>6820</v>
      </c>
      <c r="J4062" s="947" t="s">
        <v>6821</v>
      </c>
      <c r="K4062" s="143"/>
    </row>
    <row r="4063" spans="1:11">
      <c r="A4063" s="946" t="s">
        <v>28613</v>
      </c>
      <c r="B4063" s="947" t="s">
        <v>7137</v>
      </c>
      <c r="C4063" s="948" t="s">
        <v>7135</v>
      </c>
      <c r="D4063" s="242" t="s">
        <v>28728</v>
      </c>
      <c r="E4063" s="949">
        <v>1103</v>
      </c>
      <c r="F4063" s="949">
        <v>1103</v>
      </c>
      <c r="G4063" s="950" t="s">
        <v>10817</v>
      </c>
      <c r="H4063" s="950" t="s">
        <v>429</v>
      </c>
      <c r="I4063" s="951" t="s">
        <v>7136</v>
      </c>
      <c r="J4063" s="947" t="s">
        <v>7137</v>
      </c>
      <c r="K4063" s="143"/>
    </row>
    <row r="4064" spans="1:11">
      <c r="A4064" s="946" t="s">
        <v>28613</v>
      </c>
      <c r="B4064" s="947" t="s">
        <v>7904</v>
      </c>
      <c r="C4064" s="948" t="s">
        <v>7902</v>
      </c>
      <c r="D4064" s="242" t="s">
        <v>28726</v>
      </c>
      <c r="E4064" s="949">
        <v>1102</v>
      </c>
      <c r="F4064" s="949">
        <v>1102</v>
      </c>
      <c r="G4064" s="950" t="s">
        <v>10817</v>
      </c>
      <c r="H4064" s="950" t="s">
        <v>429</v>
      </c>
      <c r="I4064" s="951" t="s">
        <v>7903</v>
      </c>
      <c r="J4064" s="947" t="s">
        <v>7904</v>
      </c>
      <c r="K4064" s="143"/>
    </row>
    <row r="4065" spans="1:11">
      <c r="A4065" s="946" t="s">
        <v>28613</v>
      </c>
      <c r="B4065" s="947" t="s">
        <v>8183</v>
      </c>
      <c r="C4065" s="948" t="s">
        <v>8181</v>
      </c>
      <c r="D4065" s="242" t="s">
        <v>28728</v>
      </c>
      <c r="E4065" s="949">
        <v>1103</v>
      </c>
      <c r="F4065" s="949">
        <v>1103</v>
      </c>
      <c r="G4065" s="950" t="s">
        <v>10817</v>
      </c>
      <c r="H4065" s="950" t="s">
        <v>429</v>
      </c>
      <c r="I4065" s="951" t="s">
        <v>8182</v>
      </c>
      <c r="J4065" s="947" t="s">
        <v>8183</v>
      </c>
      <c r="K4065" s="143"/>
    </row>
    <row r="4066" spans="1:11">
      <c r="A4066" s="946" t="s">
        <v>28613</v>
      </c>
      <c r="B4066" s="947" t="s">
        <v>8319</v>
      </c>
      <c r="C4066" s="948" t="s">
        <v>8317</v>
      </c>
      <c r="D4066" s="242" t="s">
        <v>28728</v>
      </c>
      <c r="E4066" s="949">
        <v>1103</v>
      </c>
      <c r="F4066" s="949">
        <v>1103</v>
      </c>
      <c r="G4066" s="950" t="s">
        <v>10817</v>
      </c>
      <c r="H4066" s="950" t="s">
        <v>429</v>
      </c>
      <c r="I4066" s="951" t="s">
        <v>8318</v>
      </c>
      <c r="J4066" s="947" t="s">
        <v>8319</v>
      </c>
      <c r="K4066" s="143"/>
    </row>
    <row r="4067" spans="1:11">
      <c r="A4067" s="946" t="s">
        <v>28613</v>
      </c>
      <c r="B4067" s="947" t="s">
        <v>8829</v>
      </c>
      <c r="C4067" s="948" t="s">
        <v>8827</v>
      </c>
      <c r="D4067" s="242" t="s">
        <v>28728</v>
      </c>
      <c r="E4067" s="949">
        <v>1103</v>
      </c>
      <c r="F4067" s="949">
        <v>1103</v>
      </c>
      <c r="G4067" s="950" t="s">
        <v>10817</v>
      </c>
      <c r="H4067" s="950" t="s">
        <v>429</v>
      </c>
      <c r="I4067" s="951" t="s">
        <v>8828</v>
      </c>
      <c r="J4067" s="947" t="s">
        <v>8829</v>
      </c>
      <c r="K4067" s="143"/>
    </row>
    <row r="4068" spans="1:11">
      <c r="A4068" s="946" t="s">
        <v>28613</v>
      </c>
      <c r="B4068" s="947" t="s">
        <v>9662</v>
      </c>
      <c r="C4068" s="948" t="s">
        <v>9660</v>
      </c>
      <c r="D4068" s="242" t="s">
        <v>28727</v>
      </c>
      <c r="E4068" s="949">
        <v>1104</v>
      </c>
      <c r="F4068" s="949">
        <v>1104</v>
      </c>
      <c r="G4068" s="950" t="s">
        <v>10817</v>
      </c>
      <c r="H4068" s="950" t="s">
        <v>429</v>
      </c>
      <c r="I4068" s="951" t="s">
        <v>9661</v>
      </c>
      <c r="J4068" s="947" t="s">
        <v>9662</v>
      </c>
      <c r="K4068" s="143"/>
    </row>
    <row r="4069" spans="1:11">
      <c r="A4069" s="946" t="s">
        <v>28613</v>
      </c>
      <c r="B4069" s="947" t="s">
        <v>10651</v>
      </c>
      <c r="C4069" s="948" t="s">
        <v>10649</v>
      </c>
      <c r="D4069" s="242" t="s">
        <v>28727</v>
      </c>
      <c r="E4069" s="949">
        <v>1104</v>
      </c>
      <c r="F4069" s="949">
        <v>1104</v>
      </c>
      <c r="G4069" s="950" t="s">
        <v>10817</v>
      </c>
      <c r="H4069" s="950" t="s">
        <v>429</v>
      </c>
      <c r="I4069" s="951" t="s">
        <v>10650</v>
      </c>
      <c r="J4069" s="947" t="s">
        <v>10651</v>
      </c>
      <c r="K4069" s="143"/>
    </row>
    <row r="4070" spans="1:11">
      <c r="A4070" s="946" t="s">
        <v>28613</v>
      </c>
      <c r="B4070" s="947" t="s">
        <v>10817</v>
      </c>
      <c r="C4070" s="948" t="s">
        <v>10815</v>
      </c>
      <c r="D4070" s="242" t="s">
        <v>28728</v>
      </c>
      <c r="E4070" s="949">
        <v>1103</v>
      </c>
      <c r="F4070" s="949">
        <v>1103</v>
      </c>
      <c r="G4070" s="950" t="s">
        <v>10817</v>
      </c>
      <c r="H4070" s="950" t="s">
        <v>429</v>
      </c>
      <c r="I4070" s="951" t="s">
        <v>10816</v>
      </c>
      <c r="J4070" s="947" t="s">
        <v>10817</v>
      </c>
      <c r="K4070" s="143"/>
    </row>
    <row r="4071" spans="1:11">
      <c r="A4071" s="946" t="s">
        <v>28613</v>
      </c>
      <c r="B4071" s="947" t="s">
        <v>11434</v>
      </c>
      <c r="C4071" s="948" t="s">
        <v>11432</v>
      </c>
      <c r="D4071" s="242" t="s">
        <v>28726</v>
      </c>
      <c r="E4071" s="949">
        <v>1102</v>
      </c>
      <c r="F4071" s="949">
        <v>1102</v>
      </c>
      <c r="G4071" s="950" t="s">
        <v>10817</v>
      </c>
      <c r="H4071" s="950" t="s">
        <v>429</v>
      </c>
      <c r="I4071" s="951" t="s">
        <v>11433</v>
      </c>
      <c r="J4071" s="947" t="s">
        <v>11434</v>
      </c>
      <c r="K4071" s="143"/>
    </row>
    <row r="4072" spans="1:11">
      <c r="A4072" s="946" t="s">
        <v>28613</v>
      </c>
      <c r="B4072" s="947" t="s">
        <v>11897</v>
      </c>
      <c r="C4072" s="948" t="s">
        <v>11895</v>
      </c>
      <c r="D4072" s="242" t="s">
        <v>28727</v>
      </c>
      <c r="E4072" s="949">
        <v>1104</v>
      </c>
      <c r="F4072" s="949">
        <v>1104</v>
      </c>
      <c r="G4072" s="950" t="s">
        <v>10817</v>
      </c>
      <c r="H4072" s="950" t="s">
        <v>429</v>
      </c>
      <c r="I4072" s="951" t="s">
        <v>11896</v>
      </c>
      <c r="J4072" s="947" t="s">
        <v>11897</v>
      </c>
      <c r="K4072" s="143"/>
    </row>
    <row r="4073" spans="1:11">
      <c r="A4073" s="946" t="s">
        <v>28613</v>
      </c>
      <c r="B4073" s="947" t="s">
        <v>12392</v>
      </c>
      <c r="C4073" s="948" t="s">
        <v>12390</v>
      </c>
      <c r="D4073" s="242" t="s">
        <v>28728</v>
      </c>
      <c r="E4073" s="949">
        <v>1103</v>
      </c>
      <c r="F4073" s="949">
        <v>1103</v>
      </c>
      <c r="G4073" s="950" t="s">
        <v>10817</v>
      </c>
      <c r="H4073" s="950" t="s">
        <v>429</v>
      </c>
      <c r="I4073" s="951" t="s">
        <v>12391</v>
      </c>
      <c r="J4073" s="947" t="s">
        <v>12392</v>
      </c>
      <c r="K4073" s="143"/>
    </row>
    <row r="4074" spans="1:11">
      <c r="A4074" s="946" t="s">
        <v>28613</v>
      </c>
      <c r="B4074" s="947" t="s">
        <v>12271</v>
      </c>
      <c r="C4074" s="948" t="s">
        <v>12269</v>
      </c>
      <c r="D4074" s="242" t="s">
        <v>28728</v>
      </c>
      <c r="E4074" s="949">
        <v>1103</v>
      </c>
      <c r="F4074" s="949">
        <v>1103</v>
      </c>
      <c r="G4074" s="950" t="s">
        <v>10817</v>
      </c>
      <c r="H4074" s="950" t="s">
        <v>429</v>
      </c>
      <c r="I4074" s="951" t="s">
        <v>12270</v>
      </c>
      <c r="J4074" s="947" t="s">
        <v>12271</v>
      </c>
      <c r="K4074" s="143"/>
    </row>
    <row r="4075" spans="1:11">
      <c r="A4075" s="946" t="s">
        <v>28613</v>
      </c>
      <c r="B4075" s="947" t="s">
        <v>12444</v>
      </c>
      <c r="C4075" s="948" t="s">
        <v>12442</v>
      </c>
      <c r="D4075" s="242" t="s">
        <v>28728</v>
      </c>
      <c r="E4075" s="949">
        <v>1103</v>
      </c>
      <c r="F4075" s="949">
        <v>1103</v>
      </c>
      <c r="G4075" s="950" t="s">
        <v>10817</v>
      </c>
      <c r="H4075" s="950" t="s">
        <v>429</v>
      </c>
      <c r="I4075" s="951" t="s">
        <v>12443</v>
      </c>
      <c r="J4075" s="947" t="s">
        <v>12444</v>
      </c>
      <c r="K4075" s="143"/>
    </row>
    <row r="4076" spans="1:11">
      <c r="A4076" s="946" t="s">
        <v>28613</v>
      </c>
      <c r="B4076" s="947" t="s">
        <v>12472</v>
      </c>
      <c r="C4076" s="948" t="s">
        <v>12470</v>
      </c>
      <c r="D4076" s="242" t="s">
        <v>28728</v>
      </c>
      <c r="E4076" s="949">
        <v>1103</v>
      </c>
      <c r="F4076" s="949">
        <v>1103</v>
      </c>
      <c r="G4076" s="950" t="s">
        <v>10817</v>
      </c>
      <c r="H4076" s="950" t="s">
        <v>429</v>
      </c>
      <c r="I4076" s="951" t="s">
        <v>12471</v>
      </c>
      <c r="J4076" s="947" t="s">
        <v>12472</v>
      </c>
      <c r="K4076" s="143"/>
    </row>
    <row r="4077" spans="1:11">
      <c r="A4077" s="946" t="s">
        <v>28613</v>
      </c>
      <c r="B4077" s="947" t="s">
        <v>12607</v>
      </c>
      <c r="C4077" s="948" t="s">
        <v>12605</v>
      </c>
      <c r="D4077" s="242" t="s">
        <v>28728</v>
      </c>
      <c r="E4077" s="949">
        <v>1103</v>
      </c>
      <c r="F4077" s="949">
        <v>1103</v>
      </c>
      <c r="G4077" s="950" t="s">
        <v>10817</v>
      </c>
      <c r="H4077" s="950" t="s">
        <v>429</v>
      </c>
      <c r="I4077" s="951" t="s">
        <v>12606</v>
      </c>
      <c r="J4077" s="947" t="s">
        <v>12607</v>
      </c>
      <c r="K4077" s="143"/>
    </row>
    <row r="4078" spans="1:11">
      <c r="A4078" s="946" t="s">
        <v>28613</v>
      </c>
      <c r="B4078" s="947" t="s">
        <v>12326</v>
      </c>
      <c r="C4078" s="948" t="s">
        <v>12324</v>
      </c>
      <c r="D4078" s="242" t="s">
        <v>28727</v>
      </c>
      <c r="E4078" s="949">
        <v>1104</v>
      </c>
      <c r="F4078" s="949">
        <v>1104</v>
      </c>
      <c r="G4078" s="950" t="s">
        <v>10817</v>
      </c>
      <c r="H4078" s="950" t="s">
        <v>429</v>
      </c>
      <c r="I4078" s="951" t="s">
        <v>12325</v>
      </c>
      <c r="J4078" s="947" t="s">
        <v>12326</v>
      </c>
      <c r="K4078" s="143"/>
    </row>
    <row r="4079" spans="1:11">
      <c r="A4079" s="946" t="s">
        <v>28613</v>
      </c>
      <c r="B4079" s="947" t="s">
        <v>12329</v>
      </c>
      <c r="C4079" s="948" t="s">
        <v>12327</v>
      </c>
      <c r="D4079" s="242" t="s">
        <v>28727</v>
      </c>
      <c r="E4079" s="949">
        <v>1104</v>
      </c>
      <c r="F4079" s="949">
        <v>1104</v>
      </c>
      <c r="G4079" s="950" t="s">
        <v>10817</v>
      </c>
      <c r="H4079" s="950" t="s">
        <v>429</v>
      </c>
      <c r="I4079" s="951" t="s">
        <v>12328</v>
      </c>
      <c r="J4079" s="947" t="s">
        <v>12329</v>
      </c>
      <c r="K4079" s="143"/>
    </row>
    <row r="4080" spans="1:11">
      <c r="A4080" s="946" t="s">
        <v>28613</v>
      </c>
      <c r="B4080" s="947" t="s">
        <v>12989</v>
      </c>
      <c r="C4080" s="948" t="s">
        <v>12987</v>
      </c>
      <c r="D4080" s="242" t="s">
        <v>28728</v>
      </c>
      <c r="E4080" s="949">
        <v>1103</v>
      </c>
      <c r="F4080" s="949">
        <v>1103</v>
      </c>
      <c r="G4080" s="950" t="s">
        <v>10817</v>
      </c>
      <c r="H4080" s="950" t="s">
        <v>429</v>
      </c>
      <c r="I4080" s="951" t="s">
        <v>12988</v>
      </c>
      <c r="J4080" s="947" t="s">
        <v>12989</v>
      </c>
      <c r="K4080" s="143"/>
    </row>
    <row r="4081" spans="1:11">
      <c r="A4081" s="946" t="s">
        <v>28613</v>
      </c>
      <c r="B4081" s="947" t="s">
        <v>13083</v>
      </c>
      <c r="C4081" s="948" t="s">
        <v>13081</v>
      </c>
      <c r="D4081" s="242" t="s">
        <v>28728</v>
      </c>
      <c r="E4081" s="949">
        <v>1103</v>
      </c>
      <c r="F4081" s="949">
        <v>1103</v>
      </c>
      <c r="G4081" s="950" t="s">
        <v>10817</v>
      </c>
      <c r="H4081" s="950" t="s">
        <v>429</v>
      </c>
      <c r="I4081" s="951" t="s">
        <v>13082</v>
      </c>
      <c r="J4081" s="947" t="s">
        <v>13083</v>
      </c>
      <c r="K4081" s="143"/>
    </row>
    <row r="4082" spans="1:11">
      <c r="A4082" s="946" t="s">
        <v>28613</v>
      </c>
      <c r="B4082" s="947" t="s">
        <v>14453</v>
      </c>
      <c r="C4082" s="948" t="s">
        <v>14451</v>
      </c>
      <c r="D4082" s="242" t="s">
        <v>28727</v>
      </c>
      <c r="E4082" s="949">
        <v>1104</v>
      </c>
      <c r="F4082" s="949">
        <v>1104</v>
      </c>
      <c r="G4082" s="950" t="s">
        <v>10817</v>
      </c>
      <c r="H4082" s="950" t="s">
        <v>429</v>
      </c>
      <c r="I4082" s="951" t="s">
        <v>14452</v>
      </c>
      <c r="J4082" s="947" t="s">
        <v>14453</v>
      </c>
      <c r="K4082" s="143"/>
    </row>
    <row r="4083" spans="1:11">
      <c r="A4083" s="946" t="s">
        <v>28613</v>
      </c>
      <c r="B4083" s="947" t="s">
        <v>14648</v>
      </c>
      <c r="C4083" s="948" t="s">
        <v>14646</v>
      </c>
      <c r="D4083" s="242" t="s">
        <v>28727</v>
      </c>
      <c r="E4083" s="949">
        <v>1104</v>
      </c>
      <c r="F4083" s="949">
        <v>1104</v>
      </c>
      <c r="G4083" s="950" t="s">
        <v>10817</v>
      </c>
      <c r="H4083" s="950" t="s">
        <v>429</v>
      </c>
      <c r="I4083" s="951" t="s">
        <v>14647</v>
      </c>
      <c r="J4083" s="947" t="s">
        <v>14648</v>
      </c>
      <c r="K4083" s="143"/>
    </row>
    <row r="4084" spans="1:11">
      <c r="A4084" s="946" t="s">
        <v>28613</v>
      </c>
      <c r="B4084" s="947" t="s">
        <v>14964</v>
      </c>
      <c r="C4084" s="948" t="s">
        <v>14962</v>
      </c>
      <c r="D4084" s="242" t="s">
        <v>28728</v>
      </c>
      <c r="E4084" s="949">
        <v>1103</v>
      </c>
      <c r="F4084" s="949">
        <v>1103</v>
      </c>
      <c r="G4084" s="950" t="s">
        <v>10817</v>
      </c>
      <c r="H4084" s="950" t="s">
        <v>429</v>
      </c>
      <c r="I4084" s="951" t="s">
        <v>14963</v>
      </c>
      <c r="J4084" s="947" t="s">
        <v>14964</v>
      </c>
      <c r="K4084" s="143"/>
    </row>
    <row r="4085" spans="1:11">
      <c r="A4085" s="946" t="s">
        <v>28613</v>
      </c>
      <c r="B4085" s="947" t="s">
        <v>15048</v>
      </c>
      <c r="C4085" s="948" t="s">
        <v>15046</v>
      </c>
      <c r="D4085" s="242" t="s">
        <v>28728</v>
      </c>
      <c r="E4085" s="949">
        <v>1103</v>
      </c>
      <c r="F4085" s="949">
        <v>1103</v>
      </c>
      <c r="G4085" s="950" t="s">
        <v>10817</v>
      </c>
      <c r="H4085" s="950" t="s">
        <v>429</v>
      </c>
      <c r="I4085" s="951" t="s">
        <v>15047</v>
      </c>
      <c r="J4085" s="947" t="s">
        <v>15048</v>
      </c>
      <c r="K4085" s="143"/>
    </row>
    <row r="4086" spans="1:11">
      <c r="A4086" s="946" t="s">
        <v>28613</v>
      </c>
      <c r="B4086" s="947" t="s">
        <v>15205</v>
      </c>
      <c r="C4086" s="948" t="s">
        <v>15203</v>
      </c>
      <c r="D4086" s="242" t="s">
        <v>28728</v>
      </c>
      <c r="E4086" s="949">
        <v>1103</v>
      </c>
      <c r="F4086" s="949">
        <v>1103</v>
      </c>
      <c r="G4086" s="950" t="s">
        <v>10817</v>
      </c>
      <c r="H4086" s="950" t="s">
        <v>429</v>
      </c>
      <c r="I4086" s="951" t="s">
        <v>15204</v>
      </c>
      <c r="J4086" s="947" t="s">
        <v>15205</v>
      </c>
      <c r="K4086" s="143"/>
    </row>
    <row r="4087" spans="1:11">
      <c r="A4087" s="946" t="s">
        <v>28613</v>
      </c>
      <c r="B4087" s="947" t="s">
        <v>15288</v>
      </c>
      <c r="C4087" s="948" t="s">
        <v>15286</v>
      </c>
      <c r="D4087" s="242" t="s">
        <v>28728</v>
      </c>
      <c r="E4087" s="949">
        <v>1103</v>
      </c>
      <c r="F4087" s="949">
        <v>1103</v>
      </c>
      <c r="G4087" s="950" t="s">
        <v>10817</v>
      </c>
      <c r="H4087" s="950" t="s">
        <v>429</v>
      </c>
      <c r="I4087" s="951" t="s">
        <v>15287</v>
      </c>
      <c r="J4087" s="947" t="s">
        <v>15288</v>
      </c>
      <c r="K4087" s="143"/>
    </row>
    <row r="4088" spans="1:11">
      <c r="A4088" s="946" t="s">
        <v>28613</v>
      </c>
      <c r="B4088" s="947" t="s">
        <v>15565</v>
      </c>
      <c r="C4088" s="948" t="s">
        <v>15563</v>
      </c>
      <c r="D4088" s="242" t="s">
        <v>28728</v>
      </c>
      <c r="E4088" s="949">
        <v>1103</v>
      </c>
      <c r="F4088" s="949">
        <v>1103</v>
      </c>
      <c r="G4088" s="950" t="s">
        <v>10817</v>
      </c>
      <c r="H4088" s="950" t="s">
        <v>429</v>
      </c>
      <c r="I4088" s="951" t="s">
        <v>15564</v>
      </c>
      <c r="J4088" s="947" t="s">
        <v>15565</v>
      </c>
      <c r="K4088" s="143"/>
    </row>
    <row r="4089" spans="1:11">
      <c r="A4089" s="946" t="s">
        <v>28613</v>
      </c>
      <c r="B4089" s="947" t="s">
        <v>15641</v>
      </c>
      <c r="C4089" s="948" t="s">
        <v>15639</v>
      </c>
      <c r="D4089" s="242" t="s">
        <v>28728</v>
      </c>
      <c r="E4089" s="949">
        <v>1103</v>
      </c>
      <c r="F4089" s="949">
        <v>1103</v>
      </c>
      <c r="G4089" s="950" t="s">
        <v>10817</v>
      </c>
      <c r="H4089" s="950" t="s">
        <v>429</v>
      </c>
      <c r="I4089" s="951" t="s">
        <v>15640</v>
      </c>
      <c r="J4089" s="947" t="s">
        <v>15641</v>
      </c>
      <c r="K4089" s="143"/>
    </row>
    <row r="4090" spans="1:11">
      <c r="A4090" s="946" t="s">
        <v>28613</v>
      </c>
      <c r="B4090" s="947" t="s">
        <v>16151</v>
      </c>
      <c r="C4090" s="948" t="s">
        <v>16149</v>
      </c>
      <c r="D4090" s="242" t="s">
        <v>28728</v>
      </c>
      <c r="E4090" s="949">
        <v>1103</v>
      </c>
      <c r="F4090" s="949">
        <v>1103</v>
      </c>
      <c r="G4090" s="950" t="s">
        <v>10817</v>
      </c>
      <c r="H4090" s="950" t="s">
        <v>429</v>
      </c>
      <c r="I4090" s="951" t="s">
        <v>16150</v>
      </c>
      <c r="J4090" s="947" t="s">
        <v>16151</v>
      </c>
      <c r="K4090" s="143"/>
    </row>
    <row r="4091" spans="1:11">
      <c r="A4091" s="946" t="s">
        <v>28613</v>
      </c>
      <c r="B4091" s="947" t="s">
        <v>16372</v>
      </c>
      <c r="C4091" s="948" t="s">
        <v>16370</v>
      </c>
      <c r="D4091" s="242" t="s">
        <v>28727</v>
      </c>
      <c r="E4091" s="949">
        <v>1104</v>
      </c>
      <c r="F4091" s="949">
        <v>1104</v>
      </c>
      <c r="G4091" s="950" t="s">
        <v>10817</v>
      </c>
      <c r="H4091" s="950" t="s">
        <v>429</v>
      </c>
      <c r="I4091" s="951" t="s">
        <v>16371</v>
      </c>
      <c r="J4091" s="947" t="s">
        <v>16372</v>
      </c>
      <c r="K4091" s="143"/>
    </row>
    <row r="4092" spans="1:11">
      <c r="A4092" s="946" t="s">
        <v>28613</v>
      </c>
      <c r="B4092" s="947" t="s">
        <v>17632</v>
      </c>
      <c r="C4092" s="948" t="s">
        <v>17630</v>
      </c>
      <c r="D4092" s="242" t="s">
        <v>28727</v>
      </c>
      <c r="E4092" s="949">
        <v>1104</v>
      </c>
      <c r="F4092" s="949">
        <v>1104</v>
      </c>
      <c r="G4092" s="950" t="s">
        <v>10817</v>
      </c>
      <c r="H4092" s="950" t="s">
        <v>429</v>
      </c>
      <c r="I4092" s="951" t="s">
        <v>17631</v>
      </c>
      <c r="J4092" s="947" t="s">
        <v>17632</v>
      </c>
      <c r="K4092" s="143"/>
    </row>
    <row r="4093" spans="1:11">
      <c r="A4093" s="946" t="s">
        <v>28613</v>
      </c>
      <c r="B4093" s="947" t="s">
        <v>18222</v>
      </c>
      <c r="C4093" s="948" t="s">
        <v>18220</v>
      </c>
      <c r="D4093" s="242" t="s">
        <v>28728</v>
      </c>
      <c r="E4093" s="949">
        <v>1103</v>
      </c>
      <c r="F4093" s="949">
        <v>1103</v>
      </c>
      <c r="G4093" s="950" t="s">
        <v>10817</v>
      </c>
      <c r="H4093" s="950" t="s">
        <v>429</v>
      </c>
      <c r="I4093" s="951" t="s">
        <v>18221</v>
      </c>
      <c r="J4093" s="947" t="s">
        <v>18222</v>
      </c>
      <c r="K4093" s="143"/>
    </row>
    <row r="4094" spans="1:11">
      <c r="A4094" s="946" t="s">
        <v>28613</v>
      </c>
      <c r="B4094" s="947" t="s">
        <v>18640</v>
      </c>
      <c r="C4094" s="948" t="s">
        <v>18638</v>
      </c>
      <c r="D4094" s="242" t="s">
        <v>28727</v>
      </c>
      <c r="E4094" s="949">
        <v>1104</v>
      </c>
      <c r="F4094" s="949">
        <v>1104</v>
      </c>
      <c r="G4094" s="950" t="s">
        <v>10817</v>
      </c>
      <c r="H4094" s="950" t="s">
        <v>429</v>
      </c>
      <c r="I4094" s="951" t="s">
        <v>18639</v>
      </c>
      <c r="J4094" s="947" t="s">
        <v>18640</v>
      </c>
      <c r="K4094" s="143"/>
    </row>
    <row r="4095" spans="1:11">
      <c r="A4095" s="946" t="s">
        <v>28613</v>
      </c>
      <c r="B4095" s="947" t="s">
        <v>18873</v>
      </c>
      <c r="C4095" s="948" t="s">
        <v>18871</v>
      </c>
      <c r="D4095" s="242" t="s">
        <v>28727</v>
      </c>
      <c r="E4095" s="949">
        <v>1104</v>
      </c>
      <c r="F4095" s="949">
        <v>1104</v>
      </c>
      <c r="G4095" s="950" t="s">
        <v>10817</v>
      </c>
      <c r="H4095" s="950" t="s">
        <v>429</v>
      </c>
      <c r="I4095" s="951" t="s">
        <v>18872</v>
      </c>
      <c r="J4095" s="947" t="s">
        <v>18873</v>
      </c>
      <c r="K4095" s="143"/>
    </row>
    <row r="4096" spans="1:11">
      <c r="A4096" s="946" t="s">
        <v>28613</v>
      </c>
      <c r="B4096" s="947" t="s">
        <v>19179</v>
      </c>
      <c r="C4096" s="948" t="s">
        <v>19177</v>
      </c>
      <c r="D4096" s="242" t="s">
        <v>28728</v>
      </c>
      <c r="E4096" s="949">
        <v>1103</v>
      </c>
      <c r="F4096" s="949">
        <v>1103</v>
      </c>
      <c r="G4096" s="950" t="s">
        <v>10817</v>
      </c>
      <c r="H4096" s="950" t="s">
        <v>429</v>
      </c>
      <c r="I4096" s="951" t="s">
        <v>19178</v>
      </c>
      <c r="J4096" s="947" t="s">
        <v>19179</v>
      </c>
      <c r="K4096" s="143"/>
    </row>
    <row r="4097" spans="1:11">
      <c r="A4097" s="946" t="s">
        <v>28613</v>
      </c>
      <c r="B4097" s="947" t="s">
        <v>19355</v>
      </c>
      <c r="C4097" s="948" t="s">
        <v>19353</v>
      </c>
      <c r="D4097" s="242" t="s">
        <v>28728</v>
      </c>
      <c r="E4097" s="949">
        <v>1103</v>
      </c>
      <c r="F4097" s="949">
        <v>1103</v>
      </c>
      <c r="G4097" s="950" t="s">
        <v>10817</v>
      </c>
      <c r="H4097" s="950" t="s">
        <v>429</v>
      </c>
      <c r="I4097" s="951" t="s">
        <v>19354</v>
      </c>
      <c r="J4097" s="947" t="s">
        <v>19355</v>
      </c>
      <c r="K4097" s="143"/>
    </row>
    <row r="4098" spans="1:11">
      <c r="A4098" s="946" t="s">
        <v>28613</v>
      </c>
      <c r="B4098" s="947" t="s">
        <v>19370</v>
      </c>
      <c r="C4098" s="948" t="s">
        <v>19368</v>
      </c>
      <c r="D4098" s="242" t="s">
        <v>28728</v>
      </c>
      <c r="E4098" s="949">
        <v>1103</v>
      </c>
      <c r="F4098" s="949">
        <v>1103</v>
      </c>
      <c r="G4098" s="950" t="s">
        <v>10817</v>
      </c>
      <c r="H4098" s="950" t="s">
        <v>429</v>
      </c>
      <c r="I4098" s="951" t="s">
        <v>19369</v>
      </c>
      <c r="J4098" s="947" t="s">
        <v>19370</v>
      </c>
      <c r="K4098" s="143"/>
    </row>
    <row r="4099" spans="1:11">
      <c r="A4099" s="946" t="s">
        <v>28613</v>
      </c>
      <c r="B4099" s="947" t="s">
        <v>20517</v>
      </c>
      <c r="C4099" s="948" t="s">
        <v>20515</v>
      </c>
      <c r="D4099" s="242" t="s">
        <v>28728</v>
      </c>
      <c r="E4099" s="949">
        <v>1103</v>
      </c>
      <c r="F4099" s="949">
        <v>1103</v>
      </c>
      <c r="G4099" s="950" t="s">
        <v>10817</v>
      </c>
      <c r="H4099" s="950" t="s">
        <v>429</v>
      </c>
      <c r="I4099" s="951" t="s">
        <v>20516</v>
      </c>
      <c r="J4099" s="947" t="s">
        <v>20517</v>
      </c>
      <c r="K4099" s="143"/>
    </row>
    <row r="4100" spans="1:11">
      <c r="A4100" s="946" t="s">
        <v>28613</v>
      </c>
      <c r="B4100" s="947" t="s">
        <v>20916</v>
      </c>
      <c r="C4100" s="948" t="s">
        <v>20914</v>
      </c>
      <c r="D4100" s="242" t="s">
        <v>28728</v>
      </c>
      <c r="E4100" s="949">
        <v>1103</v>
      </c>
      <c r="F4100" s="949">
        <v>1103</v>
      </c>
      <c r="G4100" s="950" t="s">
        <v>10817</v>
      </c>
      <c r="H4100" s="950" t="s">
        <v>429</v>
      </c>
      <c r="I4100" s="951" t="s">
        <v>20915</v>
      </c>
      <c r="J4100" s="947" t="s">
        <v>20916</v>
      </c>
      <c r="K4100" s="143"/>
    </row>
    <row r="4101" spans="1:11">
      <c r="A4101" s="946" t="s">
        <v>28613</v>
      </c>
      <c r="B4101" s="947" t="s">
        <v>21200</v>
      </c>
      <c r="C4101" s="948" t="s">
        <v>21198</v>
      </c>
      <c r="D4101" s="242" t="s">
        <v>28727</v>
      </c>
      <c r="E4101" s="949">
        <v>1104</v>
      </c>
      <c r="F4101" s="949">
        <v>1104</v>
      </c>
      <c r="G4101" s="950" t="s">
        <v>10817</v>
      </c>
      <c r="H4101" s="950" t="s">
        <v>429</v>
      </c>
      <c r="I4101" s="951" t="s">
        <v>21199</v>
      </c>
      <c r="J4101" s="947" t="s">
        <v>21200</v>
      </c>
      <c r="K4101" s="143"/>
    </row>
    <row r="4102" spans="1:11">
      <c r="A4102" s="946" t="s">
        <v>28613</v>
      </c>
      <c r="B4102" s="947" t="s">
        <v>21230</v>
      </c>
      <c r="C4102" s="948" t="s">
        <v>21228</v>
      </c>
      <c r="D4102" s="242" t="s">
        <v>28728</v>
      </c>
      <c r="E4102" s="949">
        <v>1103</v>
      </c>
      <c r="F4102" s="949">
        <v>1103</v>
      </c>
      <c r="G4102" s="950" t="s">
        <v>10817</v>
      </c>
      <c r="H4102" s="950" t="s">
        <v>429</v>
      </c>
      <c r="I4102" s="951" t="s">
        <v>21229</v>
      </c>
      <c r="J4102" s="947" t="s">
        <v>21230</v>
      </c>
      <c r="K4102" s="143"/>
    </row>
    <row r="4103" spans="1:11">
      <c r="A4103" s="946" t="s">
        <v>28613</v>
      </c>
      <c r="B4103" s="947" t="s">
        <v>22409</v>
      </c>
      <c r="C4103" s="948" t="s">
        <v>22407</v>
      </c>
      <c r="D4103" s="242" t="s">
        <v>28728</v>
      </c>
      <c r="E4103" s="949">
        <v>1103</v>
      </c>
      <c r="F4103" s="949">
        <v>1103</v>
      </c>
      <c r="G4103" s="950" t="s">
        <v>10817</v>
      </c>
      <c r="H4103" s="950" t="s">
        <v>429</v>
      </c>
      <c r="I4103" s="951" t="s">
        <v>22408</v>
      </c>
      <c r="J4103" s="947" t="s">
        <v>22409</v>
      </c>
      <c r="K4103" s="143"/>
    </row>
    <row r="4104" spans="1:11">
      <c r="A4104" s="946" t="s">
        <v>28613</v>
      </c>
      <c r="B4104" s="947" t="s">
        <v>26250</v>
      </c>
      <c r="C4104" s="948" t="s">
        <v>26251</v>
      </c>
      <c r="D4104" s="242" t="s">
        <v>28728</v>
      </c>
      <c r="E4104" s="949">
        <v>1103</v>
      </c>
      <c r="F4104" s="949">
        <v>1103</v>
      </c>
      <c r="G4104" s="950" t="s">
        <v>10817</v>
      </c>
      <c r="H4104" s="950" t="s">
        <v>429</v>
      </c>
      <c r="I4104" s="951" t="s">
        <v>26252</v>
      </c>
      <c r="J4104" s="947" t="s">
        <v>26250</v>
      </c>
      <c r="K4104" s="143"/>
    </row>
    <row r="4105" spans="1:11">
      <c r="A4105" s="946" t="s">
        <v>28613</v>
      </c>
      <c r="B4105" s="947" t="s">
        <v>477</v>
      </c>
      <c r="C4105" s="948" t="s">
        <v>474</v>
      </c>
      <c r="D4105" s="242" t="s">
        <v>28729</v>
      </c>
      <c r="E4105" s="949">
        <v>1105</v>
      </c>
      <c r="F4105" s="949">
        <v>1105</v>
      </c>
      <c r="G4105" s="950" t="s">
        <v>1544</v>
      </c>
      <c r="H4105" s="950" t="s">
        <v>475</v>
      </c>
      <c r="I4105" s="951" t="s">
        <v>476</v>
      </c>
      <c r="J4105" s="947" t="s">
        <v>477</v>
      </c>
      <c r="K4105" s="143"/>
    </row>
    <row r="4106" spans="1:11">
      <c r="A4106" s="946" t="s">
        <v>28613</v>
      </c>
      <c r="B4106" s="947" t="s">
        <v>498</v>
      </c>
      <c r="C4106" s="948" t="s">
        <v>496</v>
      </c>
      <c r="D4106" s="242" t="s">
        <v>28729</v>
      </c>
      <c r="E4106" s="949">
        <v>1105</v>
      </c>
      <c r="F4106" s="949">
        <v>1105</v>
      </c>
      <c r="G4106" s="950" t="s">
        <v>1544</v>
      </c>
      <c r="H4106" s="950" t="s">
        <v>475</v>
      </c>
      <c r="I4106" s="951" t="s">
        <v>497</v>
      </c>
      <c r="J4106" s="947" t="s">
        <v>498</v>
      </c>
      <c r="K4106" s="143"/>
    </row>
    <row r="4107" spans="1:11">
      <c r="A4107" s="946" t="s">
        <v>28613</v>
      </c>
      <c r="B4107" s="947" t="s">
        <v>1260</v>
      </c>
      <c r="C4107" s="948" t="s">
        <v>1258</v>
      </c>
      <c r="D4107" s="242" t="s">
        <v>28729</v>
      </c>
      <c r="E4107" s="949">
        <v>1105</v>
      </c>
      <c r="F4107" s="949">
        <v>1105</v>
      </c>
      <c r="G4107" s="950" t="s">
        <v>1544</v>
      </c>
      <c r="H4107" s="950" t="s">
        <v>475</v>
      </c>
      <c r="I4107" s="951" t="s">
        <v>1259</v>
      </c>
      <c r="J4107" s="947" t="s">
        <v>1260</v>
      </c>
      <c r="K4107" s="143"/>
    </row>
    <row r="4108" spans="1:11">
      <c r="A4108" s="946" t="s">
        <v>28613</v>
      </c>
      <c r="B4108" s="947" t="s">
        <v>1482</v>
      </c>
      <c r="C4108" s="948" t="s">
        <v>1480</v>
      </c>
      <c r="D4108" s="242" t="s">
        <v>28729</v>
      </c>
      <c r="E4108" s="949">
        <v>1105</v>
      </c>
      <c r="F4108" s="949">
        <v>1105</v>
      </c>
      <c r="G4108" s="950" t="s">
        <v>1544</v>
      </c>
      <c r="H4108" s="950" t="s">
        <v>475</v>
      </c>
      <c r="I4108" s="951" t="s">
        <v>1481</v>
      </c>
      <c r="J4108" s="947" t="s">
        <v>1482</v>
      </c>
      <c r="K4108" s="143"/>
    </row>
    <row r="4109" spans="1:11">
      <c r="A4109" s="946" t="s">
        <v>28613</v>
      </c>
      <c r="B4109" s="947" t="s">
        <v>1544</v>
      </c>
      <c r="C4109" s="948" t="s">
        <v>1542</v>
      </c>
      <c r="D4109" s="242" t="s">
        <v>28729</v>
      </c>
      <c r="E4109" s="949">
        <v>1105</v>
      </c>
      <c r="F4109" s="949">
        <v>1105</v>
      </c>
      <c r="G4109" s="950" t="s">
        <v>1544</v>
      </c>
      <c r="H4109" s="950" t="s">
        <v>475</v>
      </c>
      <c r="I4109" s="951" t="s">
        <v>1543</v>
      </c>
      <c r="J4109" s="947" t="s">
        <v>1544</v>
      </c>
      <c r="K4109" s="143"/>
    </row>
    <row r="4110" spans="1:11">
      <c r="A4110" s="946" t="s">
        <v>28613</v>
      </c>
      <c r="B4110" s="947" t="s">
        <v>4218</v>
      </c>
      <c r="C4110" s="948" t="s">
        <v>4216</v>
      </c>
      <c r="D4110" s="242" t="s">
        <v>28729</v>
      </c>
      <c r="E4110" s="949">
        <v>1105</v>
      </c>
      <c r="F4110" s="949">
        <v>1105</v>
      </c>
      <c r="G4110" s="950" t="s">
        <v>1544</v>
      </c>
      <c r="H4110" s="950" t="s">
        <v>475</v>
      </c>
      <c r="I4110" s="951" t="s">
        <v>4217</v>
      </c>
      <c r="J4110" s="947" t="s">
        <v>4218</v>
      </c>
      <c r="K4110" s="143"/>
    </row>
    <row r="4111" spans="1:11">
      <c r="A4111" s="946" t="s">
        <v>28613</v>
      </c>
      <c r="B4111" s="947" t="s">
        <v>4958</v>
      </c>
      <c r="C4111" s="948" t="s">
        <v>4956</v>
      </c>
      <c r="D4111" s="242" t="s">
        <v>28729</v>
      </c>
      <c r="E4111" s="949">
        <v>1105</v>
      </c>
      <c r="F4111" s="949">
        <v>1105</v>
      </c>
      <c r="G4111" s="950" t="s">
        <v>1544</v>
      </c>
      <c r="H4111" s="950" t="s">
        <v>475</v>
      </c>
      <c r="I4111" s="951" t="s">
        <v>4957</v>
      </c>
      <c r="J4111" s="947" t="s">
        <v>4958</v>
      </c>
      <c r="K4111" s="143"/>
    </row>
    <row r="4112" spans="1:11">
      <c r="A4112" s="946" t="s">
        <v>28613</v>
      </c>
      <c r="B4112" s="947" t="s">
        <v>5539</v>
      </c>
      <c r="C4112" s="948" t="s">
        <v>5537</v>
      </c>
      <c r="D4112" s="242" t="s">
        <v>28729</v>
      </c>
      <c r="E4112" s="949">
        <v>1105</v>
      </c>
      <c r="F4112" s="949">
        <v>1105</v>
      </c>
      <c r="G4112" s="950" t="s">
        <v>1544</v>
      </c>
      <c r="H4112" s="950" t="s">
        <v>475</v>
      </c>
      <c r="I4112" s="951" t="s">
        <v>5538</v>
      </c>
      <c r="J4112" s="947" t="s">
        <v>5539</v>
      </c>
      <c r="K4112" s="143"/>
    </row>
    <row r="4113" spans="1:11">
      <c r="A4113" s="946" t="s">
        <v>28613</v>
      </c>
      <c r="B4113" s="947" t="s">
        <v>5563</v>
      </c>
      <c r="C4113" s="948" t="s">
        <v>5561</v>
      </c>
      <c r="D4113" s="242" t="s">
        <v>28729</v>
      </c>
      <c r="E4113" s="949">
        <v>1105</v>
      </c>
      <c r="F4113" s="949">
        <v>1105</v>
      </c>
      <c r="G4113" s="950" t="s">
        <v>1544</v>
      </c>
      <c r="H4113" s="950" t="s">
        <v>475</v>
      </c>
      <c r="I4113" s="951" t="s">
        <v>5562</v>
      </c>
      <c r="J4113" s="947" t="s">
        <v>5563</v>
      </c>
      <c r="K4113" s="143"/>
    </row>
    <row r="4114" spans="1:11">
      <c r="A4114" s="946" t="s">
        <v>28613</v>
      </c>
      <c r="B4114" s="947" t="s">
        <v>6802</v>
      </c>
      <c r="C4114" s="948" t="s">
        <v>6800</v>
      </c>
      <c r="D4114" s="242" t="s">
        <v>28729</v>
      </c>
      <c r="E4114" s="949">
        <v>1105</v>
      </c>
      <c r="F4114" s="949">
        <v>1105</v>
      </c>
      <c r="G4114" s="950" t="s">
        <v>1544</v>
      </c>
      <c r="H4114" s="950" t="s">
        <v>475</v>
      </c>
      <c r="I4114" s="951" t="s">
        <v>6801</v>
      </c>
      <c r="J4114" s="947" t="s">
        <v>6802</v>
      </c>
      <c r="K4114" s="143"/>
    </row>
    <row r="4115" spans="1:11">
      <c r="A4115" s="946" t="s">
        <v>28613</v>
      </c>
      <c r="B4115" s="947" t="s">
        <v>6920</v>
      </c>
      <c r="C4115" s="948" t="s">
        <v>6918</v>
      </c>
      <c r="D4115" s="242" t="s">
        <v>28729</v>
      </c>
      <c r="E4115" s="949">
        <v>1105</v>
      </c>
      <c r="F4115" s="949">
        <v>1105</v>
      </c>
      <c r="G4115" s="950" t="s">
        <v>1544</v>
      </c>
      <c r="H4115" s="950" t="s">
        <v>475</v>
      </c>
      <c r="I4115" s="951" t="s">
        <v>6919</v>
      </c>
      <c r="J4115" s="947" t="s">
        <v>6920</v>
      </c>
      <c r="K4115" s="143"/>
    </row>
    <row r="4116" spans="1:11">
      <c r="A4116" s="946" t="s">
        <v>28613</v>
      </c>
      <c r="B4116" s="947" t="s">
        <v>7245</v>
      </c>
      <c r="C4116" s="948" t="s">
        <v>7243</v>
      </c>
      <c r="D4116" s="242" t="s">
        <v>28729</v>
      </c>
      <c r="E4116" s="949">
        <v>1105</v>
      </c>
      <c r="F4116" s="949">
        <v>1105</v>
      </c>
      <c r="G4116" s="950" t="s">
        <v>1544</v>
      </c>
      <c r="H4116" s="950" t="s">
        <v>475</v>
      </c>
      <c r="I4116" s="951" t="s">
        <v>7244</v>
      </c>
      <c r="J4116" s="947" t="s">
        <v>7245</v>
      </c>
      <c r="K4116" s="143"/>
    </row>
    <row r="4117" spans="1:11">
      <c r="A4117" s="946" t="s">
        <v>28613</v>
      </c>
      <c r="B4117" s="947" t="s">
        <v>7477</v>
      </c>
      <c r="C4117" s="948" t="s">
        <v>7475</v>
      </c>
      <c r="D4117" s="242" t="s">
        <v>28729</v>
      </c>
      <c r="E4117" s="949">
        <v>1105</v>
      </c>
      <c r="F4117" s="949">
        <v>1105</v>
      </c>
      <c r="G4117" s="950" t="s">
        <v>1544</v>
      </c>
      <c r="H4117" s="950" t="s">
        <v>475</v>
      </c>
      <c r="I4117" s="951" t="s">
        <v>7476</v>
      </c>
      <c r="J4117" s="947" t="s">
        <v>7477</v>
      </c>
      <c r="K4117" s="143"/>
    </row>
    <row r="4118" spans="1:11">
      <c r="A4118" s="946" t="s">
        <v>28613</v>
      </c>
      <c r="B4118" s="947" t="s">
        <v>8368</v>
      </c>
      <c r="C4118" s="948" t="s">
        <v>8366</v>
      </c>
      <c r="D4118" s="242" t="s">
        <v>28729</v>
      </c>
      <c r="E4118" s="949">
        <v>1105</v>
      </c>
      <c r="F4118" s="949">
        <v>1105</v>
      </c>
      <c r="G4118" s="950" t="s">
        <v>1544</v>
      </c>
      <c r="H4118" s="950" t="s">
        <v>475</v>
      </c>
      <c r="I4118" s="951" t="s">
        <v>8367</v>
      </c>
      <c r="J4118" s="947" t="s">
        <v>8368</v>
      </c>
      <c r="K4118" s="143"/>
    </row>
    <row r="4119" spans="1:11">
      <c r="A4119" s="946" t="s">
        <v>28613</v>
      </c>
      <c r="B4119" s="947" t="s">
        <v>8462</v>
      </c>
      <c r="C4119" s="948" t="s">
        <v>8460</v>
      </c>
      <c r="D4119" s="242" t="s">
        <v>28729</v>
      </c>
      <c r="E4119" s="949">
        <v>1105</v>
      </c>
      <c r="F4119" s="949">
        <v>1105</v>
      </c>
      <c r="G4119" s="950" t="s">
        <v>1544</v>
      </c>
      <c r="H4119" s="950" t="s">
        <v>475</v>
      </c>
      <c r="I4119" s="951" t="s">
        <v>8461</v>
      </c>
      <c r="J4119" s="947" t="s">
        <v>8462</v>
      </c>
      <c r="K4119" s="143"/>
    </row>
    <row r="4120" spans="1:11">
      <c r="A4120" s="946" t="s">
        <v>28613</v>
      </c>
      <c r="B4120" s="947" t="s">
        <v>9615</v>
      </c>
      <c r="C4120" s="948" t="s">
        <v>9613</v>
      </c>
      <c r="D4120" s="242" t="s">
        <v>28729</v>
      </c>
      <c r="E4120" s="949">
        <v>1105</v>
      </c>
      <c r="F4120" s="949">
        <v>1105</v>
      </c>
      <c r="G4120" s="950" t="s">
        <v>1544</v>
      </c>
      <c r="H4120" s="950" t="s">
        <v>475</v>
      </c>
      <c r="I4120" s="951" t="s">
        <v>9614</v>
      </c>
      <c r="J4120" s="947" t="s">
        <v>9615</v>
      </c>
      <c r="K4120" s="143"/>
    </row>
    <row r="4121" spans="1:11">
      <c r="A4121" s="946" t="s">
        <v>28613</v>
      </c>
      <c r="B4121" s="947" t="s">
        <v>11000</v>
      </c>
      <c r="C4121" s="948" t="s">
        <v>10998</v>
      </c>
      <c r="D4121" s="242" t="s">
        <v>28729</v>
      </c>
      <c r="E4121" s="949">
        <v>1105</v>
      </c>
      <c r="F4121" s="949">
        <v>1105</v>
      </c>
      <c r="G4121" s="950" t="s">
        <v>1544</v>
      </c>
      <c r="H4121" s="950" t="s">
        <v>475</v>
      </c>
      <c r="I4121" s="951" t="s">
        <v>10999</v>
      </c>
      <c r="J4121" s="947" t="s">
        <v>11000</v>
      </c>
      <c r="K4121" s="143"/>
    </row>
    <row r="4122" spans="1:11">
      <c r="A4122" s="946" t="s">
        <v>28613</v>
      </c>
      <c r="B4122" s="947" t="s">
        <v>11418</v>
      </c>
      <c r="C4122" s="948" t="s">
        <v>11416</v>
      </c>
      <c r="D4122" s="242" t="s">
        <v>28729</v>
      </c>
      <c r="E4122" s="949">
        <v>1105</v>
      </c>
      <c r="F4122" s="949">
        <v>1105</v>
      </c>
      <c r="G4122" s="950" t="s">
        <v>1544</v>
      </c>
      <c r="H4122" s="950" t="s">
        <v>475</v>
      </c>
      <c r="I4122" s="951" t="s">
        <v>11417</v>
      </c>
      <c r="J4122" s="947" t="s">
        <v>11418</v>
      </c>
      <c r="K4122" s="143"/>
    </row>
    <row r="4123" spans="1:11">
      <c r="A4123" s="946" t="s">
        <v>28613</v>
      </c>
      <c r="B4123" s="947" t="s">
        <v>12141</v>
      </c>
      <c r="C4123" s="948" t="s">
        <v>12139</v>
      </c>
      <c r="D4123" s="242" t="s">
        <v>28729</v>
      </c>
      <c r="E4123" s="949">
        <v>1105</v>
      </c>
      <c r="F4123" s="949">
        <v>1105</v>
      </c>
      <c r="G4123" s="950" t="s">
        <v>1544</v>
      </c>
      <c r="H4123" s="950" t="s">
        <v>475</v>
      </c>
      <c r="I4123" s="951" t="s">
        <v>12140</v>
      </c>
      <c r="J4123" s="947" t="s">
        <v>12141</v>
      </c>
      <c r="K4123" s="143"/>
    </row>
    <row r="4124" spans="1:11">
      <c r="A4124" s="946" t="s">
        <v>28613</v>
      </c>
      <c r="B4124" s="947" t="s">
        <v>12221</v>
      </c>
      <c r="C4124" s="948" t="s">
        <v>12219</v>
      </c>
      <c r="D4124" s="242" t="s">
        <v>28729</v>
      </c>
      <c r="E4124" s="949">
        <v>1105</v>
      </c>
      <c r="F4124" s="949">
        <v>1105</v>
      </c>
      <c r="G4124" s="950" t="s">
        <v>1544</v>
      </c>
      <c r="H4124" s="950" t="s">
        <v>475</v>
      </c>
      <c r="I4124" s="951" t="s">
        <v>12220</v>
      </c>
      <c r="J4124" s="947" t="s">
        <v>12221</v>
      </c>
      <c r="K4124" s="143"/>
    </row>
    <row r="4125" spans="1:11">
      <c r="A4125" s="946" t="s">
        <v>28613</v>
      </c>
      <c r="B4125" s="947" t="s">
        <v>12452</v>
      </c>
      <c r="C4125" s="948" t="s">
        <v>12450</v>
      </c>
      <c r="D4125" s="242" t="s">
        <v>28729</v>
      </c>
      <c r="E4125" s="949">
        <v>1105</v>
      </c>
      <c r="F4125" s="949">
        <v>1105</v>
      </c>
      <c r="G4125" s="950" t="s">
        <v>1544</v>
      </c>
      <c r="H4125" s="950" t="s">
        <v>475</v>
      </c>
      <c r="I4125" s="951" t="s">
        <v>12451</v>
      </c>
      <c r="J4125" s="947" t="s">
        <v>12452</v>
      </c>
      <c r="K4125" s="143"/>
    </row>
    <row r="4126" spans="1:11">
      <c r="A4126" s="946" t="s">
        <v>28613</v>
      </c>
      <c r="B4126" s="947" t="s">
        <v>12490</v>
      </c>
      <c r="C4126" s="948" t="s">
        <v>12488</v>
      </c>
      <c r="D4126" s="242" t="s">
        <v>28729</v>
      </c>
      <c r="E4126" s="949">
        <v>1105</v>
      </c>
      <c r="F4126" s="949">
        <v>1105</v>
      </c>
      <c r="G4126" s="950" t="s">
        <v>1544</v>
      </c>
      <c r="H4126" s="950" t="s">
        <v>475</v>
      </c>
      <c r="I4126" s="951" t="s">
        <v>12489</v>
      </c>
      <c r="J4126" s="947" t="s">
        <v>12490</v>
      </c>
      <c r="K4126" s="143"/>
    </row>
    <row r="4127" spans="1:11">
      <c r="A4127" s="946" t="s">
        <v>28613</v>
      </c>
      <c r="B4127" s="947" t="s">
        <v>12528</v>
      </c>
      <c r="C4127" s="948" t="s">
        <v>12526</v>
      </c>
      <c r="D4127" s="242" t="s">
        <v>28729</v>
      </c>
      <c r="E4127" s="949">
        <v>1105</v>
      </c>
      <c r="F4127" s="949">
        <v>1105</v>
      </c>
      <c r="G4127" s="950" t="s">
        <v>1544</v>
      </c>
      <c r="H4127" s="950" t="s">
        <v>475</v>
      </c>
      <c r="I4127" s="951" t="s">
        <v>12527</v>
      </c>
      <c r="J4127" s="947" t="s">
        <v>12528</v>
      </c>
      <c r="K4127" s="143"/>
    </row>
    <row r="4128" spans="1:11">
      <c r="A4128" s="946" t="s">
        <v>28613</v>
      </c>
      <c r="B4128" s="947" t="s">
        <v>12644</v>
      </c>
      <c r="C4128" s="948" t="s">
        <v>12642</v>
      </c>
      <c r="D4128" s="242" t="s">
        <v>28729</v>
      </c>
      <c r="E4128" s="949">
        <v>1105</v>
      </c>
      <c r="F4128" s="949">
        <v>1105</v>
      </c>
      <c r="G4128" s="950" t="s">
        <v>1544</v>
      </c>
      <c r="H4128" s="950" t="s">
        <v>475</v>
      </c>
      <c r="I4128" s="951" t="s">
        <v>12643</v>
      </c>
      <c r="J4128" s="947" t="s">
        <v>12644</v>
      </c>
      <c r="K4128" s="143"/>
    </row>
    <row r="4129" spans="1:11">
      <c r="A4129" s="946" t="s">
        <v>28613</v>
      </c>
      <c r="B4129" s="947" t="s">
        <v>12676</v>
      </c>
      <c r="C4129" s="948" t="s">
        <v>12674</v>
      </c>
      <c r="D4129" s="242" t="s">
        <v>28729</v>
      </c>
      <c r="E4129" s="949">
        <v>1105</v>
      </c>
      <c r="F4129" s="949">
        <v>1105</v>
      </c>
      <c r="G4129" s="950" t="s">
        <v>1544</v>
      </c>
      <c r="H4129" s="950" t="s">
        <v>475</v>
      </c>
      <c r="I4129" s="951" t="s">
        <v>12675</v>
      </c>
      <c r="J4129" s="947" t="s">
        <v>12676</v>
      </c>
      <c r="K4129" s="143"/>
    </row>
    <row r="4130" spans="1:11">
      <c r="A4130" s="946" t="s">
        <v>28613</v>
      </c>
      <c r="B4130" s="947" t="s">
        <v>13524</v>
      </c>
      <c r="C4130" s="948" t="s">
        <v>13522</v>
      </c>
      <c r="D4130" s="242" t="s">
        <v>28729</v>
      </c>
      <c r="E4130" s="949">
        <v>1105</v>
      </c>
      <c r="F4130" s="949">
        <v>1105</v>
      </c>
      <c r="G4130" s="950" t="s">
        <v>1544</v>
      </c>
      <c r="H4130" s="950" t="s">
        <v>475</v>
      </c>
      <c r="I4130" s="951" t="s">
        <v>13523</v>
      </c>
      <c r="J4130" s="947" t="s">
        <v>13524</v>
      </c>
      <c r="K4130" s="143"/>
    </row>
    <row r="4131" spans="1:11">
      <c r="A4131" s="946" t="s">
        <v>28613</v>
      </c>
      <c r="B4131" s="947" t="s">
        <v>14156</v>
      </c>
      <c r="C4131" s="948" t="s">
        <v>14154</v>
      </c>
      <c r="D4131" s="242" t="s">
        <v>28729</v>
      </c>
      <c r="E4131" s="949">
        <v>1105</v>
      </c>
      <c r="F4131" s="949">
        <v>1105</v>
      </c>
      <c r="G4131" s="950" t="s">
        <v>1544</v>
      </c>
      <c r="H4131" s="950" t="s">
        <v>475</v>
      </c>
      <c r="I4131" s="951" t="s">
        <v>14155</v>
      </c>
      <c r="J4131" s="947" t="s">
        <v>14156</v>
      </c>
      <c r="K4131" s="143"/>
    </row>
    <row r="4132" spans="1:11">
      <c r="A4132" s="946" t="s">
        <v>28613</v>
      </c>
      <c r="B4132" s="947" t="s">
        <v>16369</v>
      </c>
      <c r="C4132" s="948" t="s">
        <v>16367</v>
      </c>
      <c r="D4132" s="242" t="s">
        <v>28729</v>
      </c>
      <c r="E4132" s="949">
        <v>1105</v>
      </c>
      <c r="F4132" s="949">
        <v>1105</v>
      </c>
      <c r="G4132" s="950" t="s">
        <v>1544</v>
      </c>
      <c r="H4132" s="950" t="s">
        <v>475</v>
      </c>
      <c r="I4132" s="951" t="s">
        <v>16368</v>
      </c>
      <c r="J4132" s="947" t="s">
        <v>16369</v>
      </c>
      <c r="K4132" s="143"/>
    </row>
    <row r="4133" spans="1:11">
      <c r="A4133" s="946" t="s">
        <v>28613</v>
      </c>
      <c r="B4133" s="947" t="s">
        <v>16604</v>
      </c>
      <c r="C4133" s="948" t="s">
        <v>16602</v>
      </c>
      <c r="D4133" s="242" t="s">
        <v>28729</v>
      </c>
      <c r="E4133" s="949">
        <v>1105</v>
      </c>
      <c r="F4133" s="949">
        <v>1105</v>
      </c>
      <c r="G4133" s="950" t="s">
        <v>1544</v>
      </c>
      <c r="H4133" s="950" t="s">
        <v>475</v>
      </c>
      <c r="I4133" s="951" t="s">
        <v>16603</v>
      </c>
      <c r="J4133" s="947" t="s">
        <v>16604</v>
      </c>
      <c r="K4133" s="143"/>
    </row>
    <row r="4134" spans="1:11">
      <c r="A4134" s="946" t="s">
        <v>28613</v>
      </c>
      <c r="B4134" s="947" t="s">
        <v>17000</v>
      </c>
      <c r="C4134" s="948" t="s">
        <v>16998</v>
      </c>
      <c r="D4134" s="242" t="s">
        <v>28729</v>
      </c>
      <c r="E4134" s="949">
        <v>1105</v>
      </c>
      <c r="F4134" s="949">
        <v>1105</v>
      </c>
      <c r="G4134" s="950" t="s">
        <v>1544</v>
      </c>
      <c r="H4134" s="950" t="s">
        <v>475</v>
      </c>
      <c r="I4134" s="951" t="s">
        <v>16999</v>
      </c>
      <c r="J4134" s="947" t="s">
        <v>17000</v>
      </c>
      <c r="K4134" s="143"/>
    </row>
    <row r="4135" spans="1:11">
      <c r="A4135" s="946" t="s">
        <v>28613</v>
      </c>
      <c r="B4135" s="947" t="s">
        <v>17386</v>
      </c>
      <c r="C4135" s="948" t="s">
        <v>17384</v>
      </c>
      <c r="D4135" s="242" t="s">
        <v>28729</v>
      </c>
      <c r="E4135" s="949">
        <v>1105</v>
      </c>
      <c r="F4135" s="949">
        <v>1105</v>
      </c>
      <c r="G4135" s="950" t="s">
        <v>1544</v>
      </c>
      <c r="H4135" s="950" t="s">
        <v>475</v>
      </c>
      <c r="I4135" s="951" t="s">
        <v>17385</v>
      </c>
      <c r="J4135" s="947" t="s">
        <v>17386</v>
      </c>
      <c r="K4135" s="143"/>
    </row>
    <row r="4136" spans="1:11">
      <c r="A4136" s="946" t="s">
        <v>28613</v>
      </c>
      <c r="B4136" s="947" t="s">
        <v>19906</v>
      </c>
      <c r="C4136" s="948" t="s">
        <v>19904</v>
      </c>
      <c r="D4136" s="242" t="s">
        <v>28729</v>
      </c>
      <c r="E4136" s="949">
        <v>1105</v>
      </c>
      <c r="F4136" s="949">
        <v>1105</v>
      </c>
      <c r="G4136" s="950" t="s">
        <v>1544</v>
      </c>
      <c r="H4136" s="950" t="s">
        <v>475</v>
      </c>
      <c r="I4136" s="951" t="s">
        <v>19905</v>
      </c>
      <c r="J4136" s="947" t="s">
        <v>19906</v>
      </c>
      <c r="K4136" s="143"/>
    </row>
    <row r="4137" spans="1:11">
      <c r="A4137" s="946" t="s">
        <v>28613</v>
      </c>
      <c r="B4137" s="947" t="s">
        <v>21680</v>
      </c>
      <c r="C4137" s="948" t="s">
        <v>21678</v>
      </c>
      <c r="D4137" s="242" t="s">
        <v>28729</v>
      </c>
      <c r="E4137" s="949">
        <v>1105</v>
      </c>
      <c r="F4137" s="949">
        <v>1105</v>
      </c>
      <c r="G4137" s="950" t="s">
        <v>1544</v>
      </c>
      <c r="H4137" s="950" t="s">
        <v>475</v>
      </c>
      <c r="I4137" s="951" t="s">
        <v>21679</v>
      </c>
      <c r="J4137" s="947" t="s">
        <v>21680</v>
      </c>
      <c r="K4137" s="143"/>
    </row>
    <row r="4138" spans="1:11">
      <c r="A4138" s="946" t="s">
        <v>28618</v>
      </c>
      <c r="B4138" s="947" t="s">
        <v>1630</v>
      </c>
      <c r="C4138" s="948" t="s">
        <v>1627</v>
      </c>
      <c r="D4138" s="242" t="s">
        <v>24912</v>
      </c>
      <c r="E4138" s="949">
        <v>901</v>
      </c>
      <c r="F4138" s="949">
        <v>901</v>
      </c>
      <c r="G4138" s="950" t="s">
        <v>31134</v>
      </c>
      <c r="H4138" s="950" t="s">
        <v>1628</v>
      </c>
      <c r="I4138" s="951" t="s">
        <v>1629</v>
      </c>
      <c r="J4138" s="947" t="s">
        <v>1630</v>
      </c>
      <c r="K4138" s="143"/>
    </row>
    <row r="4139" spans="1:11">
      <c r="A4139" s="946" t="s">
        <v>28618</v>
      </c>
      <c r="B4139" s="947" t="s">
        <v>1823</v>
      </c>
      <c r="C4139" s="948" t="s">
        <v>1821</v>
      </c>
      <c r="D4139" s="242" t="s">
        <v>24912</v>
      </c>
      <c r="E4139" s="949">
        <v>901</v>
      </c>
      <c r="F4139" s="949">
        <v>901</v>
      </c>
      <c r="G4139" s="950" t="s">
        <v>31134</v>
      </c>
      <c r="H4139" s="950" t="s">
        <v>1628</v>
      </c>
      <c r="I4139" s="951" t="s">
        <v>1822</v>
      </c>
      <c r="J4139" s="947" t="s">
        <v>1823</v>
      </c>
      <c r="K4139" s="143"/>
    </row>
    <row r="4140" spans="1:11">
      <c r="A4140" s="946" t="s">
        <v>28618</v>
      </c>
      <c r="B4140" s="947" t="s">
        <v>4441</v>
      </c>
      <c r="C4140" s="948" t="s">
        <v>4439</v>
      </c>
      <c r="D4140" s="242" t="s">
        <v>24912</v>
      </c>
      <c r="E4140" s="949">
        <v>901</v>
      </c>
      <c r="F4140" s="949">
        <v>901</v>
      </c>
      <c r="G4140" s="950" t="s">
        <v>31134</v>
      </c>
      <c r="H4140" s="950" t="s">
        <v>1628</v>
      </c>
      <c r="I4140" s="951" t="s">
        <v>4440</v>
      </c>
      <c r="J4140" s="947" t="s">
        <v>4441</v>
      </c>
      <c r="K4140" s="143"/>
    </row>
    <row r="4141" spans="1:11">
      <c r="A4141" s="946" t="s">
        <v>28618</v>
      </c>
      <c r="B4141" s="947" t="s">
        <v>4784</v>
      </c>
      <c r="C4141" s="948" t="s">
        <v>4782</v>
      </c>
      <c r="D4141" s="242" t="s">
        <v>24912</v>
      </c>
      <c r="E4141" s="949">
        <v>901</v>
      </c>
      <c r="F4141" s="949">
        <v>901</v>
      </c>
      <c r="G4141" s="950" t="s">
        <v>31134</v>
      </c>
      <c r="H4141" s="950" t="s">
        <v>1628</v>
      </c>
      <c r="I4141" s="951" t="s">
        <v>4783</v>
      </c>
      <c r="J4141" s="947" t="s">
        <v>4784</v>
      </c>
      <c r="K4141" s="143"/>
    </row>
    <row r="4142" spans="1:11">
      <c r="A4142" s="946" t="s">
        <v>28618</v>
      </c>
      <c r="B4142" s="947" t="s">
        <v>6872</v>
      </c>
      <c r="C4142" s="948" t="s">
        <v>6870</v>
      </c>
      <c r="D4142" s="242" t="s">
        <v>24912</v>
      </c>
      <c r="E4142" s="949">
        <v>901</v>
      </c>
      <c r="F4142" s="949">
        <v>901</v>
      </c>
      <c r="G4142" s="950" t="s">
        <v>31134</v>
      </c>
      <c r="H4142" s="950" t="s">
        <v>1628</v>
      </c>
      <c r="I4142" s="951" t="s">
        <v>6871</v>
      </c>
      <c r="J4142" s="947" t="s">
        <v>6872</v>
      </c>
      <c r="K4142" s="143"/>
    </row>
    <row r="4143" spans="1:11">
      <c r="A4143" s="946" t="s">
        <v>28618</v>
      </c>
      <c r="B4143" s="947" t="s">
        <v>8239</v>
      </c>
      <c r="C4143" s="948" t="s">
        <v>8237</v>
      </c>
      <c r="D4143" s="242" t="s">
        <v>24912</v>
      </c>
      <c r="E4143" s="949">
        <v>901</v>
      </c>
      <c r="F4143" s="949">
        <v>901</v>
      </c>
      <c r="G4143" s="950" t="s">
        <v>31134</v>
      </c>
      <c r="H4143" s="950" t="s">
        <v>1628</v>
      </c>
      <c r="I4143" s="951" t="s">
        <v>8238</v>
      </c>
      <c r="J4143" s="947" t="s">
        <v>8239</v>
      </c>
      <c r="K4143" s="143"/>
    </row>
    <row r="4144" spans="1:11">
      <c r="A4144" s="946" t="s">
        <v>28618</v>
      </c>
      <c r="B4144" s="947" t="s">
        <v>8322</v>
      </c>
      <c r="C4144" s="948" t="s">
        <v>8320</v>
      </c>
      <c r="D4144" s="242" t="s">
        <v>24912</v>
      </c>
      <c r="E4144" s="949">
        <v>901</v>
      </c>
      <c r="F4144" s="949">
        <v>901</v>
      </c>
      <c r="G4144" s="950" t="s">
        <v>31134</v>
      </c>
      <c r="H4144" s="950" t="s">
        <v>1628</v>
      </c>
      <c r="I4144" s="951" t="s">
        <v>8321</v>
      </c>
      <c r="J4144" s="947" t="s">
        <v>8322</v>
      </c>
      <c r="K4144" s="143"/>
    </row>
    <row r="4145" spans="1:11">
      <c r="A4145" s="946" t="s">
        <v>28618</v>
      </c>
      <c r="B4145" s="947" t="s">
        <v>8554</v>
      </c>
      <c r="C4145" s="948" t="s">
        <v>8552</v>
      </c>
      <c r="D4145" s="242" t="s">
        <v>24912</v>
      </c>
      <c r="E4145" s="949">
        <v>901</v>
      </c>
      <c r="F4145" s="949">
        <v>901</v>
      </c>
      <c r="G4145" s="950" t="s">
        <v>31134</v>
      </c>
      <c r="H4145" s="950" t="s">
        <v>1628</v>
      </c>
      <c r="I4145" s="951" t="s">
        <v>8553</v>
      </c>
      <c r="J4145" s="947" t="s">
        <v>8554</v>
      </c>
      <c r="K4145" s="143"/>
    </row>
    <row r="4146" spans="1:11">
      <c r="A4146" s="946" t="s">
        <v>28618</v>
      </c>
      <c r="B4146" s="947" t="s">
        <v>10408</v>
      </c>
      <c r="C4146" s="948" t="s">
        <v>10406</v>
      </c>
      <c r="D4146" s="242" t="s">
        <v>24912</v>
      </c>
      <c r="E4146" s="949">
        <v>901</v>
      </c>
      <c r="F4146" s="949">
        <v>901</v>
      </c>
      <c r="G4146" s="950" t="s">
        <v>31134</v>
      </c>
      <c r="H4146" s="950" t="s">
        <v>1628</v>
      </c>
      <c r="I4146" s="951" t="s">
        <v>10407</v>
      </c>
      <c r="J4146" s="947" t="s">
        <v>10408</v>
      </c>
      <c r="K4146" s="143"/>
    </row>
    <row r="4147" spans="1:11">
      <c r="A4147" s="946" t="s">
        <v>28618</v>
      </c>
      <c r="B4147" s="947" t="s">
        <v>11371</v>
      </c>
      <c r="C4147" s="948" t="s">
        <v>11369</v>
      </c>
      <c r="D4147" s="242" t="s">
        <v>24912</v>
      </c>
      <c r="E4147" s="949">
        <v>901</v>
      </c>
      <c r="F4147" s="949">
        <v>901</v>
      </c>
      <c r="G4147" s="950" t="s">
        <v>31134</v>
      </c>
      <c r="H4147" s="950" t="s">
        <v>1628</v>
      </c>
      <c r="I4147" s="951" t="s">
        <v>11370</v>
      </c>
      <c r="J4147" s="947" t="s">
        <v>11371</v>
      </c>
      <c r="K4147" s="143"/>
    </row>
    <row r="4148" spans="1:11">
      <c r="A4148" s="946" t="s">
        <v>28618</v>
      </c>
      <c r="B4148" s="947" t="s">
        <v>12821</v>
      </c>
      <c r="C4148" s="948" t="s">
        <v>12819</v>
      </c>
      <c r="D4148" s="242" t="s">
        <v>24912</v>
      </c>
      <c r="E4148" s="949">
        <v>901</v>
      </c>
      <c r="F4148" s="949">
        <v>901</v>
      </c>
      <c r="G4148" s="950" t="s">
        <v>31134</v>
      </c>
      <c r="H4148" s="950" t="s">
        <v>1628</v>
      </c>
      <c r="I4148" s="951" t="s">
        <v>12820</v>
      </c>
      <c r="J4148" s="947" t="s">
        <v>12821</v>
      </c>
      <c r="K4148" s="143"/>
    </row>
    <row r="4149" spans="1:11">
      <c r="A4149" s="946" t="s">
        <v>28618</v>
      </c>
      <c r="B4149" s="947" t="s">
        <v>13100</v>
      </c>
      <c r="C4149" s="948" t="s">
        <v>13098</v>
      </c>
      <c r="D4149" s="242" t="s">
        <v>24912</v>
      </c>
      <c r="E4149" s="949">
        <v>901</v>
      </c>
      <c r="F4149" s="949">
        <v>901</v>
      </c>
      <c r="G4149" s="950" t="s">
        <v>31134</v>
      </c>
      <c r="H4149" s="950" t="s">
        <v>1628</v>
      </c>
      <c r="I4149" s="951" t="s">
        <v>13099</v>
      </c>
      <c r="J4149" s="947" t="s">
        <v>13100</v>
      </c>
      <c r="K4149" s="143"/>
    </row>
    <row r="4150" spans="1:11">
      <c r="A4150" s="946" t="s">
        <v>28618</v>
      </c>
      <c r="B4150" s="947" t="s">
        <v>15155</v>
      </c>
      <c r="C4150" s="948" t="s">
        <v>15153</v>
      </c>
      <c r="D4150" s="242" t="s">
        <v>24912</v>
      </c>
      <c r="E4150" s="949">
        <v>901</v>
      </c>
      <c r="F4150" s="949">
        <v>901</v>
      </c>
      <c r="G4150" s="950" t="s">
        <v>31134</v>
      </c>
      <c r="H4150" s="950" t="s">
        <v>1628</v>
      </c>
      <c r="I4150" s="951" t="s">
        <v>15154</v>
      </c>
      <c r="J4150" s="947" t="s">
        <v>15155</v>
      </c>
      <c r="K4150" s="143"/>
    </row>
    <row r="4151" spans="1:11">
      <c r="A4151" s="946" t="s">
        <v>28618</v>
      </c>
      <c r="B4151" s="947" t="s">
        <v>15481</v>
      </c>
      <c r="C4151" s="948" t="s">
        <v>15479</v>
      </c>
      <c r="D4151" s="242" t="s">
        <v>24912</v>
      </c>
      <c r="E4151" s="949">
        <v>901</v>
      </c>
      <c r="F4151" s="949">
        <v>901</v>
      </c>
      <c r="G4151" s="950" t="s">
        <v>31134</v>
      </c>
      <c r="H4151" s="950" t="s">
        <v>1628</v>
      </c>
      <c r="I4151" s="951" t="s">
        <v>15480</v>
      </c>
      <c r="J4151" s="947" t="s">
        <v>15481</v>
      </c>
      <c r="K4151" s="143"/>
    </row>
    <row r="4152" spans="1:11">
      <c r="A4152" s="946" t="s">
        <v>28618</v>
      </c>
      <c r="B4152" s="947" t="s">
        <v>20945</v>
      </c>
      <c r="C4152" s="948" t="s">
        <v>20943</v>
      </c>
      <c r="D4152" s="242" t="s">
        <v>24912</v>
      </c>
      <c r="E4152" s="949">
        <v>901</v>
      </c>
      <c r="F4152" s="949">
        <v>901</v>
      </c>
      <c r="G4152" s="950" t="s">
        <v>31134</v>
      </c>
      <c r="H4152" s="950" t="s">
        <v>1628</v>
      </c>
      <c r="I4152" s="951" t="s">
        <v>20944</v>
      </c>
      <c r="J4152" s="947" t="s">
        <v>20945</v>
      </c>
      <c r="K4152" s="143"/>
    </row>
    <row r="4153" spans="1:11">
      <c r="A4153" s="946" t="s">
        <v>28618</v>
      </c>
      <c r="B4153" s="947" t="s">
        <v>22176</v>
      </c>
      <c r="C4153" s="948" t="s">
        <v>22174</v>
      </c>
      <c r="D4153" s="242" t="s">
        <v>24912</v>
      </c>
      <c r="E4153" s="949">
        <v>901</v>
      </c>
      <c r="F4153" s="949">
        <v>901</v>
      </c>
      <c r="G4153" s="950" t="s">
        <v>31134</v>
      </c>
      <c r="H4153" s="950" t="s">
        <v>1628</v>
      </c>
      <c r="I4153" s="951" t="s">
        <v>22175</v>
      </c>
      <c r="J4153" s="947" t="s">
        <v>22176</v>
      </c>
      <c r="K4153" s="143"/>
    </row>
    <row r="4154" spans="1:11">
      <c r="A4154" s="946" t="s">
        <v>28618</v>
      </c>
      <c r="B4154" s="947" t="s">
        <v>22608</v>
      </c>
      <c r="C4154" s="948" t="s">
        <v>22606</v>
      </c>
      <c r="D4154" s="242" t="s">
        <v>24912</v>
      </c>
      <c r="E4154" s="949">
        <v>901</v>
      </c>
      <c r="F4154" s="949">
        <v>901</v>
      </c>
      <c r="G4154" s="950" t="s">
        <v>31134</v>
      </c>
      <c r="H4154" s="950" t="s">
        <v>1628</v>
      </c>
      <c r="I4154" s="951" t="s">
        <v>22607</v>
      </c>
      <c r="J4154" s="947" t="s">
        <v>22608</v>
      </c>
      <c r="K4154" s="143"/>
    </row>
    <row r="4155" spans="1:11">
      <c r="A4155" s="946" t="s">
        <v>28618</v>
      </c>
      <c r="B4155" s="947" t="s">
        <v>1037</v>
      </c>
      <c r="C4155" s="948" t="s">
        <v>1034</v>
      </c>
      <c r="D4155" s="242" t="s">
        <v>24912</v>
      </c>
      <c r="E4155" s="949">
        <v>902</v>
      </c>
      <c r="F4155" s="949">
        <v>902</v>
      </c>
      <c r="G4155" s="950" t="s">
        <v>10685</v>
      </c>
      <c r="H4155" s="950" t="s">
        <v>1035</v>
      </c>
      <c r="I4155" s="951" t="s">
        <v>1036</v>
      </c>
      <c r="J4155" s="947" t="s">
        <v>1037</v>
      </c>
      <c r="K4155" s="143"/>
    </row>
    <row r="4156" spans="1:11">
      <c r="A4156" s="946" t="s">
        <v>28618</v>
      </c>
      <c r="B4156" s="947" t="s">
        <v>1782</v>
      </c>
      <c r="C4156" s="948" t="s">
        <v>1780</v>
      </c>
      <c r="D4156" s="242" t="s">
        <v>24912</v>
      </c>
      <c r="E4156" s="949">
        <v>901</v>
      </c>
      <c r="F4156" s="949">
        <v>901</v>
      </c>
      <c r="G4156" s="950" t="s">
        <v>10685</v>
      </c>
      <c r="H4156" s="950" t="s">
        <v>1035</v>
      </c>
      <c r="I4156" s="951" t="s">
        <v>1781</v>
      </c>
      <c r="J4156" s="947" t="s">
        <v>1782</v>
      </c>
      <c r="K4156" s="143"/>
    </row>
    <row r="4157" spans="1:11">
      <c r="A4157" s="946" t="s">
        <v>28618</v>
      </c>
      <c r="B4157" s="947" t="s">
        <v>1982</v>
      </c>
      <c r="C4157" s="948" t="s">
        <v>1980</v>
      </c>
      <c r="D4157" s="242" t="s">
        <v>24912</v>
      </c>
      <c r="E4157" s="949">
        <v>901</v>
      </c>
      <c r="F4157" s="949">
        <v>901</v>
      </c>
      <c r="G4157" s="950" t="s">
        <v>10685</v>
      </c>
      <c r="H4157" s="950" t="s">
        <v>1035</v>
      </c>
      <c r="I4157" s="951" t="s">
        <v>1981</v>
      </c>
      <c r="J4157" s="947" t="s">
        <v>1982</v>
      </c>
      <c r="K4157" s="143"/>
    </row>
    <row r="4158" spans="1:11">
      <c r="A4158" s="946" t="s">
        <v>28618</v>
      </c>
      <c r="B4158" s="947" t="s">
        <v>2724</v>
      </c>
      <c r="C4158" s="948" t="s">
        <v>2722</v>
      </c>
      <c r="D4158" s="242" t="s">
        <v>24912</v>
      </c>
      <c r="E4158" s="949">
        <v>901</v>
      </c>
      <c r="F4158" s="949">
        <v>901</v>
      </c>
      <c r="G4158" s="950" t="s">
        <v>10685</v>
      </c>
      <c r="H4158" s="950" t="s">
        <v>1035</v>
      </c>
      <c r="I4158" s="951" t="s">
        <v>2723</v>
      </c>
      <c r="J4158" s="947" t="s">
        <v>2724</v>
      </c>
      <c r="K4158" s="143"/>
    </row>
    <row r="4159" spans="1:11">
      <c r="A4159" s="946" t="s">
        <v>28618</v>
      </c>
      <c r="B4159" s="947" t="s">
        <v>3600</v>
      </c>
      <c r="C4159" s="948" t="s">
        <v>3598</v>
      </c>
      <c r="D4159" s="242" t="s">
        <v>24912</v>
      </c>
      <c r="E4159" s="949">
        <v>901</v>
      </c>
      <c r="F4159" s="949">
        <v>901</v>
      </c>
      <c r="G4159" s="950" t="s">
        <v>10685</v>
      </c>
      <c r="H4159" s="950" t="s">
        <v>1035</v>
      </c>
      <c r="I4159" s="951" t="s">
        <v>3599</v>
      </c>
      <c r="J4159" s="947" t="s">
        <v>3600</v>
      </c>
      <c r="K4159" s="143"/>
    </row>
    <row r="4160" spans="1:11">
      <c r="A4160" s="946" t="s">
        <v>28618</v>
      </c>
      <c r="B4160" s="947" t="s">
        <v>3830</v>
      </c>
      <c r="C4160" s="948" t="s">
        <v>3828</v>
      </c>
      <c r="D4160" s="242" t="s">
        <v>24912</v>
      </c>
      <c r="E4160" s="949">
        <v>901</v>
      </c>
      <c r="F4160" s="949">
        <v>901</v>
      </c>
      <c r="G4160" s="950" t="s">
        <v>10685</v>
      </c>
      <c r="H4160" s="950" t="s">
        <v>1035</v>
      </c>
      <c r="I4160" s="951" t="s">
        <v>3829</v>
      </c>
      <c r="J4160" s="947" t="s">
        <v>3830</v>
      </c>
      <c r="K4160" s="143"/>
    </row>
    <row r="4161" spans="1:11">
      <c r="A4161" s="946" t="s">
        <v>28618</v>
      </c>
      <c r="B4161" s="947" t="s">
        <v>4035</v>
      </c>
      <c r="C4161" s="948" t="s">
        <v>4033</v>
      </c>
      <c r="D4161" s="242" t="s">
        <v>24912</v>
      </c>
      <c r="E4161" s="949">
        <v>902</v>
      </c>
      <c r="F4161" s="949">
        <v>902</v>
      </c>
      <c r="G4161" s="950" t="s">
        <v>10685</v>
      </c>
      <c r="H4161" s="950" t="s">
        <v>1035</v>
      </c>
      <c r="I4161" s="951" t="s">
        <v>4034</v>
      </c>
      <c r="J4161" s="947" t="s">
        <v>4035</v>
      </c>
      <c r="K4161" s="143"/>
    </row>
    <row r="4162" spans="1:11">
      <c r="A4162" s="946" t="s">
        <v>28618</v>
      </c>
      <c r="B4162" s="947" t="s">
        <v>4282</v>
      </c>
      <c r="C4162" s="948" t="s">
        <v>4280</v>
      </c>
      <c r="D4162" s="242" t="s">
        <v>24912</v>
      </c>
      <c r="E4162" s="949">
        <v>901</v>
      </c>
      <c r="F4162" s="949">
        <v>901</v>
      </c>
      <c r="G4162" s="950" t="s">
        <v>10685</v>
      </c>
      <c r="H4162" s="950" t="s">
        <v>1035</v>
      </c>
      <c r="I4162" s="951" t="s">
        <v>4281</v>
      </c>
      <c r="J4162" s="947" t="s">
        <v>4282</v>
      </c>
      <c r="K4162" s="143"/>
    </row>
    <row r="4163" spans="1:11">
      <c r="A4163" s="946" t="s">
        <v>28618</v>
      </c>
      <c r="B4163" s="947" t="s">
        <v>5365</v>
      </c>
      <c r="C4163" s="948" t="s">
        <v>5363</v>
      </c>
      <c r="D4163" s="242" t="s">
        <v>24912</v>
      </c>
      <c r="E4163" s="949">
        <v>901</v>
      </c>
      <c r="F4163" s="949">
        <v>901</v>
      </c>
      <c r="G4163" s="950" t="s">
        <v>10685</v>
      </c>
      <c r="H4163" s="950" t="s">
        <v>1035</v>
      </c>
      <c r="I4163" s="951" t="s">
        <v>5364</v>
      </c>
      <c r="J4163" s="947" t="s">
        <v>5365</v>
      </c>
      <c r="K4163" s="143"/>
    </row>
    <row r="4164" spans="1:11">
      <c r="A4164" s="946" t="s">
        <v>28618</v>
      </c>
      <c r="B4164" s="947" t="s">
        <v>5509</v>
      </c>
      <c r="C4164" s="948" t="s">
        <v>5507</v>
      </c>
      <c r="D4164" s="242" t="s">
        <v>24912</v>
      </c>
      <c r="E4164" s="949">
        <v>901</v>
      </c>
      <c r="F4164" s="949">
        <v>901</v>
      </c>
      <c r="G4164" s="950" t="s">
        <v>10685</v>
      </c>
      <c r="H4164" s="950" t="s">
        <v>1035</v>
      </c>
      <c r="I4164" s="951" t="s">
        <v>5508</v>
      </c>
      <c r="J4164" s="947" t="s">
        <v>5509</v>
      </c>
      <c r="K4164" s="143"/>
    </row>
    <row r="4165" spans="1:11">
      <c r="A4165" s="946" t="s">
        <v>28618</v>
      </c>
      <c r="B4165" s="947" t="s">
        <v>7048</v>
      </c>
      <c r="C4165" s="948" t="s">
        <v>7046</v>
      </c>
      <c r="D4165" s="242" t="s">
        <v>24912</v>
      </c>
      <c r="E4165" s="949">
        <v>901</v>
      </c>
      <c r="F4165" s="949">
        <v>901</v>
      </c>
      <c r="G4165" s="950" t="s">
        <v>10685</v>
      </c>
      <c r="H4165" s="950" t="s">
        <v>1035</v>
      </c>
      <c r="I4165" s="951" t="s">
        <v>7047</v>
      </c>
      <c r="J4165" s="947" t="s">
        <v>7048</v>
      </c>
      <c r="K4165" s="143"/>
    </row>
    <row r="4166" spans="1:11">
      <c r="A4166" s="946" t="s">
        <v>28618</v>
      </c>
      <c r="B4166" s="947" t="s">
        <v>8541</v>
      </c>
      <c r="C4166" s="948" t="s">
        <v>8539</v>
      </c>
      <c r="D4166" s="242" t="s">
        <v>24912</v>
      </c>
      <c r="E4166" s="949">
        <v>901</v>
      </c>
      <c r="F4166" s="949">
        <v>901</v>
      </c>
      <c r="G4166" s="950" t="s">
        <v>10685</v>
      </c>
      <c r="H4166" s="950" t="s">
        <v>1035</v>
      </c>
      <c r="I4166" s="951" t="s">
        <v>8540</v>
      </c>
      <c r="J4166" s="947" t="s">
        <v>8541</v>
      </c>
      <c r="K4166" s="143"/>
    </row>
    <row r="4167" spans="1:11">
      <c r="A4167" s="946" t="s">
        <v>28618</v>
      </c>
      <c r="B4167" s="947" t="s">
        <v>8551</v>
      </c>
      <c r="C4167" s="948" t="s">
        <v>8549</v>
      </c>
      <c r="D4167" s="242" t="s">
        <v>24912</v>
      </c>
      <c r="E4167" s="949">
        <v>901</v>
      </c>
      <c r="F4167" s="949">
        <v>901</v>
      </c>
      <c r="G4167" s="950" t="s">
        <v>10685</v>
      </c>
      <c r="H4167" s="950" t="s">
        <v>1035</v>
      </c>
      <c r="I4167" s="951" t="s">
        <v>8550</v>
      </c>
      <c r="J4167" s="947" t="s">
        <v>8551</v>
      </c>
      <c r="K4167" s="143"/>
    </row>
    <row r="4168" spans="1:11">
      <c r="A4168" s="946" t="s">
        <v>28618</v>
      </c>
      <c r="B4168" s="947" t="s">
        <v>8882</v>
      </c>
      <c r="C4168" s="948" t="s">
        <v>8880</v>
      </c>
      <c r="D4168" s="242" t="s">
        <v>24912</v>
      </c>
      <c r="E4168" s="949">
        <v>901</v>
      </c>
      <c r="F4168" s="949">
        <v>901</v>
      </c>
      <c r="G4168" s="950" t="s">
        <v>10685</v>
      </c>
      <c r="H4168" s="950" t="s">
        <v>1035</v>
      </c>
      <c r="I4168" s="951" t="s">
        <v>8881</v>
      </c>
      <c r="J4168" s="947" t="s">
        <v>8882</v>
      </c>
      <c r="K4168" s="143"/>
    </row>
    <row r="4169" spans="1:11">
      <c r="A4169" s="946" t="s">
        <v>28618</v>
      </c>
      <c r="B4169" s="947" t="s">
        <v>10685</v>
      </c>
      <c r="C4169" s="948" t="s">
        <v>10683</v>
      </c>
      <c r="D4169" s="242" t="s">
        <v>24912</v>
      </c>
      <c r="E4169" s="949">
        <v>901</v>
      </c>
      <c r="F4169" s="949">
        <v>901</v>
      </c>
      <c r="G4169" s="950" t="s">
        <v>10685</v>
      </c>
      <c r="H4169" s="950" t="s">
        <v>1035</v>
      </c>
      <c r="I4169" s="951" t="s">
        <v>10684</v>
      </c>
      <c r="J4169" s="947" t="s">
        <v>10685</v>
      </c>
      <c r="K4169" s="143"/>
    </row>
    <row r="4170" spans="1:11">
      <c r="A4170" s="946" t="s">
        <v>28618</v>
      </c>
      <c r="B4170" s="947" t="s">
        <v>11406</v>
      </c>
      <c r="C4170" s="948" t="s">
        <v>11404</v>
      </c>
      <c r="D4170" s="242" t="s">
        <v>24912</v>
      </c>
      <c r="E4170" s="949">
        <v>901</v>
      </c>
      <c r="F4170" s="949">
        <v>901</v>
      </c>
      <c r="G4170" s="950" t="s">
        <v>10685</v>
      </c>
      <c r="H4170" s="950" t="s">
        <v>1035</v>
      </c>
      <c r="I4170" s="951" t="s">
        <v>11405</v>
      </c>
      <c r="J4170" s="947" t="s">
        <v>11406</v>
      </c>
      <c r="K4170" s="143"/>
    </row>
    <row r="4171" spans="1:11">
      <c r="A4171" s="946" t="s">
        <v>28618</v>
      </c>
      <c r="B4171" s="947" t="s">
        <v>11806</v>
      </c>
      <c r="C4171" s="948" t="s">
        <v>11804</v>
      </c>
      <c r="D4171" s="242" t="s">
        <v>24912</v>
      </c>
      <c r="E4171" s="949">
        <v>901</v>
      </c>
      <c r="F4171" s="949">
        <v>901</v>
      </c>
      <c r="G4171" s="950" t="s">
        <v>10685</v>
      </c>
      <c r="H4171" s="950" t="s">
        <v>1035</v>
      </c>
      <c r="I4171" s="951" t="s">
        <v>11805</v>
      </c>
      <c r="J4171" s="947" t="s">
        <v>11806</v>
      </c>
      <c r="K4171" s="143"/>
    </row>
    <row r="4172" spans="1:11">
      <c r="A4172" s="946" t="s">
        <v>28618</v>
      </c>
      <c r="B4172" s="947" t="s">
        <v>11931</v>
      </c>
      <c r="C4172" s="948" t="s">
        <v>11929</v>
      </c>
      <c r="D4172" s="242" t="s">
        <v>24912</v>
      </c>
      <c r="E4172" s="949">
        <v>901</v>
      </c>
      <c r="F4172" s="949">
        <v>901</v>
      </c>
      <c r="G4172" s="950" t="s">
        <v>10685</v>
      </c>
      <c r="H4172" s="950" t="s">
        <v>1035</v>
      </c>
      <c r="I4172" s="951" t="s">
        <v>11930</v>
      </c>
      <c r="J4172" s="947" t="s">
        <v>11931</v>
      </c>
      <c r="K4172" s="143"/>
    </row>
    <row r="4173" spans="1:11">
      <c r="A4173" s="946" t="s">
        <v>28618</v>
      </c>
      <c r="B4173" s="947" t="s">
        <v>12386</v>
      </c>
      <c r="C4173" s="948" t="s">
        <v>12384</v>
      </c>
      <c r="D4173" s="242" t="s">
        <v>24912</v>
      </c>
      <c r="E4173" s="949">
        <v>902</v>
      </c>
      <c r="F4173" s="949">
        <v>902</v>
      </c>
      <c r="G4173" s="950" t="s">
        <v>10685</v>
      </c>
      <c r="H4173" s="950" t="s">
        <v>1035</v>
      </c>
      <c r="I4173" s="951" t="s">
        <v>12385</v>
      </c>
      <c r="J4173" s="947" t="s">
        <v>12386</v>
      </c>
      <c r="K4173" s="143"/>
    </row>
    <row r="4174" spans="1:11">
      <c r="A4174" s="946" t="s">
        <v>28618</v>
      </c>
      <c r="B4174" s="947" t="s">
        <v>14556</v>
      </c>
      <c r="C4174" s="948" t="s">
        <v>14554</v>
      </c>
      <c r="D4174" s="242" t="s">
        <v>24912</v>
      </c>
      <c r="E4174" s="949">
        <v>901</v>
      </c>
      <c r="F4174" s="949">
        <v>901</v>
      </c>
      <c r="G4174" s="950" t="s">
        <v>10685</v>
      </c>
      <c r="H4174" s="950" t="s">
        <v>1035</v>
      </c>
      <c r="I4174" s="951" t="s">
        <v>14555</v>
      </c>
      <c r="J4174" s="947" t="s">
        <v>14556</v>
      </c>
      <c r="K4174" s="143"/>
    </row>
    <row r="4175" spans="1:11">
      <c r="A4175" s="946" t="s">
        <v>28618</v>
      </c>
      <c r="B4175" s="947" t="s">
        <v>14782</v>
      </c>
      <c r="C4175" s="948" t="s">
        <v>14780</v>
      </c>
      <c r="D4175" s="242" t="s">
        <v>24912</v>
      </c>
      <c r="E4175" s="949">
        <v>901</v>
      </c>
      <c r="F4175" s="949">
        <v>901</v>
      </c>
      <c r="G4175" s="950" t="s">
        <v>10685</v>
      </c>
      <c r="H4175" s="950" t="s">
        <v>1035</v>
      </c>
      <c r="I4175" s="951" t="s">
        <v>14781</v>
      </c>
      <c r="J4175" s="947" t="s">
        <v>14782</v>
      </c>
      <c r="K4175" s="143"/>
    </row>
    <row r="4176" spans="1:11">
      <c r="A4176" s="946" t="s">
        <v>28618</v>
      </c>
      <c r="B4176" s="947" t="s">
        <v>14904</v>
      </c>
      <c r="C4176" s="948" t="s">
        <v>14902</v>
      </c>
      <c r="D4176" s="242" t="s">
        <v>24912</v>
      </c>
      <c r="E4176" s="949">
        <v>901</v>
      </c>
      <c r="F4176" s="949">
        <v>901</v>
      </c>
      <c r="G4176" s="950" t="s">
        <v>10685</v>
      </c>
      <c r="H4176" s="950" t="s">
        <v>1035</v>
      </c>
      <c r="I4176" s="951" t="s">
        <v>14903</v>
      </c>
      <c r="J4176" s="947" t="s">
        <v>14904</v>
      </c>
      <c r="K4176" s="143"/>
    </row>
    <row r="4177" spans="1:11">
      <c r="A4177" s="946" t="s">
        <v>28618</v>
      </c>
      <c r="B4177" s="947" t="s">
        <v>14946</v>
      </c>
      <c r="C4177" s="948" t="s">
        <v>14944</v>
      </c>
      <c r="D4177" s="242" t="s">
        <v>24912</v>
      </c>
      <c r="E4177" s="949">
        <v>901</v>
      </c>
      <c r="F4177" s="949">
        <v>901</v>
      </c>
      <c r="G4177" s="950" t="s">
        <v>10685</v>
      </c>
      <c r="H4177" s="950" t="s">
        <v>1035</v>
      </c>
      <c r="I4177" s="951" t="s">
        <v>14945</v>
      </c>
      <c r="J4177" s="947" t="s">
        <v>14946</v>
      </c>
      <c r="K4177" s="143"/>
    </row>
    <row r="4178" spans="1:11">
      <c r="A4178" s="946" t="s">
        <v>28618</v>
      </c>
      <c r="B4178" s="947" t="s">
        <v>15511</v>
      </c>
      <c r="C4178" s="948" t="s">
        <v>15509</v>
      </c>
      <c r="D4178" s="242" t="s">
        <v>24912</v>
      </c>
      <c r="E4178" s="949">
        <v>902</v>
      </c>
      <c r="F4178" s="949">
        <v>902</v>
      </c>
      <c r="G4178" s="950" t="s">
        <v>10685</v>
      </c>
      <c r="H4178" s="950" t="s">
        <v>1035</v>
      </c>
      <c r="I4178" s="951" t="s">
        <v>15510</v>
      </c>
      <c r="J4178" s="947" t="s">
        <v>15511</v>
      </c>
      <c r="K4178" s="143"/>
    </row>
    <row r="4179" spans="1:11">
      <c r="A4179" s="946" t="s">
        <v>28618</v>
      </c>
      <c r="B4179" s="947" t="s">
        <v>18186</v>
      </c>
      <c r="C4179" s="948" t="s">
        <v>18184</v>
      </c>
      <c r="D4179" s="242" t="s">
        <v>24912</v>
      </c>
      <c r="E4179" s="949">
        <v>901</v>
      </c>
      <c r="F4179" s="949">
        <v>901</v>
      </c>
      <c r="G4179" s="950" t="s">
        <v>10685</v>
      </c>
      <c r="H4179" s="950" t="s">
        <v>1035</v>
      </c>
      <c r="I4179" s="951" t="s">
        <v>18185</v>
      </c>
      <c r="J4179" s="947" t="s">
        <v>18186</v>
      </c>
      <c r="K4179" s="143"/>
    </row>
    <row r="4180" spans="1:11">
      <c r="A4180" s="946" t="s">
        <v>28618</v>
      </c>
      <c r="B4180" s="947" t="s">
        <v>19279</v>
      </c>
      <c r="C4180" s="948" t="s">
        <v>19277</v>
      </c>
      <c r="D4180" s="242" t="s">
        <v>24912</v>
      </c>
      <c r="E4180" s="949">
        <v>901</v>
      </c>
      <c r="F4180" s="949">
        <v>901</v>
      </c>
      <c r="G4180" s="950" t="s">
        <v>10685</v>
      </c>
      <c r="H4180" s="950" t="s">
        <v>1035</v>
      </c>
      <c r="I4180" s="951" t="s">
        <v>19278</v>
      </c>
      <c r="J4180" s="947" t="s">
        <v>19279</v>
      </c>
      <c r="K4180" s="143"/>
    </row>
    <row r="4181" spans="1:11">
      <c r="A4181" s="946" t="s">
        <v>28618</v>
      </c>
      <c r="B4181" s="947" t="s">
        <v>19975</v>
      </c>
      <c r="C4181" s="948" t="s">
        <v>19973</v>
      </c>
      <c r="D4181" s="242" t="s">
        <v>24912</v>
      </c>
      <c r="E4181" s="949">
        <v>901</v>
      </c>
      <c r="F4181" s="949">
        <v>901</v>
      </c>
      <c r="G4181" s="950" t="s">
        <v>10685</v>
      </c>
      <c r="H4181" s="950" t="s">
        <v>1035</v>
      </c>
      <c r="I4181" s="951" t="s">
        <v>19974</v>
      </c>
      <c r="J4181" s="947" t="s">
        <v>19975</v>
      </c>
      <c r="K4181" s="143"/>
    </row>
    <row r="4182" spans="1:11">
      <c r="A4182" s="946" t="s">
        <v>28618</v>
      </c>
      <c r="B4182" s="947" t="s">
        <v>21254</v>
      </c>
      <c r="C4182" s="948" t="s">
        <v>21252</v>
      </c>
      <c r="D4182" s="242" t="s">
        <v>24912</v>
      </c>
      <c r="E4182" s="949">
        <v>901</v>
      </c>
      <c r="F4182" s="949">
        <v>901</v>
      </c>
      <c r="G4182" s="950" t="s">
        <v>10685</v>
      </c>
      <c r="H4182" s="950" t="s">
        <v>1035</v>
      </c>
      <c r="I4182" s="951" t="s">
        <v>21253</v>
      </c>
      <c r="J4182" s="947" t="s">
        <v>21254</v>
      </c>
      <c r="K4182" s="143"/>
    </row>
    <row r="4183" spans="1:11">
      <c r="A4183" s="946" t="s">
        <v>28618</v>
      </c>
      <c r="B4183" s="947" t="s">
        <v>21902</v>
      </c>
      <c r="C4183" s="948" t="s">
        <v>21900</v>
      </c>
      <c r="D4183" s="242" t="s">
        <v>24912</v>
      </c>
      <c r="E4183" s="949">
        <v>901</v>
      </c>
      <c r="F4183" s="949">
        <v>901</v>
      </c>
      <c r="G4183" s="950" t="s">
        <v>10685</v>
      </c>
      <c r="H4183" s="950" t="s">
        <v>1035</v>
      </c>
      <c r="I4183" s="951" t="s">
        <v>21901</v>
      </c>
      <c r="J4183" s="947" t="s">
        <v>21902</v>
      </c>
      <c r="K4183" s="143"/>
    </row>
    <row r="4184" spans="1:11">
      <c r="A4184" s="946" t="s">
        <v>28618</v>
      </c>
      <c r="B4184" s="947" t="s">
        <v>22049</v>
      </c>
      <c r="C4184" s="948" t="s">
        <v>22047</v>
      </c>
      <c r="D4184" s="242" t="s">
        <v>24912</v>
      </c>
      <c r="E4184" s="949">
        <v>902</v>
      </c>
      <c r="F4184" s="949">
        <v>902</v>
      </c>
      <c r="G4184" s="950" t="s">
        <v>10685</v>
      </c>
      <c r="H4184" s="950" t="s">
        <v>1035</v>
      </c>
      <c r="I4184" s="951" t="s">
        <v>22048</v>
      </c>
      <c r="J4184" s="947" t="s">
        <v>22049</v>
      </c>
      <c r="K4184" s="143"/>
    </row>
    <row r="4185" spans="1:11">
      <c r="A4185" s="946" t="s">
        <v>28618</v>
      </c>
      <c r="B4185" s="947" t="s">
        <v>22064</v>
      </c>
      <c r="C4185" s="948" t="s">
        <v>22062</v>
      </c>
      <c r="D4185" s="242" t="s">
        <v>24912</v>
      </c>
      <c r="E4185" s="949">
        <v>901</v>
      </c>
      <c r="F4185" s="949">
        <v>901</v>
      </c>
      <c r="G4185" s="950" t="s">
        <v>10685</v>
      </c>
      <c r="H4185" s="950" t="s">
        <v>1035</v>
      </c>
      <c r="I4185" s="951" t="s">
        <v>22063</v>
      </c>
      <c r="J4185" s="947" t="s">
        <v>22064</v>
      </c>
      <c r="K4185" s="143"/>
    </row>
    <row r="4186" spans="1:11">
      <c r="A4186" s="946" t="s">
        <v>28618</v>
      </c>
      <c r="B4186" s="947" t="s">
        <v>24927</v>
      </c>
      <c r="C4186" s="948" t="s">
        <v>26387</v>
      </c>
      <c r="D4186" s="242" t="s">
        <v>24912</v>
      </c>
      <c r="E4186" s="949">
        <v>901</v>
      </c>
      <c r="F4186" s="949">
        <v>901</v>
      </c>
      <c r="G4186" s="950" t="s">
        <v>10685</v>
      </c>
      <c r="H4186" s="950" t="s">
        <v>1035</v>
      </c>
      <c r="I4186" s="951" t="s">
        <v>24928</v>
      </c>
      <c r="J4186" s="947" t="s">
        <v>24927</v>
      </c>
      <c r="K4186" s="143"/>
    </row>
    <row r="4187" spans="1:11">
      <c r="A4187" s="946" t="s">
        <v>28618</v>
      </c>
      <c r="B4187" s="947" t="s">
        <v>24954</v>
      </c>
      <c r="C4187" s="948" t="s">
        <v>26388</v>
      </c>
      <c r="D4187" s="242" t="s">
        <v>24912</v>
      </c>
      <c r="E4187" s="949">
        <v>901</v>
      </c>
      <c r="F4187" s="949">
        <v>901</v>
      </c>
      <c r="G4187" s="950" t="s">
        <v>10685</v>
      </c>
      <c r="H4187" s="950" t="s">
        <v>1035</v>
      </c>
      <c r="I4187" s="951" t="s">
        <v>24955</v>
      </c>
      <c r="J4187" s="947" t="s">
        <v>24954</v>
      </c>
      <c r="K4187" s="143"/>
    </row>
    <row r="4188" spans="1:11">
      <c r="A4188" s="946" t="s">
        <v>28618</v>
      </c>
      <c r="B4188" s="947" t="s">
        <v>591</v>
      </c>
      <c r="C4188" s="948" t="s">
        <v>589</v>
      </c>
      <c r="D4188" s="242" t="s">
        <v>24912</v>
      </c>
      <c r="E4188" s="949">
        <v>903</v>
      </c>
      <c r="F4188" s="949">
        <v>903</v>
      </c>
      <c r="G4188" s="950" t="s">
        <v>15094</v>
      </c>
      <c r="H4188" s="950" t="s">
        <v>362</v>
      </c>
      <c r="I4188" s="951" t="s">
        <v>590</v>
      </c>
      <c r="J4188" s="947" t="s">
        <v>591</v>
      </c>
      <c r="K4188" s="143"/>
    </row>
    <row r="4189" spans="1:11">
      <c r="A4189" s="946" t="s">
        <v>28618</v>
      </c>
      <c r="B4189" s="947" t="s">
        <v>3215</v>
      </c>
      <c r="C4189" s="948" t="s">
        <v>3213</v>
      </c>
      <c r="D4189" s="242" t="s">
        <v>24912</v>
      </c>
      <c r="E4189" s="949">
        <v>902</v>
      </c>
      <c r="F4189" s="949">
        <v>902</v>
      </c>
      <c r="G4189" s="950" t="s">
        <v>15094</v>
      </c>
      <c r="H4189" s="950" t="s">
        <v>362</v>
      </c>
      <c r="I4189" s="951" t="s">
        <v>3214</v>
      </c>
      <c r="J4189" s="947" t="s">
        <v>3215</v>
      </c>
      <c r="K4189" s="143"/>
    </row>
    <row r="4190" spans="1:11">
      <c r="A4190" s="946" t="s">
        <v>28618</v>
      </c>
      <c r="B4190" s="947" t="s">
        <v>10105</v>
      </c>
      <c r="C4190" s="948" t="s">
        <v>10103</v>
      </c>
      <c r="D4190" s="242" t="s">
        <v>24912</v>
      </c>
      <c r="E4190" s="949">
        <v>902</v>
      </c>
      <c r="F4190" s="949">
        <v>902</v>
      </c>
      <c r="G4190" s="950" t="s">
        <v>15094</v>
      </c>
      <c r="H4190" s="950" t="s">
        <v>362</v>
      </c>
      <c r="I4190" s="951" t="s">
        <v>10104</v>
      </c>
      <c r="J4190" s="947" t="s">
        <v>10105</v>
      </c>
      <c r="K4190" s="143"/>
    </row>
    <row r="4191" spans="1:11">
      <c r="A4191" s="946" t="s">
        <v>28618</v>
      </c>
      <c r="B4191" s="947" t="s">
        <v>10148</v>
      </c>
      <c r="C4191" s="948" t="s">
        <v>10146</v>
      </c>
      <c r="D4191" s="242" t="s">
        <v>24912</v>
      </c>
      <c r="E4191" s="949">
        <v>902</v>
      </c>
      <c r="F4191" s="949">
        <v>902</v>
      </c>
      <c r="G4191" s="950" t="s">
        <v>15094</v>
      </c>
      <c r="H4191" s="950" t="s">
        <v>362</v>
      </c>
      <c r="I4191" s="951" t="s">
        <v>10147</v>
      </c>
      <c r="J4191" s="947" t="s">
        <v>10148</v>
      </c>
      <c r="K4191" s="143"/>
    </row>
    <row r="4192" spans="1:11">
      <c r="A4192" s="946" t="s">
        <v>28618</v>
      </c>
      <c r="B4192" s="947" t="s">
        <v>11222</v>
      </c>
      <c r="C4192" s="948" t="s">
        <v>11220</v>
      </c>
      <c r="D4192" s="242" t="s">
        <v>24912</v>
      </c>
      <c r="E4192" s="949">
        <v>902</v>
      </c>
      <c r="F4192" s="949">
        <v>902</v>
      </c>
      <c r="G4192" s="950" t="s">
        <v>15094</v>
      </c>
      <c r="H4192" s="950" t="s">
        <v>362</v>
      </c>
      <c r="I4192" s="951" t="s">
        <v>11221</v>
      </c>
      <c r="J4192" s="947" t="s">
        <v>11222</v>
      </c>
      <c r="K4192" s="143"/>
    </row>
    <row r="4193" spans="1:11">
      <c r="A4193" s="946" t="s">
        <v>28618</v>
      </c>
      <c r="B4193" s="947" t="s">
        <v>11380</v>
      </c>
      <c r="C4193" s="948" t="s">
        <v>11378</v>
      </c>
      <c r="D4193" s="242" t="s">
        <v>24912</v>
      </c>
      <c r="E4193" s="949">
        <v>902</v>
      </c>
      <c r="F4193" s="949">
        <v>902</v>
      </c>
      <c r="G4193" s="950" t="s">
        <v>15094</v>
      </c>
      <c r="H4193" s="950" t="s">
        <v>362</v>
      </c>
      <c r="I4193" s="951" t="s">
        <v>11379</v>
      </c>
      <c r="J4193" s="947" t="s">
        <v>11380</v>
      </c>
      <c r="K4193" s="143"/>
    </row>
    <row r="4194" spans="1:11">
      <c r="A4194" s="946" t="s">
        <v>28618</v>
      </c>
      <c r="B4194" s="947" t="s">
        <v>12152</v>
      </c>
      <c r="C4194" s="948" t="s">
        <v>12150</v>
      </c>
      <c r="D4194" s="242" t="s">
        <v>24912</v>
      </c>
      <c r="E4194" s="949">
        <v>902</v>
      </c>
      <c r="F4194" s="949">
        <v>902</v>
      </c>
      <c r="G4194" s="950" t="s">
        <v>15094</v>
      </c>
      <c r="H4194" s="950" t="s">
        <v>362</v>
      </c>
      <c r="I4194" s="951" t="s">
        <v>12151</v>
      </c>
      <c r="J4194" s="947" t="s">
        <v>12152</v>
      </c>
      <c r="K4194" s="143"/>
    </row>
    <row r="4195" spans="1:11">
      <c r="A4195" s="946" t="s">
        <v>28618</v>
      </c>
      <c r="B4195" s="947" t="s">
        <v>12212</v>
      </c>
      <c r="C4195" s="948" t="s">
        <v>12210</v>
      </c>
      <c r="D4195" s="242" t="s">
        <v>24912</v>
      </c>
      <c r="E4195" s="949">
        <v>903</v>
      </c>
      <c r="F4195" s="949">
        <v>903</v>
      </c>
      <c r="G4195" s="950" t="s">
        <v>15094</v>
      </c>
      <c r="H4195" s="950" t="s">
        <v>362</v>
      </c>
      <c r="I4195" s="951" t="s">
        <v>12211</v>
      </c>
      <c r="J4195" s="947" t="s">
        <v>12212</v>
      </c>
      <c r="K4195" s="143"/>
    </row>
    <row r="4196" spans="1:11">
      <c r="A4196" s="946" t="s">
        <v>28618</v>
      </c>
      <c r="B4196" s="947" t="s">
        <v>12404</v>
      </c>
      <c r="C4196" s="948" t="s">
        <v>12402</v>
      </c>
      <c r="D4196" s="242" t="s">
        <v>24912</v>
      </c>
      <c r="E4196" s="949">
        <v>902</v>
      </c>
      <c r="F4196" s="949">
        <v>902</v>
      </c>
      <c r="G4196" s="950" t="s">
        <v>15094</v>
      </c>
      <c r="H4196" s="950" t="s">
        <v>362</v>
      </c>
      <c r="I4196" s="951" t="s">
        <v>12403</v>
      </c>
      <c r="J4196" s="947" t="s">
        <v>12404</v>
      </c>
      <c r="K4196" s="143"/>
    </row>
    <row r="4197" spans="1:11">
      <c r="A4197" s="946" t="s">
        <v>28618</v>
      </c>
      <c r="B4197" s="947" t="s">
        <v>14586</v>
      </c>
      <c r="C4197" s="948" t="s">
        <v>14584</v>
      </c>
      <c r="D4197" s="242" t="s">
        <v>24912</v>
      </c>
      <c r="E4197" s="949">
        <v>902</v>
      </c>
      <c r="F4197" s="949">
        <v>902</v>
      </c>
      <c r="G4197" s="950" t="s">
        <v>15094</v>
      </c>
      <c r="H4197" s="950" t="s">
        <v>362</v>
      </c>
      <c r="I4197" s="951" t="s">
        <v>14585</v>
      </c>
      <c r="J4197" s="947" t="s">
        <v>14586</v>
      </c>
      <c r="K4197" s="143"/>
    </row>
    <row r="4198" spans="1:11">
      <c r="A4198" s="946" t="s">
        <v>28618</v>
      </c>
      <c r="B4198" s="947" t="s">
        <v>14916</v>
      </c>
      <c r="C4198" s="948" t="s">
        <v>14914</v>
      </c>
      <c r="D4198" s="242" t="s">
        <v>24912</v>
      </c>
      <c r="E4198" s="949">
        <v>902</v>
      </c>
      <c r="F4198" s="949">
        <v>902</v>
      </c>
      <c r="G4198" s="950" t="s">
        <v>15094</v>
      </c>
      <c r="H4198" s="950" t="s">
        <v>362</v>
      </c>
      <c r="I4198" s="951" t="s">
        <v>14915</v>
      </c>
      <c r="J4198" s="947" t="s">
        <v>14916</v>
      </c>
      <c r="K4198" s="143"/>
    </row>
    <row r="4199" spans="1:11">
      <c r="A4199" s="946" t="s">
        <v>28618</v>
      </c>
      <c r="B4199" s="947" t="s">
        <v>15094</v>
      </c>
      <c r="C4199" s="948" t="s">
        <v>15092</v>
      </c>
      <c r="D4199" s="242" t="s">
        <v>24912</v>
      </c>
      <c r="E4199" s="949">
        <v>903</v>
      </c>
      <c r="F4199" s="949">
        <v>903</v>
      </c>
      <c r="G4199" s="950" t="s">
        <v>15094</v>
      </c>
      <c r="H4199" s="950" t="s">
        <v>362</v>
      </c>
      <c r="I4199" s="951" t="s">
        <v>15093</v>
      </c>
      <c r="J4199" s="947" t="s">
        <v>15094</v>
      </c>
      <c r="K4199" s="143"/>
    </row>
    <row r="4200" spans="1:11">
      <c r="A4200" s="946" t="s">
        <v>28618</v>
      </c>
      <c r="B4200" s="947" t="s">
        <v>15378</v>
      </c>
      <c r="C4200" s="948" t="s">
        <v>15376</v>
      </c>
      <c r="D4200" s="242" t="s">
        <v>24912</v>
      </c>
      <c r="E4200" s="949">
        <v>902</v>
      </c>
      <c r="F4200" s="949">
        <v>902</v>
      </c>
      <c r="G4200" s="950" t="s">
        <v>15094</v>
      </c>
      <c r="H4200" s="950" t="s">
        <v>362</v>
      </c>
      <c r="I4200" s="951" t="s">
        <v>15377</v>
      </c>
      <c r="J4200" s="947" t="s">
        <v>15378</v>
      </c>
      <c r="K4200" s="143"/>
    </row>
    <row r="4201" spans="1:11">
      <c r="A4201" s="946" t="s">
        <v>28618</v>
      </c>
      <c r="B4201" s="947" t="s">
        <v>15970</v>
      </c>
      <c r="C4201" s="948" t="s">
        <v>15968</v>
      </c>
      <c r="D4201" s="242" t="s">
        <v>24912</v>
      </c>
      <c r="E4201" s="949">
        <v>903</v>
      </c>
      <c r="F4201" s="949">
        <v>903</v>
      </c>
      <c r="G4201" s="950" t="s">
        <v>15094</v>
      </c>
      <c r="H4201" s="950" t="s">
        <v>362</v>
      </c>
      <c r="I4201" s="951" t="s">
        <v>15969</v>
      </c>
      <c r="J4201" s="947" t="s">
        <v>15970</v>
      </c>
      <c r="K4201" s="143"/>
    </row>
    <row r="4202" spans="1:11">
      <c r="A4202" s="946" t="s">
        <v>28618</v>
      </c>
      <c r="B4202" s="947" t="s">
        <v>17335</v>
      </c>
      <c r="C4202" s="948" t="s">
        <v>17333</v>
      </c>
      <c r="D4202" s="242" t="s">
        <v>24912</v>
      </c>
      <c r="E4202" s="949">
        <v>903</v>
      </c>
      <c r="F4202" s="949">
        <v>903</v>
      </c>
      <c r="G4202" s="950" t="s">
        <v>15094</v>
      </c>
      <c r="H4202" s="950" t="s">
        <v>362</v>
      </c>
      <c r="I4202" s="951" t="s">
        <v>17334</v>
      </c>
      <c r="J4202" s="947" t="s">
        <v>17335</v>
      </c>
      <c r="K4202" s="143"/>
    </row>
    <row r="4203" spans="1:11">
      <c r="A4203" s="946" t="s">
        <v>28618</v>
      </c>
      <c r="B4203" s="947" t="s">
        <v>19376</v>
      </c>
      <c r="C4203" s="948" t="s">
        <v>19374</v>
      </c>
      <c r="D4203" s="242" t="s">
        <v>24912</v>
      </c>
      <c r="E4203" s="949">
        <v>903</v>
      </c>
      <c r="F4203" s="949">
        <v>903</v>
      </c>
      <c r="G4203" s="950" t="s">
        <v>15094</v>
      </c>
      <c r="H4203" s="950" t="s">
        <v>362</v>
      </c>
      <c r="I4203" s="951" t="s">
        <v>19375</v>
      </c>
      <c r="J4203" s="947" t="s">
        <v>19376</v>
      </c>
      <c r="K4203" s="143"/>
    </row>
    <row r="4204" spans="1:11">
      <c r="A4204" s="946" t="s">
        <v>28618</v>
      </c>
      <c r="B4204" s="947" t="s">
        <v>21238</v>
      </c>
      <c r="C4204" s="948" t="s">
        <v>21236</v>
      </c>
      <c r="D4204" s="242" t="s">
        <v>24912</v>
      </c>
      <c r="E4204" s="949">
        <v>902</v>
      </c>
      <c r="F4204" s="949">
        <v>902</v>
      </c>
      <c r="G4204" s="950" t="s">
        <v>15094</v>
      </c>
      <c r="H4204" s="950" t="s">
        <v>362</v>
      </c>
      <c r="I4204" s="951" t="s">
        <v>21237</v>
      </c>
      <c r="J4204" s="947" t="s">
        <v>21238</v>
      </c>
      <c r="K4204" s="143"/>
    </row>
    <row r="4205" spans="1:11">
      <c r="A4205" s="946" t="s">
        <v>28618</v>
      </c>
      <c r="B4205" s="947" t="s">
        <v>6259</v>
      </c>
      <c r="C4205" s="948" t="s">
        <v>6257</v>
      </c>
      <c r="D4205" s="242" t="s">
        <v>24912</v>
      </c>
      <c r="E4205" s="949">
        <v>902</v>
      </c>
      <c r="F4205" s="949">
        <v>902</v>
      </c>
      <c r="G4205" s="950" t="s">
        <v>15094</v>
      </c>
      <c r="H4205" s="950" t="s">
        <v>362</v>
      </c>
      <c r="I4205" s="951" t="s">
        <v>6258</v>
      </c>
      <c r="J4205" s="947" t="s">
        <v>6259</v>
      </c>
      <c r="K4205" s="143"/>
    </row>
    <row r="4206" spans="1:11">
      <c r="A4206" s="946" t="s">
        <v>28618</v>
      </c>
      <c r="B4206" s="947" t="s">
        <v>26389</v>
      </c>
      <c r="C4206" s="948" t="s">
        <v>26390</v>
      </c>
      <c r="D4206" s="242" t="s">
        <v>24912</v>
      </c>
      <c r="E4206" s="949">
        <v>901</v>
      </c>
      <c r="F4206" s="949">
        <v>901</v>
      </c>
      <c r="G4206" s="950" t="s">
        <v>15094</v>
      </c>
      <c r="H4206" s="950" t="s">
        <v>362</v>
      </c>
      <c r="I4206" s="951" t="s">
        <v>26391</v>
      </c>
      <c r="J4206" s="947" t="s">
        <v>26389</v>
      </c>
      <c r="K4206" s="143"/>
    </row>
    <row r="4207" spans="1:11">
      <c r="A4207" s="946" t="s">
        <v>28618</v>
      </c>
      <c r="B4207" s="947" t="s">
        <v>26392</v>
      </c>
      <c r="C4207" s="948" t="s">
        <v>26393</v>
      </c>
      <c r="D4207" s="242" t="s">
        <v>24912</v>
      </c>
      <c r="E4207" s="949">
        <v>901</v>
      </c>
      <c r="F4207" s="949">
        <v>901</v>
      </c>
      <c r="G4207" s="950" t="s">
        <v>15094</v>
      </c>
      <c r="H4207" s="950" t="s">
        <v>362</v>
      </c>
      <c r="I4207" s="951" t="s">
        <v>26394</v>
      </c>
      <c r="J4207" s="947" t="s">
        <v>26392</v>
      </c>
      <c r="K4207" s="143"/>
    </row>
    <row r="4208" spans="1:11">
      <c r="A4208" s="946" t="s">
        <v>28618</v>
      </c>
      <c r="B4208" s="947" t="s">
        <v>1786</v>
      </c>
      <c r="C4208" s="948" t="s">
        <v>1783</v>
      </c>
      <c r="D4208" s="242" t="s">
        <v>24912</v>
      </c>
      <c r="E4208" s="949">
        <v>903</v>
      </c>
      <c r="F4208" s="949">
        <v>903</v>
      </c>
      <c r="G4208" s="950" t="s">
        <v>8286</v>
      </c>
      <c r="H4208" s="950" t="s">
        <v>1784</v>
      </c>
      <c r="I4208" s="951" t="s">
        <v>1785</v>
      </c>
      <c r="J4208" s="947" t="s">
        <v>1786</v>
      </c>
      <c r="K4208" s="143"/>
    </row>
    <row r="4209" spans="1:11">
      <c r="A4209" s="946" t="s">
        <v>28618</v>
      </c>
      <c r="B4209" s="947" t="s">
        <v>1940</v>
      </c>
      <c r="C4209" s="948" t="s">
        <v>1938</v>
      </c>
      <c r="D4209" s="242" t="s">
        <v>24912</v>
      </c>
      <c r="E4209" s="949">
        <v>903</v>
      </c>
      <c r="F4209" s="949">
        <v>903</v>
      </c>
      <c r="G4209" s="950" t="s">
        <v>8286</v>
      </c>
      <c r="H4209" s="950" t="s">
        <v>1784</v>
      </c>
      <c r="I4209" s="951" t="s">
        <v>1939</v>
      </c>
      <c r="J4209" s="947" t="s">
        <v>1940</v>
      </c>
      <c r="K4209" s="143"/>
    </row>
    <row r="4210" spans="1:11">
      <c r="A4210" s="946" t="s">
        <v>28618</v>
      </c>
      <c r="B4210" s="947" t="s">
        <v>2748</v>
      </c>
      <c r="C4210" s="948" t="s">
        <v>2746</v>
      </c>
      <c r="D4210" s="242" t="s">
        <v>24912</v>
      </c>
      <c r="E4210" s="949">
        <v>903</v>
      </c>
      <c r="F4210" s="949">
        <v>903</v>
      </c>
      <c r="G4210" s="950" t="s">
        <v>8286</v>
      </c>
      <c r="H4210" s="950" t="s">
        <v>1784</v>
      </c>
      <c r="I4210" s="951" t="s">
        <v>2747</v>
      </c>
      <c r="J4210" s="947" t="s">
        <v>2748</v>
      </c>
      <c r="K4210" s="143"/>
    </row>
    <row r="4211" spans="1:11">
      <c r="A4211" s="946" t="s">
        <v>28618</v>
      </c>
      <c r="B4211" s="947" t="s">
        <v>3490</v>
      </c>
      <c r="C4211" s="948" t="s">
        <v>3488</v>
      </c>
      <c r="D4211" s="242" t="s">
        <v>24912</v>
      </c>
      <c r="E4211" s="949">
        <v>903</v>
      </c>
      <c r="F4211" s="949">
        <v>903</v>
      </c>
      <c r="G4211" s="950" t="s">
        <v>8286</v>
      </c>
      <c r="H4211" s="950" t="s">
        <v>1784</v>
      </c>
      <c r="I4211" s="951" t="s">
        <v>3489</v>
      </c>
      <c r="J4211" s="947" t="s">
        <v>3490</v>
      </c>
      <c r="K4211" s="143"/>
    </row>
    <row r="4212" spans="1:11">
      <c r="A4212" s="946" t="s">
        <v>28618</v>
      </c>
      <c r="B4212" s="947" t="s">
        <v>3703</v>
      </c>
      <c r="C4212" s="948" t="s">
        <v>3701</v>
      </c>
      <c r="D4212" s="242" t="s">
        <v>24912</v>
      </c>
      <c r="E4212" s="949">
        <v>903</v>
      </c>
      <c r="F4212" s="949">
        <v>903</v>
      </c>
      <c r="G4212" s="950" t="s">
        <v>8286</v>
      </c>
      <c r="H4212" s="950" t="s">
        <v>1784</v>
      </c>
      <c r="I4212" s="951" t="s">
        <v>3702</v>
      </c>
      <c r="J4212" s="947" t="s">
        <v>3703</v>
      </c>
      <c r="K4212" s="143"/>
    </row>
    <row r="4213" spans="1:11">
      <c r="A4213" s="946" t="s">
        <v>28618</v>
      </c>
      <c r="B4213" s="947" t="s">
        <v>4113</v>
      </c>
      <c r="C4213" s="948" t="s">
        <v>4111</v>
      </c>
      <c r="D4213" s="242" t="s">
        <v>24912</v>
      </c>
      <c r="E4213" s="949">
        <v>902</v>
      </c>
      <c r="F4213" s="949">
        <v>902</v>
      </c>
      <c r="G4213" s="950" t="s">
        <v>8286</v>
      </c>
      <c r="H4213" s="950" t="s">
        <v>1784</v>
      </c>
      <c r="I4213" s="951" t="s">
        <v>4112</v>
      </c>
      <c r="J4213" s="947" t="s">
        <v>4113</v>
      </c>
      <c r="K4213" s="143"/>
    </row>
    <row r="4214" spans="1:11">
      <c r="A4214" s="946" t="s">
        <v>28618</v>
      </c>
      <c r="B4214" s="947" t="s">
        <v>5093</v>
      </c>
      <c r="C4214" s="948" t="s">
        <v>5091</v>
      </c>
      <c r="D4214" s="242" t="s">
        <v>24912</v>
      </c>
      <c r="E4214" s="949">
        <v>902</v>
      </c>
      <c r="F4214" s="949">
        <v>902</v>
      </c>
      <c r="G4214" s="950" t="s">
        <v>8286</v>
      </c>
      <c r="H4214" s="950" t="s">
        <v>1784</v>
      </c>
      <c r="I4214" s="951" t="s">
        <v>5092</v>
      </c>
      <c r="J4214" s="947" t="s">
        <v>5093</v>
      </c>
      <c r="K4214" s="143"/>
    </row>
    <row r="4215" spans="1:11">
      <c r="A4215" s="946" t="s">
        <v>28618</v>
      </c>
      <c r="B4215" s="947" t="s">
        <v>6007</v>
      </c>
      <c r="C4215" s="948" t="s">
        <v>6005</v>
      </c>
      <c r="D4215" s="242" t="s">
        <v>24912</v>
      </c>
      <c r="E4215" s="949">
        <v>902</v>
      </c>
      <c r="F4215" s="949">
        <v>902</v>
      </c>
      <c r="G4215" s="950" t="s">
        <v>8286</v>
      </c>
      <c r="H4215" s="950" t="s">
        <v>1784</v>
      </c>
      <c r="I4215" s="951" t="s">
        <v>6006</v>
      </c>
      <c r="J4215" s="947" t="s">
        <v>6007</v>
      </c>
      <c r="K4215" s="143"/>
    </row>
    <row r="4216" spans="1:11">
      <c r="A4216" s="946" t="s">
        <v>28618</v>
      </c>
      <c r="B4216" s="947" t="s">
        <v>6043</v>
      </c>
      <c r="C4216" s="948" t="s">
        <v>6041</v>
      </c>
      <c r="D4216" s="242" t="s">
        <v>24912</v>
      </c>
      <c r="E4216" s="949">
        <v>902</v>
      </c>
      <c r="F4216" s="949">
        <v>902</v>
      </c>
      <c r="G4216" s="950" t="s">
        <v>8286</v>
      </c>
      <c r="H4216" s="950" t="s">
        <v>1784</v>
      </c>
      <c r="I4216" s="951" t="s">
        <v>6042</v>
      </c>
      <c r="J4216" s="947" t="s">
        <v>6043</v>
      </c>
      <c r="K4216" s="143"/>
    </row>
    <row r="4217" spans="1:11">
      <c r="A4217" s="946" t="s">
        <v>28618</v>
      </c>
      <c r="B4217" s="947" t="s">
        <v>7650</v>
      </c>
      <c r="C4217" s="948" t="s">
        <v>7648</v>
      </c>
      <c r="D4217" s="242" t="s">
        <v>24912</v>
      </c>
      <c r="E4217" s="949">
        <v>903</v>
      </c>
      <c r="F4217" s="949">
        <v>903</v>
      </c>
      <c r="G4217" s="950" t="s">
        <v>8286</v>
      </c>
      <c r="H4217" s="950" t="s">
        <v>1784</v>
      </c>
      <c r="I4217" s="951" t="s">
        <v>7649</v>
      </c>
      <c r="J4217" s="947" t="s">
        <v>7650</v>
      </c>
      <c r="K4217" s="143"/>
    </row>
    <row r="4218" spans="1:11">
      <c r="A4218" s="946" t="s">
        <v>28618</v>
      </c>
      <c r="B4218" s="947" t="s">
        <v>7842</v>
      </c>
      <c r="C4218" s="948" t="s">
        <v>7840</v>
      </c>
      <c r="D4218" s="242" t="s">
        <v>24912</v>
      </c>
      <c r="E4218" s="949">
        <v>902</v>
      </c>
      <c r="F4218" s="949">
        <v>902</v>
      </c>
      <c r="G4218" s="950" t="s">
        <v>8286</v>
      </c>
      <c r="H4218" s="950" t="s">
        <v>1784</v>
      </c>
      <c r="I4218" s="951" t="s">
        <v>7841</v>
      </c>
      <c r="J4218" s="947" t="s">
        <v>7842</v>
      </c>
      <c r="K4218" s="143"/>
    </row>
    <row r="4219" spans="1:11">
      <c r="A4219" s="946" t="s">
        <v>28618</v>
      </c>
      <c r="B4219" s="947" t="s">
        <v>8211</v>
      </c>
      <c r="C4219" s="948" t="s">
        <v>8209</v>
      </c>
      <c r="D4219" s="242" t="s">
        <v>24912</v>
      </c>
      <c r="E4219" s="949">
        <v>903</v>
      </c>
      <c r="F4219" s="949">
        <v>903</v>
      </c>
      <c r="G4219" s="950" t="s">
        <v>8286</v>
      </c>
      <c r="H4219" s="950" t="s">
        <v>1784</v>
      </c>
      <c r="I4219" s="951" t="s">
        <v>8210</v>
      </c>
      <c r="J4219" s="947" t="s">
        <v>8211</v>
      </c>
      <c r="K4219" s="143"/>
    </row>
    <row r="4220" spans="1:11">
      <c r="A4220" s="946" t="s">
        <v>28618</v>
      </c>
      <c r="B4220" s="947" t="s">
        <v>8286</v>
      </c>
      <c r="C4220" s="948" t="s">
        <v>8284</v>
      </c>
      <c r="D4220" s="242" t="s">
        <v>24912</v>
      </c>
      <c r="E4220" s="949">
        <v>903</v>
      </c>
      <c r="F4220" s="949">
        <v>903</v>
      </c>
      <c r="G4220" s="950" t="s">
        <v>8286</v>
      </c>
      <c r="H4220" s="950" t="s">
        <v>1784</v>
      </c>
      <c r="I4220" s="951" t="s">
        <v>8285</v>
      </c>
      <c r="J4220" s="947" t="s">
        <v>8286</v>
      </c>
      <c r="K4220" s="143"/>
    </row>
    <row r="4221" spans="1:11">
      <c r="A4221" s="946" t="s">
        <v>28618</v>
      </c>
      <c r="B4221" s="947" t="s">
        <v>30107</v>
      </c>
      <c r="C4221" s="948" t="s">
        <v>30108</v>
      </c>
      <c r="D4221" s="242" t="s">
        <v>28713</v>
      </c>
      <c r="E4221" s="949">
        <v>805</v>
      </c>
      <c r="F4221" s="949">
        <v>805</v>
      </c>
      <c r="G4221" s="950" t="s">
        <v>8286</v>
      </c>
      <c r="H4221" s="950" t="s">
        <v>1784</v>
      </c>
      <c r="I4221" s="951" t="s">
        <v>30109</v>
      </c>
      <c r="J4221" s="947" t="s">
        <v>30107</v>
      </c>
      <c r="K4221" s="143"/>
    </row>
    <row r="4222" spans="1:11">
      <c r="A4222" s="946" t="s">
        <v>28618</v>
      </c>
      <c r="B4222" s="947" t="s">
        <v>8747</v>
      </c>
      <c r="C4222" s="948" t="s">
        <v>8745</v>
      </c>
      <c r="D4222" s="242" t="s">
        <v>24912</v>
      </c>
      <c r="E4222" s="949">
        <v>902</v>
      </c>
      <c r="F4222" s="949">
        <v>902</v>
      </c>
      <c r="G4222" s="950" t="s">
        <v>8286</v>
      </c>
      <c r="H4222" s="950" t="s">
        <v>1784</v>
      </c>
      <c r="I4222" s="951" t="s">
        <v>8746</v>
      </c>
      <c r="J4222" s="947" t="s">
        <v>8747</v>
      </c>
      <c r="K4222" s="143"/>
    </row>
    <row r="4223" spans="1:11">
      <c r="A4223" s="946" t="s">
        <v>28618</v>
      </c>
      <c r="B4223" s="947" t="s">
        <v>8932</v>
      </c>
      <c r="C4223" s="948" t="s">
        <v>8930</v>
      </c>
      <c r="D4223" s="242" t="s">
        <v>24912</v>
      </c>
      <c r="E4223" s="949">
        <v>902</v>
      </c>
      <c r="F4223" s="949">
        <v>902</v>
      </c>
      <c r="G4223" s="950" t="s">
        <v>8286</v>
      </c>
      <c r="H4223" s="950" t="s">
        <v>1784</v>
      </c>
      <c r="I4223" s="951" t="s">
        <v>8931</v>
      </c>
      <c r="J4223" s="947" t="s">
        <v>8932</v>
      </c>
      <c r="K4223" s="143"/>
    </row>
    <row r="4224" spans="1:11">
      <c r="A4224" s="946" t="s">
        <v>28618</v>
      </c>
      <c r="B4224" s="947" t="s">
        <v>9531</v>
      </c>
      <c r="C4224" s="948" t="s">
        <v>9529</v>
      </c>
      <c r="D4224" s="242" t="s">
        <v>24912</v>
      </c>
      <c r="E4224" s="949">
        <v>903</v>
      </c>
      <c r="F4224" s="949">
        <v>903</v>
      </c>
      <c r="G4224" s="950" t="s">
        <v>8286</v>
      </c>
      <c r="H4224" s="950" t="s">
        <v>1784</v>
      </c>
      <c r="I4224" s="951" t="s">
        <v>9530</v>
      </c>
      <c r="J4224" s="947" t="s">
        <v>9531</v>
      </c>
      <c r="K4224" s="143"/>
    </row>
    <row r="4225" spans="1:11">
      <c r="A4225" s="946" t="s">
        <v>28618</v>
      </c>
      <c r="B4225" s="947" t="s">
        <v>9789</v>
      </c>
      <c r="C4225" s="948" t="s">
        <v>9787</v>
      </c>
      <c r="D4225" s="242" t="s">
        <v>24912</v>
      </c>
      <c r="E4225" s="949">
        <v>903</v>
      </c>
      <c r="F4225" s="949">
        <v>903</v>
      </c>
      <c r="G4225" s="950" t="s">
        <v>8286</v>
      </c>
      <c r="H4225" s="950" t="s">
        <v>1784</v>
      </c>
      <c r="I4225" s="951" t="s">
        <v>9788</v>
      </c>
      <c r="J4225" s="947" t="s">
        <v>9789</v>
      </c>
      <c r="K4225" s="143"/>
    </row>
    <row r="4226" spans="1:11">
      <c r="A4226" s="946" t="s">
        <v>28618</v>
      </c>
      <c r="B4226" s="947" t="s">
        <v>10171</v>
      </c>
      <c r="C4226" s="948" t="s">
        <v>10169</v>
      </c>
      <c r="D4226" s="242" t="s">
        <v>24912</v>
      </c>
      <c r="E4226" s="949">
        <v>903</v>
      </c>
      <c r="F4226" s="949">
        <v>903</v>
      </c>
      <c r="G4226" s="950" t="s">
        <v>8286</v>
      </c>
      <c r="H4226" s="950" t="s">
        <v>1784</v>
      </c>
      <c r="I4226" s="951" t="s">
        <v>10170</v>
      </c>
      <c r="J4226" s="947" t="s">
        <v>10171</v>
      </c>
      <c r="K4226" s="143"/>
    </row>
    <row r="4227" spans="1:11">
      <c r="A4227" s="946" t="s">
        <v>28618</v>
      </c>
      <c r="B4227" s="947" t="s">
        <v>10590</v>
      </c>
      <c r="C4227" s="948" t="s">
        <v>10588</v>
      </c>
      <c r="D4227" s="242" t="s">
        <v>24912</v>
      </c>
      <c r="E4227" s="949">
        <v>903</v>
      </c>
      <c r="F4227" s="949">
        <v>903</v>
      </c>
      <c r="G4227" s="950" t="s">
        <v>8286</v>
      </c>
      <c r="H4227" s="950" t="s">
        <v>1784</v>
      </c>
      <c r="I4227" s="951" t="s">
        <v>10589</v>
      </c>
      <c r="J4227" s="947" t="s">
        <v>10590</v>
      </c>
      <c r="K4227" s="143"/>
    </row>
    <row r="4228" spans="1:11">
      <c r="A4228" s="946" t="s">
        <v>28618</v>
      </c>
      <c r="B4228" s="947" t="s">
        <v>30110</v>
      </c>
      <c r="C4228" s="948" t="s">
        <v>30111</v>
      </c>
      <c r="D4228" s="242" t="s">
        <v>28713</v>
      </c>
      <c r="E4228" s="949">
        <v>805</v>
      </c>
      <c r="F4228" s="949">
        <v>805</v>
      </c>
      <c r="G4228" s="950" t="s">
        <v>8286</v>
      </c>
      <c r="H4228" s="950" t="s">
        <v>1784</v>
      </c>
      <c r="I4228" s="951" t="s">
        <v>30112</v>
      </c>
      <c r="J4228" s="947" t="s">
        <v>30110</v>
      </c>
      <c r="K4228" s="143"/>
    </row>
    <row r="4229" spans="1:11">
      <c r="A4229" s="946" t="s">
        <v>28618</v>
      </c>
      <c r="B4229" s="947" t="s">
        <v>12183</v>
      </c>
      <c r="C4229" s="948" t="s">
        <v>12181</v>
      </c>
      <c r="D4229" s="242" t="s">
        <v>24912</v>
      </c>
      <c r="E4229" s="949">
        <v>902</v>
      </c>
      <c r="F4229" s="949">
        <v>902</v>
      </c>
      <c r="G4229" s="950" t="s">
        <v>8286</v>
      </c>
      <c r="H4229" s="950" t="s">
        <v>1784</v>
      </c>
      <c r="I4229" s="951" t="s">
        <v>12182</v>
      </c>
      <c r="J4229" s="947" t="s">
        <v>12183</v>
      </c>
      <c r="K4229" s="143"/>
    </row>
    <row r="4230" spans="1:11">
      <c r="A4230" s="946" t="s">
        <v>28618</v>
      </c>
      <c r="B4230" s="947" t="s">
        <v>12604</v>
      </c>
      <c r="C4230" s="948" t="s">
        <v>12602</v>
      </c>
      <c r="D4230" s="242" t="s">
        <v>24912</v>
      </c>
      <c r="E4230" s="949">
        <v>902</v>
      </c>
      <c r="F4230" s="949">
        <v>902</v>
      </c>
      <c r="G4230" s="950" t="s">
        <v>8286</v>
      </c>
      <c r="H4230" s="950" t="s">
        <v>1784</v>
      </c>
      <c r="I4230" s="951" t="s">
        <v>12603</v>
      </c>
      <c r="J4230" s="947" t="s">
        <v>12604</v>
      </c>
      <c r="K4230" s="143"/>
    </row>
    <row r="4231" spans="1:11">
      <c r="A4231" s="946" t="s">
        <v>28618</v>
      </c>
      <c r="B4231" s="947" t="s">
        <v>12757</v>
      </c>
      <c r="C4231" s="948" t="s">
        <v>12755</v>
      </c>
      <c r="D4231" s="242" t="s">
        <v>24912</v>
      </c>
      <c r="E4231" s="949">
        <v>902</v>
      </c>
      <c r="F4231" s="949">
        <v>902</v>
      </c>
      <c r="G4231" s="950" t="s">
        <v>8286</v>
      </c>
      <c r="H4231" s="950" t="s">
        <v>1784</v>
      </c>
      <c r="I4231" s="951" t="s">
        <v>12756</v>
      </c>
      <c r="J4231" s="947" t="s">
        <v>12757</v>
      </c>
      <c r="K4231" s="143"/>
    </row>
    <row r="4232" spans="1:11">
      <c r="A4232" s="946" t="s">
        <v>28618</v>
      </c>
      <c r="B4232" s="947" t="s">
        <v>30113</v>
      </c>
      <c r="C4232" s="948" t="s">
        <v>30114</v>
      </c>
      <c r="D4232" s="242" t="s">
        <v>28713</v>
      </c>
      <c r="E4232" s="949">
        <v>805</v>
      </c>
      <c r="F4232" s="949">
        <v>805</v>
      </c>
      <c r="G4232" s="950" t="s">
        <v>8286</v>
      </c>
      <c r="H4232" s="950" t="s">
        <v>1784</v>
      </c>
      <c r="I4232" s="951" t="s">
        <v>30115</v>
      </c>
      <c r="J4232" s="947" t="s">
        <v>30113</v>
      </c>
      <c r="K4232" s="143"/>
    </row>
    <row r="4233" spans="1:11">
      <c r="A4233" s="946" t="s">
        <v>28618</v>
      </c>
      <c r="B4233" s="947" t="s">
        <v>14429</v>
      </c>
      <c r="C4233" s="948" t="s">
        <v>14427</v>
      </c>
      <c r="D4233" s="242" t="s">
        <v>24912</v>
      </c>
      <c r="E4233" s="949">
        <v>903</v>
      </c>
      <c r="F4233" s="949">
        <v>903</v>
      </c>
      <c r="G4233" s="950" t="s">
        <v>8286</v>
      </c>
      <c r="H4233" s="950" t="s">
        <v>1784</v>
      </c>
      <c r="I4233" s="951" t="s">
        <v>14428</v>
      </c>
      <c r="J4233" s="947" t="s">
        <v>14429</v>
      </c>
      <c r="K4233" s="143"/>
    </row>
    <row r="4234" spans="1:11">
      <c r="A4234" s="946" t="s">
        <v>28618</v>
      </c>
      <c r="B4234" s="947" t="s">
        <v>15368</v>
      </c>
      <c r="C4234" s="948" t="s">
        <v>15366</v>
      </c>
      <c r="D4234" s="242" t="s">
        <v>24912</v>
      </c>
      <c r="E4234" s="949">
        <v>903</v>
      </c>
      <c r="F4234" s="949">
        <v>903</v>
      </c>
      <c r="G4234" s="950" t="s">
        <v>8286</v>
      </c>
      <c r="H4234" s="950" t="s">
        <v>1784</v>
      </c>
      <c r="I4234" s="951" t="s">
        <v>15367</v>
      </c>
      <c r="J4234" s="947" t="s">
        <v>15368</v>
      </c>
      <c r="K4234" s="143"/>
    </row>
    <row r="4235" spans="1:11">
      <c r="A4235" s="946" t="s">
        <v>28618</v>
      </c>
      <c r="B4235" s="947" t="s">
        <v>16178</v>
      </c>
      <c r="C4235" s="948" t="s">
        <v>16176</v>
      </c>
      <c r="D4235" s="242" t="s">
        <v>24912</v>
      </c>
      <c r="E4235" s="949">
        <v>903</v>
      </c>
      <c r="F4235" s="949">
        <v>903</v>
      </c>
      <c r="G4235" s="950" t="s">
        <v>8286</v>
      </c>
      <c r="H4235" s="950" t="s">
        <v>1784</v>
      </c>
      <c r="I4235" s="951" t="s">
        <v>16177</v>
      </c>
      <c r="J4235" s="947" t="s">
        <v>16178</v>
      </c>
      <c r="K4235" s="143"/>
    </row>
    <row r="4236" spans="1:11">
      <c r="A4236" s="946" t="s">
        <v>28618</v>
      </c>
      <c r="B4236" s="947" t="s">
        <v>16309</v>
      </c>
      <c r="C4236" s="948" t="s">
        <v>16307</v>
      </c>
      <c r="D4236" s="242" t="s">
        <v>24912</v>
      </c>
      <c r="E4236" s="949">
        <v>903</v>
      </c>
      <c r="F4236" s="949">
        <v>903</v>
      </c>
      <c r="G4236" s="950" t="s">
        <v>8286</v>
      </c>
      <c r="H4236" s="950" t="s">
        <v>1784</v>
      </c>
      <c r="I4236" s="951" t="s">
        <v>16308</v>
      </c>
      <c r="J4236" s="947" t="s">
        <v>16309</v>
      </c>
      <c r="K4236" s="143"/>
    </row>
    <row r="4237" spans="1:11">
      <c r="A4237" s="946" t="s">
        <v>28618</v>
      </c>
      <c r="B4237" s="947" t="s">
        <v>17108</v>
      </c>
      <c r="C4237" s="948" t="s">
        <v>17106</v>
      </c>
      <c r="D4237" s="242" t="s">
        <v>24912</v>
      </c>
      <c r="E4237" s="949">
        <v>903</v>
      </c>
      <c r="F4237" s="949">
        <v>903</v>
      </c>
      <c r="G4237" s="950" t="s">
        <v>8286</v>
      </c>
      <c r="H4237" s="950" t="s">
        <v>1784</v>
      </c>
      <c r="I4237" s="951" t="s">
        <v>17107</v>
      </c>
      <c r="J4237" s="947" t="s">
        <v>17108</v>
      </c>
      <c r="K4237" s="143"/>
    </row>
    <row r="4238" spans="1:11">
      <c r="A4238" s="946" t="s">
        <v>28618</v>
      </c>
      <c r="B4238" s="947" t="s">
        <v>17439</v>
      </c>
      <c r="C4238" s="948" t="s">
        <v>17437</v>
      </c>
      <c r="D4238" s="242" t="s">
        <v>24912</v>
      </c>
      <c r="E4238" s="949">
        <v>903</v>
      </c>
      <c r="F4238" s="949">
        <v>903</v>
      </c>
      <c r="G4238" s="950" t="s">
        <v>8286</v>
      </c>
      <c r="H4238" s="950" t="s">
        <v>1784</v>
      </c>
      <c r="I4238" s="951" t="s">
        <v>17438</v>
      </c>
      <c r="J4238" s="947" t="s">
        <v>17439</v>
      </c>
      <c r="K4238" s="143"/>
    </row>
    <row r="4239" spans="1:11">
      <c r="A4239" s="946" t="s">
        <v>28618</v>
      </c>
      <c r="B4239" s="947" t="s">
        <v>17778</v>
      </c>
      <c r="C4239" s="948" t="s">
        <v>17776</v>
      </c>
      <c r="D4239" s="242" t="s">
        <v>24912</v>
      </c>
      <c r="E4239" s="949">
        <v>903</v>
      </c>
      <c r="F4239" s="949">
        <v>903</v>
      </c>
      <c r="G4239" s="950" t="s">
        <v>8286</v>
      </c>
      <c r="H4239" s="950" t="s">
        <v>1784</v>
      </c>
      <c r="I4239" s="951" t="s">
        <v>17777</v>
      </c>
      <c r="J4239" s="947" t="s">
        <v>17778</v>
      </c>
      <c r="K4239" s="143"/>
    </row>
    <row r="4240" spans="1:11">
      <c r="A4240" s="946" t="s">
        <v>28618</v>
      </c>
      <c r="B4240" s="947" t="s">
        <v>19025</v>
      </c>
      <c r="C4240" s="948" t="s">
        <v>19023</v>
      </c>
      <c r="D4240" s="242" t="s">
        <v>24912</v>
      </c>
      <c r="E4240" s="949">
        <v>903</v>
      </c>
      <c r="F4240" s="949">
        <v>903</v>
      </c>
      <c r="G4240" s="950" t="s">
        <v>8286</v>
      </c>
      <c r="H4240" s="950" t="s">
        <v>1784</v>
      </c>
      <c r="I4240" s="951" t="s">
        <v>19024</v>
      </c>
      <c r="J4240" s="947" t="s">
        <v>19025</v>
      </c>
      <c r="K4240" s="143"/>
    </row>
    <row r="4241" spans="1:11">
      <c r="A4241" s="946" t="s">
        <v>28618</v>
      </c>
      <c r="B4241" s="947" t="s">
        <v>19429</v>
      </c>
      <c r="C4241" s="948" t="s">
        <v>19427</v>
      </c>
      <c r="D4241" s="242" t="s">
        <v>24912</v>
      </c>
      <c r="E4241" s="949">
        <v>903</v>
      </c>
      <c r="F4241" s="949">
        <v>903</v>
      </c>
      <c r="G4241" s="950" t="s">
        <v>8286</v>
      </c>
      <c r="H4241" s="950" t="s">
        <v>1784</v>
      </c>
      <c r="I4241" s="951" t="s">
        <v>19428</v>
      </c>
      <c r="J4241" s="947" t="s">
        <v>19429</v>
      </c>
      <c r="K4241" s="143"/>
    </row>
    <row r="4242" spans="1:11">
      <c r="A4242" s="946" t="s">
        <v>28618</v>
      </c>
      <c r="B4242" s="947" t="s">
        <v>19517</v>
      </c>
      <c r="C4242" s="948" t="s">
        <v>19515</v>
      </c>
      <c r="D4242" s="242" t="s">
        <v>24912</v>
      </c>
      <c r="E4242" s="949">
        <v>903</v>
      </c>
      <c r="F4242" s="949">
        <v>903</v>
      </c>
      <c r="G4242" s="950" t="s">
        <v>8286</v>
      </c>
      <c r="H4242" s="950" t="s">
        <v>1784</v>
      </c>
      <c r="I4242" s="951" t="s">
        <v>19516</v>
      </c>
      <c r="J4242" s="947" t="s">
        <v>19517</v>
      </c>
      <c r="K4242" s="143"/>
    </row>
    <row r="4243" spans="1:11">
      <c r="A4243" s="946" t="s">
        <v>28618</v>
      </c>
      <c r="B4243" s="947" t="s">
        <v>21257</v>
      </c>
      <c r="C4243" s="948" t="s">
        <v>21255</v>
      </c>
      <c r="D4243" s="242" t="s">
        <v>24912</v>
      </c>
      <c r="E4243" s="949">
        <v>903</v>
      </c>
      <c r="F4243" s="949">
        <v>903</v>
      </c>
      <c r="G4243" s="950" t="s">
        <v>8286</v>
      </c>
      <c r="H4243" s="950" t="s">
        <v>1784</v>
      </c>
      <c r="I4243" s="951" t="s">
        <v>21256</v>
      </c>
      <c r="J4243" s="947" t="s">
        <v>21257</v>
      </c>
      <c r="K4243" s="143"/>
    </row>
    <row r="4244" spans="1:11">
      <c r="A4244" s="946" t="s">
        <v>28618</v>
      </c>
      <c r="B4244" s="947" t="s">
        <v>21919</v>
      </c>
      <c r="C4244" s="948" t="s">
        <v>21917</v>
      </c>
      <c r="D4244" s="242" t="s">
        <v>24912</v>
      </c>
      <c r="E4244" s="949">
        <v>903</v>
      </c>
      <c r="F4244" s="949">
        <v>903</v>
      </c>
      <c r="G4244" s="950" t="s">
        <v>8286</v>
      </c>
      <c r="H4244" s="950" t="s">
        <v>1784</v>
      </c>
      <c r="I4244" s="951" t="s">
        <v>21918</v>
      </c>
      <c r="J4244" s="947" t="s">
        <v>21919</v>
      </c>
      <c r="K4244" s="143"/>
    </row>
    <row r="4245" spans="1:11">
      <c r="A4245" s="946" t="s">
        <v>28618</v>
      </c>
      <c r="B4245" s="947" t="s">
        <v>22375</v>
      </c>
      <c r="C4245" s="948" t="s">
        <v>22373</v>
      </c>
      <c r="D4245" s="242" t="s">
        <v>24912</v>
      </c>
      <c r="E4245" s="949">
        <v>902</v>
      </c>
      <c r="F4245" s="949">
        <v>902</v>
      </c>
      <c r="G4245" s="950" t="s">
        <v>8286</v>
      </c>
      <c r="H4245" s="950" t="s">
        <v>1784</v>
      </c>
      <c r="I4245" s="951" t="s">
        <v>22374</v>
      </c>
      <c r="J4245" s="947" t="s">
        <v>22375</v>
      </c>
      <c r="K4245" s="143"/>
    </row>
    <row r="4246" spans="1:11">
      <c r="A4246" s="946" t="s">
        <v>28618</v>
      </c>
      <c r="B4246" s="947" t="s">
        <v>24929</v>
      </c>
      <c r="C4246" s="948" t="s">
        <v>26395</v>
      </c>
      <c r="D4246" s="242" t="s">
        <v>24912</v>
      </c>
      <c r="E4246" s="949">
        <v>903</v>
      </c>
      <c r="F4246" s="949">
        <v>903</v>
      </c>
      <c r="G4246" s="950" t="s">
        <v>8286</v>
      </c>
      <c r="H4246" s="950" t="s">
        <v>1784</v>
      </c>
      <c r="I4246" s="951" t="s">
        <v>24930</v>
      </c>
      <c r="J4246" s="947" t="s">
        <v>24929</v>
      </c>
      <c r="K4246" s="143"/>
    </row>
    <row r="4247" spans="1:11">
      <c r="A4247" s="946" t="s">
        <v>28618</v>
      </c>
      <c r="B4247" s="947" t="s">
        <v>24952</v>
      </c>
      <c r="C4247" s="948" t="s">
        <v>26396</v>
      </c>
      <c r="D4247" s="242" t="s">
        <v>24912</v>
      </c>
      <c r="E4247" s="949">
        <v>903</v>
      </c>
      <c r="F4247" s="949">
        <v>903</v>
      </c>
      <c r="G4247" s="950" t="s">
        <v>8286</v>
      </c>
      <c r="H4247" s="950" t="s">
        <v>1784</v>
      </c>
      <c r="I4247" s="951" t="s">
        <v>24953</v>
      </c>
      <c r="J4247" s="947" t="s">
        <v>24952</v>
      </c>
      <c r="K4247" s="143"/>
    </row>
    <row r="4248" spans="1:11">
      <c r="A4248" s="946" t="s">
        <v>28618</v>
      </c>
      <c r="B4248" s="947" t="s">
        <v>28655</v>
      </c>
      <c r="C4248" s="948" t="s">
        <v>28778</v>
      </c>
      <c r="D4248" s="242" t="s">
        <v>24912</v>
      </c>
      <c r="E4248" s="949">
        <v>903</v>
      </c>
      <c r="F4248" s="949">
        <v>903</v>
      </c>
      <c r="G4248" s="950" t="s">
        <v>8286</v>
      </c>
      <c r="H4248" s="950" t="s">
        <v>1784</v>
      </c>
      <c r="I4248" s="951" t="s">
        <v>28699</v>
      </c>
      <c r="J4248" s="947" t="s">
        <v>28655</v>
      </c>
      <c r="K4248" s="143"/>
    </row>
    <row r="4249" spans="1:11">
      <c r="A4249" s="946" t="s">
        <v>28618</v>
      </c>
      <c r="B4249" s="947" t="s">
        <v>2417</v>
      </c>
      <c r="C4249" s="948" t="s">
        <v>2414</v>
      </c>
      <c r="D4249" s="242" t="s">
        <v>24912</v>
      </c>
      <c r="E4249" s="949">
        <v>905</v>
      </c>
      <c r="F4249" s="949">
        <v>905</v>
      </c>
      <c r="G4249" s="950" t="s">
        <v>10498</v>
      </c>
      <c r="H4249" s="950" t="s">
        <v>2415</v>
      </c>
      <c r="I4249" s="951" t="s">
        <v>2416</v>
      </c>
      <c r="J4249" s="947" t="s">
        <v>2417</v>
      </c>
      <c r="K4249" s="143"/>
    </row>
    <row r="4250" spans="1:11">
      <c r="A4250" s="946" t="s">
        <v>28618</v>
      </c>
      <c r="B4250" s="947" t="s">
        <v>3714</v>
      </c>
      <c r="C4250" s="948" t="s">
        <v>3712</v>
      </c>
      <c r="D4250" s="242" t="s">
        <v>24912</v>
      </c>
      <c r="E4250" s="949">
        <v>905</v>
      </c>
      <c r="F4250" s="949">
        <v>905</v>
      </c>
      <c r="G4250" s="950" t="s">
        <v>10498</v>
      </c>
      <c r="H4250" s="950" t="s">
        <v>2415</v>
      </c>
      <c r="I4250" s="951" t="s">
        <v>3713</v>
      </c>
      <c r="J4250" s="947" t="s">
        <v>3714</v>
      </c>
      <c r="K4250" s="143"/>
    </row>
    <row r="4251" spans="1:11">
      <c r="A4251" s="946" t="s">
        <v>28618</v>
      </c>
      <c r="B4251" s="947" t="s">
        <v>3737</v>
      </c>
      <c r="C4251" s="948" t="s">
        <v>3735</v>
      </c>
      <c r="D4251" s="242" t="s">
        <v>24912</v>
      </c>
      <c r="E4251" s="949">
        <v>905</v>
      </c>
      <c r="F4251" s="949">
        <v>905</v>
      </c>
      <c r="G4251" s="950" t="s">
        <v>10498</v>
      </c>
      <c r="H4251" s="950" t="s">
        <v>2415</v>
      </c>
      <c r="I4251" s="951" t="s">
        <v>3736</v>
      </c>
      <c r="J4251" s="947" t="s">
        <v>3737</v>
      </c>
      <c r="K4251" s="143"/>
    </row>
    <row r="4252" spans="1:11">
      <c r="A4252" s="946" t="s">
        <v>28618</v>
      </c>
      <c r="B4252" s="947" t="s">
        <v>4076</v>
      </c>
      <c r="C4252" s="948" t="s">
        <v>4074</v>
      </c>
      <c r="D4252" s="242" t="s">
        <v>24912</v>
      </c>
      <c r="E4252" s="949">
        <v>905</v>
      </c>
      <c r="F4252" s="949">
        <v>905</v>
      </c>
      <c r="G4252" s="950" t="s">
        <v>10498</v>
      </c>
      <c r="H4252" s="950" t="s">
        <v>2415</v>
      </c>
      <c r="I4252" s="951" t="s">
        <v>4075</v>
      </c>
      <c r="J4252" s="947" t="s">
        <v>4076</v>
      </c>
      <c r="K4252" s="143"/>
    </row>
    <row r="4253" spans="1:11">
      <c r="A4253" s="946" t="s">
        <v>28618</v>
      </c>
      <c r="B4253" s="947" t="s">
        <v>4116</v>
      </c>
      <c r="C4253" s="948" t="s">
        <v>4114</v>
      </c>
      <c r="D4253" s="242" t="s">
        <v>24912</v>
      </c>
      <c r="E4253" s="949">
        <v>905</v>
      </c>
      <c r="F4253" s="949">
        <v>905</v>
      </c>
      <c r="G4253" s="950" t="s">
        <v>10498</v>
      </c>
      <c r="H4253" s="950" t="s">
        <v>2415</v>
      </c>
      <c r="I4253" s="951" t="s">
        <v>4115</v>
      </c>
      <c r="J4253" s="947" t="s">
        <v>4116</v>
      </c>
      <c r="K4253" s="143"/>
    </row>
    <row r="4254" spans="1:11">
      <c r="A4254" s="946" t="s">
        <v>28618</v>
      </c>
      <c r="B4254" s="947" t="s">
        <v>4880</v>
      </c>
      <c r="C4254" s="948" t="s">
        <v>4878</v>
      </c>
      <c r="D4254" s="242" t="s">
        <v>24912</v>
      </c>
      <c r="E4254" s="949">
        <v>905</v>
      </c>
      <c r="F4254" s="949">
        <v>905</v>
      </c>
      <c r="G4254" s="950" t="s">
        <v>10498</v>
      </c>
      <c r="H4254" s="950" t="s">
        <v>2415</v>
      </c>
      <c r="I4254" s="951" t="s">
        <v>4879</v>
      </c>
      <c r="J4254" s="947" t="s">
        <v>4880</v>
      </c>
      <c r="K4254" s="143"/>
    </row>
    <row r="4255" spans="1:11">
      <c r="A4255" s="946" t="s">
        <v>28618</v>
      </c>
      <c r="B4255" s="947" t="s">
        <v>5757</v>
      </c>
      <c r="C4255" s="948" t="s">
        <v>5755</v>
      </c>
      <c r="D4255" s="242" t="s">
        <v>24912</v>
      </c>
      <c r="E4255" s="949">
        <v>905</v>
      </c>
      <c r="F4255" s="949">
        <v>905</v>
      </c>
      <c r="G4255" s="950" t="s">
        <v>10498</v>
      </c>
      <c r="H4255" s="950" t="s">
        <v>2415</v>
      </c>
      <c r="I4255" s="951" t="s">
        <v>5756</v>
      </c>
      <c r="J4255" s="947" t="s">
        <v>5757</v>
      </c>
      <c r="K4255" s="143"/>
    </row>
    <row r="4256" spans="1:11">
      <c r="A4256" s="946" t="s">
        <v>28618</v>
      </c>
      <c r="B4256" s="947" t="s">
        <v>6787</v>
      </c>
      <c r="C4256" s="948" t="s">
        <v>6785</v>
      </c>
      <c r="D4256" s="242" t="s">
        <v>24912</v>
      </c>
      <c r="E4256" s="949">
        <v>905</v>
      </c>
      <c r="F4256" s="949">
        <v>905</v>
      </c>
      <c r="G4256" s="950" t="s">
        <v>10498</v>
      </c>
      <c r="H4256" s="950" t="s">
        <v>2415</v>
      </c>
      <c r="I4256" s="951" t="s">
        <v>6786</v>
      </c>
      <c r="J4256" s="947" t="s">
        <v>6787</v>
      </c>
      <c r="K4256" s="143"/>
    </row>
    <row r="4257" spans="1:11">
      <c r="A4257" s="946" t="s">
        <v>28618</v>
      </c>
      <c r="B4257" s="947" t="s">
        <v>10498</v>
      </c>
      <c r="C4257" s="948" t="s">
        <v>10496</v>
      </c>
      <c r="D4257" s="242" t="s">
        <v>24912</v>
      </c>
      <c r="E4257" s="949">
        <v>905</v>
      </c>
      <c r="F4257" s="949">
        <v>905</v>
      </c>
      <c r="G4257" s="950" t="s">
        <v>10498</v>
      </c>
      <c r="H4257" s="950" t="s">
        <v>2415</v>
      </c>
      <c r="I4257" s="951" t="s">
        <v>10497</v>
      </c>
      <c r="J4257" s="947" t="s">
        <v>10498</v>
      </c>
      <c r="K4257" s="143"/>
    </row>
    <row r="4258" spans="1:11">
      <c r="A4258" s="946" t="s">
        <v>28618</v>
      </c>
      <c r="B4258" s="947" t="s">
        <v>11155</v>
      </c>
      <c r="C4258" s="948" t="s">
        <v>11153</v>
      </c>
      <c r="D4258" s="242" t="s">
        <v>24912</v>
      </c>
      <c r="E4258" s="949">
        <v>905</v>
      </c>
      <c r="F4258" s="949">
        <v>905</v>
      </c>
      <c r="G4258" s="950" t="s">
        <v>10498</v>
      </c>
      <c r="H4258" s="950" t="s">
        <v>2415</v>
      </c>
      <c r="I4258" s="951" t="s">
        <v>11154</v>
      </c>
      <c r="J4258" s="947" t="s">
        <v>11155</v>
      </c>
      <c r="K4258" s="143"/>
    </row>
    <row r="4259" spans="1:11">
      <c r="A4259" s="946" t="s">
        <v>28618</v>
      </c>
      <c r="B4259" s="947" t="s">
        <v>11158</v>
      </c>
      <c r="C4259" s="948" t="s">
        <v>11156</v>
      </c>
      <c r="D4259" s="242" t="s">
        <v>24912</v>
      </c>
      <c r="E4259" s="949">
        <v>905</v>
      </c>
      <c r="F4259" s="949">
        <v>905</v>
      </c>
      <c r="G4259" s="950" t="s">
        <v>10498</v>
      </c>
      <c r="H4259" s="950" t="s">
        <v>2415</v>
      </c>
      <c r="I4259" s="951" t="s">
        <v>11157</v>
      </c>
      <c r="J4259" s="947" t="s">
        <v>11158</v>
      </c>
      <c r="K4259" s="143"/>
    </row>
    <row r="4260" spans="1:11">
      <c r="A4260" s="946" t="s">
        <v>28618</v>
      </c>
      <c r="B4260" s="947" t="s">
        <v>15042</v>
      </c>
      <c r="C4260" s="948" t="s">
        <v>15040</v>
      </c>
      <c r="D4260" s="242" t="s">
        <v>24912</v>
      </c>
      <c r="E4260" s="949">
        <v>905</v>
      </c>
      <c r="F4260" s="949">
        <v>905</v>
      </c>
      <c r="G4260" s="950" t="s">
        <v>10498</v>
      </c>
      <c r="H4260" s="950" t="s">
        <v>2415</v>
      </c>
      <c r="I4260" s="951" t="s">
        <v>15041</v>
      </c>
      <c r="J4260" s="947" t="s">
        <v>15042</v>
      </c>
      <c r="K4260" s="143"/>
    </row>
    <row r="4261" spans="1:11">
      <c r="A4261" s="946" t="s">
        <v>28618</v>
      </c>
      <c r="B4261" s="947" t="s">
        <v>15550</v>
      </c>
      <c r="C4261" s="948" t="s">
        <v>15548</v>
      </c>
      <c r="D4261" s="242" t="s">
        <v>24912</v>
      </c>
      <c r="E4261" s="949">
        <v>905</v>
      </c>
      <c r="F4261" s="949">
        <v>905</v>
      </c>
      <c r="G4261" s="950" t="s">
        <v>10498</v>
      </c>
      <c r="H4261" s="950" t="s">
        <v>2415</v>
      </c>
      <c r="I4261" s="951" t="s">
        <v>15549</v>
      </c>
      <c r="J4261" s="947" t="s">
        <v>15550</v>
      </c>
      <c r="K4261" s="143"/>
    </row>
    <row r="4262" spans="1:11">
      <c r="A4262" s="946" t="s">
        <v>28618</v>
      </c>
      <c r="B4262" s="947" t="s">
        <v>15589</v>
      </c>
      <c r="C4262" s="948" t="s">
        <v>15587</v>
      </c>
      <c r="D4262" s="242" t="s">
        <v>24912</v>
      </c>
      <c r="E4262" s="949">
        <v>905</v>
      </c>
      <c r="F4262" s="949">
        <v>905</v>
      </c>
      <c r="G4262" s="950" t="s">
        <v>10498</v>
      </c>
      <c r="H4262" s="950" t="s">
        <v>2415</v>
      </c>
      <c r="I4262" s="951" t="s">
        <v>15588</v>
      </c>
      <c r="J4262" s="947" t="s">
        <v>15589</v>
      </c>
      <c r="K4262" s="143"/>
    </row>
    <row r="4263" spans="1:11">
      <c r="A4263" s="946" t="s">
        <v>28618</v>
      </c>
      <c r="B4263" s="947" t="s">
        <v>16964</v>
      </c>
      <c r="C4263" s="948" t="s">
        <v>16962</v>
      </c>
      <c r="D4263" s="242" t="s">
        <v>24912</v>
      </c>
      <c r="E4263" s="949">
        <v>905</v>
      </c>
      <c r="F4263" s="949">
        <v>905</v>
      </c>
      <c r="G4263" s="950" t="s">
        <v>10498</v>
      </c>
      <c r="H4263" s="950" t="s">
        <v>2415</v>
      </c>
      <c r="I4263" s="951" t="s">
        <v>16963</v>
      </c>
      <c r="J4263" s="947" t="s">
        <v>16964</v>
      </c>
      <c r="K4263" s="143"/>
    </row>
    <row r="4264" spans="1:11">
      <c r="A4264" s="946" t="s">
        <v>28618</v>
      </c>
      <c r="B4264" s="947" t="s">
        <v>18265</v>
      </c>
      <c r="C4264" s="948" t="s">
        <v>18263</v>
      </c>
      <c r="D4264" s="242" t="s">
        <v>24912</v>
      </c>
      <c r="E4264" s="949">
        <v>905</v>
      </c>
      <c r="F4264" s="949">
        <v>905</v>
      </c>
      <c r="G4264" s="950" t="s">
        <v>10498</v>
      </c>
      <c r="H4264" s="950" t="s">
        <v>2415</v>
      </c>
      <c r="I4264" s="951" t="s">
        <v>18264</v>
      </c>
      <c r="J4264" s="947" t="s">
        <v>18265</v>
      </c>
      <c r="K4264" s="143"/>
    </row>
    <row r="4265" spans="1:11">
      <c r="A4265" s="946" t="s">
        <v>28618</v>
      </c>
      <c r="B4265" s="947" t="s">
        <v>18915</v>
      </c>
      <c r="C4265" s="948" t="s">
        <v>18913</v>
      </c>
      <c r="D4265" s="242" t="s">
        <v>24912</v>
      </c>
      <c r="E4265" s="949">
        <v>905</v>
      </c>
      <c r="F4265" s="949">
        <v>905</v>
      </c>
      <c r="G4265" s="950" t="s">
        <v>10498</v>
      </c>
      <c r="H4265" s="950" t="s">
        <v>2415</v>
      </c>
      <c r="I4265" s="951" t="s">
        <v>18914</v>
      </c>
      <c r="J4265" s="947" t="s">
        <v>18915</v>
      </c>
      <c r="K4265" s="143"/>
    </row>
    <row r="4266" spans="1:11">
      <c r="A4266" s="946" t="s">
        <v>28618</v>
      </c>
      <c r="B4266" s="947" t="s">
        <v>20151</v>
      </c>
      <c r="C4266" s="948" t="s">
        <v>20149</v>
      </c>
      <c r="D4266" s="242" t="s">
        <v>24912</v>
      </c>
      <c r="E4266" s="949">
        <v>905</v>
      </c>
      <c r="F4266" s="949">
        <v>905</v>
      </c>
      <c r="G4266" s="950" t="s">
        <v>10498</v>
      </c>
      <c r="H4266" s="950" t="s">
        <v>2415</v>
      </c>
      <c r="I4266" s="951" t="s">
        <v>20150</v>
      </c>
      <c r="J4266" s="947" t="s">
        <v>20151</v>
      </c>
      <c r="K4266" s="143"/>
    </row>
    <row r="4267" spans="1:11">
      <c r="A4267" s="946" t="s">
        <v>28618</v>
      </c>
      <c r="B4267" s="947" t="s">
        <v>28657</v>
      </c>
      <c r="C4267" s="948" t="s">
        <v>28780</v>
      </c>
      <c r="D4267" s="242" t="s">
        <v>24912</v>
      </c>
      <c r="E4267" s="949">
        <v>905</v>
      </c>
      <c r="F4267" s="949">
        <v>905</v>
      </c>
      <c r="G4267" s="950" t="s">
        <v>10498</v>
      </c>
      <c r="H4267" s="950" t="s">
        <v>2415</v>
      </c>
      <c r="I4267" s="951" t="s">
        <v>28701</v>
      </c>
      <c r="J4267" s="947" t="s">
        <v>28657</v>
      </c>
      <c r="K4267" s="143"/>
    </row>
    <row r="4268" spans="1:11">
      <c r="A4268" s="946" t="s">
        <v>28618</v>
      </c>
      <c r="B4268" s="947" t="s">
        <v>2441</v>
      </c>
      <c r="C4268" s="948" t="s">
        <v>2438</v>
      </c>
      <c r="D4268" s="242" t="s">
        <v>24912</v>
      </c>
      <c r="E4268" s="949">
        <v>902</v>
      </c>
      <c r="F4268" s="949">
        <v>902</v>
      </c>
      <c r="G4268" s="950" t="s">
        <v>15072</v>
      </c>
      <c r="H4268" s="950" t="s">
        <v>2439</v>
      </c>
      <c r="I4268" s="951" t="s">
        <v>2440</v>
      </c>
      <c r="J4268" s="947" t="s">
        <v>2441</v>
      </c>
      <c r="K4268" s="143"/>
    </row>
    <row r="4269" spans="1:11">
      <c r="A4269" s="946" t="s">
        <v>28618</v>
      </c>
      <c r="B4269" s="947" t="s">
        <v>3318</v>
      </c>
      <c r="C4269" s="948" t="s">
        <v>3316</v>
      </c>
      <c r="D4269" s="242" t="s">
        <v>24912</v>
      </c>
      <c r="E4269" s="949">
        <v>902</v>
      </c>
      <c r="F4269" s="949">
        <v>902</v>
      </c>
      <c r="G4269" s="950" t="s">
        <v>15072</v>
      </c>
      <c r="H4269" s="950" t="s">
        <v>2439</v>
      </c>
      <c r="I4269" s="951" t="s">
        <v>3317</v>
      </c>
      <c r="J4269" s="947" t="s">
        <v>3318</v>
      </c>
      <c r="K4269" s="143"/>
    </row>
    <row r="4270" spans="1:11">
      <c r="A4270" s="946" t="s">
        <v>28618</v>
      </c>
      <c r="B4270" s="947" t="s">
        <v>3447</v>
      </c>
      <c r="C4270" s="948" t="s">
        <v>3445</v>
      </c>
      <c r="D4270" s="242" t="s">
        <v>24912</v>
      </c>
      <c r="E4270" s="949">
        <v>902</v>
      </c>
      <c r="F4270" s="949">
        <v>902</v>
      </c>
      <c r="G4270" s="950" t="s">
        <v>15072</v>
      </c>
      <c r="H4270" s="950" t="s">
        <v>2439</v>
      </c>
      <c r="I4270" s="951" t="s">
        <v>3446</v>
      </c>
      <c r="J4270" s="947" t="s">
        <v>3447</v>
      </c>
      <c r="K4270" s="143"/>
    </row>
    <row r="4271" spans="1:11">
      <c r="A4271" s="946" t="s">
        <v>28618</v>
      </c>
      <c r="B4271" s="947" t="s">
        <v>3453</v>
      </c>
      <c r="C4271" s="948" t="s">
        <v>3451</v>
      </c>
      <c r="D4271" s="242" t="s">
        <v>24912</v>
      </c>
      <c r="E4271" s="949">
        <v>902</v>
      </c>
      <c r="F4271" s="949">
        <v>902</v>
      </c>
      <c r="G4271" s="950" t="s">
        <v>15072</v>
      </c>
      <c r="H4271" s="950" t="s">
        <v>2439</v>
      </c>
      <c r="I4271" s="951" t="s">
        <v>3452</v>
      </c>
      <c r="J4271" s="947" t="s">
        <v>3453</v>
      </c>
      <c r="K4271" s="143"/>
    </row>
    <row r="4272" spans="1:11">
      <c r="A4272" s="946" t="s">
        <v>28618</v>
      </c>
      <c r="B4272" s="947" t="s">
        <v>4032</v>
      </c>
      <c r="C4272" s="948" t="s">
        <v>4030</v>
      </c>
      <c r="D4272" s="242" t="s">
        <v>24912</v>
      </c>
      <c r="E4272" s="949">
        <v>902</v>
      </c>
      <c r="F4272" s="949">
        <v>902</v>
      </c>
      <c r="G4272" s="950" t="s">
        <v>15072</v>
      </c>
      <c r="H4272" s="950" t="s">
        <v>2439</v>
      </c>
      <c r="I4272" s="951" t="s">
        <v>4031</v>
      </c>
      <c r="J4272" s="947" t="s">
        <v>4032</v>
      </c>
      <c r="K4272" s="143"/>
    </row>
    <row r="4273" spans="1:11">
      <c r="A4273" s="946" t="s">
        <v>28618</v>
      </c>
      <c r="B4273" s="947" t="s">
        <v>4556</v>
      </c>
      <c r="C4273" s="948" t="s">
        <v>4554</v>
      </c>
      <c r="D4273" s="242" t="s">
        <v>24912</v>
      </c>
      <c r="E4273" s="949">
        <v>905</v>
      </c>
      <c r="F4273" s="949">
        <v>905</v>
      </c>
      <c r="G4273" s="950" t="s">
        <v>15072</v>
      </c>
      <c r="H4273" s="950" t="s">
        <v>2439</v>
      </c>
      <c r="I4273" s="951" t="s">
        <v>4555</v>
      </c>
      <c r="J4273" s="947" t="s">
        <v>4556</v>
      </c>
      <c r="K4273" s="143"/>
    </row>
    <row r="4274" spans="1:11">
      <c r="A4274" s="946" t="s">
        <v>28618</v>
      </c>
      <c r="B4274" s="947" t="s">
        <v>4730</v>
      </c>
      <c r="C4274" s="948" t="s">
        <v>4728</v>
      </c>
      <c r="D4274" s="242" t="s">
        <v>24912</v>
      </c>
      <c r="E4274" s="949">
        <v>902</v>
      </c>
      <c r="F4274" s="949">
        <v>902</v>
      </c>
      <c r="G4274" s="950" t="s">
        <v>15072</v>
      </c>
      <c r="H4274" s="950" t="s">
        <v>2439</v>
      </c>
      <c r="I4274" s="951" t="s">
        <v>4729</v>
      </c>
      <c r="J4274" s="947" t="s">
        <v>4730</v>
      </c>
      <c r="K4274" s="143"/>
    </row>
    <row r="4275" spans="1:11">
      <c r="A4275" s="946" t="s">
        <v>28618</v>
      </c>
      <c r="B4275" s="947" t="s">
        <v>5102</v>
      </c>
      <c r="C4275" s="948" t="s">
        <v>5100</v>
      </c>
      <c r="D4275" s="242" t="s">
        <v>24912</v>
      </c>
      <c r="E4275" s="949">
        <v>902</v>
      </c>
      <c r="F4275" s="949">
        <v>902</v>
      </c>
      <c r="G4275" s="950" t="s">
        <v>15072</v>
      </c>
      <c r="H4275" s="950" t="s">
        <v>2439</v>
      </c>
      <c r="I4275" s="951" t="s">
        <v>5101</v>
      </c>
      <c r="J4275" s="947" t="s">
        <v>5102</v>
      </c>
      <c r="K4275" s="143"/>
    </row>
    <row r="4276" spans="1:11">
      <c r="A4276" s="946" t="s">
        <v>28618</v>
      </c>
      <c r="B4276" s="947" t="s">
        <v>5229</v>
      </c>
      <c r="C4276" s="948" t="s">
        <v>5227</v>
      </c>
      <c r="D4276" s="242" t="s">
        <v>24912</v>
      </c>
      <c r="E4276" s="949">
        <v>905</v>
      </c>
      <c r="F4276" s="949">
        <v>905</v>
      </c>
      <c r="G4276" s="950" t="s">
        <v>15072</v>
      </c>
      <c r="H4276" s="950" t="s">
        <v>2439</v>
      </c>
      <c r="I4276" s="951" t="s">
        <v>5228</v>
      </c>
      <c r="J4276" s="947" t="s">
        <v>5229</v>
      </c>
      <c r="K4276" s="143"/>
    </row>
    <row r="4277" spans="1:11">
      <c r="A4277" s="946" t="s">
        <v>28618</v>
      </c>
      <c r="B4277" s="947" t="s">
        <v>5371</v>
      </c>
      <c r="C4277" s="948" t="s">
        <v>5369</v>
      </c>
      <c r="D4277" s="242" t="s">
        <v>24912</v>
      </c>
      <c r="E4277" s="949">
        <v>905</v>
      </c>
      <c r="F4277" s="949">
        <v>905</v>
      </c>
      <c r="G4277" s="950" t="s">
        <v>15072</v>
      </c>
      <c r="H4277" s="950" t="s">
        <v>2439</v>
      </c>
      <c r="I4277" s="951" t="s">
        <v>5370</v>
      </c>
      <c r="J4277" s="947" t="s">
        <v>5371</v>
      </c>
      <c r="K4277" s="143"/>
    </row>
    <row r="4278" spans="1:11">
      <c r="A4278" s="946" t="s">
        <v>28618</v>
      </c>
      <c r="B4278" s="947" t="s">
        <v>6208</v>
      </c>
      <c r="C4278" s="948" t="s">
        <v>6206</v>
      </c>
      <c r="D4278" s="242" t="s">
        <v>24912</v>
      </c>
      <c r="E4278" s="949">
        <v>902</v>
      </c>
      <c r="F4278" s="949">
        <v>902</v>
      </c>
      <c r="G4278" s="950" t="s">
        <v>15072</v>
      </c>
      <c r="H4278" s="950" t="s">
        <v>2439</v>
      </c>
      <c r="I4278" s="951" t="s">
        <v>6207</v>
      </c>
      <c r="J4278" s="947" t="s">
        <v>6208</v>
      </c>
      <c r="K4278" s="143"/>
    </row>
    <row r="4279" spans="1:11">
      <c r="A4279" s="946" t="s">
        <v>28618</v>
      </c>
      <c r="B4279" s="947" t="s">
        <v>8079</v>
      </c>
      <c r="C4279" s="948" t="s">
        <v>8077</v>
      </c>
      <c r="D4279" s="242" t="s">
        <v>24912</v>
      </c>
      <c r="E4279" s="949">
        <v>902</v>
      </c>
      <c r="F4279" s="949">
        <v>902</v>
      </c>
      <c r="G4279" s="950" t="s">
        <v>15072</v>
      </c>
      <c r="H4279" s="950" t="s">
        <v>2439</v>
      </c>
      <c r="I4279" s="951" t="s">
        <v>8078</v>
      </c>
      <c r="J4279" s="947" t="s">
        <v>8079</v>
      </c>
      <c r="K4279" s="143"/>
    </row>
    <row r="4280" spans="1:11">
      <c r="A4280" s="946" t="s">
        <v>28618</v>
      </c>
      <c r="B4280" s="947" t="s">
        <v>9720</v>
      </c>
      <c r="C4280" s="948" t="s">
        <v>9718</v>
      </c>
      <c r="D4280" s="242" t="s">
        <v>24912</v>
      </c>
      <c r="E4280" s="949">
        <v>905</v>
      </c>
      <c r="F4280" s="949">
        <v>905</v>
      </c>
      <c r="G4280" s="950" t="s">
        <v>15072</v>
      </c>
      <c r="H4280" s="950" t="s">
        <v>2439</v>
      </c>
      <c r="I4280" s="951" t="s">
        <v>9719</v>
      </c>
      <c r="J4280" s="947" t="s">
        <v>9720</v>
      </c>
      <c r="K4280" s="143"/>
    </row>
    <row r="4281" spans="1:11">
      <c r="A4281" s="946" t="s">
        <v>28618</v>
      </c>
      <c r="B4281" s="947" t="s">
        <v>10081</v>
      </c>
      <c r="C4281" s="948" t="s">
        <v>10079</v>
      </c>
      <c r="D4281" s="242" t="s">
        <v>24912</v>
      </c>
      <c r="E4281" s="949">
        <v>902</v>
      </c>
      <c r="F4281" s="949">
        <v>902</v>
      </c>
      <c r="G4281" s="950" t="s">
        <v>15072</v>
      </c>
      <c r="H4281" s="950" t="s">
        <v>2439</v>
      </c>
      <c r="I4281" s="951" t="s">
        <v>10080</v>
      </c>
      <c r="J4281" s="947" t="s">
        <v>10081</v>
      </c>
      <c r="K4281" s="143"/>
    </row>
    <row r="4282" spans="1:11">
      <c r="A4282" s="946" t="s">
        <v>28618</v>
      </c>
      <c r="B4282" s="947" t="s">
        <v>12401</v>
      </c>
      <c r="C4282" s="948" t="s">
        <v>12399</v>
      </c>
      <c r="D4282" s="242" t="s">
        <v>24912</v>
      </c>
      <c r="E4282" s="949">
        <v>905</v>
      </c>
      <c r="F4282" s="949">
        <v>905</v>
      </c>
      <c r="G4282" s="950" t="s">
        <v>15072</v>
      </c>
      <c r="H4282" s="950" t="s">
        <v>2439</v>
      </c>
      <c r="I4282" s="951" t="s">
        <v>12400</v>
      </c>
      <c r="J4282" s="947" t="s">
        <v>12401</v>
      </c>
      <c r="K4282" s="143"/>
    </row>
    <row r="4283" spans="1:11">
      <c r="A4283" s="946" t="s">
        <v>28618</v>
      </c>
      <c r="B4283" s="947" t="s">
        <v>12745</v>
      </c>
      <c r="C4283" s="948" t="s">
        <v>12743</v>
      </c>
      <c r="D4283" s="242" t="s">
        <v>24912</v>
      </c>
      <c r="E4283" s="949">
        <v>905</v>
      </c>
      <c r="F4283" s="949">
        <v>905</v>
      </c>
      <c r="G4283" s="950" t="s">
        <v>15072</v>
      </c>
      <c r="H4283" s="950" t="s">
        <v>2439</v>
      </c>
      <c r="I4283" s="951" t="s">
        <v>12744</v>
      </c>
      <c r="J4283" s="947" t="s">
        <v>12745</v>
      </c>
      <c r="K4283" s="143"/>
    </row>
    <row r="4284" spans="1:11">
      <c r="A4284" s="946" t="s">
        <v>28618</v>
      </c>
      <c r="B4284" s="947" t="s">
        <v>12778</v>
      </c>
      <c r="C4284" s="948" t="s">
        <v>12776</v>
      </c>
      <c r="D4284" s="242" t="s">
        <v>24912</v>
      </c>
      <c r="E4284" s="949">
        <v>905</v>
      </c>
      <c r="F4284" s="949">
        <v>905</v>
      </c>
      <c r="G4284" s="950" t="s">
        <v>15072</v>
      </c>
      <c r="H4284" s="950" t="s">
        <v>2439</v>
      </c>
      <c r="I4284" s="951" t="s">
        <v>12777</v>
      </c>
      <c r="J4284" s="947" t="s">
        <v>12778</v>
      </c>
      <c r="K4284" s="143"/>
    </row>
    <row r="4285" spans="1:11">
      <c r="A4285" s="946" t="s">
        <v>28618</v>
      </c>
      <c r="B4285" s="947" t="s">
        <v>12842</v>
      </c>
      <c r="C4285" s="948" t="s">
        <v>12840</v>
      </c>
      <c r="D4285" s="242" t="s">
        <v>24912</v>
      </c>
      <c r="E4285" s="949">
        <v>902</v>
      </c>
      <c r="F4285" s="949">
        <v>902</v>
      </c>
      <c r="G4285" s="950" t="s">
        <v>15072</v>
      </c>
      <c r="H4285" s="950" t="s">
        <v>2439</v>
      </c>
      <c r="I4285" s="951" t="s">
        <v>12841</v>
      </c>
      <c r="J4285" s="947" t="s">
        <v>12842</v>
      </c>
      <c r="K4285" s="143"/>
    </row>
    <row r="4286" spans="1:11">
      <c r="A4286" s="946" t="s">
        <v>28618</v>
      </c>
      <c r="B4286" s="947" t="s">
        <v>13692</v>
      </c>
      <c r="C4286" s="948" t="s">
        <v>13690</v>
      </c>
      <c r="D4286" s="242" t="s">
        <v>24912</v>
      </c>
      <c r="E4286" s="949">
        <v>905</v>
      </c>
      <c r="F4286" s="949">
        <v>905</v>
      </c>
      <c r="G4286" s="950" t="s">
        <v>15072</v>
      </c>
      <c r="H4286" s="950" t="s">
        <v>2439</v>
      </c>
      <c r="I4286" s="951" t="s">
        <v>13691</v>
      </c>
      <c r="J4286" s="947" t="s">
        <v>13692</v>
      </c>
      <c r="K4286" s="143"/>
    </row>
    <row r="4287" spans="1:11">
      <c r="A4287" s="946" t="s">
        <v>28618</v>
      </c>
      <c r="B4287" s="947" t="s">
        <v>14074</v>
      </c>
      <c r="C4287" s="948" t="s">
        <v>14072</v>
      </c>
      <c r="D4287" s="242" t="s">
        <v>24912</v>
      </c>
      <c r="E4287" s="949">
        <v>902</v>
      </c>
      <c r="F4287" s="949">
        <v>902</v>
      </c>
      <c r="G4287" s="950" t="s">
        <v>15072</v>
      </c>
      <c r="H4287" s="950" t="s">
        <v>2439</v>
      </c>
      <c r="I4287" s="951" t="s">
        <v>14073</v>
      </c>
      <c r="J4287" s="947" t="s">
        <v>14074</v>
      </c>
      <c r="K4287" s="143"/>
    </row>
    <row r="4288" spans="1:11">
      <c r="A4288" s="946" t="s">
        <v>28618</v>
      </c>
      <c r="B4288" s="947" t="s">
        <v>14385</v>
      </c>
      <c r="C4288" s="948" t="s">
        <v>14383</v>
      </c>
      <c r="D4288" s="242" t="s">
        <v>24912</v>
      </c>
      <c r="E4288" s="949">
        <v>902</v>
      </c>
      <c r="F4288" s="949">
        <v>902</v>
      </c>
      <c r="G4288" s="950" t="s">
        <v>15072</v>
      </c>
      <c r="H4288" s="950" t="s">
        <v>2439</v>
      </c>
      <c r="I4288" s="951" t="s">
        <v>14384</v>
      </c>
      <c r="J4288" s="947" t="s">
        <v>14385</v>
      </c>
      <c r="K4288" s="143"/>
    </row>
    <row r="4289" spans="1:11">
      <c r="A4289" s="946" t="s">
        <v>28618</v>
      </c>
      <c r="B4289" s="947" t="s">
        <v>15072</v>
      </c>
      <c r="C4289" s="948" t="s">
        <v>15070</v>
      </c>
      <c r="D4289" s="242" t="s">
        <v>24912</v>
      </c>
      <c r="E4289" s="949">
        <v>902</v>
      </c>
      <c r="F4289" s="949">
        <v>902</v>
      </c>
      <c r="G4289" s="950" t="s">
        <v>15072</v>
      </c>
      <c r="H4289" s="950" t="s">
        <v>2439</v>
      </c>
      <c r="I4289" s="951" t="s">
        <v>15071</v>
      </c>
      <c r="J4289" s="947" t="s">
        <v>15072</v>
      </c>
      <c r="K4289" s="143"/>
    </row>
    <row r="4290" spans="1:11">
      <c r="A4290" s="946" t="s">
        <v>28618</v>
      </c>
      <c r="B4290" s="947" t="s">
        <v>15315</v>
      </c>
      <c r="C4290" s="948" t="s">
        <v>15313</v>
      </c>
      <c r="D4290" s="242" t="s">
        <v>24912</v>
      </c>
      <c r="E4290" s="949">
        <v>905</v>
      </c>
      <c r="F4290" s="949">
        <v>905</v>
      </c>
      <c r="G4290" s="950" t="s">
        <v>15072</v>
      </c>
      <c r="H4290" s="950" t="s">
        <v>2439</v>
      </c>
      <c r="I4290" s="951" t="s">
        <v>15314</v>
      </c>
      <c r="J4290" s="947" t="s">
        <v>15315</v>
      </c>
      <c r="K4290" s="143"/>
    </row>
    <row r="4291" spans="1:11">
      <c r="A4291" s="946" t="s">
        <v>28618</v>
      </c>
      <c r="B4291" s="947" t="s">
        <v>15362</v>
      </c>
      <c r="C4291" s="948" t="s">
        <v>15360</v>
      </c>
      <c r="D4291" s="242" t="s">
        <v>24912</v>
      </c>
      <c r="E4291" s="949">
        <v>902</v>
      </c>
      <c r="F4291" s="949">
        <v>902</v>
      </c>
      <c r="G4291" s="950" t="s">
        <v>15072</v>
      </c>
      <c r="H4291" s="950" t="s">
        <v>2439</v>
      </c>
      <c r="I4291" s="951" t="s">
        <v>15361</v>
      </c>
      <c r="J4291" s="947" t="s">
        <v>15362</v>
      </c>
      <c r="K4291" s="143"/>
    </row>
    <row r="4292" spans="1:11">
      <c r="A4292" s="946" t="s">
        <v>28618</v>
      </c>
      <c r="B4292" s="947" t="s">
        <v>15433</v>
      </c>
      <c r="C4292" s="948" t="s">
        <v>15431</v>
      </c>
      <c r="D4292" s="242" t="s">
        <v>24912</v>
      </c>
      <c r="E4292" s="949">
        <v>902</v>
      </c>
      <c r="F4292" s="949">
        <v>902</v>
      </c>
      <c r="G4292" s="950" t="s">
        <v>15072</v>
      </c>
      <c r="H4292" s="950" t="s">
        <v>2439</v>
      </c>
      <c r="I4292" s="951" t="s">
        <v>15432</v>
      </c>
      <c r="J4292" s="947" t="s">
        <v>15433</v>
      </c>
      <c r="K4292" s="143"/>
    </row>
    <row r="4293" spans="1:11">
      <c r="A4293" s="946" t="s">
        <v>28618</v>
      </c>
      <c r="B4293" s="947" t="s">
        <v>16366</v>
      </c>
      <c r="C4293" s="948" t="s">
        <v>16364</v>
      </c>
      <c r="D4293" s="242" t="s">
        <v>24912</v>
      </c>
      <c r="E4293" s="949">
        <v>905</v>
      </c>
      <c r="F4293" s="949">
        <v>905</v>
      </c>
      <c r="G4293" s="950" t="s">
        <v>15072</v>
      </c>
      <c r="H4293" s="950" t="s">
        <v>2439</v>
      </c>
      <c r="I4293" s="951" t="s">
        <v>16365</v>
      </c>
      <c r="J4293" s="947" t="s">
        <v>16366</v>
      </c>
      <c r="K4293" s="143"/>
    </row>
    <row r="4294" spans="1:11">
      <c r="A4294" s="946" t="s">
        <v>28618</v>
      </c>
      <c r="B4294" s="947" t="s">
        <v>17763</v>
      </c>
      <c r="C4294" s="948" t="s">
        <v>17761</v>
      </c>
      <c r="D4294" s="242" t="s">
        <v>24912</v>
      </c>
      <c r="E4294" s="949">
        <v>902</v>
      </c>
      <c r="F4294" s="949">
        <v>902</v>
      </c>
      <c r="G4294" s="950" t="s">
        <v>15072</v>
      </c>
      <c r="H4294" s="950" t="s">
        <v>2439</v>
      </c>
      <c r="I4294" s="951" t="s">
        <v>17762</v>
      </c>
      <c r="J4294" s="947" t="s">
        <v>17763</v>
      </c>
      <c r="K4294" s="143"/>
    </row>
    <row r="4295" spans="1:11">
      <c r="A4295" s="946" t="s">
        <v>28618</v>
      </c>
      <c r="B4295" s="947" t="s">
        <v>17992</v>
      </c>
      <c r="C4295" s="948" t="s">
        <v>17990</v>
      </c>
      <c r="D4295" s="242" t="s">
        <v>24912</v>
      </c>
      <c r="E4295" s="949">
        <v>902</v>
      </c>
      <c r="F4295" s="949">
        <v>902</v>
      </c>
      <c r="G4295" s="950" t="s">
        <v>15072</v>
      </c>
      <c r="H4295" s="950" t="s">
        <v>2439</v>
      </c>
      <c r="I4295" s="951" t="s">
        <v>17991</v>
      </c>
      <c r="J4295" s="947" t="s">
        <v>17992</v>
      </c>
      <c r="K4295" s="143"/>
    </row>
    <row r="4296" spans="1:11">
      <c r="A4296" s="946" t="s">
        <v>28618</v>
      </c>
      <c r="B4296" s="947" t="s">
        <v>18406</v>
      </c>
      <c r="C4296" s="948" t="s">
        <v>18404</v>
      </c>
      <c r="D4296" s="242" t="s">
        <v>24912</v>
      </c>
      <c r="E4296" s="949">
        <v>902</v>
      </c>
      <c r="F4296" s="949">
        <v>902</v>
      </c>
      <c r="G4296" s="950" t="s">
        <v>15072</v>
      </c>
      <c r="H4296" s="950" t="s">
        <v>2439</v>
      </c>
      <c r="I4296" s="951" t="s">
        <v>18405</v>
      </c>
      <c r="J4296" s="947" t="s">
        <v>18406</v>
      </c>
      <c r="K4296" s="143"/>
    </row>
    <row r="4297" spans="1:11">
      <c r="A4297" s="946" t="s">
        <v>28618</v>
      </c>
      <c r="B4297" s="947" t="s">
        <v>18435</v>
      </c>
      <c r="C4297" s="948" t="s">
        <v>18433</v>
      </c>
      <c r="D4297" s="242" t="s">
        <v>24912</v>
      </c>
      <c r="E4297" s="949">
        <v>905</v>
      </c>
      <c r="F4297" s="949">
        <v>905</v>
      </c>
      <c r="G4297" s="950" t="s">
        <v>15072</v>
      </c>
      <c r="H4297" s="950" t="s">
        <v>2439</v>
      </c>
      <c r="I4297" s="951" t="s">
        <v>18434</v>
      </c>
      <c r="J4297" s="947" t="s">
        <v>18435</v>
      </c>
      <c r="K4297" s="143"/>
    </row>
    <row r="4298" spans="1:11">
      <c r="A4298" s="946" t="s">
        <v>28618</v>
      </c>
      <c r="B4298" s="947" t="s">
        <v>18456</v>
      </c>
      <c r="C4298" s="948" t="s">
        <v>18454</v>
      </c>
      <c r="D4298" s="242" t="s">
        <v>24912</v>
      </c>
      <c r="E4298" s="949">
        <v>902</v>
      </c>
      <c r="F4298" s="949">
        <v>902</v>
      </c>
      <c r="G4298" s="950" t="s">
        <v>15072</v>
      </c>
      <c r="H4298" s="950" t="s">
        <v>2439</v>
      </c>
      <c r="I4298" s="951" t="s">
        <v>18455</v>
      </c>
      <c r="J4298" s="947" t="s">
        <v>18456</v>
      </c>
      <c r="K4298" s="143"/>
    </row>
    <row r="4299" spans="1:11">
      <c r="A4299" s="946" t="s">
        <v>28618</v>
      </c>
      <c r="B4299" s="947" t="s">
        <v>20404</v>
      </c>
      <c r="C4299" s="948" t="s">
        <v>20402</v>
      </c>
      <c r="D4299" s="242" t="s">
        <v>24912</v>
      </c>
      <c r="E4299" s="949">
        <v>902</v>
      </c>
      <c r="F4299" s="949">
        <v>902</v>
      </c>
      <c r="G4299" s="950" t="s">
        <v>15072</v>
      </c>
      <c r="H4299" s="950" t="s">
        <v>2439</v>
      </c>
      <c r="I4299" s="951" t="s">
        <v>20403</v>
      </c>
      <c r="J4299" s="947" t="s">
        <v>20404</v>
      </c>
      <c r="K4299" s="143"/>
    </row>
    <row r="4300" spans="1:11">
      <c r="A4300" s="946" t="s">
        <v>28618</v>
      </c>
      <c r="B4300" s="947" t="s">
        <v>21627</v>
      </c>
      <c r="C4300" s="948" t="s">
        <v>21625</v>
      </c>
      <c r="D4300" s="242" t="s">
        <v>24912</v>
      </c>
      <c r="E4300" s="949">
        <v>902</v>
      </c>
      <c r="F4300" s="949">
        <v>902</v>
      </c>
      <c r="G4300" s="950" t="s">
        <v>15072</v>
      </c>
      <c r="H4300" s="950" t="s">
        <v>2439</v>
      </c>
      <c r="I4300" s="951" t="s">
        <v>21626</v>
      </c>
      <c r="J4300" s="947" t="s">
        <v>21627</v>
      </c>
      <c r="K4300" s="143"/>
    </row>
    <row r="4301" spans="1:11">
      <c r="A4301" s="946" t="s">
        <v>28618</v>
      </c>
      <c r="B4301" s="947" t="s">
        <v>21943</v>
      </c>
      <c r="C4301" s="948" t="s">
        <v>21941</v>
      </c>
      <c r="D4301" s="242" t="s">
        <v>24912</v>
      </c>
      <c r="E4301" s="949">
        <v>902</v>
      </c>
      <c r="F4301" s="949">
        <v>902</v>
      </c>
      <c r="G4301" s="950" t="s">
        <v>15072</v>
      </c>
      <c r="H4301" s="950" t="s">
        <v>2439</v>
      </c>
      <c r="I4301" s="951" t="s">
        <v>21942</v>
      </c>
      <c r="J4301" s="947" t="s">
        <v>21943</v>
      </c>
      <c r="K4301" s="143"/>
    </row>
    <row r="4302" spans="1:11">
      <c r="A4302" s="946" t="s">
        <v>28618</v>
      </c>
      <c r="B4302" s="947" t="s">
        <v>22528</v>
      </c>
      <c r="C4302" s="948" t="s">
        <v>22526</v>
      </c>
      <c r="D4302" s="242" t="s">
        <v>24912</v>
      </c>
      <c r="E4302" s="949">
        <v>905</v>
      </c>
      <c r="F4302" s="949">
        <v>905</v>
      </c>
      <c r="G4302" s="950" t="s">
        <v>15072</v>
      </c>
      <c r="H4302" s="950" t="s">
        <v>2439</v>
      </c>
      <c r="I4302" s="951" t="s">
        <v>22527</v>
      </c>
      <c r="J4302" s="947" t="s">
        <v>22528</v>
      </c>
      <c r="K4302" s="143"/>
    </row>
    <row r="4303" spans="1:11">
      <c r="A4303" s="946" t="s">
        <v>28618</v>
      </c>
      <c r="B4303" s="947" t="s">
        <v>24917</v>
      </c>
      <c r="C4303" s="948" t="s">
        <v>26397</v>
      </c>
      <c r="D4303" s="242" t="s">
        <v>24912</v>
      </c>
      <c r="E4303" s="949">
        <v>902</v>
      </c>
      <c r="F4303" s="949">
        <v>902</v>
      </c>
      <c r="G4303" s="950" t="s">
        <v>15072</v>
      </c>
      <c r="H4303" s="950" t="s">
        <v>2439</v>
      </c>
      <c r="I4303" s="951" t="s">
        <v>24918</v>
      </c>
      <c r="J4303" s="947" t="s">
        <v>24917</v>
      </c>
      <c r="K4303" s="143"/>
    </row>
    <row r="4304" spans="1:11">
      <c r="A4304" s="946" t="s">
        <v>28618</v>
      </c>
      <c r="B4304" s="947" t="s">
        <v>24925</v>
      </c>
      <c r="C4304" s="948" t="s">
        <v>26398</v>
      </c>
      <c r="D4304" s="242" t="s">
        <v>24912</v>
      </c>
      <c r="E4304" s="949">
        <v>902</v>
      </c>
      <c r="F4304" s="949">
        <v>902</v>
      </c>
      <c r="G4304" s="950" t="s">
        <v>15072</v>
      </c>
      <c r="H4304" s="950" t="s">
        <v>2439</v>
      </c>
      <c r="I4304" s="951" t="s">
        <v>24926</v>
      </c>
      <c r="J4304" s="947" t="s">
        <v>24925</v>
      </c>
      <c r="K4304" s="143"/>
    </row>
    <row r="4305" spans="1:11">
      <c r="A4305" s="946" t="s">
        <v>28618</v>
      </c>
      <c r="B4305" s="947" t="s">
        <v>1160</v>
      </c>
      <c r="C4305" s="948" t="s">
        <v>1157</v>
      </c>
      <c r="D4305" s="242" t="s">
        <v>24912</v>
      </c>
      <c r="E4305" s="949">
        <v>904</v>
      </c>
      <c r="F4305" s="949">
        <v>904</v>
      </c>
      <c r="G4305" s="950" t="s">
        <v>1382</v>
      </c>
      <c r="H4305" s="950" t="s">
        <v>1158</v>
      </c>
      <c r="I4305" s="951" t="s">
        <v>1159</v>
      </c>
      <c r="J4305" s="947" t="s">
        <v>1160</v>
      </c>
      <c r="K4305" s="143"/>
    </row>
    <row r="4306" spans="1:11">
      <c r="A4306" s="946" t="s">
        <v>28618</v>
      </c>
      <c r="B4306" s="947" t="s">
        <v>1382</v>
      </c>
      <c r="C4306" s="948" t="s">
        <v>1380</v>
      </c>
      <c r="D4306" s="242" t="s">
        <v>24912</v>
      </c>
      <c r="E4306" s="949">
        <v>904</v>
      </c>
      <c r="F4306" s="949">
        <v>904</v>
      </c>
      <c r="G4306" s="950" t="s">
        <v>1382</v>
      </c>
      <c r="H4306" s="950" t="s">
        <v>1158</v>
      </c>
      <c r="I4306" s="951" t="s">
        <v>1381</v>
      </c>
      <c r="J4306" s="947" t="s">
        <v>1382</v>
      </c>
      <c r="K4306" s="143"/>
    </row>
    <row r="4307" spans="1:11">
      <c r="A4307" s="946" t="s">
        <v>28618</v>
      </c>
      <c r="B4307" s="947" t="s">
        <v>1749</v>
      </c>
      <c r="C4307" s="948" t="s">
        <v>1747</v>
      </c>
      <c r="D4307" s="242" t="s">
        <v>24912</v>
      </c>
      <c r="E4307" s="949">
        <v>904</v>
      </c>
      <c r="F4307" s="949">
        <v>904</v>
      </c>
      <c r="G4307" s="950" t="s">
        <v>1382</v>
      </c>
      <c r="H4307" s="950" t="s">
        <v>1158</v>
      </c>
      <c r="I4307" s="951" t="s">
        <v>1748</v>
      </c>
      <c r="J4307" s="947" t="s">
        <v>1749</v>
      </c>
      <c r="K4307" s="143"/>
    </row>
    <row r="4308" spans="1:11">
      <c r="A4308" s="946" t="s">
        <v>28618</v>
      </c>
      <c r="B4308" s="947" t="s">
        <v>2413</v>
      </c>
      <c r="C4308" s="948" t="s">
        <v>2411</v>
      </c>
      <c r="D4308" s="242" t="s">
        <v>24912</v>
      </c>
      <c r="E4308" s="949">
        <v>904</v>
      </c>
      <c r="F4308" s="949">
        <v>904</v>
      </c>
      <c r="G4308" s="950" t="s">
        <v>1382</v>
      </c>
      <c r="H4308" s="950" t="s">
        <v>1158</v>
      </c>
      <c r="I4308" s="951" t="s">
        <v>2412</v>
      </c>
      <c r="J4308" s="947" t="s">
        <v>2413</v>
      </c>
      <c r="K4308" s="143"/>
    </row>
    <row r="4309" spans="1:11">
      <c r="A4309" s="946" t="s">
        <v>28618</v>
      </c>
      <c r="B4309" s="947" t="s">
        <v>3203</v>
      </c>
      <c r="C4309" s="948" t="s">
        <v>3201</v>
      </c>
      <c r="D4309" s="242" t="s">
        <v>24912</v>
      </c>
      <c r="E4309" s="949">
        <v>904</v>
      </c>
      <c r="F4309" s="949">
        <v>904</v>
      </c>
      <c r="G4309" s="950" t="s">
        <v>1382</v>
      </c>
      <c r="H4309" s="950" t="s">
        <v>1158</v>
      </c>
      <c r="I4309" s="951" t="s">
        <v>3202</v>
      </c>
      <c r="J4309" s="947" t="s">
        <v>3203</v>
      </c>
      <c r="K4309" s="143"/>
    </row>
    <row r="4310" spans="1:11">
      <c r="A4310" s="946" t="s">
        <v>28618</v>
      </c>
      <c r="B4310" s="947" t="s">
        <v>4079</v>
      </c>
      <c r="C4310" s="948" t="s">
        <v>4077</v>
      </c>
      <c r="D4310" s="242" t="s">
        <v>24912</v>
      </c>
      <c r="E4310" s="949">
        <v>904</v>
      </c>
      <c r="F4310" s="949">
        <v>904</v>
      </c>
      <c r="G4310" s="950" t="s">
        <v>1382</v>
      </c>
      <c r="H4310" s="950" t="s">
        <v>1158</v>
      </c>
      <c r="I4310" s="951" t="s">
        <v>4078</v>
      </c>
      <c r="J4310" s="947" t="s">
        <v>4079</v>
      </c>
      <c r="K4310" s="143"/>
    </row>
    <row r="4311" spans="1:11">
      <c r="A4311" s="946" t="s">
        <v>28618</v>
      </c>
      <c r="B4311" s="947" t="s">
        <v>4137</v>
      </c>
      <c r="C4311" s="948" t="s">
        <v>4135</v>
      </c>
      <c r="D4311" s="242" t="s">
        <v>24912</v>
      </c>
      <c r="E4311" s="949">
        <v>904</v>
      </c>
      <c r="F4311" s="949">
        <v>904</v>
      </c>
      <c r="G4311" s="950" t="s">
        <v>1382</v>
      </c>
      <c r="H4311" s="950" t="s">
        <v>1158</v>
      </c>
      <c r="I4311" s="951" t="s">
        <v>4136</v>
      </c>
      <c r="J4311" s="947" t="s">
        <v>4137</v>
      </c>
      <c r="K4311" s="143"/>
    </row>
    <row r="4312" spans="1:11">
      <c r="A4312" s="946" t="s">
        <v>28618</v>
      </c>
      <c r="B4312" s="947" t="s">
        <v>4973</v>
      </c>
      <c r="C4312" s="948" t="s">
        <v>4971</v>
      </c>
      <c r="D4312" s="242" t="s">
        <v>24912</v>
      </c>
      <c r="E4312" s="949">
        <v>904</v>
      </c>
      <c r="F4312" s="949">
        <v>904</v>
      </c>
      <c r="G4312" s="950" t="s">
        <v>1382</v>
      </c>
      <c r="H4312" s="950" t="s">
        <v>1158</v>
      </c>
      <c r="I4312" s="951" t="s">
        <v>4972</v>
      </c>
      <c r="J4312" s="947" t="s">
        <v>4973</v>
      </c>
      <c r="K4312" s="143"/>
    </row>
    <row r="4313" spans="1:11">
      <c r="A4313" s="946" t="s">
        <v>28618</v>
      </c>
      <c r="B4313" s="947" t="s">
        <v>5024</v>
      </c>
      <c r="C4313" s="948" t="s">
        <v>5022</v>
      </c>
      <c r="D4313" s="242" t="s">
        <v>24912</v>
      </c>
      <c r="E4313" s="949">
        <v>904</v>
      </c>
      <c r="F4313" s="949">
        <v>904</v>
      </c>
      <c r="G4313" s="950" t="s">
        <v>1382</v>
      </c>
      <c r="H4313" s="950" t="s">
        <v>1158</v>
      </c>
      <c r="I4313" s="951" t="s">
        <v>5023</v>
      </c>
      <c r="J4313" s="947" t="s">
        <v>5024</v>
      </c>
      <c r="K4313" s="143"/>
    </row>
    <row r="4314" spans="1:11">
      <c r="A4314" s="946" t="s">
        <v>28618</v>
      </c>
      <c r="B4314" s="947" t="s">
        <v>5476</v>
      </c>
      <c r="C4314" s="948" t="s">
        <v>5474</v>
      </c>
      <c r="D4314" s="242" t="s">
        <v>24912</v>
      </c>
      <c r="E4314" s="949">
        <v>904</v>
      </c>
      <c r="F4314" s="949">
        <v>904</v>
      </c>
      <c r="G4314" s="950" t="s">
        <v>1382</v>
      </c>
      <c r="H4314" s="950" t="s">
        <v>1158</v>
      </c>
      <c r="I4314" s="951" t="s">
        <v>5475</v>
      </c>
      <c r="J4314" s="947" t="s">
        <v>5476</v>
      </c>
      <c r="K4314" s="143"/>
    </row>
    <row r="4315" spans="1:11">
      <c r="A4315" s="946" t="s">
        <v>28618</v>
      </c>
      <c r="B4315" s="947" t="s">
        <v>5479</v>
      </c>
      <c r="C4315" s="948" t="s">
        <v>5477</v>
      </c>
      <c r="D4315" s="242" t="s">
        <v>24912</v>
      </c>
      <c r="E4315" s="949">
        <v>904</v>
      </c>
      <c r="F4315" s="949">
        <v>904</v>
      </c>
      <c r="G4315" s="950" t="s">
        <v>1382</v>
      </c>
      <c r="H4315" s="950" t="s">
        <v>1158</v>
      </c>
      <c r="I4315" s="951" t="s">
        <v>5478</v>
      </c>
      <c r="J4315" s="947" t="s">
        <v>5479</v>
      </c>
      <c r="K4315" s="143"/>
    </row>
    <row r="4316" spans="1:11">
      <c r="A4316" s="946" t="s">
        <v>28618</v>
      </c>
      <c r="B4316" s="947" t="s">
        <v>5736</v>
      </c>
      <c r="C4316" s="948" t="s">
        <v>5734</v>
      </c>
      <c r="D4316" s="242" t="s">
        <v>24912</v>
      </c>
      <c r="E4316" s="949">
        <v>903</v>
      </c>
      <c r="F4316" s="949">
        <v>903</v>
      </c>
      <c r="G4316" s="950" t="s">
        <v>1382</v>
      </c>
      <c r="H4316" s="950" t="s">
        <v>1158</v>
      </c>
      <c r="I4316" s="951" t="s">
        <v>5735</v>
      </c>
      <c r="J4316" s="947" t="s">
        <v>5736</v>
      </c>
      <c r="K4316" s="143"/>
    </row>
    <row r="4317" spans="1:11">
      <c r="A4317" s="946" t="s">
        <v>28618</v>
      </c>
      <c r="B4317" s="947" t="s">
        <v>6289</v>
      </c>
      <c r="C4317" s="948" t="s">
        <v>6287</v>
      </c>
      <c r="D4317" s="242" t="s">
        <v>24912</v>
      </c>
      <c r="E4317" s="949">
        <v>904</v>
      </c>
      <c r="F4317" s="949">
        <v>904</v>
      </c>
      <c r="G4317" s="950" t="s">
        <v>1382</v>
      </c>
      <c r="H4317" s="950" t="s">
        <v>1158</v>
      </c>
      <c r="I4317" s="951" t="s">
        <v>6288</v>
      </c>
      <c r="J4317" s="947" t="s">
        <v>6289</v>
      </c>
      <c r="K4317" s="143"/>
    </row>
    <row r="4318" spans="1:11">
      <c r="A4318" s="946" t="s">
        <v>28618</v>
      </c>
      <c r="B4318" s="947" t="s">
        <v>6332</v>
      </c>
      <c r="C4318" s="948" t="s">
        <v>6330</v>
      </c>
      <c r="D4318" s="242" t="s">
        <v>24912</v>
      </c>
      <c r="E4318" s="949">
        <v>904</v>
      </c>
      <c r="F4318" s="949">
        <v>904</v>
      </c>
      <c r="G4318" s="950" t="s">
        <v>1382</v>
      </c>
      <c r="H4318" s="950" t="s">
        <v>1158</v>
      </c>
      <c r="I4318" s="951" t="s">
        <v>6331</v>
      </c>
      <c r="J4318" s="947" t="s">
        <v>6332</v>
      </c>
      <c r="K4318" s="143"/>
    </row>
    <row r="4319" spans="1:11">
      <c r="A4319" s="946" t="s">
        <v>28618</v>
      </c>
      <c r="B4319" s="947" t="s">
        <v>6591</v>
      </c>
      <c r="C4319" s="948" t="s">
        <v>6589</v>
      </c>
      <c r="D4319" s="242" t="s">
        <v>24912</v>
      </c>
      <c r="E4319" s="949">
        <v>904</v>
      </c>
      <c r="F4319" s="949">
        <v>904</v>
      </c>
      <c r="G4319" s="950" t="s">
        <v>1382</v>
      </c>
      <c r="H4319" s="950" t="s">
        <v>1158</v>
      </c>
      <c r="I4319" s="951" t="s">
        <v>6590</v>
      </c>
      <c r="J4319" s="947" t="s">
        <v>6591</v>
      </c>
      <c r="K4319" s="143"/>
    </row>
    <row r="4320" spans="1:11">
      <c r="A4320" s="946" t="s">
        <v>28618</v>
      </c>
      <c r="B4320" s="947" t="s">
        <v>7205</v>
      </c>
      <c r="C4320" s="948" t="s">
        <v>7203</v>
      </c>
      <c r="D4320" s="242" t="s">
        <v>24912</v>
      </c>
      <c r="E4320" s="949">
        <v>904</v>
      </c>
      <c r="F4320" s="949">
        <v>904</v>
      </c>
      <c r="G4320" s="950" t="s">
        <v>1382</v>
      </c>
      <c r="H4320" s="950" t="s">
        <v>1158</v>
      </c>
      <c r="I4320" s="951" t="s">
        <v>7204</v>
      </c>
      <c r="J4320" s="947" t="s">
        <v>7205</v>
      </c>
      <c r="K4320" s="143"/>
    </row>
    <row r="4321" spans="1:11">
      <c r="A4321" s="946" t="s">
        <v>28618</v>
      </c>
      <c r="B4321" s="947" t="s">
        <v>8359</v>
      </c>
      <c r="C4321" s="948" t="s">
        <v>8357</v>
      </c>
      <c r="D4321" s="242" t="s">
        <v>24912</v>
      </c>
      <c r="E4321" s="949">
        <v>904</v>
      </c>
      <c r="F4321" s="949">
        <v>904</v>
      </c>
      <c r="G4321" s="950" t="s">
        <v>1382</v>
      </c>
      <c r="H4321" s="950" t="s">
        <v>1158</v>
      </c>
      <c r="I4321" s="951" t="s">
        <v>8358</v>
      </c>
      <c r="J4321" s="947" t="s">
        <v>8359</v>
      </c>
      <c r="K4321" s="143"/>
    </row>
    <row r="4322" spans="1:11">
      <c r="A4322" s="946" t="s">
        <v>28618</v>
      </c>
      <c r="B4322" s="947" t="s">
        <v>10648</v>
      </c>
      <c r="C4322" s="948" t="s">
        <v>10646</v>
      </c>
      <c r="D4322" s="242" t="s">
        <v>24912</v>
      </c>
      <c r="E4322" s="949">
        <v>903</v>
      </c>
      <c r="F4322" s="949">
        <v>903</v>
      </c>
      <c r="G4322" s="950" t="s">
        <v>1382</v>
      </c>
      <c r="H4322" s="950" t="s">
        <v>1158</v>
      </c>
      <c r="I4322" s="951" t="s">
        <v>10647</v>
      </c>
      <c r="J4322" s="947" t="s">
        <v>10648</v>
      </c>
      <c r="K4322" s="143"/>
    </row>
    <row r="4323" spans="1:11">
      <c r="A4323" s="946" t="s">
        <v>28618</v>
      </c>
      <c r="B4323" s="947" t="s">
        <v>10694</v>
      </c>
      <c r="C4323" s="948" t="s">
        <v>10692</v>
      </c>
      <c r="D4323" s="242" t="s">
        <v>24912</v>
      </c>
      <c r="E4323" s="949">
        <v>904</v>
      </c>
      <c r="F4323" s="949">
        <v>904</v>
      </c>
      <c r="G4323" s="950" t="s">
        <v>1382</v>
      </c>
      <c r="H4323" s="950" t="s">
        <v>1158</v>
      </c>
      <c r="I4323" s="951" t="s">
        <v>10693</v>
      </c>
      <c r="J4323" s="947" t="s">
        <v>10694</v>
      </c>
      <c r="K4323" s="143"/>
    </row>
    <row r="4324" spans="1:11">
      <c r="A4324" s="946" t="s">
        <v>28618</v>
      </c>
      <c r="B4324" s="947" t="s">
        <v>11164</v>
      </c>
      <c r="C4324" s="948" t="s">
        <v>11162</v>
      </c>
      <c r="D4324" s="242" t="s">
        <v>24912</v>
      </c>
      <c r="E4324" s="949">
        <v>904</v>
      </c>
      <c r="F4324" s="949">
        <v>904</v>
      </c>
      <c r="G4324" s="950" t="s">
        <v>1382</v>
      </c>
      <c r="H4324" s="950" t="s">
        <v>1158</v>
      </c>
      <c r="I4324" s="951" t="s">
        <v>11163</v>
      </c>
      <c r="J4324" s="947" t="s">
        <v>11164</v>
      </c>
      <c r="K4324" s="143"/>
    </row>
    <row r="4325" spans="1:11">
      <c r="A4325" s="946" t="s">
        <v>28618</v>
      </c>
      <c r="B4325" s="947" t="s">
        <v>12632</v>
      </c>
      <c r="C4325" s="948" t="s">
        <v>12630</v>
      </c>
      <c r="D4325" s="242" t="s">
        <v>24912</v>
      </c>
      <c r="E4325" s="949">
        <v>904</v>
      </c>
      <c r="F4325" s="949">
        <v>904</v>
      </c>
      <c r="G4325" s="950" t="s">
        <v>1382</v>
      </c>
      <c r="H4325" s="950" t="s">
        <v>1158</v>
      </c>
      <c r="I4325" s="951" t="s">
        <v>12631</v>
      </c>
      <c r="J4325" s="947" t="s">
        <v>12632</v>
      </c>
      <c r="K4325" s="143"/>
    </row>
    <row r="4326" spans="1:11">
      <c r="A4326" s="946" t="s">
        <v>28618</v>
      </c>
      <c r="B4326" s="947" t="s">
        <v>12682</v>
      </c>
      <c r="C4326" s="948" t="s">
        <v>12680</v>
      </c>
      <c r="D4326" s="242" t="s">
        <v>24912</v>
      </c>
      <c r="E4326" s="949">
        <v>904</v>
      </c>
      <c r="F4326" s="949">
        <v>904</v>
      </c>
      <c r="G4326" s="950" t="s">
        <v>1382</v>
      </c>
      <c r="H4326" s="950" t="s">
        <v>1158</v>
      </c>
      <c r="I4326" s="951" t="s">
        <v>12681</v>
      </c>
      <c r="J4326" s="947" t="s">
        <v>12682</v>
      </c>
      <c r="K4326" s="143"/>
    </row>
    <row r="4327" spans="1:11">
      <c r="A4327" s="946" t="s">
        <v>28618</v>
      </c>
      <c r="B4327" s="947" t="s">
        <v>12337</v>
      </c>
      <c r="C4327" s="948" t="s">
        <v>12335</v>
      </c>
      <c r="D4327" s="242" t="s">
        <v>24912</v>
      </c>
      <c r="E4327" s="949">
        <v>904</v>
      </c>
      <c r="F4327" s="949">
        <v>904</v>
      </c>
      <c r="G4327" s="950" t="s">
        <v>1382</v>
      </c>
      <c r="H4327" s="950" t="s">
        <v>1158</v>
      </c>
      <c r="I4327" s="951" t="s">
        <v>12336</v>
      </c>
      <c r="J4327" s="947" t="s">
        <v>12337</v>
      </c>
      <c r="K4327" s="143"/>
    </row>
    <row r="4328" spans="1:11">
      <c r="A4328" s="946" t="s">
        <v>28618</v>
      </c>
      <c r="B4328" s="947" t="s">
        <v>12769</v>
      </c>
      <c r="C4328" s="948" t="s">
        <v>12767</v>
      </c>
      <c r="D4328" s="242" t="s">
        <v>24912</v>
      </c>
      <c r="E4328" s="949">
        <v>903</v>
      </c>
      <c r="F4328" s="949">
        <v>903</v>
      </c>
      <c r="G4328" s="950" t="s">
        <v>1382</v>
      </c>
      <c r="H4328" s="950" t="s">
        <v>1158</v>
      </c>
      <c r="I4328" s="951" t="s">
        <v>12768</v>
      </c>
      <c r="J4328" s="947" t="s">
        <v>12769</v>
      </c>
      <c r="K4328" s="143"/>
    </row>
    <row r="4329" spans="1:11">
      <c r="A4329" s="946" t="s">
        <v>28618</v>
      </c>
      <c r="B4329" s="947" t="s">
        <v>13795</v>
      </c>
      <c r="C4329" s="948" t="s">
        <v>13793</v>
      </c>
      <c r="D4329" s="242" t="s">
        <v>24912</v>
      </c>
      <c r="E4329" s="949">
        <v>904</v>
      </c>
      <c r="F4329" s="949">
        <v>904</v>
      </c>
      <c r="G4329" s="950" t="s">
        <v>1382</v>
      </c>
      <c r="H4329" s="950" t="s">
        <v>1158</v>
      </c>
      <c r="I4329" s="951" t="s">
        <v>13794</v>
      </c>
      <c r="J4329" s="947" t="s">
        <v>13795</v>
      </c>
      <c r="K4329" s="143"/>
    </row>
    <row r="4330" spans="1:11">
      <c r="A4330" s="946" t="s">
        <v>28618</v>
      </c>
      <c r="B4330" s="947" t="s">
        <v>14958</v>
      </c>
      <c r="C4330" s="948" t="s">
        <v>14956</v>
      </c>
      <c r="D4330" s="242" t="s">
        <v>24912</v>
      </c>
      <c r="E4330" s="949">
        <v>904</v>
      </c>
      <c r="F4330" s="949">
        <v>904</v>
      </c>
      <c r="G4330" s="950" t="s">
        <v>1382</v>
      </c>
      <c r="H4330" s="950" t="s">
        <v>1158</v>
      </c>
      <c r="I4330" s="951" t="s">
        <v>14957</v>
      </c>
      <c r="J4330" s="947" t="s">
        <v>14958</v>
      </c>
      <c r="K4330" s="143"/>
    </row>
    <row r="4331" spans="1:11">
      <c r="A4331" s="946" t="s">
        <v>28618</v>
      </c>
      <c r="B4331" s="947" t="s">
        <v>15505</v>
      </c>
      <c r="C4331" s="948" t="s">
        <v>15503</v>
      </c>
      <c r="D4331" s="242" t="s">
        <v>24912</v>
      </c>
      <c r="E4331" s="949">
        <v>904</v>
      </c>
      <c r="F4331" s="949">
        <v>904</v>
      </c>
      <c r="G4331" s="950" t="s">
        <v>1382</v>
      </c>
      <c r="H4331" s="950" t="s">
        <v>1158</v>
      </c>
      <c r="I4331" s="951" t="s">
        <v>15504</v>
      </c>
      <c r="J4331" s="947" t="s">
        <v>15505</v>
      </c>
      <c r="K4331" s="143"/>
    </row>
    <row r="4332" spans="1:11">
      <c r="A4332" s="946" t="s">
        <v>28618</v>
      </c>
      <c r="B4332" s="947" t="s">
        <v>17751</v>
      </c>
      <c r="C4332" s="948" t="s">
        <v>17749</v>
      </c>
      <c r="D4332" s="242" t="s">
        <v>24912</v>
      </c>
      <c r="E4332" s="949">
        <v>903</v>
      </c>
      <c r="F4332" s="949">
        <v>903</v>
      </c>
      <c r="G4332" s="950" t="s">
        <v>1382</v>
      </c>
      <c r="H4332" s="950" t="s">
        <v>1158</v>
      </c>
      <c r="I4332" s="951" t="s">
        <v>17750</v>
      </c>
      <c r="J4332" s="947" t="s">
        <v>17751</v>
      </c>
      <c r="K4332" s="143"/>
    </row>
    <row r="4333" spans="1:11">
      <c r="A4333" s="946" t="s">
        <v>28618</v>
      </c>
      <c r="B4333" s="947" t="s">
        <v>18369</v>
      </c>
      <c r="C4333" s="948" t="s">
        <v>18367</v>
      </c>
      <c r="D4333" s="242" t="s">
        <v>24912</v>
      </c>
      <c r="E4333" s="949">
        <v>904</v>
      </c>
      <c r="F4333" s="949">
        <v>904</v>
      </c>
      <c r="G4333" s="950" t="s">
        <v>1382</v>
      </c>
      <c r="H4333" s="950" t="s">
        <v>1158</v>
      </c>
      <c r="I4333" s="951" t="s">
        <v>18368</v>
      </c>
      <c r="J4333" s="947" t="s">
        <v>18369</v>
      </c>
      <c r="K4333" s="143"/>
    </row>
    <row r="4334" spans="1:11">
      <c r="A4334" s="946" t="s">
        <v>28618</v>
      </c>
      <c r="B4334" s="947" t="s">
        <v>19413</v>
      </c>
      <c r="C4334" s="948" t="s">
        <v>19411</v>
      </c>
      <c r="D4334" s="242" t="s">
        <v>24912</v>
      </c>
      <c r="E4334" s="949">
        <v>904</v>
      </c>
      <c r="F4334" s="949">
        <v>904</v>
      </c>
      <c r="G4334" s="950" t="s">
        <v>1382</v>
      </c>
      <c r="H4334" s="950" t="s">
        <v>1158</v>
      </c>
      <c r="I4334" s="951" t="s">
        <v>19412</v>
      </c>
      <c r="J4334" s="947" t="s">
        <v>19413</v>
      </c>
      <c r="K4334" s="143"/>
    </row>
    <row r="4335" spans="1:11">
      <c r="A4335" s="946" t="s">
        <v>28618</v>
      </c>
      <c r="B4335" s="947" t="s">
        <v>20083</v>
      </c>
      <c r="C4335" s="948" t="s">
        <v>20081</v>
      </c>
      <c r="D4335" s="242" t="s">
        <v>24912</v>
      </c>
      <c r="E4335" s="949">
        <v>904</v>
      </c>
      <c r="F4335" s="949">
        <v>904</v>
      </c>
      <c r="G4335" s="950" t="s">
        <v>1382</v>
      </c>
      <c r="H4335" s="950" t="s">
        <v>1158</v>
      </c>
      <c r="I4335" s="951" t="s">
        <v>20082</v>
      </c>
      <c r="J4335" s="947" t="s">
        <v>20083</v>
      </c>
      <c r="K4335" s="143"/>
    </row>
    <row r="4336" spans="1:11">
      <c r="A4336" s="946" t="s">
        <v>28618</v>
      </c>
      <c r="B4336" s="947" t="s">
        <v>20192</v>
      </c>
      <c r="C4336" s="948" t="s">
        <v>20190</v>
      </c>
      <c r="D4336" s="242" t="s">
        <v>24912</v>
      </c>
      <c r="E4336" s="949">
        <v>904</v>
      </c>
      <c r="F4336" s="949">
        <v>904</v>
      </c>
      <c r="G4336" s="950" t="s">
        <v>1382</v>
      </c>
      <c r="H4336" s="950" t="s">
        <v>1158</v>
      </c>
      <c r="I4336" s="951" t="s">
        <v>20191</v>
      </c>
      <c r="J4336" s="947" t="s">
        <v>20192</v>
      </c>
      <c r="K4336" s="143"/>
    </row>
    <row r="4337" spans="1:11">
      <c r="A4337" s="946" t="s">
        <v>28618</v>
      </c>
      <c r="B4337" s="947" t="s">
        <v>20389</v>
      </c>
      <c r="C4337" s="948" t="s">
        <v>20387</v>
      </c>
      <c r="D4337" s="242" t="s">
        <v>24912</v>
      </c>
      <c r="E4337" s="949">
        <v>903</v>
      </c>
      <c r="F4337" s="949">
        <v>903</v>
      </c>
      <c r="G4337" s="950" t="s">
        <v>1382</v>
      </c>
      <c r="H4337" s="950" t="s">
        <v>1158</v>
      </c>
      <c r="I4337" s="951" t="s">
        <v>20388</v>
      </c>
      <c r="J4337" s="947" t="s">
        <v>20389</v>
      </c>
      <c r="K4337" s="143"/>
    </row>
    <row r="4338" spans="1:11">
      <c r="A4338" s="946" t="s">
        <v>28618</v>
      </c>
      <c r="B4338" s="947" t="s">
        <v>24919</v>
      </c>
      <c r="C4338" s="948" t="s">
        <v>26399</v>
      </c>
      <c r="D4338" s="242" t="s">
        <v>24912</v>
      </c>
      <c r="E4338" s="949">
        <v>903</v>
      </c>
      <c r="F4338" s="949">
        <v>903</v>
      </c>
      <c r="G4338" s="950" t="s">
        <v>1382</v>
      </c>
      <c r="H4338" s="950" t="s">
        <v>1158</v>
      </c>
      <c r="I4338" s="951" t="s">
        <v>24920</v>
      </c>
      <c r="J4338" s="947" t="s">
        <v>24919</v>
      </c>
      <c r="K4338" s="143"/>
    </row>
    <row r="4339" spans="1:11">
      <c r="A4339" s="946" t="s">
        <v>28618</v>
      </c>
      <c r="B4339" s="947" t="s">
        <v>24943</v>
      </c>
      <c r="C4339" s="948" t="s">
        <v>26400</v>
      </c>
      <c r="D4339" s="242" t="s">
        <v>24912</v>
      </c>
      <c r="E4339" s="949">
        <v>904</v>
      </c>
      <c r="F4339" s="949">
        <v>904</v>
      </c>
      <c r="G4339" s="950" t="s">
        <v>1382</v>
      </c>
      <c r="H4339" s="950" t="s">
        <v>1158</v>
      </c>
      <c r="I4339" s="951" t="s">
        <v>24944</v>
      </c>
      <c r="J4339" s="947" t="s">
        <v>24943</v>
      </c>
      <c r="K4339" s="143"/>
    </row>
    <row r="4340" spans="1:11">
      <c r="A4340" s="946" t="s">
        <v>28618</v>
      </c>
      <c r="B4340" s="947" t="s">
        <v>28656</v>
      </c>
      <c r="C4340" s="948" t="s">
        <v>28779</v>
      </c>
      <c r="D4340" s="242" t="s">
        <v>24912</v>
      </c>
      <c r="E4340" s="949">
        <v>904</v>
      </c>
      <c r="F4340" s="949">
        <v>904</v>
      </c>
      <c r="G4340" s="950" t="s">
        <v>1382</v>
      </c>
      <c r="H4340" s="950" t="s">
        <v>1158</v>
      </c>
      <c r="I4340" s="951" t="s">
        <v>28700</v>
      </c>
      <c r="J4340" s="947" t="s">
        <v>28656</v>
      </c>
      <c r="K4340" s="143"/>
    </row>
    <row r="4341" spans="1:11">
      <c r="A4341" s="946" t="s">
        <v>28618</v>
      </c>
      <c r="B4341" s="947" t="s">
        <v>346</v>
      </c>
      <c r="C4341" s="948" t="s">
        <v>344</v>
      </c>
      <c r="D4341" s="242" t="s">
        <v>24912</v>
      </c>
      <c r="E4341" s="949">
        <v>906</v>
      </c>
      <c r="F4341" s="949">
        <v>906</v>
      </c>
      <c r="G4341" s="950" t="s">
        <v>19511</v>
      </c>
      <c r="H4341" s="950" t="s">
        <v>133</v>
      </c>
      <c r="I4341" s="951" t="s">
        <v>345</v>
      </c>
      <c r="J4341" s="947" t="s">
        <v>346</v>
      </c>
      <c r="K4341" s="143"/>
    </row>
    <row r="4342" spans="1:11">
      <c r="A4342" s="946" t="s">
        <v>28618</v>
      </c>
      <c r="B4342" s="947" t="s">
        <v>1541</v>
      </c>
      <c r="C4342" s="948" t="s">
        <v>1539</v>
      </c>
      <c r="D4342" s="242" t="s">
        <v>24912</v>
      </c>
      <c r="E4342" s="949">
        <v>906</v>
      </c>
      <c r="F4342" s="949">
        <v>906</v>
      </c>
      <c r="G4342" s="950" t="s">
        <v>19511</v>
      </c>
      <c r="H4342" s="950" t="s">
        <v>133</v>
      </c>
      <c r="I4342" s="951" t="s">
        <v>1540</v>
      </c>
      <c r="J4342" s="947" t="s">
        <v>1541</v>
      </c>
      <c r="K4342" s="143"/>
    </row>
    <row r="4343" spans="1:11">
      <c r="A4343" s="946" t="s">
        <v>28618</v>
      </c>
      <c r="B4343" s="947" t="s">
        <v>3246</v>
      </c>
      <c r="C4343" s="948" t="s">
        <v>3244</v>
      </c>
      <c r="D4343" s="242" t="s">
        <v>24912</v>
      </c>
      <c r="E4343" s="949">
        <v>906</v>
      </c>
      <c r="F4343" s="949">
        <v>906</v>
      </c>
      <c r="G4343" s="950" t="s">
        <v>19511</v>
      </c>
      <c r="H4343" s="950" t="s">
        <v>133</v>
      </c>
      <c r="I4343" s="951" t="s">
        <v>3245</v>
      </c>
      <c r="J4343" s="947" t="s">
        <v>3246</v>
      </c>
      <c r="K4343" s="143"/>
    </row>
    <row r="4344" spans="1:11">
      <c r="A4344" s="946" t="s">
        <v>28618</v>
      </c>
      <c r="B4344" s="947" t="s">
        <v>4790</v>
      </c>
      <c r="C4344" s="948" t="s">
        <v>4788</v>
      </c>
      <c r="D4344" s="242" t="s">
        <v>24912</v>
      </c>
      <c r="E4344" s="949">
        <v>906</v>
      </c>
      <c r="F4344" s="949">
        <v>906</v>
      </c>
      <c r="G4344" s="950" t="s">
        <v>19511</v>
      </c>
      <c r="H4344" s="950" t="s">
        <v>133</v>
      </c>
      <c r="I4344" s="951" t="s">
        <v>4789</v>
      </c>
      <c r="J4344" s="947" t="s">
        <v>4790</v>
      </c>
      <c r="K4344" s="143"/>
    </row>
    <row r="4345" spans="1:11">
      <c r="A4345" s="946" t="s">
        <v>28618</v>
      </c>
      <c r="B4345" s="947" t="s">
        <v>5226</v>
      </c>
      <c r="C4345" s="948" t="s">
        <v>5224</v>
      </c>
      <c r="D4345" s="242" t="s">
        <v>24912</v>
      </c>
      <c r="E4345" s="949">
        <v>906</v>
      </c>
      <c r="F4345" s="949">
        <v>906</v>
      </c>
      <c r="G4345" s="950" t="s">
        <v>19511</v>
      </c>
      <c r="H4345" s="950" t="s">
        <v>133</v>
      </c>
      <c r="I4345" s="951" t="s">
        <v>5225</v>
      </c>
      <c r="J4345" s="947" t="s">
        <v>5226</v>
      </c>
      <c r="K4345" s="143"/>
    </row>
    <row r="4346" spans="1:11">
      <c r="A4346" s="946" t="s">
        <v>28618</v>
      </c>
      <c r="B4346" s="947" t="s">
        <v>5332</v>
      </c>
      <c r="C4346" s="948" t="s">
        <v>5330</v>
      </c>
      <c r="D4346" s="242" t="s">
        <v>24912</v>
      </c>
      <c r="E4346" s="949">
        <v>906</v>
      </c>
      <c r="F4346" s="949">
        <v>906</v>
      </c>
      <c r="G4346" s="950" t="s">
        <v>19511</v>
      </c>
      <c r="H4346" s="950" t="s">
        <v>133</v>
      </c>
      <c r="I4346" s="951" t="s">
        <v>5331</v>
      </c>
      <c r="J4346" s="947" t="s">
        <v>5332</v>
      </c>
      <c r="K4346" s="143"/>
    </row>
    <row r="4347" spans="1:11">
      <c r="A4347" s="946" t="s">
        <v>28618</v>
      </c>
      <c r="B4347" s="947" t="s">
        <v>5515</v>
      </c>
      <c r="C4347" s="948" t="s">
        <v>5513</v>
      </c>
      <c r="D4347" s="242" t="s">
        <v>24912</v>
      </c>
      <c r="E4347" s="949">
        <v>906</v>
      </c>
      <c r="F4347" s="949">
        <v>906</v>
      </c>
      <c r="G4347" s="950" t="s">
        <v>19511</v>
      </c>
      <c r="H4347" s="950" t="s">
        <v>133</v>
      </c>
      <c r="I4347" s="951" t="s">
        <v>5514</v>
      </c>
      <c r="J4347" s="947" t="s">
        <v>5515</v>
      </c>
      <c r="K4347" s="143"/>
    </row>
    <row r="4348" spans="1:11">
      <c r="A4348" s="946" t="s">
        <v>28618</v>
      </c>
      <c r="B4348" s="947" t="s">
        <v>6157</v>
      </c>
      <c r="C4348" s="948" t="s">
        <v>6155</v>
      </c>
      <c r="D4348" s="242" t="s">
        <v>24912</v>
      </c>
      <c r="E4348" s="949">
        <v>906</v>
      </c>
      <c r="F4348" s="949">
        <v>906</v>
      </c>
      <c r="G4348" s="950" t="s">
        <v>19511</v>
      </c>
      <c r="H4348" s="950" t="s">
        <v>133</v>
      </c>
      <c r="I4348" s="951" t="s">
        <v>6156</v>
      </c>
      <c r="J4348" s="947" t="s">
        <v>6157</v>
      </c>
      <c r="K4348" s="143"/>
    </row>
    <row r="4349" spans="1:11">
      <c r="A4349" s="946" t="s">
        <v>28618</v>
      </c>
      <c r="B4349" s="947" t="s">
        <v>6205</v>
      </c>
      <c r="C4349" s="948" t="s">
        <v>6203</v>
      </c>
      <c r="D4349" s="242" t="s">
        <v>24912</v>
      </c>
      <c r="E4349" s="949">
        <v>904</v>
      </c>
      <c r="F4349" s="949">
        <v>904</v>
      </c>
      <c r="G4349" s="950" t="s">
        <v>19511</v>
      </c>
      <c r="H4349" s="950" t="s">
        <v>133</v>
      </c>
      <c r="I4349" s="951" t="s">
        <v>6204</v>
      </c>
      <c r="J4349" s="947" t="s">
        <v>6205</v>
      </c>
      <c r="K4349" s="143"/>
    </row>
    <row r="4350" spans="1:11">
      <c r="A4350" s="946" t="s">
        <v>28618</v>
      </c>
      <c r="B4350" s="947" t="s">
        <v>6326</v>
      </c>
      <c r="C4350" s="948" t="s">
        <v>6324</v>
      </c>
      <c r="D4350" s="242" t="s">
        <v>24912</v>
      </c>
      <c r="E4350" s="949">
        <v>906</v>
      </c>
      <c r="F4350" s="949">
        <v>906</v>
      </c>
      <c r="G4350" s="950" t="s">
        <v>19511</v>
      </c>
      <c r="H4350" s="950" t="s">
        <v>133</v>
      </c>
      <c r="I4350" s="951" t="s">
        <v>6325</v>
      </c>
      <c r="J4350" s="947" t="s">
        <v>6326</v>
      </c>
      <c r="K4350" s="143"/>
    </row>
    <row r="4351" spans="1:11">
      <c r="A4351" s="946" t="s">
        <v>28618</v>
      </c>
      <c r="B4351" s="947" t="s">
        <v>6329</v>
      </c>
      <c r="C4351" s="948" t="s">
        <v>6327</v>
      </c>
      <c r="D4351" s="242" t="s">
        <v>24912</v>
      </c>
      <c r="E4351" s="949">
        <v>904</v>
      </c>
      <c r="F4351" s="949">
        <v>904</v>
      </c>
      <c r="G4351" s="950" t="s">
        <v>19511</v>
      </c>
      <c r="H4351" s="950" t="s">
        <v>133</v>
      </c>
      <c r="I4351" s="951" t="s">
        <v>6328</v>
      </c>
      <c r="J4351" s="947" t="s">
        <v>6329</v>
      </c>
      <c r="K4351" s="143"/>
    </row>
    <row r="4352" spans="1:11">
      <c r="A4352" s="946" t="s">
        <v>28618</v>
      </c>
      <c r="B4352" s="947" t="s">
        <v>6727</v>
      </c>
      <c r="C4352" s="948" t="s">
        <v>6725</v>
      </c>
      <c r="D4352" s="242" t="s">
        <v>24912</v>
      </c>
      <c r="E4352" s="949">
        <v>906</v>
      </c>
      <c r="F4352" s="949">
        <v>906</v>
      </c>
      <c r="G4352" s="950" t="s">
        <v>19511</v>
      </c>
      <c r="H4352" s="950" t="s">
        <v>133</v>
      </c>
      <c r="I4352" s="951" t="s">
        <v>6726</v>
      </c>
      <c r="J4352" s="947" t="s">
        <v>6727</v>
      </c>
      <c r="K4352" s="143"/>
    </row>
    <row r="4353" spans="1:11">
      <c r="A4353" s="946" t="s">
        <v>28618</v>
      </c>
      <c r="B4353" s="947" t="s">
        <v>8841</v>
      </c>
      <c r="C4353" s="948" t="s">
        <v>8839</v>
      </c>
      <c r="D4353" s="242" t="s">
        <v>24912</v>
      </c>
      <c r="E4353" s="949">
        <v>906</v>
      </c>
      <c r="F4353" s="949">
        <v>906</v>
      </c>
      <c r="G4353" s="950" t="s">
        <v>19511</v>
      </c>
      <c r="H4353" s="950" t="s">
        <v>133</v>
      </c>
      <c r="I4353" s="951" t="s">
        <v>8840</v>
      </c>
      <c r="J4353" s="947" t="s">
        <v>8841</v>
      </c>
      <c r="K4353" s="143"/>
    </row>
    <row r="4354" spans="1:11">
      <c r="A4354" s="946" t="s">
        <v>28618</v>
      </c>
      <c r="B4354" s="947" t="s">
        <v>12679</v>
      </c>
      <c r="C4354" s="948" t="s">
        <v>12677</v>
      </c>
      <c r="D4354" s="242" t="s">
        <v>24912</v>
      </c>
      <c r="E4354" s="949">
        <v>904</v>
      </c>
      <c r="F4354" s="949">
        <v>904</v>
      </c>
      <c r="G4354" s="950" t="s">
        <v>19511</v>
      </c>
      <c r="H4354" s="950" t="s">
        <v>133</v>
      </c>
      <c r="I4354" s="951" t="s">
        <v>12678</v>
      </c>
      <c r="J4354" s="947" t="s">
        <v>12679</v>
      </c>
      <c r="K4354" s="143"/>
    </row>
    <row r="4355" spans="1:11">
      <c r="A4355" s="946" t="s">
        <v>28618</v>
      </c>
      <c r="B4355" s="947" t="s">
        <v>12694</v>
      </c>
      <c r="C4355" s="948" t="s">
        <v>12692</v>
      </c>
      <c r="D4355" s="242" t="s">
        <v>24912</v>
      </c>
      <c r="E4355" s="949">
        <v>906</v>
      </c>
      <c r="F4355" s="949">
        <v>906</v>
      </c>
      <c r="G4355" s="950" t="s">
        <v>19511</v>
      </c>
      <c r="H4355" s="950" t="s">
        <v>133</v>
      </c>
      <c r="I4355" s="951" t="s">
        <v>12693</v>
      </c>
      <c r="J4355" s="947" t="s">
        <v>12694</v>
      </c>
      <c r="K4355" s="143"/>
    </row>
    <row r="4356" spans="1:11">
      <c r="A4356" s="946" t="s">
        <v>28618</v>
      </c>
      <c r="B4356" s="947" t="s">
        <v>12700</v>
      </c>
      <c r="C4356" s="948" t="s">
        <v>12698</v>
      </c>
      <c r="D4356" s="242" t="s">
        <v>24912</v>
      </c>
      <c r="E4356" s="949">
        <v>906</v>
      </c>
      <c r="F4356" s="949">
        <v>906</v>
      </c>
      <c r="G4356" s="950" t="s">
        <v>19511</v>
      </c>
      <c r="H4356" s="950" t="s">
        <v>133</v>
      </c>
      <c r="I4356" s="951" t="s">
        <v>12699</v>
      </c>
      <c r="J4356" s="947" t="s">
        <v>12700</v>
      </c>
      <c r="K4356" s="143"/>
    </row>
    <row r="4357" spans="1:11">
      <c r="A4357" s="946" t="s">
        <v>28618</v>
      </c>
      <c r="B4357" s="947" t="s">
        <v>12812</v>
      </c>
      <c r="C4357" s="948" t="s">
        <v>12810</v>
      </c>
      <c r="D4357" s="242" t="s">
        <v>24912</v>
      </c>
      <c r="E4357" s="949">
        <v>906</v>
      </c>
      <c r="F4357" s="949">
        <v>906</v>
      </c>
      <c r="G4357" s="950" t="s">
        <v>19511</v>
      </c>
      <c r="H4357" s="950" t="s">
        <v>133</v>
      </c>
      <c r="I4357" s="951" t="s">
        <v>12811</v>
      </c>
      <c r="J4357" s="947" t="s">
        <v>12812</v>
      </c>
      <c r="K4357" s="143"/>
    </row>
    <row r="4358" spans="1:11">
      <c r="A4358" s="946" t="s">
        <v>28618</v>
      </c>
      <c r="B4358" s="947" t="s">
        <v>13117</v>
      </c>
      <c r="C4358" s="948" t="s">
        <v>13115</v>
      </c>
      <c r="D4358" s="242" t="s">
        <v>24912</v>
      </c>
      <c r="E4358" s="949">
        <v>906</v>
      </c>
      <c r="F4358" s="949">
        <v>906</v>
      </c>
      <c r="G4358" s="950" t="s">
        <v>19511</v>
      </c>
      <c r="H4358" s="950" t="s">
        <v>133</v>
      </c>
      <c r="I4358" s="951" t="s">
        <v>13116</v>
      </c>
      <c r="J4358" s="947" t="s">
        <v>13117</v>
      </c>
      <c r="K4358" s="143"/>
    </row>
    <row r="4359" spans="1:11">
      <c r="A4359" s="946" t="s">
        <v>28618</v>
      </c>
      <c r="B4359" s="947" t="s">
        <v>14716</v>
      </c>
      <c r="C4359" s="948" t="s">
        <v>14714</v>
      </c>
      <c r="D4359" s="242" t="s">
        <v>24912</v>
      </c>
      <c r="E4359" s="949">
        <v>906</v>
      </c>
      <c r="F4359" s="949">
        <v>906</v>
      </c>
      <c r="G4359" s="950" t="s">
        <v>19511</v>
      </c>
      <c r="H4359" s="950" t="s">
        <v>133</v>
      </c>
      <c r="I4359" s="951" t="s">
        <v>14715</v>
      </c>
      <c r="J4359" s="947" t="s">
        <v>14716</v>
      </c>
      <c r="K4359" s="143"/>
    </row>
    <row r="4360" spans="1:11">
      <c r="A4360" s="946" t="s">
        <v>28618</v>
      </c>
      <c r="B4360" s="947" t="s">
        <v>14832</v>
      </c>
      <c r="C4360" s="948" t="s">
        <v>14830</v>
      </c>
      <c r="D4360" s="242" t="s">
        <v>24912</v>
      </c>
      <c r="E4360" s="949">
        <v>906</v>
      </c>
      <c r="F4360" s="949">
        <v>906</v>
      </c>
      <c r="G4360" s="950" t="s">
        <v>19511</v>
      </c>
      <c r="H4360" s="950" t="s">
        <v>133</v>
      </c>
      <c r="I4360" s="951" t="s">
        <v>14831</v>
      </c>
      <c r="J4360" s="947" t="s">
        <v>14832</v>
      </c>
      <c r="K4360" s="143"/>
    </row>
    <row r="4361" spans="1:11">
      <c r="A4361" s="946" t="s">
        <v>28618</v>
      </c>
      <c r="B4361" s="947" t="s">
        <v>15167</v>
      </c>
      <c r="C4361" s="948" t="s">
        <v>15165</v>
      </c>
      <c r="D4361" s="242" t="s">
        <v>24912</v>
      </c>
      <c r="E4361" s="949">
        <v>902</v>
      </c>
      <c r="F4361" s="949">
        <v>902</v>
      </c>
      <c r="G4361" s="950" t="s">
        <v>19511</v>
      </c>
      <c r="H4361" s="950" t="s">
        <v>133</v>
      </c>
      <c r="I4361" s="951" t="s">
        <v>15166</v>
      </c>
      <c r="J4361" s="947" t="s">
        <v>15167</v>
      </c>
      <c r="K4361" s="143"/>
    </row>
    <row r="4362" spans="1:11">
      <c r="A4362" s="946" t="s">
        <v>28618</v>
      </c>
      <c r="B4362" s="947" t="s">
        <v>16041</v>
      </c>
      <c r="C4362" s="948" t="s">
        <v>16039</v>
      </c>
      <c r="D4362" s="242" t="s">
        <v>24912</v>
      </c>
      <c r="E4362" s="949">
        <v>906</v>
      </c>
      <c r="F4362" s="949">
        <v>906</v>
      </c>
      <c r="G4362" s="950" t="s">
        <v>19511</v>
      </c>
      <c r="H4362" s="950" t="s">
        <v>133</v>
      </c>
      <c r="I4362" s="951" t="s">
        <v>16040</v>
      </c>
      <c r="J4362" s="947" t="s">
        <v>16041</v>
      </c>
      <c r="K4362" s="143"/>
    </row>
    <row r="4363" spans="1:11">
      <c r="A4363" s="946" t="s">
        <v>28618</v>
      </c>
      <c r="B4363" s="947" t="s">
        <v>16047</v>
      </c>
      <c r="C4363" s="948" t="s">
        <v>16045</v>
      </c>
      <c r="D4363" s="242" t="s">
        <v>24912</v>
      </c>
      <c r="E4363" s="949">
        <v>906</v>
      </c>
      <c r="F4363" s="949">
        <v>906</v>
      </c>
      <c r="G4363" s="950" t="s">
        <v>19511</v>
      </c>
      <c r="H4363" s="950" t="s">
        <v>133</v>
      </c>
      <c r="I4363" s="951" t="s">
        <v>16046</v>
      </c>
      <c r="J4363" s="947" t="s">
        <v>16047</v>
      </c>
      <c r="K4363" s="143"/>
    </row>
    <row r="4364" spans="1:11">
      <c r="A4364" s="946" t="s">
        <v>28618</v>
      </c>
      <c r="B4364" s="947" t="s">
        <v>16050</v>
      </c>
      <c r="C4364" s="948" t="s">
        <v>16048</v>
      </c>
      <c r="D4364" s="242" t="s">
        <v>24912</v>
      </c>
      <c r="E4364" s="949">
        <v>905</v>
      </c>
      <c r="F4364" s="949">
        <v>905</v>
      </c>
      <c r="G4364" s="950" t="s">
        <v>19511</v>
      </c>
      <c r="H4364" s="950" t="s">
        <v>133</v>
      </c>
      <c r="I4364" s="951" t="s">
        <v>16049</v>
      </c>
      <c r="J4364" s="947" t="s">
        <v>16050</v>
      </c>
      <c r="K4364" s="143"/>
    </row>
    <row r="4365" spans="1:11">
      <c r="A4365" s="946" t="s">
        <v>28618</v>
      </c>
      <c r="B4365" s="947" t="s">
        <v>16097</v>
      </c>
      <c r="C4365" s="948" t="s">
        <v>16095</v>
      </c>
      <c r="D4365" s="242" t="s">
        <v>24912</v>
      </c>
      <c r="E4365" s="949">
        <v>906</v>
      </c>
      <c r="F4365" s="949">
        <v>906</v>
      </c>
      <c r="G4365" s="950" t="s">
        <v>19511</v>
      </c>
      <c r="H4365" s="950" t="s">
        <v>133</v>
      </c>
      <c r="I4365" s="951" t="s">
        <v>16096</v>
      </c>
      <c r="J4365" s="947" t="s">
        <v>16097</v>
      </c>
      <c r="K4365" s="143"/>
    </row>
    <row r="4366" spans="1:11">
      <c r="A4366" s="946" t="s">
        <v>28618</v>
      </c>
      <c r="B4366" s="947" t="s">
        <v>17436</v>
      </c>
      <c r="C4366" s="948" t="s">
        <v>17434</v>
      </c>
      <c r="D4366" s="242" t="s">
        <v>24912</v>
      </c>
      <c r="E4366" s="949">
        <v>906</v>
      </c>
      <c r="F4366" s="949">
        <v>906</v>
      </c>
      <c r="G4366" s="950" t="s">
        <v>19511</v>
      </c>
      <c r="H4366" s="950" t="s">
        <v>133</v>
      </c>
      <c r="I4366" s="951" t="s">
        <v>17435</v>
      </c>
      <c r="J4366" s="947" t="s">
        <v>17436</v>
      </c>
      <c r="K4366" s="143"/>
    </row>
    <row r="4367" spans="1:11">
      <c r="A4367" s="946" t="s">
        <v>28618</v>
      </c>
      <c r="B4367" s="947" t="s">
        <v>17629</v>
      </c>
      <c r="C4367" s="948" t="s">
        <v>17627</v>
      </c>
      <c r="D4367" s="242" t="s">
        <v>24912</v>
      </c>
      <c r="E4367" s="949">
        <v>902</v>
      </c>
      <c r="F4367" s="949">
        <v>902</v>
      </c>
      <c r="G4367" s="950" t="s">
        <v>19511</v>
      </c>
      <c r="H4367" s="950" t="s">
        <v>133</v>
      </c>
      <c r="I4367" s="951" t="s">
        <v>17628</v>
      </c>
      <c r="J4367" s="947" t="s">
        <v>17629</v>
      </c>
      <c r="K4367" s="143"/>
    </row>
    <row r="4368" spans="1:11">
      <c r="A4368" s="946" t="s">
        <v>28618</v>
      </c>
      <c r="B4368" s="947" t="s">
        <v>18171</v>
      </c>
      <c r="C4368" s="948" t="s">
        <v>18169</v>
      </c>
      <c r="D4368" s="242" t="s">
        <v>24912</v>
      </c>
      <c r="E4368" s="949">
        <v>906</v>
      </c>
      <c r="F4368" s="949">
        <v>906</v>
      </c>
      <c r="G4368" s="950" t="s">
        <v>19511</v>
      </c>
      <c r="H4368" s="950" t="s">
        <v>133</v>
      </c>
      <c r="I4368" s="951" t="s">
        <v>18170</v>
      </c>
      <c r="J4368" s="947" t="s">
        <v>18171</v>
      </c>
      <c r="K4368" s="143"/>
    </row>
    <row r="4369" spans="1:11">
      <c r="A4369" s="946" t="s">
        <v>28618</v>
      </c>
      <c r="B4369" s="947" t="s">
        <v>18896</v>
      </c>
      <c r="C4369" s="948" t="s">
        <v>18894</v>
      </c>
      <c r="D4369" s="242" t="s">
        <v>24912</v>
      </c>
      <c r="E4369" s="949">
        <v>906</v>
      </c>
      <c r="F4369" s="949">
        <v>906</v>
      </c>
      <c r="G4369" s="950" t="s">
        <v>19511</v>
      </c>
      <c r="H4369" s="950" t="s">
        <v>133</v>
      </c>
      <c r="I4369" s="951" t="s">
        <v>18895</v>
      </c>
      <c r="J4369" s="947" t="s">
        <v>18896</v>
      </c>
      <c r="K4369" s="143"/>
    </row>
    <row r="4370" spans="1:11">
      <c r="A4370" s="946" t="s">
        <v>28618</v>
      </c>
      <c r="B4370" s="947" t="s">
        <v>19511</v>
      </c>
      <c r="C4370" s="948" t="s">
        <v>19509</v>
      </c>
      <c r="D4370" s="242" t="s">
        <v>24912</v>
      </c>
      <c r="E4370" s="949">
        <v>906</v>
      </c>
      <c r="F4370" s="949">
        <v>906</v>
      </c>
      <c r="G4370" s="950" t="s">
        <v>19511</v>
      </c>
      <c r="H4370" s="950" t="s">
        <v>133</v>
      </c>
      <c r="I4370" s="951" t="s">
        <v>19510</v>
      </c>
      <c r="J4370" s="947" t="s">
        <v>19511</v>
      </c>
      <c r="K4370" s="143"/>
    </row>
    <row r="4371" spans="1:11">
      <c r="A4371" s="946" t="s">
        <v>28618</v>
      </c>
      <c r="B4371" s="947" t="s">
        <v>19554</v>
      </c>
      <c r="C4371" s="948" t="s">
        <v>19552</v>
      </c>
      <c r="D4371" s="242" t="s">
        <v>24912</v>
      </c>
      <c r="E4371" s="949">
        <v>904</v>
      </c>
      <c r="F4371" s="949">
        <v>904</v>
      </c>
      <c r="G4371" s="950" t="s">
        <v>19511</v>
      </c>
      <c r="H4371" s="950" t="s">
        <v>133</v>
      </c>
      <c r="I4371" s="951" t="s">
        <v>19553</v>
      </c>
      <c r="J4371" s="947" t="s">
        <v>19554</v>
      </c>
      <c r="K4371" s="143"/>
    </row>
    <row r="4372" spans="1:11">
      <c r="A4372" s="946" t="s">
        <v>28618</v>
      </c>
      <c r="B4372" s="947" t="s">
        <v>19824</v>
      </c>
      <c r="C4372" s="948" t="s">
        <v>19822</v>
      </c>
      <c r="D4372" s="242" t="s">
        <v>24912</v>
      </c>
      <c r="E4372" s="949">
        <v>906</v>
      </c>
      <c r="F4372" s="949">
        <v>906</v>
      </c>
      <c r="G4372" s="950" t="s">
        <v>19511</v>
      </c>
      <c r="H4372" s="950" t="s">
        <v>133</v>
      </c>
      <c r="I4372" s="951" t="s">
        <v>19823</v>
      </c>
      <c r="J4372" s="947" t="s">
        <v>19824</v>
      </c>
      <c r="K4372" s="143"/>
    </row>
    <row r="4373" spans="1:11">
      <c r="A4373" s="946" t="s">
        <v>28618</v>
      </c>
      <c r="B4373" s="947" t="s">
        <v>20777</v>
      </c>
      <c r="C4373" s="948" t="s">
        <v>20775</v>
      </c>
      <c r="D4373" s="242" t="s">
        <v>24912</v>
      </c>
      <c r="E4373" s="949">
        <v>904</v>
      </c>
      <c r="F4373" s="949">
        <v>904</v>
      </c>
      <c r="G4373" s="950" t="s">
        <v>19511</v>
      </c>
      <c r="H4373" s="950" t="s">
        <v>133</v>
      </c>
      <c r="I4373" s="951" t="s">
        <v>20776</v>
      </c>
      <c r="J4373" s="947" t="s">
        <v>20777</v>
      </c>
      <c r="K4373" s="143"/>
    </row>
    <row r="4374" spans="1:11">
      <c r="A4374" s="946" t="s">
        <v>28618</v>
      </c>
      <c r="B4374" s="947" t="s">
        <v>20942</v>
      </c>
      <c r="C4374" s="948" t="s">
        <v>20940</v>
      </c>
      <c r="D4374" s="242" t="s">
        <v>24912</v>
      </c>
      <c r="E4374" s="949">
        <v>906</v>
      </c>
      <c r="F4374" s="949">
        <v>906</v>
      </c>
      <c r="G4374" s="950" t="s">
        <v>19511</v>
      </c>
      <c r="H4374" s="950" t="s">
        <v>133</v>
      </c>
      <c r="I4374" s="951" t="s">
        <v>20941</v>
      </c>
      <c r="J4374" s="947" t="s">
        <v>20942</v>
      </c>
      <c r="K4374" s="143"/>
    </row>
    <row r="4375" spans="1:11">
      <c r="A4375" s="946" t="s">
        <v>28618</v>
      </c>
      <c r="B4375" s="947" t="s">
        <v>12191</v>
      </c>
      <c r="C4375" s="948" t="s">
        <v>12190</v>
      </c>
      <c r="D4375" s="242" t="s">
        <v>24912</v>
      </c>
      <c r="E4375" s="949">
        <v>906</v>
      </c>
      <c r="F4375" s="949">
        <v>906</v>
      </c>
      <c r="G4375" s="950" t="s">
        <v>19511</v>
      </c>
      <c r="H4375" s="950" t="s">
        <v>133</v>
      </c>
      <c r="I4375" s="951" t="s">
        <v>26401</v>
      </c>
      <c r="J4375" s="947" t="s">
        <v>12191</v>
      </c>
      <c r="K4375" s="143"/>
    </row>
    <row r="4376" spans="1:11">
      <c r="A4376" s="946" t="s">
        <v>28618</v>
      </c>
      <c r="B4376" s="947" t="s">
        <v>1328</v>
      </c>
      <c r="C4376" s="948" t="s">
        <v>1325</v>
      </c>
      <c r="D4376" s="242" t="s">
        <v>24912</v>
      </c>
      <c r="E4376" s="949">
        <v>906</v>
      </c>
      <c r="F4376" s="949">
        <v>906</v>
      </c>
      <c r="G4376" s="950" t="s">
        <v>9600</v>
      </c>
      <c r="H4376" s="950" t="s">
        <v>1326</v>
      </c>
      <c r="I4376" s="951" t="s">
        <v>1327</v>
      </c>
      <c r="J4376" s="947" t="s">
        <v>1328</v>
      </c>
      <c r="K4376" s="143"/>
    </row>
    <row r="4377" spans="1:11">
      <c r="A4377" s="946" t="s">
        <v>28618</v>
      </c>
      <c r="B4377" s="947" t="s">
        <v>3680</v>
      </c>
      <c r="C4377" s="948" t="s">
        <v>3678</v>
      </c>
      <c r="D4377" s="242" t="s">
        <v>24912</v>
      </c>
      <c r="E4377" s="949">
        <v>906</v>
      </c>
      <c r="F4377" s="949">
        <v>906</v>
      </c>
      <c r="G4377" s="950" t="s">
        <v>9600</v>
      </c>
      <c r="H4377" s="950" t="s">
        <v>1326</v>
      </c>
      <c r="I4377" s="951" t="s">
        <v>3679</v>
      </c>
      <c r="J4377" s="947" t="s">
        <v>3680</v>
      </c>
      <c r="K4377" s="143"/>
    </row>
    <row r="4378" spans="1:11">
      <c r="A4378" s="946" t="s">
        <v>28618</v>
      </c>
      <c r="B4378" s="947" t="s">
        <v>4029</v>
      </c>
      <c r="C4378" s="948" t="s">
        <v>4027</v>
      </c>
      <c r="D4378" s="242" t="s">
        <v>24912</v>
      </c>
      <c r="E4378" s="949">
        <v>906</v>
      </c>
      <c r="F4378" s="949">
        <v>906</v>
      </c>
      <c r="G4378" s="950" t="s">
        <v>9600</v>
      </c>
      <c r="H4378" s="950" t="s">
        <v>1326</v>
      </c>
      <c r="I4378" s="951" t="s">
        <v>4028</v>
      </c>
      <c r="J4378" s="947" t="s">
        <v>4029</v>
      </c>
      <c r="K4378" s="143"/>
    </row>
    <row r="4379" spans="1:11">
      <c r="A4379" s="946" t="s">
        <v>28618</v>
      </c>
      <c r="B4379" s="947" t="s">
        <v>4943</v>
      </c>
      <c r="C4379" s="948" t="s">
        <v>4941</v>
      </c>
      <c r="D4379" s="242" t="s">
        <v>24912</v>
      </c>
      <c r="E4379" s="949">
        <v>906</v>
      </c>
      <c r="F4379" s="949">
        <v>906</v>
      </c>
      <c r="G4379" s="950" t="s">
        <v>9600</v>
      </c>
      <c r="H4379" s="950" t="s">
        <v>1326</v>
      </c>
      <c r="I4379" s="951" t="s">
        <v>4942</v>
      </c>
      <c r="J4379" s="947" t="s">
        <v>4943</v>
      </c>
      <c r="K4379" s="143"/>
    </row>
    <row r="4380" spans="1:11">
      <c r="A4380" s="946" t="s">
        <v>28618</v>
      </c>
      <c r="B4380" s="947" t="s">
        <v>5172</v>
      </c>
      <c r="C4380" s="948" t="s">
        <v>5170</v>
      </c>
      <c r="D4380" s="242" t="s">
        <v>24912</v>
      </c>
      <c r="E4380" s="949">
        <v>906</v>
      </c>
      <c r="F4380" s="949">
        <v>906</v>
      </c>
      <c r="G4380" s="950" t="s">
        <v>9600</v>
      </c>
      <c r="H4380" s="950" t="s">
        <v>1326</v>
      </c>
      <c r="I4380" s="951" t="s">
        <v>5171</v>
      </c>
      <c r="J4380" s="947" t="s">
        <v>5172</v>
      </c>
      <c r="K4380" s="143"/>
    </row>
    <row r="4381" spans="1:11">
      <c r="A4381" s="946" t="s">
        <v>28618</v>
      </c>
      <c r="B4381" s="947" t="s">
        <v>5503</v>
      </c>
      <c r="C4381" s="948" t="s">
        <v>5501</v>
      </c>
      <c r="D4381" s="242" t="s">
        <v>24912</v>
      </c>
      <c r="E4381" s="949">
        <v>906</v>
      </c>
      <c r="F4381" s="949">
        <v>906</v>
      </c>
      <c r="G4381" s="950" t="s">
        <v>9600</v>
      </c>
      <c r="H4381" s="950" t="s">
        <v>1326</v>
      </c>
      <c r="I4381" s="951" t="s">
        <v>5502</v>
      </c>
      <c r="J4381" s="947" t="s">
        <v>5503</v>
      </c>
      <c r="K4381" s="143"/>
    </row>
    <row r="4382" spans="1:11">
      <c r="A4382" s="946" t="s">
        <v>28618</v>
      </c>
      <c r="B4382" s="947" t="s">
        <v>6416</v>
      </c>
      <c r="C4382" s="948" t="s">
        <v>6414</v>
      </c>
      <c r="D4382" s="242" t="s">
        <v>24912</v>
      </c>
      <c r="E4382" s="949">
        <v>906</v>
      </c>
      <c r="F4382" s="949">
        <v>906</v>
      </c>
      <c r="G4382" s="950" t="s">
        <v>9600</v>
      </c>
      <c r="H4382" s="950" t="s">
        <v>1326</v>
      </c>
      <c r="I4382" s="951" t="s">
        <v>6415</v>
      </c>
      <c r="J4382" s="947" t="s">
        <v>6416</v>
      </c>
      <c r="K4382" s="143"/>
    </row>
    <row r="4383" spans="1:11">
      <c r="A4383" s="946" t="s">
        <v>28618</v>
      </c>
      <c r="B4383" s="947" t="s">
        <v>6597</v>
      </c>
      <c r="C4383" s="948" t="s">
        <v>6595</v>
      </c>
      <c r="D4383" s="242" t="s">
        <v>24912</v>
      </c>
      <c r="E4383" s="949">
        <v>906</v>
      </c>
      <c r="F4383" s="949">
        <v>906</v>
      </c>
      <c r="G4383" s="950" t="s">
        <v>9600</v>
      </c>
      <c r="H4383" s="950" t="s">
        <v>1326</v>
      </c>
      <c r="I4383" s="951" t="s">
        <v>6596</v>
      </c>
      <c r="J4383" s="947" t="s">
        <v>6597</v>
      </c>
      <c r="K4383" s="143"/>
    </row>
    <row r="4384" spans="1:11">
      <c r="A4384" s="946" t="s">
        <v>28618</v>
      </c>
      <c r="B4384" s="947" t="s">
        <v>8380</v>
      </c>
      <c r="C4384" s="948" t="s">
        <v>8378</v>
      </c>
      <c r="D4384" s="242" t="s">
        <v>24912</v>
      </c>
      <c r="E4384" s="949">
        <v>906</v>
      </c>
      <c r="F4384" s="949">
        <v>906</v>
      </c>
      <c r="G4384" s="950" t="s">
        <v>9600</v>
      </c>
      <c r="H4384" s="950" t="s">
        <v>1326</v>
      </c>
      <c r="I4384" s="951" t="s">
        <v>8379</v>
      </c>
      <c r="J4384" s="947" t="s">
        <v>8380</v>
      </c>
      <c r="K4384" s="143"/>
    </row>
    <row r="4385" spans="1:11">
      <c r="A4385" s="946" t="s">
        <v>28618</v>
      </c>
      <c r="B4385" s="947" t="s">
        <v>9049</v>
      </c>
      <c r="C4385" s="948" t="s">
        <v>9047</v>
      </c>
      <c r="D4385" s="242" t="s">
        <v>24912</v>
      </c>
      <c r="E4385" s="949">
        <v>906</v>
      </c>
      <c r="F4385" s="949">
        <v>906</v>
      </c>
      <c r="G4385" s="950" t="s">
        <v>9600</v>
      </c>
      <c r="H4385" s="950" t="s">
        <v>1326</v>
      </c>
      <c r="I4385" s="951" t="s">
        <v>9048</v>
      </c>
      <c r="J4385" s="947" t="s">
        <v>9049</v>
      </c>
      <c r="K4385" s="143"/>
    </row>
    <row r="4386" spans="1:11">
      <c r="A4386" s="946" t="s">
        <v>28618</v>
      </c>
      <c r="B4386" s="947" t="s">
        <v>9600</v>
      </c>
      <c r="C4386" s="948" t="s">
        <v>9598</v>
      </c>
      <c r="D4386" s="242" t="s">
        <v>24912</v>
      </c>
      <c r="E4386" s="949">
        <v>906</v>
      </c>
      <c r="F4386" s="949">
        <v>906</v>
      </c>
      <c r="G4386" s="950" t="s">
        <v>9600</v>
      </c>
      <c r="H4386" s="950" t="s">
        <v>1326</v>
      </c>
      <c r="I4386" s="951" t="s">
        <v>9599</v>
      </c>
      <c r="J4386" s="947" t="s">
        <v>9600</v>
      </c>
      <c r="K4386" s="143"/>
    </row>
    <row r="4387" spans="1:11">
      <c r="A4387" s="946" t="s">
        <v>28618</v>
      </c>
      <c r="B4387" s="947" t="s">
        <v>9878</v>
      </c>
      <c r="C4387" s="948" t="s">
        <v>9876</v>
      </c>
      <c r="D4387" s="242" t="s">
        <v>24912</v>
      </c>
      <c r="E4387" s="949">
        <v>906</v>
      </c>
      <c r="F4387" s="949">
        <v>906</v>
      </c>
      <c r="G4387" s="950" t="s">
        <v>9600</v>
      </c>
      <c r="H4387" s="950" t="s">
        <v>1326</v>
      </c>
      <c r="I4387" s="951" t="s">
        <v>9877</v>
      </c>
      <c r="J4387" s="947" t="s">
        <v>9878</v>
      </c>
      <c r="K4387" s="143"/>
    </row>
    <row r="4388" spans="1:11">
      <c r="A4388" s="946" t="s">
        <v>28618</v>
      </c>
      <c r="B4388" s="947" t="s">
        <v>10887</v>
      </c>
      <c r="C4388" s="948" t="s">
        <v>10885</v>
      </c>
      <c r="D4388" s="242" t="s">
        <v>24912</v>
      </c>
      <c r="E4388" s="949">
        <v>906</v>
      </c>
      <c r="F4388" s="949">
        <v>906</v>
      </c>
      <c r="G4388" s="950" t="s">
        <v>9600</v>
      </c>
      <c r="H4388" s="950" t="s">
        <v>1326</v>
      </c>
      <c r="I4388" s="951" t="s">
        <v>10886</v>
      </c>
      <c r="J4388" s="947" t="s">
        <v>10887</v>
      </c>
      <c r="K4388" s="143"/>
    </row>
    <row r="4389" spans="1:11">
      <c r="A4389" s="946" t="s">
        <v>28618</v>
      </c>
      <c r="B4389" s="947" t="s">
        <v>11017</v>
      </c>
      <c r="C4389" s="948" t="s">
        <v>11015</v>
      </c>
      <c r="D4389" s="242" t="s">
        <v>24912</v>
      </c>
      <c r="E4389" s="949">
        <v>906</v>
      </c>
      <c r="F4389" s="949">
        <v>906</v>
      </c>
      <c r="G4389" s="950" t="s">
        <v>9600</v>
      </c>
      <c r="H4389" s="950" t="s">
        <v>1326</v>
      </c>
      <c r="I4389" s="951" t="s">
        <v>11016</v>
      </c>
      <c r="J4389" s="947" t="s">
        <v>11017</v>
      </c>
      <c r="K4389" s="143"/>
    </row>
    <row r="4390" spans="1:11">
      <c r="A4390" s="946" t="s">
        <v>28618</v>
      </c>
      <c r="B4390" s="947" t="s">
        <v>11391</v>
      </c>
      <c r="C4390" s="948" t="s">
        <v>11389</v>
      </c>
      <c r="D4390" s="242" t="s">
        <v>24912</v>
      </c>
      <c r="E4390" s="949">
        <v>906</v>
      </c>
      <c r="F4390" s="949">
        <v>906</v>
      </c>
      <c r="G4390" s="950" t="s">
        <v>9600</v>
      </c>
      <c r="H4390" s="950" t="s">
        <v>1326</v>
      </c>
      <c r="I4390" s="951" t="s">
        <v>11390</v>
      </c>
      <c r="J4390" s="947" t="s">
        <v>11391</v>
      </c>
      <c r="K4390" s="143"/>
    </row>
    <row r="4391" spans="1:11">
      <c r="A4391" s="946" t="s">
        <v>28618</v>
      </c>
      <c r="B4391" s="947" t="s">
        <v>12265</v>
      </c>
      <c r="C4391" s="948" t="s">
        <v>12263</v>
      </c>
      <c r="D4391" s="242" t="s">
        <v>24912</v>
      </c>
      <c r="E4391" s="949">
        <v>906</v>
      </c>
      <c r="F4391" s="949">
        <v>906</v>
      </c>
      <c r="G4391" s="950" t="s">
        <v>9600</v>
      </c>
      <c r="H4391" s="950" t="s">
        <v>1326</v>
      </c>
      <c r="I4391" s="951" t="s">
        <v>12264</v>
      </c>
      <c r="J4391" s="947" t="s">
        <v>12265</v>
      </c>
      <c r="K4391" s="143"/>
    </row>
    <row r="4392" spans="1:11">
      <c r="A4392" s="946" t="s">
        <v>28618</v>
      </c>
      <c r="B4392" s="947" t="s">
        <v>12815</v>
      </c>
      <c r="C4392" s="948" t="s">
        <v>12813</v>
      </c>
      <c r="D4392" s="242" t="s">
        <v>24912</v>
      </c>
      <c r="E4392" s="949">
        <v>906</v>
      </c>
      <c r="F4392" s="949">
        <v>906</v>
      </c>
      <c r="G4392" s="950" t="s">
        <v>9600</v>
      </c>
      <c r="H4392" s="950" t="s">
        <v>1326</v>
      </c>
      <c r="I4392" s="951" t="s">
        <v>12814</v>
      </c>
      <c r="J4392" s="947" t="s">
        <v>12815</v>
      </c>
      <c r="K4392" s="143"/>
    </row>
    <row r="4393" spans="1:11">
      <c r="A4393" s="946" t="s">
        <v>28618</v>
      </c>
      <c r="B4393" s="947" t="s">
        <v>13689</v>
      </c>
      <c r="C4393" s="948" t="s">
        <v>13687</v>
      </c>
      <c r="D4393" s="242" t="s">
        <v>24912</v>
      </c>
      <c r="E4393" s="949">
        <v>906</v>
      </c>
      <c r="F4393" s="949">
        <v>906</v>
      </c>
      <c r="G4393" s="950" t="s">
        <v>9600</v>
      </c>
      <c r="H4393" s="950" t="s">
        <v>1326</v>
      </c>
      <c r="I4393" s="951" t="s">
        <v>13688</v>
      </c>
      <c r="J4393" s="947" t="s">
        <v>13689</v>
      </c>
      <c r="K4393" s="143"/>
    </row>
    <row r="4394" spans="1:11">
      <c r="A4394" s="946" t="s">
        <v>28618</v>
      </c>
      <c r="B4394" s="947" t="s">
        <v>15097</v>
      </c>
      <c r="C4394" s="948" t="s">
        <v>15095</v>
      </c>
      <c r="D4394" s="242" t="s">
        <v>24912</v>
      </c>
      <c r="E4394" s="949">
        <v>906</v>
      </c>
      <c r="F4394" s="949">
        <v>906</v>
      </c>
      <c r="G4394" s="950" t="s">
        <v>9600</v>
      </c>
      <c r="H4394" s="950" t="s">
        <v>1326</v>
      </c>
      <c r="I4394" s="951" t="s">
        <v>15096</v>
      </c>
      <c r="J4394" s="947" t="s">
        <v>15097</v>
      </c>
      <c r="K4394" s="143"/>
    </row>
    <row r="4395" spans="1:11">
      <c r="A4395" s="946" t="s">
        <v>28618</v>
      </c>
      <c r="B4395" s="947" t="s">
        <v>16631</v>
      </c>
      <c r="C4395" s="948" t="s">
        <v>16629</v>
      </c>
      <c r="D4395" s="242" t="s">
        <v>24912</v>
      </c>
      <c r="E4395" s="949">
        <v>906</v>
      </c>
      <c r="F4395" s="949">
        <v>906</v>
      </c>
      <c r="G4395" s="950" t="s">
        <v>9600</v>
      </c>
      <c r="H4395" s="950" t="s">
        <v>1326</v>
      </c>
      <c r="I4395" s="951" t="s">
        <v>16630</v>
      </c>
      <c r="J4395" s="947" t="s">
        <v>16631</v>
      </c>
      <c r="K4395" s="143"/>
    </row>
    <row r="4396" spans="1:11">
      <c r="A4396" s="946" t="s">
        <v>28618</v>
      </c>
      <c r="B4396" s="947" t="s">
        <v>16691</v>
      </c>
      <c r="C4396" s="948" t="s">
        <v>16689</v>
      </c>
      <c r="D4396" s="242" t="s">
        <v>24912</v>
      </c>
      <c r="E4396" s="949">
        <v>906</v>
      </c>
      <c r="F4396" s="949">
        <v>906</v>
      </c>
      <c r="G4396" s="950" t="s">
        <v>9600</v>
      </c>
      <c r="H4396" s="950" t="s">
        <v>1326</v>
      </c>
      <c r="I4396" s="951" t="s">
        <v>16690</v>
      </c>
      <c r="J4396" s="947" t="s">
        <v>16691</v>
      </c>
      <c r="K4396" s="143"/>
    </row>
    <row r="4397" spans="1:11">
      <c r="A4397" s="946" t="s">
        <v>28618</v>
      </c>
      <c r="B4397" s="947" t="s">
        <v>18418</v>
      </c>
      <c r="C4397" s="948" t="s">
        <v>18416</v>
      </c>
      <c r="D4397" s="242" t="s">
        <v>24912</v>
      </c>
      <c r="E4397" s="949">
        <v>906</v>
      </c>
      <c r="F4397" s="949">
        <v>906</v>
      </c>
      <c r="G4397" s="950" t="s">
        <v>9600</v>
      </c>
      <c r="H4397" s="950" t="s">
        <v>1326</v>
      </c>
      <c r="I4397" s="951" t="s">
        <v>18417</v>
      </c>
      <c r="J4397" s="947" t="s">
        <v>18418</v>
      </c>
      <c r="K4397" s="143"/>
    </row>
    <row r="4398" spans="1:11">
      <c r="A4398" s="946" t="s">
        <v>28618</v>
      </c>
      <c r="B4398" s="947" t="s">
        <v>19042</v>
      </c>
      <c r="C4398" s="948" t="s">
        <v>19040</v>
      </c>
      <c r="D4398" s="242" t="s">
        <v>24912</v>
      </c>
      <c r="E4398" s="949">
        <v>906</v>
      </c>
      <c r="F4398" s="949">
        <v>906</v>
      </c>
      <c r="G4398" s="950" t="s">
        <v>9600</v>
      </c>
      <c r="H4398" s="950" t="s">
        <v>1326</v>
      </c>
      <c r="I4398" s="951" t="s">
        <v>19041</v>
      </c>
      <c r="J4398" s="947" t="s">
        <v>19042</v>
      </c>
      <c r="K4398" s="143"/>
    </row>
    <row r="4399" spans="1:11">
      <c r="A4399" s="946" t="s">
        <v>28618</v>
      </c>
      <c r="B4399" s="947" t="s">
        <v>19054</v>
      </c>
      <c r="C4399" s="948" t="s">
        <v>19052</v>
      </c>
      <c r="D4399" s="242" t="s">
        <v>24912</v>
      </c>
      <c r="E4399" s="949">
        <v>906</v>
      </c>
      <c r="F4399" s="949">
        <v>906</v>
      </c>
      <c r="G4399" s="950" t="s">
        <v>9600</v>
      </c>
      <c r="H4399" s="950" t="s">
        <v>1326</v>
      </c>
      <c r="I4399" s="951" t="s">
        <v>19053</v>
      </c>
      <c r="J4399" s="947" t="s">
        <v>19054</v>
      </c>
      <c r="K4399" s="143"/>
    </row>
    <row r="4400" spans="1:11">
      <c r="A4400" s="946" t="s">
        <v>28618</v>
      </c>
      <c r="B4400" s="947" t="s">
        <v>19183</v>
      </c>
      <c r="C4400" s="948" t="s">
        <v>19181</v>
      </c>
      <c r="D4400" s="242" t="s">
        <v>24912</v>
      </c>
      <c r="E4400" s="949">
        <v>906</v>
      </c>
      <c r="F4400" s="949">
        <v>906</v>
      </c>
      <c r="G4400" s="950" t="s">
        <v>9600</v>
      </c>
      <c r="H4400" s="950" t="s">
        <v>1326</v>
      </c>
      <c r="I4400" s="951" t="s">
        <v>19182</v>
      </c>
      <c r="J4400" s="947" t="s">
        <v>19183</v>
      </c>
      <c r="K4400" s="143"/>
    </row>
    <row r="4401" spans="1:11">
      <c r="A4401" s="946" t="s">
        <v>28618</v>
      </c>
      <c r="B4401" s="947" t="s">
        <v>19736</v>
      </c>
      <c r="C4401" s="948" t="s">
        <v>19734</v>
      </c>
      <c r="D4401" s="242" t="s">
        <v>24912</v>
      </c>
      <c r="E4401" s="949">
        <v>906</v>
      </c>
      <c r="F4401" s="949">
        <v>906</v>
      </c>
      <c r="G4401" s="950" t="s">
        <v>9600</v>
      </c>
      <c r="H4401" s="950" t="s">
        <v>1326</v>
      </c>
      <c r="I4401" s="951" t="s">
        <v>19735</v>
      </c>
      <c r="J4401" s="947" t="s">
        <v>19736</v>
      </c>
      <c r="K4401" s="143"/>
    </row>
    <row r="4402" spans="1:11">
      <c r="A4402" s="946" t="s">
        <v>28618</v>
      </c>
      <c r="B4402" s="947" t="s">
        <v>12723</v>
      </c>
      <c r="C4402" s="948" t="s">
        <v>12721</v>
      </c>
      <c r="D4402" s="242" t="s">
        <v>24912</v>
      </c>
      <c r="E4402" s="949">
        <v>906</v>
      </c>
      <c r="F4402" s="949">
        <v>906</v>
      </c>
      <c r="G4402" s="950" t="s">
        <v>9600</v>
      </c>
      <c r="H4402" s="950" t="s">
        <v>1326</v>
      </c>
      <c r="I4402" s="951" t="s">
        <v>12722</v>
      </c>
      <c r="J4402" s="947" t="s">
        <v>12723</v>
      </c>
      <c r="K4402" s="143"/>
    </row>
    <row r="4403" spans="1:11">
      <c r="A4403" s="946" t="s">
        <v>28618</v>
      </c>
      <c r="B4403" s="947" t="s">
        <v>19238</v>
      </c>
      <c r="C4403" s="948" t="s">
        <v>19236</v>
      </c>
      <c r="D4403" s="242" t="s">
        <v>24912</v>
      </c>
      <c r="E4403" s="949">
        <v>906</v>
      </c>
      <c r="F4403" s="949">
        <v>906</v>
      </c>
      <c r="G4403" s="950" t="s">
        <v>9600</v>
      </c>
      <c r="H4403" s="950" t="s">
        <v>1326</v>
      </c>
      <c r="I4403" s="951" t="s">
        <v>19237</v>
      </c>
      <c r="J4403" s="947" t="s">
        <v>19238</v>
      </c>
      <c r="K4403" s="143"/>
    </row>
    <row r="4404" spans="1:11">
      <c r="A4404" s="946" t="s">
        <v>28619</v>
      </c>
      <c r="B4404" s="947" t="s">
        <v>1574</v>
      </c>
      <c r="C4404" s="948" t="s">
        <v>1571</v>
      </c>
      <c r="D4404" s="242" t="s">
        <v>26488</v>
      </c>
      <c r="E4404" s="949">
        <v>1001</v>
      </c>
      <c r="F4404" s="949">
        <v>1001</v>
      </c>
      <c r="G4404" s="950" t="s">
        <v>14550</v>
      </c>
      <c r="H4404" s="950" t="s">
        <v>1572</v>
      </c>
      <c r="I4404" s="951" t="s">
        <v>1573</v>
      </c>
      <c r="J4404" s="947" t="s">
        <v>1574</v>
      </c>
      <c r="K4404" s="143"/>
    </row>
    <row r="4405" spans="1:11">
      <c r="A4405" s="946" t="s">
        <v>28619</v>
      </c>
      <c r="B4405" s="947" t="s">
        <v>2096</v>
      </c>
      <c r="C4405" s="948" t="s">
        <v>2094</v>
      </c>
      <c r="D4405" s="242" t="s">
        <v>26488</v>
      </c>
      <c r="E4405" s="949">
        <v>1001</v>
      </c>
      <c r="F4405" s="949">
        <v>1001</v>
      </c>
      <c r="G4405" s="950" t="s">
        <v>14550</v>
      </c>
      <c r="H4405" s="950" t="s">
        <v>1572</v>
      </c>
      <c r="I4405" s="951" t="s">
        <v>2095</v>
      </c>
      <c r="J4405" s="947" t="s">
        <v>2096</v>
      </c>
      <c r="K4405" s="143"/>
    </row>
    <row r="4406" spans="1:11">
      <c r="A4406" s="946" t="s">
        <v>28619</v>
      </c>
      <c r="B4406" s="947" t="s">
        <v>2370</v>
      </c>
      <c r="C4406" s="948" t="s">
        <v>2368</v>
      </c>
      <c r="D4406" s="242" t="s">
        <v>26488</v>
      </c>
      <c r="E4406" s="949">
        <v>1001</v>
      </c>
      <c r="F4406" s="949">
        <v>1001</v>
      </c>
      <c r="G4406" s="950" t="s">
        <v>14550</v>
      </c>
      <c r="H4406" s="950" t="s">
        <v>1572</v>
      </c>
      <c r="I4406" s="951" t="s">
        <v>2369</v>
      </c>
      <c r="J4406" s="947" t="s">
        <v>2370</v>
      </c>
      <c r="K4406" s="143"/>
    </row>
    <row r="4407" spans="1:11">
      <c r="A4407" s="946" t="s">
        <v>28619</v>
      </c>
      <c r="B4407" s="947" t="s">
        <v>2375</v>
      </c>
      <c r="C4407" s="948" t="s">
        <v>2373</v>
      </c>
      <c r="D4407" s="242" t="s">
        <v>26488</v>
      </c>
      <c r="E4407" s="949">
        <v>1002</v>
      </c>
      <c r="F4407" s="949">
        <v>1002</v>
      </c>
      <c r="G4407" s="950" t="s">
        <v>14550</v>
      </c>
      <c r="H4407" s="950" t="s">
        <v>1572</v>
      </c>
      <c r="I4407" s="951" t="s">
        <v>2374</v>
      </c>
      <c r="J4407" s="947" t="s">
        <v>2375</v>
      </c>
      <c r="K4407" s="143"/>
    </row>
    <row r="4408" spans="1:11">
      <c r="A4408" s="946" t="s">
        <v>28619</v>
      </c>
      <c r="B4408" s="947" t="s">
        <v>3697</v>
      </c>
      <c r="C4408" s="948" t="s">
        <v>3695</v>
      </c>
      <c r="D4408" s="242" t="s">
        <v>26488</v>
      </c>
      <c r="E4408" s="949">
        <v>1002</v>
      </c>
      <c r="F4408" s="949">
        <v>1002</v>
      </c>
      <c r="G4408" s="950" t="s">
        <v>14550</v>
      </c>
      <c r="H4408" s="950" t="s">
        <v>1572</v>
      </c>
      <c r="I4408" s="951" t="s">
        <v>3696</v>
      </c>
      <c r="J4408" s="947" t="s">
        <v>3697</v>
      </c>
      <c r="K4408" s="143"/>
    </row>
    <row r="4409" spans="1:11">
      <c r="A4409" s="946" t="s">
        <v>28619</v>
      </c>
      <c r="B4409" s="947" t="s">
        <v>3942</v>
      </c>
      <c r="C4409" s="948" t="s">
        <v>3940</v>
      </c>
      <c r="D4409" s="242" t="s">
        <v>26488</v>
      </c>
      <c r="E4409" s="949">
        <v>1001</v>
      </c>
      <c r="F4409" s="949">
        <v>1001</v>
      </c>
      <c r="G4409" s="950" t="s">
        <v>14550</v>
      </c>
      <c r="H4409" s="950" t="s">
        <v>1572</v>
      </c>
      <c r="I4409" s="951" t="s">
        <v>3941</v>
      </c>
      <c r="J4409" s="947" t="s">
        <v>3942</v>
      </c>
      <c r="K4409" s="143"/>
    </row>
    <row r="4410" spans="1:11">
      <c r="A4410" s="946" t="s">
        <v>28619</v>
      </c>
      <c r="B4410" s="947" t="s">
        <v>4724</v>
      </c>
      <c r="C4410" s="948" t="s">
        <v>4722</v>
      </c>
      <c r="D4410" s="242" t="s">
        <v>26488</v>
      </c>
      <c r="E4410" s="949">
        <v>1002</v>
      </c>
      <c r="F4410" s="949">
        <v>1002</v>
      </c>
      <c r="G4410" s="950" t="s">
        <v>14550</v>
      </c>
      <c r="H4410" s="950" t="s">
        <v>1572</v>
      </c>
      <c r="I4410" s="951" t="s">
        <v>4723</v>
      </c>
      <c r="J4410" s="947" t="s">
        <v>4724</v>
      </c>
      <c r="K4410" s="143"/>
    </row>
    <row r="4411" spans="1:11">
      <c r="A4411" s="946" t="s">
        <v>28619</v>
      </c>
      <c r="B4411" s="947" t="s">
        <v>5006</v>
      </c>
      <c r="C4411" s="948" t="s">
        <v>5004</v>
      </c>
      <c r="D4411" s="242" t="s">
        <v>26488</v>
      </c>
      <c r="E4411" s="949">
        <v>1002</v>
      </c>
      <c r="F4411" s="949">
        <v>1002</v>
      </c>
      <c r="G4411" s="950" t="s">
        <v>14550</v>
      </c>
      <c r="H4411" s="950" t="s">
        <v>1572</v>
      </c>
      <c r="I4411" s="951" t="s">
        <v>5005</v>
      </c>
      <c r="J4411" s="947" t="s">
        <v>5006</v>
      </c>
      <c r="K4411" s="143"/>
    </row>
    <row r="4412" spans="1:11">
      <c r="A4412" s="946" t="s">
        <v>28619</v>
      </c>
      <c r="B4412" s="947" t="s">
        <v>5500</v>
      </c>
      <c r="C4412" s="948" t="s">
        <v>5498</v>
      </c>
      <c r="D4412" s="242" t="s">
        <v>26488</v>
      </c>
      <c r="E4412" s="949">
        <v>1001</v>
      </c>
      <c r="F4412" s="949">
        <v>1001</v>
      </c>
      <c r="G4412" s="950" t="s">
        <v>14550</v>
      </c>
      <c r="H4412" s="950" t="s">
        <v>1572</v>
      </c>
      <c r="I4412" s="951" t="s">
        <v>5499</v>
      </c>
      <c r="J4412" s="947" t="s">
        <v>5500</v>
      </c>
      <c r="K4412" s="143"/>
    </row>
    <row r="4413" spans="1:11">
      <c r="A4413" s="946" t="s">
        <v>28619</v>
      </c>
      <c r="B4413" s="947" t="s">
        <v>6001</v>
      </c>
      <c r="C4413" s="948" t="s">
        <v>5999</v>
      </c>
      <c r="D4413" s="242" t="s">
        <v>26488</v>
      </c>
      <c r="E4413" s="949">
        <v>1002</v>
      </c>
      <c r="F4413" s="949">
        <v>1002</v>
      </c>
      <c r="G4413" s="950" t="s">
        <v>14550</v>
      </c>
      <c r="H4413" s="950" t="s">
        <v>1572</v>
      </c>
      <c r="I4413" s="951" t="s">
        <v>6000</v>
      </c>
      <c r="J4413" s="947" t="s">
        <v>6001</v>
      </c>
      <c r="K4413" s="143"/>
    </row>
    <row r="4414" spans="1:11">
      <c r="A4414" s="946" t="s">
        <v>28619</v>
      </c>
      <c r="B4414" s="947" t="s">
        <v>6501</v>
      </c>
      <c r="C4414" s="948" t="s">
        <v>6499</v>
      </c>
      <c r="D4414" s="242" t="s">
        <v>26488</v>
      </c>
      <c r="E4414" s="949">
        <v>1001</v>
      </c>
      <c r="F4414" s="949">
        <v>1001</v>
      </c>
      <c r="G4414" s="950" t="s">
        <v>14550</v>
      </c>
      <c r="H4414" s="950" t="s">
        <v>1572</v>
      </c>
      <c r="I4414" s="951" t="s">
        <v>6500</v>
      </c>
      <c r="J4414" s="947" t="s">
        <v>6501</v>
      </c>
      <c r="K4414" s="143"/>
    </row>
    <row r="4415" spans="1:11">
      <c r="A4415" s="946" t="s">
        <v>28619</v>
      </c>
      <c r="B4415" s="947" t="s">
        <v>6504</v>
      </c>
      <c r="C4415" s="948" t="s">
        <v>6502</v>
      </c>
      <c r="D4415" s="242" t="s">
        <v>26488</v>
      </c>
      <c r="E4415" s="949">
        <v>1001</v>
      </c>
      <c r="F4415" s="949">
        <v>1001</v>
      </c>
      <c r="G4415" s="950" t="s">
        <v>14550</v>
      </c>
      <c r="H4415" s="950" t="s">
        <v>1572</v>
      </c>
      <c r="I4415" s="951" t="s">
        <v>6503</v>
      </c>
      <c r="J4415" s="947" t="s">
        <v>6504</v>
      </c>
      <c r="K4415" s="143"/>
    </row>
    <row r="4416" spans="1:11">
      <c r="A4416" s="946" t="s">
        <v>28619</v>
      </c>
      <c r="B4416" s="947" t="s">
        <v>6507</v>
      </c>
      <c r="C4416" s="948" t="s">
        <v>6505</v>
      </c>
      <c r="D4416" s="242" t="s">
        <v>26488</v>
      </c>
      <c r="E4416" s="949">
        <v>1001</v>
      </c>
      <c r="F4416" s="949">
        <v>1001</v>
      </c>
      <c r="G4416" s="950" t="s">
        <v>14550</v>
      </c>
      <c r="H4416" s="950" t="s">
        <v>1572</v>
      </c>
      <c r="I4416" s="951" t="s">
        <v>6506</v>
      </c>
      <c r="J4416" s="947" t="s">
        <v>6507</v>
      </c>
      <c r="K4416" s="143"/>
    </row>
    <row r="4417" spans="1:11">
      <c r="A4417" s="946" t="s">
        <v>28619</v>
      </c>
      <c r="B4417" s="947" t="s">
        <v>6715</v>
      </c>
      <c r="C4417" s="948" t="s">
        <v>6713</v>
      </c>
      <c r="D4417" s="242" t="s">
        <v>26488</v>
      </c>
      <c r="E4417" s="949">
        <v>1001</v>
      </c>
      <c r="F4417" s="949">
        <v>1001</v>
      </c>
      <c r="G4417" s="950" t="s">
        <v>14550</v>
      </c>
      <c r="H4417" s="950" t="s">
        <v>1572</v>
      </c>
      <c r="I4417" s="951" t="s">
        <v>6714</v>
      </c>
      <c r="J4417" s="947" t="s">
        <v>6715</v>
      </c>
      <c r="K4417" s="143"/>
    </row>
    <row r="4418" spans="1:11">
      <c r="A4418" s="946" t="s">
        <v>28619</v>
      </c>
      <c r="B4418" s="947" t="s">
        <v>7036</v>
      </c>
      <c r="C4418" s="948" t="s">
        <v>7034</v>
      </c>
      <c r="D4418" s="242" t="s">
        <v>26488</v>
      </c>
      <c r="E4418" s="949">
        <v>1001</v>
      </c>
      <c r="F4418" s="949">
        <v>1001</v>
      </c>
      <c r="G4418" s="950" t="s">
        <v>14550</v>
      </c>
      <c r="H4418" s="950" t="s">
        <v>1572</v>
      </c>
      <c r="I4418" s="951" t="s">
        <v>7035</v>
      </c>
      <c r="J4418" s="947" t="s">
        <v>7036</v>
      </c>
      <c r="K4418" s="143"/>
    </row>
    <row r="4419" spans="1:11">
      <c r="A4419" s="946" t="s">
        <v>28619</v>
      </c>
      <c r="B4419" s="947" t="s">
        <v>7282</v>
      </c>
      <c r="C4419" s="948" t="s">
        <v>7280</v>
      </c>
      <c r="D4419" s="242" t="s">
        <v>26488</v>
      </c>
      <c r="E4419" s="949">
        <v>1001</v>
      </c>
      <c r="F4419" s="949">
        <v>1001</v>
      </c>
      <c r="G4419" s="950" t="s">
        <v>14550</v>
      </c>
      <c r="H4419" s="950" t="s">
        <v>1572</v>
      </c>
      <c r="I4419" s="951" t="s">
        <v>7281</v>
      </c>
      <c r="J4419" s="947" t="s">
        <v>7282</v>
      </c>
      <c r="K4419" s="143"/>
    </row>
    <row r="4420" spans="1:11">
      <c r="A4420" s="946" t="s">
        <v>28619</v>
      </c>
      <c r="B4420" s="947" t="s">
        <v>7616</v>
      </c>
      <c r="C4420" s="948" t="s">
        <v>7614</v>
      </c>
      <c r="D4420" s="242" t="s">
        <v>26488</v>
      </c>
      <c r="E4420" s="949">
        <v>1001</v>
      </c>
      <c r="F4420" s="949">
        <v>1001</v>
      </c>
      <c r="G4420" s="950" t="s">
        <v>14550</v>
      </c>
      <c r="H4420" s="950" t="s">
        <v>1572</v>
      </c>
      <c r="I4420" s="951" t="s">
        <v>7615</v>
      </c>
      <c r="J4420" s="947" t="s">
        <v>7616</v>
      </c>
      <c r="K4420" s="143"/>
    </row>
    <row r="4421" spans="1:11">
      <c r="A4421" s="946" t="s">
        <v>28619</v>
      </c>
      <c r="B4421" s="947" t="s">
        <v>8371</v>
      </c>
      <c r="C4421" s="948" t="s">
        <v>8369</v>
      </c>
      <c r="D4421" s="242" t="s">
        <v>26488</v>
      </c>
      <c r="E4421" s="949">
        <v>1002</v>
      </c>
      <c r="F4421" s="949">
        <v>1002</v>
      </c>
      <c r="G4421" s="950" t="s">
        <v>14550</v>
      </c>
      <c r="H4421" s="950" t="s">
        <v>1572</v>
      </c>
      <c r="I4421" s="951" t="s">
        <v>8370</v>
      </c>
      <c r="J4421" s="947" t="s">
        <v>8371</v>
      </c>
      <c r="K4421" s="143"/>
    </row>
    <row r="4422" spans="1:11">
      <c r="A4422" s="946" t="s">
        <v>28619</v>
      </c>
      <c r="B4422" s="947" t="s">
        <v>8575</v>
      </c>
      <c r="C4422" s="948" t="s">
        <v>8573</v>
      </c>
      <c r="D4422" s="242" t="s">
        <v>26488</v>
      </c>
      <c r="E4422" s="949">
        <v>1001</v>
      </c>
      <c r="F4422" s="949">
        <v>1001</v>
      </c>
      <c r="G4422" s="950" t="s">
        <v>14550</v>
      </c>
      <c r="H4422" s="950" t="s">
        <v>1572</v>
      </c>
      <c r="I4422" s="951" t="s">
        <v>8574</v>
      </c>
      <c r="J4422" s="947" t="s">
        <v>8575</v>
      </c>
      <c r="K4422" s="143"/>
    </row>
    <row r="4423" spans="1:11">
      <c r="A4423" s="946" t="s">
        <v>28619</v>
      </c>
      <c r="B4423" s="947" t="s">
        <v>8686</v>
      </c>
      <c r="C4423" s="948" t="s">
        <v>8684</v>
      </c>
      <c r="D4423" s="242" t="s">
        <v>26488</v>
      </c>
      <c r="E4423" s="949">
        <v>1001</v>
      </c>
      <c r="F4423" s="949">
        <v>1001</v>
      </c>
      <c r="G4423" s="950" t="s">
        <v>14550</v>
      </c>
      <c r="H4423" s="950" t="s">
        <v>1572</v>
      </c>
      <c r="I4423" s="951" t="s">
        <v>8685</v>
      </c>
      <c r="J4423" s="947" t="s">
        <v>8686</v>
      </c>
      <c r="K4423" s="143"/>
    </row>
    <row r="4424" spans="1:11">
      <c r="A4424" s="946" t="s">
        <v>28619</v>
      </c>
      <c r="B4424" s="947" t="s">
        <v>9179</v>
      </c>
      <c r="C4424" s="948" t="s">
        <v>9177</v>
      </c>
      <c r="D4424" s="242" t="s">
        <v>26488</v>
      </c>
      <c r="E4424" s="949">
        <v>1002</v>
      </c>
      <c r="F4424" s="949">
        <v>1002</v>
      </c>
      <c r="G4424" s="950" t="s">
        <v>14550</v>
      </c>
      <c r="H4424" s="950" t="s">
        <v>1572</v>
      </c>
      <c r="I4424" s="951" t="s">
        <v>9178</v>
      </c>
      <c r="J4424" s="947" t="s">
        <v>9179</v>
      </c>
      <c r="K4424" s="143"/>
    </row>
    <row r="4425" spans="1:11">
      <c r="A4425" s="946" t="s">
        <v>28619</v>
      </c>
      <c r="B4425" s="947" t="s">
        <v>9665</v>
      </c>
      <c r="C4425" s="948" t="s">
        <v>9663</v>
      </c>
      <c r="D4425" s="242" t="s">
        <v>26488</v>
      </c>
      <c r="E4425" s="949">
        <v>1002</v>
      </c>
      <c r="F4425" s="949">
        <v>1002</v>
      </c>
      <c r="G4425" s="950" t="s">
        <v>14550</v>
      </c>
      <c r="H4425" s="950" t="s">
        <v>1572</v>
      </c>
      <c r="I4425" s="951" t="s">
        <v>9664</v>
      </c>
      <c r="J4425" s="947" t="s">
        <v>9665</v>
      </c>
      <c r="K4425" s="143"/>
    </row>
    <row r="4426" spans="1:11">
      <c r="A4426" s="946" t="s">
        <v>28619</v>
      </c>
      <c r="B4426" s="947" t="s">
        <v>9668</v>
      </c>
      <c r="C4426" s="948" t="s">
        <v>9666</v>
      </c>
      <c r="D4426" s="242" t="s">
        <v>26488</v>
      </c>
      <c r="E4426" s="949">
        <v>1001</v>
      </c>
      <c r="F4426" s="949">
        <v>1001</v>
      </c>
      <c r="G4426" s="950" t="s">
        <v>14550</v>
      </c>
      <c r="H4426" s="950" t="s">
        <v>1572</v>
      </c>
      <c r="I4426" s="951" t="s">
        <v>9667</v>
      </c>
      <c r="J4426" s="947" t="s">
        <v>9668</v>
      </c>
      <c r="K4426" s="143"/>
    </row>
    <row r="4427" spans="1:11">
      <c r="A4427" s="946" t="s">
        <v>28619</v>
      </c>
      <c r="B4427" s="947" t="s">
        <v>9733</v>
      </c>
      <c r="C4427" s="948" t="s">
        <v>9731</v>
      </c>
      <c r="D4427" s="242" t="s">
        <v>26488</v>
      </c>
      <c r="E4427" s="949">
        <v>1001</v>
      </c>
      <c r="F4427" s="949">
        <v>1001</v>
      </c>
      <c r="G4427" s="950" t="s">
        <v>14550</v>
      </c>
      <c r="H4427" s="950" t="s">
        <v>1572</v>
      </c>
      <c r="I4427" s="951" t="s">
        <v>9732</v>
      </c>
      <c r="J4427" s="947" t="s">
        <v>9733</v>
      </c>
      <c r="K4427" s="143"/>
    </row>
    <row r="4428" spans="1:11">
      <c r="A4428" s="946" t="s">
        <v>28619</v>
      </c>
      <c r="B4428" s="947" t="s">
        <v>10478</v>
      </c>
      <c r="C4428" s="948" t="s">
        <v>10476</v>
      </c>
      <c r="D4428" s="242" t="s">
        <v>26488</v>
      </c>
      <c r="E4428" s="949">
        <v>1001</v>
      </c>
      <c r="F4428" s="949">
        <v>1001</v>
      </c>
      <c r="G4428" s="950" t="s">
        <v>14550</v>
      </c>
      <c r="H4428" s="950" t="s">
        <v>1572</v>
      </c>
      <c r="I4428" s="951" t="s">
        <v>10477</v>
      </c>
      <c r="J4428" s="947" t="s">
        <v>10478</v>
      </c>
      <c r="K4428" s="143"/>
    </row>
    <row r="4429" spans="1:11">
      <c r="A4429" s="946" t="s">
        <v>28619</v>
      </c>
      <c r="B4429" s="947" t="s">
        <v>10870</v>
      </c>
      <c r="C4429" s="948" t="s">
        <v>10868</v>
      </c>
      <c r="D4429" s="242" t="s">
        <v>26488</v>
      </c>
      <c r="E4429" s="949">
        <v>1001</v>
      </c>
      <c r="F4429" s="949">
        <v>1001</v>
      </c>
      <c r="G4429" s="950" t="s">
        <v>14550</v>
      </c>
      <c r="H4429" s="950" t="s">
        <v>1572</v>
      </c>
      <c r="I4429" s="951" t="s">
        <v>10869</v>
      </c>
      <c r="J4429" s="947" t="s">
        <v>10870</v>
      </c>
      <c r="K4429" s="143"/>
    </row>
    <row r="4430" spans="1:11">
      <c r="A4430" s="946" t="s">
        <v>28619</v>
      </c>
      <c r="B4430" s="947" t="s">
        <v>11254</v>
      </c>
      <c r="C4430" s="948" t="s">
        <v>11252</v>
      </c>
      <c r="D4430" s="242" t="s">
        <v>26488</v>
      </c>
      <c r="E4430" s="949">
        <v>1001</v>
      </c>
      <c r="F4430" s="949">
        <v>1001</v>
      </c>
      <c r="G4430" s="950" t="s">
        <v>14550</v>
      </c>
      <c r="H4430" s="950" t="s">
        <v>1572</v>
      </c>
      <c r="I4430" s="951" t="s">
        <v>11253</v>
      </c>
      <c r="J4430" s="947" t="s">
        <v>11254</v>
      </c>
      <c r="K4430" s="143"/>
    </row>
    <row r="4431" spans="1:11">
      <c r="A4431" s="946" t="s">
        <v>28619</v>
      </c>
      <c r="B4431" s="947" t="s">
        <v>11394</v>
      </c>
      <c r="C4431" s="948" t="s">
        <v>11392</v>
      </c>
      <c r="D4431" s="242" t="s">
        <v>26488</v>
      </c>
      <c r="E4431" s="949">
        <v>1001</v>
      </c>
      <c r="F4431" s="949">
        <v>1001</v>
      </c>
      <c r="G4431" s="950" t="s">
        <v>14550</v>
      </c>
      <c r="H4431" s="950" t="s">
        <v>1572</v>
      </c>
      <c r="I4431" s="951" t="s">
        <v>11393</v>
      </c>
      <c r="J4431" s="947" t="s">
        <v>11394</v>
      </c>
      <c r="K4431" s="143"/>
    </row>
    <row r="4432" spans="1:11">
      <c r="A4432" s="946" t="s">
        <v>28619</v>
      </c>
      <c r="B4432" s="947" t="s">
        <v>12268</v>
      </c>
      <c r="C4432" s="948" t="s">
        <v>12266</v>
      </c>
      <c r="D4432" s="242" t="s">
        <v>26488</v>
      </c>
      <c r="E4432" s="949">
        <v>1001</v>
      </c>
      <c r="F4432" s="949">
        <v>1001</v>
      </c>
      <c r="G4432" s="950" t="s">
        <v>14550</v>
      </c>
      <c r="H4432" s="950" t="s">
        <v>1572</v>
      </c>
      <c r="I4432" s="951" t="s">
        <v>12267</v>
      </c>
      <c r="J4432" s="947" t="s">
        <v>12268</v>
      </c>
      <c r="K4432" s="143"/>
    </row>
    <row r="4433" spans="1:11">
      <c r="A4433" s="946" t="s">
        <v>28619</v>
      </c>
      <c r="B4433" s="947" t="s">
        <v>12461</v>
      </c>
      <c r="C4433" s="948" t="s">
        <v>12459</v>
      </c>
      <c r="D4433" s="242" t="s">
        <v>26488</v>
      </c>
      <c r="E4433" s="949">
        <v>1002</v>
      </c>
      <c r="F4433" s="949">
        <v>1002</v>
      </c>
      <c r="G4433" s="950" t="s">
        <v>14550</v>
      </c>
      <c r="H4433" s="950" t="s">
        <v>1572</v>
      </c>
      <c r="I4433" s="951" t="s">
        <v>12460</v>
      </c>
      <c r="J4433" s="947" t="s">
        <v>12461</v>
      </c>
      <c r="K4433" s="143"/>
    </row>
    <row r="4434" spans="1:11">
      <c r="A4434" s="946" t="s">
        <v>28619</v>
      </c>
      <c r="B4434" s="947" t="s">
        <v>12573</v>
      </c>
      <c r="C4434" s="948" t="s">
        <v>12571</v>
      </c>
      <c r="D4434" s="242" t="s">
        <v>26488</v>
      </c>
      <c r="E4434" s="949">
        <v>1002</v>
      </c>
      <c r="F4434" s="949">
        <v>1002</v>
      </c>
      <c r="G4434" s="950" t="s">
        <v>14550</v>
      </c>
      <c r="H4434" s="950" t="s">
        <v>1572</v>
      </c>
      <c r="I4434" s="951" t="s">
        <v>12572</v>
      </c>
      <c r="J4434" s="947" t="s">
        <v>12573</v>
      </c>
      <c r="K4434" s="143"/>
    </row>
    <row r="4435" spans="1:11">
      <c r="A4435" s="946" t="s">
        <v>28619</v>
      </c>
      <c r="B4435" s="947" t="s">
        <v>12343</v>
      </c>
      <c r="C4435" s="948" t="s">
        <v>12341</v>
      </c>
      <c r="D4435" s="242" t="s">
        <v>26488</v>
      </c>
      <c r="E4435" s="949">
        <v>1001</v>
      </c>
      <c r="F4435" s="949">
        <v>1001</v>
      </c>
      <c r="G4435" s="950" t="s">
        <v>14550</v>
      </c>
      <c r="H4435" s="950" t="s">
        <v>1572</v>
      </c>
      <c r="I4435" s="951" t="s">
        <v>12342</v>
      </c>
      <c r="J4435" s="947" t="s">
        <v>12343</v>
      </c>
      <c r="K4435" s="143"/>
    </row>
    <row r="4436" spans="1:11">
      <c r="A4436" s="946" t="s">
        <v>28619</v>
      </c>
      <c r="B4436" s="947" t="s">
        <v>12836</v>
      </c>
      <c r="C4436" s="948" t="s">
        <v>12834</v>
      </c>
      <c r="D4436" s="242" t="s">
        <v>26488</v>
      </c>
      <c r="E4436" s="949">
        <v>1001</v>
      </c>
      <c r="F4436" s="949">
        <v>1001</v>
      </c>
      <c r="G4436" s="950" t="s">
        <v>14550</v>
      </c>
      <c r="H4436" s="950" t="s">
        <v>1572</v>
      </c>
      <c r="I4436" s="951" t="s">
        <v>12835</v>
      </c>
      <c r="J4436" s="947" t="s">
        <v>12836</v>
      </c>
      <c r="K4436" s="143"/>
    </row>
    <row r="4437" spans="1:11">
      <c r="A4437" s="946" t="s">
        <v>28619</v>
      </c>
      <c r="B4437" s="947" t="s">
        <v>13316</v>
      </c>
      <c r="C4437" s="948" t="s">
        <v>13314</v>
      </c>
      <c r="D4437" s="242" t="s">
        <v>26488</v>
      </c>
      <c r="E4437" s="949">
        <v>1002</v>
      </c>
      <c r="F4437" s="949">
        <v>1002</v>
      </c>
      <c r="G4437" s="950" t="s">
        <v>14550</v>
      </c>
      <c r="H4437" s="950" t="s">
        <v>1572</v>
      </c>
      <c r="I4437" s="951" t="s">
        <v>13315</v>
      </c>
      <c r="J4437" s="947" t="s">
        <v>13316</v>
      </c>
      <c r="K4437" s="143"/>
    </row>
    <row r="4438" spans="1:11">
      <c r="A4438" s="946" t="s">
        <v>28619</v>
      </c>
      <c r="B4438" s="947" t="s">
        <v>13373</v>
      </c>
      <c r="C4438" s="948" t="s">
        <v>13371</v>
      </c>
      <c r="D4438" s="242" t="s">
        <v>26488</v>
      </c>
      <c r="E4438" s="949">
        <v>1002</v>
      </c>
      <c r="F4438" s="949">
        <v>1002</v>
      </c>
      <c r="G4438" s="950" t="s">
        <v>14550</v>
      </c>
      <c r="H4438" s="950" t="s">
        <v>1572</v>
      </c>
      <c r="I4438" s="951" t="s">
        <v>13372</v>
      </c>
      <c r="J4438" s="947" t="s">
        <v>13373</v>
      </c>
      <c r="K4438" s="143"/>
    </row>
    <row r="4439" spans="1:11">
      <c r="A4439" s="946" t="s">
        <v>28619</v>
      </c>
      <c r="B4439" s="947" t="s">
        <v>13984</v>
      </c>
      <c r="C4439" s="948" t="s">
        <v>13982</v>
      </c>
      <c r="D4439" s="242" t="s">
        <v>26488</v>
      </c>
      <c r="E4439" s="949">
        <v>1001</v>
      </c>
      <c r="F4439" s="949">
        <v>1001</v>
      </c>
      <c r="G4439" s="950" t="s">
        <v>14550</v>
      </c>
      <c r="H4439" s="950" t="s">
        <v>1572</v>
      </c>
      <c r="I4439" s="951" t="s">
        <v>13983</v>
      </c>
      <c r="J4439" s="947" t="s">
        <v>13984</v>
      </c>
      <c r="K4439" s="143"/>
    </row>
    <row r="4440" spans="1:11">
      <c r="A4440" s="946" t="s">
        <v>28619</v>
      </c>
      <c r="B4440" s="947" t="s">
        <v>14207</v>
      </c>
      <c r="C4440" s="948" t="s">
        <v>14205</v>
      </c>
      <c r="D4440" s="242" t="s">
        <v>26488</v>
      </c>
      <c r="E4440" s="949">
        <v>1001</v>
      </c>
      <c r="F4440" s="949">
        <v>1001</v>
      </c>
      <c r="G4440" s="950" t="s">
        <v>14550</v>
      </c>
      <c r="H4440" s="950" t="s">
        <v>1572</v>
      </c>
      <c r="I4440" s="951" t="s">
        <v>14206</v>
      </c>
      <c r="J4440" s="947" t="s">
        <v>14207</v>
      </c>
      <c r="K4440" s="143"/>
    </row>
    <row r="4441" spans="1:11">
      <c r="A4441" s="946" t="s">
        <v>28619</v>
      </c>
      <c r="B4441" s="947" t="s">
        <v>14306</v>
      </c>
      <c r="C4441" s="948" t="s">
        <v>14304</v>
      </c>
      <c r="D4441" s="242" t="s">
        <v>26488</v>
      </c>
      <c r="E4441" s="949">
        <v>1001</v>
      </c>
      <c r="F4441" s="949">
        <v>1001</v>
      </c>
      <c r="G4441" s="950" t="s">
        <v>14550</v>
      </c>
      <c r="H4441" s="950" t="s">
        <v>1572</v>
      </c>
      <c r="I4441" s="951" t="s">
        <v>14305</v>
      </c>
      <c r="J4441" s="947" t="s">
        <v>14306</v>
      </c>
      <c r="K4441" s="143"/>
    </row>
    <row r="4442" spans="1:11">
      <c r="A4442" s="946" t="s">
        <v>28619</v>
      </c>
      <c r="B4442" s="947" t="s">
        <v>14550</v>
      </c>
      <c r="C4442" s="948" t="s">
        <v>14548</v>
      </c>
      <c r="D4442" s="242" t="s">
        <v>26488</v>
      </c>
      <c r="E4442" s="949">
        <v>1001</v>
      </c>
      <c r="F4442" s="949">
        <v>1001</v>
      </c>
      <c r="G4442" s="950" t="s">
        <v>14550</v>
      </c>
      <c r="H4442" s="950" t="s">
        <v>1572</v>
      </c>
      <c r="I4442" s="951" t="s">
        <v>14549</v>
      </c>
      <c r="J4442" s="947" t="s">
        <v>14550</v>
      </c>
      <c r="K4442" s="143"/>
    </row>
    <row r="4443" spans="1:11">
      <c r="A4443" s="946" t="s">
        <v>28619</v>
      </c>
      <c r="B4443" s="947" t="s">
        <v>14829</v>
      </c>
      <c r="C4443" s="948" t="s">
        <v>14827</v>
      </c>
      <c r="D4443" s="242" t="s">
        <v>26488</v>
      </c>
      <c r="E4443" s="949">
        <v>1001</v>
      </c>
      <c r="F4443" s="949">
        <v>1001</v>
      </c>
      <c r="G4443" s="950" t="s">
        <v>14550</v>
      </c>
      <c r="H4443" s="950" t="s">
        <v>1572</v>
      </c>
      <c r="I4443" s="951" t="s">
        <v>14828</v>
      </c>
      <c r="J4443" s="947" t="s">
        <v>14829</v>
      </c>
      <c r="K4443" s="143"/>
    </row>
    <row r="4444" spans="1:11">
      <c r="A4444" s="946" t="s">
        <v>28619</v>
      </c>
      <c r="B4444" s="947" t="s">
        <v>14874</v>
      </c>
      <c r="C4444" s="948" t="s">
        <v>14872</v>
      </c>
      <c r="D4444" s="242" t="s">
        <v>26488</v>
      </c>
      <c r="E4444" s="949">
        <v>1001</v>
      </c>
      <c r="F4444" s="949">
        <v>1001</v>
      </c>
      <c r="G4444" s="950" t="s">
        <v>14550</v>
      </c>
      <c r="H4444" s="950" t="s">
        <v>1572</v>
      </c>
      <c r="I4444" s="951" t="s">
        <v>14873</v>
      </c>
      <c r="J4444" s="947" t="s">
        <v>14874</v>
      </c>
      <c r="K4444" s="143"/>
    </row>
    <row r="4445" spans="1:11">
      <c r="A4445" s="946" t="s">
        <v>28619</v>
      </c>
      <c r="B4445" s="947" t="s">
        <v>15211</v>
      </c>
      <c r="C4445" s="948" t="s">
        <v>15209</v>
      </c>
      <c r="D4445" s="242" t="s">
        <v>26488</v>
      </c>
      <c r="E4445" s="949">
        <v>1002</v>
      </c>
      <c r="F4445" s="949">
        <v>1002</v>
      </c>
      <c r="G4445" s="950" t="s">
        <v>14550</v>
      </c>
      <c r="H4445" s="950" t="s">
        <v>1572</v>
      </c>
      <c r="I4445" s="951" t="s">
        <v>15210</v>
      </c>
      <c r="J4445" s="947" t="s">
        <v>15211</v>
      </c>
      <c r="K4445" s="143"/>
    </row>
    <row r="4446" spans="1:11">
      <c r="A4446" s="946" t="s">
        <v>28619</v>
      </c>
      <c r="B4446" s="947" t="s">
        <v>15796</v>
      </c>
      <c r="C4446" s="948" t="s">
        <v>15794</v>
      </c>
      <c r="D4446" s="242" t="s">
        <v>26488</v>
      </c>
      <c r="E4446" s="949">
        <v>1002</v>
      </c>
      <c r="F4446" s="949">
        <v>1002</v>
      </c>
      <c r="G4446" s="950" t="s">
        <v>14550</v>
      </c>
      <c r="H4446" s="950" t="s">
        <v>1572</v>
      </c>
      <c r="I4446" s="951" t="s">
        <v>15795</v>
      </c>
      <c r="J4446" s="947" t="s">
        <v>15796</v>
      </c>
      <c r="K4446" s="143"/>
    </row>
    <row r="4447" spans="1:11">
      <c r="A4447" s="946" t="s">
        <v>28619</v>
      </c>
      <c r="B4447" s="947" t="s">
        <v>17772</v>
      </c>
      <c r="C4447" s="948" t="s">
        <v>17770</v>
      </c>
      <c r="D4447" s="242" t="s">
        <v>26488</v>
      </c>
      <c r="E4447" s="949">
        <v>1001</v>
      </c>
      <c r="F4447" s="949">
        <v>1001</v>
      </c>
      <c r="G4447" s="950" t="s">
        <v>14550</v>
      </c>
      <c r="H4447" s="950" t="s">
        <v>1572</v>
      </c>
      <c r="I4447" s="951" t="s">
        <v>17771</v>
      </c>
      <c r="J4447" s="947" t="s">
        <v>17772</v>
      </c>
      <c r="K4447" s="143"/>
    </row>
    <row r="4448" spans="1:11">
      <c r="A4448" s="946" t="s">
        <v>28619</v>
      </c>
      <c r="B4448" s="947" t="s">
        <v>18600</v>
      </c>
      <c r="C4448" s="948" t="s">
        <v>18598</v>
      </c>
      <c r="D4448" s="242" t="s">
        <v>26488</v>
      </c>
      <c r="E4448" s="949">
        <v>1002</v>
      </c>
      <c r="F4448" s="949">
        <v>1002</v>
      </c>
      <c r="G4448" s="950" t="s">
        <v>14550</v>
      </c>
      <c r="H4448" s="950" t="s">
        <v>1572</v>
      </c>
      <c r="I4448" s="951" t="s">
        <v>18599</v>
      </c>
      <c r="J4448" s="947" t="s">
        <v>18600</v>
      </c>
      <c r="K4448" s="143"/>
    </row>
    <row r="4449" spans="1:11">
      <c r="A4449" s="946" t="s">
        <v>28619</v>
      </c>
      <c r="B4449" s="947" t="s">
        <v>19067</v>
      </c>
      <c r="C4449" s="948" t="s">
        <v>19065</v>
      </c>
      <c r="D4449" s="242" t="s">
        <v>26488</v>
      </c>
      <c r="E4449" s="949">
        <v>1001</v>
      </c>
      <c r="F4449" s="949">
        <v>1001</v>
      </c>
      <c r="G4449" s="950" t="s">
        <v>14550</v>
      </c>
      <c r="H4449" s="950" t="s">
        <v>1572</v>
      </c>
      <c r="I4449" s="951" t="s">
        <v>19066</v>
      </c>
      <c r="J4449" s="947" t="s">
        <v>19067</v>
      </c>
      <c r="K4449" s="143"/>
    </row>
    <row r="4450" spans="1:11">
      <c r="A4450" s="946" t="s">
        <v>28619</v>
      </c>
      <c r="B4450" s="947" t="s">
        <v>19070</v>
      </c>
      <c r="C4450" s="948" t="s">
        <v>19068</v>
      </c>
      <c r="D4450" s="242" t="s">
        <v>26488</v>
      </c>
      <c r="E4450" s="949">
        <v>1002</v>
      </c>
      <c r="F4450" s="949">
        <v>1002</v>
      </c>
      <c r="G4450" s="950" t="s">
        <v>14550</v>
      </c>
      <c r="H4450" s="950" t="s">
        <v>1572</v>
      </c>
      <c r="I4450" s="951" t="s">
        <v>19069</v>
      </c>
      <c r="J4450" s="947" t="s">
        <v>19070</v>
      </c>
      <c r="K4450" s="143"/>
    </row>
    <row r="4451" spans="1:11">
      <c r="A4451" s="946" t="s">
        <v>28619</v>
      </c>
      <c r="B4451" s="947" t="s">
        <v>19204</v>
      </c>
      <c r="C4451" s="948" t="s">
        <v>19202</v>
      </c>
      <c r="D4451" s="242" t="s">
        <v>26488</v>
      </c>
      <c r="E4451" s="949">
        <v>1002</v>
      </c>
      <c r="F4451" s="949">
        <v>1002</v>
      </c>
      <c r="G4451" s="950" t="s">
        <v>14550</v>
      </c>
      <c r="H4451" s="950" t="s">
        <v>1572</v>
      </c>
      <c r="I4451" s="951" t="s">
        <v>19203</v>
      </c>
      <c r="J4451" s="947" t="s">
        <v>19204</v>
      </c>
      <c r="K4451" s="143"/>
    </row>
    <row r="4452" spans="1:11">
      <c r="A4452" s="946" t="s">
        <v>28619</v>
      </c>
      <c r="B4452" s="947" t="s">
        <v>19514</v>
      </c>
      <c r="C4452" s="948" t="s">
        <v>19512</v>
      </c>
      <c r="D4452" s="242" t="s">
        <v>26488</v>
      </c>
      <c r="E4452" s="949">
        <v>1001</v>
      </c>
      <c r="F4452" s="949">
        <v>1001</v>
      </c>
      <c r="G4452" s="950" t="s">
        <v>14550</v>
      </c>
      <c r="H4452" s="950" t="s">
        <v>1572</v>
      </c>
      <c r="I4452" s="951" t="s">
        <v>19513</v>
      </c>
      <c r="J4452" s="947" t="s">
        <v>19514</v>
      </c>
      <c r="K4452" s="143"/>
    </row>
    <row r="4453" spans="1:11">
      <c r="A4453" s="946" t="s">
        <v>28619</v>
      </c>
      <c r="B4453" s="947" t="s">
        <v>19851</v>
      </c>
      <c r="C4453" s="948" t="s">
        <v>19849</v>
      </c>
      <c r="D4453" s="242" t="s">
        <v>26488</v>
      </c>
      <c r="E4453" s="949">
        <v>1002</v>
      </c>
      <c r="F4453" s="949">
        <v>1002</v>
      </c>
      <c r="G4453" s="950" t="s">
        <v>14550</v>
      </c>
      <c r="H4453" s="950" t="s">
        <v>1572</v>
      </c>
      <c r="I4453" s="951" t="s">
        <v>19850</v>
      </c>
      <c r="J4453" s="947" t="s">
        <v>19851</v>
      </c>
      <c r="K4453" s="143"/>
    </row>
    <row r="4454" spans="1:11">
      <c r="A4454" s="946" t="s">
        <v>28619</v>
      </c>
      <c r="B4454" s="947" t="s">
        <v>19921</v>
      </c>
      <c r="C4454" s="948" t="s">
        <v>19919</v>
      </c>
      <c r="D4454" s="242" t="s">
        <v>26488</v>
      </c>
      <c r="E4454" s="949">
        <v>1002</v>
      </c>
      <c r="F4454" s="949">
        <v>1002</v>
      </c>
      <c r="G4454" s="950" t="s">
        <v>14550</v>
      </c>
      <c r="H4454" s="950" t="s">
        <v>1572</v>
      </c>
      <c r="I4454" s="951" t="s">
        <v>19920</v>
      </c>
      <c r="J4454" s="947" t="s">
        <v>19921</v>
      </c>
      <c r="K4454" s="143"/>
    </row>
    <row r="4455" spans="1:11">
      <c r="A4455" s="946" t="s">
        <v>28619</v>
      </c>
      <c r="B4455" s="947" t="s">
        <v>20508</v>
      </c>
      <c r="C4455" s="948" t="s">
        <v>20506</v>
      </c>
      <c r="D4455" s="242" t="s">
        <v>26488</v>
      </c>
      <c r="E4455" s="949">
        <v>1001</v>
      </c>
      <c r="F4455" s="949">
        <v>1001</v>
      </c>
      <c r="G4455" s="950" t="s">
        <v>14550</v>
      </c>
      <c r="H4455" s="950" t="s">
        <v>1572</v>
      </c>
      <c r="I4455" s="951" t="s">
        <v>20507</v>
      </c>
      <c r="J4455" s="947" t="s">
        <v>20508</v>
      </c>
      <c r="K4455" s="143"/>
    </row>
    <row r="4456" spans="1:11">
      <c r="A4456" s="946" t="s">
        <v>28619</v>
      </c>
      <c r="B4456" s="947" t="s">
        <v>20576</v>
      </c>
      <c r="C4456" s="948" t="s">
        <v>20574</v>
      </c>
      <c r="D4456" s="242" t="s">
        <v>26488</v>
      </c>
      <c r="E4456" s="949">
        <v>1001</v>
      </c>
      <c r="F4456" s="949">
        <v>1001</v>
      </c>
      <c r="G4456" s="950" t="s">
        <v>14550</v>
      </c>
      <c r="H4456" s="950" t="s">
        <v>1572</v>
      </c>
      <c r="I4456" s="951" t="s">
        <v>20575</v>
      </c>
      <c r="J4456" s="947" t="s">
        <v>20576</v>
      </c>
      <c r="K4456" s="143"/>
    </row>
    <row r="4457" spans="1:11">
      <c r="A4457" s="946" t="s">
        <v>28619</v>
      </c>
      <c r="B4457" s="947" t="s">
        <v>20962</v>
      </c>
      <c r="C4457" s="948" t="s">
        <v>20960</v>
      </c>
      <c r="D4457" s="242" t="s">
        <v>26488</v>
      </c>
      <c r="E4457" s="949">
        <v>1002</v>
      </c>
      <c r="F4457" s="949">
        <v>1002</v>
      </c>
      <c r="G4457" s="950" t="s">
        <v>14550</v>
      </c>
      <c r="H4457" s="950" t="s">
        <v>1572</v>
      </c>
      <c r="I4457" s="951" t="s">
        <v>20961</v>
      </c>
      <c r="J4457" s="947" t="s">
        <v>20962</v>
      </c>
      <c r="K4457" s="143"/>
    </row>
    <row r="4458" spans="1:11">
      <c r="A4458" s="946" t="s">
        <v>28619</v>
      </c>
      <c r="B4458" s="947" t="s">
        <v>21122</v>
      </c>
      <c r="C4458" s="948" t="s">
        <v>21120</v>
      </c>
      <c r="D4458" s="242" t="s">
        <v>26488</v>
      </c>
      <c r="E4458" s="949">
        <v>1001</v>
      </c>
      <c r="F4458" s="949">
        <v>1001</v>
      </c>
      <c r="G4458" s="950" t="s">
        <v>14550</v>
      </c>
      <c r="H4458" s="950" t="s">
        <v>1572</v>
      </c>
      <c r="I4458" s="951" t="s">
        <v>21121</v>
      </c>
      <c r="J4458" s="947" t="s">
        <v>21122</v>
      </c>
      <c r="K4458" s="143"/>
    </row>
    <row r="4459" spans="1:11">
      <c r="A4459" s="946" t="s">
        <v>28619</v>
      </c>
      <c r="B4459" s="947" t="s">
        <v>21178</v>
      </c>
      <c r="C4459" s="948" t="s">
        <v>21176</v>
      </c>
      <c r="D4459" s="242" t="s">
        <v>26488</v>
      </c>
      <c r="E4459" s="949">
        <v>1001</v>
      </c>
      <c r="F4459" s="949">
        <v>1001</v>
      </c>
      <c r="G4459" s="950" t="s">
        <v>14550</v>
      </c>
      <c r="H4459" s="950" t="s">
        <v>1572</v>
      </c>
      <c r="I4459" s="951" t="s">
        <v>21177</v>
      </c>
      <c r="J4459" s="947" t="s">
        <v>21178</v>
      </c>
      <c r="K4459" s="143"/>
    </row>
    <row r="4460" spans="1:11">
      <c r="A4460" s="946" t="s">
        <v>28619</v>
      </c>
      <c r="B4460" s="947" t="s">
        <v>21357</v>
      </c>
      <c r="C4460" s="948" t="s">
        <v>21355</v>
      </c>
      <c r="D4460" s="242" t="s">
        <v>26488</v>
      </c>
      <c r="E4460" s="949">
        <v>1001</v>
      </c>
      <c r="F4460" s="949">
        <v>1001</v>
      </c>
      <c r="G4460" s="950" t="s">
        <v>14550</v>
      </c>
      <c r="H4460" s="950" t="s">
        <v>1572</v>
      </c>
      <c r="I4460" s="951" t="s">
        <v>21356</v>
      </c>
      <c r="J4460" s="947" t="s">
        <v>21357</v>
      </c>
      <c r="K4460" s="143"/>
    </row>
    <row r="4461" spans="1:11">
      <c r="A4461" s="946" t="s">
        <v>28619</v>
      </c>
      <c r="B4461" s="947" t="s">
        <v>21481</v>
      </c>
      <c r="C4461" s="948" t="s">
        <v>21479</v>
      </c>
      <c r="D4461" s="242" t="s">
        <v>26488</v>
      </c>
      <c r="E4461" s="949">
        <v>1002</v>
      </c>
      <c r="F4461" s="949">
        <v>1002</v>
      </c>
      <c r="G4461" s="950" t="s">
        <v>14550</v>
      </c>
      <c r="H4461" s="950" t="s">
        <v>1572</v>
      </c>
      <c r="I4461" s="951" t="s">
        <v>21480</v>
      </c>
      <c r="J4461" s="947" t="s">
        <v>21481</v>
      </c>
      <c r="K4461" s="143"/>
    </row>
    <row r="4462" spans="1:11">
      <c r="A4462" s="946" t="s">
        <v>28619</v>
      </c>
      <c r="B4462" s="947" t="s">
        <v>21528</v>
      </c>
      <c r="C4462" s="948" t="s">
        <v>21526</v>
      </c>
      <c r="D4462" s="242" t="s">
        <v>26488</v>
      </c>
      <c r="E4462" s="949">
        <v>1002</v>
      </c>
      <c r="F4462" s="949">
        <v>1002</v>
      </c>
      <c r="G4462" s="950" t="s">
        <v>14550</v>
      </c>
      <c r="H4462" s="950" t="s">
        <v>1572</v>
      </c>
      <c r="I4462" s="951" t="s">
        <v>21527</v>
      </c>
      <c r="J4462" s="947" t="s">
        <v>21528</v>
      </c>
      <c r="K4462" s="143"/>
    </row>
    <row r="4463" spans="1:11">
      <c r="A4463" s="946" t="s">
        <v>28619</v>
      </c>
      <c r="B4463" s="947" t="s">
        <v>482</v>
      </c>
      <c r="C4463" s="948" t="s">
        <v>479</v>
      </c>
      <c r="D4463" s="242" t="s">
        <v>26488</v>
      </c>
      <c r="E4463" s="949">
        <v>1003</v>
      </c>
      <c r="F4463" s="949">
        <v>1003</v>
      </c>
      <c r="G4463" s="950" t="s">
        <v>20363</v>
      </c>
      <c r="H4463" s="950" t="s">
        <v>480</v>
      </c>
      <c r="I4463" s="951" t="s">
        <v>481</v>
      </c>
      <c r="J4463" s="947" t="s">
        <v>482</v>
      </c>
      <c r="K4463" s="143"/>
    </row>
    <row r="4464" spans="1:11">
      <c r="A4464" s="946" t="s">
        <v>28619</v>
      </c>
      <c r="B4464" s="947" t="s">
        <v>953</v>
      </c>
      <c r="C4464" s="948" t="s">
        <v>951</v>
      </c>
      <c r="D4464" s="242" t="s">
        <v>26488</v>
      </c>
      <c r="E4464" s="949">
        <v>1003</v>
      </c>
      <c r="F4464" s="949">
        <v>1003</v>
      </c>
      <c r="G4464" s="950" t="s">
        <v>20363</v>
      </c>
      <c r="H4464" s="950" t="s">
        <v>480</v>
      </c>
      <c r="I4464" s="951" t="s">
        <v>952</v>
      </c>
      <c r="J4464" s="947" t="s">
        <v>953</v>
      </c>
      <c r="K4464" s="143"/>
    </row>
    <row r="4465" spans="1:11">
      <c r="A4465" s="946" t="s">
        <v>28619</v>
      </c>
      <c r="B4465" s="947" t="s">
        <v>1040</v>
      </c>
      <c r="C4465" s="948" t="s">
        <v>1038</v>
      </c>
      <c r="D4465" s="242" t="s">
        <v>26488</v>
      </c>
      <c r="E4465" s="949">
        <v>1003</v>
      </c>
      <c r="F4465" s="949">
        <v>1003</v>
      </c>
      <c r="G4465" s="950" t="s">
        <v>20363</v>
      </c>
      <c r="H4465" s="950" t="s">
        <v>480</v>
      </c>
      <c r="I4465" s="951" t="s">
        <v>1039</v>
      </c>
      <c r="J4465" s="947" t="s">
        <v>1040</v>
      </c>
      <c r="K4465" s="143"/>
    </row>
    <row r="4466" spans="1:11">
      <c r="A4466" s="946" t="s">
        <v>28619</v>
      </c>
      <c r="B4466" s="947" t="s">
        <v>1088</v>
      </c>
      <c r="C4466" s="948" t="s">
        <v>1086</v>
      </c>
      <c r="D4466" s="242" t="s">
        <v>26488</v>
      </c>
      <c r="E4466" s="949">
        <v>1003</v>
      </c>
      <c r="F4466" s="949">
        <v>1003</v>
      </c>
      <c r="G4466" s="950" t="s">
        <v>20363</v>
      </c>
      <c r="H4466" s="950" t="s">
        <v>480</v>
      </c>
      <c r="I4466" s="951" t="s">
        <v>1087</v>
      </c>
      <c r="J4466" s="947" t="s">
        <v>1088</v>
      </c>
      <c r="K4466" s="143"/>
    </row>
    <row r="4467" spans="1:11">
      <c r="A4467" s="946" t="s">
        <v>28619</v>
      </c>
      <c r="B4467" s="947" t="s">
        <v>1491</v>
      </c>
      <c r="C4467" s="948" t="s">
        <v>1489</v>
      </c>
      <c r="D4467" s="242" t="s">
        <v>26488</v>
      </c>
      <c r="E4467" s="949">
        <v>1003</v>
      </c>
      <c r="F4467" s="949">
        <v>1003</v>
      </c>
      <c r="G4467" s="950" t="s">
        <v>20363</v>
      </c>
      <c r="H4467" s="950" t="s">
        <v>480</v>
      </c>
      <c r="I4467" s="951" t="s">
        <v>1490</v>
      </c>
      <c r="J4467" s="947" t="s">
        <v>1491</v>
      </c>
      <c r="K4467" s="143"/>
    </row>
    <row r="4468" spans="1:11">
      <c r="A4468" s="946" t="s">
        <v>28619</v>
      </c>
      <c r="B4468" s="947" t="s">
        <v>1614</v>
      </c>
      <c r="C4468" s="948" t="s">
        <v>1612</v>
      </c>
      <c r="D4468" s="242" t="s">
        <v>26488</v>
      </c>
      <c r="E4468" s="949">
        <v>1003</v>
      </c>
      <c r="F4468" s="949">
        <v>1003</v>
      </c>
      <c r="G4468" s="950" t="s">
        <v>20363</v>
      </c>
      <c r="H4468" s="950" t="s">
        <v>480</v>
      </c>
      <c r="I4468" s="951" t="s">
        <v>1613</v>
      </c>
      <c r="J4468" s="947" t="s">
        <v>1614</v>
      </c>
      <c r="K4468" s="143"/>
    </row>
    <row r="4469" spans="1:11">
      <c r="A4469" s="946" t="s">
        <v>28619</v>
      </c>
      <c r="B4469" s="947" t="s">
        <v>2051</v>
      </c>
      <c r="C4469" s="948" t="s">
        <v>2049</v>
      </c>
      <c r="D4469" s="242" t="s">
        <v>26488</v>
      </c>
      <c r="E4469" s="949">
        <v>1003</v>
      </c>
      <c r="F4469" s="949">
        <v>1003</v>
      </c>
      <c r="G4469" s="950" t="s">
        <v>20363</v>
      </c>
      <c r="H4469" s="950" t="s">
        <v>480</v>
      </c>
      <c r="I4469" s="951" t="s">
        <v>2050</v>
      </c>
      <c r="J4469" s="947" t="s">
        <v>2051</v>
      </c>
      <c r="K4469" s="143"/>
    </row>
    <row r="4470" spans="1:11">
      <c r="A4470" s="946" t="s">
        <v>28619</v>
      </c>
      <c r="B4470" s="947" t="s">
        <v>3579</v>
      </c>
      <c r="C4470" s="948" t="s">
        <v>3577</v>
      </c>
      <c r="D4470" s="242" t="s">
        <v>26488</v>
      </c>
      <c r="E4470" s="949">
        <v>1003</v>
      </c>
      <c r="F4470" s="949">
        <v>1003</v>
      </c>
      <c r="G4470" s="950" t="s">
        <v>20363</v>
      </c>
      <c r="H4470" s="950" t="s">
        <v>480</v>
      </c>
      <c r="I4470" s="951" t="s">
        <v>3578</v>
      </c>
      <c r="J4470" s="947" t="s">
        <v>3579</v>
      </c>
      <c r="K4470" s="143"/>
    </row>
    <row r="4471" spans="1:11">
      <c r="A4471" s="946" t="s">
        <v>28619</v>
      </c>
      <c r="B4471" s="947" t="s">
        <v>4985</v>
      </c>
      <c r="C4471" s="948" t="s">
        <v>4983</v>
      </c>
      <c r="D4471" s="242" t="s">
        <v>26488</v>
      </c>
      <c r="E4471" s="949">
        <v>1003</v>
      </c>
      <c r="F4471" s="949">
        <v>1003</v>
      </c>
      <c r="G4471" s="950" t="s">
        <v>20363</v>
      </c>
      <c r="H4471" s="950" t="s">
        <v>480</v>
      </c>
      <c r="I4471" s="951" t="s">
        <v>4984</v>
      </c>
      <c r="J4471" s="947" t="s">
        <v>4985</v>
      </c>
      <c r="K4471" s="143"/>
    </row>
    <row r="4472" spans="1:11">
      <c r="A4472" s="946" t="s">
        <v>28619</v>
      </c>
      <c r="B4472" s="947" t="s">
        <v>5042</v>
      </c>
      <c r="C4472" s="948" t="s">
        <v>5040</v>
      </c>
      <c r="D4472" s="242" t="s">
        <v>26488</v>
      </c>
      <c r="E4472" s="949">
        <v>1003</v>
      </c>
      <c r="F4472" s="949">
        <v>1003</v>
      </c>
      <c r="G4472" s="950" t="s">
        <v>20363</v>
      </c>
      <c r="H4472" s="950" t="s">
        <v>480</v>
      </c>
      <c r="I4472" s="951" t="s">
        <v>5041</v>
      </c>
      <c r="J4472" s="947" t="s">
        <v>5042</v>
      </c>
      <c r="K4472" s="143"/>
    </row>
    <row r="4473" spans="1:11">
      <c r="A4473" s="946" t="s">
        <v>28619</v>
      </c>
      <c r="B4473" s="947" t="s">
        <v>7947</v>
      </c>
      <c r="C4473" s="948" t="s">
        <v>7945</v>
      </c>
      <c r="D4473" s="242" t="s">
        <v>26488</v>
      </c>
      <c r="E4473" s="949">
        <v>1003</v>
      </c>
      <c r="F4473" s="949">
        <v>1003</v>
      </c>
      <c r="G4473" s="950" t="s">
        <v>20363</v>
      </c>
      <c r="H4473" s="950" t="s">
        <v>480</v>
      </c>
      <c r="I4473" s="951" t="s">
        <v>7946</v>
      </c>
      <c r="J4473" s="947" t="s">
        <v>7947</v>
      </c>
      <c r="K4473" s="143"/>
    </row>
    <row r="4474" spans="1:11">
      <c r="A4474" s="946" t="s">
        <v>28619</v>
      </c>
      <c r="B4474" s="947" t="s">
        <v>8124</v>
      </c>
      <c r="C4474" s="948" t="s">
        <v>8122</v>
      </c>
      <c r="D4474" s="242" t="s">
        <v>26488</v>
      </c>
      <c r="E4474" s="949">
        <v>1003</v>
      </c>
      <c r="F4474" s="949">
        <v>1003</v>
      </c>
      <c r="G4474" s="950" t="s">
        <v>20363</v>
      </c>
      <c r="H4474" s="950" t="s">
        <v>480</v>
      </c>
      <c r="I4474" s="951" t="s">
        <v>8123</v>
      </c>
      <c r="J4474" s="947" t="s">
        <v>8124</v>
      </c>
      <c r="K4474" s="143"/>
    </row>
    <row r="4475" spans="1:11">
      <c r="A4475" s="946" t="s">
        <v>28619</v>
      </c>
      <c r="B4475" s="947" t="s">
        <v>8198</v>
      </c>
      <c r="C4475" s="948" t="s">
        <v>8196</v>
      </c>
      <c r="D4475" s="242" t="s">
        <v>26488</v>
      </c>
      <c r="E4475" s="949">
        <v>1003</v>
      </c>
      <c r="F4475" s="949">
        <v>1003</v>
      </c>
      <c r="G4475" s="950" t="s">
        <v>20363</v>
      </c>
      <c r="H4475" s="950" t="s">
        <v>480</v>
      </c>
      <c r="I4475" s="951" t="s">
        <v>8197</v>
      </c>
      <c r="J4475" s="947" t="s">
        <v>8198</v>
      </c>
      <c r="K4475" s="143"/>
    </row>
    <row r="4476" spans="1:11">
      <c r="A4476" s="946" t="s">
        <v>28619</v>
      </c>
      <c r="B4476" s="947" t="s">
        <v>9265</v>
      </c>
      <c r="C4476" s="948" t="s">
        <v>9263</v>
      </c>
      <c r="D4476" s="242" t="s">
        <v>26488</v>
      </c>
      <c r="E4476" s="949">
        <v>1003</v>
      </c>
      <c r="F4476" s="949">
        <v>1003</v>
      </c>
      <c r="G4476" s="950" t="s">
        <v>20363</v>
      </c>
      <c r="H4476" s="950" t="s">
        <v>480</v>
      </c>
      <c r="I4476" s="951" t="s">
        <v>9264</v>
      </c>
      <c r="J4476" s="947" t="s">
        <v>9265</v>
      </c>
      <c r="K4476" s="143"/>
    </row>
    <row r="4477" spans="1:11">
      <c r="A4477" s="946" t="s">
        <v>28619</v>
      </c>
      <c r="B4477" s="947" t="s">
        <v>9696</v>
      </c>
      <c r="C4477" s="948" t="s">
        <v>9694</v>
      </c>
      <c r="D4477" s="242" t="s">
        <v>26488</v>
      </c>
      <c r="E4477" s="949">
        <v>1003</v>
      </c>
      <c r="F4477" s="949">
        <v>1003</v>
      </c>
      <c r="G4477" s="950" t="s">
        <v>20363</v>
      </c>
      <c r="H4477" s="950" t="s">
        <v>480</v>
      </c>
      <c r="I4477" s="951" t="s">
        <v>9695</v>
      </c>
      <c r="J4477" s="947" t="s">
        <v>9696</v>
      </c>
      <c r="K4477" s="143"/>
    </row>
    <row r="4478" spans="1:11">
      <c r="A4478" s="946" t="s">
        <v>28619</v>
      </c>
      <c r="B4478" s="947" t="s">
        <v>10712</v>
      </c>
      <c r="C4478" s="948" t="s">
        <v>10710</v>
      </c>
      <c r="D4478" s="242" t="s">
        <v>26488</v>
      </c>
      <c r="E4478" s="949">
        <v>1003</v>
      </c>
      <c r="F4478" s="949">
        <v>1003</v>
      </c>
      <c r="G4478" s="950" t="s">
        <v>20363</v>
      </c>
      <c r="H4478" s="950" t="s">
        <v>480</v>
      </c>
      <c r="I4478" s="951" t="s">
        <v>10711</v>
      </c>
      <c r="J4478" s="947" t="s">
        <v>10712</v>
      </c>
      <c r="K4478" s="143"/>
    </row>
    <row r="4479" spans="1:11">
      <c r="A4479" s="946" t="s">
        <v>28619</v>
      </c>
      <c r="B4479" s="947" t="s">
        <v>12398</v>
      </c>
      <c r="C4479" s="948" t="s">
        <v>12396</v>
      </c>
      <c r="D4479" s="242" t="s">
        <v>26488</v>
      </c>
      <c r="E4479" s="949">
        <v>1003</v>
      </c>
      <c r="F4479" s="949">
        <v>1003</v>
      </c>
      <c r="G4479" s="950" t="s">
        <v>20363</v>
      </c>
      <c r="H4479" s="950" t="s">
        <v>480</v>
      </c>
      <c r="I4479" s="951" t="s">
        <v>12397</v>
      </c>
      <c r="J4479" s="947" t="s">
        <v>12398</v>
      </c>
      <c r="K4479" s="143"/>
    </row>
    <row r="4480" spans="1:11">
      <c r="A4480" s="946" t="s">
        <v>28619</v>
      </c>
      <c r="B4480" s="947" t="s">
        <v>12410</v>
      </c>
      <c r="C4480" s="948" t="s">
        <v>12408</v>
      </c>
      <c r="D4480" s="242" t="s">
        <v>26488</v>
      </c>
      <c r="E4480" s="949">
        <v>1003</v>
      </c>
      <c r="F4480" s="949">
        <v>1003</v>
      </c>
      <c r="G4480" s="950" t="s">
        <v>20363</v>
      </c>
      <c r="H4480" s="950" t="s">
        <v>480</v>
      </c>
      <c r="I4480" s="951" t="s">
        <v>12409</v>
      </c>
      <c r="J4480" s="947" t="s">
        <v>12410</v>
      </c>
      <c r="K4480" s="143"/>
    </row>
    <row r="4481" spans="1:11">
      <c r="A4481" s="946" t="s">
        <v>28619</v>
      </c>
      <c r="B4481" s="947" t="s">
        <v>12510</v>
      </c>
      <c r="C4481" s="948" t="s">
        <v>12508</v>
      </c>
      <c r="D4481" s="242" t="s">
        <v>26488</v>
      </c>
      <c r="E4481" s="949">
        <v>1003</v>
      </c>
      <c r="F4481" s="949">
        <v>1003</v>
      </c>
      <c r="G4481" s="950" t="s">
        <v>20363</v>
      </c>
      <c r="H4481" s="950" t="s">
        <v>480</v>
      </c>
      <c r="I4481" s="951" t="s">
        <v>12509</v>
      </c>
      <c r="J4481" s="947" t="s">
        <v>12510</v>
      </c>
      <c r="K4481" s="143"/>
    </row>
    <row r="4482" spans="1:11">
      <c r="A4482" s="946" t="s">
        <v>28619</v>
      </c>
      <c r="B4482" s="947" t="s">
        <v>12519</v>
      </c>
      <c r="C4482" s="948" t="s">
        <v>12517</v>
      </c>
      <c r="D4482" s="242" t="s">
        <v>26488</v>
      </c>
      <c r="E4482" s="949">
        <v>1003</v>
      </c>
      <c r="F4482" s="949">
        <v>1003</v>
      </c>
      <c r="G4482" s="950" t="s">
        <v>20363</v>
      </c>
      <c r="H4482" s="950" t="s">
        <v>480</v>
      </c>
      <c r="I4482" s="951" t="s">
        <v>12518</v>
      </c>
      <c r="J4482" s="947" t="s">
        <v>12519</v>
      </c>
      <c r="K4482" s="143"/>
    </row>
    <row r="4483" spans="1:11">
      <c r="A4483" s="946" t="s">
        <v>28619</v>
      </c>
      <c r="B4483" s="947" t="s">
        <v>12576</v>
      </c>
      <c r="C4483" s="948" t="s">
        <v>12574</v>
      </c>
      <c r="D4483" s="242" t="s">
        <v>26488</v>
      </c>
      <c r="E4483" s="949">
        <v>1003</v>
      </c>
      <c r="F4483" s="949">
        <v>1003</v>
      </c>
      <c r="G4483" s="950" t="s">
        <v>20363</v>
      </c>
      <c r="H4483" s="950" t="s">
        <v>480</v>
      </c>
      <c r="I4483" s="951" t="s">
        <v>12575</v>
      </c>
      <c r="J4483" s="947" t="s">
        <v>12576</v>
      </c>
      <c r="K4483" s="143"/>
    </row>
    <row r="4484" spans="1:11">
      <c r="A4484" s="946" t="s">
        <v>28619</v>
      </c>
      <c r="B4484" s="947" t="s">
        <v>13165</v>
      </c>
      <c r="C4484" s="948" t="s">
        <v>13163</v>
      </c>
      <c r="D4484" s="242" t="s">
        <v>26488</v>
      </c>
      <c r="E4484" s="949">
        <v>1003</v>
      </c>
      <c r="F4484" s="949">
        <v>1003</v>
      </c>
      <c r="G4484" s="950" t="s">
        <v>20363</v>
      </c>
      <c r="H4484" s="950" t="s">
        <v>480</v>
      </c>
      <c r="I4484" s="951" t="s">
        <v>13164</v>
      </c>
      <c r="J4484" s="947" t="s">
        <v>13165</v>
      </c>
      <c r="K4484" s="143"/>
    </row>
    <row r="4485" spans="1:11">
      <c r="A4485" s="946" t="s">
        <v>28619</v>
      </c>
      <c r="B4485" s="947" t="s">
        <v>13816</v>
      </c>
      <c r="C4485" s="948" t="s">
        <v>13814</v>
      </c>
      <c r="D4485" s="242" t="s">
        <v>26488</v>
      </c>
      <c r="E4485" s="949">
        <v>1003</v>
      </c>
      <c r="F4485" s="949">
        <v>1003</v>
      </c>
      <c r="G4485" s="950" t="s">
        <v>20363</v>
      </c>
      <c r="H4485" s="950" t="s">
        <v>480</v>
      </c>
      <c r="I4485" s="951" t="s">
        <v>13815</v>
      </c>
      <c r="J4485" s="947" t="s">
        <v>13816</v>
      </c>
      <c r="K4485" s="143"/>
    </row>
    <row r="4486" spans="1:11">
      <c r="A4486" s="946" t="s">
        <v>28619</v>
      </c>
      <c r="B4486" s="947" t="s">
        <v>13917</v>
      </c>
      <c r="C4486" s="948" t="s">
        <v>13915</v>
      </c>
      <c r="D4486" s="242" t="s">
        <v>26488</v>
      </c>
      <c r="E4486" s="949">
        <v>1003</v>
      </c>
      <c r="F4486" s="949">
        <v>1003</v>
      </c>
      <c r="G4486" s="950" t="s">
        <v>20363</v>
      </c>
      <c r="H4486" s="950" t="s">
        <v>480</v>
      </c>
      <c r="I4486" s="951" t="s">
        <v>13916</v>
      </c>
      <c r="J4486" s="947" t="s">
        <v>13917</v>
      </c>
      <c r="K4486" s="143"/>
    </row>
    <row r="4487" spans="1:11">
      <c r="A4487" s="946" t="s">
        <v>28619</v>
      </c>
      <c r="B4487" s="947" t="s">
        <v>14276</v>
      </c>
      <c r="C4487" s="948" t="s">
        <v>14274</v>
      </c>
      <c r="D4487" s="242" t="s">
        <v>26488</v>
      </c>
      <c r="E4487" s="949">
        <v>1003</v>
      </c>
      <c r="F4487" s="949">
        <v>1003</v>
      </c>
      <c r="G4487" s="950" t="s">
        <v>20363</v>
      </c>
      <c r="H4487" s="950" t="s">
        <v>480</v>
      </c>
      <c r="I4487" s="951" t="s">
        <v>14275</v>
      </c>
      <c r="J4487" s="947" t="s">
        <v>14276</v>
      </c>
      <c r="K4487" s="143"/>
    </row>
    <row r="4488" spans="1:11">
      <c r="A4488" s="946" t="s">
        <v>28619</v>
      </c>
      <c r="B4488" s="947" t="s">
        <v>14450</v>
      </c>
      <c r="C4488" s="948" t="s">
        <v>14448</v>
      </c>
      <c r="D4488" s="242" t="s">
        <v>26488</v>
      </c>
      <c r="E4488" s="949">
        <v>1003</v>
      </c>
      <c r="F4488" s="949">
        <v>1003</v>
      </c>
      <c r="G4488" s="950" t="s">
        <v>20363</v>
      </c>
      <c r="H4488" s="950" t="s">
        <v>480</v>
      </c>
      <c r="I4488" s="951" t="s">
        <v>14449</v>
      </c>
      <c r="J4488" s="947" t="s">
        <v>14450</v>
      </c>
      <c r="K4488" s="143"/>
    </row>
    <row r="4489" spans="1:11">
      <c r="A4489" s="946" t="s">
        <v>28619</v>
      </c>
      <c r="B4489" s="947" t="s">
        <v>15270</v>
      </c>
      <c r="C4489" s="948" t="s">
        <v>15268</v>
      </c>
      <c r="D4489" s="242" t="s">
        <v>26488</v>
      </c>
      <c r="E4489" s="949">
        <v>1003</v>
      </c>
      <c r="F4489" s="949">
        <v>1003</v>
      </c>
      <c r="G4489" s="950" t="s">
        <v>20363</v>
      </c>
      <c r="H4489" s="950" t="s">
        <v>480</v>
      </c>
      <c r="I4489" s="951" t="s">
        <v>15269</v>
      </c>
      <c r="J4489" s="947" t="s">
        <v>15270</v>
      </c>
      <c r="K4489" s="143"/>
    </row>
    <row r="4490" spans="1:11">
      <c r="A4490" s="946" t="s">
        <v>28619</v>
      </c>
      <c r="B4490" s="947" t="s">
        <v>15508</v>
      </c>
      <c r="C4490" s="948" t="s">
        <v>15506</v>
      </c>
      <c r="D4490" s="242" t="s">
        <v>26488</v>
      </c>
      <c r="E4490" s="949">
        <v>1003</v>
      </c>
      <c r="F4490" s="949">
        <v>1003</v>
      </c>
      <c r="G4490" s="950" t="s">
        <v>20363</v>
      </c>
      <c r="H4490" s="950" t="s">
        <v>480</v>
      </c>
      <c r="I4490" s="951" t="s">
        <v>15507</v>
      </c>
      <c r="J4490" s="947" t="s">
        <v>15508</v>
      </c>
      <c r="K4490" s="143"/>
    </row>
    <row r="4491" spans="1:11">
      <c r="A4491" s="946" t="s">
        <v>28619</v>
      </c>
      <c r="B4491" s="947" t="s">
        <v>17598</v>
      </c>
      <c r="C4491" s="948" t="s">
        <v>17596</v>
      </c>
      <c r="D4491" s="242" t="s">
        <v>26488</v>
      </c>
      <c r="E4491" s="949">
        <v>1003</v>
      </c>
      <c r="F4491" s="949">
        <v>1003</v>
      </c>
      <c r="G4491" s="950" t="s">
        <v>20363</v>
      </c>
      <c r="H4491" s="950" t="s">
        <v>480</v>
      </c>
      <c r="I4491" s="951" t="s">
        <v>17597</v>
      </c>
      <c r="J4491" s="947" t="s">
        <v>17598</v>
      </c>
      <c r="K4491" s="143"/>
    </row>
    <row r="4492" spans="1:11">
      <c r="A4492" s="946" t="s">
        <v>28619</v>
      </c>
      <c r="B4492" s="947" t="s">
        <v>18257</v>
      </c>
      <c r="C4492" s="948" t="s">
        <v>18255</v>
      </c>
      <c r="D4492" s="242" t="s">
        <v>26488</v>
      </c>
      <c r="E4492" s="949">
        <v>1001</v>
      </c>
      <c r="F4492" s="949">
        <v>1001</v>
      </c>
      <c r="G4492" s="950" t="s">
        <v>20363</v>
      </c>
      <c r="H4492" s="950" t="s">
        <v>480</v>
      </c>
      <c r="I4492" s="951" t="s">
        <v>18256</v>
      </c>
      <c r="J4492" s="947" t="s">
        <v>18257</v>
      </c>
      <c r="K4492" s="143"/>
    </row>
    <row r="4493" spans="1:11">
      <c r="A4493" s="946" t="s">
        <v>28619</v>
      </c>
      <c r="B4493" s="947" t="s">
        <v>20063</v>
      </c>
      <c r="C4493" s="948" t="s">
        <v>20061</v>
      </c>
      <c r="D4493" s="242" t="s">
        <v>26488</v>
      </c>
      <c r="E4493" s="949">
        <v>1003</v>
      </c>
      <c r="F4493" s="949">
        <v>1003</v>
      </c>
      <c r="G4493" s="950" t="s">
        <v>20363</v>
      </c>
      <c r="H4493" s="950" t="s">
        <v>480</v>
      </c>
      <c r="I4493" s="951" t="s">
        <v>20062</v>
      </c>
      <c r="J4493" s="947" t="s">
        <v>20063</v>
      </c>
      <c r="K4493" s="143"/>
    </row>
    <row r="4494" spans="1:11">
      <c r="A4494" s="946" t="s">
        <v>28619</v>
      </c>
      <c r="B4494" s="947" t="s">
        <v>20363</v>
      </c>
      <c r="C4494" s="948" t="s">
        <v>20361</v>
      </c>
      <c r="D4494" s="242" t="s">
        <v>26488</v>
      </c>
      <c r="E4494" s="949">
        <v>1003</v>
      </c>
      <c r="F4494" s="949">
        <v>1003</v>
      </c>
      <c r="G4494" s="950" t="s">
        <v>20363</v>
      </c>
      <c r="H4494" s="950" t="s">
        <v>480</v>
      </c>
      <c r="I4494" s="951" t="s">
        <v>20362</v>
      </c>
      <c r="J4494" s="947" t="s">
        <v>20363</v>
      </c>
      <c r="K4494" s="143"/>
    </row>
    <row r="4495" spans="1:11">
      <c r="A4495" s="946" t="s">
        <v>28619</v>
      </c>
      <c r="B4495" s="947" t="s">
        <v>1682</v>
      </c>
      <c r="C4495" s="948" t="s">
        <v>1680</v>
      </c>
      <c r="D4495" s="242" t="s">
        <v>26488</v>
      </c>
      <c r="E4495" s="949">
        <v>1003</v>
      </c>
      <c r="F4495" s="949">
        <v>1003</v>
      </c>
      <c r="G4495" s="950" t="s">
        <v>20363</v>
      </c>
      <c r="H4495" s="950" t="s">
        <v>480</v>
      </c>
      <c r="I4495" s="951" t="s">
        <v>1681</v>
      </c>
      <c r="J4495" s="947" t="s">
        <v>1682</v>
      </c>
      <c r="K4495" s="143"/>
    </row>
    <row r="4496" spans="1:11">
      <c r="A4496" s="946" t="s">
        <v>28610</v>
      </c>
      <c r="B4496" s="947" t="s">
        <v>461</v>
      </c>
      <c r="C4496" s="948" t="s">
        <v>458</v>
      </c>
      <c r="D4496" s="242" t="s">
        <v>28716</v>
      </c>
      <c r="E4496" s="949">
        <v>1201</v>
      </c>
      <c r="F4496" s="949">
        <v>1201</v>
      </c>
      <c r="G4496" s="950" t="s">
        <v>22421</v>
      </c>
      <c r="H4496" s="950" t="s">
        <v>459</v>
      </c>
      <c r="I4496" s="951" t="s">
        <v>460</v>
      </c>
      <c r="J4496" s="947" t="s">
        <v>461</v>
      </c>
      <c r="K4496" s="143"/>
    </row>
    <row r="4497" spans="1:11">
      <c r="A4497" s="946" t="s">
        <v>28610</v>
      </c>
      <c r="B4497" s="947" t="s">
        <v>1430</v>
      </c>
      <c r="C4497" s="948" t="s">
        <v>1428</v>
      </c>
      <c r="D4497" s="242" t="s">
        <v>28716</v>
      </c>
      <c r="E4497" s="949">
        <v>1201</v>
      </c>
      <c r="F4497" s="949">
        <v>1201</v>
      </c>
      <c r="G4497" s="950" t="s">
        <v>22421</v>
      </c>
      <c r="H4497" s="950" t="s">
        <v>459</v>
      </c>
      <c r="I4497" s="951" t="s">
        <v>1429</v>
      </c>
      <c r="J4497" s="947" t="s">
        <v>1430</v>
      </c>
      <c r="K4497" s="143"/>
    </row>
    <row r="4498" spans="1:11">
      <c r="A4498" s="946" t="s">
        <v>28610</v>
      </c>
      <c r="B4498" s="947" t="s">
        <v>1826</v>
      </c>
      <c r="C4498" s="948" t="s">
        <v>1824</v>
      </c>
      <c r="D4498" s="242" t="s">
        <v>28716</v>
      </c>
      <c r="E4498" s="949">
        <v>1201</v>
      </c>
      <c r="F4498" s="949">
        <v>1201</v>
      </c>
      <c r="G4498" s="950" t="s">
        <v>22421</v>
      </c>
      <c r="H4498" s="950" t="s">
        <v>459</v>
      </c>
      <c r="I4498" s="951" t="s">
        <v>1825</v>
      </c>
      <c r="J4498" s="947" t="s">
        <v>1826</v>
      </c>
      <c r="K4498" s="143"/>
    </row>
    <row r="4499" spans="1:11">
      <c r="A4499" s="946" t="s">
        <v>28610</v>
      </c>
      <c r="B4499" s="947" t="s">
        <v>1928</v>
      </c>
      <c r="C4499" s="948" t="s">
        <v>1926</v>
      </c>
      <c r="D4499" s="242" t="s">
        <v>28716</v>
      </c>
      <c r="E4499" s="949">
        <v>1201</v>
      </c>
      <c r="F4499" s="949">
        <v>1201</v>
      </c>
      <c r="G4499" s="950" t="s">
        <v>22421</v>
      </c>
      <c r="H4499" s="950" t="s">
        <v>459</v>
      </c>
      <c r="I4499" s="951" t="s">
        <v>1927</v>
      </c>
      <c r="J4499" s="947" t="s">
        <v>1928</v>
      </c>
      <c r="K4499" s="143"/>
    </row>
    <row r="4500" spans="1:11">
      <c r="A4500" s="946" t="s">
        <v>28610</v>
      </c>
      <c r="B4500" s="947" t="s">
        <v>2084</v>
      </c>
      <c r="C4500" s="948" t="s">
        <v>2082</v>
      </c>
      <c r="D4500" s="242" t="s">
        <v>28716</v>
      </c>
      <c r="E4500" s="949">
        <v>1201</v>
      </c>
      <c r="F4500" s="949">
        <v>1201</v>
      </c>
      <c r="G4500" s="950" t="s">
        <v>22421</v>
      </c>
      <c r="H4500" s="950" t="s">
        <v>459</v>
      </c>
      <c r="I4500" s="951" t="s">
        <v>2083</v>
      </c>
      <c r="J4500" s="947" t="s">
        <v>2084</v>
      </c>
      <c r="K4500" s="143"/>
    </row>
    <row r="4501" spans="1:11">
      <c r="A4501" s="946" t="s">
        <v>28610</v>
      </c>
      <c r="B4501" s="947" t="s">
        <v>2081</v>
      </c>
      <c r="C4501" s="948" t="s">
        <v>2079</v>
      </c>
      <c r="D4501" s="242" t="s">
        <v>28716</v>
      </c>
      <c r="E4501" s="949">
        <v>1201</v>
      </c>
      <c r="F4501" s="949">
        <v>1201</v>
      </c>
      <c r="G4501" s="950" t="s">
        <v>22421</v>
      </c>
      <c r="H4501" s="950" t="s">
        <v>459</v>
      </c>
      <c r="I4501" s="951" t="s">
        <v>2080</v>
      </c>
      <c r="J4501" s="947" t="s">
        <v>2081</v>
      </c>
      <c r="K4501" s="143"/>
    </row>
    <row r="4502" spans="1:11">
      <c r="A4502" s="946" t="s">
        <v>28610</v>
      </c>
      <c r="B4502" s="947" t="s">
        <v>2513</v>
      </c>
      <c r="C4502" s="948" t="s">
        <v>2511</v>
      </c>
      <c r="D4502" s="242" t="s">
        <v>28716</v>
      </c>
      <c r="E4502" s="949">
        <v>1201</v>
      </c>
      <c r="F4502" s="949">
        <v>1201</v>
      </c>
      <c r="G4502" s="950" t="s">
        <v>22421</v>
      </c>
      <c r="H4502" s="950" t="s">
        <v>459</v>
      </c>
      <c r="I4502" s="951" t="s">
        <v>2512</v>
      </c>
      <c r="J4502" s="947" t="s">
        <v>2513</v>
      </c>
      <c r="K4502" s="143"/>
    </row>
    <row r="4503" spans="1:11">
      <c r="A4503" s="946" t="s">
        <v>28610</v>
      </c>
      <c r="B4503" s="947" t="s">
        <v>2595</v>
      </c>
      <c r="C4503" s="948" t="s">
        <v>2593</v>
      </c>
      <c r="D4503" s="242" t="s">
        <v>28716</v>
      </c>
      <c r="E4503" s="949">
        <v>1201</v>
      </c>
      <c r="F4503" s="949">
        <v>1201</v>
      </c>
      <c r="G4503" s="950" t="s">
        <v>22421</v>
      </c>
      <c r="H4503" s="950" t="s">
        <v>459</v>
      </c>
      <c r="I4503" s="951" t="s">
        <v>2594</v>
      </c>
      <c r="J4503" s="947" t="s">
        <v>2595</v>
      </c>
      <c r="K4503" s="143"/>
    </row>
    <row r="4504" spans="1:11">
      <c r="A4504" s="946" t="s">
        <v>28610</v>
      </c>
      <c r="B4504" s="947" t="s">
        <v>2608</v>
      </c>
      <c r="C4504" s="948" t="s">
        <v>2606</v>
      </c>
      <c r="D4504" s="242" t="s">
        <v>28716</v>
      </c>
      <c r="E4504" s="949">
        <v>1201</v>
      </c>
      <c r="F4504" s="949">
        <v>1201</v>
      </c>
      <c r="G4504" s="950" t="s">
        <v>22421</v>
      </c>
      <c r="H4504" s="950" t="s">
        <v>459</v>
      </c>
      <c r="I4504" s="951" t="s">
        <v>2607</v>
      </c>
      <c r="J4504" s="947" t="s">
        <v>2608</v>
      </c>
      <c r="K4504" s="143"/>
    </row>
    <row r="4505" spans="1:11">
      <c r="A4505" s="946" t="s">
        <v>28610</v>
      </c>
      <c r="B4505" s="947" t="s">
        <v>3441</v>
      </c>
      <c r="C4505" s="948" t="s">
        <v>3439</v>
      </c>
      <c r="D4505" s="242" t="s">
        <v>28716</v>
      </c>
      <c r="E4505" s="949">
        <v>1201</v>
      </c>
      <c r="F4505" s="949">
        <v>1201</v>
      </c>
      <c r="G4505" s="950" t="s">
        <v>22421</v>
      </c>
      <c r="H4505" s="950" t="s">
        <v>459</v>
      </c>
      <c r="I4505" s="951" t="s">
        <v>3440</v>
      </c>
      <c r="J4505" s="947" t="s">
        <v>3441</v>
      </c>
      <c r="K4505" s="143"/>
    </row>
    <row r="4506" spans="1:11">
      <c r="A4506" s="946" t="s">
        <v>28610</v>
      </c>
      <c r="B4506" s="947" t="s">
        <v>3915</v>
      </c>
      <c r="C4506" s="948" t="s">
        <v>3913</v>
      </c>
      <c r="D4506" s="242" t="s">
        <v>28716</v>
      </c>
      <c r="E4506" s="949">
        <v>1201</v>
      </c>
      <c r="F4506" s="949">
        <v>1201</v>
      </c>
      <c r="G4506" s="950" t="s">
        <v>22421</v>
      </c>
      <c r="H4506" s="950" t="s">
        <v>459</v>
      </c>
      <c r="I4506" s="951" t="s">
        <v>3914</v>
      </c>
      <c r="J4506" s="947" t="s">
        <v>3915</v>
      </c>
      <c r="K4506" s="143"/>
    </row>
    <row r="4507" spans="1:11">
      <c r="A4507" s="946" t="s">
        <v>28610</v>
      </c>
      <c r="B4507" s="947" t="s">
        <v>3927</v>
      </c>
      <c r="C4507" s="948" t="s">
        <v>3925</v>
      </c>
      <c r="D4507" s="242" t="s">
        <v>28716</v>
      </c>
      <c r="E4507" s="949">
        <v>1201</v>
      </c>
      <c r="F4507" s="949">
        <v>1201</v>
      </c>
      <c r="G4507" s="950" t="s">
        <v>22421</v>
      </c>
      <c r="H4507" s="950" t="s">
        <v>459</v>
      </c>
      <c r="I4507" s="951" t="s">
        <v>3926</v>
      </c>
      <c r="J4507" s="947" t="s">
        <v>3927</v>
      </c>
      <c r="K4507" s="143"/>
    </row>
    <row r="4508" spans="1:11">
      <c r="A4508" s="946" t="s">
        <v>28610</v>
      </c>
      <c r="B4508" s="947" t="s">
        <v>4070</v>
      </c>
      <c r="C4508" s="948" t="s">
        <v>4068</v>
      </c>
      <c r="D4508" s="242" t="s">
        <v>28716</v>
      </c>
      <c r="E4508" s="949">
        <v>1201</v>
      </c>
      <c r="F4508" s="949">
        <v>1201</v>
      </c>
      <c r="G4508" s="950" t="s">
        <v>22421</v>
      </c>
      <c r="H4508" s="950" t="s">
        <v>459</v>
      </c>
      <c r="I4508" s="951" t="s">
        <v>4069</v>
      </c>
      <c r="J4508" s="947" t="s">
        <v>4070</v>
      </c>
      <c r="K4508" s="143"/>
    </row>
    <row r="4509" spans="1:11">
      <c r="A4509" s="946" t="s">
        <v>28610</v>
      </c>
      <c r="B4509" s="947" t="s">
        <v>4122</v>
      </c>
      <c r="C4509" s="948" t="s">
        <v>4120</v>
      </c>
      <c r="D4509" s="242" t="s">
        <v>28716</v>
      </c>
      <c r="E4509" s="949">
        <v>1201</v>
      </c>
      <c r="F4509" s="949">
        <v>1201</v>
      </c>
      <c r="G4509" s="950" t="s">
        <v>22421</v>
      </c>
      <c r="H4509" s="950" t="s">
        <v>459</v>
      </c>
      <c r="I4509" s="951" t="s">
        <v>4121</v>
      </c>
      <c r="J4509" s="947" t="s">
        <v>4122</v>
      </c>
      <c r="K4509" s="143"/>
    </row>
    <row r="4510" spans="1:11">
      <c r="A4510" s="946" t="s">
        <v>28610</v>
      </c>
      <c r="B4510" s="947" t="s">
        <v>4131</v>
      </c>
      <c r="C4510" s="948" t="s">
        <v>4129</v>
      </c>
      <c r="D4510" s="242" t="s">
        <v>28716</v>
      </c>
      <c r="E4510" s="949">
        <v>1201</v>
      </c>
      <c r="F4510" s="949">
        <v>1201</v>
      </c>
      <c r="G4510" s="950" t="s">
        <v>22421</v>
      </c>
      <c r="H4510" s="950" t="s">
        <v>459</v>
      </c>
      <c r="I4510" s="951" t="s">
        <v>4130</v>
      </c>
      <c r="J4510" s="947" t="s">
        <v>4131</v>
      </c>
      <c r="K4510" s="143"/>
    </row>
    <row r="4511" spans="1:11">
      <c r="A4511" s="946" t="s">
        <v>28610</v>
      </c>
      <c r="B4511" s="947" t="s">
        <v>4238</v>
      </c>
      <c r="C4511" s="948" t="s">
        <v>4236</v>
      </c>
      <c r="D4511" s="242" t="s">
        <v>28716</v>
      </c>
      <c r="E4511" s="949">
        <v>1201</v>
      </c>
      <c r="F4511" s="949">
        <v>1201</v>
      </c>
      <c r="G4511" s="950" t="s">
        <v>22421</v>
      </c>
      <c r="H4511" s="950" t="s">
        <v>459</v>
      </c>
      <c r="I4511" s="951" t="s">
        <v>4237</v>
      </c>
      <c r="J4511" s="947" t="s">
        <v>4238</v>
      </c>
      <c r="K4511" s="143"/>
    </row>
    <row r="4512" spans="1:11">
      <c r="A4512" s="946" t="s">
        <v>28610</v>
      </c>
      <c r="B4512" s="947" t="s">
        <v>5039</v>
      </c>
      <c r="C4512" s="948" t="s">
        <v>5037</v>
      </c>
      <c r="D4512" s="242" t="s">
        <v>28716</v>
      </c>
      <c r="E4512" s="949">
        <v>1201</v>
      </c>
      <c r="F4512" s="949">
        <v>1201</v>
      </c>
      <c r="G4512" s="950" t="s">
        <v>22421</v>
      </c>
      <c r="H4512" s="950" t="s">
        <v>459</v>
      </c>
      <c r="I4512" s="951" t="s">
        <v>5038</v>
      </c>
      <c r="J4512" s="947" t="s">
        <v>5039</v>
      </c>
      <c r="K4512" s="143"/>
    </row>
    <row r="4513" spans="1:11">
      <c r="A4513" s="946" t="s">
        <v>28610</v>
      </c>
      <c r="B4513" s="947" t="s">
        <v>5521</v>
      </c>
      <c r="C4513" s="948" t="s">
        <v>5519</v>
      </c>
      <c r="D4513" s="242" t="s">
        <v>28716</v>
      </c>
      <c r="E4513" s="949">
        <v>1201</v>
      </c>
      <c r="F4513" s="949">
        <v>1201</v>
      </c>
      <c r="G4513" s="950" t="s">
        <v>22421</v>
      </c>
      <c r="H4513" s="950" t="s">
        <v>459</v>
      </c>
      <c r="I4513" s="951" t="s">
        <v>5520</v>
      </c>
      <c r="J4513" s="947" t="s">
        <v>5521</v>
      </c>
      <c r="K4513" s="143"/>
    </row>
    <row r="4514" spans="1:11">
      <c r="A4514" s="946" t="s">
        <v>28610</v>
      </c>
      <c r="B4514" s="947" t="s">
        <v>5823</v>
      </c>
      <c r="C4514" s="948" t="s">
        <v>5821</v>
      </c>
      <c r="D4514" s="242" t="s">
        <v>28716</v>
      </c>
      <c r="E4514" s="949">
        <v>1201</v>
      </c>
      <c r="F4514" s="949">
        <v>1201</v>
      </c>
      <c r="G4514" s="950" t="s">
        <v>22421</v>
      </c>
      <c r="H4514" s="950" t="s">
        <v>459</v>
      </c>
      <c r="I4514" s="951" t="s">
        <v>5822</v>
      </c>
      <c r="J4514" s="947" t="s">
        <v>5823</v>
      </c>
      <c r="K4514" s="143"/>
    </row>
    <row r="4515" spans="1:11">
      <c r="A4515" s="946" t="s">
        <v>28610</v>
      </c>
      <c r="B4515" s="947" t="s">
        <v>5826</v>
      </c>
      <c r="C4515" s="948" t="s">
        <v>5824</v>
      </c>
      <c r="D4515" s="242" t="s">
        <v>28716</v>
      </c>
      <c r="E4515" s="949">
        <v>1201</v>
      </c>
      <c r="F4515" s="949">
        <v>1201</v>
      </c>
      <c r="G4515" s="950" t="s">
        <v>22421</v>
      </c>
      <c r="H4515" s="950" t="s">
        <v>459</v>
      </c>
      <c r="I4515" s="951" t="s">
        <v>5825</v>
      </c>
      <c r="J4515" s="947" t="s">
        <v>5826</v>
      </c>
      <c r="K4515" s="143"/>
    </row>
    <row r="4516" spans="1:11">
      <c r="A4516" s="946" t="s">
        <v>28610</v>
      </c>
      <c r="B4516" s="947" t="s">
        <v>6552</v>
      </c>
      <c r="C4516" s="948" t="s">
        <v>6550</v>
      </c>
      <c r="D4516" s="242" t="s">
        <v>28716</v>
      </c>
      <c r="E4516" s="949">
        <v>1201</v>
      </c>
      <c r="F4516" s="949">
        <v>1201</v>
      </c>
      <c r="G4516" s="950" t="s">
        <v>22421</v>
      </c>
      <c r="H4516" s="950" t="s">
        <v>459</v>
      </c>
      <c r="I4516" s="951" t="s">
        <v>6551</v>
      </c>
      <c r="J4516" s="947" t="s">
        <v>6552</v>
      </c>
      <c r="K4516" s="143"/>
    </row>
    <row r="4517" spans="1:11">
      <c r="A4517" s="946" t="s">
        <v>28610</v>
      </c>
      <c r="B4517" s="947" t="s">
        <v>6582</v>
      </c>
      <c r="C4517" s="948" t="s">
        <v>6580</v>
      </c>
      <c r="D4517" s="242" t="s">
        <v>28716</v>
      </c>
      <c r="E4517" s="949">
        <v>1201</v>
      </c>
      <c r="F4517" s="949">
        <v>1201</v>
      </c>
      <c r="G4517" s="950" t="s">
        <v>22421</v>
      </c>
      <c r="H4517" s="950" t="s">
        <v>459</v>
      </c>
      <c r="I4517" s="951" t="s">
        <v>6581</v>
      </c>
      <c r="J4517" s="947" t="s">
        <v>6582</v>
      </c>
      <c r="K4517" s="143"/>
    </row>
    <row r="4518" spans="1:11">
      <c r="A4518" s="946" t="s">
        <v>28610</v>
      </c>
      <c r="B4518" s="947" t="s">
        <v>7033</v>
      </c>
      <c r="C4518" s="948" t="s">
        <v>7031</v>
      </c>
      <c r="D4518" s="242" t="s">
        <v>28716</v>
      </c>
      <c r="E4518" s="949">
        <v>1201</v>
      </c>
      <c r="F4518" s="949">
        <v>1201</v>
      </c>
      <c r="G4518" s="950" t="s">
        <v>22421</v>
      </c>
      <c r="H4518" s="950" t="s">
        <v>459</v>
      </c>
      <c r="I4518" s="951" t="s">
        <v>7032</v>
      </c>
      <c r="J4518" s="947" t="s">
        <v>7033</v>
      </c>
      <c r="K4518" s="143"/>
    </row>
    <row r="4519" spans="1:11">
      <c r="A4519" s="946" t="s">
        <v>28610</v>
      </c>
      <c r="B4519" s="947" t="s">
        <v>7942</v>
      </c>
      <c r="C4519" s="948" t="s">
        <v>7940</v>
      </c>
      <c r="D4519" s="242" t="s">
        <v>28716</v>
      </c>
      <c r="E4519" s="949">
        <v>1201</v>
      </c>
      <c r="F4519" s="949">
        <v>1201</v>
      </c>
      <c r="G4519" s="950" t="s">
        <v>22421</v>
      </c>
      <c r="H4519" s="950" t="s">
        <v>459</v>
      </c>
      <c r="I4519" s="951" t="s">
        <v>7941</v>
      </c>
      <c r="J4519" s="947" t="s">
        <v>7942</v>
      </c>
      <c r="K4519" s="143"/>
    </row>
    <row r="4520" spans="1:11">
      <c r="A4520" s="946" t="s">
        <v>28610</v>
      </c>
      <c r="B4520" s="947" t="s">
        <v>8001</v>
      </c>
      <c r="C4520" s="948" t="s">
        <v>7999</v>
      </c>
      <c r="D4520" s="242" t="s">
        <v>28716</v>
      </c>
      <c r="E4520" s="949">
        <v>1201</v>
      </c>
      <c r="F4520" s="949">
        <v>1201</v>
      </c>
      <c r="G4520" s="950" t="s">
        <v>22421</v>
      </c>
      <c r="H4520" s="950" t="s">
        <v>459</v>
      </c>
      <c r="I4520" s="951" t="s">
        <v>8000</v>
      </c>
      <c r="J4520" s="947" t="s">
        <v>8001</v>
      </c>
      <c r="K4520" s="143"/>
    </row>
    <row r="4521" spans="1:11">
      <c r="A4521" s="946" t="s">
        <v>28610</v>
      </c>
      <c r="B4521" s="947" t="s">
        <v>8064</v>
      </c>
      <c r="C4521" s="948" t="s">
        <v>8062</v>
      </c>
      <c r="D4521" s="242" t="s">
        <v>28716</v>
      </c>
      <c r="E4521" s="949">
        <v>1201</v>
      </c>
      <c r="F4521" s="949">
        <v>1201</v>
      </c>
      <c r="G4521" s="950" t="s">
        <v>22421</v>
      </c>
      <c r="H4521" s="950" t="s">
        <v>459</v>
      </c>
      <c r="I4521" s="951" t="s">
        <v>8063</v>
      </c>
      <c r="J4521" s="947" t="s">
        <v>8064</v>
      </c>
      <c r="K4521" s="143"/>
    </row>
    <row r="4522" spans="1:11">
      <c r="A4522" s="946" t="s">
        <v>28610</v>
      </c>
      <c r="B4522" s="947" t="s">
        <v>8870</v>
      </c>
      <c r="C4522" s="948" t="s">
        <v>8868</v>
      </c>
      <c r="D4522" s="242" t="s">
        <v>28716</v>
      </c>
      <c r="E4522" s="949">
        <v>1201</v>
      </c>
      <c r="F4522" s="949">
        <v>1201</v>
      </c>
      <c r="G4522" s="950" t="s">
        <v>22421</v>
      </c>
      <c r="H4522" s="950" t="s">
        <v>459</v>
      </c>
      <c r="I4522" s="951" t="s">
        <v>8869</v>
      </c>
      <c r="J4522" s="947" t="s">
        <v>8870</v>
      </c>
      <c r="K4522" s="143"/>
    </row>
    <row r="4523" spans="1:11">
      <c r="A4523" s="946" t="s">
        <v>28610</v>
      </c>
      <c r="B4523" s="947" t="s">
        <v>9434</v>
      </c>
      <c r="C4523" s="948" t="s">
        <v>9432</v>
      </c>
      <c r="D4523" s="242" t="s">
        <v>28716</v>
      </c>
      <c r="E4523" s="949">
        <v>1201</v>
      </c>
      <c r="F4523" s="949">
        <v>1201</v>
      </c>
      <c r="G4523" s="950" t="s">
        <v>22421</v>
      </c>
      <c r="H4523" s="950" t="s">
        <v>459</v>
      </c>
      <c r="I4523" s="951" t="s">
        <v>9433</v>
      </c>
      <c r="J4523" s="947" t="s">
        <v>9434</v>
      </c>
      <c r="K4523" s="143"/>
    </row>
    <row r="4524" spans="1:11">
      <c r="A4524" s="946" t="s">
        <v>28610</v>
      </c>
      <c r="B4524" s="947" t="s">
        <v>9440</v>
      </c>
      <c r="C4524" s="948" t="s">
        <v>9438</v>
      </c>
      <c r="D4524" s="242" t="s">
        <v>28716</v>
      </c>
      <c r="E4524" s="949">
        <v>1201</v>
      </c>
      <c r="F4524" s="949">
        <v>1201</v>
      </c>
      <c r="G4524" s="950" t="s">
        <v>22421</v>
      </c>
      <c r="H4524" s="950" t="s">
        <v>459</v>
      </c>
      <c r="I4524" s="951" t="s">
        <v>9439</v>
      </c>
      <c r="J4524" s="947" t="s">
        <v>9440</v>
      </c>
      <c r="K4524" s="143"/>
    </row>
    <row r="4525" spans="1:11">
      <c r="A4525" s="946" t="s">
        <v>28610</v>
      </c>
      <c r="B4525" s="947" t="s">
        <v>9623</v>
      </c>
      <c r="C4525" s="948" t="s">
        <v>9621</v>
      </c>
      <c r="D4525" s="242" t="s">
        <v>28716</v>
      </c>
      <c r="E4525" s="949">
        <v>1201</v>
      </c>
      <c r="F4525" s="949">
        <v>1201</v>
      </c>
      <c r="G4525" s="950" t="s">
        <v>22421</v>
      </c>
      <c r="H4525" s="950" t="s">
        <v>459</v>
      </c>
      <c r="I4525" s="951" t="s">
        <v>9622</v>
      </c>
      <c r="J4525" s="947" t="s">
        <v>9623</v>
      </c>
      <c r="K4525" s="143"/>
    </row>
    <row r="4526" spans="1:11">
      <c r="A4526" s="946" t="s">
        <v>28610</v>
      </c>
      <c r="B4526" s="947" t="s">
        <v>9853</v>
      </c>
      <c r="C4526" s="948" t="s">
        <v>9851</v>
      </c>
      <c r="D4526" s="242" t="s">
        <v>28716</v>
      </c>
      <c r="E4526" s="949">
        <v>1201</v>
      </c>
      <c r="F4526" s="949">
        <v>1201</v>
      </c>
      <c r="G4526" s="950" t="s">
        <v>22421</v>
      </c>
      <c r="H4526" s="950" t="s">
        <v>459</v>
      </c>
      <c r="I4526" s="951" t="s">
        <v>9852</v>
      </c>
      <c r="J4526" s="947" t="s">
        <v>9853</v>
      </c>
      <c r="K4526" s="143"/>
    </row>
    <row r="4527" spans="1:11">
      <c r="A4527" s="946" t="s">
        <v>28610</v>
      </c>
      <c r="B4527" s="947" t="s">
        <v>10174</v>
      </c>
      <c r="C4527" s="948" t="s">
        <v>10172</v>
      </c>
      <c r="D4527" s="242" t="s">
        <v>28716</v>
      </c>
      <c r="E4527" s="949">
        <v>1201</v>
      </c>
      <c r="F4527" s="949">
        <v>1201</v>
      </c>
      <c r="G4527" s="950" t="s">
        <v>22421</v>
      </c>
      <c r="H4527" s="950" t="s">
        <v>459</v>
      </c>
      <c r="I4527" s="951" t="s">
        <v>10173</v>
      </c>
      <c r="J4527" s="947" t="s">
        <v>10174</v>
      </c>
      <c r="K4527" s="143"/>
    </row>
    <row r="4528" spans="1:11">
      <c r="A4528" s="946" t="s">
        <v>28610</v>
      </c>
      <c r="B4528" s="947" t="s">
        <v>10682</v>
      </c>
      <c r="C4528" s="948" t="s">
        <v>10680</v>
      </c>
      <c r="D4528" s="242" t="s">
        <v>28716</v>
      </c>
      <c r="E4528" s="949">
        <v>1201</v>
      </c>
      <c r="F4528" s="949">
        <v>1201</v>
      </c>
      <c r="G4528" s="950" t="s">
        <v>22421</v>
      </c>
      <c r="H4528" s="950" t="s">
        <v>459</v>
      </c>
      <c r="I4528" s="951" t="s">
        <v>10681</v>
      </c>
      <c r="J4528" s="947" t="s">
        <v>10682</v>
      </c>
      <c r="K4528" s="143"/>
    </row>
    <row r="4529" spans="1:11">
      <c r="A4529" s="946" t="s">
        <v>28610</v>
      </c>
      <c r="B4529" s="947" t="s">
        <v>11263</v>
      </c>
      <c r="C4529" s="948" t="s">
        <v>11261</v>
      </c>
      <c r="D4529" s="242" t="s">
        <v>28716</v>
      </c>
      <c r="E4529" s="949">
        <v>1201</v>
      </c>
      <c r="F4529" s="949">
        <v>1201</v>
      </c>
      <c r="G4529" s="950" t="s">
        <v>22421</v>
      </c>
      <c r="H4529" s="950" t="s">
        <v>459</v>
      </c>
      <c r="I4529" s="951" t="s">
        <v>11262</v>
      </c>
      <c r="J4529" s="947" t="s">
        <v>11263</v>
      </c>
      <c r="K4529" s="143"/>
    </row>
    <row r="4530" spans="1:11">
      <c r="A4530" s="946" t="s">
        <v>28610</v>
      </c>
      <c r="B4530" s="947" t="s">
        <v>12224</v>
      </c>
      <c r="C4530" s="948" t="s">
        <v>12222</v>
      </c>
      <c r="D4530" s="242" t="s">
        <v>28716</v>
      </c>
      <c r="E4530" s="949">
        <v>1201</v>
      </c>
      <c r="F4530" s="949">
        <v>1201</v>
      </c>
      <c r="G4530" s="950" t="s">
        <v>22421</v>
      </c>
      <c r="H4530" s="950" t="s">
        <v>459</v>
      </c>
      <c r="I4530" s="951" t="s">
        <v>12223</v>
      </c>
      <c r="J4530" s="947" t="s">
        <v>12224</v>
      </c>
      <c r="K4530" s="143"/>
    </row>
    <row r="4531" spans="1:11">
      <c r="A4531" s="946" t="s">
        <v>28610</v>
      </c>
      <c r="B4531" s="947" t="s">
        <v>12481</v>
      </c>
      <c r="C4531" s="948" t="s">
        <v>12479</v>
      </c>
      <c r="D4531" s="242" t="s">
        <v>28716</v>
      </c>
      <c r="E4531" s="949">
        <v>1201</v>
      </c>
      <c r="F4531" s="949">
        <v>1201</v>
      </c>
      <c r="G4531" s="950" t="s">
        <v>22421</v>
      </c>
      <c r="H4531" s="950" t="s">
        <v>459</v>
      </c>
      <c r="I4531" s="951" t="s">
        <v>12480</v>
      </c>
      <c r="J4531" s="947" t="s">
        <v>12481</v>
      </c>
      <c r="K4531" s="143"/>
    </row>
    <row r="4532" spans="1:11">
      <c r="A4532" s="946" t="s">
        <v>28610</v>
      </c>
      <c r="B4532" s="947" t="s">
        <v>12311</v>
      </c>
      <c r="C4532" s="948" t="s">
        <v>12309</v>
      </c>
      <c r="D4532" s="242" t="s">
        <v>28716</v>
      </c>
      <c r="E4532" s="949">
        <v>1201</v>
      </c>
      <c r="F4532" s="949">
        <v>1201</v>
      </c>
      <c r="G4532" s="950" t="s">
        <v>22421</v>
      </c>
      <c r="H4532" s="950" t="s">
        <v>459</v>
      </c>
      <c r="I4532" s="951" t="s">
        <v>12310</v>
      </c>
      <c r="J4532" s="947" t="s">
        <v>12311</v>
      </c>
      <c r="K4532" s="143"/>
    </row>
    <row r="4533" spans="1:11">
      <c r="A4533" s="946" t="s">
        <v>28610</v>
      </c>
      <c r="B4533" s="947" t="s">
        <v>12706</v>
      </c>
      <c r="C4533" s="948" t="s">
        <v>12704</v>
      </c>
      <c r="D4533" s="242" t="s">
        <v>28716</v>
      </c>
      <c r="E4533" s="949">
        <v>1201</v>
      </c>
      <c r="F4533" s="949">
        <v>1201</v>
      </c>
      <c r="G4533" s="950" t="s">
        <v>22421</v>
      </c>
      <c r="H4533" s="950" t="s">
        <v>459</v>
      </c>
      <c r="I4533" s="951" t="s">
        <v>12705</v>
      </c>
      <c r="J4533" s="947" t="s">
        <v>12706</v>
      </c>
      <c r="K4533" s="143"/>
    </row>
    <row r="4534" spans="1:11">
      <c r="A4534" s="946" t="s">
        <v>28610</v>
      </c>
      <c r="B4534" s="947" t="s">
        <v>13215</v>
      </c>
      <c r="C4534" s="948" t="s">
        <v>13213</v>
      </c>
      <c r="D4534" s="242" t="s">
        <v>28716</v>
      </c>
      <c r="E4534" s="949">
        <v>1201</v>
      </c>
      <c r="F4534" s="949">
        <v>1201</v>
      </c>
      <c r="G4534" s="950" t="s">
        <v>22421</v>
      </c>
      <c r="H4534" s="950" t="s">
        <v>459</v>
      </c>
      <c r="I4534" s="951" t="s">
        <v>13214</v>
      </c>
      <c r="J4534" s="947" t="s">
        <v>13215</v>
      </c>
      <c r="K4534" s="143"/>
    </row>
    <row r="4535" spans="1:11">
      <c r="A4535" s="946" t="s">
        <v>28610</v>
      </c>
      <c r="B4535" s="947" t="s">
        <v>13643</v>
      </c>
      <c r="C4535" s="948" t="s">
        <v>13641</v>
      </c>
      <c r="D4535" s="242" t="s">
        <v>28716</v>
      </c>
      <c r="E4535" s="949">
        <v>1201</v>
      </c>
      <c r="F4535" s="949">
        <v>1201</v>
      </c>
      <c r="G4535" s="950" t="s">
        <v>22421</v>
      </c>
      <c r="H4535" s="950" t="s">
        <v>459</v>
      </c>
      <c r="I4535" s="951" t="s">
        <v>13642</v>
      </c>
      <c r="J4535" s="947" t="s">
        <v>13643</v>
      </c>
      <c r="K4535" s="143"/>
    </row>
    <row r="4536" spans="1:11">
      <c r="A4536" s="946" t="s">
        <v>28610</v>
      </c>
      <c r="B4536" s="947" t="s">
        <v>13733</v>
      </c>
      <c r="C4536" s="948" t="s">
        <v>13731</v>
      </c>
      <c r="D4536" s="242" t="s">
        <v>393</v>
      </c>
      <c r="E4536" s="949">
        <v>1202</v>
      </c>
      <c r="F4536" s="949">
        <v>1202</v>
      </c>
      <c r="G4536" s="950" t="s">
        <v>22421</v>
      </c>
      <c r="H4536" s="950" t="s">
        <v>459</v>
      </c>
      <c r="I4536" s="951" t="s">
        <v>13732</v>
      </c>
      <c r="J4536" s="947" t="s">
        <v>13733</v>
      </c>
      <c r="K4536" s="143"/>
    </row>
    <row r="4537" spans="1:11">
      <c r="A4537" s="946" t="s">
        <v>28610</v>
      </c>
      <c r="B4537" s="947" t="s">
        <v>13787</v>
      </c>
      <c r="C4537" s="948" t="s">
        <v>13785</v>
      </c>
      <c r="D4537" s="242" t="s">
        <v>28716</v>
      </c>
      <c r="E4537" s="949">
        <v>1201</v>
      </c>
      <c r="F4537" s="949">
        <v>1201</v>
      </c>
      <c r="G4537" s="950" t="s">
        <v>22421</v>
      </c>
      <c r="H4537" s="950" t="s">
        <v>459</v>
      </c>
      <c r="I4537" s="951" t="s">
        <v>13786</v>
      </c>
      <c r="J4537" s="947" t="s">
        <v>13787</v>
      </c>
      <c r="K4537" s="143"/>
    </row>
    <row r="4538" spans="1:11">
      <c r="A4538" s="946" t="s">
        <v>28610</v>
      </c>
      <c r="B4538" s="947" t="s">
        <v>14764</v>
      </c>
      <c r="C4538" s="948" t="s">
        <v>14762</v>
      </c>
      <c r="D4538" s="242" t="s">
        <v>28716</v>
      </c>
      <c r="E4538" s="949">
        <v>1201</v>
      </c>
      <c r="F4538" s="949">
        <v>1201</v>
      </c>
      <c r="G4538" s="950" t="s">
        <v>22421</v>
      </c>
      <c r="H4538" s="950" t="s">
        <v>459</v>
      </c>
      <c r="I4538" s="951" t="s">
        <v>14763</v>
      </c>
      <c r="J4538" s="947" t="s">
        <v>14764</v>
      </c>
      <c r="K4538" s="143"/>
    </row>
    <row r="4539" spans="1:11">
      <c r="A4539" s="946" t="s">
        <v>28610</v>
      </c>
      <c r="B4539" s="947" t="s">
        <v>15894</v>
      </c>
      <c r="C4539" s="948" t="s">
        <v>15892</v>
      </c>
      <c r="D4539" s="242" t="s">
        <v>28716</v>
      </c>
      <c r="E4539" s="949">
        <v>1201</v>
      </c>
      <c r="F4539" s="949">
        <v>1201</v>
      </c>
      <c r="G4539" s="950" t="s">
        <v>22421</v>
      </c>
      <c r="H4539" s="950" t="s">
        <v>459</v>
      </c>
      <c r="I4539" s="951" t="s">
        <v>15893</v>
      </c>
      <c r="J4539" s="947" t="s">
        <v>15894</v>
      </c>
      <c r="K4539" s="143"/>
    </row>
    <row r="4540" spans="1:11">
      <c r="A4540" s="946" t="s">
        <v>28610</v>
      </c>
      <c r="B4540" s="947" t="s">
        <v>16878</v>
      </c>
      <c r="C4540" s="948" t="s">
        <v>16876</v>
      </c>
      <c r="D4540" s="242" t="s">
        <v>28716</v>
      </c>
      <c r="E4540" s="949">
        <v>1201</v>
      </c>
      <c r="F4540" s="949">
        <v>1201</v>
      </c>
      <c r="G4540" s="950" t="s">
        <v>22421</v>
      </c>
      <c r="H4540" s="950" t="s">
        <v>459</v>
      </c>
      <c r="I4540" s="951" t="s">
        <v>16877</v>
      </c>
      <c r="J4540" s="947" t="s">
        <v>16878</v>
      </c>
      <c r="K4540" s="143"/>
    </row>
    <row r="4541" spans="1:11">
      <c r="A4541" s="946" t="s">
        <v>28610</v>
      </c>
      <c r="B4541" s="947" t="s">
        <v>22121</v>
      </c>
      <c r="C4541" s="948" t="s">
        <v>22119</v>
      </c>
      <c r="D4541" s="242" t="s">
        <v>28716</v>
      </c>
      <c r="E4541" s="949">
        <v>1201</v>
      </c>
      <c r="F4541" s="949">
        <v>1201</v>
      </c>
      <c r="G4541" s="950" t="s">
        <v>22421</v>
      </c>
      <c r="H4541" s="950" t="s">
        <v>459</v>
      </c>
      <c r="I4541" s="951" t="s">
        <v>22120</v>
      </c>
      <c r="J4541" s="947" t="s">
        <v>22121</v>
      </c>
      <c r="K4541" s="143"/>
    </row>
    <row r="4542" spans="1:11">
      <c r="A4542" s="946" t="s">
        <v>28610</v>
      </c>
      <c r="B4542" s="947" t="s">
        <v>17835</v>
      </c>
      <c r="C4542" s="948" t="s">
        <v>17833</v>
      </c>
      <c r="D4542" s="242" t="s">
        <v>28716</v>
      </c>
      <c r="E4542" s="949">
        <v>1201</v>
      </c>
      <c r="F4542" s="949">
        <v>1201</v>
      </c>
      <c r="G4542" s="950" t="s">
        <v>22421</v>
      </c>
      <c r="H4542" s="950" t="s">
        <v>459</v>
      </c>
      <c r="I4542" s="951" t="s">
        <v>17834</v>
      </c>
      <c r="J4542" s="947" t="s">
        <v>17835</v>
      </c>
      <c r="K4542" s="143"/>
    </row>
    <row r="4543" spans="1:11">
      <c r="A4543" s="946" t="s">
        <v>28610</v>
      </c>
      <c r="B4543" s="947" t="s">
        <v>19766</v>
      </c>
      <c r="C4543" s="948" t="s">
        <v>19764</v>
      </c>
      <c r="D4543" s="242" t="s">
        <v>28716</v>
      </c>
      <c r="E4543" s="949">
        <v>1201</v>
      </c>
      <c r="F4543" s="949">
        <v>1201</v>
      </c>
      <c r="G4543" s="950" t="s">
        <v>22421</v>
      </c>
      <c r="H4543" s="950" t="s">
        <v>459</v>
      </c>
      <c r="I4543" s="951" t="s">
        <v>19765</v>
      </c>
      <c r="J4543" s="947" t="s">
        <v>19766</v>
      </c>
      <c r="K4543" s="143"/>
    </row>
    <row r="4544" spans="1:11">
      <c r="A4544" s="946" t="s">
        <v>28610</v>
      </c>
      <c r="B4544" s="947" t="s">
        <v>20145</v>
      </c>
      <c r="C4544" s="948" t="s">
        <v>20143</v>
      </c>
      <c r="D4544" s="242" t="s">
        <v>28716</v>
      </c>
      <c r="E4544" s="949">
        <v>1201</v>
      </c>
      <c r="F4544" s="949">
        <v>1201</v>
      </c>
      <c r="G4544" s="950" t="s">
        <v>22421</v>
      </c>
      <c r="H4544" s="950" t="s">
        <v>459</v>
      </c>
      <c r="I4544" s="951" t="s">
        <v>20144</v>
      </c>
      <c r="J4544" s="947" t="s">
        <v>20145</v>
      </c>
      <c r="K4544" s="143"/>
    </row>
    <row r="4545" spans="1:11">
      <c r="A4545" s="946" t="s">
        <v>28610</v>
      </c>
      <c r="B4545" s="947" t="s">
        <v>20218</v>
      </c>
      <c r="C4545" s="948" t="s">
        <v>20216</v>
      </c>
      <c r="D4545" s="242" t="s">
        <v>28716</v>
      </c>
      <c r="E4545" s="949">
        <v>1201</v>
      </c>
      <c r="F4545" s="949">
        <v>1201</v>
      </c>
      <c r="G4545" s="950" t="s">
        <v>22421</v>
      </c>
      <c r="H4545" s="950" t="s">
        <v>459</v>
      </c>
      <c r="I4545" s="951" t="s">
        <v>20217</v>
      </c>
      <c r="J4545" s="947" t="s">
        <v>20218</v>
      </c>
      <c r="K4545" s="143"/>
    </row>
    <row r="4546" spans="1:11">
      <c r="A4546" s="946" t="s">
        <v>28610</v>
      </c>
      <c r="B4546" s="947" t="s">
        <v>20430</v>
      </c>
      <c r="C4546" s="948" t="s">
        <v>20428</v>
      </c>
      <c r="D4546" s="242" t="s">
        <v>28716</v>
      </c>
      <c r="E4546" s="949">
        <v>1201</v>
      </c>
      <c r="F4546" s="949">
        <v>1201</v>
      </c>
      <c r="G4546" s="950" t="s">
        <v>22421</v>
      </c>
      <c r="H4546" s="950" t="s">
        <v>459</v>
      </c>
      <c r="I4546" s="951" t="s">
        <v>20429</v>
      </c>
      <c r="J4546" s="947" t="s">
        <v>20430</v>
      </c>
      <c r="K4546" s="143"/>
    </row>
    <row r="4547" spans="1:11">
      <c r="A4547" s="946" t="s">
        <v>28610</v>
      </c>
      <c r="B4547" s="947" t="s">
        <v>21153</v>
      </c>
      <c r="C4547" s="948" t="s">
        <v>21151</v>
      </c>
      <c r="D4547" s="242" t="s">
        <v>28716</v>
      </c>
      <c r="E4547" s="949">
        <v>1201</v>
      </c>
      <c r="F4547" s="949">
        <v>1201</v>
      </c>
      <c r="G4547" s="950" t="s">
        <v>22421</v>
      </c>
      <c r="H4547" s="950" t="s">
        <v>459</v>
      </c>
      <c r="I4547" s="951" t="s">
        <v>21152</v>
      </c>
      <c r="J4547" s="947" t="s">
        <v>21153</v>
      </c>
      <c r="K4547" s="143"/>
    </row>
    <row r="4548" spans="1:11">
      <c r="A4548" s="946" t="s">
        <v>28610</v>
      </c>
      <c r="B4548" s="947" t="s">
        <v>21345</v>
      </c>
      <c r="C4548" s="948" t="s">
        <v>21343</v>
      </c>
      <c r="D4548" s="242" t="s">
        <v>28716</v>
      </c>
      <c r="E4548" s="949">
        <v>1201</v>
      </c>
      <c r="F4548" s="949">
        <v>1201</v>
      </c>
      <c r="G4548" s="950" t="s">
        <v>22421</v>
      </c>
      <c r="H4548" s="950" t="s">
        <v>459</v>
      </c>
      <c r="I4548" s="951" t="s">
        <v>21344</v>
      </c>
      <c r="J4548" s="947" t="s">
        <v>21345</v>
      </c>
      <c r="K4548" s="143"/>
    </row>
    <row r="4549" spans="1:11">
      <c r="A4549" s="946" t="s">
        <v>28610</v>
      </c>
      <c r="B4549" s="947" t="s">
        <v>21456</v>
      </c>
      <c r="C4549" s="948" t="s">
        <v>21454</v>
      </c>
      <c r="D4549" s="242" t="s">
        <v>28716</v>
      </c>
      <c r="E4549" s="949">
        <v>1201</v>
      </c>
      <c r="F4549" s="949">
        <v>1201</v>
      </c>
      <c r="G4549" s="950" t="s">
        <v>22421</v>
      </c>
      <c r="H4549" s="950" t="s">
        <v>459</v>
      </c>
      <c r="I4549" s="951" t="s">
        <v>21455</v>
      </c>
      <c r="J4549" s="947" t="s">
        <v>21456</v>
      </c>
      <c r="K4549" s="143"/>
    </row>
    <row r="4550" spans="1:11">
      <c r="A4550" s="946" t="s">
        <v>28610</v>
      </c>
      <c r="B4550" s="947" t="s">
        <v>21607</v>
      </c>
      <c r="C4550" s="948" t="s">
        <v>21605</v>
      </c>
      <c r="D4550" s="242" t="s">
        <v>28716</v>
      </c>
      <c r="E4550" s="949">
        <v>1201</v>
      </c>
      <c r="F4550" s="949">
        <v>1201</v>
      </c>
      <c r="G4550" s="950" t="s">
        <v>22421</v>
      </c>
      <c r="H4550" s="950" t="s">
        <v>459</v>
      </c>
      <c r="I4550" s="951" t="s">
        <v>21606</v>
      </c>
      <c r="J4550" s="947" t="s">
        <v>21607</v>
      </c>
      <c r="K4550" s="143"/>
    </row>
    <row r="4551" spans="1:11">
      <c r="A4551" s="946" t="s">
        <v>28610</v>
      </c>
      <c r="B4551" s="947" t="s">
        <v>21652</v>
      </c>
      <c r="C4551" s="948" t="s">
        <v>21650</v>
      </c>
      <c r="D4551" s="242" t="s">
        <v>393</v>
      </c>
      <c r="E4551" s="949">
        <v>1202</v>
      </c>
      <c r="F4551" s="949">
        <v>1202</v>
      </c>
      <c r="G4551" s="950" t="s">
        <v>22421</v>
      </c>
      <c r="H4551" s="950" t="s">
        <v>459</v>
      </c>
      <c r="I4551" s="951" t="s">
        <v>21651</v>
      </c>
      <c r="J4551" s="947" t="s">
        <v>21652</v>
      </c>
      <c r="K4551" s="143"/>
    </row>
    <row r="4552" spans="1:11">
      <c r="A4552" s="946" t="s">
        <v>28610</v>
      </c>
      <c r="B4552" s="947" t="s">
        <v>21863</v>
      </c>
      <c r="C4552" s="948" t="s">
        <v>21861</v>
      </c>
      <c r="D4552" s="242" t="s">
        <v>28716</v>
      </c>
      <c r="E4552" s="949">
        <v>1201</v>
      </c>
      <c r="F4552" s="949">
        <v>1201</v>
      </c>
      <c r="G4552" s="950" t="s">
        <v>22421</v>
      </c>
      <c r="H4552" s="950" t="s">
        <v>459</v>
      </c>
      <c r="I4552" s="951" t="s">
        <v>21862</v>
      </c>
      <c r="J4552" s="947" t="s">
        <v>21863</v>
      </c>
      <c r="K4552" s="143"/>
    </row>
    <row r="4553" spans="1:11">
      <c r="A4553" s="946" t="s">
        <v>28610</v>
      </c>
      <c r="B4553" s="947" t="s">
        <v>22002</v>
      </c>
      <c r="C4553" s="948" t="s">
        <v>22000</v>
      </c>
      <c r="D4553" s="242" t="s">
        <v>28716</v>
      </c>
      <c r="E4553" s="949">
        <v>1201</v>
      </c>
      <c r="F4553" s="949">
        <v>1201</v>
      </c>
      <c r="G4553" s="950" t="s">
        <v>22421</v>
      </c>
      <c r="H4553" s="950" t="s">
        <v>459</v>
      </c>
      <c r="I4553" s="951" t="s">
        <v>22001</v>
      </c>
      <c r="J4553" s="947" t="s">
        <v>22002</v>
      </c>
      <c r="K4553" s="143"/>
    </row>
    <row r="4554" spans="1:11">
      <c r="A4554" s="946" t="s">
        <v>28610</v>
      </c>
      <c r="B4554" s="947" t="s">
        <v>22421</v>
      </c>
      <c r="C4554" s="948" t="s">
        <v>22419</v>
      </c>
      <c r="D4554" s="242" t="s">
        <v>28716</v>
      </c>
      <c r="E4554" s="949">
        <v>1201</v>
      </c>
      <c r="F4554" s="949">
        <v>1201</v>
      </c>
      <c r="G4554" s="950" t="s">
        <v>22421</v>
      </c>
      <c r="H4554" s="950" t="s">
        <v>459</v>
      </c>
      <c r="I4554" s="951" t="s">
        <v>22420</v>
      </c>
      <c r="J4554" s="947" t="s">
        <v>22421</v>
      </c>
      <c r="K4554" s="143"/>
    </row>
    <row r="4555" spans="1:11">
      <c r="A4555" s="946" t="s">
        <v>28610</v>
      </c>
      <c r="B4555" s="947" t="s">
        <v>22430</v>
      </c>
      <c r="C4555" s="948" t="s">
        <v>22428</v>
      </c>
      <c r="D4555" s="242" t="s">
        <v>28716</v>
      </c>
      <c r="E4555" s="949">
        <v>1201</v>
      </c>
      <c r="F4555" s="949">
        <v>1201</v>
      </c>
      <c r="G4555" s="950" t="s">
        <v>22421</v>
      </c>
      <c r="H4555" s="950" t="s">
        <v>459</v>
      </c>
      <c r="I4555" s="951" t="s">
        <v>22429</v>
      </c>
      <c r="J4555" s="947" t="s">
        <v>22430</v>
      </c>
      <c r="K4555" s="143"/>
    </row>
    <row r="4556" spans="1:11">
      <c r="A4556" s="946" t="s">
        <v>28610</v>
      </c>
      <c r="B4556" s="947" t="s">
        <v>392</v>
      </c>
      <c r="C4556" s="948" t="s">
        <v>388</v>
      </c>
      <c r="D4556" s="242" t="s">
        <v>28717</v>
      </c>
      <c r="E4556" s="949">
        <v>1203</v>
      </c>
      <c r="F4556" s="949">
        <v>1203</v>
      </c>
      <c r="G4556" s="950" t="s">
        <v>16296</v>
      </c>
      <c r="H4556" s="950" t="s">
        <v>390</v>
      </c>
      <c r="I4556" s="951" t="s">
        <v>391</v>
      </c>
      <c r="J4556" s="947" t="s">
        <v>392</v>
      </c>
      <c r="K4556" s="143"/>
    </row>
    <row r="4557" spans="1:11">
      <c r="A4557" s="946" t="s">
        <v>28610</v>
      </c>
      <c r="B4557" s="947" t="s">
        <v>1078</v>
      </c>
      <c r="C4557" s="948" t="s">
        <v>1076</v>
      </c>
      <c r="D4557" s="242" t="s">
        <v>28717</v>
      </c>
      <c r="E4557" s="949">
        <v>1203</v>
      </c>
      <c r="F4557" s="949">
        <v>1203</v>
      </c>
      <c r="G4557" s="950" t="s">
        <v>16296</v>
      </c>
      <c r="H4557" s="950" t="s">
        <v>390</v>
      </c>
      <c r="I4557" s="951" t="s">
        <v>1077</v>
      </c>
      <c r="J4557" s="947" t="s">
        <v>1078</v>
      </c>
      <c r="K4557" s="143"/>
    </row>
    <row r="4558" spans="1:11">
      <c r="A4558" s="946" t="s">
        <v>28610</v>
      </c>
      <c r="B4558" s="947" t="s">
        <v>1211</v>
      </c>
      <c r="C4558" s="948" t="s">
        <v>1209</v>
      </c>
      <c r="D4558" s="242" t="s">
        <v>28717</v>
      </c>
      <c r="E4558" s="949">
        <v>1203</v>
      </c>
      <c r="F4558" s="949">
        <v>1203</v>
      </c>
      <c r="G4558" s="950" t="s">
        <v>16296</v>
      </c>
      <c r="H4558" s="950" t="s">
        <v>390</v>
      </c>
      <c r="I4558" s="951" t="s">
        <v>1210</v>
      </c>
      <c r="J4558" s="947" t="s">
        <v>1211</v>
      </c>
      <c r="K4558" s="143"/>
    </row>
    <row r="4559" spans="1:11">
      <c r="A4559" s="946" t="s">
        <v>28610</v>
      </c>
      <c r="B4559" s="947" t="s">
        <v>1550</v>
      </c>
      <c r="C4559" s="948" t="s">
        <v>1548</v>
      </c>
      <c r="D4559" s="242" t="s">
        <v>28717</v>
      </c>
      <c r="E4559" s="949">
        <v>1203</v>
      </c>
      <c r="F4559" s="949">
        <v>1203</v>
      </c>
      <c r="G4559" s="950" t="s">
        <v>16296</v>
      </c>
      <c r="H4559" s="950" t="s">
        <v>390</v>
      </c>
      <c r="I4559" s="951" t="s">
        <v>1549</v>
      </c>
      <c r="J4559" s="947" t="s">
        <v>1550</v>
      </c>
      <c r="K4559" s="143"/>
    </row>
    <row r="4560" spans="1:11">
      <c r="A4560" s="946" t="s">
        <v>28610</v>
      </c>
      <c r="B4560" s="947" t="s">
        <v>2219</v>
      </c>
      <c r="C4560" s="948" t="s">
        <v>2217</v>
      </c>
      <c r="D4560" s="242" t="s">
        <v>28717</v>
      </c>
      <c r="E4560" s="949">
        <v>1203</v>
      </c>
      <c r="F4560" s="949">
        <v>1203</v>
      </c>
      <c r="G4560" s="950" t="s">
        <v>16296</v>
      </c>
      <c r="H4560" s="950" t="s">
        <v>390</v>
      </c>
      <c r="I4560" s="951" t="s">
        <v>2218</v>
      </c>
      <c r="J4560" s="947" t="s">
        <v>2219</v>
      </c>
      <c r="K4560" s="143"/>
    </row>
    <row r="4561" spans="1:11">
      <c r="A4561" s="946" t="s">
        <v>28610</v>
      </c>
      <c r="B4561" s="947" t="s">
        <v>2667</v>
      </c>
      <c r="C4561" s="948" t="s">
        <v>2665</v>
      </c>
      <c r="D4561" s="242" t="s">
        <v>28717</v>
      </c>
      <c r="E4561" s="949">
        <v>1203</v>
      </c>
      <c r="F4561" s="949">
        <v>1203</v>
      </c>
      <c r="G4561" s="950" t="s">
        <v>16296</v>
      </c>
      <c r="H4561" s="950" t="s">
        <v>390</v>
      </c>
      <c r="I4561" s="951" t="s">
        <v>2666</v>
      </c>
      <c r="J4561" s="947" t="s">
        <v>2667</v>
      </c>
      <c r="K4561" s="143"/>
    </row>
    <row r="4562" spans="1:11">
      <c r="A4562" s="946" t="s">
        <v>28610</v>
      </c>
      <c r="B4562" s="947" t="s">
        <v>2808</v>
      </c>
      <c r="C4562" s="948" t="s">
        <v>2806</v>
      </c>
      <c r="D4562" s="242" t="s">
        <v>28717</v>
      </c>
      <c r="E4562" s="949">
        <v>1203</v>
      </c>
      <c r="F4562" s="949">
        <v>1203</v>
      </c>
      <c r="G4562" s="950" t="s">
        <v>16296</v>
      </c>
      <c r="H4562" s="950" t="s">
        <v>390</v>
      </c>
      <c r="I4562" s="951" t="s">
        <v>2807</v>
      </c>
      <c r="J4562" s="947" t="s">
        <v>2808</v>
      </c>
      <c r="K4562" s="143"/>
    </row>
    <row r="4563" spans="1:11">
      <c r="A4563" s="946" t="s">
        <v>28610</v>
      </c>
      <c r="B4563" s="947" t="s">
        <v>2769</v>
      </c>
      <c r="C4563" s="948" t="s">
        <v>2767</v>
      </c>
      <c r="D4563" s="242" t="s">
        <v>28717</v>
      </c>
      <c r="E4563" s="949">
        <v>1203</v>
      </c>
      <c r="F4563" s="949">
        <v>1203</v>
      </c>
      <c r="G4563" s="950" t="s">
        <v>16296</v>
      </c>
      <c r="H4563" s="950" t="s">
        <v>390</v>
      </c>
      <c r="I4563" s="951" t="s">
        <v>2768</v>
      </c>
      <c r="J4563" s="947" t="s">
        <v>2769</v>
      </c>
      <c r="K4563" s="143"/>
    </row>
    <row r="4564" spans="1:11">
      <c r="A4564" s="946" t="s">
        <v>28610</v>
      </c>
      <c r="B4564" s="947" t="s">
        <v>3981</v>
      </c>
      <c r="C4564" s="948" t="s">
        <v>3979</v>
      </c>
      <c r="D4564" s="242" t="s">
        <v>28717</v>
      </c>
      <c r="E4564" s="949">
        <v>1203</v>
      </c>
      <c r="F4564" s="949">
        <v>1203</v>
      </c>
      <c r="G4564" s="950" t="s">
        <v>16296</v>
      </c>
      <c r="H4564" s="950" t="s">
        <v>390</v>
      </c>
      <c r="I4564" s="951" t="s">
        <v>3980</v>
      </c>
      <c r="J4564" s="947" t="s">
        <v>3981</v>
      </c>
      <c r="K4564" s="143"/>
    </row>
    <row r="4565" spans="1:11">
      <c r="A4565" s="946" t="s">
        <v>28610</v>
      </c>
      <c r="B4565" s="947" t="s">
        <v>3987</v>
      </c>
      <c r="C4565" s="948" t="s">
        <v>3985</v>
      </c>
      <c r="D4565" s="242" t="s">
        <v>28717</v>
      </c>
      <c r="E4565" s="949">
        <v>1203</v>
      </c>
      <c r="F4565" s="949">
        <v>1203</v>
      </c>
      <c r="G4565" s="950" t="s">
        <v>16296</v>
      </c>
      <c r="H4565" s="950" t="s">
        <v>390</v>
      </c>
      <c r="I4565" s="951" t="s">
        <v>3986</v>
      </c>
      <c r="J4565" s="947" t="s">
        <v>3987</v>
      </c>
      <c r="K4565" s="143"/>
    </row>
    <row r="4566" spans="1:11">
      <c r="A4566" s="946" t="s">
        <v>28610</v>
      </c>
      <c r="B4566" s="947" t="s">
        <v>4688</v>
      </c>
      <c r="C4566" s="948" t="s">
        <v>4686</v>
      </c>
      <c r="D4566" s="242" t="s">
        <v>28717</v>
      </c>
      <c r="E4566" s="949">
        <v>1203</v>
      </c>
      <c r="F4566" s="949">
        <v>1203</v>
      </c>
      <c r="G4566" s="950" t="s">
        <v>16296</v>
      </c>
      <c r="H4566" s="950" t="s">
        <v>390</v>
      </c>
      <c r="I4566" s="951" t="s">
        <v>4687</v>
      </c>
      <c r="J4566" s="947" t="s">
        <v>4688</v>
      </c>
      <c r="K4566" s="143"/>
    </row>
    <row r="4567" spans="1:11">
      <c r="A4567" s="946" t="s">
        <v>28610</v>
      </c>
      <c r="B4567" s="947" t="s">
        <v>4809</v>
      </c>
      <c r="C4567" s="948" t="s">
        <v>4807</v>
      </c>
      <c r="D4567" s="242" t="s">
        <v>28717</v>
      </c>
      <c r="E4567" s="949">
        <v>1203</v>
      </c>
      <c r="F4567" s="949">
        <v>1203</v>
      </c>
      <c r="G4567" s="950" t="s">
        <v>16296</v>
      </c>
      <c r="H4567" s="950" t="s">
        <v>390</v>
      </c>
      <c r="I4567" s="951" t="s">
        <v>4808</v>
      </c>
      <c r="J4567" s="947" t="s">
        <v>4809</v>
      </c>
      <c r="K4567" s="143"/>
    </row>
    <row r="4568" spans="1:11">
      <c r="A4568" s="946" t="s">
        <v>28610</v>
      </c>
      <c r="B4568" s="947" t="s">
        <v>4970</v>
      </c>
      <c r="C4568" s="948" t="s">
        <v>4968</v>
      </c>
      <c r="D4568" s="242" t="s">
        <v>28717</v>
      </c>
      <c r="E4568" s="949">
        <v>1203</v>
      </c>
      <c r="F4568" s="949">
        <v>1203</v>
      </c>
      <c r="G4568" s="950" t="s">
        <v>16296</v>
      </c>
      <c r="H4568" s="950" t="s">
        <v>390</v>
      </c>
      <c r="I4568" s="951" t="s">
        <v>4969</v>
      </c>
      <c r="J4568" s="947" t="s">
        <v>4970</v>
      </c>
      <c r="K4568" s="143"/>
    </row>
    <row r="4569" spans="1:11">
      <c r="A4569" s="946" t="s">
        <v>28610</v>
      </c>
      <c r="B4569" s="947" t="s">
        <v>5362</v>
      </c>
      <c r="C4569" s="948" t="s">
        <v>5360</v>
      </c>
      <c r="D4569" s="242" t="s">
        <v>28717</v>
      </c>
      <c r="E4569" s="949">
        <v>1203</v>
      </c>
      <c r="F4569" s="949">
        <v>1203</v>
      </c>
      <c r="G4569" s="950" t="s">
        <v>16296</v>
      </c>
      <c r="H4569" s="950" t="s">
        <v>390</v>
      </c>
      <c r="I4569" s="951" t="s">
        <v>5361</v>
      </c>
      <c r="J4569" s="947" t="s">
        <v>5362</v>
      </c>
      <c r="K4569" s="143"/>
    </row>
    <row r="4570" spans="1:11">
      <c r="A4570" s="946" t="s">
        <v>28610</v>
      </c>
      <c r="B4570" s="947" t="s">
        <v>5036</v>
      </c>
      <c r="C4570" s="948" t="s">
        <v>5034</v>
      </c>
      <c r="D4570" s="242" t="s">
        <v>28717</v>
      </c>
      <c r="E4570" s="949">
        <v>1203</v>
      </c>
      <c r="F4570" s="949">
        <v>1203</v>
      </c>
      <c r="G4570" s="950" t="s">
        <v>16296</v>
      </c>
      <c r="H4570" s="950" t="s">
        <v>390</v>
      </c>
      <c r="I4570" s="951" t="s">
        <v>5035</v>
      </c>
      <c r="J4570" s="947" t="s">
        <v>5036</v>
      </c>
      <c r="K4570" s="143"/>
    </row>
    <row r="4571" spans="1:11">
      <c r="A4571" s="946" t="s">
        <v>28610</v>
      </c>
      <c r="B4571" s="947" t="s">
        <v>6516</v>
      </c>
      <c r="C4571" s="948" t="s">
        <v>6514</v>
      </c>
      <c r="D4571" s="242" t="s">
        <v>28717</v>
      </c>
      <c r="E4571" s="949">
        <v>1203</v>
      </c>
      <c r="F4571" s="949">
        <v>1203</v>
      </c>
      <c r="G4571" s="950" t="s">
        <v>16296</v>
      </c>
      <c r="H4571" s="950" t="s">
        <v>390</v>
      </c>
      <c r="I4571" s="951" t="s">
        <v>6515</v>
      </c>
      <c r="J4571" s="947" t="s">
        <v>6516</v>
      </c>
      <c r="K4571" s="143"/>
    </row>
    <row r="4572" spans="1:11">
      <c r="A4572" s="946" t="s">
        <v>28610</v>
      </c>
      <c r="B4572" s="947" t="s">
        <v>6522</v>
      </c>
      <c r="C4572" s="948" t="s">
        <v>6520</v>
      </c>
      <c r="D4572" s="242" t="s">
        <v>28717</v>
      </c>
      <c r="E4572" s="949">
        <v>1203</v>
      </c>
      <c r="F4572" s="949">
        <v>1203</v>
      </c>
      <c r="G4572" s="950" t="s">
        <v>16296</v>
      </c>
      <c r="H4572" s="950" t="s">
        <v>390</v>
      </c>
      <c r="I4572" s="951" t="s">
        <v>6521</v>
      </c>
      <c r="J4572" s="947" t="s">
        <v>6522</v>
      </c>
      <c r="K4572" s="143"/>
    </row>
    <row r="4573" spans="1:11">
      <c r="A4573" s="946" t="s">
        <v>28610</v>
      </c>
      <c r="B4573" s="947" t="s">
        <v>6709</v>
      </c>
      <c r="C4573" s="948" t="s">
        <v>6707</v>
      </c>
      <c r="D4573" s="242" t="s">
        <v>28717</v>
      </c>
      <c r="E4573" s="949">
        <v>1203</v>
      </c>
      <c r="F4573" s="949">
        <v>1203</v>
      </c>
      <c r="G4573" s="950" t="s">
        <v>16296</v>
      </c>
      <c r="H4573" s="950" t="s">
        <v>390</v>
      </c>
      <c r="I4573" s="951" t="s">
        <v>6708</v>
      </c>
      <c r="J4573" s="947" t="s">
        <v>6709</v>
      </c>
      <c r="K4573" s="143"/>
    </row>
    <row r="4574" spans="1:11">
      <c r="A4574" s="946" t="s">
        <v>28610</v>
      </c>
      <c r="B4574" s="947" t="s">
        <v>6724</v>
      </c>
      <c r="C4574" s="948" t="s">
        <v>6722</v>
      </c>
      <c r="D4574" s="242" t="s">
        <v>28717</v>
      </c>
      <c r="E4574" s="949">
        <v>1203</v>
      </c>
      <c r="F4574" s="949">
        <v>1203</v>
      </c>
      <c r="G4574" s="950" t="s">
        <v>16296</v>
      </c>
      <c r="H4574" s="950" t="s">
        <v>390</v>
      </c>
      <c r="I4574" s="951" t="s">
        <v>6723</v>
      </c>
      <c r="J4574" s="947" t="s">
        <v>6724</v>
      </c>
      <c r="K4574" s="143"/>
    </row>
    <row r="4575" spans="1:11">
      <c r="A4575" s="946" t="s">
        <v>28610</v>
      </c>
      <c r="B4575" s="947" t="s">
        <v>6763</v>
      </c>
      <c r="C4575" s="948" t="s">
        <v>6761</v>
      </c>
      <c r="D4575" s="242" t="s">
        <v>28717</v>
      </c>
      <c r="E4575" s="949">
        <v>1203</v>
      </c>
      <c r="F4575" s="949">
        <v>1203</v>
      </c>
      <c r="G4575" s="950" t="s">
        <v>16296</v>
      </c>
      <c r="H4575" s="950" t="s">
        <v>390</v>
      </c>
      <c r="I4575" s="951" t="s">
        <v>6762</v>
      </c>
      <c r="J4575" s="947" t="s">
        <v>6763</v>
      </c>
      <c r="K4575" s="143"/>
    </row>
    <row r="4576" spans="1:11">
      <c r="A4576" s="946" t="s">
        <v>28610</v>
      </c>
      <c r="B4576" s="947" t="s">
        <v>6796</v>
      </c>
      <c r="C4576" s="948" t="s">
        <v>6794</v>
      </c>
      <c r="D4576" s="242" t="s">
        <v>28717</v>
      </c>
      <c r="E4576" s="949">
        <v>1203</v>
      </c>
      <c r="F4576" s="949">
        <v>1203</v>
      </c>
      <c r="G4576" s="950" t="s">
        <v>16296</v>
      </c>
      <c r="H4576" s="950" t="s">
        <v>390</v>
      </c>
      <c r="I4576" s="951" t="s">
        <v>6795</v>
      </c>
      <c r="J4576" s="947" t="s">
        <v>6796</v>
      </c>
      <c r="K4576" s="143"/>
    </row>
    <row r="4577" spans="1:11">
      <c r="A4577" s="946" t="s">
        <v>28610</v>
      </c>
      <c r="B4577" s="947" t="s">
        <v>6805</v>
      </c>
      <c r="C4577" s="948" t="s">
        <v>6803</v>
      </c>
      <c r="D4577" s="242" t="s">
        <v>28717</v>
      </c>
      <c r="E4577" s="949">
        <v>1203</v>
      </c>
      <c r="F4577" s="949">
        <v>1203</v>
      </c>
      <c r="G4577" s="950" t="s">
        <v>16296</v>
      </c>
      <c r="H4577" s="950" t="s">
        <v>390</v>
      </c>
      <c r="I4577" s="951" t="s">
        <v>6804</v>
      </c>
      <c r="J4577" s="947" t="s">
        <v>6805</v>
      </c>
      <c r="K4577" s="143"/>
    </row>
    <row r="4578" spans="1:11">
      <c r="A4578" s="946" t="s">
        <v>28610</v>
      </c>
      <c r="B4578" s="947" t="s">
        <v>6938</v>
      </c>
      <c r="C4578" s="948" t="s">
        <v>6936</v>
      </c>
      <c r="D4578" s="242" t="s">
        <v>28717</v>
      </c>
      <c r="E4578" s="949">
        <v>1203</v>
      </c>
      <c r="F4578" s="949">
        <v>1203</v>
      </c>
      <c r="G4578" s="950" t="s">
        <v>16296</v>
      </c>
      <c r="H4578" s="950" t="s">
        <v>390</v>
      </c>
      <c r="I4578" s="951" t="s">
        <v>6937</v>
      </c>
      <c r="J4578" s="947" t="s">
        <v>6938</v>
      </c>
      <c r="K4578" s="143"/>
    </row>
    <row r="4579" spans="1:11">
      <c r="A4579" s="946" t="s">
        <v>28610</v>
      </c>
      <c r="B4579" s="947" t="s">
        <v>6967</v>
      </c>
      <c r="C4579" s="948" t="s">
        <v>6965</v>
      </c>
      <c r="D4579" s="242" t="s">
        <v>28717</v>
      </c>
      <c r="E4579" s="949">
        <v>1203</v>
      </c>
      <c r="F4579" s="949">
        <v>1203</v>
      </c>
      <c r="G4579" s="950" t="s">
        <v>16296</v>
      </c>
      <c r="H4579" s="950" t="s">
        <v>390</v>
      </c>
      <c r="I4579" s="951" t="s">
        <v>6966</v>
      </c>
      <c r="J4579" s="947" t="s">
        <v>6967</v>
      </c>
      <c r="K4579" s="143"/>
    </row>
    <row r="4580" spans="1:11">
      <c r="A4580" s="946" t="s">
        <v>28610</v>
      </c>
      <c r="B4580" s="947" t="s">
        <v>6985</v>
      </c>
      <c r="C4580" s="948" t="s">
        <v>6983</v>
      </c>
      <c r="D4580" s="242" t="s">
        <v>28717</v>
      </c>
      <c r="E4580" s="949">
        <v>1203</v>
      </c>
      <c r="F4580" s="949">
        <v>1203</v>
      </c>
      <c r="G4580" s="950" t="s">
        <v>16296</v>
      </c>
      <c r="H4580" s="950" t="s">
        <v>390</v>
      </c>
      <c r="I4580" s="951" t="s">
        <v>6984</v>
      </c>
      <c r="J4580" s="947" t="s">
        <v>6985</v>
      </c>
      <c r="K4580" s="143"/>
    </row>
    <row r="4581" spans="1:11">
      <c r="A4581" s="946" t="s">
        <v>28610</v>
      </c>
      <c r="B4581" s="947" t="s">
        <v>7303</v>
      </c>
      <c r="C4581" s="948" t="s">
        <v>7301</v>
      </c>
      <c r="D4581" s="242" t="s">
        <v>28717</v>
      </c>
      <c r="E4581" s="949">
        <v>1203</v>
      </c>
      <c r="F4581" s="949">
        <v>1203</v>
      </c>
      <c r="G4581" s="950" t="s">
        <v>16296</v>
      </c>
      <c r="H4581" s="950" t="s">
        <v>390</v>
      </c>
      <c r="I4581" s="951" t="s">
        <v>7302</v>
      </c>
      <c r="J4581" s="947" t="s">
        <v>7303</v>
      </c>
      <c r="K4581" s="143"/>
    </row>
    <row r="4582" spans="1:11">
      <c r="A4582" s="946" t="s">
        <v>28610</v>
      </c>
      <c r="B4582" s="947" t="s">
        <v>8037</v>
      </c>
      <c r="C4582" s="948" t="s">
        <v>8035</v>
      </c>
      <c r="D4582" s="242" t="s">
        <v>28717</v>
      </c>
      <c r="E4582" s="949">
        <v>1203</v>
      </c>
      <c r="F4582" s="949">
        <v>1203</v>
      </c>
      <c r="G4582" s="950" t="s">
        <v>16296</v>
      </c>
      <c r="H4582" s="950" t="s">
        <v>390</v>
      </c>
      <c r="I4582" s="951" t="s">
        <v>8036</v>
      </c>
      <c r="J4582" s="947" t="s">
        <v>8037</v>
      </c>
      <c r="K4582" s="143"/>
    </row>
    <row r="4583" spans="1:11">
      <c r="A4583" s="946" t="s">
        <v>28610</v>
      </c>
      <c r="B4583" s="947" t="s">
        <v>8174</v>
      </c>
      <c r="C4583" s="948" t="s">
        <v>8172</v>
      </c>
      <c r="D4583" s="242" t="s">
        <v>28717</v>
      </c>
      <c r="E4583" s="949">
        <v>1203</v>
      </c>
      <c r="F4583" s="949">
        <v>1203</v>
      </c>
      <c r="G4583" s="950" t="s">
        <v>16296</v>
      </c>
      <c r="H4583" s="950" t="s">
        <v>390</v>
      </c>
      <c r="I4583" s="951" t="s">
        <v>8173</v>
      </c>
      <c r="J4583" s="947" t="s">
        <v>8174</v>
      </c>
      <c r="K4583" s="143"/>
    </row>
    <row r="4584" spans="1:11">
      <c r="A4584" s="946" t="s">
        <v>28610</v>
      </c>
      <c r="B4584" s="947" t="s">
        <v>8459</v>
      </c>
      <c r="C4584" s="948" t="s">
        <v>8457</v>
      </c>
      <c r="D4584" s="242" t="s">
        <v>28717</v>
      </c>
      <c r="E4584" s="949">
        <v>1203</v>
      </c>
      <c r="F4584" s="949">
        <v>1203</v>
      </c>
      <c r="G4584" s="950" t="s">
        <v>16296</v>
      </c>
      <c r="H4584" s="950" t="s">
        <v>390</v>
      </c>
      <c r="I4584" s="951" t="s">
        <v>8458</v>
      </c>
      <c r="J4584" s="947" t="s">
        <v>8459</v>
      </c>
      <c r="K4584" s="143"/>
    </row>
    <row r="4585" spans="1:11">
      <c r="A4585" s="946" t="s">
        <v>28610</v>
      </c>
      <c r="B4585" s="947" t="s">
        <v>8677</v>
      </c>
      <c r="C4585" s="948" t="s">
        <v>8675</v>
      </c>
      <c r="D4585" s="242" t="s">
        <v>28717</v>
      </c>
      <c r="E4585" s="949">
        <v>1203</v>
      </c>
      <c r="F4585" s="949">
        <v>1203</v>
      </c>
      <c r="G4585" s="950" t="s">
        <v>16296</v>
      </c>
      <c r="H4585" s="950" t="s">
        <v>390</v>
      </c>
      <c r="I4585" s="951" t="s">
        <v>8676</v>
      </c>
      <c r="J4585" s="947" t="s">
        <v>8677</v>
      </c>
      <c r="K4585" s="143"/>
    </row>
    <row r="4586" spans="1:11">
      <c r="A4586" s="946" t="s">
        <v>28610</v>
      </c>
      <c r="B4586" s="947" t="s">
        <v>9512</v>
      </c>
      <c r="C4586" s="948" t="s">
        <v>9510</v>
      </c>
      <c r="D4586" s="242" t="s">
        <v>28717</v>
      </c>
      <c r="E4586" s="949">
        <v>1203</v>
      </c>
      <c r="F4586" s="949">
        <v>1203</v>
      </c>
      <c r="G4586" s="950" t="s">
        <v>16296</v>
      </c>
      <c r="H4586" s="950" t="s">
        <v>390</v>
      </c>
      <c r="I4586" s="951" t="s">
        <v>9511</v>
      </c>
      <c r="J4586" s="947" t="s">
        <v>9512</v>
      </c>
      <c r="K4586" s="143"/>
    </row>
    <row r="4587" spans="1:11">
      <c r="A4587" s="946" t="s">
        <v>28610</v>
      </c>
      <c r="B4587" s="947" t="s">
        <v>10022</v>
      </c>
      <c r="C4587" s="948" t="s">
        <v>10020</v>
      </c>
      <c r="D4587" s="242" t="s">
        <v>28717</v>
      </c>
      <c r="E4587" s="949">
        <v>1203</v>
      </c>
      <c r="F4587" s="949">
        <v>1203</v>
      </c>
      <c r="G4587" s="950" t="s">
        <v>16296</v>
      </c>
      <c r="H4587" s="950" t="s">
        <v>390</v>
      </c>
      <c r="I4587" s="951" t="s">
        <v>10021</v>
      </c>
      <c r="J4587" s="947" t="s">
        <v>10022</v>
      </c>
      <c r="K4587" s="143"/>
    </row>
    <row r="4588" spans="1:11">
      <c r="A4588" s="946" t="s">
        <v>28610</v>
      </c>
      <c r="B4588" s="947" t="s">
        <v>10314</v>
      </c>
      <c r="C4588" s="948" t="s">
        <v>10312</v>
      </c>
      <c r="D4588" s="242" t="s">
        <v>28717</v>
      </c>
      <c r="E4588" s="949">
        <v>1203</v>
      </c>
      <c r="F4588" s="949">
        <v>1203</v>
      </c>
      <c r="G4588" s="950" t="s">
        <v>16296</v>
      </c>
      <c r="H4588" s="950" t="s">
        <v>390</v>
      </c>
      <c r="I4588" s="951" t="s">
        <v>10313</v>
      </c>
      <c r="J4588" s="947" t="s">
        <v>10314</v>
      </c>
      <c r="K4588" s="143"/>
    </row>
    <row r="4589" spans="1:11">
      <c r="A4589" s="946" t="s">
        <v>28610</v>
      </c>
      <c r="B4589" s="947" t="s">
        <v>10619</v>
      </c>
      <c r="C4589" s="948" t="s">
        <v>10617</v>
      </c>
      <c r="D4589" s="242" t="s">
        <v>28717</v>
      </c>
      <c r="E4589" s="949">
        <v>1203</v>
      </c>
      <c r="F4589" s="949">
        <v>1203</v>
      </c>
      <c r="G4589" s="950" t="s">
        <v>16296</v>
      </c>
      <c r="H4589" s="950" t="s">
        <v>390</v>
      </c>
      <c r="I4589" s="951" t="s">
        <v>10618</v>
      </c>
      <c r="J4589" s="947" t="s">
        <v>10619</v>
      </c>
      <c r="K4589" s="143"/>
    </row>
    <row r="4590" spans="1:11">
      <c r="A4590" s="946" t="s">
        <v>28610</v>
      </c>
      <c r="B4590" s="947" t="s">
        <v>10893</v>
      </c>
      <c r="C4590" s="948" t="s">
        <v>10891</v>
      </c>
      <c r="D4590" s="242" t="s">
        <v>28717</v>
      </c>
      <c r="E4590" s="949">
        <v>1203</v>
      </c>
      <c r="F4590" s="949">
        <v>1203</v>
      </c>
      <c r="G4590" s="950" t="s">
        <v>16296</v>
      </c>
      <c r="H4590" s="950" t="s">
        <v>390</v>
      </c>
      <c r="I4590" s="951" t="s">
        <v>10892</v>
      </c>
      <c r="J4590" s="947" t="s">
        <v>10893</v>
      </c>
      <c r="K4590" s="143"/>
    </row>
    <row r="4591" spans="1:11">
      <c r="A4591" s="946" t="s">
        <v>28610</v>
      </c>
      <c r="B4591" s="947" t="s">
        <v>11146</v>
      </c>
      <c r="C4591" s="948" t="s">
        <v>11144</v>
      </c>
      <c r="D4591" s="242" t="s">
        <v>28717</v>
      </c>
      <c r="E4591" s="949">
        <v>1203</v>
      </c>
      <c r="F4591" s="949">
        <v>1203</v>
      </c>
      <c r="G4591" s="950" t="s">
        <v>16296</v>
      </c>
      <c r="H4591" s="950" t="s">
        <v>390</v>
      </c>
      <c r="I4591" s="951" t="s">
        <v>11145</v>
      </c>
      <c r="J4591" s="947" t="s">
        <v>11146</v>
      </c>
      <c r="K4591" s="143"/>
    </row>
    <row r="4592" spans="1:11">
      <c r="A4592" s="946" t="s">
        <v>28610</v>
      </c>
      <c r="B4592" s="947" t="s">
        <v>11738</v>
      </c>
      <c r="C4592" s="948" t="s">
        <v>11736</v>
      </c>
      <c r="D4592" s="242" t="s">
        <v>28717</v>
      </c>
      <c r="E4592" s="949">
        <v>1203</v>
      </c>
      <c r="F4592" s="949">
        <v>1203</v>
      </c>
      <c r="G4592" s="950" t="s">
        <v>16296</v>
      </c>
      <c r="H4592" s="950" t="s">
        <v>390</v>
      </c>
      <c r="I4592" s="951" t="s">
        <v>11737</v>
      </c>
      <c r="J4592" s="947" t="s">
        <v>11738</v>
      </c>
      <c r="K4592" s="143"/>
    </row>
    <row r="4593" spans="1:11">
      <c r="A4593" s="946" t="s">
        <v>28610</v>
      </c>
      <c r="B4593" s="947" t="s">
        <v>12003</v>
      </c>
      <c r="C4593" s="948" t="s">
        <v>12001</v>
      </c>
      <c r="D4593" s="242" t="s">
        <v>28717</v>
      </c>
      <c r="E4593" s="949">
        <v>1203</v>
      </c>
      <c r="F4593" s="949">
        <v>1203</v>
      </c>
      <c r="G4593" s="950" t="s">
        <v>16296</v>
      </c>
      <c r="H4593" s="950" t="s">
        <v>390</v>
      </c>
      <c r="I4593" s="951" t="s">
        <v>12002</v>
      </c>
      <c r="J4593" s="947" t="s">
        <v>12003</v>
      </c>
      <c r="K4593" s="143"/>
    </row>
    <row r="4594" spans="1:11">
      <c r="A4594" s="946" t="s">
        <v>28610</v>
      </c>
      <c r="B4594" s="947" t="s">
        <v>12256</v>
      </c>
      <c r="C4594" s="948" t="s">
        <v>12254</v>
      </c>
      <c r="D4594" s="242" t="s">
        <v>28717</v>
      </c>
      <c r="E4594" s="949">
        <v>1203</v>
      </c>
      <c r="F4594" s="949">
        <v>1203</v>
      </c>
      <c r="G4594" s="950" t="s">
        <v>16296</v>
      </c>
      <c r="H4594" s="950" t="s">
        <v>390</v>
      </c>
      <c r="I4594" s="951" t="s">
        <v>12255</v>
      </c>
      <c r="J4594" s="947" t="s">
        <v>12256</v>
      </c>
      <c r="K4594" s="143"/>
    </row>
    <row r="4595" spans="1:11">
      <c r="A4595" s="946" t="s">
        <v>28610</v>
      </c>
      <c r="B4595" s="947" t="s">
        <v>12374</v>
      </c>
      <c r="C4595" s="948" t="s">
        <v>12372</v>
      </c>
      <c r="D4595" s="242" t="s">
        <v>28717</v>
      </c>
      <c r="E4595" s="949">
        <v>1203</v>
      </c>
      <c r="F4595" s="949">
        <v>1203</v>
      </c>
      <c r="G4595" s="950" t="s">
        <v>16296</v>
      </c>
      <c r="H4595" s="950" t="s">
        <v>390</v>
      </c>
      <c r="I4595" s="951" t="s">
        <v>12373</v>
      </c>
      <c r="J4595" s="947" t="s">
        <v>12374</v>
      </c>
      <c r="K4595" s="143"/>
    </row>
    <row r="4596" spans="1:11">
      <c r="A4596" s="946" t="s">
        <v>28610</v>
      </c>
      <c r="B4596" s="947" t="s">
        <v>12581</v>
      </c>
      <c r="C4596" s="948" t="s">
        <v>12579</v>
      </c>
      <c r="D4596" s="242" t="s">
        <v>28717</v>
      </c>
      <c r="E4596" s="949">
        <v>1203</v>
      </c>
      <c r="F4596" s="949">
        <v>1203</v>
      </c>
      <c r="G4596" s="950" t="s">
        <v>16296</v>
      </c>
      <c r="H4596" s="950" t="s">
        <v>390</v>
      </c>
      <c r="I4596" s="951" t="s">
        <v>12580</v>
      </c>
      <c r="J4596" s="947" t="s">
        <v>12581</v>
      </c>
      <c r="K4596" s="143"/>
    </row>
    <row r="4597" spans="1:11">
      <c r="A4597" s="946" t="s">
        <v>28610</v>
      </c>
      <c r="B4597" s="947" t="s">
        <v>12658</v>
      </c>
      <c r="C4597" s="948" t="s">
        <v>12656</v>
      </c>
      <c r="D4597" s="242" t="s">
        <v>28717</v>
      </c>
      <c r="E4597" s="949">
        <v>1203</v>
      </c>
      <c r="F4597" s="949">
        <v>1203</v>
      </c>
      <c r="G4597" s="950" t="s">
        <v>16296</v>
      </c>
      <c r="H4597" s="950" t="s">
        <v>390</v>
      </c>
      <c r="I4597" s="951" t="s">
        <v>12657</v>
      </c>
      <c r="J4597" s="947" t="s">
        <v>12658</v>
      </c>
      <c r="K4597" s="143"/>
    </row>
    <row r="4598" spans="1:11">
      <c r="A4598" s="946" t="s">
        <v>28610</v>
      </c>
      <c r="B4598" s="947" t="s">
        <v>12323</v>
      </c>
      <c r="C4598" s="948" t="s">
        <v>12321</v>
      </c>
      <c r="D4598" s="242" t="s">
        <v>28717</v>
      </c>
      <c r="E4598" s="949">
        <v>1203</v>
      </c>
      <c r="F4598" s="949">
        <v>1203</v>
      </c>
      <c r="G4598" s="950" t="s">
        <v>16296</v>
      </c>
      <c r="H4598" s="950" t="s">
        <v>390</v>
      </c>
      <c r="I4598" s="951" t="s">
        <v>12322</v>
      </c>
      <c r="J4598" s="947" t="s">
        <v>12323</v>
      </c>
      <c r="K4598" s="143"/>
    </row>
    <row r="4599" spans="1:11">
      <c r="A4599" s="946" t="s">
        <v>28610</v>
      </c>
      <c r="B4599" s="947" t="s">
        <v>12839</v>
      </c>
      <c r="C4599" s="948" t="s">
        <v>12837</v>
      </c>
      <c r="D4599" s="242" t="s">
        <v>28717</v>
      </c>
      <c r="E4599" s="949">
        <v>1203</v>
      </c>
      <c r="F4599" s="949">
        <v>1203</v>
      </c>
      <c r="G4599" s="950" t="s">
        <v>16296</v>
      </c>
      <c r="H4599" s="950" t="s">
        <v>390</v>
      </c>
      <c r="I4599" s="951" t="s">
        <v>12838</v>
      </c>
      <c r="J4599" s="947" t="s">
        <v>12839</v>
      </c>
      <c r="K4599" s="143"/>
    </row>
    <row r="4600" spans="1:11">
      <c r="A4600" s="946" t="s">
        <v>28610</v>
      </c>
      <c r="B4600" s="947" t="s">
        <v>12983</v>
      </c>
      <c r="C4600" s="948" t="s">
        <v>12981</v>
      </c>
      <c r="D4600" s="242" t="s">
        <v>28717</v>
      </c>
      <c r="E4600" s="949">
        <v>1203</v>
      </c>
      <c r="F4600" s="949">
        <v>1203</v>
      </c>
      <c r="G4600" s="950" t="s">
        <v>16296</v>
      </c>
      <c r="H4600" s="950" t="s">
        <v>390</v>
      </c>
      <c r="I4600" s="951" t="s">
        <v>12982</v>
      </c>
      <c r="J4600" s="947" t="s">
        <v>12983</v>
      </c>
      <c r="K4600" s="143"/>
    </row>
    <row r="4601" spans="1:11">
      <c r="A4601" s="946" t="s">
        <v>28610</v>
      </c>
      <c r="B4601" s="947" t="s">
        <v>13230</v>
      </c>
      <c r="C4601" s="948" t="s">
        <v>13228</v>
      </c>
      <c r="D4601" s="242" t="s">
        <v>28717</v>
      </c>
      <c r="E4601" s="949">
        <v>1203</v>
      </c>
      <c r="F4601" s="949">
        <v>1203</v>
      </c>
      <c r="G4601" s="950" t="s">
        <v>16296</v>
      </c>
      <c r="H4601" s="950" t="s">
        <v>390</v>
      </c>
      <c r="I4601" s="951" t="s">
        <v>13229</v>
      </c>
      <c r="J4601" s="947" t="s">
        <v>13230</v>
      </c>
      <c r="K4601" s="143"/>
    </row>
    <row r="4602" spans="1:11">
      <c r="A4602" s="946" t="s">
        <v>28610</v>
      </c>
      <c r="B4602" s="947" t="s">
        <v>13819</v>
      </c>
      <c r="C4602" s="948" t="s">
        <v>13817</v>
      </c>
      <c r="D4602" s="242" t="s">
        <v>28717</v>
      </c>
      <c r="E4602" s="949">
        <v>1203</v>
      </c>
      <c r="F4602" s="949">
        <v>1203</v>
      </c>
      <c r="G4602" s="950" t="s">
        <v>16296</v>
      </c>
      <c r="H4602" s="950" t="s">
        <v>390</v>
      </c>
      <c r="I4602" s="951" t="s">
        <v>13818</v>
      </c>
      <c r="J4602" s="947" t="s">
        <v>13819</v>
      </c>
      <c r="K4602" s="143"/>
    </row>
    <row r="4603" spans="1:11">
      <c r="A4603" s="946" t="s">
        <v>28610</v>
      </c>
      <c r="B4603" s="947" t="s">
        <v>14026</v>
      </c>
      <c r="C4603" s="948" t="s">
        <v>14024</v>
      </c>
      <c r="D4603" s="242" t="s">
        <v>28717</v>
      </c>
      <c r="E4603" s="949">
        <v>1203</v>
      </c>
      <c r="F4603" s="949">
        <v>1203</v>
      </c>
      <c r="G4603" s="950" t="s">
        <v>16296</v>
      </c>
      <c r="H4603" s="950" t="s">
        <v>390</v>
      </c>
      <c r="I4603" s="951" t="s">
        <v>14025</v>
      </c>
      <c r="J4603" s="947" t="s">
        <v>14026</v>
      </c>
      <c r="K4603" s="143"/>
    </row>
    <row r="4604" spans="1:11">
      <c r="A4604" s="946" t="s">
        <v>28610</v>
      </c>
      <c r="B4604" s="947" t="s">
        <v>14607</v>
      </c>
      <c r="C4604" s="948" t="s">
        <v>14605</v>
      </c>
      <c r="D4604" s="242" t="s">
        <v>28717</v>
      </c>
      <c r="E4604" s="949">
        <v>1203</v>
      </c>
      <c r="F4604" s="949">
        <v>1203</v>
      </c>
      <c r="G4604" s="950" t="s">
        <v>16296</v>
      </c>
      <c r="H4604" s="950" t="s">
        <v>390</v>
      </c>
      <c r="I4604" s="951" t="s">
        <v>14606</v>
      </c>
      <c r="J4604" s="947" t="s">
        <v>14607</v>
      </c>
      <c r="K4604" s="143"/>
    </row>
    <row r="4605" spans="1:11">
      <c r="A4605" s="946" t="s">
        <v>28610</v>
      </c>
      <c r="B4605" s="947" t="s">
        <v>14639</v>
      </c>
      <c r="C4605" s="948" t="s">
        <v>14637</v>
      </c>
      <c r="D4605" s="242" t="s">
        <v>28717</v>
      </c>
      <c r="E4605" s="949">
        <v>1203</v>
      </c>
      <c r="F4605" s="949">
        <v>1203</v>
      </c>
      <c r="G4605" s="950" t="s">
        <v>16296</v>
      </c>
      <c r="H4605" s="950" t="s">
        <v>390</v>
      </c>
      <c r="I4605" s="951" t="s">
        <v>14638</v>
      </c>
      <c r="J4605" s="947" t="s">
        <v>14639</v>
      </c>
      <c r="K4605" s="143"/>
    </row>
    <row r="4606" spans="1:11">
      <c r="A4606" s="946" t="s">
        <v>28610</v>
      </c>
      <c r="B4606" s="947" t="s">
        <v>15172</v>
      </c>
      <c r="C4606" s="948" t="s">
        <v>15170</v>
      </c>
      <c r="D4606" s="242" t="s">
        <v>28717</v>
      </c>
      <c r="E4606" s="949">
        <v>1203</v>
      </c>
      <c r="F4606" s="949">
        <v>1203</v>
      </c>
      <c r="G4606" s="950" t="s">
        <v>16296</v>
      </c>
      <c r="H4606" s="950" t="s">
        <v>390</v>
      </c>
      <c r="I4606" s="951" t="s">
        <v>15171</v>
      </c>
      <c r="J4606" s="947" t="s">
        <v>15172</v>
      </c>
      <c r="K4606" s="143"/>
    </row>
    <row r="4607" spans="1:11">
      <c r="A4607" s="946" t="s">
        <v>28610</v>
      </c>
      <c r="B4607" s="947" t="s">
        <v>15175</v>
      </c>
      <c r="C4607" s="948" t="s">
        <v>15173</v>
      </c>
      <c r="D4607" s="242" t="s">
        <v>28717</v>
      </c>
      <c r="E4607" s="949">
        <v>1203</v>
      </c>
      <c r="F4607" s="949">
        <v>1203</v>
      </c>
      <c r="G4607" s="950" t="s">
        <v>16296</v>
      </c>
      <c r="H4607" s="950" t="s">
        <v>390</v>
      </c>
      <c r="I4607" s="951" t="s">
        <v>15174</v>
      </c>
      <c r="J4607" s="947" t="s">
        <v>15175</v>
      </c>
      <c r="K4607" s="143"/>
    </row>
    <row r="4608" spans="1:11">
      <c r="A4608" s="946" t="s">
        <v>28610</v>
      </c>
      <c r="B4608" s="947" t="s">
        <v>15181</v>
      </c>
      <c r="C4608" s="948" t="s">
        <v>15179</v>
      </c>
      <c r="D4608" s="242" t="s">
        <v>28717</v>
      </c>
      <c r="E4608" s="949">
        <v>1203</v>
      </c>
      <c r="F4608" s="949">
        <v>1203</v>
      </c>
      <c r="G4608" s="950" t="s">
        <v>16296</v>
      </c>
      <c r="H4608" s="950" t="s">
        <v>390</v>
      </c>
      <c r="I4608" s="951" t="s">
        <v>15180</v>
      </c>
      <c r="J4608" s="947" t="s">
        <v>15181</v>
      </c>
      <c r="K4608" s="143"/>
    </row>
    <row r="4609" spans="1:11">
      <c r="A4609" s="946" t="s">
        <v>28610</v>
      </c>
      <c r="B4609" s="947" t="s">
        <v>15184</v>
      </c>
      <c r="C4609" s="948" t="s">
        <v>15182</v>
      </c>
      <c r="D4609" s="242" t="s">
        <v>28717</v>
      </c>
      <c r="E4609" s="949">
        <v>1203</v>
      </c>
      <c r="F4609" s="949">
        <v>1203</v>
      </c>
      <c r="G4609" s="950" t="s">
        <v>16296</v>
      </c>
      <c r="H4609" s="950" t="s">
        <v>390</v>
      </c>
      <c r="I4609" s="951" t="s">
        <v>15183</v>
      </c>
      <c r="J4609" s="947" t="s">
        <v>15184</v>
      </c>
      <c r="K4609" s="143"/>
    </row>
    <row r="4610" spans="1:11">
      <c r="A4610" s="946" t="s">
        <v>28610</v>
      </c>
      <c r="B4610" s="947" t="s">
        <v>15187</v>
      </c>
      <c r="C4610" s="948" t="s">
        <v>15185</v>
      </c>
      <c r="D4610" s="242" t="s">
        <v>28717</v>
      </c>
      <c r="E4610" s="949">
        <v>1203</v>
      </c>
      <c r="F4610" s="949">
        <v>1203</v>
      </c>
      <c r="G4610" s="950" t="s">
        <v>16296</v>
      </c>
      <c r="H4610" s="950" t="s">
        <v>390</v>
      </c>
      <c r="I4610" s="951" t="s">
        <v>15186</v>
      </c>
      <c r="J4610" s="947" t="s">
        <v>15187</v>
      </c>
      <c r="K4610" s="143"/>
    </row>
    <row r="4611" spans="1:11">
      <c r="A4611" s="946" t="s">
        <v>28610</v>
      </c>
      <c r="B4611" s="947" t="s">
        <v>15199</v>
      </c>
      <c r="C4611" s="948" t="s">
        <v>15197</v>
      </c>
      <c r="D4611" s="242" t="s">
        <v>28717</v>
      </c>
      <c r="E4611" s="949">
        <v>1203</v>
      </c>
      <c r="F4611" s="949">
        <v>1203</v>
      </c>
      <c r="G4611" s="950" t="s">
        <v>16296</v>
      </c>
      <c r="H4611" s="950" t="s">
        <v>390</v>
      </c>
      <c r="I4611" s="951" t="s">
        <v>15198</v>
      </c>
      <c r="J4611" s="947" t="s">
        <v>15199</v>
      </c>
      <c r="K4611" s="143"/>
    </row>
    <row r="4612" spans="1:11">
      <c r="A4612" s="946" t="s">
        <v>28610</v>
      </c>
      <c r="B4612" s="947" t="s">
        <v>15622</v>
      </c>
      <c r="C4612" s="948" t="s">
        <v>15620</v>
      </c>
      <c r="D4612" s="242" t="s">
        <v>28717</v>
      </c>
      <c r="E4612" s="949">
        <v>1203</v>
      </c>
      <c r="F4612" s="949">
        <v>1203</v>
      </c>
      <c r="G4612" s="950" t="s">
        <v>16296</v>
      </c>
      <c r="H4612" s="950" t="s">
        <v>390</v>
      </c>
      <c r="I4612" s="951" t="s">
        <v>15621</v>
      </c>
      <c r="J4612" s="947" t="s">
        <v>15622</v>
      </c>
      <c r="K4612" s="143"/>
    </row>
    <row r="4613" spans="1:11">
      <c r="A4613" s="946" t="s">
        <v>28610</v>
      </c>
      <c r="B4613" s="947" t="s">
        <v>15659</v>
      </c>
      <c r="C4613" s="948" t="s">
        <v>15657</v>
      </c>
      <c r="D4613" s="242" t="s">
        <v>28717</v>
      </c>
      <c r="E4613" s="949">
        <v>1203</v>
      </c>
      <c r="F4613" s="949">
        <v>1203</v>
      </c>
      <c r="G4613" s="950" t="s">
        <v>16296</v>
      </c>
      <c r="H4613" s="950" t="s">
        <v>390</v>
      </c>
      <c r="I4613" s="951" t="s">
        <v>15658</v>
      </c>
      <c r="J4613" s="947" t="s">
        <v>15659</v>
      </c>
      <c r="K4613" s="143"/>
    </row>
    <row r="4614" spans="1:11">
      <c r="A4614" s="946" t="s">
        <v>28610</v>
      </c>
      <c r="B4614" s="947" t="s">
        <v>16296</v>
      </c>
      <c r="C4614" s="948" t="s">
        <v>16294</v>
      </c>
      <c r="D4614" s="242" t="s">
        <v>28717</v>
      </c>
      <c r="E4614" s="949">
        <v>1203</v>
      </c>
      <c r="F4614" s="949">
        <v>1203</v>
      </c>
      <c r="G4614" s="950" t="s">
        <v>16296</v>
      </c>
      <c r="H4614" s="950" t="s">
        <v>390</v>
      </c>
      <c r="I4614" s="951" t="s">
        <v>16295</v>
      </c>
      <c r="J4614" s="947" t="s">
        <v>16296</v>
      </c>
      <c r="K4614" s="143"/>
    </row>
    <row r="4615" spans="1:11">
      <c r="A4615" s="946" t="s">
        <v>28610</v>
      </c>
      <c r="B4615" s="947" t="s">
        <v>16444</v>
      </c>
      <c r="C4615" s="948" t="s">
        <v>16442</v>
      </c>
      <c r="D4615" s="242" t="s">
        <v>28717</v>
      </c>
      <c r="E4615" s="949">
        <v>1203</v>
      </c>
      <c r="F4615" s="949">
        <v>1203</v>
      </c>
      <c r="G4615" s="950" t="s">
        <v>16296</v>
      </c>
      <c r="H4615" s="950" t="s">
        <v>390</v>
      </c>
      <c r="I4615" s="951" t="s">
        <v>16443</v>
      </c>
      <c r="J4615" s="947" t="s">
        <v>16444</v>
      </c>
      <c r="K4615" s="143"/>
    </row>
    <row r="4616" spans="1:11">
      <c r="A4616" s="946" t="s">
        <v>28610</v>
      </c>
      <c r="B4616" s="947" t="s">
        <v>16655</v>
      </c>
      <c r="C4616" s="948" t="s">
        <v>16653</v>
      </c>
      <c r="D4616" s="242" t="s">
        <v>28717</v>
      </c>
      <c r="E4616" s="949">
        <v>1203</v>
      </c>
      <c r="F4616" s="949">
        <v>1203</v>
      </c>
      <c r="G4616" s="950" t="s">
        <v>16296</v>
      </c>
      <c r="H4616" s="950" t="s">
        <v>390</v>
      </c>
      <c r="I4616" s="951" t="s">
        <v>16654</v>
      </c>
      <c r="J4616" s="947" t="s">
        <v>16655</v>
      </c>
      <c r="K4616" s="143"/>
    </row>
    <row r="4617" spans="1:11">
      <c r="A4617" s="946" t="s">
        <v>28610</v>
      </c>
      <c r="B4617" s="947" t="s">
        <v>16578</v>
      </c>
      <c r="C4617" s="948" t="s">
        <v>16576</v>
      </c>
      <c r="D4617" s="242" t="s">
        <v>28717</v>
      </c>
      <c r="E4617" s="949">
        <v>1203</v>
      </c>
      <c r="F4617" s="949">
        <v>1203</v>
      </c>
      <c r="G4617" s="950" t="s">
        <v>16296</v>
      </c>
      <c r="H4617" s="950" t="s">
        <v>390</v>
      </c>
      <c r="I4617" s="951" t="s">
        <v>16577</v>
      </c>
      <c r="J4617" s="947" t="s">
        <v>16578</v>
      </c>
      <c r="K4617" s="143"/>
    </row>
    <row r="4618" spans="1:11">
      <c r="A4618" s="946" t="s">
        <v>28610</v>
      </c>
      <c r="B4618" s="947" t="s">
        <v>17275</v>
      </c>
      <c r="C4618" s="948" t="s">
        <v>17273</v>
      </c>
      <c r="D4618" s="242" t="s">
        <v>28717</v>
      </c>
      <c r="E4618" s="949">
        <v>1203</v>
      </c>
      <c r="F4618" s="949">
        <v>1203</v>
      </c>
      <c r="G4618" s="950" t="s">
        <v>16296</v>
      </c>
      <c r="H4618" s="950" t="s">
        <v>390</v>
      </c>
      <c r="I4618" s="951" t="s">
        <v>17274</v>
      </c>
      <c r="J4618" s="947" t="s">
        <v>17275</v>
      </c>
      <c r="K4618" s="143"/>
    </row>
    <row r="4619" spans="1:11">
      <c r="A4619" s="946" t="s">
        <v>28610</v>
      </c>
      <c r="B4619" s="947" t="s">
        <v>19034</v>
      </c>
      <c r="C4619" s="948" t="s">
        <v>19032</v>
      </c>
      <c r="D4619" s="242" t="s">
        <v>28717</v>
      </c>
      <c r="E4619" s="949">
        <v>1203</v>
      </c>
      <c r="F4619" s="949">
        <v>1203</v>
      </c>
      <c r="G4619" s="950" t="s">
        <v>16296</v>
      </c>
      <c r="H4619" s="950" t="s">
        <v>390</v>
      </c>
      <c r="I4619" s="951" t="s">
        <v>19033</v>
      </c>
      <c r="J4619" s="947" t="s">
        <v>19034</v>
      </c>
      <c r="K4619" s="143"/>
    </row>
    <row r="4620" spans="1:11">
      <c r="A4620" s="946" t="s">
        <v>28610</v>
      </c>
      <c r="B4620" s="947" t="s">
        <v>19200</v>
      </c>
      <c r="C4620" s="948" t="s">
        <v>19198</v>
      </c>
      <c r="D4620" s="242" t="s">
        <v>28717</v>
      </c>
      <c r="E4620" s="949">
        <v>1203</v>
      </c>
      <c r="F4620" s="949">
        <v>1203</v>
      </c>
      <c r="G4620" s="950" t="s">
        <v>16296</v>
      </c>
      <c r="H4620" s="950" t="s">
        <v>390</v>
      </c>
      <c r="I4620" s="951" t="s">
        <v>19199</v>
      </c>
      <c r="J4620" s="947" t="s">
        <v>19200</v>
      </c>
      <c r="K4620" s="143"/>
    </row>
    <row r="4621" spans="1:11">
      <c r="A4621" s="946" t="s">
        <v>28610</v>
      </c>
      <c r="B4621" s="947" t="s">
        <v>20014</v>
      </c>
      <c r="C4621" s="948" t="s">
        <v>20012</v>
      </c>
      <c r="D4621" s="242" t="s">
        <v>28717</v>
      </c>
      <c r="E4621" s="949">
        <v>1203</v>
      </c>
      <c r="F4621" s="949">
        <v>1203</v>
      </c>
      <c r="G4621" s="950" t="s">
        <v>16296</v>
      </c>
      <c r="H4621" s="950" t="s">
        <v>390</v>
      </c>
      <c r="I4621" s="951" t="s">
        <v>20013</v>
      </c>
      <c r="J4621" s="947" t="s">
        <v>20014</v>
      </c>
      <c r="K4621" s="143"/>
    </row>
    <row r="4622" spans="1:11">
      <c r="A4622" s="946" t="s">
        <v>28610</v>
      </c>
      <c r="B4622" s="947" t="s">
        <v>20204</v>
      </c>
      <c r="C4622" s="948" t="s">
        <v>20202</v>
      </c>
      <c r="D4622" s="242" t="s">
        <v>28717</v>
      </c>
      <c r="E4622" s="949">
        <v>1203</v>
      </c>
      <c r="F4622" s="949">
        <v>1203</v>
      </c>
      <c r="G4622" s="950" t="s">
        <v>16296</v>
      </c>
      <c r="H4622" s="950" t="s">
        <v>390</v>
      </c>
      <c r="I4622" s="951" t="s">
        <v>20203</v>
      </c>
      <c r="J4622" s="947" t="s">
        <v>20204</v>
      </c>
      <c r="K4622" s="143"/>
    </row>
    <row r="4623" spans="1:11">
      <c r="A4623" s="946" t="s">
        <v>28610</v>
      </c>
      <c r="B4623" s="947" t="s">
        <v>20511</v>
      </c>
      <c r="C4623" s="948" t="s">
        <v>20509</v>
      </c>
      <c r="D4623" s="242" t="s">
        <v>28717</v>
      </c>
      <c r="E4623" s="949">
        <v>1203</v>
      </c>
      <c r="F4623" s="949">
        <v>1203</v>
      </c>
      <c r="G4623" s="950" t="s">
        <v>16296</v>
      </c>
      <c r="H4623" s="950" t="s">
        <v>390</v>
      </c>
      <c r="I4623" s="951" t="s">
        <v>20510</v>
      </c>
      <c r="J4623" s="947" t="s">
        <v>20511</v>
      </c>
      <c r="K4623" s="143"/>
    </row>
    <row r="4624" spans="1:11">
      <c r="A4624" s="946" t="s">
        <v>28610</v>
      </c>
      <c r="B4624" s="947" t="s">
        <v>20756</v>
      </c>
      <c r="C4624" s="948" t="s">
        <v>20754</v>
      </c>
      <c r="D4624" s="242" t="s">
        <v>28717</v>
      </c>
      <c r="E4624" s="949">
        <v>1203</v>
      </c>
      <c r="F4624" s="949">
        <v>1203</v>
      </c>
      <c r="G4624" s="950" t="s">
        <v>16296</v>
      </c>
      <c r="H4624" s="950" t="s">
        <v>390</v>
      </c>
      <c r="I4624" s="951" t="s">
        <v>20755</v>
      </c>
      <c r="J4624" s="947" t="s">
        <v>20756</v>
      </c>
      <c r="K4624" s="143"/>
    </row>
    <row r="4625" spans="1:11">
      <c r="A4625" s="946" t="s">
        <v>28610</v>
      </c>
      <c r="B4625" s="947" t="s">
        <v>20744</v>
      </c>
      <c r="C4625" s="948" t="s">
        <v>20742</v>
      </c>
      <c r="D4625" s="242" t="s">
        <v>28717</v>
      </c>
      <c r="E4625" s="949">
        <v>1203</v>
      </c>
      <c r="F4625" s="949">
        <v>1203</v>
      </c>
      <c r="G4625" s="950" t="s">
        <v>16296</v>
      </c>
      <c r="H4625" s="950" t="s">
        <v>390</v>
      </c>
      <c r="I4625" s="951" t="s">
        <v>20743</v>
      </c>
      <c r="J4625" s="947" t="s">
        <v>20744</v>
      </c>
      <c r="K4625" s="143"/>
    </row>
    <row r="4626" spans="1:11">
      <c r="A4626" s="946" t="s">
        <v>28610</v>
      </c>
      <c r="B4626" s="947" t="s">
        <v>21125</v>
      </c>
      <c r="C4626" s="948" t="s">
        <v>21123</v>
      </c>
      <c r="D4626" s="242" t="s">
        <v>28717</v>
      </c>
      <c r="E4626" s="949">
        <v>1203</v>
      </c>
      <c r="F4626" s="949">
        <v>1203</v>
      </c>
      <c r="G4626" s="950" t="s">
        <v>16296</v>
      </c>
      <c r="H4626" s="950" t="s">
        <v>390</v>
      </c>
      <c r="I4626" s="951" t="s">
        <v>21124</v>
      </c>
      <c r="J4626" s="947" t="s">
        <v>21125</v>
      </c>
      <c r="K4626" s="143"/>
    </row>
    <row r="4627" spans="1:11">
      <c r="A4627" s="946" t="s">
        <v>28610</v>
      </c>
      <c r="B4627" s="947" t="s">
        <v>21244</v>
      </c>
      <c r="C4627" s="948" t="s">
        <v>21242</v>
      </c>
      <c r="D4627" s="242" t="s">
        <v>28717</v>
      </c>
      <c r="E4627" s="949">
        <v>1203</v>
      </c>
      <c r="F4627" s="949">
        <v>1203</v>
      </c>
      <c r="G4627" s="950" t="s">
        <v>16296</v>
      </c>
      <c r="H4627" s="950" t="s">
        <v>390</v>
      </c>
      <c r="I4627" s="951" t="s">
        <v>21243</v>
      </c>
      <c r="J4627" s="947" t="s">
        <v>21244</v>
      </c>
      <c r="K4627" s="143"/>
    </row>
    <row r="4628" spans="1:11">
      <c r="A4628" s="946" t="s">
        <v>28610</v>
      </c>
      <c r="B4628" s="947" t="s">
        <v>21578</v>
      </c>
      <c r="C4628" s="948" t="s">
        <v>21576</v>
      </c>
      <c r="D4628" s="242" t="s">
        <v>28717</v>
      </c>
      <c r="E4628" s="949">
        <v>1203</v>
      </c>
      <c r="F4628" s="949">
        <v>1203</v>
      </c>
      <c r="G4628" s="950" t="s">
        <v>16296</v>
      </c>
      <c r="H4628" s="950" t="s">
        <v>390</v>
      </c>
      <c r="I4628" s="951" t="s">
        <v>21577</v>
      </c>
      <c r="J4628" s="947" t="s">
        <v>21578</v>
      </c>
      <c r="K4628" s="143"/>
    </row>
    <row r="4629" spans="1:11">
      <c r="A4629" s="946" t="s">
        <v>28610</v>
      </c>
      <c r="B4629" s="947" t="s">
        <v>560</v>
      </c>
      <c r="C4629" s="948" t="s">
        <v>557</v>
      </c>
      <c r="D4629" s="242" t="s">
        <v>393</v>
      </c>
      <c r="E4629" s="949">
        <v>1202</v>
      </c>
      <c r="F4629" s="949">
        <v>1202</v>
      </c>
      <c r="G4629" s="950" t="s">
        <v>16812</v>
      </c>
      <c r="H4629" s="950" t="s">
        <v>558</v>
      </c>
      <c r="I4629" s="951" t="s">
        <v>559</v>
      </c>
      <c r="J4629" s="947" t="s">
        <v>560</v>
      </c>
      <c r="K4629" s="143"/>
    </row>
    <row r="4630" spans="1:11">
      <c r="A4630" s="946" t="s">
        <v>28610</v>
      </c>
      <c r="B4630" s="947" t="s">
        <v>633</v>
      </c>
      <c r="C4630" s="948" t="s">
        <v>631</v>
      </c>
      <c r="D4630" s="242" t="s">
        <v>393</v>
      </c>
      <c r="E4630" s="949">
        <v>1202</v>
      </c>
      <c r="F4630" s="949">
        <v>1202</v>
      </c>
      <c r="G4630" s="950" t="s">
        <v>16812</v>
      </c>
      <c r="H4630" s="950" t="s">
        <v>558</v>
      </c>
      <c r="I4630" s="951" t="s">
        <v>632</v>
      </c>
      <c r="J4630" s="947" t="s">
        <v>633</v>
      </c>
      <c r="K4630" s="143"/>
    </row>
    <row r="4631" spans="1:11">
      <c r="A4631" s="946" t="s">
        <v>28610</v>
      </c>
      <c r="B4631" s="947" t="s">
        <v>771</v>
      </c>
      <c r="C4631" s="948" t="s">
        <v>769</v>
      </c>
      <c r="D4631" s="242" t="s">
        <v>393</v>
      </c>
      <c r="E4631" s="949">
        <v>1202</v>
      </c>
      <c r="F4631" s="949">
        <v>1202</v>
      </c>
      <c r="G4631" s="950" t="s">
        <v>16812</v>
      </c>
      <c r="H4631" s="950" t="s">
        <v>558</v>
      </c>
      <c r="I4631" s="951" t="s">
        <v>770</v>
      </c>
      <c r="J4631" s="947" t="s">
        <v>771</v>
      </c>
      <c r="K4631" s="143"/>
    </row>
    <row r="4632" spans="1:11">
      <c r="A4632" s="946" t="s">
        <v>28610</v>
      </c>
      <c r="B4632" s="947" t="s">
        <v>959</v>
      </c>
      <c r="C4632" s="948" t="s">
        <v>957</v>
      </c>
      <c r="D4632" s="242" t="s">
        <v>393</v>
      </c>
      <c r="E4632" s="949">
        <v>1202</v>
      </c>
      <c r="F4632" s="949">
        <v>1202</v>
      </c>
      <c r="G4632" s="950" t="s">
        <v>16812</v>
      </c>
      <c r="H4632" s="950" t="s">
        <v>558</v>
      </c>
      <c r="I4632" s="951" t="s">
        <v>958</v>
      </c>
      <c r="J4632" s="947" t="s">
        <v>959</v>
      </c>
      <c r="K4632" s="143"/>
    </row>
    <row r="4633" spans="1:11">
      <c r="A4633" s="946" t="s">
        <v>28610</v>
      </c>
      <c r="B4633" s="947" t="s">
        <v>1175</v>
      </c>
      <c r="C4633" s="948" t="s">
        <v>1173</v>
      </c>
      <c r="D4633" s="242" t="s">
        <v>393</v>
      </c>
      <c r="E4633" s="949">
        <v>1202</v>
      </c>
      <c r="F4633" s="949">
        <v>1202</v>
      </c>
      <c r="G4633" s="950" t="s">
        <v>16812</v>
      </c>
      <c r="H4633" s="950" t="s">
        <v>558</v>
      </c>
      <c r="I4633" s="951" t="s">
        <v>1174</v>
      </c>
      <c r="J4633" s="947" t="s">
        <v>1175</v>
      </c>
      <c r="K4633" s="143"/>
    </row>
    <row r="4634" spans="1:11">
      <c r="A4634" s="946" t="s">
        <v>28610</v>
      </c>
      <c r="B4634" s="947" t="s">
        <v>1199</v>
      </c>
      <c r="C4634" s="948" t="s">
        <v>1197</v>
      </c>
      <c r="D4634" s="242" t="s">
        <v>393</v>
      </c>
      <c r="E4634" s="949">
        <v>1202</v>
      </c>
      <c r="F4634" s="949">
        <v>1202</v>
      </c>
      <c r="G4634" s="950" t="s">
        <v>16812</v>
      </c>
      <c r="H4634" s="950" t="s">
        <v>558</v>
      </c>
      <c r="I4634" s="951" t="s">
        <v>1198</v>
      </c>
      <c r="J4634" s="947" t="s">
        <v>1199</v>
      </c>
      <c r="K4634" s="143"/>
    </row>
    <row r="4635" spans="1:11">
      <c r="A4635" s="946" t="s">
        <v>28610</v>
      </c>
      <c r="B4635" s="947" t="s">
        <v>1229</v>
      </c>
      <c r="C4635" s="948" t="s">
        <v>1227</v>
      </c>
      <c r="D4635" s="242" t="s">
        <v>28715</v>
      </c>
      <c r="E4635" s="949">
        <v>1204</v>
      </c>
      <c r="F4635" s="949">
        <v>1204</v>
      </c>
      <c r="G4635" s="950" t="s">
        <v>16812</v>
      </c>
      <c r="H4635" s="950" t="s">
        <v>558</v>
      </c>
      <c r="I4635" s="951" t="s">
        <v>1228</v>
      </c>
      <c r="J4635" s="947" t="s">
        <v>1229</v>
      </c>
      <c r="K4635" s="143"/>
    </row>
    <row r="4636" spans="1:11">
      <c r="A4636" s="946" t="s">
        <v>28610</v>
      </c>
      <c r="B4636" s="947" t="s">
        <v>1331</v>
      </c>
      <c r="C4636" s="948" t="s">
        <v>1329</v>
      </c>
      <c r="D4636" s="242" t="s">
        <v>393</v>
      </c>
      <c r="E4636" s="949">
        <v>1202</v>
      </c>
      <c r="F4636" s="949">
        <v>1202</v>
      </c>
      <c r="G4636" s="950" t="s">
        <v>16812</v>
      </c>
      <c r="H4636" s="950" t="s">
        <v>558</v>
      </c>
      <c r="I4636" s="951" t="s">
        <v>1330</v>
      </c>
      <c r="J4636" s="947" t="s">
        <v>1331</v>
      </c>
      <c r="K4636" s="143"/>
    </row>
    <row r="4637" spans="1:11">
      <c r="A4637" s="946" t="s">
        <v>28610</v>
      </c>
      <c r="B4637" s="947" t="s">
        <v>1413</v>
      </c>
      <c r="C4637" s="948" t="s">
        <v>1411</v>
      </c>
      <c r="D4637" s="242" t="s">
        <v>393</v>
      </c>
      <c r="E4637" s="949">
        <v>1202</v>
      </c>
      <c r="F4637" s="949">
        <v>1202</v>
      </c>
      <c r="G4637" s="950" t="s">
        <v>16812</v>
      </c>
      <c r="H4637" s="950" t="s">
        <v>558</v>
      </c>
      <c r="I4637" s="951" t="s">
        <v>1412</v>
      </c>
      <c r="J4637" s="947" t="s">
        <v>1413</v>
      </c>
      <c r="K4637" s="143"/>
    </row>
    <row r="4638" spans="1:11">
      <c r="A4638" s="946" t="s">
        <v>28610</v>
      </c>
      <c r="B4638" s="947" t="s">
        <v>1506</v>
      </c>
      <c r="C4638" s="948" t="s">
        <v>1504</v>
      </c>
      <c r="D4638" s="242" t="s">
        <v>393</v>
      </c>
      <c r="E4638" s="949">
        <v>1202</v>
      </c>
      <c r="F4638" s="949">
        <v>1202</v>
      </c>
      <c r="G4638" s="950" t="s">
        <v>16812</v>
      </c>
      <c r="H4638" s="950" t="s">
        <v>558</v>
      </c>
      <c r="I4638" s="951" t="s">
        <v>1505</v>
      </c>
      <c r="J4638" s="947" t="s">
        <v>1506</v>
      </c>
      <c r="K4638" s="143"/>
    </row>
    <row r="4639" spans="1:11">
      <c r="A4639" s="946" t="s">
        <v>28610</v>
      </c>
      <c r="B4639" s="947" t="s">
        <v>1515</v>
      </c>
      <c r="C4639" s="948" t="s">
        <v>1513</v>
      </c>
      <c r="D4639" s="242" t="s">
        <v>393</v>
      </c>
      <c r="E4639" s="949">
        <v>1202</v>
      </c>
      <c r="F4639" s="949">
        <v>1202</v>
      </c>
      <c r="G4639" s="950" t="s">
        <v>16812</v>
      </c>
      <c r="H4639" s="950" t="s">
        <v>558</v>
      </c>
      <c r="I4639" s="951" t="s">
        <v>1514</v>
      </c>
      <c r="J4639" s="947" t="s">
        <v>1515</v>
      </c>
      <c r="K4639" s="143"/>
    </row>
    <row r="4640" spans="1:11">
      <c r="A4640" s="946" t="s">
        <v>28610</v>
      </c>
      <c r="B4640" s="947" t="s">
        <v>2184</v>
      </c>
      <c r="C4640" s="948" t="s">
        <v>2182</v>
      </c>
      <c r="D4640" s="242" t="s">
        <v>393</v>
      </c>
      <c r="E4640" s="949">
        <v>1202</v>
      </c>
      <c r="F4640" s="949">
        <v>1202</v>
      </c>
      <c r="G4640" s="950" t="s">
        <v>16812</v>
      </c>
      <c r="H4640" s="950" t="s">
        <v>558</v>
      </c>
      <c r="I4640" s="951" t="s">
        <v>2183</v>
      </c>
      <c r="J4640" s="947" t="s">
        <v>2184</v>
      </c>
      <c r="K4640" s="143"/>
    </row>
    <row r="4641" spans="1:11">
      <c r="A4641" s="946" t="s">
        <v>28610</v>
      </c>
      <c r="B4641" s="947" t="s">
        <v>2949</v>
      </c>
      <c r="C4641" s="948" t="s">
        <v>2947</v>
      </c>
      <c r="D4641" s="242" t="s">
        <v>393</v>
      </c>
      <c r="E4641" s="949">
        <v>1202</v>
      </c>
      <c r="F4641" s="949">
        <v>1202</v>
      </c>
      <c r="G4641" s="950" t="s">
        <v>16812</v>
      </c>
      <c r="H4641" s="950" t="s">
        <v>558</v>
      </c>
      <c r="I4641" s="951" t="s">
        <v>2948</v>
      </c>
      <c r="J4641" s="947" t="s">
        <v>2949</v>
      </c>
      <c r="K4641" s="143"/>
    </row>
    <row r="4642" spans="1:11">
      <c r="A4642" s="946" t="s">
        <v>28610</v>
      </c>
      <c r="B4642" s="947" t="s">
        <v>3632</v>
      </c>
      <c r="C4642" s="948" t="s">
        <v>3630</v>
      </c>
      <c r="D4642" s="242" t="s">
        <v>393</v>
      </c>
      <c r="E4642" s="949">
        <v>1202</v>
      </c>
      <c r="F4642" s="949">
        <v>1202</v>
      </c>
      <c r="G4642" s="950" t="s">
        <v>16812</v>
      </c>
      <c r="H4642" s="950" t="s">
        <v>558</v>
      </c>
      <c r="I4642" s="951" t="s">
        <v>3631</v>
      </c>
      <c r="J4642" s="947" t="s">
        <v>3632</v>
      </c>
      <c r="K4642" s="143"/>
    </row>
    <row r="4643" spans="1:11">
      <c r="A4643" s="946" t="s">
        <v>28610</v>
      </c>
      <c r="B4643" s="947" t="s">
        <v>3677</v>
      </c>
      <c r="C4643" s="948" t="s">
        <v>3675</v>
      </c>
      <c r="D4643" s="242" t="s">
        <v>393</v>
      </c>
      <c r="E4643" s="949">
        <v>1202</v>
      </c>
      <c r="F4643" s="949">
        <v>1202</v>
      </c>
      <c r="G4643" s="950" t="s">
        <v>16812</v>
      </c>
      <c r="H4643" s="950" t="s">
        <v>558</v>
      </c>
      <c r="I4643" s="951" t="s">
        <v>3676</v>
      </c>
      <c r="J4643" s="947" t="s">
        <v>3677</v>
      </c>
      <c r="K4643" s="143"/>
    </row>
    <row r="4644" spans="1:11">
      <c r="A4644" s="946" t="s">
        <v>28610</v>
      </c>
      <c r="B4644" s="947" t="s">
        <v>3867</v>
      </c>
      <c r="C4644" s="948" t="s">
        <v>3865</v>
      </c>
      <c r="D4644" s="242" t="s">
        <v>393</v>
      </c>
      <c r="E4644" s="949">
        <v>1202</v>
      </c>
      <c r="F4644" s="949">
        <v>1202</v>
      </c>
      <c r="G4644" s="950" t="s">
        <v>16812</v>
      </c>
      <c r="H4644" s="950" t="s">
        <v>558</v>
      </c>
      <c r="I4644" s="951" t="s">
        <v>3866</v>
      </c>
      <c r="J4644" s="947" t="s">
        <v>3867</v>
      </c>
      <c r="K4644" s="143"/>
    </row>
    <row r="4645" spans="1:11">
      <c r="A4645" s="946" t="s">
        <v>28610</v>
      </c>
      <c r="B4645" s="947" t="s">
        <v>4001</v>
      </c>
      <c r="C4645" s="948" t="s">
        <v>3999</v>
      </c>
      <c r="D4645" s="242" t="s">
        <v>393</v>
      </c>
      <c r="E4645" s="949">
        <v>1202</v>
      </c>
      <c r="F4645" s="949">
        <v>1202</v>
      </c>
      <c r="G4645" s="950" t="s">
        <v>16812</v>
      </c>
      <c r="H4645" s="950" t="s">
        <v>558</v>
      </c>
      <c r="I4645" s="951" t="s">
        <v>4000</v>
      </c>
      <c r="J4645" s="947" t="s">
        <v>4001</v>
      </c>
      <c r="K4645" s="143"/>
    </row>
    <row r="4646" spans="1:11">
      <c r="A4646" s="946" t="s">
        <v>28610</v>
      </c>
      <c r="B4646" s="947" t="s">
        <v>4038</v>
      </c>
      <c r="C4646" s="948" t="s">
        <v>4036</v>
      </c>
      <c r="D4646" s="242" t="s">
        <v>393</v>
      </c>
      <c r="E4646" s="949">
        <v>1202</v>
      </c>
      <c r="F4646" s="949">
        <v>1202</v>
      </c>
      <c r="G4646" s="950" t="s">
        <v>16812</v>
      </c>
      <c r="H4646" s="950" t="s">
        <v>558</v>
      </c>
      <c r="I4646" s="951" t="s">
        <v>4037</v>
      </c>
      <c r="J4646" s="947" t="s">
        <v>4038</v>
      </c>
      <c r="K4646" s="143"/>
    </row>
    <row r="4647" spans="1:11">
      <c r="A4647" s="946" t="s">
        <v>28610</v>
      </c>
      <c r="B4647" s="947" t="s">
        <v>4125</v>
      </c>
      <c r="C4647" s="948" t="s">
        <v>4123</v>
      </c>
      <c r="D4647" s="242" t="s">
        <v>393</v>
      </c>
      <c r="E4647" s="949">
        <v>1202</v>
      </c>
      <c r="F4647" s="949">
        <v>1202</v>
      </c>
      <c r="G4647" s="950" t="s">
        <v>16812</v>
      </c>
      <c r="H4647" s="950" t="s">
        <v>558</v>
      </c>
      <c r="I4647" s="951" t="s">
        <v>4124</v>
      </c>
      <c r="J4647" s="947" t="s">
        <v>4125</v>
      </c>
      <c r="K4647" s="143"/>
    </row>
    <row r="4648" spans="1:11">
      <c r="A4648" s="946" t="s">
        <v>28610</v>
      </c>
      <c r="B4648" s="947" t="s">
        <v>4429</v>
      </c>
      <c r="C4648" s="948" t="s">
        <v>4427</v>
      </c>
      <c r="D4648" s="242" t="s">
        <v>393</v>
      </c>
      <c r="E4648" s="949">
        <v>1202</v>
      </c>
      <c r="F4648" s="949">
        <v>1202</v>
      </c>
      <c r="G4648" s="950" t="s">
        <v>16812</v>
      </c>
      <c r="H4648" s="950" t="s">
        <v>558</v>
      </c>
      <c r="I4648" s="951" t="s">
        <v>4428</v>
      </c>
      <c r="J4648" s="947" t="s">
        <v>4429</v>
      </c>
      <c r="K4648" s="143"/>
    </row>
    <row r="4649" spans="1:11">
      <c r="A4649" s="946" t="s">
        <v>28610</v>
      </c>
      <c r="B4649" s="947" t="s">
        <v>4679</v>
      </c>
      <c r="C4649" s="948" t="s">
        <v>4677</v>
      </c>
      <c r="D4649" s="242" t="s">
        <v>393</v>
      </c>
      <c r="E4649" s="949">
        <v>1202</v>
      </c>
      <c r="F4649" s="949">
        <v>1202</v>
      </c>
      <c r="G4649" s="950" t="s">
        <v>16812</v>
      </c>
      <c r="H4649" s="950" t="s">
        <v>558</v>
      </c>
      <c r="I4649" s="951" t="s">
        <v>4678</v>
      </c>
      <c r="J4649" s="947" t="s">
        <v>4679</v>
      </c>
      <c r="K4649" s="143"/>
    </row>
    <row r="4650" spans="1:11">
      <c r="A4650" s="946" t="s">
        <v>28610</v>
      </c>
      <c r="B4650" s="947" t="s">
        <v>4982</v>
      </c>
      <c r="C4650" s="948" t="s">
        <v>4980</v>
      </c>
      <c r="D4650" s="242" t="s">
        <v>393</v>
      </c>
      <c r="E4650" s="949">
        <v>1202</v>
      </c>
      <c r="F4650" s="949">
        <v>1202</v>
      </c>
      <c r="G4650" s="950" t="s">
        <v>16812</v>
      </c>
      <c r="H4650" s="950" t="s">
        <v>558</v>
      </c>
      <c r="I4650" s="951" t="s">
        <v>4981</v>
      </c>
      <c r="J4650" s="947" t="s">
        <v>4982</v>
      </c>
      <c r="K4650" s="143"/>
    </row>
    <row r="4651" spans="1:11">
      <c r="A4651" s="946" t="s">
        <v>28610</v>
      </c>
      <c r="B4651" s="947" t="s">
        <v>4994</v>
      </c>
      <c r="C4651" s="948" t="s">
        <v>4992</v>
      </c>
      <c r="D4651" s="242" t="s">
        <v>393</v>
      </c>
      <c r="E4651" s="949">
        <v>1202</v>
      </c>
      <c r="F4651" s="949">
        <v>1202</v>
      </c>
      <c r="G4651" s="950" t="s">
        <v>16812</v>
      </c>
      <c r="H4651" s="950" t="s">
        <v>558</v>
      </c>
      <c r="I4651" s="951" t="s">
        <v>4993</v>
      </c>
      <c r="J4651" s="947" t="s">
        <v>4994</v>
      </c>
      <c r="K4651" s="143"/>
    </row>
    <row r="4652" spans="1:11">
      <c r="A4652" s="946" t="s">
        <v>28610</v>
      </c>
      <c r="B4652" s="947" t="s">
        <v>5368</v>
      </c>
      <c r="C4652" s="948" t="s">
        <v>5366</v>
      </c>
      <c r="D4652" s="242" t="s">
        <v>393</v>
      </c>
      <c r="E4652" s="949">
        <v>1202</v>
      </c>
      <c r="F4652" s="949">
        <v>1202</v>
      </c>
      <c r="G4652" s="950" t="s">
        <v>16812</v>
      </c>
      <c r="H4652" s="950" t="s">
        <v>558</v>
      </c>
      <c r="I4652" s="951" t="s">
        <v>5367</v>
      </c>
      <c r="J4652" s="947" t="s">
        <v>5368</v>
      </c>
      <c r="K4652" s="143"/>
    </row>
    <row r="4653" spans="1:11">
      <c r="A4653" s="946" t="s">
        <v>28610</v>
      </c>
      <c r="B4653" s="947" t="s">
        <v>5027</v>
      </c>
      <c r="C4653" s="948" t="s">
        <v>5025</v>
      </c>
      <c r="D4653" s="242" t="s">
        <v>393</v>
      </c>
      <c r="E4653" s="949">
        <v>1202</v>
      </c>
      <c r="F4653" s="949">
        <v>1202</v>
      </c>
      <c r="G4653" s="950" t="s">
        <v>16812</v>
      </c>
      <c r="H4653" s="950" t="s">
        <v>558</v>
      </c>
      <c r="I4653" s="951" t="s">
        <v>5026</v>
      </c>
      <c r="J4653" s="947" t="s">
        <v>5027</v>
      </c>
      <c r="K4653" s="143"/>
    </row>
    <row r="4654" spans="1:11">
      <c r="A4654" s="946" t="s">
        <v>28610</v>
      </c>
      <c r="B4654" s="947" t="s">
        <v>5704</v>
      </c>
      <c r="C4654" s="948" t="s">
        <v>5702</v>
      </c>
      <c r="D4654" s="242" t="s">
        <v>393</v>
      </c>
      <c r="E4654" s="949">
        <v>1202</v>
      </c>
      <c r="F4654" s="949">
        <v>1202</v>
      </c>
      <c r="G4654" s="950" t="s">
        <v>16812</v>
      </c>
      <c r="H4654" s="950" t="s">
        <v>558</v>
      </c>
      <c r="I4654" s="951" t="s">
        <v>5703</v>
      </c>
      <c r="J4654" s="947" t="s">
        <v>5704</v>
      </c>
      <c r="K4654" s="143"/>
    </row>
    <row r="4655" spans="1:11">
      <c r="A4655" s="946" t="s">
        <v>28610</v>
      </c>
      <c r="B4655" s="947" t="s">
        <v>6010</v>
      </c>
      <c r="C4655" s="948" t="s">
        <v>6008</v>
      </c>
      <c r="D4655" s="242" t="s">
        <v>393</v>
      </c>
      <c r="E4655" s="949">
        <v>1202</v>
      </c>
      <c r="F4655" s="949">
        <v>1202</v>
      </c>
      <c r="G4655" s="950" t="s">
        <v>16812</v>
      </c>
      <c r="H4655" s="950" t="s">
        <v>558</v>
      </c>
      <c r="I4655" s="951" t="s">
        <v>6009</v>
      </c>
      <c r="J4655" s="947" t="s">
        <v>6010</v>
      </c>
      <c r="K4655" s="143"/>
    </row>
    <row r="4656" spans="1:11">
      <c r="A4656" s="946" t="s">
        <v>28610</v>
      </c>
      <c r="B4656" s="947" t="s">
        <v>6052</v>
      </c>
      <c r="C4656" s="948" t="s">
        <v>6050</v>
      </c>
      <c r="D4656" s="242" t="s">
        <v>393</v>
      </c>
      <c r="E4656" s="949">
        <v>1202</v>
      </c>
      <c r="F4656" s="949">
        <v>1202</v>
      </c>
      <c r="G4656" s="950" t="s">
        <v>16812</v>
      </c>
      <c r="H4656" s="950" t="s">
        <v>558</v>
      </c>
      <c r="I4656" s="951" t="s">
        <v>6051</v>
      </c>
      <c r="J4656" s="947" t="s">
        <v>6052</v>
      </c>
      <c r="K4656" s="143"/>
    </row>
    <row r="4657" spans="1:11">
      <c r="A4657" s="946" t="s">
        <v>28610</v>
      </c>
      <c r="B4657" s="947" t="s">
        <v>6076</v>
      </c>
      <c r="C4657" s="948" t="s">
        <v>6074</v>
      </c>
      <c r="D4657" s="242" t="s">
        <v>393</v>
      </c>
      <c r="E4657" s="949">
        <v>1202</v>
      </c>
      <c r="F4657" s="949">
        <v>1202</v>
      </c>
      <c r="G4657" s="950" t="s">
        <v>16812</v>
      </c>
      <c r="H4657" s="950" t="s">
        <v>558</v>
      </c>
      <c r="I4657" s="951" t="s">
        <v>6075</v>
      </c>
      <c r="J4657" s="947" t="s">
        <v>6076</v>
      </c>
      <c r="K4657" s="143"/>
    </row>
    <row r="4658" spans="1:11">
      <c r="A4658" s="946" t="s">
        <v>28610</v>
      </c>
      <c r="B4658" s="947" t="s">
        <v>6359</v>
      </c>
      <c r="C4658" s="948" t="s">
        <v>6357</v>
      </c>
      <c r="D4658" s="242" t="s">
        <v>393</v>
      </c>
      <c r="E4658" s="949">
        <v>1202</v>
      </c>
      <c r="F4658" s="949">
        <v>1202</v>
      </c>
      <c r="G4658" s="950" t="s">
        <v>16812</v>
      </c>
      <c r="H4658" s="950" t="s">
        <v>558</v>
      </c>
      <c r="I4658" s="951" t="s">
        <v>6358</v>
      </c>
      <c r="J4658" s="947" t="s">
        <v>6359</v>
      </c>
      <c r="K4658" s="143"/>
    </row>
    <row r="4659" spans="1:11">
      <c r="A4659" s="946" t="s">
        <v>28610</v>
      </c>
      <c r="B4659" s="947" t="s">
        <v>6407</v>
      </c>
      <c r="C4659" s="948" t="s">
        <v>6405</v>
      </c>
      <c r="D4659" s="242" t="s">
        <v>393</v>
      </c>
      <c r="E4659" s="949">
        <v>1202</v>
      </c>
      <c r="F4659" s="949">
        <v>1202</v>
      </c>
      <c r="G4659" s="950" t="s">
        <v>16812</v>
      </c>
      <c r="H4659" s="950" t="s">
        <v>558</v>
      </c>
      <c r="I4659" s="951" t="s">
        <v>6406</v>
      </c>
      <c r="J4659" s="947" t="s">
        <v>6407</v>
      </c>
      <c r="K4659" s="143"/>
    </row>
    <row r="4660" spans="1:11">
      <c r="A4660" s="946" t="s">
        <v>28610</v>
      </c>
      <c r="B4660" s="947" t="s">
        <v>6573</v>
      </c>
      <c r="C4660" s="948" t="s">
        <v>6571</v>
      </c>
      <c r="D4660" s="242" t="s">
        <v>393</v>
      </c>
      <c r="E4660" s="949">
        <v>1202</v>
      </c>
      <c r="F4660" s="949">
        <v>1202</v>
      </c>
      <c r="G4660" s="950" t="s">
        <v>16812</v>
      </c>
      <c r="H4660" s="950" t="s">
        <v>558</v>
      </c>
      <c r="I4660" s="951" t="s">
        <v>6572</v>
      </c>
      <c r="J4660" s="947" t="s">
        <v>6573</v>
      </c>
      <c r="K4660" s="143"/>
    </row>
    <row r="4661" spans="1:11">
      <c r="A4661" s="946" t="s">
        <v>28610</v>
      </c>
      <c r="B4661" s="947" t="s">
        <v>6603</v>
      </c>
      <c r="C4661" s="948" t="s">
        <v>6601</v>
      </c>
      <c r="D4661" s="242" t="s">
        <v>393</v>
      </c>
      <c r="E4661" s="949">
        <v>1202</v>
      </c>
      <c r="F4661" s="949">
        <v>1202</v>
      </c>
      <c r="G4661" s="950" t="s">
        <v>16812</v>
      </c>
      <c r="H4661" s="950" t="s">
        <v>558</v>
      </c>
      <c r="I4661" s="951" t="s">
        <v>6602</v>
      </c>
      <c r="J4661" s="947" t="s">
        <v>6603</v>
      </c>
      <c r="K4661" s="143"/>
    </row>
    <row r="4662" spans="1:11">
      <c r="A4662" s="946" t="s">
        <v>28610</v>
      </c>
      <c r="B4662" s="947" t="s">
        <v>6760</v>
      </c>
      <c r="C4662" s="948" t="s">
        <v>6758</v>
      </c>
      <c r="D4662" s="242" t="s">
        <v>393</v>
      </c>
      <c r="E4662" s="949">
        <v>1202</v>
      </c>
      <c r="F4662" s="949">
        <v>1202</v>
      </c>
      <c r="G4662" s="950" t="s">
        <v>16812</v>
      </c>
      <c r="H4662" s="950" t="s">
        <v>558</v>
      </c>
      <c r="I4662" s="951" t="s">
        <v>6759</v>
      </c>
      <c r="J4662" s="947" t="s">
        <v>6760</v>
      </c>
      <c r="K4662" s="143"/>
    </row>
    <row r="4663" spans="1:11">
      <c r="A4663" s="946" t="s">
        <v>28610</v>
      </c>
      <c r="B4663" s="947" t="s">
        <v>6842</v>
      </c>
      <c r="C4663" s="948" t="s">
        <v>6840</v>
      </c>
      <c r="D4663" s="242" t="s">
        <v>393</v>
      </c>
      <c r="E4663" s="949">
        <v>1202</v>
      </c>
      <c r="F4663" s="949">
        <v>1202</v>
      </c>
      <c r="G4663" s="950" t="s">
        <v>16812</v>
      </c>
      <c r="H4663" s="950" t="s">
        <v>558</v>
      </c>
      <c r="I4663" s="951" t="s">
        <v>6841</v>
      </c>
      <c r="J4663" s="947" t="s">
        <v>6842</v>
      </c>
      <c r="K4663" s="143"/>
    </row>
    <row r="4664" spans="1:11">
      <c r="A4664" s="946" t="s">
        <v>28610</v>
      </c>
      <c r="B4664" s="947" t="s">
        <v>8180</v>
      </c>
      <c r="C4664" s="948" t="s">
        <v>8178</v>
      </c>
      <c r="D4664" s="242" t="s">
        <v>393</v>
      </c>
      <c r="E4664" s="949">
        <v>1202</v>
      </c>
      <c r="F4664" s="949">
        <v>1202</v>
      </c>
      <c r="G4664" s="950" t="s">
        <v>16812</v>
      </c>
      <c r="H4664" s="950" t="s">
        <v>558</v>
      </c>
      <c r="I4664" s="951" t="s">
        <v>8179</v>
      </c>
      <c r="J4664" s="947" t="s">
        <v>8180</v>
      </c>
      <c r="K4664" s="143"/>
    </row>
    <row r="4665" spans="1:11">
      <c r="A4665" s="946" t="s">
        <v>28610</v>
      </c>
      <c r="B4665" s="947" t="s">
        <v>8229</v>
      </c>
      <c r="C4665" s="948" t="s">
        <v>8227</v>
      </c>
      <c r="D4665" s="242" t="s">
        <v>393</v>
      </c>
      <c r="E4665" s="949">
        <v>1202</v>
      </c>
      <c r="F4665" s="949">
        <v>1202</v>
      </c>
      <c r="G4665" s="950" t="s">
        <v>16812</v>
      </c>
      <c r="H4665" s="950" t="s">
        <v>558</v>
      </c>
      <c r="I4665" s="951" t="s">
        <v>8228</v>
      </c>
      <c r="J4665" s="947" t="s">
        <v>8229</v>
      </c>
      <c r="K4665" s="143"/>
    </row>
    <row r="4666" spans="1:11">
      <c r="A4666" s="946" t="s">
        <v>28610</v>
      </c>
      <c r="B4666" s="947" t="s">
        <v>8499</v>
      </c>
      <c r="C4666" s="948" t="s">
        <v>8497</v>
      </c>
      <c r="D4666" s="242" t="s">
        <v>393</v>
      </c>
      <c r="E4666" s="949">
        <v>1202</v>
      </c>
      <c r="F4666" s="949">
        <v>1202</v>
      </c>
      <c r="G4666" s="950" t="s">
        <v>16812</v>
      </c>
      <c r="H4666" s="950" t="s">
        <v>558</v>
      </c>
      <c r="I4666" s="951" t="s">
        <v>8498</v>
      </c>
      <c r="J4666" s="947" t="s">
        <v>8499</v>
      </c>
      <c r="K4666" s="143"/>
    </row>
    <row r="4667" spans="1:11">
      <c r="A4667" s="946" t="s">
        <v>28610</v>
      </c>
      <c r="B4667" s="947" t="s">
        <v>8650</v>
      </c>
      <c r="C4667" s="948" t="s">
        <v>8648</v>
      </c>
      <c r="D4667" s="242" t="s">
        <v>393</v>
      </c>
      <c r="E4667" s="949">
        <v>1202</v>
      </c>
      <c r="F4667" s="949">
        <v>1202</v>
      </c>
      <c r="G4667" s="950" t="s">
        <v>16812</v>
      </c>
      <c r="H4667" s="950" t="s">
        <v>558</v>
      </c>
      <c r="I4667" s="951" t="s">
        <v>8649</v>
      </c>
      <c r="J4667" s="947" t="s">
        <v>8650</v>
      </c>
      <c r="K4667" s="143"/>
    </row>
    <row r="4668" spans="1:11">
      <c r="A4668" s="946" t="s">
        <v>28610</v>
      </c>
      <c r="B4668" s="947" t="s">
        <v>8885</v>
      </c>
      <c r="C4668" s="948" t="s">
        <v>8883</v>
      </c>
      <c r="D4668" s="242" t="s">
        <v>393</v>
      </c>
      <c r="E4668" s="949">
        <v>1202</v>
      </c>
      <c r="F4668" s="949">
        <v>1202</v>
      </c>
      <c r="G4668" s="950" t="s">
        <v>16812</v>
      </c>
      <c r="H4668" s="950" t="s">
        <v>558</v>
      </c>
      <c r="I4668" s="951" t="s">
        <v>8884</v>
      </c>
      <c r="J4668" s="947" t="s">
        <v>8885</v>
      </c>
      <c r="K4668" s="143"/>
    </row>
    <row r="4669" spans="1:11">
      <c r="A4669" s="946" t="s">
        <v>28610</v>
      </c>
      <c r="B4669" s="947" t="s">
        <v>9041</v>
      </c>
      <c r="C4669" s="948" t="s">
        <v>9039</v>
      </c>
      <c r="D4669" s="242" t="s">
        <v>393</v>
      </c>
      <c r="E4669" s="949">
        <v>1202</v>
      </c>
      <c r="F4669" s="949">
        <v>1202</v>
      </c>
      <c r="G4669" s="950" t="s">
        <v>16812</v>
      </c>
      <c r="H4669" s="950" t="s">
        <v>558</v>
      </c>
      <c r="I4669" s="951" t="s">
        <v>9040</v>
      </c>
      <c r="J4669" s="947" t="s">
        <v>9041</v>
      </c>
      <c r="K4669" s="143"/>
    </row>
    <row r="4670" spans="1:11">
      <c r="A4670" s="946" t="s">
        <v>28610</v>
      </c>
      <c r="B4670" s="947" t="s">
        <v>9085</v>
      </c>
      <c r="C4670" s="948" t="s">
        <v>9083</v>
      </c>
      <c r="D4670" s="242" t="s">
        <v>393</v>
      </c>
      <c r="E4670" s="949">
        <v>1202</v>
      </c>
      <c r="F4670" s="949">
        <v>1202</v>
      </c>
      <c r="G4670" s="950" t="s">
        <v>16812</v>
      </c>
      <c r="H4670" s="950" t="s">
        <v>558</v>
      </c>
      <c r="I4670" s="951" t="s">
        <v>9084</v>
      </c>
      <c r="J4670" s="947" t="s">
        <v>9085</v>
      </c>
      <c r="K4670" s="143"/>
    </row>
    <row r="4671" spans="1:11">
      <c r="A4671" s="946" t="s">
        <v>28610</v>
      </c>
      <c r="B4671" s="947" t="s">
        <v>9105</v>
      </c>
      <c r="C4671" s="948" t="s">
        <v>9103</v>
      </c>
      <c r="D4671" s="242" t="s">
        <v>393</v>
      </c>
      <c r="E4671" s="949">
        <v>1202</v>
      </c>
      <c r="F4671" s="949">
        <v>1202</v>
      </c>
      <c r="G4671" s="950" t="s">
        <v>16812</v>
      </c>
      <c r="H4671" s="950" t="s">
        <v>558</v>
      </c>
      <c r="I4671" s="951" t="s">
        <v>9104</v>
      </c>
      <c r="J4671" s="947" t="s">
        <v>9105</v>
      </c>
      <c r="K4671" s="143"/>
    </row>
    <row r="4672" spans="1:11">
      <c r="A4672" s="946" t="s">
        <v>28610</v>
      </c>
      <c r="B4672" s="947" t="s">
        <v>9117</v>
      </c>
      <c r="C4672" s="948" t="s">
        <v>9115</v>
      </c>
      <c r="D4672" s="242" t="s">
        <v>393</v>
      </c>
      <c r="E4672" s="949">
        <v>1202</v>
      </c>
      <c r="F4672" s="949">
        <v>1202</v>
      </c>
      <c r="G4672" s="950" t="s">
        <v>16812</v>
      </c>
      <c r="H4672" s="950" t="s">
        <v>558</v>
      </c>
      <c r="I4672" s="951" t="s">
        <v>9116</v>
      </c>
      <c r="J4672" s="947" t="s">
        <v>9117</v>
      </c>
      <c r="K4672" s="143"/>
    </row>
    <row r="4673" spans="1:11">
      <c r="A4673" s="946" t="s">
        <v>28610</v>
      </c>
      <c r="B4673" s="947" t="s">
        <v>9364</v>
      </c>
      <c r="C4673" s="948" t="s">
        <v>9362</v>
      </c>
      <c r="D4673" s="242" t="s">
        <v>393</v>
      </c>
      <c r="E4673" s="949">
        <v>1202</v>
      </c>
      <c r="F4673" s="949">
        <v>1202</v>
      </c>
      <c r="G4673" s="950" t="s">
        <v>16812</v>
      </c>
      <c r="H4673" s="950" t="s">
        <v>558</v>
      </c>
      <c r="I4673" s="951" t="s">
        <v>9363</v>
      </c>
      <c r="J4673" s="947" t="s">
        <v>9364</v>
      </c>
      <c r="K4673" s="143"/>
    </row>
    <row r="4674" spans="1:11">
      <c r="A4674" s="946" t="s">
        <v>28610</v>
      </c>
      <c r="B4674" s="947" t="s">
        <v>9606</v>
      </c>
      <c r="C4674" s="948" t="s">
        <v>9604</v>
      </c>
      <c r="D4674" s="242" t="s">
        <v>393</v>
      </c>
      <c r="E4674" s="949">
        <v>1202</v>
      </c>
      <c r="F4674" s="949">
        <v>1202</v>
      </c>
      <c r="G4674" s="950" t="s">
        <v>16812</v>
      </c>
      <c r="H4674" s="950" t="s">
        <v>558</v>
      </c>
      <c r="I4674" s="951" t="s">
        <v>9605</v>
      </c>
      <c r="J4674" s="947" t="s">
        <v>9606</v>
      </c>
      <c r="K4674" s="143"/>
    </row>
    <row r="4675" spans="1:11">
      <c r="A4675" s="946" t="s">
        <v>28610</v>
      </c>
      <c r="B4675" s="947" t="s">
        <v>9745</v>
      </c>
      <c r="C4675" s="948" t="s">
        <v>9743</v>
      </c>
      <c r="D4675" s="242" t="s">
        <v>393</v>
      </c>
      <c r="E4675" s="949">
        <v>1202</v>
      </c>
      <c r="F4675" s="949">
        <v>1202</v>
      </c>
      <c r="G4675" s="950" t="s">
        <v>16812</v>
      </c>
      <c r="H4675" s="950" t="s">
        <v>558</v>
      </c>
      <c r="I4675" s="951" t="s">
        <v>9744</v>
      </c>
      <c r="J4675" s="947" t="s">
        <v>9745</v>
      </c>
      <c r="K4675" s="143"/>
    </row>
    <row r="4676" spans="1:11">
      <c r="A4676" s="946" t="s">
        <v>28610</v>
      </c>
      <c r="B4676" s="947" t="s">
        <v>9971</v>
      </c>
      <c r="C4676" s="948" t="s">
        <v>9969</v>
      </c>
      <c r="D4676" s="242" t="s">
        <v>393</v>
      </c>
      <c r="E4676" s="949">
        <v>1202</v>
      </c>
      <c r="F4676" s="949">
        <v>1202</v>
      </c>
      <c r="G4676" s="950" t="s">
        <v>16812</v>
      </c>
      <c r="H4676" s="950" t="s">
        <v>558</v>
      </c>
      <c r="I4676" s="951" t="s">
        <v>9970</v>
      </c>
      <c r="J4676" s="947" t="s">
        <v>9971</v>
      </c>
      <c r="K4676" s="143"/>
    </row>
    <row r="4677" spans="1:11">
      <c r="A4677" s="946" t="s">
        <v>28610</v>
      </c>
      <c r="B4677" s="947" t="s">
        <v>10019</v>
      </c>
      <c r="C4677" s="948" t="s">
        <v>10017</v>
      </c>
      <c r="D4677" s="242" t="s">
        <v>393</v>
      </c>
      <c r="E4677" s="949">
        <v>1202</v>
      </c>
      <c r="F4677" s="949">
        <v>1202</v>
      </c>
      <c r="G4677" s="950" t="s">
        <v>16812</v>
      </c>
      <c r="H4677" s="950" t="s">
        <v>558</v>
      </c>
      <c r="I4677" s="951" t="s">
        <v>10018</v>
      </c>
      <c r="J4677" s="947" t="s">
        <v>10019</v>
      </c>
      <c r="K4677" s="143"/>
    </row>
    <row r="4678" spans="1:11">
      <c r="A4678" s="946" t="s">
        <v>28610</v>
      </c>
      <c r="B4678" s="947" t="s">
        <v>10128</v>
      </c>
      <c r="C4678" s="948" t="s">
        <v>10126</v>
      </c>
      <c r="D4678" s="242" t="s">
        <v>393</v>
      </c>
      <c r="E4678" s="949">
        <v>1202</v>
      </c>
      <c r="F4678" s="949">
        <v>1202</v>
      </c>
      <c r="G4678" s="950" t="s">
        <v>16812</v>
      </c>
      <c r="H4678" s="950" t="s">
        <v>558</v>
      </c>
      <c r="I4678" s="951" t="s">
        <v>10127</v>
      </c>
      <c r="J4678" s="947" t="s">
        <v>10128</v>
      </c>
      <c r="K4678" s="143"/>
    </row>
    <row r="4679" spans="1:11">
      <c r="A4679" s="946" t="s">
        <v>28610</v>
      </c>
      <c r="B4679" s="947" t="s">
        <v>10411</v>
      </c>
      <c r="C4679" s="948" t="s">
        <v>10409</v>
      </c>
      <c r="D4679" s="242" t="s">
        <v>393</v>
      </c>
      <c r="E4679" s="949">
        <v>1202</v>
      </c>
      <c r="F4679" s="949">
        <v>1202</v>
      </c>
      <c r="G4679" s="950" t="s">
        <v>16812</v>
      </c>
      <c r="H4679" s="950" t="s">
        <v>558</v>
      </c>
      <c r="I4679" s="951" t="s">
        <v>10410</v>
      </c>
      <c r="J4679" s="947" t="s">
        <v>10411</v>
      </c>
      <c r="K4679" s="143"/>
    </row>
    <row r="4680" spans="1:11">
      <c r="A4680" s="946" t="s">
        <v>28610</v>
      </c>
      <c r="B4680" s="947" t="s">
        <v>10890</v>
      </c>
      <c r="C4680" s="948" t="s">
        <v>10888</v>
      </c>
      <c r="D4680" s="242" t="s">
        <v>28716</v>
      </c>
      <c r="E4680" s="949">
        <v>1201</v>
      </c>
      <c r="F4680" s="949">
        <v>1201</v>
      </c>
      <c r="G4680" s="950" t="s">
        <v>16812</v>
      </c>
      <c r="H4680" s="950" t="s">
        <v>558</v>
      </c>
      <c r="I4680" s="951" t="s">
        <v>10889</v>
      </c>
      <c r="J4680" s="947" t="s">
        <v>10890</v>
      </c>
      <c r="K4680" s="143"/>
    </row>
    <row r="4681" spans="1:11">
      <c r="A4681" s="946" t="s">
        <v>28610</v>
      </c>
      <c r="B4681" s="947" t="s">
        <v>11027</v>
      </c>
      <c r="C4681" s="948" t="s">
        <v>11025</v>
      </c>
      <c r="D4681" s="242" t="s">
        <v>393</v>
      </c>
      <c r="E4681" s="949">
        <v>1202</v>
      </c>
      <c r="F4681" s="949">
        <v>1202</v>
      </c>
      <c r="G4681" s="950" t="s">
        <v>16812</v>
      </c>
      <c r="H4681" s="950" t="s">
        <v>558</v>
      </c>
      <c r="I4681" s="951" t="s">
        <v>11026</v>
      </c>
      <c r="J4681" s="947" t="s">
        <v>11027</v>
      </c>
      <c r="K4681" s="143"/>
    </row>
    <row r="4682" spans="1:11">
      <c r="A4682" s="946" t="s">
        <v>28610</v>
      </c>
      <c r="B4682" s="947" t="s">
        <v>11081</v>
      </c>
      <c r="C4682" s="948" t="s">
        <v>11079</v>
      </c>
      <c r="D4682" s="242" t="s">
        <v>393</v>
      </c>
      <c r="E4682" s="949">
        <v>1202</v>
      </c>
      <c r="F4682" s="949">
        <v>1202</v>
      </c>
      <c r="G4682" s="950" t="s">
        <v>16812</v>
      </c>
      <c r="H4682" s="950" t="s">
        <v>558</v>
      </c>
      <c r="I4682" s="951" t="s">
        <v>11080</v>
      </c>
      <c r="J4682" s="947" t="s">
        <v>11081</v>
      </c>
      <c r="K4682" s="143"/>
    </row>
    <row r="4683" spans="1:11">
      <c r="A4683" s="946" t="s">
        <v>28610</v>
      </c>
      <c r="B4683" s="947" t="s">
        <v>11104</v>
      </c>
      <c r="C4683" s="948" t="s">
        <v>11102</v>
      </c>
      <c r="D4683" s="242" t="s">
        <v>393</v>
      </c>
      <c r="E4683" s="949">
        <v>1202</v>
      </c>
      <c r="F4683" s="949">
        <v>1202</v>
      </c>
      <c r="G4683" s="950" t="s">
        <v>16812</v>
      </c>
      <c r="H4683" s="950" t="s">
        <v>558</v>
      </c>
      <c r="I4683" s="951" t="s">
        <v>11103</v>
      </c>
      <c r="J4683" s="947" t="s">
        <v>11104</v>
      </c>
      <c r="K4683" s="143"/>
    </row>
    <row r="4684" spans="1:11">
      <c r="A4684" s="946" t="s">
        <v>28610</v>
      </c>
      <c r="B4684" s="947" t="s">
        <v>11140</v>
      </c>
      <c r="C4684" s="948" t="s">
        <v>11138</v>
      </c>
      <c r="D4684" s="242" t="s">
        <v>393</v>
      </c>
      <c r="E4684" s="949">
        <v>1202</v>
      </c>
      <c r="F4684" s="949">
        <v>1202</v>
      </c>
      <c r="G4684" s="950" t="s">
        <v>16812</v>
      </c>
      <c r="H4684" s="950" t="s">
        <v>558</v>
      </c>
      <c r="I4684" s="951" t="s">
        <v>11139</v>
      </c>
      <c r="J4684" s="947" t="s">
        <v>11140</v>
      </c>
      <c r="K4684" s="143"/>
    </row>
    <row r="4685" spans="1:11">
      <c r="A4685" s="946" t="s">
        <v>28610</v>
      </c>
      <c r="B4685" s="947" t="s">
        <v>11218</v>
      </c>
      <c r="C4685" s="948" t="s">
        <v>11216</v>
      </c>
      <c r="D4685" s="242" t="s">
        <v>393</v>
      </c>
      <c r="E4685" s="949">
        <v>1202</v>
      </c>
      <c r="F4685" s="949">
        <v>1202</v>
      </c>
      <c r="G4685" s="950" t="s">
        <v>16812</v>
      </c>
      <c r="H4685" s="950" t="s">
        <v>558</v>
      </c>
      <c r="I4685" s="951" t="s">
        <v>11217</v>
      </c>
      <c r="J4685" s="947" t="s">
        <v>11218</v>
      </c>
      <c r="K4685" s="143"/>
    </row>
    <row r="4686" spans="1:11">
      <c r="A4686" s="946" t="s">
        <v>28610</v>
      </c>
      <c r="B4686" s="947" t="s">
        <v>11461</v>
      </c>
      <c r="C4686" s="948" t="s">
        <v>11459</v>
      </c>
      <c r="D4686" s="242" t="s">
        <v>28716</v>
      </c>
      <c r="E4686" s="949">
        <v>1201</v>
      </c>
      <c r="F4686" s="949">
        <v>1201</v>
      </c>
      <c r="G4686" s="950" t="s">
        <v>16812</v>
      </c>
      <c r="H4686" s="950" t="s">
        <v>558</v>
      </c>
      <c r="I4686" s="951" t="s">
        <v>11460</v>
      </c>
      <c r="J4686" s="947" t="s">
        <v>11461</v>
      </c>
      <c r="K4686" s="143"/>
    </row>
    <row r="4687" spans="1:11">
      <c r="A4687" s="946" t="s">
        <v>28610</v>
      </c>
      <c r="B4687" s="947" t="s">
        <v>11603</v>
      </c>
      <c r="C4687" s="948" t="s">
        <v>11601</v>
      </c>
      <c r="D4687" s="242" t="s">
        <v>393</v>
      </c>
      <c r="E4687" s="949">
        <v>1202</v>
      </c>
      <c r="F4687" s="949">
        <v>1202</v>
      </c>
      <c r="G4687" s="950" t="s">
        <v>16812</v>
      </c>
      <c r="H4687" s="950" t="s">
        <v>558</v>
      </c>
      <c r="I4687" s="951" t="s">
        <v>11602</v>
      </c>
      <c r="J4687" s="947" t="s">
        <v>11603</v>
      </c>
      <c r="K4687" s="143"/>
    </row>
    <row r="4688" spans="1:11">
      <c r="A4688" s="946" t="s">
        <v>28610</v>
      </c>
      <c r="B4688" s="947" t="s">
        <v>12277</v>
      </c>
      <c r="C4688" s="948" t="s">
        <v>12275</v>
      </c>
      <c r="D4688" s="242" t="s">
        <v>393</v>
      </c>
      <c r="E4688" s="949">
        <v>1202</v>
      </c>
      <c r="F4688" s="949">
        <v>1202</v>
      </c>
      <c r="G4688" s="950" t="s">
        <v>16812</v>
      </c>
      <c r="H4688" s="950" t="s">
        <v>558</v>
      </c>
      <c r="I4688" s="951" t="s">
        <v>12276</v>
      </c>
      <c r="J4688" s="947" t="s">
        <v>12277</v>
      </c>
      <c r="K4688" s="143"/>
    </row>
    <row r="4689" spans="1:11">
      <c r="A4689" s="946" t="s">
        <v>28610</v>
      </c>
      <c r="B4689" s="947" t="s">
        <v>12496</v>
      </c>
      <c r="C4689" s="948" t="s">
        <v>12494</v>
      </c>
      <c r="D4689" s="242" t="s">
        <v>28717</v>
      </c>
      <c r="E4689" s="949">
        <v>1203</v>
      </c>
      <c r="F4689" s="949">
        <v>1203</v>
      </c>
      <c r="G4689" s="950" t="s">
        <v>16812</v>
      </c>
      <c r="H4689" s="950" t="s">
        <v>558</v>
      </c>
      <c r="I4689" s="951" t="s">
        <v>12495</v>
      </c>
      <c r="J4689" s="947" t="s">
        <v>12496</v>
      </c>
      <c r="K4689" s="143"/>
    </row>
    <row r="4690" spans="1:11">
      <c r="A4690" s="946" t="s">
        <v>28610</v>
      </c>
      <c r="B4690" s="1579" t="s">
        <v>12562</v>
      </c>
      <c r="C4690" s="1580" t="s">
        <v>12560</v>
      </c>
      <c r="D4690" s="242" t="s">
        <v>393</v>
      </c>
      <c r="E4690" s="949">
        <v>1202</v>
      </c>
      <c r="F4690" s="949">
        <v>1202</v>
      </c>
      <c r="G4690" s="950" t="s">
        <v>16812</v>
      </c>
      <c r="H4690" s="950" t="s">
        <v>558</v>
      </c>
      <c r="I4690" s="1581" t="s">
        <v>12561</v>
      </c>
      <c r="J4690" s="1579" t="s">
        <v>12562</v>
      </c>
      <c r="K4690" s="143"/>
    </row>
    <row r="4691" spans="1:11">
      <c r="A4691" s="946" t="s">
        <v>28610</v>
      </c>
      <c r="B4691" s="947" t="s">
        <v>12587</v>
      </c>
      <c r="C4691" s="948" t="s">
        <v>12585</v>
      </c>
      <c r="D4691" s="242" t="s">
        <v>28717</v>
      </c>
      <c r="E4691" s="949">
        <v>1203</v>
      </c>
      <c r="F4691" s="949">
        <v>1203</v>
      </c>
      <c r="G4691" s="950" t="s">
        <v>16812</v>
      </c>
      <c r="H4691" s="950" t="s">
        <v>558</v>
      </c>
      <c r="I4691" s="951" t="s">
        <v>12586</v>
      </c>
      <c r="J4691" s="947" t="s">
        <v>12587</v>
      </c>
      <c r="K4691" s="143"/>
    </row>
    <row r="4692" spans="1:11">
      <c r="A4692" s="946" t="s">
        <v>28610</v>
      </c>
      <c r="B4692" s="947" t="s">
        <v>12303</v>
      </c>
      <c r="C4692" s="948" t="s">
        <v>12301</v>
      </c>
      <c r="D4692" s="242" t="s">
        <v>393</v>
      </c>
      <c r="E4692" s="949">
        <v>1202</v>
      </c>
      <c r="F4692" s="949">
        <v>1202</v>
      </c>
      <c r="G4692" s="950" t="s">
        <v>16812</v>
      </c>
      <c r="H4692" s="950" t="s">
        <v>558</v>
      </c>
      <c r="I4692" s="951" t="s">
        <v>12302</v>
      </c>
      <c r="J4692" s="947" t="s">
        <v>12303</v>
      </c>
      <c r="K4692" s="143"/>
    </row>
    <row r="4693" spans="1:11">
      <c r="A4693" s="946" t="s">
        <v>28610</v>
      </c>
      <c r="B4693" s="947" t="s">
        <v>12720</v>
      </c>
      <c r="C4693" s="948" t="s">
        <v>12718</v>
      </c>
      <c r="D4693" s="242" t="s">
        <v>393</v>
      </c>
      <c r="E4693" s="949">
        <v>1202</v>
      </c>
      <c r="F4693" s="949">
        <v>1202</v>
      </c>
      <c r="G4693" s="950" t="s">
        <v>16812</v>
      </c>
      <c r="H4693" s="950" t="s">
        <v>558</v>
      </c>
      <c r="I4693" s="951" t="s">
        <v>12719</v>
      </c>
      <c r="J4693" s="947" t="s">
        <v>12720</v>
      </c>
      <c r="K4693" s="143"/>
    </row>
    <row r="4694" spans="1:11">
      <c r="A4694" s="946" t="s">
        <v>28610</v>
      </c>
      <c r="B4694" s="947" t="s">
        <v>12854</v>
      </c>
      <c r="C4694" s="948" t="s">
        <v>12852</v>
      </c>
      <c r="D4694" s="242" t="s">
        <v>28717</v>
      </c>
      <c r="E4694" s="949">
        <v>1203</v>
      </c>
      <c r="F4694" s="949">
        <v>1203</v>
      </c>
      <c r="G4694" s="950" t="s">
        <v>16812</v>
      </c>
      <c r="H4694" s="950" t="s">
        <v>558</v>
      </c>
      <c r="I4694" s="951" t="s">
        <v>12853</v>
      </c>
      <c r="J4694" s="947" t="s">
        <v>12854</v>
      </c>
      <c r="K4694" s="143"/>
    </row>
    <row r="4695" spans="1:11">
      <c r="A4695" s="946" t="s">
        <v>28610</v>
      </c>
      <c r="B4695" s="947" t="s">
        <v>12935</v>
      </c>
      <c r="C4695" s="948" t="s">
        <v>12933</v>
      </c>
      <c r="D4695" s="242" t="s">
        <v>28717</v>
      </c>
      <c r="E4695" s="949">
        <v>1203</v>
      </c>
      <c r="F4695" s="949">
        <v>1203</v>
      </c>
      <c r="G4695" s="950" t="s">
        <v>16812</v>
      </c>
      <c r="H4695" s="950" t="s">
        <v>558</v>
      </c>
      <c r="I4695" s="951" t="s">
        <v>12934</v>
      </c>
      <c r="J4695" s="947" t="s">
        <v>12935</v>
      </c>
      <c r="K4695" s="143"/>
    </row>
    <row r="4696" spans="1:11">
      <c r="A4696" s="946" t="s">
        <v>28610</v>
      </c>
      <c r="B4696" s="947" t="s">
        <v>12950</v>
      </c>
      <c r="C4696" s="948" t="s">
        <v>12948</v>
      </c>
      <c r="D4696" s="242" t="s">
        <v>393</v>
      </c>
      <c r="E4696" s="949">
        <v>1202</v>
      </c>
      <c r="F4696" s="949">
        <v>1202</v>
      </c>
      <c r="G4696" s="950" t="s">
        <v>16812</v>
      </c>
      <c r="H4696" s="950" t="s">
        <v>558</v>
      </c>
      <c r="I4696" s="951" t="s">
        <v>12949</v>
      </c>
      <c r="J4696" s="947" t="s">
        <v>12950</v>
      </c>
      <c r="K4696" s="143"/>
    </row>
    <row r="4697" spans="1:11">
      <c r="A4697" s="946" t="s">
        <v>28610</v>
      </c>
      <c r="B4697" s="947" t="s">
        <v>13188</v>
      </c>
      <c r="C4697" s="948" t="s">
        <v>13186</v>
      </c>
      <c r="D4697" s="242" t="s">
        <v>393</v>
      </c>
      <c r="E4697" s="949">
        <v>1202</v>
      </c>
      <c r="F4697" s="949">
        <v>1202</v>
      </c>
      <c r="G4697" s="950" t="s">
        <v>16812</v>
      </c>
      <c r="H4697" s="950" t="s">
        <v>558</v>
      </c>
      <c r="I4697" s="951" t="s">
        <v>13187</v>
      </c>
      <c r="J4697" s="947" t="s">
        <v>13188</v>
      </c>
      <c r="K4697" s="143"/>
    </row>
    <row r="4698" spans="1:11">
      <c r="A4698" s="946" t="s">
        <v>28610</v>
      </c>
      <c r="B4698" s="947" t="s">
        <v>13207</v>
      </c>
      <c r="C4698" s="948" t="s">
        <v>13205</v>
      </c>
      <c r="D4698" s="242" t="s">
        <v>393</v>
      </c>
      <c r="E4698" s="949">
        <v>1202</v>
      </c>
      <c r="F4698" s="949">
        <v>1202</v>
      </c>
      <c r="G4698" s="950" t="s">
        <v>16812</v>
      </c>
      <c r="H4698" s="950" t="s">
        <v>558</v>
      </c>
      <c r="I4698" s="951" t="s">
        <v>13206</v>
      </c>
      <c r="J4698" s="947" t="s">
        <v>13207</v>
      </c>
      <c r="K4698" s="143"/>
    </row>
    <row r="4699" spans="1:11">
      <c r="A4699" s="946" t="s">
        <v>28610</v>
      </c>
      <c r="B4699" s="947" t="s">
        <v>13221</v>
      </c>
      <c r="C4699" s="948" t="s">
        <v>13219</v>
      </c>
      <c r="D4699" s="242" t="s">
        <v>28717</v>
      </c>
      <c r="E4699" s="949">
        <v>1203</v>
      </c>
      <c r="F4699" s="949">
        <v>1203</v>
      </c>
      <c r="G4699" s="950" t="s">
        <v>16812</v>
      </c>
      <c r="H4699" s="950" t="s">
        <v>558</v>
      </c>
      <c r="I4699" s="951" t="s">
        <v>13220</v>
      </c>
      <c r="J4699" s="947" t="s">
        <v>13221</v>
      </c>
      <c r="K4699" s="143"/>
    </row>
    <row r="4700" spans="1:11">
      <c r="A4700" s="946" t="s">
        <v>28610</v>
      </c>
      <c r="B4700" s="947" t="s">
        <v>13239</v>
      </c>
      <c r="C4700" s="948" t="s">
        <v>13237</v>
      </c>
      <c r="D4700" s="242" t="s">
        <v>28715</v>
      </c>
      <c r="E4700" s="949">
        <v>1204</v>
      </c>
      <c r="F4700" s="949">
        <v>1204</v>
      </c>
      <c r="G4700" s="950" t="s">
        <v>16812</v>
      </c>
      <c r="H4700" s="950" t="s">
        <v>558</v>
      </c>
      <c r="I4700" s="951" t="s">
        <v>13238</v>
      </c>
      <c r="J4700" s="947" t="s">
        <v>13239</v>
      </c>
      <c r="K4700" s="143"/>
    </row>
    <row r="4701" spans="1:11">
      <c r="A4701" s="946" t="s">
        <v>28610</v>
      </c>
      <c r="B4701" s="947" t="s">
        <v>13560</v>
      </c>
      <c r="C4701" s="948" t="s">
        <v>13558</v>
      </c>
      <c r="D4701" s="242" t="s">
        <v>393</v>
      </c>
      <c r="E4701" s="949">
        <v>1202</v>
      </c>
      <c r="F4701" s="949">
        <v>1202</v>
      </c>
      <c r="G4701" s="950" t="s">
        <v>16812</v>
      </c>
      <c r="H4701" s="950" t="s">
        <v>558</v>
      </c>
      <c r="I4701" s="951" t="s">
        <v>13559</v>
      </c>
      <c r="J4701" s="947" t="s">
        <v>13560</v>
      </c>
      <c r="K4701" s="143"/>
    </row>
    <row r="4702" spans="1:11">
      <c r="A4702" s="946" t="s">
        <v>28610</v>
      </c>
      <c r="B4702" s="947" t="s">
        <v>14120</v>
      </c>
      <c r="C4702" s="948" t="s">
        <v>14118</v>
      </c>
      <c r="D4702" s="242" t="s">
        <v>393</v>
      </c>
      <c r="E4702" s="949">
        <v>1202</v>
      </c>
      <c r="F4702" s="949">
        <v>1202</v>
      </c>
      <c r="G4702" s="950" t="s">
        <v>16812</v>
      </c>
      <c r="H4702" s="950" t="s">
        <v>558</v>
      </c>
      <c r="I4702" s="951" t="s">
        <v>14119</v>
      </c>
      <c r="J4702" s="947" t="s">
        <v>14120</v>
      </c>
      <c r="K4702" s="143"/>
    </row>
    <row r="4703" spans="1:11">
      <c r="A4703" s="946" t="s">
        <v>28610</v>
      </c>
      <c r="B4703" s="947" t="s">
        <v>14165</v>
      </c>
      <c r="C4703" s="948" t="s">
        <v>14163</v>
      </c>
      <c r="D4703" s="242" t="s">
        <v>28717</v>
      </c>
      <c r="E4703" s="949">
        <v>1203</v>
      </c>
      <c r="F4703" s="949">
        <v>1203</v>
      </c>
      <c r="G4703" s="950" t="s">
        <v>16812</v>
      </c>
      <c r="H4703" s="950" t="s">
        <v>558</v>
      </c>
      <c r="I4703" s="951" t="s">
        <v>14164</v>
      </c>
      <c r="J4703" s="947" t="s">
        <v>14165</v>
      </c>
      <c r="K4703" s="143"/>
    </row>
    <row r="4704" spans="1:11">
      <c r="A4704" s="946" t="s">
        <v>28610</v>
      </c>
      <c r="B4704" s="947" t="s">
        <v>14480</v>
      </c>
      <c r="C4704" s="948" t="s">
        <v>14478</v>
      </c>
      <c r="D4704" s="242" t="s">
        <v>393</v>
      </c>
      <c r="E4704" s="949">
        <v>1202</v>
      </c>
      <c r="F4704" s="949">
        <v>1202</v>
      </c>
      <c r="G4704" s="950" t="s">
        <v>16812</v>
      </c>
      <c r="H4704" s="950" t="s">
        <v>558</v>
      </c>
      <c r="I4704" s="951" t="s">
        <v>14479</v>
      </c>
      <c r="J4704" s="947" t="s">
        <v>14480</v>
      </c>
      <c r="K4704" s="143"/>
    </row>
    <row r="4705" spans="1:11">
      <c r="A4705" s="946" t="s">
        <v>28610</v>
      </c>
      <c r="B4705" s="947" t="s">
        <v>15088</v>
      </c>
      <c r="C4705" s="948" t="s">
        <v>15086</v>
      </c>
      <c r="D4705" s="242" t="s">
        <v>393</v>
      </c>
      <c r="E4705" s="949">
        <v>1202</v>
      </c>
      <c r="F4705" s="949">
        <v>1202</v>
      </c>
      <c r="G4705" s="950" t="s">
        <v>16812</v>
      </c>
      <c r="H4705" s="950" t="s">
        <v>558</v>
      </c>
      <c r="I4705" s="951" t="s">
        <v>15087</v>
      </c>
      <c r="J4705" s="947" t="s">
        <v>15088</v>
      </c>
      <c r="K4705" s="143"/>
    </row>
    <row r="4706" spans="1:11">
      <c r="A4706" s="946" t="s">
        <v>28610</v>
      </c>
      <c r="B4706" s="947" t="s">
        <v>15256</v>
      </c>
      <c r="C4706" s="948" t="s">
        <v>15254</v>
      </c>
      <c r="D4706" s="242" t="s">
        <v>393</v>
      </c>
      <c r="E4706" s="949">
        <v>1202</v>
      </c>
      <c r="F4706" s="949">
        <v>1202</v>
      </c>
      <c r="G4706" s="950" t="s">
        <v>16812</v>
      </c>
      <c r="H4706" s="950" t="s">
        <v>558</v>
      </c>
      <c r="I4706" s="951" t="s">
        <v>15255</v>
      </c>
      <c r="J4706" s="947" t="s">
        <v>15256</v>
      </c>
      <c r="K4706" s="143"/>
    </row>
    <row r="4707" spans="1:11">
      <c r="A4707" s="946" t="s">
        <v>28610</v>
      </c>
      <c r="B4707" s="947" t="s">
        <v>15333</v>
      </c>
      <c r="C4707" s="948" t="s">
        <v>15331</v>
      </c>
      <c r="D4707" s="242" t="s">
        <v>393</v>
      </c>
      <c r="E4707" s="949">
        <v>1202</v>
      </c>
      <c r="F4707" s="949">
        <v>1202</v>
      </c>
      <c r="G4707" s="950" t="s">
        <v>16812</v>
      </c>
      <c r="H4707" s="950" t="s">
        <v>558</v>
      </c>
      <c r="I4707" s="951" t="s">
        <v>15332</v>
      </c>
      <c r="J4707" s="947" t="s">
        <v>15333</v>
      </c>
      <c r="K4707" s="143"/>
    </row>
    <row r="4708" spans="1:11">
      <c r="A4708" s="946" t="s">
        <v>28610</v>
      </c>
      <c r="B4708" s="947" t="s">
        <v>15495</v>
      </c>
      <c r="C4708" s="948" t="s">
        <v>15493</v>
      </c>
      <c r="D4708" s="242" t="s">
        <v>393</v>
      </c>
      <c r="E4708" s="949">
        <v>1202</v>
      </c>
      <c r="F4708" s="949">
        <v>1202</v>
      </c>
      <c r="G4708" s="950" t="s">
        <v>16812</v>
      </c>
      <c r="H4708" s="950" t="s">
        <v>558</v>
      </c>
      <c r="I4708" s="951" t="s">
        <v>15494</v>
      </c>
      <c r="J4708" s="947" t="s">
        <v>15495</v>
      </c>
      <c r="K4708" s="143"/>
    </row>
    <row r="4709" spans="1:11">
      <c r="A4709" s="946" t="s">
        <v>28610</v>
      </c>
      <c r="B4709" s="947" t="s">
        <v>16258</v>
      </c>
      <c r="C4709" s="948" t="s">
        <v>16256</v>
      </c>
      <c r="D4709" s="242" t="s">
        <v>393</v>
      </c>
      <c r="E4709" s="949">
        <v>1202</v>
      </c>
      <c r="F4709" s="949">
        <v>1202</v>
      </c>
      <c r="G4709" s="950" t="s">
        <v>16812</v>
      </c>
      <c r="H4709" s="950" t="s">
        <v>558</v>
      </c>
      <c r="I4709" s="951" t="s">
        <v>16257</v>
      </c>
      <c r="J4709" s="947" t="s">
        <v>16258</v>
      </c>
      <c r="K4709" s="143"/>
    </row>
    <row r="4710" spans="1:11">
      <c r="A4710" s="946" t="s">
        <v>28610</v>
      </c>
      <c r="B4710" s="947" t="s">
        <v>16303</v>
      </c>
      <c r="C4710" s="948" t="s">
        <v>16301</v>
      </c>
      <c r="D4710" s="242" t="s">
        <v>393</v>
      </c>
      <c r="E4710" s="949">
        <v>1202</v>
      </c>
      <c r="F4710" s="949">
        <v>1202</v>
      </c>
      <c r="G4710" s="950" t="s">
        <v>16812</v>
      </c>
      <c r="H4710" s="950" t="s">
        <v>558</v>
      </c>
      <c r="I4710" s="951" t="s">
        <v>16302</v>
      </c>
      <c r="J4710" s="947" t="s">
        <v>16303</v>
      </c>
      <c r="K4710" s="143"/>
    </row>
    <row r="4711" spans="1:11">
      <c r="A4711" s="946" t="s">
        <v>28610</v>
      </c>
      <c r="B4711" s="947" t="s">
        <v>16325</v>
      </c>
      <c r="C4711" s="948" t="s">
        <v>16323</v>
      </c>
      <c r="D4711" s="242" t="s">
        <v>393</v>
      </c>
      <c r="E4711" s="949">
        <v>1202</v>
      </c>
      <c r="F4711" s="949">
        <v>1202</v>
      </c>
      <c r="G4711" s="950" t="s">
        <v>16812</v>
      </c>
      <c r="H4711" s="950" t="s">
        <v>558</v>
      </c>
      <c r="I4711" s="951" t="s">
        <v>16324</v>
      </c>
      <c r="J4711" s="947" t="s">
        <v>16325</v>
      </c>
      <c r="K4711" s="143"/>
    </row>
    <row r="4712" spans="1:11">
      <c r="A4712" s="946" t="s">
        <v>28610</v>
      </c>
      <c r="B4712" s="947" t="s">
        <v>16507</v>
      </c>
      <c r="C4712" s="948" t="s">
        <v>16505</v>
      </c>
      <c r="D4712" s="242" t="s">
        <v>393</v>
      </c>
      <c r="E4712" s="949">
        <v>1202</v>
      </c>
      <c r="F4712" s="949">
        <v>1202</v>
      </c>
      <c r="G4712" s="950" t="s">
        <v>16812</v>
      </c>
      <c r="H4712" s="950" t="s">
        <v>558</v>
      </c>
      <c r="I4712" s="951" t="s">
        <v>16506</v>
      </c>
      <c r="J4712" s="947" t="s">
        <v>16507</v>
      </c>
      <c r="K4712" s="143"/>
    </row>
    <row r="4713" spans="1:11">
      <c r="A4713" s="946" t="s">
        <v>28610</v>
      </c>
      <c r="B4713" s="947" t="s">
        <v>16534</v>
      </c>
      <c r="C4713" s="948" t="s">
        <v>16532</v>
      </c>
      <c r="D4713" s="242" t="s">
        <v>393</v>
      </c>
      <c r="E4713" s="949">
        <v>1202</v>
      </c>
      <c r="F4713" s="949">
        <v>1202</v>
      </c>
      <c r="G4713" s="950" t="s">
        <v>16812</v>
      </c>
      <c r="H4713" s="950" t="s">
        <v>558</v>
      </c>
      <c r="I4713" s="951" t="s">
        <v>16533</v>
      </c>
      <c r="J4713" s="947" t="s">
        <v>16534</v>
      </c>
      <c r="K4713" s="143"/>
    </row>
    <row r="4714" spans="1:11">
      <c r="A4714" s="946" t="s">
        <v>28610</v>
      </c>
      <c r="B4714" s="947" t="s">
        <v>16542</v>
      </c>
      <c r="C4714" s="948" t="s">
        <v>16540</v>
      </c>
      <c r="D4714" s="242" t="s">
        <v>393</v>
      </c>
      <c r="E4714" s="949">
        <v>1202</v>
      </c>
      <c r="F4714" s="949">
        <v>1202</v>
      </c>
      <c r="G4714" s="950" t="s">
        <v>16812</v>
      </c>
      <c r="H4714" s="950" t="s">
        <v>558</v>
      </c>
      <c r="I4714" s="951" t="s">
        <v>16541</v>
      </c>
      <c r="J4714" s="947" t="s">
        <v>16542</v>
      </c>
      <c r="K4714" s="143"/>
    </row>
    <row r="4715" spans="1:11">
      <c r="A4715" s="946" t="s">
        <v>28610</v>
      </c>
      <c r="B4715" s="947" t="s">
        <v>16622</v>
      </c>
      <c r="C4715" s="948" t="s">
        <v>16620</v>
      </c>
      <c r="D4715" s="242" t="s">
        <v>393</v>
      </c>
      <c r="E4715" s="949">
        <v>1202</v>
      </c>
      <c r="F4715" s="949">
        <v>1202</v>
      </c>
      <c r="G4715" s="950" t="s">
        <v>16812</v>
      </c>
      <c r="H4715" s="950" t="s">
        <v>558</v>
      </c>
      <c r="I4715" s="951" t="s">
        <v>16621</v>
      </c>
      <c r="J4715" s="947" t="s">
        <v>16622</v>
      </c>
      <c r="K4715" s="143"/>
    </row>
    <row r="4716" spans="1:11">
      <c r="A4716" s="946" t="s">
        <v>28610</v>
      </c>
      <c r="B4716" s="947" t="s">
        <v>16560</v>
      </c>
      <c r="C4716" s="948" t="s">
        <v>16558</v>
      </c>
      <c r="D4716" s="242" t="s">
        <v>393</v>
      </c>
      <c r="E4716" s="949">
        <v>1202</v>
      </c>
      <c r="F4716" s="949">
        <v>1202</v>
      </c>
      <c r="G4716" s="950" t="s">
        <v>16812</v>
      </c>
      <c r="H4716" s="950" t="s">
        <v>558</v>
      </c>
      <c r="I4716" s="951" t="s">
        <v>16559</v>
      </c>
      <c r="J4716" s="947" t="s">
        <v>16560</v>
      </c>
      <c r="K4716" s="143"/>
    </row>
    <row r="4717" spans="1:11">
      <c r="A4717" s="946" t="s">
        <v>28610</v>
      </c>
      <c r="B4717" s="947" t="s">
        <v>16575</v>
      </c>
      <c r="C4717" s="948" t="s">
        <v>16573</v>
      </c>
      <c r="D4717" s="242" t="s">
        <v>393</v>
      </c>
      <c r="E4717" s="949">
        <v>1202</v>
      </c>
      <c r="F4717" s="949">
        <v>1202</v>
      </c>
      <c r="G4717" s="950" t="s">
        <v>16812</v>
      </c>
      <c r="H4717" s="950" t="s">
        <v>558</v>
      </c>
      <c r="I4717" s="951" t="s">
        <v>16574</v>
      </c>
      <c r="J4717" s="947" t="s">
        <v>16575</v>
      </c>
      <c r="K4717" s="143"/>
    </row>
    <row r="4718" spans="1:11">
      <c r="A4718" s="946" t="s">
        <v>28610</v>
      </c>
      <c r="B4718" s="947" t="s">
        <v>16797</v>
      </c>
      <c r="C4718" s="948" t="s">
        <v>16795</v>
      </c>
      <c r="D4718" s="242" t="s">
        <v>393</v>
      </c>
      <c r="E4718" s="949">
        <v>1202</v>
      </c>
      <c r="F4718" s="949">
        <v>1202</v>
      </c>
      <c r="G4718" s="950" t="s">
        <v>16812</v>
      </c>
      <c r="H4718" s="950" t="s">
        <v>558</v>
      </c>
      <c r="I4718" s="951" t="s">
        <v>16796</v>
      </c>
      <c r="J4718" s="947" t="s">
        <v>16797</v>
      </c>
      <c r="K4718" s="143"/>
    </row>
    <row r="4719" spans="1:11">
      <c r="A4719" s="946" t="s">
        <v>28610</v>
      </c>
      <c r="B4719" s="947" t="s">
        <v>16812</v>
      </c>
      <c r="C4719" s="948" t="s">
        <v>16810</v>
      </c>
      <c r="D4719" s="242" t="s">
        <v>393</v>
      </c>
      <c r="E4719" s="949">
        <v>1202</v>
      </c>
      <c r="F4719" s="949">
        <v>1202</v>
      </c>
      <c r="G4719" s="950" t="s">
        <v>16812</v>
      </c>
      <c r="H4719" s="950" t="s">
        <v>558</v>
      </c>
      <c r="I4719" s="951" t="s">
        <v>16811</v>
      </c>
      <c r="J4719" s="947" t="s">
        <v>16812</v>
      </c>
      <c r="K4719" s="143"/>
    </row>
    <row r="4720" spans="1:11">
      <c r="A4720" s="946" t="s">
        <v>28610</v>
      </c>
      <c r="B4720" s="947" t="s">
        <v>17066</v>
      </c>
      <c r="C4720" s="948" t="s">
        <v>17064</v>
      </c>
      <c r="D4720" s="242" t="s">
        <v>393</v>
      </c>
      <c r="E4720" s="949">
        <v>1202</v>
      </c>
      <c r="F4720" s="949">
        <v>1202</v>
      </c>
      <c r="G4720" s="950" t="s">
        <v>16812</v>
      </c>
      <c r="H4720" s="950" t="s">
        <v>558</v>
      </c>
      <c r="I4720" s="951" t="s">
        <v>17065</v>
      </c>
      <c r="J4720" s="947" t="s">
        <v>17066</v>
      </c>
      <c r="K4720" s="143"/>
    </row>
    <row r="4721" spans="1:11">
      <c r="A4721" s="946" t="s">
        <v>28610</v>
      </c>
      <c r="B4721" s="947" t="s">
        <v>17155</v>
      </c>
      <c r="C4721" s="948" t="s">
        <v>17153</v>
      </c>
      <c r="D4721" s="242" t="s">
        <v>393</v>
      </c>
      <c r="E4721" s="949">
        <v>1202</v>
      </c>
      <c r="F4721" s="949">
        <v>1202</v>
      </c>
      <c r="G4721" s="950" t="s">
        <v>16812</v>
      </c>
      <c r="H4721" s="950" t="s">
        <v>558</v>
      </c>
      <c r="I4721" s="951" t="s">
        <v>17154</v>
      </c>
      <c r="J4721" s="947" t="s">
        <v>17155</v>
      </c>
      <c r="K4721" s="143"/>
    </row>
    <row r="4722" spans="1:11">
      <c r="A4722" s="946" t="s">
        <v>28610</v>
      </c>
      <c r="B4722" s="947" t="s">
        <v>17338</v>
      </c>
      <c r="C4722" s="948" t="s">
        <v>17336</v>
      </c>
      <c r="D4722" s="242" t="s">
        <v>393</v>
      </c>
      <c r="E4722" s="949">
        <v>1202</v>
      </c>
      <c r="F4722" s="949">
        <v>1202</v>
      </c>
      <c r="G4722" s="950" t="s">
        <v>16812</v>
      </c>
      <c r="H4722" s="950" t="s">
        <v>558</v>
      </c>
      <c r="I4722" s="951" t="s">
        <v>17337</v>
      </c>
      <c r="J4722" s="947" t="s">
        <v>17338</v>
      </c>
      <c r="K4722" s="143"/>
    </row>
    <row r="4723" spans="1:11">
      <c r="A4723" s="946" t="s">
        <v>28610</v>
      </c>
      <c r="B4723" s="947" t="s">
        <v>17781</v>
      </c>
      <c r="C4723" s="948" t="s">
        <v>17779</v>
      </c>
      <c r="D4723" s="242" t="s">
        <v>393</v>
      </c>
      <c r="E4723" s="949">
        <v>1202</v>
      </c>
      <c r="F4723" s="949">
        <v>1202</v>
      </c>
      <c r="G4723" s="950" t="s">
        <v>16812</v>
      </c>
      <c r="H4723" s="950" t="s">
        <v>558</v>
      </c>
      <c r="I4723" s="951" t="s">
        <v>17780</v>
      </c>
      <c r="J4723" s="947" t="s">
        <v>17781</v>
      </c>
      <c r="K4723" s="143"/>
    </row>
    <row r="4724" spans="1:11">
      <c r="A4724" s="946" t="s">
        <v>28610</v>
      </c>
      <c r="B4724" s="947" t="s">
        <v>18138</v>
      </c>
      <c r="C4724" s="948" t="s">
        <v>18136</v>
      </c>
      <c r="D4724" s="242" t="s">
        <v>393</v>
      </c>
      <c r="E4724" s="949">
        <v>1202</v>
      </c>
      <c r="F4724" s="949">
        <v>1202</v>
      </c>
      <c r="G4724" s="950" t="s">
        <v>16812</v>
      </c>
      <c r="H4724" s="950" t="s">
        <v>558</v>
      </c>
      <c r="I4724" s="951" t="s">
        <v>18137</v>
      </c>
      <c r="J4724" s="947" t="s">
        <v>18138</v>
      </c>
      <c r="K4724" s="143"/>
    </row>
    <row r="4725" spans="1:11">
      <c r="A4725" s="946" t="s">
        <v>28610</v>
      </c>
      <c r="B4725" s="947" t="s">
        <v>18508</v>
      </c>
      <c r="C4725" s="948" t="s">
        <v>18506</v>
      </c>
      <c r="D4725" s="242" t="s">
        <v>393</v>
      </c>
      <c r="E4725" s="949">
        <v>1202</v>
      </c>
      <c r="F4725" s="949">
        <v>1202</v>
      </c>
      <c r="G4725" s="950" t="s">
        <v>16812</v>
      </c>
      <c r="H4725" s="950" t="s">
        <v>558</v>
      </c>
      <c r="I4725" s="951" t="s">
        <v>18507</v>
      </c>
      <c r="J4725" s="947" t="s">
        <v>18508</v>
      </c>
      <c r="K4725" s="143"/>
    </row>
    <row r="4726" spans="1:11">
      <c r="A4726" s="946" t="s">
        <v>28610</v>
      </c>
      <c r="B4726" s="947" t="s">
        <v>18661</v>
      </c>
      <c r="C4726" s="948" t="s">
        <v>18659</v>
      </c>
      <c r="D4726" s="242" t="s">
        <v>393</v>
      </c>
      <c r="E4726" s="949">
        <v>1202</v>
      </c>
      <c r="F4726" s="949">
        <v>1202</v>
      </c>
      <c r="G4726" s="950" t="s">
        <v>16812</v>
      </c>
      <c r="H4726" s="950" t="s">
        <v>558</v>
      </c>
      <c r="I4726" s="951" t="s">
        <v>18660</v>
      </c>
      <c r="J4726" s="947" t="s">
        <v>18661</v>
      </c>
      <c r="K4726" s="143"/>
    </row>
    <row r="4727" spans="1:11">
      <c r="A4727" s="946" t="s">
        <v>28610</v>
      </c>
      <c r="B4727" s="947" t="s">
        <v>18811</v>
      </c>
      <c r="C4727" s="948" t="s">
        <v>18809</v>
      </c>
      <c r="D4727" s="242" t="s">
        <v>393</v>
      </c>
      <c r="E4727" s="949">
        <v>1202</v>
      </c>
      <c r="F4727" s="949">
        <v>1202</v>
      </c>
      <c r="G4727" s="950" t="s">
        <v>16812</v>
      </c>
      <c r="H4727" s="950" t="s">
        <v>558</v>
      </c>
      <c r="I4727" s="951" t="s">
        <v>18810</v>
      </c>
      <c r="J4727" s="947" t="s">
        <v>18811</v>
      </c>
      <c r="K4727" s="143"/>
    </row>
    <row r="4728" spans="1:11">
      <c r="A4728" s="946" t="s">
        <v>28610</v>
      </c>
      <c r="B4728" s="947" t="s">
        <v>18302</v>
      </c>
      <c r="C4728" s="948" t="s">
        <v>18300</v>
      </c>
      <c r="D4728" s="242" t="s">
        <v>393</v>
      </c>
      <c r="E4728" s="949">
        <v>1202</v>
      </c>
      <c r="F4728" s="949">
        <v>1202</v>
      </c>
      <c r="G4728" s="950" t="s">
        <v>16812</v>
      </c>
      <c r="H4728" s="950" t="s">
        <v>558</v>
      </c>
      <c r="I4728" s="951" t="s">
        <v>18301</v>
      </c>
      <c r="J4728" s="947" t="s">
        <v>18302</v>
      </c>
      <c r="K4728" s="143"/>
    </row>
    <row r="4729" spans="1:11">
      <c r="A4729" s="946" t="s">
        <v>28610</v>
      </c>
      <c r="B4729" s="947" t="s">
        <v>18844</v>
      </c>
      <c r="C4729" s="948" t="s">
        <v>18842</v>
      </c>
      <c r="D4729" s="242" t="s">
        <v>393</v>
      </c>
      <c r="E4729" s="949">
        <v>1202</v>
      </c>
      <c r="F4729" s="949">
        <v>1202</v>
      </c>
      <c r="G4729" s="950" t="s">
        <v>16812</v>
      </c>
      <c r="H4729" s="950" t="s">
        <v>558</v>
      </c>
      <c r="I4729" s="951" t="s">
        <v>18843</v>
      </c>
      <c r="J4729" s="947" t="s">
        <v>18844</v>
      </c>
      <c r="K4729" s="143"/>
    </row>
    <row r="4730" spans="1:11">
      <c r="A4730" s="946" t="s">
        <v>28610</v>
      </c>
      <c r="B4730" s="947" t="s">
        <v>19186</v>
      </c>
      <c r="C4730" s="948" t="s">
        <v>19184</v>
      </c>
      <c r="D4730" s="242" t="s">
        <v>393</v>
      </c>
      <c r="E4730" s="949">
        <v>1202</v>
      </c>
      <c r="F4730" s="949">
        <v>1202</v>
      </c>
      <c r="G4730" s="950" t="s">
        <v>16812</v>
      </c>
      <c r="H4730" s="950" t="s">
        <v>558</v>
      </c>
      <c r="I4730" s="951" t="s">
        <v>19185</v>
      </c>
      <c r="J4730" s="947" t="s">
        <v>19186</v>
      </c>
      <c r="K4730" s="143"/>
    </row>
    <row r="4731" spans="1:11">
      <c r="A4731" s="946" t="s">
        <v>28610</v>
      </c>
      <c r="B4731" s="947" t="s">
        <v>20086</v>
      </c>
      <c r="C4731" s="948" t="s">
        <v>20084</v>
      </c>
      <c r="D4731" s="242" t="s">
        <v>393</v>
      </c>
      <c r="E4731" s="949">
        <v>1202</v>
      </c>
      <c r="F4731" s="949">
        <v>1202</v>
      </c>
      <c r="G4731" s="950" t="s">
        <v>16812</v>
      </c>
      <c r="H4731" s="950" t="s">
        <v>558</v>
      </c>
      <c r="I4731" s="951" t="s">
        <v>20085</v>
      </c>
      <c r="J4731" s="947" t="s">
        <v>20086</v>
      </c>
      <c r="K4731" s="143"/>
    </row>
    <row r="4732" spans="1:11">
      <c r="A4732" s="946" t="s">
        <v>28610</v>
      </c>
      <c r="B4732" s="947" t="s">
        <v>20491</v>
      </c>
      <c r="C4732" s="948" t="s">
        <v>20489</v>
      </c>
      <c r="D4732" s="242" t="s">
        <v>393</v>
      </c>
      <c r="E4732" s="949">
        <v>1202</v>
      </c>
      <c r="F4732" s="949">
        <v>1202</v>
      </c>
      <c r="G4732" s="950" t="s">
        <v>16812</v>
      </c>
      <c r="H4732" s="950" t="s">
        <v>558</v>
      </c>
      <c r="I4732" s="951" t="s">
        <v>20490</v>
      </c>
      <c r="J4732" s="947" t="s">
        <v>20491</v>
      </c>
      <c r="K4732" s="143"/>
    </row>
    <row r="4733" spans="1:11">
      <c r="A4733" s="946" t="s">
        <v>28610</v>
      </c>
      <c r="B4733" s="947" t="s">
        <v>20520</v>
      </c>
      <c r="C4733" s="948" t="s">
        <v>20518</v>
      </c>
      <c r="D4733" s="242" t="s">
        <v>393</v>
      </c>
      <c r="E4733" s="949">
        <v>1202</v>
      </c>
      <c r="F4733" s="949">
        <v>1202</v>
      </c>
      <c r="G4733" s="950" t="s">
        <v>16812</v>
      </c>
      <c r="H4733" s="950" t="s">
        <v>558</v>
      </c>
      <c r="I4733" s="951" t="s">
        <v>20519</v>
      </c>
      <c r="J4733" s="947" t="s">
        <v>20520</v>
      </c>
      <c r="K4733" s="143"/>
    </row>
    <row r="4734" spans="1:11">
      <c r="A4734" s="946" t="s">
        <v>28610</v>
      </c>
      <c r="B4734" s="947" t="s">
        <v>20780</v>
      </c>
      <c r="C4734" s="948" t="s">
        <v>20778</v>
      </c>
      <c r="D4734" s="242" t="s">
        <v>393</v>
      </c>
      <c r="E4734" s="949">
        <v>1202</v>
      </c>
      <c r="F4734" s="949">
        <v>1202</v>
      </c>
      <c r="G4734" s="950" t="s">
        <v>16812</v>
      </c>
      <c r="H4734" s="950" t="s">
        <v>558</v>
      </c>
      <c r="I4734" s="951" t="s">
        <v>20779</v>
      </c>
      <c r="J4734" s="947" t="s">
        <v>20780</v>
      </c>
      <c r="K4734" s="143"/>
    </row>
    <row r="4735" spans="1:11">
      <c r="A4735" s="946" t="s">
        <v>28610</v>
      </c>
      <c r="B4735" s="947" t="s">
        <v>20977</v>
      </c>
      <c r="C4735" s="948" t="s">
        <v>20975</v>
      </c>
      <c r="D4735" s="242" t="s">
        <v>393</v>
      </c>
      <c r="E4735" s="949">
        <v>1202</v>
      </c>
      <c r="F4735" s="949">
        <v>1202</v>
      </c>
      <c r="G4735" s="950" t="s">
        <v>16812</v>
      </c>
      <c r="H4735" s="950" t="s">
        <v>558</v>
      </c>
      <c r="I4735" s="951" t="s">
        <v>20976</v>
      </c>
      <c r="J4735" s="947" t="s">
        <v>20977</v>
      </c>
      <c r="K4735" s="143"/>
    </row>
    <row r="4736" spans="1:11">
      <c r="A4736" s="946" t="s">
        <v>28610</v>
      </c>
      <c r="B4736" s="947" t="s">
        <v>21453</v>
      </c>
      <c r="C4736" s="948" t="s">
        <v>21451</v>
      </c>
      <c r="D4736" s="242" t="s">
        <v>393</v>
      </c>
      <c r="E4736" s="949">
        <v>1202</v>
      </c>
      <c r="F4736" s="949">
        <v>1202</v>
      </c>
      <c r="G4736" s="950" t="s">
        <v>16812</v>
      </c>
      <c r="H4736" s="950" t="s">
        <v>558</v>
      </c>
      <c r="I4736" s="951" t="s">
        <v>21452</v>
      </c>
      <c r="J4736" s="947" t="s">
        <v>21453</v>
      </c>
      <c r="K4736" s="143"/>
    </row>
    <row r="4737" spans="1:11">
      <c r="A4737" s="946" t="s">
        <v>28610</v>
      </c>
      <c r="B4737" s="947" t="s">
        <v>21472</v>
      </c>
      <c r="C4737" s="948" t="s">
        <v>21470</v>
      </c>
      <c r="D4737" s="242" t="s">
        <v>28717</v>
      </c>
      <c r="E4737" s="949">
        <v>1203</v>
      </c>
      <c r="F4737" s="949">
        <v>1203</v>
      </c>
      <c r="G4737" s="950" t="s">
        <v>16812</v>
      </c>
      <c r="H4737" s="950" t="s">
        <v>558</v>
      </c>
      <c r="I4737" s="951" t="s">
        <v>21471</v>
      </c>
      <c r="J4737" s="947" t="s">
        <v>21472</v>
      </c>
      <c r="K4737" s="143"/>
    </row>
    <row r="4738" spans="1:11">
      <c r="A4738" s="946" t="s">
        <v>28610</v>
      </c>
      <c r="B4738" s="947" t="s">
        <v>21496</v>
      </c>
      <c r="C4738" s="948" t="s">
        <v>21494</v>
      </c>
      <c r="D4738" s="242" t="s">
        <v>393</v>
      </c>
      <c r="E4738" s="949">
        <v>1202</v>
      </c>
      <c r="F4738" s="949">
        <v>1202</v>
      </c>
      <c r="G4738" s="950" t="s">
        <v>16812</v>
      </c>
      <c r="H4738" s="950" t="s">
        <v>558</v>
      </c>
      <c r="I4738" s="951" t="s">
        <v>21495</v>
      </c>
      <c r="J4738" s="947" t="s">
        <v>21496</v>
      </c>
      <c r="K4738" s="143"/>
    </row>
    <row r="4739" spans="1:11">
      <c r="A4739" s="946" t="s">
        <v>28610</v>
      </c>
      <c r="B4739" s="947" t="s">
        <v>21661</v>
      </c>
      <c r="C4739" s="948" t="s">
        <v>21659</v>
      </c>
      <c r="D4739" s="242" t="s">
        <v>393</v>
      </c>
      <c r="E4739" s="949">
        <v>1202</v>
      </c>
      <c r="F4739" s="949">
        <v>1202</v>
      </c>
      <c r="G4739" s="950" t="s">
        <v>16812</v>
      </c>
      <c r="H4739" s="950" t="s">
        <v>558</v>
      </c>
      <c r="I4739" s="951" t="s">
        <v>21660</v>
      </c>
      <c r="J4739" s="947" t="s">
        <v>21661</v>
      </c>
      <c r="K4739" s="143"/>
    </row>
    <row r="4740" spans="1:11">
      <c r="A4740" s="946" t="s">
        <v>28610</v>
      </c>
      <c r="B4740" s="947" t="s">
        <v>21946</v>
      </c>
      <c r="C4740" s="948" t="s">
        <v>21944</v>
      </c>
      <c r="D4740" s="242" t="s">
        <v>393</v>
      </c>
      <c r="E4740" s="949">
        <v>1202</v>
      </c>
      <c r="F4740" s="949">
        <v>1202</v>
      </c>
      <c r="G4740" s="950" t="s">
        <v>16812</v>
      </c>
      <c r="H4740" s="950" t="s">
        <v>558</v>
      </c>
      <c r="I4740" s="951" t="s">
        <v>21945</v>
      </c>
      <c r="J4740" s="947" t="s">
        <v>21946</v>
      </c>
      <c r="K4740" s="143"/>
    </row>
    <row r="4741" spans="1:11">
      <c r="A4741" s="946" t="s">
        <v>28610</v>
      </c>
      <c r="B4741" s="947" t="s">
        <v>22457</v>
      </c>
      <c r="C4741" s="948" t="s">
        <v>22455</v>
      </c>
      <c r="D4741" s="242" t="s">
        <v>28717</v>
      </c>
      <c r="E4741" s="949">
        <v>1203</v>
      </c>
      <c r="F4741" s="949">
        <v>1203</v>
      </c>
      <c r="G4741" s="950" t="s">
        <v>16812</v>
      </c>
      <c r="H4741" s="950" t="s">
        <v>558</v>
      </c>
      <c r="I4741" s="951" t="s">
        <v>22456</v>
      </c>
      <c r="J4741" s="947" t="s">
        <v>22457</v>
      </c>
      <c r="K4741" s="143"/>
    </row>
    <row r="4742" spans="1:11">
      <c r="A4742" s="946" t="s">
        <v>28610</v>
      </c>
      <c r="B4742" s="947" t="s">
        <v>22557</v>
      </c>
      <c r="C4742" s="948" t="s">
        <v>22555</v>
      </c>
      <c r="D4742" s="242" t="s">
        <v>393</v>
      </c>
      <c r="E4742" s="949">
        <v>1202</v>
      </c>
      <c r="F4742" s="949">
        <v>1202</v>
      </c>
      <c r="G4742" s="950" t="s">
        <v>16812</v>
      </c>
      <c r="H4742" s="950" t="s">
        <v>558</v>
      </c>
      <c r="I4742" s="951" t="s">
        <v>22556</v>
      </c>
      <c r="J4742" s="947" t="s">
        <v>22557</v>
      </c>
      <c r="K4742" s="143"/>
    </row>
    <row r="4743" spans="1:11">
      <c r="A4743" s="946" t="s">
        <v>28610</v>
      </c>
      <c r="B4743" s="947" t="s">
        <v>10154</v>
      </c>
      <c r="C4743" s="948" t="s">
        <v>10152</v>
      </c>
      <c r="D4743" s="242" t="s">
        <v>393</v>
      </c>
      <c r="E4743" s="949">
        <v>1202</v>
      </c>
      <c r="F4743" s="949">
        <v>1202</v>
      </c>
      <c r="G4743" s="950" t="s">
        <v>16812</v>
      </c>
      <c r="H4743" s="950" t="s">
        <v>558</v>
      </c>
      <c r="I4743" s="951" t="s">
        <v>10153</v>
      </c>
      <c r="J4743" s="947" t="s">
        <v>10154</v>
      </c>
      <c r="K4743" s="143"/>
    </row>
    <row r="4744" spans="1:11">
      <c r="A4744" s="946" t="s">
        <v>28610</v>
      </c>
      <c r="B4744" s="947" t="s">
        <v>10037</v>
      </c>
      <c r="C4744" s="948" t="s">
        <v>10035</v>
      </c>
      <c r="D4744" s="242" t="s">
        <v>393</v>
      </c>
      <c r="E4744" s="949">
        <v>1202</v>
      </c>
      <c r="F4744" s="949">
        <v>1202</v>
      </c>
      <c r="G4744" s="950" t="s">
        <v>16812</v>
      </c>
      <c r="H4744" s="950" t="s">
        <v>558</v>
      </c>
      <c r="I4744" s="951" t="s">
        <v>10036</v>
      </c>
      <c r="J4744" s="947" t="s">
        <v>10037</v>
      </c>
      <c r="K4744" s="143"/>
    </row>
    <row r="4745" spans="1:11">
      <c r="A4745" s="946" t="s">
        <v>28610</v>
      </c>
      <c r="B4745" s="947" t="s">
        <v>1358</v>
      </c>
      <c r="C4745" s="948" t="s">
        <v>1356</v>
      </c>
      <c r="D4745" s="242" t="s">
        <v>393</v>
      </c>
      <c r="E4745" s="949">
        <v>1202</v>
      </c>
      <c r="F4745" s="949">
        <v>1202</v>
      </c>
      <c r="G4745" s="950" t="s">
        <v>16812</v>
      </c>
      <c r="H4745" s="950" t="s">
        <v>558</v>
      </c>
      <c r="I4745" s="951" t="s">
        <v>1357</v>
      </c>
      <c r="J4745" s="947" t="s">
        <v>1358</v>
      </c>
      <c r="K4745" s="143"/>
    </row>
    <row r="4746" spans="1:11">
      <c r="A4746" s="946" t="s">
        <v>28610</v>
      </c>
      <c r="B4746" s="947" t="s">
        <v>6338</v>
      </c>
      <c r="C4746" s="948" t="s">
        <v>6336</v>
      </c>
      <c r="D4746" s="242" t="s">
        <v>393</v>
      </c>
      <c r="E4746" s="949">
        <v>1202</v>
      </c>
      <c r="F4746" s="949">
        <v>1202</v>
      </c>
      <c r="G4746" s="950" t="s">
        <v>16812</v>
      </c>
      <c r="H4746" s="950" t="s">
        <v>558</v>
      </c>
      <c r="I4746" s="951" t="s">
        <v>6337</v>
      </c>
      <c r="J4746" s="947" t="s">
        <v>6338</v>
      </c>
      <c r="K4746" s="143"/>
    </row>
    <row r="4747" spans="1:11">
      <c r="A4747" s="946" t="s">
        <v>28610</v>
      </c>
      <c r="B4747" s="947" t="s">
        <v>17448</v>
      </c>
      <c r="C4747" s="948" t="s">
        <v>17446</v>
      </c>
      <c r="D4747" s="242" t="s">
        <v>393</v>
      </c>
      <c r="E4747" s="949">
        <v>1202</v>
      </c>
      <c r="F4747" s="949">
        <v>1202</v>
      </c>
      <c r="G4747" s="950" t="s">
        <v>16812</v>
      </c>
      <c r="H4747" s="950" t="s">
        <v>558</v>
      </c>
      <c r="I4747" s="951" t="s">
        <v>17447</v>
      </c>
      <c r="J4747" s="947" t="s">
        <v>17448</v>
      </c>
      <c r="K4747" s="143"/>
    </row>
    <row r="4748" spans="1:11">
      <c r="A4748" s="946" t="s">
        <v>28610</v>
      </c>
      <c r="B4748" s="947" t="s">
        <v>8316</v>
      </c>
      <c r="C4748" s="948" t="s">
        <v>8314</v>
      </c>
      <c r="D4748" s="242" t="s">
        <v>393</v>
      </c>
      <c r="E4748" s="949">
        <v>1202</v>
      </c>
      <c r="F4748" s="949">
        <v>1202</v>
      </c>
      <c r="G4748" s="950" t="s">
        <v>16812</v>
      </c>
      <c r="H4748" s="950" t="s">
        <v>558</v>
      </c>
      <c r="I4748" s="951" t="s">
        <v>8315</v>
      </c>
      <c r="J4748" s="947" t="s">
        <v>8316</v>
      </c>
      <c r="K4748" s="143"/>
    </row>
    <row r="4749" spans="1:11">
      <c r="A4749" s="946" t="s">
        <v>28610</v>
      </c>
      <c r="B4749" s="947" t="s">
        <v>8435</v>
      </c>
      <c r="C4749" s="948" t="s">
        <v>8433</v>
      </c>
      <c r="D4749" s="242" t="s">
        <v>393</v>
      </c>
      <c r="E4749" s="949">
        <v>1202</v>
      </c>
      <c r="F4749" s="949">
        <v>1202</v>
      </c>
      <c r="G4749" s="950" t="s">
        <v>16812</v>
      </c>
      <c r="H4749" s="950" t="s">
        <v>558</v>
      </c>
      <c r="I4749" s="951" t="s">
        <v>8434</v>
      </c>
      <c r="J4749" s="947" t="s">
        <v>8435</v>
      </c>
      <c r="K4749" s="143"/>
    </row>
    <row r="4750" spans="1:11">
      <c r="A4750" s="946" t="s">
        <v>28610</v>
      </c>
      <c r="B4750" s="947" t="s">
        <v>1276</v>
      </c>
      <c r="C4750" s="948" t="s">
        <v>1273</v>
      </c>
      <c r="D4750" s="242" t="s">
        <v>28715</v>
      </c>
      <c r="E4750" s="949">
        <v>1204</v>
      </c>
      <c r="F4750" s="949">
        <v>1204</v>
      </c>
      <c r="G4750" s="950" t="s">
        <v>10183</v>
      </c>
      <c r="H4750" s="950" t="s">
        <v>1274</v>
      </c>
      <c r="I4750" s="951" t="s">
        <v>1275</v>
      </c>
      <c r="J4750" s="947" t="s">
        <v>1276</v>
      </c>
      <c r="K4750" s="143"/>
    </row>
    <row r="4751" spans="1:11">
      <c r="A4751" s="946" t="s">
        <v>28610</v>
      </c>
      <c r="B4751" s="947" t="s">
        <v>2087</v>
      </c>
      <c r="C4751" s="948" t="s">
        <v>2085</v>
      </c>
      <c r="D4751" s="242" t="s">
        <v>28715</v>
      </c>
      <c r="E4751" s="949">
        <v>1204</v>
      </c>
      <c r="F4751" s="949">
        <v>1204</v>
      </c>
      <c r="G4751" s="950" t="s">
        <v>10183</v>
      </c>
      <c r="H4751" s="950" t="s">
        <v>1274</v>
      </c>
      <c r="I4751" s="951" t="s">
        <v>2086</v>
      </c>
      <c r="J4751" s="947" t="s">
        <v>2087</v>
      </c>
      <c r="K4751" s="143"/>
    </row>
    <row r="4752" spans="1:11">
      <c r="A4752" s="946" t="s">
        <v>28610</v>
      </c>
      <c r="B4752" s="947" t="s">
        <v>3762</v>
      </c>
      <c r="C4752" s="948" t="s">
        <v>3760</v>
      </c>
      <c r="D4752" s="242" t="s">
        <v>407</v>
      </c>
      <c r="E4752" s="949">
        <v>1205</v>
      </c>
      <c r="F4752" s="949">
        <v>1205</v>
      </c>
      <c r="G4752" s="950" t="s">
        <v>10183</v>
      </c>
      <c r="H4752" s="950" t="s">
        <v>1274</v>
      </c>
      <c r="I4752" s="951" t="s">
        <v>3761</v>
      </c>
      <c r="J4752" s="947" t="s">
        <v>3762</v>
      </c>
      <c r="K4752" s="143"/>
    </row>
    <row r="4753" spans="1:11">
      <c r="A4753" s="946" t="s">
        <v>28610</v>
      </c>
      <c r="B4753" s="947" t="s">
        <v>5096</v>
      </c>
      <c r="C4753" s="948" t="s">
        <v>5094</v>
      </c>
      <c r="D4753" s="242" t="s">
        <v>28715</v>
      </c>
      <c r="E4753" s="949">
        <v>1204</v>
      </c>
      <c r="F4753" s="949">
        <v>1204</v>
      </c>
      <c r="G4753" s="950" t="s">
        <v>10183</v>
      </c>
      <c r="H4753" s="950" t="s">
        <v>1274</v>
      </c>
      <c r="I4753" s="951" t="s">
        <v>5095</v>
      </c>
      <c r="J4753" s="947" t="s">
        <v>5096</v>
      </c>
      <c r="K4753" s="143"/>
    </row>
    <row r="4754" spans="1:11">
      <c r="A4754" s="946" t="s">
        <v>28610</v>
      </c>
      <c r="B4754" s="947" t="s">
        <v>6495</v>
      </c>
      <c r="C4754" s="948" t="s">
        <v>6493</v>
      </c>
      <c r="D4754" s="242" t="s">
        <v>28715</v>
      </c>
      <c r="E4754" s="949">
        <v>1204</v>
      </c>
      <c r="F4754" s="949">
        <v>1204</v>
      </c>
      <c r="G4754" s="950" t="s">
        <v>10183</v>
      </c>
      <c r="H4754" s="950" t="s">
        <v>1274</v>
      </c>
      <c r="I4754" s="951" t="s">
        <v>6494</v>
      </c>
      <c r="J4754" s="947" t="s">
        <v>6495</v>
      </c>
      <c r="K4754" s="143"/>
    </row>
    <row r="4755" spans="1:11">
      <c r="A4755" s="946" t="s">
        <v>28610</v>
      </c>
      <c r="B4755" s="947" t="s">
        <v>7060</v>
      </c>
      <c r="C4755" s="948" t="s">
        <v>7058</v>
      </c>
      <c r="D4755" s="242" t="s">
        <v>28715</v>
      </c>
      <c r="E4755" s="949">
        <v>1204</v>
      </c>
      <c r="F4755" s="949">
        <v>1204</v>
      </c>
      <c r="G4755" s="950" t="s">
        <v>10183</v>
      </c>
      <c r="H4755" s="950" t="s">
        <v>1274</v>
      </c>
      <c r="I4755" s="951" t="s">
        <v>7059</v>
      </c>
      <c r="J4755" s="947" t="s">
        <v>7060</v>
      </c>
      <c r="K4755" s="143"/>
    </row>
    <row r="4756" spans="1:11">
      <c r="A4756" s="946" t="s">
        <v>28610</v>
      </c>
      <c r="B4756" s="947" t="s">
        <v>8389</v>
      </c>
      <c r="C4756" s="948" t="s">
        <v>8387</v>
      </c>
      <c r="D4756" s="242" t="s">
        <v>28715</v>
      </c>
      <c r="E4756" s="949">
        <v>1204</v>
      </c>
      <c r="F4756" s="949">
        <v>1204</v>
      </c>
      <c r="G4756" s="950" t="s">
        <v>10183</v>
      </c>
      <c r="H4756" s="950" t="s">
        <v>1274</v>
      </c>
      <c r="I4756" s="951" t="s">
        <v>8388</v>
      </c>
      <c r="J4756" s="947" t="s">
        <v>8389</v>
      </c>
      <c r="K4756" s="143"/>
    </row>
    <row r="4757" spans="1:11">
      <c r="A4757" s="946" t="s">
        <v>28610</v>
      </c>
      <c r="B4757" s="947" t="s">
        <v>8502</v>
      </c>
      <c r="C4757" s="948" t="s">
        <v>8500</v>
      </c>
      <c r="D4757" s="242" t="s">
        <v>28715</v>
      </c>
      <c r="E4757" s="949">
        <v>1204</v>
      </c>
      <c r="F4757" s="949">
        <v>1204</v>
      </c>
      <c r="G4757" s="950" t="s">
        <v>10183</v>
      </c>
      <c r="H4757" s="950" t="s">
        <v>1274</v>
      </c>
      <c r="I4757" s="951" t="s">
        <v>8501</v>
      </c>
      <c r="J4757" s="947" t="s">
        <v>8502</v>
      </c>
      <c r="K4757" s="143"/>
    </row>
    <row r="4758" spans="1:11">
      <c r="A4758" s="946" t="s">
        <v>28610</v>
      </c>
      <c r="B4758" s="947" t="s">
        <v>8802</v>
      </c>
      <c r="C4758" s="948" t="s">
        <v>8800</v>
      </c>
      <c r="D4758" s="242" t="s">
        <v>28715</v>
      </c>
      <c r="E4758" s="949">
        <v>1204</v>
      </c>
      <c r="F4758" s="949">
        <v>1204</v>
      </c>
      <c r="G4758" s="950" t="s">
        <v>10183</v>
      </c>
      <c r="H4758" s="950" t="s">
        <v>1274</v>
      </c>
      <c r="I4758" s="951" t="s">
        <v>8801</v>
      </c>
      <c r="J4758" s="947" t="s">
        <v>8802</v>
      </c>
      <c r="K4758" s="143"/>
    </row>
    <row r="4759" spans="1:11">
      <c r="A4759" s="946" t="s">
        <v>28610</v>
      </c>
      <c r="B4759" s="947" t="s">
        <v>9952</v>
      </c>
      <c r="C4759" s="948" t="s">
        <v>9950</v>
      </c>
      <c r="D4759" s="242" t="s">
        <v>28715</v>
      </c>
      <c r="E4759" s="949">
        <v>1204</v>
      </c>
      <c r="F4759" s="949">
        <v>1204</v>
      </c>
      <c r="G4759" s="950" t="s">
        <v>10183</v>
      </c>
      <c r="H4759" s="950" t="s">
        <v>1274</v>
      </c>
      <c r="I4759" s="951" t="s">
        <v>9951</v>
      </c>
      <c r="J4759" s="947" t="s">
        <v>9952</v>
      </c>
      <c r="K4759" s="143"/>
    </row>
    <row r="4760" spans="1:11">
      <c r="A4760" s="946" t="s">
        <v>28610</v>
      </c>
      <c r="B4760" s="947" t="s">
        <v>10183</v>
      </c>
      <c r="C4760" s="948" t="s">
        <v>10181</v>
      </c>
      <c r="D4760" s="242" t="s">
        <v>28715</v>
      </c>
      <c r="E4760" s="949">
        <v>1204</v>
      </c>
      <c r="F4760" s="949">
        <v>1204</v>
      </c>
      <c r="G4760" s="950" t="s">
        <v>10183</v>
      </c>
      <c r="H4760" s="950" t="s">
        <v>1274</v>
      </c>
      <c r="I4760" s="951" t="s">
        <v>10182</v>
      </c>
      <c r="J4760" s="947" t="s">
        <v>10183</v>
      </c>
      <c r="K4760" s="143"/>
    </row>
    <row r="4761" spans="1:11">
      <c r="A4761" s="946" t="s">
        <v>28610</v>
      </c>
      <c r="B4761" s="947" t="s">
        <v>10300</v>
      </c>
      <c r="C4761" s="948" t="s">
        <v>10298</v>
      </c>
      <c r="D4761" s="242" t="s">
        <v>28715</v>
      </c>
      <c r="E4761" s="949">
        <v>1204</v>
      </c>
      <c r="F4761" s="949">
        <v>1204</v>
      </c>
      <c r="G4761" s="950" t="s">
        <v>10183</v>
      </c>
      <c r="H4761" s="950" t="s">
        <v>1274</v>
      </c>
      <c r="I4761" s="951" t="s">
        <v>10299</v>
      </c>
      <c r="J4761" s="947" t="s">
        <v>10300</v>
      </c>
      <c r="K4761" s="143"/>
    </row>
    <row r="4762" spans="1:11">
      <c r="A4762" s="946" t="s">
        <v>28610</v>
      </c>
      <c r="B4762" s="947" t="s">
        <v>10852</v>
      </c>
      <c r="C4762" s="948" t="s">
        <v>10850</v>
      </c>
      <c r="D4762" s="242" t="s">
        <v>28715</v>
      </c>
      <c r="E4762" s="949">
        <v>1204</v>
      </c>
      <c r="F4762" s="949">
        <v>1204</v>
      </c>
      <c r="G4762" s="950" t="s">
        <v>10183</v>
      </c>
      <c r="H4762" s="950" t="s">
        <v>1274</v>
      </c>
      <c r="I4762" s="951" t="s">
        <v>10851</v>
      </c>
      <c r="J4762" s="947" t="s">
        <v>10852</v>
      </c>
      <c r="K4762" s="143"/>
    </row>
    <row r="4763" spans="1:11">
      <c r="A4763" s="946" t="s">
        <v>28610</v>
      </c>
      <c r="B4763" s="947" t="s">
        <v>11803</v>
      </c>
      <c r="C4763" s="948" t="s">
        <v>11801</v>
      </c>
      <c r="D4763" s="242" t="s">
        <v>28715</v>
      </c>
      <c r="E4763" s="949">
        <v>1204</v>
      </c>
      <c r="F4763" s="949">
        <v>1204</v>
      </c>
      <c r="G4763" s="950" t="s">
        <v>10183</v>
      </c>
      <c r="H4763" s="950" t="s">
        <v>1274</v>
      </c>
      <c r="I4763" s="951" t="s">
        <v>11802</v>
      </c>
      <c r="J4763" s="947" t="s">
        <v>11803</v>
      </c>
      <c r="K4763" s="143"/>
    </row>
    <row r="4764" spans="1:11">
      <c r="A4764" s="946" t="s">
        <v>28610</v>
      </c>
      <c r="B4764" s="947" t="s">
        <v>12314</v>
      </c>
      <c r="C4764" s="948" t="s">
        <v>12312</v>
      </c>
      <c r="D4764" s="242" t="s">
        <v>28715</v>
      </c>
      <c r="E4764" s="949">
        <v>1204</v>
      </c>
      <c r="F4764" s="949">
        <v>1204</v>
      </c>
      <c r="G4764" s="950" t="s">
        <v>10183</v>
      </c>
      <c r="H4764" s="950" t="s">
        <v>1274</v>
      </c>
      <c r="I4764" s="951" t="s">
        <v>12313</v>
      </c>
      <c r="J4764" s="947" t="s">
        <v>12314</v>
      </c>
      <c r="K4764" s="143"/>
    </row>
    <row r="4765" spans="1:11">
      <c r="A4765" s="946" t="s">
        <v>28610</v>
      </c>
      <c r="B4765" s="947" t="s">
        <v>13376</v>
      </c>
      <c r="C4765" s="948" t="s">
        <v>13374</v>
      </c>
      <c r="D4765" s="242" t="s">
        <v>28715</v>
      </c>
      <c r="E4765" s="949">
        <v>1204</v>
      </c>
      <c r="F4765" s="949">
        <v>1204</v>
      </c>
      <c r="G4765" s="950" t="s">
        <v>10183</v>
      </c>
      <c r="H4765" s="950" t="s">
        <v>1274</v>
      </c>
      <c r="I4765" s="951" t="s">
        <v>13375</v>
      </c>
      <c r="J4765" s="947" t="s">
        <v>13376</v>
      </c>
      <c r="K4765" s="143"/>
    </row>
    <row r="4766" spans="1:11">
      <c r="A4766" s="946" t="s">
        <v>28610</v>
      </c>
      <c r="B4766" s="947" t="s">
        <v>15469</v>
      </c>
      <c r="C4766" s="948" t="s">
        <v>15467</v>
      </c>
      <c r="D4766" s="242" t="s">
        <v>28715</v>
      </c>
      <c r="E4766" s="949">
        <v>1204</v>
      </c>
      <c r="F4766" s="949">
        <v>1204</v>
      </c>
      <c r="G4766" s="950" t="s">
        <v>10183</v>
      </c>
      <c r="H4766" s="950" t="s">
        <v>1274</v>
      </c>
      <c r="I4766" s="951" t="s">
        <v>15468</v>
      </c>
      <c r="J4766" s="947" t="s">
        <v>15469</v>
      </c>
      <c r="K4766" s="143"/>
    </row>
    <row r="4767" spans="1:11">
      <c r="A4767" s="946" t="s">
        <v>28610</v>
      </c>
      <c r="B4767" s="947" t="s">
        <v>15487</v>
      </c>
      <c r="C4767" s="948" t="s">
        <v>15485</v>
      </c>
      <c r="D4767" s="242" t="s">
        <v>28715</v>
      </c>
      <c r="E4767" s="949">
        <v>1204</v>
      </c>
      <c r="F4767" s="949">
        <v>1204</v>
      </c>
      <c r="G4767" s="950" t="s">
        <v>10183</v>
      </c>
      <c r="H4767" s="950" t="s">
        <v>1274</v>
      </c>
      <c r="I4767" s="951" t="s">
        <v>15486</v>
      </c>
      <c r="J4767" s="947" t="s">
        <v>15487</v>
      </c>
      <c r="K4767" s="143"/>
    </row>
    <row r="4768" spans="1:11">
      <c r="A4768" s="946" t="s">
        <v>28610</v>
      </c>
      <c r="B4768" s="947" t="s">
        <v>15888</v>
      </c>
      <c r="C4768" s="948" t="s">
        <v>15886</v>
      </c>
      <c r="D4768" s="242" t="s">
        <v>28715</v>
      </c>
      <c r="E4768" s="949">
        <v>1204</v>
      </c>
      <c r="F4768" s="949">
        <v>1204</v>
      </c>
      <c r="G4768" s="950" t="s">
        <v>10183</v>
      </c>
      <c r="H4768" s="950" t="s">
        <v>1274</v>
      </c>
      <c r="I4768" s="951" t="s">
        <v>15887</v>
      </c>
      <c r="J4768" s="947" t="s">
        <v>15888</v>
      </c>
      <c r="K4768" s="143"/>
    </row>
    <row r="4769" spans="1:11">
      <c r="A4769" s="946" t="s">
        <v>28610</v>
      </c>
      <c r="B4769" s="947" t="s">
        <v>15906</v>
      </c>
      <c r="C4769" s="948" t="s">
        <v>15904</v>
      </c>
      <c r="D4769" s="242" t="s">
        <v>28715</v>
      </c>
      <c r="E4769" s="949">
        <v>1204</v>
      </c>
      <c r="F4769" s="949">
        <v>1204</v>
      </c>
      <c r="G4769" s="950" t="s">
        <v>10183</v>
      </c>
      <c r="H4769" s="950" t="s">
        <v>1274</v>
      </c>
      <c r="I4769" s="951" t="s">
        <v>15905</v>
      </c>
      <c r="J4769" s="947" t="s">
        <v>15906</v>
      </c>
      <c r="K4769" s="143"/>
    </row>
    <row r="4770" spans="1:11">
      <c r="A4770" s="946" t="s">
        <v>28610</v>
      </c>
      <c r="B4770" s="947" t="s">
        <v>16628</v>
      </c>
      <c r="C4770" s="948" t="s">
        <v>16626</v>
      </c>
      <c r="D4770" s="242" t="s">
        <v>28715</v>
      </c>
      <c r="E4770" s="949">
        <v>1204</v>
      </c>
      <c r="F4770" s="949">
        <v>1204</v>
      </c>
      <c r="G4770" s="950" t="s">
        <v>10183</v>
      </c>
      <c r="H4770" s="950" t="s">
        <v>1274</v>
      </c>
      <c r="I4770" s="951" t="s">
        <v>16627</v>
      </c>
      <c r="J4770" s="947" t="s">
        <v>16628</v>
      </c>
      <c r="K4770" s="143"/>
    </row>
    <row r="4771" spans="1:11">
      <c r="A4771" s="946" t="s">
        <v>28610</v>
      </c>
      <c r="B4771" s="947" t="s">
        <v>16551</v>
      </c>
      <c r="C4771" s="948" t="s">
        <v>16549</v>
      </c>
      <c r="D4771" s="242" t="s">
        <v>28715</v>
      </c>
      <c r="E4771" s="949">
        <v>1204</v>
      </c>
      <c r="F4771" s="949">
        <v>1204</v>
      </c>
      <c r="G4771" s="950" t="s">
        <v>10183</v>
      </c>
      <c r="H4771" s="950" t="s">
        <v>1274</v>
      </c>
      <c r="I4771" s="951" t="s">
        <v>16550</v>
      </c>
      <c r="J4771" s="947" t="s">
        <v>16551</v>
      </c>
      <c r="K4771" s="143"/>
    </row>
    <row r="4772" spans="1:11">
      <c r="A4772" s="946" t="s">
        <v>28610</v>
      </c>
      <c r="B4772" s="947" t="s">
        <v>16679</v>
      </c>
      <c r="C4772" s="948" t="s">
        <v>16677</v>
      </c>
      <c r="D4772" s="242" t="s">
        <v>28715</v>
      </c>
      <c r="E4772" s="949">
        <v>1204</v>
      </c>
      <c r="F4772" s="949">
        <v>1204</v>
      </c>
      <c r="G4772" s="950" t="s">
        <v>10183</v>
      </c>
      <c r="H4772" s="950" t="s">
        <v>1274</v>
      </c>
      <c r="I4772" s="951" t="s">
        <v>16678</v>
      </c>
      <c r="J4772" s="947" t="s">
        <v>16679</v>
      </c>
      <c r="K4772" s="143"/>
    </row>
    <row r="4773" spans="1:11">
      <c r="A4773" s="946" t="s">
        <v>28610</v>
      </c>
      <c r="B4773" s="947" t="s">
        <v>17137</v>
      </c>
      <c r="C4773" s="948" t="s">
        <v>17135</v>
      </c>
      <c r="D4773" s="242" t="s">
        <v>28715</v>
      </c>
      <c r="E4773" s="949">
        <v>1204</v>
      </c>
      <c r="F4773" s="949">
        <v>1204</v>
      </c>
      <c r="G4773" s="950" t="s">
        <v>10183</v>
      </c>
      <c r="H4773" s="950" t="s">
        <v>1274</v>
      </c>
      <c r="I4773" s="951" t="s">
        <v>17136</v>
      </c>
      <c r="J4773" s="947" t="s">
        <v>17137</v>
      </c>
      <c r="K4773" s="143"/>
    </row>
    <row r="4774" spans="1:11">
      <c r="A4774" s="946" t="s">
        <v>28610</v>
      </c>
      <c r="B4774" s="947" t="s">
        <v>17553</v>
      </c>
      <c r="C4774" s="948" t="s">
        <v>17551</v>
      </c>
      <c r="D4774" s="242" t="s">
        <v>28715</v>
      </c>
      <c r="E4774" s="949">
        <v>1204</v>
      </c>
      <c r="F4774" s="949">
        <v>1204</v>
      </c>
      <c r="G4774" s="950" t="s">
        <v>10183</v>
      </c>
      <c r="H4774" s="950" t="s">
        <v>1274</v>
      </c>
      <c r="I4774" s="951" t="s">
        <v>17552</v>
      </c>
      <c r="J4774" s="947" t="s">
        <v>17553</v>
      </c>
      <c r="K4774" s="143"/>
    </row>
    <row r="4775" spans="1:11">
      <c r="A4775" s="946" t="s">
        <v>28610</v>
      </c>
      <c r="B4775" s="947" t="s">
        <v>18741</v>
      </c>
      <c r="C4775" s="948" t="s">
        <v>18739</v>
      </c>
      <c r="D4775" s="242" t="s">
        <v>28715</v>
      </c>
      <c r="E4775" s="949">
        <v>1204</v>
      </c>
      <c r="F4775" s="949">
        <v>1204</v>
      </c>
      <c r="G4775" s="950" t="s">
        <v>10183</v>
      </c>
      <c r="H4775" s="950" t="s">
        <v>1274</v>
      </c>
      <c r="I4775" s="951" t="s">
        <v>18740</v>
      </c>
      <c r="J4775" s="947" t="s">
        <v>18741</v>
      </c>
      <c r="K4775" s="143"/>
    </row>
    <row r="4776" spans="1:11">
      <c r="A4776" s="946" t="s">
        <v>28610</v>
      </c>
      <c r="B4776" s="947" t="s">
        <v>19304</v>
      </c>
      <c r="C4776" s="948" t="s">
        <v>19302</v>
      </c>
      <c r="D4776" s="242" t="s">
        <v>28715</v>
      </c>
      <c r="E4776" s="949">
        <v>1204</v>
      </c>
      <c r="F4776" s="949">
        <v>1204</v>
      </c>
      <c r="G4776" s="950" t="s">
        <v>10183</v>
      </c>
      <c r="H4776" s="950" t="s">
        <v>1274</v>
      </c>
      <c r="I4776" s="951" t="s">
        <v>19303</v>
      </c>
      <c r="J4776" s="947" t="s">
        <v>19304</v>
      </c>
      <c r="K4776" s="143"/>
    </row>
    <row r="4777" spans="1:11">
      <c r="A4777" s="946" t="s">
        <v>28610</v>
      </c>
      <c r="B4777" s="947" t="s">
        <v>19480</v>
      </c>
      <c r="C4777" s="948" t="s">
        <v>19478</v>
      </c>
      <c r="D4777" s="242" t="s">
        <v>28715</v>
      </c>
      <c r="E4777" s="949">
        <v>1204</v>
      </c>
      <c r="F4777" s="949">
        <v>1204</v>
      </c>
      <c r="G4777" s="950" t="s">
        <v>10183</v>
      </c>
      <c r="H4777" s="950" t="s">
        <v>1274</v>
      </c>
      <c r="I4777" s="951" t="s">
        <v>19479</v>
      </c>
      <c r="J4777" s="947" t="s">
        <v>19480</v>
      </c>
      <c r="K4777" s="143"/>
    </row>
    <row r="4778" spans="1:11">
      <c r="A4778" s="946" t="s">
        <v>28610</v>
      </c>
      <c r="B4778" s="947" t="s">
        <v>19726</v>
      </c>
      <c r="C4778" s="948" t="s">
        <v>19724</v>
      </c>
      <c r="D4778" s="242" t="s">
        <v>28715</v>
      </c>
      <c r="E4778" s="949">
        <v>1204</v>
      </c>
      <c r="F4778" s="949">
        <v>1204</v>
      </c>
      <c r="G4778" s="950" t="s">
        <v>10183</v>
      </c>
      <c r="H4778" s="950" t="s">
        <v>1274</v>
      </c>
      <c r="I4778" s="951" t="s">
        <v>19725</v>
      </c>
      <c r="J4778" s="947" t="s">
        <v>19726</v>
      </c>
      <c r="K4778" s="143"/>
    </row>
    <row r="4779" spans="1:11">
      <c r="A4779" s="946" t="s">
        <v>28610</v>
      </c>
      <c r="B4779" s="947" t="s">
        <v>19857</v>
      </c>
      <c r="C4779" s="948" t="s">
        <v>19855</v>
      </c>
      <c r="D4779" s="242" t="s">
        <v>28715</v>
      </c>
      <c r="E4779" s="949">
        <v>1204</v>
      </c>
      <c r="F4779" s="949">
        <v>1204</v>
      </c>
      <c r="G4779" s="950" t="s">
        <v>10183</v>
      </c>
      <c r="H4779" s="950" t="s">
        <v>1274</v>
      </c>
      <c r="I4779" s="951" t="s">
        <v>19856</v>
      </c>
      <c r="J4779" s="947" t="s">
        <v>19857</v>
      </c>
      <c r="K4779" s="143"/>
    </row>
    <row r="4780" spans="1:11">
      <c r="A4780" s="946" t="s">
        <v>28610</v>
      </c>
      <c r="B4780" s="947" t="s">
        <v>19878</v>
      </c>
      <c r="C4780" s="948" t="s">
        <v>19876</v>
      </c>
      <c r="D4780" s="242" t="s">
        <v>28715</v>
      </c>
      <c r="E4780" s="949">
        <v>1204</v>
      </c>
      <c r="F4780" s="949">
        <v>1204</v>
      </c>
      <c r="G4780" s="950" t="s">
        <v>10183</v>
      </c>
      <c r="H4780" s="950" t="s">
        <v>1274</v>
      </c>
      <c r="I4780" s="951" t="s">
        <v>19877</v>
      </c>
      <c r="J4780" s="947" t="s">
        <v>19878</v>
      </c>
      <c r="K4780" s="143"/>
    </row>
    <row r="4781" spans="1:11">
      <c r="A4781" s="946" t="s">
        <v>28610</v>
      </c>
      <c r="B4781" s="947" t="s">
        <v>20369</v>
      </c>
      <c r="C4781" s="948" t="s">
        <v>20367</v>
      </c>
      <c r="D4781" s="242" t="s">
        <v>28715</v>
      </c>
      <c r="E4781" s="949">
        <v>1204</v>
      </c>
      <c r="F4781" s="949">
        <v>1204</v>
      </c>
      <c r="G4781" s="950" t="s">
        <v>10183</v>
      </c>
      <c r="H4781" s="950" t="s">
        <v>1274</v>
      </c>
      <c r="I4781" s="951" t="s">
        <v>20368</v>
      </c>
      <c r="J4781" s="947" t="s">
        <v>20369</v>
      </c>
      <c r="K4781" s="143"/>
    </row>
    <row r="4782" spans="1:11">
      <c r="A4782" s="946" t="s">
        <v>28610</v>
      </c>
      <c r="B4782" s="947" t="s">
        <v>21719</v>
      </c>
      <c r="C4782" s="948" t="s">
        <v>21717</v>
      </c>
      <c r="D4782" s="242" t="s">
        <v>28715</v>
      </c>
      <c r="E4782" s="949">
        <v>1204</v>
      </c>
      <c r="F4782" s="949">
        <v>1204</v>
      </c>
      <c r="G4782" s="950" t="s">
        <v>10183</v>
      </c>
      <c r="H4782" s="950" t="s">
        <v>1274</v>
      </c>
      <c r="I4782" s="951" t="s">
        <v>21718</v>
      </c>
      <c r="J4782" s="947" t="s">
        <v>21719</v>
      </c>
      <c r="K4782" s="143"/>
    </row>
    <row r="4783" spans="1:11">
      <c r="A4783" s="946" t="s">
        <v>28610</v>
      </c>
      <c r="B4783" s="947" t="s">
        <v>433</v>
      </c>
      <c r="C4783" s="948" t="s">
        <v>430</v>
      </c>
      <c r="D4783" s="242" t="s">
        <v>407</v>
      </c>
      <c r="E4783" s="949">
        <v>1205</v>
      </c>
      <c r="F4783" s="949">
        <v>1205</v>
      </c>
      <c r="G4783" s="950" t="s">
        <v>8734</v>
      </c>
      <c r="H4783" s="950" t="s">
        <v>431</v>
      </c>
      <c r="I4783" s="951" t="s">
        <v>432</v>
      </c>
      <c r="J4783" s="947" t="s">
        <v>433</v>
      </c>
      <c r="K4783" s="143"/>
    </row>
    <row r="4784" spans="1:11">
      <c r="A4784" s="946" t="s">
        <v>28610</v>
      </c>
      <c r="B4784" s="947" t="s">
        <v>523</v>
      </c>
      <c r="C4784" s="948" t="s">
        <v>521</v>
      </c>
      <c r="D4784" s="242" t="s">
        <v>407</v>
      </c>
      <c r="E4784" s="949">
        <v>1205</v>
      </c>
      <c r="F4784" s="949">
        <v>1205</v>
      </c>
      <c r="G4784" s="950" t="s">
        <v>8734</v>
      </c>
      <c r="H4784" s="950" t="s">
        <v>431</v>
      </c>
      <c r="I4784" s="951" t="s">
        <v>522</v>
      </c>
      <c r="J4784" s="947" t="s">
        <v>523</v>
      </c>
      <c r="K4784" s="143"/>
    </row>
    <row r="4785" spans="1:11">
      <c r="A4785" s="946" t="s">
        <v>28610</v>
      </c>
      <c r="B4785" s="947" t="s">
        <v>750</v>
      </c>
      <c r="C4785" s="948" t="s">
        <v>748</v>
      </c>
      <c r="D4785" s="242" t="s">
        <v>407</v>
      </c>
      <c r="E4785" s="949">
        <v>1205</v>
      </c>
      <c r="F4785" s="949">
        <v>1205</v>
      </c>
      <c r="G4785" s="950" t="s">
        <v>8734</v>
      </c>
      <c r="H4785" s="950" t="s">
        <v>431</v>
      </c>
      <c r="I4785" s="951" t="s">
        <v>749</v>
      </c>
      <c r="J4785" s="947" t="s">
        <v>750</v>
      </c>
      <c r="K4785" s="143"/>
    </row>
    <row r="4786" spans="1:11">
      <c r="A4786" s="946" t="s">
        <v>28610</v>
      </c>
      <c r="B4786" s="947" t="s">
        <v>1046</v>
      </c>
      <c r="C4786" s="948" t="s">
        <v>1044</v>
      </c>
      <c r="D4786" s="242" t="s">
        <v>407</v>
      </c>
      <c r="E4786" s="949">
        <v>1205</v>
      </c>
      <c r="F4786" s="949">
        <v>1205</v>
      </c>
      <c r="G4786" s="950" t="s">
        <v>8734</v>
      </c>
      <c r="H4786" s="950" t="s">
        <v>431</v>
      </c>
      <c r="I4786" s="951" t="s">
        <v>1045</v>
      </c>
      <c r="J4786" s="947" t="s">
        <v>1046</v>
      </c>
      <c r="K4786" s="143"/>
    </row>
    <row r="4787" spans="1:11">
      <c r="A4787" s="946" t="s">
        <v>28610</v>
      </c>
      <c r="B4787" s="947" t="s">
        <v>1072</v>
      </c>
      <c r="C4787" s="948" t="s">
        <v>1070</v>
      </c>
      <c r="D4787" s="242" t="s">
        <v>28715</v>
      </c>
      <c r="E4787" s="949">
        <v>1204</v>
      </c>
      <c r="F4787" s="949">
        <v>1204</v>
      </c>
      <c r="G4787" s="950" t="s">
        <v>8734</v>
      </c>
      <c r="H4787" s="950" t="s">
        <v>431</v>
      </c>
      <c r="I4787" s="951" t="s">
        <v>1071</v>
      </c>
      <c r="J4787" s="947" t="s">
        <v>1072</v>
      </c>
      <c r="K4787" s="143"/>
    </row>
    <row r="4788" spans="1:11">
      <c r="A4788" s="946" t="s">
        <v>28610</v>
      </c>
      <c r="B4788" s="947" t="s">
        <v>1106</v>
      </c>
      <c r="C4788" s="948" t="s">
        <v>1104</v>
      </c>
      <c r="D4788" s="242" t="s">
        <v>407</v>
      </c>
      <c r="E4788" s="949">
        <v>1205</v>
      </c>
      <c r="F4788" s="949">
        <v>1205</v>
      </c>
      <c r="G4788" s="950" t="s">
        <v>8734</v>
      </c>
      <c r="H4788" s="950" t="s">
        <v>431</v>
      </c>
      <c r="I4788" s="951" t="s">
        <v>1105</v>
      </c>
      <c r="J4788" s="947" t="s">
        <v>1106</v>
      </c>
      <c r="K4788" s="143"/>
    </row>
    <row r="4789" spans="1:11">
      <c r="A4789" s="946" t="s">
        <v>28610</v>
      </c>
      <c r="B4789" s="947" t="s">
        <v>1291</v>
      </c>
      <c r="C4789" s="948" t="s">
        <v>1289</v>
      </c>
      <c r="D4789" s="242" t="s">
        <v>407</v>
      </c>
      <c r="E4789" s="949">
        <v>1205</v>
      </c>
      <c r="F4789" s="949">
        <v>1205</v>
      </c>
      <c r="G4789" s="950" t="s">
        <v>8734</v>
      </c>
      <c r="H4789" s="950" t="s">
        <v>431</v>
      </c>
      <c r="I4789" s="951" t="s">
        <v>1290</v>
      </c>
      <c r="J4789" s="947" t="s">
        <v>1291</v>
      </c>
      <c r="K4789" s="143"/>
    </row>
    <row r="4790" spans="1:11">
      <c r="A4790" s="946" t="s">
        <v>28610</v>
      </c>
      <c r="B4790" s="947" t="s">
        <v>1315</v>
      </c>
      <c r="C4790" s="948" t="s">
        <v>1313</v>
      </c>
      <c r="D4790" s="242" t="s">
        <v>407</v>
      </c>
      <c r="E4790" s="949">
        <v>1205</v>
      </c>
      <c r="F4790" s="949">
        <v>1205</v>
      </c>
      <c r="G4790" s="950" t="s">
        <v>8734</v>
      </c>
      <c r="H4790" s="950" t="s">
        <v>431</v>
      </c>
      <c r="I4790" s="951" t="s">
        <v>1314</v>
      </c>
      <c r="J4790" s="947" t="s">
        <v>1315</v>
      </c>
      <c r="K4790" s="143"/>
    </row>
    <row r="4791" spans="1:11">
      <c r="A4791" s="946" t="s">
        <v>28610</v>
      </c>
      <c r="B4791" s="947" t="s">
        <v>1450</v>
      </c>
      <c r="C4791" s="948" t="s">
        <v>1448</v>
      </c>
      <c r="D4791" s="242" t="s">
        <v>407</v>
      </c>
      <c r="E4791" s="949">
        <v>1205</v>
      </c>
      <c r="F4791" s="949">
        <v>1205</v>
      </c>
      <c r="G4791" s="950" t="s">
        <v>8734</v>
      </c>
      <c r="H4791" s="950" t="s">
        <v>431</v>
      </c>
      <c r="I4791" s="951" t="s">
        <v>1449</v>
      </c>
      <c r="J4791" s="947" t="s">
        <v>1450</v>
      </c>
      <c r="K4791" s="143"/>
    </row>
    <row r="4792" spans="1:11">
      <c r="A4792" s="946" t="s">
        <v>28610</v>
      </c>
      <c r="B4792" s="947" t="s">
        <v>1473</v>
      </c>
      <c r="C4792" s="948" t="s">
        <v>1471</v>
      </c>
      <c r="D4792" s="242" t="s">
        <v>407</v>
      </c>
      <c r="E4792" s="949">
        <v>1205</v>
      </c>
      <c r="F4792" s="949">
        <v>1205</v>
      </c>
      <c r="G4792" s="950" t="s">
        <v>8734</v>
      </c>
      <c r="H4792" s="950" t="s">
        <v>431</v>
      </c>
      <c r="I4792" s="951" t="s">
        <v>1472</v>
      </c>
      <c r="J4792" s="947" t="s">
        <v>1473</v>
      </c>
      <c r="K4792" s="143"/>
    </row>
    <row r="4793" spans="1:11">
      <c r="A4793" s="946" t="s">
        <v>28610</v>
      </c>
      <c r="B4793" s="947" t="s">
        <v>1602</v>
      </c>
      <c r="C4793" s="948" t="s">
        <v>1600</v>
      </c>
      <c r="D4793" s="242" t="s">
        <v>407</v>
      </c>
      <c r="E4793" s="949">
        <v>1205</v>
      </c>
      <c r="F4793" s="949">
        <v>1205</v>
      </c>
      <c r="G4793" s="950" t="s">
        <v>8734</v>
      </c>
      <c r="H4793" s="950" t="s">
        <v>431</v>
      </c>
      <c r="I4793" s="951" t="s">
        <v>1601</v>
      </c>
      <c r="J4793" s="947" t="s">
        <v>1602</v>
      </c>
      <c r="K4793" s="143"/>
    </row>
    <row r="4794" spans="1:11">
      <c r="A4794" s="946" t="s">
        <v>28610</v>
      </c>
      <c r="B4794" s="947" t="s">
        <v>1641</v>
      </c>
      <c r="C4794" s="948" t="s">
        <v>1639</v>
      </c>
      <c r="D4794" s="242" t="s">
        <v>407</v>
      </c>
      <c r="E4794" s="949">
        <v>1205</v>
      </c>
      <c r="F4794" s="949">
        <v>1205</v>
      </c>
      <c r="G4794" s="950" t="s">
        <v>8734</v>
      </c>
      <c r="H4794" s="950" t="s">
        <v>431</v>
      </c>
      <c r="I4794" s="951" t="s">
        <v>1640</v>
      </c>
      <c r="J4794" s="947" t="s">
        <v>1641</v>
      </c>
      <c r="K4794" s="143"/>
    </row>
    <row r="4795" spans="1:11">
      <c r="A4795" s="946" t="s">
        <v>28610</v>
      </c>
      <c r="B4795" s="947" t="s">
        <v>2213</v>
      </c>
      <c r="C4795" s="948" t="s">
        <v>2211</v>
      </c>
      <c r="D4795" s="242" t="s">
        <v>407</v>
      </c>
      <c r="E4795" s="949">
        <v>1205</v>
      </c>
      <c r="F4795" s="949">
        <v>1205</v>
      </c>
      <c r="G4795" s="950" t="s">
        <v>8734</v>
      </c>
      <c r="H4795" s="950" t="s">
        <v>431</v>
      </c>
      <c r="I4795" s="951" t="s">
        <v>2212</v>
      </c>
      <c r="J4795" s="947" t="s">
        <v>2213</v>
      </c>
      <c r="K4795" s="143"/>
    </row>
    <row r="4796" spans="1:11">
      <c r="A4796" s="946" t="s">
        <v>28610</v>
      </c>
      <c r="B4796" s="947" t="s">
        <v>2923</v>
      </c>
      <c r="C4796" s="948" t="s">
        <v>2921</v>
      </c>
      <c r="D4796" s="242" t="s">
        <v>407</v>
      </c>
      <c r="E4796" s="949">
        <v>1205</v>
      </c>
      <c r="F4796" s="949">
        <v>1205</v>
      </c>
      <c r="G4796" s="950" t="s">
        <v>8734</v>
      </c>
      <c r="H4796" s="950" t="s">
        <v>431</v>
      </c>
      <c r="I4796" s="951" t="s">
        <v>2922</v>
      </c>
      <c r="J4796" s="947" t="s">
        <v>2923</v>
      </c>
      <c r="K4796" s="143"/>
    </row>
    <row r="4797" spans="1:11">
      <c r="A4797" s="946" t="s">
        <v>28610</v>
      </c>
      <c r="B4797" s="947" t="s">
        <v>3099</v>
      </c>
      <c r="C4797" s="948" t="s">
        <v>3097</v>
      </c>
      <c r="D4797" s="242" t="s">
        <v>407</v>
      </c>
      <c r="E4797" s="949">
        <v>1205</v>
      </c>
      <c r="F4797" s="949">
        <v>1205</v>
      </c>
      <c r="G4797" s="950" t="s">
        <v>8734</v>
      </c>
      <c r="H4797" s="950" t="s">
        <v>431</v>
      </c>
      <c r="I4797" s="951" t="s">
        <v>3098</v>
      </c>
      <c r="J4797" s="947" t="s">
        <v>3099</v>
      </c>
      <c r="K4797" s="143"/>
    </row>
    <row r="4798" spans="1:11">
      <c r="A4798" s="946" t="s">
        <v>28610</v>
      </c>
      <c r="B4798" s="947" t="s">
        <v>3797</v>
      </c>
      <c r="C4798" s="948" t="s">
        <v>3795</v>
      </c>
      <c r="D4798" s="242" t="s">
        <v>407</v>
      </c>
      <c r="E4798" s="949">
        <v>1205</v>
      </c>
      <c r="F4798" s="949">
        <v>1205</v>
      </c>
      <c r="G4798" s="950" t="s">
        <v>8734</v>
      </c>
      <c r="H4798" s="950" t="s">
        <v>431</v>
      </c>
      <c r="I4798" s="951" t="s">
        <v>3796</v>
      </c>
      <c r="J4798" s="947" t="s">
        <v>3797</v>
      </c>
      <c r="K4798" s="143"/>
    </row>
    <row r="4799" spans="1:11">
      <c r="A4799" s="946" t="s">
        <v>28610</v>
      </c>
      <c r="B4799" s="947" t="s">
        <v>4518</v>
      </c>
      <c r="C4799" s="948" t="s">
        <v>4516</v>
      </c>
      <c r="D4799" s="242" t="s">
        <v>407</v>
      </c>
      <c r="E4799" s="949">
        <v>1205</v>
      </c>
      <c r="F4799" s="949">
        <v>1205</v>
      </c>
      <c r="G4799" s="950" t="s">
        <v>8734</v>
      </c>
      <c r="H4799" s="950" t="s">
        <v>431</v>
      </c>
      <c r="I4799" s="951" t="s">
        <v>4517</v>
      </c>
      <c r="J4799" s="947" t="s">
        <v>4518</v>
      </c>
      <c r="K4799" s="143"/>
    </row>
    <row r="4800" spans="1:11">
      <c r="A4800" s="946" t="s">
        <v>28610</v>
      </c>
      <c r="B4800" s="947" t="s">
        <v>4649</v>
      </c>
      <c r="C4800" s="948" t="s">
        <v>4647</v>
      </c>
      <c r="D4800" s="242" t="s">
        <v>407</v>
      </c>
      <c r="E4800" s="949">
        <v>1205</v>
      </c>
      <c r="F4800" s="949">
        <v>1205</v>
      </c>
      <c r="G4800" s="950" t="s">
        <v>8734</v>
      </c>
      <c r="H4800" s="950" t="s">
        <v>431</v>
      </c>
      <c r="I4800" s="951" t="s">
        <v>4648</v>
      </c>
      <c r="J4800" s="947" t="s">
        <v>4649</v>
      </c>
      <c r="K4800" s="143"/>
    </row>
    <row r="4801" spans="1:11">
      <c r="A4801" s="946" t="s">
        <v>28610</v>
      </c>
      <c r="B4801" s="947" t="s">
        <v>4868</v>
      </c>
      <c r="C4801" s="948" t="s">
        <v>4866</v>
      </c>
      <c r="D4801" s="242" t="s">
        <v>407</v>
      </c>
      <c r="E4801" s="949">
        <v>1205</v>
      </c>
      <c r="F4801" s="949">
        <v>1205</v>
      </c>
      <c r="G4801" s="950" t="s">
        <v>8734</v>
      </c>
      <c r="H4801" s="950" t="s">
        <v>431</v>
      </c>
      <c r="I4801" s="951" t="s">
        <v>4867</v>
      </c>
      <c r="J4801" s="947" t="s">
        <v>4868</v>
      </c>
      <c r="K4801" s="143"/>
    </row>
    <row r="4802" spans="1:11">
      <c r="A4802" s="946" t="s">
        <v>28610</v>
      </c>
      <c r="B4802" s="947" t="s">
        <v>5239</v>
      </c>
      <c r="C4802" s="948" t="s">
        <v>5237</v>
      </c>
      <c r="D4802" s="242" t="s">
        <v>407</v>
      </c>
      <c r="E4802" s="949">
        <v>1205</v>
      </c>
      <c r="F4802" s="949">
        <v>1205</v>
      </c>
      <c r="G4802" s="950" t="s">
        <v>8734</v>
      </c>
      <c r="H4802" s="950" t="s">
        <v>431</v>
      </c>
      <c r="I4802" s="951" t="s">
        <v>5238</v>
      </c>
      <c r="J4802" s="947" t="s">
        <v>5239</v>
      </c>
      <c r="K4802" s="143"/>
    </row>
    <row r="4803" spans="1:11">
      <c r="A4803" s="946" t="s">
        <v>28610</v>
      </c>
      <c r="B4803" s="947" t="s">
        <v>5383</v>
      </c>
      <c r="C4803" s="948" t="s">
        <v>5381</v>
      </c>
      <c r="D4803" s="242" t="s">
        <v>407</v>
      </c>
      <c r="E4803" s="949">
        <v>1205</v>
      </c>
      <c r="F4803" s="949">
        <v>1205</v>
      </c>
      <c r="G4803" s="950" t="s">
        <v>8734</v>
      </c>
      <c r="H4803" s="950" t="s">
        <v>431</v>
      </c>
      <c r="I4803" s="951" t="s">
        <v>5382</v>
      </c>
      <c r="J4803" s="947" t="s">
        <v>5383</v>
      </c>
      <c r="K4803" s="143"/>
    </row>
    <row r="4804" spans="1:11">
      <c r="A4804" s="946" t="s">
        <v>28610</v>
      </c>
      <c r="B4804" s="947" t="s">
        <v>5587</v>
      </c>
      <c r="C4804" s="948" t="s">
        <v>5585</v>
      </c>
      <c r="D4804" s="242" t="s">
        <v>407</v>
      </c>
      <c r="E4804" s="949">
        <v>1205</v>
      </c>
      <c r="F4804" s="949">
        <v>1205</v>
      </c>
      <c r="G4804" s="950" t="s">
        <v>8734</v>
      </c>
      <c r="H4804" s="950" t="s">
        <v>431</v>
      </c>
      <c r="I4804" s="951" t="s">
        <v>5586</v>
      </c>
      <c r="J4804" s="947" t="s">
        <v>5587</v>
      </c>
      <c r="K4804" s="143"/>
    </row>
    <row r="4805" spans="1:11">
      <c r="A4805" s="946" t="s">
        <v>28610</v>
      </c>
      <c r="B4805" s="947" t="s">
        <v>5581</v>
      </c>
      <c r="C4805" s="948" t="s">
        <v>5579</v>
      </c>
      <c r="D4805" s="242" t="s">
        <v>407</v>
      </c>
      <c r="E4805" s="949">
        <v>1205</v>
      </c>
      <c r="F4805" s="949">
        <v>1205</v>
      </c>
      <c r="G4805" s="950" t="s">
        <v>8734</v>
      </c>
      <c r="H4805" s="950" t="s">
        <v>431</v>
      </c>
      <c r="I4805" s="951" t="s">
        <v>5580</v>
      </c>
      <c r="J4805" s="947" t="s">
        <v>5581</v>
      </c>
      <c r="K4805" s="143"/>
    </row>
    <row r="4806" spans="1:11">
      <c r="A4806" s="946" t="s">
        <v>28610</v>
      </c>
      <c r="B4806" s="947" t="s">
        <v>5751</v>
      </c>
      <c r="C4806" s="948" t="s">
        <v>5749</v>
      </c>
      <c r="D4806" s="242" t="s">
        <v>407</v>
      </c>
      <c r="E4806" s="949">
        <v>1205</v>
      </c>
      <c r="F4806" s="949">
        <v>1205</v>
      </c>
      <c r="G4806" s="950" t="s">
        <v>8734</v>
      </c>
      <c r="H4806" s="950" t="s">
        <v>431</v>
      </c>
      <c r="I4806" s="951" t="s">
        <v>5750</v>
      </c>
      <c r="J4806" s="947" t="s">
        <v>5751</v>
      </c>
      <c r="K4806" s="143"/>
    </row>
    <row r="4807" spans="1:11">
      <c r="A4807" s="946" t="s">
        <v>28610</v>
      </c>
      <c r="B4807" s="947" t="s">
        <v>5882</v>
      </c>
      <c r="C4807" s="948" t="s">
        <v>5880</v>
      </c>
      <c r="D4807" s="242" t="s">
        <v>407</v>
      </c>
      <c r="E4807" s="949">
        <v>1205</v>
      </c>
      <c r="F4807" s="949">
        <v>1205</v>
      </c>
      <c r="G4807" s="950" t="s">
        <v>8734</v>
      </c>
      <c r="H4807" s="950" t="s">
        <v>431</v>
      </c>
      <c r="I4807" s="951" t="s">
        <v>5881</v>
      </c>
      <c r="J4807" s="947" t="s">
        <v>5882</v>
      </c>
      <c r="K4807" s="143"/>
    </row>
    <row r="4808" spans="1:11">
      <c r="A4808" s="946" t="s">
        <v>28610</v>
      </c>
      <c r="B4808" s="947" t="s">
        <v>6058</v>
      </c>
      <c r="C4808" s="948" t="s">
        <v>6056</v>
      </c>
      <c r="D4808" s="242" t="s">
        <v>407</v>
      </c>
      <c r="E4808" s="949">
        <v>1205</v>
      </c>
      <c r="F4808" s="949">
        <v>1205</v>
      </c>
      <c r="G4808" s="950" t="s">
        <v>8734</v>
      </c>
      <c r="H4808" s="950" t="s">
        <v>431</v>
      </c>
      <c r="I4808" s="951" t="s">
        <v>6057</v>
      </c>
      <c r="J4808" s="947" t="s">
        <v>6058</v>
      </c>
      <c r="K4808" s="143"/>
    </row>
    <row r="4809" spans="1:11">
      <c r="A4809" s="946" t="s">
        <v>28610</v>
      </c>
      <c r="B4809" s="947" t="s">
        <v>6700</v>
      </c>
      <c r="C4809" s="948" t="s">
        <v>6698</v>
      </c>
      <c r="D4809" s="242" t="s">
        <v>407</v>
      </c>
      <c r="E4809" s="949">
        <v>1205</v>
      </c>
      <c r="F4809" s="949">
        <v>1205</v>
      </c>
      <c r="G4809" s="950" t="s">
        <v>8734</v>
      </c>
      <c r="H4809" s="950" t="s">
        <v>431</v>
      </c>
      <c r="I4809" s="951" t="s">
        <v>6699</v>
      </c>
      <c r="J4809" s="947" t="s">
        <v>6700</v>
      </c>
      <c r="K4809" s="143"/>
    </row>
    <row r="4810" spans="1:11">
      <c r="A4810" s="946" t="s">
        <v>28610</v>
      </c>
      <c r="B4810" s="947" t="s">
        <v>6772</v>
      </c>
      <c r="C4810" s="948" t="s">
        <v>6770</v>
      </c>
      <c r="D4810" s="242" t="s">
        <v>407</v>
      </c>
      <c r="E4810" s="949">
        <v>1205</v>
      </c>
      <c r="F4810" s="949">
        <v>1205</v>
      </c>
      <c r="G4810" s="950" t="s">
        <v>8734</v>
      </c>
      <c r="H4810" s="950" t="s">
        <v>431</v>
      </c>
      <c r="I4810" s="951" t="s">
        <v>6771</v>
      </c>
      <c r="J4810" s="947" t="s">
        <v>6772</v>
      </c>
      <c r="K4810" s="143"/>
    </row>
    <row r="4811" spans="1:11">
      <c r="A4811" s="946" t="s">
        <v>28610</v>
      </c>
      <c r="B4811" s="947" t="s">
        <v>6730</v>
      </c>
      <c r="C4811" s="948" t="s">
        <v>6728</v>
      </c>
      <c r="D4811" s="242" t="s">
        <v>407</v>
      </c>
      <c r="E4811" s="949">
        <v>1205</v>
      </c>
      <c r="F4811" s="949">
        <v>1205</v>
      </c>
      <c r="G4811" s="950" t="s">
        <v>8734</v>
      </c>
      <c r="H4811" s="950" t="s">
        <v>431</v>
      </c>
      <c r="I4811" s="951" t="s">
        <v>6729</v>
      </c>
      <c r="J4811" s="947" t="s">
        <v>6730</v>
      </c>
      <c r="K4811" s="143"/>
    </row>
    <row r="4812" spans="1:11">
      <c r="A4812" s="946" t="s">
        <v>28610</v>
      </c>
      <c r="B4812" s="947" t="s">
        <v>7054</v>
      </c>
      <c r="C4812" s="948" t="s">
        <v>7052</v>
      </c>
      <c r="D4812" s="242" t="s">
        <v>407</v>
      </c>
      <c r="E4812" s="949">
        <v>1205</v>
      </c>
      <c r="F4812" s="949">
        <v>1205</v>
      </c>
      <c r="G4812" s="950" t="s">
        <v>8734</v>
      </c>
      <c r="H4812" s="950" t="s">
        <v>431</v>
      </c>
      <c r="I4812" s="951" t="s">
        <v>7053</v>
      </c>
      <c r="J4812" s="947" t="s">
        <v>7054</v>
      </c>
      <c r="K4812" s="143"/>
    </row>
    <row r="4813" spans="1:11">
      <c r="A4813" s="946" t="s">
        <v>28610</v>
      </c>
      <c r="B4813" s="947" t="s">
        <v>7915</v>
      </c>
      <c r="C4813" s="948" t="s">
        <v>7913</v>
      </c>
      <c r="D4813" s="242" t="s">
        <v>407</v>
      </c>
      <c r="E4813" s="949">
        <v>1205</v>
      </c>
      <c r="F4813" s="949">
        <v>1205</v>
      </c>
      <c r="G4813" s="950" t="s">
        <v>8734</v>
      </c>
      <c r="H4813" s="950" t="s">
        <v>431</v>
      </c>
      <c r="I4813" s="951" t="s">
        <v>7914</v>
      </c>
      <c r="J4813" s="947" t="s">
        <v>7915</v>
      </c>
      <c r="K4813" s="143"/>
    </row>
    <row r="4814" spans="1:11">
      <c r="A4814" s="946" t="s">
        <v>28610</v>
      </c>
      <c r="B4814" s="947" t="s">
        <v>8015</v>
      </c>
      <c r="C4814" s="948" t="s">
        <v>8013</v>
      </c>
      <c r="D4814" s="242" t="s">
        <v>407</v>
      </c>
      <c r="E4814" s="949">
        <v>1205</v>
      </c>
      <c r="F4814" s="949">
        <v>1205</v>
      </c>
      <c r="G4814" s="950" t="s">
        <v>8734</v>
      </c>
      <c r="H4814" s="950" t="s">
        <v>431</v>
      </c>
      <c r="I4814" s="951" t="s">
        <v>8014</v>
      </c>
      <c r="J4814" s="947" t="s">
        <v>8015</v>
      </c>
      <c r="K4814" s="143"/>
    </row>
    <row r="4815" spans="1:11">
      <c r="A4815" s="946" t="s">
        <v>28610</v>
      </c>
      <c r="B4815" s="947" t="s">
        <v>8127</v>
      </c>
      <c r="C4815" s="948" t="s">
        <v>8125</v>
      </c>
      <c r="D4815" s="242" t="s">
        <v>407</v>
      </c>
      <c r="E4815" s="949">
        <v>1205</v>
      </c>
      <c r="F4815" s="949">
        <v>1205</v>
      </c>
      <c r="G4815" s="950" t="s">
        <v>8734</v>
      </c>
      <c r="H4815" s="950" t="s">
        <v>431</v>
      </c>
      <c r="I4815" s="951" t="s">
        <v>8126</v>
      </c>
      <c r="J4815" s="947" t="s">
        <v>8127</v>
      </c>
      <c r="K4815" s="143"/>
    </row>
    <row r="4816" spans="1:11">
      <c r="A4816" s="946" t="s">
        <v>28610</v>
      </c>
      <c r="B4816" s="947" t="s">
        <v>8242</v>
      </c>
      <c r="C4816" s="948" t="s">
        <v>8240</v>
      </c>
      <c r="D4816" s="242" t="s">
        <v>393</v>
      </c>
      <c r="E4816" s="949">
        <v>1202</v>
      </c>
      <c r="F4816" s="949">
        <v>1202</v>
      </c>
      <c r="G4816" s="950" t="s">
        <v>8734</v>
      </c>
      <c r="H4816" s="950" t="s">
        <v>431</v>
      </c>
      <c r="I4816" s="951" t="s">
        <v>8241</v>
      </c>
      <c r="J4816" s="947" t="s">
        <v>8242</v>
      </c>
      <c r="K4816" s="143"/>
    </row>
    <row r="4817" spans="1:11">
      <c r="A4817" s="946" t="s">
        <v>28610</v>
      </c>
      <c r="B4817" s="947" t="s">
        <v>8295</v>
      </c>
      <c r="C4817" s="948" t="s">
        <v>8293</v>
      </c>
      <c r="D4817" s="242" t="s">
        <v>407</v>
      </c>
      <c r="E4817" s="949">
        <v>1205</v>
      </c>
      <c r="F4817" s="949">
        <v>1205</v>
      </c>
      <c r="G4817" s="950" t="s">
        <v>8734</v>
      </c>
      <c r="H4817" s="950" t="s">
        <v>431</v>
      </c>
      <c r="I4817" s="951" t="s">
        <v>8294</v>
      </c>
      <c r="J4817" s="947" t="s">
        <v>8295</v>
      </c>
      <c r="K4817" s="143"/>
    </row>
    <row r="4818" spans="1:11">
      <c r="A4818" s="946" t="s">
        <v>28610</v>
      </c>
      <c r="B4818" s="947" t="s">
        <v>8397</v>
      </c>
      <c r="C4818" s="948" t="s">
        <v>8395</v>
      </c>
      <c r="D4818" s="242" t="s">
        <v>407</v>
      </c>
      <c r="E4818" s="949">
        <v>1205</v>
      </c>
      <c r="F4818" s="949">
        <v>1205</v>
      </c>
      <c r="G4818" s="950" t="s">
        <v>8734</v>
      </c>
      <c r="H4818" s="950" t="s">
        <v>431</v>
      </c>
      <c r="I4818" s="951" t="s">
        <v>8396</v>
      </c>
      <c r="J4818" s="947" t="s">
        <v>8397</v>
      </c>
      <c r="K4818" s="143"/>
    </row>
    <row r="4819" spans="1:11">
      <c r="A4819" s="946" t="s">
        <v>28610</v>
      </c>
      <c r="B4819" s="947" t="s">
        <v>8441</v>
      </c>
      <c r="C4819" s="948" t="s">
        <v>8439</v>
      </c>
      <c r="D4819" s="242" t="s">
        <v>407</v>
      </c>
      <c r="E4819" s="949">
        <v>1205</v>
      </c>
      <c r="F4819" s="949">
        <v>1205</v>
      </c>
      <c r="G4819" s="950" t="s">
        <v>8734</v>
      </c>
      <c r="H4819" s="950" t="s">
        <v>431</v>
      </c>
      <c r="I4819" s="951" t="s">
        <v>8440</v>
      </c>
      <c r="J4819" s="947" t="s">
        <v>8441</v>
      </c>
      <c r="K4819" s="143"/>
    </row>
    <row r="4820" spans="1:11">
      <c r="A4820" s="946" t="s">
        <v>28610</v>
      </c>
      <c r="B4820" s="947" t="s">
        <v>8734</v>
      </c>
      <c r="C4820" s="948" t="s">
        <v>8732</v>
      </c>
      <c r="D4820" s="242" t="s">
        <v>407</v>
      </c>
      <c r="E4820" s="949">
        <v>1205</v>
      </c>
      <c r="F4820" s="949">
        <v>1205</v>
      </c>
      <c r="G4820" s="950" t="s">
        <v>8734</v>
      </c>
      <c r="H4820" s="950" t="s">
        <v>431</v>
      </c>
      <c r="I4820" s="951" t="s">
        <v>8733</v>
      </c>
      <c r="J4820" s="947" t="s">
        <v>8734</v>
      </c>
      <c r="K4820" s="143"/>
    </row>
    <row r="4821" spans="1:11">
      <c r="A4821" s="946" t="s">
        <v>28610</v>
      </c>
      <c r="B4821" s="947" t="s">
        <v>8756</v>
      </c>
      <c r="C4821" s="948" t="s">
        <v>8754</v>
      </c>
      <c r="D4821" s="242" t="s">
        <v>407</v>
      </c>
      <c r="E4821" s="949">
        <v>1205</v>
      </c>
      <c r="F4821" s="949">
        <v>1205</v>
      </c>
      <c r="G4821" s="950" t="s">
        <v>8734</v>
      </c>
      <c r="H4821" s="950" t="s">
        <v>431</v>
      </c>
      <c r="I4821" s="951" t="s">
        <v>8755</v>
      </c>
      <c r="J4821" s="947" t="s">
        <v>8756</v>
      </c>
      <c r="K4821" s="143"/>
    </row>
    <row r="4822" spans="1:11">
      <c r="A4822" s="946" t="s">
        <v>28610</v>
      </c>
      <c r="B4822" s="947" t="s">
        <v>8897</v>
      </c>
      <c r="C4822" s="948" t="s">
        <v>8895</v>
      </c>
      <c r="D4822" s="242" t="s">
        <v>407</v>
      </c>
      <c r="E4822" s="949">
        <v>1205</v>
      </c>
      <c r="F4822" s="949">
        <v>1205</v>
      </c>
      <c r="G4822" s="950" t="s">
        <v>8734</v>
      </c>
      <c r="H4822" s="950" t="s">
        <v>431</v>
      </c>
      <c r="I4822" s="951" t="s">
        <v>8896</v>
      </c>
      <c r="J4822" s="947" t="s">
        <v>8897</v>
      </c>
      <c r="K4822" s="143"/>
    </row>
    <row r="4823" spans="1:11">
      <c r="A4823" s="946" t="s">
        <v>28610</v>
      </c>
      <c r="B4823" s="947" t="s">
        <v>9290</v>
      </c>
      <c r="C4823" s="948" t="s">
        <v>9288</v>
      </c>
      <c r="D4823" s="242" t="s">
        <v>28715</v>
      </c>
      <c r="E4823" s="949">
        <v>1204</v>
      </c>
      <c r="F4823" s="949">
        <v>1204</v>
      </c>
      <c r="G4823" s="950" t="s">
        <v>8734</v>
      </c>
      <c r="H4823" s="950" t="s">
        <v>431</v>
      </c>
      <c r="I4823" s="951" t="s">
        <v>9289</v>
      </c>
      <c r="J4823" s="947" t="s">
        <v>9290</v>
      </c>
      <c r="K4823" s="143"/>
    </row>
    <row r="4824" spans="1:11">
      <c r="A4824" s="946" t="s">
        <v>28610</v>
      </c>
      <c r="B4824" s="947" t="s">
        <v>9681</v>
      </c>
      <c r="C4824" s="948" t="s">
        <v>9679</v>
      </c>
      <c r="D4824" s="242" t="s">
        <v>407</v>
      </c>
      <c r="E4824" s="949">
        <v>1205</v>
      </c>
      <c r="F4824" s="949">
        <v>1205</v>
      </c>
      <c r="G4824" s="950" t="s">
        <v>8734</v>
      </c>
      <c r="H4824" s="950" t="s">
        <v>431</v>
      </c>
      <c r="I4824" s="951" t="s">
        <v>9680</v>
      </c>
      <c r="J4824" s="947" t="s">
        <v>9681</v>
      </c>
      <c r="K4824" s="143"/>
    </row>
    <row r="4825" spans="1:11">
      <c r="A4825" s="946" t="s">
        <v>28610</v>
      </c>
      <c r="B4825" s="947" t="s">
        <v>9884</v>
      </c>
      <c r="C4825" s="948" t="s">
        <v>9882</v>
      </c>
      <c r="D4825" s="242" t="s">
        <v>407</v>
      </c>
      <c r="E4825" s="949">
        <v>1205</v>
      </c>
      <c r="F4825" s="949">
        <v>1205</v>
      </c>
      <c r="G4825" s="950" t="s">
        <v>8734</v>
      </c>
      <c r="H4825" s="950" t="s">
        <v>431</v>
      </c>
      <c r="I4825" s="951" t="s">
        <v>9883</v>
      </c>
      <c r="J4825" s="947" t="s">
        <v>9884</v>
      </c>
      <c r="K4825" s="143"/>
    </row>
    <row r="4826" spans="1:11">
      <c r="A4826" s="946" t="s">
        <v>28610</v>
      </c>
      <c r="B4826" s="947" t="s">
        <v>12320</v>
      </c>
      <c r="C4826" s="948" t="s">
        <v>12318</v>
      </c>
      <c r="D4826" s="242" t="s">
        <v>407</v>
      </c>
      <c r="E4826" s="949">
        <v>1205</v>
      </c>
      <c r="F4826" s="949">
        <v>1205</v>
      </c>
      <c r="G4826" s="950" t="s">
        <v>8734</v>
      </c>
      <c r="H4826" s="950" t="s">
        <v>431</v>
      </c>
      <c r="I4826" s="951" t="s">
        <v>12319</v>
      </c>
      <c r="J4826" s="947" t="s">
        <v>12320</v>
      </c>
      <c r="K4826" s="143"/>
    </row>
    <row r="4827" spans="1:11">
      <c r="A4827" s="946" t="s">
        <v>28610</v>
      </c>
      <c r="B4827" s="947" t="s">
        <v>12968</v>
      </c>
      <c r="C4827" s="948" t="s">
        <v>12966</v>
      </c>
      <c r="D4827" s="242" t="s">
        <v>407</v>
      </c>
      <c r="E4827" s="949">
        <v>1205</v>
      </c>
      <c r="F4827" s="949">
        <v>1205</v>
      </c>
      <c r="G4827" s="950" t="s">
        <v>8734</v>
      </c>
      <c r="H4827" s="950" t="s">
        <v>431</v>
      </c>
      <c r="I4827" s="951" t="s">
        <v>12967</v>
      </c>
      <c r="J4827" s="947" t="s">
        <v>12968</v>
      </c>
      <c r="K4827" s="143"/>
    </row>
    <row r="4828" spans="1:11">
      <c r="A4828" s="946" t="s">
        <v>28610</v>
      </c>
      <c r="B4828" s="947" t="s">
        <v>14126</v>
      </c>
      <c r="C4828" s="948" t="s">
        <v>14124</v>
      </c>
      <c r="D4828" s="242" t="s">
        <v>407</v>
      </c>
      <c r="E4828" s="949">
        <v>1205</v>
      </c>
      <c r="F4828" s="949">
        <v>1205</v>
      </c>
      <c r="G4828" s="950" t="s">
        <v>8734</v>
      </c>
      <c r="H4828" s="950" t="s">
        <v>431</v>
      </c>
      <c r="I4828" s="951" t="s">
        <v>14125</v>
      </c>
      <c r="J4828" s="947" t="s">
        <v>14126</v>
      </c>
      <c r="K4828" s="143"/>
    </row>
    <row r="4829" spans="1:11">
      <c r="A4829" s="946" t="s">
        <v>28610</v>
      </c>
      <c r="B4829" s="947" t="s">
        <v>14312</v>
      </c>
      <c r="C4829" s="948" t="s">
        <v>14310</v>
      </c>
      <c r="D4829" s="242" t="s">
        <v>407</v>
      </c>
      <c r="E4829" s="949">
        <v>1205</v>
      </c>
      <c r="F4829" s="949">
        <v>1205</v>
      </c>
      <c r="G4829" s="950" t="s">
        <v>8734</v>
      </c>
      <c r="H4829" s="950" t="s">
        <v>431</v>
      </c>
      <c r="I4829" s="951" t="s">
        <v>14311</v>
      </c>
      <c r="J4829" s="947" t="s">
        <v>14312</v>
      </c>
      <c r="K4829" s="143"/>
    </row>
    <row r="4830" spans="1:11">
      <c r="A4830" s="946" t="s">
        <v>28610</v>
      </c>
      <c r="B4830" s="947" t="s">
        <v>14339</v>
      </c>
      <c r="C4830" s="948" t="s">
        <v>14337</v>
      </c>
      <c r="D4830" s="242" t="s">
        <v>407</v>
      </c>
      <c r="E4830" s="949">
        <v>1205</v>
      </c>
      <c r="F4830" s="949">
        <v>1205</v>
      </c>
      <c r="G4830" s="950" t="s">
        <v>8734</v>
      </c>
      <c r="H4830" s="950" t="s">
        <v>431</v>
      </c>
      <c r="I4830" s="951" t="s">
        <v>14338</v>
      </c>
      <c r="J4830" s="947" t="s">
        <v>14339</v>
      </c>
      <c r="K4830" s="143"/>
    </row>
    <row r="4831" spans="1:11">
      <c r="A4831" s="946" t="s">
        <v>28610</v>
      </c>
      <c r="B4831" s="947" t="s">
        <v>14613</v>
      </c>
      <c r="C4831" s="948" t="s">
        <v>14611</v>
      </c>
      <c r="D4831" s="242" t="s">
        <v>407</v>
      </c>
      <c r="E4831" s="949">
        <v>1205</v>
      </c>
      <c r="F4831" s="949">
        <v>1205</v>
      </c>
      <c r="G4831" s="950" t="s">
        <v>8734</v>
      </c>
      <c r="H4831" s="950" t="s">
        <v>431</v>
      </c>
      <c r="I4831" s="951" t="s">
        <v>14612</v>
      </c>
      <c r="J4831" s="947" t="s">
        <v>14613</v>
      </c>
      <c r="K4831" s="143"/>
    </row>
    <row r="4832" spans="1:11">
      <c r="A4832" s="946" t="s">
        <v>28610</v>
      </c>
      <c r="B4832" s="947" t="s">
        <v>14806</v>
      </c>
      <c r="C4832" s="948" t="s">
        <v>14804</v>
      </c>
      <c r="D4832" s="242" t="s">
        <v>407</v>
      </c>
      <c r="E4832" s="949">
        <v>1205</v>
      </c>
      <c r="F4832" s="949">
        <v>1205</v>
      </c>
      <c r="G4832" s="950" t="s">
        <v>8734</v>
      </c>
      <c r="H4832" s="950" t="s">
        <v>431</v>
      </c>
      <c r="I4832" s="951" t="s">
        <v>14805</v>
      </c>
      <c r="J4832" s="947" t="s">
        <v>14806</v>
      </c>
      <c r="K4832" s="143"/>
    </row>
    <row r="4833" spans="1:11">
      <c r="A4833" s="946" t="s">
        <v>28610</v>
      </c>
      <c r="B4833" s="947" t="s">
        <v>14809</v>
      </c>
      <c r="C4833" s="948" t="s">
        <v>14807</v>
      </c>
      <c r="D4833" s="242" t="s">
        <v>407</v>
      </c>
      <c r="E4833" s="949">
        <v>1205</v>
      </c>
      <c r="F4833" s="949">
        <v>1205</v>
      </c>
      <c r="G4833" s="950" t="s">
        <v>8734</v>
      </c>
      <c r="H4833" s="950" t="s">
        <v>431</v>
      </c>
      <c r="I4833" s="951" t="s">
        <v>14808</v>
      </c>
      <c r="J4833" s="947" t="s">
        <v>14809</v>
      </c>
      <c r="K4833" s="143"/>
    </row>
    <row r="4834" spans="1:11">
      <c r="A4834" s="946" t="s">
        <v>28610</v>
      </c>
      <c r="B4834" s="947" t="s">
        <v>14824</v>
      </c>
      <c r="C4834" s="948" t="s">
        <v>14822</v>
      </c>
      <c r="D4834" s="242" t="s">
        <v>407</v>
      </c>
      <c r="E4834" s="949">
        <v>1205</v>
      </c>
      <c r="F4834" s="949">
        <v>1205</v>
      </c>
      <c r="G4834" s="950" t="s">
        <v>8734</v>
      </c>
      <c r="H4834" s="950" t="s">
        <v>431</v>
      </c>
      <c r="I4834" s="951" t="s">
        <v>14823</v>
      </c>
      <c r="J4834" s="947" t="s">
        <v>14824</v>
      </c>
      <c r="K4834" s="143"/>
    </row>
    <row r="4835" spans="1:11">
      <c r="A4835" s="946" t="s">
        <v>28610</v>
      </c>
      <c r="B4835" s="947" t="s">
        <v>14972</v>
      </c>
      <c r="C4835" s="948" t="s">
        <v>14970</v>
      </c>
      <c r="D4835" s="242" t="s">
        <v>407</v>
      </c>
      <c r="E4835" s="949">
        <v>1205</v>
      </c>
      <c r="F4835" s="949">
        <v>1205</v>
      </c>
      <c r="G4835" s="950" t="s">
        <v>8734</v>
      </c>
      <c r="H4835" s="950" t="s">
        <v>431</v>
      </c>
      <c r="I4835" s="951" t="s">
        <v>14971</v>
      </c>
      <c r="J4835" s="947" t="s">
        <v>14972</v>
      </c>
      <c r="K4835" s="143"/>
    </row>
    <row r="4836" spans="1:11">
      <c r="A4836" s="946" t="s">
        <v>28610</v>
      </c>
      <c r="B4836" s="947" t="s">
        <v>14978</v>
      </c>
      <c r="C4836" s="948" t="s">
        <v>14976</v>
      </c>
      <c r="D4836" s="242" t="s">
        <v>407</v>
      </c>
      <c r="E4836" s="949">
        <v>1205</v>
      </c>
      <c r="F4836" s="949">
        <v>1205</v>
      </c>
      <c r="G4836" s="950" t="s">
        <v>8734</v>
      </c>
      <c r="H4836" s="950" t="s">
        <v>431</v>
      </c>
      <c r="I4836" s="951" t="s">
        <v>14977</v>
      </c>
      <c r="J4836" s="947" t="s">
        <v>14978</v>
      </c>
      <c r="K4836" s="143"/>
    </row>
    <row r="4837" spans="1:11">
      <c r="A4837" s="946" t="s">
        <v>28610</v>
      </c>
      <c r="B4837" s="947" t="s">
        <v>15161</v>
      </c>
      <c r="C4837" s="948" t="s">
        <v>15159</v>
      </c>
      <c r="D4837" s="242" t="s">
        <v>407</v>
      </c>
      <c r="E4837" s="949">
        <v>1205</v>
      </c>
      <c r="F4837" s="949">
        <v>1205</v>
      </c>
      <c r="G4837" s="950" t="s">
        <v>8734</v>
      </c>
      <c r="H4837" s="950" t="s">
        <v>431</v>
      </c>
      <c r="I4837" s="951" t="s">
        <v>15160</v>
      </c>
      <c r="J4837" s="947" t="s">
        <v>15161</v>
      </c>
      <c r="K4837" s="143"/>
    </row>
    <row r="4838" spans="1:11">
      <c r="A4838" s="946" t="s">
        <v>28610</v>
      </c>
      <c r="B4838" s="947" t="s">
        <v>15424</v>
      </c>
      <c r="C4838" s="948" t="s">
        <v>15422</v>
      </c>
      <c r="D4838" s="242" t="s">
        <v>407</v>
      </c>
      <c r="E4838" s="949">
        <v>1205</v>
      </c>
      <c r="F4838" s="949">
        <v>1205</v>
      </c>
      <c r="G4838" s="950" t="s">
        <v>8734</v>
      </c>
      <c r="H4838" s="950" t="s">
        <v>431</v>
      </c>
      <c r="I4838" s="951" t="s">
        <v>15423</v>
      </c>
      <c r="J4838" s="947" t="s">
        <v>15424</v>
      </c>
      <c r="K4838" s="143"/>
    </row>
    <row r="4839" spans="1:11">
      <c r="A4839" s="946" t="s">
        <v>28610</v>
      </c>
      <c r="B4839" s="947" t="s">
        <v>15625</v>
      </c>
      <c r="C4839" s="948" t="s">
        <v>15623</v>
      </c>
      <c r="D4839" s="242" t="s">
        <v>407</v>
      </c>
      <c r="E4839" s="949">
        <v>1205</v>
      </c>
      <c r="F4839" s="949">
        <v>1205</v>
      </c>
      <c r="G4839" s="950" t="s">
        <v>8734</v>
      </c>
      <c r="H4839" s="950" t="s">
        <v>431</v>
      </c>
      <c r="I4839" s="951" t="s">
        <v>15624</v>
      </c>
      <c r="J4839" s="947" t="s">
        <v>15625</v>
      </c>
      <c r="K4839" s="143"/>
    </row>
    <row r="4840" spans="1:11">
      <c r="A4840" s="946" t="s">
        <v>28610</v>
      </c>
      <c r="B4840" s="947" t="s">
        <v>16375</v>
      </c>
      <c r="C4840" s="948" t="s">
        <v>16373</v>
      </c>
      <c r="D4840" s="242" t="s">
        <v>407</v>
      </c>
      <c r="E4840" s="949">
        <v>1205</v>
      </c>
      <c r="F4840" s="949">
        <v>1205</v>
      </c>
      <c r="G4840" s="950" t="s">
        <v>8734</v>
      </c>
      <c r="H4840" s="950" t="s">
        <v>431</v>
      </c>
      <c r="I4840" s="951" t="s">
        <v>16374</v>
      </c>
      <c r="J4840" s="947" t="s">
        <v>16375</v>
      </c>
      <c r="K4840" s="143"/>
    </row>
    <row r="4841" spans="1:11">
      <c r="A4841" s="946" t="s">
        <v>28610</v>
      </c>
      <c r="B4841" s="947" t="s">
        <v>16516</v>
      </c>
      <c r="C4841" s="948" t="s">
        <v>16514</v>
      </c>
      <c r="D4841" s="242" t="s">
        <v>407</v>
      </c>
      <c r="E4841" s="949">
        <v>1205</v>
      </c>
      <c r="F4841" s="949">
        <v>1205</v>
      </c>
      <c r="G4841" s="950" t="s">
        <v>8734</v>
      </c>
      <c r="H4841" s="950" t="s">
        <v>431</v>
      </c>
      <c r="I4841" s="951" t="s">
        <v>16515</v>
      </c>
      <c r="J4841" s="947" t="s">
        <v>16516</v>
      </c>
      <c r="K4841" s="143"/>
    </row>
    <row r="4842" spans="1:11">
      <c r="A4842" s="946" t="s">
        <v>28610</v>
      </c>
      <c r="B4842" s="947" t="s">
        <v>16676</v>
      </c>
      <c r="C4842" s="948" t="s">
        <v>16674</v>
      </c>
      <c r="D4842" s="242" t="s">
        <v>407</v>
      </c>
      <c r="E4842" s="949">
        <v>1205</v>
      </c>
      <c r="F4842" s="949">
        <v>1205</v>
      </c>
      <c r="G4842" s="950" t="s">
        <v>8734</v>
      </c>
      <c r="H4842" s="950" t="s">
        <v>431</v>
      </c>
      <c r="I4842" s="951" t="s">
        <v>16675</v>
      </c>
      <c r="J4842" s="947" t="s">
        <v>16676</v>
      </c>
      <c r="K4842" s="143"/>
    </row>
    <row r="4843" spans="1:11">
      <c r="A4843" s="946" t="s">
        <v>28610</v>
      </c>
      <c r="B4843" s="947" t="s">
        <v>17415</v>
      </c>
      <c r="C4843" s="948" t="s">
        <v>17413</v>
      </c>
      <c r="D4843" s="242" t="s">
        <v>407</v>
      </c>
      <c r="E4843" s="949">
        <v>1205</v>
      </c>
      <c r="F4843" s="949">
        <v>1205</v>
      </c>
      <c r="G4843" s="950" t="s">
        <v>8734</v>
      </c>
      <c r="H4843" s="950" t="s">
        <v>431</v>
      </c>
      <c r="I4843" s="951" t="s">
        <v>17414</v>
      </c>
      <c r="J4843" s="947" t="s">
        <v>17415</v>
      </c>
      <c r="K4843" s="143"/>
    </row>
    <row r="4844" spans="1:11">
      <c r="A4844" s="946" t="s">
        <v>28610</v>
      </c>
      <c r="B4844" s="947" t="s">
        <v>17543</v>
      </c>
      <c r="C4844" s="948" t="s">
        <v>17541</v>
      </c>
      <c r="D4844" s="242" t="s">
        <v>407</v>
      </c>
      <c r="E4844" s="949">
        <v>1205</v>
      </c>
      <c r="F4844" s="949">
        <v>1205</v>
      </c>
      <c r="G4844" s="950" t="s">
        <v>8734</v>
      </c>
      <c r="H4844" s="950" t="s">
        <v>431</v>
      </c>
      <c r="I4844" s="951" t="s">
        <v>17542</v>
      </c>
      <c r="J4844" s="947" t="s">
        <v>17543</v>
      </c>
      <c r="K4844" s="143"/>
    </row>
    <row r="4845" spans="1:11">
      <c r="A4845" s="946" t="s">
        <v>28610</v>
      </c>
      <c r="B4845" s="947" t="s">
        <v>17638</v>
      </c>
      <c r="C4845" s="948" t="s">
        <v>17636</v>
      </c>
      <c r="D4845" s="242" t="s">
        <v>407</v>
      </c>
      <c r="E4845" s="949">
        <v>1205</v>
      </c>
      <c r="F4845" s="949">
        <v>1205</v>
      </c>
      <c r="G4845" s="950" t="s">
        <v>8734</v>
      </c>
      <c r="H4845" s="950" t="s">
        <v>431</v>
      </c>
      <c r="I4845" s="951" t="s">
        <v>17637</v>
      </c>
      <c r="J4845" s="947" t="s">
        <v>17638</v>
      </c>
      <c r="K4845" s="143"/>
    </row>
    <row r="4846" spans="1:11">
      <c r="A4846" s="946" t="s">
        <v>28610</v>
      </c>
      <c r="B4846" s="947" t="s">
        <v>17732</v>
      </c>
      <c r="C4846" s="948" t="s">
        <v>17730</v>
      </c>
      <c r="D4846" s="242" t="s">
        <v>407</v>
      </c>
      <c r="E4846" s="949">
        <v>1205</v>
      </c>
      <c r="F4846" s="949">
        <v>1205</v>
      </c>
      <c r="G4846" s="950" t="s">
        <v>8734</v>
      </c>
      <c r="H4846" s="950" t="s">
        <v>431</v>
      </c>
      <c r="I4846" s="951" t="s">
        <v>17731</v>
      </c>
      <c r="J4846" s="947" t="s">
        <v>17732</v>
      </c>
      <c r="K4846" s="143"/>
    </row>
    <row r="4847" spans="1:11">
      <c r="A4847" s="946" t="s">
        <v>28610</v>
      </c>
      <c r="B4847" s="947" t="s">
        <v>18594</v>
      </c>
      <c r="C4847" s="948" t="s">
        <v>18592</v>
      </c>
      <c r="D4847" s="242" t="s">
        <v>407</v>
      </c>
      <c r="E4847" s="949">
        <v>1205</v>
      </c>
      <c r="F4847" s="949">
        <v>1205</v>
      </c>
      <c r="G4847" s="950" t="s">
        <v>8734</v>
      </c>
      <c r="H4847" s="950" t="s">
        <v>431</v>
      </c>
      <c r="I4847" s="951" t="s">
        <v>18593</v>
      </c>
      <c r="J4847" s="947" t="s">
        <v>18594</v>
      </c>
      <c r="K4847" s="143"/>
    </row>
    <row r="4848" spans="1:11">
      <c r="A4848" s="946" t="s">
        <v>28610</v>
      </c>
      <c r="B4848" s="947" t="s">
        <v>18606</v>
      </c>
      <c r="C4848" s="948" t="s">
        <v>18604</v>
      </c>
      <c r="D4848" s="242" t="s">
        <v>407</v>
      </c>
      <c r="E4848" s="949">
        <v>1205</v>
      </c>
      <c r="F4848" s="949">
        <v>1205</v>
      </c>
      <c r="G4848" s="950" t="s">
        <v>8734</v>
      </c>
      <c r="H4848" s="950" t="s">
        <v>431</v>
      </c>
      <c r="I4848" s="951" t="s">
        <v>18605</v>
      </c>
      <c r="J4848" s="947" t="s">
        <v>18606</v>
      </c>
      <c r="K4848" s="143"/>
    </row>
    <row r="4849" spans="1:11">
      <c r="A4849" s="946" t="s">
        <v>28610</v>
      </c>
      <c r="B4849" s="947" t="s">
        <v>18679</v>
      </c>
      <c r="C4849" s="948" t="s">
        <v>18677</v>
      </c>
      <c r="D4849" s="242" t="s">
        <v>407</v>
      </c>
      <c r="E4849" s="949">
        <v>1205</v>
      </c>
      <c r="F4849" s="949">
        <v>1205</v>
      </c>
      <c r="G4849" s="950" t="s">
        <v>8734</v>
      </c>
      <c r="H4849" s="950" t="s">
        <v>431</v>
      </c>
      <c r="I4849" s="951" t="s">
        <v>18678</v>
      </c>
      <c r="J4849" s="947" t="s">
        <v>18679</v>
      </c>
      <c r="K4849" s="143"/>
    </row>
    <row r="4850" spans="1:11">
      <c r="A4850" s="946" t="s">
        <v>28610</v>
      </c>
      <c r="B4850" s="947" t="s">
        <v>18715</v>
      </c>
      <c r="C4850" s="948" t="s">
        <v>18713</v>
      </c>
      <c r="D4850" s="242" t="s">
        <v>407</v>
      </c>
      <c r="E4850" s="949">
        <v>1205</v>
      </c>
      <c r="F4850" s="949">
        <v>1205</v>
      </c>
      <c r="G4850" s="950" t="s">
        <v>8734</v>
      </c>
      <c r="H4850" s="950" t="s">
        <v>431</v>
      </c>
      <c r="I4850" s="951" t="s">
        <v>18714</v>
      </c>
      <c r="J4850" s="947" t="s">
        <v>18715</v>
      </c>
      <c r="K4850" s="143"/>
    </row>
    <row r="4851" spans="1:11">
      <c r="A4851" s="946" t="s">
        <v>28610</v>
      </c>
      <c r="B4851" s="947" t="s">
        <v>18808</v>
      </c>
      <c r="C4851" s="948" t="s">
        <v>18806</v>
      </c>
      <c r="D4851" s="242" t="s">
        <v>407</v>
      </c>
      <c r="E4851" s="949">
        <v>1205</v>
      </c>
      <c r="F4851" s="949">
        <v>1205</v>
      </c>
      <c r="G4851" s="950" t="s">
        <v>8734</v>
      </c>
      <c r="H4851" s="950" t="s">
        <v>431</v>
      </c>
      <c r="I4851" s="951" t="s">
        <v>18807</v>
      </c>
      <c r="J4851" s="947" t="s">
        <v>18808</v>
      </c>
      <c r="K4851" s="143"/>
    </row>
    <row r="4852" spans="1:11">
      <c r="A4852" s="946" t="s">
        <v>28610</v>
      </c>
      <c r="B4852" s="947" t="s">
        <v>18308</v>
      </c>
      <c r="C4852" s="948" t="s">
        <v>18306</v>
      </c>
      <c r="D4852" s="242" t="s">
        <v>407</v>
      </c>
      <c r="E4852" s="949">
        <v>1205</v>
      </c>
      <c r="F4852" s="949">
        <v>1205</v>
      </c>
      <c r="G4852" s="950" t="s">
        <v>8734</v>
      </c>
      <c r="H4852" s="950" t="s">
        <v>431</v>
      </c>
      <c r="I4852" s="951" t="s">
        <v>18307</v>
      </c>
      <c r="J4852" s="947" t="s">
        <v>18308</v>
      </c>
      <c r="K4852" s="143"/>
    </row>
    <row r="4853" spans="1:11">
      <c r="A4853" s="946" t="s">
        <v>28610</v>
      </c>
      <c r="B4853" s="947" t="s">
        <v>19390</v>
      </c>
      <c r="C4853" s="948" t="s">
        <v>19388</v>
      </c>
      <c r="D4853" s="242" t="s">
        <v>407</v>
      </c>
      <c r="E4853" s="949">
        <v>1205</v>
      </c>
      <c r="F4853" s="949">
        <v>1205</v>
      </c>
      <c r="G4853" s="950" t="s">
        <v>8734</v>
      </c>
      <c r="H4853" s="950" t="s">
        <v>431</v>
      </c>
      <c r="I4853" s="951" t="s">
        <v>19389</v>
      </c>
      <c r="J4853" s="947" t="s">
        <v>19390</v>
      </c>
      <c r="K4853" s="143"/>
    </row>
    <row r="4854" spans="1:11">
      <c r="A4854" s="946" t="s">
        <v>28610</v>
      </c>
      <c r="B4854" s="947" t="s">
        <v>19449</v>
      </c>
      <c r="C4854" s="948" t="s">
        <v>19447</v>
      </c>
      <c r="D4854" s="242" t="s">
        <v>407</v>
      </c>
      <c r="E4854" s="949">
        <v>1205</v>
      </c>
      <c r="F4854" s="949">
        <v>1205</v>
      </c>
      <c r="G4854" s="950" t="s">
        <v>8734</v>
      </c>
      <c r="H4854" s="950" t="s">
        <v>431</v>
      </c>
      <c r="I4854" s="951" t="s">
        <v>19448</v>
      </c>
      <c r="J4854" s="947" t="s">
        <v>19449</v>
      </c>
      <c r="K4854" s="143"/>
    </row>
    <row r="4855" spans="1:11">
      <c r="A4855" s="946" t="s">
        <v>28610</v>
      </c>
      <c r="B4855" s="947" t="s">
        <v>19489</v>
      </c>
      <c r="C4855" s="948" t="s">
        <v>19487</v>
      </c>
      <c r="D4855" s="242" t="s">
        <v>407</v>
      </c>
      <c r="E4855" s="949">
        <v>1205</v>
      </c>
      <c r="F4855" s="949">
        <v>1205</v>
      </c>
      <c r="G4855" s="950" t="s">
        <v>8734</v>
      </c>
      <c r="H4855" s="950" t="s">
        <v>431</v>
      </c>
      <c r="I4855" s="951" t="s">
        <v>19488</v>
      </c>
      <c r="J4855" s="947" t="s">
        <v>19489</v>
      </c>
      <c r="K4855" s="143"/>
    </row>
    <row r="4856" spans="1:11">
      <c r="A4856" s="946" t="s">
        <v>28610</v>
      </c>
      <c r="B4856" s="947" t="s">
        <v>19729</v>
      </c>
      <c r="C4856" s="948" t="s">
        <v>19727</v>
      </c>
      <c r="D4856" s="242" t="s">
        <v>407</v>
      </c>
      <c r="E4856" s="949">
        <v>1205</v>
      </c>
      <c r="F4856" s="949">
        <v>1205</v>
      </c>
      <c r="G4856" s="950" t="s">
        <v>8734</v>
      </c>
      <c r="H4856" s="950" t="s">
        <v>431</v>
      </c>
      <c r="I4856" s="951" t="s">
        <v>19728</v>
      </c>
      <c r="J4856" s="947" t="s">
        <v>19729</v>
      </c>
      <c r="K4856" s="143"/>
    </row>
    <row r="4857" spans="1:11">
      <c r="A4857" s="946" t="s">
        <v>28610</v>
      </c>
      <c r="B4857" s="947" t="s">
        <v>20043</v>
      </c>
      <c r="C4857" s="948" t="s">
        <v>20041</v>
      </c>
      <c r="D4857" s="242" t="s">
        <v>407</v>
      </c>
      <c r="E4857" s="949">
        <v>1205</v>
      </c>
      <c r="F4857" s="949">
        <v>1205</v>
      </c>
      <c r="G4857" s="950" t="s">
        <v>8734</v>
      </c>
      <c r="H4857" s="950" t="s">
        <v>431</v>
      </c>
      <c r="I4857" s="951" t="s">
        <v>20042</v>
      </c>
      <c r="J4857" s="947" t="s">
        <v>20043</v>
      </c>
      <c r="K4857" s="143"/>
    </row>
    <row r="4858" spans="1:11">
      <c r="A4858" s="946" t="s">
        <v>28610</v>
      </c>
      <c r="B4858" s="947" t="s">
        <v>20124</v>
      </c>
      <c r="C4858" s="948" t="s">
        <v>20122</v>
      </c>
      <c r="D4858" s="242" t="s">
        <v>407</v>
      </c>
      <c r="E4858" s="949">
        <v>1205</v>
      </c>
      <c r="F4858" s="949">
        <v>1205</v>
      </c>
      <c r="G4858" s="950" t="s">
        <v>8734</v>
      </c>
      <c r="H4858" s="950" t="s">
        <v>431</v>
      </c>
      <c r="I4858" s="951" t="s">
        <v>20123</v>
      </c>
      <c r="J4858" s="947" t="s">
        <v>20124</v>
      </c>
      <c r="K4858" s="143"/>
    </row>
    <row r="4859" spans="1:11">
      <c r="A4859" s="946" t="s">
        <v>28610</v>
      </c>
      <c r="B4859" s="947" t="s">
        <v>20334</v>
      </c>
      <c r="C4859" s="948" t="s">
        <v>20332</v>
      </c>
      <c r="D4859" s="242" t="s">
        <v>407</v>
      </c>
      <c r="E4859" s="949">
        <v>1205</v>
      </c>
      <c r="F4859" s="949">
        <v>1205</v>
      </c>
      <c r="G4859" s="950" t="s">
        <v>8734</v>
      </c>
      <c r="H4859" s="950" t="s">
        <v>431</v>
      </c>
      <c r="I4859" s="951" t="s">
        <v>20333</v>
      </c>
      <c r="J4859" s="947" t="s">
        <v>20334</v>
      </c>
      <c r="K4859" s="143"/>
    </row>
    <row r="4860" spans="1:11">
      <c r="A4860" s="946" t="s">
        <v>28610</v>
      </c>
      <c r="B4860" s="947" t="s">
        <v>20642</v>
      </c>
      <c r="C4860" s="948" t="s">
        <v>20640</v>
      </c>
      <c r="D4860" s="242" t="s">
        <v>407</v>
      </c>
      <c r="E4860" s="949">
        <v>1205</v>
      </c>
      <c r="F4860" s="949">
        <v>1205</v>
      </c>
      <c r="G4860" s="950" t="s">
        <v>8734</v>
      </c>
      <c r="H4860" s="950" t="s">
        <v>431</v>
      </c>
      <c r="I4860" s="951" t="s">
        <v>20641</v>
      </c>
      <c r="J4860" s="947" t="s">
        <v>20642</v>
      </c>
      <c r="K4860" s="143"/>
    </row>
    <row r="4861" spans="1:11">
      <c r="A4861" s="946" t="s">
        <v>28610</v>
      </c>
      <c r="B4861" s="947" t="s">
        <v>20747</v>
      </c>
      <c r="C4861" s="948" t="s">
        <v>20745</v>
      </c>
      <c r="D4861" s="242" t="s">
        <v>407</v>
      </c>
      <c r="E4861" s="949">
        <v>1205</v>
      </c>
      <c r="F4861" s="949">
        <v>1205</v>
      </c>
      <c r="G4861" s="950" t="s">
        <v>8734</v>
      </c>
      <c r="H4861" s="950" t="s">
        <v>431</v>
      </c>
      <c r="I4861" s="951" t="s">
        <v>20746</v>
      </c>
      <c r="J4861" s="947" t="s">
        <v>20747</v>
      </c>
      <c r="K4861" s="143"/>
    </row>
    <row r="4862" spans="1:11">
      <c r="A4862" s="946" t="s">
        <v>28610</v>
      </c>
      <c r="B4862" s="947" t="s">
        <v>20965</v>
      </c>
      <c r="C4862" s="948" t="s">
        <v>20963</v>
      </c>
      <c r="D4862" s="242" t="s">
        <v>393</v>
      </c>
      <c r="E4862" s="949">
        <v>1202</v>
      </c>
      <c r="F4862" s="949">
        <v>1202</v>
      </c>
      <c r="G4862" s="950" t="s">
        <v>8734</v>
      </c>
      <c r="H4862" s="950" t="s">
        <v>431</v>
      </c>
      <c r="I4862" s="951" t="s">
        <v>20964</v>
      </c>
      <c r="J4862" s="947" t="s">
        <v>20965</v>
      </c>
      <c r="K4862" s="143"/>
    </row>
    <row r="4863" spans="1:11">
      <c r="A4863" s="946" t="s">
        <v>28610</v>
      </c>
      <c r="B4863" s="947" t="s">
        <v>21062</v>
      </c>
      <c r="C4863" s="948" t="s">
        <v>21060</v>
      </c>
      <c r="D4863" s="242" t="s">
        <v>407</v>
      </c>
      <c r="E4863" s="949">
        <v>1205</v>
      </c>
      <c r="F4863" s="949">
        <v>1205</v>
      </c>
      <c r="G4863" s="950" t="s">
        <v>8734</v>
      </c>
      <c r="H4863" s="950" t="s">
        <v>431</v>
      </c>
      <c r="I4863" s="951" t="s">
        <v>21061</v>
      </c>
      <c r="J4863" s="947" t="s">
        <v>21062</v>
      </c>
      <c r="K4863" s="143"/>
    </row>
    <row r="4864" spans="1:11">
      <c r="A4864" s="946" t="s">
        <v>28610</v>
      </c>
      <c r="B4864" s="947" t="s">
        <v>21431</v>
      </c>
      <c r="C4864" s="948" t="s">
        <v>21429</v>
      </c>
      <c r="D4864" s="242" t="s">
        <v>28715</v>
      </c>
      <c r="E4864" s="949">
        <v>1204</v>
      </c>
      <c r="F4864" s="949">
        <v>1204</v>
      </c>
      <c r="G4864" s="950" t="s">
        <v>8734</v>
      </c>
      <c r="H4864" s="950" t="s">
        <v>431</v>
      </c>
      <c r="I4864" s="951" t="s">
        <v>21430</v>
      </c>
      <c r="J4864" s="947" t="s">
        <v>21431</v>
      </c>
      <c r="K4864" s="143"/>
    </row>
    <row r="4865" spans="1:11">
      <c r="A4865" s="946" t="s">
        <v>28610</v>
      </c>
      <c r="B4865" s="947" t="s">
        <v>21450</v>
      </c>
      <c r="C4865" s="948" t="s">
        <v>21448</v>
      </c>
      <c r="D4865" s="242" t="s">
        <v>407</v>
      </c>
      <c r="E4865" s="949">
        <v>1205</v>
      </c>
      <c r="F4865" s="949">
        <v>1205</v>
      </c>
      <c r="G4865" s="950" t="s">
        <v>8734</v>
      </c>
      <c r="H4865" s="950" t="s">
        <v>431</v>
      </c>
      <c r="I4865" s="951" t="s">
        <v>21449</v>
      </c>
      <c r="J4865" s="947" t="s">
        <v>21450</v>
      </c>
      <c r="K4865" s="143"/>
    </row>
    <row r="4866" spans="1:11">
      <c r="A4866" s="946" t="s">
        <v>28610</v>
      </c>
      <c r="B4866" s="947" t="s">
        <v>21460</v>
      </c>
      <c r="C4866" s="948" t="s">
        <v>21458</v>
      </c>
      <c r="D4866" s="242" t="s">
        <v>407</v>
      </c>
      <c r="E4866" s="949">
        <v>1205</v>
      </c>
      <c r="F4866" s="949">
        <v>1205</v>
      </c>
      <c r="G4866" s="950" t="s">
        <v>8734</v>
      </c>
      <c r="H4866" s="950" t="s">
        <v>431</v>
      </c>
      <c r="I4866" s="951" t="s">
        <v>21459</v>
      </c>
      <c r="J4866" s="947" t="s">
        <v>21460</v>
      </c>
      <c r="K4866" s="143"/>
    </row>
    <row r="4867" spans="1:11">
      <c r="A4867" s="946" t="s">
        <v>28610</v>
      </c>
      <c r="B4867" s="947" t="s">
        <v>21792</v>
      </c>
      <c r="C4867" s="948" t="s">
        <v>21790</v>
      </c>
      <c r="D4867" s="242" t="s">
        <v>407</v>
      </c>
      <c r="E4867" s="949">
        <v>1205</v>
      </c>
      <c r="F4867" s="949">
        <v>1205</v>
      </c>
      <c r="G4867" s="950" t="s">
        <v>8734</v>
      </c>
      <c r="H4867" s="950" t="s">
        <v>431</v>
      </c>
      <c r="I4867" s="951" t="s">
        <v>21791</v>
      </c>
      <c r="J4867" s="947" t="s">
        <v>21792</v>
      </c>
      <c r="K4867" s="143"/>
    </row>
    <row r="4868" spans="1:11">
      <c r="A4868" s="946" t="s">
        <v>28610</v>
      </c>
      <c r="B4868" s="947" t="s">
        <v>21913</v>
      </c>
      <c r="C4868" s="948" t="s">
        <v>21911</v>
      </c>
      <c r="D4868" s="242" t="s">
        <v>407</v>
      </c>
      <c r="E4868" s="949">
        <v>1205</v>
      </c>
      <c r="F4868" s="949">
        <v>1205</v>
      </c>
      <c r="G4868" s="950" t="s">
        <v>8734</v>
      </c>
      <c r="H4868" s="950" t="s">
        <v>431</v>
      </c>
      <c r="I4868" s="951" t="s">
        <v>21912</v>
      </c>
      <c r="J4868" s="947" t="s">
        <v>21913</v>
      </c>
      <c r="K4868" s="143"/>
    </row>
    <row r="4869" spans="1:11">
      <c r="A4869" s="946" t="s">
        <v>28610</v>
      </c>
      <c r="B4869" s="947" t="s">
        <v>21931</v>
      </c>
      <c r="C4869" s="948" t="s">
        <v>21929</v>
      </c>
      <c r="D4869" s="242" t="s">
        <v>407</v>
      </c>
      <c r="E4869" s="949">
        <v>1205</v>
      </c>
      <c r="F4869" s="949">
        <v>1205</v>
      </c>
      <c r="G4869" s="950" t="s">
        <v>8734</v>
      </c>
      <c r="H4869" s="950" t="s">
        <v>431</v>
      </c>
      <c r="I4869" s="951" t="s">
        <v>21930</v>
      </c>
      <c r="J4869" s="947" t="s">
        <v>21931</v>
      </c>
      <c r="K4869" s="143"/>
    </row>
    <row r="4870" spans="1:11">
      <c r="A4870" s="946" t="s">
        <v>28610</v>
      </c>
      <c r="B4870" s="947" t="s">
        <v>22109</v>
      </c>
      <c r="C4870" s="948" t="s">
        <v>22107</v>
      </c>
      <c r="D4870" s="242" t="s">
        <v>407</v>
      </c>
      <c r="E4870" s="949">
        <v>1205</v>
      </c>
      <c r="F4870" s="949">
        <v>1205</v>
      </c>
      <c r="G4870" s="950" t="s">
        <v>8734</v>
      </c>
      <c r="H4870" s="950" t="s">
        <v>431</v>
      </c>
      <c r="I4870" s="951" t="s">
        <v>22108</v>
      </c>
      <c r="J4870" s="947" t="s">
        <v>22109</v>
      </c>
      <c r="K4870" s="143"/>
    </row>
    <row r="4871" spans="1:11">
      <c r="A4871" s="946" t="s">
        <v>28610</v>
      </c>
      <c r="B4871" s="947" t="s">
        <v>22129</v>
      </c>
      <c r="C4871" s="948" t="s">
        <v>22127</v>
      </c>
      <c r="D4871" s="242" t="s">
        <v>407</v>
      </c>
      <c r="E4871" s="949">
        <v>1205</v>
      </c>
      <c r="F4871" s="949">
        <v>1205</v>
      </c>
      <c r="G4871" s="950" t="s">
        <v>8734</v>
      </c>
      <c r="H4871" s="950" t="s">
        <v>431</v>
      </c>
      <c r="I4871" s="951" t="s">
        <v>22128</v>
      </c>
      <c r="J4871" s="947" t="s">
        <v>22129</v>
      </c>
      <c r="K4871" s="143"/>
    </row>
    <row r="4872" spans="1:11">
      <c r="A4872" s="946" t="s">
        <v>28610</v>
      </c>
      <c r="B4872" s="947" t="s">
        <v>22146</v>
      </c>
      <c r="C4872" s="948" t="s">
        <v>22144</v>
      </c>
      <c r="D4872" s="242" t="s">
        <v>28715</v>
      </c>
      <c r="E4872" s="949">
        <v>1204</v>
      </c>
      <c r="F4872" s="949">
        <v>1204</v>
      </c>
      <c r="G4872" s="950" t="s">
        <v>8734</v>
      </c>
      <c r="H4872" s="950" t="s">
        <v>431</v>
      </c>
      <c r="I4872" s="951" t="s">
        <v>22145</v>
      </c>
      <c r="J4872" s="947" t="s">
        <v>22146</v>
      </c>
      <c r="K4872" s="143"/>
    </row>
    <row r="4873" spans="1:11">
      <c r="A4873" s="946" t="s">
        <v>28610</v>
      </c>
      <c r="B4873" s="947" t="s">
        <v>22424</v>
      </c>
      <c r="C4873" s="948" t="s">
        <v>22422</v>
      </c>
      <c r="D4873" s="242" t="s">
        <v>407</v>
      </c>
      <c r="E4873" s="949">
        <v>1205</v>
      </c>
      <c r="F4873" s="949">
        <v>1205</v>
      </c>
      <c r="G4873" s="950" t="s">
        <v>8734</v>
      </c>
      <c r="H4873" s="950" t="s">
        <v>431</v>
      </c>
      <c r="I4873" s="951" t="s">
        <v>22423</v>
      </c>
      <c r="J4873" s="947" t="s">
        <v>22424</v>
      </c>
      <c r="K4873" s="143"/>
    </row>
    <row r="4874" spans="1:11">
      <c r="A4874" s="946" t="s">
        <v>28607</v>
      </c>
      <c r="B4874" s="947" t="s">
        <v>695</v>
      </c>
      <c r="C4874" s="948" t="s">
        <v>692</v>
      </c>
      <c r="D4874" s="242" t="s">
        <v>28712</v>
      </c>
      <c r="E4874" s="949">
        <v>1505</v>
      </c>
      <c r="F4874" s="949">
        <v>1505</v>
      </c>
      <c r="G4874" s="950" t="s">
        <v>4757</v>
      </c>
      <c r="H4874" s="950" t="s">
        <v>693</v>
      </c>
      <c r="I4874" s="951" t="s">
        <v>694</v>
      </c>
      <c r="J4874" s="947" t="s">
        <v>695</v>
      </c>
      <c r="K4874" s="143"/>
    </row>
    <row r="4875" spans="1:11">
      <c r="A4875" s="946" t="s">
        <v>28607</v>
      </c>
      <c r="B4875" s="947" t="s">
        <v>935</v>
      </c>
      <c r="C4875" s="948" t="s">
        <v>933</v>
      </c>
      <c r="D4875" s="242" t="s">
        <v>28712</v>
      </c>
      <c r="E4875" s="949">
        <v>1505</v>
      </c>
      <c r="F4875" s="949">
        <v>1505</v>
      </c>
      <c r="G4875" s="950" t="s">
        <v>4757</v>
      </c>
      <c r="H4875" s="950" t="s">
        <v>693</v>
      </c>
      <c r="I4875" s="951" t="s">
        <v>934</v>
      </c>
      <c r="J4875" s="947" t="s">
        <v>935</v>
      </c>
      <c r="K4875" s="143"/>
    </row>
    <row r="4876" spans="1:11">
      <c r="A4876" s="946" t="s">
        <v>28607</v>
      </c>
      <c r="B4876" s="947" t="s">
        <v>1043</v>
      </c>
      <c r="C4876" s="948" t="s">
        <v>1041</v>
      </c>
      <c r="D4876" s="242" t="s">
        <v>28712</v>
      </c>
      <c r="E4876" s="949">
        <v>1505</v>
      </c>
      <c r="F4876" s="949">
        <v>1505</v>
      </c>
      <c r="G4876" s="950" t="s">
        <v>4757</v>
      </c>
      <c r="H4876" s="950" t="s">
        <v>693</v>
      </c>
      <c r="I4876" s="951" t="s">
        <v>1042</v>
      </c>
      <c r="J4876" s="947" t="s">
        <v>1043</v>
      </c>
      <c r="K4876" s="143"/>
    </row>
    <row r="4877" spans="1:11">
      <c r="A4877" s="946" t="s">
        <v>28607</v>
      </c>
      <c r="B4877" s="947" t="s">
        <v>1419</v>
      </c>
      <c r="C4877" s="948" t="s">
        <v>1417</v>
      </c>
      <c r="D4877" s="242" t="s">
        <v>28712</v>
      </c>
      <c r="E4877" s="949">
        <v>1505</v>
      </c>
      <c r="F4877" s="949">
        <v>1505</v>
      </c>
      <c r="G4877" s="950" t="s">
        <v>4757</v>
      </c>
      <c r="H4877" s="950" t="s">
        <v>693</v>
      </c>
      <c r="I4877" s="951" t="s">
        <v>1418</v>
      </c>
      <c r="J4877" s="947" t="s">
        <v>1419</v>
      </c>
      <c r="K4877" s="143"/>
    </row>
    <row r="4878" spans="1:11">
      <c r="A4878" s="946" t="s">
        <v>28607</v>
      </c>
      <c r="B4878" s="947" t="s">
        <v>1659</v>
      </c>
      <c r="C4878" s="948" t="s">
        <v>1657</v>
      </c>
      <c r="D4878" s="242" t="s">
        <v>28712</v>
      </c>
      <c r="E4878" s="949">
        <v>1505</v>
      </c>
      <c r="F4878" s="949">
        <v>1505</v>
      </c>
      <c r="G4878" s="950" t="s">
        <v>4757</v>
      </c>
      <c r="H4878" s="950" t="s">
        <v>693</v>
      </c>
      <c r="I4878" s="951" t="s">
        <v>1658</v>
      </c>
      <c r="J4878" s="947" t="s">
        <v>1659</v>
      </c>
      <c r="K4878" s="143"/>
    </row>
    <row r="4879" spans="1:11">
      <c r="A4879" s="946" t="s">
        <v>28607</v>
      </c>
      <c r="B4879" s="947" t="s">
        <v>1832</v>
      </c>
      <c r="C4879" s="948" t="s">
        <v>1830</v>
      </c>
      <c r="D4879" s="242" t="s">
        <v>28712</v>
      </c>
      <c r="E4879" s="949">
        <v>1505</v>
      </c>
      <c r="F4879" s="949">
        <v>1505</v>
      </c>
      <c r="G4879" s="950" t="s">
        <v>4757</v>
      </c>
      <c r="H4879" s="950" t="s">
        <v>693</v>
      </c>
      <c r="I4879" s="951" t="s">
        <v>1831</v>
      </c>
      <c r="J4879" s="947" t="s">
        <v>1832</v>
      </c>
      <c r="K4879" s="143"/>
    </row>
    <row r="4880" spans="1:11">
      <c r="A4880" s="946" t="s">
        <v>28607</v>
      </c>
      <c r="B4880" s="947" t="s">
        <v>2199</v>
      </c>
      <c r="C4880" s="948" t="s">
        <v>2197</v>
      </c>
      <c r="D4880" s="242" t="s">
        <v>28712</v>
      </c>
      <c r="E4880" s="949">
        <v>1505</v>
      </c>
      <c r="F4880" s="949">
        <v>1505</v>
      </c>
      <c r="G4880" s="950" t="s">
        <v>4757</v>
      </c>
      <c r="H4880" s="950" t="s">
        <v>693</v>
      </c>
      <c r="I4880" s="951" t="s">
        <v>2198</v>
      </c>
      <c r="J4880" s="947" t="s">
        <v>2199</v>
      </c>
      <c r="K4880" s="143"/>
    </row>
    <row r="4881" spans="1:11">
      <c r="A4881" s="946" t="s">
        <v>28607</v>
      </c>
      <c r="B4881" s="947" t="s">
        <v>3387</v>
      </c>
      <c r="C4881" s="948" t="s">
        <v>3385</v>
      </c>
      <c r="D4881" s="242" t="s">
        <v>28712</v>
      </c>
      <c r="E4881" s="949">
        <v>1505</v>
      </c>
      <c r="F4881" s="949">
        <v>1505</v>
      </c>
      <c r="G4881" s="950" t="s">
        <v>4757</v>
      </c>
      <c r="H4881" s="950" t="s">
        <v>693</v>
      </c>
      <c r="I4881" s="951" t="s">
        <v>3386</v>
      </c>
      <c r="J4881" s="947" t="s">
        <v>3387</v>
      </c>
      <c r="K4881" s="143"/>
    </row>
    <row r="4882" spans="1:11">
      <c r="A4882" s="946" t="s">
        <v>28607</v>
      </c>
      <c r="B4882" s="947" t="s">
        <v>3390</v>
      </c>
      <c r="C4882" s="948" t="s">
        <v>3388</v>
      </c>
      <c r="D4882" s="242" t="s">
        <v>28712</v>
      </c>
      <c r="E4882" s="949">
        <v>1505</v>
      </c>
      <c r="F4882" s="949">
        <v>1505</v>
      </c>
      <c r="G4882" s="950" t="s">
        <v>4757</v>
      </c>
      <c r="H4882" s="950" t="s">
        <v>693</v>
      </c>
      <c r="I4882" s="951" t="s">
        <v>3389</v>
      </c>
      <c r="J4882" s="947" t="s">
        <v>3390</v>
      </c>
      <c r="K4882" s="143"/>
    </row>
    <row r="4883" spans="1:11">
      <c r="A4883" s="946" t="s">
        <v>28607</v>
      </c>
      <c r="B4883" s="947" t="s">
        <v>3582</v>
      </c>
      <c r="C4883" s="948" t="s">
        <v>3580</v>
      </c>
      <c r="D4883" s="242" t="s">
        <v>28712</v>
      </c>
      <c r="E4883" s="949">
        <v>1505</v>
      </c>
      <c r="F4883" s="949">
        <v>1505</v>
      </c>
      <c r="G4883" s="950" t="s">
        <v>4757</v>
      </c>
      <c r="H4883" s="950" t="s">
        <v>693</v>
      </c>
      <c r="I4883" s="951" t="s">
        <v>3581</v>
      </c>
      <c r="J4883" s="947" t="s">
        <v>3582</v>
      </c>
      <c r="K4883" s="143"/>
    </row>
    <row r="4884" spans="1:11">
      <c r="A4884" s="946" t="s">
        <v>28607</v>
      </c>
      <c r="B4884" s="947" t="s">
        <v>3647</v>
      </c>
      <c r="C4884" s="948" t="s">
        <v>3645</v>
      </c>
      <c r="D4884" s="242" t="s">
        <v>28712</v>
      </c>
      <c r="E4884" s="949">
        <v>1505</v>
      </c>
      <c r="F4884" s="949">
        <v>1505</v>
      </c>
      <c r="G4884" s="950" t="s">
        <v>4757</v>
      </c>
      <c r="H4884" s="950" t="s">
        <v>693</v>
      </c>
      <c r="I4884" s="951" t="s">
        <v>3646</v>
      </c>
      <c r="J4884" s="947" t="s">
        <v>3647</v>
      </c>
      <c r="K4884" s="143"/>
    </row>
    <row r="4885" spans="1:11">
      <c r="A4885" s="946" t="s">
        <v>28607</v>
      </c>
      <c r="B4885" s="947" t="s">
        <v>3879</v>
      </c>
      <c r="C4885" s="948" t="s">
        <v>3877</v>
      </c>
      <c r="D4885" s="242" t="s">
        <v>28712</v>
      </c>
      <c r="E4885" s="949">
        <v>1505</v>
      </c>
      <c r="F4885" s="949">
        <v>1505</v>
      </c>
      <c r="G4885" s="950" t="s">
        <v>4757</v>
      </c>
      <c r="H4885" s="950" t="s">
        <v>693</v>
      </c>
      <c r="I4885" s="951" t="s">
        <v>3878</v>
      </c>
      <c r="J4885" s="947" t="s">
        <v>3879</v>
      </c>
      <c r="K4885" s="143"/>
    </row>
    <row r="4886" spans="1:11">
      <c r="A4886" s="946" t="s">
        <v>28607</v>
      </c>
      <c r="B4886" s="947" t="s">
        <v>4073</v>
      </c>
      <c r="C4886" s="948" t="s">
        <v>4071</v>
      </c>
      <c r="D4886" s="242" t="s">
        <v>28712</v>
      </c>
      <c r="E4886" s="949">
        <v>1505</v>
      </c>
      <c r="F4886" s="949">
        <v>1505</v>
      </c>
      <c r="G4886" s="950" t="s">
        <v>4757</v>
      </c>
      <c r="H4886" s="950" t="s">
        <v>693</v>
      </c>
      <c r="I4886" s="951" t="s">
        <v>4072</v>
      </c>
      <c r="J4886" s="947" t="s">
        <v>4073</v>
      </c>
      <c r="K4886" s="143"/>
    </row>
    <row r="4887" spans="1:11">
      <c r="A4887" s="946" t="s">
        <v>28607</v>
      </c>
      <c r="B4887" s="947" t="s">
        <v>4160</v>
      </c>
      <c r="C4887" s="948" t="s">
        <v>4158</v>
      </c>
      <c r="D4887" s="242" t="s">
        <v>28712</v>
      </c>
      <c r="E4887" s="949">
        <v>1505</v>
      </c>
      <c r="F4887" s="949">
        <v>1505</v>
      </c>
      <c r="G4887" s="950" t="s">
        <v>4757</v>
      </c>
      <c r="H4887" s="950" t="s">
        <v>693</v>
      </c>
      <c r="I4887" s="951" t="s">
        <v>4159</v>
      </c>
      <c r="J4887" s="947" t="s">
        <v>4160</v>
      </c>
      <c r="K4887" s="143"/>
    </row>
    <row r="4888" spans="1:11">
      <c r="A4888" s="946" t="s">
        <v>28607</v>
      </c>
      <c r="B4888" s="947" t="s">
        <v>4188</v>
      </c>
      <c r="C4888" s="948" t="s">
        <v>4186</v>
      </c>
      <c r="D4888" s="242" t="s">
        <v>28712</v>
      </c>
      <c r="E4888" s="949">
        <v>1505</v>
      </c>
      <c r="F4888" s="949">
        <v>1505</v>
      </c>
      <c r="G4888" s="950" t="s">
        <v>4757</v>
      </c>
      <c r="H4888" s="950" t="s">
        <v>693</v>
      </c>
      <c r="I4888" s="951" t="s">
        <v>4187</v>
      </c>
      <c r="J4888" s="947" t="s">
        <v>4188</v>
      </c>
      <c r="K4888" s="143"/>
    </row>
    <row r="4889" spans="1:11">
      <c r="A4889" s="946" t="s">
        <v>28607</v>
      </c>
      <c r="B4889" s="947" t="s">
        <v>4322</v>
      </c>
      <c r="C4889" s="948" t="s">
        <v>4320</v>
      </c>
      <c r="D4889" s="242" t="s">
        <v>28712</v>
      </c>
      <c r="E4889" s="949">
        <v>1505</v>
      </c>
      <c r="F4889" s="949">
        <v>1505</v>
      </c>
      <c r="G4889" s="950" t="s">
        <v>4757</v>
      </c>
      <c r="H4889" s="950" t="s">
        <v>693</v>
      </c>
      <c r="I4889" s="951" t="s">
        <v>4321</v>
      </c>
      <c r="J4889" s="947" t="s">
        <v>4322</v>
      </c>
      <c r="K4889" s="143"/>
    </row>
    <row r="4890" spans="1:11">
      <c r="A4890" s="946" t="s">
        <v>28607</v>
      </c>
      <c r="B4890" s="947" t="s">
        <v>4328</v>
      </c>
      <c r="C4890" s="948" t="s">
        <v>4326</v>
      </c>
      <c r="D4890" s="242" t="s">
        <v>28712</v>
      </c>
      <c r="E4890" s="949">
        <v>1505</v>
      </c>
      <c r="F4890" s="949">
        <v>1505</v>
      </c>
      <c r="G4890" s="950" t="s">
        <v>4757</v>
      </c>
      <c r="H4890" s="950" t="s">
        <v>693</v>
      </c>
      <c r="I4890" s="951" t="s">
        <v>4327</v>
      </c>
      <c r="J4890" s="947" t="s">
        <v>4328</v>
      </c>
      <c r="K4890" s="143"/>
    </row>
    <row r="4891" spans="1:11">
      <c r="A4891" s="946" t="s">
        <v>28607</v>
      </c>
      <c r="B4891" s="947" t="s">
        <v>4503</v>
      </c>
      <c r="C4891" s="948" t="s">
        <v>4501</v>
      </c>
      <c r="D4891" s="242" t="s">
        <v>28712</v>
      </c>
      <c r="E4891" s="949">
        <v>1505</v>
      </c>
      <c r="F4891" s="949">
        <v>1505</v>
      </c>
      <c r="G4891" s="950" t="s">
        <v>4757</v>
      </c>
      <c r="H4891" s="950" t="s">
        <v>693</v>
      </c>
      <c r="I4891" s="951" t="s">
        <v>4502</v>
      </c>
      <c r="J4891" s="947" t="s">
        <v>4503</v>
      </c>
      <c r="K4891" s="143"/>
    </row>
    <row r="4892" spans="1:11">
      <c r="A4892" s="946" t="s">
        <v>28607</v>
      </c>
      <c r="B4892" s="947" t="s">
        <v>4509</v>
      </c>
      <c r="C4892" s="948" t="s">
        <v>4507</v>
      </c>
      <c r="D4892" s="242" t="s">
        <v>28712</v>
      </c>
      <c r="E4892" s="949">
        <v>1505</v>
      </c>
      <c r="F4892" s="949">
        <v>1505</v>
      </c>
      <c r="G4892" s="950" t="s">
        <v>4757</v>
      </c>
      <c r="H4892" s="950" t="s">
        <v>693</v>
      </c>
      <c r="I4892" s="951" t="s">
        <v>4508</v>
      </c>
      <c r="J4892" s="947" t="s">
        <v>4509</v>
      </c>
      <c r="K4892" s="143"/>
    </row>
    <row r="4893" spans="1:11">
      <c r="A4893" s="946" t="s">
        <v>28607</v>
      </c>
      <c r="B4893" s="947" t="s">
        <v>4640</v>
      </c>
      <c r="C4893" s="948" t="s">
        <v>4638</v>
      </c>
      <c r="D4893" s="242" t="s">
        <v>28712</v>
      </c>
      <c r="E4893" s="949">
        <v>1505</v>
      </c>
      <c r="F4893" s="949">
        <v>1505</v>
      </c>
      <c r="G4893" s="950" t="s">
        <v>4757</v>
      </c>
      <c r="H4893" s="950" t="s">
        <v>693</v>
      </c>
      <c r="I4893" s="951" t="s">
        <v>4639</v>
      </c>
      <c r="J4893" s="947" t="s">
        <v>4640</v>
      </c>
      <c r="K4893" s="143"/>
    </row>
    <row r="4894" spans="1:11">
      <c r="A4894" s="946" t="s">
        <v>28607</v>
      </c>
      <c r="B4894" s="947" t="s">
        <v>4691</v>
      </c>
      <c r="C4894" s="948" t="s">
        <v>4689</v>
      </c>
      <c r="D4894" s="242" t="s">
        <v>28712</v>
      </c>
      <c r="E4894" s="949">
        <v>1505</v>
      </c>
      <c r="F4894" s="949">
        <v>1505</v>
      </c>
      <c r="G4894" s="950" t="s">
        <v>4757</v>
      </c>
      <c r="H4894" s="950" t="s">
        <v>693</v>
      </c>
      <c r="I4894" s="951" t="s">
        <v>4690</v>
      </c>
      <c r="J4894" s="947" t="s">
        <v>4691</v>
      </c>
      <c r="K4894" s="143"/>
    </row>
    <row r="4895" spans="1:11">
      <c r="A4895" s="946" t="s">
        <v>28607</v>
      </c>
      <c r="B4895" s="947" t="s">
        <v>4757</v>
      </c>
      <c r="C4895" s="948" t="s">
        <v>4755</v>
      </c>
      <c r="D4895" s="242" t="s">
        <v>28712</v>
      </c>
      <c r="E4895" s="949">
        <v>1505</v>
      </c>
      <c r="F4895" s="949">
        <v>1505</v>
      </c>
      <c r="G4895" s="950" t="s">
        <v>4757</v>
      </c>
      <c r="H4895" s="950" t="s">
        <v>693</v>
      </c>
      <c r="I4895" s="951" t="s">
        <v>4756</v>
      </c>
      <c r="J4895" s="947" t="s">
        <v>4757</v>
      </c>
      <c r="K4895" s="143"/>
    </row>
    <row r="4896" spans="1:11">
      <c r="A4896" s="946" t="s">
        <v>28607</v>
      </c>
      <c r="B4896" s="947" t="s">
        <v>4919</v>
      </c>
      <c r="C4896" s="948" t="s">
        <v>4917</v>
      </c>
      <c r="D4896" s="242" t="s">
        <v>28712</v>
      </c>
      <c r="E4896" s="949">
        <v>1505</v>
      </c>
      <c r="F4896" s="949">
        <v>1505</v>
      </c>
      <c r="G4896" s="950" t="s">
        <v>4757</v>
      </c>
      <c r="H4896" s="950" t="s">
        <v>693</v>
      </c>
      <c r="I4896" s="951" t="s">
        <v>4918</v>
      </c>
      <c r="J4896" s="947" t="s">
        <v>4919</v>
      </c>
      <c r="K4896" s="143"/>
    </row>
    <row r="4897" spans="1:11">
      <c r="A4897" s="946" t="s">
        <v>28607</v>
      </c>
      <c r="B4897" s="947" t="s">
        <v>4967</v>
      </c>
      <c r="C4897" s="948" t="s">
        <v>4965</v>
      </c>
      <c r="D4897" s="242" t="s">
        <v>28712</v>
      </c>
      <c r="E4897" s="949">
        <v>1505</v>
      </c>
      <c r="F4897" s="949">
        <v>1505</v>
      </c>
      <c r="G4897" s="950" t="s">
        <v>4757</v>
      </c>
      <c r="H4897" s="950" t="s">
        <v>693</v>
      </c>
      <c r="I4897" s="951" t="s">
        <v>4966</v>
      </c>
      <c r="J4897" s="947" t="s">
        <v>4967</v>
      </c>
      <c r="K4897" s="143"/>
    </row>
    <row r="4898" spans="1:11">
      <c r="A4898" s="946" t="s">
        <v>28607</v>
      </c>
      <c r="B4898" s="947" t="s">
        <v>5251</v>
      </c>
      <c r="C4898" s="948" t="s">
        <v>5249</v>
      </c>
      <c r="D4898" s="242" t="s">
        <v>28712</v>
      </c>
      <c r="E4898" s="949">
        <v>1505</v>
      </c>
      <c r="F4898" s="949">
        <v>1505</v>
      </c>
      <c r="G4898" s="950" t="s">
        <v>4757</v>
      </c>
      <c r="H4898" s="950" t="s">
        <v>693</v>
      </c>
      <c r="I4898" s="951" t="s">
        <v>5250</v>
      </c>
      <c r="J4898" s="947" t="s">
        <v>5251</v>
      </c>
      <c r="K4898" s="143"/>
    </row>
    <row r="4899" spans="1:11">
      <c r="A4899" s="946" t="s">
        <v>28607</v>
      </c>
      <c r="B4899" s="947" t="s">
        <v>5003</v>
      </c>
      <c r="C4899" s="948" t="s">
        <v>5001</v>
      </c>
      <c r="D4899" s="242" t="s">
        <v>28712</v>
      </c>
      <c r="E4899" s="949">
        <v>1505</v>
      </c>
      <c r="F4899" s="949">
        <v>1505</v>
      </c>
      <c r="G4899" s="950" t="s">
        <v>4757</v>
      </c>
      <c r="H4899" s="950" t="s">
        <v>693</v>
      </c>
      <c r="I4899" s="951" t="s">
        <v>5002</v>
      </c>
      <c r="J4899" s="947" t="s">
        <v>5003</v>
      </c>
      <c r="K4899" s="143"/>
    </row>
    <row r="4900" spans="1:11">
      <c r="A4900" s="946" t="s">
        <v>28607</v>
      </c>
      <c r="B4900" s="947" t="s">
        <v>5048</v>
      </c>
      <c r="C4900" s="948" t="s">
        <v>5046</v>
      </c>
      <c r="D4900" s="242" t="s">
        <v>28712</v>
      </c>
      <c r="E4900" s="949">
        <v>1505</v>
      </c>
      <c r="F4900" s="949">
        <v>1505</v>
      </c>
      <c r="G4900" s="950" t="s">
        <v>4757</v>
      </c>
      <c r="H4900" s="950" t="s">
        <v>693</v>
      </c>
      <c r="I4900" s="951" t="s">
        <v>5047</v>
      </c>
      <c r="J4900" s="947" t="s">
        <v>5048</v>
      </c>
      <c r="K4900" s="143"/>
    </row>
    <row r="4901" spans="1:11">
      <c r="A4901" s="946" t="s">
        <v>28607</v>
      </c>
      <c r="B4901" s="947" t="s">
        <v>6094</v>
      </c>
      <c r="C4901" s="948" t="s">
        <v>6092</v>
      </c>
      <c r="D4901" s="242" t="s">
        <v>28712</v>
      </c>
      <c r="E4901" s="949">
        <v>1505</v>
      </c>
      <c r="F4901" s="949">
        <v>1505</v>
      </c>
      <c r="G4901" s="950" t="s">
        <v>4757</v>
      </c>
      <c r="H4901" s="950" t="s">
        <v>693</v>
      </c>
      <c r="I4901" s="951" t="s">
        <v>6093</v>
      </c>
      <c r="J4901" s="947" t="s">
        <v>6094</v>
      </c>
      <c r="K4901" s="143"/>
    </row>
    <row r="4902" spans="1:11">
      <c r="A4902" s="946" t="s">
        <v>28607</v>
      </c>
      <c r="B4902" s="947" t="s">
        <v>6103</v>
      </c>
      <c r="C4902" s="948" t="s">
        <v>6101</v>
      </c>
      <c r="D4902" s="242" t="s">
        <v>28712</v>
      </c>
      <c r="E4902" s="949">
        <v>1505</v>
      </c>
      <c r="F4902" s="949">
        <v>1505</v>
      </c>
      <c r="G4902" s="950" t="s">
        <v>4757</v>
      </c>
      <c r="H4902" s="950" t="s">
        <v>693</v>
      </c>
      <c r="I4902" s="951" t="s">
        <v>6102</v>
      </c>
      <c r="J4902" s="947" t="s">
        <v>6103</v>
      </c>
      <c r="K4902" s="143"/>
    </row>
    <row r="4903" spans="1:11">
      <c r="A4903" s="946" t="s">
        <v>28607</v>
      </c>
      <c r="B4903" s="947" t="s">
        <v>6446</v>
      </c>
      <c r="C4903" s="948" t="s">
        <v>6444</v>
      </c>
      <c r="D4903" s="242" t="s">
        <v>28712</v>
      </c>
      <c r="E4903" s="949">
        <v>1505</v>
      </c>
      <c r="F4903" s="949">
        <v>1505</v>
      </c>
      <c r="G4903" s="950" t="s">
        <v>4757</v>
      </c>
      <c r="H4903" s="950" t="s">
        <v>693</v>
      </c>
      <c r="I4903" s="951" t="s">
        <v>6445</v>
      </c>
      <c r="J4903" s="947" t="s">
        <v>6446</v>
      </c>
      <c r="K4903" s="143"/>
    </row>
    <row r="4904" spans="1:11">
      <c r="A4904" s="946" t="s">
        <v>28607</v>
      </c>
      <c r="B4904" s="947" t="s">
        <v>6932</v>
      </c>
      <c r="C4904" s="948" t="s">
        <v>6930</v>
      </c>
      <c r="D4904" s="242" t="s">
        <v>28712</v>
      </c>
      <c r="E4904" s="949">
        <v>1505</v>
      </c>
      <c r="F4904" s="949">
        <v>1505</v>
      </c>
      <c r="G4904" s="950" t="s">
        <v>4757</v>
      </c>
      <c r="H4904" s="950" t="s">
        <v>693</v>
      </c>
      <c r="I4904" s="951" t="s">
        <v>6931</v>
      </c>
      <c r="J4904" s="947" t="s">
        <v>6932</v>
      </c>
      <c r="K4904" s="143"/>
    </row>
    <row r="4905" spans="1:11">
      <c r="A4905" s="946" t="s">
        <v>28607</v>
      </c>
      <c r="B4905" s="947" t="s">
        <v>7513</v>
      </c>
      <c r="C4905" s="948" t="s">
        <v>7511</v>
      </c>
      <c r="D4905" s="242" t="s">
        <v>28712</v>
      </c>
      <c r="E4905" s="949">
        <v>1505</v>
      </c>
      <c r="F4905" s="949">
        <v>1505</v>
      </c>
      <c r="G4905" s="950" t="s">
        <v>4757</v>
      </c>
      <c r="H4905" s="950" t="s">
        <v>693</v>
      </c>
      <c r="I4905" s="951" t="s">
        <v>7512</v>
      </c>
      <c r="J4905" s="947" t="s">
        <v>7513</v>
      </c>
      <c r="K4905" s="143"/>
    </row>
    <row r="4906" spans="1:11">
      <c r="A4906" s="946" t="s">
        <v>28607</v>
      </c>
      <c r="B4906" s="947" t="s">
        <v>7763</v>
      </c>
      <c r="C4906" s="948" t="s">
        <v>7761</v>
      </c>
      <c r="D4906" s="242" t="s">
        <v>28712</v>
      </c>
      <c r="E4906" s="949">
        <v>1505</v>
      </c>
      <c r="F4906" s="949">
        <v>1505</v>
      </c>
      <c r="G4906" s="950" t="s">
        <v>4757</v>
      </c>
      <c r="H4906" s="950" t="s">
        <v>693</v>
      </c>
      <c r="I4906" s="951" t="s">
        <v>7762</v>
      </c>
      <c r="J4906" s="947" t="s">
        <v>7763</v>
      </c>
      <c r="K4906" s="143"/>
    </row>
    <row r="4907" spans="1:11">
      <c r="A4907" s="946" t="s">
        <v>28607</v>
      </c>
      <c r="B4907" s="947" t="s">
        <v>8444</v>
      </c>
      <c r="C4907" s="948" t="s">
        <v>8442</v>
      </c>
      <c r="D4907" s="242" t="s">
        <v>28712</v>
      </c>
      <c r="E4907" s="949">
        <v>1505</v>
      </c>
      <c r="F4907" s="949">
        <v>1505</v>
      </c>
      <c r="G4907" s="950" t="s">
        <v>4757</v>
      </c>
      <c r="H4907" s="950" t="s">
        <v>693</v>
      </c>
      <c r="I4907" s="951" t="s">
        <v>8443</v>
      </c>
      <c r="J4907" s="947" t="s">
        <v>8444</v>
      </c>
      <c r="K4907" s="143"/>
    </row>
    <row r="4908" spans="1:11">
      <c r="A4908" s="946" t="s">
        <v>28607</v>
      </c>
      <c r="B4908" s="947" t="s">
        <v>8505</v>
      </c>
      <c r="C4908" s="948" t="s">
        <v>8503</v>
      </c>
      <c r="D4908" s="242" t="s">
        <v>28712</v>
      </c>
      <c r="E4908" s="949">
        <v>1505</v>
      </c>
      <c r="F4908" s="949">
        <v>1505</v>
      </c>
      <c r="G4908" s="950" t="s">
        <v>4757</v>
      </c>
      <c r="H4908" s="950" t="s">
        <v>693</v>
      </c>
      <c r="I4908" s="951" t="s">
        <v>8504</v>
      </c>
      <c r="J4908" s="947" t="s">
        <v>8505</v>
      </c>
      <c r="K4908" s="143"/>
    </row>
    <row r="4909" spans="1:11">
      <c r="A4909" s="946" t="s">
        <v>28607</v>
      </c>
      <c r="B4909" s="947" t="s">
        <v>8641</v>
      </c>
      <c r="C4909" s="948" t="s">
        <v>8639</v>
      </c>
      <c r="D4909" s="242" t="s">
        <v>28712</v>
      </c>
      <c r="E4909" s="949">
        <v>1505</v>
      </c>
      <c r="F4909" s="949">
        <v>1505</v>
      </c>
      <c r="G4909" s="950" t="s">
        <v>4757</v>
      </c>
      <c r="H4909" s="950" t="s">
        <v>693</v>
      </c>
      <c r="I4909" s="951" t="s">
        <v>8640</v>
      </c>
      <c r="J4909" s="947" t="s">
        <v>8641</v>
      </c>
      <c r="K4909" s="143"/>
    </row>
    <row r="4910" spans="1:11">
      <c r="A4910" s="946" t="s">
        <v>28607</v>
      </c>
      <c r="B4910" s="947" t="s">
        <v>8713</v>
      </c>
      <c r="C4910" s="948" t="s">
        <v>8711</v>
      </c>
      <c r="D4910" s="242" t="s">
        <v>28712</v>
      </c>
      <c r="E4910" s="949">
        <v>1505</v>
      </c>
      <c r="F4910" s="949">
        <v>1505</v>
      </c>
      <c r="G4910" s="950" t="s">
        <v>4757</v>
      </c>
      <c r="H4910" s="950" t="s">
        <v>693</v>
      </c>
      <c r="I4910" s="951" t="s">
        <v>8712</v>
      </c>
      <c r="J4910" s="947" t="s">
        <v>8713</v>
      </c>
      <c r="K4910" s="143"/>
    </row>
    <row r="4911" spans="1:11">
      <c r="A4911" s="946" t="s">
        <v>28607</v>
      </c>
      <c r="B4911" s="947" t="s">
        <v>8906</v>
      </c>
      <c r="C4911" s="948" t="s">
        <v>8904</v>
      </c>
      <c r="D4911" s="242" t="s">
        <v>28712</v>
      </c>
      <c r="E4911" s="949">
        <v>1505</v>
      </c>
      <c r="F4911" s="949">
        <v>1505</v>
      </c>
      <c r="G4911" s="950" t="s">
        <v>4757</v>
      </c>
      <c r="H4911" s="950" t="s">
        <v>693</v>
      </c>
      <c r="I4911" s="951" t="s">
        <v>8905</v>
      </c>
      <c r="J4911" s="947" t="s">
        <v>8906</v>
      </c>
      <c r="K4911" s="143"/>
    </row>
    <row r="4912" spans="1:11">
      <c r="A4912" s="946" t="s">
        <v>28607</v>
      </c>
      <c r="B4912" s="947" t="s">
        <v>8912</v>
      </c>
      <c r="C4912" s="948" t="s">
        <v>8910</v>
      </c>
      <c r="D4912" s="242" t="s">
        <v>28712</v>
      </c>
      <c r="E4912" s="949">
        <v>1505</v>
      </c>
      <c r="F4912" s="949">
        <v>1505</v>
      </c>
      <c r="G4912" s="950" t="s">
        <v>4757</v>
      </c>
      <c r="H4912" s="950" t="s">
        <v>693</v>
      </c>
      <c r="I4912" s="951" t="s">
        <v>8911</v>
      </c>
      <c r="J4912" s="947" t="s">
        <v>8912</v>
      </c>
      <c r="K4912" s="143"/>
    </row>
    <row r="4913" spans="1:11">
      <c r="A4913" s="946" t="s">
        <v>28607</v>
      </c>
      <c r="B4913" s="947" t="s">
        <v>9182</v>
      </c>
      <c r="C4913" s="948" t="s">
        <v>9180</v>
      </c>
      <c r="D4913" s="242" t="s">
        <v>28712</v>
      </c>
      <c r="E4913" s="949">
        <v>1505</v>
      </c>
      <c r="F4913" s="949">
        <v>1505</v>
      </c>
      <c r="G4913" s="950" t="s">
        <v>4757</v>
      </c>
      <c r="H4913" s="950" t="s">
        <v>693</v>
      </c>
      <c r="I4913" s="951" t="s">
        <v>9181</v>
      </c>
      <c r="J4913" s="947" t="s">
        <v>9182</v>
      </c>
      <c r="K4913" s="143"/>
    </row>
    <row r="4914" spans="1:11">
      <c r="A4914" s="946" t="s">
        <v>28607</v>
      </c>
      <c r="B4914" s="947" t="s">
        <v>9253</v>
      </c>
      <c r="C4914" s="948" t="s">
        <v>9251</v>
      </c>
      <c r="D4914" s="242" t="s">
        <v>28712</v>
      </c>
      <c r="E4914" s="949">
        <v>1505</v>
      </c>
      <c r="F4914" s="949">
        <v>1505</v>
      </c>
      <c r="G4914" s="950" t="s">
        <v>4757</v>
      </c>
      <c r="H4914" s="950" t="s">
        <v>693</v>
      </c>
      <c r="I4914" s="951" t="s">
        <v>9252</v>
      </c>
      <c r="J4914" s="947" t="s">
        <v>9253</v>
      </c>
      <c r="K4914" s="143"/>
    </row>
    <row r="4915" spans="1:11">
      <c r="A4915" s="946" t="s">
        <v>28607</v>
      </c>
      <c r="B4915" s="947" t="s">
        <v>9506</v>
      </c>
      <c r="C4915" s="948" t="s">
        <v>9504</v>
      </c>
      <c r="D4915" s="242" t="s">
        <v>28712</v>
      </c>
      <c r="E4915" s="949">
        <v>1505</v>
      </c>
      <c r="F4915" s="949">
        <v>1505</v>
      </c>
      <c r="G4915" s="950" t="s">
        <v>4757</v>
      </c>
      <c r="H4915" s="950" t="s">
        <v>693</v>
      </c>
      <c r="I4915" s="951" t="s">
        <v>9505</v>
      </c>
      <c r="J4915" s="947" t="s">
        <v>9506</v>
      </c>
      <c r="K4915" s="143"/>
    </row>
    <row r="4916" spans="1:11">
      <c r="A4916" s="946" t="s">
        <v>28607</v>
      </c>
      <c r="B4916" s="947" t="s">
        <v>9543</v>
      </c>
      <c r="C4916" s="948" t="s">
        <v>9541</v>
      </c>
      <c r="D4916" s="242" t="s">
        <v>28712</v>
      </c>
      <c r="E4916" s="949">
        <v>1505</v>
      </c>
      <c r="F4916" s="949">
        <v>1505</v>
      </c>
      <c r="G4916" s="950" t="s">
        <v>4757</v>
      </c>
      <c r="H4916" s="950" t="s">
        <v>693</v>
      </c>
      <c r="I4916" s="951" t="s">
        <v>9542</v>
      </c>
      <c r="J4916" s="947" t="s">
        <v>9543</v>
      </c>
      <c r="K4916" s="143"/>
    </row>
    <row r="4917" spans="1:11">
      <c r="A4917" s="946" t="s">
        <v>28607</v>
      </c>
      <c r="B4917" s="947" t="s">
        <v>10363</v>
      </c>
      <c r="C4917" s="948" t="s">
        <v>10361</v>
      </c>
      <c r="D4917" s="242" t="s">
        <v>28712</v>
      </c>
      <c r="E4917" s="949">
        <v>1505</v>
      </c>
      <c r="F4917" s="949">
        <v>1505</v>
      </c>
      <c r="G4917" s="950" t="s">
        <v>4757</v>
      </c>
      <c r="H4917" s="950" t="s">
        <v>693</v>
      </c>
      <c r="I4917" s="951" t="s">
        <v>10362</v>
      </c>
      <c r="J4917" s="947" t="s">
        <v>10363</v>
      </c>
      <c r="K4917" s="143"/>
    </row>
    <row r="4918" spans="1:11">
      <c r="A4918" s="946" t="s">
        <v>28607</v>
      </c>
      <c r="B4918" s="947" t="s">
        <v>10399</v>
      </c>
      <c r="C4918" s="948" t="s">
        <v>10397</v>
      </c>
      <c r="D4918" s="242" t="s">
        <v>28712</v>
      </c>
      <c r="E4918" s="949">
        <v>1505</v>
      </c>
      <c r="F4918" s="949">
        <v>1505</v>
      </c>
      <c r="G4918" s="950" t="s">
        <v>4757</v>
      </c>
      <c r="H4918" s="950" t="s">
        <v>693</v>
      </c>
      <c r="I4918" s="951" t="s">
        <v>10398</v>
      </c>
      <c r="J4918" s="947" t="s">
        <v>10399</v>
      </c>
      <c r="K4918" s="143"/>
    </row>
    <row r="4919" spans="1:11">
      <c r="A4919" s="946" t="s">
        <v>28607</v>
      </c>
      <c r="B4919" s="947" t="s">
        <v>10765</v>
      </c>
      <c r="C4919" s="948" t="s">
        <v>10763</v>
      </c>
      <c r="D4919" s="242" t="s">
        <v>28712</v>
      </c>
      <c r="E4919" s="949">
        <v>1505</v>
      </c>
      <c r="F4919" s="949">
        <v>1505</v>
      </c>
      <c r="G4919" s="950" t="s">
        <v>4757</v>
      </c>
      <c r="H4919" s="950" t="s">
        <v>693</v>
      </c>
      <c r="I4919" s="951" t="s">
        <v>10764</v>
      </c>
      <c r="J4919" s="947" t="s">
        <v>10765</v>
      </c>
      <c r="K4919" s="143"/>
    </row>
    <row r="4920" spans="1:11">
      <c r="A4920" s="946" t="s">
        <v>28607</v>
      </c>
      <c r="B4920" s="947" t="s">
        <v>10820</v>
      </c>
      <c r="C4920" s="948" t="s">
        <v>10818</v>
      </c>
      <c r="D4920" s="242" t="s">
        <v>28712</v>
      </c>
      <c r="E4920" s="949">
        <v>1505</v>
      </c>
      <c r="F4920" s="949">
        <v>1505</v>
      </c>
      <c r="G4920" s="950" t="s">
        <v>4757</v>
      </c>
      <c r="H4920" s="950" t="s">
        <v>693</v>
      </c>
      <c r="I4920" s="951" t="s">
        <v>10819</v>
      </c>
      <c r="J4920" s="947" t="s">
        <v>10820</v>
      </c>
      <c r="K4920" s="143"/>
    </row>
    <row r="4921" spans="1:11">
      <c r="A4921" s="946" t="s">
        <v>28607</v>
      </c>
      <c r="B4921" s="947" t="s">
        <v>10838</v>
      </c>
      <c r="C4921" s="948" t="s">
        <v>10836</v>
      </c>
      <c r="D4921" s="242" t="s">
        <v>28712</v>
      </c>
      <c r="E4921" s="949">
        <v>1505</v>
      </c>
      <c r="F4921" s="949">
        <v>1505</v>
      </c>
      <c r="G4921" s="950" t="s">
        <v>4757</v>
      </c>
      <c r="H4921" s="950" t="s">
        <v>693</v>
      </c>
      <c r="I4921" s="951" t="s">
        <v>10837</v>
      </c>
      <c r="J4921" s="947" t="s">
        <v>10838</v>
      </c>
      <c r="K4921" s="143"/>
    </row>
    <row r="4922" spans="1:11">
      <c r="A4922" s="946" t="s">
        <v>28607</v>
      </c>
      <c r="B4922" s="947" t="s">
        <v>11161</v>
      </c>
      <c r="C4922" s="948" t="s">
        <v>11159</v>
      </c>
      <c r="D4922" s="242" t="s">
        <v>28712</v>
      </c>
      <c r="E4922" s="949">
        <v>1505</v>
      </c>
      <c r="F4922" s="949">
        <v>1505</v>
      </c>
      <c r="G4922" s="950" t="s">
        <v>4757</v>
      </c>
      <c r="H4922" s="950" t="s">
        <v>693</v>
      </c>
      <c r="I4922" s="951" t="s">
        <v>11160</v>
      </c>
      <c r="J4922" s="947" t="s">
        <v>11161</v>
      </c>
      <c r="K4922" s="143"/>
    </row>
    <row r="4923" spans="1:11">
      <c r="A4923" s="946" t="s">
        <v>28607</v>
      </c>
      <c r="B4923" s="947" t="s">
        <v>11317</v>
      </c>
      <c r="C4923" s="948" t="s">
        <v>11315</v>
      </c>
      <c r="D4923" s="242" t="s">
        <v>28712</v>
      </c>
      <c r="E4923" s="949">
        <v>1505</v>
      </c>
      <c r="F4923" s="949">
        <v>1505</v>
      </c>
      <c r="G4923" s="950" t="s">
        <v>4757</v>
      </c>
      <c r="H4923" s="950" t="s">
        <v>693</v>
      </c>
      <c r="I4923" s="951" t="s">
        <v>11316</v>
      </c>
      <c r="J4923" s="947" t="s">
        <v>11317</v>
      </c>
      <c r="K4923" s="143"/>
    </row>
    <row r="4924" spans="1:11">
      <c r="A4924" s="946" t="s">
        <v>28607</v>
      </c>
      <c r="B4924" s="947" t="s">
        <v>11756</v>
      </c>
      <c r="C4924" s="948" t="s">
        <v>11754</v>
      </c>
      <c r="D4924" s="242" t="s">
        <v>28712</v>
      </c>
      <c r="E4924" s="949">
        <v>1505</v>
      </c>
      <c r="F4924" s="949">
        <v>1505</v>
      </c>
      <c r="G4924" s="950" t="s">
        <v>4757</v>
      </c>
      <c r="H4924" s="950" t="s">
        <v>693</v>
      </c>
      <c r="I4924" s="951" t="s">
        <v>11755</v>
      </c>
      <c r="J4924" s="947" t="s">
        <v>11756</v>
      </c>
      <c r="K4924" s="143"/>
    </row>
    <row r="4925" spans="1:11">
      <c r="A4925" s="946" t="s">
        <v>28607</v>
      </c>
      <c r="B4925" s="947" t="s">
        <v>12076</v>
      </c>
      <c r="C4925" s="948" t="s">
        <v>12074</v>
      </c>
      <c r="D4925" s="242" t="s">
        <v>28712</v>
      </c>
      <c r="E4925" s="949">
        <v>1505</v>
      </c>
      <c r="F4925" s="949">
        <v>1505</v>
      </c>
      <c r="G4925" s="950" t="s">
        <v>4757</v>
      </c>
      <c r="H4925" s="950" t="s">
        <v>693</v>
      </c>
      <c r="I4925" s="951" t="s">
        <v>12075</v>
      </c>
      <c r="J4925" s="947" t="s">
        <v>12076</v>
      </c>
      <c r="K4925" s="143"/>
    </row>
    <row r="4926" spans="1:11">
      <c r="A4926" s="946" t="s">
        <v>28607</v>
      </c>
      <c r="B4926" s="947" t="s">
        <v>13777</v>
      </c>
      <c r="C4926" s="948" t="s">
        <v>13775</v>
      </c>
      <c r="D4926" s="242" t="s">
        <v>28712</v>
      </c>
      <c r="E4926" s="949">
        <v>1505</v>
      </c>
      <c r="F4926" s="949">
        <v>1505</v>
      </c>
      <c r="G4926" s="950" t="s">
        <v>4757</v>
      </c>
      <c r="H4926" s="950" t="s">
        <v>693</v>
      </c>
      <c r="I4926" s="951" t="s">
        <v>13776</v>
      </c>
      <c r="J4926" s="947" t="s">
        <v>13777</v>
      </c>
      <c r="K4926" s="143"/>
    </row>
    <row r="4927" spans="1:11">
      <c r="A4927" s="946" t="s">
        <v>28607</v>
      </c>
      <c r="B4927" s="947" t="s">
        <v>14250</v>
      </c>
      <c r="C4927" s="948" t="s">
        <v>14248</v>
      </c>
      <c r="D4927" s="242" t="s">
        <v>28712</v>
      </c>
      <c r="E4927" s="949">
        <v>1505</v>
      </c>
      <c r="F4927" s="949">
        <v>1505</v>
      </c>
      <c r="G4927" s="950" t="s">
        <v>4757</v>
      </c>
      <c r="H4927" s="950" t="s">
        <v>693</v>
      </c>
      <c r="I4927" s="951" t="s">
        <v>14249</v>
      </c>
      <c r="J4927" s="947" t="s">
        <v>14250</v>
      </c>
      <c r="K4927" s="143"/>
    </row>
    <row r="4928" spans="1:11">
      <c r="A4928" s="946" t="s">
        <v>28607</v>
      </c>
      <c r="B4928" s="947" t="s">
        <v>14315</v>
      </c>
      <c r="C4928" s="948" t="s">
        <v>14313</v>
      </c>
      <c r="D4928" s="242" t="s">
        <v>28712</v>
      </c>
      <c r="E4928" s="949">
        <v>1505</v>
      </c>
      <c r="F4928" s="949">
        <v>1505</v>
      </c>
      <c r="G4928" s="950" t="s">
        <v>4757</v>
      </c>
      <c r="H4928" s="950" t="s">
        <v>693</v>
      </c>
      <c r="I4928" s="951" t="s">
        <v>14314</v>
      </c>
      <c r="J4928" s="947" t="s">
        <v>14315</v>
      </c>
      <c r="K4928" s="143"/>
    </row>
    <row r="4929" spans="1:11">
      <c r="A4929" s="946" t="s">
        <v>28607</v>
      </c>
      <c r="B4929" s="947" t="s">
        <v>14713</v>
      </c>
      <c r="C4929" s="948" t="s">
        <v>14711</v>
      </c>
      <c r="D4929" s="242" t="s">
        <v>28712</v>
      </c>
      <c r="E4929" s="949">
        <v>1505</v>
      </c>
      <c r="F4929" s="949">
        <v>1505</v>
      </c>
      <c r="G4929" s="950" t="s">
        <v>4757</v>
      </c>
      <c r="H4929" s="950" t="s">
        <v>693</v>
      </c>
      <c r="I4929" s="951" t="s">
        <v>14712</v>
      </c>
      <c r="J4929" s="947" t="s">
        <v>14713</v>
      </c>
      <c r="K4929" s="143"/>
    </row>
    <row r="4930" spans="1:11">
      <c r="A4930" s="946" t="s">
        <v>28607</v>
      </c>
      <c r="B4930" s="947" t="s">
        <v>14821</v>
      </c>
      <c r="C4930" s="948" t="s">
        <v>14819</v>
      </c>
      <c r="D4930" s="242" t="s">
        <v>28712</v>
      </c>
      <c r="E4930" s="949">
        <v>1505</v>
      </c>
      <c r="F4930" s="949">
        <v>1505</v>
      </c>
      <c r="G4930" s="950" t="s">
        <v>4757</v>
      </c>
      <c r="H4930" s="950" t="s">
        <v>693</v>
      </c>
      <c r="I4930" s="951" t="s">
        <v>14820</v>
      </c>
      <c r="J4930" s="947" t="s">
        <v>14821</v>
      </c>
      <c r="K4930" s="143"/>
    </row>
    <row r="4931" spans="1:11">
      <c r="A4931" s="946" t="s">
        <v>28607</v>
      </c>
      <c r="B4931" s="947" t="s">
        <v>14877</v>
      </c>
      <c r="C4931" s="948" t="s">
        <v>14875</v>
      </c>
      <c r="D4931" s="242" t="s">
        <v>28712</v>
      </c>
      <c r="E4931" s="949">
        <v>1505</v>
      </c>
      <c r="F4931" s="949">
        <v>1505</v>
      </c>
      <c r="G4931" s="950" t="s">
        <v>4757</v>
      </c>
      <c r="H4931" s="950" t="s">
        <v>693</v>
      </c>
      <c r="I4931" s="951" t="s">
        <v>14876</v>
      </c>
      <c r="J4931" s="947" t="s">
        <v>14877</v>
      </c>
      <c r="K4931" s="143"/>
    </row>
    <row r="4932" spans="1:11">
      <c r="A4932" s="946" t="s">
        <v>28607</v>
      </c>
      <c r="B4932" s="947" t="s">
        <v>14910</v>
      </c>
      <c r="C4932" s="948" t="s">
        <v>14908</v>
      </c>
      <c r="D4932" s="242" t="s">
        <v>28712</v>
      </c>
      <c r="E4932" s="949">
        <v>1505</v>
      </c>
      <c r="F4932" s="949">
        <v>1505</v>
      </c>
      <c r="G4932" s="950" t="s">
        <v>4757</v>
      </c>
      <c r="H4932" s="950" t="s">
        <v>693</v>
      </c>
      <c r="I4932" s="951" t="s">
        <v>14909</v>
      </c>
      <c r="J4932" s="947" t="s">
        <v>14910</v>
      </c>
      <c r="K4932" s="143"/>
    </row>
    <row r="4933" spans="1:11">
      <c r="A4933" s="946" t="s">
        <v>28607</v>
      </c>
      <c r="B4933" s="947" t="s">
        <v>14981</v>
      </c>
      <c r="C4933" s="948" t="s">
        <v>14979</v>
      </c>
      <c r="D4933" s="242" t="s">
        <v>28712</v>
      </c>
      <c r="E4933" s="949">
        <v>1505</v>
      </c>
      <c r="F4933" s="949">
        <v>1505</v>
      </c>
      <c r="G4933" s="950" t="s">
        <v>4757</v>
      </c>
      <c r="H4933" s="950" t="s">
        <v>693</v>
      </c>
      <c r="I4933" s="951" t="s">
        <v>14980</v>
      </c>
      <c r="J4933" s="947" t="s">
        <v>14981</v>
      </c>
      <c r="K4933" s="143"/>
    </row>
    <row r="4934" spans="1:11">
      <c r="A4934" s="946" t="s">
        <v>28607</v>
      </c>
      <c r="B4934" s="947" t="s">
        <v>15439</v>
      </c>
      <c r="C4934" s="948" t="s">
        <v>15437</v>
      </c>
      <c r="D4934" s="242" t="s">
        <v>28712</v>
      </c>
      <c r="E4934" s="949">
        <v>1505</v>
      </c>
      <c r="F4934" s="949">
        <v>1505</v>
      </c>
      <c r="G4934" s="950" t="s">
        <v>4757</v>
      </c>
      <c r="H4934" s="950" t="s">
        <v>693</v>
      </c>
      <c r="I4934" s="951" t="s">
        <v>15438</v>
      </c>
      <c r="J4934" s="947" t="s">
        <v>15439</v>
      </c>
      <c r="K4934" s="143"/>
    </row>
    <row r="4935" spans="1:11">
      <c r="A4935" s="946" t="s">
        <v>28607</v>
      </c>
      <c r="B4935" s="947" t="s">
        <v>15541</v>
      </c>
      <c r="C4935" s="948" t="s">
        <v>15539</v>
      </c>
      <c r="D4935" s="242" t="s">
        <v>28712</v>
      </c>
      <c r="E4935" s="949">
        <v>1505</v>
      </c>
      <c r="F4935" s="949">
        <v>1505</v>
      </c>
      <c r="G4935" s="950" t="s">
        <v>4757</v>
      </c>
      <c r="H4935" s="950" t="s">
        <v>693</v>
      </c>
      <c r="I4935" s="951" t="s">
        <v>15540</v>
      </c>
      <c r="J4935" s="947" t="s">
        <v>15541</v>
      </c>
      <c r="K4935" s="143"/>
    </row>
    <row r="4936" spans="1:11">
      <c r="A4936" s="946" t="s">
        <v>28607</v>
      </c>
      <c r="B4936" s="947" t="s">
        <v>15760</v>
      </c>
      <c r="C4936" s="948" t="s">
        <v>15758</v>
      </c>
      <c r="D4936" s="242" t="s">
        <v>28712</v>
      </c>
      <c r="E4936" s="949">
        <v>1505</v>
      </c>
      <c r="F4936" s="949">
        <v>1505</v>
      </c>
      <c r="G4936" s="950" t="s">
        <v>4757</v>
      </c>
      <c r="H4936" s="950" t="s">
        <v>693</v>
      </c>
      <c r="I4936" s="951" t="s">
        <v>15759</v>
      </c>
      <c r="J4936" s="947" t="s">
        <v>15760</v>
      </c>
      <c r="K4936" s="143"/>
    </row>
    <row r="4937" spans="1:11">
      <c r="A4937" s="946" t="s">
        <v>28607</v>
      </c>
      <c r="B4937" s="947" t="s">
        <v>15763</v>
      </c>
      <c r="C4937" s="948" t="s">
        <v>15761</v>
      </c>
      <c r="D4937" s="242" t="s">
        <v>28712</v>
      </c>
      <c r="E4937" s="949">
        <v>1505</v>
      </c>
      <c r="F4937" s="949">
        <v>1505</v>
      </c>
      <c r="G4937" s="950" t="s">
        <v>4757</v>
      </c>
      <c r="H4937" s="950" t="s">
        <v>693</v>
      </c>
      <c r="I4937" s="951" t="s">
        <v>15762</v>
      </c>
      <c r="J4937" s="947" t="s">
        <v>15763</v>
      </c>
      <c r="K4937" s="143"/>
    </row>
    <row r="4938" spans="1:11">
      <c r="A4938" s="946" t="s">
        <v>28607</v>
      </c>
      <c r="B4938" s="947" t="s">
        <v>15849</v>
      </c>
      <c r="C4938" s="948" t="s">
        <v>15847</v>
      </c>
      <c r="D4938" s="242" t="s">
        <v>28712</v>
      </c>
      <c r="E4938" s="949">
        <v>1505</v>
      </c>
      <c r="F4938" s="949">
        <v>1505</v>
      </c>
      <c r="G4938" s="950" t="s">
        <v>4757</v>
      </c>
      <c r="H4938" s="950" t="s">
        <v>693</v>
      </c>
      <c r="I4938" s="951" t="s">
        <v>15848</v>
      </c>
      <c r="J4938" s="947" t="s">
        <v>15849</v>
      </c>
      <c r="K4938" s="143"/>
    </row>
    <row r="4939" spans="1:11">
      <c r="A4939" s="946" t="s">
        <v>28607</v>
      </c>
      <c r="B4939" s="947" t="s">
        <v>16131</v>
      </c>
      <c r="C4939" s="948" t="s">
        <v>16129</v>
      </c>
      <c r="D4939" s="242" t="s">
        <v>28712</v>
      </c>
      <c r="E4939" s="949">
        <v>1505</v>
      </c>
      <c r="F4939" s="949">
        <v>1505</v>
      </c>
      <c r="G4939" s="950" t="s">
        <v>4757</v>
      </c>
      <c r="H4939" s="950" t="s">
        <v>693</v>
      </c>
      <c r="I4939" s="951" t="s">
        <v>16130</v>
      </c>
      <c r="J4939" s="947" t="s">
        <v>16131</v>
      </c>
      <c r="K4939" s="143"/>
    </row>
    <row r="4940" spans="1:11">
      <c r="A4940" s="946" t="s">
        <v>28607</v>
      </c>
      <c r="B4940" s="947" t="s">
        <v>16148</v>
      </c>
      <c r="C4940" s="948" t="s">
        <v>16146</v>
      </c>
      <c r="D4940" s="242" t="s">
        <v>28712</v>
      </c>
      <c r="E4940" s="949">
        <v>1505</v>
      </c>
      <c r="F4940" s="949">
        <v>1505</v>
      </c>
      <c r="G4940" s="950" t="s">
        <v>4757</v>
      </c>
      <c r="H4940" s="950" t="s">
        <v>693</v>
      </c>
      <c r="I4940" s="951" t="s">
        <v>16147</v>
      </c>
      <c r="J4940" s="947" t="s">
        <v>16148</v>
      </c>
      <c r="K4940" s="143"/>
    </row>
    <row r="4941" spans="1:11">
      <c r="A4941" s="946" t="s">
        <v>28607</v>
      </c>
      <c r="B4941" s="947" t="s">
        <v>16261</v>
      </c>
      <c r="C4941" s="948" t="s">
        <v>16259</v>
      </c>
      <c r="D4941" s="242" t="s">
        <v>28712</v>
      </c>
      <c r="E4941" s="949">
        <v>1505</v>
      </c>
      <c r="F4941" s="949">
        <v>1505</v>
      </c>
      <c r="G4941" s="950" t="s">
        <v>4757</v>
      </c>
      <c r="H4941" s="950" t="s">
        <v>693</v>
      </c>
      <c r="I4941" s="951" t="s">
        <v>16260</v>
      </c>
      <c r="J4941" s="947" t="s">
        <v>16261</v>
      </c>
      <c r="K4941" s="143"/>
    </row>
    <row r="4942" spans="1:11">
      <c r="A4942" s="946" t="s">
        <v>28607</v>
      </c>
      <c r="B4942" s="947" t="s">
        <v>16525</v>
      </c>
      <c r="C4942" s="948" t="s">
        <v>16523</v>
      </c>
      <c r="D4942" s="242" t="s">
        <v>28712</v>
      </c>
      <c r="E4942" s="949">
        <v>1505</v>
      </c>
      <c r="F4942" s="949">
        <v>1505</v>
      </c>
      <c r="G4942" s="950" t="s">
        <v>4757</v>
      </c>
      <c r="H4942" s="950" t="s">
        <v>693</v>
      </c>
      <c r="I4942" s="951" t="s">
        <v>16524</v>
      </c>
      <c r="J4942" s="947" t="s">
        <v>16525</v>
      </c>
      <c r="K4942" s="143"/>
    </row>
    <row r="4943" spans="1:11">
      <c r="A4943" s="946" t="s">
        <v>28607</v>
      </c>
      <c r="B4943" s="947" t="s">
        <v>16643</v>
      </c>
      <c r="C4943" s="948" t="s">
        <v>16641</v>
      </c>
      <c r="D4943" s="242" t="s">
        <v>28712</v>
      </c>
      <c r="E4943" s="949">
        <v>1505</v>
      </c>
      <c r="F4943" s="949">
        <v>1505</v>
      </c>
      <c r="G4943" s="950" t="s">
        <v>4757</v>
      </c>
      <c r="H4943" s="950" t="s">
        <v>693</v>
      </c>
      <c r="I4943" s="951" t="s">
        <v>16642</v>
      </c>
      <c r="J4943" s="947" t="s">
        <v>16643</v>
      </c>
      <c r="K4943" s="143"/>
    </row>
    <row r="4944" spans="1:11">
      <c r="A4944" s="946" t="s">
        <v>28607</v>
      </c>
      <c r="B4944" s="947" t="s">
        <v>16670</v>
      </c>
      <c r="C4944" s="948" t="s">
        <v>16668</v>
      </c>
      <c r="D4944" s="242" t="s">
        <v>28712</v>
      </c>
      <c r="E4944" s="949">
        <v>1505</v>
      </c>
      <c r="F4944" s="949">
        <v>1505</v>
      </c>
      <c r="G4944" s="950" t="s">
        <v>4757</v>
      </c>
      <c r="H4944" s="950" t="s">
        <v>693</v>
      </c>
      <c r="I4944" s="951" t="s">
        <v>16669</v>
      </c>
      <c r="J4944" s="947" t="s">
        <v>16670</v>
      </c>
      <c r="K4944" s="143"/>
    </row>
    <row r="4945" spans="1:11">
      <c r="A4945" s="946" t="s">
        <v>28607</v>
      </c>
      <c r="B4945" s="947" t="s">
        <v>16724</v>
      </c>
      <c r="C4945" s="948" t="s">
        <v>16722</v>
      </c>
      <c r="D4945" s="242" t="s">
        <v>28712</v>
      </c>
      <c r="E4945" s="949">
        <v>1505</v>
      </c>
      <c r="F4945" s="949">
        <v>1505</v>
      </c>
      <c r="G4945" s="950" t="s">
        <v>4757</v>
      </c>
      <c r="H4945" s="950" t="s">
        <v>693</v>
      </c>
      <c r="I4945" s="951" t="s">
        <v>16723</v>
      </c>
      <c r="J4945" s="947" t="s">
        <v>16724</v>
      </c>
      <c r="K4945" s="143"/>
    </row>
    <row r="4946" spans="1:11">
      <c r="A4946" s="946" t="s">
        <v>28607</v>
      </c>
      <c r="B4946" s="947" t="s">
        <v>17128</v>
      </c>
      <c r="C4946" s="948" t="s">
        <v>17126</v>
      </c>
      <c r="D4946" s="242" t="s">
        <v>28712</v>
      </c>
      <c r="E4946" s="949">
        <v>1505</v>
      </c>
      <c r="F4946" s="949">
        <v>1505</v>
      </c>
      <c r="G4946" s="950" t="s">
        <v>4757</v>
      </c>
      <c r="H4946" s="950" t="s">
        <v>693</v>
      </c>
      <c r="I4946" s="951" t="s">
        <v>17127</v>
      </c>
      <c r="J4946" s="947" t="s">
        <v>17128</v>
      </c>
      <c r="K4946" s="143"/>
    </row>
    <row r="4947" spans="1:11">
      <c r="A4947" s="946" t="s">
        <v>28607</v>
      </c>
      <c r="B4947" s="947" t="s">
        <v>17466</v>
      </c>
      <c r="C4947" s="948" t="s">
        <v>17464</v>
      </c>
      <c r="D4947" s="242" t="s">
        <v>28712</v>
      </c>
      <c r="E4947" s="949">
        <v>1505</v>
      </c>
      <c r="F4947" s="949">
        <v>1505</v>
      </c>
      <c r="G4947" s="950" t="s">
        <v>4757</v>
      </c>
      <c r="H4947" s="950" t="s">
        <v>693</v>
      </c>
      <c r="I4947" s="951" t="s">
        <v>17465</v>
      </c>
      <c r="J4947" s="947" t="s">
        <v>17466</v>
      </c>
      <c r="K4947" s="143"/>
    </row>
    <row r="4948" spans="1:11">
      <c r="A4948" s="946" t="s">
        <v>28607</v>
      </c>
      <c r="B4948" s="947" t="s">
        <v>17550</v>
      </c>
      <c r="C4948" s="948" t="s">
        <v>17548</v>
      </c>
      <c r="D4948" s="242" t="s">
        <v>28712</v>
      </c>
      <c r="E4948" s="949">
        <v>1505</v>
      </c>
      <c r="F4948" s="949">
        <v>1505</v>
      </c>
      <c r="G4948" s="950" t="s">
        <v>4757</v>
      </c>
      <c r="H4948" s="950" t="s">
        <v>693</v>
      </c>
      <c r="I4948" s="951" t="s">
        <v>17549</v>
      </c>
      <c r="J4948" s="947" t="s">
        <v>17550</v>
      </c>
      <c r="K4948" s="143"/>
    </row>
    <row r="4949" spans="1:11">
      <c r="A4949" s="946" t="s">
        <v>28607</v>
      </c>
      <c r="B4949" s="947" t="s">
        <v>17792</v>
      </c>
      <c r="C4949" s="948" t="s">
        <v>17790</v>
      </c>
      <c r="D4949" s="242" t="s">
        <v>28712</v>
      </c>
      <c r="E4949" s="949">
        <v>1505</v>
      </c>
      <c r="F4949" s="949">
        <v>1505</v>
      </c>
      <c r="G4949" s="950" t="s">
        <v>4757</v>
      </c>
      <c r="H4949" s="950" t="s">
        <v>693</v>
      </c>
      <c r="I4949" s="951" t="s">
        <v>17791</v>
      </c>
      <c r="J4949" s="947" t="s">
        <v>17792</v>
      </c>
      <c r="K4949" s="143"/>
    </row>
    <row r="4950" spans="1:11">
      <c r="A4950" s="946" t="s">
        <v>28607</v>
      </c>
      <c r="B4950" s="947" t="s">
        <v>17856</v>
      </c>
      <c r="C4950" s="948" t="s">
        <v>17854</v>
      </c>
      <c r="D4950" s="242" t="s">
        <v>28712</v>
      </c>
      <c r="E4950" s="949">
        <v>1505</v>
      </c>
      <c r="F4950" s="949">
        <v>1505</v>
      </c>
      <c r="G4950" s="950" t="s">
        <v>4757</v>
      </c>
      <c r="H4950" s="950" t="s">
        <v>693</v>
      </c>
      <c r="I4950" s="951" t="s">
        <v>17855</v>
      </c>
      <c r="J4950" s="947" t="s">
        <v>17856</v>
      </c>
      <c r="K4950" s="143"/>
    </row>
    <row r="4951" spans="1:11">
      <c r="A4951" s="946" t="s">
        <v>28607</v>
      </c>
      <c r="B4951" s="947" t="s">
        <v>18017</v>
      </c>
      <c r="C4951" s="948" t="s">
        <v>18015</v>
      </c>
      <c r="D4951" s="242" t="s">
        <v>28712</v>
      </c>
      <c r="E4951" s="949">
        <v>1505</v>
      </c>
      <c r="F4951" s="949">
        <v>1505</v>
      </c>
      <c r="G4951" s="950" t="s">
        <v>4757</v>
      </c>
      <c r="H4951" s="950" t="s">
        <v>693</v>
      </c>
      <c r="I4951" s="951" t="s">
        <v>18016</v>
      </c>
      <c r="J4951" s="947" t="s">
        <v>18017</v>
      </c>
      <c r="K4951" s="143"/>
    </row>
    <row r="4952" spans="1:11">
      <c r="A4952" s="946" t="s">
        <v>28607</v>
      </c>
      <c r="B4952" s="947" t="s">
        <v>18117</v>
      </c>
      <c r="C4952" s="948" t="s">
        <v>18115</v>
      </c>
      <c r="D4952" s="242" t="s">
        <v>28712</v>
      </c>
      <c r="E4952" s="949">
        <v>1505</v>
      </c>
      <c r="F4952" s="949">
        <v>1505</v>
      </c>
      <c r="G4952" s="950" t="s">
        <v>4757</v>
      </c>
      <c r="H4952" s="950" t="s">
        <v>693</v>
      </c>
      <c r="I4952" s="951" t="s">
        <v>18116</v>
      </c>
      <c r="J4952" s="947" t="s">
        <v>18117</v>
      </c>
      <c r="K4952" s="143"/>
    </row>
    <row r="4953" spans="1:11">
      <c r="A4953" s="946" t="s">
        <v>28607</v>
      </c>
      <c r="B4953" s="947" t="s">
        <v>18156</v>
      </c>
      <c r="C4953" s="948" t="s">
        <v>18154</v>
      </c>
      <c r="D4953" s="242" t="s">
        <v>28712</v>
      </c>
      <c r="E4953" s="949">
        <v>1505</v>
      </c>
      <c r="F4953" s="949">
        <v>1505</v>
      </c>
      <c r="G4953" s="950" t="s">
        <v>4757</v>
      </c>
      <c r="H4953" s="950" t="s">
        <v>693</v>
      </c>
      <c r="I4953" s="951" t="s">
        <v>18155</v>
      </c>
      <c r="J4953" s="947" t="s">
        <v>18156</v>
      </c>
      <c r="K4953" s="143"/>
    </row>
    <row r="4954" spans="1:11">
      <c r="A4954" s="946" t="s">
        <v>28607</v>
      </c>
      <c r="B4954" s="947" t="s">
        <v>18162</v>
      </c>
      <c r="C4954" s="948" t="s">
        <v>18160</v>
      </c>
      <c r="D4954" s="242" t="s">
        <v>28712</v>
      </c>
      <c r="E4954" s="949">
        <v>1505</v>
      </c>
      <c r="F4954" s="949">
        <v>1505</v>
      </c>
      <c r="G4954" s="950" t="s">
        <v>4757</v>
      </c>
      <c r="H4954" s="950" t="s">
        <v>693</v>
      </c>
      <c r="I4954" s="951" t="s">
        <v>18161</v>
      </c>
      <c r="J4954" s="947" t="s">
        <v>18162</v>
      </c>
      <c r="K4954" s="143"/>
    </row>
    <row r="4955" spans="1:11">
      <c r="A4955" s="946" t="s">
        <v>28607</v>
      </c>
      <c r="B4955" s="947" t="s">
        <v>18459</v>
      </c>
      <c r="C4955" s="948" t="s">
        <v>18457</v>
      </c>
      <c r="D4955" s="242" t="s">
        <v>28712</v>
      </c>
      <c r="E4955" s="949">
        <v>1505</v>
      </c>
      <c r="F4955" s="949">
        <v>1505</v>
      </c>
      <c r="G4955" s="950" t="s">
        <v>4757</v>
      </c>
      <c r="H4955" s="950" t="s">
        <v>693</v>
      </c>
      <c r="I4955" s="951" t="s">
        <v>18458</v>
      </c>
      <c r="J4955" s="947" t="s">
        <v>18459</v>
      </c>
      <c r="K4955" s="143"/>
    </row>
    <row r="4956" spans="1:11">
      <c r="A4956" s="946" t="s">
        <v>28607</v>
      </c>
      <c r="B4956" s="947" t="s">
        <v>18462</v>
      </c>
      <c r="C4956" s="948" t="s">
        <v>18460</v>
      </c>
      <c r="D4956" s="242" t="s">
        <v>28712</v>
      </c>
      <c r="E4956" s="949">
        <v>1505</v>
      </c>
      <c r="F4956" s="949">
        <v>1505</v>
      </c>
      <c r="G4956" s="950" t="s">
        <v>4757</v>
      </c>
      <c r="H4956" s="950" t="s">
        <v>693</v>
      </c>
      <c r="I4956" s="951" t="s">
        <v>18461</v>
      </c>
      <c r="J4956" s="947" t="s">
        <v>18462</v>
      </c>
      <c r="K4956" s="143"/>
    </row>
    <row r="4957" spans="1:11">
      <c r="A4957" s="946" t="s">
        <v>28607</v>
      </c>
      <c r="B4957" s="947" t="s">
        <v>18491</v>
      </c>
      <c r="C4957" s="948" t="s">
        <v>18489</v>
      </c>
      <c r="D4957" s="242" t="s">
        <v>28712</v>
      </c>
      <c r="E4957" s="949">
        <v>1505</v>
      </c>
      <c r="F4957" s="949">
        <v>1505</v>
      </c>
      <c r="G4957" s="950" t="s">
        <v>4757</v>
      </c>
      <c r="H4957" s="950" t="s">
        <v>693</v>
      </c>
      <c r="I4957" s="951" t="s">
        <v>18490</v>
      </c>
      <c r="J4957" s="947" t="s">
        <v>18491</v>
      </c>
      <c r="K4957" s="143"/>
    </row>
    <row r="4958" spans="1:11">
      <c r="A4958" s="946" t="s">
        <v>28607</v>
      </c>
      <c r="B4958" s="947" t="s">
        <v>18242</v>
      </c>
      <c r="C4958" s="948" t="s">
        <v>18240</v>
      </c>
      <c r="D4958" s="242" t="s">
        <v>28712</v>
      </c>
      <c r="E4958" s="949">
        <v>1505</v>
      </c>
      <c r="F4958" s="949">
        <v>1505</v>
      </c>
      <c r="G4958" s="950" t="s">
        <v>4757</v>
      </c>
      <c r="H4958" s="950" t="s">
        <v>693</v>
      </c>
      <c r="I4958" s="951" t="s">
        <v>18241</v>
      </c>
      <c r="J4958" s="947" t="s">
        <v>18242</v>
      </c>
      <c r="K4958" s="143"/>
    </row>
    <row r="4959" spans="1:11">
      <c r="A4959" s="946" t="s">
        <v>28607</v>
      </c>
      <c r="B4959" s="947" t="s">
        <v>18625</v>
      </c>
      <c r="C4959" s="948" t="s">
        <v>18623</v>
      </c>
      <c r="D4959" s="242" t="s">
        <v>28712</v>
      </c>
      <c r="E4959" s="949">
        <v>1505</v>
      </c>
      <c r="F4959" s="949">
        <v>1505</v>
      </c>
      <c r="G4959" s="950" t="s">
        <v>4757</v>
      </c>
      <c r="H4959" s="950" t="s">
        <v>693</v>
      </c>
      <c r="I4959" s="951" t="s">
        <v>18624</v>
      </c>
      <c r="J4959" s="947" t="s">
        <v>18625</v>
      </c>
      <c r="K4959" s="143"/>
    </row>
    <row r="4960" spans="1:11">
      <c r="A4960" s="946" t="s">
        <v>28607</v>
      </c>
      <c r="B4960" s="947" t="s">
        <v>18691</v>
      </c>
      <c r="C4960" s="948" t="s">
        <v>18689</v>
      </c>
      <c r="D4960" s="242" t="s">
        <v>28712</v>
      </c>
      <c r="E4960" s="949">
        <v>1505</v>
      </c>
      <c r="F4960" s="949">
        <v>1505</v>
      </c>
      <c r="G4960" s="950" t="s">
        <v>4757</v>
      </c>
      <c r="H4960" s="950" t="s">
        <v>693</v>
      </c>
      <c r="I4960" s="951" t="s">
        <v>18690</v>
      </c>
      <c r="J4960" s="947" t="s">
        <v>18691</v>
      </c>
      <c r="K4960" s="143"/>
    </row>
    <row r="4961" spans="1:11">
      <c r="A4961" s="946" t="s">
        <v>28607</v>
      </c>
      <c r="B4961" s="947" t="s">
        <v>19398</v>
      </c>
      <c r="C4961" s="948" t="s">
        <v>19396</v>
      </c>
      <c r="D4961" s="242" t="s">
        <v>28712</v>
      </c>
      <c r="E4961" s="949">
        <v>1505</v>
      </c>
      <c r="F4961" s="949">
        <v>1505</v>
      </c>
      <c r="G4961" s="950" t="s">
        <v>4757</v>
      </c>
      <c r="H4961" s="950" t="s">
        <v>693</v>
      </c>
      <c r="I4961" s="951" t="s">
        <v>19397</v>
      </c>
      <c r="J4961" s="947" t="s">
        <v>19398</v>
      </c>
      <c r="K4961" s="143"/>
    </row>
    <row r="4962" spans="1:11">
      <c r="A4962" s="946" t="s">
        <v>28607</v>
      </c>
      <c r="B4962" s="947" t="s">
        <v>19842</v>
      </c>
      <c r="C4962" s="948" t="s">
        <v>19840</v>
      </c>
      <c r="D4962" s="242" t="s">
        <v>28712</v>
      </c>
      <c r="E4962" s="949">
        <v>1505</v>
      </c>
      <c r="F4962" s="949">
        <v>1505</v>
      </c>
      <c r="G4962" s="950" t="s">
        <v>4757</v>
      </c>
      <c r="H4962" s="950" t="s">
        <v>693</v>
      </c>
      <c r="I4962" s="951" t="s">
        <v>19841</v>
      </c>
      <c r="J4962" s="947" t="s">
        <v>19842</v>
      </c>
      <c r="K4962" s="143"/>
    </row>
    <row r="4963" spans="1:11">
      <c r="A4963" s="946" t="s">
        <v>28607</v>
      </c>
      <c r="B4963" s="947" t="s">
        <v>20089</v>
      </c>
      <c r="C4963" s="948" t="s">
        <v>20087</v>
      </c>
      <c r="D4963" s="242" t="s">
        <v>28712</v>
      </c>
      <c r="E4963" s="949">
        <v>1505</v>
      </c>
      <c r="F4963" s="949">
        <v>1505</v>
      </c>
      <c r="G4963" s="950" t="s">
        <v>4757</v>
      </c>
      <c r="H4963" s="950" t="s">
        <v>693</v>
      </c>
      <c r="I4963" s="951" t="s">
        <v>20088</v>
      </c>
      <c r="J4963" s="947" t="s">
        <v>20089</v>
      </c>
      <c r="K4963" s="143"/>
    </row>
    <row r="4964" spans="1:11">
      <c r="A4964" s="946" t="s">
        <v>28607</v>
      </c>
      <c r="B4964" s="947" t="s">
        <v>20287</v>
      </c>
      <c r="C4964" s="948" t="s">
        <v>20285</v>
      </c>
      <c r="D4964" s="242" t="s">
        <v>28712</v>
      </c>
      <c r="E4964" s="949">
        <v>1505</v>
      </c>
      <c r="F4964" s="949">
        <v>1505</v>
      </c>
      <c r="G4964" s="950" t="s">
        <v>4757</v>
      </c>
      <c r="H4964" s="950" t="s">
        <v>693</v>
      </c>
      <c r="I4964" s="951" t="s">
        <v>20286</v>
      </c>
      <c r="J4964" s="947" t="s">
        <v>20287</v>
      </c>
      <c r="K4964" s="143"/>
    </row>
    <row r="4965" spans="1:11">
      <c r="A4965" s="946" t="s">
        <v>28607</v>
      </c>
      <c r="B4965" s="947" t="s">
        <v>20439</v>
      </c>
      <c r="C4965" s="948" t="s">
        <v>20437</v>
      </c>
      <c r="D4965" s="242" t="s">
        <v>28712</v>
      </c>
      <c r="E4965" s="949">
        <v>1505</v>
      </c>
      <c r="F4965" s="949">
        <v>1505</v>
      </c>
      <c r="G4965" s="950" t="s">
        <v>4757</v>
      </c>
      <c r="H4965" s="950" t="s">
        <v>693</v>
      </c>
      <c r="I4965" s="951" t="s">
        <v>20438</v>
      </c>
      <c r="J4965" s="947" t="s">
        <v>20439</v>
      </c>
      <c r="K4965" s="143"/>
    </row>
    <row r="4966" spans="1:11">
      <c r="A4966" s="946" t="s">
        <v>28607</v>
      </c>
      <c r="B4966" s="947" t="s">
        <v>20549</v>
      </c>
      <c r="C4966" s="948" t="s">
        <v>20547</v>
      </c>
      <c r="D4966" s="242" t="s">
        <v>28712</v>
      </c>
      <c r="E4966" s="949">
        <v>1505</v>
      </c>
      <c r="F4966" s="949">
        <v>1505</v>
      </c>
      <c r="G4966" s="950" t="s">
        <v>4757</v>
      </c>
      <c r="H4966" s="950" t="s">
        <v>693</v>
      </c>
      <c r="I4966" s="951" t="s">
        <v>20548</v>
      </c>
      <c r="J4966" s="947" t="s">
        <v>20549</v>
      </c>
      <c r="K4966" s="143"/>
    </row>
    <row r="4967" spans="1:11">
      <c r="A4967" s="946" t="s">
        <v>28607</v>
      </c>
      <c r="B4967" s="947" t="s">
        <v>31102</v>
      </c>
      <c r="C4967" s="948" t="s">
        <v>31103</v>
      </c>
      <c r="D4967" s="242" t="s">
        <v>28712</v>
      </c>
      <c r="E4967" s="949">
        <v>1505</v>
      </c>
      <c r="F4967" s="949">
        <v>1505</v>
      </c>
      <c r="G4967" s="950" t="s">
        <v>4757</v>
      </c>
      <c r="H4967" s="950" t="s">
        <v>693</v>
      </c>
      <c r="I4967" s="951" t="s">
        <v>20930</v>
      </c>
      <c r="J4967" s="947" t="s">
        <v>31102</v>
      </c>
      <c r="K4967" s="143"/>
    </row>
    <row r="4968" spans="1:11">
      <c r="A4968" s="946" t="s">
        <v>28607</v>
      </c>
      <c r="B4968" s="947" t="s">
        <v>21277</v>
      </c>
      <c r="C4968" s="948" t="s">
        <v>21275</v>
      </c>
      <c r="D4968" s="242" t="s">
        <v>28712</v>
      </c>
      <c r="E4968" s="949">
        <v>1505</v>
      </c>
      <c r="F4968" s="949">
        <v>1505</v>
      </c>
      <c r="G4968" s="950" t="s">
        <v>4757</v>
      </c>
      <c r="H4968" s="950" t="s">
        <v>693</v>
      </c>
      <c r="I4968" s="951" t="s">
        <v>21276</v>
      </c>
      <c r="J4968" s="947" t="s">
        <v>21277</v>
      </c>
      <c r="K4968" s="143"/>
    </row>
    <row r="4969" spans="1:11">
      <c r="A4969" s="946" t="s">
        <v>28607</v>
      </c>
      <c r="B4969" s="947" t="s">
        <v>21402</v>
      </c>
      <c r="C4969" s="948" t="s">
        <v>21400</v>
      </c>
      <c r="D4969" s="242" t="s">
        <v>28712</v>
      </c>
      <c r="E4969" s="949">
        <v>1505</v>
      </c>
      <c r="F4969" s="949">
        <v>1505</v>
      </c>
      <c r="G4969" s="950" t="s">
        <v>4757</v>
      </c>
      <c r="H4969" s="950" t="s">
        <v>693</v>
      </c>
      <c r="I4969" s="951" t="s">
        <v>21401</v>
      </c>
      <c r="J4969" s="947" t="s">
        <v>21402</v>
      </c>
      <c r="K4969" s="143"/>
    </row>
    <row r="4970" spans="1:11">
      <c r="A4970" s="946" t="s">
        <v>28607</v>
      </c>
      <c r="B4970" s="947" t="s">
        <v>21416</v>
      </c>
      <c r="C4970" s="948" t="s">
        <v>21414</v>
      </c>
      <c r="D4970" s="242" t="s">
        <v>28712</v>
      </c>
      <c r="E4970" s="949">
        <v>1505</v>
      </c>
      <c r="F4970" s="949">
        <v>1505</v>
      </c>
      <c r="G4970" s="950" t="s">
        <v>4757</v>
      </c>
      <c r="H4970" s="950" t="s">
        <v>693</v>
      </c>
      <c r="I4970" s="951" t="s">
        <v>21415</v>
      </c>
      <c r="J4970" s="947" t="s">
        <v>21416</v>
      </c>
      <c r="K4970" s="143"/>
    </row>
    <row r="4971" spans="1:11">
      <c r="A4971" s="946" t="s">
        <v>28607</v>
      </c>
      <c r="B4971" s="947" t="s">
        <v>22082</v>
      </c>
      <c r="C4971" s="948" t="s">
        <v>22080</v>
      </c>
      <c r="D4971" s="242" t="s">
        <v>28712</v>
      </c>
      <c r="E4971" s="949">
        <v>1505</v>
      </c>
      <c r="F4971" s="949">
        <v>1505</v>
      </c>
      <c r="G4971" s="950" t="s">
        <v>4757</v>
      </c>
      <c r="H4971" s="950" t="s">
        <v>693</v>
      </c>
      <c r="I4971" s="951" t="s">
        <v>22081</v>
      </c>
      <c r="J4971" s="947" t="s">
        <v>22082</v>
      </c>
      <c r="K4971" s="143"/>
    </row>
    <row r="4972" spans="1:11">
      <c r="A4972" s="946" t="s">
        <v>28607</v>
      </c>
      <c r="B4972" s="947" t="s">
        <v>22112</v>
      </c>
      <c r="C4972" s="948" t="s">
        <v>22110</v>
      </c>
      <c r="D4972" s="242" t="s">
        <v>28712</v>
      </c>
      <c r="E4972" s="949">
        <v>1505</v>
      </c>
      <c r="F4972" s="949">
        <v>1505</v>
      </c>
      <c r="G4972" s="950" t="s">
        <v>4757</v>
      </c>
      <c r="H4972" s="950" t="s">
        <v>693</v>
      </c>
      <c r="I4972" s="951" t="s">
        <v>22111</v>
      </c>
      <c r="J4972" s="947" t="s">
        <v>22112</v>
      </c>
      <c r="K4972" s="143"/>
    </row>
    <row r="4973" spans="1:11">
      <c r="A4973" s="946" t="s">
        <v>28607</v>
      </c>
      <c r="B4973" s="947" t="s">
        <v>22448</v>
      </c>
      <c r="C4973" s="948" t="s">
        <v>22446</v>
      </c>
      <c r="D4973" s="242" t="s">
        <v>28712</v>
      </c>
      <c r="E4973" s="949">
        <v>1505</v>
      </c>
      <c r="F4973" s="949">
        <v>1505</v>
      </c>
      <c r="G4973" s="950" t="s">
        <v>4757</v>
      </c>
      <c r="H4973" s="950" t="s">
        <v>693</v>
      </c>
      <c r="I4973" s="951" t="s">
        <v>22447</v>
      </c>
      <c r="J4973" s="947" t="s">
        <v>22448</v>
      </c>
      <c r="K4973" s="143"/>
    </row>
    <row r="4974" spans="1:11">
      <c r="A4974" s="946" t="s">
        <v>28607</v>
      </c>
      <c r="B4974" s="947" t="s">
        <v>7989</v>
      </c>
      <c r="C4974" s="948" t="s">
        <v>7987</v>
      </c>
      <c r="D4974" s="242" t="s">
        <v>28712</v>
      </c>
      <c r="E4974" s="949">
        <v>1505</v>
      </c>
      <c r="F4974" s="949">
        <v>1505</v>
      </c>
      <c r="G4974" s="950" t="s">
        <v>4757</v>
      </c>
      <c r="H4974" s="950" t="s">
        <v>693</v>
      </c>
      <c r="I4974" s="951" t="s">
        <v>7988</v>
      </c>
      <c r="J4974" s="947" t="s">
        <v>7989</v>
      </c>
      <c r="K4974" s="143"/>
    </row>
    <row r="4975" spans="1:11">
      <c r="A4975" s="946" t="s">
        <v>28607</v>
      </c>
      <c r="B4975" s="947" t="s">
        <v>5835</v>
      </c>
      <c r="C4975" s="948" t="s">
        <v>5833</v>
      </c>
      <c r="D4975" s="242" t="s">
        <v>28712</v>
      </c>
      <c r="E4975" s="949">
        <v>1505</v>
      </c>
      <c r="F4975" s="949">
        <v>1505</v>
      </c>
      <c r="G4975" s="950" t="s">
        <v>4757</v>
      </c>
      <c r="H4975" s="950" t="s">
        <v>693</v>
      </c>
      <c r="I4975" s="951" t="s">
        <v>5834</v>
      </c>
      <c r="J4975" s="947" t="s">
        <v>5835</v>
      </c>
      <c r="K4975" s="143"/>
    </row>
    <row r="4976" spans="1:11">
      <c r="A4976" s="946" t="s">
        <v>28607</v>
      </c>
      <c r="B4976" s="947" t="s">
        <v>4682</v>
      </c>
      <c r="C4976" s="948" t="s">
        <v>4680</v>
      </c>
      <c r="D4976" s="242" t="s">
        <v>28712</v>
      </c>
      <c r="E4976" s="949">
        <v>1505</v>
      </c>
      <c r="F4976" s="949">
        <v>1505</v>
      </c>
      <c r="G4976" s="950" t="s">
        <v>4757</v>
      </c>
      <c r="H4976" s="950" t="s">
        <v>693</v>
      </c>
      <c r="I4976" s="951" t="s">
        <v>4681</v>
      </c>
      <c r="J4976" s="947" t="s">
        <v>4682</v>
      </c>
      <c r="K4976" s="143"/>
    </row>
    <row r="4977" spans="1:11">
      <c r="A4977" s="946" t="s">
        <v>28607</v>
      </c>
      <c r="B4977" s="947" t="s">
        <v>17871</v>
      </c>
      <c r="C4977" s="948" t="s">
        <v>17869</v>
      </c>
      <c r="D4977" s="242" t="s">
        <v>28712</v>
      </c>
      <c r="E4977" s="949">
        <v>1505</v>
      </c>
      <c r="F4977" s="949">
        <v>1505</v>
      </c>
      <c r="G4977" s="950" t="s">
        <v>4757</v>
      </c>
      <c r="H4977" s="950" t="s">
        <v>693</v>
      </c>
      <c r="I4977" s="951" t="s">
        <v>17870</v>
      </c>
      <c r="J4977" s="947" t="s">
        <v>17871</v>
      </c>
      <c r="K4977" s="143"/>
    </row>
    <row r="4978" spans="1:11">
      <c r="A4978" s="946" t="s">
        <v>28607</v>
      </c>
      <c r="B4978" s="947" t="s">
        <v>708</v>
      </c>
      <c r="C4978" s="948" t="s">
        <v>705</v>
      </c>
      <c r="D4978" s="242" t="s">
        <v>28712</v>
      </c>
      <c r="E4978" s="949">
        <v>1507</v>
      </c>
      <c r="F4978" s="949">
        <v>1507</v>
      </c>
      <c r="G4978" s="950" t="s">
        <v>2267</v>
      </c>
      <c r="H4978" s="950" t="s">
        <v>706</v>
      </c>
      <c r="I4978" s="951" t="s">
        <v>707</v>
      </c>
      <c r="J4978" s="947" t="s">
        <v>708</v>
      </c>
      <c r="K4978" s="143"/>
    </row>
    <row r="4979" spans="1:11">
      <c r="A4979" s="946" t="s">
        <v>28607</v>
      </c>
      <c r="B4979" s="947" t="s">
        <v>1097</v>
      </c>
      <c r="C4979" s="948" t="s">
        <v>1095</v>
      </c>
      <c r="D4979" s="242" t="s">
        <v>28712</v>
      </c>
      <c r="E4979" s="949">
        <v>1507</v>
      </c>
      <c r="F4979" s="949">
        <v>1507</v>
      </c>
      <c r="G4979" s="950" t="s">
        <v>2267</v>
      </c>
      <c r="H4979" s="950" t="s">
        <v>706</v>
      </c>
      <c r="I4979" s="951" t="s">
        <v>1096</v>
      </c>
      <c r="J4979" s="947" t="s">
        <v>1097</v>
      </c>
      <c r="K4979" s="143"/>
    </row>
    <row r="4980" spans="1:11">
      <c r="A4980" s="946" t="s">
        <v>28607</v>
      </c>
      <c r="B4980" s="947" t="s">
        <v>1244</v>
      </c>
      <c r="C4980" s="948" t="s">
        <v>1242</v>
      </c>
      <c r="D4980" s="242" t="s">
        <v>28712</v>
      </c>
      <c r="E4980" s="949">
        <v>1507</v>
      </c>
      <c r="F4980" s="949">
        <v>1507</v>
      </c>
      <c r="G4980" s="950" t="s">
        <v>2267</v>
      </c>
      <c r="H4980" s="950" t="s">
        <v>706</v>
      </c>
      <c r="I4980" s="951" t="s">
        <v>1243</v>
      </c>
      <c r="J4980" s="947" t="s">
        <v>1244</v>
      </c>
      <c r="K4980" s="143"/>
    </row>
    <row r="4981" spans="1:11">
      <c r="A4981" s="946" t="s">
        <v>28607</v>
      </c>
      <c r="B4981" s="947" t="s">
        <v>1250</v>
      </c>
      <c r="C4981" s="948" t="s">
        <v>1248</v>
      </c>
      <c r="D4981" s="242" t="s">
        <v>28712</v>
      </c>
      <c r="E4981" s="949">
        <v>1507</v>
      </c>
      <c r="F4981" s="949">
        <v>1507</v>
      </c>
      <c r="G4981" s="950" t="s">
        <v>2267</v>
      </c>
      <c r="H4981" s="950" t="s">
        <v>706</v>
      </c>
      <c r="I4981" s="951" t="s">
        <v>1249</v>
      </c>
      <c r="J4981" s="947" t="s">
        <v>1250</v>
      </c>
      <c r="K4981" s="143"/>
    </row>
    <row r="4982" spans="1:11">
      <c r="A4982" s="946" t="s">
        <v>28607</v>
      </c>
      <c r="B4982" s="947" t="s">
        <v>1467</v>
      </c>
      <c r="C4982" s="948" t="s">
        <v>1465</v>
      </c>
      <c r="D4982" s="242" t="s">
        <v>28712</v>
      </c>
      <c r="E4982" s="949">
        <v>1507</v>
      </c>
      <c r="F4982" s="949">
        <v>1507</v>
      </c>
      <c r="G4982" s="950" t="s">
        <v>2267</v>
      </c>
      <c r="H4982" s="950" t="s">
        <v>706</v>
      </c>
      <c r="I4982" s="951" t="s">
        <v>1466</v>
      </c>
      <c r="J4982" s="947" t="s">
        <v>1467</v>
      </c>
      <c r="K4982" s="143"/>
    </row>
    <row r="4983" spans="1:11">
      <c r="A4983" s="946" t="s">
        <v>28607</v>
      </c>
      <c r="B4983" s="947" t="s">
        <v>1470</v>
      </c>
      <c r="C4983" s="948" t="s">
        <v>1468</v>
      </c>
      <c r="D4983" s="242" t="s">
        <v>28712</v>
      </c>
      <c r="E4983" s="949">
        <v>1507</v>
      </c>
      <c r="F4983" s="949">
        <v>1507</v>
      </c>
      <c r="G4983" s="950" t="s">
        <v>2267</v>
      </c>
      <c r="H4983" s="950" t="s">
        <v>706</v>
      </c>
      <c r="I4983" s="951" t="s">
        <v>1469</v>
      </c>
      <c r="J4983" s="947" t="s">
        <v>1470</v>
      </c>
      <c r="K4983" s="143"/>
    </row>
    <row r="4984" spans="1:11">
      <c r="A4984" s="946" t="s">
        <v>28607</v>
      </c>
      <c r="B4984" s="947" t="s">
        <v>2060</v>
      </c>
      <c r="C4984" s="948" t="s">
        <v>2058</v>
      </c>
      <c r="D4984" s="242" t="s">
        <v>28712</v>
      </c>
      <c r="E4984" s="949">
        <v>1507</v>
      </c>
      <c r="F4984" s="949">
        <v>1507</v>
      </c>
      <c r="G4984" s="950" t="s">
        <v>2267</v>
      </c>
      <c r="H4984" s="950" t="s">
        <v>706</v>
      </c>
      <c r="I4984" s="951" t="s">
        <v>2059</v>
      </c>
      <c r="J4984" s="947" t="s">
        <v>2060</v>
      </c>
      <c r="K4984" s="143"/>
    </row>
    <row r="4985" spans="1:11">
      <c r="A4985" s="946" t="s">
        <v>28607</v>
      </c>
      <c r="B4985" s="947" t="s">
        <v>2267</v>
      </c>
      <c r="C4985" s="948" t="s">
        <v>2265</v>
      </c>
      <c r="D4985" s="242" t="s">
        <v>28712</v>
      </c>
      <c r="E4985" s="949">
        <v>1507</v>
      </c>
      <c r="F4985" s="949">
        <v>1507</v>
      </c>
      <c r="G4985" s="950" t="s">
        <v>2267</v>
      </c>
      <c r="H4985" s="950" t="s">
        <v>706</v>
      </c>
      <c r="I4985" s="951" t="s">
        <v>2266</v>
      </c>
      <c r="J4985" s="947" t="s">
        <v>2267</v>
      </c>
      <c r="K4985" s="143"/>
    </row>
    <row r="4986" spans="1:11">
      <c r="A4986" s="946" t="s">
        <v>28607</v>
      </c>
      <c r="B4986" s="947" t="s">
        <v>2643</v>
      </c>
      <c r="C4986" s="948" t="s">
        <v>2641</v>
      </c>
      <c r="D4986" s="242" t="s">
        <v>28712</v>
      </c>
      <c r="E4986" s="949">
        <v>1507</v>
      </c>
      <c r="F4986" s="949">
        <v>1507</v>
      </c>
      <c r="G4986" s="950" t="s">
        <v>2267</v>
      </c>
      <c r="H4986" s="950" t="s">
        <v>706</v>
      </c>
      <c r="I4986" s="951" t="s">
        <v>2642</v>
      </c>
      <c r="J4986" s="947" t="s">
        <v>2643</v>
      </c>
      <c r="K4986" s="143"/>
    </row>
    <row r="4987" spans="1:11">
      <c r="A4987" s="946" t="s">
        <v>28607</v>
      </c>
      <c r="B4987" s="947" t="s">
        <v>3194</v>
      </c>
      <c r="C4987" s="948" t="s">
        <v>3192</v>
      </c>
      <c r="D4987" s="242" t="s">
        <v>28712</v>
      </c>
      <c r="E4987" s="949">
        <v>1507</v>
      </c>
      <c r="F4987" s="949">
        <v>1507</v>
      </c>
      <c r="G4987" s="950" t="s">
        <v>2267</v>
      </c>
      <c r="H4987" s="950" t="s">
        <v>706</v>
      </c>
      <c r="I4987" s="951" t="s">
        <v>3193</v>
      </c>
      <c r="J4987" s="947" t="s">
        <v>3194</v>
      </c>
      <c r="K4987" s="143"/>
    </row>
    <row r="4988" spans="1:11">
      <c r="A4988" s="946" t="s">
        <v>28607</v>
      </c>
      <c r="B4988" s="947" t="s">
        <v>3243</v>
      </c>
      <c r="C4988" s="948" t="s">
        <v>3241</v>
      </c>
      <c r="D4988" s="242" t="s">
        <v>28712</v>
      </c>
      <c r="E4988" s="949">
        <v>1507</v>
      </c>
      <c r="F4988" s="949">
        <v>1507</v>
      </c>
      <c r="G4988" s="950" t="s">
        <v>2267</v>
      </c>
      <c r="H4988" s="950" t="s">
        <v>706</v>
      </c>
      <c r="I4988" s="951" t="s">
        <v>3242</v>
      </c>
      <c r="J4988" s="947" t="s">
        <v>3243</v>
      </c>
      <c r="K4988" s="143"/>
    </row>
    <row r="4989" spans="1:11">
      <c r="A4989" s="946" t="s">
        <v>28607</v>
      </c>
      <c r="B4989" s="947" t="s">
        <v>3576</v>
      </c>
      <c r="C4989" s="948" t="s">
        <v>3574</v>
      </c>
      <c r="D4989" s="242" t="s">
        <v>28712</v>
      </c>
      <c r="E4989" s="949">
        <v>1507</v>
      </c>
      <c r="F4989" s="949">
        <v>1507</v>
      </c>
      <c r="G4989" s="950" t="s">
        <v>2267</v>
      </c>
      <c r="H4989" s="950" t="s">
        <v>706</v>
      </c>
      <c r="I4989" s="951" t="s">
        <v>3575</v>
      </c>
      <c r="J4989" s="947" t="s">
        <v>3576</v>
      </c>
      <c r="K4989" s="143"/>
    </row>
    <row r="4990" spans="1:11">
      <c r="A4990" s="946" t="s">
        <v>28607</v>
      </c>
      <c r="B4990" s="947" t="s">
        <v>3794</v>
      </c>
      <c r="C4990" s="948" t="s">
        <v>3792</v>
      </c>
      <c r="D4990" s="242" t="s">
        <v>28712</v>
      </c>
      <c r="E4990" s="949">
        <v>1507</v>
      </c>
      <c r="F4990" s="949">
        <v>1507</v>
      </c>
      <c r="G4990" s="950" t="s">
        <v>2267</v>
      </c>
      <c r="H4990" s="950" t="s">
        <v>706</v>
      </c>
      <c r="I4990" s="951" t="s">
        <v>3793</v>
      </c>
      <c r="J4990" s="947" t="s">
        <v>3794</v>
      </c>
      <c r="K4990" s="143"/>
    </row>
    <row r="4991" spans="1:11">
      <c r="A4991" s="946" t="s">
        <v>28607</v>
      </c>
      <c r="B4991" s="947" t="s">
        <v>3800</v>
      </c>
      <c r="C4991" s="948" t="s">
        <v>3798</v>
      </c>
      <c r="D4991" s="242" t="s">
        <v>28712</v>
      </c>
      <c r="E4991" s="949">
        <v>1507</v>
      </c>
      <c r="F4991" s="949">
        <v>1507</v>
      </c>
      <c r="G4991" s="950" t="s">
        <v>2267</v>
      </c>
      <c r="H4991" s="950" t="s">
        <v>706</v>
      </c>
      <c r="I4991" s="951" t="s">
        <v>3799</v>
      </c>
      <c r="J4991" s="947" t="s">
        <v>3800</v>
      </c>
      <c r="K4991" s="143"/>
    </row>
    <row r="4992" spans="1:11">
      <c r="A4992" s="946" t="s">
        <v>28607</v>
      </c>
      <c r="B4992" s="947" t="s">
        <v>4542</v>
      </c>
      <c r="C4992" s="948" t="s">
        <v>4540</v>
      </c>
      <c r="D4992" s="242" t="s">
        <v>28712</v>
      </c>
      <c r="E4992" s="949">
        <v>1507</v>
      </c>
      <c r="F4992" s="949">
        <v>1507</v>
      </c>
      <c r="G4992" s="950" t="s">
        <v>2267</v>
      </c>
      <c r="H4992" s="950" t="s">
        <v>706</v>
      </c>
      <c r="I4992" s="951" t="s">
        <v>4541</v>
      </c>
      <c r="J4992" s="947" t="s">
        <v>4542</v>
      </c>
      <c r="K4992" s="143"/>
    </row>
    <row r="4993" spans="1:11">
      <c r="A4993" s="946" t="s">
        <v>28607</v>
      </c>
      <c r="B4993" s="947" t="s">
        <v>5108</v>
      </c>
      <c r="C4993" s="948" t="s">
        <v>5106</v>
      </c>
      <c r="D4993" s="242" t="s">
        <v>28712</v>
      </c>
      <c r="E4993" s="949">
        <v>1507</v>
      </c>
      <c r="F4993" s="949">
        <v>1507</v>
      </c>
      <c r="G4993" s="950" t="s">
        <v>2267</v>
      </c>
      <c r="H4993" s="950" t="s">
        <v>706</v>
      </c>
      <c r="I4993" s="951" t="s">
        <v>5107</v>
      </c>
      <c r="J4993" s="947" t="s">
        <v>5108</v>
      </c>
      <c r="K4993" s="143"/>
    </row>
    <row r="4994" spans="1:11">
      <c r="A4994" s="946" t="s">
        <v>28607</v>
      </c>
      <c r="B4994" s="947" t="s">
        <v>5392</v>
      </c>
      <c r="C4994" s="948" t="s">
        <v>5390</v>
      </c>
      <c r="D4994" s="242" t="s">
        <v>28712</v>
      </c>
      <c r="E4994" s="949">
        <v>1507</v>
      </c>
      <c r="F4994" s="949">
        <v>1507</v>
      </c>
      <c r="G4994" s="950" t="s">
        <v>2267</v>
      </c>
      <c r="H4994" s="950" t="s">
        <v>706</v>
      </c>
      <c r="I4994" s="951" t="s">
        <v>5391</v>
      </c>
      <c r="J4994" s="947" t="s">
        <v>5392</v>
      </c>
      <c r="K4994" s="143"/>
    </row>
    <row r="4995" spans="1:11">
      <c r="A4995" s="946" t="s">
        <v>28607</v>
      </c>
      <c r="B4995" s="947" t="s">
        <v>5404</v>
      </c>
      <c r="C4995" s="948" t="s">
        <v>5402</v>
      </c>
      <c r="D4995" s="242" t="s">
        <v>28712</v>
      </c>
      <c r="E4995" s="949">
        <v>1507</v>
      </c>
      <c r="F4995" s="949">
        <v>1507</v>
      </c>
      <c r="G4995" s="950" t="s">
        <v>2267</v>
      </c>
      <c r="H4995" s="950" t="s">
        <v>706</v>
      </c>
      <c r="I4995" s="951" t="s">
        <v>5403</v>
      </c>
      <c r="J4995" s="947" t="s">
        <v>5404</v>
      </c>
      <c r="K4995" s="143"/>
    </row>
    <row r="4996" spans="1:11">
      <c r="A4996" s="946" t="s">
        <v>28607</v>
      </c>
      <c r="B4996" s="947" t="s">
        <v>5442</v>
      </c>
      <c r="C4996" s="948" t="s">
        <v>5440</v>
      </c>
      <c r="D4996" s="242" t="s">
        <v>28712</v>
      </c>
      <c r="E4996" s="949">
        <v>1507</v>
      </c>
      <c r="F4996" s="949">
        <v>1507</v>
      </c>
      <c r="G4996" s="950" t="s">
        <v>2267</v>
      </c>
      <c r="H4996" s="950" t="s">
        <v>706</v>
      </c>
      <c r="I4996" s="951" t="s">
        <v>5441</v>
      </c>
      <c r="J4996" s="947" t="s">
        <v>5442</v>
      </c>
      <c r="K4996" s="143"/>
    </row>
    <row r="4997" spans="1:11">
      <c r="A4997" s="946" t="s">
        <v>28607</v>
      </c>
      <c r="B4997" s="947" t="s">
        <v>5451</v>
      </c>
      <c r="C4997" s="948" t="s">
        <v>5449</v>
      </c>
      <c r="D4997" s="242" t="s">
        <v>28712</v>
      </c>
      <c r="E4997" s="949">
        <v>1507</v>
      </c>
      <c r="F4997" s="949">
        <v>1507</v>
      </c>
      <c r="G4997" s="950" t="s">
        <v>2267</v>
      </c>
      <c r="H4997" s="950" t="s">
        <v>706</v>
      </c>
      <c r="I4997" s="951" t="s">
        <v>5450</v>
      </c>
      <c r="J4997" s="947" t="s">
        <v>5451</v>
      </c>
      <c r="K4997" s="143"/>
    </row>
    <row r="4998" spans="1:11">
      <c r="A4998" s="946" t="s">
        <v>28607</v>
      </c>
      <c r="B4998" s="947" t="s">
        <v>5638</v>
      </c>
      <c r="C4998" s="948" t="s">
        <v>5636</v>
      </c>
      <c r="D4998" s="242" t="s">
        <v>28712</v>
      </c>
      <c r="E4998" s="949">
        <v>1507</v>
      </c>
      <c r="F4998" s="949">
        <v>1507</v>
      </c>
      <c r="G4998" s="950" t="s">
        <v>2267</v>
      </c>
      <c r="H4998" s="950" t="s">
        <v>706</v>
      </c>
      <c r="I4998" s="951" t="s">
        <v>5637</v>
      </c>
      <c r="J4998" s="947" t="s">
        <v>5638</v>
      </c>
      <c r="K4998" s="143"/>
    </row>
    <row r="4999" spans="1:11">
      <c r="A4999" s="946" t="s">
        <v>28607</v>
      </c>
      <c r="B4999" s="947" t="s">
        <v>5877</v>
      </c>
      <c r="C4999" s="948" t="s">
        <v>5875</v>
      </c>
      <c r="D4999" s="242" t="s">
        <v>28712</v>
      </c>
      <c r="E4999" s="949">
        <v>1507</v>
      </c>
      <c r="F4999" s="949">
        <v>1507</v>
      </c>
      <c r="G4999" s="950" t="s">
        <v>2267</v>
      </c>
      <c r="H4999" s="950" t="s">
        <v>706</v>
      </c>
      <c r="I4999" s="951" t="s">
        <v>5876</v>
      </c>
      <c r="J4999" s="947" t="s">
        <v>5877</v>
      </c>
      <c r="K4999" s="143"/>
    </row>
    <row r="5000" spans="1:11">
      <c r="A5000" s="946" t="s">
        <v>28607</v>
      </c>
      <c r="B5000" s="947" t="s">
        <v>6013</v>
      </c>
      <c r="C5000" s="948" t="s">
        <v>6011</v>
      </c>
      <c r="D5000" s="242" t="s">
        <v>28712</v>
      </c>
      <c r="E5000" s="949">
        <v>1507</v>
      </c>
      <c r="F5000" s="949">
        <v>1507</v>
      </c>
      <c r="G5000" s="950" t="s">
        <v>2267</v>
      </c>
      <c r="H5000" s="950" t="s">
        <v>706</v>
      </c>
      <c r="I5000" s="951" t="s">
        <v>6012</v>
      </c>
      <c r="J5000" s="947" t="s">
        <v>6013</v>
      </c>
      <c r="K5000" s="143"/>
    </row>
    <row r="5001" spans="1:11">
      <c r="A5001" s="946" t="s">
        <v>28607</v>
      </c>
      <c r="B5001" s="947" t="s">
        <v>6452</v>
      </c>
      <c r="C5001" s="948" t="s">
        <v>6450</v>
      </c>
      <c r="D5001" s="242" t="s">
        <v>28712</v>
      </c>
      <c r="E5001" s="949">
        <v>1507</v>
      </c>
      <c r="F5001" s="949">
        <v>1507</v>
      </c>
      <c r="G5001" s="950" t="s">
        <v>2267</v>
      </c>
      <c r="H5001" s="950" t="s">
        <v>706</v>
      </c>
      <c r="I5001" s="951" t="s">
        <v>6451</v>
      </c>
      <c r="J5001" s="947" t="s">
        <v>6452</v>
      </c>
      <c r="K5001" s="143"/>
    </row>
    <row r="5002" spans="1:11">
      <c r="A5002" s="946" t="s">
        <v>28607</v>
      </c>
      <c r="B5002" s="947" t="s">
        <v>6733</v>
      </c>
      <c r="C5002" s="948" t="s">
        <v>6731</v>
      </c>
      <c r="D5002" s="242" t="s">
        <v>28712</v>
      </c>
      <c r="E5002" s="949">
        <v>1507</v>
      </c>
      <c r="F5002" s="949">
        <v>1507</v>
      </c>
      <c r="G5002" s="950" t="s">
        <v>2267</v>
      </c>
      <c r="H5002" s="950" t="s">
        <v>706</v>
      </c>
      <c r="I5002" s="951" t="s">
        <v>6732</v>
      </c>
      <c r="J5002" s="947" t="s">
        <v>6733</v>
      </c>
      <c r="K5002" s="143"/>
    </row>
    <row r="5003" spans="1:11">
      <c r="A5003" s="946" t="s">
        <v>28607</v>
      </c>
      <c r="B5003" s="947" t="s">
        <v>7522</v>
      </c>
      <c r="C5003" s="948" t="s">
        <v>7520</v>
      </c>
      <c r="D5003" s="242" t="s">
        <v>28712</v>
      </c>
      <c r="E5003" s="949">
        <v>1507</v>
      </c>
      <c r="F5003" s="949">
        <v>1507</v>
      </c>
      <c r="G5003" s="950" t="s">
        <v>2267</v>
      </c>
      <c r="H5003" s="950" t="s">
        <v>706</v>
      </c>
      <c r="I5003" s="951" t="s">
        <v>7521</v>
      </c>
      <c r="J5003" s="947" t="s">
        <v>7522</v>
      </c>
      <c r="K5003" s="143"/>
    </row>
    <row r="5004" spans="1:11">
      <c r="A5004" s="946" t="s">
        <v>28607</v>
      </c>
      <c r="B5004" s="947" t="s">
        <v>7800</v>
      </c>
      <c r="C5004" s="948" t="s">
        <v>7798</v>
      </c>
      <c r="D5004" s="242" t="s">
        <v>28712</v>
      </c>
      <c r="E5004" s="949">
        <v>1507</v>
      </c>
      <c r="F5004" s="949">
        <v>1507</v>
      </c>
      <c r="G5004" s="950" t="s">
        <v>2267</v>
      </c>
      <c r="H5004" s="950" t="s">
        <v>706</v>
      </c>
      <c r="I5004" s="951" t="s">
        <v>7799</v>
      </c>
      <c r="J5004" s="947" t="s">
        <v>7800</v>
      </c>
      <c r="K5004" s="143"/>
    </row>
    <row r="5005" spans="1:11">
      <c r="A5005" s="946" t="s">
        <v>28607</v>
      </c>
      <c r="B5005" s="947" t="s">
        <v>7811</v>
      </c>
      <c r="C5005" s="948" t="s">
        <v>7809</v>
      </c>
      <c r="D5005" s="242" t="s">
        <v>28712</v>
      </c>
      <c r="E5005" s="949">
        <v>1507</v>
      </c>
      <c r="F5005" s="949">
        <v>1507</v>
      </c>
      <c r="G5005" s="950" t="s">
        <v>2267</v>
      </c>
      <c r="H5005" s="950" t="s">
        <v>706</v>
      </c>
      <c r="I5005" s="951" t="s">
        <v>7810</v>
      </c>
      <c r="J5005" s="947" t="s">
        <v>7811</v>
      </c>
      <c r="K5005" s="143"/>
    </row>
    <row r="5006" spans="1:11">
      <c r="A5006" s="946" t="s">
        <v>28607</v>
      </c>
      <c r="B5006" s="947" t="s">
        <v>7983</v>
      </c>
      <c r="C5006" s="948" t="s">
        <v>7981</v>
      </c>
      <c r="D5006" s="242" t="s">
        <v>28712</v>
      </c>
      <c r="E5006" s="949">
        <v>1507</v>
      </c>
      <c r="F5006" s="949">
        <v>1507</v>
      </c>
      <c r="G5006" s="950" t="s">
        <v>2267</v>
      </c>
      <c r="H5006" s="950" t="s">
        <v>706</v>
      </c>
      <c r="I5006" s="951" t="s">
        <v>7982</v>
      </c>
      <c r="J5006" s="947" t="s">
        <v>7983</v>
      </c>
      <c r="K5006" s="143"/>
    </row>
    <row r="5007" spans="1:11">
      <c r="A5007" s="946" t="s">
        <v>28607</v>
      </c>
      <c r="B5007" s="947" t="s">
        <v>8350</v>
      </c>
      <c r="C5007" s="948" t="s">
        <v>8348</v>
      </c>
      <c r="D5007" s="242" t="s">
        <v>28712</v>
      </c>
      <c r="E5007" s="949">
        <v>1507</v>
      </c>
      <c r="F5007" s="949">
        <v>1507</v>
      </c>
      <c r="G5007" s="950" t="s">
        <v>2267</v>
      </c>
      <c r="H5007" s="950" t="s">
        <v>706</v>
      </c>
      <c r="I5007" s="951" t="s">
        <v>8349</v>
      </c>
      <c r="J5007" s="947" t="s">
        <v>8350</v>
      </c>
      <c r="K5007" s="143"/>
    </row>
    <row r="5008" spans="1:11">
      <c r="A5008" s="946" t="s">
        <v>28607</v>
      </c>
      <c r="B5008" s="947" t="s">
        <v>8362</v>
      </c>
      <c r="C5008" s="948" t="s">
        <v>8360</v>
      </c>
      <c r="D5008" s="242" t="s">
        <v>28712</v>
      </c>
      <c r="E5008" s="949">
        <v>1507</v>
      </c>
      <c r="F5008" s="949">
        <v>1507</v>
      </c>
      <c r="G5008" s="950" t="s">
        <v>2267</v>
      </c>
      <c r="H5008" s="950" t="s">
        <v>706</v>
      </c>
      <c r="I5008" s="951" t="s">
        <v>8361</v>
      </c>
      <c r="J5008" s="947" t="s">
        <v>8362</v>
      </c>
      <c r="K5008" s="143"/>
    </row>
    <row r="5009" spans="1:11">
      <c r="A5009" s="946" t="s">
        <v>28607</v>
      </c>
      <c r="B5009" s="947" t="s">
        <v>8465</v>
      </c>
      <c r="C5009" s="948" t="s">
        <v>8463</v>
      </c>
      <c r="D5009" s="242" t="s">
        <v>28712</v>
      </c>
      <c r="E5009" s="949">
        <v>1507</v>
      </c>
      <c r="F5009" s="949">
        <v>1507</v>
      </c>
      <c r="G5009" s="950" t="s">
        <v>2267</v>
      </c>
      <c r="H5009" s="950" t="s">
        <v>706</v>
      </c>
      <c r="I5009" s="951" t="s">
        <v>8464</v>
      </c>
      <c r="J5009" s="947" t="s">
        <v>8465</v>
      </c>
      <c r="K5009" s="143"/>
    </row>
    <row r="5010" spans="1:11">
      <c r="A5010" s="946" t="s">
        <v>28607</v>
      </c>
      <c r="B5010" s="947" t="s">
        <v>8602</v>
      </c>
      <c r="C5010" s="948" t="s">
        <v>8600</v>
      </c>
      <c r="D5010" s="242" t="s">
        <v>28712</v>
      </c>
      <c r="E5010" s="949">
        <v>1507</v>
      </c>
      <c r="F5010" s="949">
        <v>1507</v>
      </c>
      <c r="G5010" s="950" t="s">
        <v>2267</v>
      </c>
      <c r="H5010" s="950" t="s">
        <v>706</v>
      </c>
      <c r="I5010" s="951" t="s">
        <v>8601</v>
      </c>
      <c r="J5010" s="947" t="s">
        <v>8602</v>
      </c>
      <c r="K5010" s="143"/>
    </row>
    <row r="5011" spans="1:11">
      <c r="A5011" s="946" t="s">
        <v>28607</v>
      </c>
      <c r="B5011" s="947" t="s">
        <v>8605</v>
      </c>
      <c r="C5011" s="948" t="s">
        <v>8603</v>
      </c>
      <c r="D5011" s="242" t="s">
        <v>28712</v>
      </c>
      <c r="E5011" s="949">
        <v>1507</v>
      </c>
      <c r="F5011" s="949">
        <v>1507</v>
      </c>
      <c r="G5011" s="950" t="s">
        <v>2267</v>
      </c>
      <c r="H5011" s="950" t="s">
        <v>706</v>
      </c>
      <c r="I5011" s="951" t="s">
        <v>8604</v>
      </c>
      <c r="J5011" s="947" t="s">
        <v>8605</v>
      </c>
      <c r="K5011" s="143"/>
    </row>
    <row r="5012" spans="1:11">
      <c r="A5012" s="946" t="s">
        <v>28607</v>
      </c>
      <c r="B5012" s="947" t="s">
        <v>8680</v>
      </c>
      <c r="C5012" s="948" t="s">
        <v>8678</v>
      </c>
      <c r="D5012" s="242" t="s">
        <v>28712</v>
      </c>
      <c r="E5012" s="949">
        <v>1507</v>
      </c>
      <c r="F5012" s="949">
        <v>1507</v>
      </c>
      <c r="G5012" s="950" t="s">
        <v>2267</v>
      </c>
      <c r="H5012" s="950" t="s">
        <v>706</v>
      </c>
      <c r="I5012" s="951" t="s">
        <v>8679</v>
      </c>
      <c r="J5012" s="947" t="s">
        <v>8680</v>
      </c>
      <c r="K5012" s="143"/>
    </row>
    <row r="5013" spans="1:11">
      <c r="A5013" s="946" t="s">
        <v>28607</v>
      </c>
      <c r="B5013" s="947" t="s">
        <v>9238</v>
      </c>
      <c r="C5013" s="948" t="s">
        <v>9236</v>
      </c>
      <c r="D5013" s="242" t="s">
        <v>28712</v>
      </c>
      <c r="E5013" s="949">
        <v>1507</v>
      </c>
      <c r="F5013" s="949">
        <v>1507</v>
      </c>
      <c r="G5013" s="950" t="s">
        <v>2267</v>
      </c>
      <c r="H5013" s="950" t="s">
        <v>706</v>
      </c>
      <c r="I5013" s="951" t="s">
        <v>9237</v>
      </c>
      <c r="J5013" s="947" t="s">
        <v>9238</v>
      </c>
      <c r="K5013" s="143"/>
    </row>
    <row r="5014" spans="1:11">
      <c r="A5014" s="946" t="s">
        <v>28607</v>
      </c>
      <c r="B5014" s="947" t="s">
        <v>9708</v>
      </c>
      <c r="C5014" s="948" t="s">
        <v>9706</v>
      </c>
      <c r="D5014" s="242" t="s">
        <v>28712</v>
      </c>
      <c r="E5014" s="949">
        <v>1507</v>
      </c>
      <c r="F5014" s="949">
        <v>1507</v>
      </c>
      <c r="G5014" s="950" t="s">
        <v>2267</v>
      </c>
      <c r="H5014" s="950" t="s">
        <v>706</v>
      </c>
      <c r="I5014" s="951" t="s">
        <v>9707</v>
      </c>
      <c r="J5014" s="947" t="s">
        <v>9708</v>
      </c>
      <c r="K5014" s="143"/>
    </row>
    <row r="5015" spans="1:11">
      <c r="A5015" s="946" t="s">
        <v>28607</v>
      </c>
      <c r="B5015" s="947" t="s">
        <v>10432</v>
      </c>
      <c r="C5015" s="948" t="s">
        <v>10430</v>
      </c>
      <c r="D5015" s="242" t="s">
        <v>28712</v>
      </c>
      <c r="E5015" s="949">
        <v>1507</v>
      </c>
      <c r="F5015" s="949">
        <v>1507</v>
      </c>
      <c r="G5015" s="950" t="s">
        <v>2267</v>
      </c>
      <c r="H5015" s="950" t="s">
        <v>706</v>
      </c>
      <c r="I5015" s="951" t="s">
        <v>10431</v>
      </c>
      <c r="J5015" s="947" t="s">
        <v>10432</v>
      </c>
      <c r="K5015" s="143"/>
    </row>
    <row r="5016" spans="1:11">
      <c r="A5016" s="946" t="s">
        <v>28607</v>
      </c>
      <c r="B5016" s="947" t="s">
        <v>11572</v>
      </c>
      <c r="C5016" s="948" t="s">
        <v>11570</v>
      </c>
      <c r="D5016" s="242" t="s">
        <v>28712</v>
      </c>
      <c r="E5016" s="949">
        <v>1507</v>
      </c>
      <c r="F5016" s="949">
        <v>1507</v>
      </c>
      <c r="G5016" s="950" t="s">
        <v>2267</v>
      </c>
      <c r="H5016" s="950" t="s">
        <v>706</v>
      </c>
      <c r="I5016" s="951" t="s">
        <v>11571</v>
      </c>
      <c r="J5016" s="947" t="s">
        <v>11572</v>
      </c>
      <c r="K5016" s="143"/>
    </row>
    <row r="5017" spans="1:11">
      <c r="A5017" s="946" t="s">
        <v>28607</v>
      </c>
      <c r="B5017" s="947" t="s">
        <v>11907</v>
      </c>
      <c r="C5017" s="948" t="s">
        <v>11905</v>
      </c>
      <c r="D5017" s="242" t="s">
        <v>28712</v>
      </c>
      <c r="E5017" s="949">
        <v>1507</v>
      </c>
      <c r="F5017" s="949">
        <v>1507</v>
      </c>
      <c r="G5017" s="950" t="s">
        <v>2267</v>
      </c>
      <c r="H5017" s="950" t="s">
        <v>706</v>
      </c>
      <c r="I5017" s="951" t="s">
        <v>11906</v>
      </c>
      <c r="J5017" s="947" t="s">
        <v>11907</v>
      </c>
      <c r="K5017" s="143"/>
    </row>
    <row r="5018" spans="1:11">
      <c r="A5018" s="946" t="s">
        <v>28607</v>
      </c>
      <c r="B5018" s="947" t="s">
        <v>11940</v>
      </c>
      <c r="C5018" s="948" t="s">
        <v>11938</v>
      </c>
      <c r="D5018" s="242" t="s">
        <v>28712</v>
      </c>
      <c r="E5018" s="949">
        <v>1507</v>
      </c>
      <c r="F5018" s="949">
        <v>1507</v>
      </c>
      <c r="G5018" s="950" t="s">
        <v>2267</v>
      </c>
      <c r="H5018" s="950" t="s">
        <v>706</v>
      </c>
      <c r="I5018" s="951" t="s">
        <v>11939</v>
      </c>
      <c r="J5018" s="947" t="s">
        <v>11940</v>
      </c>
      <c r="K5018" s="143"/>
    </row>
    <row r="5019" spans="1:11">
      <c r="A5019" s="946" t="s">
        <v>28607</v>
      </c>
      <c r="B5019" s="947" t="s">
        <v>12466</v>
      </c>
      <c r="C5019" s="948" t="s">
        <v>12464</v>
      </c>
      <c r="D5019" s="242" t="s">
        <v>28712</v>
      </c>
      <c r="E5019" s="949">
        <v>1507</v>
      </c>
      <c r="F5019" s="949">
        <v>1507</v>
      </c>
      <c r="G5019" s="950" t="s">
        <v>2267</v>
      </c>
      <c r="H5019" s="950" t="s">
        <v>706</v>
      </c>
      <c r="I5019" s="951" t="s">
        <v>12465</v>
      </c>
      <c r="J5019" s="947" t="s">
        <v>12466</v>
      </c>
      <c r="K5019" s="143"/>
    </row>
    <row r="5020" spans="1:11">
      <c r="A5020" s="946" t="s">
        <v>28607</v>
      </c>
      <c r="B5020" s="947" t="s">
        <v>12734</v>
      </c>
      <c r="C5020" s="948" t="s">
        <v>12732</v>
      </c>
      <c r="D5020" s="242" t="s">
        <v>28712</v>
      </c>
      <c r="E5020" s="949">
        <v>1507</v>
      </c>
      <c r="F5020" s="949">
        <v>1507</v>
      </c>
      <c r="G5020" s="950" t="s">
        <v>2267</v>
      </c>
      <c r="H5020" s="950" t="s">
        <v>706</v>
      </c>
      <c r="I5020" s="951" t="s">
        <v>12733</v>
      </c>
      <c r="J5020" s="947" t="s">
        <v>12734</v>
      </c>
      <c r="K5020" s="143"/>
    </row>
    <row r="5021" spans="1:11">
      <c r="A5021" s="946" t="s">
        <v>28607</v>
      </c>
      <c r="B5021" s="947" t="s">
        <v>12902</v>
      </c>
      <c r="C5021" s="948" t="s">
        <v>12900</v>
      </c>
      <c r="D5021" s="242" t="s">
        <v>28712</v>
      </c>
      <c r="E5021" s="949">
        <v>1507</v>
      </c>
      <c r="F5021" s="949">
        <v>1507</v>
      </c>
      <c r="G5021" s="950" t="s">
        <v>2267</v>
      </c>
      <c r="H5021" s="950" t="s">
        <v>706</v>
      </c>
      <c r="I5021" s="951" t="s">
        <v>12901</v>
      </c>
      <c r="J5021" s="947" t="s">
        <v>12902</v>
      </c>
      <c r="K5021" s="143"/>
    </row>
    <row r="5022" spans="1:11">
      <c r="A5022" s="946" t="s">
        <v>28607</v>
      </c>
      <c r="B5022" s="947" t="s">
        <v>14014</v>
      </c>
      <c r="C5022" s="948" t="s">
        <v>14012</v>
      </c>
      <c r="D5022" s="242" t="s">
        <v>28712</v>
      </c>
      <c r="E5022" s="949">
        <v>1507</v>
      </c>
      <c r="F5022" s="949">
        <v>1507</v>
      </c>
      <c r="G5022" s="950" t="s">
        <v>2267</v>
      </c>
      <c r="H5022" s="950" t="s">
        <v>706</v>
      </c>
      <c r="I5022" s="951" t="s">
        <v>14013</v>
      </c>
      <c r="J5022" s="947" t="s">
        <v>14014</v>
      </c>
      <c r="K5022" s="143"/>
    </row>
    <row r="5023" spans="1:11">
      <c r="A5023" s="946" t="s">
        <v>28607</v>
      </c>
      <c r="B5023" s="947" t="s">
        <v>14050</v>
      </c>
      <c r="C5023" s="948" t="s">
        <v>14048</v>
      </c>
      <c r="D5023" s="242" t="s">
        <v>28712</v>
      </c>
      <c r="E5023" s="949">
        <v>1507</v>
      </c>
      <c r="F5023" s="949">
        <v>1507</v>
      </c>
      <c r="G5023" s="950" t="s">
        <v>2267</v>
      </c>
      <c r="H5023" s="950" t="s">
        <v>706</v>
      </c>
      <c r="I5023" s="951" t="s">
        <v>14049</v>
      </c>
      <c r="J5023" s="947" t="s">
        <v>14050</v>
      </c>
      <c r="K5023" s="143"/>
    </row>
    <row r="5024" spans="1:11">
      <c r="A5024" s="946" t="s">
        <v>28607</v>
      </c>
      <c r="B5024" s="947" t="s">
        <v>14210</v>
      </c>
      <c r="C5024" s="948" t="s">
        <v>14208</v>
      </c>
      <c r="D5024" s="242" t="s">
        <v>28712</v>
      </c>
      <c r="E5024" s="949">
        <v>1507</v>
      </c>
      <c r="F5024" s="949">
        <v>1507</v>
      </c>
      <c r="G5024" s="950" t="s">
        <v>2267</v>
      </c>
      <c r="H5024" s="950" t="s">
        <v>706</v>
      </c>
      <c r="I5024" s="951" t="s">
        <v>14209</v>
      </c>
      <c r="J5024" s="947" t="s">
        <v>14210</v>
      </c>
      <c r="K5024" s="143"/>
    </row>
    <row r="5025" spans="1:11">
      <c r="A5025" s="946" t="s">
        <v>28607</v>
      </c>
      <c r="B5025" s="947" t="s">
        <v>14225</v>
      </c>
      <c r="C5025" s="948" t="s">
        <v>14223</v>
      </c>
      <c r="D5025" s="242" t="s">
        <v>28712</v>
      </c>
      <c r="E5025" s="949">
        <v>1507</v>
      </c>
      <c r="F5025" s="949">
        <v>1507</v>
      </c>
      <c r="G5025" s="950" t="s">
        <v>2267</v>
      </c>
      <c r="H5025" s="950" t="s">
        <v>706</v>
      </c>
      <c r="I5025" s="951" t="s">
        <v>14224</v>
      </c>
      <c r="J5025" s="947" t="s">
        <v>14225</v>
      </c>
      <c r="K5025" s="143"/>
    </row>
    <row r="5026" spans="1:11">
      <c r="A5026" s="946" t="s">
        <v>28607</v>
      </c>
      <c r="B5026" s="947" t="s">
        <v>14361</v>
      </c>
      <c r="C5026" s="948" t="s">
        <v>14359</v>
      </c>
      <c r="D5026" s="242" t="s">
        <v>28712</v>
      </c>
      <c r="E5026" s="949">
        <v>1507</v>
      </c>
      <c r="F5026" s="949">
        <v>1507</v>
      </c>
      <c r="G5026" s="950" t="s">
        <v>2267</v>
      </c>
      <c r="H5026" s="950" t="s">
        <v>706</v>
      </c>
      <c r="I5026" s="951" t="s">
        <v>14360</v>
      </c>
      <c r="J5026" s="947" t="s">
        <v>14361</v>
      </c>
      <c r="K5026" s="143"/>
    </row>
    <row r="5027" spans="1:11">
      <c r="A5027" s="946" t="s">
        <v>28607</v>
      </c>
      <c r="B5027" s="947" t="s">
        <v>14592</v>
      </c>
      <c r="C5027" s="948" t="s">
        <v>14590</v>
      </c>
      <c r="D5027" s="242" t="s">
        <v>28712</v>
      </c>
      <c r="E5027" s="949">
        <v>1507</v>
      </c>
      <c r="F5027" s="949">
        <v>1507</v>
      </c>
      <c r="G5027" s="950" t="s">
        <v>2267</v>
      </c>
      <c r="H5027" s="950" t="s">
        <v>706</v>
      </c>
      <c r="I5027" s="951" t="s">
        <v>14591</v>
      </c>
      <c r="J5027" s="947" t="s">
        <v>14592</v>
      </c>
      <c r="K5027" s="143"/>
    </row>
    <row r="5028" spans="1:11">
      <c r="A5028" s="946" t="s">
        <v>28607</v>
      </c>
      <c r="B5028" s="947" t="s">
        <v>14898</v>
      </c>
      <c r="C5028" s="948" t="s">
        <v>14896</v>
      </c>
      <c r="D5028" s="242" t="s">
        <v>28712</v>
      </c>
      <c r="E5028" s="949">
        <v>1507</v>
      </c>
      <c r="F5028" s="949">
        <v>1507</v>
      </c>
      <c r="G5028" s="950" t="s">
        <v>2267</v>
      </c>
      <c r="H5028" s="950" t="s">
        <v>706</v>
      </c>
      <c r="I5028" s="951" t="s">
        <v>14897</v>
      </c>
      <c r="J5028" s="947" t="s">
        <v>14898</v>
      </c>
      <c r="K5028" s="143"/>
    </row>
    <row r="5029" spans="1:11">
      <c r="A5029" s="946" t="s">
        <v>28607</v>
      </c>
      <c r="B5029" s="947" t="s">
        <v>14913</v>
      </c>
      <c r="C5029" s="948" t="s">
        <v>14911</v>
      </c>
      <c r="D5029" s="242" t="s">
        <v>28712</v>
      </c>
      <c r="E5029" s="949">
        <v>1507</v>
      </c>
      <c r="F5029" s="949">
        <v>1507</v>
      </c>
      <c r="G5029" s="950" t="s">
        <v>2267</v>
      </c>
      <c r="H5029" s="950" t="s">
        <v>706</v>
      </c>
      <c r="I5029" s="951" t="s">
        <v>14912</v>
      </c>
      <c r="J5029" s="947" t="s">
        <v>14913</v>
      </c>
      <c r="K5029" s="143"/>
    </row>
    <row r="5030" spans="1:11">
      <c r="A5030" s="946" t="s">
        <v>28607</v>
      </c>
      <c r="B5030" s="947" t="s">
        <v>15375</v>
      </c>
      <c r="C5030" s="948" t="s">
        <v>15373</v>
      </c>
      <c r="D5030" s="242" t="s">
        <v>28712</v>
      </c>
      <c r="E5030" s="949">
        <v>1507</v>
      </c>
      <c r="F5030" s="949">
        <v>1507</v>
      </c>
      <c r="G5030" s="950" t="s">
        <v>2267</v>
      </c>
      <c r="H5030" s="950" t="s">
        <v>706</v>
      </c>
      <c r="I5030" s="951" t="s">
        <v>15374</v>
      </c>
      <c r="J5030" s="947" t="s">
        <v>15375</v>
      </c>
      <c r="K5030" s="143"/>
    </row>
    <row r="5031" spans="1:11">
      <c r="A5031" s="946" t="s">
        <v>28607</v>
      </c>
      <c r="B5031" s="947" t="s">
        <v>15436</v>
      </c>
      <c r="C5031" s="948" t="s">
        <v>15434</v>
      </c>
      <c r="D5031" s="242" t="s">
        <v>28712</v>
      </c>
      <c r="E5031" s="949">
        <v>1507</v>
      </c>
      <c r="F5031" s="949">
        <v>1507</v>
      </c>
      <c r="G5031" s="950" t="s">
        <v>2267</v>
      </c>
      <c r="H5031" s="950" t="s">
        <v>706</v>
      </c>
      <c r="I5031" s="951" t="s">
        <v>15435</v>
      </c>
      <c r="J5031" s="947" t="s">
        <v>15436</v>
      </c>
      <c r="K5031" s="143"/>
    </row>
    <row r="5032" spans="1:11">
      <c r="A5032" s="946" t="s">
        <v>28607</v>
      </c>
      <c r="B5032" s="947" t="s">
        <v>15923</v>
      </c>
      <c r="C5032" s="948" t="s">
        <v>15921</v>
      </c>
      <c r="D5032" s="242" t="s">
        <v>28712</v>
      </c>
      <c r="E5032" s="949">
        <v>1507</v>
      </c>
      <c r="F5032" s="949">
        <v>1507</v>
      </c>
      <c r="G5032" s="950" t="s">
        <v>2267</v>
      </c>
      <c r="H5032" s="950" t="s">
        <v>706</v>
      </c>
      <c r="I5032" s="951" t="s">
        <v>15922</v>
      </c>
      <c r="J5032" s="947" t="s">
        <v>15923</v>
      </c>
      <c r="K5032" s="143"/>
    </row>
    <row r="5033" spans="1:11">
      <c r="A5033" s="946" t="s">
        <v>28607</v>
      </c>
      <c r="B5033" s="947" t="s">
        <v>16190</v>
      </c>
      <c r="C5033" s="948" t="s">
        <v>16188</v>
      </c>
      <c r="D5033" s="242" t="s">
        <v>28712</v>
      </c>
      <c r="E5033" s="949">
        <v>1507</v>
      </c>
      <c r="F5033" s="949">
        <v>1507</v>
      </c>
      <c r="G5033" s="950" t="s">
        <v>2267</v>
      </c>
      <c r="H5033" s="950" t="s">
        <v>706</v>
      </c>
      <c r="I5033" s="951" t="s">
        <v>16189</v>
      </c>
      <c r="J5033" s="947" t="s">
        <v>16190</v>
      </c>
      <c r="K5033" s="143"/>
    </row>
    <row r="5034" spans="1:11">
      <c r="A5034" s="946" t="s">
        <v>28607</v>
      </c>
      <c r="B5034" s="947" t="s">
        <v>17364</v>
      </c>
      <c r="C5034" s="948" t="s">
        <v>17362</v>
      </c>
      <c r="D5034" s="242" t="s">
        <v>28712</v>
      </c>
      <c r="E5034" s="949">
        <v>1507</v>
      </c>
      <c r="F5034" s="949">
        <v>1507</v>
      </c>
      <c r="G5034" s="950" t="s">
        <v>2267</v>
      </c>
      <c r="H5034" s="950" t="s">
        <v>706</v>
      </c>
      <c r="I5034" s="951" t="s">
        <v>17363</v>
      </c>
      <c r="J5034" s="947" t="s">
        <v>17364</v>
      </c>
      <c r="K5034" s="143"/>
    </row>
    <row r="5035" spans="1:11">
      <c r="A5035" s="946" t="s">
        <v>28607</v>
      </c>
      <c r="B5035" s="947" t="s">
        <v>17647</v>
      </c>
      <c r="C5035" s="948" t="s">
        <v>17645</v>
      </c>
      <c r="D5035" s="242" t="s">
        <v>28712</v>
      </c>
      <c r="E5035" s="949">
        <v>1507</v>
      </c>
      <c r="F5035" s="949">
        <v>1507</v>
      </c>
      <c r="G5035" s="950" t="s">
        <v>2267</v>
      </c>
      <c r="H5035" s="950" t="s">
        <v>706</v>
      </c>
      <c r="I5035" s="951" t="s">
        <v>17646</v>
      </c>
      <c r="J5035" s="947" t="s">
        <v>17647</v>
      </c>
      <c r="K5035" s="143"/>
    </row>
    <row r="5036" spans="1:11">
      <c r="A5036" s="946" t="s">
        <v>28607</v>
      </c>
      <c r="B5036" s="947" t="s">
        <v>17672</v>
      </c>
      <c r="C5036" s="948" t="s">
        <v>17670</v>
      </c>
      <c r="D5036" s="242" t="s">
        <v>28712</v>
      </c>
      <c r="E5036" s="949">
        <v>1507</v>
      </c>
      <c r="F5036" s="949">
        <v>1507</v>
      </c>
      <c r="G5036" s="950" t="s">
        <v>2267</v>
      </c>
      <c r="H5036" s="950" t="s">
        <v>706</v>
      </c>
      <c r="I5036" s="951" t="s">
        <v>17671</v>
      </c>
      <c r="J5036" s="947" t="s">
        <v>17672</v>
      </c>
      <c r="K5036" s="143"/>
    </row>
    <row r="5037" spans="1:11">
      <c r="A5037" s="946" t="s">
        <v>28607</v>
      </c>
      <c r="B5037" s="947" t="s">
        <v>17807</v>
      </c>
      <c r="C5037" s="948" t="s">
        <v>17805</v>
      </c>
      <c r="D5037" s="242" t="s">
        <v>28712</v>
      </c>
      <c r="E5037" s="949">
        <v>1507</v>
      </c>
      <c r="F5037" s="949">
        <v>1507</v>
      </c>
      <c r="G5037" s="950" t="s">
        <v>2267</v>
      </c>
      <c r="H5037" s="950" t="s">
        <v>706</v>
      </c>
      <c r="I5037" s="951" t="s">
        <v>17806</v>
      </c>
      <c r="J5037" s="947" t="s">
        <v>17807</v>
      </c>
      <c r="K5037" s="143"/>
    </row>
    <row r="5038" spans="1:11">
      <c r="A5038" s="946" t="s">
        <v>28607</v>
      </c>
      <c r="B5038" s="947" t="s">
        <v>17810</v>
      </c>
      <c r="C5038" s="948" t="s">
        <v>17808</v>
      </c>
      <c r="D5038" s="242" t="s">
        <v>28712</v>
      </c>
      <c r="E5038" s="949">
        <v>1507</v>
      </c>
      <c r="F5038" s="949">
        <v>1507</v>
      </c>
      <c r="G5038" s="950" t="s">
        <v>2267</v>
      </c>
      <c r="H5038" s="950" t="s">
        <v>706</v>
      </c>
      <c r="I5038" s="951" t="s">
        <v>17809</v>
      </c>
      <c r="J5038" s="947" t="s">
        <v>17810</v>
      </c>
      <c r="K5038" s="143"/>
    </row>
    <row r="5039" spans="1:11">
      <c r="A5039" s="946" t="s">
        <v>28607</v>
      </c>
      <c r="B5039" s="947" t="s">
        <v>17832</v>
      </c>
      <c r="C5039" s="948" t="s">
        <v>17830</v>
      </c>
      <c r="D5039" s="242" t="s">
        <v>28712</v>
      </c>
      <c r="E5039" s="949">
        <v>1507</v>
      </c>
      <c r="F5039" s="949">
        <v>1507</v>
      </c>
      <c r="G5039" s="950" t="s">
        <v>2267</v>
      </c>
      <c r="H5039" s="950" t="s">
        <v>706</v>
      </c>
      <c r="I5039" s="951" t="s">
        <v>17831</v>
      </c>
      <c r="J5039" s="947" t="s">
        <v>17832</v>
      </c>
      <c r="K5039" s="143"/>
    </row>
    <row r="5040" spans="1:11">
      <c r="A5040" s="946" t="s">
        <v>28607</v>
      </c>
      <c r="B5040" s="947" t="s">
        <v>17844</v>
      </c>
      <c r="C5040" s="948" t="s">
        <v>17842</v>
      </c>
      <c r="D5040" s="242" t="s">
        <v>28712</v>
      </c>
      <c r="E5040" s="949">
        <v>1507</v>
      </c>
      <c r="F5040" s="949">
        <v>1507</v>
      </c>
      <c r="G5040" s="950" t="s">
        <v>2267</v>
      </c>
      <c r="H5040" s="950" t="s">
        <v>706</v>
      </c>
      <c r="I5040" s="951" t="s">
        <v>17843</v>
      </c>
      <c r="J5040" s="947" t="s">
        <v>17844</v>
      </c>
      <c r="K5040" s="143"/>
    </row>
    <row r="5041" spans="1:11">
      <c r="A5041" s="946" t="s">
        <v>28607</v>
      </c>
      <c r="B5041" s="947" t="s">
        <v>17868</v>
      </c>
      <c r="C5041" s="948" t="s">
        <v>17866</v>
      </c>
      <c r="D5041" s="242" t="s">
        <v>28712</v>
      </c>
      <c r="E5041" s="949">
        <v>1507</v>
      </c>
      <c r="F5041" s="949">
        <v>1507</v>
      </c>
      <c r="G5041" s="950" t="s">
        <v>2267</v>
      </c>
      <c r="H5041" s="950" t="s">
        <v>706</v>
      </c>
      <c r="I5041" s="951" t="s">
        <v>17867</v>
      </c>
      <c r="J5041" s="947" t="s">
        <v>17868</v>
      </c>
      <c r="K5041" s="143"/>
    </row>
    <row r="5042" spans="1:11">
      <c r="A5042" s="946" t="s">
        <v>28607</v>
      </c>
      <c r="B5042" s="947" t="s">
        <v>17921</v>
      </c>
      <c r="C5042" s="948" t="s">
        <v>17919</v>
      </c>
      <c r="D5042" s="242" t="s">
        <v>28712</v>
      </c>
      <c r="E5042" s="949">
        <v>1507</v>
      </c>
      <c r="F5042" s="949">
        <v>1507</v>
      </c>
      <c r="G5042" s="950" t="s">
        <v>2267</v>
      </c>
      <c r="H5042" s="950" t="s">
        <v>706</v>
      </c>
      <c r="I5042" s="951" t="s">
        <v>17920</v>
      </c>
      <c r="J5042" s="947" t="s">
        <v>17921</v>
      </c>
      <c r="K5042" s="143"/>
    </row>
    <row r="5043" spans="1:11">
      <c r="A5043" s="946" t="s">
        <v>28607</v>
      </c>
      <c r="B5043" s="947" t="s">
        <v>17995</v>
      </c>
      <c r="C5043" s="948" t="s">
        <v>17993</v>
      </c>
      <c r="D5043" s="242" t="s">
        <v>28712</v>
      </c>
      <c r="E5043" s="949">
        <v>1507</v>
      </c>
      <c r="F5043" s="949">
        <v>1507</v>
      </c>
      <c r="G5043" s="950" t="s">
        <v>2267</v>
      </c>
      <c r="H5043" s="950" t="s">
        <v>706</v>
      </c>
      <c r="I5043" s="951" t="s">
        <v>17994</v>
      </c>
      <c r="J5043" s="947" t="s">
        <v>17995</v>
      </c>
      <c r="K5043" s="143"/>
    </row>
    <row r="5044" spans="1:11">
      <c r="A5044" s="946" t="s">
        <v>28607</v>
      </c>
      <c r="B5044" s="947" t="s">
        <v>18020</v>
      </c>
      <c r="C5044" s="948" t="s">
        <v>18018</v>
      </c>
      <c r="D5044" s="242" t="s">
        <v>28712</v>
      </c>
      <c r="E5044" s="949">
        <v>1507</v>
      </c>
      <c r="F5044" s="949">
        <v>1507</v>
      </c>
      <c r="G5044" s="950" t="s">
        <v>2267</v>
      </c>
      <c r="H5044" s="950" t="s">
        <v>706</v>
      </c>
      <c r="I5044" s="951" t="s">
        <v>18019</v>
      </c>
      <c r="J5044" s="947" t="s">
        <v>18020</v>
      </c>
      <c r="K5044" s="143"/>
    </row>
    <row r="5045" spans="1:11">
      <c r="A5045" s="946" t="s">
        <v>28607</v>
      </c>
      <c r="B5045" s="947" t="s">
        <v>18198</v>
      </c>
      <c r="C5045" s="948" t="s">
        <v>18196</v>
      </c>
      <c r="D5045" s="242" t="s">
        <v>28712</v>
      </c>
      <c r="E5045" s="949">
        <v>1507</v>
      </c>
      <c r="F5045" s="949">
        <v>1507</v>
      </c>
      <c r="G5045" s="950" t="s">
        <v>2267</v>
      </c>
      <c r="H5045" s="950" t="s">
        <v>706</v>
      </c>
      <c r="I5045" s="951" t="s">
        <v>18197</v>
      </c>
      <c r="J5045" s="947" t="s">
        <v>18198</v>
      </c>
      <c r="K5045" s="143"/>
    </row>
    <row r="5046" spans="1:11">
      <c r="A5046" s="946" t="s">
        <v>28607</v>
      </c>
      <c r="B5046" s="947" t="s">
        <v>18400</v>
      </c>
      <c r="C5046" s="948" t="s">
        <v>18398</v>
      </c>
      <c r="D5046" s="242" t="s">
        <v>28712</v>
      </c>
      <c r="E5046" s="949">
        <v>1507</v>
      </c>
      <c r="F5046" s="949">
        <v>1507</v>
      </c>
      <c r="G5046" s="950" t="s">
        <v>2267</v>
      </c>
      <c r="H5046" s="950" t="s">
        <v>706</v>
      </c>
      <c r="I5046" s="951" t="s">
        <v>18399</v>
      </c>
      <c r="J5046" s="947" t="s">
        <v>18400</v>
      </c>
      <c r="K5046" s="143"/>
    </row>
    <row r="5047" spans="1:11">
      <c r="A5047" s="946" t="s">
        <v>28607</v>
      </c>
      <c r="B5047" s="947" t="s">
        <v>18544</v>
      </c>
      <c r="C5047" s="948" t="s">
        <v>18542</v>
      </c>
      <c r="D5047" s="242" t="s">
        <v>28712</v>
      </c>
      <c r="E5047" s="949">
        <v>1507</v>
      </c>
      <c r="F5047" s="949">
        <v>1507</v>
      </c>
      <c r="G5047" s="950" t="s">
        <v>2267</v>
      </c>
      <c r="H5047" s="950" t="s">
        <v>706</v>
      </c>
      <c r="I5047" s="951" t="s">
        <v>18543</v>
      </c>
      <c r="J5047" s="947" t="s">
        <v>18544</v>
      </c>
      <c r="K5047" s="143"/>
    </row>
    <row r="5048" spans="1:11">
      <c r="A5048" s="946" t="s">
        <v>28607</v>
      </c>
      <c r="B5048" s="947" t="s">
        <v>18613</v>
      </c>
      <c r="C5048" s="948" t="s">
        <v>18611</v>
      </c>
      <c r="D5048" s="242" t="s">
        <v>28712</v>
      </c>
      <c r="E5048" s="949">
        <v>1507</v>
      </c>
      <c r="F5048" s="949">
        <v>1507</v>
      </c>
      <c r="G5048" s="950" t="s">
        <v>2267</v>
      </c>
      <c r="H5048" s="950" t="s">
        <v>706</v>
      </c>
      <c r="I5048" s="951" t="s">
        <v>18612</v>
      </c>
      <c r="J5048" s="947" t="s">
        <v>18613</v>
      </c>
      <c r="K5048" s="143"/>
    </row>
    <row r="5049" spans="1:11">
      <c r="A5049" s="946" t="s">
        <v>28607</v>
      </c>
      <c r="B5049" s="947" t="s">
        <v>18918</v>
      </c>
      <c r="C5049" s="948" t="s">
        <v>18916</v>
      </c>
      <c r="D5049" s="242" t="s">
        <v>28712</v>
      </c>
      <c r="E5049" s="949">
        <v>1507</v>
      </c>
      <c r="F5049" s="949">
        <v>1507</v>
      </c>
      <c r="G5049" s="950" t="s">
        <v>2267</v>
      </c>
      <c r="H5049" s="950" t="s">
        <v>706</v>
      </c>
      <c r="I5049" s="951" t="s">
        <v>18917</v>
      </c>
      <c r="J5049" s="947" t="s">
        <v>18918</v>
      </c>
      <c r="K5049" s="143"/>
    </row>
    <row r="5050" spans="1:11">
      <c r="A5050" s="946" t="s">
        <v>28607</v>
      </c>
      <c r="B5050" s="947" t="s">
        <v>19672</v>
      </c>
      <c r="C5050" s="948" t="s">
        <v>19670</v>
      </c>
      <c r="D5050" s="242" t="s">
        <v>28712</v>
      </c>
      <c r="E5050" s="949">
        <v>1507</v>
      </c>
      <c r="F5050" s="949">
        <v>1507</v>
      </c>
      <c r="G5050" s="950" t="s">
        <v>2267</v>
      </c>
      <c r="H5050" s="950" t="s">
        <v>706</v>
      </c>
      <c r="I5050" s="951" t="s">
        <v>19671</v>
      </c>
      <c r="J5050" s="947" t="s">
        <v>19672</v>
      </c>
      <c r="K5050" s="143"/>
    </row>
    <row r="5051" spans="1:11">
      <c r="A5051" s="946" t="s">
        <v>28607</v>
      </c>
      <c r="B5051" s="947" t="s">
        <v>20299</v>
      </c>
      <c r="C5051" s="948" t="s">
        <v>20297</v>
      </c>
      <c r="D5051" s="242" t="s">
        <v>28712</v>
      </c>
      <c r="E5051" s="949">
        <v>1507</v>
      </c>
      <c r="F5051" s="949">
        <v>1507</v>
      </c>
      <c r="G5051" s="950" t="s">
        <v>2267</v>
      </c>
      <c r="H5051" s="950" t="s">
        <v>706</v>
      </c>
      <c r="I5051" s="951" t="s">
        <v>20298</v>
      </c>
      <c r="J5051" s="947" t="s">
        <v>20299</v>
      </c>
      <c r="K5051" s="143"/>
    </row>
    <row r="5052" spans="1:11">
      <c r="A5052" s="946" t="s">
        <v>28607</v>
      </c>
      <c r="B5052" s="947" t="s">
        <v>20500</v>
      </c>
      <c r="C5052" s="948" t="s">
        <v>20498</v>
      </c>
      <c r="D5052" s="242" t="s">
        <v>28712</v>
      </c>
      <c r="E5052" s="949">
        <v>1507</v>
      </c>
      <c r="F5052" s="949">
        <v>1507</v>
      </c>
      <c r="G5052" s="950" t="s">
        <v>2267</v>
      </c>
      <c r="H5052" s="950" t="s">
        <v>706</v>
      </c>
      <c r="I5052" s="951" t="s">
        <v>20499</v>
      </c>
      <c r="J5052" s="947" t="s">
        <v>20500</v>
      </c>
      <c r="K5052" s="143"/>
    </row>
    <row r="5053" spans="1:11">
      <c r="A5053" s="946" t="s">
        <v>28607</v>
      </c>
      <c r="B5053" s="947" t="s">
        <v>20711</v>
      </c>
      <c r="C5053" s="948" t="s">
        <v>20709</v>
      </c>
      <c r="D5053" s="242" t="s">
        <v>28712</v>
      </c>
      <c r="E5053" s="949">
        <v>1507</v>
      </c>
      <c r="F5053" s="949">
        <v>1507</v>
      </c>
      <c r="G5053" s="950" t="s">
        <v>2267</v>
      </c>
      <c r="H5053" s="950" t="s">
        <v>706</v>
      </c>
      <c r="I5053" s="951" t="s">
        <v>20710</v>
      </c>
      <c r="J5053" s="947" t="s">
        <v>20711</v>
      </c>
      <c r="K5053" s="143"/>
    </row>
    <row r="5054" spans="1:11">
      <c r="A5054" s="946" t="s">
        <v>28607</v>
      </c>
      <c r="B5054" s="947" t="s">
        <v>22445</v>
      </c>
      <c r="C5054" s="948" t="s">
        <v>22443</v>
      </c>
      <c r="D5054" s="242" t="s">
        <v>28712</v>
      </c>
      <c r="E5054" s="949">
        <v>1507</v>
      </c>
      <c r="F5054" s="949">
        <v>1507</v>
      </c>
      <c r="G5054" s="950" t="s">
        <v>2267</v>
      </c>
      <c r="H5054" s="950" t="s">
        <v>706</v>
      </c>
      <c r="I5054" s="951" t="s">
        <v>22444</v>
      </c>
      <c r="J5054" s="947" t="s">
        <v>22445</v>
      </c>
      <c r="K5054" s="143"/>
    </row>
    <row r="5055" spans="1:11">
      <c r="A5055" s="946" t="s">
        <v>28607</v>
      </c>
      <c r="B5055" s="947" t="s">
        <v>18688</v>
      </c>
      <c r="C5055" s="948" t="s">
        <v>18686</v>
      </c>
      <c r="D5055" s="242" t="s">
        <v>28712</v>
      </c>
      <c r="E5055" s="949">
        <v>1507</v>
      </c>
      <c r="F5055" s="949">
        <v>1507</v>
      </c>
      <c r="G5055" s="950" t="s">
        <v>2267</v>
      </c>
      <c r="H5055" s="950" t="s">
        <v>706</v>
      </c>
      <c r="I5055" s="951" t="s">
        <v>18687</v>
      </c>
      <c r="J5055" s="947" t="s">
        <v>18688</v>
      </c>
      <c r="K5055" s="143"/>
    </row>
    <row r="5056" spans="1:11">
      <c r="A5056" s="946" t="s">
        <v>28607</v>
      </c>
      <c r="B5056" s="947" t="s">
        <v>405</v>
      </c>
      <c r="C5056" s="948" t="s">
        <v>402</v>
      </c>
      <c r="D5056" s="242" t="s">
        <v>28712</v>
      </c>
      <c r="E5056" s="949">
        <v>1502</v>
      </c>
      <c r="F5056" s="949">
        <v>1502</v>
      </c>
      <c r="G5056" s="950" t="s">
        <v>13154</v>
      </c>
      <c r="H5056" s="950" t="s">
        <v>403</v>
      </c>
      <c r="I5056" s="951" t="s">
        <v>404</v>
      </c>
      <c r="J5056" s="947" t="s">
        <v>405</v>
      </c>
      <c r="K5056" s="143"/>
    </row>
    <row r="5057" spans="1:11">
      <c r="A5057" s="946" t="s">
        <v>28607</v>
      </c>
      <c r="B5057" s="947" t="s">
        <v>564</v>
      </c>
      <c r="C5057" s="948" t="s">
        <v>562</v>
      </c>
      <c r="D5057" s="242" t="s">
        <v>28712</v>
      </c>
      <c r="E5057" s="949">
        <v>1502</v>
      </c>
      <c r="F5057" s="949">
        <v>1502</v>
      </c>
      <c r="G5057" s="950" t="s">
        <v>13154</v>
      </c>
      <c r="H5057" s="950" t="s">
        <v>403</v>
      </c>
      <c r="I5057" s="951" t="s">
        <v>563</v>
      </c>
      <c r="J5057" s="947" t="s">
        <v>564</v>
      </c>
      <c r="K5057" s="143"/>
    </row>
    <row r="5058" spans="1:11">
      <c r="A5058" s="946" t="s">
        <v>28607</v>
      </c>
      <c r="B5058" s="947" t="s">
        <v>579</v>
      </c>
      <c r="C5058" s="948" t="s">
        <v>577</v>
      </c>
      <c r="D5058" s="242" t="s">
        <v>28712</v>
      </c>
      <c r="E5058" s="949">
        <v>1503</v>
      </c>
      <c r="F5058" s="949">
        <v>1503</v>
      </c>
      <c r="G5058" s="950" t="s">
        <v>13154</v>
      </c>
      <c r="H5058" s="950" t="s">
        <v>403</v>
      </c>
      <c r="I5058" s="951" t="s">
        <v>578</v>
      </c>
      <c r="J5058" s="947" t="s">
        <v>579</v>
      </c>
      <c r="K5058" s="143"/>
    </row>
    <row r="5059" spans="1:11">
      <c r="A5059" s="946" t="s">
        <v>28607</v>
      </c>
      <c r="B5059" s="947" t="s">
        <v>1103</v>
      </c>
      <c r="C5059" s="948" t="s">
        <v>1101</v>
      </c>
      <c r="D5059" s="242" t="s">
        <v>28712</v>
      </c>
      <c r="E5059" s="949">
        <v>1504</v>
      </c>
      <c r="F5059" s="949">
        <v>1504</v>
      </c>
      <c r="G5059" s="950" t="s">
        <v>13154</v>
      </c>
      <c r="H5059" s="950" t="s">
        <v>403</v>
      </c>
      <c r="I5059" s="951" t="s">
        <v>1102</v>
      </c>
      <c r="J5059" s="947" t="s">
        <v>1103</v>
      </c>
      <c r="K5059" s="143"/>
    </row>
    <row r="5060" spans="1:11">
      <c r="A5060" s="946" t="s">
        <v>28607</v>
      </c>
      <c r="B5060" s="947" t="s">
        <v>1529</v>
      </c>
      <c r="C5060" s="948" t="s">
        <v>1527</v>
      </c>
      <c r="D5060" s="242" t="s">
        <v>28712</v>
      </c>
      <c r="E5060" s="949">
        <v>1502</v>
      </c>
      <c r="F5060" s="949">
        <v>1502</v>
      </c>
      <c r="G5060" s="950" t="s">
        <v>13154</v>
      </c>
      <c r="H5060" s="950" t="s">
        <v>403</v>
      </c>
      <c r="I5060" s="951" t="s">
        <v>1528</v>
      </c>
      <c r="J5060" s="947" t="s">
        <v>1529</v>
      </c>
      <c r="K5060" s="143"/>
    </row>
    <row r="5061" spans="1:11">
      <c r="A5061" s="946" t="s">
        <v>28607</v>
      </c>
      <c r="B5061" s="947" t="s">
        <v>1732</v>
      </c>
      <c r="C5061" s="948" t="s">
        <v>1730</v>
      </c>
      <c r="D5061" s="242" t="s">
        <v>28712</v>
      </c>
      <c r="E5061" s="949">
        <v>1502</v>
      </c>
      <c r="F5061" s="949">
        <v>1502</v>
      </c>
      <c r="G5061" s="950" t="s">
        <v>13154</v>
      </c>
      <c r="H5061" s="950" t="s">
        <v>403</v>
      </c>
      <c r="I5061" s="951" t="s">
        <v>1731</v>
      </c>
      <c r="J5061" s="947" t="s">
        <v>1732</v>
      </c>
      <c r="K5061" s="143"/>
    </row>
    <row r="5062" spans="1:11">
      <c r="A5062" s="946" t="s">
        <v>28607</v>
      </c>
      <c r="B5062" s="947" t="s">
        <v>1911</v>
      </c>
      <c r="C5062" s="948" t="s">
        <v>1909</v>
      </c>
      <c r="D5062" s="242" t="s">
        <v>28712</v>
      </c>
      <c r="E5062" s="949">
        <v>1502</v>
      </c>
      <c r="F5062" s="949">
        <v>1502</v>
      </c>
      <c r="G5062" s="950" t="s">
        <v>13154</v>
      </c>
      <c r="H5062" s="950" t="s">
        <v>403</v>
      </c>
      <c r="I5062" s="951" t="s">
        <v>1910</v>
      </c>
      <c r="J5062" s="947" t="s">
        <v>1911</v>
      </c>
      <c r="K5062" s="143"/>
    </row>
    <row r="5063" spans="1:11">
      <c r="A5063" s="946" t="s">
        <v>28607</v>
      </c>
      <c r="B5063" s="947" t="s">
        <v>2867</v>
      </c>
      <c r="C5063" s="948" t="s">
        <v>2865</v>
      </c>
      <c r="D5063" s="242" t="s">
        <v>28712</v>
      </c>
      <c r="E5063" s="949">
        <v>1504</v>
      </c>
      <c r="F5063" s="949">
        <v>1504</v>
      </c>
      <c r="G5063" s="950" t="s">
        <v>13154</v>
      </c>
      <c r="H5063" s="950" t="s">
        <v>403</v>
      </c>
      <c r="I5063" s="951" t="s">
        <v>2866</v>
      </c>
      <c r="J5063" s="947" t="s">
        <v>2867</v>
      </c>
      <c r="K5063" s="143"/>
    </row>
    <row r="5064" spans="1:11">
      <c r="A5064" s="946" t="s">
        <v>28607</v>
      </c>
      <c r="B5064" s="947" t="s">
        <v>2870</v>
      </c>
      <c r="C5064" s="948" t="s">
        <v>2868</v>
      </c>
      <c r="D5064" s="242" t="s">
        <v>28712</v>
      </c>
      <c r="E5064" s="949">
        <v>1504</v>
      </c>
      <c r="F5064" s="949">
        <v>1504</v>
      </c>
      <c r="G5064" s="950" t="s">
        <v>13154</v>
      </c>
      <c r="H5064" s="950" t="s">
        <v>403</v>
      </c>
      <c r="I5064" s="951" t="s">
        <v>2869</v>
      </c>
      <c r="J5064" s="947" t="s">
        <v>2870</v>
      </c>
      <c r="K5064" s="143"/>
    </row>
    <row r="5065" spans="1:11">
      <c r="A5065" s="946" t="s">
        <v>28607</v>
      </c>
      <c r="B5065" s="947" t="s">
        <v>3164</v>
      </c>
      <c r="C5065" s="948" t="s">
        <v>3162</v>
      </c>
      <c r="D5065" s="242" t="s">
        <v>28712</v>
      </c>
      <c r="E5065" s="949">
        <v>1504</v>
      </c>
      <c r="F5065" s="949">
        <v>1504</v>
      </c>
      <c r="G5065" s="950" t="s">
        <v>13154</v>
      </c>
      <c r="H5065" s="950" t="s">
        <v>403</v>
      </c>
      <c r="I5065" s="951" t="s">
        <v>3163</v>
      </c>
      <c r="J5065" s="947" t="s">
        <v>3164</v>
      </c>
      <c r="K5065" s="143"/>
    </row>
    <row r="5066" spans="1:11">
      <c r="A5066" s="946" t="s">
        <v>28607</v>
      </c>
      <c r="B5066" s="947" t="s">
        <v>3409</v>
      </c>
      <c r="C5066" s="948" t="s">
        <v>3407</v>
      </c>
      <c r="D5066" s="242" t="s">
        <v>28712</v>
      </c>
      <c r="E5066" s="949">
        <v>1502</v>
      </c>
      <c r="F5066" s="949">
        <v>1502</v>
      </c>
      <c r="G5066" s="950" t="s">
        <v>13154</v>
      </c>
      <c r="H5066" s="950" t="s">
        <v>403</v>
      </c>
      <c r="I5066" s="951" t="s">
        <v>3408</v>
      </c>
      <c r="J5066" s="947" t="s">
        <v>3409</v>
      </c>
      <c r="K5066" s="143"/>
    </row>
    <row r="5067" spans="1:11">
      <c r="A5067" s="946" t="s">
        <v>28607</v>
      </c>
      <c r="B5067" s="947" t="s">
        <v>3594</v>
      </c>
      <c r="C5067" s="948" t="s">
        <v>3592</v>
      </c>
      <c r="D5067" s="242" t="s">
        <v>28712</v>
      </c>
      <c r="E5067" s="949">
        <v>1502</v>
      </c>
      <c r="F5067" s="949">
        <v>1502</v>
      </c>
      <c r="G5067" s="950" t="s">
        <v>13154</v>
      </c>
      <c r="H5067" s="950" t="s">
        <v>403</v>
      </c>
      <c r="I5067" s="951" t="s">
        <v>3593</v>
      </c>
      <c r="J5067" s="947" t="s">
        <v>3594</v>
      </c>
      <c r="K5067" s="143"/>
    </row>
    <row r="5068" spans="1:11">
      <c r="A5068" s="946" t="s">
        <v>28607</v>
      </c>
      <c r="B5068" s="947" t="s">
        <v>3845</v>
      </c>
      <c r="C5068" s="948" t="s">
        <v>3843</v>
      </c>
      <c r="D5068" s="242" t="s">
        <v>28712</v>
      </c>
      <c r="E5068" s="949">
        <v>1504</v>
      </c>
      <c r="F5068" s="949">
        <v>1504</v>
      </c>
      <c r="G5068" s="950" t="s">
        <v>13154</v>
      </c>
      <c r="H5068" s="950" t="s">
        <v>403</v>
      </c>
      <c r="I5068" s="951" t="s">
        <v>3844</v>
      </c>
      <c r="J5068" s="947" t="s">
        <v>3845</v>
      </c>
      <c r="K5068" s="143"/>
    </row>
    <row r="5069" spans="1:11">
      <c r="A5069" s="946" t="s">
        <v>28607</v>
      </c>
      <c r="B5069" s="947" t="s">
        <v>4142</v>
      </c>
      <c r="C5069" s="948" t="s">
        <v>4140</v>
      </c>
      <c r="D5069" s="242" t="s">
        <v>28712</v>
      </c>
      <c r="E5069" s="949">
        <v>1504</v>
      </c>
      <c r="F5069" s="949">
        <v>1504</v>
      </c>
      <c r="G5069" s="950" t="s">
        <v>13154</v>
      </c>
      <c r="H5069" s="950" t="s">
        <v>403</v>
      </c>
      <c r="I5069" s="951" t="s">
        <v>4141</v>
      </c>
      <c r="J5069" s="947" t="s">
        <v>4142</v>
      </c>
      <c r="K5069" s="143"/>
    </row>
    <row r="5070" spans="1:11">
      <c r="A5070" s="946" t="s">
        <v>28607</v>
      </c>
      <c r="B5070" s="947" t="s">
        <v>4244</v>
      </c>
      <c r="C5070" s="948" t="s">
        <v>4242</v>
      </c>
      <c r="D5070" s="242" t="s">
        <v>28712</v>
      </c>
      <c r="E5070" s="949">
        <v>1504</v>
      </c>
      <c r="F5070" s="949">
        <v>1504</v>
      </c>
      <c r="G5070" s="950" t="s">
        <v>13154</v>
      </c>
      <c r="H5070" s="950" t="s">
        <v>403</v>
      </c>
      <c r="I5070" s="951" t="s">
        <v>4243</v>
      </c>
      <c r="J5070" s="947" t="s">
        <v>4244</v>
      </c>
      <c r="K5070" s="143"/>
    </row>
    <row r="5071" spans="1:11">
      <c r="A5071" s="946" t="s">
        <v>28607</v>
      </c>
      <c r="B5071" s="947" t="s">
        <v>4279</v>
      </c>
      <c r="C5071" s="948" t="s">
        <v>4277</v>
      </c>
      <c r="D5071" s="242" t="s">
        <v>28712</v>
      </c>
      <c r="E5071" s="949">
        <v>1502</v>
      </c>
      <c r="F5071" s="949">
        <v>1502</v>
      </c>
      <c r="G5071" s="950" t="s">
        <v>13154</v>
      </c>
      <c r="H5071" s="950" t="s">
        <v>403</v>
      </c>
      <c r="I5071" s="951" t="s">
        <v>4278</v>
      </c>
      <c r="J5071" s="947" t="s">
        <v>4279</v>
      </c>
      <c r="K5071" s="143"/>
    </row>
    <row r="5072" spans="1:11">
      <c r="A5072" s="946" t="s">
        <v>28607</v>
      </c>
      <c r="B5072" s="947" t="s">
        <v>4622</v>
      </c>
      <c r="C5072" s="948" t="s">
        <v>4620</v>
      </c>
      <c r="D5072" s="242" t="s">
        <v>28712</v>
      </c>
      <c r="E5072" s="949">
        <v>1504</v>
      </c>
      <c r="F5072" s="949">
        <v>1504</v>
      </c>
      <c r="G5072" s="950" t="s">
        <v>13154</v>
      </c>
      <c r="H5072" s="950" t="s">
        <v>403</v>
      </c>
      <c r="I5072" s="951" t="s">
        <v>4621</v>
      </c>
      <c r="J5072" s="947" t="s">
        <v>4622</v>
      </c>
      <c r="K5072" s="143"/>
    </row>
    <row r="5073" spans="1:11">
      <c r="A5073" s="946" t="s">
        <v>28607</v>
      </c>
      <c r="B5073" s="947" t="s">
        <v>4658</v>
      </c>
      <c r="C5073" s="948" t="s">
        <v>4656</v>
      </c>
      <c r="D5073" s="242" t="s">
        <v>28712</v>
      </c>
      <c r="E5073" s="949">
        <v>1504</v>
      </c>
      <c r="F5073" s="949">
        <v>1504</v>
      </c>
      <c r="G5073" s="950" t="s">
        <v>13154</v>
      </c>
      <c r="H5073" s="950" t="s">
        <v>403</v>
      </c>
      <c r="I5073" s="951" t="s">
        <v>4657</v>
      </c>
      <c r="J5073" s="947" t="s">
        <v>4658</v>
      </c>
      <c r="K5073" s="143"/>
    </row>
    <row r="5074" spans="1:11">
      <c r="A5074" s="946" t="s">
        <v>28607</v>
      </c>
      <c r="B5074" s="947" t="s">
        <v>4664</v>
      </c>
      <c r="C5074" s="948" t="s">
        <v>4662</v>
      </c>
      <c r="D5074" s="242" t="s">
        <v>28712</v>
      </c>
      <c r="E5074" s="949">
        <v>1502</v>
      </c>
      <c r="F5074" s="949">
        <v>1502</v>
      </c>
      <c r="G5074" s="950" t="s">
        <v>13154</v>
      </c>
      <c r="H5074" s="950" t="s">
        <v>403</v>
      </c>
      <c r="I5074" s="951" t="s">
        <v>4663</v>
      </c>
      <c r="J5074" s="947" t="s">
        <v>4664</v>
      </c>
      <c r="K5074" s="143"/>
    </row>
    <row r="5075" spans="1:11">
      <c r="A5075" s="946" t="s">
        <v>28607</v>
      </c>
      <c r="B5075" s="947" t="s">
        <v>4667</v>
      </c>
      <c r="C5075" s="948" t="s">
        <v>4665</v>
      </c>
      <c r="D5075" s="242" t="s">
        <v>28712</v>
      </c>
      <c r="E5075" s="949">
        <v>1502</v>
      </c>
      <c r="F5075" s="949">
        <v>1502</v>
      </c>
      <c r="G5075" s="950" t="s">
        <v>13154</v>
      </c>
      <c r="H5075" s="950" t="s">
        <v>403</v>
      </c>
      <c r="I5075" s="951" t="s">
        <v>4666</v>
      </c>
      <c r="J5075" s="947" t="s">
        <v>4667</v>
      </c>
      <c r="K5075" s="143"/>
    </row>
    <row r="5076" spans="1:11">
      <c r="A5076" s="946" t="s">
        <v>28607</v>
      </c>
      <c r="B5076" s="947" t="s">
        <v>4718</v>
      </c>
      <c r="C5076" s="948" t="s">
        <v>4716</v>
      </c>
      <c r="D5076" s="242" t="s">
        <v>28712</v>
      </c>
      <c r="E5076" s="949">
        <v>1502</v>
      </c>
      <c r="F5076" s="949">
        <v>1502</v>
      </c>
      <c r="G5076" s="950" t="s">
        <v>13154</v>
      </c>
      <c r="H5076" s="950" t="s">
        <v>403</v>
      </c>
      <c r="I5076" s="951" t="s">
        <v>4717</v>
      </c>
      <c r="J5076" s="947" t="s">
        <v>4718</v>
      </c>
      <c r="K5076" s="143"/>
    </row>
    <row r="5077" spans="1:11">
      <c r="A5077" s="946" t="s">
        <v>28607</v>
      </c>
      <c r="B5077" s="947" t="s">
        <v>4781</v>
      </c>
      <c r="C5077" s="948" t="s">
        <v>4779</v>
      </c>
      <c r="D5077" s="242" t="s">
        <v>28712</v>
      </c>
      <c r="E5077" s="949">
        <v>1504</v>
      </c>
      <c r="F5077" s="949">
        <v>1504</v>
      </c>
      <c r="G5077" s="950" t="s">
        <v>13154</v>
      </c>
      <c r="H5077" s="950" t="s">
        <v>403</v>
      </c>
      <c r="I5077" s="951" t="s">
        <v>4780</v>
      </c>
      <c r="J5077" s="947" t="s">
        <v>4781</v>
      </c>
      <c r="K5077" s="143"/>
    </row>
    <row r="5078" spans="1:11">
      <c r="A5078" s="946" t="s">
        <v>28607</v>
      </c>
      <c r="B5078" s="947" t="s">
        <v>4805</v>
      </c>
      <c r="C5078" s="948" t="s">
        <v>4803</v>
      </c>
      <c r="D5078" s="242" t="s">
        <v>28712</v>
      </c>
      <c r="E5078" s="949">
        <v>1502</v>
      </c>
      <c r="F5078" s="949">
        <v>1502</v>
      </c>
      <c r="G5078" s="950" t="s">
        <v>13154</v>
      </c>
      <c r="H5078" s="950" t="s">
        <v>403</v>
      </c>
      <c r="I5078" s="951" t="s">
        <v>4804</v>
      </c>
      <c r="J5078" s="947" t="s">
        <v>4805</v>
      </c>
      <c r="K5078" s="143"/>
    </row>
    <row r="5079" spans="1:11">
      <c r="A5079" s="946" t="s">
        <v>28607</v>
      </c>
      <c r="B5079" s="947" t="s">
        <v>5141</v>
      </c>
      <c r="C5079" s="948" t="s">
        <v>5139</v>
      </c>
      <c r="D5079" s="242" t="s">
        <v>28712</v>
      </c>
      <c r="E5079" s="949">
        <v>1504</v>
      </c>
      <c r="F5079" s="949">
        <v>1504</v>
      </c>
      <c r="G5079" s="950" t="s">
        <v>13154</v>
      </c>
      <c r="H5079" s="950" t="s">
        <v>403</v>
      </c>
      <c r="I5079" s="951" t="s">
        <v>5140</v>
      </c>
      <c r="J5079" s="947" t="s">
        <v>5141</v>
      </c>
      <c r="K5079" s="143"/>
    </row>
    <row r="5080" spans="1:11">
      <c r="A5080" s="946" t="s">
        <v>28607</v>
      </c>
      <c r="B5080" s="947" t="s">
        <v>5263</v>
      </c>
      <c r="C5080" s="948" t="s">
        <v>5261</v>
      </c>
      <c r="D5080" s="242" t="s">
        <v>28712</v>
      </c>
      <c r="E5080" s="949">
        <v>1504</v>
      </c>
      <c r="F5080" s="949">
        <v>1504</v>
      </c>
      <c r="G5080" s="950" t="s">
        <v>13154</v>
      </c>
      <c r="H5080" s="950" t="s">
        <v>403</v>
      </c>
      <c r="I5080" s="951" t="s">
        <v>5262</v>
      </c>
      <c r="J5080" s="947" t="s">
        <v>5263</v>
      </c>
      <c r="K5080" s="143"/>
    </row>
    <row r="5081" spans="1:11">
      <c r="A5081" s="946" t="s">
        <v>28607</v>
      </c>
      <c r="B5081" s="947" t="s">
        <v>5924</v>
      </c>
      <c r="C5081" s="948" t="s">
        <v>5922</v>
      </c>
      <c r="D5081" s="242" t="s">
        <v>28712</v>
      </c>
      <c r="E5081" s="949">
        <v>1504</v>
      </c>
      <c r="F5081" s="949">
        <v>1504</v>
      </c>
      <c r="G5081" s="950" t="s">
        <v>13154</v>
      </c>
      <c r="H5081" s="950" t="s">
        <v>403</v>
      </c>
      <c r="I5081" s="951" t="s">
        <v>5923</v>
      </c>
      <c r="J5081" s="947" t="s">
        <v>5924</v>
      </c>
      <c r="K5081" s="143"/>
    </row>
    <row r="5082" spans="1:11">
      <c r="A5082" s="946" t="s">
        <v>28607</v>
      </c>
      <c r="B5082" s="947" t="s">
        <v>6353</v>
      </c>
      <c r="C5082" s="948" t="s">
        <v>6351</v>
      </c>
      <c r="D5082" s="242" t="s">
        <v>28712</v>
      </c>
      <c r="E5082" s="949">
        <v>1504</v>
      </c>
      <c r="F5082" s="949">
        <v>1504</v>
      </c>
      <c r="G5082" s="950" t="s">
        <v>13154</v>
      </c>
      <c r="H5082" s="950" t="s">
        <v>403</v>
      </c>
      <c r="I5082" s="951" t="s">
        <v>6352</v>
      </c>
      <c r="J5082" s="947" t="s">
        <v>6353</v>
      </c>
      <c r="K5082" s="143"/>
    </row>
    <row r="5083" spans="1:11">
      <c r="A5083" s="946" t="s">
        <v>28607</v>
      </c>
      <c r="B5083" s="947" t="s">
        <v>6395</v>
      </c>
      <c r="C5083" s="948" t="s">
        <v>6393</v>
      </c>
      <c r="D5083" s="242" t="s">
        <v>28712</v>
      </c>
      <c r="E5083" s="949">
        <v>1504</v>
      </c>
      <c r="F5083" s="949">
        <v>1504</v>
      </c>
      <c r="G5083" s="950" t="s">
        <v>13154</v>
      </c>
      <c r="H5083" s="950" t="s">
        <v>403</v>
      </c>
      <c r="I5083" s="951" t="s">
        <v>6394</v>
      </c>
      <c r="J5083" s="947" t="s">
        <v>6395</v>
      </c>
      <c r="K5083" s="143"/>
    </row>
    <row r="5084" spans="1:11">
      <c r="A5084" s="946" t="s">
        <v>28607</v>
      </c>
      <c r="B5084" s="947" t="s">
        <v>6902</v>
      </c>
      <c r="C5084" s="948" t="s">
        <v>6900</v>
      </c>
      <c r="D5084" s="242" t="s">
        <v>28712</v>
      </c>
      <c r="E5084" s="949">
        <v>1504</v>
      </c>
      <c r="F5084" s="949">
        <v>1504</v>
      </c>
      <c r="G5084" s="950" t="s">
        <v>13154</v>
      </c>
      <c r="H5084" s="950" t="s">
        <v>403</v>
      </c>
      <c r="I5084" s="951" t="s">
        <v>6901</v>
      </c>
      <c r="J5084" s="947" t="s">
        <v>6902</v>
      </c>
      <c r="K5084" s="143"/>
    </row>
    <row r="5085" spans="1:11">
      <c r="A5085" s="946" t="s">
        <v>28607</v>
      </c>
      <c r="B5085" s="947" t="s">
        <v>7388</v>
      </c>
      <c r="C5085" s="948" t="s">
        <v>7386</v>
      </c>
      <c r="D5085" s="242" t="s">
        <v>28712</v>
      </c>
      <c r="E5085" s="949">
        <v>1502</v>
      </c>
      <c r="F5085" s="949">
        <v>1502</v>
      </c>
      <c r="G5085" s="950" t="s">
        <v>13154</v>
      </c>
      <c r="H5085" s="950" t="s">
        <v>403</v>
      </c>
      <c r="I5085" s="951" t="s">
        <v>7387</v>
      </c>
      <c r="J5085" s="947" t="s">
        <v>7388</v>
      </c>
      <c r="K5085" s="143"/>
    </row>
    <row r="5086" spans="1:11">
      <c r="A5086" s="946" t="s">
        <v>28607</v>
      </c>
      <c r="B5086" s="947" t="s">
        <v>8485</v>
      </c>
      <c r="C5086" s="948" t="s">
        <v>8483</v>
      </c>
      <c r="D5086" s="242" t="s">
        <v>28712</v>
      </c>
      <c r="E5086" s="949">
        <v>1502</v>
      </c>
      <c r="F5086" s="949">
        <v>1502</v>
      </c>
      <c r="G5086" s="950" t="s">
        <v>13154</v>
      </c>
      <c r="H5086" s="950" t="s">
        <v>403</v>
      </c>
      <c r="I5086" s="951" t="s">
        <v>8484</v>
      </c>
      <c r="J5086" s="947" t="s">
        <v>8485</v>
      </c>
      <c r="K5086" s="143"/>
    </row>
    <row r="5087" spans="1:11">
      <c r="A5087" s="946" t="s">
        <v>28607</v>
      </c>
      <c r="B5087" s="947" t="s">
        <v>8689</v>
      </c>
      <c r="C5087" s="948" t="s">
        <v>8687</v>
      </c>
      <c r="D5087" s="242" t="s">
        <v>28712</v>
      </c>
      <c r="E5087" s="949">
        <v>1502</v>
      </c>
      <c r="F5087" s="949">
        <v>1502</v>
      </c>
      <c r="G5087" s="950" t="s">
        <v>13154</v>
      </c>
      <c r="H5087" s="950" t="s">
        <v>403</v>
      </c>
      <c r="I5087" s="951" t="s">
        <v>8688</v>
      </c>
      <c r="J5087" s="947" t="s">
        <v>8689</v>
      </c>
      <c r="K5087" s="143"/>
    </row>
    <row r="5088" spans="1:11">
      <c r="A5088" s="946" t="s">
        <v>28607</v>
      </c>
      <c r="B5088" s="947" t="s">
        <v>8692</v>
      </c>
      <c r="C5088" s="948" t="s">
        <v>8690</v>
      </c>
      <c r="D5088" s="242" t="s">
        <v>28712</v>
      </c>
      <c r="E5088" s="949">
        <v>1502</v>
      </c>
      <c r="F5088" s="949">
        <v>1502</v>
      </c>
      <c r="G5088" s="950" t="s">
        <v>13154</v>
      </c>
      <c r="H5088" s="950" t="s">
        <v>403</v>
      </c>
      <c r="I5088" s="951" t="s">
        <v>8691</v>
      </c>
      <c r="J5088" s="947" t="s">
        <v>8692</v>
      </c>
      <c r="K5088" s="143"/>
    </row>
    <row r="5089" spans="1:11">
      <c r="A5089" s="946" t="s">
        <v>28607</v>
      </c>
      <c r="B5089" s="947" t="s">
        <v>9284</v>
      </c>
      <c r="C5089" s="948" t="s">
        <v>9282</v>
      </c>
      <c r="D5089" s="242" t="s">
        <v>28712</v>
      </c>
      <c r="E5089" s="949">
        <v>1502</v>
      </c>
      <c r="F5089" s="949">
        <v>1502</v>
      </c>
      <c r="G5089" s="950" t="s">
        <v>13154</v>
      </c>
      <c r="H5089" s="950" t="s">
        <v>403</v>
      </c>
      <c r="I5089" s="951" t="s">
        <v>9283</v>
      </c>
      <c r="J5089" s="947" t="s">
        <v>9284</v>
      </c>
      <c r="K5089" s="143"/>
    </row>
    <row r="5090" spans="1:11">
      <c r="A5090" s="946" t="s">
        <v>28607</v>
      </c>
      <c r="B5090" s="947" t="s">
        <v>9446</v>
      </c>
      <c r="C5090" s="948" t="s">
        <v>9444</v>
      </c>
      <c r="D5090" s="242" t="s">
        <v>28712</v>
      </c>
      <c r="E5090" s="949">
        <v>1504</v>
      </c>
      <c r="F5090" s="949">
        <v>1504</v>
      </c>
      <c r="G5090" s="950" t="s">
        <v>13154</v>
      </c>
      <c r="H5090" s="950" t="s">
        <v>403</v>
      </c>
      <c r="I5090" s="951" t="s">
        <v>9445</v>
      </c>
      <c r="J5090" s="947" t="s">
        <v>9446</v>
      </c>
      <c r="K5090" s="143"/>
    </row>
    <row r="5091" spans="1:11">
      <c r="A5091" s="946" t="s">
        <v>28607</v>
      </c>
      <c r="B5091" s="947" t="s">
        <v>9653</v>
      </c>
      <c r="C5091" s="948" t="s">
        <v>9651</v>
      </c>
      <c r="D5091" s="242" t="s">
        <v>28712</v>
      </c>
      <c r="E5091" s="949">
        <v>1502</v>
      </c>
      <c r="F5091" s="949">
        <v>1502</v>
      </c>
      <c r="G5091" s="950" t="s">
        <v>13154</v>
      </c>
      <c r="H5091" s="950" t="s">
        <v>403</v>
      </c>
      <c r="I5091" s="951" t="s">
        <v>9652</v>
      </c>
      <c r="J5091" s="947" t="s">
        <v>9653</v>
      </c>
      <c r="K5091" s="143"/>
    </row>
    <row r="5092" spans="1:11">
      <c r="A5092" s="946" t="s">
        <v>28607</v>
      </c>
      <c r="B5092" s="947" t="s">
        <v>9850</v>
      </c>
      <c r="C5092" s="948" t="s">
        <v>9848</v>
      </c>
      <c r="D5092" s="242" t="s">
        <v>28712</v>
      </c>
      <c r="E5092" s="949">
        <v>1502</v>
      </c>
      <c r="F5092" s="949">
        <v>1502</v>
      </c>
      <c r="G5092" s="950" t="s">
        <v>13154</v>
      </c>
      <c r="H5092" s="950" t="s">
        <v>403</v>
      </c>
      <c r="I5092" s="951" t="s">
        <v>9849</v>
      </c>
      <c r="J5092" s="947" t="s">
        <v>9850</v>
      </c>
      <c r="K5092" s="143"/>
    </row>
    <row r="5093" spans="1:11">
      <c r="A5093" s="946" t="s">
        <v>28607</v>
      </c>
      <c r="B5093" s="947" t="s">
        <v>10028</v>
      </c>
      <c r="C5093" s="948" t="s">
        <v>10026</v>
      </c>
      <c r="D5093" s="242" t="s">
        <v>28712</v>
      </c>
      <c r="E5093" s="949">
        <v>1502</v>
      </c>
      <c r="F5093" s="949">
        <v>1502</v>
      </c>
      <c r="G5093" s="950" t="s">
        <v>13154</v>
      </c>
      <c r="H5093" s="950" t="s">
        <v>403</v>
      </c>
      <c r="I5093" s="951" t="s">
        <v>10027</v>
      </c>
      <c r="J5093" s="947" t="s">
        <v>10028</v>
      </c>
      <c r="K5093" s="143"/>
    </row>
    <row r="5094" spans="1:11">
      <c r="A5094" s="946" t="s">
        <v>28607</v>
      </c>
      <c r="B5094" s="947" t="s">
        <v>10369</v>
      </c>
      <c r="C5094" s="948" t="s">
        <v>10367</v>
      </c>
      <c r="D5094" s="242" t="s">
        <v>28712</v>
      </c>
      <c r="E5094" s="949">
        <v>1504</v>
      </c>
      <c r="F5094" s="949">
        <v>1504</v>
      </c>
      <c r="G5094" s="950" t="s">
        <v>13154</v>
      </c>
      <c r="H5094" s="950" t="s">
        <v>403</v>
      </c>
      <c r="I5094" s="951" t="s">
        <v>10368</v>
      </c>
      <c r="J5094" s="947" t="s">
        <v>10369</v>
      </c>
      <c r="K5094" s="143"/>
    </row>
    <row r="5095" spans="1:11">
      <c r="A5095" s="946" t="s">
        <v>28607</v>
      </c>
      <c r="B5095" s="947" t="s">
        <v>10486</v>
      </c>
      <c r="C5095" s="948" t="s">
        <v>10484</v>
      </c>
      <c r="D5095" s="242" t="s">
        <v>28712</v>
      </c>
      <c r="E5095" s="949">
        <v>1504</v>
      </c>
      <c r="F5095" s="949">
        <v>1504</v>
      </c>
      <c r="G5095" s="950" t="s">
        <v>13154</v>
      </c>
      <c r="H5095" s="950" t="s">
        <v>403</v>
      </c>
      <c r="I5095" s="951" t="s">
        <v>10485</v>
      </c>
      <c r="J5095" s="947" t="s">
        <v>10486</v>
      </c>
      <c r="K5095" s="143"/>
    </row>
    <row r="5096" spans="1:11">
      <c r="A5096" s="946" t="s">
        <v>28607</v>
      </c>
      <c r="B5096" s="947" t="s">
        <v>11098</v>
      </c>
      <c r="C5096" s="948" t="s">
        <v>11096</v>
      </c>
      <c r="D5096" s="242" t="s">
        <v>28712</v>
      </c>
      <c r="E5096" s="949">
        <v>1502</v>
      </c>
      <c r="F5096" s="949">
        <v>1502</v>
      </c>
      <c r="G5096" s="950" t="s">
        <v>13154</v>
      </c>
      <c r="H5096" s="950" t="s">
        <v>403</v>
      </c>
      <c r="I5096" s="951" t="s">
        <v>11097</v>
      </c>
      <c r="J5096" s="947" t="s">
        <v>11098</v>
      </c>
      <c r="K5096" s="143"/>
    </row>
    <row r="5097" spans="1:11">
      <c r="A5097" s="946" t="s">
        <v>28607</v>
      </c>
      <c r="B5097" s="947" t="s">
        <v>11206</v>
      </c>
      <c r="C5097" s="948" t="s">
        <v>11204</v>
      </c>
      <c r="D5097" s="242" t="s">
        <v>28712</v>
      </c>
      <c r="E5097" s="949">
        <v>1504</v>
      </c>
      <c r="F5097" s="949">
        <v>1504</v>
      </c>
      <c r="G5097" s="950" t="s">
        <v>13154</v>
      </c>
      <c r="H5097" s="950" t="s">
        <v>403</v>
      </c>
      <c r="I5097" s="951" t="s">
        <v>11205</v>
      </c>
      <c r="J5097" s="947" t="s">
        <v>11206</v>
      </c>
      <c r="K5097" s="143"/>
    </row>
    <row r="5098" spans="1:11">
      <c r="A5098" s="946" t="s">
        <v>28607</v>
      </c>
      <c r="B5098" s="947" t="s">
        <v>11209</v>
      </c>
      <c r="C5098" s="948" t="s">
        <v>11207</v>
      </c>
      <c r="D5098" s="242" t="s">
        <v>28712</v>
      </c>
      <c r="E5098" s="949">
        <v>1504</v>
      </c>
      <c r="F5098" s="949">
        <v>1504</v>
      </c>
      <c r="G5098" s="950" t="s">
        <v>13154</v>
      </c>
      <c r="H5098" s="950" t="s">
        <v>403</v>
      </c>
      <c r="I5098" s="951" t="s">
        <v>11208</v>
      </c>
      <c r="J5098" s="947" t="s">
        <v>11209</v>
      </c>
      <c r="K5098" s="143"/>
    </row>
    <row r="5099" spans="1:11">
      <c r="A5099" s="946" t="s">
        <v>28607</v>
      </c>
      <c r="B5099" s="947" t="s">
        <v>11388</v>
      </c>
      <c r="C5099" s="948" t="s">
        <v>11386</v>
      </c>
      <c r="D5099" s="242" t="s">
        <v>28712</v>
      </c>
      <c r="E5099" s="949">
        <v>1504</v>
      </c>
      <c r="F5099" s="949">
        <v>1504</v>
      </c>
      <c r="G5099" s="950" t="s">
        <v>13154</v>
      </c>
      <c r="H5099" s="950" t="s">
        <v>403</v>
      </c>
      <c r="I5099" s="951" t="s">
        <v>11387</v>
      </c>
      <c r="J5099" s="947" t="s">
        <v>11388</v>
      </c>
      <c r="K5099" s="143"/>
    </row>
    <row r="5100" spans="1:11">
      <c r="A5100" s="946" t="s">
        <v>28607</v>
      </c>
      <c r="B5100" s="947" t="s">
        <v>11563</v>
      </c>
      <c r="C5100" s="948" t="s">
        <v>11561</v>
      </c>
      <c r="D5100" s="242" t="s">
        <v>28712</v>
      </c>
      <c r="E5100" s="949">
        <v>1502</v>
      </c>
      <c r="F5100" s="949">
        <v>1502</v>
      </c>
      <c r="G5100" s="950" t="s">
        <v>13154</v>
      </c>
      <c r="H5100" s="950" t="s">
        <v>403</v>
      </c>
      <c r="I5100" s="951" t="s">
        <v>11562</v>
      </c>
      <c r="J5100" s="947" t="s">
        <v>11563</v>
      </c>
      <c r="K5100" s="143"/>
    </row>
    <row r="5101" spans="1:11">
      <c r="A5101" s="946" t="s">
        <v>28607</v>
      </c>
      <c r="B5101" s="947" t="s">
        <v>11680</v>
      </c>
      <c r="C5101" s="948" t="s">
        <v>11678</v>
      </c>
      <c r="D5101" s="242" t="s">
        <v>28712</v>
      </c>
      <c r="E5101" s="949">
        <v>1504</v>
      </c>
      <c r="F5101" s="949">
        <v>1504</v>
      </c>
      <c r="G5101" s="950" t="s">
        <v>13154</v>
      </c>
      <c r="H5101" s="950" t="s">
        <v>403</v>
      </c>
      <c r="I5101" s="951" t="s">
        <v>11679</v>
      </c>
      <c r="J5101" s="947" t="s">
        <v>11680</v>
      </c>
      <c r="K5101" s="143"/>
    </row>
    <row r="5102" spans="1:11">
      <c r="A5102" s="946" t="s">
        <v>28607</v>
      </c>
      <c r="B5102" s="947" t="s">
        <v>12286</v>
      </c>
      <c r="C5102" s="948" t="s">
        <v>12284</v>
      </c>
      <c r="D5102" s="242" t="s">
        <v>28712</v>
      </c>
      <c r="E5102" s="949">
        <v>1502</v>
      </c>
      <c r="F5102" s="949">
        <v>1502</v>
      </c>
      <c r="G5102" s="950" t="s">
        <v>13154</v>
      </c>
      <c r="H5102" s="950" t="s">
        <v>403</v>
      </c>
      <c r="I5102" s="951" t="s">
        <v>12285</v>
      </c>
      <c r="J5102" s="947" t="s">
        <v>12286</v>
      </c>
      <c r="K5102" s="143"/>
    </row>
    <row r="5103" spans="1:11">
      <c r="A5103" s="946" t="s">
        <v>28607</v>
      </c>
      <c r="B5103" s="947" t="s">
        <v>13094</v>
      </c>
      <c r="C5103" s="948" t="s">
        <v>13092</v>
      </c>
      <c r="D5103" s="242" t="s">
        <v>28712</v>
      </c>
      <c r="E5103" s="949">
        <v>1502</v>
      </c>
      <c r="F5103" s="949">
        <v>1502</v>
      </c>
      <c r="G5103" s="950" t="s">
        <v>13154</v>
      </c>
      <c r="H5103" s="950" t="s">
        <v>403</v>
      </c>
      <c r="I5103" s="951" t="s">
        <v>13093</v>
      </c>
      <c r="J5103" s="947" t="s">
        <v>13094</v>
      </c>
      <c r="K5103" s="143"/>
    </row>
    <row r="5104" spans="1:11">
      <c r="A5104" s="946" t="s">
        <v>28607</v>
      </c>
      <c r="B5104" s="947" t="s">
        <v>13154</v>
      </c>
      <c r="C5104" s="948" t="s">
        <v>13152</v>
      </c>
      <c r="D5104" s="242" t="s">
        <v>28712</v>
      </c>
      <c r="E5104" s="949">
        <v>1502</v>
      </c>
      <c r="F5104" s="949">
        <v>1502</v>
      </c>
      <c r="G5104" s="950" t="s">
        <v>13154</v>
      </c>
      <c r="H5104" s="950" t="s">
        <v>403</v>
      </c>
      <c r="I5104" s="951" t="s">
        <v>13153</v>
      </c>
      <c r="J5104" s="947" t="s">
        <v>13154</v>
      </c>
      <c r="K5104" s="143"/>
    </row>
    <row r="5105" spans="1:11">
      <c r="A5105" s="946" t="s">
        <v>28607</v>
      </c>
      <c r="B5105" s="947" t="s">
        <v>13346</v>
      </c>
      <c r="C5105" s="948" t="s">
        <v>13344</v>
      </c>
      <c r="D5105" s="242" t="s">
        <v>28712</v>
      </c>
      <c r="E5105" s="949">
        <v>1504</v>
      </c>
      <c r="F5105" s="949">
        <v>1504</v>
      </c>
      <c r="G5105" s="950" t="s">
        <v>13154</v>
      </c>
      <c r="H5105" s="950" t="s">
        <v>403</v>
      </c>
      <c r="I5105" s="951" t="s">
        <v>13345</v>
      </c>
      <c r="J5105" s="947" t="s">
        <v>13346</v>
      </c>
      <c r="K5105" s="143"/>
    </row>
    <row r="5106" spans="1:11">
      <c r="A5106" s="946" t="s">
        <v>28607</v>
      </c>
      <c r="B5106" s="947" t="s">
        <v>13925</v>
      </c>
      <c r="C5106" s="948" t="s">
        <v>13923</v>
      </c>
      <c r="D5106" s="242" t="s">
        <v>28712</v>
      </c>
      <c r="E5106" s="949">
        <v>1504</v>
      </c>
      <c r="F5106" s="949">
        <v>1504</v>
      </c>
      <c r="G5106" s="950" t="s">
        <v>13154</v>
      </c>
      <c r="H5106" s="950" t="s">
        <v>403</v>
      </c>
      <c r="I5106" s="951" t="s">
        <v>13924</v>
      </c>
      <c r="J5106" s="947" t="s">
        <v>13925</v>
      </c>
      <c r="K5106" s="143"/>
    </row>
    <row r="5107" spans="1:11">
      <c r="A5107" s="946" t="s">
        <v>28607</v>
      </c>
      <c r="B5107" s="947" t="s">
        <v>14139</v>
      </c>
      <c r="C5107" s="948" t="s">
        <v>14137</v>
      </c>
      <c r="D5107" s="242" t="s">
        <v>28712</v>
      </c>
      <c r="E5107" s="949">
        <v>1504</v>
      </c>
      <c r="F5107" s="949">
        <v>1504</v>
      </c>
      <c r="G5107" s="950" t="s">
        <v>13154</v>
      </c>
      <c r="H5107" s="950" t="s">
        <v>403</v>
      </c>
      <c r="I5107" s="951" t="s">
        <v>14138</v>
      </c>
      <c r="J5107" s="947" t="s">
        <v>14139</v>
      </c>
      <c r="K5107" s="143"/>
    </row>
    <row r="5108" spans="1:11">
      <c r="A5108" s="946" t="s">
        <v>28607</v>
      </c>
      <c r="B5108" s="947" t="s">
        <v>14755</v>
      </c>
      <c r="C5108" s="948" t="s">
        <v>14753</v>
      </c>
      <c r="D5108" s="242" t="s">
        <v>28712</v>
      </c>
      <c r="E5108" s="949">
        <v>1504</v>
      </c>
      <c r="F5108" s="949">
        <v>1504</v>
      </c>
      <c r="G5108" s="950" t="s">
        <v>13154</v>
      </c>
      <c r="H5108" s="950" t="s">
        <v>403</v>
      </c>
      <c r="I5108" s="951" t="s">
        <v>14754</v>
      </c>
      <c r="J5108" s="947" t="s">
        <v>14755</v>
      </c>
      <c r="K5108" s="143"/>
    </row>
    <row r="5109" spans="1:11">
      <c r="A5109" s="946" t="s">
        <v>28607</v>
      </c>
      <c r="B5109" s="947" t="s">
        <v>14997</v>
      </c>
      <c r="C5109" s="948" t="s">
        <v>14995</v>
      </c>
      <c r="D5109" s="242" t="s">
        <v>28712</v>
      </c>
      <c r="E5109" s="949">
        <v>1504</v>
      </c>
      <c r="F5109" s="949">
        <v>1504</v>
      </c>
      <c r="G5109" s="950" t="s">
        <v>13154</v>
      </c>
      <c r="H5109" s="950" t="s">
        <v>403</v>
      </c>
      <c r="I5109" s="951" t="s">
        <v>14996</v>
      </c>
      <c r="J5109" s="947" t="s">
        <v>14997</v>
      </c>
      <c r="K5109" s="143"/>
    </row>
    <row r="5110" spans="1:11">
      <c r="A5110" s="946" t="s">
        <v>28607</v>
      </c>
      <c r="B5110" s="947" t="s">
        <v>15217</v>
      </c>
      <c r="C5110" s="948" t="s">
        <v>15215</v>
      </c>
      <c r="D5110" s="242" t="s">
        <v>28712</v>
      </c>
      <c r="E5110" s="949">
        <v>1504</v>
      </c>
      <c r="F5110" s="949">
        <v>1504</v>
      </c>
      <c r="G5110" s="950" t="s">
        <v>13154</v>
      </c>
      <c r="H5110" s="950" t="s">
        <v>403</v>
      </c>
      <c r="I5110" s="951" t="s">
        <v>15216</v>
      </c>
      <c r="J5110" s="947" t="s">
        <v>15217</v>
      </c>
      <c r="K5110" s="143"/>
    </row>
    <row r="5111" spans="1:11">
      <c r="A5111" s="946" t="s">
        <v>28607</v>
      </c>
      <c r="B5111" s="947" t="s">
        <v>15285</v>
      </c>
      <c r="C5111" s="948" t="s">
        <v>15283</v>
      </c>
      <c r="D5111" s="242" t="s">
        <v>28712</v>
      </c>
      <c r="E5111" s="949">
        <v>1504</v>
      </c>
      <c r="F5111" s="949">
        <v>1504</v>
      </c>
      <c r="G5111" s="950" t="s">
        <v>13154</v>
      </c>
      <c r="H5111" s="950" t="s">
        <v>403</v>
      </c>
      <c r="I5111" s="951" t="s">
        <v>15284</v>
      </c>
      <c r="J5111" s="947" t="s">
        <v>15285</v>
      </c>
      <c r="K5111" s="143"/>
    </row>
    <row r="5112" spans="1:11">
      <c r="A5112" s="946" t="s">
        <v>28607</v>
      </c>
      <c r="B5112" s="947" t="s">
        <v>15336</v>
      </c>
      <c r="C5112" s="948" t="s">
        <v>15334</v>
      </c>
      <c r="D5112" s="242" t="s">
        <v>28712</v>
      </c>
      <c r="E5112" s="949">
        <v>1504</v>
      </c>
      <c r="F5112" s="949">
        <v>1504</v>
      </c>
      <c r="G5112" s="950" t="s">
        <v>13154</v>
      </c>
      <c r="H5112" s="950" t="s">
        <v>403</v>
      </c>
      <c r="I5112" s="951" t="s">
        <v>15335</v>
      </c>
      <c r="J5112" s="947" t="s">
        <v>15336</v>
      </c>
      <c r="K5112" s="143"/>
    </row>
    <row r="5113" spans="1:11">
      <c r="A5113" s="946" t="s">
        <v>28607</v>
      </c>
      <c r="B5113" s="947" t="s">
        <v>15339</v>
      </c>
      <c r="C5113" s="948" t="s">
        <v>15337</v>
      </c>
      <c r="D5113" s="242" t="s">
        <v>28712</v>
      </c>
      <c r="E5113" s="949">
        <v>1504</v>
      </c>
      <c r="F5113" s="949">
        <v>1504</v>
      </c>
      <c r="G5113" s="950" t="s">
        <v>13154</v>
      </c>
      <c r="H5113" s="950" t="s">
        <v>403</v>
      </c>
      <c r="I5113" s="951" t="s">
        <v>15338</v>
      </c>
      <c r="J5113" s="947" t="s">
        <v>15339</v>
      </c>
      <c r="K5113" s="143"/>
    </row>
    <row r="5114" spans="1:11">
      <c r="A5114" s="946" t="s">
        <v>28607</v>
      </c>
      <c r="B5114" s="947" t="s">
        <v>15538</v>
      </c>
      <c r="C5114" s="948" t="s">
        <v>15536</v>
      </c>
      <c r="D5114" s="242" t="s">
        <v>28712</v>
      </c>
      <c r="E5114" s="949">
        <v>1504</v>
      </c>
      <c r="F5114" s="949">
        <v>1504</v>
      </c>
      <c r="G5114" s="950" t="s">
        <v>13154</v>
      </c>
      <c r="H5114" s="950" t="s">
        <v>403</v>
      </c>
      <c r="I5114" s="951" t="s">
        <v>15537</v>
      </c>
      <c r="J5114" s="947" t="s">
        <v>15538</v>
      </c>
      <c r="K5114" s="143"/>
    </row>
    <row r="5115" spans="1:11">
      <c r="A5115" s="946" t="s">
        <v>28607</v>
      </c>
      <c r="B5115" s="947" t="s">
        <v>15691</v>
      </c>
      <c r="C5115" s="948" t="s">
        <v>15689</v>
      </c>
      <c r="D5115" s="242" t="s">
        <v>28712</v>
      </c>
      <c r="E5115" s="949">
        <v>1502</v>
      </c>
      <c r="F5115" s="949">
        <v>1502</v>
      </c>
      <c r="G5115" s="950" t="s">
        <v>13154</v>
      </c>
      <c r="H5115" s="950" t="s">
        <v>403</v>
      </c>
      <c r="I5115" s="951" t="s">
        <v>15690</v>
      </c>
      <c r="J5115" s="947" t="s">
        <v>15691</v>
      </c>
      <c r="K5115" s="143"/>
    </row>
    <row r="5116" spans="1:11">
      <c r="A5116" s="946" t="s">
        <v>28607</v>
      </c>
      <c r="B5116" s="947" t="s">
        <v>15897</v>
      </c>
      <c r="C5116" s="948" t="s">
        <v>15895</v>
      </c>
      <c r="D5116" s="242" t="s">
        <v>28712</v>
      </c>
      <c r="E5116" s="949">
        <v>1502</v>
      </c>
      <c r="F5116" s="949">
        <v>1502</v>
      </c>
      <c r="G5116" s="950" t="s">
        <v>13154</v>
      </c>
      <c r="H5116" s="950" t="s">
        <v>403</v>
      </c>
      <c r="I5116" s="951" t="s">
        <v>15896</v>
      </c>
      <c r="J5116" s="947" t="s">
        <v>15897</v>
      </c>
      <c r="K5116" s="143"/>
    </row>
    <row r="5117" spans="1:11">
      <c r="A5117" s="946" t="s">
        <v>28607</v>
      </c>
      <c r="B5117" s="947" t="s">
        <v>15954</v>
      </c>
      <c r="C5117" s="948" t="s">
        <v>15952</v>
      </c>
      <c r="D5117" s="242" t="s">
        <v>28712</v>
      </c>
      <c r="E5117" s="949">
        <v>1502</v>
      </c>
      <c r="F5117" s="949">
        <v>1502</v>
      </c>
      <c r="G5117" s="950" t="s">
        <v>13154</v>
      </c>
      <c r="H5117" s="950" t="s">
        <v>403</v>
      </c>
      <c r="I5117" s="951" t="s">
        <v>15953</v>
      </c>
      <c r="J5117" s="947" t="s">
        <v>15954</v>
      </c>
      <c r="K5117" s="143"/>
    </row>
    <row r="5118" spans="1:11">
      <c r="A5118" s="946" t="s">
        <v>28607</v>
      </c>
      <c r="B5118" s="947" t="s">
        <v>15976</v>
      </c>
      <c r="C5118" s="948" t="s">
        <v>15974</v>
      </c>
      <c r="D5118" s="242" t="s">
        <v>28712</v>
      </c>
      <c r="E5118" s="949">
        <v>1502</v>
      </c>
      <c r="F5118" s="949">
        <v>1502</v>
      </c>
      <c r="G5118" s="950" t="s">
        <v>13154</v>
      </c>
      <c r="H5118" s="950" t="s">
        <v>403</v>
      </c>
      <c r="I5118" s="951" t="s">
        <v>15975</v>
      </c>
      <c r="J5118" s="947" t="s">
        <v>15976</v>
      </c>
      <c r="K5118" s="143"/>
    </row>
    <row r="5119" spans="1:11">
      <c r="A5119" s="946" t="s">
        <v>28607</v>
      </c>
      <c r="B5119" s="947" t="s">
        <v>7887</v>
      </c>
      <c r="C5119" s="948" t="s">
        <v>7885</v>
      </c>
      <c r="D5119" s="242" t="s">
        <v>28712</v>
      </c>
      <c r="E5119" s="949">
        <v>1504</v>
      </c>
      <c r="F5119" s="949">
        <v>1504</v>
      </c>
      <c r="G5119" s="950" t="s">
        <v>13154</v>
      </c>
      <c r="H5119" s="950" t="s">
        <v>403</v>
      </c>
      <c r="I5119" s="951" t="s">
        <v>7886</v>
      </c>
      <c r="J5119" s="947" t="s">
        <v>7887</v>
      </c>
      <c r="K5119" s="143"/>
    </row>
    <row r="5120" spans="1:11">
      <c r="A5120" s="946" t="s">
        <v>28607</v>
      </c>
      <c r="B5120" s="947" t="s">
        <v>16664</v>
      </c>
      <c r="C5120" s="948" t="s">
        <v>16662</v>
      </c>
      <c r="D5120" s="242" t="s">
        <v>28712</v>
      </c>
      <c r="E5120" s="949">
        <v>1504</v>
      </c>
      <c r="F5120" s="949">
        <v>1504</v>
      </c>
      <c r="G5120" s="950" t="s">
        <v>13154</v>
      </c>
      <c r="H5120" s="950" t="s">
        <v>403</v>
      </c>
      <c r="I5120" s="951" t="s">
        <v>16663</v>
      </c>
      <c r="J5120" s="947" t="s">
        <v>16664</v>
      </c>
      <c r="K5120" s="143"/>
    </row>
    <row r="5121" spans="1:11">
      <c r="A5121" s="946" t="s">
        <v>28607</v>
      </c>
      <c r="B5121" s="947" t="s">
        <v>17605</v>
      </c>
      <c r="C5121" s="948" t="s">
        <v>17603</v>
      </c>
      <c r="D5121" s="242" t="s">
        <v>28712</v>
      </c>
      <c r="E5121" s="949">
        <v>1504</v>
      </c>
      <c r="F5121" s="949">
        <v>1504</v>
      </c>
      <c r="G5121" s="950" t="s">
        <v>13154</v>
      </c>
      <c r="H5121" s="950" t="s">
        <v>403</v>
      </c>
      <c r="I5121" s="951" t="s">
        <v>17604</v>
      </c>
      <c r="J5121" s="947" t="s">
        <v>17605</v>
      </c>
      <c r="K5121" s="143"/>
    </row>
    <row r="5122" spans="1:11">
      <c r="A5122" s="946" t="s">
        <v>28607</v>
      </c>
      <c r="B5122" s="947" t="s">
        <v>17635</v>
      </c>
      <c r="C5122" s="948" t="s">
        <v>17633</v>
      </c>
      <c r="D5122" s="242" t="s">
        <v>28712</v>
      </c>
      <c r="E5122" s="949">
        <v>1504</v>
      </c>
      <c r="F5122" s="949">
        <v>1504</v>
      </c>
      <c r="G5122" s="950" t="s">
        <v>13154</v>
      </c>
      <c r="H5122" s="950" t="s">
        <v>403</v>
      </c>
      <c r="I5122" s="951" t="s">
        <v>17634</v>
      </c>
      <c r="J5122" s="947" t="s">
        <v>17635</v>
      </c>
      <c r="K5122" s="143"/>
    </row>
    <row r="5123" spans="1:11">
      <c r="A5123" s="946" t="s">
        <v>28607</v>
      </c>
      <c r="B5123" s="947" t="s">
        <v>17769</v>
      </c>
      <c r="C5123" s="948" t="s">
        <v>17767</v>
      </c>
      <c r="D5123" s="242" t="s">
        <v>28712</v>
      </c>
      <c r="E5123" s="949">
        <v>1504</v>
      </c>
      <c r="F5123" s="949">
        <v>1504</v>
      </c>
      <c r="G5123" s="950" t="s">
        <v>13154</v>
      </c>
      <c r="H5123" s="950" t="s">
        <v>403</v>
      </c>
      <c r="I5123" s="951" t="s">
        <v>17768</v>
      </c>
      <c r="J5123" s="947" t="s">
        <v>17769</v>
      </c>
      <c r="K5123" s="143"/>
    </row>
    <row r="5124" spans="1:11">
      <c r="A5124" s="946" t="s">
        <v>28607</v>
      </c>
      <c r="B5124" s="947" t="s">
        <v>18039</v>
      </c>
      <c r="C5124" s="948" t="s">
        <v>18037</v>
      </c>
      <c r="D5124" s="242" t="s">
        <v>28712</v>
      </c>
      <c r="E5124" s="949">
        <v>1504</v>
      </c>
      <c r="F5124" s="949">
        <v>1504</v>
      </c>
      <c r="G5124" s="950" t="s">
        <v>13154</v>
      </c>
      <c r="H5124" s="950" t="s">
        <v>403</v>
      </c>
      <c r="I5124" s="951" t="s">
        <v>18038</v>
      </c>
      <c r="J5124" s="947" t="s">
        <v>18039</v>
      </c>
      <c r="K5124" s="143"/>
    </row>
    <row r="5125" spans="1:11">
      <c r="A5125" s="946" t="s">
        <v>28607</v>
      </c>
      <c r="B5125" s="947" t="s">
        <v>18204</v>
      </c>
      <c r="C5125" s="948" t="s">
        <v>18202</v>
      </c>
      <c r="D5125" s="242" t="s">
        <v>28712</v>
      </c>
      <c r="E5125" s="949">
        <v>1504</v>
      </c>
      <c r="F5125" s="949">
        <v>1504</v>
      </c>
      <c r="G5125" s="950" t="s">
        <v>13154</v>
      </c>
      <c r="H5125" s="950" t="s">
        <v>403</v>
      </c>
      <c r="I5125" s="951" t="s">
        <v>18203</v>
      </c>
      <c r="J5125" s="947" t="s">
        <v>18204</v>
      </c>
      <c r="K5125" s="143"/>
    </row>
    <row r="5126" spans="1:11">
      <c r="A5126" s="946" t="s">
        <v>28607</v>
      </c>
      <c r="B5126" s="947" t="s">
        <v>18570</v>
      </c>
      <c r="C5126" s="948" t="s">
        <v>18568</v>
      </c>
      <c r="D5126" s="242" t="s">
        <v>28712</v>
      </c>
      <c r="E5126" s="949">
        <v>1504</v>
      </c>
      <c r="F5126" s="949">
        <v>1504</v>
      </c>
      <c r="G5126" s="950" t="s">
        <v>13154</v>
      </c>
      <c r="H5126" s="950" t="s">
        <v>403</v>
      </c>
      <c r="I5126" s="951" t="s">
        <v>18569</v>
      </c>
      <c r="J5126" s="947" t="s">
        <v>18570</v>
      </c>
      <c r="K5126" s="143"/>
    </row>
    <row r="5127" spans="1:11">
      <c r="A5127" s="946" t="s">
        <v>28607</v>
      </c>
      <c r="B5127" s="947" t="s">
        <v>18597</v>
      </c>
      <c r="C5127" s="948" t="s">
        <v>18595</v>
      </c>
      <c r="D5127" s="242" t="s">
        <v>28712</v>
      </c>
      <c r="E5127" s="949">
        <v>1504</v>
      </c>
      <c r="F5127" s="949">
        <v>1504</v>
      </c>
      <c r="G5127" s="950" t="s">
        <v>13154</v>
      </c>
      <c r="H5127" s="950" t="s">
        <v>403</v>
      </c>
      <c r="I5127" s="951" t="s">
        <v>18596</v>
      </c>
      <c r="J5127" s="947" t="s">
        <v>18597</v>
      </c>
      <c r="K5127" s="143"/>
    </row>
    <row r="5128" spans="1:11">
      <c r="A5128" s="946" t="s">
        <v>28607</v>
      </c>
      <c r="B5128" s="947" t="s">
        <v>18668</v>
      </c>
      <c r="C5128" s="948" t="s">
        <v>18666</v>
      </c>
      <c r="D5128" s="242" t="s">
        <v>28712</v>
      </c>
      <c r="E5128" s="949">
        <v>1502</v>
      </c>
      <c r="F5128" s="949">
        <v>1502</v>
      </c>
      <c r="G5128" s="950" t="s">
        <v>13154</v>
      </c>
      <c r="H5128" s="950" t="s">
        <v>403</v>
      </c>
      <c r="I5128" s="951" t="s">
        <v>18667</v>
      </c>
      <c r="J5128" s="947" t="s">
        <v>18668</v>
      </c>
      <c r="K5128" s="143"/>
    </row>
    <row r="5129" spans="1:11">
      <c r="A5129" s="946" t="s">
        <v>28607</v>
      </c>
      <c r="B5129" s="947" t="s">
        <v>18675</v>
      </c>
      <c r="C5129" s="948" t="s">
        <v>18673</v>
      </c>
      <c r="D5129" s="242" t="s">
        <v>28712</v>
      </c>
      <c r="E5129" s="949">
        <v>1504</v>
      </c>
      <c r="F5129" s="949">
        <v>1504</v>
      </c>
      <c r="G5129" s="950" t="s">
        <v>13154</v>
      </c>
      <c r="H5129" s="950" t="s">
        <v>403</v>
      </c>
      <c r="I5129" s="951" t="s">
        <v>18674</v>
      </c>
      <c r="J5129" s="947" t="s">
        <v>18675</v>
      </c>
      <c r="K5129" s="143"/>
    </row>
    <row r="5130" spans="1:11">
      <c r="A5130" s="946" t="s">
        <v>28607</v>
      </c>
      <c r="B5130" s="947" t="s">
        <v>18274</v>
      </c>
      <c r="C5130" s="948" t="s">
        <v>18272</v>
      </c>
      <c r="D5130" s="242" t="s">
        <v>28712</v>
      </c>
      <c r="E5130" s="949">
        <v>1504</v>
      </c>
      <c r="F5130" s="949">
        <v>1504</v>
      </c>
      <c r="G5130" s="950" t="s">
        <v>13154</v>
      </c>
      <c r="H5130" s="950" t="s">
        <v>403</v>
      </c>
      <c r="I5130" s="951" t="s">
        <v>18273</v>
      </c>
      <c r="J5130" s="947" t="s">
        <v>18274</v>
      </c>
      <c r="K5130" s="143"/>
    </row>
    <row r="5131" spans="1:11">
      <c r="A5131" s="946" t="s">
        <v>28607</v>
      </c>
      <c r="B5131" s="947" t="s">
        <v>18954</v>
      </c>
      <c r="C5131" s="948" t="s">
        <v>18952</v>
      </c>
      <c r="D5131" s="242" t="s">
        <v>28712</v>
      </c>
      <c r="E5131" s="949">
        <v>1504</v>
      </c>
      <c r="F5131" s="949">
        <v>1504</v>
      </c>
      <c r="G5131" s="950" t="s">
        <v>13154</v>
      </c>
      <c r="H5131" s="950" t="s">
        <v>403</v>
      </c>
      <c r="I5131" s="951" t="s">
        <v>18953</v>
      </c>
      <c r="J5131" s="947" t="s">
        <v>18954</v>
      </c>
      <c r="K5131" s="143"/>
    </row>
    <row r="5132" spans="1:11">
      <c r="A5132" s="946" t="s">
        <v>28607</v>
      </c>
      <c r="B5132" s="947" t="s">
        <v>19115</v>
      </c>
      <c r="C5132" s="948" t="s">
        <v>19113</v>
      </c>
      <c r="D5132" s="242" t="s">
        <v>28712</v>
      </c>
      <c r="E5132" s="949">
        <v>1504</v>
      </c>
      <c r="F5132" s="949">
        <v>1504</v>
      </c>
      <c r="G5132" s="950" t="s">
        <v>13154</v>
      </c>
      <c r="H5132" s="950" t="s">
        <v>403</v>
      </c>
      <c r="I5132" s="951" t="s">
        <v>19114</v>
      </c>
      <c r="J5132" s="947" t="s">
        <v>19115</v>
      </c>
      <c r="K5132" s="143"/>
    </row>
    <row r="5133" spans="1:11">
      <c r="A5133" s="946" t="s">
        <v>28607</v>
      </c>
      <c r="B5133" s="947" t="s">
        <v>19358</v>
      </c>
      <c r="C5133" s="948" t="s">
        <v>19356</v>
      </c>
      <c r="D5133" s="242" t="s">
        <v>28712</v>
      </c>
      <c r="E5133" s="949">
        <v>1502</v>
      </c>
      <c r="F5133" s="949">
        <v>1502</v>
      </c>
      <c r="G5133" s="950" t="s">
        <v>13154</v>
      </c>
      <c r="H5133" s="950" t="s">
        <v>403</v>
      </c>
      <c r="I5133" s="951" t="s">
        <v>19357</v>
      </c>
      <c r="J5133" s="947" t="s">
        <v>19358</v>
      </c>
      <c r="K5133" s="143"/>
    </row>
    <row r="5134" spans="1:11">
      <c r="A5134" s="946" t="s">
        <v>28607</v>
      </c>
      <c r="B5134" s="947" t="s">
        <v>19690</v>
      </c>
      <c r="C5134" s="948" t="s">
        <v>19688</v>
      </c>
      <c r="D5134" s="242" t="s">
        <v>28712</v>
      </c>
      <c r="E5134" s="949">
        <v>1504</v>
      </c>
      <c r="F5134" s="949">
        <v>1504</v>
      </c>
      <c r="G5134" s="950" t="s">
        <v>13154</v>
      </c>
      <c r="H5134" s="950" t="s">
        <v>403</v>
      </c>
      <c r="I5134" s="951" t="s">
        <v>19689</v>
      </c>
      <c r="J5134" s="947" t="s">
        <v>19690</v>
      </c>
      <c r="K5134" s="143"/>
    </row>
    <row r="5135" spans="1:11">
      <c r="A5135" s="946" t="s">
        <v>28607</v>
      </c>
      <c r="B5135" s="947" t="s">
        <v>19783</v>
      </c>
      <c r="C5135" s="948" t="s">
        <v>19781</v>
      </c>
      <c r="D5135" s="242" t="s">
        <v>28712</v>
      </c>
      <c r="E5135" s="949">
        <v>1504</v>
      </c>
      <c r="F5135" s="949">
        <v>1504</v>
      </c>
      <c r="G5135" s="950" t="s">
        <v>13154</v>
      </c>
      <c r="H5135" s="950" t="s">
        <v>403</v>
      </c>
      <c r="I5135" s="951" t="s">
        <v>19782</v>
      </c>
      <c r="J5135" s="947" t="s">
        <v>19783</v>
      </c>
      <c r="K5135" s="143"/>
    </row>
    <row r="5136" spans="1:11">
      <c r="A5136" s="946" t="s">
        <v>28607</v>
      </c>
      <c r="B5136" s="947" t="s">
        <v>20057</v>
      </c>
      <c r="C5136" s="948" t="s">
        <v>20055</v>
      </c>
      <c r="D5136" s="242" t="s">
        <v>28712</v>
      </c>
      <c r="E5136" s="949">
        <v>1504</v>
      </c>
      <c r="F5136" s="949">
        <v>1504</v>
      </c>
      <c r="G5136" s="950" t="s">
        <v>13154</v>
      </c>
      <c r="H5136" s="950" t="s">
        <v>403</v>
      </c>
      <c r="I5136" s="951" t="s">
        <v>20056</v>
      </c>
      <c r="J5136" s="947" t="s">
        <v>20057</v>
      </c>
      <c r="K5136" s="143"/>
    </row>
    <row r="5137" spans="1:11">
      <c r="A5137" s="946" t="s">
        <v>28607</v>
      </c>
      <c r="B5137" s="947" t="s">
        <v>20411</v>
      </c>
      <c r="C5137" s="948" t="s">
        <v>20409</v>
      </c>
      <c r="D5137" s="242" t="s">
        <v>28712</v>
      </c>
      <c r="E5137" s="949">
        <v>1504</v>
      </c>
      <c r="F5137" s="949">
        <v>1504</v>
      </c>
      <c r="G5137" s="950" t="s">
        <v>13154</v>
      </c>
      <c r="H5137" s="950" t="s">
        <v>403</v>
      </c>
      <c r="I5137" s="951" t="s">
        <v>20410</v>
      </c>
      <c r="J5137" s="947" t="s">
        <v>20411</v>
      </c>
      <c r="K5137" s="143"/>
    </row>
    <row r="5138" spans="1:11">
      <c r="A5138" s="946" t="s">
        <v>28607</v>
      </c>
      <c r="B5138" s="947" t="s">
        <v>20630</v>
      </c>
      <c r="C5138" s="948" t="s">
        <v>20628</v>
      </c>
      <c r="D5138" s="242" t="s">
        <v>28712</v>
      </c>
      <c r="E5138" s="949">
        <v>1504</v>
      </c>
      <c r="F5138" s="949">
        <v>1504</v>
      </c>
      <c r="G5138" s="950" t="s">
        <v>13154</v>
      </c>
      <c r="H5138" s="950" t="s">
        <v>403</v>
      </c>
      <c r="I5138" s="951" t="s">
        <v>20629</v>
      </c>
      <c r="J5138" s="947" t="s">
        <v>20630</v>
      </c>
      <c r="K5138" s="143"/>
    </row>
    <row r="5139" spans="1:11">
      <c r="A5139" s="946" t="s">
        <v>28607</v>
      </c>
      <c r="B5139" s="947" t="s">
        <v>20664</v>
      </c>
      <c r="C5139" s="948" t="s">
        <v>20662</v>
      </c>
      <c r="D5139" s="242" t="s">
        <v>28712</v>
      </c>
      <c r="E5139" s="949">
        <v>1504</v>
      </c>
      <c r="F5139" s="949">
        <v>1504</v>
      </c>
      <c r="G5139" s="950" t="s">
        <v>13154</v>
      </c>
      <c r="H5139" s="950" t="s">
        <v>403</v>
      </c>
      <c r="I5139" s="951" t="s">
        <v>20663</v>
      </c>
      <c r="J5139" s="947" t="s">
        <v>20664</v>
      </c>
      <c r="K5139" s="143"/>
    </row>
    <row r="5140" spans="1:11">
      <c r="A5140" s="946" t="s">
        <v>28607</v>
      </c>
      <c r="B5140" s="947" t="s">
        <v>21110</v>
      </c>
      <c r="C5140" s="948" t="s">
        <v>21108</v>
      </c>
      <c r="D5140" s="242" t="s">
        <v>28712</v>
      </c>
      <c r="E5140" s="949">
        <v>1504</v>
      </c>
      <c r="F5140" s="949">
        <v>1504</v>
      </c>
      <c r="G5140" s="950" t="s">
        <v>13154</v>
      </c>
      <c r="H5140" s="950" t="s">
        <v>403</v>
      </c>
      <c r="I5140" s="951" t="s">
        <v>21109</v>
      </c>
      <c r="J5140" s="947" t="s">
        <v>21110</v>
      </c>
      <c r="K5140" s="143"/>
    </row>
    <row r="5141" spans="1:11">
      <c r="A5141" s="946" t="s">
        <v>28607</v>
      </c>
      <c r="B5141" s="947" t="s">
        <v>21928</v>
      </c>
      <c r="C5141" s="948" t="s">
        <v>21926</v>
      </c>
      <c r="D5141" s="242" t="s">
        <v>28712</v>
      </c>
      <c r="E5141" s="949">
        <v>1504</v>
      </c>
      <c r="F5141" s="949">
        <v>1504</v>
      </c>
      <c r="G5141" s="950" t="s">
        <v>13154</v>
      </c>
      <c r="H5141" s="950" t="s">
        <v>403</v>
      </c>
      <c r="I5141" s="951" t="s">
        <v>21927</v>
      </c>
      <c r="J5141" s="947" t="s">
        <v>21928</v>
      </c>
      <c r="K5141" s="143"/>
    </row>
    <row r="5142" spans="1:11">
      <c r="A5142" s="946" t="s">
        <v>28607</v>
      </c>
      <c r="B5142" s="947" t="s">
        <v>22309</v>
      </c>
      <c r="C5142" s="948" t="s">
        <v>22307</v>
      </c>
      <c r="D5142" s="242" t="s">
        <v>28712</v>
      </c>
      <c r="E5142" s="949">
        <v>1502</v>
      </c>
      <c r="F5142" s="949">
        <v>1502</v>
      </c>
      <c r="G5142" s="950" t="s">
        <v>13154</v>
      </c>
      <c r="H5142" s="950" t="s">
        <v>403</v>
      </c>
      <c r="I5142" s="951" t="s">
        <v>22308</v>
      </c>
      <c r="J5142" s="947" t="s">
        <v>22309</v>
      </c>
      <c r="K5142" s="143"/>
    </row>
    <row r="5143" spans="1:11">
      <c r="A5143" s="946" t="s">
        <v>28607</v>
      </c>
      <c r="B5143" s="947" t="s">
        <v>22400</v>
      </c>
      <c r="C5143" s="948" t="s">
        <v>22398</v>
      </c>
      <c r="D5143" s="242" t="s">
        <v>28712</v>
      </c>
      <c r="E5143" s="949">
        <v>1504</v>
      </c>
      <c r="F5143" s="949">
        <v>1504</v>
      </c>
      <c r="G5143" s="950" t="s">
        <v>13154</v>
      </c>
      <c r="H5143" s="950" t="s">
        <v>403</v>
      </c>
      <c r="I5143" s="951" t="s">
        <v>22399</v>
      </c>
      <c r="J5143" s="947" t="s">
        <v>22400</v>
      </c>
      <c r="K5143" s="143"/>
    </row>
    <row r="5144" spans="1:11">
      <c r="A5144" s="946" t="s">
        <v>28607</v>
      </c>
      <c r="B5144" s="947" t="s">
        <v>22498</v>
      </c>
      <c r="C5144" s="948" t="s">
        <v>22496</v>
      </c>
      <c r="D5144" s="242" t="s">
        <v>28712</v>
      </c>
      <c r="E5144" s="949">
        <v>1504</v>
      </c>
      <c r="F5144" s="949">
        <v>1504</v>
      </c>
      <c r="G5144" s="950" t="s">
        <v>13154</v>
      </c>
      <c r="H5144" s="950" t="s">
        <v>403</v>
      </c>
      <c r="I5144" s="951" t="s">
        <v>22497</v>
      </c>
      <c r="J5144" s="947" t="s">
        <v>22498</v>
      </c>
      <c r="K5144" s="143"/>
    </row>
    <row r="5145" spans="1:11">
      <c r="A5145" s="946" t="s">
        <v>28607</v>
      </c>
      <c r="B5145" s="947" t="s">
        <v>18488</v>
      </c>
      <c r="C5145" s="948" t="s">
        <v>18486</v>
      </c>
      <c r="D5145" s="242" t="s">
        <v>28712</v>
      </c>
      <c r="E5145" s="949">
        <v>1504</v>
      </c>
      <c r="F5145" s="949">
        <v>1504</v>
      </c>
      <c r="G5145" s="950" t="s">
        <v>13154</v>
      </c>
      <c r="H5145" s="950" t="s">
        <v>403</v>
      </c>
      <c r="I5145" s="951" t="s">
        <v>18487</v>
      </c>
      <c r="J5145" s="947" t="s">
        <v>18488</v>
      </c>
      <c r="K5145" s="143"/>
    </row>
    <row r="5146" spans="1:11">
      <c r="A5146" s="946" t="s">
        <v>28607</v>
      </c>
      <c r="B5146" s="947" t="s">
        <v>20892</v>
      </c>
      <c r="C5146" s="948" t="s">
        <v>20890</v>
      </c>
      <c r="D5146" s="242" t="s">
        <v>28712</v>
      </c>
      <c r="E5146" s="949">
        <v>1504</v>
      </c>
      <c r="F5146" s="949">
        <v>1504</v>
      </c>
      <c r="G5146" s="950" t="s">
        <v>13154</v>
      </c>
      <c r="H5146" s="950" t="s">
        <v>403</v>
      </c>
      <c r="I5146" s="951" t="s">
        <v>20891</v>
      </c>
      <c r="J5146" s="947" t="s">
        <v>20892</v>
      </c>
      <c r="K5146" s="143"/>
    </row>
    <row r="5147" spans="1:11">
      <c r="A5147" s="946" t="s">
        <v>28607</v>
      </c>
      <c r="B5147" s="947" t="s">
        <v>11377</v>
      </c>
      <c r="C5147" s="948" t="s">
        <v>11375</v>
      </c>
      <c r="D5147" s="242" t="s">
        <v>28712</v>
      </c>
      <c r="E5147" s="949">
        <v>1504</v>
      </c>
      <c r="F5147" s="949">
        <v>1504</v>
      </c>
      <c r="G5147" s="950" t="s">
        <v>13154</v>
      </c>
      <c r="H5147" s="950" t="s">
        <v>403</v>
      </c>
      <c r="I5147" s="951" t="s">
        <v>11376</v>
      </c>
      <c r="J5147" s="947" t="s">
        <v>11377</v>
      </c>
      <c r="K5147" s="143"/>
    </row>
    <row r="5148" spans="1:11">
      <c r="A5148" s="946" t="s">
        <v>28607</v>
      </c>
      <c r="B5148" s="947" t="s">
        <v>688</v>
      </c>
      <c r="C5148" s="948" t="s">
        <v>685</v>
      </c>
      <c r="D5148" s="242" t="s">
        <v>28712</v>
      </c>
      <c r="E5148" s="949">
        <v>1506</v>
      </c>
      <c r="F5148" s="949">
        <v>1506</v>
      </c>
      <c r="G5148" s="950" t="s">
        <v>1653</v>
      </c>
      <c r="H5148" s="950" t="s">
        <v>686</v>
      </c>
      <c r="I5148" s="951" t="s">
        <v>687</v>
      </c>
      <c r="J5148" s="947" t="s">
        <v>688</v>
      </c>
      <c r="K5148" s="143"/>
    </row>
    <row r="5149" spans="1:11">
      <c r="A5149" s="946" t="s">
        <v>28607</v>
      </c>
      <c r="B5149" s="947" t="s">
        <v>995</v>
      </c>
      <c r="C5149" s="948" t="s">
        <v>993</v>
      </c>
      <c r="D5149" s="242" t="s">
        <v>28712</v>
      </c>
      <c r="E5149" s="949">
        <v>1506</v>
      </c>
      <c r="F5149" s="949">
        <v>1506</v>
      </c>
      <c r="G5149" s="950" t="s">
        <v>1653</v>
      </c>
      <c r="H5149" s="950" t="s">
        <v>686</v>
      </c>
      <c r="I5149" s="951" t="s">
        <v>994</v>
      </c>
      <c r="J5149" s="947" t="s">
        <v>995</v>
      </c>
      <c r="K5149" s="143"/>
    </row>
    <row r="5150" spans="1:11">
      <c r="A5150" s="946" t="s">
        <v>28607</v>
      </c>
      <c r="B5150" s="947" t="s">
        <v>1143</v>
      </c>
      <c r="C5150" s="948" t="s">
        <v>1141</v>
      </c>
      <c r="D5150" s="242" t="s">
        <v>28712</v>
      </c>
      <c r="E5150" s="949">
        <v>1506</v>
      </c>
      <c r="F5150" s="949">
        <v>1506</v>
      </c>
      <c r="G5150" s="950" t="s">
        <v>1653</v>
      </c>
      <c r="H5150" s="950" t="s">
        <v>686</v>
      </c>
      <c r="I5150" s="951" t="s">
        <v>1142</v>
      </c>
      <c r="J5150" s="947" t="s">
        <v>1143</v>
      </c>
      <c r="K5150" s="143"/>
    </row>
    <row r="5151" spans="1:11">
      <c r="A5151" s="946" t="s">
        <v>28607</v>
      </c>
      <c r="B5151" s="947" t="s">
        <v>1288</v>
      </c>
      <c r="C5151" s="948" t="s">
        <v>1286</v>
      </c>
      <c r="D5151" s="242" t="s">
        <v>28712</v>
      </c>
      <c r="E5151" s="949">
        <v>1506</v>
      </c>
      <c r="F5151" s="949">
        <v>1506</v>
      </c>
      <c r="G5151" s="950" t="s">
        <v>1653</v>
      </c>
      <c r="H5151" s="950" t="s">
        <v>686</v>
      </c>
      <c r="I5151" s="951" t="s">
        <v>1287</v>
      </c>
      <c r="J5151" s="947" t="s">
        <v>1288</v>
      </c>
      <c r="K5151" s="143"/>
    </row>
    <row r="5152" spans="1:11">
      <c r="A5152" s="946" t="s">
        <v>28607</v>
      </c>
      <c r="B5152" s="947" t="s">
        <v>1407</v>
      </c>
      <c r="C5152" s="948" t="s">
        <v>1405</v>
      </c>
      <c r="D5152" s="242" t="s">
        <v>28712</v>
      </c>
      <c r="E5152" s="949">
        <v>1506</v>
      </c>
      <c r="F5152" s="949">
        <v>1506</v>
      </c>
      <c r="G5152" s="950" t="s">
        <v>1653</v>
      </c>
      <c r="H5152" s="950" t="s">
        <v>686</v>
      </c>
      <c r="I5152" s="951" t="s">
        <v>1406</v>
      </c>
      <c r="J5152" s="947" t="s">
        <v>1407</v>
      </c>
      <c r="K5152" s="143"/>
    </row>
    <row r="5153" spans="1:11">
      <c r="A5153" s="946" t="s">
        <v>28607</v>
      </c>
      <c r="B5153" s="947" t="s">
        <v>1611</v>
      </c>
      <c r="C5153" s="948" t="s">
        <v>1609</v>
      </c>
      <c r="D5153" s="242" t="s">
        <v>28712</v>
      </c>
      <c r="E5153" s="949">
        <v>1506</v>
      </c>
      <c r="F5153" s="949">
        <v>1506</v>
      </c>
      <c r="G5153" s="950" t="s">
        <v>1653</v>
      </c>
      <c r="H5153" s="950" t="s">
        <v>686</v>
      </c>
      <c r="I5153" s="951" t="s">
        <v>1610</v>
      </c>
      <c r="J5153" s="947" t="s">
        <v>1611</v>
      </c>
      <c r="K5153" s="143"/>
    </row>
    <row r="5154" spans="1:11">
      <c r="A5154" s="946" t="s">
        <v>28607</v>
      </c>
      <c r="B5154" s="947" t="s">
        <v>1650</v>
      </c>
      <c r="C5154" s="948" t="s">
        <v>1648</v>
      </c>
      <c r="D5154" s="242" t="s">
        <v>28712</v>
      </c>
      <c r="E5154" s="949">
        <v>1506</v>
      </c>
      <c r="F5154" s="949">
        <v>1506</v>
      </c>
      <c r="G5154" s="950" t="s">
        <v>1653</v>
      </c>
      <c r="H5154" s="950" t="s">
        <v>686</v>
      </c>
      <c r="I5154" s="951" t="s">
        <v>1649</v>
      </c>
      <c r="J5154" s="947" t="s">
        <v>1650</v>
      </c>
      <c r="K5154" s="143"/>
    </row>
    <row r="5155" spans="1:11">
      <c r="A5155" s="946" t="s">
        <v>28607</v>
      </c>
      <c r="B5155" s="947" t="s">
        <v>1653</v>
      </c>
      <c r="C5155" s="948" t="s">
        <v>1651</v>
      </c>
      <c r="D5155" s="242" t="s">
        <v>28712</v>
      </c>
      <c r="E5155" s="949">
        <v>1506</v>
      </c>
      <c r="F5155" s="949">
        <v>1506</v>
      </c>
      <c r="G5155" s="950" t="s">
        <v>1653</v>
      </c>
      <c r="H5155" s="950" t="s">
        <v>686</v>
      </c>
      <c r="I5155" s="951" t="s">
        <v>1652</v>
      </c>
      <c r="J5155" s="947" t="s">
        <v>1653</v>
      </c>
      <c r="K5155" s="143"/>
    </row>
    <row r="5156" spans="1:11">
      <c r="A5156" s="946" t="s">
        <v>28607</v>
      </c>
      <c r="B5156" s="947" t="s">
        <v>1799</v>
      </c>
      <c r="C5156" s="948" t="s">
        <v>1797</v>
      </c>
      <c r="D5156" s="242" t="s">
        <v>28712</v>
      </c>
      <c r="E5156" s="949">
        <v>1506</v>
      </c>
      <c r="F5156" s="949">
        <v>1506</v>
      </c>
      <c r="G5156" s="950" t="s">
        <v>1653</v>
      </c>
      <c r="H5156" s="950" t="s">
        <v>686</v>
      </c>
      <c r="I5156" s="951" t="s">
        <v>1798</v>
      </c>
      <c r="J5156" s="947" t="s">
        <v>1799</v>
      </c>
      <c r="K5156" s="143"/>
    </row>
    <row r="5157" spans="1:11">
      <c r="A5157" s="946" t="s">
        <v>28607</v>
      </c>
      <c r="B5157" s="947" t="s">
        <v>1835</v>
      </c>
      <c r="C5157" s="948" t="s">
        <v>1833</v>
      </c>
      <c r="D5157" s="242" t="s">
        <v>28712</v>
      </c>
      <c r="E5157" s="949">
        <v>1506</v>
      </c>
      <c r="F5157" s="949">
        <v>1506</v>
      </c>
      <c r="G5157" s="950" t="s">
        <v>1653</v>
      </c>
      <c r="H5157" s="950" t="s">
        <v>686</v>
      </c>
      <c r="I5157" s="951" t="s">
        <v>1834</v>
      </c>
      <c r="J5157" s="947" t="s">
        <v>1835</v>
      </c>
      <c r="K5157" s="143"/>
    </row>
    <row r="5158" spans="1:11">
      <c r="A5158" s="946" t="s">
        <v>28607</v>
      </c>
      <c r="B5158" s="947" t="s">
        <v>2464</v>
      </c>
      <c r="C5158" s="948" t="s">
        <v>2462</v>
      </c>
      <c r="D5158" s="242" t="s">
        <v>28712</v>
      </c>
      <c r="E5158" s="949">
        <v>1506</v>
      </c>
      <c r="F5158" s="949">
        <v>1506</v>
      </c>
      <c r="G5158" s="950" t="s">
        <v>1653</v>
      </c>
      <c r="H5158" s="950" t="s">
        <v>686</v>
      </c>
      <c r="I5158" s="951" t="s">
        <v>2463</v>
      </c>
      <c r="J5158" s="947" t="s">
        <v>2464</v>
      </c>
      <c r="K5158" s="143"/>
    </row>
    <row r="5159" spans="1:11">
      <c r="A5159" s="946" t="s">
        <v>28607</v>
      </c>
      <c r="B5159" s="947" t="s">
        <v>2655</v>
      </c>
      <c r="C5159" s="948" t="s">
        <v>2653</v>
      </c>
      <c r="D5159" s="242" t="s">
        <v>28712</v>
      </c>
      <c r="E5159" s="949">
        <v>1506</v>
      </c>
      <c r="F5159" s="949">
        <v>1506</v>
      </c>
      <c r="G5159" s="950" t="s">
        <v>1653</v>
      </c>
      <c r="H5159" s="950" t="s">
        <v>686</v>
      </c>
      <c r="I5159" s="951" t="s">
        <v>2654</v>
      </c>
      <c r="J5159" s="947" t="s">
        <v>2655</v>
      </c>
      <c r="K5159" s="143"/>
    </row>
    <row r="5160" spans="1:11">
      <c r="A5160" s="946" t="s">
        <v>28607</v>
      </c>
      <c r="B5160" s="947" t="s">
        <v>3400</v>
      </c>
      <c r="C5160" s="948" t="s">
        <v>3398</v>
      </c>
      <c r="D5160" s="242" t="s">
        <v>28712</v>
      </c>
      <c r="E5160" s="949">
        <v>1506</v>
      </c>
      <c r="F5160" s="949">
        <v>1506</v>
      </c>
      <c r="G5160" s="950" t="s">
        <v>1653</v>
      </c>
      <c r="H5160" s="950" t="s">
        <v>686</v>
      </c>
      <c r="I5160" s="951" t="s">
        <v>3399</v>
      </c>
      <c r="J5160" s="947" t="s">
        <v>3400</v>
      </c>
      <c r="K5160" s="143"/>
    </row>
    <row r="5161" spans="1:11">
      <c r="A5161" s="946" t="s">
        <v>28607</v>
      </c>
      <c r="B5161" s="947" t="s">
        <v>3412</v>
      </c>
      <c r="C5161" s="948" t="s">
        <v>3410</v>
      </c>
      <c r="D5161" s="242" t="s">
        <v>28712</v>
      </c>
      <c r="E5161" s="949">
        <v>1503</v>
      </c>
      <c r="F5161" s="949">
        <v>1503</v>
      </c>
      <c r="G5161" s="950" t="s">
        <v>1653</v>
      </c>
      <c r="H5161" s="950" t="s">
        <v>686</v>
      </c>
      <c r="I5161" s="951" t="s">
        <v>3411</v>
      </c>
      <c r="J5161" s="947" t="s">
        <v>3412</v>
      </c>
      <c r="K5161" s="143"/>
    </row>
    <row r="5162" spans="1:11">
      <c r="A5162" s="946" t="s">
        <v>28607</v>
      </c>
      <c r="B5162" s="947" t="s">
        <v>3505</v>
      </c>
      <c r="C5162" s="948" t="s">
        <v>3503</v>
      </c>
      <c r="D5162" s="242" t="s">
        <v>28712</v>
      </c>
      <c r="E5162" s="949">
        <v>1506</v>
      </c>
      <c r="F5162" s="949">
        <v>1506</v>
      </c>
      <c r="G5162" s="950" t="s">
        <v>1653</v>
      </c>
      <c r="H5162" s="950" t="s">
        <v>686</v>
      </c>
      <c r="I5162" s="951" t="s">
        <v>3504</v>
      </c>
      <c r="J5162" s="947" t="s">
        <v>3505</v>
      </c>
      <c r="K5162" s="143"/>
    </row>
    <row r="5163" spans="1:11">
      <c r="A5163" s="946" t="s">
        <v>28607</v>
      </c>
      <c r="B5163" s="947" t="s">
        <v>3900</v>
      </c>
      <c r="C5163" s="948" t="s">
        <v>3898</v>
      </c>
      <c r="D5163" s="242" t="s">
        <v>28712</v>
      </c>
      <c r="E5163" s="949">
        <v>1506</v>
      </c>
      <c r="F5163" s="949">
        <v>1506</v>
      </c>
      <c r="G5163" s="950" t="s">
        <v>1653</v>
      </c>
      <c r="H5163" s="950" t="s">
        <v>686</v>
      </c>
      <c r="I5163" s="951" t="s">
        <v>3899</v>
      </c>
      <c r="J5163" s="947" t="s">
        <v>3900</v>
      </c>
      <c r="K5163" s="143"/>
    </row>
    <row r="5164" spans="1:11">
      <c r="A5164" s="946" t="s">
        <v>28607</v>
      </c>
      <c r="B5164" s="947" t="s">
        <v>4087</v>
      </c>
      <c r="C5164" s="948" t="s">
        <v>4085</v>
      </c>
      <c r="D5164" s="242" t="s">
        <v>28712</v>
      </c>
      <c r="E5164" s="949">
        <v>1506</v>
      </c>
      <c r="F5164" s="949">
        <v>1506</v>
      </c>
      <c r="G5164" s="950" t="s">
        <v>1653</v>
      </c>
      <c r="H5164" s="950" t="s">
        <v>686</v>
      </c>
      <c r="I5164" s="951" t="s">
        <v>4086</v>
      </c>
      <c r="J5164" s="947" t="s">
        <v>4087</v>
      </c>
      <c r="K5164" s="143"/>
    </row>
    <row r="5165" spans="1:11">
      <c r="A5165" s="946" t="s">
        <v>28607</v>
      </c>
      <c r="B5165" s="947" t="s">
        <v>4166</v>
      </c>
      <c r="C5165" s="948" t="s">
        <v>4164</v>
      </c>
      <c r="D5165" s="242" t="s">
        <v>28712</v>
      </c>
      <c r="E5165" s="949">
        <v>1506</v>
      </c>
      <c r="F5165" s="949">
        <v>1506</v>
      </c>
      <c r="G5165" s="950" t="s">
        <v>1653</v>
      </c>
      <c r="H5165" s="950" t="s">
        <v>686</v>
      </c>
      <c r="I5165" s="951" t="s">
        <v>4165</v>
      </c>
      <c r="J5165" s="947" t="s">
        <v>4166</v>
      </c>
      <c r="K5165" s="143"/>
    </row>
    <row r="5166" spans="1:11">
      <c r="A5166" s="946" t="s">
        <v>28607</v>
      </c>
      <c r="B5166" s="947" t="s">
        <v>4313</v>
      </c>
      <c r="C5166" s="948" t="s">
        <v>4311</v>
      </c>
      <c r="D5166" s="242" t="s">
        <v>28712</v>
      </c>
      <c r="E5166" s="949">
        <v>1506</v>
      </c>
      <c r="F5166" s="949">
        <v>1506</v>
      </c>
      <c r="G5166" s="950" t="s">
        <v>1653</v>
      </c>
      <c r="H5166" s="950" t="s">
        <v>686</v>
      </c>
      <c r="I5166" s="951" t="s">
        <v>4312</v>
      </c>
      <c r="J5166" s="947" t="s">
        <v>4313</v>
      </c>
      <c r="K5166" s="143"/>
    </row>
    <row r="5167" spans="1:11">
      <c r="A5167" s="946" t="s">
        <v>28607</v>
      </c>
      <c r="B5167" s="947" t="s">
        <v>4527</v>
      </c>
      <c r="C5167" s="948" t="s">
        <v>4525</v>
      </c>
      <c r="D5167" s="242" t="s">
        <v>28712</v>
      </c>
      <c r="E5167" s="949">
        <v>1506</v>
      </c>
      <c r="F5167" s="949">
        <v>1506</v>
      </c>
      <c r="G5167" s="950" t="s">
        <v>1653</v>
      </c>
      <c r="H5167" s="950" t="s">
        <v>686</v>
      </c>
      <c r="I5167" s="951" t="s">
        <v>4526</v>
      </c>
      <c r="J5167" s="947" t="s">
        <v>4527</v>
      </c>
      <c r="K5167" s="143"/>
    </row>
    <row r="5168" spans="1:11">
      <c r="A5168" s="946" t="s">
        <v>28607</v>
      </c>
      <c r="B5168" s="947" t="s">
        <v>4830</v>
      </c>
      <c r="C5168" s="948" t="s">
        <v>4828</v>
      </c>
      <c r="D5168" s="242" t="s">
        <v>28712</v>
      </c>
      <c r="E5168" s="949">
        <v>1506</v>
      </c>
      <c r="F5168" s="949">
        <v>1506</v>
      </c>
      <c r="G5168" s="950" t="s">
        <v>1653</v>
      </c>
      <c r="H5168" s="950" t="s">
        <v>686</v>
      </c>
      <c r="I5168" s="951" t="s">
        <v>4829</v>
      </c>
      <c r="J5168" s="947" t="s">
        <v>4830</v>
      </c>
      <c r="K5168" s="143"/>
    </row>
    <row r="5169" spans="1:11">
      <c r="A5169" s="946" t="s">
        <v>28607</v>
      </c>
      <c r="B5169" s="947" t="s">
        <v>4910</v>
      </c>
      <c r="C5169" s="948" t="s">
        <v>4908</v>
      </c>
      <c r="D5169" s="242" t="s">
        <v>28712</v>
      </c>
      <c r="E5169" s="949">
        <v>1506</v>
      </c>
      <c r="F5169" s="949">
        <v>1506</v>
      </c>
      <c r="G5169" s="950" t="s">
        <v>1653</v>
      </c>
      <c r="H5169" s="950" t="s">
        <v>686</v>
      </c>
      <c r="I5169" s="951" t="s">
        <v>4909</v>
      </c>
      <c r="J5169" s="947" t="s">
        <v>4910</v>
      </c>
      <c r="K5169" s="143"/>
    </row>
    <row r="5170" spans="1:11">
      <c r="A5170" s="946" t="s">
        <v>28607</v>
      </c>
      <c r="B5170" s="947" t="s">
        <v>5099</v>
      </c>
      <c r="C5170" s="948" t="s">
        <v>5097</v>
      </c>
      <c r="D5170" s="242" t="s">
        <v>28712</v>
      </c>
      <c r="E5170" s="949">
        <v>1506</v>
      </c>
      <c r="F5170" s="949">
        <v>1506</v>
      </c>
      <c r="G5170" s="950" t="s">
        <v>1653</v>
      </c>
      <c r="H5170" s="950" t="s">
        <v>686</v>
      </c>
      <c r="I5170" s="951" t="s">
        <v>5098</v>
      </c>
      <c r="J5170" s="947" t="s">
        <v>5099</v>
      </c>
      <c r="K5170" s="143"/>
    </row>
    <row r="5171" spans="1:11">
      <c r="A5171" s="946" t="s">
        <v>28607</v>
      </c>
      <c r="B5171" s="947" t="s">
        <v>5454</v>
      </c>
      <c r="C5171" s="948" t="s">
        <v>5452</v>
      </c>
      <c r="D5171" s="242" t="s">
        <v>28712</v>
      </c>
      <c r="E5171" s="949">
        <v>1506</v>
      </c>
      <c r="F5171" s="949">
        <v>1506</v>
      </c>
      <c r="G5171" s="950" t="s">
        <v>1653</v>
      </c>
      <c r="H5171" s="950" t="s">
        <v>686</v>
      </c>
      <c r="I5171" s="951" t="s">
        <v>5453</v>
      </c>
      <c r="J5171" s="947" t="s">
        <v>5454</v>
      </c>
      <c r="K5171" s="143"/>
    </row>
    <row r="5172" spans="1:11">
      <c r="A5172" s="946" t="s">
        <v>28607</v>
      </c>
      <c r="B5172" s="947" t="s">
        <v>6091</v>
      </c>
      <c r="C5172" s="948" t="s">
        <v>6089</v>
      </c>
      <c r="D5172" s="242" t="s">
        <v>28712</v>
      </c>
      <c r="E5172" s="949">
        <v>1506</v>
      </c>
      <c r="F5172" s="949">
        <v>1506</v>
      </c>
      <c r="G5172" s="950" t="s">
        <v>1653</v>
      </c>
      <c r="H5172" s="950" t="s">
        <v>686</v>
      </c>
      <c r="I5172" s="951" t="s">
        <v>6090</v>
      </c>
      <c r="J5172" s="947" t="s">
        <v>6091</v>
      </c>
      <c r="K5172" s="143"/>
    </row>
    <row r="5173" spans="1:11">
      <c r="A5173" s="946" t="s">
        <v>28607</v>
      </c>
      <c r="B5173" s="947" t="s">
        <v>6131</v>
      </c>
      <c r="C5173" s="948" t="s">
        <v>6129</v>
      </c>
      <c r="D5173" s="242" t="s">
        <v>28712</v>
      </c>
      <c r="E5173" s="949">
        <v>1506</v>
      </c>
      <c r="F5173" s="949">
        <v>1506</v>
      </c>
      <c r="G5173" s="950" t="s">
        <v>1653</v>
      </c>
      <c r="H5173" s="950" t="s">
        <v>686</v>
      </c>
      <c r="I5173" s="951" t="s">
        <v>6130</v>
      </c>
      <c r="J5173" s="947" t="s">
        <v>6131</v>
      </c>
      <c r="K5173" s="143"/>
    </row>
    <row r="5174" spans="1:11">
      <c r="A5174" s="946" t="s">
        <v>28607</v>
      </c>
      <c r="B5174" s="947" t="s">
        <v>6202</v>
      </c>
      <c r="C5174" s="948" t="s">
        <v>6200</v>
      </c>
      <c r="D5174" s="242" t="s">
        <v>28712</v>
      </c>
      <c r="E5174" s="949">
        <v>1506</v>
      </c>
      <c r="F5174" s="949">
        <v>1506</v>
      </c>
      <c r="G5174" s="950" t="s">
        <v>1653</v>
      </c>
      <c r="H5174" s="950" t="s">
        <v>686</v>
      </c>
      <c r="I5174" s="951" t="s">
        <v>6201</v>
      </c>
      <c r="J5174" s="947" t="s">
        <v>6202</v>
      </c>
      <c r="K5174" s="143"/>
    </row>
    <row r="5175" spans="1:11">
      <c r="A5175" s="946" t="s">
        <v>28607</v>
      </c>
      <c r="B5175" s="947" t="s">
        <v>6320</v>
      </c>
      <c r="C5175" s="948" t="s">
        <v>6318</v>
      </c>
      <c r="D5175" s="242" t="s">
        <v>28712</v>
      </c>
      <c r="E5175" s="949">
        <v>1506</v>
      </c>
      <c r="F5175" s="949">
        <v>1506</v>
      </c>
      <c r="G5175" s="950" t="s">
        <v>1653</v>
      </c>
      <c r="H5175" s="950" t="s">
        <v>686</v>
      </c>
      <c r="I5175" s="951" t="s">
        <v>6319</v>
      </c>
      <c r="J5175" s="947" t="s">
        <v>6320</v>
      </c>
      <c r="K5175" s="143"/>
    </row>
    <row r="5176" spans="1:11">
      <c r="A5176" s="946" t="s">
        <v>28607</v>
      </c>
      <c r="B5176" s="947" t="s">
        <v>6988</v>
      </c>
      <c r="C5176" s="948" t="s">
        <v>6986</v>
      </c>
      <c r="D5176" s="242" t="s">
        <v>28712</v>
      </c>
      <c r="E5176" s="949">
        <v>1506</v>
      </c>
      <c r="F5176" s="949">
        <v>1506</v>
      </c>
      <c r="G5176" s="950" t="s">
        <v>1653</v>
      </c>
      <c r="H5176" s="950" t="s">
        <v>686</v>
      </c>
      <c r="I5176" s="951" t="s">
        <v>6987</v>
      </c>
      <c r="J5176" s="947" t="s">
        <v>6988</v>
      </c>
      <c r="K5176" s="143"/>
    </row>
    <row r="5177" spans="1:11">
      <c r="A5177" s="946" t="s">
        <v>28607</v>
      </c>
      <c r="B5177" s="947" t="s">
        <v>7003</v>
      </c>
      <c r="C5177" s="948" t="s">
        <v>7001</v>
      </c>
      <c r="D5177" s="242" t="s">
        <v>28712</v>
      </c>
      <c r="E5177" s="949">
        <v>1506</v>
      </c>
      <c r="F5177" s="949">
        <v>1506</v>
      </c>
      <c r="G5177" s="950" t="s">
        <v>1653</v>
      </c>
      <c r="H5177" s="950" t="s">
        <v>686</v>
      </c>
      <c r="I5177" s="951" t="s">
        <v>7002</v>
      </c>
      <c r="J5177" s="947" t="s">
        <v>7003</v>
      </c>
      <c r="K5177" s="143"/>
    </row>
    <row r="5178" spans="1:11">
      <c r="A5178" s="946" t="s">
        <v>28607</v>
      </c>
      <c r="B5178" s="947" t="s">
        <v>7711</v>
      </c>
      <c r="C5178" s="948" t="s">
        <v>7709</v>
      </c>
      <c r="D5178" s="242" t="s">
        <v>28712</v>
      </c>
      <c r="E5178" s="949">
        <v>1506</v>
      </c>
      <c r="F5178" s="949">
        <v>1506</v>
      </c>
      <c r="G5178" s="950" t="s">
        <v>1653</v>
      </c>
      <c r="H5178" s="950" t="s">
        <v>686</v>
      </c>
      <c r="I5178" s="951" t="s">
        <v>7710</v>
      </c>
      <c r="J5178" s="947" t="s">
        <v>7711</v>
      </c>
      <c r="K5178" s="143"/>
    </row>
    <row r="5179" spans="1:11">
      <c r="A5179" s="946" t="s">
        <v>28607</v>
      </c>
      <c r="B5179" s="947" t="s">
        <v>8339</v>
      </c>
      <c r="C5179" s="948" t="s">
        <v>8337</v>
      </c>
      <c r="D5179" s="242" t="s">
        <v>28712</v>
      </c>
      <c r="E5179" s="949">
        <v>1506</v>
      </c>
      <c r="F5179" s="949">
        <v>1506</v>
      </c>
      <c r="G5179" s="950" t="s">
        <v>1653</v>
      </c>
      <c r="H5179" s="950" t="s">
        <v>686</v>
      </c>
      <c r="I5179" s="951" t="s">
        <v>8338</v>
      </c>
      <c r="J5179" s="947" t="s">
        <v>8339</v>
      </c>
      <c r="K5179" s="143"/>
    </row>
    <row r="5180" spans="1:11">
      <c r="A5180" s="946" t="s">
        <v>28607</v>
      </c>
      <c r="B5180" s="947" t="s">
        <v>8403</v>
      </c>
      <c r="C5180" s="948" t="s">
        <v>8401</v>
      </c>
      <c r="D5180" s="242" t="s">
        <v>28712</v>
      </c>
      <c r="E5180" s="949">
        <v>1506</v>
      </c>
      <c r="F5180" s="949">
        <v>1506</v>
      </c>
      <c r="G5180" s="950" t="s">
        <v>1653</v>
      </c>
      <c r="H5180" s="950" t="s">
        <v>686</v>
      </c>
      <c r="I5180" s="951" t="s">
        <v>8402</v>
      </c>
      <c r="J5180" s="947" t="s">
        <v>8403</v>
      </c>
      <c r="K5180" s="143"/>
    </row>
    <row r="5181" spans="1:11">
      <c r="A5181" s="946" t="s">
        <v>28607</v>
      </c>
      <c r="B5181" s="947" t="s">
        <v>8482</v>
      </c>
      <c r="C5181" s="948" t="s">
        <v>8480</v>
      </c>
      <c r="D5181" s="242" t="s">
        <v>28712</v>
      </c>
      <c r="E5181" s="949">
        <v>1506</v>
      </c>
      <c r="F5181" s="949">
        <v>1506</v>
      </c>
      <c r="G5181" s="950" t="s">
        <v>1653</v>
      </c>
      <c r="H5181" s="950" t="s">
        <v>686</v>
      </c>
      <c r="I5181" s="951" t="s">
        <v>8481</v>
      </c>
      <c r="J5181" s="947" t="s">
        <v>8482</v>
      </c>
      <c r="K5181" s="143"/>
    </row>
    <row r="5182" spans="1:11">
      <c r="A5182" s="946" t="s">
        <v>28607</v>
      </c>
      <c r="B5182" s="947" t="s">
        <v>8710</v>
      </c>
      <c r="C5182" s="948" t="s">
        <v>8708</v>
      </c>
      <c r="D5182" s="242" t="s">
        <v>28712</v>
      </c>
      <c r="E5182" s="949">
        <v>1506</v>
      </c>
      <c r="F5182" s="949">
        <v>1506</v>
      </c>
      <c r="G5182" s="950" t="s">
        <v>1653</v>
      </c>
      <c r="H5182" s="950" t="s">
        <v>686</v>
      </c>
      <c r="I5182" s="951" t="s">
        <v>8709</v>
      </c>
      <c r="J5182" s="947" t="s">
        <v>8710</v>
      </c>
      <c r="K5182" s="143"/>
    </row>
    <row r="5183" spans="1:11">
      <c r="A5183" s="946" t="s">
        <v>28607</v>
      </c>
      <c r="B5183" s="947" t="s">
        <v>9151</v>
      </c>
      <c r="C5183" s="948" t="s">
        <v>9149</v>
      </c>
      <c r="D5183" s="242" t="s">
        <v>28712</v>
      </c>
      <c r="E5183" s="949">
        <v>1506</v>
      </c>
      <c r="F5183" s="949">
        <v>1506</v>
      </c>
      <c r="G5183" s="950" t="s">
        <v>1653</v>
      </c>
      <c r="H5183" s="950" t="s">
        <v>686</v>
      </c>
      <c r="I5183" s="951" t="s">
        <v>9150</v>
      </c>
      <c r="J5183" s="947" t="s">
        <v>9151</v>
      </c>
      <c r="K5183" s="143"/>
    </row>
    <row r="5184" spans="1:11">
      <c r="A5184" s="946" t="s">
        <v>28607</v>
      </c>
      <c r="B5184" s="947" t="s">
        <v>9515</v>
      </c>
      <c r="C5184" s="948" t="s">
        <v>9513</v>
      </c>
      <c r="D5184" s="242" t="s">
        <v>28712</v>
      </c>
      <c r="E5184" s="949">
        <v>1506</v>
      </c>
      <c r="F5184" s="949">
        <v>1506</v>
      </c>
      <c r="G5184" s="950" t="s">
        <v>1653</v>
      </c>
      <c r="H5184" s="950" t="s">
        <v>686</v>
      </c>
      <c r="I5184" s="951" t="s">
        <v>9514</v>
      </c>
      <c r="J5184" s="947" t="s">
        <v>9515</v>
      </c>
      <c r="K5184" s="143"/>
    </row>
    <row r="5185" spans="1:11">
      <c r="A5185" s="946" t="s">
        <v>28607</v>
      </c>
      <c r="B5185" s="947" t="s">
        <v>9612</v>
      </c>
      <c r="C5185" s="948" t="s">
        <v>9610</v>
      </c>
      <c r="D5185" s="242" t="s">
        <v>28712</v>
      </c>
      <c r="E5185" s="949">
        <v>1506</v>
      </c>
      <c r="F5185" s="949">
        <v>1506</v>
      </c>
      <c r="G5185" s="950" t="s">
        <v>1653</v>
      </c>
      <c r="H5185" s="950" t="s">
        <v>686</v>
      </c>
      <c r="I5185" s="951" t="s">
        <v>9611</v>
      </c>
      <c r="J5185" s="947" t="s">
        <v>9612</v>
      </c>
      <c r="K5185" s="143"/>
    </row>
    <row r="5186" spans="1:11">
      <c r="A5186" s="946" t="s">
        <v>28607</v>
      </c>
      <c r="B5186" s="947" t="s">
        <v>9632</v>
      </c>
      <c r="C5186" s="948" t="s">
        <v>9630</v>
      </c>
      <c r="D5186" s="242" t="s">
        <v>28712</v>
      </c>
      <c r="E5186" s="949">
        <v>1506</v>
      </c>
      <c r="F5186" s="949">
        <v>1506</v>
      </c>
      <c r="G5186" s="950" t="s">
        <v>1653</v>
      </c>
      <c r="H5186" s="950" t="s">
        <v>686</v>
      </c>
      <c r="I5186" s="951" t="s">
        <v>9631</v>
      </c>
      <c r="J5186" s="947" t="s">
        <v>9632</v>
      </c>
      <c r="K5186" s="143"/>
    </row>
    <row r="5187" spans="1:11">
      <c r="A5187" s="946" t="s">
        <v>28607</v>
      </c>
      <c r="B5187" s="947" t="s">
        <v>9699</v>
      </c>
      <c r="C5187" s="948" t="s">
        <v>9697</v>
      </c>
      <c r="D5187" s="242" t="s">
        <v>28712</v>
      </c>
      <c r="E5187" s="949">
        <v>1506</v>
      </c>
      <c r="F5187" s="949">
        <v>1506</v>
      </c>
      <c r="G5187" s="950" t="s">
        <v>1653</v>
      </c>
      <c r="H5187" s="950" t="s">
        <v>686</v>
      </c>
      <c r="I5187" s="951" t="s">
        <v>9698</v>
      </c>
      <c r="J5187" s="947" t="s">
        <v>9699</v>
      </c>
      <c r="K5187" s="143"/>
    </row>
    <row r="5188" spans="1:11">
      <c r="A5188" s="946" t="s">
        <v>28607</v>
      </c>
      <c r="B5188" s="947" t="s">
        <v>10031</v>
      </c>
      <c r="C5188" s="948" t="s">
        <v>10029</v>
      </c>
      <c r="D5188" s="242" t="s">
        <v>28712</v>
      </c>
      <c r="E5188" s="949">
        <v>1506</v>
      </c>
      <c r="F5188" s="949">
        <v>1506</v>
      </c>
      <c r="G5188" s="950" t="s">
        <v>1653</v>
      </c>
      <c r="H5188" s="950" t="s">
        <v>686</v>
      </c>
      <c r="I5188" s="951" t="s">
        <v>10030</v>
      </c>
      <c r="J5188" s="947" t="s">
        <v>10031</v>
      </c>
      <c r="K5188" s="143"/>
    </row>
    <row r="5189" spans="1:11">
      <c r="A5189" s="946" t="s">
        <v>28607</v>
      </c>
      <c r="B5189" s="947" t="s">
        <v>10139</v>
      </c>
      <c r="C5189" s="948" t="s">
        <v>10137</v>
      </c>
      <c r="D5189" s="242" t="s">
        <v>28712</v>
      </c>
      <c r="E5189" s="949">
        <v>1506</v>
      </c>
      <c r="F5189" s="949">
        <v>1506</v>
      </c>
      <c r="G5189" s="950" t="s">
        <v>1653</v>
      </c>
      <c r="H5189" s="950" t="s">
        <v>686</v>
      </c>
      <c r="I5189" s="951" t="s">
        <v>10138</v>
      </c>
      <c r="J5189" s="947" t="s">
        <v>10139</v>
      </c>
      <c r="K5189" s="143"/>
    </row>
    <row r="5190" spans="1:11">
      <c r="A5190" s="946" t="s">
        <v>28607</v>
      </c>
      <c r="B5190" s="947" t="s">
        <v>10220</v>
      </c>
      <c r="C5190" s="948" t="s">
        <v>10218</v>
      </c>
      <c r="D5190" s="242" t="s">
        <v>28712</v>
      </c>
      <c r="E5190" s="949">
        <v>1506</v>
      </c>
      <c r="F5190" s="949">
        <v>1506</v>
      </c>
      <c r="G5190" s="950" t="s">
        <v>1653</v>
      </c>
      <c r="H5190" s="950" t="s">
        <v>686</v>
      </c>
      <c r="I5190" s="951" t="s">
        <v>10219</v>
      </c>
      <c r="J5190" s="947" t="s">
        <v>10220</v>
      </c>
      <c r="K5190" s="143"/>
    </row>
    <row r="5191" spans="1:11">
      <c r="A5191" s="946" t="s">
        <v>28607</v>
      </c>
      <c r="B5191" s="947" t="s">
        <v>10463</v>
      </c>
      <c r="C5191" s="948" t="s">
        <v>10461</v>
      </c>
      <c r="D5191" s="242" t="s">
        <v>28712</v>
      </c>
      <c r="E5191" s="949">
        <v>1506</v>
      </c>
      <c r="F5191" s="949">
        <v>1506</v>
      </c>
      <c r="G5191" s="950" t="s">
        <v>1653</v>
      </c>
      <c r="H5191" s="950" t="s">
        <v>686</v>
      </c>
      <c r="I5191" s="951" t="s">
        <v>10462</v>
      </c>
      <c r="J5191" s="947" t="s">
        <v>10463</v>
      </c>
      <c r="K5191" s="143"/>
    </row>
    <row r="5192" spans="1:11">
      <c r="A5192" s="946" t="s">
        <v>28607</v>
      </c>
      <c r="B5192" s="947" t="s">
        <v>10745</v>
      </c>
      <c r="C5192" s="948" t="s">
        <v>10743</v>
      </c>
      <c r="D5192" s="242" t="s">
        <v>28712</v>
      </c>
      <c r="E5192" s="949">
        <v>1506</v>
      </c>
      <c r="F5192" s="949">
        <v>1506</v>
      </c>
      <c r="G5192" s="950" t="s">
        <v>1653</v>
      </c>
      <c r="H5192" s="950" t="s">
        <v>686</v>
      </c>
      <c r="I5192" s="951" t="s">
        <v>10744</v>
      </c>
      <c r="J5192" s="947" t="s">
        <v>10745</v>
      </c>
      <c r="K5192" s="143"/>
    </row>
    <row r="5193" spans="1:11">
      <c r="A5193" s="946" t="s">
        <v>28607</v>
      </c>
      <c r="B5193" s="947" t="s">
        <v>11060</v>
      </c>
      <c r="C5193" s="948" t="s">
        <v>11058</v>
      </c>
      <c r="D5193" s="242" t="s">
        <v>28712</v>
      </c>
      <c r="E5193" s="949">
        <v>1506</v>
      </c>
      <c r="F5193" s="949">
        <v>1506</v>
      </c>
      <c r="G5193" s="950" t="s">
        <v>1653</v>
      </c>
      <c r="H5193" s="950" t="s">
        <v>686</v>
      </c>
      <c r="I5193" s="951" t="s">
        <v>11059</v>
      </c>
      <c r="J5193" s="947" t="s">
        <v>11060</v>
      </c>
      <c r="K5193" s="143"/>
    </row>
    <row r="5194" spans="1:11">
      <c r="A5194" s="946" t="s">
        <v>28607</v>
      </c>
      <c r="B5194" s="947" t="s">
        <v>11320</v>
      </c>
      <c r="C5194" s="948" t="s">
        <v>11318</v>
      </c>
      <c r="D5194" s="242" t="s">
        <v>28712</v>
      </c>
      <c r="E5194" s="949">
        <v>1506</v>
      </c>
      <c r="F5194" s="949">
        <v>1506</v>
      </c>
      <c r="G5194" s="950" t="s">
        <v>1653</v>
      </c>
      <c r="H5194" s="950" t="s">
        <v>686</v>
      </c>
      <c r="I5194" s="951" t="s">
        <v>11319</v>
      </c>
      <c r="J5194" s="947" t="s">
        <v>11320</v>
      </c>
      <c r="K5194" s="143"/>
    </row>
    <row r="5195" spans="1:11">
      <c r="A5195" s="946" t="s">
        <v>28607</v>
      </c>
      <c r="B5195" s="947" t="s">
        <v>11569</v>
      </c>
      <c r="C5195" s="948" t="s">
        <v>11567</v>
      </c>
      <c r="D5195" s="242" t="s">
        <v>28712</v>
      </c>
      <c r="E5195" s="949">
        <v>1506</v>
      </c>
      <c r="F5195" s="949">
        <v>1506</v>
      </c>
      <c r="G5195" s="950" t="s">
        <v>1653</v>
      </c>
      <c r="H5195" s="950" t="s">
        <v>686</v>
      </c>
      <c r="I5195" s="951" t="s">
        <v>11568</v>
      </c>
      <c r="J5195" s="947" t="s">
        <v>11569</v>
      </c>
      <c r="K5195" s="143"/>
    </row>
    <row r="5196" spans="1:11">
      <c r="A5196" s="946" t="s">
        <v>28607</v>
      </c>
      <c r="B5196" s="947" t="s">
        <v>11634</v>
      </c>
      <c r="C5196" s="948" t="s">
        <v>11632</v>
      </c>
      <c r="D5196" s="242" t="s">
        <v>28712</v>
      </c>
      <c r="E5196" s="949">
        <v>1506</v>
      </c>
      <c r="F5196" s="949">
        <v>1506</v>
      </c>
      <c r="G5196" s="950" t="s">
        <v>1653</v>
      </c>
      <c r="H5196" s="950" t="s">
        <v>686</v>
      </c>
      <c r="I5196" s="951" t="s">
        <v>11633</v>
      </c>
      <c r="J5196" s="947" t="s">
        <v>11634</v>
      </c>
      <c r="K5196" s="143"/>
    </row>
    <row r="5197" spans="1:11">
      <c r="A5197" s="946" t="s">
        <v>28607</v>
      </c>
      <c r="B5197" s="947" t="s">
        <v>11815</v>
      </c>
      <c r="C5197" s="948" t="s">
        <v>11813</v>
      </c>
      <c r="D5197" s="242" t="s">
        <v>28712</v>
      </c>
      <c r="E5197" s="949">
        <v>1506</v>
      </c>
      <c r="F5197" s="949">
        <v>1506</v>
      </c>
      <c r="G5197" s="950" t="s">
        <v>1653</v>
      </c>
      <c r="H5197" s="950" t="s">
        <v>686</v>
      </c>
      <c r="I5197" s="951" t="s">
        <v>11814</v>
      </c>
      <c r="J5197" s="947" t="s">
        <v>11815</v>
      </c>
      <c r="K5197" s="143"/>
    </row>
    <row r="5198" spans="1:11">
      <c r="A5198" s="946" t="s">
        <v>28607</v>
      </c>
      <c r="B5198" s="947" t="s">
        <v>12180</v>
      </c>
      <c r="C5198" s="948" t="s">
        <v>12178</v>
      </c>
      <c r="D5198" s="242" t="s">
        <v>28712</v>
      </c>
      <c r="E5198" s="949">
        <v>1506</v>
      </c>
      <c r="F5198" s="949">
        <v>1506</v>
      </c>
      <c r="G5198" s="950" t="s">
        <v>1653</v>
      </c>
      <c r="H5198" s="950" t="s">
        <v>686</v>
      </c>
      <c r="I5198" s="951" t="s">
        <v>12179</v>
      </c>
      <c r="J5198" s="947" t="s">
        <v>12180</v>
      </c>
      <c r="K5198" s="143"/>
    </row>
    <row r="5199" spans="1:11">
      <c r="A5199" s="946" t="s">
        <v>28607</v>
      </c>
      <c r="B5199" s="947" t="s">
        <v>12380</v>
      </c>
      <c r="C5199" s="948" t="s">
        <v>12378</v>
      </c>
      <c r="D5199" s="242" t="s">
        <v>28712</v>
      </c>
      <c r="E5199" s="949">
        <v>1506</v>
      </c>
      <c r="F5199" s="949">
        <v>1506</v>
      </c>
      <c r="G5199" s="950" t="s">
        <v>1653</v>
      </c>
      <c r="H5199" s="950" t="s">
        <v>686</v>
      </c>
      <c r="I5199" s="951" t="s">
        <v>12379</v>
      </c>
      <c r="J5199" s="947" t="s">
        <v>12380</v>
      </c>
      <c r="K5199" s="143"/>
    </row>
    <row r="5200" spans="1:11">
      <c r="A5200" s="946" t="s">
        <v>28607</v>
      </c>
      <c r="B5200" s="947" t="s">
        <v>12458</v>
      </c>
      <c r="C5200" s="948" t="s">
        <v>12456</v>
      </c>
      <c r="D5200" s="242" t="s">
        <v>28712</v>
      </c>
      <c r="E5200" s="949">
        <v>1506</v>
      </c>
      <c r="F5200" s="949">
        <v>1506</v>
      </c>
      <c r="G5200" s="950" t="s">
        <v>1653</v>
      </c>
      <c r="H5200" s="950" t="s">
        <v>686</v>
      </c>
      <c r="I5200" s="951" t="s">
        <v>12457</v>
      </c>
      <c r="J5200" s="947" t="s">
        <v>12458</v>
      </c>
      <c r="K5200" s="143"/>
    </row>
    <row r="5201" spans="1:11">
      <c r="A5201" s="946" t="s">
        <v>28607</v>
      </c>
      <c r="B5201" s="947" t="s">
        <v>12505</v>
      </c>
      <c r="C5201" s="948" t="s">
        <v>12503</v>
      </c>
      <c r="D5201" s="242" t="s">
        <v>28712</v>
      </c>
      <c r="E5201" s="949">
        <v>1506</v>
      </c>
      <c r="F5201" s="949">
        <v>1506</v>
      </c>
      <c r="G5201" s="950" t="s">
        <v>1653</v>
      </c>
      <c r="H5201" s="950" t="s">
        <v>686</v>
      </c>
      <c r="I5201" s="951" t="s">
        <v>12504</v>
      </c>
      <c r="J5201" s="947" t="s">
        <v>12505</v>
      </c>
      <c r="K5201" s="143"/>
    </row>
    <row r="5202" spans="1:11">
      <c r="A5202" s="946" t="s">
        <v>28607</v>
      </c>
      <c r="B5202" s="947" t="s">
        <v>12513</v>
      </c>
      <c r="C5202" s="948" t="s">
        <v>12511</v>
      </c>
      <c r="D5202" s="242" t="s">
        <v>28712</v>
      </c>
      <c r="E5202" s="949">
        <v>1506</v>
      </c>
      <c r="F5202" s="949">
        <v>1506</v>
      </c>
      <c r="G5202" s="950" t="s">
        <v>1653</v>
      </c>
      <c r="H5202" s="950" t="s">
        <v>686</v>
      </c>
      <c r="I5202" s="951" t="s">
        <v>12512</v>
      </c>
      <c r="J5202" s="947" t="s">
        <v>12513</v>
      </c>
      <c r="K5202" s="143"/>
    </row>
    <row r="5203" spans="1:11">
      <c r="A5203" s="946" t="s">
        <v>28607</v>
      </c>
      <c r="B5203" s="947" t="s">
        <v>12516</v>
      </c>
      <c r="C5203" s="948" t="s">
        <v>12514</v>
      </c>
      <c r="D5203" s="242" t="s">
        <v>28712</v>
      </c>
      <c r="E5203" s="949">
        <v>1506</v>
      </c>
      <c r="F5203" s="949">
        <v>1506</v>
      </c>
      <c r="G5203" s="950" t="s">
        <v>1653</v>
      </c>
      <c r="H5203" s="950" t="s">
        <v>686</v>
      </c>
      <c r="I5203" s="951" t="s">
        <v>12515</v>
      </c>
      <c r="J5203" s="947" t="s">
        <v>12516</v>
      </c>
      <c r="K5203" s="143"/>
    </row>
    <row r="5204" spans="1:11">
      <c r="A5204" s="946" t="s">
        <v>28607</v>
      </c>
      <c r="B5204" s="947" t="s">
        <v>12590</v>
      </c>
      <c r="C5204" s="948" t="s">
        <v>12588</v>
      </c>
      <c r="D5204" s="242" t="s">
        <v>28712</v>
      </c>
      <c r="E5204" s="949">
        <v>1506</v>
      </c>
      <c r="F5204" s="949">
        <v>1506</v>
      </c>
      <c r="G5204" s="950" t="s">
        <v>1653</v>
      </c>
      <c r="H5204" s="950" t="s">
        <v>686</v>
      </c>
      <c r="I5204" s="951" t="s">
        <v>12589</v>
      </c>
      <c r="J5204" s="947" t="s">
        <v>12590</v>
      </c>
      <c r="K5204" s="143"/>
    </row>
    <row r="5205" spans="1:11">
      <c r="A5205" s="946" t="s">
        <v>28607</v>
      </c>
      <c r="B5205" s="947" t="s">
        <v>12617</v>
      </c>
      <c r="C5205" s="948" t="s">
        <v>12615</v>
      </c>
      <c r="D5205" s="242" t="s">
        <v>28712</v>
      </c>
      <c r="E5205" s="949">
        <v>1506</v>
      </c>
      <c r="F5205" s="949">
        <v>1506</v>
      </c>
      <c r="G5205" s="950" t="s">
        <v>1653</v>
      </c>
      <c r="H5205" s="950" t="s">
        <v>686</v>
      </c>
      <c r="I5205" s="951" t="s">
        <v>12616</v>
      </c>
      <c r="J5205" s="947" t="s">
        <v>12617</v>
      </c>
      <c r="K5205" s="143"/>
    </row>
    <row r="5206" spans="1:11">
      <c r="A5206" s="946" t="s">
        <v>28607</v>
      </c>
      <c r="B5206" s="947" t="s">
        <v>12635</v>
      </c>
      <c r="C5206" s="948" t="s">
        <v>12633</v>
      </c>
      <c r="D5206" s="242" t="s">
        <v>28712</v>
      </c>
      <c r="E5206" s="949">
        <v>1506</v>
      </c>
      <c r="F5206" s="949">
        <v>1506</v>
      </c>
      <c r="G5206" s="950" t="s">
        <v>1653</v>
      </c>
      <c r="H5206" s="950" t="s">
        <v>686</v>
      </c>
      <c r="I5206" s="951" t="s">
        <v>12634</v>
      </c>
      <c r="J5206" s="947" t="s">
        <v>12635</v>
      </c>
      <c r="K5206" s="143"/>
    </row>
    <row r="5207" spans="1:11">
      <c r="A5207" s="946" t="s">
        <v>28607</v>
      </c>
      <c r="B5207" s="947" t="s">
        <v>12775</v>
      </c>
      <c r="C5207" s="948" t="s">
        <v>12773</v>
      </c>
      <c r="D5207" s="242" t="s">
        <v>28712</v>
      </c>
      <c r="E5207" s="949">
        <v>1506</v>
      </c>
      <c r="F5207" s="949">
        <v>1506</v>
      </c>
      <c r="G5207" s="950" t="s">
        <v>1653</v>
      </c>
      <c r="H5207" s="950" t="s">
        <v>686</v>
      </c>
      <c r="I5207" s="951" t="s">
        <v>12774</v>
      </c>
      <c r="J5207" s="947" t="s">
        <v>12775</v>
      </c>
      <c r="K5207" s="143"/>
    </row>
    <row r="5208" spans="1:11">
      <c r="A5208" s="946" t="s">
        <v>28607</v>
      </c>
      <c r="B5208" s="947" t="s">
        <v>12974</v>
      </c>
      <c r="C5208" s="948" t="s">
        <v>12972</v>
      </c>
      <c r="D5208" s="242" t="s">
        <v>28712</v>
      </c>
      <c r="E5208" s="949">
        <v>1506</v>
      </c>
      <c r="F5208" s="949">
        <v>1506</v>
      </c>
      <c r="G5208" s="950" t="s">
        <v>1653</v>
      </c>
      <c r="H5208" s="950" t="s">
        <v>686</v>
      </c>
      <c r="I5208" s="951" t="s">
        <v>12973</v>
      </c>
      <c r="J5208" s="947" t="s">
        <v>12974</v>
      </c>
      <c r="K5208" s="143"/>
    </row>
    <row r="5209" spans="1:11">
      <c r="A5209" s="946" t="s">
        <v>28607</v>
      </c>
      <c r="B5209" s="947" t="s">
        <v>13013</v>
      </c>
      <c r="C5209" s="948" t="s">
        <v>13011</v>
      </c>
      <c r="D5209" s="242" t="s">
        <v>28712</v>
      </c>
      <c r="E5209" s="949">
        <v>1506</v>
      </c>
      <c r="F5209" s="949">
        <v>1506</v>
      </c>
      <c r="G5209" s="950" t="s">
        <v>1653</v>
      </c>
      <c r="H5209" s="950" t="s">
        <v>686</v>
      </c>
      <c r="I5209" s="951" t="s">
        <v>13012</v>
      </c>
      <c r="J5209" s="947" t="s">
        <v>13013</v>
      </c>
      <c r="K5209" s="143"/>
    </row>
    <row r="5210" spans="1:11">
      <c r="A5210" s="946" t="s">
        <v>28607</v>
      </c>
      <c r="B5210" s="947" t="s">
        <v>13091</v>
      </c>
      <c r="C5210" s="948" t="s">
        <v>13089</v>
      </c>
      <c r="D5210" s="242" t="s">
        <v>28712</v>
      </c>
      <c r="E5210" s="949">
        <v>1506</v>
      </c>
      <c r="F5210" s="949">
        <v>1506</v>
      </c>
      <c r="G5210" s="950" t="s">
        <v>1653</v>
      </c>
      <c r="H5210" s="950" t="s">
        <v>686</v>
      </c>
      <c r="I5210" s="951" t="s">
        <v>13090</v>
      </c>
      <c r="J5210" s="947" t="s">
        <v>13091</v>
      </c>
      <c r="K5210" s="143"/>
    </row>
    <row r="5211" spans="1:11">
      <c r="A5211" s="946" t="s">
        <v>28607</v>
      </c>
      <c r="B5211" s="947" t="s">
        <v>13478</v>
      </c>
      <c r="C5211" s="948" t="s">
        <v>13476</v>
      </c>
      <c r="D5211" s="242" t="s">
        <v>28712</v>
      </c>
      <c r="E5211" s="949">
        <v>1506</v>
      </c>
      <c r="F5211" s="949">
        <v>1506</v>
      </c>
      <c r="G5211" s="950" t="s">
        <v>1653</v>
      </c>
      <c r="H5211" s="950" t="s">
        <v>686</v>
      </c>
      <c r="I5211" s="951" t="s">
        <v>13477</v>
      </c>
      <c r="J5211" s="947" t="s">
        <v>13478</v>
      </c>
      <c r="K5211" s="143"/>
    </row>
    <row r="5212" spans="1:11">
      <c r="A5212" s="946" t="s">
        <v>28607</v>
      </c>
      <c r="B5212" s="947" t="s">
        <v>13864</v>
      </c>
      <c r="C5212" s="948" t="s">
        <v>13862</v>
      </c>
      <c r="D5212" s="242" t="s">
        <v>28712</v>
      </c>
      <c r="E5212" s="949">
        <v>1506</v>
      </c>
      <c r="F5212" s="949">
        <v>1506</v>
      </c>
      <c r="G5212" s="950" t="s">
        <v>1653</v>
      </c>
      <c r="H5212" s="950" t="s">
        <v>686</v>
      </c>
      <c r="I5212" s="951" t="s">
        <v>13863</v>
      </c>
      <c r="J5212" s="947" t="s">
        <v>13864</v>
      </c>
      <c r="K5212" s="143"/>
    </row>
    <row r="5213" spans="1:11">
      <c r="A5213" s="946" t="s">
        <v>28607</v>
      </c>
      <c r="B5213" s="947" t="s">
        <v>14047</v>
      </c>
      <c r="C5213" s="948" t="s">
        <v>14045</v>
      </c>
      <c r="D5213" s="242" t="s">
        <v>28712</v>
      </c>
      <c r="E5213" s="949">
        <v>1506</v>
      </c>
      <c r="F5213" s="949">
        <v>1506</v>
      </c>
      <c r="G5213" s="950" t="s">
        <v>1653</v>
      </c>
      <c r="H5213" s="950" t="s">
        <v>686</v>
      </c>
      <c r="I5213" s="951" t="s">
        <v>14046</v>
      </c>
      <c r="J5213" s="947" t="s">
        <v>14047</v>
      </c>
      <c r="K5213" s="143"/>
    </row>
    <row r="5214" spans="1:11">
      <c r="A5214" s="946" t="s">
        <v>28607</v>
      </c>
      <c r="B5214" s="947" t="s">
        <v>14270</v>
      </c>
      <c r="C5214" s="948" t="s">
        <v>14268</v>
      </c>
      <c r="D5214" s="242" t="s">
        <v>28712</v>
      </c>
      <c r="E5214" s="949">
        <v>1506</v>
      </c>
      <c r="F5214" s="949">
        <v>1506</v>
      </c>
      <c r="G5214" s="950" t="s">
        <v>1653</v>
      </c>
      <c r="H5214" s="950" t="s">
        <v>686</v>
      </c>
      <c r="I5214" s="951" t="s">
        <v>14269</v>
      </c>
      <c r="J5214" s="947" t="s">
        <v>14270</v>
      </c>
      <c r="K5214" s="143"/>
    </row>
    <row r="5215" spans="1:11">
      <c r="A5215" s="946" t="s">
        <v>28607</v>
      </c>
      <c r="B5215" s="947" t="s">
        <v>14336</v>
      </c>
      <c r="C5215" s="948" t="s">
        <v>14334</v>
      </c>
      <c r="D5215" s="242" t="s">
        <v>28712</v>
      </c>
      <c r="E5215" s="949">
        <v>1506</v>
      </c>
      <c r="F5215" s="949">
        <v>1506</v>
      </c>
      <c r="G5215" s="950" t="s">
        <v>1653</v>
      </c>
      <c r="H5215" s="950" t="s">
        <v>686</v>
      </c>
      <c r="I5215" s="951" t="s">
        <v>14335</v>
      </c>
      <c r="J5215" s="947" t="s">
        <v>14336</v>
      </c>
      <c r="K5215" s="143"/>
    </row>
    <row r="5216" spans="1:11">
      <c r="A5216" s="946" t="s">
        <v>28607</v>
      </c>
      <c r="B5216" s="947" t="s">
        <v>14662</v>
      </c>
      <c r="C5216" s="948" t="s">
        <v>14660</v>
      </c>
      <c r="D5216" s="242" t="s">
        <v>28712</v>
      </c>
      <c r="E5216" s="949">
        <v>1506</v>
      </c>
      <c r="F5216" s="949">
        <v>1506</v>
      </c>
      <c r="G5216" s="950" t="s">
        <v>1653</v>
      </c>
      <c r="H5216" s="950" t="s">
        <v>686</v>
      </c>
      <c r="I5216" s="951" t="s">
        <v>14661</v>
      </c>
      <c r="J5216" s="947" t="s">
        <v>14662</v>
      </c>
      <c r="K5216" s="143"/>
    </row>
    <row r="5217" spans="1:11">
      <c r="A5217" s="946" t="s">
        <v>28607</v>
      </c>
      <c r="B5217" s="947" t="s">
        <v>14862</v>
      </c>
      <c r="C5217" s="948" t="s">
        <v>14860</v>
      </c>
      <c r="D5217" s="242" t="s">
        <v>28712</v>
      </c>
      <c r="E5217" s="949">
        <v>1506</v>
      </c>
      <c r="F5217" s="949">
        <v>1506</v>
      </c>
      <c r="G5217" s="950" t="s">
        <v>1653</v>
      </c>
      <c r="H5217" s="950" t="s">
        <v>686</v>
      </c>
      <c r="I5217" s="951" t="s">
        <v>14861</v>
      </c>
      <c r="J5217" s="947" t="s">
        <v>14862</v>
      </c>
      <c r="K5217" s="143"/>
    </row>
    <row r="5218" spans="1:11">
      <c r="A5218" s="946" t="s">
        <v>28607</v>
      </c>
      <c r="B5218" s="947" t="s">
        <v>14907</v>
      </c>
      <c r="C5218" s="948" t="s">
        <v>14905</v>
      </c>
      <c r="D5218" s="242" t="s">
        <v>28712</v>
      </c>
      <c r="E5218" s="949">
        <v>1506</v>
      </c>
      <c r="F5218" s="949">
        <v>1506</v>
      </c>
      <c r="G5218" s="950" t="s">
        <v>1653</v>
      </c>
      <c r="H5218" s="950" t="s">
        <v>686</v>
      </c>
      <c r="I5218" s="951" t="s">
        <v>14906</v>
      </c>
      <c r="J5218" s="947" t="s">
        <v>14907</v>
      </c>
      <c r="K5218" s="143"/>
    </row>
    <row r="5219" spans="1:11">
      <c r="A5219" s="946" t="s">
        <v>28607</v>
      </c>
      <c r="B5219" s="947" t="s">
        <v>15757</v>
      </c>
      <c r="C5219" s="948" t="s">
        <v>15755</v>
      </c>
      <c r="D5219" s="242" t="s">
        <v>28712</v>
      </c>
      <c r="E5219" s="949">
        <v>1506</v>
      </c>
      <c r="F5219" s="949">
        <v>1506</v>
      </c>
      <c r="G5219" s="950" t="s">
        <v>1653</v>
      </c>
      <c r="H5219" s="950" t="s">
        <v>686</v>
      </c>
      <c r="I5219" s="951" t="s">
        <v>15756</v>
      </c>
      <c r="J5219" s="947" t="s">
        <v>15757</v>
      </c>
      <c r="K5219" s="143"/>
    </row>
    <row r="5220" spans="1:11">
      <c r="A5220" s="946" t="s">
        <v>28607</v>
      </c>
      <c r="B5220" s="947" t="s">
        <v>15781</v>
      </c>
      <c r="C5220" s="948" t="s">
        <v>15779</v>
      </c>
      <c r="D5220" s="242" t="s">
        <v>28712</v>
      </c>
      <c r="E5220" s="949">
        <v>1506</v>
      </c>
      <c r="F5220" s="949">
        <v>1506</v>
      </c>
      <c r="G5220" s="950" t="s">
        <v>1653</v>
      </c>
      <c r="H5220" s="950" t="s">
        <v>686</v>
      </c>
      <c r="I5220" s="951" t="s">
        <v>15780</v>
      </c>
      <c r="J5220" s="947" t="s">
        <v>15781</v>
      </c>
      <c r="K5220" s="143"/>
    </row>
    <row r="5221" spans="1:11">
      <c r="A5221" s="946" t="s">
        <v>28607</v>
      </c>
      <c r="B5221" s="947" t="s">
        <v>15945</v>
      </c>
      <c r="C5221" s="948" t="s">
        <v>15943</v>
      </c>
      <c r="D5221" s="242" t="s">
        <v>28712</v>
      </c>
      <c r="E5221" s="949">
        <v>1506</v>
      </c>
      <c r="F5221" s="949">
        <v>1506</v>
      </c>
      <c r="G5221" s="950" t="s">
        <v>1653</v>
      </c>
      <c r="H5221" s="950" t="s">
        <v>686</v>
      </c>
      <c r="I5221" s="951" t="s">
        <v>15944</v>
      </c>
      <c r="J5221" s="947" t="s">
        <v>15945</v>
      </c>
      <c r="K5221" s="143"/>
    </row>
    <row r="5222" spans="1:11">
      <c r="A5222" s="946" t="s">
        <v>28607</v>
      </c>
      <c r="B5222" s="947" t="s">
        <v>16001</v>
      </c>
      <c r="C5222" s="948" t="s">
        <v>15999</v>
      </c>
      <c r="D5222" s="242" t="s">
        <v>28712</v>
      </c>
      <c r="E5222" s="949">
        <v>1506</v>
      </c>
      <c r="F5222" s="949">
        <v>1506</v>
      </c>
      <c r="G5222" s="950" t="s">
        <v>1653</v>
      </c>
      <c r="H5222" s="950" t="s">
        <v>686</v>
      </c>
      <c r="I5222" s="951" t="s">
        <v>16000</v>
      </c>
      <c r="J5222" s="947" t="s">
        <v>16001</v>
      </c>
      <c r="K5222" s="143"/>
    </row>
    <row r="5223" spans="1:11">
      <c r="A5223" s="946" t="s">
        <v>28607</v>
      </c>
      <c r="B5223" s="947" t="s">
        <v>16584</v>
      </c>
      <c r="C5223" s="948" t="s">
        <v>16582</v>
      </c>
      <c r="D5223" s="242" t="s">
        <v>28712</v>
      </c>
      <c r="E5223" s="949">
        <v>1506</v>
      </c>
      <c r="F5223" s="949">
        <v>1506</v>
      </c>
      <c r="G5223" s="950" t="s">
        <v>1653</v>
      </c>
      <c r="H5223" s="950" t="s">
        <v>686</v>
      </c>
      <c r="I5223" s="951" t="s">
        <v>16583</v>
      </c>
      <c r="J5223" s="947" t="s">
        <v>16584</v>
      </c>
      <c r="K5223" s="143"/>
    </row>
    <row r="5224" spans="1:11">
      <c r="A5224" s="946" t="s">
        <v>28607</v>
      </c>
      <c r="B5224" s="947" t="s">
        <v>16566</v>
      </c>
      <c r="C5224" s="948" t="s">
        <v>16564</v>
      </c>
      <c r="D5224" s="242" t="s">
        <v>28712</v>
      </c>
      <c r="E5224" s="949">
        <v>1506</v>
      </c>
      <c r="F5224" s="949">
        <v>1506</v>
      </c>
      <c r="G5224" s="950" t="s">
        <v>1653</v>
      </c>
      <c r="H5224" s="950" t="s">
        <v>686</v>
      </c>
      <c r="I5224" s="951" t="s">
        <v>16565</v>
      </c>
      <c r="J5224" s="947" t="s">
        <v>16566</v>
      </c>
      <c r="K5224" s="143"/>
    </row>
    <row r="5225" spans="1:11">
      <c r="A5225" s="946" t="s">
        <v>28607</v>
      </c>
      <c r="B5225" s="947" t="s">
        <v>17012</v>
      </c>
      <c r="C5225" s="948" t="s">
        <v>17010</v>
      </c>
      <c r="D5225" s="242" t="s">
        <v>28712</v>
      </c>
      <c r="E5225" s="949">
        <v>1506</v>
      </c>
      <c r="F5225" s="949">
        <v>1506</v>
      </c>
      <c r="G5225" s="950" t="s">
        <v>1653</v>
      </c>
      <c r="H5225" s="950" t="s">
        <v>686</v>
      </c>
      <c r="I5225" s="951" t="s">
        <v>17011</v>
      </c>
      <c r="J5225" s="947" t="s">
        <v>17012</v>
      </c>
      <c r="K5225" s="143"/>
    </row>
    <row r="5226" spans="1:11">
      <c r="A5226" s="946" t="s">
        <v>28607</v>
      </c>
      <c r="B5226" s="947" t="s">
        <v>17321</v>
      </c>
      <c r="C5226" s="948" t="s">
        <v>17319</v>
      </c>
      <c r="D5226" s="242" t="s">
        <v>28712</v>
      </c>
      <c r="E5226" s="949">
        <v>1506</v>
      </c>
      <c r="F5226" s="949">
        <v>1506</v>
      </c>
      <c r="G5226" s="950" t="s">
        <v>1653</v>
      </c>
      <c r="H5226" s="950" t="s">
        <v>686</v>
      </c>
      <c r="I5226" s="951" t="s">
        <v>17320</v>
      </c>
      <c r="J5226" s="947" t="s">
        <v>17321</v>
      </c>
      <c r="K5226" s="143"/>
    </row>
    <row r="5227" spans="1:11">
      <c r="A5227" s="946" t="s">
        <v>28607</v>
      </c>
      <c r="B5227" s="947" t="s">
        <v>17853</v>
      </c>
      <c r="C5227" s="948" t="s">
        <v>17851</v>
      </c>
      <c r="D5227" s="242" t="s">
        <v>28712</v>
      </c>
      <c r="E5227" s="949">
        <v>1506</v>
      </c>
      <c r="F5227" s="949">
        <v>1506</v>
      </c>
      <c r="G5227" s="950" t="s">
        <v>1653</v>
      </c>
      <c r="H5227" s="950" t="s">
        <v>686</v>
      </c>
      <c r="I5227" s="951" t="s">
        <v>17852</v>
      </c>
      <c r="J5227" s="947" t="s">
        <v>17853</v>
      </c>
      <c r="K5227" s="143"/>
    </row>
    <row r="5228" spans="1:11">
      <c r="A5228" s="946" t="s">
        <v>28607</v>
      </c>
      <c r="B5228" s="947" t="s">
        <v>17930</v>
      </c>
      <c r="C5228" s="948" t="s">
        <v>17928</v>
      </c>
      <c r="D5228" s="242" t="s">
        <v>28712</v>
      </c>
      <c r="E5228" s="949">
        <v>1506</v>
      </c>
      <c r="F5228" s="949">
        <v>1506</v>
      </c>
      <c r="G5228" s="950" t="s">
        <v>1653</v>
      </c>
      <c r="H5228" s="950" t="s">
        <v>686</v>
      </c>
      <c r="I5228" s="951" t="s">
        <v>17929</v>
      </c>
      <c r="J5228" s="947" t="s">
        <v>17930</v>
      </c>
      <c r="K5228" s="143"/>
    </row>
    <row r="5229" spans="1:11">
      <c r="A5229" s="946" t="s">
        <v>28607</v>
      </c>
      <c r="B5229" s="947" t="s">
        <v>17983</v>
      </c>
      <c r="C5229" s="948" t="s">
        <v>17981</v>
      </c>
      <c r="D5229" s="242" t="s">
        <v>28712</v>
      </c>
      <c r="E5229" s="949">
        <v>1506</v>
      </c>
      <c r="F5229" s="949">
        <v>1506</v>
      </c>
      <c r="G5229" s="950" t="s">
        <v>1653</v>
      </c>
      <c r="H5229" s="950" t="s">
        <v>686</v>
      </c>
      <c r="I5229" s="951" t="s">
        <v>17982</v>
      </c>
      <c r="J5229" s="947" t="s">
        <v>17983</v>
      </c>
      <c r="K5229" s="143"/>
    </row>
    <row r="5230" spans="1:11">
      <c r="A5230" s="946" t="s">
        <v>28607</v>
      </c>
      <c r="B5230" s="947" t="s">
        <v>18010</v>
      </c>
      <c r="C5230" s="948" t="s">
        <v>18008</v>
      </c>
      <c r="D5230" s="242" t="s">
        <v>28712</v>
      </c>
      <c r="E5230" s="949">
        <v>1506</v>
      </c>
      <c r="F5230" s="949">
        <v>1506</v>
      </c>
      <c r="G5230" s="950" t="s">
        <v>1653</v>
      </c>
      <c r="H5230" s="950" t="s">
        <v>686</v>
      </c>
      <c r="I5230" s="951" t="s">
        <v>18009</v>
      </c>
      <c r="J5230" s="947" t="s">
        <v>18010</v>
      </c>
      <c r="K5230" s="143"/>
    </row>
    <row r="5231" spans="1:11">
      <c r="A5231" s="946" t="s">
        <v>28607</v>
      </c>
      <c r="B5231" s="947" t="s">
        <v>18159</v>
      </c>
      <c r="C5231" s="948" t="s">
        <v>18157</v>
      </c>
      <c r="D5231" s="242" t="s">
        <v>28712</v>
      </c>
      <c r="E5231" s="949">
        <v>1506</v>
      </c>
      <c r="F5231" s="949">
        <v>1506</v>
      </c>
      <c r="G5231" s="950" t="s">
        <v>1653</v>
      </c>
      <c r="H5231" s="950" t="s">
        <v>686</v>
      </c>
      <c r="I5231" s="951" t="s">
        <v>18158</v>
      </c>
      <c r="J5231" s="947" t="s">
        <v>18159</v>
      </c>
      <c r="K5231" s="143"/>
    </row>
    <row r="5232" spans="1:11">
      <c r="A5232" s="946" t="s">
        <v>28607</v>
      </c>
      <c r="B5232" s="947" t="s">
        <v>18231</v>
      </c>
      <c r="C5232" s="948" t="s">
        <v>18229</v>
      </c>
      <c r="D5232" s="242" t="s">
        <v>28712</v>
      </c>
      <c r="E5232" s="949">
        <v>1506</v>
      </c>
      <c r="F5232" s="949">
        <v>1506</v>
      </c>
      <c r="G5232" s="950" t="s">
        <v>1653</v>
      </c>
      <c r="H5232" s="950" t="s">
        <v>686</v>
      </c>
      <c r="I5232" s="951" t="s">
        <v>18230</v>
      </c>
      <c r="J5232" s="947" t="s">
        <v>18231</v>
      </c>
      <c r="K5232" s="143"/>
    </row>
    <row r="5233" spans="1:11">
      <c r="A5233" s="946" t="s">
        <v>28607</v>
      </c>
      <c r="B5233" s="947" t="s">
        <v>18444</v>
      </c>
      <c r="C5233" s="948" t="s">
        <v>18442</v>
      </c>
      <c r="D5233" s="242" t="s">
        <v>28712</v>
      </c>
      <c r="E5233" s="949">
        <v>1506</v>
      </c>
      <c r="F5233" s="949">
        <v>1506</v>
      </c>
      <c r="G5233" s="950" t="s">
        <v>1653</v>
      </c>
      <c r="H5233" s="950" t="s">
        <v>686</v>
      </c>
      <c r="I5233" s="951" t="s">
        <v>18443</v>
      </c>
      <c r="J5233" s="947" t="s">
        <v>18444</v>
      </c>
      <c r="K5233" s="143"/>
    </row>
    <row r="5234" spans="1:11">
      <c r="A5234" s="946" t="s">
        <v>28607</v>
      </c>
      <c r="B5234" s="947" t="s">
        <v>18609</v>
      </c>
      <c r="C5234" s="948" t="s">
        <v>18607</v>
      </c>
      <c r="D5234" s="242" t="s">
        <v>28712</v>
      </c>
      <c r="E5234" s="949">
        <v>1506</v>
      </c>
      <c r="F5234" s="949">
        <v>1506</v>
      </c>
      <c r="G5234" s="950" t="s">
        <v>1653</v>
      </c>
      <c r="H5234" s="950" t="s">
        <v>686</v>
      </c>
      <c r="I5234" s="951" t="s">
        <v>18608</v>
      </c>
      <c r="J5234" s="947" t="s">
        <v>18609</v>
      </c>
      <c r="K5234" s="143"/>
    </row>
    <row r="5235" spans="1:11">
      <c r="A5235" s="946" t="s">
        <v>28607</v>
      </c>
      <c r="B5235" s="947" t="s">
        <v>18622</v>
      </c>
      <c r="C5235" s="948" t="s">
        <v>18620</v>
      </c>
      <c r="D5235" s="242" t="s">
        <v>28712</v>
      </c>
      <c r="E5235" s="949">
        <v>1506</v>
      </c>
      <c r="F5235" s="949">
        <v>1506</v>
      </c>
      <c r="G5235" s="950" t="s">
        <v>1653</v>
      </c>
      <c r="H5235" s="950" t="s">
        <v>686</v>
      </c>
      <c r="I5235" s="951" t="s">
        <v>18621</v>
      </c>
      <c r="J5235" s="947" t="s">
        <v>18622</v>
      </c>
      <c r="K5235" s="143"/>
    </row>
    <row r="5236" spans="1:11">
      <c r="A5236" s="946" t="s">
        <v>28607</v>
      </c>
      <c r="B5236" s="947" t="s">
        <v>18619</v>
      </c>
      <c r="C5236" s="948" t="s">
        <v>18617</v>
      </c>
      <c r="D5236" s="242" t="s">
        <v>28712</v>
      </c>
      <c r="E5236" s="949">
        <v>1506</v>
      </c>
      <c r="F5236" s="949">
        <v>1506</v>
      </c>
      <c r="G5236" s="950" t="s">
        <v>1653</v>
      </c>
      <c r="H5236" s="950" t="s">
        <v>686</v>
      </c>
      <c r="I5236" s="951" t="s">
        <v>18618</v>
      </c>
      <c r="J5236" s="947" t="s">
        <v>18619</v>
      </c>
      <c r="K5236" s="143"/>
    </row>
    <row r="5237" spans="1:11">
      <c r="A5237" s="946" t="s">
        <v>28607</v>
      </c>
      <c r="B5237" s="947" t="s">
        <v>18628</v>
      </c>
      <c r="C5237" s="948" t="s">
        <v>18626</v>
      </c>
      <c r="D5237" s="242" t="s">
        <v>28712</v>
      </c>
      <c r="E5237" s="949">
        <v>1506</v>
      </c>
      <c r="F5237" s="949">
        <v>1506</v>
      </c>
      <c r="G5237" s="950" t="s">
        <v>1653</v>
      </c>
      <c r="H5237" s="950" t="s">
        <v>686</v>
      </c>
      <c r="I5237" s="951" t="s">
        <v>18627</v>
      </c>
      <c r="J5237" s="947" t="s">
        <v>18628</v>
      </c>
      <c r="K5237" s="143"/>
    </row>
    <row r="5238" spans="1:11">
      <c r="A5238" s="946" t="s">
        <v>28607</v>
      </c>
      <c r="B5238" s="947" t="s">
        <v>18514</v>
      </c>
      <c r="C5238" s="948" t="s">
        <v>18512</v>
      </c>
      <c r="D5238" s="242" t="s">
        <v>28712</v>
      </c>
      <c r="E5238" s="949">
        <v>1506</v>
      </c>
      <c r="F5238" s="949">
        <v>1506</v>
      </c>
      <c r="G5238" s="950" t="s">
        <v>1653</v>
      </c>
      <c r="H5238" s="950" t="s">
        <v>686</v>
      </c>
      <c r="I5238" s="951" t="s">
        <v>18513</v>
      </c>
      <c r="J5238" s="947" t="s">
        <v>18514</v>
      </c>
      <c r="K5238" s="143"/>
    </row>
    <row r="5239" spans="1:11">
      <c r="A5239" s="946" t="s">
        <v>28607</v>
      </c>
      <c r="B5239" s="947" t="s">
        <v>18762</v>
      </c>
      <c r="C5239" s="948" t="s">
        <v>18760</v>
      </c>
      <c r="D5239" s="242" t="s">
        <v>28712</v>
      </c>
      <c r="E5239" s="949">
        <v>1506</v>
      </c>
      <c r="F5239" s="949">
        <v>1506</v>
      </c>
      <c r="G5239" s="950" t="s">
        <v>1653</v>
      </c>
      <c r="H5239" s="950" t="s">
        <v>686</v>
      </c>
      <c r="I5239" s="951" t="s">
        <v>18761</v>
      </c>
      <c r="J5239" s="947" t="s">
        <v>18762</v>
      </c>
      <c r="K5239" s="143"/>
    </row>
    <row r="5240" spans="1:11">
      <c r="A5240" s="946" t="s">
        <v>28607</v>
      </c>
      <c r="B5240" s="947" t="s">
        <v>18960</v>
      </c>
      <c r="C5240" s="948" t="s">
        <v>18958</v>
      </c>
      <c r="D5240" s="242" t="s">
        <v>28712</v>
      </c>
      <c r="E5240" s="949">
        <v>1506</v>
      </c>
      <c r="F5240" s="949">
        <v>1506</v>
      </c>
      <c r="G5240" s="950" t="s">
        <v>1653</v>
      </c>
      <c r="H5240" s="950" t="s">
        <v>686</v>
      </c>
      <c r="I5240" s="951" t="s">
        <v>18959</v>
      </c>
      <c r="J5240" s="947" t="s">
        <v>18960</v>
      </c>
      <c r="K5240" s="143"/>
    </row>
    <row r="5241" spans="1:11">
      <c r="A5241" s="946" t="s">
        <v>28607</v>
      </c>
      <c r="B5241" s="947" t="s">
        <v>19017</v>
      </c>
      <c r="C5241" s="948" t="s">
        <v>19015</v>
      </c>
      <c r="D5241" s="242" t="s">
        <v>28712</v>
      </c>
      <c r="E5241" s="949">
        <v>1506</v>
      </c>
      <c r="F5241" s="949">
        <v>1506</v>
      </c>
      <c r="G5241" s="950" t="s">
        <v>1653</v>
      </c>
      <c r="H5241" s="950" t="s">
        <v>686</v>
      </c>
      <c r="I5241" s="951" t="s">
        <v>19016</v>
      </c>
      <c r="J5241" s="947" t="s">
        <v>19017</v>
      </c>
      <c r="K5241" s="143"/>
    </row>
    <row r="5242" spans="1:11">
      <c r="A5242" s="946" t="s">
        <v>28607</v>
      </c>
      <c r="B5242" s="947" t="s">
        <v>19248</v>
      </c>
      <c r="C5242" s="948" t="s">
        <v>19246</v>
      </c>
      <c r="D5242" s="242" t="s">
        <v>28712</v>
      </c>
      <c r="E5242" s="949">
        <v>1503</v>
      </c>
      <c r="F5242" s="949">
        <v>1503</v>
      </c>
      <c r="G5242" s="950" t="s">
        <v>1653</v>
      </c>
      <c r="H5242" s="950" t="s">
        <v>686</v>
      </c>
      <c r="I5242" s="951" t="s">
        <v>19247</v>
      </c>
      <c r="J5242" s="947" t="s">
        <v>19248</v>
      </c>
      <c r="K5242" s="143"/>
    </row>
    <row r="5243" spans="1:11">
      <c r="A5243" s="946" t="s">
        <v>28607</v>
      </c>
      <c r="B5243" s="947" t="s">
        <v>19297</v>
      </c>
      <c r="C5243" s="948" t="s">
        <v>19295</v>
      </c>
      <c r="D5243" s="242" t="s">
        <v>28712</v>
      </c>
      <c r="E5243" s="949">
        <v>1506</v>
      </c>
      <c r="F5243" s="949">
        <v>1506</v>
      </c>
      <c r="G5243" s="950" t="s">
        <v>1653</v>
      </c>
      <c r="H5243" s="950" t="s">
        <v>686</v>
      </c>
      <c r="I5243" s="951" t="s">
        <v>19296</v>
      </c>
      <c r="J5243" s="947" t="s">
        <v>19297</v>
      </c>
      <c r="K5243" s="143"/>
    </row>
    <row r="5244" spans="1:11">
      <c r="A5244" s="946" t="s">
        <v>28607</v>
      </c>
      <c r="B5244" s="947" t="s">
        <v>19574</v>
      </c>
      <c r="C5244" s="948" t="s">
        <v>19572</v>
      </c>
      <c r="D5244" s="242" t="s">
        <v>28712</v>
      </c>
      <c r="E5244" s="949">
        <v>1506</v>
      </c>
      <c r="F5244" s="949">
        <v>1506</v>
      </c>
      <c r="G5244" s="950" t="s">
        <v>1653</v>
      </c>
      <c r="H5244" s="950" t="s">
        <v>686</v>
      </c>
      <c r="I5244" s="951" t="s">
        <v>19573</v>
      </c>
      <c r="J5244" s="947" t="s">
        <v>19574</v>
      </c>
      <c r="K5244" s="143"/>
    </row>
    <row r="5245" spans="1:11">
      <c r="A5245" s="946" t="s">
        <v>28607</v>
      </c>
      <c r="B5245" s="947" t="s">
        <v>19666</v>
      </c>
      <c r="C5245" s="948" t="s">
        <v>19664</v>
      </c>
      <c r="D5245" s="242" t="s">
        <v>28712</v>
      </c>
      <c r="E5245" s="949">
        <v>1506</v>
      </c>
      <c r="F5245" s="949">
        <v>1506</v>
      </c>
      <c r="G5245" s="950" t="s">
        <v>1653</v>
      </c>
      <c r="H5245" s="950" t="s">
        <v>686</v>
      </c>
      <c r="I5245" s="951" t="s">
        <v>19665</v>
      </c>
      <c r="J5245" s="947" t="s">
        <v>19666</v>
      </c>
      <c r="K5245" s="143"/>
    </row>
    <row r="5246" spans="1:11">
      <c r="A5246" s="946" t="s">
        <v>28607</v>
      </c>
      <c r="B5246" s="947" t="s">
        <v>19742</v>
      </c>
      <c r="C5246" s="948" t="s">
        <v>19740</v>
      </c>
      <c r="D5246" s="242" t="s">
        <v>28712</v>
      </c>
      <c r="E5246" s="949">
        <v>1506</v>
      </c>
      <c r="F5246" s="949">
        <v>1506</v>
      </c>
      <c r="G5246" s="950" t="s">
        <v>1653</v>
      </c>
      <c r="H5246" s="950" t="s">
        <v>686</v>
      </c>
      <c r="I5246" s="951" t="s">
        <v>19741</v>
      </c>
      <c r="J5246" s="947" t="s">
        <v>19742</v>
      </c>
      <c r="K5246" s="143"/>
    </row>
    <row r="5247" spans="1:11">
      <c r="A5247" s="946" t="s">
        <v>28607</v>
      </c>
      <c r="B5247" s="947" t="s">
        <v>19860</v>
      </c>
      <c r="C5247" s="948" t="s">
        <v>19858</v>
      </c>
      <c r="D5247" s="242" t="s">
        <v>28712</v>
      </c>
      <c r="E5247" s="949">
        <v>1506</v>
      </c>
      <c r="F5247" s="949">
        <v>1506</v>
      </c>
      <c r="G5247" s="950" t="s">
        <v>1653</v>
      </c>
      <c r="H5247" s="950" t="s">
        <v>686</v>
      </c>
      <c r="I5247" s="951" t="s">
        <v>19859</v>
      </c>
      <c r="J5247" s="947" t="s">
        <v>19860</v>
      </c>
      <c r="K5247" s="143"/>
    </row>
    <row r="5248" spans="1:11">
      <c r="A5248" s="946" t="s">
        <v>28607</v>
      </c>
      <c r="B5248" s="947" t="s">
        <v>20077</v>
      </c>
      <c r="C5248" s="948" t="s">
        <v>20075</v>
      </c>
      <c r="D5248" s="242" t="s">
        <v>28712</v>
      </c>
      <c r="E5248" s="949">
        <v>1506</v>
      </c>
      <c r="F5248" s="949">
        <v>1506</v>
      </c>
      <c r="G5248" s="950" t="s">
        <v>1653</v>
      </c>
      <c r="H5248" s="950" t="s">
        <v>686</v>
      </c>
      <c r="I5248" s="951" t="s">
        <v>20076</v>
      </c>
      <c r="J5248" s="947" t="s">
        <v>20077</v>
      </c>
      <c r="K5248" s="143"/>
    </row>
    <row r="5249" spans="1:11">
      <c r="A5249" s="946" t="s">
        <v>28607</v>
      </c>
      <c r="B5249" s="947" t="s">
        <v>20113</v>
      </c>
      <c r="C5249" s="948" t="s">
        <v>20111</v>
      </c>
      <c r="D5249" s="242" t="s">
        <v>28712</v>
      </c>
      <c r="E5249" s="949">
        <v>1506</v>
      </c>
      <c r="F5249" s="949">
        <v>1506</v>
      </c>
      <c r="G5249" s="950" t="s">
        <v>1653</v>
      </c>
      <c r="H5249" s="950" t="s">
        <v>686</v>
      </c>
      <c r="I5249" s="951" t="s">
        <v>20112</v>
      </c>
      <c r="J5249" s="947" t="s">
        <v>20113</v>
      </c>
      <c r="K5249" s="143"/>
    </row>
    <row r="5250" spans="1:11">
      <c r="A5250" s="946" t="s">
        <v>28607</v>
      </c>
      <c r="B5250" s="947" t="s">
        <v>20236</v>
      </c>
      <c r="C5250" s="948" t="s">
        <v>20234</v>
      </c>
      <c r="D5250" s="242" t="s">
        <v>28712</v>
      </c>
      <c r="E5250" s="949">
        <v>1506</v>
      </c>
      <c r="F5250" s="949">
        <v>1506</v>
      </c>
      <c r="G5250" s="950" t="s">
        <v>1653</v>
      </c>
      <c r="H5250" s="950" t="s">
        <v>686</v>
      </c>
      <c r="I5250" s="951" t="s">
        <v>20235</v>
      </c>
      <c r="J5250" s="947" t="s">
        <v>20236</v>
      </c>
      <c r="K5250" s="143"/>
    </row>
    <row r="5251" spans="1:11">
      <c r="A5251" s="946" t="s">
        <v>28607</v>
      </c>
      <c r="B5251" s="947" t="s">
        <v>20239</v>
      </c>
      <c r="C5251" s="948" t="s">
        <v>20237</v>
      </c>
      <c r="D5251" s="242" t="s">
        <v>28712</v>
      </c>
      <c r="E5251" s="949">
        <v>1506</v>
      </c>
      <c r="F5251" s="949">
        <v>1506</v>
      </c>
      <c r="G5251" s="950" t="s">
        <v>1653</v>
      </c>
      <c r="H5251" s="950" t="s">
        <v>686</v>
      </c>
      <c r="I5251" s="951" t="s">
        <v>20238</v>
      </c>
      <c r="J5251" s="947" t="s">
        <v>20239</v>
      </c>
      <c r="K5251" s="143"/>
    </row>
    <row r="5252" spans="1:11">
      <c r="A5252" s="946" t="s">
        <v>28607</v>
      </c>
      <c r="B5252" s="947" t="s">
        <v>20325</v>
      </c>
      <c r="C5252" s="948" t="s">
        <v>20323</v>
      </c>
      <c r="D5252" s="242" t="s">
        <v>28712</v>
      </c>
      <c r="E5252" s="949">
        <v>1506</v>
      </c>
      <c r="F5252" s="949">
        <v>1506</v>
      </c>
      <c r="G5252" s="950" t="s">
        <v>1653</v>
      </c>
      <c r="H5252" s="950" t="s">
        <v>686</v>
      </c>
      <c r="I5252" s="951" t="s">
        <v>20324</v>
      </c>
      <c r="J5252" s="947" t="s">
        <v>20325</v>
      </c>
      <c r="K5252" s="143"/>
    </row>
    <row r="5253" spans="1:11">
      <c r="A5253" s="946" t="s">
        <v>28607</v>
      </c>
      <c r="B5253" s="947" t="s">
        <v>20570</v>
      </c>
      <c r="C5253" s="948" t="s">
        <v>20568</v>
      </c>
      <c r="D5253" s="242" t="s">
        <v>28712</v>
      </c>
      <c r="E5253" s="949">
        <v>1506</v>
      </c>
      <c r="F5253" s="949">
        <v>1506</v>
      </c>
      <c r="G5253" s="950" t="s">
        <v>1653</v>
      </c>
      <c r="H5253" s="950" t="s">
        <v>686</v>
      </c>
      <c r="I5253" s="951" t="s">
        <v>20569</v>
      </c>
      <c r="J5253" s="947" t="s">
        <v>20570</v>
      </c>
      <c r="K5253" s="143"/>
    </row>
    <row r="5254" spans="1:11">
      <c r="A5254" s="946" t="s">
        <v>28607</v>
      </c>
      <c r="B5254" s="947" t="s">
        <v>20679</v>
      </c>
      <c r="C5254" s="948" t="s">
        <v>20677</v>
      </c>
      <c r="D5254" s="242" t="s">
        <v>28712</v>
      </c>
      <c r="E5254" s="949">
        <v>1506</v>
      </c>
      <c r="F5254" s="949">
        <v>1506</v>
      </c>
      <c r="G5254" s="950" t="s">
        <v>1653</v>
      </c>
      <c r="H5254" s="950" t="s">
        <v>686</v>
      </c>
      <c r="I5254" s="951" t="s">
        <v>20678</v>
      </c>
      <c r="J5254" s="947" t="s">
        <v>20679</v>
      </c>
      <c r="K5254" s="143"/>
    </row>
    <row r="5255" spans="1:11">
      <c r="A5255" s="946" t="s">
        <v>28607</v>
      </c>
      <c r="B5255" s="947" t="s">
        <v>20774</v>
      </c>
      <c r="C5255" s="948" t="s">
        <v>20772</v>
      </c>
      <c r="D5255" s="242" t="s">
        <v>28712</v>
      </c>
      <c r="E5255" s="949">
        <v>1506</v>
      </c>
      <c r="F5255" s="949">
        <v>1506</v>
      </c>
      <c r="G5255" s="950" t="s">
        <v>1653</v>
      </c>
      <c r="H5255" s="950" t="s">
        <v>686</v>
      </c>
      <c r="I5255" s="951" t="s">
        <v>20773</v>
      </c>
      <c r="J5255" s="947" t="s">
        <v>20774</v>
      </c>
      <c r="K5255" s="143"/>
    </row>
    <row r="5256" spans="1:11">
      <c r="A5256" s="946" t="s">
        <v>28607</v>
      </c>
      <c r="B5256" s="947" t="s">
        <v>20968</v>
      </c>
      <c r="C5256" s="948" t="s">
        <v>20966</v>
      </c>
      <c r="D5256" s="242" t="s">
        <v>28712</v>
      </c>
      <c r="E5256" s="949">
        <v>1506</v>
      </c>
      <c r="F5256" s="949">
        <v>1506</v>
      </c>
      <c r="G5256" s="950" t="s">
        <v>1653</v>
      </c>
      <c r="H5256" s="950" t="s">
        <v>686</v>
      </c>
      <c r="I5256" s="951" t="s">
        <v>20967</v>
      </c>
      <c r="J5256" s="947" t="s">
        <v>20968</v>
      </c>
      <c r="K5256" s="143"/>
    </row>
    <row r="5257" spans="1:11">
      <c r="A5257" s="946" t="s">
        <v>28607</v>
      </c>
      <c r="B5257" s="947" t="s">
        <v>21113</v>
      </c>
      <c r="C5257" s="948" t="s">
        <v>21111</v>
      </c>
      <c r="D5257" s="242" t="s">
        <v>28712</v>
      </c>
      <c r="E5257" s="949">
        <v>1506</v>
      </c>
      <c r="F5257" s="949">
        <v>1506</v>
      </c>
      <c r="G5257" s="950" t="s">
        <v>1653</v>
      </c>
      <c r="H5257" s="950" t="s">
        <v>686</v>
      </c>
      <c r="I5257" s="951" t="s">
        <v>21112</v>
      </c>
      <c r="J5257" s="947" t="s">
        <v>21113</v>
      </c>
      <c r="K5257" s="143"/>
    </row>
    <row r="5258" spans="1:11">
      <c r="A5258" s="946" t="s">
        <v>28607</v>
      </c>
      <c r="B5258" s="947" t="s">
        <v>21399</v>
      </c>
      <c r="C5258" s="948" t="s">
        <v>21397</v>
      </c>
      <c r="D5258" s="242" t="s">
        <v>28712</v>
      </c>
      <c r="E5258" s="949">
        <v>1506</v>
      </c>
      <c r="F5258" s="949">
        <v>1506</v>
      </c>
      <c r="G5258" s="950" t="s">
        <v>1653</v>
      </c>
      <c r="H5258" s="950" t="s">
        <v>686</v>
      </c>
      <c r="I5258" s="951" t="s">
        <v>21398</v>
      </c>
      <c r="J5258" s="947" t="s">
        <v>21399</v>
      </c>
      <c r="K5258" s="143"/>
    </row>
    <row r="5259" spans="1:11">
      <c r="A5259" s="946" t="s">
        <v>28607</v>
      </c>
      <c r="B5259" s="947" t="s">
        <v>21463</v>
      </c>
      <c r="C5259" s="948" t="s">
        <v>21461</v>
      </c>
      <c r="D5259" s="242" t="s">
        <v>28712</v>
      </c>
      <c r="E5259" s="949">
        <v>1506</v>
      </c>
      <c r="F5259" s="949">
        <v>1506</v>
      </c>
      <c r="G5259" s="950" t="s">
        <v>1653</v>
      </c>
      <c r="H5259" s="950" t="s">
        <v>686</v>
      </c>
      <c r="I5259" s="951" t="s">
        <v>21462</v>
      </c>
      <c r="J5259" s="947" t="s">
        <v>21463</v>
      </c>
      <c r="K5259" s="143"/>
    </row>
    <row r="5260" spans="1:11">
      <c r="A5260" s="946" t="s">
        <v>28607</v>
      </c>
      <c r="B5260" s="947" t="s">
        <v>21710</v>
      </c>
      <c r="C5260" s="948" t="s">
        <v>21708</v>
      </c>
      <c r="D5260" s="242" t="s">
        <v>28712</v>
      </c>
      <c r="E5260" s="949">
        <v>1506</v>
      </c>
      <c r="F5260" s="949">
        <v>1506</v>
      </c>
      <c r="G5260" s="950" t="s">
        <v>1653</v>
      </c>
      <c r="H5260" s="950" t="s">
        <v>686</v>
      </c>
      <c r="I5260" s="951" t="s">
        <v>21709</v>
      </c>
      <c r="J5260" s="947" t="s">
        <v>21710</v>
      </c>
      <c r="K5260" s="143"/>
    </row>
    <row r="5261" spans="1:11">
      <c r="A5261" s="946" t="s">
        <v>28607</v>
      </c>
      <c r="B5261" s="947" t="s">
        <v>22213</v>
      </c>
      <c r="C5261" s="948" t="s">
        <v>22211</v>
      </c>
      <c r="D5261" s="242" t="s">
        <v>28712</v>
      </c>
      <c r="E5261" s="949">
        <v>1506</v>
      </c>
      <c r="F5261" s="949">
        <v>1506</v>
      </c>
      <c r="G5261" s="950" t="s">
        <v>1653</v>
      </c>
      <c r="H5261" s="950" t="s">
        <v>686</v>
      </c>
      <c r="I5261" s="951" t="s">
        <v>22212</v>
      </c>
      <c r="J5261" s="947" t="s">
        <v>22213</v>
      </c>
      <c r="K5261" s="143"/>
    </row>
    <row r="5262" spans="1:11">
      <c r="A5262" s="946" t="s">
        <v>28607</v>
      </c>
      <c r="B5262" s="947" t="s">
        <v>22240</v>
      </c>
      <c r="C5262" s="948" t="s">
        <v>22238</v>
      </c>
      <c r="D5262" s="242" t="s">
        <v>28712</v>
      </c>
      <c r="E5262" s="949">
        <v>1506</v>
      </c>
      <c r="F5262" s="949">
        <v>1506</v>
      </c>
      <c r="G5262" s="950" t="s">
        <v>1653</v>
      </c>
      <c r="H5262" s="950" t="s">
        <v>686</v>
      </c>
      <c r="I5262" s="951" t="s">
        <v>22239</v>
      </c>
      <c r="J5262" s="947" t="s">
        <v>22240</v>
      </c>
      <c r="K5262" s="143"/>
    </row>
    <row r="5263" spans="1:11">
      <c r="A5263" s="946" t="s">
        <v>28607</v>
      </c>
      <c r="B5263" s="947" t="s">
        <v>22537</v>
      </c>
      <c r="C5263" s="948" t="s">
        <v>22535</v>
      </c>
      <c r="D5263" s="242" t="s">
        <v>28712</v>
      </c>
      <c r="E5263" s="949">
        <v>1506</v>
      </c>
      <c r="F5263" s="949">
        <v>1506</v>
      </c>
      <c r="G5263" s="950" t="s">
        <v>1653</v>
      </c>
      <c r="H5263" s="950" t="s">
        <v>686</v>
      </c>
      <c r="I5263" s="951" t="s">
        <v>22536</v>
      </c>
      <c r="J5263" s="947" t="s">
        <v>22537</v>
      </c>
      <c r="K5263" s="143"/>
    </row>
    <row r="5264" spans="1:11">
      <c r="A5264" s="946" t="s">
        <v>28607</v>
      </c>
      <c r="B5264" s="947" t="s">
        <v>22686</v>
      </c>
      <c r="C5264" s="948" t="s">
        <v>22684</v>
      </c>
      <c r="D5264" s="242" t="s">
        <v>28712</v>
      </c>
      <c r="E5264" s="949">
        <v>1506</v>
      </c>
      <c r="F5264" s="949">
        <v>1506</v>
      </c>
      <c r="G5264" s="950" t="s">
        <v>1653</v>
      </c>
      <c r="H5264" s="950" t="s">
        <v>686</v>
      </c>
      <c r="I5264" s="951" t="s">
        <v>22685</v>
      </c>
      <c r="J5264" s="947" t="s">
        <v>22686</v>
      </c>
      <c r="K5264" s="143"/>
    </row>
    <row r="5265" spans="1:11">
      <c r="A5265" s="946" t="s">
        <v>28607</v>
      </c>
      <c r="B5265" s="947" t="s">
        <v>24939</v>
      </c>
      <c r="C5265" s="948" t="s">
        <v>26135</v>
      </c>
      <c r="D5265" s="242" t="s">
        <v>28712</v>
      </c>
      <c r="E5265" s="949">
        <v>1506</v>
      </c>
      <c r="F5265" s="949">
        <v>1506</v>
      </c>
      <c r="G5265" s="950" t="s">
        <v>1653</v>
      </c>
      <c r="H5265" s="950" t="s">
        <v>686</v>
      </c>
      <c r="I5265" s="951" t="s">
        <v>24940</v>
      </c>
      <c r="J5265" s="947" t="s">
        <v>24939</v>
      </c>
      <c r="K5265" s="143"/>
    </row>
    <row r="5266" spans="1:11">
      <c r="A5266" s="946" t="s">
        <v>28607</v>
      </c>
      <c r="B5266" s="947" t="s">
        <v>400</v>
      </c>
      <c r="C5266" s="948" t="s">
        <v>397</v>
      </c>
      <c r="D5266" s="242" t="s">
        <v>28712</v>
      </c>
      <c r="E5266" s="949">
        <v>1503</v>
      </c>
      <c r="F5266" s="949">
        <v>1503</v>
      </c>
      <c r="G5266" s="950" t="s">
        <v>17260</v>
      </c>
      <c r="H5266" s="950" t="s">
        <v>398</v>
      </c>
      <c r="I5266" s="951" t="s">
        <v>399</v>
      </c>
      <c r="J5266" s="947" t="s">
        <v>400</v>
      </c>
      <c r="K5266" s="143"/>
    </row>
    <row r="5267" spans="1:11">
      <c r="A5267" s="946" t="s">
        <v>28607</v>
      </c>
      <c r="B5267" s="947" t="s">
        <v>653</v>
      </c>
      <c r="C5267" s="948" t="s">
        <v>651</v>
      </c>
      <c r="D5267" s="242" t="s">
        <v>28712</v>
      </c>
      <c r="E5267" s="949">
        <v>1503</v>
      </c>
      <c r="F5267" s="949">
        <v>1503</v>
      </c>
      <c r="G5267" s="950" t="s">
        <v>17260</v>
      </c>
      <c r="H5267" s="950" t="s">
        <v>398</v>
      </c>
      <c r="I5267" s="951" t="s">
        <v>652</v>
      </c>
      <c r="J5267" s="947" t="s">
        <v>653</v>
      </c>
      <c r="K5267" s="143"/>
    </row>
    <row r="5268" spans="1:11">
      <c r="A5268" s="946" t="s">
        <v>28607</v>
      </c>
      <c r="B5268" s="947" t="s">
        <v>765</v>
      </c>
      <c r="C5268" s="948" t="s">
        <v>763</v>
      </c>
      <c r="D5268" s="242" t="s">
        <v>28712</v>
      </c>
      <c r="E5268" s="949">
        <v>1503</v>
      </c>
      <c r="F5268" s="949">
        <v>1503</v>
      </c>
      <c r="G5268" s="950" t="s">
        <v>17260</v>
      </c>
      <c r="H5268" s="950" t="s">
        <v>398</v>
      </c>
      <c r="I5268" s="951" t="s">
        <v>764</v>
      </c>
      <c r="J5268" s="947" t="s">
        <v>765</v>
      </c>
      <c r="K5268" s="143"/>
    </row>
    <row r="5269" spans="1:11">
      <c r="A5269" s="946" t="s">
        <v>28607</v>
      </c>
      <c r="B5269" s="947" t="s">
        <v>894</v>
      </c>
      <c r="C5269" s="948" t="s">
        <v>892</v>
      </c>
      <c r="D5269" s="242" t="s">
        <v>28712</v>
      </c>
      <c r="E5269" s="949">
        <v>1503</v>
      </c>
      <c r="F5269" s="949">
        <v>1503</v>
      </c>
      <c r="G5269" s="950" t="s">
        <v>17260</v>
      </c>
      <c r="H5269" s="950" t="s">
        <v>398</v>
      </c>
      <c r="I5269" s="951" t="s">
        <v>893</v>
      </c>
      <c r="J5269" s="947" t="s">
        <v>894</v>
      </c>
      <c r="K5269" s="143"/>
    </row>
    <row r="5270" spans="1:11">
      <c r="A5270" s="946" t="s">
        <v>28607</v>
      </c>
      <c r="B5270" s="947" t="s">
        <v>1004</v>
      </c>
      <c r="C5270" s="948" t="s">
        <v>1002</v>
      </c>
      <c r="D5270" s="242" t="s">
        <v>28712</v>
      </c>
      <c r="E5270" s="949">
        <v>1503</v>
      </c>
      <c r="F5270" s="949">
        <v>1503</v>
      </c>
      <c r="G5270" s="950" t="s">
        <v>17260</v>
      </c>
      <c r="H5270" s="950" t="s">
        <v>398</v>
      </c>
      <c r="I5270" s="951" t="s">
        <v>1003</v>
      </c>
      <c r="J5270" s="947" t="s">
        <v>1004</v>
      </c>
      <c r="K5270" s="143"/>
    </row>
    <row r="5271" spans="1:11">
      <c r="A5271" s="946" t="s">
        <v>28607</v>
      </c>
      <c r="B5271" s="947" t="s">
        <v>1058</v>
      </c>
      <c r="C5271" s="948" t="s">
        <v>1056</v>
      </c>
      <c r="D5271" s="242" t="s">
        <v>28712</v>
      </c>
      <c r="E5271" s="949">
        <v>1503</v>
      </c>
      <c r="F5271" s="949">
        <v>1503</v>
      </c>
      <c r="G5271" s="950" t="s">
        <v>17260</v>
      </c>
      <c r="H5271" s="950" t="s">
        <v>398</v>
      </c>
      <c r="I5271" s="951" t="s">
        <v>1057</v>
      </c>
      <c r="J5271" s="947" t="s">
        <v>1058</v>
      </c>
      <c r="K5271" s="143"/>
    </row>
    <row r="5272" spans="1:11">
      <c r="A5272" s="946" t="s">
        <v>28607</v>
      </c>
      <c r="B5272" s="947" t="s">
        <v>1169</v>
      </c>
      <c r="C5272" s="948" t="s">
        <v>1167</v>
      </c>
      <c r="D5272" s="242" t="s">
        <v>28712</v>
      </c>
      <c r="E5272" s="949">
        <v>1504</v>
      </c>
      <c r="F5272" s="949">
        <v>1504</v>
      </c>
      <c r="G5272" s="950" t="s">
        <v>17260</v>
      </c>
      <c r="H5272" s="950" t="s">
        <v>398</v>
      </c>
      <c r="I5272" s="951" t="s">
        <v>1168</v>
      </c>
      <c r="J5272" s="947" t="s">
        <v>1169</v>
      </c>
      <c r="K5272" s="143"/>
    </row>
    <row r="5273" spans="1:11">
      <c r="A5273" s="946" t="s">
        <v>28607</v>
      </c>
      <c r="B5273" s="947" t="s">
        <v>1279</v>
      </c>
      <c r="C5273" s="948" t="s">
        <v>1277</v>
      </c>
      <c r="D5273" s="242" t="s">
        <v>28712</v>
      </c>
      <c r="E5273" s="949">
        <v>1503</v>
      </c>
      <c r="F5273" s="949">
        <v>1503</v>
      </c>
      <c r="G5273" s="950" t="s">
        <v>17260</v>
      </c>
      <c r="H5273" s="950" t="s">
        <v>398</v>
      </c>
      <c r="I5273" s="951" t="s">
        <v>1278</v>
      </c>
      <c r="J5273" s="947" t="s">
        <v>1279</v>
      </c>
      <c r="K5273" s="143"/>
    </row>
    <row r="5274" spans="1:11">
      <c r="A5274" s="946" t="s">
        <v>28607</v>
      </c>
      <c r="B5274" s="947" t="s">
        <v>1538</v>
      </c>
      <c r="C5274" s="948" t="s">
        <v>1536</v>
      </c>
      <c r="D5274" s="242" t="s">
        <v>28712</v>
      </c>
      <c r="E5274" s="949">
        <v>1503</v>
      </c>
      <c r="F5274" s="949">
        <v>1503</v>
      </c>
      <c r="G5274" s="950" t="s">
        <v>17260</v>
      </c>
      <c r="H5274" s="950" t="s">
        <v>398</v>
      </c>
      <c r="I5274" s="951" t="s">
        <v>1537</v>
      </c>
      <c r="J5274" s="947" t="s">
        <v>1538</v>
      </c>
      <c r="K5274" s="143"/>
    </row>
    <row r="5275" spans="1:11">
      <c r="A5275" s="946" t="s">
        <v>28607</v>
      </c>
      <c r="B5275" s="947" t="s">
        <v>1596</v>
      </c>
      <c r="C5275" s="948" t="s">
        <v>1594</v>
      </c>
      <c r="D5275" s="242" t="s">
        <v>28712</v>
      </c>
      <c r="E5275" s="949">
        <v>1503</v>
      </c>
      <c r="F5275" s="949">
        <v>1503</v>
      </c>
      <c r="G5275" s="950" t="s">
        <v>17260</v>
      </c>
      <c r="H5275" s="950" t="s">
        <v>398</v>
      </c>
      <c r="I5275" s="951" t="s">
        <v>1595</v>
      </c>
      <c r="J5275" s="947" t="s">
        <v>1596</v>
      </c>
      <c r="K5275" s="143"/>
    </row>
    <row r="5276" spans="1:11">
      <c r="A5276" s="946" t="s">
        <v>28607</v>
      </c>
      <c r="B5276" s="947" t="s">
        <v>1605</v>
      </c>
      <c r="C5276" s="948" t="s">
        <v>1603</v>
      </c>
      <c r="D5276" s="242" t="s">
        <v>28712</v>
      </c>
      <c r="E5276" s="949">
        <v>1503</v>
      </c>
      <c r="F5276" s="949">
        <v>1503</v>
      </c>
      <c r="G5276" s="950" t="s">
        <v>17260</v>
      </c>
      <c r="H5276" s="950" t="s">
        <v>398</v>
      </c>
      <c r="I5276" s="951" t="s">
        <v>1604</v>
      </c>
      <c r="J5276" s="947" t="s">
        <v>1605</v>
      </c>
      <c r="K5276" s="143"/>
    </row>
    <row r="5277" spans="1:11">
      <c r="A5277" s="946" t="s">
        <v>28607</v>
      </c>
      <c r="B5277" s="947" t="s">
        <v>1626</v>
      </c>
      <c r="C5277" s="948" t="s">
        <v>1624</v>
      </c>
      <c r="D5277" s="242" t="s">
        <v>28712</v>
      </c>
      <c r="E5277" s="949">
        <v>1503</v>
      </c>
      <c r="F5277" s="949">
        <v>1503</v>
      </c>
      <c r="G5277" s="950" t="s">
        <v>17260</v>
      </c>
      <c r="H5277" s="950" t="s">
        <v>398</v>
      </c>
      <c r="I5277" s="951" t="s">
        <v>1625</v>
      </c>
      <c r="J5277" s="947" t="s">
        <v>1626</v>
      </c>
      <c r="K5277" s="143"/>
    </row>
    <row r="5278" spans="1:11">
      <c r="A5278" s="946" t="s">
        <v>28607</v>
      </c>
      <c r="B5278" s="947" t="s">
        <v>2022</v>
      </c>
      <c r="C5278" s="948" t="s">
        <v>2020</v>
      </c>
      <c r="D5278" s="242" t="s">
        <v>28712</v>
      </c>
      <c r="E5278" s="949">
        <v>1503</v>
      </c>
      <c r="F5278" s="949">
        <v>1503</v>
      </c>
      <c r="G5278" s="950" t="s">
        <v>17260</v>
      </c>
      <c r="H5278" s="950" t="s">
        <v>398</v>
      </c>
      <c r="I5278" s="951" t="s">
        <v>2021</v>
      </c>
      <c r="J5278" s="947" t="s">
        <v>2022</v>
      </c>
      <c r="K5278" s="143"/>
    </row>
    <row r="5279" spans="1:11">
      <c r="A5279" s="946" t="s">
        <v>28607</v>
      </c>
      <c r="B5279" s="947" t="s">
        <v>2112</v>
      </c>
      <c r="C5279" s="948" t="s">
        <v>2110</v>
      </c>
      <c r="D5279" s="242" t="s">
        <v>28712</v>
      </c>
      <c r="E5279" s="949">
        <v>1503</v>
      </c>
      <c r="F5279" s="949">
        <v>1503</v>
      </c>
      <c r="G5279" s="950" t="s">
        <v>17260</v>
      </c>
      <c r="H5279" s="950" t="s">
        <v>398</v>
      </c>
      <c r="I5279" s="951" t="s">
        <v>2111</v>
      </c>
      <c r="J5279" s="947" t="s">
        <v>2112</v>
      </c>
      <c r="K5279" s="143"/>
    </row>
    <row r="5280" spans="1:11">
      <c r="A5280" s="946" t="s">
        <v>28607</v>
      </c>
      <c r="B5280" s="947" t="s">
        <v>2202</v>
      </c>
      <c r="C5280" s="948" t="s">
        <v>2200</v>
      </c>
      <c r="D5280" s="242" t="s">
        <v>28712</v>
      </c>
      <c r="E5280" s="949">
        <v>1503</v>
      </c>
      <c r="F5280" s="949">
        <v>1503</v>
      </c>
      <c r="G5280" s="950" t="s">
        <v>17260</v>
      </c>
      <c r="H5280" s="950" t="s">
        <v>398</v>
      </c>
      <c r="I5280" s="951" t="s">
        <v>2201</v>
      </c>
      <c r="J5280" s="947" t="s">
        <v>2202</v>
      </c>
      <c r="K5280" s="143"/>
    </row>
    <row r="5281" spans="1:11">
      <c r="A5281" s="946" t="s">
        <v>28607</v>
      </c>
      <c r="B5281" s="947" t="s">
        <v>2952</v>
      </c>
      <c r="C5281" s="948" t="s">
        <v>2950</v>
      </c>
      <c r="D5281" s="242" t="s">
        <v>28712</v>
      </c>
      <c r="E5281" s="949">
        <v>1504</v>
      </c>
      <c r="F5281" s="949">
        <v>1504</v>
      </c>
      <c r="G5281" s="950" t="s">
        <v>17260</v>
      </c>
      <c r="H5281" s="950" t="s">
        <v>398</v>
      </c>
      <c r="I5281" s="951" t="s">
        <v>2951</v>
      </c>
      <c r="J5281" s="947" t="s">
        <v>2952</v>
      </c>
      <c r="K5281" s="143"/>
    </row>
    <row r="5282" spans="1:11">
      <c r="A5282" s="946" t="s">
        <v>28607</v>
      </c>
      <c r="B5282" s="947" t="s">
        <v>3200</v>
      </c>
      <c r="C5282" s="948" t="s">
        <v>3198</v>
      </c>
      <c r="D5282" s="242" t="s">
        <v>28712</v>
      </c>
      <c r="E5282" s="949">
        <v>1503</v>
      </c>
      <c r="F5282" s="949">
        <v>1503</v>
      </c>
      <c r="G5282" s="950" t="s">
        <v>17260</v>
      </c>
      <c r="H5282" s="950" t="s">
        <v>398</v>
      </c>
      <c r="I5282" s="951" t="s">
        <v>3199</v>
      </c>
      <c r="J5282" s="947" t="s">
        <v>3200</v>
      </c>
      <c r="K5282" s="143"/>
    </row>
    <row r="5283" spans="1:11">
      <c r="A5283" s="946" t="s">
        <v>28607</v>
      </c>
      <c r="B5283" s="947" t="s">
        <v>3240</v>
      </c>
      <c r="C5283" s="948" t="s">
        <v>3238</v>
      </c>
      <c r="D5283" s="242" t="s">
        <v>28712</v>
      </c>
      <c r="E5283" s="949">
        <v>1503</v>
      </c>
      <c r="F5283" s="949">
        <v>1503</v>
      </c>
      <c r="G5283" s="950" t="s">
        <v>17260</v>
      </c>
      <c r="H5283" s="950" t="s">
        <v>398</v>
      </c>
      <c r="I5283" s="951" t="s">
        <v>3239</v>
      </c>
      <c r="J5283" s="947" t="s">
        <v>3240</v>
      </c>
      <c r="K5283" s="143"/>
    </row>
    <row r="5284" spans="1:11">
      <c r="A5284" s="946" t="s">
        <v>28607</v>
      </c>
      <c r="B5284" s="947" t="s">
        <v>3370</v>
      </c>
      <c r="C5284" s="948" t="s">
        <v>3368</v>
      </c>
      <c r="D5284" s="242" t="s">
        <v>28712</v>
      </c>
      <c r="E5284" s="949">
        <v>1503</v>
      </c>
      <c r="F5284" s="949">
        <v>1503</v>
      </c>
      <c r="G5284" s="950" t="s">
        <v>17260</v>
      </c>
      <c r="H5284" s="950" t="s">
        <v>398</v>
      </c>
      <c r="I5284" s="951" t="s">
        <v>3369</v>
      </c>
      <c r="J5284" s="947" t="s">
        <v>3370</v>
      </c>
      <c r="K5284" s="143"/>
    </row>
    <row r="5285" spans="1:11">
      <c r="A5285" s="946" t="s">
        <v>28607</v>
      </c>
      <c r="B5285" s="947" t="s">
        <v>3558</v>
      </c>
      <c r="C5285" s="948" t="s">
        <v>3556</v>
      </c>
      <c r="D5285" s="242" t="s">
        <v>28712</v>
      </c>
      <c r="E5285" s="949">
        <v>1504</v>
      </c>
      <c r="F5285" s="949">
        <v>1504</v>
      </c>
      <c r="G5285" s="950" t="s">
        <v>17260</v>
      </c>
      <c r="H5285" s="950" t="s">
        <v>398</v>
      </c>
      <c r="I5285" s="951" t="s">
        <v>3557</v>
      </c>
      <c r="J5285" s="947" t="s">
        <v>3558</v>
      </c>
      <c r="K5285" s="143"/>
    </row>
    <row r="5286" spans="1:11">
      <c r="A5286" s="946" t="s">
        <v>28607</v>
      </c>
      <c r="B5286" s="947" t="s">
        <v>3644</v>
      </c>
      <c r="C5286" s="948" t="s">
        <v>3642</v>
      </c>
      <c r="D5286" s="242" t="s">
        <v>28712</v>
      </c>
      <c r="E5286" s="949">
        <v>1503</v>
      </c>
      <c r="F5286" s="949">
        <v>1503</v>
      </c>
      <c r="G5286" s="950" t="s">
        <v>17260</v>
      </c>
      <c r="H5286" s="950" t="s">
        <v>398</v>
      </c>
      <c r="I5286" s="951" t="s">
        <v>3643</v>
      </c>
      <c r="J5286" s="947" t="s">
        <v>3644</v>
      </c>
      <c r="K5286" s="143"/>
    </row>
    <row r="5287" spans="1:11">
      <c r="A5287" s="946" t="s">
        <v>28607</v>
      </c>
      <c r="B5287" s="947" t="s">
        <v>3671</v>
      </c>
      <c r="C5287" s="948" t="s">
        <v>3669</v>
      </c>
      <c r="D5287" s="242" t="s">
        <v>28712</v>
      </c>
      <c r="E5287" s="949">
        <v>1503</v>
      </c>
      <c r="F5287" s="949">
        <v>1503</v>
      </c>
      <c r="G5287" s="950" t="s">
        <v>17260</v>
      </c>
      <c r="H5287" s="950" t="s">
        <v>398</v>
      </c>
      <c r="I5287" s="951" t="s">
        <v>3670</v>
      </c>
      <c r="J5287" s="947" t="s">
        <v>3671</v>
      </c>
      <c r="K5287" s="143"/>
    </row>
    <row r="5288" spans="1:11">
      <c r="A5288" s="946" t="s">
        <v>28607</v>
      </c>
      <c r="B5288" s="947" t="s">
        <v>3824</v>
      </c>
      <c r="C5288" s="948" t="s">
        <v>3822</v>
      </c>
      <c r="D5288" s="242" t="s">
        <v>28712</v>
      </c>
      <c r="E5288" s="949">
        <v>1503</v>
      </c>
      <c r="F5288" s="949">
        <v>1503</v>
      </c>
      <c r="G5288" s="950" t="s">
        <v>17260</v>
      </c>
      <c r="H5288" s="950" t="s">
        <v>398</v>
      </c>
      <c r="I5288" s="951" t="s">
        <v>3823</v>
      </c>
      <c r="J5288" s="947" t="s">
        <v>3824</v>
      </c>
      <c r="K5288" s="143"/>
    </row>
    <row r="5289" spans="1:11">
      <c r="A5289" s="946" t="s">
        <v>28607</v>
      </c>
      <c r="B5289" s="947" t="s">
        <v>3939</v>
      </c>
      <c r="C5289" s="948" t="s">
        <v>3937</v>
      </c>
      <c r="D5289" s="242" t="s">
        <v>28712</v>
      </c>
      <c r="E5289" s="949">
        <v>1503</v>
      </c>
      <c r="F5289" s="949">
        <v>1503</v>
      </c>
      <c r="G5289" s="950" t="s">
        <v>17260</v>
      </c>
      <c r="H5289" s="950" t="s">
        <v>398</v>
      </c>
      <c r="I5289" s="951" t="s">
        <v>3938</v>
      </c>
      <c r="J5289" s="947" t="s">
        <v>3939</v>
      </c>
      <c r="K5289" s="143"/>
    </row>
    <row r="5290" spans="1:11">
      <c r="A5290" s="946" t="s">
        <v>28607</v>
      </c>
      <c r="B5290" s="947" t="s">
        <v>28622</v>
      </c>
      <c r="C5290" s="948" t="s">
        <v>28744</v>
      </c>
      <c r="D5290" s="242" t="s">
        <v>28712</v>
      </c>
      <c r="E5290" s="949">
        <v>1503</v>
      </c>
      <c r="F5290" s="949">
        <v>1503</v>
      </c>
      <c r="G5290" s="950" t="s">
        <v>17260</v>
      </c>
      <c r="H5290" s="950" t="s">
        <v>398</v>
      </c>
      <c r="I5290" s="951" t="s">
        <v>4023</v>
      </c>
      <c r="J5290" s="947" t="s">
        <v>28622</v>
      </c>
      <c r="K5290" s="143"/>
    </row>
    <row r="5291" spans="1:11">
      <c r="A5291" s="946" t="s">
        <v>28607</v>
      </c>
      <c r="B5291" s="947" t="s">
        <v>4533</v>
      </c>
      <c r="C5291" s="948" t="s">
        <v>4531</v>
      </c>
      <c r="D5291" s="242" t="s">
        <v>28712</v>
      </c>
      <c r="E5291" s="949">
        <v>1503</v>
      </c>
      <c r="F5291" s="949">
        <v>1503</v>
      </c>
      <c r="G5291" s="950" t="s">
        <v>17260</v>
      </c>
      <c r="H5291" s="950" t="s">
        <v>398</v>
      </c>
      <c r="I5291" s="951" t="s">
        <v>4532</v>
      </c>
      <c r="J5291" s="947" t="s">
        <v>4533</v>
      </c>
      <c r="K5291" s="143"/>
    </row>
    <row r="5292" spans="1:11">
      <c r="A5292" s="946" t="s">
        <v>28607</v>
      </c>
      <c r="B5292" s="947" t="s">
        <v>4586</v>
      </c>
      <c r="C5292" s="948" t="s">
        <v>4584</v>
      </c>
      <c r="D5292" s="242" t="s">
        <v>28712</v>
      </c>
      <c r="E5292" s="949">
        <v>1503</v>
      </c>
      <c r="F5292" s="949">
        <v>1503</v>
      </c>
      <c r="G5292" s="950" t="s">
        <v>17260</v>
      </c>
      <c r="H5292" s="950" t="s">
        <v>398</v>
      </c>
      <c r="I5292" s="951" t="s">
        <v>4585</v>
      </c>
      <c r="J5292" s="947" t="s">
        <v>4586</v>
      </c>
      <c r="K5292" s="143"/>
    </row>
    <row r="5293" spans="1:11">
      <c r="A5293" s="946" t="s">
        <v>28607</v>
      </c>
      <c r="B5293" s="947" t="s">
        <v>4512</v>
      </c>
      <c r="C5293" s="948" t="s">
        <v>4510</v>
      </c>
      <c r="D5293" s="242" t="s">
        <v>28712</v>
      </c>
      <c r="E5293" s="949">
        <v>1503</v>
      </c>
      <c r="F5293" s="949">
        <v>1503</v>
      </c>
      <c r="G5293" s="950" t="s">
        <v>17260</v>
      </c>
      <c r="H5293" s="950" t="s">
        <v>398</v>
      </c>
      <c r="I5293" s="951" t="s">
        <v>4511</v>
      </c>
      <c r="J5293" s="947" t="s">
        <v>4512</v>
      </c>
      <c r="K5293" s="143"/>
    </row>
    <row r="5294" spans="1:11">
      <c r="A5294" s="946" t="s">
        <v>28607</v>
      </c>
      <c r="B5294" s="947" t="s">
        <v>4745</v>
      </c>
      <c r="C5294" s="948" t="s">
        <v>4743</v>
      </c>
      <c r="D5294" s="242" t="s">
        <v>28712</v>
      </c>
      <c r="E5294" s="949">
        <v>1503</v>
      </c>
      <c r="F5294" s="949">
        <v>1503</v>
      </c>
      <c r="G5294" s="950" t="s">
        <v>17260</v>
      </c>
      <c r="H5294" s="950" t="s">
        <v>398</v>
      </c>
      <c r="I5294" s="951" t="s">
        <v>4744</v>
      </c>
      <c r="J5294" s="947" t="s">
        <v>4745</v>
      </c>
      <c r="K5294" s="143"/>
    </row>
    <row r="5295" spans="1:11">
      <c r="A5295" s="946" t="s">
        <v>28607</v>
      </c>
      <c r="B5295" s="947" t="s">
        <v>5070</v>
      </c>
      <c r="C5295" s="948" t="s">
        <v>5068</v>
      </c>
      <c r="D5295" s="242" t="s">
        <v>28712</v>
      </c>
      <c r="E5295" s="949">
        <v>1503</v>
      </c>
      <c r="F5295" s="949">
        <v>1503</v>
      </c>
      <c r="G5295" s="950" t="s">
        <v>17260</v>
      </c>
      <c r="H5295" s="950" t="s">
        <v>398</v>
      </c>
      <c r="I5295" s="951" t="s">
        <v>5069</v>
      </c>
      <c r="J5295" s="947" t="s">
        <v>5070</v>
      </c>
      <c r="K5295" s="143"/>
    </row>
    <row r="5296" spans="1:11">
      <c r="A5296" s="946" t="s">
        <v>28607</v>
      </c>
      <c r="B5296" s="947" t="s">
        <v>5126</v>
      </c>
      <c r="C5296" s="948" t="s">
        <v>5124</v>
      </c>
      <c r="D5296" s="242" t="s">
        <v>28712</v>
      </c>
      <c r="E5296" s="949">
        <v>1503</v>
      </c>
      <c r="F5296" s="949">
        <v>1503</v>
      </c>
      <c r="G5296" s="950" t="s">
        <v>17260</v>
      </c>
      <c r="H5296" s="950" t="s">
        <v>398</v>
      </c>
      <c r="I5296" s="951" t="s">
        <v>5125</v>
      </c>
      <c r="J5296" s="947" t="s">
        <v>5126</v>
      </c>
      <c r="K5296" s="143"/>
    </row>
    <row r="5297" spans="1:11">
      <c r="A5297" s="946" t="s">
        <v>28607</v>
      </c>
      <c r="B5297" s="947" t="s">
        <v>5347</v>
      </c>
      <c r="C5297" s="948" t="s">
        <v>5345</v>
      </c>
      <c r="D5297" s="242" t="s">
        <v>28712</v>
      </c>
      <c r="E5297" s="949">
        <v>1503</v>
      </c>
      <c r="F5297" s="949">
        <v>1503</v>
      </c>
      <c r="G5297" s="950" t="s">
        <v>17260</v>
      </c>
      <c r="H5297" s="950" t="s">
        <v>398</v>
      </c>
      <c r="I5297" s="951" t="s">
        <v>5346</v>
      </c>
      <c r="J5297" s="947" t="s">
        <v>5347</v>
      </c>
      <c r="K5297" s="143"/>
    </row>
    <row r="5298" spans="1:11">
      <c r="A5298" s="946" t="s">
        <v>28607</v>
      </c>
      <c r="B5298" s="947" t="s">
        <v>5359</v>
      </c>
      <c r="C5298" s="948" t="s">
        <v>5357</v>
      </c>
      <c r="D5298" s="242" t="s">
        <v>28712</v>
      </c>
      <c r="E5298" s="949">
        <v>1503</v>
      </c>
      <c r="F5298" s="949">
        <v>1503</v>
      </c>
      <c r="G5298" s="950" t="s">
        <v>17260</v>
      </c>
      <c r="H5298" s="950" t="s">
        <v>398</v>
      </c>
      <c r="I5298" s="951" t="s">
        <v>5358</v>
      </c>
      <c r="J5298" s="947" t="s">
        <v>5359</v>
      </c>
      <c r="K5298" s="143"/>
    </row>
    <row r="5299" spans="1:11">
      <c r="A5299" s="946" t="s">
        <v>28607</v>
      </c>
      <c r="B5299" s="947" t="s">
        <v>5015</v>
      </c>
      <c r="C5299" s="948" t="s">
        <v>5013</v>
      </c>
      <c r="D5299" s="242" t="s">
        <v>28712</v>
      </c>
      <c r="E5299" s="949">
        <v>1504</v>
      </c>
      <c r="F5299" s="949">
        <v>1504</v>
      </c>
      <c r="G5299" s="950" t="s">
        <v>17260</v>
      </c>
      <c r="H5299" s="950" t="s">
        <v>398</v>
      </c>
      <c r="I5299" s="951" t="s">
        <v>5014</v>
      </c>
      <c r="J5299" s="947" t="s">
        <v>5015</v>
      </c>
      <c r="K5299" s="143"/>
    </row>
    <row r="5300" spans="1:11">
      <c r="A5300" s="946" t="s">
        <v>28607</v>
      </c>
      <c r="B5300" s="947" t="s">
        <v>5021</v>
      </c>
      <c r="C5300" s="948" t="s">
        <v>5019</v>
      </c>
      <c r="D5300" s="242" t="s">
        <v>28712</v>
      </c>
      <c r="E5300" s="949">
        <v>1503</v>
      </c>
      <c r="F5300" s="949">
        <v>1503</v>
      </c>
      <c r="G5300" s="950" t="s">
        <v>17260</v>
      </c>
      <c r="H5300" s="950" t="s">
        <v>398</v>
      </c>
      <c r="I5300" s="951" t="s">
        <v>5020</v>
      </c>
      <c r="J5300" s="947" t="s">
        <v>5021</v>
      </c>
      <c r="K5300" s="143"/>
    </row>
    <row r="5301" spans="1:11">
      <c r="A5301" s="946" t="s">
        <v>28607</v>
      </c>
      <c r="B5301" s="947" t="s">
        <v>5497</v>
      </c>
      <c r="C5301" s="948" t="s">
        <v>5495</v>
      </c>
      <c r="D5301" s="242" t="s">
        <v>28712</v>
      </c>
      <c r="E5301" s="949">
        <v>1503</v>
      </c>
      <c r="F5301" s="949">
        <v>1503</v>
      </c>
      <c r="G5301" s="950" t="s">
        <v>17260</v>
      </c>
      <c r="H5301" s="950" t="s">
        <v>398</v>
      </c>
      <c r="I5301" s="951" t="s">
        <v>5496</v>
      </c>
      <c r="J5301" s="947" t="s">
        <v>5497</v>
      </c>
      <c r="K5301" s="143"/>
    </row>
    <row r="5302" spans="1:11">
      <c r="A5302" s="946" t="s">
        <v>28607</v>
      </c>
      <c r="B5302" s="947" t="s">
        <v>5641</v>
      </c>
      <c r="C5302" s="948" t="s">
        <v>5639</v>
      </c>
      <c r="D5302" s="242" t="s">
        <v>28712</v>
      </c>
      <c r="E5302" s="949">
        <v>1503</v>
      </c>
      <c r="F5302" s="949">
        <v>1503</v>
      </c>
      <c r="G5302" s="950" t="s">
        <v>17260</v>
      </c>
      <c r="H5302" s="950" t="s">
        <v>398</v>
      </c>
      <c r="I5302" s="951" t="s">
        <v>5640</v>
      </c>
      <c r="J5302" s="947" t="s">
        <v>5641</v>
      </c>
      <c r="K5302" s="143"/>
    </row>
    <row r="5303" spans="1:11">
      <c r="A5303" s="946" t="s">
        <v>28607</v>
      </c>
      <c r="B5303" s="947" t="s">
        <v>5808</v>
      </c>
      <c r="C5303" s="948" t="s">
        <v>5806</v>
      </c>
      <c r="D5303" s="242" t="s">
        <v>28712</v>
      </c>
      <c r="E5303" s="949">
        <v>1503</v>
      </c>
      <c r="F5303" s="949">
        <v>1503</v>
      </c>
      <c r="G5303" s="950" t="s">
        <v>17260</v>
      </c>
      <c r="H5303" s="950" t="s">
        <v>398</v>
      </c>
      <c r="I5303" s="951" t="s">
        <v>5807</v>
      </c>
      <c r="J5303" s="947" t="s">
        <v>5808</v>
      </c>
      <c r="K5303" s="143"/>
    </row>
    <row r="5304" spans="1:11">
      <c r="A5304" s="946" t="s">
        <v>28607</v>
      </c>
      <c r="B5304" s="947" t="s">
        <v>5865</v>
      </c>
      <c r="C5304" s="948" t="s">
        <v>5863</v>
      </c>
      <c r="D5304" s="242" t="s">
        <v>28712</v>
      </c>
      <c r="E5304" s="949">
        <v>1503</v>
      </c>
      <c r="F5304" s="949">
        <v>1503</v>
      </c>
      <c r="G5304" s="950" t="s">
        <v>17260</v>
      </c>
      <c r="H5304" s="950" t="s">
        <v>398</v>
      </c>
      <c r="I5304" s="951" t="s">
        <v>5864</v>
      </c>
      <c r="J5304" s="947" t="s">
        <v>5865</v>
      </c>
      <c r="K5304" s="143"/>
    </row>
    <row r="5305" spans="1:11">
      <c r="A5305" s="946" t="s">
        <v>28607</v>
      </c>
      <c r="B5305" s="947" t="s">
        <v>5900</v>
      </c>
      <c r="C5305" s="948" t="s">
        <v>5898</v>
      </c>
      <c r="D5305" s="242" t="s">
        <v>28712</v>
      </c>
      <c r="E5305" s="949">
        <v>1503</v>
      </c>
      <c r="F5305" s="949">
        <v>1503</v>
      </c>
      <c r="G5305" s="950" t="s">
        <v>17260</v>
      </c>
      <c r="H5305" s="950" t="s">
        <v>398</v>
      </c>
      <c r="I5305" s="951" t="s">
        <v>5899</v>
      </c>
      <c r="J5305" s="947" t="s">
        <v>5900</v>
      </c>
      <c r="K5305" s="143"/>
    </row>
    <row r="5306" spans="1:11">
      <c r="A5306" s="946" t="s">
        <v>28607</v>
      </c>
      <c r="B5306" s="947" t="s">
        <v>6151</v>
      </c>
      <c r="C5306" s="948" t="s">
        <v>6149</v>
      </c>
      <c r="D5306" s="242" t="s">
        <v>28712</v>
      </c>
      <c r="E5306" s="949">
        <v>1503</v>
      </c>
      <c r="F5306" s="949">
        <v>1503</v>
      </c>
      <c r="G5306" s="950" t="s">
        <v>17260</v>
      </c>
      <c r="H5306" s="950" t="s">
        <v>398</v>
      </c>
      <c r="I5306" s="951" t="s">
        <v>6150</v>
      </c>
      <c r="J5306" s="947" t="s">
        <v>6151</v>
      </c>
      <c r="K5306" s="143"/>
    </row>
    <row r="5307" spans="1:11">
      <c r="A5307" s="946" t="s">
        <v>28607</v>
      </c>
      <c r="B5307" s="947" t="s">
        <v>6356</v>
      </c>
      <c r="C5307" s="948" t="s">
        <v>6354</v>
      </c>
      <c r="D5307" s="242" t="s">
        <v>28712</v>
      </c>
      <c r="E5307" s="949">
        <v>1503</v>
      </c>
      <c r="F5307" s="949">
        <v>1503</v>
      </c>
      <c r="G5307" s="950" t="s">
        <v>17260</v>
      </c>
      <c r="H5307" s="950" t="s">
        <v>398</v>
      </c>
      <c r="I5307" s="951" t="s">
        <v>6355</v>
      </c>
      <c r="J5307" s="947" t="s">
        <v>6356</v>
      </c>
      <c r="K5307" s="143"/>
    </row>
    <row r="5308" spans="1:11">
      <c r="A5308" s="946" t="s">
        <v>28607</v>
      </c>
      <c r="B5308" s="947" t="s">
        <v>6808</v>
      </c>
      <c r="C5308" s="948" t="s">
        <v>6806</v>
      </c>
      <c r="D5308" s="242" t="s">
        <v>28712</v>
      </c>
      <c r="E5308" s="949">
        <v>1503</v>
      </c>
      <c r="F5308" s="949">
        <v>1503</v>
      </c>
      <c r="G5308" s="950" t="s">
        <v>17260</v>
      </c>
      <c r="H5308" s="950" t="s">
        <v>398</v>
      </c>
      <c r="I5308" s="951" t="s">
        <v>6807</v>
      </c>
      <c r="J5308" s="947" t="s">
        <v>6808</v>
      </c>
      <c r="K5308" s="143"/>
    </row>
    <row r="5309" spans="1:11">
      <c r="A5309" s="946" t="s">
        <v>28607</v>
      </c>
      <c r="B5309" s="947" t="s">
        <v>6929</v>
      </c>
      <c r="C5309" s="948" t="s">
        <v>6927</v>
      </c>
      <c r="D5309" s="242" t="s">
        <v>28712</v>
      </c>
      <c r="E5309" s="949">
        <v>1503</v>
      </c>
      <c r="F5309" s="949">
        <v>1503</v>
      </c>
      <c r="G5309" s="950" t="s">
        <v>17260</v>
      </c>
      <c r="H5309" s="950" t="s">
        <v>398</v>
      </c>
      <c r="I5309" s="951" t="s">
        <v>6928</v>
      </c>
      <c r="J5309" s="947" t="s">
        <v>6929</v>
      </c>
      <c r="K5309" s="143"/>
    </row>
    <row r="5310" spans="1:11">
      <c r="A5310" s="946" t="s">
        <v>28607</v>
      </c>
      <c r="B5310" s="947" t="s">
        <v>6994</v>
      </c>
      <c r="C5310" s="948" t="s">
        <v>6992</v>
      </c>
      <c r="D5310" s="242" t="s">
        <v>28712</v>
      </c>
      <c r="E5310" s="949">
        <v>1503</v>
      </c>
      <c r="F5310" s="949">
        <v>1503</v>
      </c>
      <c r="G5310" s="950" t="s">
        <v>17260</v>
      </c>
      <c r="H5310" s="950" t="s">
        <v>398</v>
      </c>
      <c r="I5310" s="951" t="s">
        <v>6993</v>
      </c>
      <c r="J5310" s="947" t="s">
        <v>6994</v>
      </c>
      <c r="K5310" s="143"/>
    </row>
    <row r="5311" spans="1:11">
      <c r="A5311" s="946" t="s">
        <v>28607</v>
      </c>
      <c r="B5311" s="947" t="s">
        <v>6997</v>
      </c>
      <c r="C5311" s="948" t="s">
        <v>6995</v>
      </c>
      <c r="D5311" s="242" t="s">
        <v>28712</v>
      </c>
      <c r="E5311" s="949">
        <v>1503</v>
      </c>
      <c r="F5311" s="949">
        <v>1503</v>
      </c>
      <c r="G5311" s="950" t="s">
        <v>17260</v>
      </c>
      <c r="H5311" s="950" t="s">
        <v>398</v>
      </c>
      <c r="I5311" s="951" t="s">
        <v>6996</v>
      </c>
      <c r="J5311" s="947" t="s">
        <v>6997</v>
      </c>
      <c r="K5311" s="143"/>
    </row>
    <row r="5312" spans="1:11">
      <c r="A5312" s="946" t="s">
        <v>28607</v>
      </c>
      <c r="B5312" s="947" t="s">
        <v>7024</v>
      </c>
      <c r="C5312" s="948" t="s">
        <v>7022</v>
      </c>
      <c r="D5312" s="242" t="s">
        <v>28712</v>
      </c>
      <c r="E5312" s="949">
        <v>1504</v>
      </c>
      <c r="F5312" s="949">
        <v>1504</v>
      </c>
      <c r="G5312" s="950" t="s">
        <v>17260</v>
      </c>
      <c r="H5312" s="950" t="s">
        <v>398</v>
      </c>
      <c r="I5312" s="951" t="s">
        <v>7023</v>
      </c>
      <c r="J5312" s="947" t="s">
        <v>7024</v>
      </c>
      <c r="K5312" s="143"/>
    </row>
    <row r="5313" spans="1:11">
      <c r="A5313" s="946" t="s">
        <v>28607</v>
      </c>
      <c r="B5313" s="947" t="s">
        <v>7078</v>
      </c>
      <c r="C5313" s="948" t="s">
        <v>7076</v>
      </c>
      <c r="D5313" s="242" t="s">
        <v>28712</v>
      </c>
      <c r="E5313" s="949">
        <v>1503</v>
      </c>
      <c r="F5313" s="949">
        <v>1503</v>
      </c>
      <c r="G5313" s="950" t="s">
        <v>17260</v>
      </c>
      <c r="H5313" s="950" t="s">
        <v>398</v>
      </c>
      <c r="I5313" s="951" t="s">
        <v>7077</v>
      </c>
      <c r="J5313" s="947" t="s">
        <v>7078</v>
      </c>
      <c r="K5313" s="143"/>
    </row>
    <row r="5314" spans="1:11">
      <c r="A5314" s="946" t="s">
        <v>28607</v>
      </c>
      <c r="B5314" s="947" t="s">
        <v>7436</v>
      </c>
      <c r="C5314" s="948" t="s">
        <v>7434</v>
      </c>
      <c r="D5314" s="242" t="s">
        <v>28712</v>
      </c>
      <c r="E5314" s="949">
        <v>1503</v>
      </c>
      <c r="F5314" s="949">
        <v>1503</v>
      </c>
      <c r="G5314" s="950" t="s">
        <v>17260</v>
      </c>
      <c r="H5314" s="950" t="s">
        <v>398</v>
      </c>
      <c r="I5314" s="951" t="s">
        <v>7435</v>
      </c>
      <c r="J5314" s="947" t="s">
        <v>7436</v>
      </c>
      <c r="K5314" s="143"/>
    </row>
    <row r="5315" spans="1:11">
      <c r="A5315" s="946" t="s">
        <v>28607</v>
      </c>
      <c r="B5315" s="947" t="s">
        <v>7820</v>
      </c>
      <c r="C5315" s="948" t="s">
        <v>7818</v>
      </c>
      <c r="D5315" s="242" t="s">
        <v>28712</v>
      </c>
      <c r="E5315" s="949">
        <v>1503</v>
      </c>
      <c r="F5315" s="949">
        <v>1503</v>
      </c>
      <c r="G5315" s="950" t="s">
        <v>17260</v>
      </c>
      <c r="H5315" s="950" t="s">
        <v>398</v>
      </c>
      <c r="I5315" s="951" t="s">
        <v>7819</v>
      </c>
      <c r="J5315" s="947" t="s">
        <v>7820</v>
      </c>
      <c r="K5315" s="143"/>
    </row>
    <row r="5316" spans="1:11">
      <c r="A5316" s="946" t="s">
        <v>28607</v>
      </c>
      <c r="B5316" s="947" t="s">
        <v>8106</v>
      </c>
      <c r="C5316" s="948" t="s">
        <v>8104</v>
      </c>
      <c r="D5316" s="242" t="s">
        <v>28712</v>
      </c>
      <c r="E5316" s="949">
        <v>1503</v>
      </c>
      <c r="F5316" s="949">
        <v>1503</v>
      </c>
      <c r="G5316" s="950" t="s">
        <v>17260</v>
      </c>
      <c r="H5316" s="950" t="s">
        <v>398</v>
      </c>
      <c r="I5316" s="951" t="s">
        <v>8105</v>
      </c>
      <c r="J5316" s="947" t="s">
        <v>8106</v>
      </c>
      <c r="K5316" s="143"/>
    </row>
    <row r="5317" spans="1:11">
      <c r="A5317" s="946" t="s">
        <v>28607</v>
      </c>
      <c r="B5317" s="947" t="s">
        <v>8292</v>
      </c>
      <c r="C5317" s="948" t="s">
        <v>8290</v>
      </c>
      <c r="D5317" s="242" t="s">
        <v>28712</v>
      </c>
      <c r="E5317" s="949">
        <v>1504</v>
      </c>
      <c r="F5317" s="949">
        <v>1504</v>
      </c>
      <c r="G5317" s="950" t="s">
        <v>17260</v>
      </c>
      <c r="H5317" s="950" t="s">
        <v>398</v>
      </c>
      <c r="I5317" s="951" t="s">
        <v>8291</v>
      </c>
      <c r="J5317" s="947" t="s">
        <v>8292</v>
      </c>
      <c r="K5317" s="143"/>
    </row>
    <row r="5318" spans="1:11">
      <c r="A5318" s="946" t="s">
        <v>28607</v>
      </c>
      <c r="B5318" s="947" t="s">
        <v>8769</v>
      </c>
      <c r="C5318" s="948" t="s">
        <v>8767</v>
      </c>
      <c r="D5318" s="242" t="s">
        <v>28712</v>
      </c>
      <c r="E5318" s="949">
        <v>1503</v>
      </c>
      <c r="F5318" s="949">
        <v>1503</v>
      </c>
      <c r="G5318" s="950" t="s">
        <v>17260</v>
      </c>
      <c r="H5318" s="950" t="s">
        <v>398</v>
      </c>
      <c r="I5318" s="951" t="s">
        <v>8768</v>
      </c>
      <c r="J5318" s="947" t="s">
        <v>8769</v>
      </c>
      <c r="K5318" s="143"/>
    </row>
    <row r="5319" spans="1:11">
      <c r="A5319" s="946" t="s">
        <v>28607</v>
      </c>
      <c r="B5319" s="947" t="s">
        <v>8782</v>
      </c>
      <c r="C5319" s="948" t="s">
        <v>8780</v>
      </c>
      <c r="D5319" s="242" t="s">
        <v>28712</v>
      </c>
      <c r="E5319" s="949">
        <v>1503</v>
      </c>
      <c r="F5319" s="949">
        <v>1503</v>
      </c>
      <c r="G5319" s="950" t="s">
        <v>17260</v>
      </c>
      <c r="H5319" s="950" t="s">
        <v>398</v>
      </c>
      <c r="I5319" s="951" t="s">
        <v>8781</v>
      </c>
      <c r="J5319" s="947" t="s">
        <v>8782</v>
      </c>
      <c r="K5319" s="143"/>
    </row>
    <row r="5320" spans="1:11">
      <c r="A5320" s="946" t="s">
        <v>28607</v>
      </c>
      <c r="B5320" s="947" t="s">
        <v>9218</v>
      </c>
      <c r="C5320" s="948" t="s">
        <v>9216</v>
      </c>
      <c r="D5320" s="242" t="s">
        <v>28712</v>
      </c>
      <c r="E5320" s="949">
        <v>1503</v>
      </c>
      <c r="F5320" s="949">
        <v>1503</v>
      </c>
      <c r="G5320" s="950" t="s">
        <v>17260</v>
      </c>
      <c r="H5320" s="950" t="s">
        <v>398</v>
      </c>
      <c r="I5320" s="951" t="s">
        <v>9217</v>
      </c>
      <c r="J5320" s="947" t="s">
        <v>9218</v>
      </c>
      <c r="K5320" s="143"/>
    </row>
    <row r="5321" spans="1:11">
      <c r="A5321" s="946" t="s">
        <v>28607</v>
      </c>
      <c r="B5321" s="947" t="s">
        <v>9221</v>
      </c>
      <c r="C5321" s="948" t="s">
        <v>9219</v>
      </c>
      <c r="D5321" s="242" t="s">
        <v>28712</v>
      </c>
      <c r="E5321" s="949">
        <v>1503</v>
      </c>
      <c r="F5321" s="949">
        <v>1503</v>
      </c>
      <c r="G5321" s="950" t="s">
        <v>17260</v>
      </c>
      <c r="H5321" s="950" t="s">
        <v>398</v>
      </c>
      <c r="I5321" s="951" t="s">
        <v>9220</v>
      </c>
      <c r="J5321" s="947" t="s">
        <v>9221</v>
      </c>
      <c r="K5321" s="143"/>
    </row>
    <row r="5322" spans="1:11">
      <c r="A5322" s="946" t="s">
        <v>28607</v>
      </c>
      <c r="B5322" s="947" t="s">
        <v>9244</v>
      </c>
      <c r="C5322" s="948" t="s">
        <v>9242</v>
      </c>
      <c r="D5322" s="242" t="s">
        <v>28712</v>
      </c>
      <c r="E5322" s="949">
        <v>1503</v>
      </c>
      <c r="F5322" s="949">
        <v>1503</v>
      </c>
      <c r="G5322" s="950" t="s">
        <v>17260</v>
      </c>
      <c r="H5322" s="950" t="s">
        <v>398</v>
      </c>
      <c r="I5322" s="951" t="s">
        <v>9243</v>
      </c>
      <c r="J5322" s="947" t="s">
        <v>9244</v>
      </c>
      <c r="K5322" s="143"/>
    </row>
    <row r="5323" spans="1:11">
      <c r="A5323" s="946" t="s">
        <v>28607</v>
      </c>
      <c r="B5323" s="947" t="s">
        <v>9299</v>
      </c>
      <c r="C5323" s="948" t="s">
        <v>9297</v>
      </c>
      <c r="D5323" s="242" t="s">
        <v>28712</v>
      </c>
      <c r="E5323" s="949">
        <v>1503</v>
      </c>
      <c r="F5323" s="949">
        <v>1503</v>
      </c>
      <c r="G5323" s="950" t="s">
        <v>17260</v>
      </c>
      <c r="H5323" s="950" t="s">
        <v>398</v>
      </c>
      <c r="I5323" s="951" t="s">
        <v>9298</v>
      </c>
      <c r="J5323" s="947" t="s">
        <v>9299</v>
      </c>
      <c r="K5323" s="143"/>
    </row>
    <row r="5324" spans="1:11">
      <c r="A5324" s="946" t="s">
        <v>28607</v>
      </c>
      <c r="B5324" s="947" t="s">
        <v>9925</v>
      </c>
      <c r="C5324" s="948" t="s">
        <v>9923</v>
      </c>
      <c r="D5324" s="242" t="s">
        <v>28712</v>
      </c>
      <c r="E5324" s="949">
        <v>1503</v>
      </c>
      <c r="F5324" s="949">
        <v>1503</v>
      </c>
      <c r="G5324" s="950" t="s">
        <v>17260</v>
      </c>
      <c r="H5324" s="950" t="s">
        <v>398</v>
      </c>
      <c r="I5324" s="951" t="s">
        <v>9924</v>
      </c>
      <c r="J5324" s="947" t="s">
        <v>9925</v>
      </c>
      <c r="K5324" s="143"/>
    </row>
    <row r="5325" spans="1:11">
      <c r="A5325" s="946" t="s">
        <v>28607</v>
      </c>
      <c r="B5325" s="947" t="s">
        <v>10198</v>
      </c>
      <c r="C5325" s="948" t="s">
        <v>10196</v>
      </c>
      <c r="D5325" s="242" t="s">
        <v>28712</v>
      </c>
      <c r="E5325" s="949">
        <v>1503</v>
      </c>
      <c r="F5325" s="949">
        <v>1503</v>
      </c>
      <c r="G5325" s="950" t="s">
        <v>17260</v>
      </c>
      <c r="H5325" s="950" t="s">
        <v>398</v>
      </c>
      <c r="I5325" s="951" t="s">
        <v>10197</v>
      </c>
      <c r="J5325" s="947" t="s">
        <v>10198</v>
      </c>
      <c r="K5325" s="143"/>
    </row>
    <row r="5326" spans="1:11">
      <c r="A5326" s="946" t="s">
        <v>28607</v>
      </c>
      <c r="B5326" s="947" t="s">
        <v>10214</v>
      </c>
      <c r="C5326" s="948" t="s">
        <v>10212</v>
      </c>
      <c r="D5326" s="242" t="s">
        <v>28712</v>
      </c>
      <c r="E5326" s="949">
        <v>1503</v>
      </c>
      <c r="F5326" s="949">
        <v>1503</v>
      </c>
      <c r="G5326" s="950" t="s">
        <v>17260</v>
      </c>
      <c r="H5326" s="950" t="s">
        <v>398</v>
      </c>
      <c r="I5326" s="951" t="s">
        <v>10213</v>
      </c>
      <c r="J5326" s="947" t="s">
        <v>10214</v>
      </c>
      <c r="K5326" s="143"/>
    </row>
    <row r="5327" spans="1:11">
      <c r="A5327" s="946" t="s">
        <v>28607</v>
      </c>
      <c r="B5327" s="947" t="s">
        <v>10217</v>
      </c>
      <c r="C5327" s="948" t="s">
        <v>10215</v>
      </c>
      <c r="D5327" s="242" t="s">
        <v>28712</v>
      </c>
      <c r="E5327" s="949">
        <v>1503</v>
      </c>
      <c r="F5327" s="949">
        <v>1503</v>
      </c>
      <c r="G5327" s="950" t="s">
        <v>17260</v>
      </c>
      <c r="H5327" s="950" t="s">
        <v>398</v>
      </c>
      <c r="I5327" s="951" t="s">
        <v>10216</v>
      </c>
      <c r="J5327" s="947" t="s">
        <v>10217</v>
      </c>
      <c r="K5327" s="143"/>
    </row>
    <row r="5328" spans="1:11">
      <c r="A5328" s="946" t="s">
        <v>28607</v>
      </c>
      <c r="B5328" s="947" t="s">
        <v>10242</v>
      </c>
      <c r="C5328" s="948" t="s">
        <v>10240</v>
      </c>
      <c r="D5328" s="242" t="s">
        <v>28712</v>
      </c>
      <c r="E5328" s="949">
        <v>1503</v>
      </c>
      <c r="F5328" s="949">
        <v>1503</v>
      </c>
      <c r="G5328" s="950" t="s">
        <v>17260</v>
      </c>
      <c r="H5328" s="950" t="s">
        <v>398</v>
      </c>
      <c r="I5328" s="951" t="s">
        <v>10241</v>
      </c>
      <c r="J5328" s="947" t="s">
        <v>10242</v>
      </c>
      <c r="K5328" s="143"/>
    </row>
    <row r="5329" spans="1:11">
      <c r="A5329" s="946" t="s">
        <v>28607</v>
      </c>
      <c r="B5329" s="947" t="s">
        <v>10787</v>
      </c>
      <c r="C5329" s="948" t="s">
        <v>10785</v>
      </c>
      <c r="D5329" s="242" t="s">
        <v>28712</v>
      </c>
      <c r="E5329" s="949">
        <v>1503</v>
      </c>
      <c r="F5329" s="949">
        <v>1503</v>
      </c>
      <c r="G5329" s="950" t="s">
        <v>17260</v>
      </c>
      <c r="H5329" s="950" t="s">
        <v>398</v>
      </c>
      <c r="I5329" s="951" t="s">
        <v>10786</v>
      </c>
      <c r="J5329" s="947" t="s">
        <v>10787</v>
      </c>
      <c r="K5329" s="143"/>
    </row>
    <row r="5330" spans="1:11">
      <c r="A5330" s="946" t="s">
        <v>28607</v>
      </c>
      <c r="B5330" s="947" t="s">
        <v>10896</v>
      </c>
      <c r="C5330" s="948" t="s">
        <v>10894</v>
      </c>
      <c r="D5330" s="242" t="s">
        <v>28712</v>
      </c>
      <c r="E5330" s="949">
        <v>1503</v>
      </c>
      <c r="F5330" s="949">
        <v>1503</v>
      </c>
      <c r="G5330" s="950" t="s">
        <v>17260</v>
      </c>
      <c r="H5330" s="950" t="s">
        <v>398</v>
      </c>
      <c r="I5330" s="951" t="s">
        <v>10895</v>
      </c>
      <c r="J5330" s="947" t="s">
        <v>10896</v>
      </c>
      <c r="K5330" s="143"/>
    </row>
    <row r="5331" spans="1:11">
      <c r="A5331" s="946" t="s">
        <v>28607</v>
      </c>
      <c r="B5331" s="947" t="s">
        <v>10939</v>
      </c>
      <c r="C5331" s="948" t="s">
        <v>10937</v>
      </c>
      <c r="D5331" s="242" t="s">
        <v>28712</v>
      </c>
      <c r="E5331" s="949">
        <v>1503</v>
      </c>
      <c r="F5331" s="949">
        <v>1503</v>
      </c>
      <c r="G5331" s="950" t="s">
        <v>17260</v>
      </c>
      <c r="H5331" s="950" t="s">
        <v>398</v>
      </c>
      <c r="I5331" s="951" t="s">
        <v>10938</v>
      </c>
      <c r="J5331" s="947" t="s">
        <v>10939</v>
      </c>
      <c r="K5331" s="143"/>
    </row>
    <row r="5332" spans="1:11">
      <c r="A5332" s="946" t="s">
        <v>28607</v>
      </c>
      <c r="B5332" s="947" t="s">
        <v>11625</v>
      </c>
      <c r="C5332" s="948" t="s">
        <v>11623</v>
      </c>
      <c r="D5332" s="242" t="s">
        <v>28712</v>
      </c>
      <c r="E5332" s="949">
        <v>1504</v>
      </c>
      <c r="F5332" s="949">
        <v>1504</v>
      </c>
      <c r="G5332" s="950" t="s">
        <v>17260</v>
      </c>
      <c r="H5332" s="950" t="s">
        <v>398</v>
      </c>
      <c r="I5332" s="951" t="s">
        <v>11624</v>
      </c>
      <c r="J5332" s="947" t="s">
        <v>11625</v>
      </c>
      <c r="K5332" s="143"/>
    </row>
    <row r="5333" spans="1:11">
      <c r="A5333" s="946" t="s">
        <v>28607</v>
      </c>
      <c r="B5333" s="947" t="s">
        <v>11800</v>
      </c>
      <c r="C5333" s="948" t="s">
        <v>11798</v>
      </c>
      <c r="D5333" s="242" t="s">
        <v>28712</v>
      </c>
      <c r="E5333" s="949">
        <v>1503</v>
      </c>
      <c r="F5333" s="949">
        <v>1503</v>
      </c>
      <c r="G5333" s="950" t="s">
        <v>17260</v>
      </c>
      <c r="H5333" s="950" t="s">
        <v>398</v>
      </c>
      <c r="I5333" s="951" t="s">
        <v>11799</v>
      </c>
      <c r="J5333" s="947" t="s">
        <v>11800</v>
      </c>
      <c r="K5333" s="143"/>
    </row>
    <row r="5334" spans="1:11">
      <c r="A5334" s="946" t="s">
        <v>28607</v>
      </c>
      <c r="B5334" s="947" t="s">
        <v>11919</v>
      </c>
      <c r="C5334" s="948" t="s">
        <v>11917</v>
      </c>
      <c r="D5334" s="242" t="s">
        <v>28712</v>
      </c>
      <c r="E5334" s="949">
        <v>1503</v>
      </c>
      <c r="F5334" s="949">
        <v>1503</v>
      </c>
      <c r="G5334" s="950" t="s">
        <v>17260</v>
      </c>
      <c r="H5334" s="950" t="s">
        <v>398</v>
      </c>
      <c r="I5334" s="951" t="s">
        <v>11918</v>
      </c>
      <c r="J5334" s="947" t="s">
        <v>11919</v>
      </c>
      <c r="K5334" s="143"/>
    </row>
    <row r="5335" spans="1:11">
      <c r="A5335" s="946" t="s">
        <v>28607</v>
      </c>
      <c r="B5335" s="947" t="s">
        <v>12245</v>
      </c>
      <c r="C5335" s="948" t="s">
        <v>12243</v>
      </c>
      <c r="D5335" s="242" t="s">
        <v>28712</v>
      </c>
      <c r="E5335" s="949">
        <v>1503</v>
      </c>
      <c r="F5335" s="949">
        <v>1503</v>
      </c>
      <c r="G5335" s="950" t="s">
        <v>17260</v>
      </c>
      <c r="H5335" s="950" t="s">
        <v>398</v>
      </c>
      <c r="I5335" s="951" t="s">
        <v>12244</v>
      </c>
      <c r="J5335" s="947" t="s">
        <v>12245</v>
      </c>
      <c r="K5335" s="143"/>
    </row>
    <row r="5336" spans="1:11">
      <c r="A5336" s="946" t="s">
        <v>28607</v>
      </c>
      <c r="B5336" s="947" t="s">
        <v>12435</v>
      </c>
      <c r="C5336" s="948" t="s">
        <v>12433</v>
      </c>
      <c r="D5336" s="242" t="s">
        <v>28712</v>
      </c>
      <c r="E5336" s="949">
        <v>1503</v>
      </c>
      <c r="F5336" s="949">
        <v>1503</v>
      </c>
      <c r="G5336" s="950" t="s">
        <v>17260</v>
      </c>
      <c r="H5336" s="950" t="s">
        <v>398</v>
      </c>
      <c r="I5336" s="951" t="s">
        <v>12434</v>
      </c>
      <c r="J5336" s="947" t="s">
        <v>12435</v>
      </c>
      <c r="K5336" s="143"/>
    </row>
    <row r="5337" spans="1:11">
      <c r="A5337" s="946" t="s">
        <v>28607</v>
      </c>
      <c r="B5337" s="947" t="s">
        <v>12438</v>
      </c>
      <c r="C5337" s="948" t="s">
        <v>12436</v>
      </c>
      <c r="D5337" s="242" t="s">
        <v>28712</v>
      </c>
      <c r="E5337" s="949">
        <v>1503</v>
      </c>
      <c r="F5337" s="949">
        <v>1503</v>
      </c>
      <c r="G5337" s="950" t="s">
        <v>17260</v>
      </c>
      <c r="H5337" s="950" t="s">
        <v>398</v>
      </c>
      <c r="I5337" s="951" t="s">
        <v>12437</v>
      </c>
      <c r="J5337" s="947" t="s">
        <v>12438</v>
      </c>
      <c r="K5337" s="143"/>
    </row>
    <row r="5338" spans="1:11">
      <c r="A5338" s="946" t="s">
        <v>28607</v>
      </c>
      <c r="B5338" s="947" t="s">
        <v>12441</v>
      </c>
      <c r="C5338" s="948" t="s">
        <v>12439</v>
      </c>
      <c r="D5338" s="242" t="s">
        <v>28712</v>
      </c>
      <c r="E5338" s="949">
        <v>1503</v>
      </c>
      <c r="F5338" s="949">
        <v>1503</v>
      </c>
      <c r="G5338" s="950" t="s">
        <v>17260</v>
      </c>
      <c r="H5338" s="950" t="s">
        <v>398</v>
      </c>
      <c r="I5338" s="951" t="s">
        <v>12440</v>
      </c>
      <c r="J5338" s="947" t="s">
        <v>12441</v>
      </c>
      <c r="K5338" s="143"/>
    </row>
    <row r="5339" spans="1:11">
      <c r="A5339" s="946" t="s">
        <v>28607</v>
      </c>
      <c r="B5339" s="947" t="s">
        <v>12499</v>
      </c>
      <c r="C5339" s="948" t="s">
        <v>12497</v>
      </c>
      <c r="D5339" s="242" t="s">
        <v>28712</v>
      </c>
      <c r="E5339" s="949">
        <v>1503</v>
      </c>
      <c r="F5339" s="949">
        <v>1503</v>
      </c>
      <c r="G5339" s="950" t="s">
        <v>17260</v>
      </c>
      <c r="H5339" s="950" t="s">
        <v>398</v>
      </c>
      <c r="I5339" s="951" t="s">
        <v>12498</v>
      </c>
      <c r="J5339" s="947" t="s">
        <v>12499</v>
      </c>
      <c r="K5339" s="143"/>
    </row>
    <row r="5340" spans="1:11">
      <c r="A5340" s="946" t="s">
        <v>28607</v>
      </c>
      <c r="B5340" s="947" t="s">
        <v>12317</v>
      </c>
      <c r="C5340" s="948" t="s">
        <v>12315</v>
      </c>
      <c r="D5340" s="242" t="s">
        <v>28712</v>
      </c>
      <c r="E5340" s="949">
        <v>1503</v>
      </c>
      <c r="F5340" s="949">
        <v>1503</v>
      </c>
      <c r="G5340" s="950" t="s">
        <v>17260</v>
      </c>
      <c r="H5340" s="950" t="s">
        <v>398</v>
      </c>
      <c r="I5340" s="951" t="s">
        <v>12316</v>
      </c>
      <c r="J5340" s="947" t="s">
        <v>12317</v>
      </c>
      <c r="K5340" s="143"/>
    </row>
    <row r="5341" spans="1:11">
      <c r="A5341" s="946" t="s">
        <v>28607</v>
      </c>
      <c r="B5341" s="947" t="s">
        <v>12731</v>
      </c>
      <c r="C5341" s="948" t="s">
        <v>12729</v>
      </c>
      <c r="D5341" s="242" t="s">
        <v>28712</v>
      </c>
      <c r="E5341" s="949">
        <v>1503</v>
      </c>
      <c r="F5341" s="949">
        <v>1503</v>
      </c>
      <c r="G5341" s="950" t="s">
        <v>17260</v>
      </c>
      <c r="H5341" s="950" t="s">
        <v>398</v>
      </c>
      <c r="I5341" s="951" t="s">
        <v>12730</v>
      </c>
      <c r="J5341" s="947" t="s">
        <v>12731</v>
      </c>
      <c r="K5341" s="143"/>
    </row>
    <row r="5342" spans="1:11">
      <c r="A5342" s="946" t="s">
        <v>28607</v>
      </c>
      <c r="B5342" s="947" t="s">
        <v>12938</v>
      </c>
      <c r="C5342" s="948" t="s">
        <v>12936</v>
      </c>
      <c r="D5342" s="242" t="s">
        <v>28712</v>
      </c>
      <c r="E5342" s="949">
        <v>1503</v>
      </c>
      <c r="F5342" s="949">
        <v>1503</v>
      </c>
      <c r="G5342" s="950" t="s">
        <v>17260</v>
      </c>
      <c r="H5342" s="950" t="s">
        <v>398</v>
      </c>
      <c r="I5342" s="951" t="s">
        <v>12937</v>
      </c>
      <c r="J5342" s="947" t="s">
        <v>12938</v>
      </c>
      <c r="K5342" s="143"/>
    </row>
    <row r="5343" spans="1:11">
      <c r="A5343" s="946" t="s">
        <v>28607</v>
      </c>
      <c r="B5343" s="947" t="s">
        <v>13307</v>
      </c>
      <c r="C5343" s="948" t="s">
        <v>13305</v>
      </c>
      <c r="D5343" s="242" t="s">
        <v>28712</v>
      </c>
      <c r="E5343" s="949">
        <v>1504</v>
      </c>
      <c r="F5343" s="949">
        <v>1504</v>
      </c>
      <c r="G5343" s="950" t="s">
        <v>17260</v>
      </c>
      <c r="H5343" s="950" t="s">
        <v>398</v>
      </c>
      <c r="I5343" s="951" t="s">
        <v>13306</v>
      </c>
      <c r="J5343" s="947" t="s">
        <v>13307</v>
      </c>
      <c r="K5343" s="143"/>
    </row>
    <row r="5344" spans="1:11">
      <c r="A5344" s="946" t="s">
        <v>28607</v>
      </c>
      <c r="B5344" s="947" t="s">
        <v>13310</v>
      </c>
      <c r="C5344" s="948" t="s">
        <v>13308</v>
      </c>
      <c r="D5344" s="242" t="s">
        <v>28712</v>
      </c>
      <c r="E5344" s="949">
        <v>1504</v>
      </c>
      <c r="F5344" s="949">
        <v>1504</v>
      </c>
      <c r="G5344" s="950" t="s">
        <v>17260</v>
      </c>
      <c r="H5344" s="950" t="s">
        <v>398</v>
      </c>
      <c r="I5344" s="951" t="s">
        <v>13309</v>
      </c>
      <c r="J5344" s="947" t="s">
        <v>13310</v>
      </c>
      <c r="K5344" s="143"/>
    </row>
    <row r="5345" spans="1:11">
      <c r="A5345" s="946" t="s">
        <v>28607</v>
      </c>
      <c r="B5345" s="947" t="s">
        <v>13442</v>
      </c>
      <c r="C5345" s="948" t="s">
        <v>13440</v>
      </c>
      <c r="D5345" s="242" t="s">
        <v>28712</v>
      </c>
      <c r="E5345" s="949">
        <v>1503</v>
      </c>
      <c r="F5345" s="949">
        <v>1503</v>
      </c>
      <c r="G5345" s="950" t="s">
        <v>17260</v>
      </c>
      <c r="H5345" s="950" t="s">
        <v>398</v>
      </c>
      <c r="I5345" s="951" t="s">
        <v>13441</v>
      </c>
      <c r="J5345" s="947" t="s">
        <v>13442</v>
      </c>
      <c r="K5345" s="143"/>
    </row>
    <row r="5346" spans="1:11">
      <c r="A5346" s="946" t="s">
        <v>28607</v>
      </c>
      <c r="B5346" s="947" t="s">
        <v>13541</v>
      </c>
      <c r="C5346" s="948" t="s">
        <v>13539</v>
      </c>
      <c r="D5346" s="242" t="s">
        <v>28712</v>
      </c>
      <c r="E5346" s="949">
        <v>1503</v>
      </c>
      <c r="F5346" s="949">
        <v>1503</v>
      </c>
      <c r="G5346" s="950" t="s">
        <v>17260</v>
      </c>
      <c r="H5346" s="950" t="s">
        <v>398</v>
      </c>
      <c r="I5346" s="951" t="s">
        <v>13540</v>
      </c>
      <c r="J5346" s="947" t="s">
        <v>13541</v>
      </c>
      <c r="K5346" s="143"/>
    </row>
    <row r="5347" spans="1:11">
      <c r="A5347" s="946" t="s">
        <v>28607</v>
      </c>
      <c r="B5347" s="947" t="s">
        <v>13563</v>
      </c>
      <c r="C5347" s="948" t="s">
        <v>13561</v>
      </c>
      <c r="D5347" s="242" t="s">
        <v>28712</v>
      </c>
      <c r="E5347" s="949">
        <v>1503</v>
      </c>
      <c r="F5347" s="949">
        <v>1503</v>
      </c>
      <c r="G5347" s="950" t="s">
        <v>17260</v>
      </c>
      <c r="H5347" s="950" t="s">
        <v>398</v>
      </c>
      <c r="I5347" s="951" t="s">
        <v>13562</v>
      </c>
      <c r="J5347" s="947" t="s">
        <v>13563</v>
      </c>
      <c r="K5347" s="143"/>
    </row>
    <row r="5348" spans="1:11">
      <c r="A5348" s="946" t="s">
        <v>28607</v>
      </c>
      <c r="B5348" s="947" t="s">
        <v>13589</v>
      </c>
      <c r="C5348" s="948" t="s">
        <v>13587</v>
      </c>
      <c r="D5348" s="242" t="s">
        <v>28712</v>
      </c>
      <c r="E5348" s="949">
        <v>1503</v>
      </c>
      <c r="F5348" s="949">
        <v>1503</v>
      </c>
      <c r="G5348" s="950" t="s">
        <v>17260</v>
      </c>
      <c r="H5348" s="950" t="s">
        <v>398</v>
      </c>
      <c r="I5348" s="951" t="s">
        <v>13588</v>
      </c>
      <c r="J5348" s="947" t="s">
        <v>13589</v>
      </c>
      <c r="K5348" s="143"/>
    </row>
    <row r="5349" spans="1:11">
      <c r="A5349" s="946" t="s">
        <v>28607</v>
      </c>
      <c r="B5349" s="947" t="s">
        <v>13638</v>
      </c>
      <c r="C5349" s="948" t="s">
        <v>13636</v>
      </c>
      <c r="D5349" s="242" t="s">
        <v>28712</v>
      </c>
      <c r="E5349" s="949">
        <v>1503</v>
      </c>
      <c r="F5349" s="949">
        <v>1503</v>
      </c>
      <c r="G5349" s="950" t="s">
        <v>17260</v>
      </c>
      <c r="H5349" s="950" t="s">
        <v>398</v>
      </c>
      <c r="I5349" s="951" t="s">
        <v>13637</v>
      </c>
      <c r="J5349" s="947" t="s">
        <v>13638</v>
      </c>
      <c r="K5349" s="143"/>
    </row>
    <row r="5350" spans="1:11">
      <c r="A5350" s="946" t="s">
        <v>28607</v>
      </c>
      <c r="B5350" s="947" t="s">
        <v>13755</v>
      </c>
      <c r="C5350" s="948" t="s">
        <v>13753</v>
      </c>
      <c r="D5350" s="242" t="s">
        <v>28712</v>
      </c>
      <c r="E5350" s="949">
        <v>1503</v>
      </c>
      <c r="F5350" s="949">
        <v>1503</v>
      </c>
      <c r="G5350" s="950" t="s">
        <v>17260</v>
      </c>
      <c r="H5350" s="950" t="s">
        <v>398</v>
      </c>
      <c r="I5350" s="951" t="s">
        <v>13754</v>
      </c>
      <c r="J5350" s="947" t="s">
        <v>13755</v>
      </c>
      <c r="K5350" s="143"/>
    </row>
    <row r="5351" spans="1:11">
      <c r="A5351" s="946" t="s">
        <v>28607</v>
      </c>
      <c r="B5351" s="947" t="s">
        <v>13922</v>
      </c>
      <c r="C5351" s="948" t="s">
        <v>13920</v>
      </c>
      <c r="D5351" s="242" t="s">
        <v>28712</v>
      </c>
      <c r="E5351" s="949">
        <v>1503</v>
      </c>
      <c r="F5351" s="949">
        <v>1503</v>
      </c>
      <c r="G5351" s="950" t="s">
        <v>17260</v>
      </c>
      <c r="H5351" s="950" t="s">
        <v>398</v>
      </c>
      <c r="I5351" s="951" t="s">
        <v>13921</v>
      </c>
      <c r="J5351" s="947" t="s">
        <v>13922</v>
      </c>
      <c r="K5351" s="143"/>
    </row>
    <row r="5352" spans="1:11">
      <c r="A5352" s="946" t="s">
        <v>28607</v>
      </c>
      <c r="B5352" s="947" t="s">
        <v>14011</v>
      </c>
      <c r="C5352" s="948" t="s">
        <v>14009</v>
      </c>
      <c r="D5352" s="242" t="s">
        <v>28712</v>
      </c>
      <c r="E5352" s="949">
        <v>1503</v>
      </c>
      <c r="F5352" s="949">
        <v>1503</v>
      </c>
      <c r="G5352" s="950" t="s">
        <v>17260</v>
      </c>
      <c r="H5352" s="950" t="s">
        <v>398</v>
      </c>
      <c r="I5352" s="951" t="s">
        <v>14010</v>
      </c>
      <c r="J5352" s="947" t="s">
        <v>14011</v>
      </c>
      <c r="K5352" s="143"/>
    </row>
    <row r="5353" spans="1:11">
      <c r="A5353" s="946" t="s">
        <v>28607</v>
      </c>
      <c r="B5353" s="947" t="s">
        <v>14023</v>
      </c>
      <c r="C5353" s="948" t="s">
        <v>14021</v>
      </c>
      <c r="D5353" s="242" t="s">
        <v>28712</v>
      </c>
      <c r="E5353" s="949">
        <v>1504</v>
      </c>
      <c r="F5353" s="949">
        <v>1504</v>
      </c>
      <c r="G5353" s="950" t="s">
        <v>17260</v>
      </c>
      <c r="H5353" s="950" t="s">
        <v>398</v>
      </c>
      <c r="I5353" s="951" t="s">
        <v>14022</v>
      </c>
      <c r="J5353" s="947" t="s">
        <v>14023</v>
      </c>
      <c r="K5353" s="143"/>
    </row>
    <row r="5354" spans="1:11">
      <c r="A5354" s="946" t="s">
        <v>28607</v>
      </c>
      <c r="B5354" s="947" t="s">
        <v>14171</v>
      </c>
      <c r="C5354" s="948" t="s">
        <v>14169</v>
      </c>
      <c r="D5354" s="242" t="s">
        <v>28712</v>
      </c>
      <c r="E5354" s="949">
        <v>1503</v>
      </c>
      <c r="F5354" s="949">
        <v>1503</v>
      </c>
      <c r="G5354" s="950" t="s">
        <v>17260</v>
      </c>
      <c r="H5354" s="950" t="s">
        <v>398</v>
      </c>
      <c r="I5354" s="951" t="s">
        <v>14170</v>
      </c>
      <c r="J5354" s="947" t="s">
        <v>14171</v>
      </c>
      <c r="K5354" s="143"/>
    </row>
    <row r="5355" spans="1:11">
      <c r="A5355" s="946" t="s">
        <v>28607</v>
      </c>
      <c r="B5355" s="947" t="s">
        <v>14438</v>
      </c>
      <c r="C5355" s="948" t="s">
        <v>14436</v>
      </c>
      <c r="D5355" s="242" t="s">
        <v>28712</v>
      </c>
      <c r="E5355" s="949">
        <v>1503</v>
      </c>
      <c r="F5355" s="949">
        <v>1503</v>
      </c>
      <c r="G5355" s="950" t="s">
        <v>17260</v>
      </c>
      <c r="H5355" s="950" t="s">
        <v>398</v>
      </c>
      <c r="I5355" s="951" t="s">
        <v>14437</v>
      </c>
      <c r="J5355" s="947" t="s">
        <v>14438</v>
      </c>
      <c r="K5355" s="143"/>
    </row>
    <row r="5356" spans="1:11">
      <c r="A5356" s="946" t="s">
        <v>28607</v>
      </c>
      <c r="B5356" s="947" t="s">
        <v>14485</v>
      </c>
      <c r="C5356" s="948" t="s">
        <v>14483</v>
      </c>
      <c r="D5356" s="242" t="s">
        <v>28712</v>
      </c>
      <c r="E5356" s="949">
        <v>1503</v>
      </c>
      <c r="F5356" s="949">
        <v>1503</v>
      </c>
      <c r="G5356" s="950" t="s">
        <v>17260</v>
      </c>
      <c r="H5356" s="950" t="s">
        <v>398</v>
      </c>
      <c r="I5356" s="951" t="s">
        <v>14484</v>
      </c>
      <c r="J5356" s="947" t="s">
        <v>14485</v>
      </c>
      <c r="K5356" s="143"/>
    </row>
    <row r="5357" spans="1:11">
      <c r="A5357" s="946" t="s">
        <v>28607</v>
      </c>
      <c r="B5357" s="947" t="s">
        <v>14502</v>
      </c>
      <c r="C5357" s="948" t="s">
        <v>14500</v>
      </c>
      <c r="D5357" s="242" t="s">
        <v>28712</v>
      </c>
      <c r="E5357" s="949">
        <v>1503</v>
      </c>
      <c r="F5357" s="949">
        <v>1503</v>
      </c>
      <c r="G5357" s="950" t="s">
        <v>17260</v>
      </c>
      <c r="H5357" s="950" t="s">
        <v>398</v>
      </c>
      <c r="I5357" s="951" t="s">
        <v>14501</v>
      </c>
      <c r="J5357" s="947" t="s">
        <v>14502</v>
      </c>
      <c r="K5357" s="143"/>
    </row>
    <row r="5358" spans="1:11">
      <c r="A5358" s="946" t="s">
        <v>28607</v>
      </c>
      <c r="B5358" s="947" t="s">
        <v>14544</v>
      </c>
      <c r="C5358" s="948" t="s">
        <v>14542</v>
      </c>
      <c r="D5358" s="242" t="s">
        <v>28712</v>
      </c>
      <c r="E5358" s="949">
        <v>1503</v>
      </c>
      <c r="F5358" s="949">
        <v>1503</v>
      </c>
      <c r="G5358" s="950" t="s">
        <v>17260</v>
      </c>
      <c r="H5358" s="950" t="s">
        <v>398</v>
      </c>
      <c r="I5358" s="951" t="s">
        <v>14543</v>
      </c>
      <c r="J5358" s="947" t="s">
        <v>14544</v>
      </c>
      <c r="K5358" s="143"/>
    </row>
    <row r="5359" spans="1:11">
      <c r="A5359" s="946" t="s">
        <v>28607</v>
      </c>
      <c r="B5359" s="947" t="s">
        <v>14630</v>
      </c>
      <c r="C5359" s="948" t="s">
        <v>14628</v>
      </c>
      <c r="D5359" s="242" t="s">
        <v>28712</v>
      </c>
      <c r="E5359" s="949">
        <v>1503</v>
      </c>
      <c r="F5359" s="949">
        <v>1503</v>
      </c>
      <c r="G5359" s="950" t="s">
        <v>17260</v>
      </c>
      <c r="H5359" s="950" t="s">
        <v>398</v>
      </c>
      <c r="I5359" s="951" t="s">
        <v>14629</v>
      </c>
      <c r="J5359" s="947" t="s">
        <v>14630</v>
      </c>
      <c r="K5359" s="143"/>
    </row>
    <row r="5360" spans="1:11">
      <c r="A5360" s="946" t="s">
        <v>28607</v>
      </c>
      <c r="B5360" s="947" t="s">
        <v>14701</v>
      </c>
      <c r="C5360" s="948" t="s">
        <v>14699</v>
      </c>
      <c r="D5360" s="242" t="s">
        <v>28712</v>
      </c>
      <c r="E5360" s="949">
        <v>1503</v>
      </c>
      <c r="F5360" s="949">
        <v>1503</v>
      </c>
      <c r="G5360" s="950" t="s">
        <v>17260</v>
      </c>
      <c r="H5360" s="950" t="s">
        <v>398</v>
      </c>
      <c r="I5360" s="951" t="s">
        <v>14700</v>
      </c>
      <c r="J5360" s="947" t="s">
        <v>14701</v>
      </c>
      <c r="K5360" s="143"/>
    </row>
    <row r="5361" spans="1:11">
      <c r="A5361" s="946" t="s">
        <v>28607</v>
      </c>
      <c r="B5361" s="947" t="s">
        <v>15082</v>
      </c>
      <c r="C5361" s="948" t="s">
        <v>15080</v>
      </c>
      <c r="D5361" s="242" t="s">
        <v>28712</v>
      </c>
      <c r="E5361" s="949">
        <v>1503</v>
      </c>
      <c r="F5361" s="949">
        <v>1503</v>
      </c>
      <c r="G5361" s="950" t="s">
        <v>17260</v>
      </c>
      <c r="H5361" s="950" t="s">
        <v>398</v>
      </c>
      <c r="I5361" s="951" t="s">
        <v>15081</v>
      </c>
      <c r="J5361" s="947" t="s">
        <v>15082</v>
      </c>
      <c r="K5361" s="143"/>
    </row>
    <row r="5362" spans="1:11">
      <c r="A5362" s="946" t="s">
        <v>28607</v>
      </c>
      <c r="B5362" s="947" t="s">
        <v>15279</v>
      </c>
      <c r="C5362" s="948" t="s">
        <v>15277</v>
      </c>
      <c r="D5362" s="242" t="s">
        <v>28712</v>
      </c>
      <c r="E5362" s="949">
        <v>1503</v>
      </c>
      <c r="F5362" s="949">
        <v>1503</v>
      </c>
      <c r="G5362" s="950" t="s">
        <v>17260</v>
      </c>
      <c r="H5362" s="950" t="s">
        <v>398</v>
      </c>
      <c r="I5362" s="951" t="s">
        <v>15278</v>
      </c>
      <c r="J5362" s="947" t="s">
        <v>15279</v>
      </c>
      <c r="K5362" s="143"/>
    </row>
    <row r="5363" spans="1:11">
      <c r="A5363" s="946" t="s">
        <v>28607</v>
      </c>
      <c r="B5363" s="947" t="s">
        <v>15291</v>
      </c>
      <c r="C5363" s="948" t="s">
        <v>15289</v>
      </c>
      <c r="D5363" s="242" t="s">
        <v>28712</v>
      </c>
      <c r="E5363" s="949">
        <v>1503</v>
      </c>
      <c r="F5363" s="949">
        <v>1503</v>
      </c>
      <c r="G5363" s="950" t="s">
        <v>17260</v>
      </c>
      <c r="H5363" s="950" t="s">
        <v>398</v>
      </c>
      <c r="I5363" s="951" t="s">
        <v>15290</v>
      </c>
      <c r="J5363" s="947" t="s">
        <v>15291</v>
      </c>
      <c r="K5363" s="143"/>
    </row>
    <row r="5364" spans="1:11">
      <c r="A5364" s="946" t="s">
        <v>28607</v>
      </c>
      <c r="B5364" s="947" t="s">
        <v>15415</v>
      </c>
      <c r="C5364" s="948" t="s">
        <v>15413</v>
      </c>
      <c r="D5364" s="242" t="s">
        <v>28712</v>
      </c>
      <c r="E5364" s="949">
        <v>1503</v>
      </c>
      <c r="F5364" s="949">
        <v>1503</v>
      </c>
      <c r="G5364" s="950" t="s">
        <v>17260</v>
      </c>
      <c r="H5364" s="950" t="s">
        <v>398</v>
      </c>
      <c r="I5364" s="951" t="s">
        <v>15414</v>
      </c>
      <c r="J5364" s="947" t="s">
        <v>15415</v>
      </c>
      <c r="K5364" s="143"/>
    </row>
    <row r="5365" spans="1:11">
      <c r="A5365" s="946" t="s">
        <v>28607</v>
      </c>
      <c r="B5365" s="947" t="s">
        <v>15616</v>
      </c>
      <c r="C5365" s="948" t="s">
        <v>15614</v>
      </c>
      <c r="D5365" s="242" t="s">
        <v>28712</v>
      </c>
      <c r="E5365" s="949">
        <v>1503</v>
      </c>
      <c r="F5365" s="949">
        <v>1503</v>
      </c>
      <c r="G5365" s="950" t="s">
        <v>17260</v>
      </c>
      <c r="H5365" s="950" t="s">
        <v>398</v>
      </c>
      <c r="I5365" s="951" t="s">
        <v>15615</v>
      </c>
      <c r="J5365" s="947" t="s">
        <v>15616</v>
      </c>
      <c r="K5365" s="143"/>
    </row>
    <row r="5366" spans="1:11">
      <c r="A5366" s="946" t="s">
        <v>28607</v>
      </c>
      <c r="B5366" s="947" t="s">
        <v>15632</v>
      </c>
      <c r="C5366" s="948" t="s">
        <v>15630</v>
      </c>
      <c r="D5366" s="242" t="s">
        <v>28712</v>
      </c>
      <c r="E5366" s="949">
        <v>1503</v>
      </c>
      <c r="F5366" s="949">
        <v>1503</v>
      </c>
      <c r="G5366" s="950" t="s">
        <v>17260</v>
      </c>
      <c r="H5366" s="950" t="s">
        <v>398</v>
      </c>
      <c r="I5366" s="951" t="s">
        <v>15631</v>
      </c>
      <c r="J5366" s="947" t="s">
        <v>15632</v>
      </c>
      <c r="K5366" s="143"/>
    </row>
    <row r="5367" spans="1:11">
      <c r="A5367" s="946" t="s">
        <v>28607</v>
      </c>
      <c r="B5367" s="947" t="s">
        <v>15715</v>
      </c>
      <c r="C5367" s="948" t="s">
        <v>15713</v>
      </c>
      <c r="D5367" s="242" t="s">
        <v>28712</v>
      </c>
      <c r="E5367" s="949">
        <v>1503</v>
      </c>
      <c r="F5367" s="949">
        <v>1503</v>
      </c>
      <c r="G5367" s="950" t="s">
        <v>17260</v>
      </c>
      <c r="H5367" s="950" t="s">
        <v>398</v>
      </c>
      <c r="I5367" s="951" t="s">
        <v>15714</v>
      </c>
      <c r="J5367" s="947" t="s">
        <v>15715</v>
      </c>
      <c r="K5367" s="143"/>
    </row>
    <row r="5368" spans="1:11">
      <c r="A5368" s="946" t="s">
        <v>28607</v>
      </c>
      <c r="B5368" s="947" t="s">
        <v>15870</v>
      </c>
      <c r="C5368" s="948" t="s">
        <v>15868</v>
      </c>
      <c r="D5368" s="242" t="s">
        <v>28712</v>
      </c>
      <c r="E5368" s="949">
        <v>1503</v>
      </c>
      <c r="F5368" s="949">
        <v>1503</v>
      </c>
      <c r="G5368" s="950" t="s">
        <v>17260</v>
      </c>
      <c r="H5368" s="950" t="s">
        <v>398</v>
      </c>
      <c r="I5368" s="951" t="s">
        <v>15869</v>
      </c>
      <c r="J5368" s="947" t="s">
        <v>15870</v>
      </c>
      <c r="K5368" s="143"/>
    </row>
    <row r="5369" spans="1:11">
      <c r="A5369" s="946" t="s">
        <v>28607</v>
      </c>
      <c r="B5369" s="947" t="s">
        <v>16122</v>
      </c>
      <c r="C5369" s="948" t="s">
        <v>16120</v>
      </c>
      <c r="D5369" s="242" t="s">
        <v>28712</v>
      </c>
      <c r="E5369" s="949">
        <v>1503</v>
      </c>
      <c r="F5369" s="949">
        <v>1503</v>
      </c>
      <c r="G5369" s="950" t="s">
        <v>17260</v>
      </c>
      <c r="H5369" s="950" t="s">
        <v>398</v>
      </c>
      <c r="I5369" s="951" t="s">
        <v>16121</v>
      </c>
      <c r="J5369" s="947" t="s">
        <v>16122</v>
      </c>
      <c r="K5369" s="143"/>
    </row>
    <row r="5370" spans="1:11">
      <c r="A5370" s="946" t="s">
        <v>28607</v>
      </c>
      <c r="B5370" s="947" t="s">
        <v>16287</v>
      </c>
      <c r="C5370" s="948" t="s">
        <v>16285</v>
      </c>
      <c r="D5370" s="242" t="s">
        <v>28712</v>
      </c>
      <c r="E5370" s="949">
        <v>1503</v>
      </c>
      <c r="F5370" s="949">
        <v>1503</v>
      </c>
      <c r="G5370" s="950" t="s">
        <v>17260</v>
      </c>
      <c r="H5370" s="950" t="s">
        <v>398</v>
      </c>
      <c r="I5370" s="951" t="s">
        <v>16286</v>
      </c>
      <c r="J5370" s="947" t="s">
        <v>16287</v>
      </c>
      <c r="K5370" s="143"/>
    </row>
    <row r="5371" spans="1:11">
      <c r="A5371" s="946" t="s">
        <v>28607</v>
      </c>
      <c r="B5371" s="947" t="s">
        <v>16598</v>
      </c>
      <c r="C5371" s="948" t="s">
        <v>16596</v>
      </c>
      <c r="D5371" s="242" t="s">
        <v>28712</v>
      </c>
      <c r="E5371" s="949">
        <v>1503</v>
      </c>
      <c r="F5371" s="949">
        <v>1503</v>
      </c>
      <c r="G5371" s="950" t="s">
        <v>17260</v>
      </c>
      <c r="H5371" s="950" t="s">
        <v>398</v>
      </c>
      <c r="I5371" s="951" t="s">
        <v>16597</v>
      </c>
      <c r="J5371" s="947" t="s">
        <v>16598</v>
      </c>
      <c r="K5371" s="143"/>
    </row>
    <row r="5372" spans="1:11">
      <c r="A5372" s="946" t="s">
        <v>28607</v>
      </c>
      <c r="B5372" s="947" t="s">
        <v>16625</v>
      </c>
      <c r="C5372" s="948" t="s">
        <v>16623</v>
      </c>
      <c r="D5372" s="242" t="s">
        <v>28712</v>
      </c>
      <c r="E5372" s="949">
        <v>1503</v>
      </c>
      <c r="F5372" s="949">
        <v>1503</v>
      </c>
      <c r="G5372" s="950" t="s">
        <v>17260</v>
      </c>
      <c r="H5372" s="950" t="s">
        <v>398</v>
      </c>
      <c r="I5372" s="951" t="s">
        <v>16624</v>
      </c>
      <c r="J5372" s="947" t="s">
        <v>16625</v>
      </c>
      <c r="K5372" s="143"/>
    </row>
    <row r="5373" spans="1:11">
      <c r="A5373" s="946" t="s">
        <v>28607</v>
      </c>
      <c r="B5373" s="947" t="s">
        <v>16661</v>
      </c>
      <c r="C5373" s="948" t="s">
        <v>16659</v>
      </c>
      <c r="D5373" s="242" t="s">
        <v>28712</v>
      </c>
      <c r="E5373" s="949">
        <v>1504</v>
      </c>
      <c r="F5373" s="949">
        <v>1504</v>
      </c>
      <c r="G5373" s="950" t="s">
        <v>17260</v>
      </c>
      <c r="H5373" s="950" t="s">
        <v>398</v>
      </c>
      <c r="I5373" s="951" t="s">
        <v>16660</v>
      </c>
      <c r="J5373" s="947" t="s">
        <v>16661</v>
      </c>
      <c r="K5373" s="143"/>
    </row>
    <row r="5374" spans="1:11">
      <c r="A5374" s="946" t="s">
        <v>28607</v>
      </c>
      <c r="B5374" s="947" t="s">
        <v>16773</v>
      </c>
      <c r="C5374" s="948" t="s">
        <v>16771</v>
      </c>
      <c r="D5374" s="242" t="s">
        <v>28712</v>
      </c>
      <c r="E5374" s="949">
        <v>1503</v>
      </c>
      <c r="F5374" s="949">
        <v>1503</v>
      </c>
      <c r="G5374" s="950" t="s">
        <v>17260</v>
      </c>
      <c r="H5374" s="950" t="s">
        <v>398</v>
      </c>
      <c r="I5374" s="951" t="s">
        <v>16772</v>
      </c>
      <c r="J5374" s="947" t="s">
        <v>16773</v>
      </c>
      <c r="K5374" s="143"/>
    </row>
    <row r="5375" spans="1:11">
      <c r="A5375" s="946" t="s">
        <v>28607</v>
      </c>
      <c r="B5375" s="947" t="s">
        <v>16815</v>
      </c>
      <c r="C5375" s="948" t="s">
        <v>16813</v>
      </c>
      <c r="D5375" s="242" t="s">
        <v>28712</v>
      </c>
      <c r="E5375" s="949">
        <v>1503</v>
      </c>
      <c r="F5375" s="949">
        <v>1503</v>
      </c>
      <c r="G5375" s="950" t="s">
        <v>17260</v>
      </c>
      <c r="H5375" s="950" t="s">
        <v>398</v>
      </c>
      <c r="I5375" s="951" t="s">
        <v>16814</v>
      </c>
      <c r="J5375" s="947" t="s">
        <v>16815</v>
      </c>
      <c r="K5375" s="143"/>
    </row>
    <row r="5376" spans="1:11">
      <c r="A5376" s="946" t="s">
        <v>28607</v>
      </c>
      <c r="B5376" s="947" t="s">
        <v>16946</v>
      </c>
      <c r="C5376" s="948" t="s">
        <v>16944</v>
      </c>
      <c r="D5376" s="242" t="s">
        <v>28712</v>
      </c>
      <c r="E5376" s="949">
        <v>1503</v>
      </c>
      <c r="F5376" s="949">
        <v>1503</v>
      </c>
      <c r="G5376" s="950" t="s">
        <v>17260</v>
      </c>
      <c r="H5376" s="950" t="s">
        <v>398</v>
      </c>
      <c r="I5376" s="951" t="s">
        <v>16945</v>
      </c>
      <c r="J5376" s="947" t="s">
        <v>16946</v>
      </c>
      <c r="K5376" s="143"/>
    </row>
    <row r="5377" spans="1:11">
      <c r="A5377" s="946" t="s">
        <v>28607</v>
      </c>
      <c r="B5377" s="947" t="s">
        <v>17125</v>
      </c>
      <c r="C5377" s="948" t="s">
        <v>17123</v>
      </c>
      <c r="D5377" s="242" t="s">
        <v>28712</v>
      </c>
      <c r="E5377" s="949">
        <v>1503</v>
      </c>
      <c r="F5377" s="949">
        <v>1503</v>
      </c>
      <c r="G5377" s="950" t="s">
        <v>17260</v>
      </c>
      <c r="H5377" s="950" t="s">
        <v>398</v>
      </c>
      <c r="I5377" s="951" t="s">
        <v>17124</v>
      </c>
      <c r="J5377" s="947" t="s">
        <v>17125</v>
      </c>
      <c r="K5377" s="143"/>
    </row>
    <row r="5378" spans="1:11">
      <c r="A5378" s="946" t="s">
        <v>28607</v>
      </c>
      <c r="B5378" s="947" t="s">
        <v>17146</v>
      </c>
      <c r="C5378" s="948" t="s">
        <v>17144</v>
      </c>
      <c r="D5378" s="242" t="s">
        <v>28712</v>
      </c>
      <c r="E5378" s="949">
        <v>1503</v>
      </c>
      <c r="F5378" s="949">
        <v>1503</v>
      </c>
      <c r="G5378" s="950" t="s">
        <v>17260</v>
      </c>
      <c r="H5378" s="950" t="s">
        <v>398</v>
      </c>
      <c r="I5378" s="951" t="s">
        <v>17145</v>
      </c>
      <c r="J5378" s="947" t="s">
        <v>17146</v>
      </c>
      <c r="K5378" s="143"/>
    </row>
    <row r="5379" spans="1:11">
      <c r="A5379" s="946" t="s">
        <v>28607</v>
      </c>
      <c r="B5379" s="947" t="s">
        <v>17206</v>
      </c>
      <c r="C5379" s="948" t="s">
        <v>17204</v>
      </c>
      <c r="D5379" s="242" t="s">
        <v>28712</v>
      </c>
      <c r="E5379" s="949">
        <v>1503</v>
      </c>
      <c r="F5379" s="949">
        <v>1503</v>
      </c>
      <c r="G5379" s="950" t="s">
        <v>17260</v>
      </c>
      <c r="H5379" s="950" t="s">
        <v>398</v>
      </c>
      <c r="I5379" s="951" t="s">
        <v>17205</v>
      </c>
      <c r="J5379" s="947" t="s">
        <v>17206</v>
      </c>
      <c r="K5379" s="143"/>
    </row>
    <row r="5380" spans="1:11">
      <c r="A5380" s="946" t="s">
        <v>28607</v>
      </c>
      <c r="B5380" s="947" t="s">
        <v>17251</v>
      </c>
      <c r="C5380" s="948" t="s">
        <v>17249</v>
      </c>
      <c r="D5380" s="242" t="s">
        <v>28712</v>
      </c>
      <c r="E5380" s="949">
        <v>1503</v>
      </c>
      <c r="F5380" s="949">
        <v>1503</v>
      </c>
      <c r="G5380" s="950" t="s">
        <v>17260</v>
      </c>
      <c r="H5380" s="950" t="s">
        <v>398</v>
      </c>
      <c r="I5380" s="951" t="s">
        <v>17250</v>
      </c>
      <c r="J5380" s="947" t="s">
        <v>17251</v>
      </c>
      <c r="K5380" s="143"/>
    </row>
    <row r="5381" spans="1:11">
      <c r="A5381" s="946" t="s">
        <v>28607</v>
      </c>
      <c r="B5381" s="947" t="s">
        <v>17260</v>
      </c>
      <c r="C5381" s="948" t="s">
        <v>17258</v>
      </c>
      <c r="D5381" s="242" t="s">
        <v>28712</v>
      </c>
      <c r="E5381" s="949">
        <v>1503</v>
      </c>
      <c r="F5381" s="949">
        <v>1503</v>
      </c>
      <c r="G5381" s="950" t="s">
        <v>17260</v>
      </c>
      <c r="H5381" s="950" t="s">
        <v>398</v>
      </c>
      <c r="I5381" s="951" t="s">
        <v>17259</v>
      </c>
      <c r="J5381" s="947" t="s">
        <v>17260</v>
      </c>
      <c r="K5381" s="143"/>
    </row>
    <row r="5382" spans="1:11">
      <c r="A5382" s="946" t="s">
        <v>28607</v>
      </c>
      <c r="B5382" s="947" t="s">
        <v>17315</v>
      </c>
      <c r="C5382" s="948" t="s">
        <v>17313</v>
      </c>
      <c r="D5382" s="242" t="s">
        <v>28712</v>
      </c>
      <c r="E5382" s="949">
        <v>1503</v>
      </c>
      <c r="F5382" s="949">
        <v>1503</v>
      </c>
      <c r="G5382" s="950" t="s">
        <v>17260</v>
      </c>
      <c r="H5382" s="950" t="s">
        <v>398</v>
      </c>
      <c r="I5382" s="951" t="s">
        <v>17314</v>
      </c>
      <c r="J5382" s="947" t="s">
        <v>17315</v>
      </c>
      <c r="K5382" s="143"/>
    </row>
    <row r="5383" spans="1:11">
      <c r="A5383" s="946" t="s">
        <v>28607</v>
      </c>
      <c r="B5383" s="947" t="s">
        <v>17469</v>
      </c>
      <c r="C5383" s="948" t="s">
        <v>17467</v>
      </c>
      <c r="D5383" s="242" t="s">
        <v>28712</v>
      </c>
      <c r="E5383" s="949">
        <v>1503</v>
      </c>
      <c r="F5383" s="949">
        <v>1503</v>
      </c>
      <c r="G5383" s="950" t="s">
        <v>17260</v>
      </c>
      <c r="H5383" s="950" t="s">
        <v>398</v>
      </c>
      <c r="I5383" s="951" t="s">
        <v>17468</v>
      </c>
      <c r="J5383" s="947" t="s">
        <v>17469</v>
      </c>
      <c r="K5383" s="143"/>
    </row>
    <row r="5384" spans="1:11">
      <c r="A5384" s="946" t="s">
        <v>28607</v>
      </c>
      <c r="B5384" s="947" t="s">
        <v>17696</v>
      </c>
      <c r="C5384" s="948" t="s">
        <v>17694</v>
      </c>
      <c r="D5384" s="242" t="s">
        <v>28712</v>
      </c>
      <c r="E5384" s="949">
        <v>1503</v>
      </c>
      <c r="F5384" s="949">
        <v>1503</v>
      </c>
      <c r="G5384" s="950" t="s">
        <v>17260</v>
      </c>
      <c r="H5384" s="950" t="s">
        <v>398</v>
      </c>
      <c r="I5384" s="951" t="s">
        <v>17695</v>
      </c>
      <c r="J5384" s="947" t="s">
        <v>17696</v>
      </c>
      <c r="K5384" s="143"/>
    </row>
    <row r="5385" spans="1:11">
      <c r="A5385" s="946" t="s">
        <v>28607</v>
      </c>
      <c r="B5385" s="947" t="s">
        <v>17789</v>
      </c>
      <c r="C5385" s="948" t="s">
        <v>17787</v>
      </c>
      <c r="D5385" s="242" t="s">
        <v>28712</v>
      </c>
      <c r="E5385" s="949">
        <v>1503</v>
      </c>
      <c r="F5385" s="949">
        <v>1503</v>
      </c>
      <c r="G5385" s="950" t="s">
        <v>17260</v>
      </c>
      <c r="H5385" s="950" t="s">
        <v>398</v>
      </c>
      <c r="I5385" s="951" t="s">
        <v>17788</v>
      </c>
      <c r="J5385" s="947" t="s">
        <v>17789</v>
      </c>
      <c r="K5385" s="143"/>
    </row>
    <row r="5386" spans="1:11">
      <c r="A5386" s="946" t="s">
        <v>28607</v>
      </c>
      <c r="B5386" s="947" t="s">
        <v>17850</v>
      </c>
      <c r="C5386" s="948" t="s">
        <v>17848</v>
      </c>
      <c r="D5386" s="242" t="s">
        <v>28712</v>
      </c>
      <c r="E5386" s="949">
        <v>1503</v>
      </c>
      <c r="F5386" s="949">
        <v>1503</v>
      </c>
      <c r="G5386" s="950" t="s">
        <v>17260</v>
      </c>
      <c r="H5386" s="950" t="s">
        <v>398</v>
      </c>
      <c r="I5386" s="951" t="s">
        <v>17849</v>
      </c>
      <c r="J5386" s="947" t="s">
        <v>17850</v>
      </c>
      <c r="K5386" s="143"/>
    </row>
    <row r="5387" spans="1:11">
      <c r="A5387" s="946" t="s">
        <v>28607</v>
      </c>
      <c r="B5387" s="947" t="s">
        <v>17939</v>
      </c>
      <c r="C5387" s="948" t="s">
        <v>17937</v>
      </c>
      <c r="D5387" s="242" t="s">
        <v>28712</v>
      </c>
      <c r="E5387" s="949">
        <v>1504</v>
      </c>
      <c r="F5387" s="949">
        <v>1504</v>
      </c>
      <c r="G5387" s="950" t="s">
        <v>17260</v>
      </c>
      <c r="H5387" s="950" t="s">
        <v>398</v>
      </c>
      <c r="I5387" s="951" t="s">
        <v>17938</v>
      </c>
      <c r="J5387" s="947" t="s">
        <v>17939</v>
      </c>
      <c r="K5387" s="143"/>
    </row>
    <row r="5388" spans="1:11">
      <c r="A5388" s="946" t="s">
        <v>28607</v>
      </c>
      <c r="B5388" s="947" t="s">
        <v>17954</v>
      </c>
      <c r="C5388" s="948" t="s">
        <v>17952</v>
      </c>
      <c r="D5388" s="242" t="s">
        <v>28712</v>
      </c>
      <c r="E5388" s="949">
        <v>1503</v>
      </c>
      <c r="F5388" s="949">
        <v>1503</v>
      </c>
      <c r="G5388" s="950" t="s">
        <v>17260</v>
      </c>
      <c r="H5388" s="950" t="s">
        <v>398</v>
      </c>
      <c r="I5388" s="951" t="s">
        <v>17953</v>
      </c>
      <c r="J5388" s="947" t="s">
        <v>17954</v>
      </c>
      <c r="K5388" s="143"/>
    </row>
    <row r="5389" spans="1:11">
      <c r="A5389" s="946" t="s">
        <v>28607</v>
      </c>
      <c r="B5389" s="947" t="s">
        <v>17963</v>
      </c>
      <c r="C5389" s="948" t="s">
        <v>17961</v>
      </c>
      <c r="D5389" s="242" t="s">
        <v>28712</v>
      </c>
      <c r="E5389" s="949">
        <v>1503</v>
      </c>
      <c r="F5389" s="949">
        <v>1503</v>
      </c>
      <c r="G5389" s="950" t="s">
        <v>17260</v>
      </c>
      <c r="H5389" s="950" t="s">
        <v>398</v>
      </c>
      <c r="I5389" s="951" t="s">
        <v>17962</v>
      </c>
      <c r="J5389" s="947" t="s">
        <v>17963</v>
      </c>
      <c r="K5389" s="143"/>
    </row>
    <row r="5390" spans="1:11">
      <c r="A5390" s="946" t="s">
        <v>28607</v>
      </c>
      <c r="B5390" s="947" t="s">
        <v>18072</v>
      </c>
      <c r="C5390" s="948" t="s">
        <v>18070</v>
      </c>
      <c r="D5390" s="242" t="s">
        <v>28712</v>
      </c>
      <c r="E5390" s="949">
        <v>1503</v>
      </c>
      <c r="F5390" s="949">
        <v>1503</v>
      </c>
      <c r="G5390" s="950" t="s">
        <v>17260</v>
      </c>
      <c r="H5390" s="950" t="s">
        <v>398</v>
      </c>
      <c r="I5390" s="951" t="s">
        <v>18071</v>
      </c>
      <c r="J5390" s="947" t="s">
        <v>18072</v>
      </c>
      <c r="K5390" s="143"/>
    </row>
    <row r="5391" spans="1:11">
      <c r="A5391" s="946" t="s">
        <v>28607</v>
      </c>
      <c r="B5391" s="947" t="s">
        <v>18189</v>
      </c>
      <c r="C5391" s="948" t="s">
        <v>18187</v>
      </c>
      <c r="D5391" s="242" t="s">
        <v>28712</v>
      </c>
      <c r="E5391" s="949">
        <v>1503</v>
      </c>
      <c r="F5391" s="949">
        <v>1503</v>
      </c>
      <c r="G5391" s="950" t="s">
        <v>17260</v>
      </c>
      <c r="H5391" s="950" t="s">
        <v>398</v>
      </c>
      <c r="I5391" s="951" t="s">
        <v>18188</v>
      </c>
      <c r="J5391" s="947" t="s">
        <v>18189</v>
      </c>
      <c r="K5391" s="143"/>
    </row>
    <row r="5392" spans="1:11">
      <c r="A5392" s="946" t="s">
        <v>28607</v>
      </c>
      <c r="B5392" s="947" t="s">
        <v>18502</v>
      </c>
      <c r="C5392" s="948" t="s">
        <v>18500</v>
      </c>
      <c r="D5392" s="242" t="s">
        <v>28712</v>
      </c>
      <c r="E5392" s="949">
        <v>1503</v>
      </c>
      <c r="F5392" s="949">
        <v>1503</v>
      </c>
      <c r="G5392" s="950" t="s">
        <v>17260</v>
      </c>
      <c r="H5392" s="950" t="s">
        <v>398</v>
      </c>
      <c r="I5392" s="951" t="s">
        <v>18501</v>
      </c>
      <c r="J5392" s="947" t="s">
        <v>18502</v>
      </c>
      <c r="K5392" s="143"/>
    </row>
    <row r="5393" spans="1:11">
      <c r="A5393" s="946" t="s">
        <v>28607</v>
      </c>
      <c r="B5393" s="947" t="s">
        <v>18616</v>
      </c>
      <c r="C5393" s="948" t="s">
        <v>18614</v>
      </c>
      <c r="D5393" s="242" t="s">
        <v>28712</v>
      </c>
      <c r="E5393" s="949">
        <v>1503</v>
      </c>
      <c r="F5393" s="949">
        <v>1503</v>
      </c>
      <c r="G5393" s="950" t="s">
        <v>17260</v>
      </c>
      <c r="H5393" s="950" t="s">
        <v>398</v>
      </c>
      <c r="I5393" s="951" t="s">
        <v>18615</v>
      </c>
      <c r="J5393" s="947" t="s">
        <v>18616</v>
      </c>
      <c r="K5393" s="143"/>
    </row>
    <row r="5394" spans="1:11">
      <c r="A5394" s="946" t="s">
        <v>28607</v>
      </c>
      <c r="B5394" s="947" t="s">
        <v>18694</v>
      </c>
      <c r="C5394" s="948" t="s">
        <v>18692</v>
      </c>
      <c r="D5394" s="242" t="s">
        <v>28712</v>
      </c>
      <c r="E5394" s="949">
        <v>1503</v>
      </c>
      <c r="F5394" s="949">
        <v>1503</v>
      </c>
      <c r="G5394" s="950" t="s">
        <v>17260</v>
      </c>
      <c r="H5394" s="950" t="s">
        <v>398</v>
      </c>
      <c r="I5394" s="951" t="s">
        <v>18693</v>
      </c>
      <c r="J5394" s="947" t="s">
        <v>18694</v>
      </c>
      <c r="K5394" s="143"/>
    </row>
    <row r="5395" spans="1:11">
      <c r="A5395" s="946" t="s">
        <v>28607</v>
      </c>
      <c r="B5395" s="947" t="s">
        <v>18703</v>
      </c>
      <c r="C5395" s="948" t="s">
        <v>18701</v>
      </c>
      <c r="D5395" s="242" t="s">
        <v>28712</v>
      </c>
      <c r="E5395" s="949">
        <v>1504</v>
      </c>
      <c r="F5395" s="949">
        <v>1504</v>
      </c>
      <c r="G5395" s="950" t="s">
        <v>17260</v>
      </c>
      <c r="H5395" s="950" t="s">
        <v>398</v>
      </c>
      <c r="I5395" s="951" t="s">
        <v>18702</v>
      </c>
      <c r="J5395" s="947" t="s">
        <v>18703</v>
      </c>
      <c r="K5395" s="143"/>
    </row>
    <row r="5396" spans="1:11">
      <c r="A5396" s="946" t="s">
        <v>28607</v>
      </c>
      <c r="B5396" s="947" t="s">
        <v>18798</v>
      </c>
      <c r="C5396" s="948" t="s">
        <v>18796</v>
      </c>
      <c r="D5396" s="242" t="s">
        <v>28712</v>
      </c>
      <c r="E5396" s="949">
        <v>1503</v>
      </c>
      <c r="F5396" s="949">
        <v>1503</v>
      </c>
      <c r="G5396" s="950" t="s">
        <v>17260</v>
      </c>
      <c r="H5396" s="950" t="s">
        <v>398</v>
      </c>
      <c r="I5396" s="951" t="s">
        <v>18797</v>
      </c>
      <c r="J5396" s="947" t="s">
        <v>18798</v>
      </c>
      <c r="K5396" s="143"/>
    </row>
    <row r="5397" spans="1:11">
      <c r="A5397" s="946" t="s">
        <v>28607</v>
      </c>
      <c r="B5397" s="947" t="s">
        <v>18254</v>
      </c>
      <c r="C5397" s="948" t="s">
        <v>18252</v>
      </c>
      <c r="D5397" s="242" t="s">
        <v>28712</v>
      </c>
      <c r="E5397" s="949">
        <v>1504</v>
      </c>
      <c r="F5397" s="949">
        <v>1504</v>
      </c>
      <c r="G5397" s="950" t="s">
        <v>17260</v>
      </c>
      <c r="H5397" s="950" t="s">
        <v>398</v>
      </c>
      <c r="I5397" s="951" t="s">
        <v>18253</v>
      </c>
      <c r="J5397" s="947" t="s">
        <v>18254</v>
      </c>
      <c r="K5397" s="143"/>
    </row>
    <row r="5398" spans="1:11">
      <c r="A5398" s="946" t="s">
        <v>28607</v>
      </c>
      <c r="B5398" s="947" t="s">
        <v>18825</v>
      </c>
      <c r="C5398" s="948" t="s">
        <v>18823</v>
      </c>
      <c r="D5398" s="242" t="s">
        <v>28712</v>
      </c>
      <c r="E5398" s="949">
        <v>1503</v>
      </c>
      <c r="F5398" s="949">
        <v>1503</v>
      </c>
      <c r="G5398" s="950" t="s">
        <v>17260</v>
      </c>
      <c r="H5398" s="950" t="s">
        <v>398</v>
      </c>
      <c r="I5398" s="951" t="s">
        <v>18824</v>
      </c>
      <c r="J5398" s="947" t="s">
        <v>18825</v>
      </c>
      <c r="K5398" s="143"/>
    </row>
    <row r="5399" spans="1:11">
      <c r="A5399" s="946" t="s">
        <v>28607</v>
      </c>
      <c r="B5399" s="947" t="s">
        <v>18838</v>
      </c>
      <c r="C5399" s="948" t="s">
        <v>18836</v>
      </c>
      <c r="D5399" s="242" t="s">
        <v>28712</v>
      </c>
      <c r="E5399" s="949">
        <v>1503</v>
      </c>
      <c r="F5399" s="949">
        <v>1503</v>
      </c>
      <c r="G5399" s="950" t="s">
        <v>17260</v>
      </c>
      <c r="H5399" s="950" t="s">
        <v>398</v>
      </c>
      <c r="I5399" s="951" t="s">
        <v>18837</v>
      </c>
      <c r="J5399" s="947" t="s">
        <v>18838</v>
      </c>
      <c r="K5399" s="143"/>
    </row>
    <row r="5400" spans="1:11">
      <c r="A5400" s="946" t="s">
        <v>28607</v>
      </c>
      <c r="B5400" s="947" t="s">
        <v>18879</v>
      </c>
      <c r="C5400" s="948" t="s">
        <v>18877</v>
      </c>
      <c r="D5400" s="242" t="s">
        <v>28712</v>
      </c>
      <c r="E5400" s="949">
        <v>1504</v>
      </c>
      <c r="F5400" s="949">
        <v>1504</v>
      </c>
      <c r="G5400" s="950" t="s">
        <v>17260</v>
      </c>
      <c r="H5400" s="950" t="s">
        <v>398</v>
      </c>
      <c r="I5400" s="951" t="s">
        <v>18878</v>
      </c>
      <c r="J5400" s="947" t="s">
        <v>18879</v>
      </c>
      <c r="K5400" s="143"/>
    </row>
    <row r="5401" spans="1:11">
      <c r="A5401" s="946" t="s">
        <v>28607</v>
      </c>
      <c r="B5401" s="947" t="s">
        <v>18907</v>
      </c>
      <c r="C5401" s="948" t="s">
        <v>18905</v>
      </c>
      <c r="D5401" s="242" t="s">
        <v>28712</v>
      </c>
      <c r="E5401" s="949">
        <v>1503</v>
      </c>
      <c r="F5401" s="949">
        <v>1503</v>
      </c>
      <c r="G5401" s="950" t="s">
        <v>17260</v>
      </c>
      <c r="H5401" s="950" t="s">
        <v>398</v>
      </c>
      <c r="I5401" s="951" t="s">
        <v>18906</v>
      </c>
      <c r="J5401" s="947" t="s">
        <v>18907</v>
      </c>
      <c r="K5401" s="143"/>
    </row>
    <row r="5402" spans="1:11">
      <c r="A5402" s="946" t="s">
        <v>28607</v>
      </c>
      <c r="B5402" s="947" t="s">
        <v>18993</v>
      </c>
      <c r="C5402" s="948" t="s">
        <v>18991</v>
      </c>
      <c r="D5402" s="242" t="s">
        <v>28712</v>
      </c>
      <c r="E5402" s="949">
        <v>1504</v>
      </c>
      <c r="F5402" s="949">
        <v>1504</v>
      </c>
      <c r="G5402" s="950" t="s">
        <v>17260</v>
      </c>
      <c r="H5402" s="950" t="s">
        <v>398</v>
      </c>
      <c r="I5402" s="951" t="s">
        <v>18992</v>
      </c>
      <c r="J5402" s="947" t="s">
        <v>18993</v>
      </c>
      <c r="K5402" s="143"/>
    </row>
    <row r="5403" spans="1:11">
      <c r="A5403" s="946" t="s">
        <v>28607</v>
      </c>
      <c r="B5403" s="947" t="s">
        <v>18999</v>
      </c>
      <c r="C5403" s="948" t="s">
        <v>18997</v>
      </c>
      <c r="D5403" s="242" t="s">
        <v>28712</v>
      </c>
      <c r="E5403" s="949">
        <v>1503</v>
      </c>
      <c r="F5403" s="949">
        <v>1503</v>
      </c>
      <c r="G5403" s="950" t="s">
        <v>17260</v>
      </c>
      <c r="H5403" s="950" t="s">
        <v>398</v>
      </c>
      <c r="I5403" s="951" t="s">
        <v>18998</v>
      </c>
      <c r="J5403" s="947" t="s">
        <v>18999</v>
      </c>
      <c r="K5403" s="143"/>
    </row>
    <row r="5404" spans="1:11">
      <c r="A5404" s="946" t="s">
        <v>28607</v>
      </c>
      <c r="B5404" s="947" t="s">
        <v>19349</v>
      </c>
      <c r="C5404" s="948" t="s">
        <v>19347</v>
      </c>
      <c r="D5404" s="242" t="s">
        <v>28712</v>
      </c>
      <c r="E5404" s="949">
        <v>1503</v>
      </c>
      <c r="F5404" s="949">
        <v>1503</v>
      </c>
      <c r="G5404" s="950" t="s">
        <v>17260</v>
      </c>
      <c r="H5404" s="950" t="s">
        <v>398</v>
      </c>
      <c r="I5404" s="951" t="s">
        <v>19348</v>
      </c>
      <c r="J5404" s="947" t="s">
        <v>19349</v>
      </c>
      <c r="K5404" s="143"/>
    </row>
    <row r="5405" spans="1:11">
      <c r="A5405" s="946" t="s">
        <v>28607</v>
      </c>
      <c r="B5405" s="947" t="s">
        <v>19385</v>
      </c>
      <c r="C5405" s="948" t="s">
        <v>19383</v>
      </c>
      <c r="D5405" s="242" t="s">
        <v>28712</v>
      </c>
      <c r="E5405" s="949">
        <v>1503</v>
      </c>
      <c r="F5405" s="949">
        <v>1503</v>
      </c>
      <c r="G5405" s="950" t="s">
        <v>17260</v>
      </c>
      <c r="H5405" s="950" t="s">
        <v>398</v>
      </c>
      <c r="I5405" s="951" t="s">
        <v>19384</v>
      </c>
      <c r="J5405" s="947" t="s">
        <v>19385</v>
      </c>
      <c r="K5405" s="143"/>
    </row>
    <row r="5406" spans="1:11">
      <c r="A5406" s="946" t="s">
        <v>28607</v>
      </c>
      <c r="B5406" s="947" t="s">
        <v>19401</v>
      </c>
      <c r="C5406" s="948" t="s">
        <v>19399</v>
      </c>
      <c r="D5406" s="242" t="s">
        <v>28712</v>
      </c>
      <c r="E5406" s="949">
        <v>1503</v>
      </c>
      <c r="F5406" s="949">
        <v>1503</v>
      </c>
      <c r="G5406" s="950" t="s">
        <v>17260</v>
      </c>
      <c r="H5406" s="950" t="s">
        <v>398</v>
      </c>
      <c r="I5406" s="951" t="s">
        <v>19400</v>
      </c>
      <c r="J5406" s="947" t="s">
        <v>19401</v>
      </c>
      <c r="K5406" s="143"/>
    </row>
    <row r="5407" spans="1:11">
      <c r="A5407" s="946" t="s">
        <v>28607</v>
      </c>
      <c r="B5407" s="947" t="s">
        <v>19496</v>
      </c>
      <c r="C5407" s="948" t="s">
        <v>19494</v>
      </c>
      <c r="D5407" s="242" t="s">
        <v>28712</v>
      </c>
      <c r="E5407" s="949">
        <v>1504</v>
      </c>
      <c r="F5407" s="949">
        <v>1504</v>
      </c>
      <c r="G5407" s="950" t="s">
        <v>17260</v>
      </c>
      <c r="H5407" s="950" t="s">
        <v>398</v>
      </c>
      <c r="I5407" s="951" t="s">
        <v>19495</v>
      </c>
      <c r="J5407" s="947" t="s">
        <v>19496</v>
      </c>
      <c r="K5407" s="143"/>
    </row>
    <row r="5408" spans="1:11">
      <c r="A5408" s="946" t="s">
        <v>28607</v>
      </c>
      <c r="B5408" s="947" t="s">
        <v>19501</v>
      </c>
      <c r="C5408" s="948" t="s">
        <v>19499</v>
      </c>
      <c r="D5408" s="242" t="s">
        <v>28712</v>
      </c>
      <c r="E5408" s="949">
        <v>1503</v>
      </c>
      <c r="F5408" s="949">
        <v>1503</v>
      </c>
      <c r="G5408" s="950" t="s">
        <v>17260</v>
      </c>
      <c r="H5408" s="950" t="s">
        <v>398</v>
      </c>
      <c r="I5408" s="951" t="s">
        <v>19500</v>
      </c>
      <c r="J5408" s="947" t="s">
        <v>19501</v>
      </c>
      <c r="K5408" s="143"/>
    </row>
    <row r="5409" spans="1:11">
      <c r="A5409" s="946" t="s">
        <v>28607</v>
      </c>
      <c r="B5409" s="947" t="s">
        <v>19986</v>
      </c>
      <c r="C5409" s="948" t="s">
        <v>19984</v>
      </c>
      <c r="D5409" s="242" t="s">
        <v>28712</v>
      </c>
      <c r="E5409" s="949">
        <v>1503</v>
      </c>
      <c r="F5409" s="949">
        <v>1503</v>
      </c>
      <c r="G5409" s="950" t="s">
        <v>17260</v>
      </c>
      <c r="H5409" s="950" t="s">
        <v>398</v>
      </c>
      <c r="I5409" s="951" t="s">
        <v>19985</v>
      </c>
      <c r="J5409" s="947" t="s">
        <v>19986</v>
      </c>
      <c r="K5409" s="143"/>
    </row>
    <row r="5410" spans="1:11">
      <c r="A5410" s="946" t="s">
        <v>28607</v>
      </c>
      <c r="B5410" s="947" t="s">
        <v>20019</v>
      </c>
      <c r="C5410" s="948" t="s">
        <v>20017</v>
      </c>
      <c r="D5410" s="242" t="s">
        <v>28712</v>
      </c>
      <c r="E5410" s="949">
        <v>1503</v>
      </c>
      <c r="F5410" s="949">
        <v>1503</v>
      </c>
      <c r="G5410" s="950" t="s">
        <v>17260</v>
      </c>
      <c r="H5410" s="950" t="s">
        <v>398</v>
      </c>
      <c r="I5410" s="951" t="s">
        <v>20018</v>
      </c>
      <c r="J5410" s="947" t="s">
        <v>20019</v>
      </c>
      <c r="K5410" s="143"/>
    </row>
    <row r="5411" spans="1:11">
      <c r="A5411" s="946" t="s">
        <v>28607</v>
      </c>
      <c r="B5411" s="947" t="s">
        <v>20290</v>
      </c>
      <c r="C5411" s="948" t="s">
        <v>20288</v>
      </c>
      <c r="D5411" s="242" t="s">
        <v>28712</v>
      </c>
      <c r="E5411" s="949">
        <v>1503</v>
      </c>
      <c r="F5411" s="949">
        <v>1503</v>
      </c>
      <c r="G5411" s="950" t="s">
        <v>17260</v>
      </c>
      <c r="H5411" s="950" t="s">
        <v>398</v>
      </c>
      <c r="I5411" s="951" t="s">
        <v>20289</v>
      </c>
      <c r="J5411" s="947" t="s">
        <v>20290</v>
      </c>
      <c r="K5411" s="143"/>
    </row>
    <row r="5412" spans="1:11">
      <c r="A5412" s="946" t="s">
        <v>28607</v>
      </c>
      <c r="B5412" s="947" t="s">
        <v>20564</v>
      </c>
      <c r="C5412" s="948" t="s">
        <v>20562</v>
      </c>
      <c r="D5412" s="242" t="s">
        <v>28712</v>
      </c>
      <c r="E5412" s="949">
        <v>1503</v>
      </c>
      <c r="F5412" s="949">
        <v>1503</v>
      </c>
      <c r="G5412" s="950" t="s">
        <v>17260</v>
      </c>
      <c r="H5412" s="950" t="s">
        <v>398</v>
      </c>
      <c r="I5412" s="951" t="s">
        <v>20563</v>
      </c>
      <c r="J5412" s="947" t="s">
        <v>20564</v>
      </c>
      <c r="K5412" s="143"/>
    </row>
    <row r="5413" spans="1:11">
      <c r="A5413" s="946" t="s">
        <v>28607</v>
      </c>
      <c r="B5413" s="947" t="s">
        <v>20616</v>
      </c>
      <c r="C5413" s="948" t="s">
        <v>20614</v>
      </c>
      <c r="D5413" s="242" t="s">
        <v>28712</v>
      </c>
      <c r="E5413" s="949">
        <v>1503</v>
      </c>
      <c r="F5413" s="949">
        <v>1503</v>
      </c>
      <c r="G5413" s="950" t="s">
        <v>17260</v>
      </c>
      <c r="H5413" s="950" t="s">
        <v>398</v>
      </c>
      <c r="I5413" s="951" t="s">
        <v>20615</v>
      </c>
      <c r="J5413" s="947" t="s">
        <v>20616</v>
      </c>
      <c r="K5413" s="143"/>
    </row>
    <row r="5414" spans="1:11">
      <c r="A5414" s="946" t="s">
        <v>28607</v>
      </c>
      <c r="B5414" s="947" t="s">
        <v>20685</v>
      </c>
      <c r="C5414" s="948" t="s">
        <v>20683</v>
      </c>
      <c r="D5414" s="242" t="s">
        <v>28712</v>
      </c>
      <c r="E5414" s="949">
        <v>1503</v>
      </c>
      <c r="F5414" s="949">
        <v>1503</v>
      </c>
      <c r="G5414" s="950" t="s">
        <v>17260</v>
      </c>
      <c r="H5414" s="950" t="s">
        <v>398</v>
      </c>
      <c r="I5414" s="951" t="s">
        <v>20684</v>
      </c>
      <c r="J5414" s="947" t="s">
        <v>20685</v>
      </c>
      <c r="K5414" s="143"/>
    </row>
    <row r="5415" spans="1:11">
      <c r="A5415" s="946" t="s">
        <v>28607</v>
      </c>
      <c r="B5415" s="947" t="s">
        <v>20790</v>
      </c>
      <c r="C5415" s="948" t="s">
        <v>20788</v>
      </c>
      <c r="D5415" s="242" t="s">
        <v>28712</v>
      </c>
      <c r="E5415" s="949">
        <v>1503</v>
      </c>
      <c r="F5415" s="949">
        <v>1503</v>
      </c>
      <c r="G5415" s="950" t="s">
        <v>17260</v>
      </c>
      <c r="H5415" s="950" t="s">
        <v>398</v>
      </c>
      <c r="I5415" s="951" t="s">
        <v>20789</v>
      </c>
      <c r="J5415" s="947" t="s">
        <v>20790</v>
      </c>
      <c r="K5415" s="143"/>
    </row>
    <row r="5416" spans="1:11">
      <c r="A5416" s="946" t="s">
        <v>28607</v>
      </c>
      <c r="B5416" s="947" t="s">
        <v>20825</v>
      </c>
      <c r="C5416" s="948" t="s">
        <v>20823</v>
      </c>
      <c r="D5416" s="242" t="s">
        <v>28712</v>
      </c>
      <c r="E5416" s="949">
        <v>1503</v>
      </c>
      <c r="F5416" s="949">
        <v>1503</v>
      </c>
      <c r="G5416" s="950" t="s">
        <v>17260</v>
      </c>
      <c r="H5416" s="950" t="s">
        <v>398</v>
      </c>
      <c r="I5416" s="951" t="s">
        <v>20824</v>
      </c>
      <c r="J5416" s="947" t="s">
        <v>20825</v>
      </c>
      <c r="K5416" s="143"/>
    </row>
    <row r="5417" spans="1:11">
      <c r="A5417" s="946" t="s">
        <v>28607</v>
      </c>
      <c r="B5417" s="947" t="s">
        <v>20926</v>
      </c>
      <c r="C5417" s="948" t="s">
        <v>20924</v>
      </c>
      <c r="D5417" s="242" t="s">
        <v>28712</v>
      </c>
      <c r="E5417" s="949">
        <v>1503</v>
      </c>
      <c r="F5417" s="949">
        <v>1503</v>
      </c>
      <c r="G5417" s="950" t="s">
        <v>17260</v>
      </c>
      <c r="H5417" s="950" t="s">
        <v>398</v>
      </c>
      <c r="I5417" s="951" t="s">
        <v>20925</v>
      </c>
      <c r="J5417" s="947" t="s">
        <v>20926</v>
      </c>
      <c r="K5417" s="143"/>
    </row>
    <row r="5418" spans="1:11">
      <c r="A5418" s="946" t="s">
        <v>28607</v>
      </c>
      <c r="B5418" s="947" t="s">
        <v>21409</v>
      </c>
      <c r="C5418" s="948" t="s">
        <v>21407</v>
      </c>
      <c r="D5418" s="242" t="s">
        <v>28712</v>
      </c>
      <c r="E5418" s="949">
        <v>1503</v>
      </c>
      <c r="F5418" s="949">
        <v>1503</v>
      </c>
      <c r="G5418" s="950" t="s">
        <v>17260</v>
      </c>
      <c r="H5418" s="950" t="s">
        <v>398</v>
      </c>
      <c r="I5418" s="951" t="s">
        <v>21408</v>
      </c>
      <c r="J5418" s="947" t="s">
        <v>21409</v>
      </c>
      <c r="K5418" s="143"/>
    </row>
    <row r="5419" spans="1:11">
      <c r="A5419" s="946" t="s">
        <v>28607</v>
      </c>
      <c r="B5419" s="947" t="s">
        <v>21478</v>
      </c>
      <c r="C5419" s="948" t="s">
        <v>21476</v>
      </c>
      <c r="D5419" s="242" t="s">
        <v>28712</v>
      </c>
      <c r="E5419" s="949">
        <v>1503</v>
      </c>
      <c r="F5419" s="949">
        <v>1503</v>
      </c>
      <c r="G5419" s="950" t="s">
        <v>17260</v>
      </c>
      <c r="H5419" s="950" t="s">
        <v>398</v>
      </c>
      <c r="I5419" s="951" t="s">
        <v>21477</v>
      </c>
      <c r="J5419" s="947" t="s">
        <v>21478</v>
      </c>
      <c r="K5419" s="143"/>
    </row>
    <row r="5420" spans="1:11">
      <c r="A5420" s="946" t="s">
        <v>28607</v>
      </c>
      <c r="B5420" s="947" t="s">
        <v>21537</v>
      </c>
      <c r="C5420" s="948" t="s">
        <v>21535</v>
      </c>
      <c r="D5420" s="242" t="s">
        <v>28712</v>
      </c>
      <c r="E5420" s="949">
        <v>1503</v>
      </c>
      <c r="F5420" s="949">
        <v>1503</v>
      </c>
      <c r="G5420" s="950" t="s">
        <v>17260</v>
      </c>
      <c r="H5420" s="950" t="s">
        <v>398</v>
      </c>
      <c r="I5420" s="951" t="s">
        <v>21536</v>
      </c>
      <c r="J5420" s="947" t="s">
        <v>21537</v>
      </c>
      <c r="K5420" s="143"/>
    </row>
    <row r="5421" spans="1:11">
      <c r="A5421" s="946" t="s">
        <v>28607</v>
      </c>
      <c r="B5421" s="947" t="s">
        <v>21910</v>
      </c>
      <c r="C5421" s="948" t="s">
        <v>21908</v>
      </c>
      <c r="D5421" s="242" t="s">
        <v>28712</v>
      </c>
      <c r="E5421" s="949">
        <v>1503</v>
      </c>
      <c r="F5421" s="949">
        <v>1503</v>
      </c>
      <c r="G5421" s="950" t="s">
        <v>17260</v>
      </c>
      <c r="H5421" s="950" t="s">
        <v>398</v>
      </c>
      <c r="I5421" s="951" t="s">
        <v>21909</v>
      </c>
      <c r="J5421" s="947" t="s">
        <v>21910</v>
      </c>
      <c r="K5421" s="143"/>
    </row>
    <row r="5422" spans="1:11">
      <c r="A5422" s="946" t="s">
        <v>28607</v>
      </c>
      <c r="B5422" s="947" t="s">
        <v>21966</v>
      </c>
      <c r="C5422" s="948" t="s">
        <v>21964</v>
      </c>
      <c r="D5422" s="242" t="s">
        <v>28712</v>
      </c>
      <c r="E5422" s="949">
        <v>1503</v>
      </c>
      <c r="F5422" s="949">
        <v>1503</v>
      </c>
      <c r="G5422" s="950" t="s">
        <v>17260</v>
      </c>
      <c r="H5422" s="950" t="s">
        <v>398</v>
      </c>
      <c r="I5422" s="951" t="s">
        <v>21965</v>
      </c>
      <c r="J5422" s="947" t="s">
        <v>21966</v>
      </c>
      <c r="K5422" s="143"/>
    </row>
    <row r="5423" spans="1:11">
      <c r="A5423" s="946" t="s">
        <v>28607</v>
      </c>
      <c r="B5423" s="947" t="s">
        <v>2196</v>
      </c>
      <c r="C5423" s="948" t="s">
        <v>2194</v>
      </c>
      <c r="D5423" s="242" t="s">
        <v>28712</v>
      </c>
      <c r="E5423" s="949">
        <v>1503</v>
      </c>
      <c r="F5423" s="949">
        <v>1503</v>
      </c>
      <c r="G5423" s="950" t="s">
        <v>17260</v>
      </c>
      <c r="H5423" s="950" t="s">
        <v>398</v>
      </c>
      <c r="I5423" s="951" t="s">
        <v>2195</v>
      </c>
      <c r="J5423" s="947" t="s">
        <v>2196</v>
      </c>
      <c r="K5423" s="143"/>
    </row>
    <row r="5424" spans="1:11">
      <c r="A5424" s="946" t="s">
        <v>28604</v>
      </c>
      <c r="B5424" s="947" t="s">
        <v>387</v>
      </c>
      <c r="C5424" s="948" t="s">
        <v>384</v>
      </c>
      <c r="D5424" s="242" t="s">
        <v>26530</v>
      </c>
      <c r="E5424" s="949">
        <v>1301</v>
      </c>
      <c r="F5424" s="949">
        <v>1301</v>
      </c>
      <c r="G5424" s="950" t="s">
        <v>10145</v>
      </c>
      <c r="H5424" s="950" t="s">
        <v>385</v>
      </c>
      <c r="I5424" s="951" t="s">
        <v>386</v>
      </c>
      <c r="J5424" s="947" t="s">
        <v>387</v>
      </c>
      <c r="K5424" s="143"/>
    </row>
    <row r="5425" spans="1:11">
      <c r="A5425" s="946" t="s">
        <v>28604</v>
      </c>
      <c r="B5425" s="947" t="s">
        <v>676</v>
      </c>
      <c r="C5425" s="948" t="s">
        <v>674</v>
      </c>
      <c r="D5425" s="242" t="s">
        <v>26530</v>
      </c>
      <c r="E5425" s="949">
        <v>1302</v>
      </c>
      <c r="F5425" s="949">
        <v>1302</v>
      </c>
      <c r="G5425" s="950" t="s">
        <v>10145</v>
      </c>
      <c r="H5425" s="950" t="s">
        <v>385</v>
      </c>
      <c r="I5425" s="951" t="s">
        <v>675</v>
      </c>
      <c r="J5425" s="947" t="s">
        <v>676</v>
      </c>
      <c r="K5425" s="143"/>
    </row>
    <row r="5426" spans="1:11">
      <c r="A5426" s="946" t="s">
        <v>28604</v>
      </c>
      <c r="B5426" s="947" t="s">
        <v>897</v>
      </c>
      <c r="C5426" s="948" t="s">
        <v>895</v>
      </c>
      <c r="D5426" s="242" t="s">
        <v>26530</v>
      </c>
      <c r="E5426" s="949">
        <v>1303</v>
      </c>
      <c r="F5426" s="949">
        <v>1303</v>
      </c>
      <c r="G5426" s="950" t="s">
        <v>10145</v>
      </c>
      <c r="H5426" s="950" t="s">
        <v>385</v>
      </c>
      <c r="I5426" s="951" t="s">
        <v>896</v>
      </c>
      <c r="J5426" s="947" t="s">
        <v>897</v>
      </c>
      <c r="K5426" s="143"/>
    </row>
    <row r="5427" spans="1:11">
      <c r="A5427" s="946" t="s">
        <v>28604</v>
      </c>
      <c r="B5427" s="947" t="s">
        <v>1217</v>
      </c>
      <c r="C5427" s="948" t="s">
        <v>1215</v>
      </c>
      <c r="D5427" s="242" t="s">
        <v>26530</v>
      </c>
      <c r="E5427" s="949">
        <v>1303</v>
      </c>
      <c r="F5427" s="949">
        <v>1303</v>
      </c>
      <c r="G5427" s="950" t="s">
        <v>10145</v>
      </c>
      <c r="H5427" s="950" t="s">
        <v>385</v>
      </c>
      <c r="I5427" s="951" t="s">
        <v>1216</v>
      </c>
      <c r="J5427" s="947" t="s">
        <v>1217</v>
      </c>
      <c r="K5427" s="143"/>
    </row>
    <row r="5428" spans="1:11">
      <c r="A5428" s="946" t="s">
        <v>28604</v>
      </c>
      <c r="B5428" s="947" t="s">
        <v>1590</v>
      </c>
      <c r="C5428" s="948" t="s">
        <v>1588</v>
      </c>
      <c r="D5428" s="242" t="s">
        <v>26530</v>
      </c>
      <c r="E5428" s="949">
        <v>1303</v>
      </c>
      <c r="F5428" s="949">
        <v>1303</v>
      </c>
      <c r="G5428" s="950" t="s">
        <v>10145</v>
      </c>
      <c r="H5428" s="950" t="s">
        <v>385</v>
      </c>
      <c r="I5428" s="951" t="s">
        <v>1589</v>
      </c>
      <c r="J5428" s="947" t="s">
        <v>1590</v>
      </c>
      <c r="K5428" s="143"/>
    </row>
    <row r="5429" spans="1:11">
      <c r="A5429" s="946" t="s">
        <v>28604</v>
      </c>
      <c r="B5429" s="947" t="s">
        <v>1667</v>
      </c>
      <c r="C5429" s="948" t="s">
        <v>1665</v>
      </c>
      <c r="D5429" s="242" t="s">
        <v>26530</v>
      </c>
      <c r="E5429" s="949">
        <v>1302</v>
      </c>
      <c r="F5429" s="949">
        <v>1302</v>
      </c>
      <c r="G5429" s="950" t="s">
        <v>10145</v>
      </c>
      <c r="H5429" s="950" t="s">
        <v>385</v>
      </c>
      <c r="I5429" s="951" t="s">
        <v>1666</v>
      </c>
      <c r="J5429" s="947" t="s">
        <v>1667</v>
      </c>
      <c r="K5429" s="143"/>
    </row>
    <row r="5430" spans="1:11">
      <c r="A5430" s="946" t="s">
        <v>28604</v>
      </c>
      <c r="B5430" s="947" t="s">
        <v>1881</v>
      </c>
      <c r="C5430" s="948" t="s">
        <v>1879</v>
      </c>
      <c r="D5430" s="242" t="s">
        <v>26530</v>
      </c>
      <c r="E5430" s="949">
        <v>1302</v>
      </c>
      <c r="F5430" s="949">
        <v>1302</v>
      </c>
      <c r="G5430" s="950" t="s">
        <v>10145</v>
      </c>
      <c r="H5430" s="950" t="s">
        <v>385</v>
      </c>
      <c r="I5430" s="951" t="s">
        <v>1880</v>
      </c>
      <c r="J5430" s="947" t="s">
        <v>1881</v>
      </c>
      <c r="K5430" s="143"/>
    </row>
    <row r="5431" spans="1:11">
      <c r="A5431" s="946" t="s">
        <v>28604</v>
      </c>
      <c r="B5431" s="947" t="s">
        <v>1979</v>
      </c>
      <c r="C5431" s="948" t="s">
        <v>1977</v>
      </c>
      <c r="D5431" s="242" t="s">
        <v>26530</v>
      </c>
      <c r="E5431" s="949">
        <v>1301</v>
      </c>
      <c r="F5431" s="949">
        <v>1301</v>
      </c>
      <c r="G5431" s="950" t="s">
        <v>10145</v>
      </c>
      <c r="H5431" s="950" t="s">
        <v>385</v>
      </c>
      <c r="I5431" s="951" t="s">
        <v>1978</v>
      </c>
      <c r="J5431" s="947" t="s">
        <v>1979</v>
      </c>
      <c r="K5431" s="143"/>
    </row>
    <row r="5432" spans="1:11">
      <c r="A5432" s="946" t="s">
        <v>28604</v>
      </c>
      <c r="B5432" s="947" t="s">
        <v>2006</v>
      </c>
      <c r="C5432" s="948" t="s">
        <v>2004</v>
      </c>
      <c r="D5432" s="242" t="s">
        <v>26530</v>
      </c>
      <c r="E5432" s="949">
        <v>1301</v>
      </c>
      <c r="F5432" s="949">
        <v>1301</v>
      </c>
      <c r="G5432" s="950" t="s">
        <v>10145</v>
      </c>
      <c r="H5432" s="950" t="s">
        <v>385</v>
      </c>
      <c r="I5432" s="951" t="s">
        <v>2005</v>
      </c>
      <c r="J5432" s="947" t="s">
        <v>2006</v>
      </c>
      <c r="K5432" s="143"/>
    </row>
    <row r="5433" spans="1:11">
      <c r="A5433" s="946" t="s">
        <v>28604</v>
      </c>
      <c r="B5433" s="947" t="s">
        <v>2029</v>
      </c>
      <c r="C5433" s="948" t="s">
        <v>2027</v>
      </c>
      <c r="D5433" s="242" t="s">
        <v>26530</v>
      </c>
      <c r="E5433" s="949">
        <v>1303</v>
      </c>
      <c r="F5433" s="949">
        <v>1303</v>
      </c>
      <c r="G5433" s="950" t="s">
        <v>10145</v>
      </c>
      <c r="H5433" s="950" t="s">
        <v>385</v>
      </c>
      <c r="I5433" s="951" t="s">
        <v>2028</v>
      </c>
      <c r="J5433" s="947" t="s">
        <v>2029</v>
      </c>
      <c r="K5433" s="143"/>
    </row>
    <row r="5434" spans="1:11">
      <c r="A5434" s="946" t="s">
        <v>28604</v>
      </c>
      <c r="B5434" s="947" t="s">
        <v>2472</v>
      </c>
      <c r="C5434" s="948" t="s">
        <v>2470</v>
      </c>
      <c r="D5434" s="242" t="s">
        <v>26530</v>
      </c>
      <c r="E5434" s="949">
        <v>1302</v>
      </c>
      <c r="F5434" s="949">
        <v>1302</v>
      </c>
      <c r="G5434" s="950" t="s">
        <v>10145</v>
      </c>
      <c r="H5434" s="950" t="s">
        <v>385</v>
      </c>
      <c r="I5434" s="951" t="s">
        <v>2471</v>
      </c>
      <c r="J5434" s="947" t="s">
        <v>2472</v>
      </c>
      <c r="K5434" s="143"/>
    </row>
    <row r="5435" spans="1:11">
      <c r="A5435" s="946" t="s">
        <v>28604</v>
      </c>
      <c r="B5435" s="947" t="s">
        <v>3221</v>
      </c>
      <c r="C5435" s="948" t="s">
        <v>3219</v>
      </c>
      <c r="D5435" s="242" t="s">
        <v>26530</v>
      </c>
      <c r="E5435" s="949">
        <v>1303</v>
      </c>
      <c r="F5435" s="949">
        <v>1303</v>
      </c>
      <c r="G5435" s="950" t="s">
        <v>10145</v>
      </c>
      <c r="H5435" s="950" t="s">
        <v>385</v>
      </c>
      <c r="I5435" s="951" t="s">
        <v>3220</v>
      </c>
      <c r="J5435" s="947" t="s">
        <v>3221</v>
      </c>
      <c r="K5435" s="143"/>
    </row>
    <row r="5436" spans="1:11">
      <c r="A5436" s="946" t="s">
        <v>28604</v>
      </c>
      <c r="B5436" s="947" t="s">
        <v>3381</v>
      </c>
      <c r="C5436" s="948" t="s">
        <v>3379</v>
      </c>
      <c r="D5436" s="242" t="s">
        <v>26530</v>
      </c>
      <c r="E5436" s="949">
        <v>1301</v>
      </c>
      <c r="F5436" s="949">
        <v>1301</v>
      </c>
      <c r="G5436" s="950" t="s">
        <v>10145</v>
      </c>
      <c r="H5436" s="950" t="s">
        <v>385</v>
      </c>
      <c r="I5436" s="951" t="s">
        <v>3380</v>
      </c>
      <c r="J5436" s="947" t="s">
        <v>3381</v>
      </c>
      <c r="K5436" s="143"/>
    </row>
    <row r="5437" spans="1:11">
      <c r="A5437" s="946" t="s">
        <v>28604</v>
      </c>
      <c r="B5437" s="947" t="s">
        <v>3431</v>
      </c>
      <c r="C5437" s="948" t="s">
        <v>3429</v>
      </c>
      <c r="D5437" s="242" t="s">
        <v>26530</v>
      </c>
      <c r="E5437" s="949">
        <v>1301</v>
      </c>
      <c r="F5437" s="949">
        <v>1301</v>
      </c>
      <c r="G5437" s="950" t="s">
        <v>10145</v>
      </c>
      <c r="H5437" s="950" t="s">
        <v>385</v>
      </c>
      <c r="I5437" s="951" t="s">
        <v>3430</v>
      </c>
      <c r="J5437" s="947" t="s">
        <v>3431</v>
      </c>
      <c r="K5437" s="143"/>
    </row>
    <row r="5438" spans="1:11">
      <c r="A5438" s="946" t="s">
        <v>28604</v>
      </c>
      <c r="B5438" s="947" t="s">
        <v>3730</v>
      </c>
      <c r="C5438" s="948" t="s">
        <v>3728</v>
      </c>
      <c r="D5438" s="242" t="s">
        <v>26530</v>
      </c>
      <c r="E5438" s="949">
        <v>1303</v>
      </c>
      <c r="F5438" s="949">
        <v>1303</v>
      </c>
      <c r="G5438" s="950" t="s">
        <v>10145</v>
      </c>
      <c r="H5438" s="950" t="s">
        <v>385</v>
      </c>
      <c r="I5438" s="951" t="s">
        <v>3729</v>
      </c>
      <c r="J5438" s="947" t="s">
        <v>3730</v>
      </c>
      <c r="K5438" s="143"/>
    </row>
    <row r="5439" spans="1:11">
      <c r="A5439" s="946" t="s">
        <v>28604</v>
      </c>
      <c r="B5439" s="947" t="s">
        <v>3852</v>
      </c>
      <c r="C5439" s="948" t="s">
        <v>3850</v>
      </c>
      <c r="D5439" s="242" t="s">
        <v>26530</v>
      </c>
      <c r="E5439" s="949">
        <v>1301</v>
      </c>
      <c r="F5439" s="949">
        <v>1301</v>
      </c>
      <c r="G5439" s="950" t="s">
        <v>10145</v>
      </c>
      <c r="H5439" s="950" t="s">
        <v>385</v>
      </c>
      <c r="I5439" s="951" t="s">
        <v>3851</v>
      </c>
      <c r="J5439" s="947" t="s">
        <v>3852</v>
      </c>
      <c r="K5439" s="143"/>
    </row>
    <row r="5440" spans="1:11">
      <c r="A5440" s="946" t="s">
        <v>28604</v>
      </c>
      <c r="B5440" s="947" t="s">
        <v>3933</v>
      </c>
      <c r="C5440" s="948" t="s">
        <v>3931</v>
      </c>
      <c r="D5440" s="242" t="s">
        <v>26530</v>
      </c>
      <c r="E5440" s="949">
        <v>1302</v>
      </c>
      <c r="F5440" s="949">
        <v>1302</v>
      </c>
      <c r="G5440" s="950" t="s">
        <v>10145</v>
      </c>
      <c r="H5440" s="950" t="s">
        <v>385</v>
      </c>
      <c r="I5440" s="951" t="s">
        <v>3932</v>
      </c>
      <c r="J5440" s="947" t="s">
        <v>3933</v>
      </c>
      <c r="K5440" s="143"/>
    </row>
    <row r="5441" spans="1:11">
      <c r="A5441" s="946" t="s">
        <v>28604</v>
      </c>
      <c r="B5441" s="947" t="s">
        <v>3975</v>
      </c>
      <c r="C5441" s="948" t="s">
        <v>3973</v>
      </c>
      <c r="D5441" s="242" t="s">
        <v>26530</v>
      </c>
      <c r="E5441" s="949">
        <v>1303</v>
      </c>
      <c r="F5441" s="949">
        <v>1303</v>
      </c>
      <c r="G5441" s="950" t="s">
        <v>10145</v>
      </c>
      <c r="H5441" s="950" t="s">
        <v>385</v>
      </c>
      <c r="I5441" s="951" t="s">
        <v>3974</v>
      </c>
      <c r="J5441" s="947" t="s">
        <v>3975</v>
      </c>
      <c r="K5441" s="143"/>
    </row>
    <row r="5442" spans="1:11">
      <c r="A5442" s="946" t="s">
        <v>28604</v>
      </c>
      <c r="B5442" s="947" t="s">
        <v>4044</v>
      </c>
      <c r="C5442" s="948" t="s">
        <v>4042</v>
      </c>
      <c r="D5442" s="242" t="s">
        <v>26530</v>
      </c>
      <c r="E5442" s="949">
        <v>1301</v>
      </c>
      <c r="F5442" s="949">
        <v>1301</v>
      </c>
      <c r="G5442" s="950" t="s">
        <v>10145</v>
      </c>
      <c r="H5442" s="950" t="s">
        <v>385</v>
      </c>
      <c r="I5442" s="951" t="s">
        <v>4043</v>
      </c>
      <c r="J5442" s="947" t="s">
        <v>4044</v>
      </c>
      <c r="K5442" s="143"/>
    </row>
    <row r="5443" spans="1:11">
      <c r="A5443" s="946" t="s">
        <v>28604</v>
      </c>
      <c r="B5443" s="947" t="s">
        <v>4052</v>
      </c>
      <c r="C5443" s="948" t="s">
        <v>4050</v>
      </c>
      <c r="D5443" s="242" t="s">
        <v>26530</v>
      </c>
      <c r="E5443" s="949">
        <v>1302</v>
      </c>
      <c r="F5443" s="949">
        <v>1302</v>
      </c>
      <c r="G5443" s="950" t="s">
        <v>10145</v>
      </c>
      <c r="H5443" s="950" t="s">
        <v>385</v>
      </c>
      <c r="I5443" s="951" t="s">
        <v>4051</v>
      </c>
      <c r="J5443" s="947" t="s">
        <v>4052</v>
      </c>
      <c r="K5443" s="143"/>
    </row>
    <row r="5444" spans="1:11">
      <c r="A5444" s="946" t="s">
        <v>28604</v>
      </c>
      <c r="B5444" s="947" t="s">
        <v>4055</v>
      </c>
      <c r="C5444" s="948" t="s">
        <v>4053</v>
      </c>
      <c r="D5444" s="242" t="s">
        <v>26530</v>
      </c>
      <c r="E5444" s="949">
        <v>1301</v>
      </c>
      <c r="F5444" s="949">
        <v>1301</v>
      </c>
      <c r="G5444" s="950" t="s">
        <v>10145</v>
      </c>
      <c r="H5444" s="950" t="s">
        <v>385</v>
      </c>
      <c r="I5444" s="951" t="s">
        <v>4054</v>
      </c>
      <c r="J5444" s="947" t="s">
        <v>4055</v>
      </c>
      <c r="K5444" s="143"/>
    </row>
    <row r="5445" spans="1:11">
      <c r="A5445" s="946" t="s">
        <v>28604</v>
      </c>
      <c r="B5445" s="947" t="s">
        <v>4084</v>
      </c>
      <c r="C5445" s="948" t="s">
        <v>4082</v>
      </c>
      <c r="D5445" s="242" t="s">
        <v>26530</v>
      </c>
      <c r="E5445" s="949">
        <v>1301</v>
      </c>
      <c r="F5445" s="949">
        <v>1301</v>
      </c>
      <c r="G5445" s="950" t="s">
        <v>10145</v>
      </c>
      <c r="H5445" s="950" t="s">
        <v>385</v>
      </c>
      <c r="I5445" s="951" t="s">
        <v>4083</v>
      </c>
      <c r="J5445" s="947" t="s">
        <v>4084</v>
      </c>
      <c r="K5445" s="143"/>
    </row>
    <row r="5446" spans="1:11">
      <c r="A5446" s="946" t="s">
        <v>28604</v>
      </c>
      <c r="B5446" s="947" t="s">
        <v>4095</v>
      </c>
      <c r="C5446" s="948" t="s">
        <v>4093</v>
      </c>
      <c r="D5446" s="242" t="s">
        <v>26530</v>
      </c>
      <c r="E5446" s="949">
        <v>1302</v>
      </c>
      <c r="F5446" s="949">
        <v>1302</v>
      </c>
      <c r="G5446" s="950" t="s">
        <v>10145</v>
      </c>
      <c r="H5446" s="950" t="s">
        <v>385</v>
      </c>
      <c r="I5446" s="951" t="s">
        <v>4094</v>
      </c>
      <c r="J5446" s="947" t="s">
        <v>4095</v>
      </c>
      <c r="K5446" s="143"/>
    </row>
    <row r="5447" spans="1:11">
      <c r="A5447" s="946" t="s">
        <v>28604</v>
      </c>
      <c r="B5447" s="947" t="s">
        <v>4212</v>
      </c>
      <c r="C5447" s="948" t="s">
        <v>4210</v>
      </c>
      <c r="D5447" s="242" t="s">
        <v>26530</v>
      </c>
      <c r="E5447" s="949">
        <v>1301</v>
      </c>
      <c r="F5447" s="949">
        <v>1301</v>
      </c>
      <c r="G5447" s="950" t="s">
        <v>10145</v>
      </c>
      <c r="H5447" s="950" t="s">
        <v>385</v>
      </c>
      <c r="I5447" s="951" t="s">
        <v>4211</v>
      </c>
      <c r="J5447" s="947" t="s">
        <v>4212</v>
      </c>
      <c r="K5447" s="143"/>
    </row>
    <row r="5448" spans="1:11">
      <c r="A5448" s="946" t="s">
        <v>28604</v>
      </c>
      <c r="B5448" s="947" t="s">
        <v>4462</v>
      </c>
      <c r="C5448" s="948" t="s">
        <v>4460</v>
      </c>
      <c r="D5448" s="242" t="s">
        <v>26530</v>
      </c>
      <c r="E5448" s="949">
        <v>1302</v>
      </c>
      <c r="F5448" s="949">
        <v>1302</v>
      </c>
      <c r="G5448" s="950" t="s">
        <v>10145</v>
      </c>
      <c r="H5448" s="950" t="s">
        <v>385</v>
      </c>
      <c r="I5448" s="951" t="s">
        <v>4461</v>
      </c>
      <c r="J5448" s="947" t="s">
        <v>4462</v>
      </c>
      <c r="K5448" s="143"/>
    </row>
    <row r="5449" spans="1:11">
      <c r="A5449" s="946" t="s">
        <v>28604</v>
      </c>
      <c r="B5449" s="947" t="s">
        <v>4940</v>
      </c>
      <c r="C5449" s="948" t="s">
        <v>4938</v>
      </c>
      <c r="D5449" s="242" t="s">
        <v>26530</v>
      </c>
      <c r="E5449" s="949">
        <v>1301</v>
      </c>
      <c r="F5449" s="949">
        <v>1301</v>
      </c>
      <c r="G5449" s="950" t="s">
        <v>10145</v>
      </c>
      <c r="H5449" s="950" t="s">
        <v>385</v>
      </c>
      <c r="I5449" s="951" t="s">
        <v>4939</v>
      </c>
      <c r="J5449" s="947" t="s">
        <v>4940</v>
      </c>
      <c r="K5449" s="143"/>
    </row>
    <row r="5450" spans="1:11">
      <c r="A5450" s="946" t="s">
        <v>28604</v>
      </c>
      <c r="B5450" s="947" t="s">
        <v>4952</v>
      </c>
      <c r="C5450" s="948" t="s">
        <v>4950</v>
      </c>
      <c r="D5450" s="242" t="s">
        <v>26530</v>
      </c>
      <c r="E5450" s="949">
        <v>1303</v>
      </c>
      <c r="F5450" s="949">
        <v>1303</v>
      </c>
      <c r="G5450" s="950" t="s">
        <v>10145</v>
      </c>
      <c r="H5450" s="950" t="s">
        <v>385</v>
      </c>
      <c r="I5450" s="951" t="s">
        <v>4951</v>
      </c>
      <c r="J5450" s="947" t="s">
        <v>4952</v>
      </c>
      <c r="K5450" s="143"/>
    </row>
    <row r="5451" spans="1:11">
      <c r="A5451" s="946" t="s">
        <v>28604</v>
      </c>
      <c r="B5451" s="947" t="s">
        <v>4964</v>
      </c>
      <c r="C5451" s="948" t="s">
        <v>4962</v>
      </c>
      <c r="D5451" s="242" t="s">
        <v>26530</v>
      </c>
      <c r="E5451" s="949">
        <v>1303</v>
      </c>
      <c r="F5451" s="949">
        <v>1303</v>
      </c>
      <c r="G5451" s="950" t="s">
        <v>10145</v>
      </c>
      <c r="H5451" s="950" t="s">
        <v>385</v>
      </c>
      <c r="I5451" s="951" t="s">
        <v>4963</v>
      </c>
      <c r="J5451" s="947" t="s">
        <v>4964</v>
      </c>
      <c r="K5451" s="143"/>
    </row>
    <row r="5452" spans="1:11">
      <c r="A5452" s="946" t="s">
        <v>28604</v>
      </c>
      <c r="B5452" s="947" t="s">
        <v>5129</v>
      </c>
      <c r="C5452" s="948" t="s">
        <v>5127</v>
      </c>
      <c r="D5452" s="242" t="s">
        <v>26530</v>
      </c>
      <c r="E5452" s="949">
        <v>1302</v>
      </c>
      <c r="F5452" s="949">
        <v>1302</v>
      </c>
      <c r="G5452" s="950" t="s">
        <v>10145</v>
      </c>
      <c r="H5452" s="950" t="s">
        <v>385</v>
      </c>
      <c r="I5452" s="951" t="s">
        <v>5128</v>
      </c>
      <c r="J5452" s="947" t="s">
        <v>5129</v>
      </c>
      <c r="K5452" s="143"/>
    </row>
    <row r="5453" spans="1:11">
      <c r="A5453" s="946" t="s">
        <v>28604</v>
      </c>
      <c r="B5453" s="947" t="s">
        <v>5433</v>
      </c>
      <c r="C5453" s="948" t="s">
        <v>5431</v>
      </c>
      <c r="D5453" s="242" t="s">
        <v>26530</v>
      </c>
      <c r="E5453" s="949">
        <v>1301</v>
      </c>
      <c r="F5453" s="949">
        <v>1301</v>
      </c>
      <c r="G5453" s="950" t="s">
        <v>10145</v>
      </c>
      <c r="H5453" s="950" t="s">
        <v>385</v>
      </c>
      <c r="I5453" s="951" t="s">
        <v>5432</v>
      </c>
      <c r="J5453" s="947" t="s">
        <v>5433</v>
      </c>
      <c r="K5453" s="143"/>
    </row>
    <row r="5454" spans="1:11">
      <c r="A5454" s="946" t="s">
        <v>28604</v>
      </c>
      <c r="B5454" s="947" t="s">
        <v>5439</v>
      </c>
      <c r="C5454" s="948" t="s">
        <v>5437</v>
      </c>
      <c r="D5454" s="242" t="s">
        <v>26530</v>
      </c>
      <c r="E5454" s="949">
        <v>1303</v>
      </c>
      <c r="F5454" s="949">
        <v>1303</v>
      </c>
      <c r="G5454" s="950" t="s">
        <v>10145</v>
      </c>
      <c r="H5454" s="950" t="s">
        <v>385</v>
      </c>
      <c r="I5454" s="951" t="s">
        <v>5438</v>
      </c>
      <c r="J5454" s="947" t="s">
        <v>5439</v>
      </c>
      <c r="K5454" s="143"/>
    </row>
    <row r="5455" spans="1:11">
      <c r="A5455" s="946" t="s">
        <v>28604</v>
      </c>
      <c r="B5455" s="947" t="s">
        <v>5778</v>
      </c>
      <c r="C5455" s="948" t="s">
        <v>5776</v>
      </c>
      <c r="D5455" s="242" t="s">
        <v>26530</v>
      </c>
      <c r="E5455" s="949">
        <v>1302</v>
      </c>
      <c r="F5455" s="949">
        <v>1302</v>
      </c>
      <c r="G5455" s="950" t="s">
        <v>10145</v>
      </c>
      <c r="H5455" s="950" t="s">
        <v>385</v>
      </c>
      <c r="I5455" s="951" t="s">
        <v>5777</v>
      </c>
      <c r="J5455" s="947" t="s">
        <v>5778</v>
      </c>
      <c r="K5455" s="143"/>
    </row>
    <row r="5456" spans="1:11">
      <c r="A5456" s="946" t="s">
        <v>28604</v>
      </c>
      <c r="B5456" s="947" t="s">
        <v>5915</v>
      </c>
      <c r="C5456" s="948" t="s">
        <v>5913</v>
      </c>
      <c r="D5456" s="242" t="s">
        <v>26530</v>
      </c>
      <c r="E5456" s="949">
        <v>1302</v>
      </c>
      <c r="F5456" s="949">
        <v>1302</v>
      </c>
      <c r="G5456" s="950" t="s">
        <v>10145</v>
      </c>
      <c r="H5456" s="950" t="s">
        <v>385</v>
      </c>
      <c r="I5456" s="951" t="s">
        <v>5914</v>
      </c>
      <c r="J5456" s="947" t="s">
        <v>5915</v>
      </c>
      <c r="K5456" s="143"/>
    </row>
    <row r="5457" spans="1:11">
      <c r="A5457" s="946" t="s">
        <v>28604</v>
      </c>
      <c r="B5457" s="947" t="s">
        <v>6555</v>
      </c>
      <c r="C5457" s="948" t="s">
        <v>6553</v>
      </c>
      <c r="D5457" s="242" t="s">
        <v>26530</v>
      </c>
      <c r="E5457" s="949">
        <v>1302</v>
      </c>
      <c r="F5457" s="949">
        <v>1302</v>
      </c>
      <c r="G5457" s="950" t="s">
        <v>10145</v>
      </c>
      <c r="H5457" s="950" t="s">
        <v>385</v>
      </c>
      <c r="I5457" s="951" t="s">
        <v>6554</v>
      </c>
      <c r="J5457" s="947" t="s">
        <v>6555</v>
      </c>
      <c r="K5457" s="143"/>
    </row>
    <row r="5458" spans="1:11">
      <c r="A5458" s="946" t="s">
        <v>28604</v>
      </c>
      <c r="B5458" s="947" t="s">
        <v>6576</v>
      </c>
      <c r="C5458" s="948" t="s">
        <v>6574</v>
      </c>
      <c r="D5458" s="242" t="s">
        <v>26530</v>
      </c>
      <c r="E5458" s="949">
        <v>1303</v>
      </c>
      <c r="F5458" s="949">
        <v>1303</v>
      </c>
      <c r="G5458" s="950" t="s">
        <v>10145</v>
      </c>
      <c r="H5458" s="950" t="s">
        <v>385</v>
      </c>
      <c r="I5458" s="951" t="s">
        <v>6575</v>
      </c>
      <c r="J5458" s="947" t="s">
        <v>6576</v>
      </c>
      <c r="K5458" s="143"/>
    </row>
    <row r="5459" spans="1:11">
      <c r="A5459" s="946" t="s">
        <v>28604</v>
      </c>
      <c r="B5459" s="947" t="s">
        <v>6600</v>
      </c>
      <c r="C5459" s="948" t="s">
        <v>6598</v>
      </c>
      <c r="D5459" s="242" t="s">
        <v>26530</v>
      </c>
      <c r="E5459" s="949">
        <v>1302</v>
      </c>
      <c r="F5459" s="949">
        <v>1302</v>
      </c>
      <c r="G5459" s="950" t="s">
        <v>10145</v>
      </c>
      <c r="H5459" s="950" t="s">
        <v>385</v>
      </c>
      <c r="I5459" s="951" t="s">
        <v>6599</v>
      </c>
      <c r="J5459" s="947" t="s">
        <v>6600</v>
      </c>
      <c r="K5459" s="143"/>
    </row>
    <row r="5460" spans="1:11">
      <c r="A5460" s="946" t="s">
        <v>28604</v>
      </c>
      <c r="B5460" s="947" t="s">
        <v>6654</v>
      </c>
      <c r="C5460" s="948" t="s">
        <v>6652</v>
      </c>
      <c r="D5460" s="242" t="s">
        <v>26530</v>
      </c>
      <c r="E5460" s="949">
        <v>1303</v>
      </c>
      <c r="F5460" s="949">
        <v>1303</v>
      </c>
      <c r="G5460" s="950" t="s">
        <v>10145</v>
      </c>
      <c r="H5460" s="950" t="s">
        <v>385</v>
      </c>
      <c r="I5460" s="951" t="s">
        <v>6653</v>
      </c>
      <c r="J5460" s="947" t="s">
        <v>6654</v>
      </c>
      <c r="K5460" s="143"/>
    </row>
    <row r="5461" spans="1:11">
      <c r="A5461" s="946" t="s">
        <v>28604</v>
      </c>
      <c r="B5461" s="947" t="s">
        <v>6712</v>
      </c>
      <c r="C5461" s="948" t="s">
        <v>6710</v>
      </c>
      <c r="D5461" s="242" t="s">
        <v>26530</v>
      </c>
      <c r="E5461" s="949">
        <v>1302</v>
      </c>
      <c r="F5461" s="949">
        <v>1302</v>
      </c>
      <c r="G5461" s="950" t="s">
        <v>10145</v>
      </c>
      <c r="H5461" s="950" t="s">
        <v>385</v>
      </c>
      <c r="I5461" s="951" t="s">
        <v>6711</v>
      </c>
      <c r="J5461" s="947" t="s">
        <v>6712</v>
      </c>
      <c r="K5461" s="143"/>
    </row>
    <row r="5462" spans="1:11">
      <c r="A5462" s="946" t="s">
        <v>28604</v>
      </c>
      <c r="B5462" s="947" t="s">
        <v>6769</v>
      </c>
      <c r="C5462" s="948" t="s">
        <v>6767</v>
      </c>
      <c r="D5462" s="242" t="s">
        <v>26530</v>
      </c>
      <c r="E5462" s="949">
        <v>1302</v>
      </c>
      <c r="F5462" s="949">
        <v>1302</v>
      </c>
      <c r="G5462" s="950" t="s">
        <v>10145</v>
      </c>
      <c r="H5462" s="950" t="s">
        <v>385</v>
      </c>
      <c r="I5462" s="951" t="s">
        <v>6768</v>
      </c>
      <c r="J5462" s="947" t="s">
        <v>6769</v>
      </c>
      <c r="K5462" s="143"/>
    </row>
    <row r="5463" spans="1:11">
      <c r="A5463" s="946" t="s">
        <v>28604</v>
      </c>
      <c r="B5463" s="947" t="s">
        <v>6778</v>
      </c>
      <c r="C5463" s="948" t="s">
        <v>6776</v>
      </c>
      <c r="D5463" s="242" t="s">
        <v>26530</v>
      </c>
      <c r="E5463" s="949">
        <v>1301</v>
      </c>
      <c r="F5463" s="949">
        <v>1301</v>
      </c>
      <c r="G5463" s="950" t="s">
        <v>10145</v>
      </c>
      <c r="H5463" s="950" t="s">
        <v>385</v>
      </c>
      <c r="I5463" s="951" t="s">
        <v>6777</v>
      </c>
      <c r="J5463" s="947" t="s">
        <v>6778</v>
      </c>
      <c r="K5463" s="143"/>
    </row>
    <row r="5464" spans="1:11">
      <c r="A5464" s="946" t="s">
        <v>28604</v>
      </c>
      <c r="B5464" s="947" t="s">
        <v>7057</v>
      </c>
      <c r="C5464" s="948" t="s">
        <v>7055</v>
      </c>
      <c r="D5464" s="242" t="s">
        <v>26530</v>
      </c>
      <c r="E5464" s="949">
        <v>1303</v>
      </c>
      <c r="F5464" s="949">
        <v>1303</v>
      </c>
      <c r="G5464" s="950" t="s">
        <v>10145</v>
      </c>
      <c r="H5464" s="950" t="s">
        <v>385</v>
      </c>
      <c r="I5464" s="951" t="s">
        <v>7056</v>
      </c>
      <c r="J5464" s="947" t="s">
        <v>7057</v>
      </c>
      <c r="K5464" s="143"/>
    </row>
    <row r="5465" spans="1:11">
      <c r="A5465" s="946" t="s">
        <v>28604</v>
      </c>
      <c r="B5465" s="947" t="s">
        <v>7971</v>
      </c>
      <c r="C5465" s="948" t="s">
        <v>7969</v>
      </c>
      <c r="D5465" s="242" t="s">
        <v>26530</v>
      </c>
      <c r="E5465" s="949">
        <v>1301</v>
      </c>
      <c r="F5465" s="949">
        <v>1301</v>
      </c>
      <c r="G5465" s="950" t="s">
        <v>10145</v>
      </c>
      <c r="H5465" s="950" t="s">
        <v>385</v>
      </c>
      <c r="I5465" s="951" t="s">
        <v>7970</v>
      </c>
      <c r="J5465" s="947" t="s">
        <v>7971</v>
      </c>
      <c r="K5465" s="143"/>
    </row>
    <row r="5466" spans="1:11">
      <c r="A5466" s="946" t="s">
        <v>28604</v>
      </c>
      <c r="B5466" s="947" t="s">
        <v>8438</v>
      </c>
      <c r="C5466" s="948" t="s">
        <v>8436</v>
      </c>
      <c r="D5466" s="242" t="s">
        <v>26530</v>
      </c>
      <c r="E5466" s="949">
        <v>1301</v>
      </c>
      <c r="F5466" s="949">
        <v>1301</v>
      </c>
      <c r="G5466" s="950" t="s">
        <v>10145</v>
      </c>
      <c r="H5466" s="950" t="s">
        <v>385</v>
      </c>
      <c r="I5466" s="951" t="s">
        <v>8437</v>
      </c>
      <c r="J5466" s="947" t="s">
        <v>8438</v>
      </c>
      <c r="K5466" s="143"/>
    </row>
    <row r="5467" spans="1:11">
      <c r="A5467" s="946" t="s">
        <v>28604</v>
      </c>
      <c r="B5467" s="947" t="s">
        <v>8557</v>
      </c>
      <c r="C5467" s="948" t="s">
        <v>8555</v>
      </c>
      <c r="D5467" s="242" t="s">
        <v>26530</v>
      </c>
      <c r="E5467" s="949">
        <v>1301</v>
      </c>
      <c r="F5467" s="949">
        <v>1301</v>
      </c>
      <c r="G5467" s="950" t="s">
        <v>10145</v>
      </c>
      <c r="H5467" s="950" t="s">
        <v>385</v>
      </c>
      <c r="I5467" s="951" t="s">
        <v>8556</v>
      </c>
      <c r="J5467" s="947" t="s">
        <v>8557</v>
      </c>
      <c r="K5467" s="143"/>
    </row>
    <row r="5468" spans="1:11">
      <c r="A5468" s="946" t="s">
        <v>28604</v>
      </c>
      <c r="B5468" s="947" t="s">
        <v>8817</v>
      </c>
      <c r="C5468" s="948" t="s">
        <v>8815</v>
      </c>
      <c r="D5468" s="242" t="s">
        <v>26530</v>
      </c>
      <c r="E5468" s="949">
        <v>1303</v>
      </c>
      <c r="F5468" s="949">
        <v>1303</v>
      </c>
      <c r="G5468" s="950" t="s">
        <v>10145</v>
      </c>
      <c r="H5468" s="950" t="s">
        <v>385</v>
      </c>
      <c r="I5468" s="951" t="s">
        <v>8816</v>
      </c>
      <c r="J5468" s="947" t="s">
        <v>8817</v>
      </c>
      <c r="K5468" s="143"/>
    </row>
    <row r="5469" spans="1:11">
      <c r="A5469" s="946" t="s">
        <v>28604</v>
      </c>
      <c r="B5469" s="947" t="s">
        <v>9247</v>
      </c>
      <c r="C5469" s="948" t="s">
        <v>9245</v>
      </c>
      <c r="D5469" s="242" t="s">
        <v>26530</v>
      </c>
      <c r="E5469" s="949">
        <v>1302</v>
      </c>
      <c r="F5469" s="949">
        <v>1302</v>
      </c>
      <c r="G5469" s="950" t="s">
        <v>10145</v>
      </c>
      <c r="H5469" s="950" t="s">
        <v>385</v>
      </c>
      <c r="I5469" s="951" t="s">
        <v>9246</v>
      </c>
      <c r="J5469" s="947" t="s">
        <v>9247</v>
      </c>
      <c r="K5469" s="143"/>
    </row>
    <row r="5470" spans="1:11">
      <c r="A5470" s="946" t="s">
        <v>28604</v>
      </c>
      <c r="B5470" s="947" t="s">
        <v>9376</v>
      </c>
      <c r="C5470" s="948" t="s">
        <v>9374</v>
      </c>
      <c r="D5470" s="242" t="s">
        <v>26530</v>
      </c>
      <c r="E5470" s="949">
        <v>1303</v>
      </c>
      <c r="F5470" s="949">
        <v>1303</v>
      </c>
      <c r="G5470" s="950" t="s">
        <v>10145</v>
      </c>
      <c r="H5470" s="950" t="s">
        <v>385</v>
      </c>
      <c r="I5470" s="951" t="s">
        <v>9375</v>
      </c>
      <c r="J5470" s="947" t="s">
        <v>9376</v>
      </c>
      <c r="K5470" s="143"/>
    </row>
    <row r="5471" spans="1:11">
      <c r="A5471" s="946" t="s">
        <v>28604</v>
      </c>
      <c r="B5471" s="947" t="s">
        <v>9815</v>
      </c>
      <c r="C5471" s="948" t="s">
        <v>9813</v>
      </c>
      <c r="D5471" s="242" t="s">
        <v>26530</v>
      </c>
      <c r="E5471" s="949">
        <v>1303</v>
      </c>
      <c r="F5471" s="949">
        <v>1303</v>
      </c>
      <c r="G5471" s="950" t="s">
        <v>10145</v>
      </c>
      <c r="H5471" s="950" t="s">
        <v>385</v>
      </c>
      <c r="I5471" s="951" t="s">
        <v>9814</v>
      </c>
      <c r="J5471" s="947" t="s">
        <v>9815</v>
      </c>
      <c r="K5471" s="143"/>
    </row>
    <row r="5472" spans="1:11">
      <c r="A5472" s="946" t="s">
        <v>28604</v>
      </c>
      <c r="B5472" s="947" t="s">
        <v>10145</v>
      </c>
      <c r="C5472" s="948" t="s">
        <v>10143</v>
      </c>
      <c r="D5472" s="242" t="s">
        <v>26530</v>
      </c>
      <c r="E5472" s="949">
        <v>1301</v>
      </c>
      <c r="F5472" s="949">
        <v>1301</v>
      </c>
      <c r="G5472" s="950" t="s">
        <v>10145</v>
      </c>
      <c r="H5472" s="950" t="s">
        <v>385</v>
      </c>
      <c r="I5472" s="951" t="s">
        <v>10144</v>
      </c>
      <c r="J5472" s="947" t="s">
        <v>10145</v>
      </c>
      <c r="K5472" s="143"/>
    </row>
    <row r="5473" spans="1:11">
      <c r="A5473" s="946" t="s">
        <v>28604</v>
      </c>
      <c r="B5473" s="947" t="s">
        <v>10255</v>
      </c>
      <c r="C5473" s="948" t="s">
        <v>10253</v>
      </c>
      <c r="D5473" s="242" t="s">
        <v>26530</v>
      </c>
      <c r="E5473" s="949">
        <v>1302</v>
      </c>
      <c r="F5473" s="949">
        <v>1302</v>
      </c>
      <c r="G5473" s="950" t="s">
        <v>10145</v>
      </c>
      <c r="H5473" s="950" t="s">
        <v>385</v>
      </c>
      <c r="I5473" s="951" t="s">
        <v>10254</v>
      </c>
      <c r="J5473" s="947" t="s">
        <v>10255</v>
      </c>
      <c r="K5473" s="143"/>
    </row>
    <row r="5474" spans="1:11">
      <c r="A5474" s="946" t="s">
        <v>28604</v>
      </c>
      <c r="B5474" s="947" t="s">
        <v>10703</v>
      </c>
      <c r="C5474" s="948" t="s">
        <v>10701</v>
      </c>
      <c r="D5474" s="242" t="s">
        <v>26530</v>
      </c>
      <c r="E5474" s="949">
        <v>1302</v>
      </c>
      <c r="F5474" s="949">
        <v>1302</v>
      </c>
      <c r="G5474" s="950" t="s">
        <v>10145</v>
      </c>
      <c r="H5474" s="950" t="s">
        <v>385</v>
      </c>
      <c r="I5474" s="951" t="s">
        <v>10702</v>
      </c>
      <c r="J5474" s="947" t="s">
        <v>10703</v>
      </c>
      <c r="K5474" s="143"/>
    </row>
    <row r="5475" spans="1:11">
      <c r="A5475" s="946" t="s">
        <v>28604</v>
      </c>
      <c r="B5475" s="947" t="s">
        <v>10706</v>
      </c>
      <c r="C5475" s="948" t="s">
        <v>10704</v>
      </c>
      <c r="D5475" s="242" t="s">
        <v>26530</v>
      </c>
      <c r="E5475" s="949">
        <v>1301</v>
      </c>
      <c r="F5475" s="949">
        <v>1301</v>
      </c>
      <c r="G5475" s="950" t="s">
        <v>10145</v>
      </c>
      <c r="H5475" s="950" t="s">
        <v>385</v>
      </c>
      <c r="I5475" s="951" t="s">
        <v>10705</v>
      </c>
      <c r="J5475" s="947" t="s">
        <v>10706</v>
      </c>
      <c r="K5475" s="143"/>
    </row>
    <row r="5476" spans="1:11">
      <c r="A5476" s="946" t="s">
        <v>28604</v>
      </c>
      <c r="B5476" s="947" t="s">
        <v>10882</v>
      </c>
      <c r="C5476" s="948" t="s">
        <v>10880</v>
      </c>
      <c r="D5476" s="242" t="s">
        <v>26530</v>
      </c>
      <c r="E5476" s="949">
        <v>1302</v>
      </c>
      <c r="F5476" s="949">
        <v>1302</v>
      </c>
      <c r="G5476" s="950" t="s">
        <v>10145</v>
      </c>
      <c r="H5476" s="950" t="s">
        <v>385</v>
      </c>
      <c r="I5476" s="951" t="s">
        <v>10881</v>
      </c>
      <c r="J5476" s="947" t="s">
        <v>10882</v>
      </c>
      <c r="K5476" s="143"/>
    </row>
    <row r="5477" spans="1:11">
      <c r="A5477" s="946" t="s">
        <v>28604</v>
      </c>
      <c r="B5477" s="947" t="s">
        <v>11374</v>
      </c>
      <c r="C5477" s="948" t="s">
        <v>11372</v>
      </c>
      <c r="D5477" s="242" t="s">
        <v>26530</v>
      </c>
      <c r="E5477" s="949">
        <v>1302</v>
      </c>
      <c r="F5477" s="949">
        <v>1302</v>
      </c>
      <c r="G5477" s="950" t="s">
        <v>10145</v>
      </c>
      <c r="H5477" s="950" t="s">
        <v>385</v>
      </c>
      <c r="I5477" s="951" t="s">
        <v>11373</v>
      </c>
      <c r="J5477" s="947" t="s">
        <v>11374</v>
      </c>
      <c r="K5477" s="143"/>
    </row>
    <row r="5478" spans="1:11">
      <c r="A5478" s="946" t="s">
        <v>28604</v>
      </c>
      <c r="B5478" s="947" t="s">
        <v>11937</v>
      </c>
      <c r="C5478" s="948" t="s">
        <v>11935</v>
      </c>
      <c r="D5478" s="242" t="s">
        <v>26530</v>
      </c>
      <c r="E5478" s="949">
        <v>1303</v>
      </c>
      <c r="F5478" s="949">
        <v>1303</v>
      </c>
      <c r="G5478" s="950" t="s">
        <v>10145</v>
      </c>
      <c r="H5478" s="950" t="s">
        <v>385</v>
      </c>
      <c r="I5478" s="951" t="s">
        <v>11936</v>
      </c>
      <c r="J5478" s="947" t="s">
        <v>11937</v>
      </c>
      <c r="K5478" s="143"/>
    </row>
    <row r="5479" spans="1:11">
      <c r="A5479" s="946" t="s">
        <v>28604</v>
      </c>
      <c r="B5479" s="947" t="s">
        <v>12685</v>
      </c>
      <c r="C5479" s="948" t="s">
        <v>12683</v>
      </c>
      <c r="D5479" s="242" t="s">
        <v>26530</v>
      </c>
      <c r="E5479" s="949">
        <v>1301</v>
      </c>
      <c r="F5479" s="949">
        <v>1301</v>
      </c>
      <c r="G5479" s="950" t="s">
        <v>10145</v>
      </c>
      <c r="H5479" s="950" t="s">
        <v>385</v>
      </c>
      <c r="I5479" s="951" t="s">
        <v>12684</v>
      </c>
      <c r="J5479" s="947" t="s">
        <v>12685</v>
      </c>
      <c r="K5479" s="143"/>
    </row>
    <row r="5480" spans="1:11">
      <c r="A5480" s="946" t="s">
        <v>28604</v>
      </c>
      <c r="B5480" s="947" t="s">
        <v>12944</v>
      </c>
      <c r="C5480" s="948" t="s">
        <v>12942</v>
      </c>
      <c r="D5480" s="242" t="s">
        <v>26530</v>
      </c>
      <c r="E5480" s="949">
        <v>1302</v>
      </c>
      <c r="F5480" s="949">
        <v>1302</v>
      </c>
      <c r="G5480" s="950" t="s">
        <v>10145</v>
      </c>
      <c r="H5480" s="950" t="s">
        <v>385</v>
      </c>
      <c r="I5480" s="951" t="s">
        <v>12943</v>
      </c>
      <c r="J5480" s="947" t="s">
        <v>12944</v>
      </c>
      <c r="K5480" s="143"/>
    </row>
    <row r="5481" spans="1:11">
      <c r="A5481" s="946" t="s">
        <v>28604</v>
      </c>
      <c r="B5481" s="947" t="s">
        <v>13184</v>
      </c>
      <c r="C5481" s="948" t="s">
        <v>13182</v>
      </c>
      <c r="D5481" s="242" t="s">
        <v>26530</v>
      </c>
      <c r="E5481" s="949">
        <v>1301</v>
      </c>
      <c r="F5481" s="949">
        <v>1301</v>
      </c>
      <c r="G5481" s="950" t="s">
        <v>10145</v>
      </c>
      <c r="H5481" s="950" t="s">
        <v>385</v>
      </c>
      <c r="I5481" s="951" t="s">
        <v>13183</v>
      </c>
      <c r="J5481" s="947" t="s">
        <v>13184</v>
      </c>
      <c r="K5481" s="143"/>
    </row>
    <row r="5482" spans="1:11">
      <c r="A5482" s="946" t="s">
        <v>28604</v>
      </c>
      <c r="B5482" s="947" t="s">
        <v>13500</v>
      </c>
      <c r="C5482" s="948" t="s">
        <v>13498</v>
      </c>
      <c r="D5482" s="242" t="s">
        <v>26530</v>
      </c>
      <c r="E5482" s="949">
        <v>1301</v>
      </c>
      <c r="F5482" s="949">
        <v>1301</v>
      </c>
      <c r="G5482" s="950" t="s">
        <v>10145</v>
      </c>
      <c r="H5482" s="950" t="s">
        <v>385</v>
      </c>
      <c r="I5482" s="951" t="s">
        <v>13499</v>
      </c>
      <c r="J5482" s="947" t="s">
        <v>13500</v>
      </c>
      <c r="K5482" s="143"/>
    </row>
    <row r="5483" spans="1:11">
      <c r="A5483" s="946" t="s">
        <v>28604</v>
      </c>
      <c r="B5483" s="947" t="s">
        <v>13515</v>
      </c>
      <c r="C5483" s="948" t="s">
        <v>13513</v>
      </c>
      <c r="D5483" s="242" t="s">
        <v>26530</v>
      </c>
      <c r="E5483" s="949">
        <v>1301</v>
      </c>
      <c r="F5483" s="949">
        <v>1301</v>
      </c>
      <c r="G5483" s="950" t="s">
        <v>10145</v>
      </c>
      <c r="H5483" s="950" t="s">
        <v>385</v>
      </c>
      <c r="I5483" s="951" t="s">
        <v>13514</v>
      </c>
      <c r="J5483" s="947" t="s">
        <v>13515</v>
      </c>
      <c r="K5483" s="143"/>
    </row>
    <row r="5484" spans="1:11">
      <c r="A5484" s="946" t="s">
        <v>28604</v>
      </c>
      <c r="B5484" s="947" t="s">
        <v>13668</v>
      </c>
      <c r="C5484" s="948" t="s">
        <v>13666</v>
      </c>
      <c r="D5484" s="242" t="s">
        <v>26530</v>
      </c>
      <c r="E5484" s="949">
        <v>1303</v>
      </c>
      <c r="F5484" s="949">
        <v>1303</v>
      </c>
      <c r="G5484" s="950" t="s">
        <v>10145</v>
      </c>
      <c r="H5484" s="950" t="s">
        <v>385</v>
      </c>
      <c r="I5484" s="951" t="s">
        <v>13667</v>
      </c>
      <c r="J5484" s="947" t="s">
        <v>13668</v>
      </c>
      <c r="K5484" s="143"/>
    </row>
    <row r="5485" spans="1:11">
      <c r="A5485" s="946" t="s">
        <v>28604</v>
      </c>
      <c r="B5485" s="947" t="s">
        <v>13712</v>
      </c>
      <c r="C5485" s="948" t="s">
        <v>13710</v>
      </c>
      <c r="D5485" s="242" t="s">
        <v>26530</v>
      </c>
      <c r="E5485" s="949">
        <v>1302</v>
      </c>
      <c r="F5485" s="949">
        <v>1302</v>
      </c>
      <c r="G5485" s="950" t="s">
        <v>10145</v>
      </c>
      <c r="H5485" s="950" t="s">
        <v>385</v>
      </c>
      <c r="I5485" s="951" t="s">
        <v>13711</v>
      </c>
      <c r="J5485" s="947" t="s">
        <v>13712</v>
      </c>
      <c r="K5485" s="143"/>
    </row>
    <row r="5486" spans="1:11">
      <c r="A5486" s="946" t="s">
        <v>28604</v>
      </c>
      <c r="B5486" s="947" t="s">
        <v>13802</v>
      </c>
      <c r="C5486" s="948" t="s">
        <v>13800</v>
      </c>
      <c r="D5486" s="242" t="s">
        <v>26530</v>
      </c>
      <c r="E5486" s="949">
        <v>1302</v>
      </c>
      <c r="F5486" s="949">
        <v>1302</v>
      </c>
      <c r="G5486" s="950" t="s">
        <v>10145</v>
      </c>
      <c r="H5486" s="950" t="s">
        <v>385</v>
      </c>
      <c r="I5486" s="951" t="s">
        <v>13801</v>
      </c>
      <c r="J5486" s="947" t="s">
        <v>13802</v>
      </c>
      <c r="K5486" s="143"/>
    </row>
    <row r="5487" spans="1:11">
      <c r="A5487" s="946" t="s">
        <v>28604</v>
      </c>
      <c r="B5487" s="947" t="s">
        <v>13809</v>
      </c>
      <c r="C5487" s="948" t="s">
        <v>13807</v>
      </c>
      <c r="D5487" s="242" t="s">
        <v>26530</v>
      </c>
      <c r="E5487" s="949">
        <v>1302</v>
      </c>
      <c r="F5487" s="949">
        <v>1302</v>
      </c>
      <c r="G5487" s="950" t="s">
        <v>10145</v>
      </c>
      <c r="H5487" s="950" t="s">
        <v>385</v>
      </c>
      <c r="I5487" s="951" t="s">
        <v>13808</v>
      </c>
      <c r="J5487" s="947" t="s">
        <v>13809</v>
      </c>
      <c r="K5487" s="143"/>
    </row>
    <row r="5488" spans="1:11">
      <c r="A5488" s="946" t="s">
        <v>28604</v>
      </c>
      <c r="B5488" s="947" t="s">
        <v>13949</v>
      </c>
      <c r="C5488" s="948" t="s">
        <v>13947</v>
      </c>
      <c r="D5488" s="242" t="s">
        <v>26530</v>
      </c>
      <c r="E5488" s="949">
        <v>1302</v>
      </c>
      <c r="F5488" s="949">
        <v>1302</v>
      </c>
      <c r="G5488" s="950" t="s">
        <v>10145</v>
      </c>
      <c r="H5488" s="950" t="s">
        <v>385</v>
      </c>
      <c r="I5488" s="951" t="s">
        <v>13948</v>
      </c>
      <c r="J5488" s="947" t="s">
        <v>13949</v>
      </c>
      <c r="K5488" s="143"/>
    </row>
    <row r="5489" spans="1:11">
      <c r="A5489" s="946" t="s">
        <v>28604</v>
      </c>
      <c r="B5489" s="947" t="s">
        <v>13978</v>
      </c>
      <c r="C5489" s="948" t="s">
        <v>13976</v>
      </c>
      <c r="D5489" s="242" t="s">
        <v>26530</v>
      </c>
      <c r="E5489" s="949">
        <v>1303</v>
      </c>
      <c r="F5489" s="949">
        <v>1303</v>
      </c>
      <c r="G5489" s="950" t="s">
        <v>10145</v>
      </c>
      <c r="H5489" s="950" t="s">
        <v>385</v>
      </c>
      <c r="I5489" s="951" t="s">
        <v>13977</v>
      </c>
      <c r="J5489" s="947" t="s">
        <v>13978</v>
      </c>
      <c r="K5489" s="143"/>
    </row>
    <row r="5490" spans="1:11">
      <c r="A5490" s="946" t="s">
        <v>28604</v>
      </c>
      <c r="B5490" s="947" t="s">
        <v>14488</v>
      </c>
      <c r="C5490" s="948" t="s">
        <v>14486</v>
      </c>
      <c r="D5490" s="242" t="s">
        <v>26530</v>
      </c>
      <c r="E5490" s="949">
        <v>1302</v>
      </c>
      <c r="F5490" s="949">
        <v>1302</v>
      </c>
      <c r="G5490" s="950" t="s">
        <v>10145</v>
      </c>
      <c r="H5490" s="950" t="s">
        <v>385</v>
      </c>
      <c r="I5490" s="951" t="s">
        <v>14487</v>
      </c>
      <c r="J5490" s="947" t="s">
        <v>14488</v>
      </c>
      <c r="K5490" s="143"/>
    </row>
    <row r="5491" spans="1:11">
      <c r="A5491" s="946" t="s">
        <v>28604</v>
      </c>
      <c r="B5491" s="947" t="s">
        <v>14568</v>
      </c>
      <c r="C5491" s="948" t="s">
        <v>14566</v>
      </c>
      <c r="D5491" s="242" t="s">
        <v>26530</v>
      </c>
      <c r="E5491" s="949">
        <v>1303</v>
      </c>
      <c r="F5491" s="949">
        <v>1303</v>
      </c>
      <c r="G5491" s="950" t="s">
        <v>10145</v>
      </c>
      <c r="H5491" s="950" t="s">
        <v>385</v>
      </c>
      <c r="I5491" s="951" t="s">
        <v>14567</v>
      </c>
      <c r="J5491" s="947" t="s">
        <v>14568</v>
      </c>
      <c r="K5491" s="143"/>
    </row>
    <row r="5492" spans="1:11">
      <c r="A5492" s="946" t="s">
        <v>28604</v>
      </c>
      <c r="B5492" s="947" t="s">
        <v>14589</v>
      </c>
      <c r="C5492" s="948" t="s">
        <v>14587</v>
      </c>
      <c r="D5492" s="242" t="s">
        <v>26530</v>
      </c>
      <c r="E5492" s="949">
        <v>1302</v>
      </c>
      <c r="F5492" s="949">
        <v>1302</v>
      </c>
      <c r="G5492" s="950" t="s">
        <v>10145</v>
      </c>
      <c r="H5492" s="950" t="s">
        <v>385</v>
      </c>
      <c r="I5492" s="951" t="s">
        <v>14588</v>
      </c>
      <c r="J5492" s="947" t="s">
        <v>14589</v>
      </c>
      <c r="K5492" s="143"/>
    </row>
    <row r="5493" spans="1:11">
      <c r="A5493" s="946" t="s">
        <v>28604</v>
      </c>
      <c r="B5493" s="947" t="s">
        <v>14595</v>
      </c>
      <c r="C5493" s="948" t="s">
        <v>14593</v>
      </c>
      <c r="D5493" s="242" t="s">
        <v>26530</v>
      </c>
      <c r="E5493" s="949">
        <v>1303</v>
      </c>
      <c r="F5493" s="949">
        <v>1303</v>
      </c>
      <c r="G5493" s="950" t="s">
        <v>10145</v>
      </c>
      <c r="H5493" s="950" t="s">
        <v>385</v>
      </c>
      <c r="I5493" s="951" t="s">
        <v>14594</v>
      </c>
      <c r="J5493" s="947" t="s">
        <v>14595</v>
      </c>
      <c r="K5493" s="143"/>
    </row>
    <row r="5494" spans="1:11">
      <c r="A5494" s="946" t="s">
        <v>28604</v>
      </c>
      <c r="B5494" s="947" t="s">
        <v>14677</v>
      </c>
      <c r="C5494" s="948" t="s">
        <v>14675</v>
      </c>
      <c r="D5494" s="242" t="s">
        <v>26530</v>
      </c>
      <c r="E5494" s="949">
        <v>1303</v>
      </c>
      <c r="F5494" s="949">
        <v>1303</v>
      </c>
      <c r="G5494" s="950" t="s">
        <v>10145</v>
      </c>
      <c r="H5494" s="950" t="s">
        <v>385</v>
      </c>
      <c r="I5494" s="951" t="s">
        <v>14676</v>
      </c>
      <c r="J5494" s="947" t="s">
        <v>14677</v>
      </c>
      <c r="K5494" s="143"/>
    </row>
    <row r="5495" spans="1:11">
      <c r="A5495" s="946" t="s">
        <v>28604</v>
      </c>
      <c r="B5495" s="947" t="s">
        <v>15120</v>
      </c>
      <c r="C5495" s="948" t="s">
        <v>15118</v>
      </c>
      <c r="D5495" s="242" t="s">
        <v>26530</v>
      </c>
      <c r="E5495" s="949">
        <v>1301</v>
      </c>
      <c r="F5495" s="949">
        <v>1301</v>
      </c>
      <c r="G5495" s="950" t="s">
        <v>10145</v>
      </c>
      <c r="H5495" s="950" t="s">
        <v>385</v>
      </c>
      <c r="I5495" s="951" t="s">
        <v>15119</v>
      </c>
      <c r="J5495" s="947" t="s">
        <v>15120</v>
      </c>
      <c r="K5495" s="143"/>
    </row>
    <row r="5496" spans="1:11">
      <c r="A5496" s="946" t="s">
        <v>28604</v>
      </c>
      <c r="B5496" s="947" t="s">
        <v>15190</v>
      </c>
      <c r="C5496" s="948" t="s">
        <v>15188</v>
      </c>
      <c r="D5496" s="242" t="s">
        <v>26530</v>
      </c>
      <c r="E5496" s="949">
        <v>1301</v>
      </c>
      <c r="F5496" s="949">
        <v>1301</v>
      </c>
      <c r="G5496" s="950" t="s">
        <v>10145</v>
      </c>
      <c r="H5496" s="950" t="s">
        <v>385</v>
      </c>
      <c r="I5496" s="951" t="s">
        <v>15189</v>
      </c>
      <c r="J5496" s="947" t="s">
        <v>15190</v>
      </c>
      <c r="K5496" s="143"/>
    </row>
    <row r="5497" spans="1:11">
      <c r="A5497" s="946" t="s">
        <v>28604</v>
      </c>
      <c r="B5497" s="947" t="s">
        <v>15751</v>
      </c>
      <c r="C5497" s="948" t="s">
        <v>15749</v>
      </c>
      <c r="D5497" s="242" t="s">
        <v>26530</v>
      </c>
      <c r="E5497" s="949">
        <v>1301</v>
      </c>
      <c r="F5497" s="949">
        <v>1301</v>
      </c>
      <c r="G5497" s="950" t="s">
        <v>10145</v>
      </c>
      <c r="H5497" s="950" t="s">
        <v>385</v>
      </c>
      <c r="I5497" s="951" t="s">
        <v>15750</v>
      </c>
      <c r="J5497" s="947" t="s">
        <v>15751</v>
      </c>
      <c r="K5497" s="143"/>
    </row>
    <row r="5498" spans="1:11">
      <c r="A5498" s="946" t="s">
        <v>28604</v>
      </c>
      <c r="B5498" s="947" t="s">
        <v>15778</v>
      </c>
      <c r="C5498" s="948" t="s">
        <v>15776</v>
      </c>
      <c r="D5498" s="242" t="s">
        <v>26530</v>
      </c>
      <c r="E5498" s="949">
        <v>1303</v>
      </c>
      <c r="F5498" s="949">
        <v>1303</v>
      </c>
      <c r="G5498" s="950" t="s">
        <v>10145</v>
      </c>
      <c r="H5498" s="950" t="s">
        <v>385</v>
      </c>
      <c r="I5498" s="951" t="s">
        <v>15777</v>
      </c>
      <c r="J5498" s="947" t="s">
        <v>15778</v>
      </c>
      <c r="K5498" s="143"/>
    </row>
    <row r="5499" spans="1:11">
      <c r="A5499" s="946" t="s">
        <v>28604</v>
      </c>
      <c r="B5499" s="947" t="s">
        <v>15864</v>
      </c>
      <c r="C5499" s="948" t="s">
        <v>15862</v>
      </c>
      <c r="D5499" s="242" t="s">
        <v>26530</v>
      </c>
      <c r="E5499" s="949">
        <v>1303</v>
      </c>
      <c r="F5499" s="949">
        <v>1303</v>
      </c>
      <c r="G5499" s="950" t="s">
        <v>10145</v>
      </c>
      <c r="H5499" s="950" t="s">
        <v>385</v>
      </c>
      <c r="I5499" s="951" t="s">
        <v>15863</v>
      </c>
      <c r="J5499" s="947" t="s">
        <v>15864</v>
      </c>
      <c r="K5499" s="143"/>
    </row>
    <row r="5500" spans="1:11">
      <c r="A5500" s="946" t="s">
        <v>28604</v>
      </c>
      <c r="B5500" s="947" t="s">
        <v>16065</v>
      </c>
      <c r="C5500" s="948" t="s">
        <v>16063</v>
      </c>
      <c r="D5500" s="242" t="s">
        <v>26530</v>
      </c>
      <c r="E5500" s="949">
        <v>1303</v>
      </c>
      <c r="F5500" s="949">
        <v>1303</v>
      </c>
      <c r="G5500" s="950" t="s">
        <v>10145</v>
      </c>
      <c r="H5500" s="950" t="s">
        <v>385</v>
      </c>
      <c r="I5500" s="951" t="s">
        <v>16064</v>
      </c>
      <c r="J5500" s="947" t="s">
        <v>16065</v>
      </c>
      <c r="K5500" s="143"/>
    </row>
    <row r="5501" spans="1:11">
      <c r="A5501" s="946" t="s">
        <v>28604</v>
      </c>
      <c r="B5501" s="947" t="s">
        <v>16441</v>
      </c>
      <c r="C5501" s="948" t="s">
        <v>16439</v>
      </c>
      <c r="D5501" s="242" t="s">
        <v>26530</v>
      </c>
      <c r="E5501" s="949">
        <v>1303</v>
      </c>
      <c r="F5501" s="949">
        <v>1303</v>
      </c>
      <c r="G5501" s="950" t="s">
        <v>10145</v>
      </c>
      <c r="H5501" s="950" t="s">
        <v>385</v>
      </c>
      <c r="I5501" s="951" t="s">
        <v>16440</v>
      </c>
      <c r="J5501" s="947" t="s">
        <v>16441</v>
      </c>
      <c r="K5501" s="143"/>
    </row>
    <row r="5502" spans="1:11">
      <c r="A5502" s="946" t="s">
        <v>28604</v>
      </c>
      <c r="B5502" s="947" t="s">
        <v>16595</v>
      </c>
      <c r="C5502" s="948" t="s">
        <v>16593</v>
      </c>
      <c r="D5502" s="242" t="s">
        <v>26530</v>
      </c>
      <c r="E5502" s="949">
        <v>1303</v>
      </c>
      <c r="F5502" s="949">
        <v>1303</v>
      </c>
      <c r="G5502" s="950" t="s">
        <v>10145</v>
      </c>
      <c r="H5502" s="950" t="s">
        <v>385</v>
      </c>
      <c r="I5502" s="951" t="s">
        <v>16594</v>
      </c>
      <c r="J5502" s="947" t="s">
        <v>16595</v>
      </c>
      <c r="K5502" s="143"/>
    </row>
    <row r="5503" spans="1:11">
      <c r="A5503" s="946" t="s">
        <v>28604</v>
      </c>
      <c r="B5503" s="947" t="s">
        <v>16528</v>
      </c>
      <c r="C5503" s="948" t="s">
        <v>16526</v>
      </c>
      <c r="D5503" s="242" t="s">
        <v>26530</v>
      </c>
      <c r="E5503" s="949">
        <v>1302</v>
      </c>
      <c r="F5503" s="949">
        <v>1302</v>
      </c>
      <c r="G5503" s="950" t="s">
        <v>10145</v>
      </c>
      <c r="H5503" s="950" t="s">
        <v>385</v>
      </c>
      <c r="I5503" s="951" t="s">
        <v>16527</v>
      </c>
      <c r="J5503" s="947" t="s">
        <v>16528</v>
      </c>
      <c r="K5503" s="143"/>
    </row>
    <row r="5504" spans="1:11">
      <c r="A5504" s="946" t="s">
        <v>28604</v>
      </c>
      <c r="B5504" s="947" t="s">
        <v>16531</v>
      </c>
      <c r="C5504" s="948" t="s">
        <v>16529</v>
      </c>
      <c r="D5504" s="242" t="s">
        <v>26530</v>
      </c>
      <c r="E5504" s="949">
        <v>1301</v>
      </c>
      <c r="F5504" s="949">
        <v>1301</v>
      </c>
      <c r="G5504" s="950" t="s">
        <v>10145</v>
      </c>
      <c r="H5504" s="950" t="s">
        <v>385</v>
      </c>
      <c r="I5504" s="951" t="s">
        <v>16530</v>
      </c>
      <c r="J5504" s="947" t="s">
        <v>16531</v>
      </c>
      <c r="K5504" s="143"/>
    </row>
    <row r="5505" spans="1:11">
      <c r="A5505" s="946" t="s">
        <v>28604</v>
      </c>
      <c r="B5505" s="947" t="s">
        <v>16537</v>
      </c>
      <c r="C5505" s="948" t="s">
        <v>16535</v>
      </c>
      <c r="D5505" s="242" t="s">
        <v>26530</v>
      </c>
      <c r="E5505" s="949">
        <v>1301</v>
      </c>
      <c r="F5505" s="949">
        <v>1301</v>
      </c>
      <c r="G5505" s="950" t="s">
        <v>10145</v>
      </c>
      <c r="H5505" s="950" t="s">
        <v>385</v>
      </c>
      <c r="I5505" s="951" t="s">
        <v>16536</v>
      </c>
      <c r="J5505" s="947" t="s">
        <v>16537</v>
      </c>
      <c r="K5505" s="143"/>
    </row>
    <row r="5506" spans="1:11">
      <c r="A5506" s="946" t="s">
        <v>28604</v>
      </c>
      <c r="B5506" s="947" t="s">
        <v>16554</v>
      </c>
      <c r="C5506" s="948" t="s">
        <v>16552</v>
      </c>
      <c r="D5506" s="242" t="s">
        <v>26530</v>
      </c>
      <c r="E5506" s="949">
        <v>1303</v>
      </c>
      <c r="F5506" s="949">
        <v>1303</v>
      </c>
      <c r="G5506" s="950" t="s">
        <v>10145</v>
      </c>
      <c r="H5506" s="950" t="s">
        <v>385</v>
      </c>
      <c r="I5506" s="951" t="s">
        <v>16553</v>
      </c>
      <c r="J5506" s="947" t="s">
        <v>16554</v>
      </c>
      <c r="K5506" s="143"/>
    </row>
    <row r="5507" spans="1:11">
      <c r="A5507" s="946" t="s">
        <v>28604</v>
      </c>
      <c r="B5507" s="947" t="s">
        <v>16667</v>
      </c>
      <c r="C5507" s="948" t="s">
        <v>16665</v>
      </c>
      <c r="D5507" s="242" t="s">
        <v>26530</v>
      </c>
      <c r="E5507" s="949">
        <v>1303</v>
      </c>
      <c r="F5507" s="949">
        <v>1303</v>
      </c>
      <c r="G5507" s="950" t="s">
        <v>10145</v>
      </c>
      <c r="H5507" s="950" t="s">
        <v>385</v>
      </c>
      <c r="I5507" s="951" t="s">
        <v>16666</v>
      </c>
      <c r="J5507" s="947" t="s">
        <v>16667</v>
      </c>
      <c r="K5507" s="143"/>
    </row>
    <row r="5508" spans="1:11">
      <c r="A5508" s="946" t="s">
        <v>28604</v>
      </c>
      <c r="B5508" s="947" t="s">
        <v>17383</v>
      </c>
      <c r="C5508" s="948" t="s">
        <v>17381</v>
      </c>
      <c r="D5508" s="242" t="s">
        <v>26530</v>
      </c>
      <c r="E5508" s="949">
        <v>1302</v>
      </c>
      <c r="F5508" s="949">
        <v>1302</v>
      </c>
      <c r="G5508" s="950" t="s">
        <v>10145</v>
      </c>
      <c r="H5508" s="950" t="s">
        <v>385</v>
      </c>
      <c r="I5508" s="951" t="s">
        <v>17382</v>
      </c>
      <c r="J5508" s="947" t="s">
        <v>17383</v>
      </c>
      <c r="K5508" s="143"/>
    </row>
    <row r="5509" spans="1:11">
      <c r="A5509" s="946" t="s">
        <v>28604</v>
      </c>
      <c r="B5509" s="947" t="s">
        <v>17389</v>
      </c>
      <c r="C5509" s="948" t="s">
        <v>17387</v>
      </c>
      <c r="D5509" s="242" t="s">
        <v>26530</v>
      </c>
      <c r="E5509" s="949">
        <v>1301</v>
      </c>
      <c r="F5509" s="949">
        <v>1301</v>
      </c>
      <c r="G5509" s="950" t="s">
        <v>10145</v>
      </c>
      <c r="H5509" s="950" t="s">
        <v>385</v>
      </c>
      <c r="I5509" s="951" t="s">
        <v>17388</v>
      </c>
      <c r="J5509" s="947" t="s">
        <v>17389</v>
      </c>
      <c r="K5509" s="143"/>
    </row>
    <row r="5510" spans="1:11">
      <c r="A5510" s="946" t="s">
        <v>28604</v>
      </c>
      <c r="B5510" s="947" t="s">
        <v>17522</v>
      </c>
      <c r="C5510" s="948" t="s">
        <v>17520</v>
      </c>
      <c r="D5510" s="242" t="s">
        <v>26530</v>
      </c>
      <c r="E5510" s="949">
        <v>1301</v>
      </c>
      <c r="F5510" s="949">
        <v>1301</v>
      </c>
      <c r="G5510" s="950" t="s">
        <v>10145</v>
      </c>
      <c r="H5510" s="950" t="s">
        <v>385</v>
      </c>
      <c r="I5510" s="951" t="s">
        <v>17521</v>
      </c>
      <c r="J5510" s="947" t="s">
        <v>17522</v>
      </c>
      <c r="K5510" s="143"/>
    </row>
    <row r="5511" spans="1:11">
      <c r="A5511" s="946" t="s">
        <v>28604</v>
      </c>
      <c r="B5511" s="947" t="s">
        <v>18135</v>
      </c>
      <c r="C5511" s="948" t="s">
        <v>18133</v>
      </c>
      <c r="D5511" s="242" t="s">
        <v>26530</v>
      </c>
      <c r="E5511" s="949">
        <v>1301</v>
      </c>
      <c r="F5511" s="949">
        <v>1301</v>
      </c>
      <c r="G5511" s="950" t="s">
        <v>10145</v>
      </c>
      <c r="H5511" s="950" t="s">
        <v>385</v>
      </c>
      <c r="I5511" s="951" t="s">
        <v>18134</v>
      </c>
      <c r="J5511" s="947" t="s">
        <v>18135</v>
      </c>
      <c r="K5511" s="143"/>
    </row>
    <row r="5512" spans="1:11">
      <c r="A5512" s="946" t="s">
        <v>28604</v>
      </c>
      <c r="B5512" s="947" t="s">
        <v>18697</v>
      </c>
      <c r="C5512" s="948" t="s">
        <v>18695</v>
      </c>
      <c r="D5512" s="242" t="s">
        <v>26530</v>
      </c>
      <c r="E5512" s="949">
        <v>1302</v>
      </c>
      <c r="F5512" s="949">
        <v>1302</v>
      </c>
      <c r="G5512" s="950" t="s">
        <v>10145</v>
      </c>
      <c r="H5512" s="950" t="s">
        <v>385</v>
      </c>
      <c r="I5512" s="951" t="s">
        <v>18696</v>
      </c>
      <c r="J5512" s="947" t="s">
        <v>18697</v>
      </c>
      <c r="K5512" s="143"/>
    </row>
    <row r="5513" spans="1:11">
      <c r="A5513" s="946" t="s">
        <v>28604</v>
      </c>
      <c r="B5513" s="947" t="s">
        <v>18735</v>
      </c>
      <c r="C5513" s="948" t="s">
        <v>18733</v>
      </c>
      <c r="D5513" s="242" t="s">
        <v>26530</v>
      </c>
      <c r="E5513" s="949">
        <v>1301</v>
      </c>
      <c r="F5513" s="949">
        <v>1301</v>
      </c>
      <c r="G5513" s="950" t="s">
        <v>10145</v>
      </c>
      <c r="H5513" s="950" t="s">
        <v>385</v>
      </c>
      <c r="I5513" s="951" t="s">
        <v>18734</v>
      </c>
      <c r="J5513" s="947" t="s">
        <v>18735</v>
      </c>
      <c r="K5513" s="143"/>
    </row>
    <row r="5514" spans="1:11">
      <c r="A5514" s="946" t="s">
        <v>28604</v>
      </c>
      <c r="B5514" s="947" t="s">
        <v>18777</v>
      </c>
      <c r="C5514" s="948" t="s">
        <v>18775</v>
      </c>
      <c r="D5514" s="242" t="s">
        <v>26530</v>
      </c>
      <c r="E5514" s="949">
        <v>1301</v>
      </c>
      <c r="F5514" s="949">
        <v>1301</v>
      </c>
      <c r="G5514" s="950" t="s">
        <v>10145</v>
      </c>
      <c r="H5514" s="950" t="s">
        <v>385</v>
      </c>
      <c r="I5514" s="951" t="s">
        <v>18776</v>
      </c>
      <c r="J5514" s="947" t="s">
        <v>18777</v>
      </c>
      <c r="K5514" s="143"/>
    </row>
    <row r="5515" spans="1:11">
      <c r="A5515" s="946" t="s">
        <v>28604</v>
      </c>
      <c r="B5515" s="947" t="s">
        <v>18271</v>
      </c>
      <c r="C5515" s="948" t="s">
        <v>18269</v>
      </c>
      <c r="D5515" s="242" t="s">
        <v>26530</v>
      </c>
      <c r="E5515" s="949">
        <v>1302</v>
      </c>
      <c r="F5515" s="949">
        <v>1302</v>
      </c>
      <c r="G5515" s="950" t="s">
        <v>10145</v>
      </c>
      <c r="H5515" s="950" t="s">
        <v>385</v>
      </c>
      <c r="I5515" s="951" t="s">
        <v>18270</v>
      </c>
      <c r="J5515" s="947" t="s">
        <v>18271</v>
      </c>
      <c r="K5515" s="143"/>
    </row>
    <row r="5516" spans="1:11">
      <c r="A5516" s="946" t="s">
        <v>28604</v>
      </c>
      <c r="B5516" s="947" t="s">
        <v>19037</v>
      </c>
      <c r="C5516" s="948" t="s">
        <v>19035</v>
      </c>
      <c r="D5516" s="242" t="s">
        <v>26530</v>
      </c>
      <c r="E5516" s="949">
        <v>1303</v>
      </c>
      <c r="F5516" s="949">
        <v>1303</v>
      </c>
      <c r="G5516" s="950" t="s">
        <v>10145</v>
      </c>
      <c r="H5516" s="950" t="s">
        <v>385</v>
      </c>
      <c r="I5516" s="951" t="s">
        <v>19036</v>
      </c>
      <c r="J5516" s="947" t="s">
        <v>19037</v>
      </c>
      <c r="K5516" s="143"/>
    </row>
    <row r="5517" spans="1:11">
      <c r="A5517" s="946" t="s">
        <v>28604</v>
      </c>
      <c r="B5517" s="947" t="s">
        <v>19121</v>
      </c>
      <c r="C5517" s="948" t="s">
        <v>19119</v>
      </c>
      <c r="D5517" s="242" t="s">
        <v>26530</v>
      </c>
      <c r="E5517" s="949">
        <v>1303</v>
      </c>
      <c r="F5517" s="949">
        <v>1303</v>
      </c>
      <c r="G5517" s="950" t="s">
        <v>10145</v>
      </c>
      <c r="H5517" s="950" t="s">
        <v>385</v>
      </c>
      <c r="I5517" s="951" t="s">
        <v>19120</v>
      </c>
      <c r="J5517" s="947" t="s">
        <v>19121</v>
      </c>
      <c r="K5517" s="143"/>
    </row>
    <row r="5518" spans="1:11">
      <c r="A5518" s="946" t="s">
        <v>28604</v>
      </c>
      <c r="B5518" s="947" t="s">
        <v>19130</v>
      </c>
      <c r="C5518" s="948" t="s">
        <v>19128</v>
      </c>
      <c r="D5518" s="242" t="s">
        <v>26530</v>
      </c>
      <c r="E5518" s="949">
        <v>1301</v>
      </c>
      <c r="F5518" s="949">
        <v>1301</v>
      </c>
      <c r="G5518" s="950" t="s">
        <v>10145</v>
      </c>
      <c r="H5518" s="950" t="s">
        <v>385</v>
      </c>
      <c r="I5518" s="951" t="s">
        <v>19129</v>
      </c>
      <c r="J5518" s="947" t="s">
        <v>19130</v>
      </c>
      <c r="K5518" s="143"/>
    </row>
    <row r="5519" spans="1:11">
      <c r="A5519" s="946" t="s">
        <v>28604</v>
      </c>
      <c r="B5519" s="947" t="s">
        <v>19142</v>
      </c>
      <c r="C5519" s="948" t="s">
        <v>19140</v>
      </c>
      <c r="D5519" s="242" t="s">
        <v>26530</v>
      </c>
      <c r="E5519" s="949">
        <v>1302</v>
      </c>
      <c r="F5519" s="949">
        <v>1302</v>
      </c>
      <c r="G5519" s="950" t="s">
        <v>10145</v>
      </c>
      <c r="H5519" s="950" t="s">
        <v>385</v>
      </c>
      <c r="I5519" s="951" t="s">
        <v>19141</v>
      </c>
      <c r="J5519" s="947" t="s">
        <v>19142</v>
      </c>
      <c r="K5519" s="143"/>
    </row>
    <row r="5520" spans="1:11">
      <c r="A5520" s="946" t="s">
        <v>28604</v>
      </c>
      <c r="B5520" s="947" t="s">
        <v>19154</v>
      </c>
      <c r="C5520" s="948" t="s">
        <v>19152</v>
      </c>
      <c r="D5520" s="242" t="s">
        <v>26530</v>
      </c>
      <c r="E5520" s="949">
        <v>1303</v>
      </c>
      <c r="F5520" s="949">
        <v>1303</v>
      </c>
      <c r="G5520" s="950" t="s">
        <v>10145</v>
      </c>
      <c r="H5520" s="950" t="s">
        <v>385</v>
      </c>
      <c r="I5520" s="951" t="s">
        <v>19153</v>
      </c>
      <c r="J5520" s="947" t="s">
        <v>19154</v>
      </c>
      <c r="K5520" s="143"/>
    </row>
    <row r="5521" spans="1:11">
      <c r="A5521" s="946" t="s">
        <v>28604</v>
      </c>
      <c r="B5521" s="947" t="s">
        <v>20104</v>
      </c>
      <c r="C5521" s="948" t="s">
        <v>20102</v>
      </c>
      <c r="D5521" s="242" t="s">
        <v>26530</v>
      </c>
      <c r="E5521" s="949">
        <v>1303</v>
      </c>
      <c r="F5521" s="949">
        <v>1303</v>
      </c>
      <c r="G5521" s="950" t="s">
        <v>10145</v>
      </c>
      <c r="H5521" s="950" t="s">
        <v>385</v>
      </c>
      <c r="I5521" s="951" t="s">
        <v>20103</v>
      </c>
      <c r="J5521" s="947" t="s">
        <v>20104</v>
      </c>
      <c r="K5521" s="143"/>
    </row>
    <row r="5522" spans="1:11">
      <c r="A5522" s="946" t="s">
        <v>28604</v>
      </c>
      <c r="B5522" s="947" t="s">
        <v>20165</v>
      </c>
      <c r="C5522" s="948" t="s">
        <v>20163</v>
      </c>
      <c r="D5522" s="242" t="s">
        <v>26530</v>
      </c>
      <c r="E5522" s="949">
        <v>1302</v>
      </c>
      <c r="F5522" s="949">
        <v>1302</v>
      </c>
      <c r="G5522" s="950" t="s">
        <v>10145</v>
      </c>
      <c r="H5522" s="950" t="s">
        <v>385</v>
      </c>
      <c r="I5522" s="951" t="s">
        <v>20164</v>
      </c>
      <c r="J5522" s="947" t="s">
        <v>20165</v>
      </c>
      <c r="K5522" s="143"/>
    </row>
    <row r="5523" spans="1:11">
      <c r="A5523" s="946" t="s">
        <v>28604</v>
      </c>
      <c r="B5523" s="947" t="s">
        <v>20472</v>
      </c>
      <c r="C5523" s="948" t="s">
        <v>20470</v>
      </c>
      <c r="D5523" s="242" t="s">
        <v>26530</v>
      </c>
      <c r="E5523" s="949">
        <v>1301</v>
      </c>
      <c r="F5523" s="949">
        <v>1301</v>
      </c>
      <c r="G5523" s="950" t="s">
        <v>10145</v>
      </c>
      <c r="H5523" s="950" t="s">
        <v>385</v>
      </c>
      <c r="I5523" s="951" t="s">
        <v>20471</v>
      </c>
      <c r="J5523" s="947" t="s">
        <v>20472</v>
      </c>
      <c r="K5523" s="143"/>
    </row>
    <row r="5524" spans="1:11">
      <c r="A5524" s="946" t="s">
        <v>28604</v>
      </c>
      <c r="B5524" s="947" t="s">
        <v>20602</v>
      </c>
      <c r="C5524" s="948" t="s">
        <v>20600</v>
      </c>
      <c r="D5524" s="242" t="s">
        <v>26530</v>
      </c>
      <c r="E5524" s="949">
        <v>1301</v>
      </c>
      <c r="F5524" s="949">
        <v>1301</v>
      </c>
      <c r="G5524" s="950" t="s">
        <v>10145</v>
      </c>
      <c r="H5524" s="950" t="s">
        <v>385</v>
      </c>
      <c r="I5524" s="951" t="s">
        <v>20601</v>
      </c>
      <c r="J5524" s="947" t="s">
        <v>20602</v>
      </c>
      <c r="K5524" s="143"/>
    </row>
    <row r="5525" spans="1:11">
      <c r="A5525" s="946" t="s">
        <v>28604</v>
      </c>
      <c r="B5525" s="947" t="s">
        <v>20853</v>
      </c>
      <c r="C5525" s="948" t="s">
        <v>20851</v>
      </c>
      <c r="D5525" s="242" t="s">
        <v>26530</v>
      </c>
      <c r="E5525" s="949">
        <v>1302</v>
      </c>
      <c r="F5525" s="949">
        <v>1302</v>
      </c>
      <c r="G5525" s="950" t="s">
        <v>10145</v>
      </c>
      <c r="H5525" s="950" t="s">
        <v>385</v>
      </c>
      <c r="I5525" s="951" t="s">
        <v>20852</v>
      </c>
      <c r="J5525" s="947" t="s">
        <v>20853</v>
      </c>
      <c r="K5525" s="143"/>
    </row>
    <row r="5526" spans="1:11">
      <c r="A5526" s="946" t="s">
        <v>28604</v>
      </c>
      <c r="B5526" s="947" t="s">
        <v>22198</v>
      </c>
      <c r="C5526" s="948" t="s">
        <v>22196</v>
      </c>
      <c r="D5526" s="242" t="s">
        <v>26530</v>
      </c>
      <c r="E5526" s="949">
        <v>1303</v>
      </c>
      <c r="F5526" s="949">
        <v>1303</v>
      </c>
      <c r="G5526" s="950" t="s">
        <v>10145</v>
      </c>
      <c r="H5526" s="950" t="s">
        <v>385</v>
      </c>
      <c r="I5526" s="951" t="s">
        <v>22197</v>
      </c>
      <c r="J5526" s="947" t="s">
        <v>22198</v>
      </c>
      <c r="K5526" s="143"/>
    </row>
    <row r="5527" spans="1:11">
      <c r="A5527" s="946" t="s">
        <v>28604</v>
      </c>
      <c r="B5527" s="947" t="s">
        <v>22132</v>
      </c>
      <c r="C5527" s="948" t="s">
        <v>22130</v>
      </c>
      <c r="D5527" s="242" t="s">
        <v>26530</v>
      </c>
      <c r="E5527" s="949">
        <v>1301</v>
      </c>
      <c r="F5527" s="949">
        <v>1301</v>
      </c>
      <c r="G5527" s="950" t="s">
        <v>10145</v>
      </c>
      <c r="H5527" s="950" t="s">
        <v>385</v>
      </c>
      <c r="I5527" s="951" t="s">
        <v>22131</v>
      </c>
      <c r="J5527" s="947" t="s">
        <v>22132</v>
      </c>
      <c r="K5527" s="143"/>
    </row>
    <row r="5528" spans="1:11">
      <c r="A5528" s="946" t="s">
        <v>28604</v>
      </c>
      <c r="B5528" s="947" t="s">
        <v>22138</v>
      </c>
      <c r="C5528" s="948" t="s">
        <v>22136</v>
      </c>
      <c r="D5528" s="242" t="s">
        <v>26530</v>
      </c>
      <c r="E5528" s="949">
        <v>1301</v>
      </c>
      <c r="F5528" s="949">
        <v>1301</v>
      </c>
      <c r="G5528" s="950" t="s">
        <v>10145</v>
      </c>
      <c r="H5528" s="950" t="s">
        <v>385</v>
      </c>
      <c r="I5528" s="951" t="s">
        <v>22137</v>
      </c>
      <c r="J5528" s="947" t="s">
        <v>22138</v>
      </c>
      <c r="K5528" s="143"/>
    </row>
    <row r="5529" spans="1:11">
      <c r="A5529" s="946" t="s">
        <v>28604</v>
      </c>
      <c r="B5529" s="947" t="s">
        <v>22332</v>
      </c>
      <c r="C5529" s="948" t="s">
        <v>22330</v>
      </c>
      <c r="D5529" s="242" t="s">
        <v>26530</v>
      </c>
      <c r="E5529" s="949">
        <v>1302</v>
      </c>
      <c r="F5529" s="949">
        <v>1302</v>
      </c>
      <c r="G5529" s="950" t="s">
        <v>10145</v>
      </c>
      <c r="H5529" s="950" t="s">
        <v>385</v>
      </c>
      <c r="I5529" s="951" t="s">
        <v>22331</v>
      </c>
      <c r="J5529" s="947" t="s">
        <v>22332</v>
      </c>
      <c r="K5529" s="143"/>
    </row>
    <row r="5530" spans="1:11">
      <c r="A5530" s="946" t="s">
        <v>28604</v>
      </c>
      <c r="B5530" s="947" t="s">
        <v>22344</v>
      </c>
      <c r="C5530" s="948" t="s">
        <v>22342</v>
      </c>
      <c r="D5530" s="242" t="s">
        <v>26530</v>
      </c>
      <c r="E5530" s="949">
        <v>1303</v>
      </c>
      <c r="F5530" s="949">
        <v>1303</v>
      </c>
      <c r="G5530" s="950" t="s">
        <v>10145</v>
      </c>
      <c r="H5530" s="950" t="s">
        <v>385</v>
      </c>
      <c r="I5530" s="951" t="s">
        <v>22343</v>
      </c>
      <c r="J5530" s="947" t="s">
        <v>22344</v>
      </c>
      <c r="K5530" s="143"/>
    </row>
    <row r="5531" spans="1:11">
      <c r="A5531" s="946" t="s">
        <v>28604</v>
      </c>
      <c r="B5531" s="947" t="s">
        <v>22439</v>
      </c>
      <c r="C5531" s="948" t="s">
        <v>22437</v>
      </c>
      <c r="D5531" s="242" t="s">
        <v>26530</v>
      </c>
      <c r="E5531" s="949">
        <v>1303</v>
      </c>
      <c r="F5531" s="949">
        <v>1303</v>
      </c>
      <c r="G5531" s="950" t="s">
        <v>10145</v>
      </c>
      <c r="H5531" s="950" t="s">
        <v>385</v>
      </c>
      <c r="I5531" s="951" t="s">
        <v>22438</v>
      </c>
      <c r="J5531" s="947" t="s">
        <v>22439</v>
      </c>
      <c r="K5531" s="143"/>
    </row>
    <row r="5532" spans="1:11">
      <c r="A5532" s="946" t="s">
        <v>28604</v>
      </c>
      <c r="B5532" s="947" t="s">
        <v>757</v>
      </c>
      <c r="C5532" s="948" t="s">
        <v>754</v>
      </c>
      <c r="D5532" s="242" t="s">
        <v>26530</v>
      </c>
      <c r="E5532" s="949">
        <v>1305</v>
      </c>
      <c r="F5532" s="949">
        <v>1305</v>
      </c>
      <c r="G5532" s="950" t="s">
        <v>20328</v>
      </c>
      <c r="H5532" s="950" t="s">
        <v>755</v>
      </c>
      <c r="I5532" s="951" t="s">
        <v>756</v>
      </c>
      <c r="J5532" s="947" t="s">
        <v>757</v>
      </c>
      <c r="K5532" s="143"/>
    </row>
    <row r="5533" spans="1:11">
      <c r="A5533" s="946" t="s">
        <v>28604</v>
      </c>
      <c r="B5533" s="947" t="s">
        <v>1109</v>
      </c>
      <c r="C5533" s="948" t="s">
        <v>1107</v>
      </c>
      <c r="D5533" s="242" t="s">
        <v>26530</v>
      </c>
      <c r="E5533" s="949">
        <v>1305</v>
      </c>
      <c r="F5533" s="949">
        <v>1305</v>
      </c>
      <c r="G5533" s="950" t="s">
        <v>20328</v>
      </c>
      <c r="H5533" s="950" t="s">
        <v>755</v>
      </c>
      <c r="I5533" s="951" t="s">
        <v>1108</v>
      </c>
      <c r="J5533" s="947" t="s">
        <v>1109</v>
      </c>
      <c r="K5533" s="143"/>
    </row>
    <row r="5534" spans="1:11">
      <c r="A5534" s="946" t="s">
        <v>28604</v>
      </c>
      <c r="B5534" s="947" t="s">
        <v>1503</v>
      </c>
      <c r="C5534" s="948" t="s">
        <v>1501</v>
      </c>
      <c r="D5534" s="242" t="s">
        <v>26530</v>
      </c>
      <c r="E5534" s="949">
        <v>1304</v>
      </c>
      <c r="F5534" s="949">
        <v>1304</v>
      </c>
      <c r="G5534" s="950" t="s">
        <v>20328</v>
      </c>
      <c r="H5534" s="950" t="s">
        <v>755</v>
      </c>
      <c r="I5534" s="951" t="s">
        <v>1502</v>
      </c>
      <c r="J5534" s="947" t="s">
        <v>1503</v>
      </c>
      <c r="K5534" s="143"/>
    </row>
    <row r="5535" spans="1:11">
      <c r="A5535" s="946" t="s">
        <v>28604</v>
      </c>
      <c r="B5535" s="947" t="s">
        <v>1608</v>
      </c>
      <c r="C5535" s="948" t="s">
        <v>1606</v>
      </c>
      <c r="D5535" s="242" t="s">
        <v>26530</v>
      </c>
      <c r="E5535" s="949">
        <v>1304</v>
      </c>
      <c r="F5535" s="949">
        <v>1304</v>
      </c>
      <c r="G5535" s="950" t="s">
        <v>20328</v>
      </c>
      <c r="H5535" s="950" t="s">
        <v>755</v>
      </c>
      <c r="I5535" s="951" t="s">
        <v>1607</v>
      </c>
      <c r="J5535" s="947" t="s">
        <v>1608</v>
      </c>
      <c r="K5535" s="143"/>
    </row>
    <row r="5536" spans="1:11">
      <c r="A5536" s="946" t="s">
        <v>28604</v>
      </c>
      <c r="B5536" s="947" t="s">
        <v>2054</v>
      </c>
      <c r="C5536" s="948" t="s">
        <v>2052</v>
      </c>
      <c r="D5536" s="242" t="s">
        <v>26530</v>
      </c>
      <c r="E5536" s="949">
        <v>1305</v>
      </c>
      <c r="F5536" s="949">
        <v>1305</v>
      </c>
      <c r="G5536" s="950" t="s">
        <v>20328</v>
      </c>
      <c r="H5536" s="950" t="s">
        <v>755</v>
      </c>
      <c r="I5536" s="951" t="s">
        <v>2053</v>
      </c>
      <c r="J5536" s="947" t="s">
        <v>2054</v>
      </c>
      <c r="K5536" s="143"/>
    </row>
    <row r="5537" spans="1:11">
      <c r="A5537" s="946" t="s">
        <v>28604</v>
      </c>
      <c r="B5537" s="947" t="s">
        <v>2177</v>
      </c>
      <c r="C5537" s="948" t="s">
        <v>2175</v>
      </c>
      <c r="D5537" s="242" t="s">
        <v>26530</v>
      </c>
      <c r="E5537" s="949">
        <v>1305</v>
      </c>
      <c r="F5537" s="949">
        <v>1305</v>
      </c>
      <c r="G5537" s="950" t="s">
        <v>20328</v>
      </c>
      <c r="H5537" s="950" t="s">
        <v>755</v>
      </c>
      <c r="I5537" s="951" t="s">
        <v>2176</v>
      </c>
      <c r="J5537" s="947" t="s">
        <v>2177</v>
      </c>
      <c r="K5537" s="143"/>
    </row>
    <row r="5538" spans="1:11">
      <c r="A5538" s="946" t="s">
        <v>28604</v>
      </c>
      <c r="B5538" s="947" t="s">
        <v>2475</v>
      </c>
      <c r="C5538" s="948" t="s">
        <v>2473</v>
      </c>
      <c r="D5538" s="242" t="s">
        <v>26530</v>
      </c>
      <c r="E5538" s="949">
        <v>1304</v>
      </c>
      <c r="F5538" s="949">
        <v>1304</v>
      </c>
      <c r="G5538" s="950" t="s">
        <v>20328</v>
      </c>
      <c r="H5538" s="950" t="s">
        <v>755</v>
      </c>
      <c r="I5538" s="951" t="s">
        <v>2474</v>
      </c>
      <c r="J5538" s="947" t="s">
        <v>2475</v>
      </c>
      <c r="K5538" s="143"/>
    </row>
    <row r="5539" spans="1:11">
      <c r="A5539" s="946" t="s">
        <v>28604</v>
      </c>
      <c r="B5539" s="947" t="s">
        <v>3724</v>
      </c>
      <c r="C5539" s="948" t="s">
        <v>3722</v>
      </c>
      <c r="D5539" s="242" t="s">
        <v>26530</v>
      </c>
      <c r="E5539" s="949">
        <v>1305</v>
      </c>
      <c r="F5539" s="949">
        <v>1305</v>
      </c>
      <c r="G5539" s="950" t="s">
        <v>20328</v>
      </c>
      <c r="H5539" s="950" t="s">
        <v>755</v>
      </c>
      <c r="I5539" s="951" t="s">
        <v>3723</v>
      </c>
      <c r="J5539" s="947" t="s">
        <v>3724</v>
      </c>
      <c r="K5539" s="143"/>
    </row>
    <row r="5540" spans="1:11">
      <c r="A5540" s="946" t="s">
        <v>28604</v>
      </c>
      <c r="B5540" s="947" t="s">
        <v>4013</v>
      </c>
      <c r="C5540" s="948" t="s">
        <v>4011</v>
      </c>
      <c r="D5540" s="242" t="s">
        <v>26530</v>
      </c>
      <c r="E5540" s="949">
        <v>1305</v>
      </c>
      <c r="F5540" s="949">
        <v>1305</v>
      </c>
      <c r="G5540" s="950" t="s">
        <v>20328</v>
      </c>
      <c r="H5540" s="950" t="s">
        <v>755</v>
      </c>
      <c r="I5540" s="951" t="s">
        <v>4012</v>
      </c>
      <c r="J5540" s="947" t="s">
        <v>4013</v>
      </c>
      <c r="K5540" s="143"/>
    </row>
    <row r="5541" spans="1:11">
      <c r="A5541" s="946" t="s">
        <v>28604</v>
      </c>
      <c r="B5541" s="947" t="s">
        <v>4922</v>
      </c>
      <c r="C5541" s="948" t="s">
        <v>4920</v>
      </c>
      <c r="D5541" s="242" t="s">
        <v>26530</v>
      </c>
      <c r="E5541" s="949">
        <v>1305</v>
      </c>
      <c r="F5541" s="949">
        <v>1305</v>
      </c>
      <c r="G5541" s="950" t="s">
        <v>20328</v>
      </c>
      <c r="H5541" s="950" t="s">
        <v>755</v>
      </c>
      <c r="I5541" s="951" t="s">
        <v>4921</v>
      </c>
      <c r="J5541" s="947" t="s">
        <v>4922</v>
      </c>
      <c r="K5541" s="143"/>
    </row>
    <row r="5542" spans="1:11">
      <c r="A5542" s="946" t="s">
        <v>28604</v>
      </c>
      <c r="B5542" s="947" t="s">
        <v>5135</v>
      </c>
      <c r="C5542" s="948" t="s">
        <v>5133</v>
      </c>
      <c r="D5542" s="242" t="s">
        <v>26530</v>
      </c>
      <c r="E5542" s="949">
        <v>1305</v>
      </c>
      <c r="F5542" s="949">
        <v>1305</v>
      </c>
      <c r="G5542" s="950" t="s">
        <v>20328</v>
      </c>
      <c r="H5542" s="950" t="s">
        <v>755</v>
      </c>
      <c r="I5542" s="951" t="s">
        <v>5134</v>
      </c>
      <c r="J5542" s="947" t="s">
        <v>5135</v>
      </c>
      <c r="K5542" s="143"/>
    </row>
    <row r="5543" spans="1:11">
      <c r="A5543" s="946" t="s">
        <v>28604</v>
      </c>
      <c r="B5543" s="947" t="s">
        <v>5220</v>
      </c>
      <c r="C5543" s="948" t="s">
        <v>5218</v>
      </c>
      <c r="D5543" s="242" t="s">
        <v>26530</v>
      </c>
      <c r="E5543" s="949">
        <v>1305</v>
      </c>
      <c r="F5543" s="949">
        <v>1305</v>
      </c>
      <c r="G5543" s="950" t="s">
        <v>20328</v>
      </c>
      <c r="H5543" s="950" t="s">
        <v>755</v>
      </c>
      <c r="I5543" s="951" t="s">
        <v>5219</v>
      </c>
      <c r="J5543" s="947" t="s">
        <v>5220</v>
      </c>
      <c r="K5543" s="143"/>
    </row>
    <row r="5544" spans="1:11">
      <c r="A5544" s="946" t="s">
        <v>28604</v>
      </c>
      <c r="B5544" s="947" t="s">
        <v>5527</v>
      </c>
      <c r="C5544" s="948" t="s">
        <v>5525</v>
      </c>
      <c r="D5544" s="242" t="s">
        <v>26530</v>
      </c>
      <c r="E5544" s="949">
        <v>1304</v>
      </c>
      <c r="F5544" s="949">
        <v>1304</v>
      </c>
      <c r="G5544" s="950" t="s">
        <v>20328</v>
      </c>
      <c r="H5544" s="950" t="s">
        <v>755</v>
      </c>
      <c r="I5544" s="951" t="s">
        <v>5526</v>
      </c>
      <c r="J5544" s="947" t="s">
        <v>5527</v>
      </c>
      <c r="K5544" s="143"/>
    </row>
    <row r="5545" spans="1:11">
      <c r="A5545" s="946" t="s">
        <v>28604</v>
      </c>
      <c r="B5545" s="947" t="s">
        <v>5542</v>
      </c>
      <c r="C5545" s="948" t="s">
        <v>5540</v>
      </c>
      <c r="D5545" s="242" t="s">
        <v>26530</v>
      </c>
      <c r="E5545" s="949">
        <v>1304</v>
      </c>
      <c r="F5545" s="949">
        <v>1304</v>
      </c>
      <c r="G5545" s="950" t="s">
        <v>20328</v>
      </c>
      <c r="H5545" s="950" t="s">
        <v>755</v>
      </c>
      <c r="I5545" s="951" t="s">
        <v>5541</v>
      </c>
      <c r="J5545" s="947" t="s">
        <v>5542</v>
      </c>
      <c r="K5545" s="143"/>
    </row>
    <row r="5546" spans="1:11">
      <c r="A5546" s="946" t="s">
        <v>28604</v>
      </c>
      <c r="B5546" s="947" t="s">
        <v>5829</v>
      </c>
      <c r="C5546" s="948" t="s">
        <v>5827</v>
      </c>
      <c r="D5546" s="242" t="s">
        <v>26530</v>
      </c>
      <c r="E5546" s="949">
        <v>1305</v>
      </c>
      <c r="F5546" s="949">
        <v>1305</v>
      </c>
      <c r="G5546" s="950" t="s">
        <v>20328</v>
      </c>
      <c r="H5546" s="950" t="s">
        <v>755</v>
      </c>
      <c r="I5546" s="951" t="s">
        <v>5828</v>
      </c>
      <c r="J5546" s="947" t="s">
        <v>5829</v>
      </c>
      <c r="K5546" s="143"/>
    </row>
    <row r="5547" spans="1:11">
      <c r="A5547" s="946" t="s">
        <v>28604</v>
      </c>
      <c r="B5547" s="947" t="s">
        <v>5983</v>
      </c>
      <c r="C5547" s="948" t="s">
        <v>5981</v>
      </c>
      <c r="D5547" s="242" t="s">
        <v>26530</v>
      </c>
      <c r="E5547" s="949">
        <v>1305</v>
      </c>
      <c r="F5547" s="949">
        <v>1305</v>
      </c>
      <c r="G5547" s="950" t="s">
        <v>20328</v>
      </c>
      <c r="H5547" s="950" t="s">
        <v>755</v>
      </c>
      <c r="I5547" s="951" t="s">
        <v>5982</v>
      </c>
      <c r="J5547" s="947" t="s">
        <v>5983</v>
      </c>
      <c r="K5547" s="143"/>
    </row>
    <row r="5548" spans="1:11">
      <c r="A5548" s="946" t="s">
        <v>28604</v>
      </c>
      <c r="B5548" s="947" t="s">
        <v>6585</v>
      </c>
      <c r="C5548" s="948" t="s">
        <v>6583</v>
      </c>
      <c r="D5548" s="242" t="s">
        <v>26530</v>
      </c>
      <c r="E5548" s="949">
        <v>1305</v>
      </c>
      <c r="F5548" s="949">
        <v>1305</v>
      </c>
      <c r="G5548" s="950" t="s">
        <v>20328</v>
      </c>
      <c r="H5548" s="950" t="s">
        <v>755</v>
      </c>
      <c r="I5548" s="951" t="s">
        <v>6584</v>
      </c>
      <c r="J5548" s="947" t="s">
        <v>6585</v>
      </c>
      <c r="K5548" s="143"/>
    </row>
    <row r="5549" spans="1:11">
      <c r="A5549" s="946" t="s">
        <v>28604</v>
      </c>
      <c r="B5549" s="947" t="s">
        <v>6751</v>
      </c>
      <c r="C5549" s="948" t="s">
        <v>6749</v>
      </c>
      <c r="D5549" s="242" t="s">
        <v>26530</v>
      </c>
      <c r="E5549" s="949">
        <v>1305</v>
      </c>
      <c r="F5549" s="949">
        <v>1305</v>
      </c>
      <c r="G5549" s="950" t="s">
        <v>20328</v>
      </c>
      <c r="H5549" s="950" t="s">
        <v>755</v>
      </c>
      <c r="I5549" s="951" t="s">
        <v>6750</v>
      </c>
      <c r="J5549" s="947" t="s">
        <v>6751</v>
      </c>
      <c r="K5549" s="143"/>
    </row>
    <row r="5550" spans="1:11">
      <c r="A5550" s="946" t="s">
        <v>28604</v>
      </c>
      <c r="B5550" s="947" t="s">
        <v>6845</v>
      </c>
      <c r="C5550" s="948" t="s">
        <v>6843</v>
      </c>
      <c r="D5550" s="242" t="s">
        <v>26530</v>
      </c>
      <c r="E5550" s="949">
        <v>1305</v>
      </c>
      <c r="F5550" s="949">
        <v>1305</v>
      </c>
      <c r="G5550" s="950" t="s">
        <v>20328</v>
      </c>
      <c r="H5550" s="950" t="s">
        <v>755</v>
      </c>
      <c r="I5550" s="951" t="s">
        <v>6844</v>
      </c>
      <c r="J5550" s="947" t="s">
        <v>6845</v>
      </c>
      <c r="K5550" s="143"/>
    </row>
    <row r="5551" spans="1:11">
      <c r="A5551" s="946" t="s">
        <v>28604</v>
      </c>
      <c r="B5551" s="947" t="s">
        <v>6991</v>
      </c>
      <c r="C5551" s="948" t="s">
        <v>6989</v>
      </c>
      <c r="D5551" s="242" t="s">
        <v>26530</v>
      </c>
      <c r="E5551" s="949">
        <v>1305</v>
      </c>
      <c r="F5551" s="949">
        <v>1305</v>
      </c>
      <c r="G5551" s="950" t="s">
        <v>20328</v>
      </c>
      <c r="H5551" s="950" t="s">
        <v>755</v>
      </c>
      <c r="I5551" s="951" t="s">
        <v>6990</v>
      </c>
      <c r="J5551" s="947" t="s">
        <v>6991</v>
      </c>
      <c r="K5551" s="143"/>
    </row>
    <row r="5552" spans="1:11">
      <c r="A5552" s="946" t="s">
        <v>28604</v>
      </c>
      <c r="B5552" s="947" t="s">
        <v>7140</v>
      </c>
      <c r="C5552" s="948" t="s">
        <v>7138</v>
      </c>
      <c r="D5552" s="242" t="s">
        <v>26530</v>
      </c>
      <c r="E5552" s="949">
        <v>1305</v>
      </c>
      <c r="F5552" s="949">
        <v>1305</v>
      </c>
      <c r="G5552" s="950" t="s">
        <v>20328</v>
      </c>
      <c r="H5552" s="950" t="s">
        <v>755</v>
      </c>
      <c r="I5552" s="951" t="s">
        <v>7139</v>
      </c>
      <c r="J5552" s="947" t="s">
        <v>7140</v>
      </c>
      <c r="K5552" s="143"/>
    </row>
    <row r="5553" spans="1:11">
      <c r="A5553" s="946" t="s">
        <v>28604</v>
      </c>
      <c r="B5553" s="947" t="s">
        <v>7202</v>
      </c>
      <c r="C5553" s="948" t="s">
        <v>7200</v>
      </c>
      <c r="D5553" s="242" t="s">
        <v>26530</v>
      </c>
      <c r="E5553" s="949">
        <v>1305</v>
      </c>
      <c r="F5553" s="949">
        <v>1305</v>
      </c>
      <c r="G5553" s="950" t="s">
        <v>20328</v>
      </c>
      <c r="H5553" s="950" t="s">
        <v>755</v>
      </c>
      <c r="I5553" s="951" t="s">
        <v>7201</v>
      </c>
      <c r="J5553" s="947" t="s">
        <v>7202</v>
      </c>
      <c r="K5553" s="143"/>
    </row>
    <row r="5554" spans="1:11">
      <c r="A5554" s="946" t="s">
        <v>28604</v>
      </c>
      <c r="B5554" s="947" t="s">
        <v>7405</v>
      </c>
      <c r="C5554" s="948" t="s">
        <v>7403</v>
      </c>
      <c r="D5554" s="242" t="s">
        <v>26530</v>
      </c>
      <c r="E5554" s="949">
        <v>1305</v>
      </c>
      <c r="F5554" s="949">
        <v>1305</v>
      </c>
      <c r="G5554" s="950" t="s">
        <v>20328</v>
      </c>
      <c r="H5554" s="950" t="s">
        <v>755</v>
      </c>
      <c r="I5554" s="951" t="s">
        <v>7404</v>
      </c>
      <c r="J5554" s="947" t="s">
        <v>7405</v>
      </c>
      <c r="K5554" s="143"/>
    </row>
    <row r="5555" spans="1:11">
      <c r="A5555" s="946" t="s">
        <v>28604</v>
      </c>
      <c r="B5555" s="947" t="s">
        <v>8028</v>
      </c>
      <c r="C5555" s="948" t="s">
        <v>8026</v>
      </c>
      <c r="D5555" s="242" t="s">
        <v>26530</v>
      </c>
      <c r="E5555" s="949">
        <v>1305</v>
      </c>
      <c r="F5555" s="949">
        <v>1305</v>
      </c>
      <c r="G5555" s="950" t="s">
        <v>20328</v>
      </c>
      <c r="H5555" s="950" t="s">
        <v>755</v>
      </c>
      <c r="I5555" s="951" t="s">
        <v>8027</v>
      </c>
      <c r="J5555" s="947" t="s">
        <v>8028</v>
      </c>
      <c r="K5555" s="143"/>
    </row>
    <row r="5556" spans="1:11">
      <c r="A5556" s="946" t="s">
        <v>28604</v>
      </c>
      <c r="B5556" s="947" t="s">
        <v>9296</v>
      </c>
      <c r="C5556" s="948" t="s">
        <v>9294</v>
      </c>
      <c r="D5556" s="242" t="s">
        <v>26530</v>
      </c>
      <c r="E5556" s="949">
        <v>1305</v>
      </c>
      <c r="F5556" s="949">
        <v>1305</v>
      </c>
      <c r="G5556" s="950" t="s">
        <v>20328</v>
      </c>
      <c r="H5556" s="950" t="s">
        <v>755</v>
      </c>
      <c r="I5556" s="951" t="s">
        <v>9295</v>
      </c>
      <c r="J5556" s="947" t="s">
        <v>9296</v>
      </c>
      <c r="K5556" s="143"/>
    </row>
    <row r="5557" spans="1:11">
      <c r="A5557" s="946" t="s">
        <v>28604</v>
      </c>
      <c r="B5557" s="947" t="s">
        <v>9881</v>
      </c>
      <c r="C5557" s="948" t="s">
        <v>9879</v>
      </c>
      <c r="D5557" s="242" t="s">
        <v>26530</v>
      </c>
      <c r="E5557" s="949">
        <v>1305</v>
      </c>
      <c r="F5557" s="949">
        <v>1305</v>
      </c>
      <c r="G5557" s="950" t="s">
        <v>20328</v>
      </c>
      <c r="H5557" s="950" t="s">
        <v>755</v>
      </c>
      <c r="I5557" s="951" t="s">
        <v>9880</v>
      </c>
      <c r="J5557" s="947" t="s">
        <v>9881</v>
      </c>
      <c r="K5557" s="143"/>
    </row>
    <row r="5558" spans="1:11">
      <c r="A5558" s="946" t="s">
        <v>28604</v>
      </c>
      <c r="B5558" s="947" t="s">
        <v>12484</v>
      </c>
      <c r="C5558" s="948" t="s">
        <v>12482</v>
      </c>
      <c r="D5558" s="242" t="s">
        <v>26530</v>
      </c>
      <c r="E5558" s="949">
        <v>1304</v>
      </c>
      <c r="F5558" s="949">
        <v>1304</v>
      </c>
      <c r="G5558" s="950" t="s">
        <v>20328</v>
      </c>
      <c r="H5558" s="950" t="s">
        <v>755</v>
      </c>
      <c r="I5558" s="951" t="s">
        <v>12483</v>
      </c>
      <c r="J5558" s="947" t="s">
        <v>12484</v>
      </c>
      <c r="K5558" s="143"/>
    </row>
    <row r="5559" spans="1:11">
      <c r="A5559" s="946" t="s">
        <v>28604</v>
      </c>
      <c r="B5559" s="947" t="s">
        <v>12848</v>
      </c>
      <c r="C5559" s="948" t="s">
        <v>12846</v>
      </c>
      <c r="D5559" s="242" t="s">
        <v>26530</v>
      </c>
      <c r="E5559" s="949">
        <v>1305</v>
      </c>
      <c r="F5559" s="949">
        <v>1305</v>
      </c>
      <c r="G5559" s="950" t="s">
        <v>20328</v>
      </c>
      <c r="H5559" s="950" t="s">
        <v>755</v>
      </c>
      <c r="I5559" s="951" t="s">
        <v>12847</v>
      </c>
      <c r="J5559" s="947" t="s">
        <v>12848</v>
      </c>
      <c r="K5559" s="143"/>
    </row>
    <row r="5560" spans="1:11">
      <c r="A5560" s="946" t="s">
        <v>28604</v>
      </c>
      <c r="B5560" s="947" t="s">
        <v>12980</v>
      </c>
      <c r="C5560" s="948" t="s">
        <v>12978</v>
      </c>
      <c r="D5560" s="242" t="s">
        <v>26530</v>
      </c>
      <c r="E5560" s="949">
        <v>1305</v>
      </c>
      <c r="F5560" s="949">
        <v>1305</v>
      </c>
      <c r="G5560" s="950" t="s">
        <v>20328</v>
      </c>
      <c r="H5560" s="950" t="s">
        <v>755</v>
      </c>
      <c r="I5560" s="951" t="s">
        <v>12979</v>
      </c>
      <c r="J5560" s="947" t="s">
        <v>12980</v>
      </c>
      <c r="K5560" s="143"/>
    </row>
    <row r="5561" spans="1:11">
      <c r="A5561" s="946" t="s">
        <v>28604</v>
      </c>
      <c r="B5561" s="947" t="s">
        <v>13016</v>
      </c>
      <c r="C5561" s="948" t="s">
        <v>13014</v>
      </c>
      <c r="D5561" s="242" t="s">
        <v>26530</v>
      </c>
      <c r="E5561" s="949">
        <v>1305</v>
      </c>
      <c r="F5561" s="949">
        <v>1305</v>
      </c>
      <c r="G5561" s="950" t="s">
        <v>20328</v>
      </c>
      <c r="H5561" s="950" t="s">
        <v>755</v>
      </c>
      <c r="I5561" s="951" t="s">
        <v>13015</v>
      </c>
      <c r="J5561" s="947" t="s">
        <v>13016</v>
      </c>
      <c r="K5561" s="143"/>
    </row>
    <row r="5562" spans="1:11">
      <c r="A5562" s="946" t="s">
        <v>28604</v>
      </c>
      <c r="B5562" s="947" t="s">
        <v>13218</v>
      </c>
      <c r="C5562" s="948" t="s">
        <v>13216</v>
      </c>
      <c r="D5562" s="242" t="s">
        <v>26530</v>
      </c>
      <c r="E5562" s="949">
        <v>1305</v>
      </c>
      <c r="F5562" s="949">
        <v>1305</v>
      </c>
      <c r="G5562" s="950" t="s">
        <v>20328</v>
      </c>
      <c r="H5562" s="950" t="s">
        <v>755</v>
      </c>
      <c r="I5562" s="951" t="s">
        <v>13217</v>
      </c>
      <c r="J5562" s="947" t="s">
        <v>13218</v>
      </c>
      <c r="K5562" s="143"/>
    </row>
    <row r="5563" spans="1:11">
      <c r="A5563" s="946" t="s">
        <v>28604</v>
      </c>
      <c r="B5563" s="947" t="s">
        <v>13382</v>
      </c>
      <c r="C5563" s="948" t="s">
        <v>13380</v>
      </c>
      <c r="D5563" s="242" t="s">
        <v>26530</v>
      </c>
      <c r="E5563" s="949">
        <v>1305</v>
      </c>
      <c r="F5563" s="949">
        <v>1305</v>
      </c>
      <c r="G5563" s="950" t="s">
        <v>20328</v>
      </c>
      <c r="H5563" s="950" t="s">
        <v>755</v>
      </c>
      <c r="I5563" s="951" t="s">
        <v>13381</v>
      </c>
      <c r="J5563" s="947" t="s">
        <v>13382</v>
      </c>
      <c r="K5563" s="143"/>
    </row>
    <row r="5564" spans="1:11">
      <c r="A5564" s="946" t="s">
        <v>28604</v>
      </c>
      <c r="B5564" s="947" t="s">
        <v>14456</v>
      </c>
      <c r="C5564" s="948" t="s">
        <v>14454</v>
      </c>
      <c r="D5564" s="242" t="s">
        <v>26530</v>
      </c>
      <c r="E5564" s="949">
        <v>1305</v>
      </c>
      <c r="F5564" s="949">
        <v>1305</v>
      </c>
      <c r="G5564" s="950" t="s">
        <v>20328</v>
      </c>
      <c r="H5564" s="950" t="s">
        <v>755</v>
      </c>
      <c r="I5564" s="951" t="s">
        <v>14455</v>
      </c>
      <c r="J5564" s="947" t="s">
        <v>14456</v>
      </c>
      <c r="K5564" s="143"/>
    </row>
    <row r="5565" spans="1:11">
      <c r="A5565" s="946" t="s">
        <v>28604</v>
      </c>
      <c r="B5565" s="947" t="s">
        <v>14853</v>
      </c>
      <c r="C5565" s="948" t="s">
        <v>14851</v>
      </c>
      <c r="D5565" s="242" t="s">
        <v>26530</v>
      </c>
      <c r="E5565" s="949">
        <v>1305</v>
      </c>
      <c r="F5565" s="949">
        <v>1305</v>
      </c>
      <c r="G5565" s="950" t="s">
        <v>20328</v>
      </c>
      <c r="H5565" s="950" t="s">
        <v>755</v>
      </c>
      <c r="I5565" s="951" t="s">
        <v>14852</v>
      </c>
      <c r="J5565" s="947" t="s">
        <v>14853</v>
      </c>
      <c r="K5565" s="143"/>
    </row>
    <row r="5566" spans="1:11">
      <c r="A5566" s="946" t="s">
        <v>28604</v>
      </c>
      <c r="B5566" s="947" t="s">
        <v>15012</v>
      </c>
      <c r="C5566" s="948" t="s">
        <v>15010</v>
      </c>
      <c r="D5566" s="242" t="s">
        <v>26530</v>
      </c>
      <c r="E5566" s="949">
        <v>1305</v>
      </c>
      <c r="F5566" s="949">
        <v>1305</v>
      </c>
      <c r="G5566" s="950" t="s">
        <v>20328</v>
      </c>
      <c r="H5566" s="950" t="s">
        <v>755</v>
      </c>
      <c r="I5566" s="951" t="s">
        <v>15011</v>
      </c>
      <c r="J5566" s="947" t="s">
        <v>15012</v>
      </c>
      <c r="K5566" s="143"/>
    </row>
    <row r="5567" spans="1:11">
      <c r="A5567" s="946" t="s">
        <v>28604</v>
      </c>
      <c r="B5567" s="947" t="s">
        <v>16572</v>
      </c>
      <c r="C5567" s="948" t="s">
        <v>16570</v>
      </c>
      <c r="D5567" s="242" t="s">
        <v>26530</v>
      </c>
      <c r="E5567" s="949">
        <v>1305</v>
      </c>
      <c r="F5567" s="949">
        <v>1305</v>
      </c>
      <c r="G5567" s="950" t="s">
        <v>20328</v>
      </c>
      <c r="H5567" s="950" t="s">
        <v>755</v>
      </c>
      <c r="I5567" s="951" t="s">
        <v>16571</v>
      </c>
      <c r="J5567" s="947" t="s">
        <v>16572</v>
      </c>
      <c r="K5567" s="143"/>
    </row>
    <row r="5568" spans="1:11">
      <c r="A5568" s="946" t="s">
        <v>28604</v>
      </c>
      <c r="B5568" s="947" t="s">
        <v>16958</v>
      </c>
      <c r="C5568" s="948" t="s">
        <v>16956</v>
      </c>
      <c r="D5568" s="242" t="s">
        <v>26530</v>
      </c>
      <c r="E5568" s="949">
        <v>1305</v>
      </c>
      <c r="F5568" s="949">
        <v>1305</v>
      </c>
      <c r="G5568" s="950" t="s">
        <v>20328</v>
      </c>
      <c r="H5568" s="950" t="s">
        <v>755</v>
      </c>
      <c r="I5568" s="951" t="s">
        <v>16957</v>
      </c>
      <c r="J5568" s="947" t="s">
        <v>16958</v>
      </c>
      <c r="K5568" s="143"/>
    </row>
    <row r="5569" spans="1:11">
      <c r="A5569" s="946" t="s">
        <v>28604</v>
      </c>
      <c r="B5569" s="947" t="s">
        <v>18700</v>
      </c>
      <c r="C5569" s="948" t="s">
        <v>18698</v>
      </c>
      <c r="D5569" s="242" t="s">
        <v>26530</v>
      </c>
      <c r="E5569" s="949">
        <v>1305</v>
      </c>
      <c r="F5569" s="949">
        <v>1305</v>
      </c>
      <c r="G5569" s="950" t="s">
        <v>20328</v>
      </c>
      <c r="H5569" s="950" t="s">
        <v>755</v>
      </c>
      <c r="I5569" s="951" t="s">
        <v>18699</v>
      </c>
      <c r="J5569" s="947" t="s">
        <v>18700</v>
      </c>
      <c r="K5569" s="143"/>
    </row>
    <row r="5570" spans="1:11">
      <c r="A5570" s="946" t="s">
        <v>28604</v>
      </c>
      <c r="B5570" s="947" t="s">
        <v>18801</v>
      </c>
      <c r="C5570" s="948" t="s">
        <v>18799</v>
      </c>
      <c r="D5570" s="242" t="s">
        <v>26530</v>
      </c>
      <c r="E5570" s="949">
        <v>1305</v>
      </c>
      <c r="F5570" s="949">
        <v>1305</v>
      </c>
      <c r="G5570" s="950" t="s">
        <v>20328</v>
      </c>
      <c r="H5570" s="950" t="s">
        <v>755</v>
      </c>
      <c r="I5570" s="951" t="s">
        <v>18800</v>
      </c>
      <c r="J5570" s="947" t="s">
        <v>18801</v>
      </c>
      <c r="K5570" s="143"/>
    </row>
    <row r="5571" spans="1:11">
      <c r="A5571" s="946" t="s">
        <v>28604</v>
      </c>
      <c r="B5571" s="947" t="s">
        <v>19539</v>
      </c>
      <c r="C5571" s="948" t="s">
        <v>19537</v>
      </c>
      <c r="D5571" s="242" t="s">
        <v>26530</v>
      </c>
      <c r="E5571" s="949">
        <v>1304</v>
      </c>
      <c r="F5571" s="949">
        <v>1304</v>
      </c>
      <c r="G5571" s="950" t="s">
        <v>20328</v>
      </c>
      <c r="H5571" s="950" t="s">
        <v>755</v>
      </c>
      <c r="I5571" s="951" t="s">
        <v>19538</v>
      </c>
      <c r="J5571" s="947" t="s">
        <v>19539</v>
      </c>
      <c r="K5571" s="143"/>
    </row>
    <row r="5572" spans="1:11">
      <c r="A5572" s="946" t="s">
        <v>28604</v>
      </c>
      <c r="B5572" s="947" t="s">
        <v>20328</v>
      </c>
      <c r="C5572" s="948" t="s">
        <v>20326</v>
      </c>
      <c r="D5572" s="242" t="s">
        <v>26530</v>
      </c>
      <c r="E5572" s="949">
        <v>1305</v>
      </c>
      <c r="F5572" s="949">
        <v>1305</v>
      </c>
      <c r="G5572" s="950" t="s">
        <v>20328</v>
      </c>
      <c r="H5572" s="950" t="s">
        <v>755</v>
      </c>
      <c r="I5572" s="951" t="s">
        <v>20327</v>
      </c>
      <c r="J5572" s="947" t="s">
        <v>20328</v>
      </c>
      <c r="K5572" s="143"/>
    </row>
    <row r="5573" spans="1:11">
      <c r="A5573" s="946" t="s">
        <v>28604</v>
      </c>
      <c r="B5573" s="947" t="s">
        <v>20555</v>
      </c>
      <c r="C5573" s="948" t="s">
        <v>20553</v>
      </c>
      <c r="D5573" s="242" t="s">
        <v>26530</v>
      </c>
      <c r="E5573" s="949">
        <v>1305</v>
      </c>
      <c r="F5573" s="949">
        <v>1305</v>
      </c>
      <c r="G5573" s="950" t="s">
        <v>20328</v>
      </c>
      <c r="H5573" s="950" t="s">
        <v>755</v>
      </c>
      <c r="I5573" s="951" t="s">
        <v>20554</v>
      </c>
      <c r="J5573" s="947" t="s">
        <v>20555</v>
      </c>
      <c r="K5573" s="143"/>
    </row>
    <row r="5574" spans="1:11">
      <c r="A5574" s="946" t="s">
        <v>28604</v>
      </c>
      <c r="B5574" s="947" t="s">
        <v>20762</v>
      </c>
      <c r="C5574" s="948" t="s">
        <v>20760</v>
      </c>
      <c r="D5574" s="242" t="s">
        <v>26530</v>
      </c>
      <c r="E5574" s="949">
        <v>1305</v>
      </c>
      <c r="F5574" s="949">
        <v>1305</v>
      </c>
      <c r="G5574" s="950" t="s">
        <v>20328</v>
      </c>
      <c r="H5574" s="950" t="s">
        <v>755</v>
      </c>
      <c r="I5574" s="951" t="s">
        <v>20761</v>
      </c>
      <c r="J5574" s="947" t="s">
        <v>20762</v>
      </c>
      <c r="K5574" s="143"/>
    </row>
    <row r="5575" spans="1:11">
      <c r="A5575" s="946" t="s">
        <v>28604</v>
      </c>
      <c r="B5575" s="947" t="s">
        <v>20793</v>
      </c>
      <c r="C5575" s="948" t="s">
        <v>20791</v>
      </c>
      <c r="D5575" s="242" t="s">
        <v>26530</v>
      </c>
      <c r="E5575" s="949">
        <v>1305</v>
      </c>
      <c r="F5575" s="949">
        <v>1305</v>
      </c>
      <c r="G5575" s="950" t="s">
        <v>20328</v>
      </c>
      <c r="H5575" s="950" t="s">
        <v>755</v>
      </c>
      <c r="I5575" s="951" t="s">
        <v>20792</v>
      </c>
      <c r="J5575" s="947" t="s">
        <v>20793</v>
      </c>
      <c r="K5575" s="143"/>
    </row>
    <row r="5576" spans="1:11">
      <c r="A5576" s="946" t="s">
        <v>28604</v>
      </c>
      <c r="B5576" s="947" t="s">
        <v>20805</v>
      </c>
      <c r="C5576" s="948" t="s">
        <v>20803</v>
      </c>
      <c r="D5576" s="242" t="s">
        <v>26530</v>
      </c>
      <c r="E5576" s="949">
        <v>1305</v>
      </c>
      <c r="F5576" s="949">
        <v>1305</v>
      </c>
      <c r="G5576" s="950" t="s">
        <v>20328</v>
      </c>
      <c r="H5576" s="950" t="s">
        <v>755</v>
      </c>
      <c r="I5576" s="951" t="s">
        <v>20804</v>
      </c>
      <c r="J5576" s="947" t="s">
        <v>20805</v>
      </c>
      <c r="K5576" s="143"/>
    </row>
    <row r="5577" spans="1:11">
      <c r="A5577" s="946" t="s">
        <v>28604</v>
      </c>
      <c r="B5577" s="947" t="s">
        <v>21406</v>
      </c>
      <c r="C5577" s="948" t="s">
        <v>21404</v>
      </c>
      <c r="D5577" s="242" t="s">
        <v>26530</v>
      </c>
      <c r="E5577" s="949">
        <v>1305</v>
      </c>
      <c r="F5577" s="949">
        <v>1305</v>
      </c>
      <c r="G5577" s="950" t="s">
        <v>20328</v>
      </c>
      <c r="H5577" s="950" t="s">
        <v>755</v>
      </c>
      <c r="I5577" s="951" t="s">
        <v>21405</v>
      </c>
      <c r="J5577" s="947" t="s">
        <v>21406</v>
      </c>
      <c r="K5577" s="143"/>
    </row>
    <row r="5578" spans="1:11">
      <c r="A5578" s="946" t="s">
        <v>28604</v>
      </c>
      <c r="B5578" s="947" t="s">
        <v>11291</v>
      </c>
      <c r="C5578" s="948" t="s">
        <v>11289</v>
      </c>
      <c r="D5578" s="242" t="s">
        <v>26530</v>
      </c>
      <c r="E5578" s="949">
        <v>1305</v>
      </c>
      <c r="F5578" s="949">
        <v>1305</v>
      </c>
      <c r="G5578" s="950" t="s">
        <v>20328</v>
      </c>
      <c r="H5578" s="950" t="s">
        <v>755</v>
      </c>
      <c r="I5578" s="951" t="s">
        <v>11290</v>
      </c>
      <c r="J5578" s="947" t="s">
        <v>11291</v>
      </c>
      <c r="K5578" s="143"/>
    </row>
    <row r="5579" spans="1:11">
      <c r="A5579" s="946" t="s">
        <v>28604</v>
      </c>
      <c r="B5579" s="947" t="s">
        <v>355</v>
      </c>
      <c r="C5579" s="948" t="s">
        <v>352</v>
      </c>
      <c r="D5579" s="242" t="s">
        <v>26530</v>
      </c>
      <c r="E5579" s="949">
        <v>1304</v>
      </c>
      <c r="F5579" s="949">
        <v>1304</v>
      </c>
      <c r="G5579" s="950" t="s">
        <v>14562</v>
      </c>
      <c r="H5579" s="950" t="s">
        <v>353</v>
      </c>
      <c r="I5579" s="951" t="s">
        <v>354</v>
      </c>
      <c r="J5579" s="947" t="s">
        <v>355</v>
      </c>
      <c r="K5579" s="143"/>
    </row>
    <row r="5580" spans="1:11">
      <c r="A5580" s="946" t="s">
        <v>28604</v>
      </c>
      <c r="B5580" s="947" t="s">
        <v>743</v>
      </c>
      <c r="C5580" s="948" t="s">
        <v>741</v>
      </c>
      <c r="D5580" s="242" t="s">
        <v>26530</v>
      </c>
      <c r="E5580" s="949">
        <v>1304</v>
      </c>
      <c r="F5580" s="949">
        <v>1304</v>
      </c>
      <c r="G5580" s="950" t="s">
        <v>14562</v>
      </c>
      <c r="H5580" s="950" t="s">
        <v>353</v>
      </c>
      <c r="I5580" s="951" t="s">
        <v>742</v>
      </c>
      <c r="J5580" s="947" t="s">
        <v>743</v>
      </c>
      <c r="K5580" s="143"/>
    </row>
    <row r="5581" spans="1:11">
      <c r="A5581" s="946" t="s">
        <v>28604</v>
      </c>
      <c r="B5581" s="947" t="s">
        <v>2584</v>
      </c>
      <c r="C5581" s="948" t="s">
        <v>2582</v>
      </c>
      <c r="D5581" s="242" t="s">
        <v>26530</v>
      </c>
      <c r="E5581" s="949">
        <v>1304</v>
      </c>
      <c r="F5581" s="949">
        <v>1304</v>
      </c>
      <c r="G5581" s="950" t="s">
        <v>14562</v>
      </c>
      <c r="H5581" s="950" t="s">
        <v>353</v>
      </c>
      <c r="I5581" s="951" t="s">
        <v>2583</v>
      </c>
      <c r="J5581" s="947" t="s">
        <v>2584</v>
      </c>
      <c r="K5581" s="143"/>
    </row>
    <row r="5582" spans="1:11">
      <c r="A5582" s="946" t="s">
        <v>28604</v>
      </c>
      <c r="B5582" s="947" t="s">
        <v>3093</v>
      </c>
      <c r="C5582" s="948" t="s">
        <v>3091</v>
      </c>
      <c r="D5582" s="242" t="s">
        <v>26530</v>
      </c>
      <c r="E5582" s="949">
        <v>1304</v>
      </c>
      <c r="F5582" s="949">
        <v>1304</v>
      </c>
      <c r="G5582" s="950" t="s">
        <v>14562</v>
      </c>
      <c r="H5582" s="950" t="s">
        <v>353</v>
      </c>
      <c r="I5582" s="951" t="s">
        <v>3092</v>
      </c>
      <c r="J5582" s="947" t="s">
        <v>3093</v>
      </c>
      <c r="K5582" s="143"/>
    </row>
    <row r="5583" spans="1:11">
      <c r="A5583" s="946" t="s">
        <v>28604</v>
      </c>
      <c r="B5583" s="947" t="s">
        <v>3297</v>
      </c>
      <c r="C5583" s="948" t="s">
        <v>3295</v>
      </c>
      <c r="D5583" s="242" t="s">
        <v>26530</v>
      </c>
      <c r="E5583" s="949">
        <v>1304</v>
      </c>
      <c r="F5583" s="949">
        <v>1304</v>
      </c>
      <c r="G5583" s="950" t="s">
        <v>14562</v>
      </c>
      <c r="H5583" s="950" t="s">
        <v>353</v>
      </c>
      <c r="I5583" s="951" t="s">
        <v>3296</v>
      </c>
      <c r="J5583" s="947" t="s">
        <v>3297</v>
      </c>
      <c r="K5583" s="143"/>
    </row>
    <row r="5584" spans="1:11">
      <c r="A5584" s="946" t="s">
        <v>28604</v>
      </c>
      <c r="B5584" s="947" t="s">
        <v>4107</v>
      </c>
      <c r="C5584" s="948" t="s">
        <v>4105</v>
      </c>
      <c r="D5584" s="242" t="s">
        <v>26530</v>
      </c>
      <c r="E5584" s="949">
        <v>1304</v>
      </c>
      <c r="F5584" s="949">
        <v>1304</v>
      </c>
      <c r="G5584" s="950" t="s">
        <v>14562</v>
      </c>
      <c r="H5584" s="950" t="s">
        <v>353</v>
      </c>
      <c r="I5584" s="951" t="s">
        <v>4106</v>
      </c>
      <c r="J5584" s="947" t="s">
        <v>4107</v>
      </c>
      <c r="K5584" s="143"/>
    </row>
    <row r="5585" spans="1:11">
      <c r="A5585" s="946" t="s">
        <v>28604</v>
      </c>
      <c r="B5585" s="947" t="s">
        <v>4206</v>
      </c>
      <c r="C5585" s="948" t="s">
        <v>4204</v>
      </c>
      <c r="D5585" s="242" t="s">
        <v>26530</v>
      </c>
      <c r="E5585" s="949">
        <v>1304</v>
      </c>
      <c r="F5585" s="949">
        <v>1304</v>
      </c>
      <c r="G5585" s="950" t="s">
        <v>14562</v>
      </c>
      <c r="H5585" s="950" t="s">
        <v>353</v>
      </c>
      <c r="I5585" s="951" t="s">
        <v>4205</v>
      </c>
      <c r="J5585" s="947" t="s">
        <v>4206</v>
      </c>
      <c r="K5585" s="143"/>
    </row>
    <row r="5586" spans="1:11">
      <c r="A5586" s="946" t="s">
        <v>28604</v>
      </c>
      <c r="B5586" s="947" t="s">
        <v>4426</v>
      </c>
      <c r="C5586" s="948" t="s">
        <v>4424</v>
      </c>
      <c r="D5586" s="242" t="s">
        <v>26530</v>
      </c>
      <c r="E5586" s="949">
        <v>1304</v>
      </c>
      <c r="F5586" s="949">
        <v>1304</v>
      </c>
      <c r="G5586" s="950" t="s">
        <v>14562</v>
      </c>
      <c r="H5586" s="950" t="s">
        <v>353</v>
      </c>
      <c r="I5586" s="951" t="s">
        <v>4425</v>
      </c>
      <c r="J5586" s="947" t="s">
        <v>4426</v>
      </c>
      <c r="K5586" s="143"/>
    </row>
    <row r="5587" spans="1:11">
      <c r="A5587" s="946" t="s">
        <v>28604</v>
      </c>
      <c r="B5587" s="947" t="s">
        <v>5482</v>
      </c>
      <c r="C5587" s="948" t="s">
        <v>5480</v>
      </c>
      <c r="D5587" s="242" t="s">
        <v>26530</v>
      </c>
      <c r="E5587" s="949">
        <v>1304</v>
      </c>
      <c r="F5587" s="949">
        <v>1304</v>
      </c>
      <c r="G5587" s="950" t="s">
        <v>14562</v>
      </c>
      <c r="H5587" s="950" t="s">
        <v>353</v>
      </c>
      <c r="I5587" s="951" t="s">
        <v>5481</v>
      </c>
      <c r="J5587" s="947" t="s">
        <v>5482</v>
      </c>
      <c r="K5587" s="143"/>
    </row>
    <row r="5588" spans="1:11">
      <c r="A5588" s="946" t="s">
        <v>28604</v>
      </c>
      <c r="B5588" s="947" t="s">
        <v>5626</v>
      </c>
      <c r="C5588" s="948" t="s">
        <v>5624</v>
      </c>
      <c r="D5588" s="242" t="s">
        <v>26530</v>
      </c>
      <c r="E5588" s="949">
        <v>1304</v>
      </c>
      <c r="F5588" s="949">
        <v>1304</v>
      </c>
      <c r="G5588" s="950" t="s">
        <v>14562</v>
      </c>
      <c r="H5588" s="950" t="s">
        <v>353</v>
      </c>
      <c r="I5588" s="951" t="s">
        <v>5625</v>
      </c>
      <c r="J5588" s="947" t="s">
        <v>5626</v>
      </c>
      <c r="K5588" s="143"/>
    </row>
    <row r="5589" spans="1:11">
      <c r="A5589" s="946" t="s">
        <v>28604</v>
      </c>
      <c r="B5589" s="947" t="s">
        <v>5874</v>
      </c>
      <c r="C5589" s="948" t="s">
        <v>5872</v>
      </c>
      <c r="D5589" s="242" t="s">
        <v>26530</v>
      </c>
      <c r="E5589" s="949">
        <v>1304</v>
      </c>
      <c r="F5589" s="949">
        <v>1304</v>
      </c>
      <c r="G5589" s="950" t="s">
        <v>14562</v>
      </c>
      <c r="H5589" s="950" t="s">
        <v>353</v>
      </c>
      <c r="I5589" s="951" t="s">
        <v>5873</v>
      </c>
      <c r="J5589" s="947" t="s">
        <v>5874</v>
      </c>
      <c r="K5589" s="143"/>
    </row>
    <row r="5590" spans="1:11">
      <c r="A5590" s="946" t="s">
        <v>28604</v>
      </c>
      <c r="B5590" s="947" t="s">
        <v>6510</v>
      </c>
      <c r="C5590" s="948" t="s">
        <v>6508</v>
      </c>
      <c r="D5590" s="242" t="s">
        <v>26530</v>
      </c>
      <c r="E5590" s="949">
        <v>1304</v>
      </c>
      <c r="F5590" s="949">
        <v>1304</v>
      </c>
      <c r="G5590" s="950" t="s">
        <v>14562</v>
      </c>
      <c r="H5590" s="950" t="s">
        <v>353</v>
      </c>
      <c r="I5590" s="951" t="s">
        <v>6509</v>
      </c>
      <c r="J5590" s="947" t="s">
        <v>6510</v>
      </c>
      <c r="K5590" s="143"/>
    </row>
    <row r="5591" spans="1:11">
      <c r="A5591" s="946" t="s">
        <v>28604</v>
      </c>
      <c r="B5591" s="947" t="s">
        <v>6570</v>
      </c>
      <c r="C5591" s="948" t="s">
        <v>6568</v>
      </c>
      <c r="D5591" s="242" t="s">
        <v>26530</v>
      </c>
      <c r="E5591" s="949">
        <v>1304</v>
      </c>
      <c r="F5591" s="949">
        <v>1304</v>
      </c>
      <c r="G5591" s="950" t="s">
        <v>14562</v>
      </c>
      <c r="H5591" s="950" t="s">
        <v>353</v>
      </c>
      <c r="I5591" s="951" t="s">
        <v>6569</v>
      </c>
      <c r="J5591" s="947" t="s">
        <v>6570</v>
      </c>
      <c r="K5591" s="143"/>
    </row>
    <row r="5592" spans="1:11">
      <c r="A5592" s="946" t="s">
        <v>28604</v>
      </c>
      <c r="B5592" s="947" t="s">
        <v>6579</v>
      </c>
      <c r="C5592" s="948" t="s">
        <v>6577</v>
      </c>
      <c r="D5592" s="242" t="s">
        <v>26530</v>
      </c>
      <c r="E5592" s="949">
        <v>1304</v>
      </c>
      <c r="F5592" s="949">
        <v>1304</v>
      </c>
      <c r="G5592" s="950" t="s">
        <v>14562</v>
      </c>
      <c r="H5592" s="950" t="s">
        <v>353</v>
      </c>
      <c r="I5592" s="951" t="s">
        <v>6578</v>
      </c>
      <c r="J5592" s="947" t="s">
        <v>6579</v>
      </c>
      <c r="K5592" s="143"/>
    </row>
    <row r="5593" spans="1:11">
      <c r="A5593" s="946" t="s">
        <v>28604</v>
      </c>
      <c r="B5593" s="947" t="s">
        <v>6748</v>
      </c>
      <c r="C5593" s="948" t="s">
        <v>6746</v>
      </c>
      <c r="D5593" s="242" t="s">
        <v>26530</v>
      </c>
      <c r="E5593" s="949">
        <v>1304</v>
      </c>
      <c r="F5593" s="949">
        <v>1304</v>
      </c>
      <c r="G5593" s="950" t="s">
        <v>14562</v>
      </c>
      <c r="H5593" s="950" t="s">
        <v>353</v>
      </c>
      <c r="I5593" s="951" t="s">
        <v>6747</v>
      </c>
      <c r="J5593" s="947" t="s">
        <v>6748</v>
      </c>
      <c r="K5593" s="143"/>
    </row>
    <row r="5594" spans="1:11">
      <c r="A5594" s="946" t="s">
        <v>28604</v>
      </c>
      <c r="B5594" s="947" t="s">
        <v>7208</v>
      </c>
      <c r="C5594" s="948" t="s">
        <v>7206</v>
      </c>
      <c r="D5594" s="242" t="s">
        <v>26530</v>
      </c>
      <c r="E5594" s="949">
        <v>1304</v>
      </c>
      <c r="F5594" s="949">
        <v>1304</v>
      </c>
      <c r="G5594" s="950" t="s">
        <v>14562</v>
      </c>
      <c r="H5594" s="950" t="s">
        <v>353</v>
      </c>
      <c r="I5594" s="951" t="s">
        <v>7207</v>
      </c>
      <c r="J5594" s="947" t="s">
        <v>7208</v>
      </c>
      <c r="K5594" s="143"/>
    </row>
    <row r="5595" spans="1:11">
      <c r="A5595" s="946" t="s">
        <v>28604</v>
      </c>
      <c r="B5595" s="947" t="s">
        <v>7453</v>
      </c>
      <c r="C5595" s="948" t="s">
        <v>7451</v>
      </c>
      <c r="D5595" s="242" t="s">
        <v>26530</v>
      </c>
      <c r="E5595" s="949">
        <v>1304</v>
      </c>
      <c r="F5595" s="949">
        <v>1304</v>
      </c>
      <c r="G5595" s="950" t="s">
        <v>14562</v>
      </c>
      <c r="H5595" s="950" t="s">
        <v>353</v>
      </c>
      <c r="I5595" s="951" t="s">
        <v>7452</v>
      </c>
      <c r="J5595" s="947" t="s">
        <v>7453</v>
      </c>
      <c r="K5595" s="143"/>
    </row>
    <row r="5596" spans="1:11">
      <c r="A5596" s="946" t="s">
        <v>28604</v>
      </c>
      <c r="B5596" s="947" t="s">
        <v>7827</v>
      </c>
      <c r="C5596" s="948" t="s">
        <v>7825</v>
      </c>
      <c r="D5596" s="242" t="s">
        <v>26530</v>
      </c>
      <c r="E5596" s="949">
        <v>1304</v>
      </c>
      <c r="F5596" s="949">
        <v>1304</v>
      </c>
      <c r="G5596" s="950" t="s">
        <v>14562</v>
      </c>
      <c r="H5596" s="950" t="s">
        <v>353</v>
      </c>
      <c r="I5596" s="951" t="s">
        <v>7826</v>
      </c>
      <c r="J5596" s="947" t="s">
        <v>7827</v>
      </c>
      <c r="K5596" s="143"/>
    </row>
    <row r="5597" spans="1:11">
      <c r="A5597" s="946" t="s">
        <v>28604</v>
      </c>
      <c r="B5597" s="947" t="s">
        <v>8058</v>
      </c>
      <c r="C5597" s="948" t="s">
        <v>8056</v>
      </c>
      <c r="D5597" s="242" t="s">
        <v>26530</v>
      </c>
      <c r="E5597" s="949">
        <v>1304</v>
      </c>
      <c r="F5597" s="949">
        <v>1304</v>
      </c>
      <c r="G5597" s="950" t="s">
        <v>14562</v>
      </c>
      <c r="H5597" s="950" t="s">
        <v>353</v>
      </c>
      <c r="I5597" s="951" t="s">
        <v>8057</v>
      </c>
      <c r="J5597" s="947" t="s">
        <v>8058</v>
      </c>
      <c r="K5597" s="143"/>
    </row>
    <row r="5598" spans="1:11">
      <c r="A5598" s="946" t="s">
        <v>28604</v>
      </c>
      <c r="B5598" s="947" t="s">
        <v>10372</v>
      </c>
      <c r="C5598" s="948" t="s">
        <v>10370</v>
      </c>
      <c r="D5598" s="242" t="s">
        <v>26530</v>
      </c>
      <c r="E5598" s="949">
        <v>1304</v>
      </c>
      <c r="F5598" s="949">
        <v>1304</v>
      </c>
      <c r="G5598" s="950" t="s">
        <v>14562</v>
      </c>
      <c r="H5598" s="950" t="s">
        <v>353</v>
      </c>
      <c r="I5598" s="951" t="s">
        <v>10371</v>
      </c>
      <c r="J5598" s="947" t="s">
        <v>10372</v>
      </c>
      <c r="K5598" s="143"/>
    </row>
    <row r="5599" spans="1:11">
      <c r="A5599" s="946" t="s">
        <v>28604</v>
      </c>
      <c r="B5599" s="947" t="s">
        <v>10642</v>
      </c>
      <c r="C5599" s="948" t="s">
        <v>10640</v>
      </c>
      <c r="D5599" s="242" t="s">
        <v>26530</v>
      </c>
      <c r="E5599" s="949">
        <v>1304</v>
      </c>
      <c r="F5599" s="949">
        <v>1304</v>
      </c>
      <c r="G5599" s="950" t="s">
        <v>14562</v>
      </c>
      <c r="H5599" s="950" t="s">
        <v>353</v>
      </c>
      <c r="I5599" s="951" t="s">
        <v>10641</v>
      </c>
      <c r="J5599" s="947" t="s">
        <v>10642</v>
      </c>
      <c r="K5599" s="143"/>
    </row>
    <row r="5600" spans="1:11">
      <c r="A5600" s="946" t="s">
        <v>28604</v>
      </c>
      <c r="B5600" s="947" t="s">
        <v>11063</v>
      </c>
      <c r="C5600" s="948" t="s">
        <v>11061</v>
      </c>
      <c r="D5600" s="242" t="s">
        <v>26530</v>
      </c>
      <c r="E5600" s="949">
        <v>1304</v>
      </c>
      <c r="F5600" s="949">
        <v>1304</v>
      </c>
      <c r="G5600" s="950" t="s">
        <v>14562</v>
      </c>
      <c r="H5600" s="950" t="s">
        <v>353</v>
      </c>
      <c r="I5600" s="951" t="s">
        <v>11062</v>
      </c>
      <c r="J5600" s="947" t="s">
        <v>11063</v>
      </c>
      <c r="K5600" s="143"/>
    </row>
    <row r="5601" spans="1:11">
      <c r="A5601" s="946" t="s">
        <v>28604</v>
      </c>
      <c r="B5601" s="947" t="s">
        <v>12358</v>
      </c>
      <c r="C5601" s="948" t="s">
        <v>12356</v>
      </c>
      <c r="D5601" s="242" t="s">
        <v>26530</v>
      </c>
      <c r="E5601" s="949">
        <v>1304</v>
      </c>
      <c r="F5601" s="949">
        <v>1304</v>
      </c>
      <c r="G5601" s="950" t="s">
        <v>14562</v>
      </c>
      <c r="H5601" s="950" t="s">
        <v>353</v>
      </c>
      <c r="I5601" s="951" t="s">
        <v>12357</v>
      </c>
      <c r="J5601" s="947" t="s">
        <v>12358</v>
      </c>
      <c r="K5601" s="143"/>
    </row>
    <row r="5602" spans="1:11">
      <c r="A5602" s="946" t="s">
        <v>28604</v>
      </c>
      <c r="B5602" s="947" t="s">
        <v>12754</v>
      </c>
      <c r="C5602" s="948" t="s">
        <v>12752</v>
      </c>
      <c r="D5602" s="242" t="s">
        <v>26530</v>
      </c>
      <c r="E5602" s="949">
        <v>1304</v>
      </c>
      <c r="F5602" s="949">
        <v>1304</v>
      </c>
      <c r="G5602" s="950" t="s">
        <v>14562</v>
      </c>
      <c r="H5602" s="950" t="s">
        <v>353</v>
      </c>
      <c r="I5602" s="951" t="s">
        <v>12753</v>
      </c>
      <c r="J5602" s="947" t="s">
        <v>12754</v>
      </c>
      <c r="K5602" s="143"/>
    </row>
    <row r="5603" spans="1:11">
      <c r="A5603" s="946" t="s">
        <v>28604</v>
      </c>
      <c r="B5603" s="947" t="s">
        <v>13019</v>
      </c>
      <c r="C5603" s="948" t="s">
        <v>13017</v>
      </c>
      <c r="D5603" s="242" t="s">
        <v>26530</v>
      </c>
      <c r="E5603" s="949">
        <v>1304</v>
      </c>
      <c r="F5603" s="949">
        <v>1304</v>
      </c>
      <c r="G5603" s="950" t="s">
        <v>14562</v>
      </c>
      <c r="H5603" s="950" t="s">
        <v>353</v>
      </c>
      <c r="I5603" s="951" t="s">
        <v>13018</v>
      </c>
      <c r="J5603" s="947" t="s">
        <v>13019</v>
      </c>
      <c r="K5603" s="143"/>
    </row>
    <row r="5604" spans="1:11">
      <c r="A5604" s="946" t="s">
        <v>28604</v>
      </c>
      <c r="B5604" s="947" t="s">
        <v>13304</v>
      </c>
      <c r="C5604" s="948" t="s">
        <v>13302</v>
      </c>
      <c r="D5604" s="242" t="s">
        <v>26530</v>
      </c>
      <c r="E5604" s="949">
        <v>1304</v>
      </c>
      <c r="F5604" s="949">
        <v>1304</v>
      </c>
      <c r="G5604" s="950" t="s">
        <v>14562</v>
      </c>
      <c r="H5604" s="950" t="s">
        <v>353</v>
      </c>
      <c r="I5604" s="951" t="s">
        <v>13303</v>
      </c>
      <c r="J5604" s="947" t="s">
        <v>13304</v>
      </c>
      <c r="K5604" s="143"/>
    </row>
    <row r="5605" spans="1:11">
      <c r="A5605" s="946" t="s">
        <v>28604</v>
      </c>
      <c r="B5605" s="947" t="s">
        <v>14467</v>
      </c>
      <c r="C5605" s="948" t="s">
        <v>14465</v>
      </c>
      <c r="D5605" s="242" t="s">
        <v>26530</v>
      </c>
      <c r="E5605" s="949">
        <v>1304</v>
      </c>
      <c r="F5605" s="949">
        <v>1304</v>
      </c>
      <c r="G5605" s="950" t="s">
        <v>14562</v>
      </c>
      <c r="H5605" s="950" t="s">
        <v>353</v>
      </c>
      <c r="I5605" s="951" t="s">
        <v>14466</v>
      </c>
      <c r="J5605" s="947" t="s">
        <v>14467</v>
      </c>
      <c r="K5605" s="143"/>
    </row>
    <row r="5606" spans="1:11">
      <c r="A5606" s="946" t="s">
        <v>28604</v>
      </c>
      <c r="B5606" s="947" t="s">
        <v>14562</v>
      </c>
      <c r="C5606" s="948" t="s">
        <v>14560</v>
      </c>
      <c r="D5606" s="242" t="s">
        <v>26530</v>
      </c>
      <c r="E5606" s="949">
        <v>1304</v>
      </c>
      <c r="F5606" s="949">
        <v>1304</v>
      </c>
      <c r="G5606" s="950" t="s">
        <v>14562</v>
      </c>
      <c r="H5606" s="950" t="s">
        <v>353</v>
      </c>
      <c r="I5606" s="951" t="s">
        <v>14561</v>
      </c>
      <c r="J5606" s="947" t="s">
        <v>14562</v>
      </c>
      <c r="K5606" s="143"/>
    </row>
    <row r="5607" spans="1:11">
      <c r="A5607" s="946" t="s">
        <v>28604</v>
      </c>
      <c r="B5607" s="947" t="s">
        <v>14610</v>
      </c>
      <c r="C5607" s="948" t="s">
        <v>14608</v>
      </c>
      <c r="D5607" s="242" t="s">
        <v>26530</v>
      </c>
      <c r="E5607" s="949">
        <v>1304</v>
      </c>
      <c r="F5607" s="949">
        <v>1304</v>
      </c>
      <c r="G5607" s="950" t="s">
        <v>14562</v>
      </c>
      <c r="H5607" s="950" t="s">
        <v>353</v>
      </c>
      <c r="I5607" s="951" t="s">
        <v>14609</v>
      </c>
      <c r="J5607" s="947" t="s">
        <v>14610</v>
      </c>
      <c r="K5607" s="143"/>
    </row>
    <row r="5608" spans="1:11">
      <c r="A5608" s="946" t="s">
        <v>28604</v>
      </c>
      <c r="B5608" s="947" t="s">
        <v>14728</v>
      </c>
      <c r="C5608" s="948" t="s">
        <v>14726</v>
      </c>
      <c r="D5608" s="242" t="s">
        <v>26530</v>
      </c>
      <c r="E5608" s="949">
        <v>1304</v>
      </c>
      <c r="F5608" s="949">
        <v>1304</v>
      </c>
      <c r="G5608" s="950" t="s">
        <v>14562</v>
      </c>
      <c r="H5608" s="950" t="s">
        <v>353</v>
      </c>
      <c r="I5608" s="951" t="s">
        <v>14727</v>
      </c>
      <c r="J5608" s="947" t="s">
        <v>14728</v>
      </c>
      <c r="K5608" s="143"/>
    </row>
    <row r="5609" spans="1:11">
      <c r="A5609" s="946" t="s">
        <v>28604</v>
      </c>
      <c r="B5609" s="947" t="s">
        <v>14800</v>
      </c>
      <c r="C5609" s="948" t="s">
        <v>14798</v>
      </c>
      <c r="D5609" s="242" t="s">
        <v>26530</v>
      </c>
      <c r="E5609" s="949">
        <v>1304</v>
      </c>
      <c r="F5609" s="949">
        <v>1304</v>
      </c>
      <c r="G5609" s="950" t="s">
        <v>14562</v>
      </c>
      <c r="H5609" s="950" t="s">
        <v>353</v>
      </c>
      <c r="I5609" s="951" t="s">
        <v>14799</v>
      </c>
      <c r="J5609" s="947" t="s">
        <v>14800</v>
      </c>
      <c r="K5609" s="143"/>
    </row>
    <row r="5610" spans="1:11">
      <c r="A5610" s="946" t="s">
        <v>28604</v>
      </c>
      <c r="B5610" s="947" t="s">
        <v>14883</v>
      </c>
      <c r="C5610" s="948" t="s">
        <v>14881</v>
      </c>
      <c r="D5610" s="242" t="s">
        <v>26530</v>
      </c>
      <c r="E5610" s="949">
        <v>1304</v>
      </c>
      <c r="F5610" s="949">
        <v>1304</v>
      </c>
      <c r="G5610" s="950" t="s">
        <v>14562</v>
      </c>
      <c r="H5610" s="950" t="s">
        <v>353</v>
      </c>
      <c r="I5610" s="951" t="s">
        <v>14882</v>
      </c>
      <c r="J5610" s="947" t="s">
        <v>14883</v>
      </c>
      <c r="K5610" s="143"/>
    </row>
    <row r="5611" spans="1:11">
      <c r="A5611" s="946" t="s">
        <v>28604</v>
      </c>
      <c r="B5611" s="947" t="s">
        <v>32253</v>
      </c>
      <c r="C5611" s="948" t="s">
        <v>32254</v>
      </c>
      <c r="D5611" s="242" t="s">
        <v>26530</v>
      </c>
      <c r="E5611" s="949">
        <v>1304</v>
      </c>
      <c r="F5611" s="949">
        <v>1304</v>
      </c>
      <c r="G5611" s="950" t="s">
        <v>14562</v>
      </c>
      <c r="H5611" s="950" t="s">
        <v>353</v>
      </c>
      <c r="I5611" s="951" t="s">
        <v>15502</v>
      </c>
      <c r="J5611" s="947" t="s">
        <v>32253</v>
      </c>
      <c r="K5611" s="143"/>
    </row>
    <row r="5612" spans="1:11">
      <c r="A5612" s="946" t="s">
        <v>28604</v>
      </c>
      <c r="B5612" s="947" t="s">
        <v>16649</v>
      </c>
      <c r="C5612" s="948" t="s">
        <v>16647</v>
      </c>
      <c r="D5612" s="242" t="s">
        <v>26530</v>
      </c>
      <c r="E5612" s="949">
        <v>1304</v>
      </c>
      <c r="F5612" s="949">
        <v>1304</v>
      </c>
      <c r="G5612" s="950" t="s">
        <v>14562</v>
      </c>
      <c r="H5612" s="950" t="s">
        <v>353</v>
      </c>
      <c r="I5612" s="951" t="s">
        <v>16648</v>
      </c>
      <c r="J5612" s="947" t="s">
        <v>16649</v>
      </c>
      <c r="K5612" s="143"/>
    </row>
    <row r="5613" spans="1:11">
      <c r="A5613" s="946" t="s">
        <v>28604</v>
      </c>
      <c r="B5613" s="947" t="s">
        <v>16943</v>
      </c>
      <c r="C5613" s="948" t="s">
        <v>16941</v>
      </c>
      <c r="D5613" s="242" t="s">
        <v>26530</v>
      </c>
      <c r="E5613" s="949">
        <v>1304</v>
      </c>
      <c r="F5613" s="949">
        <v>1304</v>
      </c>
      <c r="G5613" s="950" t="s">
        <v>14562</v>
      </c>
      <c r="H5613" s="950" t="s">
        <v>353</v>
      </c>
      <c r="I5613" s="951" t="s">
        <v>16942</v>
      </c>
      <c r="J5613" s="947" t="s">
        <v>16943</v>
      </c>
      <c r="K5613" s="143"/>
    </row>
    <row r="5614" spans="1:11">
      <c r="A5614" s="946" t="s">
        <v>28604</v>
      </c>
      <c r="B5614" s="947" t="s">
        <v>17281</v>
      </c>
      <c r="C5614" s="948" t="s">
        <v>17279</v>
      </c>
      <c r="D5614" s="242" t="s">
        <v>26530</v>
      </c>
      <c r="E5614" s="949">
        <v>1304</v>
      </c>
      <c r="F5614" s="949">
        <v>1304</v>
      </c>
      <c r="G5614" s="950" t="s">
        <v>14562</v>
      </c>
      <c r="H5614" s="950" t="s">
        <v>353</v>
      </c>
      <c r="I5614" s="951" t="s">
        <v>17280</v>
      </c>
      <c r="J5614" s="947" t="s">
        <v>17281</v>
      </c>
      <c r="K5614" s="143"/>
    </row>
    <row r="5615" spans="1:11">
      <c r="A5615" s="946" t="s">
        <v>28604</v>
      </c>
      <c r="B5615" s="947" t="s">
        <v>18726</v>
      </c>
      <c r="C5615" s="948" t="s">
        <v>18724</v>
      </c>
      <c r="D5615" s="242" t="s">
        <v>26530</v>
      </c>
      <c r="E5615" s="949">
        <v>1304</v>
      </c>
      <c r="F5615" s="949">
        <v>1304</v>
      </c>
      <c r="G5615" s="950" t="s">
        <v>14562</v>
      </c>
      <c r="H5615" s="950" t="s">
        <v>353</v>
      </c>
      <c r="I5615" s="951" t="s">
        <v>18725</v>
      </c>
      <c r="J5615" s="947" t="s">
        <v>18726</v>
      </c>
      <c r="K5615" s="143"/>
    </row>
    <row r="5616" spans="1:11">
      <c r="A5616" s="946" t="s">
        <v>28604</v>
      </c>
      <c r="B5616" s="947" t="s">
        <v>18251</v>
      </c>
      <c r="C5616" s="948" t="s">
        <v>18249</v>
      </c>
      <c r="D5616" s="242" t="s">
        <v>26530</v>
      </c>
      <c r="E5616" s="949">
        <v>1304</v>
      </c>
      <c r="F5616" s="949">
        <v>1304</v>
      </c>
      <c r="G5616" s="950" t="s">
        <v>14562</v>
      </c>
      <c r="H5616" s="950" t="s">
        <v>353</v>
      </c>
      <c r="I5616" s="951" t="s">
        <v>18250</v>
      </c>
      <c r="J5616" s="947" t="s">
        <v>18251</v>
      </c>
      <c r="K5616" s="143"/>
    </row>
    <row r="5617" spans="1:11">
      <c r="A5617" s="946" t="s">
        <v>28604</v>
      </c>
      <c r="B5617" s="947" t="s">
        <v>18990</v>
      </c>
      <c r="C5617" s="948" t="s">
        <v>18988</v>
      </c>
      <c r="D5617" s="242" t="s">
        <v>26530</v>
      </c>
      <c r="E5617" s="949">
        <v>1304</v>
      </c>
      <c r="F5617" s="949">
        <v>1304</v>
      </c>
      <c r="G5617" s="950" t="s">
        <v>14562</v>
      </c>
      <c r="H5617" s="950" t="s">
        <v>353</v>
      </c>
      <c r="I5617" s="951" t="s">
        <v>18989</v>
      </c>
      <c r="J5617" s="947" t="s">
        <v>18990</v>
      </c>
      <c r="K5617" s="143"/>
    </row>
    <row r="5618" spans="1:11">
      <c r="A5618" s="946" t="s">
        <v>28604</v>
      </c>
      <c r="B5618" s="947" t="s">
        <v>19352</v>
      </c>
      <c r="C5618" s="948" t="s">
        <v>19350</v>
      </c>
      <c r="D5618" s="242" t="s">
        <v>26530</v>
      </c>
      <c r="E5618" s="949">
        <v>1304</v>
      </c>
      <c r="F5618" s="949">
        <v>1304</v>
      </c>
      <c r="G5618" s="950" t="s">
        <v>14562</v>
      </c>
      <c r="H5618" s="950" t="s">
        <v>353</v>
      </c>
      <c r="I5618" s="951" t="s">
        <v>19351</v>
      </c>
      <c r="J5618" s="947" t="s">
        <v>19352</v>
      </c>
      <c r="K5618" s="143"/>
    </row>
    <row r="5619" spans="1:11">
      <c r="A5619" s="946" t="s">
        <v>28604</v>
      </c>
      <c r="B5619" s="947" t="s">
        <v>19924</v>
      </c>
      <c r="C5619" s="948" t="s">
        <v>19922</v>
      </c>
      <c r="D5619" s="242" t="s">
        <v>26530</v>
      </c>
      <c r="E5619" s="949">
        <v>1304</v>
      </c>
      <c r="F5619" s="949">
        <v>1304</v>
      </c>
      <c r="G5619" s="950" t="s">
        <v>14562</v>
      </c>
      <c r="H5619" s="950" t="s">
        <v>353</v>
      </c>
      <c r="I5619" s="951" t="s">
        <v>19923</v>
      </c>
      <c r="J5619" s="947" t="s">
        <v>19924</v>
      </c>
      <c r="K5619" s="143"/>
    </row>
    <row r="5620" spans="1:11">
      <c r="A5620" s="946" t="s">
        <v>28604</v>
      </c>
      <c r="B5620" s="947" t="s">
        <v>20503</v>
      </c>
      <c r="C5620" s="948" t="s">
        <v>20501</v>
      </c>
      <c r="D5620" s="242" t="s">
        <v>26530</v>
      </c>
      <c r="E5620" s="949">
        <v>1304</v>
      </c>
      <c r="F5620" s="949">
        <v>1304</v>
      </c>
      <c r="G5620" s="950" t="s">
        <v>14562</v>
      </c>
      <c r="H5620" s="950" t="s">
        <v>353</v>
      </c>
      <c r="I5620" s="951" t="s">
        <v>20502</v>
      </c>
      <c r="J5620" s="947" t="s">
        <v>20503</v>
      </c>
      <c r="K5620" s="143"/>
    </row>
    <row r="5621" spans="1:11">
      <c r="A5621" s="946" t="s">
        <v>28604</v>
      </c>
      <c r="B5621" s="947" t="s">
        <v>20655</v>
      </c>
      <c r="C5621" s="948" t="s">
        <v>20653</v>
      </c>
      <c r="D5621" s="242" t="s">
        <v>26530</v>
      </c>
      <c r="E5621" s="949">
        <v>1304</v>
      </c>
      <c r="F5621" s="949">
        <v>1304</v>
      </c>
      <c r="G5621" s="950" t="s">
        <v>14562</v>
      </c>
      <c r="H5621" s="950" t="s">
        <v>353</v>
      </c>
      <c r="I5621" s="951" t="s">
        <v>20654</v>
      </c>
      <c r="J5621" s="947" t="s">
        <v>20655</v>
      </c>
      <c r="K5621" s="143"/>
    </row>
    <row r="5622" spans="1:11">
      <c r="A5622" s="946" t="s">
        <v>28604</v>
      </c>
      <c r="B5622" s="947" t="s">
        <v>21144</v>
      </c>
      <c r="C5622" s="948" t="s">
        <v>21142</v>
      </c>
      <c r="D5622" s="242" t="s">
        <v>26530</v>
      </c>
      <c r="E5622" s="949">
        <v>1304</v>
      </c>
      <c r="F5622" s="949">
        <v>1304</v>
      </c>
      <c r="G5622" s="950" t="s">
        <v>14562</v>
      </c>
      <c r="H5622" s="950" t="s">
        <v>353</v>
      </c>
      <c r="I5622" s="951" t="s">
        <v>21143</v>
      </c>
      <c r="J5622" s="947" t="s">
        <v>21144</v>
      </c>
      <c r="K5622" s="143"/>
    </row>
    <row r="5623" spans="1:11">
      <c r="A5623" s="946" t="s">
        <v>28604</v>
      </c>
      <c r="B5623" s="947" t="s">
        <v>21937</v>
      </c>
      <c r="C5623" s="948" t="s">
        <v>21935</v>
      </c>
      <c r="D5623" s="242" t="s">
        <v>26530</v>
      </c>
      <c r="E5623" s="949">
        <v>1304</v>
      </c>
      <c r="F5623" s="949">
        <v>1304</v>
      </c>
      <c r="G5623" s="950" t="s">
        <v>14562</v>
      </c>
      <c r="H5623" s="950" t="s">
        <v>353</v>
      </c>
      <c r="I5623" s="951" t="s">
        <v>21936</v>
      </c>
      <c r="J5623" s="947" t="s">
        <v>21937</v>
      </c>
      <c r="K5623" s="143"/>
    </row>
    <row r="5624" spans="1:11">
      <c r="A5624" s="946" t="s">
        <v>28604</v>
      </c>
      <c r="B5624" s="947" t="s">
        <v>22061</v>
      </c>
      <c r="C5624" s="948" t="s">
        <v>22059</v>
      </c>
      <c r="D5624" s="242" t="s">
        <v>26530</v>
      </c>
      <c r="E5624" s="949">
        <v>1304</v>
      </c>
      <c r="F5624" s="949">
        <v>1304</v>
      </c>
      <c r="G5624" s="950" t="s">
        <v>14562</v>
      </c>
      <c r="H5624" s="950" t="s">
        <v>353</v>
      </c>
      <c r="I5624" s="951" t="s">
        <v>22060</v>
      </c>
      <c r="J5624" s="947" t="s">
        <v>22061</v>
      </c>
      <c r="K5624" s="143"/>
    </row>
    <row r="5625" spans="1:11">
      <c r="A5625" s="946" t="s">
        <v>28604</v>
      </c>
      <c r="B5625" s="947" t="s">
        <v>1017</v>
      </c>
      <c r="C5625" s="948" t="s">
        <v>1014</v>
      </c>
      <c r="D5625" s="242" t="s">
        <v>26530</v>
      </c>
      <c r="E5625" s="949">
        <v>1306</v>
      </c>
      <c r="F5625" s="949">
        <v>1306</v>
      </c>
      <c r="G5625" s="950" t="s">
        <v>6262</v>
      </c>
      <c r="H5625" s="950" t="s">
        <v>1015</v>
      </c>
      <c r="I5625" s="951" t="s">
        <v>1016</v>
      </c>
      <c r="J5625" s="947" t="s">
        <v>1017</v>
      </c>
      <c r="K5625" s="143"/>
    </row>
    <row r="5626" spans="1:11">
      <c r="A5626" s="946" t="s">
        <v>28604</v>
      </c>
      <c r="B5626" s="947" t="s">
        <v>1324</v>
      </c>
      <c r="C5626" s="948" t="s">
        <v>1322</v>
      </c>
      <c r="D5626" s="242" t="s">
        <v>26530</v>
      </c>
      <c r="E5626" s="949">
        <v>1306</v>
      </c>
      <c r="F5626" s="949">
        <v>1306</v>
      </c>
      <c r="G5626" s="950" t="s">
        <v>6262</v>
      </c>
      <c r="H5626" s="950" t="s">
        <v>1015</v>
      </c>
      <c r="I5626" s="951" t="s">
        <v>1323</v>
      </c>
      <c r="J5626" s="947" t="s">
        <v>1324</v>
      </c>
      <c r="K5626" s="143"/>
    </row>
    <row r="5627" spans="1:11">
      <c r="A5627" s="946" t="s">
        <v>28604</v>
      </c>
      <c r="B5627" s="947" t="s">
        <v>1404</v>
      </c>
      <c r="C5627" s="948" t="s">
        <v>1402</v>
      </c>
      <c r="D5627" s="242" t="s">
        <v>26530</v>
      </c>
      <c r="E5627" s="949">
        <v>1306</v>
      </c>
      <c r="F5627" s="949">
        <v>1306</v>
      </c>
      <c r="G5627" s="950" t="s">
        <v>6262</v>
      </c>
      <c r="H5627" s="950" t="s">
        <v>1015</v>
      </c>
      <c r="I5627" s="951" t="s">
        <v>1403</v>
      </c>
      <c r="J5627" s="947" t="s">
        <v>1404</v>
      </c>
      <c r="K5627" s="143"/>
    </row>
    <row r="5628" spans="1:11">
      <c r="A5628" s="946" t="s">
        <v>28604</v>
      </c>
      <c r="B5628" s="947" t="s">
        <v>1416</v>
      </c>
      <c r="C5628" s="948" t="s">
        <v>1414</v>
      </c>
      <c r="D5628" s="242" t="s">
        <v>26530</v>
      </c>
      <c r="E5628" s="949">
        <v>1306</v>
      </c>
      <c r="F5628" s="949">
        <v>1306</v>
      </c>
      <c r="G5628" s="950" t="s">
        <v>6262</v>
      </c>
      <c r="H5628" s="950" t="s">
        <v>1015</v>
      </c>
      <c r="I5628" s="951" t="s">
        <v>1415</v>
      </c>
      <c r="J5628" s="947" t="s">
        <v>1416</v>
      </c>
      <c r="K5628" s="143"/>
    </row>
    <row r="5629" spans="1:11">
      <c r="A5629" s="946" t="s">
        <v>28604</v>
      </c>
      <c r="B5629" s="947" t="s">
        <v>1599</v>
      </c>
      <c r="C5629" s="948" t="s">
        <v>1597</v>
      </c>
      <c r="D5629" s="242" t="s">
        <v>26530</v>
      </c>
      <c r="E5629" s="949">
        <v>1306</v>
      </c>
      <c r="F5629" s="949">
        <v>1306</v>
      </c>
      <c r="G5629" s="950" t="s">
        <v>6262</v>
      </c>
      <c r="H5629" s="950" t="s">
        <v>1015</v>
      </c>
      <c r="I5629" s="951" t="s">
        <v>1598</v>
      </c>
      <c r="J5629" s="947" t="s">
        <v>1599</v>
      </c>
      <c r="K5629" s="143"/>
    </row>
    <row r="5630" spans="1:11">
      <c r="A5630" s="946" t="s">
        <v>28604</v>
      </c>
      <c r="B5630" s="947" t="s">
        <v>2611</v>
      </c>
      <c r="C5630" s="948" t="s">
        <v>2609</v>
      </c>
      <c r="D5630" s="242" t="s">
        <v>26530</v>
      </c>
      <c r="E5630" s="949">
        <v>1306</v>
      </c>
      <c r="F5630" s="949">
        <v>1306</v>
      </c>
      <c r="G5630" s="950" t="s">
        <v>6262</v>
      </c>
      <c r="H5630" s="950" t="s">
        <v>1015</v>
      </c>
      <c r="I5630" s="951" t="s">
        <v>2610</v>
      </c>
      <c r="J5630" s="947" t="s">
        <v>2611</v>
      </c>
      <c r="K5630" s="143"/>
    </row>
    <row r="5631" spans="1:11">
      <c r="A5631" s="946" t="s">
        <v>28604</v>
      </c>
      <c r="B5631" s="947" t="s">
        <v>2833</v>
      </c>
      <c r="C5631" s="948" t="s">
        <v>2831</v>
      </c>
      <c r="D5631" s="242" t="s">
        <v>26530</v>
      </c>
      <c r="E5631" s="949">
        <v>1306</v>
      </c>
      <c r="F5631" s="949">
        <v>1306</v>
      </c>
      <c r="G5631" s="950" t="s">
        <v>6262</v>
      </c>
      <c r="H5631" s="950" t="s">
        <v>1015</v>
      </c>
      <c r="I5631" s="951" t="s">
        <v>2832</v>
      </c>
      <c r="J5631" s="947" t="s">
        <v>2833</v>
      </c>
      <c r="K5631" s="143"/>
    </row>
    <row r="5632" spans="1:11">
      <c r="A5632" s="946" t="s">
        <v>28604</v>
      </c>
      <c r="B5632" s="947" t="s">
        <v>3191</v>
      </c>
      <c r="C5632" s="948" t="s">
        <v>3189</v>
      </c>
      <c r="D5632" s="242" t="s">
        <v>26530</v>
      </c>
      <c r="E5632" s="949">
        <v>1304</v>
      </c>
      <c r="F5632" s="949">
        <v>1304</v>
      </c>
      <c r="G5632" s="950" t="s">
        <v>6262</v>
      </c>
      <c r="H5632" s="950" t="s">
        <v>1015</v>
      </c>
      <c r="I5632" s="951" t="s">
        <v>3190</v>
      </c>
      <c r="J5632" s="947" t="s">
        <v>3191</v>
      </c>
      <c r="K5632" s="143"/>
    </row>
    <row r="5633" spans="1:11">
      <c r="A5633" s="946" t="s">
        <v>28604</v>
      </c>
      <c r="B5633" s="947" t="s">
        <v>12362</v>
      </c>
      <c r="C5633" s="948" t="s">
        <v>12360</v>
      </c>
      <c r="D5633" s="242" t="s">
        <v>26530</v>
      </c>
      <c r="E5633" s="949">
        <v>1306</v>
      </c>
      <c r="F5633" s="949">
        <v>1306</v>
      </c>
      <c r="G5633" s="950" t="s">
        <v>6262</v>
      </c>
      <c r="H5633" s="950" t="s">
        <v>1015</v>
      </c>
      <c r="I5633" s="951" t="s">
        <v>12361</v>
      </c>
      <c r="J5633" s="947" t="s">
        <v>12362</v>
      </c>
      <c r="K5633" s="143"/>
    </row>
    <row r="5634" spans="1:11">
      <c r="A5634" s="946" t="s">
        <v>28604</v>
      </c>
      <c r="B5634" s="947" t="s">
        <v>3966</v>
      </c>
      <c r="C5634" s="948" t="s">
        <v>3964</v>
      </c>
      <c r="D5634" s="242" t="s">
        <v>26530</v>
      </c>
      <c r="E5634" s="949">
        <v>1306</v>
      </c>
      <c r="F5634" s="949">
        <v>1306</v>
      </c>
      <c r="G5634" s="950" t="s">
        <v>6262</v>
      </c>
      <c r="H5634" s="950" t="s">
        <v>1015</v>
      </c>
      <c r="I5634" s="951" t="s">
        <v>3965</v>
      </c>
      <c r="J5634" s="947" t="s">
        <v>3966</v>
      </c>
      <c r="K5634" s="143"/>
    </row>
    <row r="5635" spans="1:11">
      <c r="A5635" s="946" t="s">
        <v>28604</v>
      </c>
      <c r="B5635" s="947" t="s">
        <v>4432</v>
      </c>
      <c r="C5635" s="948" t="s">
        <v>4430</v>
      </c>
      <c r="D5635" s="242" t="s">
        <v>26530</v>
      </c>
      <c r="E5635" s="949">
        <v>1306</v>
      </c>
      <c r="F5635" s="949">
        <v>1306</v>
      </c>
      <c r="G5635" s="950" t="s">
        <v>6262</v>
      </c>
      <c r="H5635" s="950" t="s">
        <v>1015</v>
      </c>
      <c r="I5635" s="951" t="s">
        <v>4431</v>
      </c>
      <c r="J5635" s="947" t="s">
        <v>4432</v>
      </c>
      <c r="K5635" s="143"/>
    </row>
    <row r="5636" spans="1:11">
      <c r="A5636" s="946" t="s">
        <v>28604</v>
      </c>
      <c r="B5636" s="947" t="s">
        <v>4486</v>
      </c>
      <c r="C5636" s="948" t="s">
        <v>4484</v>
      </c>
      <c r="D5636" s="242" t="s">
        <v>26530</v>
      </c>
      <c r="E5636" s="949">
        <v>1306</v>
      </c>
      <c r="F5636" s="949">
        <v>1306</v>
      </c>
      <c r="G5636" s="950" t="s">
        <v>6262</v>
      </c>
      <c r="H5636" s="950" t="s">
        <v>1015</v>
      </c>
      <c r="I5636" s="951" t="s">
        <v>4485</v>
      </c>
      <c r="J5636" s="947" t="s">
        <v>4486</v>
      </c>
      <c r="K5636" s="143"/>
    </row>
    <row r="5637" spans="1:11">
      <c r="A5637" s="946" t="s">
        <v>28604</v>
      </c>
      <c r="B5637" s="947" t="s">
        <v>4500</v>
      </c>
      <c r="C5637" s="948" t="s">
        <v>4498</v>
      </c>
      <c r="D5637" s="242" t="s">
        <v>26530</v>
      </c>
      <c r="E5637" s="949">
        <v>1306</v>
      </c>
      <c r="F5637" s="949">
        <v>1306</v>
      </c>
      <c r="G5637" s="950" t="s">
        <v>6262</v>
      </c>
      <c r="H5637" s="950" t="s">
        <v>1015</v>
      </c>
      <c r="I5637" s="951" t="s">
        <v>4499</v>
      </c>
      <c r="J5637" s="947" t="s">
        <v>4500</v>
      </c>
      <c r="K5637" s="143"/>
    </row>
    <row r="5638" spans="1:11">
      <c r="A5638" s="946" t="s">
        <v>28604</v>
      </c>
      <c r="B5638" s="947" t="s">
        <v>4515</v>
      </c>
      <c r="C5638" s="948" t="s">
        <v>4513</v>
      </c>
      <c r="D5638" s="242" t="s">
        <v>26530</v>
      </c>
      <c r="E5638" s="949">
        <v>1306</v>
      </c>
      <c r="F5638" s="949">
        <v>1306</v>
      </c>
      <c r="G5638" s="950" t="s">
        <v>6262</v>
      </c>
      <c r="H5638" s="950" t="s">
        <v>1015</v>
      </c>
      <c r="I5638" s="951" t="s">
        <v>4514</v>
      </c>
      <c r="J5638" s="947" t="s">
        <v>4515</v>
      </c>
      <c r="K5638" s="143"/>
    </row>
    <row r="5639" spans="1:11">
      <c r="A5639" s="946" t="s">
        <v>28604</v>
      </c>
      <c r="B5639" s="947" t="s">
        <v>4524</v>
      </c>
      <c r="C5639" s="948" t="s">
        <v>4522</v>
      </c>
      <c r="D5639" s="242" t="s">
        <v>26530</v>
      </c>
      <c r="E5639" s="949">
        <v>1306</v>
      </c>
      <c r="F5639" s="949">
        <v>1306</v>
      </c>
      <c r="G5639" s="950" t="s">
        <v>6262</v>
      </c>
      <c r="H5639" s="950" t="s">
        <v>1015</v>
      </c>
      <c r="I5639" s="951" t="s">
        <v>4523</v>
      </c>
      <c r="J5639" s="947" t="s">
        <v>4524</v>
      </c>
      <c r="K5639" s="143"/>
    </row>
    <row r="5640" spans="1:11">
      <c r="A5640" s="946" t="s">
        <v>28604</v>
      </c>
      <c r="B5640" s="947" t="s">
        <v>4601</v>
      </c>
      <c r="C5640" s="948" t="s">
        <v>4599</v>
      </c>
      <c r="D5640" s="242" t="s">
        <v>26530</v>
      </c>
      <c r="E5640" s="949">
        <v>1304</v>
      </c>
      <c r="F5640" s="949">
        <v>1304</v>
      </c>
      <c r="G5640" s="950" t="s">
        <v>6262</v>
      </c>
      <c r="H5640" s="950" t="s">
        <v>1015</v>
      </c>
      <c r="I5640" s="951" t="s">
        <v>4600</v>
      </c>
      <c r="J5640" s="947" t="s">
        <v>4601</v>
      </c>
      <c r="K5640" s="143"/>
    </row>
    <row r="5641" spans="1:11">
      <c r="A5641" s="946" t="s">
        <v>28604</v>
      </c>
      <c r="B5641" s="947" t="s">
        <v>4793</v>
      </c>
      <c r="C5641" s="948" t="s">
        <v>4791</v>
      </c>
      <c r="D5641" s="242" t="s">
        <v>26530</v>
      </c>
      <c r="E5641" s="949">
        <v>1306</v>
      </c>
      <c r="F5641" s="949">
        <v>1306</v>
      </c>
      <c r="G5641" s="950" t="s">
        <v>6262</v>
      </c>
      <c r="H5641" s="950" t="s">
        <v>1015</v>
      </c>
      <c r="I5641" s="951" t="s">
        <v>4792</v>
      </c>
      <c r="J5641" s="947" t="s">
        <v>4793</v>
      </c>
      <c r="K5641" s="143"/>
    </row>
    <row r="5642" spans="1:11">
      <c r="A5642" s="946" t="s">
        <v>28604</v>
      </c>
      <c r="B5642" s="947" t="s">
        <v>4976</v>
      </c>
      <c r="C5642" s="948" t="s">
        <v>4974</v>
      </c>
      <c r="D5642" s="242" t="s">
        <v>26530</v>
      </c>
      <c r="E5642" s="949">
        <v>1306</v>
      </c>
      <c r="F5642" s="949">
        <v>1306</v>
      </c>
      <c r="G5642" s="950" t="s">
        <v>6262</v>
      </c>
      <c r="H5642" s="950" t="s">
        <v>1015</v>
      </c>
      <c r="I5642" s="951" t="s">
        <v>4975</v>
      </c>
      <c r="J5642" s="947" t="s">
        <v>4976</v>
      </c>
      <c r="K5642" s="143"/>
    </row>
    <row r="5643" spans="1:11">
      <c r="A5643" s="946" t="s">
        <v>28604</v>
      </c>
      <c r="B5643" s="947" t="s">
        <v>5123</v>
      </c>
      <c r="C5643" s="948" t="s">
        <v>5121</v>
      </c>
      <c r="D5643" s="242" t="s">
        <v>26530</v>
      </c>
      <c r="E5643" s="949">
        <v>1306</v>
      </c>
      <c r="F5643" s="949">
        <v>1306</v>
      </c>
      <c r="G5643" s="950" t="s">
        <v>6262</v>
      </c>
      <c r="H5643" s="950" t="s">
        <v>1015</v>
      </c>
      <c r="I5643" s="951" t="s">
        <v>5122</v>
      </c>
      <c r="J5643" s="947" t="s">
        <v>5123</v>
      </c>
      <c r="K5643" s="143"/>
    </row>
    <row r="5644" spans="1:11">
      <c r="A5644" s="946" t="s">
        <v>28604</v>
      </c>
      <c r="B5644" s="947" t="s">
        <v>5524</v>
      </c>
      <c r="C5644" s="948" t="s">
        <v>5522</v>
      </c>
      <c r="D5644" s="242" t="s">
        <v>26530</v>
      </c>
      <c r="E5644" s="949">
        <v>1306</v>
      </c>
      <c r="F5644" s="949">
        <v>1306</v>
      </c>
      <c r="G5644" s="950" t="s">
        <v>6262</v>
      </c>
      <c r="H5644" s="950" t="s">
        <v>1015</v>
      </c>
      <c r="I5644" s="951" t="s">
        <v>5523</v>
      </c>
      <c r="J5644" s="947" t="s">
        <v>5524</v>
      </c>
      <c r="K5644" s="143"/>
    </row>
    <row r="5645" spans="1:11">
      <c r="A5645" s="946" t="s">
        <v>28604</v>
      </c>
      <c r="B5645" s="947" t="s">
        <v>5781</v>
      </c>
      <c r="C5645" s="948" t="s">
        <v>5779</v>
      </c>
      <c r="D5645" s="242" t="s">
        <v>26530</v>
      </c>
      <c r="E5645" s="949">
        <v>1306</v>
      </c>
      <c r="F5645" s="949">
        <v>1306</v>
      </c>
      <c r="G5645" s="950" t="s">
        <v>6262</v>
      </c>
      <c r="H5645" s="950" t="s">
        <v>1015</v>
      </c>
      <c r="I5645" s="951" t="s">
        <v>5780</v>
      </c>
      <c r="J5645" s="947" t="s">
        <v>5781</v>
      </c>
      <c r="K5645" s="143"/>
    </row>
    <row r="5646" spans="1:11">
      <c r="A5646" s="946" t="s">
        <v>28604</v>
      </c>
      <c r="B5646" s="947" t="s">
        <v>6262</v>
      </c>
      <c r="C5646" s="948" t="s">
        <v>6260</v>
      </c>
      <c r="D5646" s="242" t="s">
        <v>26530</v>
      </c>
      <c r="E5646" s="949">
        <v>1304</v>
      </c>
      <c r="F5646" s="949">
        <v>1304</v>
      </c>
      <c r="G5646" s="950" t="s">
        <v>6262</v>
      </c>
      <c r="H5646" s="950" t="s">
        <v>1015</v>
      </c>
      <c r="I5646" s="951" t="s">
        <v>6261</v>
      </c>
      <c r="J5646" s="947" t="s">
        <v>6262</v>
      </c>
      <c r="K5646" s="143"/>
    </row>
    <row r="5647" spans="1:11">
      <c r="A5647" s="946" t="s">
        <v>28604</v>
      </c>
      <c r="B5647" s="947" t="s">
        <v>6561</v>
      </c>
      <c r="C5647" s="948" t="s">
        <v>6559</v>
      </c>
      <c r="D5647" s="242" t="s">
        <v>26530</v>
      </c>
      <c r="E5647" s="949">
        <v>1306</v>
      </c>
      <c r="F5647" s="949">
        <v>1306</v>
      </c>
      <c r="G5647" s="950" t="s">
        <v>6262</v>
      </c>
      <c r="H5647" s="950" t="s">
        <v>1015</v>
      </c>
      <c r="I5647" s="951" t="s">
        <v>6560</v>
      </c>
      <c r="J5647" s="947" t="s">
        <v>6561</v>
      </c>
      <c r="K5647" s="143"/>
    </row>
    <row r="5648" spans="1:11">
      <c r="A5648" s="946" t="s">
        <v>28604</v>
      </c>
      <c r="B5648" s="947" t="s">
        <v>6594</v>
      </c>
      <c r="C5648" s="948" t="s">
        <v>6592</v>
      </c>
      <c r="D5648" s="242" t="s">
        <v>26530</v>
      </c>
      <c r="E5648" s="949">
        <v>1306</v>
      </c>
      <c r="F5648" s="949">
        <v>1306</v>
      </c>
      <c r="G5648" s="950" t="s">
        <v>6262</v>
      </c>
      <c r="H5648" s="950" t="s">
        <v>1015</v>
      </c>
      <c r="I5648" s="951" t="s">
        <v>6593</v>
      </c>
      <c r="J5648" s="947" t="s">
        <v>6594</v>
      </c>
      <c r="K5648" s="143"/>
    </row>
    <row r="5649" spans="1:11">
      <c r="A5649" s="946" t="s">
        <v>28604</v>
      </c>
      <c r="B5649" s="947" t="s">
        <v>6754</v>
      </c>
      <c r="C5649" s="948" t="s">
        <v>6752</v>
      </c>
      <c r="D5649" s="242" t="s">
        <v>26530</v>
      </c>
      <c r="E5649" s="949">
        <v>1306</v>
      </c>
      <c r="F5649" s="949">
        <v>1306</v>
      </c>
      <c r="G5649" s="950" t="s">
        <v>6262</v>
      </c>
      <c r="H5649" s="950" t="s">
        <v>1015</v>
      </c>
      <c r="I5649" s="951" t="s">
        <v>6753</v>
      </c>
      <c r="J5649" s="947" t="s">
        <v>6754</v>
      </c>
      <c r="K5649" s="143"/>
    </row>
    <row r="5650" spans="1:11">
      <c r="A5650" s="946" t="s">
        <v>28604</v>
      </c>
      <c r="B5650" s="947" t="s">
        <v>6757</v>
      </c>
      <c r="C5650" s="948" t="s">
        <v>6755</v>
      </c>
      <c r="D5650" s="242" t="s">
        <v>26530</v>
      </c>
      <c r="E5650" s="949">
        <v>1306</v>
      </c>
      <c r="F5650" s="949">
        <v>1306</v>
      </c>
      <c r="G5650" s="950" t="s">
        <v>6262</v>
      </c>
      <c r="H5650" s="950" t="s">
        <v>1015</v>
      </c>
      <c r="I5650" s="951" t="s">
        <v>6756</v>
      </c>
      <c r="J5650" s="947" t="s">
        <v>6757</v>
      </c>
      <c r="K5650" s="143"/>
    </row>
    <row r="5651" spans="1:11">
      <c r="A5651" s="946" t="s">
        <v>28604</v>
      </c>
      <c r="B5651" s="947" t="s">
        <v>7332</v>
      </c>
      <c r="C5651" s="948" t="s">
        <v>7330</v>
      </c>
      <c r="D5651" s="242" t="s">
        <v>26530</v>
      </c>
      <c r="E5651" s="949">
        <v>1306</v>
      </c>
      <c r="F5651" s="949">
        <v>1306</v>
      </c>
      <c r="G5651" s="950" t="s">
        <v>6262</v>
      </c>
      <c r="H5651" s="950" t="s">
        <v>1015</v>
      </c>
      <c r="I5651" s="951" t="s">
        <v>7331</v>
      </c>
      <c r="J5651" s="947" t="s">
        <v>7332</v>
      </c>
      <c r="K5651" s="143"/>
    </row>
    <row r="5652" spans="1:11">
      <c r="A5652" s="946" t="s">
        <v>28604</v>
      </c>
      <c r="B5652" s="947" t="s">
        <v>7474</v>
      </c>
      <c r="C5652" s="948" t="s">
        <v>7472</v>
      </c>
      <c r="D5652" s="242" t="s">
        <v>26530</v>
      </c>
      <c r="E5652" s="949">
        <v>1306</v>
      </c>
      <c r="F5652" s="949">
        <v>1306</v>
      </c>
      <c r="G5652" s="950" t="s">
        <v>6262</v>
      </c>
      <c r="H5652" s="950" t="s">
        <v>1015</v>
      </c>
      <c r="I5652" s="951" t="s">
        <v>7473</v>
      </c>
      <c r="J5652" s="947" t="s">
        <v>7474</v>
      </c>
      <c r="K5652" s="143"/>
    </row>
    <row r="5653" spans="1:11">
      <c r="A5653" s="946" t="s">
        <v>28604</v>
      </c>
      <c r="B5653" s="947" t="s">
        <v>7677</v>
      </c>
      <c r="C5653" s="948" t="s">
        <v>7675</v>
      </c>
      <c r="D5653" s="242" t="s">
        <v>26530</v>
      </c>
      <c r="E5653" s="949">
        <v>1306</v>
      </c>
      <c r="F5653" s="949">
        <v>1306</v>
      </c>
      <c r="G5653" s="950" t="s">
        <v>6262</v>
      </c>
      <c r="H5653" s="950" t="s">
        <v>1015</v>
      </c>
      <c r="I5653" s="951" t="s">
        <v>7676</v>
      </c>
      <c r="J5653" s="947" t="s">
        <v>7677</v>
      </c>
      <c r="K5653" s="143"/>
    </row>
    <row r="5654" spans="1:11">
      <c r="A5654" s="946" t="s">
        <v>28604</v>
      </c>
      <c r="B5654" s="947" t="s">
        <v>8031</v>
      </c>
      <c r="C5654" s="948" t="s">
        <v>8029</v>
      </c>
      <c r="D5654" s="242" t="s">
        <v>26530</v>
      </c>
      <c r="E5654" s="949">
        <v>1304</v>
      </c>
      <c r="F5654" s="949">
        <v>1304</v>
      </c>
      <c r="G5654" s="950" t="s">
        <v>6262</v>
      </c>
      <c r="H5654" s="950" t="s">
        <v>1015</v>
      </c>
      <c r="I5654" s="951" t="s">
        <v>8030</v>
      </c>
      <c r="J5654" s="947" t="s">
        <v>8031</v>
      </c>
      <c r="K5654" s="143"/>
    </row>
    <row r="5655" spans="1:11">
      <c r="A5655" s="946" t="s">
        <v>28604</v>
      </c>
      <c r="B5655" s="947" t="s">
        <v>8046</v>
      </c>
      <c r="C5655" s="948" t="s">
        <v>8044</v>
      </c>
      <c r="D5655" s="242" t="s">
        <v>26530</v>
      </c>
      <c r="E5655" s="949">
        <v>1306</v>
      </c>
      <c r="F5655" s="949">
        <v>1306</v>
      </c>
      <c r="G5655" s="950" t="s">
        <v>6262</v>
      </c>
      <c r="H5655" s="950" t="s">
        <v>1015</v>
      </c>
      <c r="I5655" s="951" t="s">
        <v>8045</v>
      </c>
      <c r="J5655" s="947" t="s">
        <v>8046</v>
      </c>
      <c r="K5655" s="143"/>
    </row>
    <row r="5656" spans="1:11">
      <c r="A5656" s="946" t="s">
        <v>28604</v>
      </c>
      <c r="B5656" s="947" t="s">
        <v>8245</v>
      </c>
      <c r="C5656" s="948" t="s">
        <v>8243</v>
      </c>
      <c r="D5656" s="242" t="s">
        <v>26530</v>
      </c>
      <c r="E5656" s="949">
        <v>1306</v>
      </c>
      <c r="F5656" s="949">
        <v>1306</v>
      </c>
      <c r="G5656" s="950" t="s">
        <v>6262</v>
      </c>
      <c r="H5656" s="950" t="s">
        <v>1015</v>
      </c>
      <c r="I5656" s="951" t="s">
        <v>8244</v>
      </c>
      <c r="J5656" s="947" t="s">
        <v>8245</v>
      </c>
      <c r="K5656" s="143"/>
    </row>
    <row r="5657" spans="1:11">
      <c r="A5657" s="946" t="s">
        <v>28604</v>
      </c>
      <c r="B5657" s="947" t="s">
        <v>8560</v>
      </c>
      <c r="C5657" s="948" t="s">
        <v>8558</v>
      </c>
      <c r="D5657" s="242" t="s">
        <v>26530</v>
      </c>
      <c r="E5657" s="949">
        <v>1306</v>
      </c>
      <c r="F5657" s="949">
        <v>1306</v>
      </c>
      <c r="G5657" s="950" t="s">
        <v>6262</v>
      </c>
      <c r="H5657" s="950" t="s">
        <v>1015</v>
      </c>
      <c r="I5657" s="951" t="s">
        <v>8559</v>
      </c>
      <c r="J5657" s="947" t="s">
        <v>8560</v>
      </c>
      <c r="K5657" s="143"/>
    </row>
    <row r="5658" spans="1:11">
      <c r="A5658" s="946" t="s">
        <v>28604</v>
      </c>
      <c r="B5658" s="947" t="s">
        <v>8608</v>
      </c>
      <c r="C5658" s="948" t="s">
        <v>8606</v>
      </c>
      <c r="D5658" s="242" t="s">
        <v>26530</v>
      </c>
      <c r="E5658" s="949">
        <v>1306</v>
      </c>
      <c r="F5658" s="949">
        <v>1306</v>
      </c>
      <c r="G5658" s="950" t="s">
        <v>6262</v>
      </c>
      <c r="H5658" s="950" t="s">
        <v>1015</v>
      </c>
      <c r="I5658" s="951" t="s">
        <v>8607</v>
      </c>
      <c r="J5658" s="947" t="s">
        <v>8608</v>
      </c>
      <c r="K5658" s="143"/>
    </row>
    <row r="5659" spans="1:11">
      <c r="A5659" s="946" t="s">
        <v>28604</v>
      </c>
      <c r="B5659" s="947" t="s">
        <v>8614</v>
      </c>
      <c r="C5659" s="948" t="s">
        <v>8612</v>
      </c>
      <c r="D5659" s="242" t="s">
        <v>26530</v>
      </c>
      <c r="E5659" s="949">
        <v>1304</v>
      </c>
      <c r="F5659" s="949">
        <v>1304</v>
      </c>
      <c r="G5659" s="950" t="s">
        <v>6262</v>
      </c>
      <c r="H5659" s="950" t="s">
        <v>1015</v>
      </c>
      <c r="I5659" s="951" t="s">
        <v>8613</v>
      </c>
      <c r="J5659" s="947" t="s">
        <v>8614</v>
      </c>
      <c r="K5659" s="143"/>
    </row>
    <row r="5660" spans="1:11">
      <c r="A5660" s="946" t="s">
        <v>28604</v>
      </c>
      <c r="B5660" s="947" t="s">
        <v>8704</v>
      </c>
      <c r="C5660" s="948" t="s">
        <v>8702</v>
      </c>
      <c r="D5660" s="242" t="s">
        <v>26530</v>
      </c>
      <c r="E5660" s="949">
        <v>1306</v>
      </c>
      <c r="F5660" s="949">
        <v>1306</v>
      </c>
      <c r="G5660" s="950" t="s">
        <v>6262</v>
      </c>
      <c r="H5660" s="950" t="s">
        <v>1015</v>
      </c>
      <c r="I5660" s="951" t="s">
        <v>8703</v>
      </c>
      <c r="J5660" s="947" t="s">
        <v>8704</v>
      </c>
      <c r="K5660" s="143"/>
    </row>
    <row r="5661" spans="1:11">
      <c r="A5661" s="946" t="s">
        <v>28604</v>
      </c>
      <c r="B5661" s="947" t="s">
        <v>8719</v>
      </c>
      <c r="C5661" s="948" t="s">
        <v>8717</v>
      </c>
      <c r="D5661" s="242" t="s">
        <v>26530</v>
      </c>
      <c r="E5661" s="949">
        <v>1306</v>
      </c>
      <c r="F5661" s="949">
        <v>1306</v>
      </c>
      <c r="G5661" s="950" t="s">
        <v>6262</v>
      </c>
      <c r="H5661" s="950" t="s">
        <v>1015</v>
      </c>
      <c r="I5661" s="951" t="s">
        <v>8718</v>
      </c>
      <c r="J5661" s="947" t="s">
        <v>8719</v>
      </c>
      <c r="K5661" s="143"/>
    </row>
    <row r="5662" spans="1:11">
      <c r="A5662" s="946" t="s">
        <v>28604</v>
      </c>
      <c r="B5662" s="947" t="s">
        <v>8760</v>
      </c>
      <c r="C5662" s="948" t="s">
        <v>8758</v>
      </c>
      <c r="D5662" s="242" t="s">
        <v>26530</v>
      </c>
      <c r="E5662" s="949">
        <v>1306</v>
      </c>
      <c r="F5662" s="949">
        <v>1306</v>
      </c>
      <c r="G5662" s="950" t="s">
        <v>6262</v>
      </c>
      <c r="H5662" s="950" t="s">
        <v>1015</v>
      </c>
      <c r="I5662" s="951" t="s">
        <v>8759</v>
      </c>
      <c r="J5662" s="947" t="s">
        <v>8760</v>
      </c>
      <c r="K5662" s="143"/>
    </row>
    <row r="5663" spans="1:11">
      <c r="A5663" s="946" t="s">
        <v>28604</v>
      </c>
      <c r="B5663" s="947" t="s">
        <v>8941</v>
      </c>
      <c r="C5663" s="948" t="s">
        <v>8939</v>
      </c>
      <c r="D5663" s="242" t="s">
        <v>26530</v>
      </c>
      <c r="E5663" s="949">
        <v>1306</v>
      </c>
      <c r="F5663" s="949">
        <v>1306</v>
      </c>
      <c r="G5663" s="950" t="s">
        <v>6262</v>
      </c>
      <c r="H5663" s="950" t="s">
        <v>1015</v>
      </c>
      <c r="I5663" s="951" t="s">
        <v>8940</v>
      </c>
      <c r="J5663" s="947" t="s">
        <v>8941</v>
      </c>
      <c r="K5663" s="143"/>
    </row>
    <row r="5664" spans="1:11">
      <c r="A5664" s="946" t="s">
        <v>28604</v>
      </c>
      <c r="B5664" s="947" t="s">
        <v>9147</v>
      </c>
      <c r="C5664" s="948" t="s">
        <v>9145</v>
      </c>
      <c r="D5664" s="242" t="s">
        <v>26530</v>
      </c>
      <c r="E5664" s="949">
        <v>1306</v>
      </c>
      <c r="F5664" s="949">
        <v>1306</v>
      </c>
      <c r="G5664" s="950" t="s">
        <v>6262</v>
      </c>
      <c r="H5664" s="950" t="s">
        <v>1015</v>
      </c>
      <c r="I5664" s="951" t="s">
        <v>9146</v>
      </c>
      <c r="J5664" s="947" t="s">
        <v>9147</v>
      </c>
      <c r="K5664" s="143"/>
    </row>
    <row r="5665" spans="1:11">
      <c r="A5665" s="946" t="s">
        <v>28604</v>
      </c>
      <c r="B5665" s="947" t="s">
        <v>9278</v>
      </c>
      <c r="C5665" s="948" t="s">
        <v>9276</v>
      </c>
      <c r="D5665" s="242" t="s">
        <v>26530</v>
      </c>
      <c r="E5665" s="949">
        <v>1306</v>
      </c>
      <c r="F5665" s="949">
        <v>1306</v>
      </c>
      <c r="G5665" s="950" t="s">
        <v>6262</v>
      </c>
      <c r="H5665" s="950" t="s">
        <v>1015</v>
      </c>
      <c r="I5665" s="951" t="s">
        <v>9277</v>
      </c>
      <c r="J5665" s="947" t="s">
        <v>9278</v>
      </c>
      <c r="K5665" s="143"/>
    </row>
    <row r="5666" spans="1:11">
      <c r="A5666" s="946" t="s">
        <v>28604</v>
      </c>
      <c r="B5666" s="947" t="s">
        <v>9293</v>
      </c>
      <c r="C5666" s="948" t="s">
        <v>9291</v>
      </c>
      <c r="D5666" s="242" t="s">
        <v>26530</v>
      </c>
      <c r="E5666" s="949">
        <v>1306</v>
      </c>
      <c r="F5666" s="949">
        <v>1306</v>
      </c>
      <c r="G5666" s="950" t="s">
        <v>6262</v>
      </c>
      <c r="H5666" s="950" t="s">
        <v>1015</v>
      </c>
      <c r="I5666" s="951" t="s">
        <v>9292</v>
      </c>
      <c r="J5666" s="947" t="s">
        <v>9293</v>
      </c>
      <c r="K5666" s="143"/>
    </row>
    <row r="5667" spans="1:11">
      <c r="A5667" s="946" t="s">
        <v>28604</v>
      </c>
      <c r="B5667" s="947" t="s">
        <v>9711</v>
      </c>
      <c r="C5667" s="948" t="s">
        <v>9709</v>
      </c>
      <c r="D5667" s="242" t="s">
        <v>26530</v>
      </c>
      <c r="E5667" s="949">
        <v>1306</v>
      </c>
      <c r="F5667" s="949">
        <v>1306</v>
      </c>
      <c r="G5667" s="950" t="s">
        <v>6262</v>
      </c>
      <c r="H5667" s="950" t="s">
        <v>1015</v>
      </c>
      <c r="I5667" s="951" t="s">
        <v>9710</v>
      </c>
      <c r="J5667" s="947" t="s">
        <v>9711</v>
      </c>
      <c r="K5667" s="143"/>
    </row>
    <row r="5668" spans="1:11">
      <c r="A5668" s="946" t="s">
        <v>28604</v>
      </c>
      <c r="B5668" s="947" t="s">
        <v>9751</v>
      </c>
      <c r="C5668" s="948" t="s">
        <v>9749</v>
      </c>
      <c r="D5668" s="242" t="s">
        <v>26530</v>
      </c>
      <c r="E5668" s="949">
        <v>1306</v>
      </c>
      <c r="F5668" s="949">
        <v>1306</v>
      </c>
      <c r="G5668" s="950" t="s">
        <v>6262</v>
      </c>
      <c r="H5668" s="950" t="s">
        <v>1015</v>
      </c>
      <c r="I5668" s="951" t="s">
        <v>9750</v>
      </c>
      <c r="J5668" s="947" t="s">
        <v>9751</v>
      </c>
      <c r="K5668" s="143"/>
    </row>
    <row r="5669" spans="1:11">
      <c r="A5669" s="946" t="s">
        <v>28604</v>
      </c>
      <c r="B5669" s="947" t="s">
        <v>10087</v>
      </c>
      <c r="C5669" s="948" t="s">
        <v>10085</v>
      </c>
      <c r="D5669" s="242" t="s">
        <v>26530</v>
      </c>
      <c r="E5669" s="949">
        <v>1306</v>
      </c>
      <c r="F5669" s="949">
        <v>1306</v>
      </c>
      <c r="G5669" s="950" t="s">
        <v>6262</v>
      </c>
      <c r="H5669" s="950" t="s">
        <v>1015</v>
      </c>
      <c r="I5669" s="951" t="s">
        <v>10086</v>
      </c>
      <c r="J5669" s="947" t="s">
        <v>10087</v>
      </c>
      <c r="K5669" s="143"/>
    </row>
    <row r="5670" spans="1:11">
      <c r="A5670" s="946" t="s">
        <v>28604</v>
      </c>
      <c r="B5670" s="947" t="s">
        <v>10112</v>
      </c>
      <c r="C5670" s="948" t="s">
        <v>10110</v>
      </c>
      <c r="D5670" s="242" t="s">
        <v>26530</v>
      </c>
      <c r="E5670" s="949">
        <v>1306</v>
      </c>
      <c r="F5670" s="949">
        <v>1306</v>
      </c>
      <c r="G5670" s="950" t="s">
        <v>6262</v>
      </c>
      <c r="H5670" s="950" t="s">
        <v>1015</v>
      </c>
      <c r="I5670" s="951" t="s">
        <v>10111</v>
      </c>
      <c r="J5670" s="947" t="s">
        <v>10112</v>
      </c>
      <c r="K5670" s="143"/>
    </row>
    <row r="5671" spans="1:11">
      <c r="A5671" s="946" t="s">
        <v>28604</v>
      </c>
      <c r="B5671" s="947" t="s">
        <v>10308</v>
      </c>
      <c r="C5671" s="948" t="s">
        <v>10306</v>
      </c>
      <c r="D5671" s="242" t="s">
        <v>26530</v>
      </c>
      <c r="E5671" s="949">
        <v>1306</v>
      </c>
      <c r="F5671" s="949">
        <v>1306</v>
      </c>
      <c r="G5671" s="950" t="s">
        <v>6262</v>
      </c>
      <c r="H5671" s="950" t="s">
        <v>1015</v>
      </c>
      <c r="I5671" s="951" t="s">
        <v>10307</v>
      </c>
      <c r="J5671" s="947" t="s">
        <v>10308</v>
      </c>
      <c r="K5671" s="143"/>
    </row>
    <row r="5672" spans="1:11">
      <c r="A5672" s="946" t="s">
        <v>28604</v>
      </c>
      <c r="B5672" s="947" t="s">
        <v>10375</v>
      </c>
      <c r="C5672" s="948" t="s">
        <v>10373</v>
      </c>
      <c r="D5672" s="242" t="s">
        <v>26530</v>
      </c>
      <c r="E5672" s="949">
        <v>1306</v>
      </c>
      <c r="F5672" s="949">
        <v>1306</v>
      </c>
      <c r="G5672" s="950" t="s">
        <v>6262</v>
      </c>
      <c r="H5672" s="950" t="s">
        <v>1015</v>
      </c>
      <c r="I5672" s="951" t="s">
        <v>10374</v>
      </c>
      <c r="J5672" s="947" t="s">
        <v>10375</v>
      </c>
      <c r="K5672" s="143"/>
    </row>
    <row r="5673" spans="1:11">
      <c r="A5673" s="946" t="s">
        <v>28604</v>
      </c>
      <c r="B5673" s="947" t="s">
        <v>10475</v>
      </c>
      <c r="C5673" s="948" t="s">
        <v>10473</v>
      </c>
      <c r="D5673" s="242" t="s">
        <v>26530</v>
      </c>
      <c r="E5673" s="949">
        <v>1306</v>
      </c>
      <c r="F5673" s="949">
        <v>1306</v>
      </c>
      <c r="G5673" s="950" t="s">
        <v>6262</v>
      </c>
      <c r="H5673" s="950" t="s">
        <v>1015</v>
      </c>
      <c r="I5673" s="951" t="s">
        <v>10474</v>
      </c>
      <c r="J5673" s="947" t="s">
        <v>10475</v>
      </c>
      <c r="K5673" s="143"/>
    </row>
    <row r="5674" spans="1:11">
      <c r="A5674" s="946" t="s">
        <v>28604</v>
      </c>
      <c r="B5674" s="947" t="s">
        <v>11744</v>
      </c>
      <c r="C5674" s="948" t="s">
        <v>11742</v>
      </c>
      <c r="D5674" s="242" t="s">
        <v>26530</v>
      </c>
      <c r="E5674" s="949">
        <v>1304</v>
      </c>
      <c r="F5674" s="949">
        <v>1304</v>
      </c>
      <c r="G5674" s="950" t="s">
        <v>6262</v>
      </c>
      <c r="H5674" s="950" t="s">
        <v>1015</v>
      </c>
      <c r="I5674" s="951" t="s">
        <v>11743</v>
      </c>
      <c r="J5674" s="947" t="s">
        <v>11744</v>
      </c>
      <c r="K5674" s="143"/>
    </row>
    <row r="5675" spans="1:11">
      <c r="A5675" s="946" t="s">
        <v>28604</v>
      </c>
      <c r="B5675" s="947" t="s">
        <v>12262</v>
      </c>
      <c r="C5675" s="948" t="s">
        <v>12260</v>
      </c>
      <c r="D5675" s="242" t="s">
        <v>26530</v>
      </c>
      <c r="E5675" s="949">
        <v>1306</v>
      </c>
      <c r="F5675" s="949">
        <v>1306</v>
      </c>
      <c r="G5675" s="950" t="s">
        <v>6262</v>
      </c>
      <c r="H5675" s="950" t="s">
        <v>1015</v>
      </c>
      <c r="I5675" s="951" t="s">
        <v>12261</v>
      </c>
      <c r="J5675" s="947" t="s">
        <v>12262</v>
      </c>
      <c r="K5675" s="143"/>
    </row>
    <row r="5676" spans="1:11">
      <c r="A5676" s="946" t="s">
        <v>28604</v>
      </c>
      <c r="B5676" s="947" t="s">
        <v>12478</v>
      </c>
      <c r="C5676" s="948" t="s">
        <v>12476</v>
      </c>
      <c r="D5676" s="242" t="s">
        <v>26530</v>
      </c>
      <c r="E5676" s="949">
        <v>1306</v>
      </c>
      <c r="F5676" s="949">
        <v>1306</v>
      </c>
      <c r="G5676" s="950" t="s">
        <v>6262</v>
      </c>
      <c r="H5676" s="950" t="s">
        <v>1015</v>
      </c>
      <c r="I5676" s="951" t="s">
        <v>12477</v>
      </c>
      <c r="J5676" s="947" t="s">
        <v>12478</v>
      </c>
      <c r="K5676" s="143"/>
    </row>
    <row r="5677" spans="1:11">
      <c r="A5677" s="946" t="s">
        <v>28604</v>
      </c>
      <c r="B5677" s="947" t="s">
        <v>12565</v>
      </c>
      <c r="C5677" s="948" t="s">
        <v>12563</v>
      </c>
      <c r="D5677" s="242" t="s">
        <v>26530</v>
      </c>
      <c r="E5677" s="949">
        <v>1306</v>
      </c>
      <c r="F5677" s="949">
        <v>1306</v>
      </c>
      <c r="G5677" s="950" t="s">
        <v>6262</v>
      </c>
      <c r="H5677" s="950" t="s">
        <v>1015</v>
      </c>
      <c r="I5677" s="951" t="s">
        <v>12564</v>
      </c>
      <c r="J5677" s="947" t="s">
        <v>12565</v>
      </c>
      <c r="K5677" s="143"/>
    </row>
    <row r="5678" spans="1:11">
      <c r="A5678" s="946" t="s">
        <v>28604</v>
      </c>
      <c r="B5678" s="947" t="s">
        <v>12664</v>
      </c>
      <c r="C5678" s="948" t="s">
        <v>12662</v>
      </c>
      <c r="D5678" s="242" t="s">
        <v>26530</v>
      </c>
      <c r="E5678" s="949">
        <v>1306</v>
      </c>
      <c r="F5678" s="949">
        <v>1306</v>
      </c>
      <c r="G5678" s="950" t="s">
        <v>6262</v>
      </c>
      <c r="H5678" s="950" t="s">
        <v>1015</v>
      </c>
      <c r="I5678" s="951" t="s">
        <v>12663</v>
      </c>
      <c r="J5678" s="947" t="s">
        <v>12664</v>
      </c>
      <c r="K5678" s="143"/>
    </row>
    <row r="5679" spans="1:11">
      <c r="A5679" s="946" t="s">
        <v>28604</v>
      </c>
      <c r="B5679" s="947" t="s">
        <v>12667</v>
      </c>
      <c r="C5679" s="948" t="s">
        <v>12665</v>
      </c>
      <c r="D5679" s="242" t="s">
        <v>26530</v>
      </c>
      <c r="E5679" s="949">
        <v>1306</v>
      </c>
      <c r="F5679" s="949">
        <v>1306</v>
      </c>
      <c r="G5679" s="950" t="s">
        <v>6262</v>
      </c>
      <c r="H5679" s="950" t="s">
        <v>1015</v>
      </c>
      <c r="I5679" s="951" t="s">
        <v>12666</v>
      </c>
      <c r="J5679" s="947" t="s">
        <v>12667</v>
      </c>
      <c r="K5679" s="143"/>
    </row>
    <row r="5680" spans="1:11">
      <c r="A5680" s="946" t="s">
        <v>28604</v>
      </c>
      <c r="B5680" s="947" t="s">
        <v>13068</v>
      </c>
      <c r="C5680" s="948" t="s">
        <v>13066</v>
      </c>
      <c r="D5680" s="242" t="s">
        <v>26530</v>
      </c>
      <c r="E5680" s="949">
        <v>1306</v>
      </c>
      <c r="F5680" s="949">
        <v>1306</v>
      </c>
      <c r="G5680" s="950" t="s">
        <v>6262</v>
      </c>
      <c r="H5680" s="950" t="s">
        <v>1015</v>
      </c>
      <c r="I5680" s="951" t="s">
        <v>13067</v>
      </c>
      <c r="J5680" s="947" t="s">
        <v>13068</v>
      </c>
      <c r="K5680" s="143"/>
    </row>
    <row r="5681" spans="1:11">
      <c r="A5681" s="946" t="s">
        <v>28604</v>
      </c>
      <c r="B5681" s="947" t="s">
        <v>13771</v>
      </c>
      <c r="C5681" s="948" t="s">
        <v>13769</v>
      </c>
      <c r="D5681" s="242" t="s">
        <v>26530</v>
      </c>
      <c r="E5681" s="949">
        <v>1306</v>
      </c>
      <c r="F5681" s="949">
        <v>1306</v>
      </c>
      <c r="G5681" s="950" t="s">
        <v>6262</v>
      </c>
      <c r="H5681" s="950" t="s">
        <v>1015</v>
      </c>
      <c r="I5681" s="951" t="s">
        <v>13770</v>
      </c>
      <c r="J5681" s="947" t="s">
        <v>13771</v>
      </c>
      <c r="K5681" s="143"/>
    </row>
    <row r="5682" spans="1:11">
      <c r="A5682" s="946" t="s">
        <v>28604</v>
      </c>
      <c r="B5682" s="947" t="s">
        <v>13799</v>
      </c>
      <c r="C5682" s="948" t="s">
        <v>13797</v>
      </c>
      <c r="D5682" s="242" t="s">
        <v>26530</v>
      </c>
      <c r="E5682" s="949">
        <v>1306</v>
      </c>
      <c r="F5682" s="949">
        <v>1306</v>
      </c>
      <c r="G5682" s="950" t="s">
        <v>6262</v>
      </c>
      <c r="H5682" s="950" t="s">
        <v>1015</v>
      </c>
      <c r="I5682" s="951" t="s">
        <v>13798</v>
      </c>
      <c r="J5682" s="947" t="s">
        <v>13799</v>
      </c>
      <c r="K5682" s="143"/>
    </row>
    <row r="5683" spans="1:11">
      <c r="A5683" s="946" t="s">
        <v>28604</v>
      </c>
      <c r="B5683" s="947" t="s">
        <v>14035</v>
      </c>
      <c r="C5683" s="948" t="s">
        <v>14033</v>
      </c>
      <c r="D5683" s="242" t="s">
        <v>26530</v>
      </c>
      <c r="E5683" s="949">
        <v>1306</v>
      </c>
      <c r="F5683" s="949">
        <v>1306</v>
      </c>
      <c r="G5683" s="950" t="s">
        <v>6262</v>
      </c>
      <c r="H5683" s="950" t="s">
        <v>1015</v>
      </c>
      <c r="I5683" s="951" t="s">
        <v>14034</v>
      </c>
      <c r="J5683" s="947" t="s">
        <v>14035</v>
      </c>
      <c r="K5683" s="143"/>
    </row>
    <row r="5684" spans="1:11">
      <c r="A5684" s="946" t="s">
        <v>28604</v>
      </c>
      <c r="B5684" s="947" t="s">
        <v>14111</v>
      </c>
      <c r="C5684" s="948" t="s">
        <v>14109</v>
      </c>
      <c r="D5684" s="242" t="s">
        <v>26530</v>
      </c>
      <c r="E5684" s="949">
        <v>1306</v>
      </c>
      <c r="F5684" s="949">
        <v>1306</v>
      </c>
      <c r="G5684" s="950" t="s">
        <v>6262</v>
      </c>
      <c r="H5684" s="950" t="s">
        <v>1015</v>
      </c>
      <c r="I5684" s="951" t="s">
        <v>14110</v>
      </c>
      <c r="J5684" s="947" t="s">
        <v>14111</v>
      </c>
      <c r="K5684" s="143"/>
    </row>
    <row r="5685" spans="1:11">
      <c r="A5685" s="946" t="s">
        <v>28604</v>
      </c>
      <c r="B5685" s="947" t="s">
        <v>14159</v>
      </c>
      <c r="C5685" s="948" t="s">
        <v>14157</v>
      </c>
      <c r="D5685" s="242" t="s">
        <v>26530</v>
      </c>
      <c r="E5685" s="949">
        <v>1306</v>
      </c>
      <c r="F5685" s="949">
        <v>1306</v>
      </c>
      <c r="G5685" s="950" t="s">
        <v>6262</v>
      </c>
      <c r="H5685" s="950" t="s">
        <v>1015</v>
      </c>
      <c r="I5685" s="951" t="s">
        <v>14158</v>
      </c>
      <c r="J5685" s="947" t="s">
        <v>14159</v>
      </c>
      <c r="K5685" s="143"/>
    </row>
    <row r="5686" spans="1:11">
      <c r="A5686" s="946" t="s">
        <v>28604</v>
      </c>
      <c r="B5686" s="947" t="s">
        <v>14168</v>
      </c>
      <c r="C5686" s="948" t="s">
        <v>14166</v>
      </c>
      <c r="D5686" s="242" t="s">
        <v>26530</v>
      </c>
      <c r="E5686" s="949">
        <v>1306</v>
      </c>
      <c r="F5686" s="949">
        <v>1306</v>
      </c>
      <c r="G5686" s="950" t="s">
        <v>6262</v>
      </c>
      <c r="H5686" s="950" t="s">
        <v>1015</v>
      </c>
      <c r="I5686" s="951" t="s">
        <v>14167</v>
      </c>
      <c r="J5686" s="947" t="s">
        <v>14168</v>
      </c>
      <c r="K5686" s="143"/>
    </row>
    <row r="5687" spans="1:11">
      <c r="A5687" s="946" t="s">
        <v>28604</v>
      </c>
      <c r="B5687" s="947" t="s">
        <v>14461</v>
      </c>
      <c r="C5687" s="948" t="s">
        <v>14459</v>
      </c>
      <c r="D5687" s="242" t="s">
        <v>26530</v>
      </c>
      <c r="E5687" s="949">
        <v>1306</v>
      </c>
      <c r="F5687" s="949">
        <v>1306</v>
      </c>
      <c r="G5687" s="950" t="s">
        <v>6262</v>
      </c>
      <c r="H5687" s="950" t="s">
        <v>1015</v>
      </c>
      <c r="I5687" s="951" t="s">
        <v>14460</v>
      </c>
      <c r="J5687" s="947" t="s">
        <v>14461</v>
      </c>
      <c r="K5687" s="143"/>
    </row>
    <row r="5688" spans="1:11">
      <c r="A5688" s="946" t="s">
        <v>28604</v>
      </c>
      <c r="B5688" s="947" t="s">
        <v>14464</v>
      </c>
      <c r="C5688" s="948" t="s">
        <v>14462</v>
      </c>
      <c r="D5688" s="242" t="s">
        <v>26530</v>
      </c>
      <c r="E5688" s="949">
        <v>1306</v>
      </c>
      <c r="F5688" s="949">
        <v>1306</v>
      </c>
      <c r="G5688" s="950" t="s">
        <v>6262</v>
      </c>
      <c r="H5688" s="950" t="s">
        <v>1015</v>
      </c>
      <c r="I5688" s="951" t="s">
        <v>14463</v>
      </c>
      <c r="J5688" s="947" t="s">
        <v>14464</v>
      </c>
      <c r="K5688" s="143"/>
    </row>
    <row r="5689" spans="1:11">
      <c r="A5689" s="946" t="s">
        <v>28604</v>
      </c>
      <c r="B5689" s="947" t="s">
        <v>14473</v>
      </c>
      <c r="C5689" s="948" t="s">
        <v>14471</v>
      </c>
      <c r="D5689" s="242" t="s">
        <v>26530</v>
      </c>
      <c r="E5689" s="949">
        <v>1306</v>
      </c>
      <c r="F5689" s="949">
        <v>1306</v>
      </c>
      <c r="G5689" s="950" t="s">
        <v>6262</v>
      </c>
      <c r="H5689" s="950" t="s">
        <v>1015</v>
      </c>
      <c r="I5689" s="951" t="s">
        <v>14472</v>
      </c>
      <c r="J5689" s="947" t="s">
        <v>14473</v>
      </c>
      <c r="K5689" s="143"/>
    </row>
    <row r="5690" spans="1:11">
      <c r="A5690" s="946" t="s">
        <v>28604</v>
      </c>
      <c r="B5690" s="947" t="s">
        <v>15117</v>
      </c>
      <c r="C5690" s="948" t="s">
        <v>15115</v>
      </c>
      <c r="D5690" s="242" t="s">
        <v>26530</v>
      </c>
      <c r="E5690" s="949">
        <v>1306</v>
      </c>
      <c r="F5690" s="949">
        <v>1306</v>
      </c>
      <c r="G5690" s="950" t="s">
        <v>6262</v>
      </c>
      <c r="H5690" s="950" t="s">
        <v>1015</v>
      </c>
      <c r="I5690" s="951" t="s">
        <v>15116</v>
      </c>
      <c r="J5690" s="947" t="s">
        <v>15117</v>
      </c>
      <c r="K5690" s="143"/>
    </row>
    <row r="5691" spans="1:11">
      <c r="A5691" s="946" t="s">
        <v>28604</v>
      </c>
      <c r="B5691" s="947" t="s">
        <v>15214</v>
      </c>
      <c r="C5691" s="948" t="s">
        <v>15212</v>
      </c>
      <c r="D5691" s="242" t="s">
        <v>26530</v>
      </c>
      <c r="E5691" s="949">
        <v>1306</v>
      </c>
      <c r="F5691" s="949">
        <v>1306</v>
      </c>
      <c r="G5691" s="950" t="s">
        <v>6262</v>
      </c>
      <c r="H5691" s="950" t="s">
        <v>1015</v>
      </c>
      <c r="I5691" s="951" t="s">
        <v>15213</v>
      </c>
      <c r="J5691" s="947" t="s">
        <v>15214</v>
      </c>
      <c r="K5691" s="143"/>
    </row>
    <row r="5692" spans="1:11">
      <c r="A5692" s="946" t="s">
        <v>28604</v>
      </c>
      <c r="B5692" s="947" t="s">
        <v>15300</v>
      </c>
      <c r="C5692" s="948" t="s">
        <v>15298</v>
      </c>
      <c r="D5692" s="242" t="s">
        <v>26530</v>
      </c>
      <c r="E5692" s="949">
        <v>1306</v>
      </c>
      <c r="F5692" s="949">
        <v>1306</v>
      </c>
      <c r="G5692" s="950" t="s">
        <v>6262</v>
      </c>
      <c r="H5692" s="950" t="s">
        <v>1015</v>
      </c>
      <c r="I5692" s="951" t="s">
        <v>15299</v>
      </c>
      <c r="J5692" s="947" t="s">
        <v>15300</v>
      </c>
      <c r="K5692" s="143"/>
    </row>
    <row r="5693" spans="1:11">
      <c r="A5693" s="946" t="s">
        <v>28604</v>
      </c>
      <c r="B5693" s="947" t="s">
        <v>15858</v>
      </c>
      <c r="C5693" s="948" t="s">
        <v>15856</v>
      </c>
      <c r="D5693" s="242" t="s">
        <v>26530</v>
      </c>
      <c r="E5693" s="949">
        <v>1304</v>
      </c>
      <c r="F5693" s="949">
        <v>1304</v>
      </c>
      <c r="G5693" s="950" t="s">
        <v>6262</v>
      </c>
      <c r="H5693" s="950" t="s">
        <v>1015</v>
      </c>
      <c r="I5693" s="951" t="s">
        <v>15857</v>
      </c>
      <c r="J5693" s="947" t="s">
        <v>15858</v>
      </c>
      <c r="K5693" s="143"/>
    </row>
    <row r="5694" spans="1:11">
      <c r="A5694" s="946" t="s">
        <v>28604</v>
      </c>
      <c r="B5694" s="947" t="s">
        <v>15948</v>
      </c>
      <c r="C5694" s="948" t="s">
        <v>15946</v>
      </c>
      <c r="D5694" s="242" t="s">
        <v>26530</v>
      </c>
      <c r="E5694" s="949">
        <v>1306</v>
      </c>
      <c r="F5694" s="949">
        <v>1306</v>
      </c>
      <c r="G5694" s="950" t="s">
        <v>6262</v>
      </c>
      <c r="H5694" s="950" t="s">
        <v>1015</v>
      </c>
      <c r="I5694" s="951" t="s">
        <v>15947</v>
      </c>
      <c r="J5694" s="947" t="s">
        <v>15948</v>
      </c>
      <c r="K5694" s="143"/>
    </row>
    <row r="5695" spans="1:11">
      <c r="A5695" s="946" t="s">
        <v>28604</v>
      </c>
      <c r="B5695" s="947" t="s">
        <v>16094</v>
      </c>
      <c r="C5695" s="948" t="s">
        <v>16092</v>
      </c>
      <c r="D5695" s="242" t="s">
        <v>26530</v>
      </c>
      <c r="E5695" s="949">
        <v>1304</v>
      </c>
      <c r="F5695" s="949">
        <v>1304</v>
      </c>
      <c r="G5695" s="950" t="s">
        <v>6262</v>
      </c>
      <c r="H5695" s="950" t="s">
        <v>1015</v>
      </c>
      <c r="I5695" s="951" t="s">
        <v>16093</v>
      </c>
      <c r="J5695" s="947" t="s">
        <v>16094</v>
      </c>
      <c r="K5695" s="143"/>
    </row>
    <row r="5696" spans="1:11">
      <c r="A5696" s="946" t="s">
        <v>28604</v>
      </c>
      <c r="B5696" s="947" t="s">
        <v>16345</v>
      </c>
      <c r="C5696" s="948" t="s">
        <v>16343</v>
      </c>
      <c r="D5696" s="242" t="s">
        <v>26530</v>
      </c>
      <c r="E5696" s="949">
        <v>1304</v>
      </c>
      <c r="F5696" s="949">
        <v>1304</v>
      </c>
      <c r="G5696" s="950" t="s">
        <v>6262</v>
      </c>
      <c r="H5696" s="950" t="s">
        <v>1015</v>
      </c>
      <c r="I5696" s="951" t="s">
        <v>16344</v>
      </c>
      <c r="J5696" s="947" t="s">
        <v>16345</v>
      </c>
      <c r="K5696" s="143"/>
    </row>
    <row r="5697" spans="1:11">
      <c r="A5697" s="946" t="s">
        <v>28604</v>
      </c>
      <c r="B5697" s="947" t="s">
        <v>16646</v>
      </c>
      <c r="C5697" s="948" t="s">
        <v>16644</v>
      </c>
      <c r="D5697" s="242" t="s">
        <v>26530</v>
      </c>
      <c r="E5697" s="949">
        <v>1304</v>
      </c>
      <c r="F5697" s="949">
        <v>1304</v>
      </c>
      <c r="G5697" s="950" t="s">
        <v>6262</v>
      </c>
      <c r="H5697" s="950" t="s">
        <v>1015</v>
      </c>
      <c r="I5697" s="951" t="s">
        <v>16645</v>
      </c>
      <c r="J5697" s="947" t="s">
        <v>16646</v>
      </c>
      <c r="K5697" s="143"/>
    </row>
    <row r="5698" spans="1:11">
      <c r="A5698" s="946" t="s">
        <v>28604</v>
      </c>
      <c r="B5698" s="947" t="s">
        <v>16569</v>
      </c>
      <c r="C5698" s="948" t="s">
        <v>16567</v>
      </c>
      <c r="D5698" s="242" t="s">
        <v>26530</v>
      </c>
      <c r="E5698" s="949">
        <v>1306</v>
      </c>
      <c r="F5698" s="949">
        <v>1306</v>
      </c>
      <c r="G5698" s="950" t="s">
        <v>6262</v>
      </c>
      <c r="H5698" s="950" t="s">
        <v>1015</v>
      </c>
      <c r="I5698" s="951" t="s">
        <v>16568</v>
      </c>
      <c r="J5698" s="947" t="s">
        <v>16569</v>
      </c>
      <c r="K5698" s="143"/>
    </row>
    <row r="5699" spans="1:11">
      <c r="A5699" s="946" t="s">
        <v>28604</v>
      </c>
      <c r="B5699" s="947" t="s">
        <v>16673</v>
      </c>
      <c r="C5699" s="948" t="s">
        <v>16671</v>
      </c>
      <c r="D5699" s="242" t="s">
        <v>26530</v>
      </c>
      <c r="E5699" s="949">
        <v>1306</v>
      </c>
      <c r="F5699" s="949">
        <v>1306</v>
      </c>
      <c r="G5699" s="950" t="s">
        <v>6262</v>
      </c>
      <c r="H5699" s="950" t="s">
        <v>1015</v>
      </c>
      <c r="I5699" s="951" t="s">
        <v>16672</v>
      </c>
      <c r="J5699" s="947" t="s">
        <v>16673</v>
      </c>
      <c r="K5699" s="143"/>
    </row>
    <row r="5700" spans="1:11">
      <c r="A5700" s="946" t="s">
        <v>28604</v>
      </c>
      <c r="B5700" s="947" t="s">
        <v>16688</v>
      </c>
      <c r="C5700" s="948" t="s">
        <v>16686</v>
      </c>
      <c r="D5700" s="242" t="s">
        <v>26530</v>
      </c>
      <c r="E5700" s="949">
        <v>1306</v>
      </c>
      <c r="F5700" s="949">
        <v>1306</v>
      </c>
      <c r="G5700" s="950" t="s">
        <v>6262</v>
      </c>
      <c r="H5700" s="950" t="s">
        <v>1015</v>
      </c>
      <c r="I5700" s="951" t="s">
        <v>16687</v>
      </c>
      <c r="J5700" s="947" t="s">
        <v>16688</v>
      </c>
      <c r="K5700" s="143"/>
    </row>
    <row r="5701" spans="1:11">
      <c r="A5701" s="946" t="s">
        <v>28604</v>
      </c>
      <c r="B5701" s="947" t="s">
        <v>16800</v>
      </c>
      <c r="C5701" s="948" t="s">
        <v>16798</v>
      </c>
      <c r="D5701" s="242" t="s">
        <v>26530</v>
      </c>
      <c r="E5701" s="949">
        <v>1306</v>
      </c>
      <c r="F5701" s="949">
        <v>1306</v>
      </c>
      <c r="G5701" s="950" t="s">
        <v>6262</v>
      </c>
      <c r="H5701" s="950" t="s">
        <v>1015</v>
      </c>
      <c r="I5701" s="951" t="s">
        <v>16799</v>
      </c>
      <c r="J5701" s="947" t="s">
        <v>16800</v>
      </c>
      <c r="K5701" s="143"/>
    </row>
    <row r="5702" spans="1:11">
      <c r="A5702" s="946" t="s">
        <v>28604</v>
      </c>
      <c r="B5702" s="947" t="s">
        <v>16952</v>
      </c>
      <c r="C5702" s="948" t="s">
        <v>16950</v>
      </c>
      <c r="D5702" s="242" t="s">
        <v>26530</v>
      </c>
      <c r="E5702" s="949">
        <v>1306</v>
      </c>
      <c r="F5702" s="949">
        <v>1306</v>
      </c>
      <c r="G5702" s="950" t="s">
        <v>6262</v>
      </c>
      <c r="H5702" s="950" t="s">
        <v>1015</v>
      </c>
      <c r="I5702" s="951" t="s">
        <v>16951</v>
      </c>
      <c r="J5702" s="947" t="s">
        <v>16952</v>
      </c>
      <c r="K5702" s="143"/>
    </row>
    <row r="5703" spans="1:11">
      <c r="A5703" s="946" t="s">
        <v>28604</v>
      </c>
      <c r="B5703" s="947" t="s">
        <v>17424</v>
      </c>
      <c r="C5703" s="948" t="s">
        <v>17422</v>
      </c>
      <c r="D5703" s="242" t="s">
        <v>26530</v>
      </c>
      <c r="E5703" s="949">
        <v>1306</v>
      </c>
      <c r="F5703" s="949">
        <v>1306</v>
      </c>
      <c r="G5703" s="950" t="s">
        <v>6262</v>
      </c>
      <c r="H5703" s="950" t="s">
        <v>1015</v>
      </c>
      <c r="I5703" s="951" t="s">
        <v>17423</v>
      </c>
      <c r="J5703" s="947" t="s">
        <v>17424</v>
      </c>
      <c r="K5703" s="143"/>
    </row>
    <row r="5704" spans="1:11">
      <c r="A5704" s="946" t="s">
        <v>28604</v>
      </c>
      <c r="B5704" s="947" t="s">
        <v>17738</v>
      </c>
      <c r="C5704" s="948" t="s">
        <v>17736</v>
      </c>
      <c r="D5704" s="242" t="s">
        <v>26530</v>
      </c>
      <c r="E5704" s="949">
        <v>1306</v>
      </c>
      <c r="F5704" s="949">
        <v>1306</v>
      </c>
      <c r="G5704" s="950" t="s">
        <v>6262</v>
      </c>
      <c r="H5704" s="950" t="s">
        <v>1015</v>
      </c>
      <c r="I5704" s="951" t="s">
        <v>17737</v>
      </c>
      <c r="J5704" s="947" t="s">
        <v>17738</v>
      </c>
      <c r="K5704" s="143"/>
    </row>
    <row r="5705" spans="1:11">
      <c r="A5705" s="946" t="s">
        <v>28604</v>
      </c>
      <c r="B5705" s="947" t="s">
        <v>17748</v>
      </c>
      <c r="C5705" s="948" t="s">
        <v>17746</v>
      </c>
      <c r="D5705" s="242" t="s">
        <v>26530</v>
      </c>
      <c r="E5705" s="949">
        <v>1304</v>
      </c>
      <c r="F5705" s="949">
        <v>1304</v>
      </c>
      <c r="G5705" s="950" t="s">
        <v>6262</v>
      </c>
      <c r="H5705" s="950" t="s">
        <v>1015</v>
      </c>
      <c r="I5705" s="951" t="s">
        <v>17747</v>
      </c>
      <c r="J5705" s="947" t="s">
        <v>17748</v>
      </c>
      <c r="K5705" s="143"/>
    </row>
    <row r="5706" spans="1:11">
      <c r="A5706" s="946" t="s">
        <v>28604</v>
      </c>
      <c r="B5706" s="947" t="s">
        <v>17927</v>
      </c>
      <c r="C5706" s="948" t="s">
        <v>17925</v>
      </c>
      <c r="D5706" s="242" t="s">
        <v>26530</v>
      </c>
      <c r="E5706" s="949">
        <v>1306</v>
      </c>
      <c r="F5706" s="949">
        <v>1306</v>
      </c>
      <c r="G5706" s="950" t="s">
        <v>6262</v>
      </c>
      <c r="H5706" s="950" t="s">
        <v>1015</v>
      </c>
      <c r="I5706" s="951" t="s">
        <v>17926</v>
      </c>
      <c r="J5706" s="947" t="s">
        <v>17927</v>
      </c>
      <c r="K5706" s="143"/>
    </row>
    <row r="5707" spans="1:11">
      <c r="A5707" s="946" t="s">
        <v>28604</v>
      </c>
      <c r="B5707" s="947" t="s">
        <v>18201</v>
      </c>
      <c r="C5707" s="948" t="s">
        <v>18199</v>
      </c>
      <c r="D5707" s="242" t="s">
        <v>26530</v>
      </c>
      <c r="E5707" s="949">
        <v>1306</v>
      </c>
      <c r="F5707" s="949">
        <v>1306</v>
      </c>
      <c r="G5707" s="950" t="s">
        <v>6262</v>
      </c>
      <c r="H5707" s="950" t="s">
        <v>1015</v>
      </c>
      <c r="I5707" s="951" t="s">
        <v>18200</v>
      </c>
      <c r="J5707" s="947" t="s">
        <v>18201</v>
      </c>
      <c r="K5707" s="143"/>
    </row>
    <row r="5708" spans="1:11">
      <c r="A5708" s="946" t="s">
        <v>28604</v>
      </c>
      <c r="B5708" s="947" t="s">
        <v>18485</v>
      </c>
      <c r="C5708" s="948" t="s">
        <v>18483</v>
      </c>
      <c r="D5708" s="242" t="s">
        <v>26530</v>
      </c>
      <c r="E5708" s="949">
        <v>1306</v>
      </c>
      <c r="F5708" s="949">
        <v>1306</v>
      </c>
      <c r="G5708" s="950" t="s">
        <v>6262</v>
      </c>
      <c r="H5708" s="950" t="s">
        <v>1015</v>
      </c>
      <c r="I5708" s="951" t="s">
        <v>18484</v>
      </c>
      <c r="J5708" s="947" t="s">
        <v>18485</v>
      </c>
      <c r="K5708" s="143"/>
    </row>
    <row r="5709" spans="1:11">
      <c r="A5709" s="946" t="s">
        <v>28604</v>
      </c>
      <c r="B5709" s="947" t="s">
        <v>18732</v>
      </c>
      <c r="C5709" s="948" t="s">
        <v>18730</v>
      </c>
      <c r="D5709" s="242" t="s">
        <v>26530</v>
      </c>
      <c r="E5709" s="949">
        <v>1306</v>
      </c>
      <c r="F5709" s="949">
        <v>1306</v>
      </c>
      <c r="G5709" s="950" t="s">
        <v>6262</v>
      </c>
      <c r="H5709" s="950" t="s">
        <v>1015</v>
      </c>
      <c r="I5709" s="951" t="s">
        <v>18731</v>
      </c>
      <c r="J5709" s="947" t="s">
        <v>18732</v>
      </c>
      <c r="K5709" s="143"/>
    </row>
    <row r="5710" spans="1:11">
      <c r="A5710" s="946" t="s">
        <v>28604</v>
      </c>
      <c r="B5710" s="947" t="s">
        <v>18284</v>
      </c>
      <c r="C5710" s="948" t="s">
        <v>18282</v>
      </c>
      <c r="D5710" s="242" t="s">
        <v>26530</v>
      </c>
      <c r="E5710" s="949">
        <v>1306</v>
      </c>
      <c r="F5710" s="949">
        <v>1306</v>
      </c>
      <c r="G5710" s="950" t="s">
        <v>6262</v>
      </c>
      <c r="H5710" s="950" t="s">
        <v>1015</v>
      </c>
      <c r="I5710" s="951" t="s">
        <v>18283</v>
      </c>
      <c r="J5710" s="947" t="s">
        <v>18284</v>
      </c>
      <c r="K5710" s="143"/>
    </row>
    <row r="5711" spans="1:11">
      <c r="A5711" s="946" t="s">
        <v>28604</v>
      </c>
      <c r="B5711" s="947" t="s">
        <v>19064</v>
      </c>
      <c r="C5711" s="948" t="s">
        <v>19062</v>
      </c>
      <c r="D5711" s="242" t="s">
        <v>26530</v>
      </c>
      <c r="E5711" s="949">
        <v>1306</v>
      </c>
      <c r="F5711" s="949">
        <v>1306</v>
      </c>
      <c r="G5711" s="950" t="s">
        <v>6262</v>
      </c>
      <c r="H5711" s="950" t="s">
        <v>1015</v>
      </c>
      <c r="I5711" s="951" t="s">
        <v>19063</v>
      </c>
      <c r="J5711" s="947" t="s">
        <v>19064</v>
      </c>
      <c r="K5711" s="143"/>
    </row>
    <row r="5712" spans="1:11">
      <c r="A5712" s="946" t="s">
        <v>28604</v>
      </c>
      <c r="B5712" s="947" t="s">
        <v>19073</v>
      </c>
      <c r="C5712" s="948" t="s">
        <v>19071</v>
      </c>
      <c r="D5712" s="242" t="s">
        <v>26530</v>
      </c>
      <c r="E5712" s="949">
        <v>1306</v>
      </c>
      <c r="F5712" s="949">
        <v>1306</v>
      </c>
      <c r="G5712" s="950" t="s">
        <v>6262</v>
      </c>
      <c r="H5712" s="950" t="s">
        <v>1015</v>
      </c>
      <c r="I5712" s="951" t="s">
        <v>19072</v>
      </c>
      <c r="J5712" s="947" t="s">
        <v>19073</v>
      </c>
      <c r="K5712" s="143"/>
    </row>
    <row r="5713" spans="1:11">
      <c r="A5713" s="946" t="s">
        <v>28604</v>
      </c>
      <c r="B5713" s="947" t="s">
        <v>20207</v>
      </c>
      <c r="C5713" s="948" t="s">
        <v>20205</v>
      </c>
      <c r="D5713" s="242" t="s">
        <v>26530</v>
      </c>
      <c r="E5713" s="949">
        <v>1306</v>
      </c>
      <c r="F5713" s="949">
        <v>1306</v>
      </c>
      <c r="G5713" s="950" t="s">
        <v>6262</v>
      </c>
      <c r="H5713" s="950" t="s">
        <v>1015</v>
      </c>
      <c r="I5713" s="951" t="s">
        <v>20206</v>
      </c>
      <c r="J5713" s="947" t="s">
        <v>20207</v>
      </c>
      <c r="K5713" s="143"/>
    </row>
    <row r="5714" spans="1:11">
      <c r="A5714" s="946" t="s">
        <v>28604</v>
      </c>
      <c r="B5714" s="947" t="s">
        <v>20526</v>
      </c>
      <c r="C5714" s="948" t="s">
        <v>20524</v>
      </c>
      <c r="D5714" s="242" t="s">
        <v>26530</v>
      </c>
      <c r="E5714" s="949">
        <v>1306</v>
      </c>
      <c r="F5714" s="949">
        <v>1306</v>
      </c>
      <c r="G5714" s="950" t="s">
        <v>6262</v>
      </c>
      <c r="H5714" s="950" t="s">
        <v>1015</v>
      </c>
      <c r="I5714" s="951" t="s">
        <v>20525</v>
      </c>
      <c r="J5714" s="947" t="s">
        <v>20526</v>
      </c>
      <c r="K5714" s="143"/>
    </row>
    <row r="5715" spans="1:11">
      <c r="A5715" s="946" t="s">
        <v>28604</v>
      </c>
      <c r="B5715" s="947" t="s">
        <v>20584</v>
      </c>
      <c r="C5715" s="948" t="s">
        <v>20582</v>
      </c>
      <c r="D5715" s="242" t="s">
        <v>26530</v>
      </c>
      <c r="E5715" s="949">
        <v>1306</v>
      </c>
      <c r="F5715" s="949">
        <v>1306</v>
      </c>
      <c r="G5715" s="950" t="s">
        <v>6262</v>
      </c>
      <c r="H5715" s="950" t="s">
        <v>1015</v>
      </c>
      <c r="I5715" s="951" t="s">
        <v>20583</v>
      </c>
      <c r="J5715" s="947" t="s">
        <v>20584</v>
      </c>
      <c r="K5715" s="143"/>
    </row>
    <row r="5716" spans="1:11">
      <c r="A5716" s="946" t="s">
        <v>28604</v>
      </c>
      <c r="B5716" s="947" t="s">
        <v>20596</v>
      </c>
      <c r="C5716" s="948" t="s">
        <v>20594</v>
      </c>
      <c r="D5716" s="242" t="s">
        <v>26530</v>
      </c>
      <c r="E5716" s="949">
        <v>1306</v>
      </c>
      <c r="F5716" s="949">
        <v>1306</v>
      </c>
      <c r="G5716" s="950" t="s">
        <v>6262</v>
      </c>
      <c r="H5716" s="950" t="s">
        <v>1015</v>
      </c>
      <c r="I5716" s="951" t="s">
        <v>20595</v>
      </c>
      <c r="J5716" s="947" t="s">
        <v>20596</v>
      </c>
      <c r="K5716" s="143"/>
    </row>
    <row r="5717" spans="1:11">
      <c r="A5717" s="946" t="s">
        <v>28604</v>
      </c>
      <c r="B5717" s="947" t="s">
        <v>20708</v>
      </c>
      <c r="C5717" s="948" t="s">
        <v>20706</v>
      </c>
      <c r="D5717" s="242" t="s">
        <v>26530</v>
      </c>
      <c r="E5717" s="949">
        <v>1306</v>
      </c>
      <c r="F5717" s="949">
        <v>1306</v>
      </c>
      <c r="G5717" s="950" t="s">
        <v>6262</v>
      </c>
      <c r="H5717" s="950" t="s">
        <v>1015</v>
      </c>
      <c r="I5717" s="951" t="s">
        <v>20707</v>
      </c>
      <c r="J5717" s="947" t="s">
        <v>20708</v>
      </c>
      <c r="K5717" s="143"/>
    </row>
    <row r="5718" spans="1:11">
      <c r="A5718" s="946" t="s">
        <v>28604</v>
      </c>
      <c r="B5718" s="947" t="s">
        <v>20735</v>
      </c>
      <c r="C5718" s="948" t="s">
        <v>20733</v>
      </c>
      <c r="D5718" s="242" t="s">
        <v>26530</v>
      </c>
      <c r="E5718" s="949">
        <v>1304</v>
      </c>
      <c r="F5718" s="949">
        <v>1304</v>
      </c>
      <c r="G5718" s="950" t="s">
        <v>6262</v>
      </c>
      <c r="H5718" s="950" t="s">
        <v>1015</v>
      </c>
      <c r="I5718" s="951" t="s">
        <v>20734</v>
      </c>
      <c r="J5718" s="947" t="s">
        <v>20735</v>
      </c>
      <c r="K5718" s="143"/>
    </row>
    <row r="5719" spans="1:11">
      <c r="A5719" s="946" t="s">
        <v>28604</v>
      </c>
      <c r="B5719" s="947" t="s">
        <v>20759</v>
      </c>
      <c r="C5719" s="948" t="s">
        <v>20757</v>
      </c>
      <c r="D5719" s="242" t="s">
        <v>26530</v>
      </c>
      <c r="E5719" s="949">
        <v>1306</v>
      </c>
      <c r="F5719" s="949">
        <v>1306</v>
      </c>
      <c r="G5719" s="950" t="s">
        <v>6262</v>
      </c>
      <c r="H5719" s="950" t="s">
        <v>1015</v>
      </c>
      <c r="I5719" s="951" t="s">
        <v>20758</v>
      </c>
      <c r="J5719" s="947" t="s">
        <v>20759</v>
      </c>
      <c r="K5719" s="143"/>
    </row>
    <row r="5720" spans="1:11">
      <c r="A5720" s="946" t="s">
        <v>28604</v>
      </c>
      <c r="B5720" s="947" t="s">
        <v>20910</v>
      </c>
      <c r="C5720" s="948" t="s">
        <v>20908</v>
      </c>
      <c r="D5720" s="242" t="s">
        <v>26530</v>
      </c>
      <c r="E5720" s="949">
        <v>1306</v>
      </c>
      <c r="F5720" s="949">
        <v>1306</v>
      </c>
      <c r="G5720" s="950" t="s">
        <v>6262</v>
      </c>
      <c r="H5720" s="950" t="s">
        <v>1015</v>
      </c>
      <c r="I5720" s="951" t="s">
        <v>20909</v>
      </c>
      <c r="J5720" s="947" t="s">
        <v>20910</v>
      </c>
      <c r="K5720" s="143"/>
    </row>
    <row r="5721" spans="1:11">
      <c r="A5721" s="946" t="s">
        <v>28604</v>
      </c>
      <c r="B5721" s="947" t="s">
        <v>21107</v>
      </c>
      <c r="C5721" s="948" t="s">
        <v>21105</v>
      </c>
      <c r="D5721" s="242" t="s">
        <v>26530</v>
      </c>
      <c r="E5721" s="949">
        <v>1306</v>
      </c>
      <c r="F5721" s="949">
        <v>1306</v>
      </c>
      <c r="G5721" s="950" t="s">
        <v>6262</v>
      </c>
      <c r="H5721" s="950" t="s">
        <v>1015</v>
      </c>
      <c r="I5721" s="951" t="s">
        <v>21106</v>
      </c>
      <c r="J5721" s="947" t="s">
        <v>21107</v>
      </c>
      <c r="K5721" s="143"/>
    </row>
    <row r="5722" spans="1:11">
      <c r="A5722" s="946" t="s">
        <v>28604</v>
      </c>
      <c r="B5722" s="947" t="s">
        <v>21247</v>
      </c>
      <c r="C5722" s="948" t="s">
        <v>21245</v>
      </c>
      <c r="D5722" s="242" t="s">
        <v>26530</v>
      </c>
      <c r="E5722" s="949">
        <v>1306</v>
      </c>
      <c r="F5722" s="949">
        <v>1306</v>
      </c>
      <c r="G5722" s="950" t="s">
        <v>6262</v>
      </c>
      <c r="H5722" s="950" t="s">
        <v>1015</v>
      </c>
      <c r="I5722" s="951" t="s">
        <v>21246</v>
      </c>
      <c r="J5722" s="947" t="s">
        <v>21247</v>
      </c>
      <c r="K5722" s="143"/>
    </row>
    <row r="5723" spans="1:11">
      <c r="A5723" s="946" t="s">
        <v>28604</v>
      </c>
      <c r="B5723" s="947" t="s">
        <v>21613</v>
      </c>
      <c r="C5723" s="948" t="s">
        <v>21611</v>
      </c>
      <c r="D5723" s="242" t="s">
        <v>26530</v>
      </c>
      <c r="E5723" s="949">
        <v>1306</v>
      </c>
      <c r="F5723" s="949">
        <v>1306</v>
      </c>
      <c r="G5723" s="950" t="s">
        <v>6262</v>
      </c>
      <c r="H5723" s="950" t="s">
        <v>1015</v>
      </c>
      <c r="I5723" s="951" t="s">
        <v>21612</v>
      </c>
      <c r="J5723" s="947" t="s">
        <v>21613</v>
      </c>
      <c r="K5723" s="143"/>
    </row>
    <row r="5724" spans="1:11">
      <c r="A5724" s="946" t="s">
        <v>28604</v>
      </c>
      <c r="B5724" s="947" t="s">
        <v>22204</v>
      </c>
      <c r="C5724" s="948" t="s">
        <v>22202</v>
      </c>
      <c r="D5724" s="242" t="s">
        <v>26530</v>
      </c>
      <c r="E5724" s="949">
        <v>1306</v>
      </c>
      <c r="F5724" s="949">
        <v>1306</v>
      </c>
      <c r="G5724" s="950" t="s">
        <v>6262</v>
      </c>
      <c r="H5724" s="950" t="s">
        <v>1015</v>
      </c>
      <c r="I5724" s="951" t="s">
        <v>22203</v>
      </c>
      <c r="J5724" s="947" t="s">
        <v>22204</v>
      </c>
      <c r="K5724" s="143"/>
    </row>
    <row r="5725" spans="1:11">
      <c r="A5725" s="946" t="s">
        <v>28604</v>
      </c>
      <c r="B5725" s="947" t="s">
        <v>22210</v>
      </c>
      <c r="C5725" s="948" t="s">
        <v>22208</v>
      </c>
      <c r="D5725" s="242" t="s">
        <v>26530</v>
      </c>
      <c r="E5725" s="949">
        <v>1306</v>
      </c>
      <c r="F5725" s="949">
        <v>1306</v>
      </c>
      <c r="G5725" s="950" t="s">
        <v>6262</v>
      </c>
      <c r="H5725" s="950" t="s">
        <v>1015</v>
      </c>
      <c r="I5725" s="951" t="s">
        <v>22209</v>
      </c>
      <c r="J5725" s="947" t="s">
        <v>22210</v>
      </c>
      <c r="K5725" s="143"/>
    </row>
    <row r="5726" spans="1:11">
      <c r="A5726" s="946" t="s">
        <v>28604</v>
      </c>
      <c r="B5726" s="947" t="s">
        <v>22135</v>
      </c>
      <c r="C5726" s="948" t="s">
        <v>22133</v>
      </c>
      <c r="D5726" s="242" t="s">
        <v>26530</v>
      </c>
      <c r="E5726" s="949">
        <v>1306</v>
      </c>
      <c r="F5726" s="949">
        <v>1306</v>
      </c>
      <c r="G5726" s="950" t="s">
        <v>6262</v>
      </c>
      <c r="H5726" s="950" t="s">
        <v>1015</v>
      </c>
      <c r="I5726" s="951" t="s">
        <v>22134</v>
      </c>
      <c r="J5726" s="947" t="s">
        <v>22135</v>
      </c>
      <c r="K5726" s="143"/>
    </row>
    <row r="5727" spans="1:11">
      <c r="A5727" s="946" t="s">
        <v>28604</v>
      </c>
      <c r="B5727" s="947" t="s">
        <v>14865</v>
      </c>
      <c r="C5727" s="948" t="s">
        <v>14863</v>
      </c>
      <c r="D5727" s="242" t="s">
        <v>26530</v>
      </c>
      <c r="E5727" s="949">
        <v>1306</v>
      </c>
      <c r="F5727" s="949">
        <v>1306</v>
      </c>
      <c r="G5727" s="950" t="s">
        <v>6262</v>
      </c>
      <c r="H5727" s="950" t="s">
        <v>1015</v>
      </c>
      <c r="I5727" s="951" t="s">
        <v>14864</v>
      </c>
      <c r="J5727" s="947" t="s">
        <v>14865</v>
      </c>
      <c r="K5727" s="143"/>
    </row>
    <row r="5728" spans="1:11">
      <c r="A5728" s="946" t="s">
        <v>28604</v>
      </c>
      <c r="B5728" s="947" t="s">
        <v>8009</v>
      </c>
      <c r="C5728" s="948" t="s">
        <v>8007</v>
      </c>
      <c r="D5728" s="242" t="s">
        <v>26530</v>
      </c>
      <c r="E5728" s="949">
        <v>1306</v>
      </c>
      <c r="F5728" s="949">
        <v>1306</v>
      </c>
      <c r="G5728" s="950" t="s">
        <v>6262</v>
      </c>
      <c r="H5728" s="950" t="s">
        <v>1015</v>
      </c>
      <c r="I5728" s="951" t="s">
        <v>8008</v>
      </c>
      <c r="J5728" s="947" t="s">
        <v>8009</v>
      </c>
      <c r="K5728" s="143"/>
    </row>
    <row r="5729" spans="1:11">
      <c r="A5729" s="946" t="s">
        <v>11952</v>
      </c>
      <c r="B5729" s="947" t="s">
        <v>486</v>
      </c>
      <c r="C5729" s="948" t="s">
        <v>483</v>
      </c>
      <c r="D5729" s="242" t="s">
        <v>31115</v>
      </c>
      <c r="E5729" s="949">
        <v>1401</v>
      </c>
      <c r="F5729" s="949">
        <v>1401</v>
      </c>
      <c r="G5729" s="950" t="s">
        <v>3744</v>
      </c>
      <c r="H5729" s="950" t="s">
        <v>484</v>
      </c>
      <c r="I5729" s="951" t="s">
        <v>485</v>
      </c>
      <c r="J5729" s="947" t="s">
        <v>486</v>
      </c>
      <c r="K5729" s="143"/>
    </row>
    <row r="5730" spans="1:11">
      <c r="A5730" s="946" t="s">
        <v>11952</v>
      </c>
      <c r="B5730" s="947" t="s">
        <v>1908</v>
      </c>
      <c r="C5730" s="948" t="s">
        <v>1906</v>
      </c>
      <c r="D5730" s="242" t="s">
        <v>31115</v>
      </c>
      <c r="E5730" s="949">
        <v>1401</v>
      </c>
      <c r="F5730" s="949">
        <v>1401</v>
      </c>
      <c r="G5730" s="950" t="s">
        <v>3744</v>
      </c>
      <c r="H5730" s="950" t="s">
        <v>484</v>
      </c>
      <c r="I5730" s="951" t="s">
        <v>1907</v>
      </c>
      <c r="J5730" s="947" t="s">
        <v>1908</v>
      </c>
      <c r="K5730" s="143"/>
    </row>
    <row r="5731" spans="1:11">
      <c r="A5731" s="946" t="s">
        <v>11952</v>
      </c>
      <c r="B5731" s="947" t="s">
        <v>2566</v>
      </c>
      <c r="C5731" s="948" t="s">
        <v>2564</v>
      </c>
      <c r="D5731" s="242" t="s">
        <v>31115</v>
      </c>
      <c r="E5731" s="949">
        <v>1401</v>
      </c>
      <c r="F5731" s="949">
        <v>1401</v>
      </c>
      <c r="G5731" s="950" t="s">
        <v>3744</v>
      </c>
      <c r="H5731" s="950" t="s">
        <v>484</v>
      </c>
      <c r="I5731" s="951" t="s">
        <v>2565</v>
      </c>
      <c r="J5731" s="947" t="s">
        <v>2566</v>
      </c>
      <c r="K5731" s="143"/>
    </row>
    <row r="5732" spans="1:11">
      <c r="A5732" s="946" t="s">
        <v>11952</v>
      </c>
      <c r="B5732" s="947" t="s">
        <v>2646</v>
      </c>
      <c r="C5732" s="948" t="s">
        <v>2644</v>
      </c>
      <c r="D5732" s="242" t="s">
        <v>31115</v>
      </c>
      <c r="E5732" s="949">
        <v>1401</v>
      </c>
      <c r="F5732" s="949">
        <v>1401</v>
      </c>
      <c r="G5732" s="950" t="s">
        <v>3744</v>
      </c>
      <c r="H5732" s="950" t="s">
        <v>484</v>
      </c>
      <c r="I5732" s="951" t="s">
        <v>2645</v>
      </c>
      <c r="J5732" s="947" t="s">
        <v>2646</v>
      </c>
      <c r="K5732" s="143"/>
    </row>
    <row r="5733" spans="1:11">
      <c r="A5733" s="946" t="s">
        <v>11952</v>
      </c>
      <c r="B5733" s="947" t="s">
        <v>3300</v>
      </c>
      <c r="C5733" s="948" t="s">
        <v>3298</v>
      </c>
      <c r="D5733" s="242" t="s">
        <v>31115</v>
      </c>
      <c r="E5733" s="949">
        <v>1401</v>
      </c>
      <c r="F5733" s="949">
        <v>1401</v>
      </c>
      <c r="G5733" s="950" t="s">
        <v>3744</v>
      </c>
      <c r="H5733" s="950" t="s">
        <v>484</v>
      </c>
      <c r="I5733" s="951" t="s">
        <v>3299</v>
      </c>
      <c r="J5733" s="947" t="s">
        <v>3300</v>
      </c>
      <c r="K5733" s="143"/>
    </row>
    <row r="5734" spans="1:11">
      <c r="A5734" s="946" t="s">
        <v>11952</v>
      </c>
      <c r="B5734" s="947" t="s">
        <v>3744</v>
      </c>
      <c r="C5734" s="948" t="s">
        <v>3742</v>
      </c>
      <c r="D5734" s="242" t="s">
        <v>31115</v>
      </c>
      <c r="E5734" s="949">
        <v>1401</v>
      </c>
      <c r="F5734" s="949">
        <v>1401</v>
      </c>
      <c r="G5734" s="950" t="s">
        <v>3744</v>
      </c>
      <c r="H5734" s="950" t="s">
        <v>484</v>
      </c>
      <c r="I5734" s="951" t="s">
        <v>3743</v>
      </c>
      <c r="J5734" s="947" t="s">
        <v>3744</v>
      </c>
      <c r="K5734" s="143"/>
    </row>
    <row r="5735" spans="1:11">
      <c r="A5735" s="946" t="s">
        <v>11952</v>
      </c>
      <c r="B5735" s="947" t="s">
        <v>3753</v>
      </c>
      <c r="C5735" s="948" t="s">
        <v>3751</v>
      </c>
      <c r="D5735" s="242" t="s">
        <v>31115</v>
      </c>
      <c r="E5735" s="949">
        <v>1401</v>
      </c>
      <c r="F5735" s="949">
        <v>1401</v>
      </c>
      <c r="G5735" s="950" t="s">
        <v>3744</v>
      </c>
      <c r="H5735" s="950" t="s">
        <v>484</v>
      </c>
      <c r="I5735" s="951" t="s">
        <v>3752</v>
      </c>
      <c r="J5735" s="947" t="s">
        <v>3753</v>
      </c>
      <c r="K5735" s="143"/>
    </row>
    <row r="5736" spans="1:11">
      <c r="A5736" s="946" t="s">
        <v>11952</v>
      </c>
      <c r="B5736" s="947" t="s">
        <v>3765</v>
      </c>
      <c r="C5736" s="948" t="s">
        <v>3763</v>
      </c>
      <c r="D5736" s="242" t="s">
        <v>31115</v>
      </c>
      <c r="E5736" s="949">
        <v>1401</v>
      </c>
      <c r="F5736" s="949">
        <v>1401</v>
      </c>
      <c r="G5736" s="950" t="s">
        <v>3744</v>
      </c>
      <c r="H5736" s="950" t="s">
        <v>484</v>
      </c>
      <c r="I5736" s="951" t="s">
        <v>3764</v>
      </c>
      <c r="J5736" s="947" t="s">
        <v>3765</v>
      </c>
      <c r="K5736" s="143"/>
    </row>
    <row r="5737" spans="1:11">
      <c r="A5737" s="946" t="s">
        <v>11952</v>
      </c>
      <c r="B5737" s="947" t="s">
        <v>3803</v>
      </c>
      <c r="C5737" s="948" t="s">
        <v>3801</v>
      </c>
      <c r="D5737" s="242" t="s">
        <v>31115</v>
      </c>
      <c r="E5737" s="949">
        <v>1401</v>
      </c>
      <c r="F5737" s="949">
        <v>1401</v>
      </c>
      <c r="G5737" s="950" t="s">
        <v>3744</v>
      </c>
      <c r="H5737" s="950" t="s">
        <v>484</v>
      </c>
      <c r="I5737" s="951" t="s">
        <v>3802</v>
      </c>
      <c r="J5737" s="947" t="s">
        <v>3803</v>
      </c>
      <c r="K5737" s="143"/>
    </row>
    <row r="5738" spans="1:11">
      <c r="A5738" s="946" t="s">
        <v>11952</v>
      </c>
      <c r="B5738" s="947" t="s">
        <v>3815</v>
      </c>
      <c r="C5738" s="948" t="s">
        <v>3813</v>
      </c>
      <c r="D5738" s="242" t="s">
        <v>31115</v>
      </c>
      <c r="E5738" s="949">
        <v>1401</v>
      </c>
      <c r="F5738" s="949">
        <v>1401</v>
      </c>
      <c r="G5738" s="950" t="s">
        <v>3744</v>
      </c>
      <c r="H5738" s="950" t="s">
        <v>484</v>
      </c>
      <c r="I5738" s="951" t="s">
        <v>3814</v>
      </c>
      <c r="J5738" s="947" t="s">
        <v>3815</v>
      </c>
      <c r="K5738" s="143"/>
    </row>
    <row r="5739" spans="1:11">
      <c r="A5739" s="946" t="s">
        <v>11952</v>
      </c>
      <c r="B5739" s="947" t="s">
        <v>4497</v>
      </c>
      <c r="C5739" s="948" t="s">
        <v>4495</v>
      </c>
      <c r="D5739" s="242" t="s">
        <v>31115</v>
      </c>
      <c r="E5739" s="949">
        <v>1401</v>
      </c>
      <c r="F5739" s="949">
        <v>1401</v>
      </c>
      <c r="G5739" s="950" t="s">
        <v>3744</v>
      </c>
      <c r="H5739" s="950" t="s">
        <v>484</v>
      </c>
      <c r="I5739" s="951" t="s">
        <v>4496</v>
      </c>
      <c r="J5739" s="947" t="s">
        <v>4497</v>
      </c>
      <c r="K5739" s="143"/>
    </row>
    <row r="5740" spans="1:11">
      <c r="A5740" s="946" t="s">
        <v>11952</v>
      </c>
      <c r="B5740" s="947" t="s">
        <v>4539</v>
      </c>
      <c r="C5740" s="948" t="s">
        <v>4537</v>
      </c>
      <c r="D5740" s="242" t="s">
        <v>31115</v>
      </c>
      <c r="E5740" s="949">
        <v>1401</v>
      </c>
      <c r="F5740" s="949">
        <v>1401</v>
      </c>
      <c r="G5740" s="950" t="s">
        <v>3744</v>
      </c>
      <c r="H5740" s="950" t="s">
        <v>484</v>
      </c>
      <c r="I5740" s="951" t="s">
        <v>4538</v>
      </c>
      <c r="J5740" s="947" t="s">
        <v>4539</v>
      </c>
      <c r="K5740" s="143"/>
    </row>
    <row r="5741" spans="1:11">
      <c r="A5741" s="946" t="s">
        <v>11952</v>
      </c>
      <c r="B5741" s="947" t="s">
        <v>5064</v>
      </c>
      <c r="C5741" s="948" t="s">
        <v>5062</v>
      </c>
      <c r="D5741" s="242" t="s">
        <v>31115</v>
      </c>
      <c r="E5741" s="949">
        <v>1401</v>
      </c>
      <c r="F5741" s="949">
        <v>1401</v>
      </c>
      <c r="G5741" s="950" t="s">
        <v>3744</v>
      </c>
      <c r="H5741" s="950" t="s">
        <v>484</v>
      </c>
      <c r="I5741" s="951" t="s">
        <v>5063</v>
      </c>
      <c r="J5741" s="947" t="s">
        <v>5064</v>
      </c>
      <c r="K5741" s="143"/>
    </row>
    <row r="5742" spans="1:11">
      <c r="A5742" s="946" t="s">
        <v>11952</v>
      </c>
      <c r="B5742" s="947" t="s">
        <v>5233</v>
      </c>
      <c r="C5742" s="948" t="s">
        <v>5231</v>
      </c>
      <c r="D5742" s="242" t="s">
        <v>31115</v>
      </c>
      <c r="E5742" s="949">
        <v>1401</v>
      </c>
      <c r="F5742" s="949">
        <v>1401</v>
      </c>
      <c r="G5742" s="950" t="s">
        <v>3744</v>
      </c>
      <c r="H5742" s="950" t="s">
        <v>484</v>
      </c>
      <c r="I5742" s="951" t="s">
        <v>5232</v>
      </c>
      <c r="J5742" s="947" t="s">
        <v>5233</v>
      </c>
      <c r="K5742" s="143"/>
    </row>
    <row r="5743" spans="1:11">
      <c r="A5743" s="946" t="s">
        <v>11952</v>
      </c>
      <c r="B5743" s="947" t="s">
        <v>5302</v>
      </c>
      <c r="C5743" s="948" t="s">
        <v>5300</v>
      </c>
      <c r="D5743" s="242" t="s">
        <v>31115</v>
      </c>
      <c r="E5743" s="949">
        <v>1401</v>
      </c>
      <c r="F5743" s="949">
        <v>1401</v>
      </c>
      <c r="G5743" s="950" t="s">
        <v>3744</v>
      </c>
      <c r="H5743" s="950" t="s">
        <v>484</v>
      </c>
      <c r="I5743" s="951" t="s">
        <v>5301</v>
      </c>
      <c r="J5743" s="947" t="s">
        <v>5302</v>
      </c>
      <c r="K5743" s="143"/>
    </row>
    <row r="5744" spans="1:11">
      <c r="A5744" s="946" t="s">
        <v>11952</v>
      </c>
      <c r="B5744" s="947" t="s">
        <v>5605</v>
      </c>
      <c r="C5744" s="948" t="s">
        <v>5603</v>
      </c>
      <c r="D5744" s="242" t="s">
        <v>31115</v>
      </c>
      <c r="E5744" s="949">
        <v>1401</v>
      </c>
      <c r="F5744" s="949">
        <v>1401</v>
      </c>
      <c r="G5744" s="950" t="s">
        <v>3744</v>
      </c>
      <c r="H5744" s="950" t="s">
        <v>484</v>
      </c>
      <c r="I5744" s="951" t="s">
        <v>5604</v>
      </c>
      <c r="J5744" s="947" t="s">
        <v>5605</v>
      </c>
      <c r="K5744" s="143"/>
    </row>
    <row r="5745" spans="1:11">
      <c r="A5745" s="946" t="s">
        <v>11952</v>
      </c>
      <c r="B5745" s="947" t="s">
        <v>5903</v>
      </c>
      <c r="C5745" s="948" t="s">
        <v>5901</v>
      </c>
      <c r="D5745" s="242" t="s">
        <v>31115</v>
      </c>
      <c r="E5745" s="949">
        <v>1401</v>
      </c>
      <c r="F5745" s="949">
        <v>1401</v>
      </c>
      <c r="G5745" s="950" t="s">
        <v>3744</v>
      </c>
      <c r="H5745" s="950" t="s">
        <v>484</v>
      </c>
      <c r="I5745" s="951" t="s">
        <v>5902</v>
      </c>
      <c r="J5745" s="947" t="s">
        <v>5903</v>
      </c>
      <c r="K5745" s="143"/>
    </row>
    <row r="5746" spans="1:11">
      <c r="A5746" s="946" t="s">
        <v>11952</v>
      </c>
      <c r="B5746" s="947" t="s">
        <v>5909</v>
      </c>
      <c r="C5746" s="948" t="s">
        <v>5907</v>
      </c>
      <c r="D5746" s="242" t="s">
        <v>31115</v>
      </c>
      <c r="E5746" s="949">
        <v>1401</v>
      </c>
      <c r="F5746" s="949">
        <v>1401</v>
      </c>
      <c r="G5746" s="950" t="s">
        <v>3744</v>
      </c>
      <c r="H5746" s="950" t="s">
        <v>484</v>
      </c>
      <c r="I5746" s="951" t="s">
        <v>5908</v>
      </c>
      <c r="J5746" s="947" t="s">
        <v>5909</v>
      </c>
      <c r="K5746" s="143"/>
    </row>
    <row r="5747" spans="1:11">
      <c r="A5747" s="946" t="s">
        <v>11952</v>
      </c>
      <c r="B5747" s="947" t="s">
        <v>6558</v>
      </c>
      <c r="C5747" s="948" t="s">
        <v>6556</v>
      </c>
      <c r="D5747" s="242" t="s">
        <v>31115</v>
      </c>
      <c r="E5747" s="949">
        <v>1401</v>
      </c>
      <c r="F5747" s="949">
        <v>1401</v>
      </c>
      <c r="G5747" s="950" t="s">
        <v>3744</v>
      </c>
      <c r="H5747" s="950" t="s">
        <v>484</v>
      </c>
      <c r="I5747" s="951" t="s">
        <v>6557</v>
      </c>
      <c r="J5747" s="947" t="s">
        <v>6558</v>
      </c>
      <c r="K5747" s="143"/>
    </row>
    <row r="5748" spans="1:11">
      <c r="A5748" s="946" t="s">
        <v>11952</v>
      </c>
      <c r="B5748" s="947" t="s">
        <v>6721</v>
      </c>
      <c r="C5748" s="948" t="s">
        <v>6719</v>
      </c>
      <c r="D5748" s="242" t="s">
        <v>31115</v>
      </c>
      <c r="E5748" s="949">
        <v>1401</v>
      </c>
      <c r="F5748" s="949">
        <v>1401</v>
      </c>
      <c r="G5748" s="950" t="s">
        <v>3744</v>
      </c>
      <c r="H5748" s="950" t="s">
        <v>484</v>
      </c>
      <c r="I5748" s="951" t="s">
        <v>6720</v>
      </c>
      <c r="J5748" s="947" t="s">
        <v>6721</v>
      </c>
      <c r="K5748" s="143"/>
    </row>
    <row r="5749" spans="1:11">
      <c r="A5749" s="946" t="s">
        <v>11952</v>
      </c>
      <c r="B5749" s="947" t="s">
        <v>6793</v>
      </c>
      <c r="C5749" s="948" t="s">
        <v>6791</v>
      </c>
      <c r="D5749" s="242" t="s">
        <v>31115</v>
      </c>
      <c r="E5749" s="949">
        <v>1401</v>
      </c>
      <c r="F5749" s="949">
        <v>1401</v>
      </c>
      <c r="G5749" s="950" t="s">
        <v>3744</v>
      </c>
      <c r="H5749" s="950" t="s">
        <v>484</v>
      </c>
      <c r="I5749" s="951" t="s">
        <v>6792</v>
      </c>
      <c r="J5749" s="947" t="s">
        <v>6793</v>
      </c>
      <c r="K5749" s="143"/>
    </row>
    <row r="5750" spans="1:11">
      <c r="A5750" s="946" t="s">
        <v>11952</v>
      </c>
      <c r="B5750" s="947" t="s">
        <v>7814</v>
      </c>
      <c r="C5750" s="948" t="s">
        <v>7812</v>
      </c>
      <c r="D5750" s="242" t="s">
        <v>31115</v>
      </c>
      <c r="E5750" s="949">
        <v>1401</v>
      </c>
      <c r="F5750" s="949">
        <v>1401</v>
      </c>
      <c r="G5750" s="950" t="s">
        <v>3744</v>
      </c>
      <c r="H5750" s="950" t="s">
        <v>484</v>
      </c>
      <c r="I5750" s="951" t="s">
        <v>7813</v>
      </c>
      <c r="J5750" s="947" t="s">
        <v>7814</v>
      </c>
      <c r="K5750" s="143"/>
    </row>
    <row r="5751" spans="1:11">
      <c r="A5751" s="946" t="s">
        <v>11952</v>
      </c>
      <c r="B5751" s="947" t="s">
        <v>8156</v>
      </c>
      <c r="C5751" s="948" t="s">
        <v>8154</v>
      </c>
      <c r="D5751" s="242" t="s">
        <v>31115</v>
      </c>
      <c r="E5751" s="949">
        <v>1401</v>
      </c>
      <c r="F5751" s="949">
        <v>1401</v>
      </c>
      <c r="G5751" s="950" t="s">
        <v>3744</v>
      </c>
      <c r="H5751" s="950" t="s">
        <v>484</v>
      </c>
      <c r="I5751" s="951" t="s">
        <v>8155</v>
      </c>
      <c r="J5751" s="947" t="s">
        <v>8156</v>
      </c>
      <c r="K5751" s="143"/>
    </row>
    <row r="5752" spans="1:11">
      <c r="A5752" s="946" t="s">
        <v>11952</v>
      </c>
      <c r="B5752" s="947" t="s">
        <v>8569</v>
      </c>
      <c r="C5752" s="948" t="s">
        <v>8567</v>
      </c>
      <c r="D5752" s="242" t="s">
        <v>31115</v>
      </c>
      <c r="E5752" s="949">
        <v>1401</v>
      </c>
      <c r="F5752" s="949">
        <v>1401</v>
      </c>
      <c r="G5752" s="950" t="s">
        <v>3744</v>
      </c>
      <c r="H5752" s="950" t="s">
        <v>484</v>
      </c>
      <c r="I5752" s="951" t="s">
        <v>8568</v>
      </c>
      <c r="J5752" s="947" t="s">
        <v>8569</v>
      </c>
      <c r="K5752" s="143"/>
    </row>
    <row r="5753" spans="1:11">
      <c r="A5753" s="946" t="s">
        <v>11952</v>
      </c>
      <c r="B5753" s="947" t="s">
        <v>8935</v>
      </c>
      <c r="C5753" s="948" t="s">
        <v>8933</v>
      </c>
      <c r="D5753" s="242" t="s">
        <v>31115</v>
      </c>
      <c r="E5753" s="949">
        <v>1401</v>
      </c>
      <c r="F5753" s="949">
        <v>1401</v>
      </c>
      <c r="G5753" s="950" t="s">
        <v>3744</v>
      </c>
      <c r="H5753" s="950" t="s">
        <v>484</v>
      </c>
      <c r="I5753" s="951" t="s">
        <v>8934</v>
      </c>
      <c r="J5753" s="947" t="s">
        <v>8935</v>
      </c>
      <c r="K5753" s="143"/>
    </row>
    <row r="5754" spans="1:11">
      <c r="A5754" s="946" t="s">
        <v>11952</v>
      </c>
      <c r="B5754" s="947" t="s">
        <v>9229</v>
      </c>
      <c r="C5754" s="948" t="s">
        <v>9227</v>
      </c>
      <c r="D5754" s="242" t="s">
        <v>31115</v>
      </c>
      <c r="E5754" s="949">
        <v>1401</v>
      </c>
      <c r="F5754" s="949">
        <v>1401</v>
      </c>
      <c r="G5754" s="950" t="s">
        <v>3744</v>
      </c>
      <c r="H5754" s="950" t="s">
        <v>484</v>
      </c>
      <c r="I5754" s="951" t="s">
        <v>9228</v>
      </c>
      <c r="J5754" s="947" t="s">
        <v>9229</v>
      </c>
      <c r="K5754" s="143"/>
    </row>
    <row r="5755" spans="1:11">
      <c r="A5755" s="946" t="s">
        <v>11952</v>
      </c>
      <c r="B5755" s="947" t="s">
        <v>9714</v>
      </c>
      <c r="C5755" s="948" t="s">
        <v>9712</v>
      </c>
      <c r="D5755" s="242" t="s">
        <v>31115</v>
      </c>
      <c r="E5755" s="949">
        <v>1401</v>
      </c>
      <c r="F5755" s="949">
        <v>1401</v>
      </c>
      <c r="G5755" s="950" t="s">
        <v>3744</v>
      </c>
      <c r="H5755" s="950" t="s">
        <v>484</v>
      </c>
      <c r="I5755" s="951" t="s">
        <v>9713</v>
      </c>
      <c r="J5755" s="947" t="s">
        <v>9714</v>
      </c>
      <c r="K5755" s="143"/>
    </row>
    <row r="5756" spans="1:11">
      <c r="A5756" s="946" t="s">
        <v>11952</v>
      </c>
      <c r="B5756" s="947" t="s">
        <v>9717</v>
      </c>
      <c r="C5756" s="948" t="s">
        <v>9715</v>
      </c>
      <c r="D5756" s="242" t="s">
        <v>31115</v>
      </c>
      <c r="E5756" s="949">
        <v>1401</v>
      </c>
      <c r="F5756" s="949">
        <v>1401</v>
      </c>
      <c r="G5756" s="950" t="s">
        <v>3744</v>
      </c>
      <c r="H5756" s="950" t="s">
        <v>484</v>
      </c>
      <c r="I5756" s="951" t="s">
        <v>9716</v>
      </c>
      <c r="J5756" s="947" t="s">
        <v>9717</v>
      </c>
      <c r="K5756" s="143"/>
    </row>
    <row r="5757" spans="1:11">
      <c r="A5757" s="946" t="s">
        <v>11952</v>
      </c>
      <c r="B5757" s="947" t="s">
        <v>9739</v>
      </c>
      <c r="C5757" s="948" t="s">
        <v>9737</v>
      </c>
      <c r="D5757" s="242" t="s">
        <v>31115</v>
      </c>
      <c r="E5757" s="949">
        <v>1401</v>
      </c>
      <c r="F5757" s="949">
        <v>1401</v>
      </c>
      <c r="G5757" s="950" t="s">
        <v>3744</v>
      </c>
      <c r="H5757" s="950" t="s">
        <v>484</v>
      </c>
      <c r="I5757" s="951" t="s">
        <v>9738</v>
      </c>
      <c r="J5757" s="947" t="s">
        <v>9739</v>
      </c>
      <c r="K5757" s="143"/>
    </row>
    <row r="5758" spans="1:11">
      <c r="A5758" s="946" t="s">
        <v>11952</v>
      </c>
      <c r="B5758" s="947" t="s">
        <v>9968</v>
      </c>
      <c r="C5758" s="948" t="s">
        <v>9966</v>
      </c>
      <c r="D5758" s="242" t="s">
        <v>31115</v>
      </c>
      <c r="E5758" s="949">
        <v>1401</v>
      </c>
      <c r="F5758" s="949">
        <v>1401</v>
      </c>
      <c r="G5758" s="950" t="s">
        <v>3744</v>
      </c>
      <c r="H5758" s="950" t="s">
        <v>484</v>
      </c>
      <c r="I5758" s="951" t="s">
        <v>9967</v>
      </c>
      <c r="J5758" s="947" t="s">
        <v>9968</v>
      </c>
      <c r="K5758" s="143"/>
    </row>
    <row r="5759" spans="1:11">
      <c r="A5759" s="946" t="s">
        <v>11952</v>
      </c>
      <c r="B5759" s="947" t="s">
        <v>10157</v>
      </c>
      <c r="C5759" s="948" t="s">
        <v>10155</v>
      </c>
      <c r="D5759" s="242" t="s">
        <v>31115</v>
      </c>
      <c r="E5759" s="949">
        <v>1401</v>
      </c>
      <c r="F5759" s="949">
        <v>1401</v>
      </c>
      <c r="G5759" s="950" t="s">
        <v>3744</v>
      </c>
      <c r="H5759" s="950" t="s">
        <v>484</v>
      </c>
      <c r="I5759" s="951" t="s">
        <v>10156</v>
      </c>
      <c r="J5759" s="947" t="s">
        <v>10157</v>
      </c>
      <c r="K5759" s="143"/>
    </row>
    <row r="5760" spans="1:11">
      <c r="A5760" s="946" t="s">
        <v>11952</v>
      </c>
      <c r="B5760" s="947" t="s">
        <v>10454</v>
      </c>
      <c r="C5760" s="948" t="s">
        <v>10452</v>
      </c>
      <c r="D5760" s="242" t="s">
        <v>31115</v>
      </c>
      <c r="E5760" s="949">
        <v>1401</v>
      </c>
      <c r="F5760" s="949">
        <v>1401</v>
      </c>
      <c r="G5760" s="950" t="s">
        <v>3744</v>
      </c>
      <c r="H5760" s="950" t="s">
        <v>484</v>
      </c>
      <c r="I5760" s="951" t="s">
        <v>10453</v>
      </c>
      <c r="J5760" s="947" t="s">
        <v>10454</v>
      </c>
      <c r="K5760" s="143"/>
    </row>
    <row r="5761" spans="1:11">
      <c r="A5761" s="946" t="s">
        <v>11952</v>
      </c>
      <c r="B5761" s="947" t="s">
        <v>10700</v>
      </c>
      <c r="C5761" s="948" t="s">
        <v>10698</v>
      </c>
      <c r="D5761" s="242" t="s">
        <v>31115</v>
      </c>
      <c r="E5761" s="949">
        <v>1401</v>
      </c>
      <c r="F5761" s="949">
        <v>1401</v>
      </c>
      <c r="G5761" s="950" t="s">
        <v>3744</v>
      </c>
      <c r="H5761" s="950" t="s">
        <v>484</v>
      </c>
      <c r="I5761" s="951" t="s">
        <v>10699</v>
      </c>
      <c r="J5761" s="947" t="s">
        <v>10700</v>
      </c>
      <c r="K5761" s="143"/>
    </row>
    <row r="5762" spans="1:11">
      <c r="A5762" s="946" t="s">
        <v>11952</v>
      </c>
      <c r="B5762" s="947" t="s">
        <v>10749</v>
      </c>
      <c r="C5762" s="948" t="s">
        <v>10747</v>
      </c>
      <c r="D5762" s="242" t="s">
        <v>31115</v>
      </c>
      <c r="E5762" s="949">
        <v>1401</v>
      </c>
      <c r="F5762" s="949">
        <v>1401</v>
      </c>
      <c r="G5762" s="950" t="s">
        <v>3744</v>
      </c>
      <c r="H5762" s="950" t="s">
        <v>484</v>
      </c>
      <c r="I5762" s="951" t="s">
        <v>10748</v>
      </c>
      <c r="J5762" s="947" t="s">
        <v>10749</v>
      </c>
      <c r="K5762" s="143"/>
    </row>
    <row r="5763" spans="1:11">
      <c r="A5763" s="946" t="s">
        <v>11952</v>
      </c>
      <c r="B5763" s="947" t="s">
        <v>10808</v>
      </c>
      <c r="C5763" s="948" t="s">
        <v>10806</v>
      </c>
      <c r="D5763" s="242" t="s">
        <v>31115</v>
      </c>
      <c r="E5763" s="949">
        <v>1401</v>
      </c>
      <c r="F5763" s="949">
        <v>1401</v>
      </c>
      <c r="G5763" s="950" t="s">
        <v>3744</v>
      </c>
      <c r="H5763" s="950" t="s">
        <v>484</v>
      </c>
      <c r="I5763" s="951" t="s">
        <v>10807</v>
      </c>
      <c r="J5763" s="947" t="s">
        <v>10808</v>
      </c>
      <c r="K5763" s="143"/>
    </row>
    <row r="5764" spans="1:11">
      <c r="A5764" s="946" t="s">
        <v>11952</v>
      </c>
      <c r="B5764" s="947" t="s">
        <v>10855</v>
      </c>
      <c r="C5764" s="948" t="s">
        <v>10853</v>
      </c>
      <c r="D5764" s="242" t="s">
        <v>31115</v>
      </c>
      <c r="E5764" s="949">
        <v>1401</v>
      </c>
      <c r="F5764" s="949">
        <v>1401</v>
      </c>
      <c r="G5764" s="950" t="s">
        <v>3744</v>
      </c>
      <c r="H5764" s="950" t="s">
        <v>484</v>
      </c>
      <c r="I5764" s="951" t="s">
        <v>10854</v>
      </c>
      <c r="J5764" s="947" t="s">
        <v>10855</v>
      </c>
      <c r="K5764" s="143"/>
    </row>
    <row r="5765" spans="1:11">
      <c r="A5765" s="946" t="s">
        <v>11952</v>
      </c>
      <c r="B5765" s="947" t="s">
        <v>11446</v>
      </c>
      <c r="C5765" s="948" t="s">
        <v>11444</v>
      </c>
      <c r="D5765" s="242" t="s">
        <v>31115</v>
      </c>
      <c r="E5765" s="949">
        <v>1401</v>
      </c>
      <c r="F5765" s="949">
        <v>1401</v>
      </c>
      <c r="G5765" s="950" t="s">
        <v>3744</v>
      </c>
      <c r="H5765" s="950" t="s">
        <v>484</v>
      </c>
      <c r="I5765" s="951" t="s">
        <v>11445</v>
      </c>
      <c r="J5765" s="947" t="s">
        <v>11446</v>
      </c>
      <c r="K5765" s="143"/>
    </row>
    <row r="5766" spans="1:11">
      <c r="A5766" s="946" t="s">
        <v>11952</v>
      </c>
      <c r="B5766" s="947" t="s">
        <v>11824</v>
      </c>
      <c r="C5766" s="948" t="s">
        <v>11822</v>
      </c>
      <c r="D5766" s="242" t="s">
        <v>31115</v>
      </c>
      <c r="E5766" s="949">
        <v>1401</v>
      </c>
      <c r="F5766" s="949">
        <v>1401</v>
      </c>
      <c r="G5766" s="950" t="s">
        <v>3744</v>
      </c>
      <c r="H5766" s="950" t="s">
        <v>484</v>
      </c>
      <c r="I5766" s="951" t="s">
        <v>11823</v>
      </c>
      <c r="J5766" s="947" t="s">
        <v>11824</v>
      </c>
      <c r="K5766" s="143"/>
    </row>
    <row r="5767" spans="1:11">
      <c r="A5767" s="946" t="s">
        <v>11952</v>
      </c>
      <c r="B5767" s="947" t="s">
        <v>11952</v>
      </c>
      <c r="C5767" s="948" t="s">
        <v>11950</v>
      </c>
      <c r="D5767" s="242" t="s">
        <v>31115</v>
      </c>
      <c r="E5767" s="949">
        <v>1401</v>
      </c>
      <c r="F5767" s="949">
        <v>1401</v>
      </c>
      <c r="G5767" s="950" t="s">
        <v>3744</v>
      </c>
      <c r="H5767" s="950" t="s">
        <v>484</v>
      </c>
      <c r="I5767" s="951" t="s">
        <v>11951</v>
      </c>
      <c r="J5767" s="947" t="s">
        <v>11952</v>
      </c>
      <c r="K5767" s="143"/>
    </row>
    <row r="5768" spans="1:11">
      <c r="A5768" s="946" t="s">
        <v>11952</v>
      </c>
      <c r="B5768" s="947" t="s">
        <v>12009</v>
      </c>
      <c r="C5768" s="948" t="s">
        <v>12007</v>
      </c>
      <c r="D5768" s="242" t="s">
        <v>31115</v>
      </c>
      <c r="E5768" s="949">
        <v>1401</v>
      </c>
      <c r="F5768" s="949">
        <v>1401</v>
      </c>
      <c r="G5768" s="950" t="s">
        <v>3744</v>
      </c>
      <c r="H5768" s="950" t="s">
        <v>484</v>
      </c>
      <c r="I5768" s="951" t="s">
        <v>12008</v>
      </c>
      <c r="J5768" s="947" t="s">
        <v>12009</v>
      </c>
      <c r="K5768" s="143"/>
    </row>
    <row r="5769" spans="1:11">
      <c r="A5769" s="946" t="s">
        <v>11952</v>
      </c>
      <c r="B5769" s="947" t="s">
        <v>12167</v>
      </c>
      <c r="C5769" s="948" t="s">
        <v>12165</v>
      </c>
      <c r="D5769" s="242" t="s">
        <v>31115</v>
      </c>
      <c r="E5769" s="949">
        <v>1401</v>
      </c>
      <c r="F5769" s="949">
        <v>1401</v>
      </c>
      <c r="G5769" s="950" t="s">
        <v>3744</v>
      </c>
      <c r="H5769" s="950" t="s">
        <v>484</v>
      </c>
      <c r="I5769" s="951" t="s">
        <v>12166</v>
      </c>
      <c r="J5769" s="947" t="s">
        <v>12167</v>
      </c>
      <c r="K5769" s="143"/>
    </row>
    <row r="5770" spans="1:11">
      <c r="A5770" s="946" t="s">
        <v>11952</v>
      </c>
      <c r="B5770" s="947" t="s">
        <v>12431</v>
      </c>
      <c r="C5770" s="948" t="s">
        <v>12429</v>
      </c>
      <c r="D5770" s="242" t="s">
        <v>31115</v>
      </c>
      <c r="E5770" s="949">
        <v>1401</v>
      </c>
      <c r="F5770" s="949">
        <v>1401</v>
      </c>
      <c r="G5770" s="950" t="s">
        <v>3744</v>
      </c>
      <c r="H5770" s="950" t="s">
        <v>484</v>
      </c>
      <c r="I5770" s="951" t="s">
        <v>12430</v>
      </c>
      <c r="J5770" s="947" t="s">
        <v>12431</v>
      </c>
      <c r="K5770" s="143"/>
    </row>
    <row r="5771" spans="1:11">
      <c r="A5771" s="946" t="s">
        <v>11952</v>
      </c>
      <c r="B5771" s="947" t="s">
        <v>12469</v>
      </c>
      <c r="C5771" s="948" t="s">
        <v>12467</v>
      </c>
      <c r="D5771" s="242" t="s">
        <v>31115</v>
      </c>
      <c r="E5771" s="949">
        <v>1401</v>
      </c>
      <c r="F5771" s="949">
        <v>1401</v>
      </c>
      <c r="G5771" s="950" t="s">
        <v>3744</v>
      </c>
      <c r="H5771" s="950" t="s">
        <v>484</v>
      </c>
      <c r="I5771" s="951" t="s">
        <v>12468</v>
      </c>
      <c r="J5771" s="947" t="s">
        <v>12469</v>
      </c>
      <c r="K5771" s="143"/>
    </row>
    <row r="5772" spans="1:11">
      <c r="A5772" s="946" t="s">
        <v>11952</v>
      </c>
      <c r="B5772" s="947" t="s">
        <v>12596</v>
      </c>
      <c r="C5772" s="948" t="s">
        <v>12594</v>
      </c>
      <c r="D5772" s="242" t="s">
        <v>31115</v>
      </c>
      <c r="E5772" s="949">
        <v>1401</v>
      </c>
      <c r="F5772" s="949">
        <v>1401</v>
      </c>
      <c r="G5772" s="950" t="s">
        <v>3744</v>
      </c>
      <c r="H5772" s="950" t="s">
        <v>484</v>
      </c>
      <c r="I5772" s="951" t="s">
        <v>12595</v>
      </c>
      <c r="J5772" s="947" t="s">
        <v>12596</v>
      </c>
      <c r="K5772" s="143"/>
    </row>
    <row r="5773" spans="1:11">
      <c r="A5773" s="946" t="s">
        <v>11952</v>
      </c>
      <c r="B5773" s="947" t="s">
        <v>12641</v>
      </c>
      <c r="C5773" s="948" t="s">
        <v>12639</v>
      </c>
      <c r="D5773" s="242" t="s">
        <v>31115</v>
      </c>
      <c r="E5773" s="949">
        <v>1401</v>
      </c>
      <c r="F5773" s="949">
        <v>1401</v>
      </c>
      <c r="G5773" s="950" t="s">
        <v>3744</v>
      </c>
      <c r="H5773" s="950" t="s">
        <v>484</v>
      </c>
      <c r="I5773" s="951" t="s">
        <v>12640</v>
      </c>
      <c r="J5773" s="947" t="s">
        <v>12641</v>
      </c>
      <c r="K5773" s="143"/>
    </row>
    <row r="5774" spans="1:11">
      <c r="A5774" s="946" t="s">
        <v>11952</v>
      </c>
      <c r="B5774" s="947" t="s">
        <v>12655</v>
      </c>
      <c r="C5774" s="948" t="s">
        <v>12653</v>
      </c>
      <c r="D5774" s="242" t="s">
        <v>31115</v>
      </c>
      <c r="E5774" s="949">
        <v>1401</v>
      </c>
      <c r="F5774" s="949">
        <v>1401</v>
      </c>
      <c r="G5774" s="950" t="s">
        <v>3744</v>
      </c>
      <c r="H5774" s="950" t="s">
        <v>484</v>
      </c>
      <c r="I5774" s="951" t="s">
        <v>12654</v>
      </c>
      <c r="J5774" s="947" t="s">
        <v>12655</v>
      </c>
      <c r="K5774" s="143"/>
    </row>
    <row r="5775" spans="1:11">
      <c r="A5775" s="946" t="s">
        <v>11952</v>
      </c>
      <c r="B5775" s="947" t="s">
        <v>12851</v>
      </c>
      <c r="C5775" s="948" t="s">
        <v>12849</v>
      </c>
      <c r="D5775" s="242" t="s">
        <v>31115</v>
      </c>
      <c r="E5775" s="949">
        <v>1401</v>
      </c>
      <c r="F5775" s="949">
        <v>1401</v>
      </c>
      <c r="G5775" s="950" t="s">
        <v>3744</v>
      </c>
      <c r="H5775" s="950" t="s">
        <v>484</v>
      </c>
      <c r="I5775" s="951" t="s">
        <v>12850</v>
      </c>
      <c r="J5775" s="947" t="s">
        <v>12851</v>
      </c>
      <c r="K5775" s="143"/>
    </row>
    <row r="5776" spans="1:11">
      <c r="A5776" s="946" t="s">
        <v>11952</v>
      </c>
      <c r="B5776" s="947" t="s">
        <v>12986</v>
      </c>
      <c r="C5776" s="948" t="s">
        <v>12984</v>
      </c>
      <c r="D5776" s="242" t="s">
        <v>31115</v>
      </c>
      <c r="E5776" s="949">
        <v>1401</v>
      </c>
      <c r="F5776" s="949">
        <v>1401</v>
      </c>
      <c r="G5776" s="950" t="s">
        <v>3744</v>
      </c>
      <c r="H5776" s="950" t="s">
        <v>484</v>
      </c>
      <c r="I5776" s="951" t="s">
        <v>12985</v>
      </c>
      <c r="J5776" s="947" t="s">
        <v>12986</v>
      </c>
      <c r="K5776" s="143"/>
    </row>
    <row r="5777" spans="1:11">
      <c r="A5777" s="946" t="s">
        <v>11952</v>
      </c>
      <c r="B5777" s="947" t="s">
        <v>13683</v>
      </c>
      <c r="C5777" s="948" t="s">
        <v>13681</v>
      </c>
      <c r="D5777" s="242" t="s">
        <v>31115</v>
      </c>
      <c r="E5777" s="949">
        <v>1401</v>
      </c>
      <c r="F5777" s="949">
        <v>1401</v>
      </c>
      <c r="G5777" s="950" t="s">
        <v>3744</v>
      </c>
      <c r="H5777" s="950" t="s">
        <v>484</v>
      </c>
      <c r="I5777" s="951" t="s">
        <v>13682</v>
      </c>
      <c r="J5777" s="947" t="s">
        <v>13683</v>
      </c>
      <c r="K5777" s="143"/>
    </row>
    <row r="5778" spans="1:11">
      <c r="A5778" s="946" t="s">
        <v>11952</v>
      </c>
      <c r="B5778" s="947" t="s">
        <v>14080</v>
      </c>
      <c r="C5778" s="948" t="s">
        <v>14078</v>
      </c>
      <c r="D5778" s="242" t="s">
        <v>31115</v>
      </c>
      <c r="E5778" s="949">
        <v>1401</v>
      </c>
      <c r="F5778" s="949">
        <v>1401</v>
      </c>
      <c r="G5778" s="950" t="s">
        <v>3744</v>
      </c>
      <c r="H5778" s="950" t="s">
        <v>484</v>
      </c>
      <c r="I5778" s="951" t="s">
        <v>14079</v>
      </c>
      <c r="J5778" s="947" t="s">
        <v>14080</v>
      </c>
      <c r="K5778" s="143"/>
    </row>
    <row r="5779" spans="1:11">
      <c r="A5779" s="946" t="s">
        <v>11952</v>
      </c>
      <c r="B5779" s="947" t="s">
        <v>14625</v>
      </c>
      <c r="C5779" s="948" t="s">
        <v>14623</v>
      </c>
      <c r="D5779" s="242" t="s">
        <v>31115</v>
      </c>
      <c r="E5779" s="949">
        <v>1401</v>
      </c>
      <c r="F5779" s="949">
        <v>1401</v>
      </c>
      <c r="G5779" s="950" t="s">
        <v>3744</v>
      </c>
      <c r="H5779" s="950" t="s">
        <v>484</v>
      </c>
      <c r="I5779" s="951" t="s">
        <v>14624</v>
      </c>
      <c r="J5779" s="947" t="s">
        <v>14625</v>
      </c>
      <c r="K5779" s="143"/>
    </row>
    <row r="5780" spans="1:11">
      <c r="A5780" s="946" t="s">
        <v>11952</v>
      </c>
      <c r="B5780" s="947" t="s">
        <v>14642</v>
      </c>
      <c r="C5780" s="948" t="s">
        <v>14640</v>
      </c>
      <c r="D5780" s="242" t="s">
        <v>31115</v>
      </c>
      <c r="E5780" s="949">
        <v>1401</v>
      </c>
      <c r="F5780" s="949">
        <v>1401</v>
      </c>
      <c r="G5780" s="950" t="s">
        <v>3744</v>
      </c>
      <c r="H5780" s="950" t="s">
        <v>484</v>
      </c>
      <c r="I5780" s="951" t="s">
        <v>14641</v>
      </c>
      <c r="J5780" s="947" t="s">
        <v>14642</v>
      </c>
      <c r="K5780" s="143"/>
    </row>
    <row r="5781" spans="1:11">
      <c r="A5781" s="946" t="s">
        <v>11952</v>
      </c>
      <c r="B5781" s="947" t="s">
        <v>14856</v>
      </c>
      <c r="C5781" s="948" t="s">
        <v>14854</v>
      </c>
      <c r="D5781" s="242" t="s">
        <v>31115</v>
      </c>
      <c r="E5781" s="949">
        <v>1401</v>
      </c>
      <c r="F5781" s="949">
        <v>1401</v>
      </c>
      <c r="G5781" s="950" t="s">
        <v>3744</v>
      </c>
      <c r="H5781" s="950" t="s">
        <v>484</v>
      </c>
      <c r="I5781" s="951" t="s">
        <v>14855</v>
      </c>
      <c r="J5781" s="947" t="s">
        <v>14856</v>
      </c>
      <c r="K5781" s="143"/>
    </row>
    <row r="5782" spans="1:11">
      <c r="A5782" s="946" t="s">
        <v>11952</v>
      </c>
      <c r="B5782" s="947" t="s">
        <v>14859</v>
      </c>
      <c r="C5782" s="948" t="s">
        <v>14857</v>
      </c>
      <c r="D5782" s="242" t="s">
        <v>31115</v>
      </c>
      <c r="E5782" s="949">
        <v>1401</v>
      </c>
      <c r="F5782" s="949">
        <v>1401</v>
      </c>
      <c r="G5782" s="950" t="s">
        <v>3744</v>
      </c>
      <c r="H5782" s="950" t="s">
        <v>484</v>
      </c>
      <c r="I5782" s="951" t="s">
        <v>14858</v>
      </c>
      <c r="J5782" s="947" t="s">
        <v>14859</v>
      </c>
      <c r="K5782" s="143"/>
    </row>
    <row r="5783" spans="1:11">
      <c r="A5783" s="946" t="s">
        <v>11952</v>
      </c>
      <c r="B5783" s="947" t="s">
        <v>15586</v>
      </c>
      <c r="C5783" s="948" t="s">
        <v>15584</v>
      </c>
      <c r="D5783" s="242" t="s">
        <v>31115</v>
      </c>
      <c r="E5783" s="949">
        <v>1401</v>
      </c>
      <c r="F5783" s="949">
        <v>1401</v>
      </c>
      <c r="G5783" s="950" t="s">
        <v>3744</v>
      </c>
      <c r="H5783" s="950" t="s">
        <v>484</v>
      </c>
      <c r="I5783" s="951" t="s">
        <v>15585</v>
      </c>
      <c r="J5783" s="947" t="s">
        <v>15586</v>
      </c>
      <c r="K5783" s="143"/>
    </row>
    <row r="5784" spans="1:11">
      <c r="A5784" s="946" t="s">
        <v>11952</v>
      </c>
      <c r="B5784" s="947" t="s">
        <v>15916</v>
      </c>
      <c r="C5784" s="948" t="s">
        <v>15914</v>
      </c>
      <c r="D5784" s="242" t="s">
        <v>31115</v>
      </c>
      <c r="E5784" s="949">
        <v>1401</v>
      </c>
      <c r="F5784" s="949">
        <v>1401</v>
      </c>
      <c r="G5784" s="950" t="s">
        <v>3744</v>
      </c>
      <c r="H5784" s="950" t="s">
        <v>484</v>
      </c>
      <c r="I5784" s="951" t="s">
        <v>15915</v>
      </c>
      <c r="J5784" s="947" t="s">
        <v>15916</v>
      </c>
      <c r="K5784" s="143"/>
    </row>
    <row r="5785" spans="1:11">
      <c r="A5785" s="946" t="s">
        <v>11952</v>
      </c>
      <c r="B5785" s="947" t="s">
        <v>16275</v>
      </c>
      <c r="C5785" s="948" t="s">
        <v>16273</v>
      </c>
      <c r="D5785" s="242" t="s">
        <v>31115</v>
      </c>
      <c r="E5785" s="949">
        <v>1401</v>
      </c>
      <c r="F5785" s="949">
        <v>1401</v>
      </c>
      <c r="G5785" s="950" t="s">
        <v>3744</v>
      </c>
      <c r="H5785" s="950" t="s">
        <v>484</v>
      </c>
      <c r="I5785" s="951" t="s">
        <v>16274</v>
      </c>
      <c r="J5785" s="947" t="s">
        <v>16275</v>
      </c>
      <c r="K5785" s="143"/>
    </row>
    <row r="5786" spans="1:11">
      <c r="A5786" s="946" t="s">
        <v>11952</v>
      </c>
      <c r="B5786" s="947" t="s">
        <v>16348</v>
      </c>
      <c r="C5786" s="948" t="s">
        <v>16346</v>
      </c>
      <c r="D5786" s="242" t="s">
        <v>31115</v>
      </c>
      <c r="E5786" s="949">
        <v>1401</v>
      </c>
      <c r="F5786" s="949">
        <v>1401</v>
      </c>
      <c r="G5786" s="950" t="s">
        <v>3744</v>
      </c>
      <c r="H5786" s="950" t="s">
        <v>484</v>
      </c>
      <c r="I5786" s="951" t="s">
        <v>16347</v>
      </c>
      <c r="J5786" s="947" t="s">
        <v>16348</v>
      </c>
      <c r="K5786" s="143"/>
    </row>
    <row r="5787" spans="1:11">
      <c r="A5787" s="946" t="s">
        <v>11952</v>
      </c>
      <c r="B5787" s="947" t="s">
        <v>16354</v>
      </c>
      <c r="C5787" s="948" t="s">
        <v>16352</v>
      </c>
      <c r="D5787" s="242" t="s">
        <v>31115</v>
      </c>
      <c r="E5787" s="949">
        <v>1401</v>
      </c>
      <c r="F5787" s="949">
        <v>1401</v>
      </c>
      <c r="G5787" s="950" t="s">
        <v>3744</v>
      </c>
      <c r="H5787" s="950" t="s">
        <v>484</v>
      </c>
      <c r="I5787" s="951" t="s">
        <v>16353</v>
      </c>
      <c r="J5787" s="947" t="s">
        <v>16354</v>
      </c>
      <c r="K5787" s="143"/>
    </row>
    <row r="5788" spans="1:11">
      <c r="A5788" s="946" t="s">
        <v>11952</v>
      </c>
      <c r="B5788" s="947" t="s">
        <v>16706</v>
      </c>
      <c r="C5788" s="948" t="s">
        <v>16704</v>
      </c>
      <c r="D5788" s="242" t="s">
        <v>31115</v>
      </c>
      <c r="E5788" s="949">
        <v>1401</v>
      </c>
      <c r="F5788" s="949">
        <v>1401</v>
      </c>
      <c r="G5788" s="950" t="s">
        <v>3744</v>
      </c>
      <c r="H5788" s="950" t="s">
        <v>484</v>
      </c>
      <c r="I5788" s="951" t="s">
        <v>16705</v>
      </c>
      <c r="J5788" s="947" t="s">
        <v>16706</v>
      </c>
      <c r="K5788" s="143"/>
    </row>
    <row r="5789" spans="1:11">
      <c r="A5789" s="946" t="s">
        <v>11952</v>
      </c>
      <c r="B5789" s="947" t="s">
        <v>17003</v>
      </c>
      <c r="C5789" s="948" t="s">
        <v>17001</v>
      </c>
      <c r="D5789" s="242" t="s">
        <v>31115</v>
      </c>
      <c r="E5789" s="949">
        <v>1401</v>
      </c>
      <c r="F5789" s="949">
        <v>1401</v>
      </c>
      <c r="G5789" s="950" t="s">
        <v>3744</v>
      </c>
      <c r="H5789" s="950" t="s">
        <v>484</v>
      </c>
      <c r="I5789" s="951" t="s">
        <v>17002</v>
      </c>
      <c r="J5789" s="947" t="s">
        <v>17003</v>
      </c>
      <c r="K5789" s="143"/>
    </row>
    <row r="5790" spans="1:11">
      <c r="A5790" s="946" t="s">
        <v>11952</v>
      </c>
      <c r="B5790" s="947" t="s">
        <v>17233</v>
      </c>
      <c r="C5790" s="948" t="s">
        <v>17231</v>
      </c>
      <c r="D5790" s="242" t="s">
        <v>31115</v>
      </c>
      <c r="E5790" s="949">
        <v>1401</v>
      </c>
      <c r="F5790" s="949">
        <v>1401</v>
      </c>
      <c r="G5790" s="950" t="s">
        <v>3744</v>
      </c>
      <c r="H5790" s="950" t="s">
        <v>484</v>
      </c>
      <c r="I5790" s="951" t="s">
        <v>17232</v>
      </c>
      <c r="J5790" s="947" t="s">
        <v>17233</v>
      </c>
      <c r="K5790" s="143"/>
    </row>
    <row r="5791" spans="1:11">
      <c r="A5791" s="946" t="s">
        <v>11952</v>
      </c>
      <c r="B5791" s="947" t="s">
        <v>17418</v>
      </c>
      <c r="C5791" s="948" t="s">
        <v>17416</v>
      </c>
      <c r="D5791" s="242" t="s">
        <v>31115</v>
      </c>
      <c r="E5791" s="949">
        <v>1401</v>
      </c>
      <c r="F5791" s="949">
        <v>1401</v>
      </c>
      <c r="G5791" s="950" t="s">
        <v>3744</v>
      </c>
      <c r="H5791" s="950" t="s">
        <v>484</v>
      </c>
      <c r="I5791" s="951" t="s">
        <v>17417</v>
      </c>
      <c r="J5791" s="947" t="s">
        <v>17418</v>
      </c>
      <c r="K5791" s="143"/>
    </row>
    <row r="5792" spans="1:11">
      <c r="A5792" s="946" t="s">
        <v>11952</v>
      </c>
      <c r="B5792" s="947" t="s">
        <v>17559</v>
      </c>
      <c r="C5792" s="948" t="s">
        <v>17557</v>
      </c>
      <c r="D5792" s="242" t="s">
        <v>31115</v>
      </c>
      <c r="E5792" s="949">
        <v>1401</v>
      </c>
      <c r="F5792" s="949">
        <v>1401</v>
      </c>
      <c r="G5792" s="950" t="s">
        <v>3744</v>
      </c>
      <c r="H5792" s="950" t="s">
        <v>484</v>
      </c>
      <c r="I5792" s="951" t="s">
        <v>17558</v>
      </c>
      <c r="J5792" s="947" t="s">
        <v>17559</v>
      </c>
      <c r="K5792" s="143"/>
    </row>
    <row r="5793" spans="1:11">
      <c r="A5793" s="946" t="s">
        <v>11952</v>
      </c>
      <c r="B5793" s="947" t="s">
        <v>17617</v>
      </c>
      <c r="C5793" s="948" t="s">
        <v>17615</v>
      </c>
      <c r="D5793" s="242" t="s">
        <v>31115</v>
      </c>
      <c r="E5793" s="949">
        <v>1401</v>
      </c>
      <c r="F5793" s="949">
        <v>1401</v>
      </c>
      <c r="G5793" s="950" t="s">
        <v>3744</v>
      </c>
      <c r="H5793" s="950" t="s">
        <v>484</v>
      </c>
      <c r="I5793" s="951" t="s">
        <v>17616</v>
      </c>
      <c r="J5793" s="947" t="s">
        <v>17617</v>
      </c>
      <c r="K5793" s="143"/>
    </row>
    <row r="5794" spans="1:11">
      <c r="A5794" s="946" t="s">
        <v>11952</v>
      </c>
      <c r="B5794" s="947" t="s">
        <v>17723</v>
      </c>
      <c r="C5794" s="948" t="s">
        <v>17721</v>
      </c>
      <c r="D5794" s="242" t="s">
        <v>31115</v>
      </c>
      <c r="E5794" s="949">
        <v>1401</v>
      </c>
      <c r="F5794" s="949">
        <v>1401</v>
      </c>
      <c r="G5794" s="950" t="s">
        <v>3744</v>
      </c>
      <c r="H5794" s="950" t="s">
        <v>484</v>
      </c>
      <c r="I5794" s="951" t="s">
        <v>17722</v>
      </c>
      <c r="J5794" s="947" t="s">
        <v>17723</v>
      </c>
      <c r="K5794" s="143"/>
    </row>
    <row r="5795" spans="1:11">
      <c r="A5795" s="946" t="s">
        <v>11952</v>
      </c>
      <c r="B5795" s="947" t="s">
        <v>17754</v>
      </c>
      <c r="C5795" s="948" t="s">
        <v>17752</v>
      </c>
      <c r="D5795" s="242" t="s">
        <v>31115</v>
      </c>
      <c r="E5795" s="949">
        <v>1401</v>
      </c>
      <c r="F5795" s="949">
        <v>1401</v>
      </c>
      <c r="G5795" s="950" t="s">
        <v>3744</v>
      </c>
      <c r="H5795" s="950" t="s">
        <v>484</v>
      </c>
      <c r="I5795" s="951" t="s">
        <v>17753</v>
      </c>
      <c r="J5795" s="947" t="s">
        <v>17754</v>
      </c>
      <c r="K5795" s="143"/>
    </row>
    <row r="5796" spans="1:11">
      <c r="A5796" s="946" t="s">
        <v>11952</v>
      </c>
      <c r="B5796" s="947" t="s">
        <v>17757</v>
      </c>
      <c r="C5796" s="948" t="s">
        <v>17755</v>
      </c>
      <c r="D5796" s="242" t="s">
        <v>31115</v>
      </c>
      <c r="E5796" s="949">
        <v>1401</v>
      </c>
      <c r="F5796" s="949">
        <v>1401</v>
      </c>
      <c r="G5796" s="950" t="s">
        <v>3744</v>
      </c>
      <c r="H5796" s="950" t="s">
        <v>484</v>
      </c>
      <c r="I5796" s="951" t="s">
        <v>17756</v>
      </c>
      <c r="J5796" s="947" t="s">
        <v>17757</v>
      </c>
      <c r="K5796" s="143"/>
    </row>
    <row r="5797" spans="1:11">
      <c r="A5797" s="946" t="s">
        <v>11952</v>
      </c>
      <c r="B5797" s="947" t="s">
        <v>17912</v>
      </c>
      <c r="C5797" s="948" t="s">
        <v>17910</v>
      </c>
      <c r="D5797" s="242" t="s">
        <v>31115</v>
      </c>
      <c r="E5797" s="949">
        <v>1401</v>
      </c>
      <c r="F5797" s="949">
        <v>1401</v>
      </c>
      <c r="G5797" s="950" t="s">
        <v>3744</v>
      </c>
      <c r="H5797" s="950" t="s">
        <v>484</v>
      </c>
      <c r="I5797" s="951" t="s">
        <v>17911</v>
      </c>
      <c r="J5797" s="947" t="s">
        <v>17912</v>
      </c>
      <c r="K5797" s="143"/>
    </row>
    <row r="5798" spans="1:11">
      <c r="A5798" s="946" t="s">
        <v>11952</v>
      </c>
      <c r="B5798" s="947" t="s">
        <v>17942</v>
      </c>
      <c r="C5798" s="948" t="s">
        <v>17940</v>
      </c>
      <c r="D5798" s="242" t="s">
        <v>31115</v>
      </c>
      <c r="E5798" s="949">
        <v>1401</v>
      </c>
      <c r="F5798" s="949">
        <v>1401</v>
      </c>
      <c r="G5798" s="950" t="s">
        <v>3744</v>
      </c>
      <c r="H5798" s="950" t="s">
        <v>484</v>
      </c>
      <c r="I5798" s="951" t="s">
        <v>17941</v>
      </c>
      <c r="J5798" s="947" t="s">
        <v>17942</v>
      </c>
      <c r="K5798" s="143"/>
    </row>
    <row r="5799" spans="1:11">
      <c r="A5799" s="946" t="s">
        <v>11952</v>
      </c>
      <c r="B5799" s="947" t="s">
        <v>18147</v>
      </c>
      <c r="C5799" s="948" t="s">
        <v>18145</v>
      </c>
      <c r="D5799" s="242" t="s">
        <v>31115</v>
      </c>
      <c r="E5799" s="949">
        <v>1401</v>
      </c>
      <c r="F5799" s="949">
        <v>1401</v>
      </c>
      <c r="G5799" s="950" t="s">
        <v>3744</v>
      </c>
      <c r="H5799" s="950" t="s">
        <v>484</v>
      </c>
      <c r="I5799" s="951" t="s">
        <v>18146</v>
      </c>
      <c r="J5799" s="947" t="s">
        <v>18147</v>
      </c>
      <c r="K5799" s="143"/>
    </row>
    <row r="5800" spans="1:11">
      <c r="A5800" s="946" t="s">
        <v>11952</v>
      </c>
      <c r="B5800" s="947" t="s">
        <v>18403</v>
      </c>
      <c r="C5800" s="948" t="s">
        <v>18401</v>
      </c>
      <c r="D5800" s="242" t="s">
        <v>31115</v>
      </c>
      <c r="E5800" s="949">
        <v>1401</v>
      </c>
      <c r="F5800" s="949">
        <v>1401</v>
      </c>
      <c r="G5800" s="950" t="s">
        <v>3744</v>
      </c>
      <c r="H5800" s="950" t="s">
        <v>484</v>
      </c>
      <c r="I5800" s="951" t="s">
        <v>18402</v>
      </c>
      <c r="J5800" s="947" t="s">
        <v>18403</v>
      </c>
      <c r="K5800" s="143"/>
    </row>
    <row r="5801" spans="1:11">
      <c r="A5801" s="946" t="s">
        <v>11952</v>
      </c>
      <c r="B5801" s="947" t="s">
        <v>18649</v>
      </c>
      <c r="C5801" s="948" t="s">
        <v>18647</v>
      </c>
      <c r="D5801" s="242" t="s">
        <v>31115</v>
      </c>
      <c r="E5801" s="949">
        <v>1401</v>
      </c>
      <c r="F5801" s="949">
        <v>1401</v>
      </c>
      <c r="G5801" s="950" t="s">
        <v>3744</v>
      </c>
      <c r="H5801" s="950" t="s">
        <v>484</v>
      </c>
      <c r="I5801" s="951" t="s">
        <v>18648</v>
      </c>
      <c r="J5801" s="947" t="s">
        <v>18649</v>
      </c>
      <c r="K5801" s="143"/>
    </row>
    <row r="5802" spans="1:11">
      <c r="A5802" s="946" t="s">
        <v>11952</v>
      </c>
      <c r="B5802" s="947" t="s">
        <v>18712</v>
      </c>
      <c r="C5802" s="948" t="s">
        <v>18710</v>
      </c>
      <c r="D5802" s="242" t="s">
        <v>31115</v>
      </c>
      <c r="E5802" s="949">
        <v>1401</v>
      </c>
      <c r="F5802" s="949">
        <v>1401</v>
      </c>
      <c r="G5802" s="950" t="s">
        <v>3744</v>
      </c>
      <c r="H5802" s="950" t="s">
        <v>484</v>
      </c>
      <c r="I5802" s="951" t="s">
        <v>18711</v>
      </c>
      <c r="J5802" s="947" t="s">
        <v>18712</v>
      </c>
      <c r="K5802" s="143"/>
    </row>
    <row r="5803" spans="1:11">
      <c r="A5803" s="946" t="s">
        <v>11952</v>
      </c>
      <c r="B5803" s="947" t="s">
        <v>19273</v>
      </c>
      <c r="C5803" s="948" t="s">
        <v>19271</v>
      </c>
      <c r="D5803" s="242" t="s">
        <v>31115</v>
      </c>
      <c r="E5803" s="949">
        <v>1401</v>
      </c>
      <c r="F5803" s="949">
        <v>1401</v>
      </c>
      <c r="G5803" s="950" t="s">
        <v>3744</v>
      </c>
      <c r="H5803" s="950" t="s">
        <v>484</v>
      </c>
      <c r="I5803" s="951" t="s">
        <v>19272</v>
      </c>
      <c r="J5803" s="947" t="s">
        <v>19273</v>
      </c>
      <c r="K5803" s="143"/>
    </row>
    <row r="5804" spans="1:11">
      <c r="A5804" s="946" t="s">
        <v>11952</v>
      </c>
      <c r="B5804" s="947" t="s">
        <v>19900</v>
      </c>
      <c r="C5804" s="948" t="s">
        <v>19898</v>
      </c>
      <c r="D5804" s="242" t="s">
        <v>31115</v>
      </c>
      <c r="E5804" s="949">
        <v>1401</v>
      </c>
      <c r="F5804" s="949">
        <v>1401</v>
      </c>
      <c r="G5804" s="950" t="s">
        <v>3744</v>
      </c>
      <c r="H5804" s="950" t="s">
        <v>484</v>
      </c>
      <c r="I5804" s="951" t="s">
        <v>19899</v>
      </c>
      <c r="J5804" s="947" t="s">
        <v>19900</v>
      </c>
      <c r="K5804" s="143"/>
    </row>
    <row r="5805" spans="1:11">
      <c r="A5805" s="946" t="s">
        <v>11952</v>
      </c>
      <c r="B5805" s="947" t="s">
        <v>20257</v>
      </c>
      <c r="C5805" s="948" t="s">
        <v>20255</v>
      </c>
      <c r="D5805" s="242" t="s">
        <v>31115</v>
      </c>
      <c r="E5805" s="949">
        <v>1401</v>
      </c>
      <c r="F5805" s="949">
        <v>1401</v>
      </c>
      <c r="G5805" s="950" t="s">
        <v>3744</v>
      </c>
      <c r="H5805" s="950" t="s">
        <v>484</v>
      </c>
      <c r="I5805" s="951" t="s">
        <v>20256</v>
      </c>
      <c r="J5805" s="947" t="s">
        <v>20257</v>
      </c>
      <c r="K5805" s="143"/>
    </row>
    <row r="5806" spans="1:11">
      <c r="A5806" s="946" t="s">
        <v>11952</v>
      </c>
      <c r="B5806" s="947" t="s">
        <v>20354</v>
      </c>
      <c r="C5806" s="948" t="s">
        <v>20352</v>
      </c>
      <c r="D5806" s="242" t="s">
        <v>31115</v>
      </c>
      <c r="E5806" s="949">
        <v>1401</v>
      </c>
      <c r="F5806" s="949">
        <v>1401</v>
      </c>
      <c r="G5806" s="950" t="s">
        <v>3744</v>
      </c>
      <c r="H5806" s="950" t="s">
        <v>484</v>
      </c>
      <c r="I5806" s="951" t="s">
        <v>20353</v>
      </c>
      <c r="J5806" s="947" t="s">
        <v>20354</v>
      </c>
      <c r="K5806" s="143"/>
    </row>
    <row r="5807" spans="1:11">
      <c r="A5807" s="946" t="s">
        <v>11952</v>
      </c>
      <c r="B5807" s="947" t="s">
        <v>20573</v>
      </c>
      <c r="C5807" s="948" t="s">
        <v>20571</v>
      </c>
      <c r="D5807" s="242" t="s">
        <v>31115</v>
      </c>
      <c r="E5807" s="949">
        <v>1401</v>
      </c>
      <c r="F5807" s="949">
        <v>1401</v>
      </c>
      <c r="G5807" s="950" t="s">
        <v>3744</v>
      </c>
      <c r="H5807" s="950" t="s">
        <v>484</v>
      </c>
      <c r="I5807" s="951" t="s">
        <v>20572</v>
      </c>
      <c r="J5807" s="947" t="s">
        <v>20573</v>
      </c>
      <c r="K5807" s="143"/>
    </row>
    <row r="5808" spans="1:11">
      <c r="A5808" s="946" t="s">
        <v>11952</v>
      </c>
      <c r="B5808" s="947" t="s">
        <v>20611</v>
      </c>
      <c r="C5808" s="948" t="s">
        <v>20609</v>
      </c>
      <c r="D5808" s="242" t="s">
        <v>31115</v>
      </c>
      <c r="E5808" s="949">
        <v>1401</v>
      </c>
      <c r="F5808" s="949">
        <v>1401</v>
      </c>
      <c r="G5808" s="950" t="s">
        <v>3744</v>
      </c>
      <c r="H5808" s="950" t="s">
        <v>484</v>
      </c>
      <c r="I5808" s="951" t="s">
        <v>20610</v>
      </c>
      <c r="J5808" s="947" t="s">
        <v>20611</v>
      </c>
      <c r="K5808" s="143"/>
    </row>
    <row r="5809" spans="1:11">
      <c r="A5809" s="946" t="s">
        <v>11952</v>
      </c>
      <c r="B5809" s="947" t="s">
        <v>21059</v>
      </c>
      <c r="C5809" s="948" t="s">
        <v>21057</v>
      </c>
      <c r="D5809" s="242" t="s">
        <v>31115</v>
      </c>
      <c r="E5809" s="949">
        <v>1401</v>
      </c>
      <c r="F5809" s="949">
        <v>1401</v>
      </c>
      <c r="G5809" s="950" t="s">
        <v>3744</v>
      </c>
      <c r="H5809" s="950" t="s">
        <v>484</v>
      </c>
      <c r="I5809" s="951" t="s">
        <v>21058</v>
      </c>
      <c r="J5809" s="947" t="s">
        <v>21059</v>
      </c>
      <c r="K5809" s="143"/>
    </row>
    <row r="5810" spans="1:11">
      <c r="A5810" s="946" t="s">
        <v>11952</v>
      </c>
      <c r="B5810" s="947" t="s">
        <v>21104</v>
      </c>
      <c r="C5810" s="948" t="s">
        <v>21102</v>
      </c>
      <c r="D5810" s="242" t="s">
        <v>31115</v>
      </c>
      <c r="E5810" s="949">
        <v>1401</v>
      </c>
      <c r="F5810" s="949">
        <v>1401</v>
      </c>
      <c r="G5810" s="950" t="s">
        <v>3744</v>
      </c>
      <c r="H5810" s="950" t="s">
        <v>484</v>
      </c>
      <c r="I5810" s="951" t="s">
        <v>21103</v>
      </c>
      <c r="J5810" s="947" t="s">
        <v>21104</v>
      </c>
      <c r="K5810" s="143"/>
    </row>
    <row r="5811" spans="1:11">
      <c r="A5811" s="946" t="s">
        <v>11952</v>
      </c>
      <c r="B5811" s="947" t="s">
        <v>21208</v>
      </c>
      <c r="C5811" s="948" t="s">
        <v>21206</v>
      </c>
      <c r="D5811" s="242" t="s">
        <v>31115</v>
      </c>
      <c r="E5811" s="949">
        <v>1401</v>
      </c>
      <c r="F5811" s="949">
        <v>1401</v>
      </c>
      <c r="G5811" s="950" t="s">
        <v>3744</v>
      </c>
      <c r="H5811" s="950" t="s">
        <v>484</v>
      </c>
      <c r="I5811" s="951" t="s">
        <v>21207</v>
      </c>
      <c r="J5811" s="947" t="s">
        <v>21208</v>
      </c>
      <c r="K5811" s="143"/>
    </row>
    <row r="5812" spans="1:11">
      <c r="A5812" s="946" t="s">
        <v>11952</v>
      </c>
      <c r="B5812" s="947" t="s">
        <v>22369</v>
      </c>
      <c r="C5812" s="948" t="s">
        <v>22367</v>
      </c>
      <c r="D5812" s="242" t="s">
        <v>31115</v>
      </c>
      <c r="E5812" s="949">
        <v>1401</v>
      </c>
      <c r="F5812" s="949">
        <v>1401</v>
      </c>
      <c r="G5812" s="950" t="s">
        <v>3744</v>
      </c>
      <c r="H5812" s="950" t="s">
        <v>484</v>
      </c>
      <c r="I5812" s="951" t="s">
        <v>22368</v>
      </c>
      <c r="J5812" s="947" t="s">
        <v>22369</v>
      </c>
      <c r="K5812" s="143"/>
    </row>
    <row r="5813" spans="1:11">
      <c r="A5813" s="946" t="s">
        <v>28615</v>
      </c>
      <c r="B5813" s="947" t="s">
        <v>376</v>
      </c>
      <c r="C5813" s="948" t="s">
        <v>371</v>
      </c>
      <c r="D5813" s="242" t="s">
        <v>372</v>
      </c>
      <c r="E5813" s="949">
        <v>1601</v>
      </c>
      <c r="F5813" s="949">
        <v>1601</v>
      </c>
      <c r="G5813" s="950" t="s">
        <v>373</v>
      </c>
      <c r="H5813" s="950" t="s">
        <v>374</v>
      </c>
      <c r="I5813" s="951" t="s">
        <v>375</v>
      </c>
      <c r="J5813" s="947" t="s">
        <v>376</v>
      </c>
      <c r="K5813" s="143"/>
    </row>
    <row r="5814" spans="1:11">
      <c r="A5814" s="946" t="s">
        <v>28615</v>
      </c>
      <c r="B5814" s="947" t="s">
        <v>807</v>
      </c>
      <c r="C5814" s="948" t="s">
        <v>805</v>
      </c>
      <c r="D5814" s="242" t="s">
        <v>372</v>
      </c>
      <c r="E5814" s="949">
        <v>1601</v>
      </c>
      <c r="F5814" s="949">
        <v>1601</v>
      </c>
      <c r="G5814" s="950" t="s">
        <v>373</v>
      </c>
      <c r="H5814" s="950" t="s">
        <v>374</v>
      </c>
      <c r="I5814" s="951" t="s">
        <v>806</v>
      </c>
      <c r="J5814" s="947" t="s">
        <v>807</v>
      </c>
      <c r="K5814" s="143"/>
    </row>
    <row r="5815" spans="1:11">
      <c r="A5815" s="946" t="s">
        <v>28615</v>
      </c>
      <c r="B5815" s="947" t="s">
        <v>1223</v>
      </c>
      <c r="C5815" s="948" t="s">
        <v>1221</v>
      </c>
      <c r="D5815" s="242" t="s">
        <v>372</v>
      </c>
      <c r="E5815" s="949">
        <v>1601</v>
      </c>
      <c r="F5815" s="949">
        <v>1601</v>
      </c>
      <c r="G5815" s="950" t="s">
        <v>373</v>
      </c>
      <c r="H5815" s="950" t="s">
        <v>374</v>
      </c>
      <c r="I5815" s="951" t="s">
        <v>1222</v>
      </c>
      <c r="J5815" s="947" t="s">
        <v>1223</v>
      </c>
      <c r="K5815" s="143"/>
    </row>
    <row r="5816" spans="1:11">
      <c r="A5816" s="946" t="s">
        <v>28615</v>
      </c>
      <c r="B5816" s="947" t="s">
        <v>1269</v>
      </c>
      <c r="C5816" s="948" t="s">
        <v>1267</v>
      </c>
      <c r="D5816" s="242" t="s">
        <v>372</v>
      </c>
      <c r="E5816" s="949">
        <v>1601</v>
      </c>
      <c r="F5816" s="949">
        <v>1601</v>
      </c>
      <c r="G5816" s="950" t="s">
        <v>373</v>
      </c>
      <c r="H5816" s="950" t="s">
        <v>374</v>
      </c>
      <c r="I5816" s="951" t="s">
        <v>1268</v>
      </c>
      <c r="J5816" s="947" t="s">
        <v>1269</v>
      </c>
      <c r="K5816" s="143"/>
    </row>
    <row r="5817" spans="1:11">
      <c r="A5817" s="946" t="s">
        <v>28615</v>
      </c>
      <c r="B5817" s="947" t="s">
        <v>1547</v>
      </c>
      <c r="C5817" s="948" t="s">
        <v>1545</v>
      </c>
      <c r="D5817" s="242" t="s">
        <v>372</v>
      </c>
      <c r="E5817" s="949">
        <v>1601</v>
      </c>
      <c r="F5817" s="949">
        <v>1601</v>
      </c>
      <c r="G5817" s="950" t="s">
        <v>373</v>
      </c>
      <c r="H5817" s="950" t="s">
        <v>374</v>
      </c>
      <c r="I5817" s="951" t="s">
        <v>1546</v>
      </c>
      <c r="J5817" s="947" t="s">
        <v>1547</v>
      </c>
      <c r="K5817" s="143"/>
    </row>
    <row r="5818" spans="1:11">
      <c r="A5818" s="946" t="s">
        <v>28615</v>
      </c>
      <c r="B5818" s="947" t="s">
        <v>2423</v>
      </c>
      <c r="C5818" s="948" t="s">
        <v>2421</v>
      </c>
      <c r="D5818" s="242" t="s">
        <v>372</v>
      </c>
      <c r="E5818" s="949">
        <v>1601</v>
      </c>
      <c r="F5818" s="949">
        <v>1601</v>
      </c>
      <c r="G5818" s="950" t="s">
        <v>373</v>
      </c>
      <c r="H5818" s="950" t="s">
        <v>374</v>
      </c>
      <c r="I5818" s="951" t="s">
        <v>2422</v>
      </c>
      <c r="J5818" s="947" t="s">
        <v>2423</v>
      </c>
      <c r="K5818" s="143"/>
    </row>
    <row r="5819" spans="1:11">
      <c r="A5819" s="946" t="s">
        <v>28615</v>
      </c>
      <c r="B5819" s="947" t="s">
        <v>2926</v>
      </c>
      <c r="C5819" s="948" t="s">
        <v>2924</v>
      </c>
      <c r="D5819" s="242" t="s">
        <v>372</v>
      </c>
      <c r="E5819" s="949">
        <v>1601</v>
      </c>
      <c r="F5819" s="949">
        <v>1601</v>
      </c>
      <c r="G5819" s="950" t="s">
        <v>373</v>
      </c>
      <c r="H5819" s="950" t="s">
        <v>374</v>
      </c>
      <c r="I5819" s="951" t="s">
        <v>2925</v>
      </c>
      <c r="J5819" s="947" t="s">
        <v>2926</v>
      </c>
      <c r="K5819" s="143"/>
    </row>
    <row r="5820" spans="1:11">
      <c r="A5820" s="946" t="s">
        <v>28615</v>
      </c>
      <c r="B5820" s="947" t="s">
        <v>3384</v>
      </c>
      <c r="C5820" s="948" t="s">
        <v>3382</v>
      </c>
      <c r="D5820" s="242" t="s">
        <v>372</v>
      </c>
      <c r="E5820" s="949">
        <v>1601</v>
      </c>
      <c r="F5820" s="949">
        <v>1601</v>
      </c>
      <c r="G5820" s="950" t="s">
        <v>373</v>
      </c>
      <c r="H5820" s="950" t="s">
        <v>374</v>
      </c>
      <c r="I5820" s="951" t="s">
        <v>3383</v>
      </c>
      <c r="J5820" s="947" t="s">
        <v>3384</v>
      </c>
      <c r="K5820" s="143"/>
    </row>
    <row r="5821" spans="1:11">
      <c r="A5821" s="946" t="s">
        <v>28615</v>
      </c>
      <c r="B5821" s="947" t="s">
        <v>3885</v>
      </c>
      <c r="C5821" s="948" t="s">
        <v>3883</v>
      </c>
      <c r="D5821" s="242" t="s">
        <v>372</v>
      </c>
      <c r="E5821" s="949">
        <v>1601</v>
      </c>
      <c r="F5821" s="949">
        <v>1601</v>
      </c>
      <c r="G5821" s="950" t="s">
        <v>373</v>
      </c>
      <c r="H5821" s="950" t="s">
        <v>374</v>
      </c>
      <c r="I5821" s="951" t="s">
        <v>3884</v>
      </c>
      <c r="J5821" s="947" t="s">
        <v>3885</v>
      </c>
      <c r="K5821" s="143"/>
    </row>
    <row r="5822" spans="1:11">
      <c r="A5822" s="946" t="s">
        <v>28615</v>
      </c>
      <c r="B5822" s="947" t="s">
        <v>4209</v>
      </c>
      <c r="C5822" s="948" t="s">
        <v>4207</v>
      </c>
      <c r="D5822" s="242" t="s">
        <v>372</v>
      </c>
      <c r="E5822" s="949">
        <v>1601</v>
      </c>
      <c r="F5822" s="949">
        <v>1601</v>
      </c>
      <c r="G5822" s="950" t="s">
        <v>373</v>
      </c>
      <c r="H5822" s="950" t="s">
        <v>374</v>
      </c>
      <c r="I5822" s="951" t="s">
        <v>4208</v>
      </c>
      <c r="J5822" s="947" t="s">
        <v>4209</v>
      </c>
      <c r="K5822" s="143"/>
    </row>
    <row r="5823" spans="1:11">
      <c r="A5823" s="946" t="s">
        <v>28615</v>
      </c>
      <c r="B5823" s="947" t="s">
        <v>4337</v>
      </c>
      <c r="C5823" s="948" t="s">
        <v>4335</v>
      </c>
      <c r="D5823" s="242" t="s">
        <v>372</v>
      </c>
      <c r="E5823" s="949">
        <v>1601</v>
      </c>
      <c r="F5823" s="949">
        <v>1601</v>
      </c>
      <c r="G5823" s="950" t="s">
        <v>373</v>
      </c>
      <c r="H5823" s="950" t="s">
        <v>374</v>
      </c>
      <c r="I5823" s="951" t="s">
        <v>4336</v>
      </c>
      <c r="J5823" s="947" t="s">
        <v>4337</v>
      </c>
      <c r="K5823" s="143"/>
    </row>
    <row r="5824" spans="1:11">
      <c r="A5824" s="946" t="s">
        <v>28615</v>
      </c>
      <c r="B5824" s="947" t="s">
        <v>4435</v>
      </c>
      <c r="C5824" s="948" t="s">
        <v>4433</v>
      </c>
      <c r="D5824" s="242" t="s">
        <v>372</v>
      </c>
      <c r="E5824" s="949">
        <v>1601</v>
      </c>
      <c r="F5824" s="949">
        <v>1601</v>
      </c>
      <c r="G5824" s="950" t="s">
        <v>373</v>
      </c>
      <c r="H5824" s="950" t="s">
        <v>374</v>
      </c>
      <c r="I5824" s="951" t="s">
        <v>4434</v>
      </c>
      <c r="J5824" s="947" t="s">
        <v>4435</v>
      </c>
      <c r="K5824" s="143"/>
    </row>
    <row r="5825" spans="1:11">
      <c r="A5825" s="946" t="s">
        <v>28615</v>
      </c>
      <c r="B5825" s="947" t="s">
        <v>4625</v>
      </c>
      <c r="C5825" s="948" t="s">
        <v>4623</v>
      </c>
      <c r="D5825" s="242" t="s">
        <v>372</v>
      </c>
      <c r="E5825" s="949">
        <v>1601</v>
      </c>
      <c r="F5825" s="949">
        <v>1601</v>
      </c>
      <c r="G5825" s="950" t="s">
        <v>373</v>
      </c>
      <c r="H5825" s="950" t="s">
        <v>374</v>
      </c>
      <c r="I5825" s="951" t="s">
        <v>4624</v>
      </c>
      <c r="J5825" s="947" t="s">
        <v>4625</v>
      </c>
      <c r="K5825" s="143"/>
    </row>
    <row r="5826" spans="1:11">
      <c r="A5826" s="946" t="s">
        <v>28615</v>
      </c>
      <c r="B5826" s="947" t="s">
        <v>4643</v>
      </c>
      <c r="C5826" s="948" t="s">
        <v>4641</v>
      </c>
      <c r="D5826" s="242" t="s">
        <v>372</v>
      </c>
      <c r="E5826" s="949">
        <v>1601</v>
      </c>
      <c r="F5826" s="949">
        <v>1601</v>
      </c>
      <c r="G5826" s="950" t="s">
        <v>373</v>
      </c>
      <c r="H5826" s="950" t="s">
        <v>374</v>
      </c>
      <c r="I5826" s="951" t="s">
        <v>4642</v>
      </c>
      <c r="J5826" s="947" t="s">
        <v>4643</v>
      </c>
      <c r="K5826" s="143"/>
    </row>
    <row r="5827" spans="1:11">
      <c r="A5827" s="946" t="s">
        <v>28615</v>
      </c>
      <c r="B5827" s="947" t="s">
        <v>5278</v>
      </c>
      <c r="C5827" s="948" t="s">
        <v>5276</v>
      </c>
      <c r="D5827" s="242" t="s">
        <v>372</v>
      </c>
      <c r="E5827" s="949">
        <v>1601</v>
      </c>
      <c r="F5827" s="949">
        <v>1601</v>
      </c>
      <c r="G5827" s="950" t="s">
        <v>373</v>
      </c>
      <c r="H5827" s="950" t="s">
        <v>374</v>
      </c>
      <c r="I5827" s="951" t="s">
        <v>5277</v>
      </c>
      <c r="J5827" s="947" t="s">
        <v>5278</v>
      </c>
      <c r="K5827" s="143"/>
    </row>
    <row r="5828" spans="1:11">
      <c r="A5828" s="946" t="s">
        <v>28615</v>
      </c>
      <c r="B5828" s="947" t="s">
        <v>5287</v>
      </c>
      <c r="C5828" s="948" t="s">
        <v>5285</v>
      </c>
      <c r="D5828" s="242" t="s">
        <v>372</v>
      </c>
      <c r="E5828" s="949">
        <v>1601</v>
      </c>
      <c r="F5828" s="949">
        <v>1601</v>
      </c>
      <c r="G5828" s="950" t="s">
        <v>373</v>
      </c>
      <c r="H5828" s="950" t="s">
        <v>374</v>
      </c>
      <c r="I5828" s="951" t="s">
        <v>5286</v>
      </c>
      <c r="J5828" s="947" t="s">
        <v>5287</v>
      </c>
      <c r="K5828" s="143"/>
    </row>
    <row r="5829" spans="1:11">
      <c r="A5829" s="946" t="s">
        <v>28615</v>
      </c>
      <c r="B5829" s="947" t="s">
        <v>5353</v>
      </c>
      <c r="C5829" s="948" t="s">
        <v>5351</v>
      </c>
      <c r="D5829" s="242" t="s">
        <v>372</v>
      </c>
      <c r="E5829" s="949">
        <v>1601</v>
      </c>
      <c r="F5829" s="949">
        <v>1601</v>
      </c>
      <c r="G5829" s="950" t="s">
        <v>373</v>
      </c>
      <c r="H5829" s="950" t="s">
        <v>374</v>
      </c>
      <c r="I5829" s="951" t="s">
        <v>5352</v>
      </c>
      <c r="J5829" s="947" t="s">
        <v>5353</v>
      </c>
      <c r="K5829" s="143"/>
    </row>
    <row r="5830" spans="1:11">
      <c r="A5830" s="946" t="s">
        <v>28615</v>
      </c>
      <c r="B5830" s="947" t="s">
        <v>5784</v>
      </c>
      <c r="C5830" s="948" t="s">
        <v>5782</v>
      </c>
      <c r="D5830" s="242" t="s">
        <v>372</v>
      </c>
      <c r="E5830" s="949">
        <v>1601</v>
      </c>
      <c r="F5830" s="949">
        <v>1601</v>
      </c>
      <c r="G5830" s="950" t="s">
        <v>373</v>
      </c>
      <c r="H5830" s="950" t="s">
        <v>374</v>
      </c>
      <c r="I5830" s="951" t="s">
        <v>5783</v>
      </c>
      <c r="J5830" s="947" t="s">
        <v>5784</v>
      </c>
      <c r="K5830" s="143"/>
    </row>
    <row r="5831" spans="1:11">
      <c r="A5831" s="946" t="s">
        <v>28615</v>
      </c>
      <c r="B5831" s="947" t="s">
        <v>5814</v>
      </c>
      <c r="C5831" s="948" t="s">
        <v>5812</v>
      </c>
      <c r="D5831" s="242" t="s">
        <v>372</v>
      </c>
      <c r="E5831" s="949">
        <v>1601</v>
      </c>
      <c r="F5831" s="949">
        <v>1601</v>
      </c>
      <c r="G5831" s="950" t="s">
        <v>373</v>
      </c>
      <c r="H5831" s="950" t="s">
        <v>374</v>
      </c>
      <c r="I5831" s="951" t="s">
        <v>5813</v>
      </c>
      <c r="J5831" s="947" t="s">
        <v>5814</v>
      </c>
      <c r="K5831" s="143"/>
    </row>
    <row r="5832" spans="1:11">
      <c r="A5832" s="946" t="s">
        <v>28615</v>
      </c>
      <c r="B5832" s="947" t="s">
        <v>5973</v>
      </c>
      <c r="C5832" s="948" t="s">
        <v>5971</v>
      </c>
      <c r="D5832" s="242" t="s">
        <v>372</v>
      </c>
      <c r="E5832" s="949">
        <v>1601</v>
      </c>
      <c r="F5832" s="949">
        <v>1601</v>
      </c>
      <c r="G5832" s="950" t="s">
        <v>373</v>
      </c>
      <c r="H5832" s="950" t="s">
        <v>374</v>
      </c>
      <c r="I5832" s="951" t="s">
        <v>5972</v>
      </c>
      <c r="J5832" s="947" t="s">
        <v>5973</v>
      </c>
      <c r="K5832" s="143"/>
    </row>
    <row r="5833" spans="1:11">
      <c r="A5833" s="946" t="s">
        <v>28615</v>
      </c>
      <c r="B5833" s="947" t="s">
        <v>6265</v>
      </c>
      <c r="C5833" s="948" t="s">
        <v>6263</v>
      </c>
      <c r="D5833" s="242" t="s">
        <v>372</v>
      </c>
      <c r="E5833" s="949">
        <v>1601</v>
      </c>
      <c r="F5833" s="949">
        <v>1601</v>
      </c>
      <c r="G5833" s="950" t="s">
        <v>373</v>
      </c>
      <c r="H5833" s="950" t="s">
        <v>374</v>
      </c>
      <c r="I5833" s="951" t="s">
        <v>6264</v>
      </c>
      <c r="J5833" s="947" t="s">
        <v>6265</v>
      </c>
      <c r="K5833" s="143"/>
    </row>
    <row r="5834" spans="1:11">
      <c r="A5834" s="946" t="s">
        <v>28615</v>
      </c>
      <c r="B5834" s="947" t="s">
        <v>7595</v>
      </c>
      <c r="C5834" s="948" t="s">
        <v>7593</v>
      </c>
      <c r="D5834" s="242" t="s">
        <v>372</v>
      </c>
      <c r="E5834" s="949">
        <v>1601</v>
      </c>
      <c r="F5834" s="949">
        <v>1601</v>
      </c>
      <c r="G5834" s="950" t="s">
        <v>373</v>
      </c>
      <c r="H5834" s="950" t="s">
        <v>374</v>
      </c>
      <c r="I5834" s="951" t="s">
        <v>7594</v>
      </c>
      <c r="J5834" s="947" t="s">
        <v>7595</v>
      </c>
      <c r="K5834" s="143"/>
    </row>
    <row r="5835" spans="1:11">
      <c r="A5835" s="946" t="s">
        <v>28615</v>
      </c>
      <c r="B5835" s="947" t="s">
        <v>7959</v>
      </c>
      <c r="C5835" s="948" t="s">
        <v>7957</v>
      </c>
      <c r="D5835" s="242" t="s">
        <v>372</v>
      </c>
      <c r="E5835" s="949">
        <v>1601</v>
      </c>
      <c r="F5835" s="949">
        <v>1601</v>
      </c>
      <c r="G5835" s="950" t="s">
        <v>373</v>
      </c>
      <c r="H5835" s="950" t="s">
        <v>374</v>
      </c>
      <c r="I5835" s="951" t="s">
        <v>7958</v>
      </c>
      <c r="J5835" s="947" t="s">
        <v>7959</v>
      </c>
      <c r="K5835" s="143"/>
    </row>
    <row r="5836" spans="1:11">
      <c r="A5836" s="946" t="s">
        <v>28615</v>
      </c>
      <c r="B5836" s="947" t="s">
        <v>373</v>
      </c>
      <c r="C5836" s="948" t="s">
        <v>8346</v>
      </c>
      <c r="D5836" s="242" t="s">
        <v>372</v>
      </c>
      <c r="E5836" s="949">
        <v>1601</v>
      </c>
      <c r="F5836" s="949">
        <v>1601</v>
      </c>
      <c r="G5836" s="950" t="s">
        <v>373</v>
      </c>
      <c r="H5836" s="950" t="s">
        <v>374</v>
      </c>
      <c r="I5836" s="951" t="s">
        <v>8347</v>
      </c>
      <c r="J5836" s="947" t="s">
        <v>373</v>
      </c>
      <c r="K5836" s="143"/>
    </row>
    <row r="5837" spans="1:11">
      <c r="A5837" s="946" t="s">
        <v>28615</v>
      </c>
      <c r="B5837" s="947" t="s">
        <v>9856</v>
      </c>
      <c r="C5837" s="948" t="s">
        <v>9854</v>
      </c>
      <c r="D5837" s="242" t="s">
        <v>372</v>
      </c>
      <c r="E5837" s="949">
        <v>1601</v>
      </c>
      <c r="F5837" s="949">
        <v>1601</v>
      </c>
      <c r="G5837" s="950" t="s">
        <v>373</v>
      </c>
      <c r="H5837" s="950" t="s">
        <v>374</v>
      </c>
      <c r="I5837" s="951" t="s">
        <v>9855</v>
      </c>
      <c r="J5837" s="947" t="s">
        <v>9856</v>
      </c>
      <c r="K5837" s="143"/>
    </row>
    <row r="5838" spans="1:11">
      <c r="A5838" s="946" t="s">
        <v>28615</v>
      </c>
      <c r="B5838" s="947" t="s">
        <v>9919</v>
      </c>
      <c r="C5838" s="948" t="s">
        <v>9917</v>
      </c>
      <c r="D5838" s="242" t="s">
        <v>372</v>
      </c>
      <c r="E5838" s="949">
        <v>1601</v>
      </c>
      <c r="F5838" s="949">
        <v>1601</v>
      </c>
      <c r="G5838" s="950" t="s">
        <v>373</v>
      </c>
      <c r="H5838" s="950" t="s">
        <v>374</v>
      </c>
      <c r="I5838" s="951" t="s">
        <v>9918</v>
      </c>
      <c r="J5838" s="947" t="s">
        <v>9919</v>
      </c>
      <c r="K5838" s="143"/>
    </row>
    <row r="5839" spans="1:11">
      <c r="A5839" s="946" t="s">
        <v>28615</v>
      </c>
      <c r="B5839" s="947" t="s">
        <v>10350</v>
      </c>
      <c r="C5839" s="948" t="s">
        <v>10348</v>
      </c>
      <c r="D5839" s="242" t="s">
        <v>372</v>
      </c>
      <c r="E5839" s="949">
        <v>1601</v>
      </c>
      <c r="F5839" s="949">
        <v>1601</v>
      </c>
      <c r="G5839" s="950" t="s">
        <v>373</v>
      </c>
      <c r="H5839" s="950" t="s">
        <v>374</v>
      </c>
      <c r="I5839" s="951" t="s">
        <v>10349</v>
      </c>
      <c r="J5839" s="947" t="s">
        <v>10350</v>
      </c>
      <c r="K5839" s="143"/>
    </row>
    <row r="5840" spans="1:11">
      <c r="A5840" s="946" t="s">
        <v>28615</v>
      </c>
      <c r="B5840" s="947" t="s">
        <v>10691</v>
      </c>
      <c r="C5840" s="948" t="s">
        <v>10689</v>
      </c>
      <c r="D5840" s="242" t="s">
        <v>372</v>
      </c>
      <c r="E5840" s="949">
        <v>1601</v>
      </c>
      <c r="F5840" s="949">
        <v>1601</v>
      </c>
      <c r="G5840" s="950" t="s">
        <v>373</v>
      </c>
      <c r="H5840" s="950" t="s">
        <v>374</v>
      </c>
      <c r="I5840" s="951" t="s">
        <v>10690</v>
      </c>
      <c r="J5840" s="947" t="s">
        <v>10691</v>
      </c>
      <c r="K5840" s="143"/>
    </row>
    <row r="5841" spans="1:11">
      <c r="A5841" s="946" t="s">
        <v>28615</v>
      </c>
      <c r="B5841" s="947" t="s">
        <v>11045</v>
      </c>
      <c r="C5841" s="948" t="s">
        <v>11043</v>
      </c>
      <c r="D5841" s="242" t="s">
        <v>372</v>
      </c>
      <c r="E5841" s="949">
        <v>1601</v>
      </c>
      <c r="F5841" s="949">
        <v>1601</v>
      </c>
      <c r="G5841" s="950" t="s">
        <v>373</v>
      </c>
      <c r="H5841" s="950" t="s">
        <v>374</v>
      </c>
      <c r="I5841" s="951" t="s">
        <v>11044</v>
      </c>
      <c r="J5841" s="947" t="s">
        <v>11045</v>
      </c>
      <c r="K5841" s="143"/>
    </row>
    <row r="5842" spans="1:11">
      <c r="A5842" s="946" t="s">
        <v>28615</v>
      </c>
      <c r="B5842" s="947" t="s">
        <v>11452</v>
      </c>
      <c r="C5842" s="948" t="s">
        <v>11450</v>
      </c>
      <c r="D5842" s="242" t="s">
        <v>372</v>
      </c>
      <c r="E5842" s="949">
        <v>1601</v>
      </c>
      <c r="F5842" s="949">
        <v>1601</v>
      </c>
      <c r="G5842" s="950" t="s">
        <v>373</v>
      </c>
      <c r="H5842" s="950" t="s">
        <v>374</v>
      </c>
      <c r="I5842" s="951" t="s">
        <v>11451</v>
      </c>
      <c r="J5842" s="947" t="s">
        <v>11452</v>
      </c>
      <c r="K5842" s="143"/>
    </row>
    <row r="5843" spans="1:11">
      <c r="A5843" s="946" t="s">
        <v>28615</v>
      </c>
      <c r="B5843" s="947" t="s">
        <v>12570</v>
      </c>
      <c r="C5843" s="948" t="s">
        <v>12568</v>
      </c>
      <c r="D5843" s="242" t="s">
        <v>372</v>
      </c>
      <c r="E5843" s="949">
        <v>1601</v>
      </c>
      <c r="F5843" s="949">
        <v>1601</v>
      </c>
      <c r="G5843" s="950" t="s">
        <v>373</v>
      </c>
      <c r="H5843" s="950" t="s">
        <v>374</v>
      </c>
      <c r="I5843" s="951" t="s">
        <v>12569</v>
      </c>
      <c r="J5843" s="947" t="s">
        <v>12570</v>
      </c>
      <c r="K5843" s="143"/>
    </row>
    <row r="5844" spans="1:11">
      <c r="A5844" s="946" t="s">
        <v>28615</v>
      </c>
      <c r="B5844" s="947" t="s">
        <v>12346</v>
      </c>
      <c r="C5844" s="948" t="s">
        <v>12344</v>
      </c>
      <c r="D5844" s="242" t="s">
        <v>372</v>
      </c>
      <c r="E5844" s="949">
        <v>1601</v>
      </c>
      <c r="F5844" s="949">
        <v>1601</v>
      </c>
      <c r="G5844" s="950" t="s">
        <v>373</v>
      </c>
      <c r="H5844" s="950" t="s">
        <v>374</v>
      </c>
      <c r="I5844" s="951" t="s">
        <v>12345</v>
      </c>
      <c r="J5844" s="947" t="s">
        <v>12346</v>
      </c>
      <c r="K5844" s="143"/>
    </row>
    <row r="5845" spans="1:11">
      <c r="A5845" s="946" t="s">
        <v>28615</v>
      </c>
      <c r="B5845" s="947" t="s">
        <v>13041</v>
      </c>
      <c r="C5845" s="948" t="s">
        <v>13039</v>
      </c>
      <c r="D5845" s="242" t="s">
        <v>372</v>
      </c>
      <c r="E5845" s="949">
        <v>1601</v>
      </c>
      <c r="F5845" s="949">
        <v>1601</v>
      </c>
      <c r="G5845" s="950" t="s">
        <v>373</v>
      </c>
      <c r="H5845" s="950" t="s">
        <v>374</v>
      </c>
      <c r="I5845" s="951" t="s">
        <v>13040</v>
      </c>
      <c r="J5845" s="947" t="s">
        <v>13041</v>
      </c>
      <c r="K5845" s="143"/>
    </row>
    <row r="5846" spans="1:11">
      <c r="A5846" s="946" t="s">
        <v>28615</v>
      </c>
      <c r="B5846" s="947" t="s">
        <v>13765</v>
      </c>
      <c r="C5846" s="948" t="s">
        <v>13763</v>
      </c>
      <c r="D5846" s="242" t="s">
        <v>372</v>
      </c>
      <c r="E5846" s="949">
        <v>1601</v>
      </c>
      <c r="F5846" s="949">
        <v>1601</v>
      </c>
      <c r="G5846" s="950" t="s">
        <v>373</v>
      </c>
      <c r="H5846" s="950" t="s">
        <v>374</v>
      </c>
      <c r="I5846" s="951" t="s">
        <v>13764</v>
      </c>
      <c r="J5846" s="947" t="s">
        <v>13765</v>
      </c>
      <c r="K5846" s="143"/>
    </row>
    <row r="5847" spans="1:11">
      <c r="A5847" s="946" t="s">
        <v>28615</v>
      </c>
      <c r="B5847" s="947" t="s">
        <v>13780</v>
      </c>
      <c r="C5847" s="948" t="s">
        <v>13778</v>
      </c>
      <c r="D5847" s="242" t="s">
        <v>372</v>
      </c>
      <c r="E5847" s="949">
        <v>1601</v>
      </c>
      <c r="F5847" s="949">
        <v>1601</v>
      </c>
      <c r="G5847" s="950" t="s">
        <v>373</v>
      </c>
      <c r="H5847" s="950" t="s">
        <v>374</v>
      </c>
      <c r="I5847" s="951" t="s">
        <v>13779</v>
      </c>
      <c r="J5847" s="947" t="s">
        <v>13780</v>
      </c>
      <c r="K5847" s="143"/>
    </row>
    <row r="5848" spans="1:11">
      <c r="A5848" s="946" t="s">
        <v>28615</v>
      </c>
      <c r="B5848" s="947" t="s">
        <v>14213</v>
      </c>
      <c r="C5848" s="948" t="s">
        <v>14211</v>
      </c>
      <c r="D5848" s="242" t="s">
        <v>372</v>
      </c>
      <c r="E5848" s="949">
        <v>1601</v>
      </c>
      <c r="F5848" s="949">
        <v>1601</v>
      </c>
      <c r="G5848" s="950" t="s">
        <v>373</v>
      </c>
      <c r="H5848" s="950" t="s">
        <v>374</v>
      </c>
      <c r="I5848" s="951" t="s">
        <v>14212</v>
      </c>
      <c r="J5848" s="947" t="s">
        <v>14213</v>
      </c>
      <c r="K5848" s="143"/>
    </row>
    <row r="5849" spans="1:11">
      <c r="A5849" s="946" t="s">
        <v>28615</v>
      </c>
      <c r="B5849" s="947" t="s">
        <v>14577</v>
      </c>
      <c r="C5849" s="948" t="s">
        <v>14575</v>
      </c>
      <c r="D5849" s="242" t="s">
        <v>372</v>
      </c>
      <c r="E5849" s="949">
        <v>1601</v>
      </c>
      <c r="F5849" s="949">
        <v>1601</v>
      </c>
      <c r="G5849" s="950" t="s">
        <v>373</v>
      </c>
      <c r="H5849" s="950" t="s">
        <v>374</v>
      </c>
      <c r="I5849" s="951" t="s">
        <v>14576</v>
      </c>
      <c r="J5849" s="947" t="s">
        <v>14577</v>
      </c>
      <c r="K5849" s="143"/>
    </row>
    <row r="5850" spans="1:11">
      <c r="A5850" s="946" t="s">
        <v>28615</v>
      </c>
      <c r="B5850" s="947" t="s">
        <v>14880</v>
      </c>
      <c r="C5850" s="948" t="s">
        <v>14878</v>
      </c>
      <c r="D5850" s="242" t="s">
        <v>372</v>
      </c>
      <c r="E5850" s="949">
        <v>1601</v>
      </c>
      <c r="F5850" s="949">
        <v>1601</v>
      </c>
      <c r="G5850" s="950" t="s">
        <v>373</v>
      </c>
      <c r="H5850" s="950" t="s">
        <v>374</v>
      </c>
      <c r="I5850" s="951" t="s">
        <v>14879</v>
      </c>
      <c r="J5850" s="947" t="s">
        <v>14880</v>
      </c>
      <c r="K5850" s="143"/>
    </row>
    <row r="5851" spans="1:11">
      <c r="A5851" s="946" t="s">
        <v>28615</v>
      </c>
      <c r="B5851" s="947" t="s">
        <v>15178</v>
      </c>
      <c r="C5851" s="948" t="s">
        <v>15176</v>
      </c>
      <c r="D5851" s="242" t="s">
        <v>372</v>
      </c>
      <c r="E5851" s="949">
        <v>1601</v>
      </c>
      <c r="F5851" s="949">
        <v>1601</v>
      </c>
      <c r="G5851" s="950" t="s">
        <v>373</v>
      </c>
      <c r="H5851" s="950" t="s">
        <v>374</v>
      </c>
      <c r="I5851" s="951" t="s">
        <v>15177</v>
      </c>
      <c r="J5851" s="947" t="s">
        <v>15178</v>
      </c>
      <c r="K5851" s="143"/>
    </row>
    <row r="5852" spans="1:11">
      <c r="A5852" s="946" t="s">
        <v>28615</v>
      </c>
      <c r="B5852" s="947" t="s">
        <v>16306</v>
      </c>
      <c r="C5852" s="948" t="s">
        <v>16304</v>
      </c>
      <c r="D5852" s="242" t="s">
        <v>372</v>
      </c>
      <c r="E5852" s="949">
        <v>1601</v>
      </c>
      <c r="F5852" s="949">
        <v>1601</v>
      </c>
      <c r="G5852" s="950" t="s">
        <v>373</v>
      </c>
      <c r="H5852" s="950" t="s">
        <v>374</v>
      </c>
      <c r="I5852" s="951" t="s">
        <v>16305</v>
      </c>
      <c r="J5852" s="947" t="s">
        <v>16306</v>
      </c>
      <c r="K5852" s="143"/>
    </row>
    <row r="5853" spans="1:11">
      <c r="A5853" s="946" t="s">
        <v>28615</v>
      </c>
      <c r="B5853" s="947" t="s">
        <v>16736</v>
      </c>
      <c r="C5853" s="948" t="s">
        <v>16734</v>
      </c>
      <c r="D5853" s="242" t="s">
        <v>372</v>
      </c>
      <c r="E5853" s="949">
        <v>1601</v>
      </c>
      <c r="F5853" s="949">
        <v>1601</v>
      </c>
      <c r="G5853" s="950" t="s">
        <v>373</v>
      </c>
      <c r="H5853" s="950" t="s">
        <v>374</v>
      </c>
      <c r="I5853" s="951" t="s">
        <v>16735</v>
      </c>
      <c r="J5853" s="947" t="s">
        <v>16736</v>
      </c>
      <c r="K5853" s="143"/>
    </row>
    <row r="5854" spans="1:11">
      <c r="A5854" s="946" t="s">
        <v>28615</v>
      </c>
      <c r="B5854" s="947" t="s">
        <v>16761</v>
      </c>
      <c r="C5854" s="948" t="s">
        <v>16759</v>
      </c>
      <c r="D5854" s="242" t="s">
        <v>372</v>
      </c>
      <c r="E5854" s="949">
        <v>1601</v>
      </c>
      <c r="F5854" s="949">
        <v>1601</v>
      </c>
      <c r="G5854" s="950" t="s">
        <v>373</v>
      </c>
      <c r="H5854" s="950" t="s">
        <v>374</v>
      </c>
      <c r="I5854" s="951" t="s">
        <v>16760</v>
      </c>
      <c r="J5854" s="947" t="s">
        <v>16761</v>
      </c>
      <c r="K5854" s="143"/>
    </row>
    <row r="5855" spans="1:11">
      <c r="A5855" s="946" t="s">
        <v>28615</v>
      </c>
      <c r="B5855" s="947" t="s">
        <v>16961</v>
      </c>
      <c r="C5855" s="948" t="s">
        <v>16959</v>
      </c>
      <c r="D5855" s="242" t="s">
        <v>372</v>
      </c>
      <c r="E5855" s="949">
        <v>1601</v>
      </c>
      <c r="F5855" s="949">
        <v>1601</v>
      </c>
      <c r="G5855" s="950" t="s">
        <v>373</v>
      </c>
      <c r="H5855" s="950" t="s">
        <v>374</v>
      </c>
      <c r="I5855" s="951" t="s">
        <v>16960</v>
      </c>
      <c r="J5855" s="947" t="s">
        <v>16961</v>
      </c>
      <c r="K5855" s="143"/>
    </row>
    <row r="5856" spans="1:11">
      <c r="A5856" s="946" t="s">
        <v>28615</v>
      </c>
      <c r="B5856" s="947" t="s">
        <v>17744</v>
      </c>
      <c r="C5856" s="948" t="s">
        <v>17742</v>
      </c>
      <c r="D5856" s="242" t="s">
        <v>372</v>
      </c>
      <c r="E5856" s="949">
        <v>1601</v>
      </c>
      <c r="F5856" s="949">
        <v>1601</v>
      </c>
      <c r="G5856" s="950" t="s">
        <v>373</v>
      </c>
      <c r="H5856" s="950" t="s">
        <v>374</v>
      </c>
      <c r="I5856" s="951" t="s">
        <v>17743</v>
      </c>
      <c r="J5856" s="947" t="s">
        <v>17744</v>
      </c>
      <c r="K5856" s="143"/>
    </row>
    <row r="5857" spans="1:11">
      <c r="A5857" s="946" t="s">
        <v>28615</v>
      </c>
      <c r="B5857" s="947" t="s">
        <v>17874</v>
      </c>
      <c r="C5857" s="948" t="s">
        <v>17872</v>
      </c>
      <c r="D5857" s="242" t="s">
        <v>372</v>
      </c>
      <c r="E5857" s="949">
        <v>1601</v>
      </c>
      <c r="F5857" s="949">
        <v>1601</v>
      </c>
      <c r="G5857" s="950" t="s">
        <v>373</v>
      </c>
      <c r="H5857" s="950" t="s">
        <v>374</v>
      </c>
      <c r="I5857" s="951" t="s">
        <v>17873</v>
      </c>
      <c r="J5857" s="947" t="s">
        <v>17874</v>
      </c>
      <c r="K5857" s="143"/>
    </row>
    <row r="5858" spans="1:11">
      <c r="A5858" s="946" t="s">
        <v>28615</v>
      </c>
      <c r="B5858" s="947" t="s">
        <v>17877</v>
      </c>
      <c r="C5858" s="948" t="s">
        <v>17875</v>
      </c>
      <c r="D5858" s="242" t="s">
        <v>372</v>
      </c>
      <c r="E5858" s="949">
        <v>1601</v>
      </c>
      <c r="F5858" s="949">
        <v>1601</v>
      </c>
      <c r="G5858" s="950" t="s">
        <v>373</v>
      </c>
      <c r="H5858" s="950" t="s">
        <v>374</v>
      </c>
      <c r="I5858" s="951" t="s">
        <v>17876</v>
      </c>
      <c r="J5858" s="947" t="s">
        <v>17877</v>
      </c>
      <c r="K5858" s="143"/>
    </row>
    <row r="5859" spans="1:11">
      <c r="A5859" s="946" t="s">
        <v>28615</v>
      </c>
      <c r="B5859" s="947" t="s">
        <v>18004</v>
      </c>
      <c r="C5859" s="948" t="s">
        <v>18002</v>
      </c>
      <c r="D5859" s="242" t="s">
        <v>372</v>
      </c>
      <c r="E5859" s="949">
        <v>1601</v>
      </c>
      <c r="F5859" s="949">
        <v>1601</v>
      </c>
      <c r="G5859" s="950" t="s">
        <v>373</v>
      </c>
      <c r="H5859" s="950" t="s">
        <v>374</v>
      </c>
      <c r="I5859" s="951" t="s">
        <v>18003</v>
      </c>
      <c r="J5859" s="947" t="s">
        <v>18004</v>
      </c>
      <c r="K5859" s="143"/>
    </row>
    <row r="5860" spans="1:11">
      <c r="A5860" s="946" t="s">
        <v>28615</v>
      </c>
      <c r="B5860" s="947" t="s">
        <v>18045</v>
      </c>
      <c r="C5860" s="948" t="s">
        <v>18043</v>
      </c>
      <c r="D5860" s="242" t="s">
        <v>372</v>
      </c>
      <c r="E5860" s="949">
        <v>1601</v>
      </c>
      <c r="F5860" s="949">
        <v>1601</v>
      </c>
      <c r="G5860" s="950" t="s">
        <v>373</v>
      </c>
      <c r="H5860" s="950" t="s">
        <v>374</v>
      </c>
      <c r="I5860" s="951" t="s">
        <v>18044</v>
      </c>
      <c r="J5860" s="947" t="s">
        <v>18045</v>
      </c>
      <c r="K5860" s="143"/>
    </row>
    <row r="5861" spans="1:11">
      <c r="A5861" s="946" t="s">
        <v>28615</v>
      </c>
      <c r="B5861" s="947" t="s">
        <v>18225</v>
      </c>
      <c r="C5861" s="948" t="s">
        <v>18223</v>
      </c>
      <c r="D5861" s="242" t="s">
        <v>372</v>
      </c>
      <c r="E5861" s="949">
        <v>1601</v>
      </c>
      <c r="F5861" s="949">
        <v>1601</v>
      </c>
      <c r="G5861" s="950" t="s">
        <v>373</v>
      </c>
      <c r="H5861" s="950" t="s">
        <v>374</v>
      </c>
      <c r="I5861" s="951" t="s">
        <v>18224</v>
      </c>
      <c r="J5861" s="947" t="s">
        <v>18225</v>
      </c>
      <c r="K5861" s="143"/>
    </row>
    <row r="5862" spans="1:11">
      <c r="A5862" s="946" t="s">
        <v>28615</v>
      </c>
      <c r="B5862" s="947" t="s">
        <v>18556</v>
      </c>
      <c r="C5862" s="948" t="s">
        <v>18554</v>
      </c>
      <c r="D5862" s="242" t="s">
        <v>372</v>
      </c>
      <c r="E5862" s="949">
        <v>1601</v>
      </c>
      <c r="F5862" s="949">
        <v>1601</v>
      </c>
      <c r="G5862" s="950" t="s">
        <v>373</v>
      </c>
      <c r="H5862" s="950" t="s">
        <v>374</v>
      </c>
      <c r="I5862" s="951" t="s">
        <v>18555</v>
      </c>
      <c r="J5862" s="947" t="s">
        <v>18556</v>
      </c>
      <c r="K5862" s="143"/>
    </row>
    <row r="5863" spans="1:11">
      <c r="A5863" s="946" t="s">
        <v>28615</v>
      </c>
      <c r="B5863" s="947" t="s">
        <v>19333</v>
      </c>
      <c r="C5863" s="948" t="s">
        <v>19331</v>
      </c>
      <c r="D5863" s="242" t="s">
        <v>372</v>
      </c>
      <c r="E5863" s="949">
        <v>1601</v>
      </c>
      <c r="F5863" s="949">
        <v>1601</v>
      </c>
      <c r="G5863" s="950" t="s">
        <v>373</v>
      </c>
      <c r="H5863" s="950" t="s">
        <v>374</v>
      </c>
      <c r="I5863" s="951" t="s">
        <v>19332</v>
      </c>
      <c r="J5863" s="947" t="s">
        <v>19333</v>
      </c>
      <c r="K5863" s="143"/>
    </row>
    <row r="5864" spans="1:11">
      <c r="A5864" s="946" t="s">
        <v>28615</v>
      </c>
      <c r="B5864" s="947" t="s">
        <v>20022</v>
      </c>
      <c r="C5864" s="948" t="s">
        <v>20020</v>
      </c>
      <c r="D5864" s="242" t="s">
        <v>372</v>
      </c>
      <c r="E5864" s="949">
        <v>1601</v>
      </c>
      <c r="F5864" s="949">
        <v>1601</v>
      </c>
      <c r="G5864" s="950" t="s">
        <v>373</v>
      </c>
      <c r="H5864" s="950" t="s">
        <v>374</v>
      </c>
      <c r="I5864" s="951" t="s">
        <v>20021</v>
      </c>
      <c r="J5864" s="947" t="s">
        <v>20022</v>
      </c>
      <c r="K5864" s="143"/>
    </row>
    <row r="5865" spans="1:11">
      <c r="A5865" s="946" t="s">
        <v>28615</v>
      </c>
      <c r="B5865" s="947" t="s">
        <v>20025</v>
      </c>
      <c r="C5865" s="948" t="s">
        <v>20023</v>
      </c>
      <c r="D5865" s="242" t="s">
        <v>372</v>
      </c>
      <c r="E5865" s="949">
        <v>1601</v>
      </c>
      <c r="F5865" s="949">
        <v>1601</v>
      </c>
      <c r="G5865" s="950" t="s">
        <v>373</v>
      </c>
      <c r="H5865" s="950" t="s">
        <v>374</v>
      </c>
      <c r="I5865" s="951" t="s">
        <v>20024</v>
      </c>
      <c r="J5865" s="947" t="s">
        <v>20025</v>
      </c>
      <c r="K5865" s="143"/>
    </row>
    <row r="5866" spans="1:11">
      <c r="A5866" s="946" t="s">
        <v>28615</v>
      </c>
      <c r="B5866" s="947" t="s">
        <v>20720</v>
      </c>
      <c r="C5866" s="948" t="s">
        <v>20718</v>
      </c>
      <c r="D5866" s="242" t="s">
        <v>372</v>
      </c>
      <c r="E5866" s="949">
        <v>1601</v>
      </c>
      <c r="F5866" s="949">
        <v>1601</v>
      </c>
      <c r="G5866" s="950" t="s">
        <v>373</v>
      </c>
      <c r="H5866" s="950" t="s">
        <v>374</v>
      </c>
      <c r="I5866" s="951" t="s">
        <v>20719</v>
      </c>
      <c r="J5866" s="947" t="s">
        <v>20720</v>
      </c>
      <c r="K5866" s="143"/>
    </row>
    <row r="5867" spans="1:11">
      <c r="A5867" s="946" t="s">
        <v>28615</v>
      </c>
      <c r="B5867" s="947" t="s">
        <v>21078</v>
      </c>
      <c r="C5867" s="948" t="s">
        <v>21076</v>
      </c>
      <c r="D5867" s="242" t="s">
        <v>372</v>
      </c>
      <c r="E5867" s="949">
        <v>1601</v>
      </c>
      <c r="F5867" s="949">
        <v>1601</v>
      </c>
      <c r="G5867" s="950" t="s">
        <v>373</v>
      </c>
      <c r="H5867" s="950" t="s">
        <v>374</v>
      </c>
      <c r="I5867" s="951" t="s">
        <v>21077</v>
      </c>
      <c r="J5867" s="947" t="s">
        <v>21078</v>
      </c>
      <c r="K5867" s="143"/>
    </row>
    <row r="5868" spans="1:11">
      <c r="A5868" s="946" t="s">
        <v>28615</v>
      </c>
      <c r="B5868" s="947" t="s">
        <v>21925</v>
      </c>
      <c r="C5868" s="948" t="s">
        <v>21923</v>
      </c>
      <c r="D5868" s="242" t="s">
        <v>372</v>
      </c>
      <c r="E5868" s="949">
        <v>1601</v>
      </c>
      <c r="F5868" s="949">
        <v>1601</v>
      </c>
      <c r="G5868" s="950" t="s">
        <v>373</v>
      </c>
      <c r="H5868" s="950" t="s">
        <v>374</v>
      </c>
      <c r="I5868" s="951" t="s">
        <v>21924</v>
      </c>
      <c r="J5868" s="947" t="s">
        <v>21925</v>
      </c>
      <c r="K5868" s="143"/>
    </row>
    <row r="5869" spans="1:11">
      <c r="A5869" s="946" t="s">
        <v>28615</v>
      </c>
      <c r="B5869" s="947" t="s">
        <v>21960</v>
      </c>
      <c r="C5869" s="948" t="s">
        <v>21958</v>
      </c>
      <c r="D5869" s="242" t="s">
        <v>372</v>
      </c>
      <c r="E5869" s="949">
        <v>1601</v>
      </c>
      <c r="F5869" s="949">
        <v>1601</v>
      </c>
      <c r="G5869" s="950" t="s">
        <v>373</v>
      </c>
      <c r="H5869" s="950" t="s">
        <v>374</v>
      </c>
      <c r="I5869" s="951" t="s">
        <v>21959</v>
      </c>
      <c r="J5869" s="947" t="s">
        <v>21960</v>
      </c>
      <c r="K5869" s="143"/>
    </row>
    <row r="5870" spans="1:11">
      <c r="A5870" s="946" t="s">
        <v>28615</v>
      </c>
      <c r="B5870" s="947" t="s">
        <v>22534</v>
      </c>
      <c r="C5870" s="948" t="s">
        <v>22532</v>
      </c>
      <c r="D5870" s="242" t="s">
        <v>372</v>
      </c>
      <c r="E5870" s="949">
        <v>1601</v>
      </c>
      <c r="F5870" s="949">
        <v>1601</v>
      </c>
      <c r="G5870" s="950" t="s">
        <v>373</v>
      </c>
      <c r="H5870" s="950" t="s">
        <v>374</v>
      </c>
      <c r="I5870" s="951" t="s">
        <v>22533</v>
      </c>
      <c r="J5870" s="947" t="s">
        <v>22534</v>
      </c>
      <c r="K5870" s="143"/>
    </row>
    <row r="5871" spans="1:11">
      <c r="A5871" s="946" t="s">
        <v>28615</v>
      </c>
      <c r="B5871" s="947" t="s">
        <v>22540</v>
      </c>
      <c r="C5871" s="948" t="s">
        <v>22538</v>
      </c>
      <c r="D5871" s="242" t="s">
        <v>372</v>
      </c>
      <c r="E5871" s="949">
        <v>1601</v>
      </c>
      <c r="F5871" s="949">
        <v>1601</v>
      </c>
      <c r="G5871" s="950" t="s">
        <v>373</v>
      </c>
      <c r="H5871" s="950" t="s">
        <v>374</v>
      </c>
      <c r="I5871" s="951" t="s">
        <v>22539</v>
      </c>
      <c r="J5871" s="947" t="s">
        <v>22540</v>
      </c>
      <c r="K5871" s="143"/>
    </row>
    <row r="5872" spans="1:11">
      <c r="A5872" s="946" t="s">
        <v>28615</v>
      </c>
      <c r="B5872" s="947" t="s">
        <v>13698</v>
      </c>
      <c r="C5872" s="948" t="s">
        <v>13696</v>
      </c>
      <c r="D5872" s="242" t="s">
        <v>372</v>
      </c>
      <c r="E5872" s="949">
        <v>1601</v>
      </c>
      <c r="F5872" s="949">
        <v>1601</v>
      </c>
      <c r="G5872" s="950" t="s">
        <v>373</v>
      </c>
      <c r="H5872" s="950" t="s">
        <v>374</v>
      </c>
      <c r="I5872" s="951" t="s">
        <v>13697</v>
      </c>
      <c r="J5872" s="947" t="s">
        <v>13698</v>
      </c>
      <c r="K5872" s="143"/>
    </row>
    <row r="5873" spans="1:11">
      <c r="A5873" s="946" t="s">
        <v>28615</v>
      </c>
      <c r="B5873" s="947" t="s">
        <v>22571</v>
      </c>
      <c r="C5873" s="948" t="s">
        <v>22569</v>
      </c>
      <c r="D5873" s="242" t="s">
        <v>372</v>
      </c>
      <c r="E5873" s="949">
        <v>1601</v>
      </c>
      <c r="F5873" s="949">
        <v>1601</v>
      </c>
      <c r="G5873" s="950" t="s">
        <v>373</v>
      </c>
      <c r="H5873" s="950" t="s">
        <v>374</v>
      </c>
      <c r="I5873" s="951" t="s">
        <v>22570</v>
      </c>
      <c r="J5873" s="947" t="s">
        <v>22571</v>
      </c>
      <c r="K5873" s="143"/>
    </row>
    <row r="5874" spans="1:11">
      <c r="A5874" s="946" t="s">
        <v>28615</v>
      </c>
      <c r="B5874" s="947" t="s">
        <v>491</v>
      </c>
      <c r="C5874" s="948" t="s">
        <v>487</v>
      </c>
      <c r="D5874" s="242" t="s">
        <v>372</v>
      </c>
      <c r="E5874" s="949">
        <v>1601</v>
      </c>
      <c r="F5874" s="949">
        <v>1601</v>
      </c>
      <c r="G5874" s="950" t="s">
        <v>488</v>
      </c>
      <c r="H5874" s="950" t="s">
        <v>489</v>
      </c>
      <c r="I5874" s="951" t="s">
        <v>490</v>
      </c>
      <c r="J5874" s="947" t="s">
        <v>491</v>
      </c>
      <c r="K5874" s="143"/>
    </row>
    <row r="5875" spans="1:11">
      <c r="A5875" s="946" t="s">
        <v>28615</v>
      </c>
      <c r="B5875" s="947" t="s">
        <v>527</v>
      </c>
      <c r="C5875" s="948" t="s">
        <v>525</v>
      </c>
      <c r="D5875" s="242" t="s">
        <v>372</v>
      </c>
      <c r="E5875" s="949">
        <v>1601</v>
      </c>
      <c r="F5875" s="949">
        <v>1601</v>
      </c>
      <c r="G5875" s="950" t="s">
        <v>488</v>
      </c>
      <c r="H5875" s="950" t="s">
        <v>489</v>
      </c>
      <c r="I5875" s="951" t="s">
        <v>526</v>
      </c>
      <c r="J5875" s="947" t="s">
        <v>527</v>
      </c>
      <c r="K5875" s="143"/>
    </row>
    <row r="5876" spans="1:11">
      <c r="A5876" s="946" t="s">
        <v>28615</v>
      </c>
      <c r="B5876" s="947" t="s">
        <v>804</v>
      </c>
      <c r="C5876" s="948" t="s">
        <v>802</v>
      </c>
      <c r="D5876" s="242" t="s">
        <v>372</v>
      </c>
      <c r="E5876" s="949">
        <v>1601</v>
      </c>
      <c r="F5876" s="949">
        <v>1601</v>
      </c>
      <c r="G5876" s="950" t="s">
        <v>488</v>
      </c>
      <c r="H5876" s="950" t="s">
        <v>489</v>
      </c>
      <c r="I5876" s="951" t="s">
        <v>803</v>
      </c>
      <c r="J5876" s="947" t="s">
        <v>804</v>
      </c>
      <c r="K5876" s="143"/>
    </row>
    <row r="5877" spans="1:11">
      <c r="A5877" s="946" t="s">
        <v>28615</v>
      </c>
      <c r="B5877" s="947" t="s">
        <v>989</v>
      </c>
      <c r="C5877" s="948" t="s">
        <v>987</v>
      </c>
      <c r="D5877" s="242" t="s">
        <v>372</v>
      </c>
      <c r="E5877" s="949">
        <v>1601</v>
      </c>
      <c r="F5877" s="949">
        <v>1601</v>
      </c>
      <c r="G5877" s="950" t="s">
        <v>488</v>
      </c>
      <c r="H5877" s="950" t="s">
        <v>489</v>
      </c>
      <c r="I5877" s="951" t="s">
        <v>988</v>
      </c>
      <c r="J5877" s="947" t="s">
        <v>989</v>
      </c>
      <c r="K5877" s="143"/>
    </row>
    <row r="5878" spans="1:11">
      <c r="A5878" s="946" t="s">
        <v>28615</v>
      </c>
      <c r="B5878" s="947" t="s">
        <v>488</v>
      </c>
      <c r="C5878" s="948" t="s">
        <v>1992</v>
      </c>
      <c r="D5878" s="242" t="s">
        <v>372</v>
      </c>
      <c r="E5878" s="949">
        <v>1601</v>
      </c>
      <c r="F5878" s="949">
        <v>1601</v>
      </c>
      <c r="G5878" s="950" t="s">
        <v>488</v>
      </c>
      <c r="H5878" s="950" t="s">
        <v>489</v>
      </c>
      <c r="I5878" s="951" t="s">
        <v>1993</v>
      </c>
      <c r="J5878" s="947" t="s">
        <v>488</v>
      </c>
      <c r="K5878" s="143"/>
    </row>
    <row r="5879" spans="1:11">
      <c r="A5879" s="946" t="s">
        <v>28615</v>
      </c>
      <c r="B5879" s="947" t="s">
        <v>2450</v>
      </c>
      <c r="C5879" s="948" t="s">
        <v>2448</v>
      </c>
      <c r="D5879" s="242" t="s">
        <v>372</v>
      </c>
      <c r="E5879" s="949">
        <v>1601</v>
      </c>
      <c r="F5879" s="949">
        <v>1601</v>
      </c>
      <c r="G5879" s="950" t="s">
        <v>488</v>
      </c>
      <c r="H5879" s="950" t="s">
        <v>489</v>
      </c>
      <c r="I5879" s="951" t="s">
        <v>2449</v>
      </c>
      <c r="J5879" s="947" t="s">
        <v>2450</v>
      </c>
      <c r="K5879" s="143"/>
    </row>
    <row r="5880" spans="1:11">
      <c r="A5880" s="946" t="s">
        <v>28615</v>
      </c>
      <c r="B5880" s="947" t="s">
        <v>2487</v>
      </c>
      <c r="C5880" s="948" t="s">
        <v>2485</v>
      </c>
      <c r="D5880" s="242" t="s">
        <v>372</v>
      </c>
      <c r="E5880" s="949">
        <v>1601</v>
      </c>
      <c r="F5880" s="949">
        <v>1601</v>
      </c>
      <c r="G5880" s="950" t="s">
        <v>488</v>
      </c>
      <c r="H5880" s="950" t="s">
        <v>489</v>
      </c>
      <c r="I5880" s="951" t="s">
        <v>2486</v>
      </c>
      <c r="J5880" s="947" t="s">
        <v>2487</v>
      </c>
      <c r="K5880" s="143"/>
    </row>
    <row r="5881" spans="1:11">
      <c r="A5881" s="946" t="s">
        <v>28615</v>
      </c>
      <c r="B5881" s="947" t="s">
        <v>2490</v>
      </c>
      <c r="C5881" s="948" t="s">
        <v>2488</v>
      </c>
      <c r="D5881" s="242" t="s">
        <v>372</v>
      </c>
      <c r="E5881" s="949">
        <v>1601</v>
      </c>
      <c r="F5881" s="949">
        <v>1601</v>
      </c>
      <c r="G5881" s="950" t="s">
        <v>488</v>
      </c>
      <c r="H5881" s="950" t="s">
        <v>489</v>
      </c>
      <c r="I5881" s="951" t="s">
        <v>2489</v>
      </c>
      <c r="J5881" s="947" t="s">
        <v>2490</v>
      </c>
      <c r="K5881" s="143"/>
    </row>
    <row r="5882" spans="1:11">
      <c r="A5882" s="946" t="s">
        <v>28615</v>
      </c>
      <c r="B5882" s="947" t="s">
        <v>2493</v>
      </c>
      <c r="C5882" s="948" t="s">
        <v>2491</v>
      </c>
      <c r="D5882" s="242" t="s">
        <v>372</v>
      </c>
      <c r="E5882" s="949">
        <v>1601</v>
      </c>
      <c r="F5882" s="949">
        <v>1601</v>
      </c>
      <c r="G5882" s="950" t="s">
        <v>488</v>
      </c>
      <c r="H5882" s="950" t="s">
        <v>489</v>
      </c>
      <c r="I5882" s="951" t="s">
        <v>2492</v>
      </c>
      <c r="J5882" s="947" t="s">
        <v>2493</v>
      </c>
      <c r="K5882" s="143"/>
    </row>
    <row r="5883" spans="1:11">
      <c r="A5883" s="946" t="s">
        <v>28615</v>
      </c>
      <c r="B5883" s="947" t="s">
        <v>4191</v>
      </c>
      <c r="C5883" s="948" t="s">
        <v>4189</v>
      </c>
      <c r="D5883" s="242" t="s">
        <v>372</v>
      </c>
      <c r="E5883" s="949">
        <v>1601</v>
      </c>
      <c r="F5883" s="949">
        <v>1601</v>
      </c>
      <c r="G5883" s="950" t="s">
        <v>488</v>
      </c>
      <c r="H5883" s="950" t="s">
        <v>489</v>
      </c>
      <c r="I5883" s="951" t="s">
        <v>4190</v>
      </c>
      <c r="J5883" s="947" t="s">
        <v>4191</v>
      </c>
      <c r="K5883" s="143"/>
    </row>
    <row r="5884" spans="1:11">
      <c r="A5884" s="946" t="s">
        <v>28615</v>
      </c>
      <c r="B5884" s="947" t="s">
        <v>4661</v>
      </c>
      <c r="C5884" s="948" t="s">
        <v>4659</v>
      </c>
      <c r="D5884" s="242" t="s">
        <v>372</v>
      </c>
      <c r="E5884" s="949">
        <v>1601</v>
      </c>
      <c r="F5884" s="949">
        <v>1601</v>
      </c>
      <c r="G5884" s="950" t="s">
        <v>488</v>
      </c>
      <c r="H5884" s="950" t="s">
        <v>489</v>
      </c>
      <c r="I5884" s="951" t="s">
        <v>4660</v>
      </c>
      <c r="J5884" s="947" t="s">
        <v>4661</v>
      </c>
      <c r="K5884" s="143"/>
    </row>
    <row r="5885" spans="1:11">
      <c r="A5885" s="946" t="s">
        <v>28615</v>
      </c>
      <c r="B5885" s="947" t="s">
        <v>4827</v>
      </c>
      <c r="C5885" s="948" t="s">
        <v>4825</v>
      </c>
      <c r="D5885" s="242" t="s">
        <v>372</v>
      </c>
      <c r="E5885" s="949">
        <v>1601</v>
      </c>
      <c r="F5885" s="949">
        <v>1601</v>
      </c>
      <c r="G5885" s="950" t="s">
        <v>488</v>
      </c>
      <c r="H5885" s="950" t="s">
        <v>489</v>
      </c>
      <c r="I5885" s="951" t="s">
        <v>4826</v>
      </c>
      <c r="J5885" s="947" t="s">
        <v>4827</v>
      </c>
      <c r="K5885" s="143"/>
    </row>
    <row r="5886" spans="1:11">
      <c r="A5886" s="946" t="s">
        <v>28615</v>
      </c>
      <c r="B5886" s="947" t="s">
        <v>5147</v>
      </c>
      <c r="C5886" s="948" t="s">
        <v>5145</v>
      </c>
      <c r="D5886" s="242" t="s">
        <v>372</v>
      </c>
      <c r="E5886" s="949">
        <v>1601</v>
      </c>
      <c r="F5886" s="949">
        <v>1601</v>
      </c>
      <c r="G5886" s="950" t="s">
        <v>488</v>
      </c>
      <c r="H5886" s="950" t="s">
        <v>489</v>
      </c>
      <c r="I5886" s="951" t="s">
        <v>5146</v>
      </c>
      <c r="J5886" s="947" t="s">
        <v>5147</v>
      </c>
      <c r="K5886" s="143"/>
    </row>
    <row r="5887" spans="1:11">
      <c r="A5887" s="946" t="s">
        <v>28615</v>
      </c>
      <c r="B5887" s="947" t="s">
        <v>5796</v>
      </c>
      <c r="C5887" s="948" t="s">
        <v>5794</v>
      </c>
      <c r="D5887" s="242" t="s">
        <v>372</v>
      </c>
      <c r="E5887" s="949">
        <v>1601</v>
      </c>
      <c r="F5887" s="949">
        <v>1601</v>
      </c>
      <c r="G5887" s="950" t="s">
        <v>488</v>
      </c>
      <c r="H5887" s="950" t="s">
        <v>489</v>
      </c>
      <c r="I5887" s="951" t="s">
        <v>5795</v>
      </c>
      <c r="J5887" s="947" t="s">
        <v>5796</v>
      </c>
      <c r="K5887" s="143"/>
    </row>
    <row r="5888" spans="1:11">
      <c r="A5888" s="946" t="s">
        <v>28615</v>
      </c>
      <c r="B5888" s="947" t="s">
        <v>7000</v>
      </c>
      <c r="C5888" s="948" t="s">
        <v>6998</v>
      </c>
      <c r="D5888" s="242" t="s">
        <v>372</v>
      </c>
      <c r="E5888" s="949">
        <v>1601</v>
      </c>
      <c r="F5888" s="949">
        <v>1601</v>
      </c>
      <c r="G5888" s="950" t="s">
        <v>488</v>
      </c>
      <c r="H5888" s="950" t="s">
        <v>489</v>
      </c>
      <c r="I5888" s="951" t="s">
        <v>6999</v>
      </c>
      <c r="J5888" s="947" t="s">
        <v>7000</v>
      </c>
      <c r="K5888" s="143"/>
    </row>
    <row r="5889" spans="1:11">
      <c r="A5889" s="946" t="s">
        <v>28615</v>
      </c>
      <c r="B5889" s="947" t="s">
        <v>7021</v>
      </c>
      <c r="C5889" s="948" t="s">
        <v>7019</v>
      </c>
      <c r="D5889" s="242" t="s">
        <v>372</v>
      </c>
      <c r="E5889" s="949">
        <v>1601</v>
      </c>
      <c r="F5889" s="949">
        <v>1601</v>
      </c>
      <c r="G5889" s="950" t="s">
        <v>488</v>
      </c>
      <c r="H5889" s="950" t="s">
        <v>489</v>
      </c>
      <c r="I5889" s="951" t="s">
        <v>7020</v>
      </c>
      <c r="J5889" s="947" t="s">
        <v>7021</v>
      </c>
      <c r="K5889" s="143"/>
    </row>
    <row r="5890" spans="1:11">
      <c r="A5890" s="946" t="s">
        <v>28615</v>
      </c>
      <c r="B5890" s="947" t="s">
        <v>9250</v>
      </c>
      <c r="C5890" s="948" t="s">
        <v>9248</v>
      </c>
      <c r="D5890" s="242" t="s">
        <v>372</v>
      </c>
      <c r="E5890" s="949">
        <v>1601</v>
      </c>
      <c r="F5890" s="949">
        <v>1601</v>
      </c>
      <c r="G5890" s="950" t="s">
        <v>488</v>
      </c>
      <c r="H5890" s="950" t="s">
        <v>489</v>
      </c>
      <c r="I5890" s="951" t="s">
        <v>9249</v>
      </c>
      <c r="J5890" s="947" t="s">
        <v>9250</v>
      </c>
      <c r="K5890" s="143"/>
    </row>
    <row r="5891" spans="1:11">
      <c r="A5891" s="946" t="s">
        <v>28615</v>
      </c>
      <c r="B5891" s="947" t="s">
        <v>9268</v>
      </c>
      <c r="C5891" s="948" t="s">
        <v>9266</v>
      </c>
      <c r="D5891" s="242" t="s">
        <v>372</v>
      </c>
      <c r="E5891" s="949">
        <v>1601</v>
      </c>
      <c r="F5891" s="949">
        <v>1601</v>
      </c>
      <c r="G5891" s="950" t="s">
        <v>488</v>
      </c>
      <c r="H5891" s="950" t="s">
        <v>489</v>
      </c>
      <c r="I5891" s="951" t="s">
        <v>9267</v>
      </c>
      <c r="J5891" s="947" t="s">
        <v>9268</v>
      </c>
      <c r="K5891" s="143"/>
    </row>
    <row r="5892" spans="1:11">
      <c r="A5892" s="946" t="s">
        <v>28615</v>
      </c>
      <c r="B5892" s="947" t="s">
        <v>9503</v>
      </c>
      <c r="C5892" s="948" t="s">
        <v>9501</v>
      </c>
      <c r="D5892" s="242" t="s">
        <v>372</v>
      </c>
      <c r="E5892" s="949">
        <v>1601</v>
      </c>
      <c r="F5892" s="949">
        <v>1601</v>
      </c>
      <c r="G5892" s="950" t="s">
        <v>488</v>
      </c>
      <c r="H5892" s="950" t="s">
        <v>489</v>
      </c>
      <c r="I5892" s="951" t="s">
        <v>9502</v>
      </c>
      <c r="J5892" s="947" t="s">
        <v>9503</v>
      </c>
      <c r="K5892" s="143"/>
    </row>
    <row r="5893" spans="1:11">
      <c r="A5893" s="946" t="s">
        <v>28615</v>
      </c>
      <c r="B5893" s="947" t="s">
        <v>9650</v>
      </c>
      <c r="C5893" s="948" t="s">
        <v>9648</v>
      </c>
      <c r="D5893" s="242" t="s">
        <v>372</v>
      </c>
      <c r="E5893" s="949">
        <v>1601</v>
      </c>
      <c r="F5893" s="949">
        <v>1601</v>
      </c>
      <c r="G5893" s="950" t="s">
        <v>488</v>
      </c>
      <c r="H5893" s="950" t="s">
        <v>489</v>
      </c>
      <c r="I5893" s="951" t="s">
        <v>9649</v>
      </c>
      <c r="J5893" s="947" t="s">
        <v>9650</v>
      </c>
      <c r="K5893" s="143"/>
    </row>
    <row r="5894" spans="1:11">
      <c r="A5894" s="946" t="s">
        <v>28615</v>
      </c>
      <c r="B5894" s="947" t="s">
        <v>10535</v>
      </c>
      <c r="C5894" s="948" t="s">
        <v>10533</v>
      </c>
      <c r="D5894" s="242" t="s">
        <v>372</v>
      </c>
      <c r="E5894" s="949">
        <v>1601</v>
      </c>
      <c r="F5894" s="949">
        <v>1601</v>
      </c>
      <c r="G5894" s="950" t="s">
        <v>488</v>
      </c>
      <c r="H5894" s="950" t="s">
        <v>489</v>
      </c>
      <c r="I5894" s="951" t="s">
        <v>10534</v>
      </c>
      <c r="J5894" s="947" t="s">
        <v>10535</v>
      </c>
      <c r="K5894" s="143"/>
    </row>
    <row r="5895" spans="1:11">
      <c r="A5895" s="946" t="s">
        <v>28615</v>
      </c>
      <c r="B5895" s="947" t="s">
        <v>11882</v>
      </c>
      <c r="C5895" s="948" t="s">
        <v>11880</v>
      </c>
      <c r="D5895" s="242" t="s">
        <v>372</v>
      </c>
      <c r="E5895" s="949">
        <v>1601</v>
      </c>
      <c r="F5895" s="949">
        <v>1601</v>
      </c>
      <c r="G5895" s="950" t="s">
        <v>488</v>
      </c>
      <c r="H5895" s="950" t="s">
        <v>489</v>
      </c>
      <c r="I5895" s="951" t="s">
        <v>11881</v>
      </c>
      <c r="J5895" s="947" t="s">
        <v>11882</v>
      </c>
      <c r="K5895" s="143"/>
    </row>
    <row r="5896" spans="1:11">
      <c r="A5896" s="946" t="s">
        <v>28615</v>
      </c>
      <c r="B5896" s="947" t="s">
        <v>11925</v>
      </c>
      <c r="C5896" s="948" t="s">
        <v>11923</v>
      </c>
      <c r="D5896" s="242" t="s">
        <v>372</v>
      </c>
      <c r="E5896" s="949">
        <v>1601</v>
      </c>
      <c r="F5896" s="949">
        <v>1601</v>
      </c>
      <c r="G5896" s="950" t="s">
        <v>488</v>
      </c>
      <c r="H5896" s="950" t="s">
        <v>489</v>
      </c>
      <c r="I5896" s="951" t="s">
        <v>11924</v>
      </c>
      <c r="J5896" s="947" t="s">
        <v>11925</v>
      </c>
      <c r="K5896" s="143"/>
    </row>
    <row r="5897" spans="1:11">
      <c r="A5897" s="946" t="s">
        <v>28615</v>
      </c>
      <c r="B5897" s="947" t="s">
        <v>11934</v>
      </c>
      <c r="C5897" s="948" t="s">
        <v>11932</v>
      </c>
      <c r="D5897" s="242" t="s">
        <v>372</v>
      </c>
      <c r="E5897" s="949">
        <v>1601</v>
      </c>
      <c r="F5897" s="949">
        <v>1601</v>
      </c>
      <c r="G5897" s="950" t="s">
        <v>488</v>
      </c>
      <c r="H5897" s="950" t="s">
        <v>489</v>
      </c>
      <c r="I5897" s="951" t="s">
        <v>11933</v>
      </c>
      <c r="J5897" s="947" t="s">
        <v>11934</v>
      </c>
      <c r="K5897" s="143"/>
    </row>
    <row r="5898" spans="1:11">
      <c r="A5898" s="946" t="s">
        <v>28615</v>
      </c>
      <c r="B5898" s="947" t="s">
        <v>12130</v>
      </c>
      <c r="C5898" s="948" t="s">
        <v>12128</v>
      </c>
      <c r="D5898" s="242" t="s">
        <v>372</v>
      </c>
      <c r="E5898" s="949">
        <v>1601</v>
      </c>
      <c r="F5898" s="949">
        <v>1601</v>
      </c>
      <c r="G5898" s="950" t="s">
        <v>488</v>
      </c>
      <c r="H5898" s="950" t="s">
        <v>489</v>
      </c>
      <c r="I5898" s="951" t="s">
        <v>12129</v>
      </c>
      <c r="J5898" s="947" t="s">
        <v>12130</v>
      </c>
      <c r="K5898" s="143"/>
    </row>
    <row r="5899" spans="1:11">
      <c r="A5899" s="946" t="s">
        <v>28615</v>
      </c>
      <c r="B5899" s="947" t="s">
        <v>13322</v>
      </c>
      <c r="C5899" s="948" t="s">
        <v>13320</v>
      </c>
      <c r="D5899" s="242" t="s">
        <v>372</v>
      </c>
      <c r="E5899" s="949">
        <v>1601</v>
      </c>
      <c r="F5899" s="949">
        <v>1601</v>
      </c>
      <c r="G5899" s="950" t="s">
        <v>488</v>
      </c>
      <c r="H5899" s="950" t="s">
        <v>489</v>
      </c>
      <c r="I5899" s="951" t="s">
        <v>13321</v>
      </c>
      <c r="J5899" s="947" t="s">
        <v>13322</v>
      </c>
      <c r="K5899" s="143"/>
    </row>
    <row r="5900" spans="1:11">
      <c r="A5900" s="946" t="s">
        <v>28615</v>
      </c>
      <c r="B5900" s="947" t="s">
        <v>13343</v>
      </c>
      <c r="C5900" s="948" t="s">
        <v>13341</v>
      </c>
      <c r="D5900" s="242" t="s">
        <v>372</v>
      </c>
      <c r="E5900" s="949">
        <v>1601</v>
      </c>
      <c r="F5900" s="949">
        <v>1601</v>
      </c>
      <c r="G5900" s="950" t="s">
        <v>488</v>
      </c>
      <c r="H5900" s="950" t="s">
        <v>489</v>
      </c>
      <c r="I5900" s="951" t="s">
        <v>13342</v>
      </c>
      <c r="J5900" s="947" t="s">
        <v>13343</v>
      </c>
      <c r="K5900" s="143"/>
    </row>
    <row r="5901" spans="1:11">
      <c r="A5901" s="946" t="s">
        <v>28615</v>
      </c>
      <c r="B5901" s="947" t="s">
        <v>14162</v>
      </c>
      <c r="C5901" s="948" t="s">
        <v>14160</v>
      </c>
      <c r="D5901" s="242" t="s">
        <v>372</v>
      </c>
      <c r="E5901" s="949">
        <v>1601</v>
      </c>
      <c r="F5901" s="949">
        <v>1601</v>
      </c>
      <c r="G5901" s="950" t="s">
        <v>488</v>
      </c>
      <c r="H5901" s="950" t="s">
        <v>489</v>
      </c>
      <c r="I5901" s="951" t="s">
        <v>14161</v>
      </c>
      <c r="J5901" s="947" t="s">
        <v>14162</v>
      </c>
      <c r="K5901" s="143"/>
    </row>
    <row r="5902" spans="1:11">
      <c r="A5902" s="946" t="s">
        <v>28615</v>
      </c>
      <c r="B5902" s="947" t="s">
        <v>15223</v>
      </c>
      <c r="C5902" s="948" t="s">
        <v>15221</v>
      </c>
      <c r="D5902" s="242" t="s">
        <v>372</v>
      </c>
      <c r="E5902" s="949">
        <v>1601</v>
      </c>
      <c r="F5902" s="949">
        <v>1601</v>
      </c>
      <c r="G5902" s="950" t="s">
        <v>488</v>
      </c>
      <c r="H5902" s="950" t="s">
        <v>489</v>
      </c>
      <c r="I5902" s="951" t="s">
        <v>15222</v>
      </c>
      <c r="J5902" s="947" t="s">
        <v>15223</v>
      </c>
      <c r="K5902" s="143"/>
    </row>
    <row r="5903" spans="1:11">
      <c r="A5903" s="946" t="s">
        <v>28615</v>
      </c>
      <c r="B5903" s="947" t="s">
        <v>15264</v>
      </c>
      <c r="C5903" s="948" t="s">
        <v>15262</v>
      </c>
      <c r="D5903" s="242" t="s">
        <v>372</v>
      </c>
      <c r="E5903" s="949">
        <v>1601</v>
      </c>
      <c r="F5903" s="949">
        <v>1601</v>
      </c>
      <c r="G5903" s="950" t="s">
        <v>488</v>
      </c>
      <c r="H5903" s="950" t="s">
        <v>489</v>
      </c>
      <c r="I5903" s="951" t="s">
        <v>15263</v>
      </c>
      <c r="J5903" s="947" t="s">
        <v>15264</v>
      </c>
      <c r="K5903" s="143"/>
    </row>
    <row r="5904" spans="1:11">
      <c r="A5904" s="946" t="s">
        <v>28615</v>
      </c>
      <c r="B5904" s="947" t="s">
        <v>15942</v>
      </c>
      <c r="C5904" s="948" t="s">
        <v>15940</v>
      </c>
      <c r="D5904" s="242" t="s">
        <v>372</v>
      </c>
      <c r="E5904" s="949">
        <v>1601</v>
      </c>
      <c r="F5904" s="949">
        <v>1601</v>
      </c>
      <c r="G5904" s="950" t="s">
        <v>488</v>
      </c>
      <c r="H5904" s="950" t="s">
        <v>489</v>
      </c>
      <c r="I5904" s="951" t="s">
        <v>15941</v>
      </c>
      <c r="J5904" s="947" t="s">
        <v>15942</v>
      </c>
      <c r="K5904" s="143"/>
    </row>
    <row r="5905" spans="1:11">
      <c r="A5905" s="946" t="s">
        <v>28615</v>
      </c>
      <c r="B5905" s="947" t="s">
        <v>17122</v>
      </c>
      <c r="C5905" s="948" t="s">
        <v>17120</v>
      </c>
      <c r="D5905" s="242" t="s">
        <v>372</v>
      </c>
      <c r="E5905" s="949">
        <v>1601</v>
      </c>
      <c r="F5905" s="949">
        <v>1601</v>
      </c>
      <c r="G5905" s="950" t="s">
        <v>488</v>
      </c>
      <c r="H5905" s="950" t="s">
        <v>489</v>
      </c>
      <c r="I5905" s="951" t="s">
        <v>17121</v>
      </c>
      <c r="J5905" s="947" t="s">
        <v>17122</v>
      </c>
      <c r="K5905" s="143"/>
    </row>
    <row r="5906" spans="1:11">
      <c r="A5906" s="946" t="s">
        <v>28615</v>
      </c>
      <c r="B5906" s="947" t="s">
        <v>17134</v>
      </c>
      <c r="C5906" s="948" t="s">
        <v>17132</v>
      </c>
      <c r="D5906" s="242" t="s">
        <v>372</v>
      </c>
      <c r="E5906" s="949">
        <v>1601</v>
      </c>
      <c r="F5906" s="949">
        <v>1601</v>
      </c>
      <c r="G5906" s="950" t="s">
        <v>488</v>
      </c>
      <c r="H5906" s="950" t="s">
        <v>489</v>
      </c>
      <c r="I5906" s="951" t="s">
        <v>17133</v>
      </c>
      <c r="J5906" s="947" t="s">
        <v>17134</v>
      </c>
      <c r="K5906" s="143"/>
    </row>
    <row r="5907" spans="1:11">
      <c r="A5907" s="946" t="s">
        <v>28615</v>
      </c>
      <c r="B5907" s="947" t="s">
        <v>17344</v>
      </c>
      <c r="C5907" s="948" t="s">
        <v>17342</v>
      </c>
      <c r="D5907" s="242" t="s">
        <v>372</v>
      </c>
      <c r="E5907" s="949">
        <v>1601</v>
      </c>
      <c r="F5907" s="949">
        <v>1601</v>
      </c>
      <c r="G5907" s="950" t="s">
        <v>488</v>
      </c>
      <c r="H5907" s="950" t="s">
        <v>489</v>
      </c>
      <c r="I5907" s="951" t="s">
        <v>17343</v>
      </c>
      <c r="J5907" s="947" t="s">
        <v>17344</v>
      </c>
      <c r="K5907" s="143"/>
    </row>
    <row r="5908" spans="1:11">
      <c r="A5908" s="946" t="s">
        <v>28615</v>
      </c>
      <c r="B5908" s="947" t="s">
        <v>18360</v>
      </c>
      <c r="C5908" s="948" t="s">
        <v>18358</v>
      </c>
      <c r="D5908" s="242" t="s">
        <v>372</v>
      </c>
      <c r="E5908" s="949">
        <v>1601</v>
      </c>
      <c r="F5908" s="949">
        <v>1601</v>
      </c>
      <c r="G5908" s="950" t="s">
        <v>488</v>
      </c>
      <c r="H5908" s="950" t="s">
        <v>489</v>
      </c>
      <c r="I5908" s="951" t="s">
        <v>18359</v>
      </c>
      <c r="J5908" s="947" t="s">
        <v>18360</v>
      </c>
      <c r="K5908" s="143"/>
    </row>
    <row r="5909" spans="1:11">
      <c r="A5909" s="946" t="s">
        <v>28615</v>
      </c>
      <c r="B5909" s="947" t="s">
        <v>18723</v>
      </c>
      <c r="C5909" s="948" t="s">
        <v>18721</v>
      </c>
      <c r="D5909" s="242" t="s">
        <v>372</v>
      </c>
      <c r="E5909" s="949">
        <v>1601</v>
      </c>
      <c r="F5909" s="949">
        <v>1601</v>
      </c>
      <c r="G5909" s="950" t="s">
        <v>488</v>
      </c>
      <c r="H5909" s="950" t="s">
        <v>489</v>
      </c>
      <c r="I5909" s="951" t="s">
        <v>18722</v>
      </c>
      <c r="J5909" s="947" t="s">
        <v>18723</v>
      </c>
      <c r="K5909" s="143"/>
    </row>
    <row r="5910" spans="1:11">
      <c r="A5910" s="946" t="s">
        <v>28615</v>
      </c>
      <c r="B5910" s="947" t="s">
        <v>20344</v>
      </c>
      <c r="C5910" s="948" t="s">
        <v>20342</v>
      </c>
      <c r="D5910" s="242" t="s">
        <v>372</v>
      </c>
      <c r="E5910" s="949">
        <v>1601</v>
      </c>
      <c r="F5910" s="949">
        <v>1601</v>
      </c>
      <c r="G5910" s="950" t="s">
        <v>488</v>
      </c>
      <c r="H5910" s="950" t="s">
        <v>489</v>
      </c>
      <c r="I5910" s="951" t="s">
        <v>20343</v>
      </c>
      <c r="J5910" s="947" t="s">
        <v>20344</v>
      </c>
      <c r="K5910" s="143"/>
    </row>
    <row r="5911" spans="1:11">
      <c r="A5911" s="946" t="s">
        <v>28615</v>
      </c>
      <c r="B5911" s="947" t="s">
        <v>20587</v>
      </c>
      <c r="C5911" s="948" t="s">
        <v>20585</v>
      </c>
      <c r="D5911" s="242" t="s">
        <v>372</v>
      </c>
      <c r="E5911" s="949">
        <v>1601</v>
      </c>
      <c r="F5911" s="949">
        <v>1601</v>
      </c>
      <c r="G5911" s="950" t="s">
        <v>488</v>
      </c>
      <c r="H5911" s="950" t="s">
        <v>489</v>
      </c>
      <c r="I5911" s="951" t="s">
        <v>20586</v>
      </c>
      <c r="J5911" s="947" t="s">
        <v>20587</v>
      </c>
      <c r="K5911" s="143"/>
    </row>
    <row r="5912" spans="1:11">
      <c r="A5912" s="946" t="s">
        <v>28615</v>
      </c>
      <c r="B5912" s="947" t="s">
        <v>21032</v>
      </c>
      <c r="C5912" s="948" t="s">
        <v>21030</v>
      </c>
      <c r="D5912" s="242" t="s">
        <v>372</v>
      </c>
      <c r="E5912" s="949">
        <v>1601</v>
      </c>
      <c r="F5912" s="949">
        <v>1601</v>
      </c>
      <c r="G5912" s="950" t="s">
        <v>488</v>
      </c>
      <c r="H5912" s="950" t="s">
        <v>489</v>
      </c>
      <c r="I5912" s="951" t="s">
        <v>21031</v>
      </c>
      <c r="J5912" s="947" t="s">
        <v>21032</v>
      </c>
      <c r="K5912" s="143"/>
    </row>
    <row r="5913" spans="1:11">
      <c r="A5913" s="946" t="s">
        <v>28615</v>
      </c>
      <c r="B5913" s="947" t="s">
        <v>21137</v>
      </c>
      <c r="C5913" s="948" t="s">
        <v>21135</v>
      </c>
      <c r="D5913" s="242" t="s">
        <v>372</v>
      </c>
      <c r="E5913" s="949">
        <v>1601</v>
      </c>
      <c r="F5913" s="949">
        <v>1601</v>
      </c>
      <c r="G5913" s="950" t="s">
        <v>488</v>
      </c>
      <c r="H5913" s="950" t="s">
        <v>489</v>
      </c>
      <c r="I5913" s="951" t="s">
        <v>21136</v>
      </c>
      <c r="J5913" s="947" t="s">
        <v>21137</v>
      </c>
      <c r="K5913" s="143"/>
    </row>
    <row r="5914" spans="1:11">
      <c r="A5914" s="946" t="s">
        <v>28615</v>
      </c>
      <c r="B5914" s="947" t="s">
        <v>21351</v>
      </c>
      <c r="C5914" s="948" t="s">
        <v>21349</v>
      </c>
      <c r="D5914" s="242" t="s">
        <v>372</v>
      </c>
      <c r="E5914" s="949">
        <v>1601</v>
      </c>
      <c r="F5914" s="949">
        <v>1601</v>
      </c>
      <c r="G5914" s="950" t="s">
        <v>488</v>
      </c>
      <c r="H5914" s="950" t="s">
        <v>489</v>
      </c>
      <c r="I5914" s="951" t="s">
        <v>21350</v>
      </c>
      <c r="J5914" s="947" t="s">
        <v>21351</v>
      </c>
      <c r="K5914" s="143"/>
    </row>
    <row r="5915" spans="1:11">
      <c r="A5915" s="946" t="s">
        <v>28615</v>
      </c>
      <c r="B5915" s="947" t="s">
        <v>1664</v>
      </c>
      <c r="C5915" s="948" t="s">
        <v>1660</v>
      </c>
      <c r="D5915" s="242" t="s">
        <v>372</v>
      </c>
      <c r="E5915" s="949">
        <v>1601</v>
      </c>
      <c r="F5915" s="949">
        <v>1601</v>
      </c>
      <c r="G5915" s="950" t="s">
        <v>1661</v>
      </c>
      <c r="H5915" s="950" t="s">
        <v>1662</v>
      </c>
      <c r="I5915" s="951" t="s">
        <v>1663</v>
      </c>
      <c r="J5915" s="947" t="s">
        <v>1664</v>
      </c>
      <c r="K5915" s="143"/>
    </row>
    <row r="5916" spans="1:11">
      <c r="A5916" s="946" t="s">
        <v>28615</v>
      </c>
      <c r="B5916" s="947" t="s">
        <v>4387</v>
      </c>
      <c r="C5916" s="948" t="s">
        <v>4385</v>
      </c>
      <c r="D5916" s="242" t="s">
        <v>372</v>
      </c>
      <c r="E5916" s="949">
        <v>1601</v>
      </c>
      <c r="F5916" s="949">
        <v>1601</v>
      </c>
      <c r="G5916" s="950" t="s">
        <v>1661</v>
      </c>
      <c r="H5916" s="950" t="s">
        <v>1662</v>
      </c>
      <c r="I5916" s="951" t="s">
        <v>4386</v>
      </c>
      <c r="J5916" s="947" t="s">
        <v>4387</v>
      </c>
      <c r="K5916" s="143"/>
    </row>
    <row r="5917" spans="1:11">
      <c r="A5917" s="946" t="s">
        <v>28615</v>
      </c>
      <c r="B5917" s="947" t="s">
        <v>5153</v>
      </c>
      <c r="C5917" s="948" t="s">
        <v>5151</v>
      </c>
      <c r="D5917" s="242" t="s">
        <v>372</v>
      </c>
      <c r="E5917" s="949">
        <v>1601</v>
      </c>
      <c r="F5917" s="949">
        <v>1601</v>
      </c>
      <c r="G5917" s="950" t="s">
        <v>1661</v>
      </c>
      <c r="H5917" s="950" t="s">
        <v>1662</v>
      </c>
      <c r="I5917" s="951" t="s">
        <v>5152</v>
      </c>
      <c r="J5917" s="947" t="s">
        <v>5153</v>
      </c>
      <c r="K5917" s="143"/>
    </row>
    <row r="5918" spans="1:11">
      <c r="A5918" s="946" t="s">
        <v>28615</v>
      </c>
      <c r="B5918" s="947" t="s">
        <v>7391</v>
      </c>
      <c r="C5918" s="948" t="s">
        <v>7389</v>
      </c>
      <c r="D5918" s="242" t="s">
        <v>372</v>
      </c>
      <c r="E5918" s="949">
        <v>1601</v>
      </c>
      <c r="F5918" s="949">
        <v>1601</v>
      </c>
      <c r="G5918" s="950" t="s">
        <v>1661</v>
      </c>
      <c r="H5918" s="950" t="s">
        <v>1662</v>
      </c>
      <c r="I5918" s="951" t="s">
        <v>7390</v>
      </c>
      <c r="J5918" s="947" t="s">
        <v>7391</v>
      </c>
      <c r="K5918" s="143"/>
    </row>
    <row r="5919" spans="1:11">
      <c r="A5919" s="946" t="s">
        <v>28615</v>
      </c>
      <c r="B5919" s="947" t="s">
        <v>7968</v>
      </c>
      <c r="C5919" s="948" t="s">
        <v>7966</v>
      </c>
      <c r="D5919" s="242" t="s">
        <v>372</v>
      </c>
      <c r="E5919" s="949">
        <v>1601</v>
      </c>
      <c r="F5919" s="949">
        <v>1601</v>
      </c>
      <c r="G5919" s="950" t="s">
        <v>1661</v>
      </c>
      <c r="H5919" s="950" t="s">
        <v>1662</v>
      </c>
      <c r="I5919" s="951" t="s">
        <v>7967</v>
      </c>
      <c r="J5919" s="947" t="s">
        <v>7968</v>
      </c>
      <c r="K5919" s="143"/>
    </row>
    <row r="5920" spans="1:11">
      <c r="A5920" s="946" t="s">
        <v>28615</v>
      </c>
      <c r="B5920" s="947" t="s">
        <v>8599</v>
      </c>
      <c r="C5920" s="948" t="s">
        <v>8597</v>
      </c>
      <c r="D5920" s="242" t="s">
        <v>372</v>
      </c>
      <c r="E5920" s="949">
        <v>1601</v>
      </c>
      <c r="F5920" s="949">
        <v>1601</v>
      </c>
      <c r="G5920" s="950" t="s">
        <v>1661</v>
      </c>
      <c r="H5920" s="950" t="s">
        <v>1662</v>
      </c>
      <c r="I5920" s="951" t="s">
        <v>8598</v>
      </c>
      <c r="J5920" s="947" t="s">
        <v>8599</v>
      </c>
      <c r="K5920" s="143"/>
    </row>
    <row r="5921" spans="1:11">
      <c r="A5921" s="946" t="s">
        <v>28615</v>
      </c>
      <c r="B5921" s="947" t="s">
        <v>9241</v>
      </c>
      <c r="C5921" s="948" t="s">
        <v>9239</v>
      </c>
      <c r="D5921" s="242" t="s">
        <v>372</v>
      </c>
      <c r="E5921" s="949">
        <v>1601</v>
      </c>
      <c r="F5921" s="949">
        <v>1601</v>
      </c>
      <c r="G5921" s="950" t="s">
        <v>1661</v>
      </c>
      <c r="H5921" s="950" t="s">
        <v>1662</v>
      </c>
      <c r="I5921" s="951" t="s">
        <v>9240</v>
      </c>
      <c r="J5921" s="947" t="s">
        <v>9241</v>
      </c>
      <c r="K5921" s="143"/>
    </row>
    <row r="5922" spans="1:11">
      <c r="A5922" s="946" t="s">
        <v>28615</v>
      </c>
      <c r="B5922" s="947" t="s">
        <v>9609</v>
      </c>
      <c r="C5922" s="948" t="s">
        <v>9607</v>
      </c>
      <c r="D5922" s="242" t="s">
        <v>372</v>
      </c>
      <c r="E5922" s="949">
        <v>1601</v>
      </c>
      <c r="F5922" s="949">
        <v>1601</v>
      </c>
      <c r="G5922" s="950" t="s">
        <v>1661</v>
      </c>
      <c r="H5922" s="950" t="s">
        <v>1662</v>
      </c>
      <c r="I5922" s="951" t="s">
        <v>9608</v>
      </c>
      <c r="J5922" s="947" t="s">
        <v>9609</v>
      </c>
      <c r="K5922" s="143"/>
    </row>
    <row r="5923" spans="1:11">
      <c r="A5923" s="946" t="s">
        <v>28615</v>
      </c>
      <c r="B5923" s="947" t="s">
        <v>10177</v>
      </c>
      <c r="C5923" s="948" t="s">
        <v>10175</v>
      </c>
      <c r="D5923" s="242" t="s">
        <v>372</v>
      </c>
      <c r="E5923" s="949">
        <v>1601</v>
      </c>
      <c r="F5923" s="949">
        <v>1601</v>
      </c>
      <c r="G5923" s="950" t="s">
        <v>1661</v>
      </c>
      <c r="H5923" s="950" t="s">
        <v>1662</v>
      </c>
      <c r="I5923" s="951" t="s">
        <v>10176</v>
      </c>
      <c r="J5923" s="947" t="s">
        <v>10177</v>
      </c>
      <c r="K5923" s="143"/>
    </row>
    <row r="5924" spans="1:11">
      <c r="A5924" s="946" t="s">
        <v>28615</v>
      </c>
      <c r="B5924" s="947" t="s">
        <v>10320</v>
      </c>
      <c r="C5924" s="948" t="s">
        <v>10318</v>
      </c>
      <c r="D5924" s="242" t="s">
        <v>372</v>
      </c>
      <c r="E5924" s="949">
        <v>1601</v>
      </c>
      <c r="F5924" s="949">
        <v>1601</v>
      </c>
      <c r="G5924" s="950" t="s">
        <v>1661</v>
      </c>
      <c r="H5924" s="950" t="s">
        <v>1662</v>
      </c>
      <c r="I5924" s="951" t="s">
        <v>10319</v>
      </c>
      <c r="J5924" s="947" t="s">
        <v>10320</v>
      </c>
      <c r="K5924" s="143"/>
    </row>
    <row r="5925" spans="1:11">
      <c r="A5925" s="946" t="s">
        <v>28615</v>
      </c>
      <c r="B5925" s="947" t="s">
        <v>10510</v>
      </c>
      <c r="C5925" s="948" t="s">
        <v>10508</v>
      </c>
      <c r="D5925" s="242" t="s">
        <v>372</v>
      </c>
      <c r="E5925" s="949">
        <v>1601</v>
      </c>
      <c r="F5925" s="949">
        <v>1601</v>
      </c>
      <c r="G5925" s="950" t="s">
        <v>1661</v>
      </c>
      <c r="H5925" s="950" t="s">
        <v>1662</v>
      </c>
      <c r="I5925" s="951" t="s">
        <v>10509</v>
      </c>
      <c r="J5925" s="947" t="s">
        <v>10510</v>
      </c>
      <c r="K5925" s="143"/>
    </row>
    <row r="5926" spans="1:11">
      <c r="A5926" s="946" t="s">
        <v>28615</v>
      </c>
      <c r="B5926" s="947" t="s">
        <v>11036</v>
      </c>
      <c r="C5926" s="948" t="s">
        <v>11034</v>
      </c>
      <c r="D5926" s="242" t="s">
        <v>372</v>
      </c>
      <c r="E5926" s="949">
        <v>1601</v>
      </c>
      <c r="F5926" s="949">
        <v>1601</v>
      </c>
      <c r="G5926" s="950" t="s">
        <v>1661</v>
      </c>
      <c r="H5926" s="950" t="s">
        <v>1662</v>
      </c>
      <c r="I5926" s="951" t="s">
        <v>11035</v>
      </c>
      <c r="J5926" s="947" t="s">
        <v>11036</v>
      </c>
      <c r="K5926" s="143"/>
    </row>
    <row r="5927" spans="1:11">
      <c r="A5927" s="946" t="s">
        <v>28615</v>
      </c>
      <c r="B5927" s="947" t="s">
        <v>11282</v>
      </c>
      <c r="C5927" s="948" t="s">
        <v>11280</v>
      </c>
      <c r="D5927" s="242" t="s">
        <v>372</v>
      </c>
      <c r="E5927" s="949">
        <v>1601</v>
      </c>
      <c r="F5927" s="949">
        <v>1601</v>
      </c>
      <c r="G5927" s="950" t="s">
        <v>1661</v>
      </c>
      <c r="H5927" s="950" t="s">
        <v>1662</v>
      </c>
      <c r="I5927" s="951" t="s">
        <v>11281</v>
      </c>
      <c r="J5927" s="947" t="s">
        <v>11282</v>
      </c>
      <c r="K5927" s="143"/>
    </row>
    <row r="5928" spans="1:11">
      <c r="A5928" s="946" t="s">
        <v>28615</v>
      </c>
      <c r="B5928" s="947" t="s">
        <v>11308</v>
      </c>
      <c r="C5928" s="948" t="s">
        <v>11306</v>
      </c>
      <c r="D5928" s="242" t="s">
        <v>372</v>
      </c>
      <c r="E5928" s="949">
        <v>1601</v>
      </c>
      <c r="F5928" s="949">
        <v>1601</v>
      </c>
      <c r="G5928" s="950" t="s">
        <v>1661</v>
      </c>
      <c r="H5928" s="950" t="s">
        <v>1662</v>
      </c>
      <c r="I5928" s="951" t="s">
        <v>11307</v>
      </c>
      <c r="J5928" s="947" t="s">
        <v>11308</v>
      </c>
      <c r="K5928" s="143"/>
    </row>
    <row r="5929" spans="1:11">
      <c r="A5929" s="946" t="s">
        <v>28615</v>
      </c>
      <c r="B5929" s="947" t="s">
        <v>11397</v>
      </c>
      <c r="C5929" s="948" t="s">
        <v>11395</v>
      </c>
      <c r="D5929" s="242" t="s">
        <v>372</v>
      </c>
      <c r="E5929" s="949">
        <v>1601</v>
      </c>
      <c r="F5929" s="949">
        <v>1601</v>
      </c>
      <c r="G5929" s="950" t="s">
        <v>1661</v>
      </c>
      <c r="H5929" s="950" t="s">
        <v>1662</v>
      </c>
      <c r="I5929" s="951" t="s">
        <v>11396</v>
      </c>
      <c r="J5929" s="947" t="s">
        <v>11397</v>
      </c>
      <c r="K5929" s="143"/>
    </row>
    <row r="5930" spans="1:11">
      <c r="A5930" s="946" t="s">
        <v>28615</v>
      </c>
      <c r="B5930" s="947" t="s">
        <v>12556</v>
      </c>
      <c r="C5930" s="948" t="s">
        <v>12554</v>
      </c>
      <c r="D5930" s="242" t="s">
        <v>372</v>
      </c>
      <c r="E5930" s="949">
        <v>1601</v>
      </c>
      <c r="F5930" s="949">
        <v>1601</v>
      </c>
      <c r="G5930" s="950" t="s">
        <v>1661</v>
      </c>
      <c r="H5930" s="950" t="s">
        <v>1662</v>
      </c>
      <c r="I5930" s="951" t="s">
        <v>12555</v>
      </c>
      <c r="J5930" s="947" t="s">
        <v>12556</v>
      </c>
      <c r="K5930" s="143"/>
    </row>
    <row r="5931" spans="1:11">
      <c r="A5931" s="946" t="s">
        <v>28615</v>
      </c>
      <c r="B5931" s="947" t="s">
        <v>12626</v>
      </c>
      <c r="C5931" s="948" t="s">
        <v>12624</v>
      </c>
      <c r="D5931" s="242" t="s">
        <v>372</v>
      </c>
      <c r="E5931" s="949">
        <v>1601</v>
      </c>
      <c r="F5931" s="949">
        <v>1601</v>
      </c>
      <c r="G5931" s="950" t="s">
        <v>1661</v>
      </c>
      <c r="H5931" s="950" t="s">
        <v>1662</v>
      </c>
      <c r="I5931" s="951" t="s">
        <v>12625</v>
      </c>
      <c r="J5931" s="947" t="s">
        <v>12626</v>
      </c>
      <c r="K5931" s="143"/>
    </row>
    <row r="5932" spans="1:11">
      <c r="A5932" s="946" t="s">
        <v>28615</v>
      </c>
      <c r="B5932" s="947" t="s">
        <v>12673</v>
      </c>
      <c r="C5932" s="948" t="s">
        <v>12671</v>
      </c>
      <c r="D5932" s="242" t="s">
        <v>372</v>
      </c>
      <c r="E5932" s="949">
        <v>1601</v>
      </c>
      <c r="F5932" s="949">
        <v>1601</v>
      </c>
      <c r="G5932" s="950" t="s">
        <v>1661</v>
      </c>
      <c r="H5932" s="950" t="s">
        <v>1662</v>
      </c>
      <c r="I5932" s="951" t="s">
        <v>12672</v>
      </c>
      <c r="J5932" s="947" t="s">
        <v>12673</v>
      </c>
      <c r="K5932" s="143"/>
    </row>
    <row r="5933" spans="1:11">
      <c r="A5933" s="946" t="s">
        <v>28615</v>
      </c>
      <c r="B5933" s="947" t="s">
        <v>13065</v>
      </c>
      <c r="C5933" s="948" t="s">
        <v>13063</v>
      </c>
      <c r="D5933" s="242" t="s">
        <v>372</v>
      </c>
      <c r="E5933" s="949">
        <v>1601</v>
      </c>
      <c r="F5933" s="949">
        <v>1601</v>
      </c>
      <c r="G5933" s="950" t="s">
        <v>1661</v>
      </c>
      <c r="H5933" s="950" t="s">
        <v>1662</v>
      </c>
      <c r="I5933" s="951" t="s">
        <v>13064</v>
      </c>
      <c r="J5933" s="947" t="s">
        <v>13065</v>
      </c>
      <c r="K5933" s="143"/>
    </row>
    <row r="5934" spans="1:11">
      <c r="A5934" s="946" t="s">
        <v>28615</v>
      </c>
      <c r="B5934" s="947" t="s">
        <v>14065</v>
      </c>
      <c r="C5934" s="948" t="s">
        <v>14063</v>
      </c>
      <c r="D5934" s="242" t="s">
        <v>372</v>
      </c>
      <c r="E5934" s="949">
        <v>1601</v>
      </c>
      <c r="F5934" s="949">
        <v>1601</v>
      </c>
      <c r="G5934" s="950" t="s">
        <v>1661</v>
      </c>
      <c r="H5934" s="950" t="s">
        <v>1662</v>
      </c>
      <c r="I5934" s="951" t="s">
        <v>14064</v>
      </c>
      <c r="J5934" s="947" t="s">
        <v>14065</v>
      </c>
      <c r="K5934" s="143"/>
    </row>
    <row r="5935" spans="1:11">
      <c r="A5935" s="946" t="s">
        <v>28615</v>
      </c>
      <c r="B5935" s="947" t="s">
        <v>14068</v>
      </c>
      <c r="C5935" s="948" t="s">
        <v>14066</v>
      </c>
      <c r="D5935" s="242" t="s">
        <v>372</v>
      </c>
      <c r="E5935" s="949">
        <v>1601</v>
      </c>
      <c r="F5935" s="949">
        <v>1601</v>
      </c>
      <c r="G5935" s="950" t="s">
        <v>1661</v>
      </c>
      <c r="H5935" s="950" t="s">
        <v>1662</v>
      </c>
      <c r="I5935" s="951" t="s">
        <v>14067</v>
      </c>
      <c r="J5935" s="947" t="s">
        <v>14068</v>
      </c>
      <c r="K5935" s="143"/>
    </row>
    <row r="5936" spans="1:11">
      <c r="A5936" s="946" t="s">
        <v>28615</v>
      </c>
      <c r="B5936" s="947" t="s">
        <v>15931</v>
      </c>
      <c r="C5936" s="948" t="s">
        <v>15929</v>
      </c>
      <c r="D5936" s="242" t="s">
        <v>372</v>
      </c>
      <c r="E5936" s="949">
        <v>1601</v>
      </c>
      <c r="F5936" s="949">
        <v>1601</v>
      </c>
      <c r="G5936" s="950" t="s">
        <v>1661</v>
      </c>
      <c r="H5936" s="950" t="s">
        <v>1662</v>
      </c>
      <c r="I5936" s="951" t="s">
        <v>15930</v>
      </c>
      <c r="J5936" s="947" t="s">
        <v>15931</v>
      </c>
      <c r="K5936" s="143"/>
    </row>
    <row r="5937" spans="1:11">
      <c r="A5937" s="946" t="s">
        <v>28615</v>
      </c>
      <c r="B5937" s="947" t="s">
        <v>16616</v>
      </c>
      <c r="C5937" s="948" t="s">
        <v>16614</v>
      </c>
      <c r="D5937" s="242" t="s">
        <v>372</v>
      </c>
      <c r="E5937" s="949">
        <v>1601</v>
      </c>
      <c r="F5937" s="949">
        <v>1601</v>
      </c>
      <c r="G5937" s="950" t="s">
        <v>1661</v>
      </c>
      <c r="H5937" s="950" t="s">
        <v>1662</v>
      </c>
      <c r="I5937" s="951" t="s">
        <v>16615</v>
      </c>
      <c r="J5937" s="947" t="s">
        <v>16616</v>
      </c>
      <c r="K5937" s="143"/>
    </row>
    <row r="5938" spans="1:11">
      <c r="A5938" s="946" t="s">
        <v>28615</v>
      </c>
      <c r="B5938" s="947" t="s">
        <v>17669</v>
      </c>
      <c r="C5938" s="948" t="s">
        <v>17667</v>
      </c>
      <c r="D5938" s="242" t="s">
        <v>372</v>
      </c>
      <c r="E5938" s="949">
        <v>1601</v>
      </c>
      <c r="F5938" s="949">
        <v>1601</v>
      </c>
      <c r="G5938" s="950" t="s">
        <v>1661</v>
      </c>
      <c r="H5938" s="950" t="s">
        <v>1662</v>
      </c>
      <c r="I5938" s="951" t="s">
        <v>17668</v>
      </c>
      <c r="J5938" s="947" t="s">
        <v>17669</v>
      </c>
      <c r="K5938" s="143"/>
    </row>
    <row r="5939" spans="1:11">
      <c r="A5939" s="946" t="s">
        <v>28615</v>
      </c>
      <c r="B5939" s="947" t="s">
        <v>17933</v>
      </c>
      <c r="C5939" s="948" t="s">
        <v>17931</v>
      </c>
      <c r="D5939" s="242" t="s">
        <v>372</v>
      </c>
      <c r="E5939" s="949">
        <v>1601</v>
      </c>
      <c r="F5939" s="949">
        <v>1601</v>
      </c>
      <c r="G5939" s="950" t="s">
        <v>1661</v>
      </c>
      <c r="H5939" s="950" t="s">
        <v>1662</v>
      </c>
      <c r="I5939" s="951" t="s">
        <v>17932</v>
      </c>
      <c r="J5939" s="947" t="s">
        <v>17933</v>
      </c>
      <c r="K5939" s="143"/>
    </row>
    <row r="5940" spans="1:11">
      <c r="A5940" s="946" t="s">
        <v>28615</v>
      </c>
      <c r="B5940" s="947" t="s">
        <v>18949</v>
      </c>
      <c r="C5940" s="948" t="s">
        <v>18947</v>
      </c>
      <c r="D5940" s="242" t="s">
        <v>372</v>
      </c>
      <c r="E5940" s="949">
        <v>1601</v>
      </c>
      <c r="F5940" s="949">
        <v>1601</v>
      </c>
      <c r="G5940" s="950" t="s">
        <v>1661</v>
      </c>
      <c r="H5940" s="950" t="s">
        <v>1662</v>
      </c>
      <c r="I5940" s="951" t="s">
        <v>18948</v>
      </c>
      <c r="J5940" s="947" t="s">
        <v>18949</v>
      </c>
      <c r="K5940" s="143"/>
    </row>
    <row r="5941" spans="1:11">
      <c r="A5941" s="946" t="s">
        <v>28615</v>
      </c>
      <c r="B5941" s="947" t="s">
        <v>1661</v>
      </c>
      <c r="C5941" s="948" t="s">
        <v>20211</v>
      </c>
      <c r="D5941" s="242" t="s">
        <v>372</v>
      </c>
      <c r="E5941" s="949">
        <v>1601</v>
      </c>
      <c r="F5941" s="949">
        <v>1601</v>
      </c>
      <c r="G5941" s="950" t="s">
        <v>1661</v>
      </c>
      <c r="H5941" s="950" t="s">
        <v>1662</v>
      </c>
      <c r="I5941" s="951" t="s">
        <v>20212</v>
      </c>
      <c r="J5941" s="947" t="s">
        <v>1661</v>
      </c>
      <c r="K5941" s="143"/>
    </row>
    <row r="5942" spans="1:11">
      <c r="A5942" s="946" t="s">
        <v>28615</v>
      </c>
      <c r="B5942" s="947" t="s">
        <v>20750</v>
      </c>
      <c r="C5942" s="948" t="s">
        <v>20748</v>
      </c>
      <c r="D5942" s="242" t="s">
        <v>372</v>
      </c>
      <c r="E5942" s="949">
        <v>1601</v>
      </c>
      <c r="F5942" s="949">
        <v>1601</v>
      </c>
      <c r="G5942" s="950" t="s">
        <v>1661</v>
      </c>
      <c r="H5942" s="950" t="s">
        <v>1662</v>
      </c>
      <c r="I5942" s="951" t="s">
        <v>20749</v>
      </c>
      <c r="J5942" s="947" t="s">
        <v>20750</v>
      </c>
      <c r="K5942" s="143"/>
    </row>
    <row r="5943" spans="1:11">
      <c r="A5943" s="946" t="s">
        <v>28615</v>
      </c>
      <c r="B5943" s="947" t="s">
        <v>19969</v>
      </c>
      <c r="C5943" s="948" t="s">
        <v>19967</v>
      </c>
      <c r="D5943" s="242" t="s">
        <v>372</v>
      </c>
      <c r="E5943" s="949">
        <v>1601</v>
      </c>
      <c r="F5943" s="949">
        <v>1601</v>
      </c>
      <c r="G5943" s="950" t="s">
        <v>1661</v>
      </c>
      <c r="H5943" s="950" t="s">
        <v>1662</v>
      </c>
      <c r="I5943" s="951" t="s">
        <v>19968</v>
      </c>
      <c r="J5943" s="947" t="s">
        <v>19969</v>
      </c>
      <c r="K5943" s="143"/>
    </row>
    <row r="5944" spans="1:11">
      <c r="A5944" s="946" t="s">
        <v>28615</v>
      </c>
      <c r="B5944" s="947" t="s">
        <v>3065</v>
      </c>
      <c r="C5944" s="948" t="s">
        <v>3064</v>
      </c>
      <c r="D5944" s="242" t="s">
        <v>372</v>
      </c>
      <c r="E5944" s="949">
        <v>1601</v>
      </c>
      <c r="F5944" s="949">
        <v>1601</v>
      </c>
      <c r="G5944" s="950" t="s">
        <v>3065</v>
      </c>
      <c r="H5944" s="950" t="s">
        <v>3066</v>
      </c>
      <c r="I5944" s="951" t="s">
        <v>3067</v>
      </c>
      <c r="J5944" s="947" t="s">
        <v>3065</v>
      </c>
      <c r="K5944" s="143"/>
    </row>
    <row r="5945" spans="1:11">
      <c r="A5945" s="946" t="s">
        <v>28615</v>
      </c>
      <c r="B5945" s="947" t="s">
        <v>4390</v>
      </c>
      <c r="C5945" s="948" t="s">
        <v>4388</v>
      </c>
      <c r="D5945" s="242" t="s">
        <v>372</v>
      </c>
      <c r="E5945" s="949">
        <v>1601</v>
      </c>
      <c r="F5945" s="949">
        <v>1601</v>
      </c>
      <c r="G5945" s="950" t="s">
        <v>3065</v>
      </c>
      <c r="H5945" s="950" t="s">
        <v>3066</v>
      </c>
      <c r="I5945" s="951" t="s">
        <v>4389</v>
      </c>
      <c r="J5945" s="947" t="s">
        <v>4390</v>
      </c>
      <c r="K5945" s="143"/>
    </row>
    <row r="5946" spans="1:11">
      <c r="A5946" s="946" t="s">
        <v>28615</v>
      </c>
      <c r="B5946" s="947" t="s">
        <v>5775</v>
      </c>
      <c r="C5946" s="948" t="s">
        <v>5773</v>
      </c>
      <c r="D5946" s="242" t="s">
        <v>372</v>
      </c>
      <c r="E5946" s="949">
        <v>1601</v>
      </c>
      <c r="F5946" s="949">
        <v>1601</v>
      </c>
      <c r="G5946" s="950" t="s">
        <v>3065</v>
      </c>
      <c r="H5946" s="950" t="s">
        <v>3066</v>
      </c>
      <c r="I5946" s="951" t="s">
        <v>5774</v>
      </c>
      <c r="J5946" s="947" t="s">
        <v>5775</v>
      </c>
      <c r="K5946" s="143"/>
    </row>
    <row r="5947" spans="1:11">
      <c r="A5947" s="946" t="s">
        <v>28615</v>
      </c>
      <c r="B5947" s="947" t="s">
        <v>5832</v>
      </c>
      <c r="C5947" s="948" t="s">
        <v>5830</v>
      </c>
      <c r="D5947" s="242" t="s">
        <v>372</v>
      </c>
      <c r="E5947" s="949">
        <v>1601</v>
      </c>
      <c r="F5947" s="949">
        <v>1601</v>
      </c>
      <c r="G5947" s="950" t="s">
        <v>3065</v>
      </c>
      <c r="H5947" s="950" t="s">
        <v>3066</v>
      </c>
      <c r="I5947" s="951" t="s">
        <v>5831</v>
      </c>
      <c r="J5947" s="947" t="s">
        <v>5832</v>
      </c>
      <c r="K5947" s="143"/>
    </row>
    <row r="5948" spans="1:11">
      <c r="A5948" s="946" t="s">
        <v>28615</v>
      </c>
      <c r="B5948" s="947" t="s">
        <v>6498</v>
      </c>
      <c r="C5948" s="948" t="s">
        <v>6496</v>
      </c>
      <c r="D5948" s="242" t="s">
        <v>372</v>
      </c>
      <c r="E5948" s="949">
        <v>1601</v>
      </c>
      <c r="F5948" s="949">
        <v>1601</v>
      </c>
      <c r="G5948" s="950" t="s">
        <v>3065</v>
      </c>
      <c r="H5948" s="950" t="s">
        <v>3066</v>
      </c>
      <c r="I5948" s="951" t="s">
        <v>6497</v>
      </c>
      <c r="J5948" s="947" t="s">
        <v>6498</v>
      </c>
      <c r="K5948" s="143"/>
    </row>
    <row r="5949" spans="1:11">
      <c r="A5949" s="946" t="s">
        <v>28615</v>
      </c>
      <c r="B5949" s="947" t="s">
        <v>7884</v>
      </c>
      <c r="C5949" s="948" t="s">
        <v>7882</v>
      </c>
      <c r="D5949" s="242" t="s">
        <v>372</v>
      </c>
      <c r="E5949" s="949">
        <v>1601</v>
      </c>
      <c r="F5949" s="949">
        <v>1601</v>
      </c>
      <c r="G5949" s="950" t="s">
        <v>3065</v>
      </c>
      <c r="H5949" s="950" t="s">
        <v>3066</v>
      </c>
      <c r="I5949" s="951" t="s">
        <v>7883</v>
      </c>
      <c r="J5949" s="947" t="s">
        <v>7884</v>
      </c>
      <c r="K5949" s="143"/>
    </row>
    <row r="5950" spans="1:11">
      <c r="A5950" s="946" t="s">
        <v>28615</v>
      </c>
      <c r="B5950" s="947" t="s">
        <v>8073</v>
      </c>
      <c r="C5950" s="948" t="s">
        <v>8071</v>
      </c>
      <c r="D5950" s="242" t="s">
        <v>372</v>
      </c>
      <c r="E5950" s="949">
        <v>1601</v>
      </c>
      <c r="F5950" s="949">
        <v>1601</v>
      </c>
      <c r="G5950" s="950" t="s">
        <v>3065</v>
      </c>
      <c r="H5950" s="950" t="s">
        <v>3066</v>
      </c>
      <c r="I5950" s="951" t="s">
        <v>8072</v>
      </c>
      <c r="J5950" s="947" t="s">
        <v>8073</v>
      </c>
      <c r="K5950" s="143"/>
    </row>
    <row r="5951" spans="1:11">
      <c r="A5951" s="946" t="s">
        <v>28615</v>
      </c>
      <c r="B5951" s="947" t="s">
        <v>8627</v>
      </c>
      <c r="C5951" s="948" t="s">
        <v>8625</v>
      </c>
      <c r="D5951" s="242" t="s">
        <v>372</v>
      </c>
      <c r="E5951" s="949">
        <v>1601</v>
      </c>
      <c r="F5951" s="949">
        <v>1601</v>
      </c>
      <c r="G5951" s="950" t="s">
        <v>3065</v>
      </c>
      <c r="H5951" s="950" t="s">
        <v>3066</v>
      </c>
      <c r="I5951" s="951" t="s">
        <v>8626</v>
      </c>
      <c r="J5951" s="947" t="s">
        <v>8627</v>
      </c>
      <c r="K5951" s="143"/>
    </row>
    <row r="5952" spans="1:11">
      <c r="A5952" s="946" t="s">
        <v>28615</v>
      </c>
      <c r="B5952" s="947" t="s">
        <v>10180</v>
      </c>
      <c r="C5952" s="948" t="s">
        <v>10178</v>
      </c>
      <c r="D5952" s="242" t="s">
        <v>372</v>
      </c>
      <c r="E5952" s="949">
        <v>1601</v>
      </c>
      <c r="F5952" s="949">
        <v>1601</v>
      </c>
      <c r="G5952" s="950" t="s">
        <v>3065</v>
      </c>
      <c r="H5952" s="950" t="s">
        <v>3066</v>
      </c>
      <c r="I5952" s="951" t="s">
        <v>10179</v>
      </c>
      <c r="J5952" s="947" t="s">
        <v>10180</v>
      </c>
      <c r="K5952" s="143"/>
    </row>
    <row r="5953" spans="1:11">
      <c r="A5953" s="946" t="s">
        <v>28615</v>
      </c>
      <c r="B5953" s="947" t="s">
        <v>11657</v>
      </c>
      <c r="C5953" s="948" t="s">
        <v>11655</v>
      </c>
      <c r="D5953" s="242" t="s">
        <v>372</v>
      </c>
      <c r="E5953" s="949">
        <v>1601</v>
      </c>
      <c r="F5953" s="949">
        <v>1601</v>
      </c>
      <c r="G5953" s="950" t="s">
        <v>3065</v>
      </c>
      <c r="H5953" s="950" t="s">
        <v>3066</v>
      </c>
      <c r="I5953" s="951" t="s">
        <v>11656</v>
      </c>
      <c r="J5953" s="947" t="s">
        <v>11657</v>
      </c>
      <c r="K5953" s="143"/>
    </row>
    <row r="5954" spans="1:11">
      <c r="A5954" s="946" t="s">
        <v>28615</v>
      </c>
      <c r="B5954" s="947" t="s">
        <v>13709</v>
      </c>
      <c r="C5954" s="948" t="s">
        <v>13707</v>
      </c>
      <c r="D5954" s="242" t="s">
        <v>372</v>
      </c>
      <c r="E5954" s="949">
        <v>1601</v>
      </c>
      <c r="F5954" s="949">
        <v>1601</v>
      </c>
      <c r="G5954" s="950" t="s">
        <v>3065</v>
      </c>
      <c r="H5954" s="950" t="s">
        <v>3066</v>
      </c>
      <c r="I5954" s="951" t="s">
        <v>13708</v>
      </c>
      <c r="J5954" s="947" t="s">
        <v>13709</v>
      </c>
      <c r="K5954" s="143"/>
    </row>
    <row r="5955" spans="1:11">
      <c r="A5955" s="946" t="s">
        <v>28615</v>
      </c>
      <c r="B5955" s="947" t="s">
        <v>13911</v>
      </c>
      <c r="C5955" s="948" t="s">
        <v>13909</v>
      </c>
      <c r="D5955" s="242" t="s">
        <v>372</v>
      </c>
      <c r="E5955" s="949">
        <v>1601</v>
      </c>
      <c r="F5955" s="949">
        <v>1601</v>
      </c>
      <c r="G5955" s="950" t="s">
        <v>3065</v>
      </c>
      <c r="H5955" s="950" t="s">
        <v>3066</v>
      </c>
      <c r="I5955" s="951" t="s">
        <v>13910</v>
      </c>
      <c r="J5955" s="947" t="s">
        <v>13911</v>
      </c>
      <c r="K5955" s="143"/>
    </row>
    <row r="5956" spans="1:11">
      <c r="A5956" s="946" t="s">
        <v>28615</v>
      </c>
      <c r="B5956" s="947" t="s">
        <v>17531</v>
      </c>
      <c r="C5956" s="948" t="s">
        <v>17529</v>
      </c>
      <c r="D5956" s="242" t="s">
        <v>372</v>
      </c>
      <c r="E5956" s="949">
        <v>1601</v>
      </c>
      <c r="F5956" s="949">
        <v>1601</v>
      </c>
      <c r="G5956" s="950" t="s">
        <v>3065</v>
      </c>
      <c r="H5956" s="950" t="s">
        <v>3066</v>
      </c>
      <c r="I5956" s="951" t="s">
        <v>17530</v>
      </c>
      <c r="J5956" s="947" t="s">
        <v>17531</v>
      </c>
      <c r="K5956" s="143"/>
    </row>
    <row r="5957" spans="1:11">
      <c r="A5957" s="946" t="s">
        <v>28615</v>
      </c>
      <c r="B5957" s="947" t="s">
        <v>17989</v>
      </c>
      <c r="C5957" s="948" t="s">
        <v>17987</v>
      </c>
      <c r="D5957" s="242" t="s">
        <v>372</v>
      </c>
      <c r="E5957" s="949">
        <v>1601</v>
      </c>
      <c r="F5957" s="949">
        <v>1601</v>
      </c>
      <c r="G5957" s="950" t="s">
        <v>3065</v>
      </c>
      <c r="H5957" s="950" t="s">
        <v>3066</v>
      </c>
      <c r="I5957" s="951" t="s">
        <v>17988</v>
      </c>
      <c r="J5957" s="947" t="s">
        <v>17989</v>
      </c>
      <c r="K5957" s="143"/>
    </row>
    <row r="5958" spans="1:11">
      <c r="A5958" s="946" t="s">
        <v>28615</v>
      </c>
      <c r="B5958" s="947" t="s">
        <v>18030</v>
      </c>
      <c r="C5958" s="948" t="s">
        <v>18028</v>
      </c>
      <c r="D5958" s="242" t="s">
        <v>372</v>
      </c>
      <c r="E5958" s="949">
        <v>1601</v>
      </c>
      <c r="F5958" s="949">
        <v>1601</v>
      </c>
      <c r="G5958" s="950" t="s">
        <v>3065</v>
      </c>
      <c r="H5958" s="950" t="s">
        <v>3066</v>
      </c>
      <c r="I5958" s="951" t="s">
        <v>18029</v>
      </c>
      <c r="J5958" s="947" t="s">
        <v>18030</v>
      </c>
      <c r="K5958" s="143"/>
    </row>
    <row r="5959" spans="1:11">
      <c r="A5959" s="946" t="s">
        <v>28615</v>
      </c>
      <c r="B5959" s="947" t="s">
        <v>18129</v>
      </c>
      <c r="C5959" s="948" t="s">
        <v>18127</v>
      </c>
      <c r="D5959" s="242" t="s">
        <v>372</v>
      </c>
      <c r="E5959" s="949">
        <v>1601</v>
      </c>
      <c r="F5959" s="949">
        <v>1601</v>
      </c>
      <c r="G5959" s="950" t="s">
        <v>3065</v>
      </c>
      <c r="H5959" s="950" t="s">
        <v>3066</v>
      </c>
      <c r="I5959" s="951" t="s">
        <v>18128</v>
      </c>
      <c r="J5959" s="947" t="s">
        <v>18129</v>
      </c>
      <c r="K5959" s="143"/>
    </row>
    <row r="5960" spans="1:11">
      <c r="A5960" s="946" t="s">
        <v>28615</v>
      </c>
      <c r="B5960" s="947" t="s">
        <v>18287</v>
      </c>
      <c r="C5960" s="948" t="s">
        <v>18285</v>
      </c>
      <c r="D5960" s="242" t="s">
        <v>372</v>
      </c>
      <c r="E5960" s="949">
        <v>1601</v>
      </c>
      <c r="F5960" s="949">
        <v>1601</v>
      </c>
      <c r="G5960" s="950" t="s">
        <v>3065</v>
      </c>
      <c r="H5960" s="950" t="s">
        <v>3066</v>
      </c>
      <c r="I5960" s="951" t="s">
        <v>18286</v>
      </c>
      <c r="J5960" s="947" t="s">
        <v>18287</v>
      </c>
      <c r="K5960" s="143"/>
    </row>
    <row r="5961" spans="1:11">
      <c r="A5961" s="946" t="s">
        <v>28615</v>
      </c>
      <c r="B5961" s="947" t="s">
        <v>20567</v>
      </c>
      <c r="C5961" s="948" t="s">
        <v>20565</v>
      </c>
      <c r="D5961" s="242" t="s">
        <v>372</v>
      </c>
      <c r="E5961" s="949">
        <v>1601</v>
      </c>
      <c r="F5961" s="949">
        <v>1601</v>
      </c>
      <c r="G5961" s="950" t="s">
        <v>3065</v>
      </c>
      <c r="H5961" s="950" t="s">
        <v>3066</v>
      </c>
      <c r="I5961" s="951" t="s">
        <v>20566</v>
      </c>
      <c r="J5961" s="947" t="s">
        <v>20567</v>
      </c>
      <c r="K5961" s="143"/>
    </row>
    <row r="5962" spans="1:11">
      <c r="A5962" s="946" t="s">
        <v>28615</v>
      </c>
      <c r="B5962" s="947" t="s">
        <v>20699</v>
      </c>
      <c r="C5962" s="948" t="s">
        <v>20697</v>
      </c>
      <c r="D5962" s="242" t="s">
        <v>372</v>
      </c>
      <c r="E5962" s="949">
        <v>1601</v>
      </c>
      <c r="F5962" s="949">
        <v>1601</v>
      </c>
      <c r="G5962" s="950" t="s">
        <v>3065</v>
      </c>
      <c r="H5962" s="950" t="s">
        <v>3066</v>
      </c>
      <c r="I5962" s="951" t="s">
        <v>20698</v>
      </c>
      <c r="J5962" s="947" t="s">
        <v>20699</v>
      </c>
      <c r="K5962" s="143"/>
    </row>
    <row r="5963" spans="1:11">
      <c r="A5963" s="946" t="s">
        <v>28615</v>
      </c>
      <c r="B5963" s="947" t="s">
        <v>22058</v>
      </c>
      <c r="C5963" s="948" t="s">
        <v>22056</v>
      </c>
      <c r="D5963" s="242" t="s">
        <v>372</v>
      </c>
      <c r="E5963" s="949">
        <v>1601</v>
      </c>
      <c r="F5963" s="949">
        <v>1601</v>
      </c>
      <c r="G5963" s="950" t="s">
        <v>3065</v>
      </c>
      <c r="H5963" s="950" t="s">
        <v>3066</v>
      </c>
      <c r="I5963" s="951" t="s">
        <v>22057</v>
      </c>
      <c r="J5963" s="947" t="s">
        <v>22058</v>
      </c>
      <c r="K5963" s="143"/>
    </row>
    <row r="5964" spans="1:11">
      <c r="A5964" s="946" t="s">
        <v>28615</v>
      </c>
      <c r="B5964" s="947" t="s">
        <v>888</v>
      </c>
      <c r="C5964" s="948" t="s">
        <v>886</v>
      </c>
      <c r="D5964" s="242" t="s">
        <v>372</v>
      </c>
      <c r="E5964" s="949">
        <v>1601</v>
      </c>
      <c r="F5964" s="949">
        <v>1601</v>
      </c>
      <c r="G5964" s="950" t="s">
        <v>467</v>
      </c>
      <c r="H5964" s="950" t="s">
        <v>468</v>
      </c>
      <c r="I5964" s="951" t="s">
        <v>887</v>
      </c>
      <c r="J5964" s="947" t="s">
        <v>888</v>
      </c>
      <c r="K5964" s="143"/>
    </row>
    <row r="5965" spans="1:11">
      <c r="A5965" s="946" t="s">
        <v>28615</v>
      </c>
      <c r="B5965" s="947" t="s">
        <v>891</v>
      </c>
      <c r="C5965" s="948" t="s">
        <v>889</v>
      </c>
      <c r="D5965" s="242" t="s">
        <v>372</v>
      </c>
      <c r="E5965" s="949">
        <v>1601</v>
      </c>
      <c r="F5965" s="949">
        <v>1601</v>
      </c>
      <c r="G5965" s="950" t="s">
        <v>467</v>
      </c>
      <c r="H5965" s="950" t="s">
        <v>468</v>
      </c>
      <c r="I5965" s="951" t="s">
        <v>890</v>
      </c>
      <c r="J5965" s="947" t="s">
        <v>891</v>
      </c>
      <c r="K5965" s="143"/>
    </row>
    <row r="5966" spans="1:11">
      <c r="A5966" s="946" t="s">
        <v>28615</v>
      </c>
      <c r="B5966" s="947" t="s">
        <v>956</v>
      </c>
      <c r="C5966" s="948" t="s">
        <v>954</v>
      </c>
      <c r="D5966" s="242" t="s">
        <v>372</v>
      </c>
      <c r="E5966" s="949">
        <v>1601</v>
      </c>
      <c r="F5966" s="949">
        <v>1601</v>
      </c>
      <c r="G5966" s="950" t="s">
        <v>467</v>
      </c>
      <c r="H5966" s="950" t="s">
        <v>468</v>
      </c>
      <c r="I5966" s="951" t="s">
        <v>955</v>
      </c>
      <c r="J5966" s="947" t="s">
        <v>956</v>
      </c>
      <c r="K5966" s="143"/>
    </row>
    <row r="5967" spans="1:11">
      <c r="A5967" s="946" t="s">
        <v>28615</v>
      </c>
      <c r="B5967" s="947" t="s">
        <v>1133</v>
      </c>
      <c r="C5967" s="948" t="s">
        <v>1131</v>
      </c>
      <c r="D5967" s="242" t="s">
        <v>372</v>
      </c>
      <c r="E5967" s="949">
        <v>1601</v>
      </c>
      <c r="F5967" s="949">
        <v>1601</v>
      </c>
      <c r="G5967" s="950" t="s">
        <v>467</v>
      </c>
      <c r="H5967" s="950" t="s">
        <v>468</v>
      </c>
      <c r="I5967" s="951" t="s">
        <v>1132</v>
      </c>
      <c r="J5967" s="947" t="s">
        <v>1133</v>
      </c>
      <c r="K5967" s="143"/>
    </row>
    <row r="5968" spans="1:11">
      <c r="A5968" s="946" t="s">
        <v>28615</v>
      </c>
      <c r="B5968" s="947" t="s">
        <v>1294</v>
      </c>
      <c r="C5968" s="948" t="s">
        <v>1292</v>
      </c>
      <c r="D5968" s="242" t="s">
        <v>372</v>
      </c>
      <c r="E5968" s="949">
        <v>1601</v>
      </c>
      <c r="F5968" s="949">
        <v>1601</v>
      </c>
      <c r="G5968" s="950" t="s">
        <v>467</v>
      </c>
      <c r="H5968" s="950" t="s">
        <v>468</v>
      </c>
      <c r="I5968" s="951" t="s">
        <v>1293</v>
      </c>
      <c r="J5968" s="947" t="s">
        <v>1294</v>
      </c>
      <c r="K5968" s="143"/>
    </row>
    <row r="5969" spans="1:11">
      <c r="A5969" s="946" t="s">
        <v>28615</v>
      </c>
      <c r="B5969" s="947" t="s">
        <v>1456</v>
      </c>
      <c r="C5969" s="948" t="s">
        <v>1454</v>
      </c>
      <c r="D5969" s="242" t="s">
        <v>372</v>
      </c>
      <c r="E5969" s="949">
        <v>1601</v>
      </c>
      <c r="F5969" s="949">
        <v>1601</v>
      </c>
      <c r="G5969" s="950" t="s">
        <v>467</v>
      </c>
      <c r="H5969" s="950" t="s">
        <v>468</v>
      </c>
      <c r="I5969" s="951" t="s">
        <v>1455</v>
      </c>
      <c r="J5969" s="947" t="s">
        <v>1456</v>
      </c>
      <c r="K5969" s="143"/>
    </row>
    <row r="5970" spans="1:11">
      <c r="A5970" s="946" t="s">
        <v>28615</v>
      </c>
      <c r="B5970" s="947" t="s">
        <v>1805</v>
      </c>
      <c r="C5970" s="948" t="s">
        <v>1803</v>
      </c>
      <c r="D5970" s="242" t="s">
        <v>372</v>
      </c>
      <c r="E5970" s="949">
        <v>1601</v>
      </c>
      <c r="F5970" s="949">
        <v>1601</v>
      </c>
      <c r="G5970" s="950" t="s">
        <v>467</v>
      </c>
      <c r="H5970" s="950" t="s">
        <v>468</v>
      </c>
      <c r="I5970" s="951" t="s">
        <v>1804</v>
      </c>
      <c r="J5970" s="947" t="s">
        <v>1805</v>
      </c>
      <c r="K5970" s="143"/>
    </row>
    <row r="5971" spans="1:11">
      <c r="A5971" s="946" t="s">
        <v>28615</v>
      </c>
      <c r="B5971" s="947" t="s">
        <v>2894</v>
      </c>
      <c r="C5971" s="948" t="s">
        <v>2892</v>
      </c>
      <c r="D5971" s="242" t="s">
        <v>372</v>
      </c>
      <c r="E5971" s="949">
        <v>1601</v>
      </c>
      <c r="F5971" s="949">
        <v>1601</v>
      </c>
      <c r="G5971" s="950" t="s">
        <v>467</v>
      </c>
      <c r="H5971" s="950" t="s">
        <v>468</v>
      </c>
      <c r="I5971" s="951" t="s">
        <v>2893</v>
      </c>
      <c r="J5971" s="947" t="s">
        <v>2894</v>
      </c>
      <c r="K5971" s="143"/>
    </row>
    <row r="5972" spans="1:11">
      <c r="A5972" s="946" t="s">
        <v>28615</v>
      </c>
      <c r="B5972" s="947" t="s">
        <v>3502</v>
      </c>
      <c r="C5972" s="948" t="s">
        <v>3500</v>
      </c>
      <c r="D5972" s="242" t="s">
        <v>372</v>
      </c>
      <c r="E5972" s="949">
        <v>1601</v>
      </c>
      <c r="F5972" s="949">
        <v>1601</v>
      </c>
      <c r="G5972" s="950" t="s">
        <v>467</v>
      </c>
      <c r="H5972" s="950" t="s">
        <v>468</v>
      </c>
      <c r="I5972" s="951" t="s">
        <v>3501</v>
      </c>
      <c r="J5972" s="947" t="s">
        <v>3502</v>
      </c>
      <c r="K5972" s="143"/>
    </row>
    <row r="5973" spans="1:11">
      <c r="A5973" s="946" t="s">
        <v>28615</v>
      </c>
      <c r="B5973" s="947" t="s">
        <v>3706</v>
      </c>
      <c r="C5973" s="948" t="s">
        <v>3704</v>
      </c>
      <c r="D5973" s="242" t="s">
        <v>372</v>
      </c>
      <c r="E5973" s="949">
        <v>1601</v>
      </c>
      <c r="F5973" s="949">
        <v>1601</v>
      </c>
      <c r="G5973" s="950" t="s">
        <v>467</v>
      </c>
      <c r="H5973" s="950" t="s">
        <v>468</v>
      </c>
      <c r="I5973" s="951" t="s">
        <v>3705</v>
      </c>
      <c r="J5973" s="947" t="s">
        <v>3706</v>
      </c>
      <c r="K5973" s="143"/>
    </row>
    <row r="5974" spans="1:11">
      <c r="A5974" s="946" t="s">
        <v>28615</v>
      </c>
      <c r="B5974" s="947" t="s">
        <v>3955</v>
      </c>
      <c r="C5974" s="948" t="s">
        <v>3953</v>
      </c>
      <c r="D5974" s="242" t="s">
        <v>372</v>
      </c>
      <c r="E5974" s="949">
        <v>1601</v>
      </c>
      <c r="F5974" s="949">
        <v>1601</v>
      </c>
      <c r="G5974" s="950" t="s">
        <v>467</v>
      </c>
      <c r="H5974" s="950" t="s">
        <v>468</v>
      </c>
      <c r="I5974" s="951" t="s">
        <v>3954</v>
      </c>
      <c r="J5974" s="947" t="s">
        <v>3955</v>
      </c>
      <c r="K5974" s="143"/>
    </row>
    <row r="5975" spans="1:11">
      <c r="A5975" s="946" t="s">
        <v>28615</v>
      </c>
      <c r="B5975" s="947" t="s">
        <v>4128</v>
      </c>
      <c r="C5975" s="948" t="s">
        <v>4126</v>
      </c>
      <c r="D5975" s="242" t="s">
        <v>372</v>
      </c>
      <c r="E5975" s="949">
        <v>1601</v>
      </c>
      <c r="F5975" s="949">
        <v>1601</v>
      </c>
      <c r="G5975" s="950" t="s">
        <v>467</v>
      </c>
      <c r="H5975" s="950" t="s">
        <v>468</v>
      </c>
      <c r="I5975" s="951" t="s">
        <v>4127</v>
      </c>
      <c r="J5975" s="947" t="s">
        <v>4128</v>
      </c>
      <c r="K5975" s="143"/>
    </row>
    <row r="5976" spans="1:11">
      <c r="A5976" s="946" t="s">
        <v>28615</v>
      </c>
      <c r="B5976" s="947" t="s">
        <v>4356</v>
      </c>
      <c r="C5976" s="948" t="s">
        <v>4354</v>
      </c>
      <c r="D5976" s="242" t="s">
        <v>372</v>
      </c>
      <c r="E5976" s="949">
        <v>1601</v>
      </c>
      <c r="F5976" s="949">
        <v>1601</v>
      </c>
      <c r="G5976" s="950" t="s">
        <v>467</v>
      </c>
      <c r="H5976" s="950" t="s">
        <v>468</v>
      </c>
      <c r="I5976" s="951" t="s">
        <v>4355</v>
      </c>
      <c r="J5976" s="947" t="s">
        <v>4356</v>
      </c>
      <c r="K5976" s="143"/>
    </row>
    <row r="5977" spans="1:11">
      <c r="A5977" s="946" t="s">
        <v>28615</v>
      </c>
      <c r="B5977" s="947" t="s">
        <v>4417</v>
      </c>
      <c r="C5977" s="948" t="s">
        <v>4415</v>
      </c>
      <c r="D5977" s="242" t="s">
        <v>372</v>
      </c>
      <c r="E5977" s="949">
        <v>1601</v>
      </c>
      <c r="F5977" s="949">
        <v>1601</v>
      </c>
      <c r="G5977" s="950" t="s">
        <v>467</v>
      </c>
      <c r="H5977" s="950" t="s">
        <v>468</v>
      </c>
      <c r="I5977" s="951" t="s">
        <v>4416</v>
      </c>
      <c r="J5977" s="947" t="s">
        <v>4417</v>
      </c>
      <c r="K5977" s="143"/>
    </row>
    <row r="5978" spans="1:11">
      <c r="A5978" s="946" t="s">
        <v>28615</v>
      </c>
      <c r="B5978" s="947" t="s">
        <v>4694</v>
      </c>
      <c r="C5978" s="948" t="s">
        <v>4692</v>
      </c>
      <c r="D5978" s="242" t="s">
        <v>372</v>
      </c>
      <c r="E5978" s="949">
        <v>1601</v>
      </c>
      <c r="F5978" s="949">
        <v>1601</v>
      </c>
      <c r="G5978" s="950" t="s">
        <v>467</v>
      </c>
      <c r="H5978" s="950" t="s">
        <v>468</v>
      </c>
      <c r="I5978" s="951" t="s">
        <v>4693</v>
      </c>
      <c r="J5978" s="947" t="s">
        <v>4694</v>
      </c>
      <c r="K5978" s="143"/>
    </row>
    <row r="5979" spans="1:11">
      <c r="A5979" s="946" t="s">
        <v>28615</v>
      </c>
      <c r="B5979" s="947" t="s">
        <v>5569</v>
      </c>
      <c r="C5979" s="948" t="s">
        <v>5567</v>
      </c>
      <c r="D5979" s="242" t="s">
        <v>372</v>
      </c>
      <c r="E5979" s="949">
        <v>1601</v>
      </c>
      <c r="F5979" s="949">
        <v>1601</v>
      </c>
      <c r="G5979" s="950" t="s">
        <v>467</v>
      </c>
      <c r="H5979" s="950" t="s">
        <v>468</v>
      </c>
      <c r="I5979" s="951" t="s">
        <v>5568</v>
      </c>
      <c r="J5979" s="947" t="s">
        <v>5569</v>
      </c>
      <c r="K5979" s="143"/>
    </row>
    <row r="5980" spans="1:11">
      <c r="A5980" s="946" t="s">
        <v>28615</v>
      </c>
      <c r="B5980" s="947" t="s">
        <v>5572</v>
      </c>
      <c r="C5980" s="948" t="s">
        <v>5570</v>
      </c>
      <c r="D5980" s="242" t="s">
        <v>372</v>
      </c>
      <c r="E5980" s="949">
        <v>1601</v>
      </c>
      <c r="F5980" s="949">
        <v>1601</v>
      </c>
      <c r="G5980" s="950" t="s">
        <v>467</v>
      </c>
      <c r="H5980" s="950" t="s">
        <v>468</v>
      </c>
      <c r="I5980" s="951" t="s">
        <v>5571</v>
      </c>
      <c r="J5980" s="947" t="s">
        <v>5572</v>
      </c>
      <c r="K5980" s="143"/>
    </row>
    <row r="5981" spans="1:11">
      <c r="A5981" s="946" t="s">
        <v>28615</v>
      </c>
      <c r="B5981" s="947" t="s">
        <v>5575</v>
      </c>
      <c r="C5981" s="948" t="s">
        <v>5573</v>
      </c>
      <c r="D5981" s="242" t="s">
        <v>372</v>
      </c>
      <c r="E5981" s="949">
        <v>1601</v>
      </c>
      <c r="F5981" s="949">
        <v>1601</v>
      </c>
      <c r="G5981" s="950" t="s">
        <v>467</v>
      </c>
      <c r="H5981" s="950" t="s">
        <v>468</v>
      </c>
      <c r="I5981" s="951" t="s">
        <v>5574</v>
      </c>
      <c r="J5981" s="947" t="s">
        <v>5575</v>
      </c>
      <c r="K5981" s="143"/>
    </row>
    <row r="5982" spans="1:11">
      <c r="A5982" s="946" t="s">
        <v>28615</v>
      </c>
      <c r="B5982" s="947" t="s">
        <v>5671</v>
      </c>
      <c r="C5982" s="948" t="s">
        <v>5669</v>
      </c>
      <c r="D5982" s="242" t="s">
        <v>372</v>
      </c>
      <c r="E5982" s="949">
        <v>1601</v>
      </c>
      <c r="F5982" s="949">
        <v>1601</v>
      </c>
      <c r="G5982" s="950" t="s">
        <v>467</v>
      </c>
      <c r="H5982" s="950" t="s">
        <v>468</v>
      </c>
      <c r="I5982" s="951" t="s">
        <v>5670</v>
      </c>
      <c r="J5982" s="947" t="s">
        <v>5671</v>
      </c>
      <c r="K5982" s="143"/>
    </row>
    <row r="5983" spans="1:11">
      <c r="A5983" s="946" t="s">
        <v>28615</v>
      </c>
      <c r="B5983" s="947" t="s">
        <v>6775</v>
      </c>
      <c r="C5983" s="948" t="s">
        <v>6773</v>
      </c>
      <c r="D5983" s="242" t="s">
        <v>372</v>
      </c>
      <c r="E5983" s="949">
        <v>1601</v>
      </c>
      <c r="F5983" s="949">
        <v>1601</v>
      </c>
      <c r="G5983" s="950" t="s">
        <v>467</v>
      </c>
      <c r="H5983" s="950" t="s">
        <v>468</v>
      </c>
      <c r="I5983" s="951" t="s">
        <v>6774</v>
      </c>
      <c r="J5983" s="947" t="s">
        <v>6775</v>
      </c>
      <c r="K5983" s="143"/>
    </row>
    <row r="5984" spans="1:11">
      <c r="A5984" s="946" t="s">
        <v>28615</v>
      </c>
      <c r="B5984" s="947" t="s">
        <v>7009</v>
      </c>
      <c r="C5984" s="948" t="s">
        <v>7007</v>
      </c>
      <c r="D5984" s="242" t="s">
        <v>372</v>
      </c>
      <c r="E5984" s="949">
        <v>1601</v>
      </c>
      <c r="F5984" s="949">
        <v>1601</v>
      </c>
      <c r="G5984" s="950" t="s">
        <v>467</v>
      </c>
      <c r="H5984" s="950" t="s">
        <v>468</v>
      </c>
      <c r="I5984" s="951" t="s">
        <v>7008</v>
      </c>
      <c r="J5984" s="947" t="s">
        <v>7009</v>
      </c>
      <c r="K5984" s="143"/>
    </row>
    <row r="5985" spans="1:11">
      <c r="A5985" s="946" t="s">
        <v>28615</v>
      </c>
      <c r="B5985" s="947" t="s">
        <v>7066</v>
      </c>
      <c r="C5985" s="948" t="s">
        <v>7064</v>
      </c>
      <c r="D5985" s="242" t="s">
        <v>372</v>
      </c>
      <c r="E5985" s="949">
        <v>1601</v>
      </c>
      <c r="F5985" s="949">
        <v>1601</v>
      </c>
      <c r="G5985" s="950" t="s">
        <v>467</v>
      </c>
      <c r="H5985" s="950" t="s">
        <v>468</v>
      </c>
      <c r="I5985" s="951" t="s">
        <v>7065</v>
      </c>
      <c r="J5985" s="947" t="s">
        <v>7066</v>
      </c>
      <c r="K5985" s="143"/>
    </row>
    <row r="5986" spans="1:11">
      <c r="A5986" s="946" t="s">
        <v>28615</v>
      </c>
      <c r="B5986" s="947" t="s">
        <v>7143</v>
      </c>
      <c r="C5986" s="948" t="s">
        <v>7141</v>
      </c>
      <c r="D5986" s="242" t="s">
        <v>372</v>
      </c>
      <c r="E5986" s="949">
        <v>1601</v>
      </c>
      <c r="F5986" s="949">
        <v>1601</v>
      </c>
      <c r="G5986" s="950" t="s">
        <v>467</v>
      </c>
      <c r="H5986" s="950" t="s">
        <v>468</v>
      </c>
      <c r="I5986" s="951" t="s">
        <v>7142</v>
      </c>
      <c r="J5986" s="947" t="s">
        <v>7143</v>
      </c>
      <c r="K5986" s="143"/>
    </row>
    <row r="5987" spans="1:11">
      <c r="A5987" s="946" t="s">
        <v>28615</v>
      </c>
      <c r="B5987" s="947" t="s">
        <v>7504</v>
      </c>
      <c r="C5987" s="948" t="s">
        <v>7502</v>
      </c>
      <c r="D5987" s="242" t="s">
        <v>372</v>
      </c>
      <c r="E5987" s="949">
        <v>1601</v>
      </c>
      <c r="F5987" s="949">
        <v>1601</v>
      </c>
      <c r="G5987" s="950" t="s">
        <v>467</v>
      </c>
      <c r="H5987" s="950" t="s">
        <v>468</v>
      </c>
      <c r="I5987" s="951" t="s">
        <v>7503</v>
      </c>
      <c r="J5987" s="947" t="s">
        <v>7504</v>
      </c>
      <c r="K5987" s="143"/>
    </row>
    <row r="5988" spans="1:11">
      <c r="A5988" s="946" t="s">
        <v>28615</v>
      </c>
      <c r="B5988" s="947" t="s">
        <v>7536</v>
      </c>
      <c r="C5988" s="948" t="s">
        <v>7534</v>
      </c>
      <c r="D5988" s="242" t="s">
        <v>372</v>
      </c>
      <c r="E5988" s="949">
        <v>1601</v>
      </c>
      <c r="F5988" s="949">
        <v>1601</v>
      </c>
      <c r="G5988" s="950" t="s">
        <v>467</v>
      </c>
      <c r="H5988" s="950" t="s">
        <v>468</v>
      </c>
      <c r="I5988" s="951" t="s">
        <v>7535</v>
      </c>
      <c r="J5988" s="947" t="s">
        <v>7536</v>
      </c>
      <c r="K5988" s="143"/>
    </row>
    <row r="5989" spans="1:11">
      <c r="A5989" s="946" t="s">
        <v>28615</v>
      </c>
      <c r="B5989" s="947" t="s">
        <v>7661</v>
      </c>
      <c r="C5989" s="948" t="s">
        <v>7659</v>
      </c>
      <c r="D5989" s="242" t="s">
        <v>372</v>
      </c>
      <c r="E5989" s="949">
        <v>1601</v>
      </c>
      <c r="F5989" s="949">
        <v>1601</v>
      </c>
      <c r="G5989" s="950" t="s">
        <v>467</v>
      </c>
      <c r="H5989" s="950" t="s">
        <v>468</v>
      </c>
      <c r="I5989" s="951" t="s">
        <v>7660</v>
      </c>
      <c r="J5989" s="947" t="s">
        <v>7661</v>
      </c>
      <c r="K5989" s="143"/>
    </row>
    <row r="5990" spans="1:11">
      <c r="A5990" s="946" t="s">
        <v>28615</v>
      </c>
      <c r="B5990" s="947" t="s">
        <v>8823</v>
      </c>
      <c r="C5990" s="948" t="s">
        <v>8821</v>
      </c>
      <c r="D5990" s="242" t="s">
        <v>372</v>
      </c>
      <c r="E5990" s="949">
        <v>1601</v>
      </c>
      <c r="F5990" s="949">
        <v>1601</v>
      </c>
      <c r="G5990" s="950" t="s">
        <v>467</v>
      </c>
      <c r="H5990" s="950" t="s">
        <v>468</v>
      </c>
      <c r="I5990" s="951" t="s">
        <v>8822</v>
      </c>
      <c r="J5990" s="947" t="s">
        <v>8823</v>
      </c>
      <c r="K5990" s="143"/>
    </row>
    <row r="5991" spans="1:11">
      <c r="A5991" s="946" t="s">
        <v>28615</v>
      </c>
      <c r="B5991" s="947" t="s">
        <v>8849</v>
      </c>
      <c r="C5991" s="948" t="s">
        <v>8847</v>
      </c>
      <c r="D5991" s="242" t="s">
        <v>372</v>
      </c>
      <c r="E5991" s="949">
        <v>1601</v>
      </c>
      <c r="F5991" s="949">
        <v>1601</v>
      </c>
      <c r="G5991" s="950" t="s">
        <v>467</v>
      </c>
      <c r="H5991" s="950" t="s">
        <v>468</v>
      </c>
      <c r="I5991" s="951" t="s">
        <v>8848</v>
      </c>
      <c r="J5991" s="947" t="s">
        <v>8849</v>
      </c>
      <c r="K5991" s="143"/>
    </row>
    <row r="5992" spans="1:11">
      <c r="A5992" s="946" t="s">
        <v>28615</v>
      </c>
      <c r="B5992" s="947" t="s">
        <v>8852</v>
      </c>
      <c r="C5992" s="948" t="s">
        <v>8850</v>
      </c>
      <c r="D5992" s="242" t="s">
        <v>372</v>
      </c>
      <c r="E5992" s="949">
        <v>1601</v>
      </c>
      <c r="F5992" s="949">
        <v>1601</v>
      </c>
      <c r="G5992" s="950" t="s">
        <v>467</v>
      </c>
      <c r="H5992" s="950" t="s">
        <v>468</v>
      </c>
      <c r="I5992" s="951" t="s">
        <v>8851</v>
      </c>
      <c r="J5992" s="947" t="s">
        <v>8852</v>
      </c>
      <c r="K5992" s="143"/>
    </row>
    <row r="5993" spans="1:11">
      <c r="A5993" s="946" t="s">
        <v>28615</v>
      </c>
      <c r="B5993" s="947" t="s">
        <v>8903</v>
      </c>
      <c r="C5993" s="948" t="s">
        <v>8901</v>
      </c>
      <c r="D5993" s="242" t="s">
        <v>372</v>
      </c>
      <c r="E5993" s="949">
        <v>1601</v>
      </c>
      <c r="F5993" s="949">
        <v>1601</v>
      </c>
      <c r="G5993" s="950" t="s">
        <v>467</v>
      </c>
      <c r="H5993" s="950" t="s">
        <v>468</v>
      </c>
      <c r="I5993" s="951" t="s">
        <v>8902</v>
      </c>
      <c r="J5993" s="947" t="s">
        <v>8903</v>
      </c>
      <c r="K5993" s="143"/>
    </row>
    <row r="5994" spans="1:11">
      <c r="A5994" s="946" t="s">
        <v>28615</v>
      </c>
      <c r="B5994" s="947" t="s">
        <v>9281</v>
      </c>
      <c r="C5994" s="948" t="s">
        <v>9279</v>
      </c>
      <c r="D5994" s="242" t="s">
        <v>372</v>
      </c>
      <c r="E5994" s="949">
        <v>1601</v>
      </c>
      <c r="F5994" s="949">
        <v>1601</v>
      </c>
      <c r="G5994" s="950" t="s">
        <v>467</v>
      </c>
      <c r="H5994" s="950" t="s">
        <v>468</v>
      </c>
      <c r="I5994" s="951" t="s">
        <v>9280</v>
      </c>
      <c r="J5994" s="947" t="s">
        <v>9281</v>
      </c>
      <c r="K5994" s="143"/>
    </row>
    <row r="5995" spans="1:11">
      <c r="A5995" s="946" t="s">
        <v>28615</v>
      </c>
      <c r="B5995" s="947" t="s">
        <v>9302</v>
      </c>
      <c r="C5995" s="948" t="s">
        <v>9300</v>
      </c>
      <c r="D5995" s="242" t="s">
        <v>372</v>
      </c>
      <c r="E5995" s="949">
        <v>1601</v>
      </c>
      <c r="F5995" s="949">
        <v>1601</v>
      </c>
      <c r="G5995" s="950" t="s">
        <v>467</v>
      </c>
      <c r="H5995" s="950" t="s">
        <v>468</v>
      </c>
      <c r="I5995" s="951" t="s">
        <v>9301</v>
      </c>
      <c r="J5995" s="947" t="s">
        <v>9302</v>
      </c>
      <c r="K5995" s="143"/>
    </row>
    <row r="5996" spans="1:11">
      <c r="A5996" s="946" t="s">
        <v>28615</v>
      </c>
      <c r="B5996" s="947" t="s">
        <v>9659</v>
      </c>
      <c r="C5996" s="948" t="s">
        <v>9657</v>
      </c>
      <c r="D5996" s="242" t="s">
        <v>372</v>
      </c>
      <c r="E5996" s="949">
        <v>1601</v>
      </c>
      <c r="F5996" s="949">
        <v>1601</v>
      </c>
      <c r="G5996" s="950" t="s">
        <v>467</v>
      </c>
      <c r="H5996" s="950" t="s">
        <v>468</v>
      </c>
      <c r="I5996" s="951" t="s">
        <v>9658</v>
      </c>
      <c r="J5996" s="947" t="s">
        <v>9659</v>
      </c>
      <c r="K5996" s="143"/>
    </row>
    <row r="5997" spans="1:11">
      <c r="A5997" s="946" t="s">
        <v>28615</v>
      </c>
      <c r="B5997" s="947" t="s">
        <v>467</v>
      </c>
      <c r="C5997" s="948" t="s">
        <v>10251</v>
      </c>
      <c r="D5997" s="242" t="s">
        <v>372</v>
      </c>
      <c r="E5997" s="949">
        <v>1601</v>
      </c>
      <c r="F5997" s="949">
        <v>1601</v>
      </c>
      <c r="G5997" s="950" t="s">
        <v>467</v>
      </c>
      <c r="H5997" s="950" t="s">
        <v>468</v>
      </c>
      <c r="I5997" s="951" t="s">
        <v>10252</v>
      </c>
      <c r="J5997" s="947" t="s">
        <v>467</v>
      </c>
      <c r="K5997" s="143"/>
    </row>
    <row r="5998" spans="1:11">
      <c r="A5998" s="946" t="s">
        <v>28615</v>
      </c>
      <c r="B5998" s="947" t="s">
        <v>10323</v>
      </c>
      <c r="C5998" s="948" t="s">
        <v>10321</v>
      </c>
      <c r="D5998" s="242" t="s">
        <v>372</v>
      </c>
      <c r="E5998" s="949">
        <v>1601</v>
      </c>
      <c r="F5998" s="949">
        <v>1601</v>
      </c>
      <c r="G5998" s="950" t="s">
        <v>467</v>
      </c>
      <c r="H5998" s="950" t="s">
        <v>468</v>
      </c>
      <c r="I5998" s="951" t="s">
        <v>10322</v>
      </c>
      <c r="J5998" s="947" t="s">
        <v>10323</v>
      </c>
      <c r="K5998" s="143"/>
    </row>
    <row r="5999" spans="1:11">
      <c r="A5999" s="946" t="s">
        <v>28615</v>
      </c>
      <c r="B5999" s="947" t="s">
        <v>10384</v>
      </c>
      <c r="C5999" s="948" t="s">
        <v>10382</v>
      </c>
      <c r="D5999" s="242" t="s">
        <v>372</v>
      </c>
      <c r="E5999" s="949">
        <v>1601</v>
      </c>
      <c r="F5999" s="949">
        <v>1601</v>
      </c>
      <c r="G5999" s="950" t="s">
        <v>467</v>
      </c>
      <c r="H5999" s="950" t="s">
        <v>468</v>
      </c>
      <c r="I5999" s="951" t="s">
        <v>10383</v>
      </c>
      <c r="J5999" s="947" t="s">
        <v>10384</v>
      </c>
      <c r="K5999" s="143"/>
    </row>
    <row r="6000" spans="1:11">
      <c r="A6000" s="946" t="s">
        <v>28615</v>
      </c>
      <c r="B6000" s="947" t="s">
        <v>10507</v>
      </c>
      <c r="C6000" s="948" t="s">
        <v>10505</v>
      </c>
      <c r="D6000" s="242" t="s">
        <v>372</v>
      </c>
      <c r="E6000" s="949">
        <v>1601</v>
      </c>
      <c r="F6000" s="949">
        <v>1601</v>
      </c>
      <c r="G6000" s="950" t="s">
        <v>467</v>
      </c>
      <c r="H6000" s="950" t="s">
        <v>468</v>
      </c>
      <c r="I6000" s="951" t="s">
        <v>10506</v>
      </c>
      <c r="J6000" s="947" t="s">
        <v>10507</v>
      </c>
      <c r="K6000" s="143"/>
    </row>
    <row r="6001" spans="1:11">
      <c r="A6001" s="946" t="s">
        <v>28615</v>
      </c>
      <c r="B6001" s="947" t="s">
        <v>10899</v>
      </c>
      <c r="C6001" s="948" t="s">
        <v>10897</v>
      </c>
      <c r="D6001" s="242" t="s">
        <v>372</v>
      </c>
      <c r="E6001" s="949">
        <v>1601</v>
      </c>
      <c r="F6001" s="949">
        <v>1601</v>
      </c>
      <c r="G6001" s="950" t="s">
        <v>467</v>
      </c>
      <c r="H6001" s="950" t="s">
        <v>468</v>
      </c>
      <c r="I6001" s="951" t="s">
        <v>10898</v>
      </c>
      <c r="J6001" s="947" t="s">
        <v>10899</v>
      </c>
      <c r="K6001" s="143"/>
    </row>
    <row r="6002" spans="1:11">
      <c r="A6002" s="946" t="s">
        <v>28615</v>
      </c>
      <c r="B6002" s="947" t="s">
        <v>11266</v>
      </c>
      <c r="C6002" s="948" t="s">
        <v>11264</v>
      </c>
      <c r="D6002" s="242" t="s">
        <v>372</v>
      </c>
      <c r="E6002" s="949">
        <v>1601</v>
      </c>
      <c r="F6002" s="949">
        <v>1601</v>
      </c>
      <c r="G6002" s="950" t="s">
        <v>467</v>
      </c>
      <c r="H6002" s="950" t="s">
        <v>468</v>
      </c>
      <c r="I6002" s="951" t="s">
        <v>11265</v>
      </c>
      <c r="J6002" s="947" t="s">
        <v>11266</v>
      </c>
      <c r="K6002" s="143"/>
    </row>
    <row r="6003" spans="1:11">
      <c r="A6003" s="946" t="s">
        <v>28615</v>
      </c>
      <c r="B6003" s="947" t="s">
        <v>11279</v>
      </c>
      <c r="C6003" s="948" t="s">
        <v>11277</v>
      </c>
      <c r="D6003" s="242" t="s">
        <v>372</v>
      </c>
      <c r="E6003" s="949">
        <v>1601</v>
      </c>
      <c r="F6003" s="949">
        <v>1601</v>
      </c>
      <c r="G6003" s="950" t="s">
        <v>467</v>
      </c>
      <c r="H6003" s="950" t="s">
        <v>468</v>
      </c>
      <c r="I6003" s="951" t="s">
        <v>11278</v>
      </c>
      <c r="J6003" s="947" t="s">
        <v>11279</v>
      </c>
      <c r="K6003" s="143"/>
    </row>
    <row r="6004" spans="1:11">
      <c r="A6004" s="946" t="s">
        <v>28615</v>
      </c>
      <c r="B6004" s="947" t="s">
        <v>11443</v>
      </c>
      <c r="C6004" s="948" t="s">
        <v>11441</v>
      </c>
      <c r="D6004" s="242" t="s">
        <v>372</v>
      </c>
      <c r="E6004" s="949">
        <v>1601</v>
      </c>
      <c r="F6004" s="949">
        <v>1601</v>
      </c>
      <c r="G6004" s="950" t="s">
        <v>467</v>
      </c>
      <c r="H6004" s="950" t="s">
        <v>468</v>
      </c>
      <c r="I6004" s="951" t="s">
        <v>11442</v>
      </c>
      <c r="J6004" s="947" t="s">
        <v>11443</v>
      </c>
      <c r="K6004" s="143"/>
    </row>
    <row r="6005" spans="1:11">
      <c r="A6005" s="946" t="s">
        <v>28615</v>
      </c>
      <c r="B6005" s="947" t="s">
        <v>11540</v>
      </c>
      <c r="C6005" s="948" t="s">
        <v>11538</v>
      </c>
      <c r="D6005" s="242" t="s">
        <v>372</v>
      </c>
      <c r="E6005" s="949">
        <v>1601</v>
      </c>
      <c r="F6005" s="949">
        <v>1601</v>
      </c>
      <c r="G6005" s="950" t="s">
        <v>467</v>
      </c>
      <c r="H6005" s="950" t="s">
        <v>468</v>
      </c>
      <c r="I6005" s="951" t="s">
        <v>11539</v>
      </c>
      <c r="J6005" s="947" t="s">
        <v>11540</v>
      </c>
      <c r="K6005" s="143"/>
    </row>
    <row r="6006" spans="1:11">
      <c r="A6006" s="946" t="s">
        <v>28615</v>
      </c>
      <c r="B6006" s="947" t="s">
        <v>11560</v>
      </c>
      <c r="C6006" s="948" t="s">
        <v>11558</v>
      </c>
      <c r="D6006" s="242" t="s">
        <v>372</v>
      </c>
      <c r="E6006" s="949">
        <v>1601</v>
      </c>
      <c r="F6006" s="949">
        <v>1601</v>
      </c>
      <c r="G6006" s="950" t="s">
        <v>467</v>
      </c>
      <c r="H6006" s="950" t="s">
        <v>468</v>
      </c>
      <c r="I6006" s="951" t="s">
        <v>11559</v>
      </c>
      <c r="J6006" s="947" t="s">
        <v>11560</v>
      </c>
      <c r="K6006" s="143"/>
    </row>
    <row r="6007" spans="1:11">
      <c r="A6007" s="946" t="s">
        <v>28615</v>
      </c>
      <c r="B6007" s="947" t="s">
        <v>11581</v>
      </c>
      <c r="C6007" s="948" t="s">
        <v>11579</v>
      </c>
      <c r="D6007" s="242" t="s">
        <v>372</v>
      </c>
      <c r="E6007" s="949">
        <v>1601</v>
      </c>
      <c r="F6007" s="949">
        <v>1601</v>
      </c>
      <c r="G6007" s="950" t="s">
        <v>467</v>
      </c>
      <c r="H6007" s="950" t="s">
        <v>468</v>
      </c>
      <c r="I6007" s="951" t="s">
        <v>11580</v>
      </c>
      <c r="J6007" s="947" t="s">
        <v>11581</v>
      </c>
      <c r="K6007" s="143"/>
    </row>
    <row r="6008" spans="1:11">
      <c r="A6008" s="946" t="s">
        <v>28615</v>
      </c>
      <c r="B6008" s="947" t="s">
        <v>11741</v>
      </c>
      <c r="C6008" s="948" t="s">
        <v>11739</v>
      </c>
      <c r="D6008" s="242" t="s">
        <v>372</v>
      </c>
      <c r="E6008" s="949">
        <v>1601</v>
      </c>
      <c r="F6008" s="949">
        <v>1601</v>
      </c>
      <c r="G6008" s="950" t="s">
        <v>467</v>
      </c>
      <c r="H6008" s="950" t="s">
        <v>468</v>
      </c>
      <c r="I6008" s="951" t="s">
        <v>11740</v>
      </c>
      <c r="J6008" s="947" t="s">
        <v>11741</v>
      </c>
      <c r="K6008" s="143"/>
    </row>
    <row r="6009" spans="1:11">
      <c r="A6009" s="946" t="s">
        <v>28615</v>
      </c>
      <c r="B6009" s="947" t="s">
        <v>11795</v>
      </c>
      <c r="C6009" s="948" t="s">
        <v>11793</v>
      </c>
      <c r="D6009" s="242" t="s">
        <v>372</v>
      </c>
      <c r="E6009" s="949">
        <v>1601</v>
      </c>
      <c r="F6009" s="949">
        <v>1601</v>
      </c>
      <c r="G6009" s="950" t="s">
        <v>467</v>
      </c>
      <c r="H6009" s="950" t="s">
        <v>468</v>
      </c>
      <c r="I6009" s="951" t="s">
        <v>11794</v>
      </c>
      <c r="J6009" s="947" t="s">
        <v>11795</v>
      </c>
      <c r="K6009" s="143"/>
    </row>
    <row r="6010" spans="1:11">
      <c r="A6010" s="946" t="s">
        <v>28615</v>
      </c>
      <c r="B6010" s="947" t="s">
        <v>12703</v>
      </c>
      <c r="C6010" s="948" t="s">
        <v>12701</v>
      </c>
      <c r="D6010" s="242" t="s">
        <v>372</v>
      </c>
      <c r="E6010" s="949">
        <v>1601</v>
      </c>
      <c r="F6010" s="949">
        <v>1601</v>
      </c>
      <c r="G6010" s="950" t="s">
        <v>467</v>
      </c>
      <c r="H6010" s="950" t="s">
        <v>468</v>
      </c>
      <c r="I6010" s="951" t="s">
        <v>12702</v>
      </c>
      <c r="J6010" s="947" t="s">
        <v>12703</v>
      </c>
      <c r="K6010" s="143"/>
    </row>
    <row r="6011" spans="1:11">
      <c r="A6011" s="946" t="s">
        <v>28615</v>
      </c>
      <c r="B6011" s="947" t="s">
        <v>12728</v>
      </c>
      <c r="C6011" s="948" t="s">
        <v>12726</v>
      </c>
      <c r="D6011" s="242" t="s">
        <v>372</v>
      </c>
      <c r="E6011" s="949">
        <v>1601</v>
      </c>
      <c r="F6011" s="949">
        <v>1601</v>
      </c>
      <c r="G6011" s="950" t="s">
        <v>467</v>
      </c>
      <c r="H6011" s="950" t="s">
        <v>468</v>
      </c>
      <c r="I6011" s="951" t="s">
        <v>12727</v>
      </c>
      <c r="J6011" s="947" t="s">
        <v>12728</v>
      </c>
      <c r="K6011" s="143"/>
    </row>
    <row r="6012" spans="1:11">
      <c r="A6012" s="946" t="s">
        <v>28615</v>
      </c>
      <c r="B6012" s="947" t="s">
        <v>12896</v>
      </c>
      <c r="C6012" s="948" t="s">
        <v>12894</v>
      </c>
      <c r="D6012" s="242" t="s">
        <v>372</v>
      </c>
      <c r="E6012" s="949">
        <v>1601</v>
      </c>
      <c r="F6012" s="949">
        <v>1601</v>
      </c>
      <c r="G6012" s="950" t="s">
        <v>467</v>
      </c>
      <c r="H6012" s="950" t="s">
        <v>468</v>
      </c>
      <c r="I6012" s="951" t="s">
        <v>12895</v>
      </c>
      <c r="J6012" s="947" t="s">
        <v>12896</v>
      </c>
      <c r="K6012" s="143"/>
    </row>
    <row r="6013" spans="1:11">
      <c r="A6013" s="946" t="s">
        <v>28615</v>
      </c>
      <c r="B6013" s="947" t="s">
        <v>13120</v>
      </c>
      <c r="C6013" s="948" t="s">
        <v>13118</v>
      </c>
      <c r="D6013" s="242" t="s">
        <v>372</v>
      </c>
      <c r="E6013" s="949">
        <v>1601</v>
      </c>
      <c r="F6013" s="949">
        <v>1601</v>
      </c>
      <c r="G6013" s="950" t="s">
        <v>467</v>
      </c>
      <c r="H6013" s="950" t="s">
        <v>468</v>
      </c>
      <c r="I6013" s="951" t="s">
        <v>13119</v>
      </c>
      <c r="J6013" s="947" t="s">
        <v>13120</v>
      </c>
      <c r="K6013" s="143"/>
    </row>
    <row r="6014" spans="1:11">
      <c r="A6014" s="946" t="s">
        <v>28615</v>
      </c>
      <c r="B6014" s="947" t="s">
        <v>13160</v>
      </c>
      <c r="C6014" s="948" t="s">
        <v>13158</v>
      </c>
      <c r="D6014" s="242" t="s">
        <v>372</v>
      </c>
      <c r="E6014" s="949">
        <v>1601</v>
      </c>
      <c r="F6014" s="949">
        <v>1601</v>
      </c>
      <c r="G6014" s="950" t="s">
        <v>467</v>
      </c>
      <c r="H6014" s="950" t="s">
        <v>468</v>
      </c>
      <c r="I6014" s="951" t="s">
        <v>13159</v>
      </c>
      <c r="J6014" s="947" t="s">
        <v>13160</v>
      </c>
      <c r="K6014" s="143"/>
    </row>
    <row r="6015" spans="1:11">
      <c r="A6015" s="946" t="s">
        <v>28615</v>
      </c>
      <c r="B6015" s="947" t="s">
        <v>13242</v>
      </c>
      <c r="C6015" s="948" t="s">
        <v>13240</v>
      </c>
      <c r="D6015" s="242" t="s">
        <v>372</v>
      </c>
      <c r="E6015" s="949">
        <v>1601</v>
      </c>
      <c r="F6015" s="949">
        <v>1601</v>
      </c>
      <c r="G6015" s="950" t="s">
        <v>467</v>
      </c>
      <c r="H6015" s="950" t="s">
        <v>468</v>
      </c>
      <c r="I6015" s="951" t="s">
        <v>13241</v>
      </c>
      <c r="J6015" s="947" t="s">
        <v>13242</v>
      </c>
      <c r="K6015" s="143"/>
    </row>
    <row r="6016" spans="1:11">
      <c r="A6016" s="946" t="s">
        <v>28615</v>
      </c>
      <c r="B6016" s="947" t="s">
        <v>13325</v>
      </c>
      <c r="C6016" s="948" t="s">
        <v>13323</v>
      </c>
      <c r="D6016" s="242" t="s">
        <v>372</v>
      </c>
      <c r="E6016" s="949">
        <v>1601</v>
      </c>
      <c r="F6016" s="949">
        <v>1601</v>
      </c>
      <c r="G6016" s="950" t="s">
        <v>467</v>
      </c>
      <c r="H6016" s="950" t="s">
        <v>468</v>
      </c>
      <c r="I6016" s="951" t="s">
        <v>13324</v>
      </c>
      <c r="J6016" s="947" t="s">
        <v>13325</v>
      </c>
      <c r="K6016" s="143"/>
    </row>
    <row r="6017" spans="1:11">
      <c r="A6017" s="946" t="s">
        <v>28615</v>
      </c>
      <c r="B6017" s="947" t="s">
        <v>13448</v>
      </c>
      <c r="C6017" s="948" t="s">
        <v>13446</v>
      </c>
      <c r="D6017" s="242" t="s">
        <v>372</v>
      </c>
      <c r="E6017" s="949">
        <v>1601</v>
      </c>
      <c r="F6017" s="949">
        <v>1601</v>
      </c>
      <c r="G6017" s="950" t="s">
        <v>467</v>
      </c>
      <c r="H6017" s="950" t="s">
        <v>468</v>
      </c>
      <c r="I6017" s="951" t="s">
        <v>13447</v>
      </c>
      <c r="J6017" s="947" t="s">
        <v>13448</v>
      </c>
      <c r="K6017" s="143"/>
    </row>
    <row r="6018" spans="1:11">
      <c r="A6018" s="946" t="s">
        <v>28615</v>
      </c>
      <c r="B6018" s="947" t="s">
        <v>13790</v>
      </c>
      <c r="C6018" s="948" t="s">
        <v>13788</v>
      </c>
      <c r="D6018" s="242" t="s">
        <v>372</v>
      </c>
      <c r="E6018" s="949">
        <v>1601</v>
      </c>
      <c r="F6018" s="949">
        <v>1601</v>
      </c>
      <c r="G6018" s="950" t="s">
        <v>467</v>
      </c>
      <c r="H6018" s="950" t="s">
        <v>468</v>
      </c>
      <c r="I6018" s="951" t="s">
        <v>13789</v>
      </c>
      <c r="J6018" s="947" t="s">
        <v>13790</v>
      </c>
      <c r="K6018" s="143"/>
    </row>
    <row r="6019" spans="1:11">
      <c r="A6019" s="946" t="s">
        <v>28615</v>
      </c>
      <c r="B6019" s="947" t="s">
        <v>13914</v>
      </c>
      <c r="C6019" s="948" t="s">
        <v>13912</v>
      </c>
      <c r="D6019" s="242" t="s">
        <v>372</v>
      </c>
      <c r="E6019" s="949">
        <v>1601</v>
      </c>
      <c r="F6019" s="949">
        <v>1601</v>
      </c>
      <c r="G6019" s="950" t="s">
        <v>467</v>
      </c>
      <c r="H6019" s="950" t="s">
        <v>468</v>
      </c>
      <c r="I6019" s="951" t="s">
        <v>13913</v>
      </c>
      <c r="J6019" s="947" t="s">
        <v>13914</v>
      </c>
      <c r="K6019" s="143"/>
    </row>
    <row r="6020" spans="1:11">
      <c r="A6020" s="946" t="s">
        <v>28615</v>
      </c>
      <c r="B6020" s="947" t="s">
        <v>14148</v>
      </c>
      <c r="C6020" s="948" t="s">
        <v>14146</v>
      </c>
      <c r="D6020" s="242" t="s">
        <v>372</v>
      </c>
      <c r="E6020" s="949">
        <v>1601</v>
      </c>
      <c r="F6020" s="949">
        <v>1601</v>
      </c>
      <c r="G6020" s="950" t="s">
        <v>467</v>
      </c>
      <c r="H6020" s="950" t="s">
        <v>468</v>
      </c>
      <c r="I6020" s="951" t="s">
        <v>14147</v>
      </c>
      <c r="J6020" s="947" t="s">
        <v>14148</v>
      </c>
      <c r="K6020" s="143"/>
    </row>
    <row r="6021" spans="1:11">
      <c r="A6021" s="946" t="s">
        <v>28615</v>
      </c>
      <c r="B6021" s="947" t="s">
        <v>14237</v>
      </c>
      <c r="C6021" s="948" t="s">
        <v>14235</v>
      </c>
      <c r="D6021" s="242" t="s">
        <v>372</v>
      </c>
      <c r="E6021" s="949">
        <v>1601</v>
      </c>
      <c r="F6021" s="949">
        <v>1601</v>
      </c>
      <c r="G6021" s="950" t="s">
        <v>467</v>
      </c>
      <c r="H6021" s="950" t="s">
        <v>468</v>
      </c>
      <c r="I6021" s="951" t="s">
        <v>14236</v>
      </c>
      <c r="J6021" s="947" t="s">
        <v>14237</v>
      </c>
      <c r="K6021" s="143"/>
    </row>
    <row r="6022" spans="1:11">
      <c r="A6022" s="946" t="s">
        <v>28615</v>
      </c>
      <c r="B6022" s="947" t="s">
        <v>14347</v>
      </c>
      <c r="C6022" s="948" t="s">
        <v>14345</v>
      </c>
      <c r="D6022" s="242" t="s">
        <v>372</v>
      </c>
      <c r="E6022" s="949">
        <v>1601</v>
      </c>
      <c r="F6022" s="949">
        <v>1601</v>
      </c>
      <c r="G6022" s="950" t="s">
        <v>467</v>
      </c>
      <c r="H6022" s="950" t="s">
        <v>468</v>
      </c>
      <c r="I6022" s="951" t="s">
        <v>14346</v>
      </c>
      <c r="J6022" s="947" t="s">
        <v>14347</v>
      </c>
      <c r="K6022" s="143"/>
    </row>
    <row r="6023" spans="1:11">
      <c r="A6023" s="946" t="s">
        <v>28615</v>
      </c>
      <c r="B6023" s="947" t="s">
        <v>15164</v>
      </c>
      <c r="C6023" s="948" t="s">
        <v>15162</v>
      </c>
      <c r="D6023" s="242" t="s">
        <v>372</v>
      </c>
      <c r="E6023" s="949">
        <v>1601</v>
      </c>
      <c r="F6023" s="949">
        <v>1601</v>
      </c>
      <c r="G6023" s="950" t="s">
        <v>467</v>
      </c>
      <c r="H6023" s="950" t="s">
        <v>468</v>
      </c>
      <c r="I6023" s="951" t="s">
        <v>15163</v>
      </c>
      <c r="J6023" s="947" t="s">
        <v>15164</v>
      </c>
      <c r="K6023" s="143"/>
    </row>
    <row r="6024" spans="1:11">
      <c r="A6024" s="946" t="s">
        <v>28615</v>
      </c>
      <c r="B6024" s="947" t="s">
        <v>16028</v>
      </c>
      <c r="C6024" s="948" t="s">
        <v>16026</v>
      </c>
      <c r="D6024" s="242" t="s">
        <v>372</v>
      </c>
      <c r="E6024" s="949">
        <v>1601</v>
      </c>
      <c r="F6024" s="949">
        <v>1601</v>
      </c>
      <c r="G6024" s="950" t="s">
        <v>467</v>
      </c>
      <c r="H6024" s="950" t="s">
        <v>468</v>
      </c>
      <c r="I6024" s="951" t="s">
        <v>16027</v>
      </c>
      <c r="J6024" s="947" t="s">
        <v>16028</v>
      </c>
      <c r="K6024" s="143"/>
    </row>
    <row r="6025" spans="1:11">
      <c r="A6025" s="946" t="s">
        <v>28615</v>
      </c>
      <c r="B6025" s="947" t="s">
        <v>17099</v>
      </c>
      <c r="C6025" s="948" t="s">
        <v>17097</v>
      </c>
      <c r="D6025" s="242" t="s">
        <v>372</v>
      </c>
      <c r="E6025" s="949">
        <v>1601</v>
      </c>
      <c r="F6025" s="949">
        <v>1601</v>
      </c>
      <c r="G6025" s="950" t="s">
        <v>467</v>
      </c>
      <c r="H6025" s="950" t="s">
        <v>468</v>
      </c>
      <c r="I6025" s="951" t="s">
        <v>17098</v>
      </c>
      <c r="J6025" s="947" t="s">
        <v>17099</v>
      </c>
      <c r="K6025" s="143"/>
    </row>
    <row r="6026" spans="1:11">
      <c r="A6026" s="946" t="s">
        <v>28615</v>
      </c>
      <c r="B6026" s="947" t="s">
        <v>17269</v>
      </c>
      <c r="C6026" s="948" t="s">
        <v>17267</v>
      </c>
      <c r="D6026" s="242" t="s">
        <v>372</v>
      </c>
      <c r="E6026" s="949">
        <v>1601</v>
      </c>
      <c r="F6026" s="949">
        <v>1601</v>
      </c>
      <c r="G6026" s="950" t="s">
        <v>467</v>
      </c>
      <c r="H6026" s="950" t="s">
        <v>468</v>
      </c>
      <c r="I6026" s="951" t="s">
        <v>17268</v>
      </c>
      <c r="J6026" s="947" t="s">
        <v>17269</v>
      </c>
      <c r="K6026" s="143"/>
    </row>
    <row r="6027" spans="1:11">
      <c r="A6027" s="946" t="s">
        <v>28615</v>
      </c>
      <c r="B6027" s="947" t="s">
        <v>17309</v>
      </c>
      <c r="C6027" s="948" t="s">
        <v>17307</v>
      </c>
      <c r="D6027" s="242" t="s">
        <v>372</v>
      </c>
      <c r="E6027" s="949">
        <v>1601</v>
      </c>
      <c r="F6027" s="949">
        <v>1601</v>
      </c>
      <c r="G6027" s="950" t="s">
        <v>467</v>
      </c>
      <c r="H6027" s="950" t="s">
        <v>468</v>
      </c>
      <c r="I6027" s="951" t="s">
        <v>17308</v>
      </c>
      <c r="J6027" s="947" t="s">
        <v>17309</v>
      </c>
      <c r="K6027" s="143"/>
    </row>
    <row r="6028" spans="1:11">
      <c r="A6028" s="946" t="s">
        <v>28615</v>
      </c>
      <c r="B6028" s="947" t="s">
        <v>18329</v>
      </c>
      <c r="C6028" s="948" t="s">
        <v>18327</v>
      </c>
      <c r="D6028" s="242" t="s">
        <v>372</v>
      </c>
      <c r="E6028" s="949">
        <v>1601</v>
      </c>
      <c r="F6028" s="949">
        <v>1601</v>
      </c>
      <c r="G6028" s="950" t="s">
        <v>467</v>
      </c>
      <c r="H6028" s="950" t="s">
        <v>468</v>
      </c>
      <c r="I6028" s="951" t="s">
        <v>18328</v>
      </c>
      <c r="J6028" s="947" t="s">
        <v>18329</v>
      </c>
      <c r="K6028" s="143"/>
    </row>
    <row r="6029" spans="1:11">
      <c r="A6029" s="946" t="s">
        <v>28615</v>
      </c>
      <c r="B6029" s="947" t="s">
        <v>17451</v>
      </c>
      <c r="C6029" s="948" t="s">
        <v>17449</v>
      </c>
      <c r="D6029" s="242" t="s">
        <v>372</v>
      </c>
      <c r="E6029" s="949">
        <v>1601</v>
      </c>
      <c r="F6029" s="949">
        <v>1601</v>
      </c>
      <c r="G6029" s="950" t="s">
        <v>467</v>
      </c>
      <c r="H6029" s="950" t="s">
        <v>468</v>
      </c>
      <c r="I6029" s="951" t="s">
        <v>17450</v>
      </c>
      <c r="J6029" s="947" t="s">
        <v>17451</v>
      </c>
      <c r="K6029" s="143"/>
    </row>
    <row r="6030" spans="1:11">
      <c r="A6030" s="946" t="s">
        <v>28615</v>
      </c>
      <c r="B6030" s="947" t="s">
        <v>17534</v>
      </c>
      <c r="C6030" s="948" t="s">
        <v>17532</v>
      </c>
      <c r="D6030" s="242" t="s">
        <v>372</v>
      </c>
      <c r="E6030" s="949">
        <v>1601</v>
      </c>
      <c r="F6030" s="949">
        <v>1601</v>
      </c>
      <c r="G6030" s="950" t="s">
        <v>467</v>
      </c>
      <c r="H6030" s="950" t="s">
        <v>468</v>
      </c>
      <c r="I6030" s="951" t="s">
        <v>17533</v>
      </c>
      <c r="J6030" s="947" t="s">
        <v>17534</v>
      </c>
      <c r="K6030" s="143"/>
    </row>
    <row r="6031" spans="1:11">
      <c r="A6031" s="946" t="s">
        <v>28615</v>
      </c>
      <c r="B6031" s="947" t="s">
        <v>18363</v>
      </c>
      <c r="C6031" s="948" t="s">
        <v>18361</v>
      </c>
      <c r="D6031" s="242" t="s">
        <v>372</v>
      </c>
      <c r="E6031" s="949">
        <v>1601</v>
      </c>
      <c r="F6031" s="949">
        <v>1601</v>
      </c>
      <c r="G6031" s="950" t="s">
        <v>467</v>
      </c>
      <c r="H6031" s="950" t="s">
        <v>468</v>
      </c>
      <c r="I6031" s="951" t="s">
        <v>18362</v>
      </c>
      <c r="J6031" s="947" t="s">
        <v>18363</v>
      </c>
      <c r="K6031" s="143"/>
    </row>
    <row r="6032" spans="1:11">
      <c r="A6032" s="946" t="s">
        <v>28615</v>
      </c>
      <c r="B6032" s="947" t="s">
        <v>18114</v>
      </c>
      <c r="C6032" s="948" t="s">
        <v>18112</v>
      </c>
      <c r="D6032" s="242" t="s">
        <v>372</v>
      </c>
      <c r="E6032" s="949">
        <v>1601</v>
      </c>
      <c r="F6032" s="949">
        <v>1601</v>
      </c>
      <c r="G6032" s="950" t="s">
        <v>467</v>
      </c>
      <c r="H6032" s="950" t="s">
        <v>468</v>
      </c>
      <c r="I6032" s="951" t="s">
        <v>18113</v>
      </c>
      <c r="J6032" s="947" t="s">
        <v>18114</v>
      </c>
      <c r="K6032" s="143"/>
    </row>
    <row r="6033" spans="1:11">
      <c r="A6033" s="946" t="s">
        <v>28615</v>
      </c>
      <c r="B6033" s="947" t="s">
        <v>18384</v>
      </c>
      <c r="C6033" s="948" t="s">
        <v>18382</v>
      </c>
      <c r="D6033" s="242" t="s">
        <v>372</v>
      </c>
      <c r="E6033" s="949">
        <v>1601</v>
      </c>
      <c r="F6033" s="949">
        <v>1601</v>
      </c>
      <c r="G6033" s="950" t="s">
        <v>467</v>
      </c>
      <c r="H6033" s="950" t="s">
        <v>468</v>
      </c>
      <c r="I6033" s="951" t="s">
        <v>18383</v>
      </c>
      <c r="J6033" s="947" t="s">
        <v>18384</v>
      </c>
      <c r="K6033" s="143"/>
    </row>
    <row r="6034" spans="1:11">
      <c r="A6034" s="946" t="s">
        <v>28615</v>
      </c>
      <c r="B6034" s="947" t="s">
        <v>19136</v>
      </c>
      <c r="C6034" s="948" t="s">
        <v>19134</v>
      </c>
      <c r="D6034" s="242" t="s">
        <v>372</v>
      </c>
      <c r="E6034" s="949">
        <v>1601</v>
      </c>
      <c r="F6034" s="949">
        <v>1601</v>
      </c>
      <c r="G6034" s="950" t="s">
        <v>467</v>
      </c>
      <c r="H6034" s="950" t="s">
        <v>468</v>
      </c>
      <c r="I6034" s="951" t="s">
        <v>19135</v>
      </c>
      <c r="J6034" s="947" t="s">
        <v>19136</v>
      </c>
      <c r="K6034" s="143"/>
    </row>
    <row r="6035" spans="1:11">
      <c r="A6035" s="946" t="s">
        <v>28615</v>
      </c>
      <c r="B6035" s="947" t="s">
        <v>19157</v>
      </c>
      <c r="C6035" s="948" t="s">
        <v>19155</v>
      </c>
      <c r="D6035" s="242" t="s">
        <v>372</v>
      </c>
      <c r="E6035" s="949">
        <v>1601</v>
      </c>
      <c r="F6035" s="949">
        <v>1601</v>
      </c>
      <c r="G6035" s="950" t="s">
        <v>467</v>
      </c>
      <c r="H6035" s="950" t="s">
        <v>468</v>
      </c>
      <c r="I6035" s="951" t="s">
        <v>19156</v>
      </c>
      <c r="J6035" s="947" t="s">
        <v>19157</v>
      </c>
      <c r="K6035" s="143"/>
    </row>
    <row r="6036" spans="1:11">
      <c r="A6036" s="946" t="s">
        <v>28615</v>
      </c>
      <c r="B6036" s="947" t="s">
        <v>19612</v>
      </c>
      <c r="C6036" s="948" t="s">
        <v>19610</v>
      </c>
      <c r="D6036" s="242" t="s">
        <v>372</v>
      </c>
      <c r="E6036" s="949">
        <v>1601</v>
      </c>
      <c r="F6036" s="949">
        <v>1601</v>
      </c>
      <c r="G6036" s="950" t="s">
        <v>467</v>
      </c>
      <c r="H6036" s="950" t="s">
        <v>468</v>
      </c>
      <c r="I6036" s="951" t="s">
        <v>19611</v>
      </c>
      <c r="J6036" s="947" t="s">
        <v>19612</v>
      </c>
      <c r="K6036" s="143"/>
    </row>
    <row r="6037" spans="1:11">
      <c r="A6037" s="946" t="s">
        <v>28615</v>
      </c>
      <c r="B6037" s="947" t="s">
        <v>19654</v>
      </c>
      <c r="C6037" s="948" t="s">
        <v>19652</v>
      </c>
      <c r="D6037" s="242" t="s">
        <v>372</v>
      </c>
      <c r="E6037" s="949">
        <v>1601</v>
      </c>
      <c r="F6037" s="949">
        <v>1601</v>
      </c>
      <c r="G6037" s="950" t="s">
        <v>467</v>
      </c>
      <c r="H6037" s="950" t="s">
        <v>468</v>
      </c>
      <c r="I6037" s="951" t="s">
        <v>19653</v>
      </c>
      <c r="J6037" s="947" t="s">
        <v>19654</v>
      </c>
      <c r="K6037" s="143"/>
    </row>
    <row r="6038" spans="1:11">
      <c r="A6038" s="946" t="s">
        <v>28615</v>
      </c>
      <c r="B6038" s="947" t="s">
        <v>19848</v>
      </c>
      <c r="C6038" s="948" t="s">
        <v>19846</v>
      </c>
      <c r="D6038" s="242" t="s">
        <v>372</v>
      </c>
      <c r="E6038" s="949">
        <v>1601</v>
      </c>
      <c r="F6038" s="949">
        <v>1601</v>
      </c>
      <c r="G6038" s="950" t="s">
        <v>467</v>
      </c>
      <c r="H6038" s="950" t="s">
        <v>468</v>
      </c>
      <c r="I6038" s="951" t="s">
        <v>19847</v>
      </c>
      <c r="J6038" s="947" t="s">
        <v>19848</v>
      </c>
      <c r="K6038" s="143"/>
    </row>
    <row r="6039" spans="1:11">
      <c r="A6039" s="946" t="s">
        <v>28615</v>
      </c>
      <c r="B6039" s="947" t="s">
        <v>19927</v>
      </c>
      <c r="C6039" s="948" t="s">
        <v>19925</v>
      </c>
      <c r="D6039" s="242" t="s">
        <v>372</v>
      </c>
      <c r="E6039" s="949">
        <v>1601</v>
      </c>
      <c r="F6039" s="949">
        <v>1601</v>
      </c>
      <c r="G6039" s="950" t="s">
        <v>467</v>
      </c>
      <c r="H6039" s="950" t="s">
        <v>468</v>
      </c>
      <c r="I6039" s="951" t="s">
        <v>19926</v>
      </c>
      <c r="J6039" s="947" t="s">
        <v>19927</v>
      </c>
      <c r="K6039" s="143"/>
    </row>
    <row r="6040" spans="1:11">
      <c r="A6040" s="946" t="s">
        <v>28615</v>
      </c>
      <c r="B6040" s="947" t="s">
        <v>19948</v>
      </c>
      <c r="C6040" s="948" t="s">
        <v>19946</v>
      </c>
      <c r="D6040" s="242" t="s">
        <v>372</v>
      </c>
      <c r="E6040" s="949">
        <v>1601</v>
      </c>
      <c r="F6040" s="949">
        <v>1601</v>
      </c>
      <c r="G6040" s="950" t="s">
        <v>467</v>
      </c>
      <c r="H6040" s="950" t="s">
        <v>468</v>
      </c>
      <c r="I6040" s="951" t="s">
        <v>19947</v>
      </c>
      <c r="J6040" s="947" t="s">
        <v>19948</v>
      </c>
      <c r="K6040" s="143"/>
    </row>
    <row r="6041" spans="1:11">
      <c r="A6041" s="946" t="s">
        <v>28615</v>
      </c>
      <c r="B6041" s="947" t="s">
        <v>19996</v>
      </c>
      <c r="C6041" s="948" t="s">
        <v>19994</v>
      </c>
      <c r="D6041" s="242" t="s">
        <v>372</v>
      </c>
      <c r="E6041" s="949">
        <v>1601</v>
      </c>
      <c r="F6041" s="949">
        <v>1601</v>
      </c>
      <c r="G6041" s="950" t="s">
        <v>467</v>
      </c>
      <c r="H6041" s="950" t="s">
        <v>468</v>
      </c>
      <c r="I6041" s="951" t="s">
        <v>19995</v>
      </c>
      <c r="J6041" s="947" t="s">
        <v>19996</v>
      </c>
      <c r="K6041" s="143"/>
    </row>
    <row r="6042" spans="1:11">
      <c r="A6042" s="946" t="s">
        <v>28615</v>
      </c>
      <c r="B6042" s="947" t="s">
        <v>20121</v>
      </c>
      <c r="C6042" s="948" t="s">
        <v>20119</v>
      </c>
      <c r="D6042" s="242" t="s">
        <v>372</v>
      </c>
      <c r="E6042" s="949">
        <v>1601</v>
      </c>
      <c r="F6042" s="949">
        <v>1601</v>
      </c>
      <c r="G6042" s="950" t="s">
        <v>467</v>
      </c>
      <c r="H6042" s="950" t="s">
        <v>468</v>
      </c>
      <c r="I6042" s="951" t="s">
        <v>20120</v>
      </c>
      <c r="J6042" s="947" t="s">
        <v>20121</v>
      </c>
      <c r="K6042" s="143"/>
    </row>
    <row r="6043" spans="1:11">
      <c r="A6043" s="946" t="s">
        <v>28615</v>
      </c>
      <c r="B6043" s="947" t="s">
        <v>20127</v>
      </c>
      <c r="C6043" s="948" t="s">
        <v>20125</v>
      </c>
      <c r="D6043" s="242" t="s">
        <v>372</v>
      </c>
      <c r="E6043" s="949">
        <v>1601</v>
      </c>
      <c r="F6043" s="949">
        <v>1601</v>
      </c>
      <c r="G6043" s="950" t="s">
        <v>467</v>
      </c>
      <c r="H6043" s="950" t="s">
        <v>468</v>
      </c>
      <c r="I6043" s="951" t="s">
        <v>20126</v>
      </c>
      <c r="J6043" s="947" t="s">
        <v>20127</v>
      </c>
      <c r="K6043" s="143"/>
    </row>
    <row r="6044" spans="1:11">
      <c r="A6044" s="946" t="s">
        <v>28615</v>
      </c>
      <c r="B6044" s="947" t="s">
        <v>20130</v>
      </c>
      <c r="C6044" s="948" t="s">
        <v>20128</v>
      </c>
      <c r="D6044" s="242" t="s">
        <v>372</v>
      </c>
      <c r="E6044" s="949">
        <v>1601</v>
      </c>
      <c r="F6044" s="949">
        <v>1601</v>
      </c>
      <c r="G6044" s="950" t="s">
        <v>467</v>
      </c>
      <c r="H6044" s="950" t="s">
        <v>468</v>
      </c>
      <c r="I6044" s="951" t="s">
        <v>20129</v>
      </c>
      <c r="J6044" s="947" t="s">
        <v>20130</v>
      </c>
      <c r="K6044" s="143"/>
    </row>
    <row r="6045" spans="1:11">
      <c r="A6045" s="946" t="s">
        <v>28615</v>
      </c>
      <c r="B6045" s="947" t="s">
        <v>20245</v>
      </c>
      <c r="C6045" s="948" t="s">
        <v>20243</v>
      </c>
      <c r="D6045" s="242" t="s">
        <v>372</v>
      </c>
      <c r="E6045" s="949">
        <v>1601</v>
      </c>
      <c r="F6045" s="949">
        <v>1601</v>
      </c>
      <c r="G6045" s="950" t="s">
        <v>467</v>
      </c>
      <c r="H6045" s="950" t="s">
        <v>468</v>
      </c>
      <c r="I6045" s="951" t="s">
        <v>20244</v>
      </c>
      <c r="J6045" s="947" t="s">
        <v>20245</v>
      </c>
      <c r="K6045" s="143"/>
    </row>
    <row r="6046" spans="1:11">
      <c r="A6046" s="946" t="s">
        <v>28615</v>
      </c>
      <c r="B6046" s="947" t="s">
        <v>20272</v>
      </c>
      <c r="C6046" s="948" t="s">
        <v>20270</v>
      </c>
      <c r="D6046" s="242" t="s">
        <v>372</v>
      </c>
      <c r="E6046" s="949">
        <v>1601</v>
      </c>
      <c r="F6046" s="949">
        <v>1601</v>
      </c>
      <c r="G6046" s="950" t="s">
        <v>467</v>
      </c>
      <c r="H6046" s="950" t="s">
        <v>468</v>
      </c>
      <c r="I6046" s="951" t="s">
        <v>20271</v>
      </c>
      <c r="J6046" s="947" t="s">
        <v>20272</v>
      </c>
      <c r="K6046" s="143"/>
    </row>
    <row r="6047" spans="1:11">
      <c r="A6047" s="946" t="s">
        <v>28615</v>
      </c>
      <c r="B6047" s="947" t="s">
        <v>20458</v>
      </c>
      <c r="C6047" s="948" t="s">
        <v>20456</v>
      </c>
      <c r="D6047" s="242" t="s">
        <v>372</v>
      </c>
      <c r="E6047" s="949">
        <v>1601</v>
      </c>
      <c r="F6047" s="949">
        <v>1601</v>
      </c>
      <c r="G6047" s="950" t="s">
        <v>467</v>
      </c>
      <c r="H6047" s="950" t="s">
        <v>468</v>
      </c>
      <c r="I6047" s="951" t="s">
        <v>20457</v>
      </c>
      <c r="J6047" s="947" t="s">
        <v>20458</v>
      </c>
      <c r="K6047" s="143"/>
    </row>
    <row r="6048" spans="1:11">
      <c r="A6048" s="946" t="s">
        <v>28615</v>
      </c>
      <c r="B6048" s="947" t="s">
        <v>20939</v>
      </c>
      <c r="C6048" s="948" t="s">
        <v>20937</v>
      </c>
      <c r="D6048" s="242" t="s">
        <v>372</v>
      </c>
      <c r="E6048" s="949">
        <v>1601</v>
      </c>
      <c r="F6048" s="949">
        <v>1601</v>
      </c>
      <c r="G6048" s="950" t="s">
        <v>467</v>
      </c>
      <c r="H6048" s="950" t="s">
        <v>468</v>
      </c>
      <c r="I6048" s="951" t="s">
        <v>20938</v>
      </c>
      <c r="J6048" s="947" t="s">
        <v>20939</v>
      </c>
      <c r="K6048" s="143"/>
    </row>
    <row r="6049" spans="1:11">
      <c r="A6049" s="946" t="s">
        <v>28615</v>
      </c>
      <c r="B6049" s="947" t="s">
        <v>21019</v>
      </c>
      <c r="C6049" s="948" t="s">
        <v>21017</v>
      </c>
      <c r="D6049" s="242" t="s">
        <v>372</v>
      </c>
      <c r="E6049" s="949">
        <v>1601</v>
      </c>
      <c r="F6049" s="949">
        <v>1601</v>
      </c>
      <c r="G6049" s="950" t="s">
        <v>467</v>
      </c>
      <c r="H6049" s="950" t="s">
        <v>468</v>
      </c>
      <c r="I6049" s="951" t="s">
        <v>21018</v>
      </c>
      <c r="J6049" s="947" t="s">
        <v>21019</v>
      </c>
      <c r="K6049" s="143"/>
    </row>
    <row r="6050" spans="1:11">
      <c r="A6050" s="946" t="s">
        <v>28615</v>
      </c>
      <c r="B6050" s="947" t="s">
        <v>21116</v>
      </c>
      <c r="C6050" s="948" t="s">
        <v>21114</v>
      </c>
      <c r="D6050" s="242" t="s">
        <v>372</v>
      </c>
      <c r="E6050" s="949">
        <v>1601</v>
      </c>
      <c r="F6050" s="949">
        <v>1601</v>
      </c>
      <c r="G6050" s="950" t="s">
        <v>467</v>
      </c>
      <c r="H6050" s="950" t="s">
        <v>468</v>
      </c>
      <c r="I6050" s="951" t="s">
        <v>21115</v>
      </c>
      <c r="J6050" s="947" t="s">
        <v>21116</v>
      </c>
      <c r="K6050" s="143"/>
    </row>
    <row r="6051" spans="1:11">
      <c r="A6051" s="946" t="s">
        <v>28615</v>
      </c>
      <c r="B6051" s="947" t="s">
        <v>21168</v>
      </c>
      <c r="C6051" s="948" t="s">
        <v>21166</v>
      </c>
      <c r="D6051" s="242" t="s">
        <v>372</v>
      </c>
      <c r="E6051" s="949">
        <v>1601</v>
      </c>
      <c r="F6051" s="949">
        <v>1601</v>
      </c>
      <c r="G6051" s="950" t="s">
        <v>467</v>
      </c>
      <c r="H6051" s="950" t="s">
        <v>468</v>
      </c>
      <c r="I6051" s="951" t="s">
        <v>21167</v>
      </c>
      <c r="J6051" s="947" t="s">
        <v>21168</v>
      </c>
      <c r="K6051" s="143"/>
    </row>
    <row r="6052" spans="1:11">
      <c r="A6052" s="946" t="s">
        <v>28615</v>
      </c>
      <c r="B6052" s="947" t="s">
        <v>21171</v>
      </c>
      <c r="C6052" s="948" t="s">
        <v>21169</v>
      </c>
      <c r="D6052" s="242" t="s">
        <v>372</v>
      </c>
      <c r="E6052" s="949">
        <v>1601</v>
      </c>
      <c r="F6052" s="949">
        <v>1601</v>
      </c>
      <c r="G6052" s="950" t="s">
        <v>467</v>
      </c>
      <c r="H6052" s="950" t="s">
        <v>468</v>
      </c>
      <c r="I6052" s="951" t="s">
        <v>21170</v>
      </c>
      <c r="J6052" s="947" t="s">
        <v>21171</v>
      </c>
      <c r="K6052" s="143"/>
    </row>
    <row r="6053" spans="1:11">
      <c r="A6053" s="946" t="s">
        <v>28615</v>
      </c>
      <c r="B6053" s="947" t="s">
        <v>21646</v>
      </c>
      <c r="C6053" s="948" t="s">
        <v>21644</v>
      </c>
      <c r="D6053" s="242" t="s">
        <v>372</v>
      </c>
      <c r="E6053" s="949">
        <v>1601</v>
      </c>
      <c r="F6053" s="949">
        <v>1601</v>
      </c>
      <c r="G6053" s="950" t="s">
        <v>467</v>
      </c>
      <c r="H6053" s="950" t="s">
        <v>468</v>
      </c>
      <c r="I6053" s="951" t="s">
        <v>21645</v>
      </c>
      <c r="J6053" s="947" t="s">
        <v>21646</v>
      </c>
      <c r="K6053" s="143"/>
    </row>
    <row r="6054" spans="1:11">
      <c r="A6054" s="946" t="s">
        <v>28615</v>
      </c>
      <c r="B6054" s="947" t="s">
        <v>21780</v>
      </c>
      <c r="C6054" s="948" t="s">
        <v>21778</v>
      </c>
      <c r="D6054" s="242" t="s">
        <v>372</v>
      </c>
      <c r="E6054" s="949">
        <v>1601</v>
      </c>
      <c r="F6054" s="949">
        <v>1601</v>
      </c>
      <c r="G6054" s="950" t="s">
        <v>467</v>
      </c>
      <c r="H6054" s="950" t="s">
        <v>468</v>
      </c>
      <c r="I6054" s="951" t="s">
        <v>21779</v>
      </c>
      <c r="J6054" s="947" t="s">
        <v>21780</v>
      </c>
      <c r="K6054" s="143"/>
    </row>
    <row r="6055" spans="1:11">
      <c r="A6055" s="946" t="s">
        <v>28615</v>
      </c>
      <c r="B6055" s="947" t="s">
        <v>22653</v>
      </c>
      <c r="C6055" s="948" t="s">
        <v>22651</v>
      </c>
      <c r="D6055" s="242" t="s">
        <v>372</v>
      </c>
      <c r="E6055" s="949">
        <v>1601</v>
      </c>
      <c r="F6055" s="949">
        <v>1601</v>
      </c>
      <c r="G6055" s="950" t="s">
        <v>467</v>
      </c>
      <c r="H6055" s="950" t="s">
        <v>468</v>
      </c>
      <c r="I6055" s="951" t="s">
        <v>22652</v>
      </c>
      <c r="J6055" s="947" t="s">
        <v>22653</v>
      </c>
      <c r="K6055" s="143"/>
    </row>
    <row r="6056" spans="1:11">
      <c r="A6056" s="946" t="s">
        <v>28615</v>
      </c>
      <c r="B6056" s="947" t="s">
        <v>17442</v>
      </c>
      <c r="C6056" s="948" t="s">
        <v>17440</v>
      </c>
      <c r="D6056" s="242" t="s">
        <v>372</v>
      </c>
      <c r="E6056" s="949">
        <v>1601</v>
      </c>
      <c r="F6056" s="949">
        <v>1601</v>
      </c>
      <c r="G6056" s="950" t="s">
        <v>467</v>
      </c>
      <c r="H6056" s="950" t="s">
        <v>468</v>
      </c>
      <c r="I6056" s="951" t="s">
        <v>17441</v>
      </c>
      <c r="J6056" s="947" t="s">
        <v>17442</v>
      </c>
      <c r="K6056" s="143"/>
    </row>
    <row r="6057" spans="1:11">
      <c r="A6057" s="946" t="s">
        <v>28615</v>
      </c>
      <c r="B6057" s="947" t="s">
        <v>5578</v>
      </c>
      <c r="C6057" s="948" t="s">
        <v>26374</v>
      </c>
      <c r="D6057" s="242" t="s">
        <v>372</v>
      </c>
      <c r="E6057" s="949">
        <v>1601</v>
      </c>
      <c r="F6057" s="949">
        <v>1601</v>
      </c>
      <c r="G6057" s="950" t="s">
        <v>467</v>
      </c>
      <c r="H6057" s="950" t="s">
        <v>468</v>
      </c>
      <c r="I6057" s="951" t="s">
        <v>26375</v>
      </c>
      <c r="J6057" s="947" t="s">
        <v>5578</v>
      </c>
      <c r="K6057" s="143"/>
    </row>
    <row r="6058" spans="1:11">
      <c r="A6058" s="946" t="s">
        <v>28615</v>
      </c>
      <c r="B6058" s="947" t="s">
        <v>15556</v>
      </c>
      <c r="C6058" s="948" t="s">
        <v>15554</v>
      </c>
      <c r="D6058" s="242" t="s">
        <v>372</v>
      </c>
      <c r="E6058" s="949">
        <v>1601</v>
      </c>
      <c r="F6058" s="949">
        <v>1601</v>
      </c>
      <c r="G6058" s="950" t="s">
        <v>467</v>
      </c>
      <c r="H6058" s="950" t="s">
        <v>468</v>
      </c>
      <c r="I6058" s="951" t="s">
        <v>15555</v>
      </c>
      <c r="J6058" s="947" t="s">
        <v>15556</v>
      </c>
      <c r="K6058" s="143"/>
    </row>
    <row r="6059" spans="1:11">
      <c r="A6059" s="946" t="s">
        <v>28615</v>
      </c>
      <c r="B6059" s="947" t="s">
        <v>28654</v>
      </c>
      <c r="C6059" s="948" t="s">
        <v>28777</v>
      </c>
      <c r="D6059" s="242" t="s">
        <v>372</v>
      </c>
      <c r="E6059" s="949">
        <v>1601</v>
      </c>
      <c r="F6059" s="949">
        <v>1601</v>
      </c>
      <c r="G6059" s="950" t="s">
        <v>467</v>
      </c>
      <c r="H6059" s="950" t="s">
        <v>468</v>
      </c>
      <c r="I6059" s="951" t="s">
        <v>28698</v>
      </c>
      <c r="J6059" s="947" t="s">
        <v>28654</v>
      </c>
      <c r="K6059" s="143"/>
    </row>
    <row r="6060" spans="1:11">
      <c r="A6060" s="946" t="s">
        <v>28605</v>
      </c>
      <c r="B6060" s="947" t="s">
        <v>366</v>
      </c>
      <c r="C6060" s="948" t="s">
        <v>363</v>
      </c>
      <c r="D6060" s="242" t="s">
        <v>28711</v>
      </c>
      <c r="E6060" s="949">
        <v>1701</v>
      </c>
      <c r="F6060" s="949">
        <v>1701</v>
      </c>
      <c r="G6060" s="950" t="s">
        <v>15638</v>
      </c>
      <c r="H6060" s="950" t="s">
        <v>364</v>
      </c>
      <c r="I6060" s="951" t="s">
        <v>365</v>
      </c>
      <c r="J6060" s="947" t="s">
        <v>366</v>
      </c>
      <c r="K6060" s="143"/>
    </row>
    <row r="6061" spans="1:11">
      <c r="A6061" s="946" t="s">
        <v>28605</v>
      </c>
      <c r="B6061" s="947" t="s">
        <v>396</v>
      </c>
      <c r="C6061" s="948" t="s">
        <v>394</v>
      </c>
      <c r="D6061" s="242" t="s">
        <v>28711</v>
      </c>
      <c r="E6061" s="949">
        <v>1701</v>
      </c>
      <c r="F6061" s="949">
        <v>1701</v>
      </c>
      <c r="G6061" s="950" t="s">
        <v>15638</v>
      </c>
      <c r="H6061" s="950" t="s">
        <v>364</v>
      </c>
      <c r="I6061" s="951" t="s">
        <v>395</v>
      </c>
      <c r="J6061" s="947" t="s">
        <v>396</v>
      </c>
      <c r="K6061" s="143"/>
    </row>
    <row r="6062" spans="1:11">
      <c r="A6062" s="946" t="s">
        <v>28605</v>
      </c>
      <c r="B6062" s="947" t="s">
        <v>768</v>
      </c>
      <c r="C6062" s="948" t="s">
        <v>766</v>
      </c>
      <c r="D6062" s="242" t="s">
        <v>28711</v>
      </c>
      <c r="E6062" s="949">
        <v>1701</v>
      </c>
      <c r="F6062" s="949">
        <v>1701</v>
      </c>
      <c r="G6062" s="950" t="s">
        <v>15638</v>
      </c>
      <c r="H6062" s="950" t="s">
        <v>364</v>
      </c>
      <c r="I6062" s="951" t="s">
        <v>767</v>
      </c>
      <c r="J6062" s="947" t="s">
        <v>768</v>
      </c>
      <c r="K6062" s="143"/>
    </row>
    <row r="6063" spans="1:11">
      <c r="A6063" s="946" t="s">
        <v>28605</v>
      </c>
      <c r="B6063" s="947" t="s">
        <v>1226</v>
      </c>
      <c r="C6063" s="948" t="s">
        <v>1224</v>
      </c>
      <c r="D6063" s="242" t="s">
        <v>28711</v>
      </c>
      <c r="E6063" s="949">
        <v>1701</v>
      </c>
      <c r="F6063" s="949">
        <v>1701</v>
      </c>
      <c r="G6063" s="950" t="s">
        <v>15638</v>
      </c>
      <c r="H6063" s="950" t="s">
        <v>364</v>
      </c>
      <c r="I6063" s="951" t="s">
        <v>1225</v>
      </c>
      <c r="J6063" s="947" t="s">
        <v>1226</v>
      </c>
      <c r="K6063" s="143"/>
    </row>
    <row r="6064" spans="1:11">
      <c r="A6064" s="946" t="s">
        <v>28605</v>
      </c>
      <c r="B6064" s="947" t="s">
        <v>1439</v>
      </c>
      <c r="C6064" s="948" t="s">
        <v>1437</v>
      </c>
      <c r="D6064" s="242" t="s">
        <v>28711</v>
      </c>
      <c r="E6064" s="949">
        <v>1701</v>
      </c>
      <c r="F6064" s="949">
        <v>1701</v>
      </c>
      <c r="G6064" s="950" t="s">
        <v>15638</v>
      </c>
      <c r="H6064" s="950" t="s">
        <v>364</v>
      </c>
      <c r="I6064" s="951" t="s">
        <v>1438</v>
      </c>
      <c r="J6064" s="947" t="s">
        <v>1439</v>
      </c>
      <c r="K6064" s="143"/>
    </row>
    <row r="6065" spans="1:11">
      <c r="A6065" s="946" t="s">
        <v>28605</v>
      </c>
      <c r="B6065" s="947" t="s">
        <v>1593</v>
      </c>
      <c r="C6065" s="948" t="s">
        <v>1591</v>
      </c>
      <c r="D6065" s="242" t="s">
        <v>28711</v>
      </c>
      <c r="E6065" s="949">
        <v>1701</v>
      </c>
      <c r="F6065" s="949">
        <v>1701</v>
      </c>
      <c r="G6065" s="950" t="s">
        <v>15638</v>
      </c>
      <c r="H6065" s="950" t="s">
        <v>364</v>
      </c>
      <c r="I6065" s="951" t="s">
        <v>1592</v>
      </c>
      <c r="J6065" s="947" t="s">
        <v>1593</v>
      </c>
      <c r="K6065" s="143"/>
    </row>
    <row r="6066" spans="1:11">
      <c r="A6066" s="946" t="s">
        <v>28605</v>
      </c>
      <c r="B6066" s="947" t="s">
        <v>1679</v>
      </c>
      <c r="C6066" s="948" t="s">
        <v>1677</v>
      </c>
      <c r="D6066" s="242" t="s">
        <v>28711</v>
      </c>
      <c r="E6066" s="949">
        <v>1701</v>
      </c>
      <c r="F6066" s="949">
        <v>1701</v>
      </c>
      <c r="G6066" s="950" t="s">
        <v>15638</v>
      </c>
      <c r="H6066" s="950" t="s">
        <v>364</v>
      </c>
      <c r="I6066" s="951" t="s">
        <v>1678</v>
      </c>
      <c r="J6066" s="947" t="s">
        <v>1679</v>
      </c>
      <c r="K6066" s="143"/>
    </row>
    <row r="6067" spans="1:11">
      <c r="A6067" s="946" t="s">
        <v>28605</v>
      </c>
      <c r="B6067" s="947" t="s">
        <v>1884</v>
      </c>
      <c r="C6067" s="948" t="s">
        <v>1882</v>
      </c>
      <c r="D6067" s="242" t="s">
        <v>28711</v>
      </c>
      <c r="E6067" s="949">
        <v>1701</v>
      </c>
      <c r="F6067" s="949">
        <v>1701</v>
      </c>
      <c r="G6067" s="950" t="s">
        <v>15638</v>
      </c>
      <c r="H6067" s="950" t="s">
        <v>364</v>
      </c>
      <c r="I6067" s="951" t="s">
        <v>1883</v>
      </c>
      <c r="J6067" s="947" t="s">
        <v>1884</v>
      </c>
      <c r="K6067" s="143"/>
    </row>
    <row r="6068" spans="1:11">
      <c r="A6068" s="946" t="s">
        <v>28605</v>
      </c>
      <c r="B6068" s="947" t="s">
        <v>1897</v>
      </c>
      <c r="C6068" s="948" t="s">
        <v>1895</v>
      </c>
      <c r="D6068" s="242" t="s">
        <v>28711</v>
      </c>
      <c r="E6068" s="949">
        <v>1701</v>
      </c>
      <c r="F6068" s="949">
        <v>1701</v>
      </c>
      <c r="G6068" s="950" t="s">
        <v>15638</v>
      </c>
      <c r="H6068" s="950" t="s">
        <v>364</v>
      </c>
      <c r="I6068" s="951" t="s">
        <v>1896</v>
      </c>
      <c r="J6068" s="947" t="s">
        <v>1897</v>
      </c>
      <c r="K6068" s="143"/>
    </row>
    <row r="6069" spans="1:11">
      <c r="A6069" s="946" t="s">
        <v>28605</v>
      </c>
      <c r="B6069" s="947" t="s">
        <v>1905</v>
      </c>
      <c r="C6069" s="948" t="s">
        <v>1903</v>
      </c>
      <c r="D6069" s="242" t="s">
        <v>28711</v>
      </c>
      <c r="E6069" s="949">
        <v>1701</v>
      </c>
      <c r="F6069" s="949">
        <v>1701</v>
      </c>
      <c r="G6069" s="950" t="s">
        <v>15638</v>
      </c>
      <c r="H6069" s="950" t="s">
        <v>364</v>
      </c>
      <c r="I6069" s="951" t="s">
        <v>1904</v>
      </c>
      <c r="J6069" s="947" t="s">
        <v>1905</v>
      </c>
      <c r="K6069" s="143"/>
    </row>
    <row r="6070" spans="1:11">
      <c r="A6070" s="946" t="s">
        <v>28605</v>
      </c>
      <c r="B6070" s="947" t="s">
        <v>2003</v>
      </c>
      <c r="C6070" s="948" t="s">
        <v>2001</v>
      </c>
      <c r="D6070" s="242" t="s">
        <v>28711</v>
      </c>
      <c r="E6070" s="949">
        <v>1701</v>
      </c>
      <c r="F6070" s="949">
        <v>1701</v>
      </c>
      <c r="G6070" s="950" t="s">
        <v>15638</v>
      </c>
      <c r="H6070" s="950" t="s">
        <v>364</v>
      </c>
      <c r="I6070" s="951" t="s">
        <v>2002</v>
      </c>
      <c r="J6070" s="947" t="s">
        <v>2003</v>
      </c>
      <c r="K6070" s="143"/>
    </row>
    <row r="6071" spans="1:11">
      <c r="A6071" s="946" t="s">
        <v>28605</v>
      </c>
      <c r="B6071" s="947" t="s">
        <v>2169</v>
      </c>
      <c r="C6071" s="948" t="s">
        <v>2167</v>
      </c>
      <c r="D6071" s="242" t="s">
        <v>28711</v>
      </c>
      <c r="E6071" s="949">
        <v>1701</v>
      </c>
      <c r="F6071" s="949">
        <v>1701</v>
      </c>
      <c r="G6071" s="950" t="s">
        <v>15638</v>
      </c>
      <c r="H6071" s="950" t="s">
        <v>364</v>
      </c>
      <c r="I6071" s="951" t="s">
        <v>2168</v>
      </c>
      <c r="J6071" s="947" t="s">
        <v>2169</v>
      </c>
      <c r="K6071" s="143"/>
    </row>
    <row r="6072" spans="1:11">
      <c r="A6072" s="946" t="s">
        <v>28605</v>
      </c>
      <c r="B6072" s="947" t="s">
        <v>3051</v>
      </c>
      <c r="C6072" s="948" t="s">
        <v>3049</v>
      </c>
      <c r="D6072" s="242" t="s">
        <v>28711</v>
      </c>
      <c r="E6072" s="949">
        <v>1701</v>
      </c>
      <c r="F6072" s="949">
        <v>1701</v>
      </c>
      <c r="G6072" s="950" t="s">
        <v>15638</v>
      </c>
      <c r="H6072" s="950" t="s">
        <v>364</v>
      </c>
      <c r="I6072" s="951" t="s">
        <v>3050</v>
      </c>
      <c r="J6072" s="947" t="s">
        <v>3051</v>
      </c>
      <c r="K6072" s="143"/>
    </row>
    <row r="6073" spans="1:11">
      <c r="A6073" s="946" t="s">
        <v>28605</v>
      </c>
      <c r="B6073" s="947" t="s">
        <v>3070</v>
      </c>
      <c r="C6073" s="948" t="s">
        <v>3068</v>
      </c>
      <c r="D6073" s="242" t="s">
        <v>28711</v>
      </c>
      <c r="E6073" s="949">
        <v>1701</v>
      </c>
      <c r="F6073" s="949">
        <v>1701</v>
      </c>
      <c r="G6073" s="950" t="s">
        <v>15638</v>
      </c>
      <c r="H6073" s="950" t="s">
        <v>364</v>
      </c>
      <c r="I6073" s="951" t="s">
        <v>3069</v>
      </c>
      <c r="J6073" s="947" t="s">
        <v>3070</v>
      </c>
      <c r="K6073" s="143"/>
    </row>
    <row r="6074" spans="1:11">
      <c r="A6074" s="946" t="s">
        <v>28605</v>
      </c>
      <c r="B6074" s="947" t="s">
        <v>3564</v>
      </c>
      <c r="C6074" s="948" t="s">
        <v>3562</v>
      </c>
      <c r="D6074" s="242" t="s">
        <v>28711</v>
      </c>
      <c r="E6074" s="949">
        <v>1701</v>
      </c>
      <c r="F6074" s="949">
        <v>1701</v>
      </c>
      <c r="G6074" s="950" t="s">
        <v>15638</v>
      </c>
      <c r="H6074" s="950" t="s">
        <v>364</v>
      </c>
      <c r="I6074" s="951" t="s">
        <v>3563</v>
      </c>
      <c r="J6074" s="947" t="s">
        <v>3564</v>
      </c>
      <c r="K6074" s="143"/>
    </row>
    <row r="6075" spans="1:11">
      <c r="A6075" s="946" t="s">
        <v>28605</v>
      </c>
      <c r="B6075" s="947" t="s">
        <v>3573</v>
      </c>
      <c r="C6075" s="948" t="s">
        <v>3571</v>
      </c>
      <c r="D6075" s="242" t="s">
        <v>28711</v>
      </c>
      <c r="E6075" s="949">
        <v>1701</v>
      </c>
      <c r="F6075" s="949">
        <v>1701</v>
      </c>
      <c r="G6075" s="950" t="s">
        <v>15638</v>
      </c>
      <c r="H6075" s="950" t="s">
        <v>364</v>
      </c>
      <c r="I6075" s="951" t="s">
        <v>3572</v>
      </c>
      <c r="J6075" s="947" t="s">
        <v>3573</v>
      </c>
      <c r="K6075" s="143"/>
    </row>
    <row r="6076" spans="1:11">
      <c r="A6076" s="946" t="s">
        <v>28605</v>
      </c>
      <c r="B6076" s="947" t="s">
        <v>3812</v>
      </c>
      <c r="C6076" s="948" t="s">
        <v>3810</v>
      </c>
      <c r="D6076" s="242" t="s">
        <v>28711</v>
      </c>
      <c r="E6076" s="949">
        <v>1701</v>
      </c>
      <c r="F6076" s="949">
        <v>1701</v>
      </c>
      <c r="G6076" s="950" t="s">
        <v>15638</v>
      </c>
      <c r="H6076" s="950" t="s">
        <v>364</v>
      </c>
      <c r="I6076" s="951" t="s">
        <v>3811</v>
      </c>
      <c r="J6076" s="947" t="s">
        <v>3812</v>
      </c>
      <c r="K6076" s="143"/>
    </row>
    <row r="6077" spans="1:11">
      <c r="A6077" s="946" t="s">
        <v>28605</v>
      </c>
      <c r="B6077" s="947" t="s">
        <v>3876</v>
      </c>
      <c r="C6077" s="948" t="s">
        <v>3874</v>
      </c>
      <c r="D6077" s="242" t="s">
        <v>28711</v>
      </c>
      <c r="E6077" s="949">
        <v>1701</v>
      </c>
      <c r="F6077" s="949">
        <v>1701</v>
      </c>
      <c r="G6077" s="950" t="s">
        <v>15638</v>
      </c>
      <c r="H6077" s="950" t="s">
        <v>364</v>
      </c>
      <c r="I6077" s="951" t="s">
        <v>3875</v>
      </c>
      <c r="J6077" s="947" t="s">
        <v>3876</v>
      </c>
      <c r="K6077" s="143"/>
    </row>
    <row r="6078" spans="1:11">
      <c r="A6078" s="946" t="s">
        <v>28605</v>
      </c>
      <c r="B6078" s="947" t="s">
        <v>4253</v>
      </c>
      <c r="C6078" s="948" t="s">
        <v>4251</v>
      </c>
      <c r="D6078" s="242" t="s">
        <v>28711</v>
      </c>
      <c r="E6078" s="949">
        <v>1701</v>
      </c>
      <c r="F6078" s="949">
        <v>1701</v>
      </c>
      <c r="G6078" s="950" t="s">
        <v>15638</v>
      </c>
      <c r="H6078" s="950" t="s">
        <v>364</v>
      </c>
      <c r="I6078" s="951" t="s">
        <v>4252</v>
      </c>
      <c r="J6078" s="947" t="s">
        <v>4253</v>
      </c>
      <c r="K6078" s="143"/>
    </row>
    <row r="6079" spans="1:11">
      <c r="A6079" s="946" t="s">
        <v>28605</v>
      </c>
      <c r="B6079" s="947" t="s">
        <v>18036</v>
      </c>
      <c r="C6079" s="948" t="s">
        <v>18034</v>
      </c>
      <c r="D6079" s="242" t="s">
        <v>28711</v>
      </c>
      <c r="E6079" s="949">
        <v>1701</v>
      </c>
      <c r="F6079" s="949">
        <v>1701</v>
      </c>
      <c r="G6079" s="950" t="s">
        <v>15638</v>
      </c>
      <c r="H6079" s="950" t="s">
        <v>364</v>
      </c>
      <c r="I6079" s="951" t="s">
        <v>18035</v>
      </c>
      <c r="J6079" s="947" t="s">
        <v>18036</v>
      </c>
      <c r="K6079" s="143"/>
    </row>
    <row r="6080" spans="1:11">
      <c r="A6080" s="946" t="s">
        <v>28605</v>
      </c>
      <c r="B6080" s="947" t="s">
        <v>5117</v>
      </c>
      <c r="C6080" s="948" t="s">
        <v>5115</v>
      </c>
      <c r="D6080" s="242" t="s">
        <v>28711</v>
      </c>
      <c r="E6080" s="949">
        <v>1701</v>
      </c>
      <c r="F6080" s="949">
        <v>1701</v>
      </c>
      <c r="G6080" s="950" t="s">
        <v>15638</v>
      </c>
      <c r="H6080" s="950" t="s">
        <v>364</v>
      </c>
      <c r="I6080" s="951" t="s">
        <v>5116</v>
      </c>
      <c r="J6080" s="947" t="s">
        <v>5117</v>
      </c>
      <c r="K6080" s="143"/>
    </row>
    <row r="6081" spans="1:11">
      <c r="A6081" s="946" t="s">
        <v>28605</v>
      </c>
      <c r="B6081" s="947" t="s">
        <v>5281</v>
      </c>
      <c r="C6081" s="948" t="s">
        <v>5279</v>
      </c>
      <c r="D6081" s="242" t="s">
        <v>28711</v>
      </c>
      <c r="E6081" s="949">
        <v>1701</v>
      </c>
      <c r="F6081" s="949">
        <v>1701</v>
      </c>
      <c r="G6081" s="950" t="s">
        <v>15638</v>
      </c>
      <c r="H6081" s="950" t="s">
        <v>364</v>
      </c>
      <c r="I6081" s="951" t="s">
        <v>5280</v>
      </c>
      <c r="J6081" s="947" t="s">
        <v>5281</v>
      </c>
      <c r="K6081" s="143"/>
    </row>
    <row r="6082" spans="1:11">
      <c r="A6082" s="946" t="s">
        <v>28605</v>
      </c>
      <c r="B6082" s="947" t="s">
        <v>5284</v>
      </c>
      <c r="C6082" s="948" t="s">
        <v>5282</v>
      </c>
      <c r="D6082" s="242" t="s">
        <v>28711</v>
      </c>
      <c r="E6082" s="949">
        <v>1701</v>
      </c>
      <c r="F6082" s="949">
        <v>1701</v>
      </c>
      <c r="G6082" s="950" t="s">
        <v>15638</v>
      </c>
      <c r="H6082" s="950" t="s">
        <v>364</v>
      </c>
      <c r="I6082" s="951" t="s">
        <v>5283</v>
      </c>
      <c r="J6082" s="947" t="s">
        <v>5284</v>
      </c>
      <c r="K6082" s="143"/>
    </row>
    <row r="6083" spans="1:11">
      <c r="A6083" s="946" t="s">
        <v>28605</v>
      </c>
      <c r="B6083" s="947" t="s">
        <v>5305</v>
      </c>
      <c r="C6083" s="948" t="s">
        <v>5303</v>
      </c>
      <c r="D6083" s="242" t="s">
        <v>28711</v>
      </c>
      <c r="E6083" s="949">
        <v>1701</v>
      </c>
      <c r="F6083" s="949">
        <v>1701</v>
      </c>
      <c r="G6083" s="950" t="s">
        <v>15638</v>
      </c>
      <c r="H6083" s="950" t="s">
        <v>364</v>
      </c>
      <c r="I6083" s="951" t="s">
        <v>5304</v>
      </c>
      <c r="J6083" s="947" t="s">
        <v>5305</v>
      </c>
      <c r="K6083" s="143"/>
    </row>
    <row r="6084" spans="1:11">
      <c r="A6084" s="946" t="s">
        <v>28605</v>
      </c>
      <c r="B6084" s="947" t="s">
        <v>5414</v>
      </c>
      <c r="C6084" s="948" t="s">
        <v>5412</v>
      </c>
      <c r="D6084" s="242" t="s">
        <v>28711</v>
      </c>
      <c r="E6084" s="949">
        <v>1701</v>
      </c>
      <c r="F6084" s="949">
        <v>1701</v>
      </c>
      <c r="G6084" s="950" t="s">
        <v>15638</v>
      </c>
      <c r="H6084" s="950" t="s">
        <v>364</v>
      </c>
      <c r="I6084" s="951" t="s">
        <v>5413</v>
      </c>
      <c r="J6084" s="947" t="s">
        <v>5414</v>
      </c>
      <c r="K6084" s="143"/>
    </row>
    <row r="6085" spans="1:11">
      <c r="A6085" s="946" t="s">
        <v>28605</v>
      </c>
      <c r="B6085" s="947" t="s">
        <v>5602</v>
      </c>
      <c r="C6085" s="948" t="s">
        <v>5600</v>
      </c>
      <c r="D6085" s="242" t="s">
        <v>28711</v>
      </c>
      <c r="E6085" s="949">
        <v>1701</v>
      </c>
      <c r="F6085" s="949">
        <v>1701</v>
      </c>
      <c r="G6085" s="950" t="s">
        <v>15638</v>
      </c>
      <c r="H6085" s="950" t="s">
        <v>364</v>
      </c>
      <c r="I6085" s="951" t="s">
        <v>5601</v>
      </c>
      <c r="J6085" s="947" t="s">
        <v>5602</v>
      </c>
      <c r="K6085" s="143"/>
    </row>
    <row r="6086" spans="1:11">
      <c r="A6086" s="946" t="s">
        <v>28605</v>
      </c>
      <c r="B6086" s="947" t="s">
        <v>6040</v>
      </c>
      <c r="C6086" s="948" t="s">
        <v>6038</v>
      </c>
      <c r="D6086" s="242" t="s">
        <v>28711</v>
      </c>
      <c r="E6086" s="949">
        <v>1701</v>
      </c>
      <c r="F6086" s="949">
        <v>1701</v>
      </c>
      <c r="G6086" s="950" t="s">
        <v>15638</v>
      </c>
      <c r="H6086" s="950" t="s">
        <v>364</v>
      </c>
      <c r="I6086" s="951" t="s">
        <v>6039</v>
      </c>
      <c r="J6086" s="947" t="s">
        <v>6040</v>
      </c>
      <c r="K6086" s="143"/>
    </row>
    <row r="6087" spans="1:11">
      <c r="A6087" s="946" t="s">
        <v>28605</v>
      </c>
      <c r="B6087" s="947" t="s">
        <v>6231</v>
      </c>
      <c r="C6087" s="948" t="s">
        <v>6229</v>
      </c>
      <c r="D6087" s="242" t="s">
        <v>28711</v>
      </c>
      <c r="E6087" s="949">
        <v>1701</v>
      </c>
      <c r="F6087" s="949">
        <v>1701</v>
      </c>
      <c r="G6087" s="950" t="s">
        <v>15638</v>
      </c>
      <c r="H6087" s="950" t="s">
        <v>364</v>
      </c>
      <c r="I6087" s="951" t="s">
        <v>6230</v>
      </c>
      <c r="J6087" s="947" t="s">
        <v>6231</v>
      </c>
      <c r="K6087" s="143"/>
    </row>
    <row r="6088" spans="1:11">
      <c r="A6088" s="946" t="s">
        <v>28605</v>
      </c>
      <c r="B6088" s="947" t="s">
        <v>7081</v>
      </c>
      <c r="C6088" s="948" t="s">
        <v>7079</v>
      </c>
      <c r="D6088" s="242" t="s">
        <v>28711</v>
      </c>
      <c r="E6088" s="949">
        <v>1701</v>
      </c>
      <c r="F6088" s="949">
        <v>1701</v>
      </c>
      <c r="G6088" s="950" t="s">
        <v>15638</v>
      </c>
      <c r="H6088" s="950" t="s">
        <v>364</v>
      </c>
      <c r="I6088" s="951" t="s">
        <v>7080</v>
      </c>
      <c r="J6088" s="947" t="s">
        <v>7081</v>
      </c>
      <c r="K6088" s="143"/>
    </row>
    <row r="6089" spans="1:11">
      <c r="A6089" s="946" t="s">
        <v>28605</v>
      </c>
      <c r="B6089" s="947" t="s">
        <v>7866</v>
      </c>
      <c r="C6089" s="948" t="s">
        <v>7864</v>
      </c>
      <c r="D6089" s="242" t="s">
        <v>28711</v>
      </c>
      <c r="E6089" s="949">
        <v>1701</v>
      </c>
      <c r="F6089" s="949">
        <v>1701</v>
      </c>
      <c r="G6089" s="950" t="s">
        <v>15638</v>
      </c>
      <c r="H6089" s="950" t="s">
        <v>364</v>
      </c>
      <c r="I6089" s="951" t="s">
        <v>7865</v>
      </c>
      <c r="J6089" s="947" t="s">
        <v>7866</v>
      </c>
      <c r="K6089" s="143"/>
    </row>
    <row r="6090" spans="1:11">
      <c r="A6090" s="946" t="s">
        <v>28605</v>
      </c>
      <c r="B6090" s="947" t="s">
        <v>8052</v>
      </c>
      <c r="C6090" s="948" t="s">
        <v>8050</v>
      </c>
      <c r="D6090" s="242" t="s">
        <v>28711</v>
      </c>
      <c r="E6090" s="949">
        <v>1701</v>
      </c>
      <c r="F6090" s="949">
        <v>1701</v>
      </c>
      <c r="G6090" s="950" t="s">
        <v>15638</v>
      </c>
      <c r="H6090" s="950" t="s">
        <v>364</v>
      </c>
      <c r="I6090" s="951" t="s">
        <v>8051</v>
      </c>
      <c r="J6090" s="947" t="s">
        <v>8052</v>
      </c>
      <c r="K6090" s="143"/>
    </row>
    <row r="6091" spans="1:11">
      <c r="A6091" s="946" t="s">
        <v>28605</v>
      </c>
      <c r="B6091" s="947" t="s">
        <v>8248</v>
      </c>
      <c r="C6091" s="948" t="s">
        <v>8246</v>
      </c>
      <c r="D6091" s="242" t="s">
        <v>28711</v>
      </c>
      <c r="E6091" s="949">
        <v>1701</v>
      </c>
      <c r="F6091" s="949">
        <v>1701</v>
      </c>
      <c r="G6091" s="950" t="s">
        <v>15638</v>
      </c>
      <c r="H6091" s="950" t="s">
        <v>364</v>
      </c>
      <c r="I6091" s="951" t="s">
        <v>8247</v>
      </c>
      <c r="J6091" s="947" t="s">
        <v>8248</v>
      </c>
      <c r="K6091" s="143"/>
    </row>
    <row r="6092" spans="1:11">
      <c r="A6092" s="946" t="s">
        <v>28605</v>
      </c>
      <c r="B6092" s="947" t="s">
        <v>8473</v>
      </c>
      <c r="C6092" s="948" t="s">
        <v>8471</v>
      </c>
      <c r="D6092" s="242" t="s">
        <v>28711</v>
      </c>
      <c r="E6092" s="949">
        <v>1701</v>
      </c>
      <c r="F6092" s="949">
        <v>1701</v>
      </c>
      <c r="G6092" s="950" t="s">
        <v>15638</v>
      </c>
      <c r="H6092" s="950" t="s">
        <v>364</v>
      </c>
      <c r="I6092" s="951" t="s">
        <v>8472</v>
      </c>
      <c r="J6092" s="947" t="s">
        <v>8473</v>
      </c>
      <c r="K6092" s="143"/>
    </row>
    <row r="6093" spans="1:11">
      <c r="A6093" s="946" t="s">
        <v>28605</v>
      </c>
      <c r="B6093" s="947" t="s">
        <v>8630</v>
      </c>
      <c r="C6093" s="948" t="s">
        <v>8628</v>
      </c>
      <c r="D6093" s="242" t="s">
        <v>28711</v>
      </c>
      <c r="E6093" s="949">
        <v>1701</v>
      </c>
      <c r="F6093" s="949">
        <v>1701</v>
      </c>
      <c r="G6093" s="950" t="s">
        <v>15638</v>
      </c>
      <c r="H6093" s="950" t="s">
        <v>364</v>
      </c>
      <c r="I6093" s="951" t="s">
        <v>8629</v>
      </c>
      <c r="J6093" s="947" t="s">
        <v>8630</v>
      </c>
      <c r="K6093" s="143"/>
    </row>
    <row r="6094" spans="1:11">
      <c r="A6094" s="946" t="s">
        <v>28605</v>
      </c>
      <c r="B6094" s="947" t="s">
        <v>8888</v>
      </c>
      <c r="C6094" s="948" t="s">
        <v>8886</v>
      </c>
      <c r="D6094" s="242" t="s">
        <v>28711</v>
      </c>
      <c r="E6094" s="949">
        <v>1701</v>
      </c>
      <c r="F6094" s="949">
        <v>1701</v>
      </c>
      <c r="G6094" s="950" t="s">
        <v>15638</v>
      </c>
      <c r="H6094" s="950" t="s">
        <v>364</v>
      </c>
      <c r="I6094" s="951" t="s">
        <v>8887</v>
      </c>
      <c r="J6094" s="947" t="s">
        <v>8888</v>
      </c>
      <c r="K6094" s="143"/>
    </row>
    <row r="6095" spans="1:11">
      <c r="A6095" s="946" t="s">
        <v>28605</v>
      </c>
      <c r="B6095" s="947" t="s">
        <v>9102</v>
      </c>
      <c r="C6095" s="948" t="s">
        <v>9100</v>
      </c>
      <c r="D6095" s="242" t="s">
        <v>28711</v>
      </c>
      <c r="E6095" s="949">
        <v>1701</v>
      </c>
      <c r="F6095" s="949">
        <v>1701</v>
      </c>
      <c r="G6095" s="950" t="s">
        <v>15638</v>
      </c>
      <c r="H6095" s="950" t="s">
        <v>364</v>
      </c>
      <c r="I6095" s="951" t="s">
        <v>9101</v>
      </c>
      <c r="J6095" s="947" t="s">
        <v>9102</v>
      </c>
      <c r="K6095" s="143"/>
    </row>
    <row r="6096" spans="1:11">
      <c r="A6096" s="946" t="s">
        <v>28605</v>
      </c>
      <c r="B6096" s="947" t="s">
        <v>9647</v>
      </c>
      <c r="C6096" s="948" t="s">
        <v>9645</v>
      </c>
      <c r="D6096" s="242" t="s">
        <v>28711</v>
      </c>
      <c r="E6096" s="949">
        <v>1701</v>
      </c>
      <c r="F6096" s="949">
        <v>1701</v>
      </c>
      <c r="G6096" s="950" t="s">
        <v>15638</v>
      </c>
      <c r="H6096" s="950" t="s">
        <v>364</v>
      </c>
      <c r="I6096" s="951" t="s">
        <v>9646</v>
      </c>
      <c r="J6096" s="947" t="s">
        <v>9647</v>
      </c>
      <c r="K6096" s="143"/>
    </row>
    <row r="6097" spans="1:11">
      <c r="A6097" s="946" t="s">
        <v>28605</v>
      </c>
      <c r="B6097" s="947" t="s">
        <v>9702</v>
      </c>
      <c r="C6097" s="948" t="s">
        <v>9700</v>
      </c>
      <c r="D6097" s="242" t="s">
        <v>28711</v>
      </c>
      <c r="E6097" s="949">
        <v>1701</v>
      </c>
      <c r="F6097" s="949">
        <v>1701</v>
      </c>
      <c r="G6097" s="950" t="s">
        <v>15638</v>
      </c>
      <c r="H6097" s="950" t="s">
        <v>364</v>
      </c>
      <c r="I6097" s="951" t="s">
        <v>9701</v>
      </c>
      <c r="J6097" s="947" t="s">
        <v>9702</v>
      </c>
      <c r="K6097" s="143"/>
    </row>
    <row r="6098" spans="1:11">
      <c r="A6098" s="946" t="s">
        <v>28605</v>
      </c>
      <c r="B6098" s="947" t="s">
        <v>10057</v>
      </c>
      <c r="C6098" s="948" t="s">
        <v>10055</v>
      </c>
      <c r="D6098" s="242" t="s">
        <v>28711</v>
      </c>
      <c r="E6098" s="949">
        <v>1701</v>
      </c>
      <c r="F6098" s="949">
        <v>1701</v>
      </c>
      <c r="G6098" s="950" t="s">
        <v>15638</v>
      </c>
      <c r="H6098" s="950" t="s">
        <v>364</v>
      </c>
      <c r="I6098" s="951" t="s">
        <v>10056</v>
      </c>
      <c r="J6098" s="947" t="s">
        <v>10057</v>
      </c>
      <c r="K6098" s="143"/>
    </row>
    <row r="6099" spans="1:11">
      <c r="A6099" s="946" t="s">
        <v>28605</v>
      </c>
      <c r="B6099" s="947" t="s">
        <v>10189</v>
      </c>
      <c r="C6099" s="948" t="s">
        <v>10187</v>
      </c>
      <c r="D6099" s="242" t="s">
        <v>28711</v>
      </c>
      <c r="E6099" s="949">
        <v>1701</v>
      </c>
      <c r="F6099" s="949">
        <v>1701</v>
      </c>
      <c r="G6099" s="950" t="s">
        <v>15638</v>
      </c>
      <c r="H6099" s="950" t="s">
        <v>364</v>
      </c>
      <c r="I6099" s="951" t="s">
        <v>10188</v>
      </c>
      <c r="J6099" s="947" t="s">
        <v>10189</v>
      </c>
      <c r="K6099" s="143"/>
    </row>
    <row r="6100" spans="1:11">
      <c r="A6100" s="946" t="s">
        <v>28605</v>
      </c>
      <c r="B6100" s="947" t="s">
        <v>10205</v>
      </c>
      <c r="C6100" s="948" t="s">
        <v>10203</v>
      </c>
      <c r="D6100" s="242" t="s">
        <v>28711</v>
      </c>
      <c r="E6100" s="949">
        <v>1701</v>
      </c>
      <c r="F6100" s="949">
        <v>1701</v>
      </c>
      <c r="G6100" s="950" t="s">
        <v>15638</v>
      </c>
      <c r="H6100" s="950" t="s">
        <v>364</v>
      </c>
      <c r="I6100" s="951" t="s">
        <v>10204</v>
      </c>
      <c r="J6100" s="947" t="s">
        <v>10205</v>
      </c>
      <c r="K6100" s="143"/>
    </row>
    <row r="6101" spans="1:11">
      <c r="A6101" s="946" t="s">
        <v>28605</v>
      </c>
      <c r="B6101" s="947" t="s">
        <v>10208</v>
      </c>
      <c r="C6101" s="948" t="s">
        <v>10206</v>
      </c>
      <c r="D6101" s="242" t="s">
        <v>28711</v>
      </c>
      <c r="E6101" s="949">
        <v>1701</v>
      </c>
      <c r="F6101" s="949">
        <v>1701</v>
      </c>
      <c r="G6101" s="950" t="s">
        <v>15638</v>
      </c>
      <c r="H6101" s="950" t="s">
        <v>364</v>
      </c>
      <c r="I6101" s="951" t="s">
        <v>10207</v>
      </c>
      <c r="J6101" s="947" t="s">
        <v>10208</v>
      </c>
      <c r="K6101" s="143"/>
    </row>
    <row r="6102" spans="1:11">
      <c r="A6102" s="946" t="s">
        <v>28605</v>
      </c>
      <c r="B6102" s="947" t="s">
        <v>10232</v>
      </c>
      <c r="C6102" s="948" t="s">
        <v>10230</v>
      </c>
      <c r="D6102" s="242" t="s">
        <v>28711</v>
      </c>
      <c r="E6102" s="949">
        <v>1701</v>
      </c>
      <c r="F6102" s="949">
        <v>1701</v>
      </c>
      <c r="G6102" s="950" t="s">
        <v>15638</v>
      </c>
      <c r="H6102" s="950" t="s">
        <v>364</v>
      </c>
      <c r="I6102" s="951" t="s">
        <v>10231</v>
      </c>
      <c r="J6102" s="947" t="s">
        <v>10232</v>
      </c>
      <c r="K6102" s="143"/>
    </row>
    <row r="6103" spans="1:11">
      <c r="A6103" s="946" t="s">
        <v>28605</v>
      </c>
      <c r="B6103" s="947" t="s">
        <v>11128</v>
      </c>
      <c r="C6103" s="948" t="s">
        <v>11126</v>
      </c>
      <c r="D6103" s="242" t="s">
        <v>28711</v>
      </c>
      <c r="E6103" s="949">
        <v>1701</v>
      </c>
      <c r="F6103" s="949">
        <v>1701</v>
      </c>
      <c r="G6103" s="950" t="s">
        <v>15638</v>
      </c>
      <c r="H6103" s="950" t="s">
        <v>364</v>
      </c>
      <c r="I6103" s="951" t="s">
        <v>11127</v>
      </c>
      <c r="J6103" s="947" t="s">
        <v>11128</v>
      </c>
      <c r="K6103" s="143"/>
    </row>
    <row r="6104" spans="1:11">
      <c r="A6104" s="946" t="s">
        <v>28605</v>
      </c>
      <c r="B6104" s="947" t="s">
        <v>11257</v>
      </c>
      <c r="C6104" s="948" t="s">
        <v>11255</v>
      </c>
      <c r="D6104" s="242" t="s">
        <v>28711</v>
      </c>
      <c r="E6104" s="949">
        <v>1701</v>
      </c>
      <c r="F6104" s="949">
        <v>1701</v>
      </c>
      <c r="G6104" s="950" t="s">
        <v>15638</v>
      </c>
      <c r="H6104" s="950" t="s">
        <v>364</v>
      </c>
      <c r="I6104" s="951" t="s">
        <v>11256</v>
      </c>
      <c r="J6104" s="947" t="s">
        <v>11257</v>
      </c>
      <c r="K6104" s="143"/>
    </row>
    <row r="6105" spans="1:11">
      <c r="A6105" s="946" t="s">
        <v>28605</v>
      </c>
      <c r="B6105" s="947" t="s">
        <v>11260</v>
      </c>
      <c r="C6105" s="948" t="s">
        <v>11258</v>
      </c>
      <c r="D6105" s="242" t="s">
        <v>28711</v>
      </c>
      <c r="E6105" s="949">
        <v>1701</v>
      </c>
      <c r="F6105" s="949">
        <v>1701</v>
      </c>
      <c r="G6105" s="950" t="s">
        <v>15638</v>
      </c>
      <c r="H6105" s="950" t="s">
        <v>364</v>
      </c>
      <c r="I6105" s="951" t="s">
        <v>11259</v>
      </c>
      <c r="J6105" s="947" t="s">
        <v>11260</v>
      </c>
      <c r="K6105" s="143"/>
    </row>
    <row r="6106" spans="1:11">
      <c r="A6106" s="946" t="s">
        <v>28605</v>
      </c>
      <c r="B6106" s="947" t="s">
        <v>11339</v>
      </c>
      <c r="C6106" s="948" t="s">
        <v>11337</v>
      </c>
      <c r="D6106" s="242" t="s">
        <v>28711</v>
      </c>
      <c r="E6106" s="949">
        <v>1701</v>
      </c>
      <c r="F6106" s="949">
        <v>1701</v>
      </c>
      <c r="G6106" s="950" t="s">
        <v>15638</v>
      </c>
      <c r="H6106" s="950" t="s">
        <v>364</v>
      </c>
      <c r="I6106" s="951" t="s">
        <v>11338</v>
      </c>
      <c r="J6106" s="947" t="s">
        <v>11339</v>
      </c>
      <c r="K6106" s="143"/>
    </row>
    <row r="6107" spans="1:11">
      <c r="A6107" s="946" t="s">
        <v>28605</v>
      </c>
      <c r="B6107" s="947" t="s">
        <v>11546</v>
      </c>
      <c r="C6107" s="948" t="s">
        <v>11544</v>
      </c>
      <c r="D6107" s="242" t="s">
        <v>28711</v>
      </c>
      <c r="E6107" s="949">
        <v>1701</v>
      </c>
      <c r="F6107" s="949">
        <v>1701</v>
      </c>
      <c r="G6107" s="950" t="s">
        <v>15638</v>
      </c>
      <c r="H6107" s="950" t="s">
        <v>364</v>
      </c>
      <c r="I6107" s="951" t="s">
        <v>11545</v>
      </c>
      <c r="J6107" s="947" t="s">
        <v>11546</v>
      </c>
      <c r="K6107" s="143"/>
    </row>
    <row r="6108" spans="1:11">
      <c r="A6108" s="946" t="s">
        <v>28605</v>
      </c>
      <c r="B6108" s="947" t="s">
        <v>11856</v>
      </c>
      <c r="C6108" s="948" t="s">
        <v>11854</v>
      </c>
      <c r="D6108" s="242" t="s">
        <v>28711</v>
      </c>
      <c r="E6108" s="949">
        <v>1701</v>
      </c>
      <c r="F6108" s="949">
        <v>1701</v>
      </c>
      <c r="G6108" s="950" t="s">
        <v>15638</v>
      </c>
      <c r="H6108" s="950" t="s">
        <v>364</v>
      </c>
      <c r="I6108" s="951" t="s">
        <v>11855</v>
      </c>
      <c r="J6108" s="947" t="s">
        <v>11856</v>
      </c>
      <c r="K6108" s="143"/>
    </row>
    <row r="6109" spans="1:11">
      <c r="A6109" s="946" t="s">
        <v>28605</v>
      </c>
      <c r="B6109" s="947" t="s">
        <v>11955</v>
      </c>
      <c r="C6109" s="948" t="s">
        <v>11953</v>
      </c>
      <c r="D6109" s="242" t="s">
        <v>28711</v>
      </c>
      <c r="E6109" s="949">
        <v>1701</v>
      </c>
      <c r="F6109" s="949">
        <v>1701</v>
      </c>
      <c r="G6109" s="950" t="s">
        <v>15638</v>
      </c>
      <c r="H6109" s="950" t="s">
        <v>364</v>
      </c>
      <c r="I6109" s="951" t="s">
        <v>11954</v>
      </c>
      <c r="J6109" s="947" t="s">
        <v>11955</v>
      </c>
      <c r="K6109" s="143"/>
    </row>
    <row r="6110" spans="1:11">
      <c r="A6110" s="946" t="s">
        <v>28605</v>
      </c>
      <c r="B6110" s="947" t="s">
        <v>12638</v>
      </c>
      <c r="C6110" s="948" t="s">
        <v>12636</v>
      </c>
      <c r="D6110" s="242" t="s">
        <v>28711</v>
      </c>
      <c r="E6110" s="949">
        <v>1701</v>
      </c>
      <c r="F6110" s="949">
        <v>1701</v>
      </c>
      <c r="G6110" s="950" t="s">
        <v>15638</v>
      </c>
      <c r="H6110" s="950" t="s">
        <v>364</v>
      </c>
      <c r="I6110" s="951" t="s">
        <v>12637</v>
      </c>
      <c r="J6110" s="947" t="s">
        <v>12638</v>
      </c>
      <c r="K6110" s="143"/>
    </row>
    <row r="6111" spans="1:11">
      <c r="A6111" s="946" t="s">
        <v>28605</v>
      </c>
      <c r="B6111" s="947" t="s">
        <v>12649</v>
      </c>
      <c r="C6111" s="948" t="s">
        <v>12647</v>
      </c>
      <c r="D6111" s="242" t="s">
        <v>28711</v>
      </c>
      <c r="E6111" s="949">
        <v>1701</v>
      </c>
      <c r="F6111" s="949">
        <v>1701</v>
      </c>
      <c r="G6111" s="950" t="s">
        <v>15638</v>
      </c>
      <c r="H6111" s="950" t="s">
        <v>364</v>
      </c>
      <c r="I6111" s="951" t="s">
        <v>12648</v>
      </c>
      <c r="J6111" s="947" t="s">
        <v>12649</v>
      </c>
      <c r="K6111" s="143"/>
    </row>
    <row r="6112" spans="1:11">
      <c r="A6112" s="946" t="s">
        <v>28605</v>
      </c>
      <c r="B6112" s="947" t="s">
        <v>13123</v>
      </c>
      <c r="C6112" s="948" t="s">
        <v>13121</v>
      </c>
      <c r="D6112" s="242" t="s">
        <v>28711</v>
      </c>
      <c r="E6112" s="949">
        <v>1701</v>
      </c>
      <c r="F6112" s="949">
        <v>1701</v>
      </c>
      <c r="G6112" s="950" t="s">
        <v>15638</v>
      </c>
      <c r="H6112" s="950" t="s">
        <v>364</v>
      </c>
      <c r="I6112" s="951" t="s">
        <v>13122</v>
      </c>
      <c r="J6112" s="947" t="s">
        <v>13123</v>
      </c>
      <c r="K6112" s="143"/>
    </row>
    <row r="6113" spans="1:11">
      <c r="A6113" s="946" t="s">
        <v>28605</v>
      </c>
      <c r="B6113" s="947" t="s">
        <v>13210</v>
      </c>
      <c r="C6113" s="948" t="s">
        <v>13208</v>
      </c>
      <c r="D6113" s="242" t="s">
        <v>28711</v>
      </c>
      <c r="E6113" s="949">
        <v>1701</v>
      </c>
      <c r="F6113" s="949">
        <v>1701</v>
      </c>
      <c r="G6113" s="950" t="s">
        <v>15638</v>
      </c>
      <c r="H6113" s="950" t="s">
        <v>364</v>
      </c>
      <c r="I6113" s="951" t="s">
        <v>13209</v>
      </c>
      <c r="J6113" s="947" t="s">
        <v>13210</v>
      </c>
      <c r="K6113" s="143"/>
    </row>
    <row r="6114" spans="1:11">
      <c r="A6114" s="946" t="s">
        <v>28605</v>
      </c>
      <c r="B6114" s="947" t="s">
        <v>13328</v>
      </c>
      <c r="C6114" s="948" t="s">
        <v>13326</v>
      </c>
      <c r="D6114" s="242" t="s">
        <v>28711</v>
      </c>
      <c r="E6114" s="949">
        <v>1701</v>
      </c>
      <c r="F6114" s="949">
        <v>1701</v>
      </c>
      <c r="G6114" s="950" t="s">
        <v>15638</v>
      </c>
      <c r="H6114" s="950" t="s">
        <v>364</v>
      </c>
      <c r="I6114" s="951" t="s">
        <v>13327</v>
      </c>
      <c r="J6114" s="947" t="s">
        <v>13328</v>
      </c>
      <c r="K6114" s="143"/>
    </row>
    <row r="6115" spans="1:11">
      <c r="A6115" s="946" t="s">
        <v>28605</v>
      </c>
      <c r="B6115" s="947" t="s">
        <v>13674</v>
      </c>
      <c r="C6115" s="948" t="s">
        <v>13672</v>
      </c>
      <c r="D6115" s="242" t="s">
        <v>28711</v>
      </c>
      <c r="E6115" s="949">
        <v>1701</v>
      </c>
      <c r="F6115" s="949">
        <v>1701</v>
      </c>
      <c r="G6115" s="950" t="s">
        <v>15638</v>
      </c>
      <c r="H6115" s="950" t="s">
        <v>364</v>
      </c>
      <c r="I6115" s="951" t="s">
        <v>13673</v>
      </c>
      <c r="J6115" s="947" t="s">
        <v>13674</v>
      </c>
      <c r="K6115" s="143"/>
    </row>
    <row r="6116" spans="1:11">
      <c r="A6116" s="946" t="s">
        <v>28605</v>
      </c>
      <c r="B6116" s="947" t="s">
        <v>14096</v>
      </c>
      <c r="C6116" s="948" t="s">
        <v>14094</v>
      </c>
      <c r="D6116" s="242" t="s">
        <v>28711</v>
      </c>
      <c r="E6116" s="949">
        <v>1701</v>
      </c>
      <c r="F6116" s="949">
        <v>1701</v>
      </c>
      <c r="G6116" s="950" t="s">
        <v>15638</v>
      </c>
      <c r="H6116" s="950" t="s">
        <v>364</v>
      </c>
      <c r="I6116" s="951" t="s">
        <v>14095</v>
      </c>
      <c r="J6116" s="947" t="s">
        <v>14096</v>
      </c>
      <c r="K6116" s="143"/>
    </row>
    <row r="6117" spans="1:11">
      <c r="A6117" s="946" t="s">
        <v>28605</v>
      </c>
      <c r="B6117" s="947" t="s">
        <v>14601</v>
      </c>
      <c r="C6117" s="948" t="s">
        <v>14599</v>
      </c>
      <c r="D6117" s="242" t="s">
        <v>28711</v>
      </c>
      <c r="E6117" s="949">
        <v>1701</v>
      </c>
      <c r="F6117" s="949">
        <v>1701</v>
      </c>
      <c r="G6117" s="950" t="s">
        <v>15638</v>
      </c>
      <c r="H6117" s="950" t="s">
        <v>364</v>
      </c>
      <c r="I6117" s="951" t="s">
        <v>14600</v>
      </c>
      <c r="J6117" s="947" t="s">
        <v>14601</v>
      </c>
      <c r="K6117" s="143"/>
    </row>
    <row r="6118" spans="1:11">
      <c r="A6118" s="946" t="s">
        <v>28605</v>
      </c>
      <c r="B6118" s="947" t="s">
        <v>14803</v>
      </c>
      <c r="C6118" s="948" t="s">
        <v>14801</v>
      </c>
      <c r="D6118" s="242" t="s">
        <v>28711</v>
      </c>
      <c r="E6118" s="949">
        <v>1701</v>
      </c>
      <c r="F6118" s="949">
        <v>1701</v>
      </c>
      <c r="G6118" s="950" t="s">
        <v>15638</v>
      </c>
      <c r="H6118" s="950" t="s">
        <v>364</v>
      </c>
      <c r="I6118" s="951" t="s">
        <v>14802</v>
      </c>
      <c r="J6118" s="947" t="s">
        <v>14803</v>
      </c>
      <c r="K6118" s="143"/>
    </row>
    <row r="6119" spans="1:11">
      <c r="A6119" s="946" t="s">
        <v>28605</v>
      </c>
      <c r="B6119" s="947" t="s">
        <v>14871</v>
      </c>
      <c r="C6119" s="948" t="s">
        <v>14869</v>
      </c>
      <c r="D6119" s="242" t="s">
        <v>28711</v>
      </c>
      <c r="E6119" s="949">
        <v>1701</v>
      </c>
      <c r="F6119" s="949">
        <v>1701</v>
      </c>
      <c r="G6119" s="950" t="s">
        <v>15638</v>
      </c>
      <c r="H6119" s="950" t="s">
        <v>364</v>
      </c>
      <c r="I6119" s="951" t="s">
        <v>14870</v>
      </c>
      <c r="J6119" s="947" t="s">
        <v>14871</v>
      </c>
      <c r="K6119" s="143"/>
    </row>
    <row r="6120" spans="1:11">
      <c r="A6120" s="946" t="s">
        <v>28605</v>
      </c>
      <c r="B6120" s="947" t="s">
        <v>14889</v>
      </c>
      <c r="C6120" s="948" t="s">
        <v>14887</v>
      </c>
      <c r="D6120" s="242" t="s">
        <v>28711</v>
      </c>
      <c r="E6120" s="949">
        <v>1701</v>
      </c>
      <c r="F6120" s="949">
        <v>1701</v>
      </c>
      <c r="G6120" s="950" t="s">
        <v>15638</v>
      </c>
      <c r="H6120" s="950" t="s">
        <v>364</v>
      </c>
      <c r="I6120" s="951" t="s">
        <v>14888</v>
      </c>
      <c r="J6120" s="947" t="s">
        <v>14889</v>
      </c>
      <c r="K6120" s="143"/>
    </row>
    <row r="6121" spans="1:11">
      <c r="A6121" s="946" t="s">
        <v>28605</v>
      </c>
      <c r="B6121" s="947" t="s">
        <v>14984</v>
      </c>
      <c r="C6121" s="948" t="s">
        <v>14982</v>
      </c>
      <c r="D6121" s="242" t="s">
        <v>28711</v>
      </c>
      <c r="E6121" s="949">
        <v>1701</v>
      </c>
      <c r="F6121" s="949">
        <v>1701</v>
      </c>
      <c r="G6121" s="950" t="s">
        <v>15638</v>
      </c>
      <c r="H6121" s="950" t="s">
        <v>364</v>
      </c>
      <c r="I6121" s="951" t="s">
        <v>14983</v>
      </c>
      <c r="J6121" s="947" t="s">
        <v>14984</v>
      </c>
      <c r="K6121" s="143"/>
    </row>
    <row r="6122" spans="1:11">
      <c r="A6122" s="946" t="s">
        <v>28605</v>
      </c>
      <c r="B6122" s="947" t="s">
        <v>15638</v>
      </c>
      <c r="C6122" s="948" t="s">
        <v>15636</v>
      </c>
      <c r="D6122" s="242" t="s">
        <v>28711</v>
      </c>
      <c r="E6122" s="949">
        <v>1701</v>
      </c>
      <c r="F6122" s="949">
        <v>1701</v>
      </c>
      <c r="G6122" s="950" t="s">
        <v>15638</v>
      </c>
      <c r="H6122" s="950" t="s">
        <v>364</v>
      </c>
      <c r="I6122" s="951" t="s">
        <v>15637</v>
      </c>
      <c r="J6122" s="947" t="s">
        <v>15638</v>
      </c>
      <c r="K6122" s="143"/>
    </row>
    <row r="6123" spans="1:11">
      <c r="A6123" s="946" t="s">
        <v>28605</v>
      </c>
      <c r="B6123" s="947" t="s">
        <v>16100</v>
      </c>
      <c r="C6123" s="948" t="s">
        <v>16098</v>
      </c>
      <c r="D6123" s="242" t="s">
        <v>28711</v>
      </c>
      <c r="E6123" s="949">
        <v>1701</v>
      </c>
      <c r="F6123" s="949">
        <v>1701</v>
      </c>
      <c r="G6123" s="950" t="s">
        <v>15638</v>
      </c>
      <c r="H6123" s="950" t="s">
        <v>364</v>
      </c>
      <c r="I6123" s="951" t="s">
        <v>16099</v>
      </c>
      <c r="J6123" s="947" t="s">
        <v>16100</v>
      </c>
      <c r="K6123" s="143"/>
    </row>
    <row r="6124" spans="1:11">
      <c r="A6124" s="946" t="s">
        <v>28605</v>
      </c>
      <c r="B6124" s="947" t="s">
        <v>16103</v>
      </c>
      <c r="C6124" s="948" t="s">
        <v>16101</v>
      </c>
      <c r="D6124" s="242" t="s">
        <v>28711</v>
      </c>
      <c r="E6124" s="949">
        <v>1701</v>
      </c>
      <c r="F6124" s="949">
        <v>1701</v>
      </c>
      <c r="G6124" s="950" t="s">
        <v>15638</v>
      </c>
      <c r="H6124" s="950" t="s">
        <v>364</v>
      </c>
      <c r="I6124" s="951" t="s">
        <v>16102</v>
      </c>
      <c r="J6124" s="947" t="s">
        <v>16103</v>
      </c>
      <c r="K6124" s="143"/>
    </row>
    <row r="6125" spans="1:11">
      <c r="A6125" s="946" t="s">
        <v>28605</v>
      </c>
      <c r="B6125" s="947" t="s">
        <v>16339</v>
      </c>
      <c r="C6125" s="948" t="s">
        <v>16337</v>
      </c>
      <c r="D6125" s="242" t="s">
        <v>28711</v>
      </c>
      <c r="E6125" s="949">
        <v>1701</v>
      </c>
      <c r="F6125" s="949">
        <v>1701</v>
      </c>
      <c r="G6125" s="950" t="s">
        <v>15638</v>
      </c>
      <c r="H6125" s="950" t="s">
        <v>364</v>
      </c>
      <c r="I6125" s="951" t="s">
        <v>16338</v>
      </c>
      <c r="J6125" s="947" t="s">
        <v>16339</v>
      </c>
      <c r="K6125" s="143"/>
    </row>
    <row r="6126" spans="1:11">
      <c r="A6126" s="946" t="s">
        <v>28605</v>
      </c>
      <c r="B6126" s="947" t="s">
        <v>16351</v>
      </c>
      <c r="C6126" s="948" t="s">
        <v>16349</v>
      </c>
      <c r="D6126" s="242" t="s">
        <v>28711</v>
      </c>
      <c r="E6126" s="949">
        <v>1701</v>
      </c>
      <c r="F6126" s="949">
        <v>1701</v>
      </c>
      <c r="G6126" s="950" t="s">
        <v>15638</v>
      </c>
      <c r="H6126" s="950" t="s">
        <v>364</v>
      </c>
      <c r="I6126" s="951" t="s">
        <v>16350</v>
      </c>
      <c r="J6126" s="947" t="s">
        <v>16351</v>
      </c>
      <c r="K6126" s="143"/>
    </row>
    <row r="6127" spans="1:11">
      <c r="A6127" s="946" t="s">
        <v>28605</v>
      </c>
      <c r="B6127" s="947" t="s">
        <v>16435</v>
      </c>
      <c r="C6127" s="948" t="s">
        <v>16433</v>
      </c>
      <c r="D6127" s="242" t="s">
        <v>28711</v>
      </c>
      <c r="E6127" s="949">
        <v>1701</v>
      </c>
      <c r="F6127" s="949">
        <v>1701</v>
      </c>
      <c r="G6127" s="950" t="s">
        <v>15638</v>
      </c>
      <c r="H6127" s="950" t="s">
        <v>364</v>
      </c>
      <c r="I6127" s="951" t="s">
        <v>16434</v>
      </c>
      <c r="J6127" s="947" t="s">
        <v>16435</v>
      </c>
      <c r="K6127" s="143"/>
    </row>
    <row r="6128" spans="1:11">
      <c r="A6128" s="946" t="s">
        <v>28605</v>
      </c>
      <c r="B6128" s="947" t="s">
        <v>16652</v>
      </c>
      <c r="C6128" s="948" t="s">
        <v>16650</v>
      </c>
      <c r="D6128" s="242" t="s">
        <v>28711</v>
      </c>
      <c r="E6128" s="949">
        <v>1701</v>
      </c>
      <c r="F6128" s="949">
        <v>1701</v>
      </c>
      <c r="G6128" s="950" t="s">
        <v>15638</v>
      </c>
      <c r="H6128" s="950" t="s">
        <v>364</v>
      </c>
      <c r="I6128" s="951" t="s">
        <v>16651</v>
      </c>
      <c r="J6128" s="947" t="s">
        <v>16652</v>
      </c>
      <c r="K6128" s="143"/>
    </row>
    <row r="6129" spans="1:11">
      <c r="A6129" s="946" t="s">
        <v>28605</v>
      </c>
      <c r="B6129" s="947" t="s">
        <v>17006</v>
      </c>
      <c r="C6129" s="948" t="s">
        <v>17004</v>
      </c>
      <c r="D6129" s="242" t="s">
        <v>28711</v>
      </c>
      <c r="E6129" s="949">
        <v>1701</v>
      </c>
      <c r="F6129" s="949">
        <v>1701</v>
      </c>
      <c r="G6129" s="950" t="s">
        <v>15638</v>
      </c>
      <c r="H6129" s="950" t="s">
        <v>364</v>
      </c>
      <c r="I6129" s="951" t="s">
        <v>17005</v>
      </c>
      <c r="J6129" s="947" t="s">
        <v>17006</v>
      </c>
      <c r="K6129" s="143"/>
    </row>
    <row r="6130" spans="1:11">
      <c r="A6130" s="946" t="s">
        <v>28605</v>
      </c>
      <c r="B6130" s="947" t="s">
        <v>17116</v>
      </c>
      <c r="C6130" s="948" t="s">
        <v>17114</v>
      </c>
      <c r="D6130" s="242" t="s">
        <v>28711</v>
      </c>
      <c r="E6130" s="949">
        <v>1701</v>
      </c>
      <c r="F6130" s="949">
        <v>1701</v>
      </c>
      <c r="G6130" s="950" t="s">
        <v>15638</v>
      </c>
      <c r="H6130" s="950" t="s">
        <v>364</v>
      </c>
      <c r="I6130" s="951" t="s">
        <v>17115</v>
      </c>
      <c r="J6130" s="947" t="s">
        <v>17116</v>
      </c>
      <c r="K6130" s="143"/>
    </row>
    <row r="6131" spans="1:11">
      <c r="A6131" s="946" t="s">
        <v>28605</v>
      </c>
      <c r="B6131" s="947" t="s">
        <v>17131</v>
      </c>
      <c r="C6131" s="948" t="s">
        <v>17129</v>
      </c>
      <c r="D6131" s="242" t="s">
        <v>28711</v>
      </c>
      <c r="E6131" s="949">
        <v>1701</v>
      </c>
      <c r="F6131" s="949">
        <v>1701</v>
      </c>
      <c r="G6131" s="950" t="s">
        <v>15638</v>
      </c>
      <c r="H6131" s="950" t="s">
        <v>364</v>
      </c>
      <c r="I6131" s="951" t="s">
        <v>17130</v>
      </c>
      <c r="J6131" s="947" t="s">
        <v>17131</v>
      </c>
      <c r="K6131" s="143"/>
    </row>
    <row r="6132" spans="1:11">
      <c r="A6132" s="946" t="s">
        <v>28605</v>
      </c>
      <c r="B6132" s="947" t="s">
        <v>17457</v>
      </c>
      <c r="C6132" s="948" t="s">
        <v>17455</v>
      </c>
      <c r="D6132" s="242" t="s">
        <v>28711</v>
      </c>
      <c r="E6132" s="949">
        <v>1701</v>
      </c>
      <c r="F6132" s="949">
        <v>1701</v>
      </c>
      <c r="G6132" s="950" t="s">
        <v>15638</v>
      </c>
      <c r="H6132" s="950" t="s">
        <v>364</v>
      </c>
      <c r="I6132" s="951" t="s">
        <v>17456</v>
      </c>
      <c r="J6132" s="947" t="s">
        <v>17457</v>
      </c>
      <c r="K6132" s="143"/>
    </row>
    <row r="6133" spans="1:11">
      <c r="A6133" s="946" t="s">
        <v>28605</v>
      </c>
      <c r="B6133" s="947" t="s">
        <v>17460</v>
      </c>
      <c r="C6133" s="948" t="s">
        <v>17458</v>
      </c>
      <c r="D6133" s="242" t="s">
        <v>28711</v>
      </c>
      <c r="E6133" s="949">
        <v>1701</v>
      </c>
      <c r="F6133" s="949">
        <v>1701</v>
      </c>
      <c r="G6133" s="950" t="s">
        <v>15638</v>
      </c>
      <c r="H6133" s="950" t="s">
        <v>364</v>
      </c>
      <c r="I6133" s="951" t="s">
        <v>17459</v>
      </c>
      <c r="J6133" s="947" t="s">
        <v>17460</v>
      </c>
      <c r="K6133" s="143"/>
    </row>
    <row r="6134" spans="1:11">
      <c r="A6134" s="946" t="s">
        <v>28605</v>
      </c>
      <c r="B6134" s="947" t="s">
        <v>17493</v>
      </c>
      <c r="C6134" s="948" t="s">
        <v>17491</v>
      </c>
      <c r="D6134" s="242" t="s">
        <v>28711</v>
      </c>
      <c r="E6134" s="949">
        <v>1701</v>
      </c>
      <c r="F6134" s="949">
        <v>1701</v>
      </c>
      <c r="G6134" s="950" t="s">
        <v>15638</v>
      </c>
      <c r="H6134" s="950" t="s">
        <v>364</v>
      </c>
      <c r="I6134" s="951" t="s">
        <v>17492</v>
      </c>
      <c r="J6134" s="947" t="s">
        <v>17493</v>
      </c>
      <c r="K6134" s="143"/>
    </row>
    <row r="6135" spans="1:11">
      <c r="A6135" s="946" t="s">
        <v>28605</v>
      </c>
      <c r="B6135" s="947" t="s">
        <v>17547</v>
      </c>
      <c r="C6135" s="948" t="s">
        <v>17545</v>
      </c>
      <c r="D6135" s="242" t="s">
        <v>28711</v>
      </c>
      <c r="E6135" s="949">
        <v>1701</v>
      </c>
      <c r="F6135" s="949">
        <v>1701</v>
      </c>
      <c r="G6135" s="950" t="s">
        <v>15638</v>
      </c>
      <c r="H6135" s="950" t="s">
        <v>364</v>
      </c>
      <c r="I6135" s="951" t="s">
        <v>17546</v>
      </c>
      <c r="J6135" s="947" t="s">
        <v>17547</v>
      </c>
      <c r="K6135" s="143"/>
    </row>
    <row r="6136" spans="1:11">
      <c r="A6136" s="946" t="s">
        <v>28605</v>
      </c>
      <c r="B6136" s="947" t="s">
        <v>17892</v>
      </c>
      <c r="C6136" s="948" t="s">
        <v>17890</v>
      </c>
      <c r="D6136" s="242" t="s">
        <v>28711</v>
      </c>
      <c r="E6136" s="949">
        <v>1701</v>
      </c>
      <c r="F6136" s="949">
        <v>1701</v>
      </c>
      <c r="G6136" s="950" t="s">
        <v>15638</v>
      </c>
      <c r="H6136" s="950" t="s">
        <v>364</v>
      </c>
      <c r="I6136" s="951" t="s">
        <v>17891</v>
      </c>
      <c r="J6136" s="947" t="s">
        <v>17892</v>
      </c>
      <c r="K6136" s="143"/>
    </row>
    <row r="6137" spans="1:11">
      <c r="A6137" s="946" t="s">
        <v>28605</v>
      </c>
      <c r="B6137" s="947" t="s">
        <v>18219</v>
      </c>
      <c r="C6137" s="948" t="s">
        <v>18217</v>
      </c>
      <c r="D6137" s="242" t="s">
        <v>28711</v>
      </c>
      <c r="E6137" s="949">
        <v>1701</v>
      </c>
      <c r="F6137" s="949">
        <v>1701</v>
      </c>
      <c r="G6137" s="950" t="s">
        <v>15638</v>
      </c>
      <c r="H6137" s="950" t="s">
        <v>364</v>
      </c>
      <c r="I6137" s="951" t="s">
        <v>18218</v>
      </c>
      <c r="J6137" s="947" t="s">
        <v>18219</v>
      </c>
      <c r="K6137" s="143"/>
    </row>
    <row r="6138" spans="1:11">
      <c r="A6138" s="946" t="s">
        <v>28605</v>
      </c>
      <c r="B6138" s="947" t="s">
        <v>18646</v>
      </c>
      <c r="C6138" s="948" t="s">
        <v>18644</v>
      </c>
      <c r="D6138" s="242" t="s">
        <v>28711</v>
      </c>
      <c r="E6138" s="949">
        <v>1701</v>
      </c>
      <c r="F6138" s="949">
        <v>1701</v>
      </c>
      <c r="G6138" s="950" t="s">
        <v>15638</v>
      </c>
      <c r="H6138" s="950" t="s">
        <v>364</v>
      </c>
      <c r="I6138" s="951" t="s">
        <v>18645</v>
      </c>
      <c r="J6138" s="947" t="s">
        <v>18646</v>
      </c>
      <c r="K6138" s="143"/>
    </row>
    <row r="6139" spans="1:11">
      <c r="A6139" s="946" t="s">
        <v>28605</v>
      </c>
      <c r="B6139" s="947" t="s">
        <v>18682</v>
      </c>
      <c r="C6139" s="948" t="s">
        <v>18680</v>
      </c>
      <c r="D6139" s="242" t="s">
        <v>28711</v>
      </c>
      <c r="E6139" s="949">
        <v>1701</v>
      </c>
      <c r="F6139" s="949">
        <v>1701</v>
      </c>
      <c r="G6139" s="950" t="s">
        <v>15638</v>
      </c>
      <c r="H6139" s="950" t="s">
        <v>364</v>
      </c>
      <c r="I6139" s="951" t="s">
        <v>18681</v>
      </c>
      <c r="J6139" s="947" t="s">
        <v>18682</v>
      </c>
      <c r="K6139" s="143"/>
    </row>
    <row r="6140" spans="1:11">
      <c r="A6140" s="946" t="s">
        <v>28605</v>
      </c>
      <c r="B6140" s="947" t="s">
        <v>18850</v>
      </c>
      <c r="C6140" s="948" t="s">
        <v>18848</v>
      </c>
      <c r="D6140" s="242" t="s">
        <v>28711</v>
      </c>
      <c r="E6140" s="949">
        <v>1701</v>
      </c>
      <c r="F6140" s="949">
        <v>1701</v>
      </c>
      <c r="G6140" s="950" t="s">
        <v>15638</v>
      </c>
      <c r="H6140" s="950" t="s">
        <v>364</v>
      </c>
      <c r="I6140" s="951" t="s">
        <v>18849</v>
      </c>
      <c r="J6140" s="947" t="s">
        <v>18850</v>
      </c>
      <c r="K6140" s="143"/>
    </row>
    <row r="6141" spans="1:11">
      <c r="A6141" s="946" t="s">
        <v>28605</v>
      </c>
      <c r="B6141" s="947" t="s">
        <v>18921</v>
      </c>
      <c r="C6141" s="948" t="s">
        <v>18919</v>
      </c>
      <c r="D6141" s="242" t="s">
        <v>28711</v>
      </c>
      <c r="E6141" s="949">
        <v>1701</v>
      </c>
      <c r="F6141" s="949">
        <v>1701</v>
      </c>
      <c r="G6141" s="950" t="s">
        <v>15638</v>
      </c>
      <c r="H6141" s="950" t="s">
        <v>364</v>
      </c>
      <c r="I6141" s="951" t="s">
        <v>18920</v>
      </c>
      <c r="J6141" s="947" t="s">
        <v>18921</v>
      </c>
      <c r="K6141" s="143"/>
    </row>
    <row r="6142" spans="1:11">
      <c r="A6142" s="946" t="s">
        <v>28605</v>
      </c>
      <c r="B6142" s="947" t="s">
        <v>18937</v>
      </c>
      <c r="C6142" s="948" t="s">
        <v>18935</v>
      </c>
      <c r="D6142" s="242" t="s">
        <v>28711</v>
      </c>
      <c r="E6142" s="949">
        <v>1701</v>
      </c>
      <c r="F6142" s="949">
        <v>1701</v>
      </c>
      <c r="G6142" s="950" t="s">
        <v>15638</v>
      </c>
      <c r="H6142" s="950" t="s">
        <v>364</v>
      </c>
      <c r="I6142" s="951" t="s">
        <v>18936</v>
      </c>
      <c r="J6142" s="947" t="s">
        <v>18937</v>
      </c>
      <c r="K6142" s="143"/>
    </row>
    <row r="6143" spans="1:11">
      <c r="A6143" s="946" t="s">
        <v>28605</v>
      </c>
      <c r="B6143" s="947" t="s">
        <v>18984</v>
      </c>
      <c r="C6143" s="948" t="s">
        <v>18982</v>
      </c>
      <c r="D6143" s="242" t="s">
        <v>28711</v>
      </c>
      <c r="E6143" s="949">
        <v>1701</v>
      </c>
      <c r="F6143" s="949">
        <v>1701</v>
      </c>
      <c r="G6143" s="950" t="s">
        <v>15638</v>
      </c>
      <c r="H6143" s="950" t="s">
        <v>364</v>
      </c>
      <c r="I6143" s="951" t="s">
        <v>18983</v>
      </c>
      <c r="J6143" s="947" t="s">
        <v>18984</v>
      </c>
      <c r="K6143" s="143"/>
    </row>
    <row r="6144" spans="1:11">
      <c r="A6144" s="946" t="s">
        <v>28605</v>
      </c>
      <c r="B6144" s="947" t="s">
        <v>19259</v>
      </c>
      <c r="C6144" s="948" t="s">
        <v>19257</v>
      </c>
      <c r="D6144" s="242" t="s">
        <v>28711</v>
      </c>
      <c r="E6144" s="949">
        <v>1701</v>
      </c>
      <c r="F6144" s="949">
        <v>1701</v>
      </c>
      <c r="G6144" s="950" t="s">
        <v>15638</v>
      </c>
      <c r="H6144" s="950" t="s">
        <v>364</v>
      </c>
      <c r="I6144" s="951" t="s">
        <v>19258</v>
      </c>
      <c r="J6144" s="947" t="s">
        <v>19259</v>
      </c>
      <c r="K6144" s="143"/>
    </row>
    <row r="6145" spans="1:11">
      <c r="A6145" s="946" t="s">
        <v>28605</v>
      </c>
      <c r="B6145" s="947" t="s">
        <v>19915</v>
      </c>
      <c r="C6145" s="948" t="s">
        <v>19913</v>
      </c>
      <c r="D6145" s="242" t="s">
        <v>28711</v>
      </c>
      <c r="E6145" s="949">
        <v>1701</v>
      </c>
      <c r="F6145" s="949">
        <v>1701</v>
      </c>
      <c r="G6145" s="950" t="s">
        <v>15638</v>
      </c>
      <c r="H6145" s="950" t="s">
        <v>364</v>
      </c>
      <c r="I6145" s="951" t="s">
        <v>19914</v>
      </c>
      <c r="J6145" s="947" t="s">
        <v>19915</v>
      </c>
      <c r="K6145" s="143"/>
    </row>
    <row r="6146" spans="1:11">
      <c r="A6146" s="946" t="s">
        <v>28605</v>
      </c>
      <c r="B6146" s="947" t="s">
        <v>20284</v>
      </c>
      <c r="C6146" s="948" t="s">
        <v>20282</v>
      </c>
      <c r="D6146" s="242" t="s">
        <v>28711</v>
      </c>
      <c r="E6146" s="949">
        <v>1701</v>
      </c>
      <c r="F6146" s="949">
        <v>1701</v>
      </c>
      <c r="G6146" s="950" t="s">
        <v>15638</v>
      </c>
      <c r="H6146" s="950" t="s">
        <v>364</v>
      </c>
      <c r="I6146" s="951" t="s">
        <v>20283</v>
      </c>
      <c r="J6146" s="947" t="s">
        <v>20284</v>
      </c>
      <c r="K6146" s="143"/>
    </row>
    <row r="6147" spans="1:11">
      <c r="A6147" s="946" t="s">
        <v>28605</v>
      </c>
      <c r="B6147" s="947" t="s">
        <v>20383</v>
      </c>
      <c r="C6147" s="948" t="s">
        <v>20381</v>
      </c>
      <c r="D6147" s="242" t="s">
        <v>28711</v>
      </c>
      <c r="E6147" s="949">
        <v>1701</v>
      </c>
      <c r="F6147" s="949">
        <v>1701</v>
      </c>
      <c r="G6147" s="950" t="s">
        <v>15638</v>
      </c>
      <c r="H6147" s="950" t="s">
        <v>364</v>
      </c>
      <c r="I6147" s="951" t="s">
        <v>20382</v>
      </c>
      <c r="J6147" s="947" t="s">
        <v>20383</v>
      </c>
      <c r="K6147" s="143"/>
    </row>
    <row r="6148" spans="1:11">
      <c r="A6148" s="946" t="s">
        <v>28605</v>
      </c>
      <c r="B6148" s="947" t="s">
        <v>20488</v>
      </c>
      <c r="C6148" s="948" t="s">
        <v>20486</v>
      </c>
      <c r="D6148" s="242" t="s">
        <v>28711</v>
      </c>
      <c r="E6148" s="949">
        <v>1701</v>
      </c>
      <c r="F6148" s="949">
        <v>1701</v>
      </c>
      <c r="G6148" s="950" t="s">
        <v>15638</v>
      </c>
      <c r="H6148" s="950" t="s">
        <v>364</v>
      </c>
      <c r="I6148" s="951" t="s">
        <v>20487</v>
      </c>
      <c r="J6148" s="947" t="s">
        <v>20488</v>
      </c>
      <c r="K6148" s="143"/>
    </row>
    <row r="6149" spans="1:11">
      <c r="A6149" s="946" t="s">
        <v>28605</v>
      </c>
      <c r="B6149" s="947" t="s">
        <v>20532</v>
      </c>
      <c r="C6149" s="948" t="s">
        <v>20530</v>
      </c>
      <c r="D6149" s="242" t="s">
        <v>28711</v>
      </c>
      <c r="E6149" s="949">
        <v>1701</v>
      </c>
      <c r="F6149" s="949">
        <v>1701</v>
      </c>
      <c r="G6149" s="950" t="s">
        <v>15638</v>
      </c>
      <c r="H6149" s="950" t="s">
        <v>364</v>
      </c>
      <c r="I6149" s="951" t="s">
        <v>20531</v>
      </c>
      <c r="J6149" s="947" t="s">
        <v>20532</v>
      </c>
      <c r="K6149" s="143"/>
    </row>
    <row r="6150" spans="1:11">
      <c r="A6150" s="946" t="s">
        <v>28605</v>
      </c>
      <c r="B6150" s="947" t="s">
        <v>20834</v>
      </c>
      <c r="C6150" s="948" t="s">
        <v>20832</v>
      </c>
      <c r="D6150" s="242" t="s">
        <v>28711</v>
      </c>
      <c r="E6150" s="949">
        <v>1701</v>
      </c>
      <c r="F6150" s="949">
        <v>1701</v>
      </c>
      <c r="G6150" s="950" t="s">
        <v>15638</v>
      </c>
      <c r="H6150" s="950" t="s">
        <v>364</v>
      </c>
      <c r="I6150" s="951" t="s">
        <v>20833</v>
      </c>
      <c r="J6150" s="947" t="s">
        <v>20834</v>
      </c>
      <c r="K6150" s="143"/>
    </row>
    <row r="6151" spans="1:11">
      <c r="A6151" s="946" t="s">
        <v>28605</v>
      </c>
      <c r="B6151" s="947" t="s">
        <v>20901</v>
      </c>
      <c r="C6151" s="948" t="s">
        <v>20899</v>
      </c>
      <c r="D6151" s="242" t="s">
        <v>28711</v>
      </c>
      <c r="E6151" s="949">
        <v>1701</v>
      </c>
      <c r="F6151" s="949">
        <v>1701</v>
      </c>
      <c r="G6151" s="950" t="s">
        <v>15638</v>
      </c>
      <c r="H6151" s="950" t="s">
        <v>364</v>
      </c>
      <c r="I6151" s="951" t="s">
        <v>20900</v>
      </c>
      <c r="J6151" s="947" t="s">
        <v>20901</v>
      </c>
      <c r="K6151" s="143"/>
    </row>
    <row r="6152" spans="1:11">
      <c r="A6152" s="946" t="s">
        <v>28605</v>
      </c>
      <c r="B6152" s="947" t="s">
        <v>21068</v>
      </c>
      <c r="C6152" s="948" t="s">
        <v>21066</v>
      </c>
      <c r="D6152" s="242" t="s">
        <v>28711</v>
      </c>
      <c r="E6152" s="949">
        <v>1701</v>
      </c>
      <c r="F6152" s="949">
        <v>1701</v>
      </c>
      <c r="G6152" s="950" t="s">
        <v>15638</v>
      </c>
      <c r="H6152" s="950" t="s">
        <v>364</v>
      </c>
      <c r="I6152" s="951" t="s">
        <v>21067</v>
      </c>
      <c r="J6152" s="947" t="s">
        <v>21068</v>
      </c>
      <c r="K6152" s="143"/>
    </row>
    <row r="6153" spans="1:11">
      <c r="A6153" s="946" t="s">
        <v>28605</v>
      </c>
      <c r="B6153" s="947" t="s">
        <v>21260</v>
      </c>
      <c r="C6153" s="948" t="s">
        <v>21258</v>
      </c>
      <c r="D6153" s="242" t="s">
        <v>28711</v>
      </c>
      <c r="E6153" s="949">
        <v>1701</v>
      </c>
      <c r="F6153" s="949">
        <v>1701</v>
      </c>
      <c r="G6153" s="950" t="s">
        <v>15638</v>
      </c>
      <c r="H6153" s="950" t="s">
        <v>364</v>
      </c>
      <c r="I6153" s="951" t="s">
        <v>21259</v>
      </c>
      <c r="J6153" s="947" t="s">
        <v>21260</v>
      </c>
      <c r="K6153" s="143"/>
    </row>
    <row r="6154" spans="1:11">
      <c r="A6154" s="946" t="s">
        <v>28605</v>
      </c>
      <c r="B6154" s="947" t="s">
        <v>21707</v>
      </c>
      <c r="C6154" s="948" t="s">
        <v>21705</v>
      </c>
      <c r="D6154" s="242" t="s">
        <v>28711</v>
      </c>
      <c r="E6154" s="949">
        <v>1701</v>
      </c>
      <c r="F6154" s="949">
        <v>1701</v>
      </c>
      <c r="G6154" s="950" t="s">
        <v>15638</v>
      </c>
      <c r="H6154" s="950" t="s">
        <v>364</v>
      </c>
      <c r="I6154" s="951" t="s">
        <v>21706</v>
      </c>
      <c r="J6154" s="947" t="s">
        <v>21707</v>
      </c>
      <c r="K6154" s="143"/>
    </row>
    <row r="6155" spans="1:11">
      <c r="A6155" s="946" t="s">
        <v>28605</v>
      </c>
      <c r="B6155" s="947" t="s">
        <v>21963</v>
      </c>
      <c r="C6155" s="948" t="s">
        <v>21961</v>
      </c>
      <c r="D6155" s="242" t="s">
        <v>28711</v>
      </c>
      <c r="E6155" s="949">
        <v>1701</v>
      </c>
      <c r="F6155" s="949">
        <v>1701</v>
      </c>
      <c r="G6155" s="950" t="s">
        <v>15638</v>
      </c>
      <c r="H6155" s="950" t="s">
        <v>364</v>
      </c>
      <c r="I6155" s="951" t="s">
        <v>21962</v>
      </c>
      <c r="J6155" s="947" t="s">
        <v>21963</v>
      </c>
      <c r="K6155" s="143"/>
    </row>
    <row r="6156" spans="1:11">
      <c r="A6156" s="946" t="s">
        <v>28605</v>
      </c>
      <c r="B6156" s="947" t="s">
        <v>21984</v>
      </c>
      <c r="C6156" s="948" t="s">
        <v>21982</v>
      </c>
      <c r="D6156" s="242" t="s">
        <v>28711</v>
      </c>
      <c r="E6156" s="949">
        <v>1701</v>
      </c>
      <c r="F6156" s="949">
        <v>1701</v>
      </c>
      <c r="G6156" s="950" t="s">
        <v>15638</v>
      </c>
      <c r="H6156" s="950" t="s">
        <v>364</v>
      </c>
      <c r="I6156" s="951" t="s">
        <v>21983</v>
      </c>
      <c r="J6156" s="947" t="s">
        <v>21984</v>
      </c>
      <c r="K6156" s="143"/>
    </row>
    <row r="6157" spans="1:11">
      <c r="A6157" s="946" t="s">
        <v>28605</v>
      </c>
      <c r="B6157" s="947" t="s">
        <v>21987</v>
      </c>
      <c r="C6157" s="948" t="s">
        <v>21985</v>
      </c>
      <c r="D6157" s="242" t="s">
        <v>28711</v>
      </c>
      <c r="E6157" s="949">
        <v>1701</v>
      </c>
      <c r="F6157" s="949">
        <v>1701</v>
      </c>
      <c r="G6157" s="950" t="s">
        <v>15638</v>
      </c>
      <c r="H6157" s="950" t="s">
        <v>364</v>
      </c>
      <c r="I6157" s="951" t="s">
        <v>21986</v>
      </c>
      <c r="J6157" s="947" t="s">
        <v>21987</v>
      </c>
      <c r="K6157" s="143"/>
    </row>
    <row r="6158" spans="1:11">
      <c r="A6158" s="946" t="s">
        <v>28605</v>
      </c>
      <c r="B6158" s="947" t="s">
        <v>9235</v>
      </c>
      <c r="C6158" s="948" t="s">
        <v>9233</v>
      </c>
      <c r="D6158" s="242" t="s">
        <v>28711</v>
      </c>
      <c r="E6158" s="949">
        <v>1701</v>
      </c>
      <c r="F6158" s="949">
        <v>1701</v>
      </c>
      <c r="G6158" s="950" t="s">
        <v>15638</v>
      </c>
      <c r="H6158" s="950" t="s">
        <v>364</v>
      </c>
      <c r="I6158" s="951" t="s">
        <v>9234</v>
      </c>
      <c r="J6158" s="947" t="s">
        <v>9235</v>
      </c>
      <c r="K6158" s="143"/>
    </row>
    <row r="6159" spans="1:11">
      <c r="A6159" s="946" t="s">
        <v>28605</v>
      </c>
      <c r="B6159" s="947" t="s">
        <v>14330</v>
      </c>
      <c r="C6159" s="948" t="s">
        <v>14328</v>
      </c>
      <c r="D6159" s="242" t="s">
        <v>28711</v>
      </c>
      <c r="E6159" s="949">
        <v>1701</v>
      </c>
      <c r="F6159" s="949">
        <v>1701</v>
      </c>
      <c r="G6159" s="950" t="s">
        <v>15638</v>
      </c>
      <c r="H6159" s="950" t="s">
        <v>364</v>
      </c>
      <c r="I6159" s="951" t="s">
        <v>14329</v>
      </c>
      <c r="J6159" s="947" t="s">
        <v>14330</v>
      </c>
      <c r="K6159" s="143"/>
    </row>
    <row r="6160" spans="1:11">
      <c r="A6160" s="946" t="s">
        <v>28605</v>
      </c>
      <c r="B6160" s="947" t="s">
        <v>383</v>
      </c>
      <c r="C6160" s="948" t="s">
        <v>381</v>
      </c>
      <c r="D6160" s="242" t="s">
        <v>28711</v>
      </c>
      <c r="E6160" s="949">
        <v>1701</v>
      </c>
      <c r="F6160" s="949">
        <v>1701</v>
      </c>
      <c r="G6160" s="950" t="s">
        <v>11437</v>
      </c>
      <c r="H6160" s="950" t="s">
        <v>235</v>
      </c>
      <c r="I6160" s="951" t="s">
        <v>382</v>
      </c>
      <c r="J6160" s="947" t="s">
        <v>383</v>
      </c>
      <c r="K6160" s="143"/>
    </row>
    <row r="6161" spans="1:11">
      <c r="A6161" s="946" t="s">
        <v>28605</v>
      </c>
      <c r="B6161" s="947" t="s">
        <v>926</v>
      </c>
      <c r="C6161" s="948" t="s">
        <v>924</v>
      </c>
      <c r="D6161" s="242" t="s">
        <v>28711</v>
      </c>
      <c r="E6161" s="949">
        <v>1701</v>
      </c>
      <c r="F6161" s="949">
        <v>1701</v>
      </c>
      <c r="G6161" s="950" t="s">
        <v>11437</v>
      </c>
      <c r="H6161" s="950" t="s">
        <v>235</v>
      </c>
      <c r="I6161" s="951" t="s">
        <v>925</v>
      </c>
      <c r="J6161" s="947" t="s">
        <v>926</v>
      </c>
      <c r="K6161" s="143"/>
    </row>
    <row r="6162" spans="1:11">
      <c r="A6162" s="946" t="s">
        <v>28605</v>
      </c>
      <c r="B6162" s="947" t="s">
        <v>2310</v>
      </c>
      <c r="C6162" s="948" t="s">
        <v>2308</v>
      </c>
      <c r="D6162" s="242" t="s">
        <v>28711</v>
      </c>
      <c r="E6162" s="949">
        <v>1701</v>
      </c>
      <c r="F6162" s="949">
        <v>1701</v>
      </c>
      <c r="G6162" s="950" t="s">
        <v>11437</v>
      </c>
      <c r="H6162" s="950" t="s">
        <v>235</v>
      </c>
      <c r="I6162" s="951" t="s">
        <v>2309</v>
      </c>
      <c r="J6162" s="947" t="s">
        <v>2310</v>
      </c>
      <c r="K6162" s="143"/>
    </row>
    <row r="6163" spans="1:11">
      <c r="A6163" s="946" t="s">
        <v>28605</v>
      </c>
      <c r="B6163" s="947" t="s">
        <v>3450</v>
      </c>
      <c r="C6163" s="948" t="s">
        <v>3448</v>
      </c>
      <c r="D6163" s="242" t="s">
        <v>28711</v>
      </c>
      <c r="E6163" s="949">
        <v>1701</v>
      </c>
      <c r="F6163" s="949">
        <v>1701</v>
      </c>
      <c r="G6163" s="950" t="s">
        <v>11437</v>
      </c>
      <c r="H6163" s="950" t="s">
        <v>235</v>
      </c>
      <c r="I6163" s="951" t="s">
        <v>3449</v>
      </c>
      <c r="J6163" s="947" t="s">
        <v>3450</v>
      </c>
      <c r="K6163" s="143"/>
    </row>
    <row r="6164" spans="1:11">
      <c r="A6164" s="946" t="s">
        <v>28605</v>
      </c>
      <c r="B6164" s="947" t="s">
        <v>6458</v>
      </c>
      <c r="C6164" s="948" t="s">
        <v>6456</v>
      </c>
      <c r="D6164" s="242" t="s">
        <v>28711</v>
      </c>
      <c r="E6164" s="949">
        <v>1701</v>
      </c>
      <c r="F6164" s="949">
        <v>1701</v>
      </c>
      <c r="G6164" s="950" t="s">
        <v>11437</v>
      </c>
      <c r="H6164" s="950" t="s">
        <v>235</v>
      </c>
      <c r="I6164" s="951" t="s">
        <v>6457</v>
      </c>
      <c r="J6164" s="947" t="s">
        <v>6458</v>
      </c>
      <c r="K6164" s="143"/>
    </row>
    <row r="6165" spans="1:11">
      <c r="A6165" s="946" t="s">
        <v>28605</v>
      </c>
      <c r="B6165" s="947" t="s">
        <v>6824</v>
      </c>
      <c r="C6165" s="948" t="s">
        <v>6822</v>
      </c>
      <c r="D6165" s="242" t="s">
        <v>28711</v>
      </c>
      <c r="E6165" s="949">
        <v>1701</v>
      </c>
      <c r="F6165" s="949">
        <v>1701</v>
      </c>
      <c r="G6165" s="950" t="s">
        <v>11437</v>
      </c>
      <c r="H6165" s="950" t="s">
        <v>235</v>
      </c>
      <c r="I6165" s="951" t="s">
        <v>6823</v>
      </c>
      <c r="J6165" s="947" t="s">
        <v>6824</v>
      </c>
      <c r="K6165" s="143"/>
    </row>
    <row r="6166" spans="1:11">
      <c r="A6166" s="946" t="s">
        <v>28605</v>
      </c>
      <c r="B6166" s="947" t="s">
        <v>7315</v>
      </c>
      <c r="C6166" s="948" t="s">
        <v>7313</v>
      </c>
      <c r="D6166" s="242" t="s">
        <v>28711</v>
      </c>
      <c r="E6166" s="949">
        <v>1701</v>
      </c>
      <c r="F6166" s="949">
        <v>1701</v>
      </c>
      <c r="G6166" s="950" t="s">
        <v>11437</v>
      </c>
      <c r="H6166" s="950" t="s">
        <v>235</v>
      </c>
      <c r="I6166" s="951" t="s">
        <v>7314</v>
      </c>
      <c r="J6166" s="947" t="s">
        <v>7315</v>
      </c>
      <c r="K6166" s="143"/>
    </row>
    <row r="6167" spans="1:11">
      <c r="A6167" s="946" t="s">
        <v>28605</v>
      </c>
      <c r="B6167" s="947" t="s">
        <v>8147</v>
      </c>
      <c r="C6167" s="948" t="s">
        <v>8145</v>
      </c>
      <c r="D6167" s="242" t="s">
        <v>28711</v>
      </c>
      <c r="E6167" s="949">
        <v>1701</v>
      </c>
      <c r="F6167" s="949">
        <v>1701</v>
      </c>
      <c r="G6167" s="950" t="s">
        <v>11437</v>
      </c>
      <c r="H6167" s="950" t="s">
        <v>235</v>
      </c>
      <c r="I6167" s="951" t="s">
        <v>8146</v>
      </c>
      <c r="J6167" s="947" t="s">
        <v>8147</v>
      </c>
      <c r="K6167" s="143"/>
    </row>
    <row r="6168" spans="1:11">
      <c r="A6168" s="946" t="s">
        <v>28605</v>
      </c>
      <c r="B6168" s="947" t="s">
        <v>8962</v>
      </c>
      <c r="C6168" s="948" t="s">
        <v>8960</v>
      </c>
      <c r="D6168" s="242" t="s">
        <v>28711</v>
      </c>
      <c r="E6168" s="949">
        <v>1701</v>
      </c>
      <c r="F6168" s="949">
        <v>1701</v>
      </c>
      <c r="G6168" s="950" t="s">
        <v>11437</v>
      </c>
      <c r="H6168" s="950" t="s">
        <v>235</v>
      </c>
      <c r="I6168" s="951" t="s">
        <v>8961</v>
      </c>
      <c r="J6168" s="947" t="s">
        <v>8962</v>
      </c>
      <c r="K6168" s="143"/>
    </row>
    <row r="6169" spans="1:11">
      <c r="A6169" s="946" t="s">
        <v>28605</v>
      </c>
      <c r="B6169" s="947" t="s">
        <v>9370</v>
      </c>
      <c r="C6169" s="948" t="s">
        <v>9368</v>
      </c>
      <c r="D6169" s="242" t="s">
        <v>28711</v>
      </c>
      <c r="E6169" s="949">
        <v>1701</v>
      </c>
      <c r="F6169" s="949">
        <v>1701</v>
      </c>
      <c r="G6169" s="950" t="s">
        <v>11437</v>
      </c>
      <c r="H6169" s="950" t="s">
        <v>235</v>
      </c>
      <c r="I6169" s="951" t="s">
        <v>9369</v>
      </c>
      <c r="J6169" s="947" t="s">
        <v>9370</v>
      </c>
      <c r="K6169" s="143"/>
    </row>
    <row r="6170" spans="1:11">
      <c r="A6170" s="946" t="s">
        <v>28605</v>
      </c>
      <c r="B6170" s="947" t="s">
        <v>9480</v>
      </c>
      <c r="C6170" s="948" t="s">
        <v>9478</v>
      </c>
      <c r="D6170" s="242" t="s">
        <v>28711</v>
      </c>
      <c r="E6170" s="949">
        <v>1701</v>
      </c>
      <c r="F6170" s="949">
        <v>1701</v>
      </c>
      <c r="G6170" s="950" t="s">
        <v>11437</v>
      </c>
      <c r="H6170" s="950" t="s">
        <v>235</v>
      </c>
      <c r="I6170" s="951" t="s">
        <v>9479</v>
      </c>
      <c r="J6170" s="947" t="s">
        <v>9480</v>
      </c>
      <c r="K6170" s="143"/>
    </row>
    <row r="6171" spans="1:11">
      <c r="A6171" s="946" t="s">
        <v>28605</v>
      </c>
      <c r="B6171" s="947" t="s">
        <v>9629</v>
      </c>
      <c r="C6171" s="948" t="s">
        <v>9627</v>
      </c>
      <c r="D6171" s="242" t="s">
        <v>28711</v>
      </c>
      <c r="E6171" s="949">
        <v>1701</v>
      </c>
      <c r="F6171" s="949">
        <v>1701</v>
      </c>
      <c r="G6171" s="950" t="s">
        <v>11437</v>
      </c>
      <c r="H6171" s="950" t="s">
        <v>235</v>
      </c>
      <c r="I6171" s="951" t="s">
        <v>9628</v>
      </c>
      <c r="J6171" s="947" t="s">
        <v>9629</v>
      </c>
      <c r="K6171" s="143"/>
    </row>
    <row r="6172" spans="1:11">
      <c r="A6172" s="946" t="s">
        <v>28605</v>
      </c>
      <c r="B6172" s="947" t="s">
        <v>9841</v>
      </c>
      <c r="C6172" s="948" t="s">
        <v>9839</v>
      </c>
      <c r="D6172" s="242" t="s">
        <v>28711</v>
      </c>
      <c r="E6172" s="949">
        <v>1701</v>
      </c>
      <c r="F6172" s="949">
        <v>1701</v>
      </c>
      <c r="G6172" s="950" t="s">
        <v>11437</v>
      </c>
      <c r="H6172" s="950" t="s">
        <v>235</v>
      </c>
      <c r="I6172" s="951" t="s">
        <v>9840</v>
      </c>
      <c r="J6172" s="947" t="s">
        <v>9841</v>
      </c>
      <c r="K6172" s="143"/>
    </row>
    <row r="6173" spans="1:11">
      <c r="A6173" s="946" t="s">
        <v>28605</v>
      </c>
      <c r="B6173" s="947" t="s">
        <v>11437</v>
      </c>
      <c r="C6173" s="948" t="s">
        <v>11435</v>
      </c>
      <c r="D6173" s="242" t="s">
        <v>28711</v>
      </c>
      <c r="E6173" s="949">
        <v>1701</v>
      </c>
      <c r="F6173" s="949">
        <v>1701</v>
      </c>
      <c r="G6173" s="950" t="s">
        <v>11437</v>
      </c>
      <c r="H6173" s="950" t="s">
        <v>235</v>
      </c>
      <c r="I6173" s="951" t="s">
        <v>11436</v>
      </c>
      <c r="J6173" s="947" t="s">
        <v>11437</v>
      </c>
      <c r="K6173" s="143"/>
    </row>
    <row r="6174" spans="1:11">
      <c r="A6174" s="946" t="s">
        <v>28605</v>
      </c>
      <c r="B6174" s="947" t="s">
        <v>11750</v>
      </c>
      <c r="C6174" s="948" t="s">
        <v>11748</v>
      </c>
      <c r="D6174" s="242" t="s">
        <v>28711</v>
      </c>
      <c r="E6174" s="949">
        <v>1701</v>
      </c>
      <c r="F6174" s="949">
        <v>1701</v>
      </c>
      <c r="G6174" s="950" t="s">
        <v>11437</v>
      </c>
      <c r="H6174" s="950" t="s">
        <v>235</v>
      </c>
      <c r="I6174" s="951" t="s">
        <v>11749</v>
      </c>
      <c r="J6174" s="947" t="s">
        <v>11750</v>
      </c>
      <c r="K6174" s="143"/>
    </row>
    <row r="6175" spans="1:11">
      <c r="A6175" s="946" t="s">
        <v>28605</v>
      </c>
      <c r="B6175" s="947" t="s">
        <v>12189</v>
      </c>
      <c r="C6175" s="948" t="s">
        <v>12187</v>
      </c>
      <c r="D6175" s="242" t="s">
        <v>28711</v>
      </c>
      <c r="E6175" s="949">
        <v>1701</v>
      </c>
      <c r="F6175" s="949">
        <v>1701</v>
      </c>
      <c r="G6175" s="950" t="s">
        <v>11437</v>
      </c>
      <c r="H6175" s="950" t="s">
        <v>235</v>
      </c>
      <c r="I6175" s="951" t="s">
        <v>12188</v>
      </c>
      <c r="J6175" s="947" t="s">
        <v>12189</v>
      </c>
      <c r="K6175" s="143"/>
    </row>
    <row r="6176" spans="1:11">
      <c r="A6176" s="946" t="s">
        <v>28605</v>
      </c>
      <c r="B6176" s="947" t="s">
        <v>12737</v>
      </c>
      <c r="C6176" s="948" t="s">
        <v>12735</v>
      </c>
      <c r="D6176" s="242" t="s">
        <v>28711</v>
      </c>
      <c r="E6176" s="949">
        <v>1701</v>
      </c>
      <c r="F6176" s="949">
        <v>1701</v>
      </c>
      <c r="G6176" s="950" t="s">
        <v>11437</v>
      </c>
      <c r="H6176" s="950" t="s">
        <v>235</v>
      </c>
      <c r="I6176" s="951" t="s">
        <v>12736</v>
      </c>
      <c r="J6176" s="947" t="s">
        <v>12737</v>
      </c>
      <c r="K6176" s="143"/>
    </row>
    <row r="6177" spans="1:11">
      <c r="A6177" s="946" t="s">
        <v>28605</v>
      </c>
      <c r="B6177" s="947" t="s">
        <v>13392</v>
      </c>
      <c r="C6177" s="948" t="s">
        <v>13390</v>
      </c>
      <c r="D6177" s="242" t="s">
        <v>28711</v>
      </c>
      <c r="E6177" s="949">
        <v>1701</v>
      </c>
      <c r="F6177" s="949">
        <v>1701</v>
      </c>
      <c r="G6177" s="950" t="s">
        <v>11437</v>
      </c>
      <c r="H6177" s="950" t="s">
        <v>235</v>
      </c>
      <c r="I6177" s="951" t="s">
        <v>13391</v>
      </c>
      <c r="J6177" s="947" t="s">
        <v>13392</v>
      </c>
      <c r="K6177" s="143"/>
    </row>
    <row r="6178" spans="1:11">
      <c r="A6178" s="946" t="s">
        <v>28605</v>
      </c>
      <c r="B6178" s="947" t="s">
        <v>13595</v>
      </c>
      <c r="C6178" s="948" t="s">
        <v>13593</v>
      </c>
      <c r="D6178" s="242" t="s">
        <v>28711</v>
      </c>
      <c r="E6178" s="949">
        <v>1701</v>
      </c>
      <c r="F6178" s="949">
        <v>1701</v>
      </c>
      <c r="G6178" s="950" t="s">
        <v>11437</v>
      </c>
      <c r="H6178" s="950" t="s">
        <v>235</v>
      </c>
      <c r="I6178" s="951" t="s">
        <v>13594</v>
      </c>
      <c r="J6178" s="947" t="s">
        <v>13595</v>
      </c>
      <c r="K6178" s="143"/>
    </row>
    <row r="6179" spans="1:11">
      <c r="A6179" s="946" t="s">
        <v>28605</v>
      </c>
      <c r="B6179" s="947" t="s">
        <v>15091</v>
      </c>
      <c r="C6179" s="948" t="s">
        <v>15089</v>
      </c>
      <c r="D6179" s="242" t="s">
        <v>28711</v>
      </c>
      <c r="E6179" s="949">
        <v>1701</v>
      </c>
      <c r="F6179" s="949">
        <v>1701</v>
      </c>
      <c r="G6179" s="950" t="s">
        <v>11437</v>
      </c>
      <c r="H6179" s="950" t="s">
        <v>235</v>
      </c>
      <c r="I6179" s="951" t="s">
        <v>15090</v>
      </c>
      <c r="J6179" s="947" t="s">
        <v>15091</v>
      </c>
      <c r="K6179" s="143"/>
    </row>
    <row r="6180" spans="1:11">
      <c r="A6180" s="946" t="s">
        <v>28605</v>
      </c>
      <c r="B6180" s="947" t="s">
        <v>15261</v>
      </c>
      <c r="C6180" s="948" t="s">
        <v>15259</v>
      </c>
      <c r="D6180" s="242" t="s">
        <v>28711</v>
      </c>
      <c r="E6180" s="949">
        <v>1701</v>
      </c>
      <c r="F6180" s="949">
        <v>1701</v>
      </c>
      <c r="G6180" s="950" t="s">
        <v>11437</v>
      </c>
      <c r="H6180" s="950" t="s">
        <v>235</v>
      </c>
      <c r="I6180" s="951" t="s">
        <v>15260</v>
      </c>
      <c r="J6180" s="947" t="s">
        <v>15261</v>
      </c>
      <c r="K6180" s="143"/>
    </row>
    <row r="6181" spans="1:11">
      <c r="A6181" s="946" t="s">
        <v>28605</v>
      </c>
      <c r="B6181" s="947" t="s">
        <v>15321</v>
      </c>
      <c r="C6181" s="948" t="s">
        <v>15319</v>
      </c>
      <c r="D6181" s="242" t="s">
        <v>28711</v>
      </c>
      <c r="E6181" s="949">
        <v>1701</v>
      </c>
      <c r="F6181" s="949">
        <v>1701</v>
      </c>
      <c r="G6181" s="950" t="s">
        <v>11437</v>
      </c>
      <c r="H6181" s="950" t="s">
        <v>235</v>
      </c>
      <c r="I6181" s="951" t="s">
        <v>15320</v>
      </c>
      <c r="J6181" s="947" t="s">
        <v>15321</v>
      </c>
      <c r="K6181" s="143"/>
    </row>
    <row r="6182" spans="1:11">
      <c r="A6182" s="946" t="s">
        <v>28605</v>
      </c>
      <c r="B6182" s="947" t="s">
        <v>17009</v>
      </c>
      <c r="C6182" s="948" t="s">
        <v>17007</v>
      </c>
      <c r="D6182" s="242" t="s">
        <v>28711</v>
      </c>
      <c r="E6182" s="949">
        <v>1701</v>
      </c>
      <c r="F6182" s="949">
        <v>1701</v>
      </c>
      <c r="G6182" s="950" t="s">
        <v>11437</v>
      </c>
      <c r="H6182" s="950" t="s">
        <v>235</v>
      </c>
      <c r="I6182" s="951" t="s">
        <v>17008</v>
      </c>
      <c r="J6182" s="947" t="s">
        <v>17009</v>
      </c>
      <c r="K6182" s="143"/>
    </row>
    <row r="6183" spans="1:11">
      <c r="A6183" s="946" t="s">
        <v>28605</v>
      </c>
      <c r="B6183" s="947" t="s">
        <v>17212</v>
      </c>
      <c r="C6183" s="948" t="s">
        <v>17210</v>
      </c>
      <c r="D6183" s="242" t="s">
        <v>28711</v>
      </c>
      <c r="E6183" s="949">
        <v>1701</v>
      </c>
      <c r="F6183" s="949">
        <v>1701</v>
      </c>
      <c r="G6183" s="950" t="s">
        <v>11437</v>
      </c>
      <c r="H6183" s="950" t="s">
        <v>235</v>
      </c>
      <c r="I6183" s="951" t="s">
        <v>17211</v>
      </c>
      <c r="J6183" s="947" t="s">
        <v>17212</v>
      </c>
      <c r="K6183" s="143"/>
    </row>
    <row r="6184" spans="1:11">
      <c r="A6184" s="946" t="s">
        <v>28605</v>
      </c>
      <c r="B6184" s="947" t="s">
        <v>17675</v>
      </c>
      <c r="C6184" s="948" t="s">
        <v>17673</v>
      </c>
      <c r="D6184" s="242" t="s">
        <v>28711</v>
      </c>
      <c r="E6184" s="949">
        <v>1701</v>
      </c>
      <c r="F6184" s="949">
        <v>1701</v>
      </c>
      <c r="G6184" s="950" t="s">
        <v>11437</v>
      </c>
      <c r="H6184" s="950" t="s">
        <v>235</v>
      </c>
      <c r="I6184" s="951" t="s">
        <v>17674</v>
      </c>
      <c r="J6184" s="947" t="s">
        <v>17675</v>
      </c>
      <c r="K6184" s="143"/>
    </row>
    <row r="6185" spans="1:11">
      <c r="A6185" s="946" t="s">
        <v>28605</v>
      </c>
      <c r="B6185" s="947" t="s">
        <v>17960</v>
      </c>
      <c r="C6185" s="948" t="s">
        <v>17958</v>
      </c>
      <c r="D6185" s="242" t="s">
        <v>28711</v>
      </c>
      <c r="E6185" s="949">
        <v>1701</v>
      </c>
      <c r="F6185" s="949">
        <v>1701</v>
      </c>
      <c r="G6185" s="950" t="s">
        <v>11437</v>
      </c>
      <c r="H6185" s="950" t="s">
        <v>235</v>
      </c>
      <c r="I6185" s="951" t="s">
        <v>17959</v>
      </c>
      <c r="J6185" s="947" t="s">
        <v>17960</v>
      </c>
      <c r="K6185" s="143"/>
    </row>
    <row r="6186" spans="1:11">
      <c r="A6186" s="946" t="s">
        <v>28605</v>
      </c>
      <c r="B6186" s="947" t="s">
        <v>20005</v>
      </c>
      <c r="C6186" s="948" t="s">
        <v>20003</v>
      </c>
      <c r="D6186" s="242" t="s">
        <v>28711</v>
      </c>
      <c r="E6186" s="949">
        <v>1701</v>
      </c>
      <c r="F6186" s="949">
        <v>1701</v>
      </c>
      <c r="G6186" s="950" t="s">
        <v>11437</v>
      </c>
      <c r="H6186" s="950" t="s">
        <v>235</v>
      </c>
      <c r="I6186" s="951" t="s">
        <v>20004</v>
      </c>
      <c r="J6186" s="947" t="s">
        <v>20005</v>
      </c>
      <c r="K6186" s="143"/>
    </row>
    <row r="6187" spans="1:11">
      <c r="A6187" s="946" t="s">
        <v>28605</v>
      </c>
      <c r="B6187" s="947" t="s">
        <v>21016</v>
      </c>
      <c r="C6187" s="948" t="s">
        <v>21014</v>
      </c>
      <c r="D6187" s="242" t="s">
        <v>28711</v>
      </c>
      <c r="E6187" s="949">
        <v>1701</v>
      </c>
      <c r="F6187" s="949">
        <v>1701</v>
      </c>
      <c r="G6187" s="950" t="s">
        <v>11437</v>
      </c>
      <c r="H6187" s="950" t="s">
        <v>235</v>
      </c>
      <c r="I6187" s="951" t="s">
        <v>21015</v>
      </c>
      <c r="J6187" s="947" t="s">
        <v>21016</v>
      </c>
      <c r="K6187" s="143"/>
    </row>
    <row r="6188" spans="1:11">
      <c r="A6188" s="946" t="s">
        <v>28605</v>
      </c>
      <c r="B6188" s="947" t="s">
        <v>21147</v>
      </c>
      <c r="C6188" s="948" t="s">
        <v>21145</v>
      </c>
      <c r="D6188" s="242" t="s">
        <v>28711</v>
      </c>
      <c r="E6188" s="949">
        <v>1701</v>
      </c>
      <c r="F6188" s="949">
        <v>1701</v>
      </c>
      <c r="G6188" s="950" t="s">
        <v>11437</v>
      </c>
      <c r="H6188" s="950" t="s">
        <v>235</v>
      </c>
      <c r="I6188" s="951" t="s">
        <v>21146</v>
      </c>
      <c r="J6188" s="947" t="s">
        <v>21147</v>
      </c>
      <c r="K6188" s="143"/>
    </row>
    <row r="6189" spans="1:11">
      <c r="A6189" s="946" t="s">
        <v>28605</v>
      </c>
      <c r="B6189" s="947" t="s">
        <v>21520</v>
      </c>
      <c r="C6189" s="948" t="s">
        <v>21518</v>
      </c>
      <c r="D6189" s="242" t="s">
        <v>28711</v>
      </c>
      <c r="E6189" s="949">
        <v>1701</v>
      </c>
      <c r="F6189" s="949">
        <v>1701</v>
      </c>
      <c r="G6189" s="950" t="s">
        <v>11437</v>
      </c>
      <c r="H6189" s="950" t="s">
        <v>235</v>
      </c>
      <c r="I6189" s="951" t="s">
        <v>21519</v>
      </c>
      <c r="J6189" s="947" t="s">
        <v>21520</v>
      </c>
      <c r="K6189" s="143"/>
    </row>
    <row r="6190" spans="1:11">
      <c r="A6190" s="946" t="s">
        <v>28605</v>
      </c>
      <c r="B6190" s="947" t="s">
        <v>19045</v>
      </c>
      <c r="C6190" s="948" t="s">
        <v>19043</v>
      </c>
      <c r="D6190" s="242" t="s">
        <v>28711</v>
      </c>
      <c r="E6190" s="949">
        <v>1701</v>
      </c>
      <c r="F6190" s="949">
        <v>1701</v>
      </c>
      <c r="G6190" s="950" t="s">
        <v>11437</v>
      </c>
      <c r="H6190" s="950" t="s">
        <v>235</v>
      </c>
      <c r="I6190" s="951" t="s">
        <v>19044</v>
      </c>
      <c r="J6190" s="947" t="s">
        <v>19045</v>
      </c>
      <c r="K6190" s="143"/>
    </row>
    <row r="6191" spans="1:11">
      <c r="A6191" s="946" t="s">
        <v>28606</v>
      </c>
      <c r="B6191" s="947" t="s">
        <v>438</v>
      </c>
      <c r="C6191" s="948" t="s">
        <v>435</v>
      </c>
      <c r="D6191" s="242" t="s">
        <v>31100</v>
      </c>
      <c r="E6191" s="949">
        <v>1806</v>
      </c>
      <c r="F6191" s="949">
        <v>1806</v>
      </c>
      <c r="G6191" s="950" t="s">
        <v>7221</v>
      </c>
      <c r="H6191" s="950" t="s">
        <v>436</v>
      </c>
      <c r="I6191" s="951" t="s">
        <v>437</v>
      </c>
      <c r="J6191" s="947" t="s">
        <v>438</v>
      </c>
      <c r="K6191" s="143"/>
    </row>
    <row r="6192" spans="1:11">
      <c r="A6192" s="946" t="s">
        <v>28606</v>
      </c>
      <c r="B6192" s="947" t="s">
        <v>465</v>
      </c>
      <c r="C6192" s="948" t="s">
        <v>463</v>
      </c>
      <c r="D6192" s="242" t="s">
        <v>31100</v>
      </c>
      <c r="E6192" s="949">
        <v>1806</v>
      </c>
      <c r="F6192" s="949">
        <v>1806</v>
      </c>
      <c r="G6192" s="950" t="s">
        <v>7221</v>
      </c>
      <c r="H6192" s="950" t="s">
        <v>436</v>
      </c>
      <c r="I6192" s="951" t="s">
        <v>464</v>
      </c>
      <c r="J6192" s="947" t="s">
        <v>465</v>
      </c>
      <c r="K6192" s="143"/>
    </row>
    <row r="6193" spans="1:11">
      <c r="A6193" s="946" t="s">
        <v>28606</v>
      </c>
      <c r="B6193" s="947" t="s">
        <v>519</v>
      </c>
      <c r="C6193" s="948" t="s">
        <v>517</v>
      </c>
      <c r="D6193" s="242" t="s">
        <v>31100</v>
      </c>
      <c r="E6193" s="949">
        <v>1806</v>
      </c>
      <c r="F6193" s="949">
        <v>1806</v>
      </c>
      <c r="G6193" s="950" t="s">
        <v>7221</v>
      </c>
      <c r="H6193" s="950" t="s">
        <v>436</v>
      </c>
      <c r="I6193" s="951" t="s">
        <v>518</v>
      </c>
      <c r="J6193" s="947" t="s">
        <v>519</v>
      </c>
      <c r="K6193" s="143"/>
    </row>
    <row r="6194" spans="1:11">
      <c r="A6194" s="946" t="s">
        <v>28606</v>
      </c>
      <c r="B6194" s="947" t="s">
        <v>680</v>
      </c>
      <c r="C6194" s="948" t="s">
        <v>678</v>
      </c>
      <c r="D6194" s="242" t="s">
        <v>31100</v>
      </c>
      <c r="E6194" s="949">
        <v>1806</v>
      </c>
      <c r="F6194" s="949">
        <v>1806</v>
      </c>
      <c r="G6194" s="950" t="s">
        <v>7221</v>
      </c>
      <c r="H6194" s="950" t="s">
        <v>436</v>
      </c>
      <c r="I6194" s="951" t="s">
        <v>679</v>
      </c>
      <c r="J6194" s="947" t="s">
        <v>680</v>
      </c>
      <c r="K6194" s="143"/>
    </row>
    <row r="6195" spans="1:11">
      <c r="A6195" s="946" t="s">
        <v>28606</v>
      </c>
      <c r="B6195" s="947" t="s">
        <v>691</v>
      </c>
      <c r="C6195" s="948" t="s">
        <v>689</v>
      </c>
      <c r="D6195" s="242" t="s">
        <v>31100</v>
      </c>
      <c r="E6195" s="949">
        <v>1806</v>
      </c>
      <c r="F6195" s="949">
        <v>1806</v>
      </c>
      <c r="G6195" s="950" t="s">
        <v>7221</v>
      </c>
      <c r="H6195" s="950" t="s">
        <v>436</v>
      </c>
      <c r="I6195" s="951" t="s">
        <v>690</v>
      </c>
      <c r="J6195" s="947" t="s">
        <v>691</v>
      </c>
      <c r="K6195" s="143"/>
    </row>
    <row r="6196" spans="1:11">
      <c r="A6196" s="946" t="s">
        <v>28606</v>
      </c>
      <c r="B6196" s="947" t="s">
        <v>828</v>
      </c>
      <c r="C6196" s="948" t="s">
        <v>826</v>
      </c>
      <c r="D6196" s="242" t="s">
        <v>31100</v>
      </c>
      <c r="E6196" s="949">
        <v>1806</v>
      </c>
      <c r="F6196" s="949">
        <v>1806</v>
      </c>
      <c r="G6196" s="950" t="s">
        <v>7221</v>
      </c>
      <c r="H6196" s="950" t="s">
        <v>436</v>
      </c>
      <c r="I6196" s="951" t="s">
        <v>827</v>
      </c>
      <c r="J6196" s="947" t="s">
        <v>828</v>
      </c>
      <c r="K6196" s="143"/>
    </row>
    <row r="6197" spans="1:11">
      <c r="A6197" s="946" t="s">
        <v>28606</v>
      </c>
      <c r="B6197" s="947" t="s">
        <v>882</v>
      </c>
      <c r="C6197" s="948" t="s">
        <v>880</v>
      </c>
      <c r="D6197" s="242" t="s">
        <v>31100</v>
      </c>
      <c r="E6197" s="949">
        <v>1806</v>
      </c>
      <c r="F6197" s="949">
        <v>1806</v>
      </c>
      <c r="G6197" s="950" t="s">
        <v>7221</v>
      </c>
      <c r="H6197" s="950" t="s">
        <v>436</v>
      </c>
      <c r="I6197" s="951" t="s">
        <v>881</v>
      </c>
      <c r="J6197" s="947" t="s">
        <v>882</v>
      </c>
      <c r="K6197" s="143"/>
    </row>
    <row r="6198" spans="1:11">
      <c r="A6198" s="946" t="s">
        <v>28606</v>
      </c>
      <c r="B6198" s="947" t="s">
        <v>1013</v>
      </c>
      <c r="C6198" s="948" t="s">
        <v>1011</v>
      </c>
      <c r="D6198" s="242" t="s">
        <v>31100</v>
      </c>
      <c r="E6198" s="949">
        <v>1806</v>
      </c>
      <c r="F6198" s="949">
        <v>1806</v>
      </c>
      <c r="G6198" s="950" t="s">
        <v>7221</v>
      </c>
      <c r="H6198" s="950" t="s">
        <v>436</v>
      </c>
      <c r="I6198" s="951" t="s">
        <v>1012</v>
      </c>
      <c r="J6198" s="947" t="s">
        <v>1013</v>
      </c>
      <c r="K6198" s="143"/>
    </row>
    <row r="6199" spans="1:11">
      <c r="A6199" s="946" t="s">
        <v>28606</v>
      </c>
      <c r="B6199" s="947" t="s">
        <v>1033</v>
      </c>
      <c r="C6199" s="948" t="s">
        <v>1031</v>
      </c>
      <c r="D6199" s="242" t="s">
        <v>31100</v>
      </c>
      <c r="E6199" s="949">
        <v>1806</v>
      </c>
      <c r="F6199" s="949">
        <v>1806</v>
      </c>
      <c r="G6199" s="950" t="s">
        <v>7221</v>
      </c>
      <c r="H6199" s="950" t="s">
        <v>436</v>
      </c>
      <c r="I6199" s="951" t="s">
        <v>1032</v>
      </c>
      <c r="J6199" s="947" t="s">
        <v>1033</v>
      </c>
      <c r="K6199" s="143"/>
    </row>
    <row r="6200" spans="1:11">
      <c r="A6200" s="946" t="s">
        <v>28606</v>
      </c>
      <c r="B6200" s="947" t="s">
        <v>1063</v>
      </c>
      <c r="C6200" s="948" t="s">
        <v>1061</v>
      </c>
      <c r="D6200" s="242" t="s">
        <v>31100</v>
      </c>
      <c r="E6200" s="949">
        <v>1806</v>
      </c>
      <c r="F6200" s="949">
        <v>1806</v>
      </c>
      <c r="G6200" s="950" t="s">
        <v>7221</v>
      </c>
      <c r="H6200" s="950" t="s">
        <v>436</v>
      </c>
      <c r="I6200" s="951" t="s">
        <v>1062</v>
      </c>
      <c r="J6200" s="947" t="s">
        <v>1063</v>
      </c>
      <c r="K6200" s="143"/>
    </row>
    <row r="6201" spans="1:11">
      <c r="A6201" s="946" t="s">
        <v>28606</v>
      </c>
      <c r="B6201" s="947" t="s">
        <v>1091</v>
      </c>
      <c r="C6201" s="948" t="s">
        <v>1089</v>
      </c>
      <c r="D6201" s="242" t="s">
        <v>31100</v>
      </c>
      <c r="E6201" s="949">
        <v>1806</v>
      </c>
      <c r="F6201" s="949">
        <v>1806</v>
      </c>
      <c r="G6201" s="950" t="s">
        <v>7221</v>
      </c>
      <c r="H6201" s="950" t="s">
        <v>436</v>
      </c>
      <c r="I6201" s="951" t="s">
        <v>1090</v>
      </c>
      <c r="J6201" s="947" t="s">
        <v>1091</v>
      </c>
      <c r="K6201" s="143"/>
    </row>
    <row r="6202" spans="1:11">
      <c r="A6202" s="946" t="s">
        <v>28606</v>
      </c>
      <c r="B6202" s="947" t="s">
        <v>1272</v>
      </c>
      <c r="C6202" s="948" t="s">
        <v>1270</v>
      </c>
      <c r="D6202" s="242" t="s">
        <v>31100</v>
      </c>
      <c r="E6202" s="949">
        <v>1806</v>
      </c>
      <c r="F6202" s="949">
        <v>1806</v>
      </c>
      <c r="G6202" s="950" t="s">
        <v>7221</v>
      </c>
      <c r="H6202" s="950" t="s">
        <v>436</v>
      </c>
      <c r="I6202" s="951" t="s">
        <v>1271</v>
      </c>
      <c r="J6202" s="947" t="s">
        <v>1272</v>
      </c>
      <c r="K6202" s="143"/>
    </row>
    <row r="6203" spans="1:11">
      <c r="A6203" s="946" t="s">
        <v>28606</v>
      </c>
      <c r="B6203" s="947" t="s">
        <v>2210</v>
      </c>
      <c r="C6203" s="948" t="s">
        <v>2208</v>
      </c>
      <c r="D6203" s="242" t="s">
        <v>31100</v>
      </c>
      <c r="E6203" s="949">
        <v>1806</v>
      </c>
      <c r="F6203" s="949">
        <v>1806</v>
      </c>
      <c r="G6203" s="950" t="s">
        <v>7221</v>
      </c>
      <c r="H6203" s="950" t="s">
        <v>436</v>
      </c>
      <c r="I6203" s="951" t="s">
        <v>2209</v>
      </c>
      <c r="J6203" s="947" t="s">
        <v>2210</v>
      </c>
      <c r="K6203" s="143"/>
    </row>
    <row r="6204" spans="1:11">
      <c r="A6204" s="946" t="s">
        <v>28606</v>
      </c>
      <c r="B6204" s="947" t="s">
        <v>2230</v>
      </c>
      <c r="C6204" s="948" t="s">
        <v>2228</v>
      </c>
      <c r="D6204" s="242" t="s">
        <v>31100</v>
      </c>
      <c r="E6204" s="949">
        <v>1806</v>
      </c>
      <c r="F6204" s="949">
        <v>1806</v>
      </c>
      <c r="G6204" s="950" t="s">
        <v>7221</v>
      </c>
      <c r="H6204" s="950" t="s">
        <v>436</v>
      </c>
      <c r="I6204" s="951" t="s">
        <v>2229</v>
      </c>
      <c r="J6204" s="947" t="s">
        <v>2230</v>
      </c>
      <c r="K6204" s="143"/>
    </row>
    <row r="6205" spans="1:11">
      <c r="A6205" s="946" t="s">
        <v>28606</v>
      </c>
      <c r="B6205" s="947" t="s">
        <v>2239</v>
      </c>
      <c r="C6205" s="948" t="s">
        <v>2237</v>
      </c>
      <c r="D6205" s="242" t="s">
        <v>31100</v>
      </c>
      <c r="E6205" s="949">
        <v>1806</v>
      </c>
      <c r="F6205" s="949">
        <v>1806</v>
      </c>
      <c r="G6205" s="950" t="s">
        <v>7221</v>
      </c>
      <c r="H6205" s="950" t="s">
        <v>436</v>
      </c>
      <c r="I6205" s="951" t="s">
        <v>2238</v>
      </c>
      <c r="J6205" s="947" t="s">
        <v>2239</v>
      </c>
      <c r="K6205" s="143"/>
    </row>
    <row r="6206" spans="1:11">
      <c r="A6206" s="946" t="s">
        <v>28606</v>
      </c>
      <c r="B6206" s="947" t="s">
        <v>2387</v>
      </c>
      <c r="C6206" s="948" t="s">
        <v>2385</v>
      </c>
      <c r="D6206" s="242" t="s">
        <v>31100</v>
      </c>
      <c r="E6206" s="949">
        <v>1806</v>
      </c>
      <c r="F6206" s="949">
        <v>1806</v>
      </c>
      <c r="G6206" s="950" t="s">
        <v>7221</v>
      </c>
      <c r="H6206" s="950" t="s">
        <v>436</v>
      </c>
      <c r="I6206" s="951" t="s">
        <v>2386</v>
      </c>
      <c r="J6206" s="947" t="s">
        <v>2387</v>
      </c>
      <c r="K6206" s="143"/>
    </row>
    <row r="6207" spans="1:11">
      <c r="A6207" s="946" t="s">
        <v>28606</v>
      </c>
      <c r="B6207" s="947" t="s">
        <v>2478</v>
      </c>
      <c r="C6207" s="948" t="s">
        <v>2476</v>
      </c>
      <c r="D6207" s="242" t="s">
        <v>31100</v>
      </c>
      <c r="E6207" s="949">
        <v>1806</v>
      </c>
      <c r="F6207" s="949">
        <v>1806</v>
      </c>
      <c r="G6207" s="950" t="s">
        <v>7221</v>
      </c>
      <c r="H6207" s="950" t="s">
        <v>436</v>
      </c>
      <c r="I6207" s="951" t="s">
        <v>2477</v>
      </c>
      <c r="J6207" s="947" t="s">
        <v>2478</v>
      </c>
      <c r="K6207" s="143"/>
    </row>
    <row r="6208" spans="1:11">
      <c r="A6208" s="946" t="s">
        <v>28606</v>
      </c>
      <c r="B6208" s="947" t="s">
        <v>2537</v>
      </c>
      <c r="C6208" s="948" t="s">
        <v>2535</v>
      </c>
      <c r="D6208" s="242" t="s">
        <v>31100</v>
      </c>
      <c r="E6208" s="949">
        <v>1806</v>
      </c>
      <c r="F6208" s="949">
        <v>1806</v>
      </c>
      <c r="G6208" s="950" t="s">
        <v>7221</v>
      </c>
      <c r="H6208" s="950" t="s">
        <v>436</v>
      </c>
      <c r="I6208" s="951" t="s">
        <v>2536</v>
      </c>
      <c r="J6208" s="947" t="s">
        <v>2537</v>
      </c>
      <c r="K6208" s="143"/>
    </row>
    <row r="6209" spans="1:11">
      <c r="A6209" s="946" t="s">
        <v>28606</v>
      </c>
      <c r="B6209" s="947" t="s">
        <v>2652</v>
      </c>
      <c r="C6209" s="948" t="s">
        <v>2650</v>
      </c>
      <c r="D6209" s="242" t="s">
        <v>31100</v>
      </c>
      <c r="E6209" s="949">
        <v>1806</v>
      </c>
      <c r="F6209" s="949">
        <v>1806</v>
      </c>
      <c r="G6209" s="950" t="s">
        <v>7221</v>
      </c>
      <c r="H6209" s="950" t="s">
        <v>436</v>
      </c>
      <c r="I6209" s="951" t="s">
        <v>2651</v>
      </c>
      <c r="J6209" s="947" t="s">
        <v>2652</v>
      </c>
      <c r="K6209" s="143"/>
    </row>
    <row r="6210" spans="1:11">
      <c r="A6210" s="946" t="s">
        <v>28606</v>
      </c>
      <c r="B6210" s="947" t="s">
        <v>3249</v>
      </c>
      <c r="C6210" s="948" t="s">
        <v>3247</v>
      </c>
      <c r="D6210" s="242" t="s">
        <v>31100</v>
      </c>
      <c r="E6210" s="949">
        <v>1806</v>
      </c>
      <c r="F6210" s="949">
        <v>1806</v>
      </c>
      <c r="G6210" s="950" t="s">
        <v>7221</v>
      </c>
      <c r="H6210" s="950" t="s">
        <v>436</v>
      </c>
      <c r="I6210" s="951" t="s">
        <v>3248</v>
      </c>
      <c r="J6210" s="947" t="s">
        <v>3249</v>
      </c>
      <c r="K6210" s="143"/>
    </row>
    <row r="6211" spans="1:11">
      <c r="A6211" s="946" t="s">
        <v>28606</v>
      </c>
      <c r="B6211" s="947" t="s">
        <v>3519</v>
      </c>
      <c r="C6211" s="948" t="s">
        <v>3517</v>
      </c>
      <c r="D6211" s="242" t="s">
        <v>31100</v>
      </c>
      <c r="E6211" s="949">
        <v>1806</v>
      </c>
      <c r="F6211" s="949">
        <v>1806</v>
      </c>
      <c r="G6211" s="950" t="s">
        <v>7221</v>
      </c>
      <c r="H6211" s="950" t="s">
        <v>436</v>
      </c>
      <c r="I6211" s="951" t="s">
        <v>3518</v>
      </c>
      <c r="J6211" s="947" t="s">
        <v>3519</v>
      </c>
      <c r="K6211" s="143"/>
    </row>
    <row r="6212" spans="1:11">
      <c r="A6212" s="946" t="s">
        <v>28606</v>
      </c>
      <c r="B6212" s="947" t="s">
        <v>3525</v>
      </c>
      <c r="C6212" s="948" t="s">
        <v>3523</v>
      </c>
      <c r="D6212" s="242" t="s">
        <v>31100</v>
      </c>
      <c r="E6212" s="949">
        <v>1806</v>
      </c>
      <c r="F6212" s="949">
        <v>1806</v>
      </c>
      <c r="G6212" s="950" t="s">
        <v>7221</v>
      </c>
      <c r="H6212" s="950" t="s">
        <v>436</v>
      </c>
      <c r="I6212" s="951" t="s">
        <v>3524</v>
      </c>
      <c r="J6212" s="947" t="s">
        <v>3525</v>
      </c>
      <c r="K6212" s="143"/>
    </row>
    <row r="6213" spans="1:11">
      <c r="A6213" s="946" t="s">
        <v>28606</v>
      </c>
      <c r="B6213" s="947" t="s">
        <v>3689</v>
      </c>
      <c r="C6213" s="948" t="s">
        <v>3687</v>
      </c>
      <c r="D6213" s="242" t="s">
        <v>31100</v>
      </c>
      <c r="E6213" s="949">
        <v>1806</v>
      </c>
      <c r="F6213" s="949">
        <v>1806</v>
      </c>
      <c r="G6213" s="950" t="s">
        <v>7221</v>
      </c>
      <c r="H6213" s="950" t="s">
        <v>436</v>
      </c>
      <c r="I6213" s="951" t="s">
        <v>3688</v>
      </c>
      <c r="J6213" s="947" t="s">
        <v>3689</v>
      </c>
      <c r="K6213" s="143"/>
    </row>
    <row r="6214" spans="1:11">
      <c r="A6214" s="946" t="s">
        <v>28606</v>
      </c>
      <c r="B6214" s="947" t="s">
        <v>3936</v>
      </c>
      <c r="C6214" s="948" t="s">
        <v>3934</v>
      </c>
      <c r="D6214" s="242" t="s">
        <v>31100</v>
      </c>
      <c r="E6214" s="949">
        <v>1806</v>
      </c>
      <c r="F6214" s="949">
        <v>1806</v>
      </c>
      <c r="G6214" s="950" t="s">
        <v>7221</v>
      </c>
      <c r="H6214" s="950" t="s">
        <v>436</v>
      </c>
      <c r="I6214" s="951" t="s">
        <v>3935</v>
      </c>
      <c r="J6214" s="947" t="s">
        <v>3936</v>
      </c>
      <c r="K6214" s="143"/>
    </row>
    <row r="6215" spans="1:11">
      <c r="A6215" s="946" t="s">
        <v>28606</v>
      </c>
      <c r="B6215" s="947" t="s">
        <v>4310</v>
      </c>
      <c r="C6215" s="948" t="s">
        <v>4308</v>
      </c>
      <c r="D6215" s="242" t="s">
        <v>31100</v>
      </c>
      <c r="E6215" s="949">
        <v>1806</v>
      </c>
      <c r="F6215" s="949">
        <v>1806</v>
      </c>
      <c r="G6215" s="950" t="s">
        <v>7221</v>
      </c>
      <c r="H6215" s="950" t="s">
        <v>436</v>
      </c>
      <c r="I6215" s="951" t="s">
        <v>4309</v>
      </c>
      <c r="J6215" s="947" t="s">
        <v>4310</v>
      </c>
      <c r="K6215" s="143"/>
    </row>
    <row r="6216" spans="1:11">
      <c r="A6216" s="946" t="s">
        <v>28606</v>
      </c>
      <c r="B6216" s="947" t="s">
        <v>4372</v>
      </c>
      <c r="C6216" s="948" t="s">
        <v>4370</v>
      </c>
      <c r="D6216" s="242" t="s">
        <v>31100</v>
      </c>
      <c r="E6216" s="949">
        <v>1806</v>
      </c>
      <c r="F6216" s="949">
        <v>1806</v>
      </c>
      <c r="G6216" s="950" t="s">
        <v>7221</v>
      </c>
      <c r="H6216" s="950" t="s">
        <v>436</v>
      </c>
      <c r="I6216" s="951" t="s">
        <v>4371</v>
      </c>
      <c r="J6216" s="947" t="s">
        <v>4372</v>
      </c>
      <c r="K6216" s="143"/>
    </row>
    <row r="6217" spans="1:11">
      <c r="A6217" s="946" t="s">
        <v>28606</v>
      </c>
      <c r="B6217" s="947" t="s">
        <v>4399</v>
      </c>
      <c r="C6217" s="948" t="s">
        <v>4397</v>
      </c>
      <c r="D6217" s="242" t="s">
        <v>31100</v>
      </c>
      <c r="E6217" s="949">
        <v>1806</v>
      </c>
      <c r="F6217" s="949">
        <v>1806</v>
      </c>
      <c r="G6217" s="950" t="s">
        <v>7221</v>
      </c>
      <c r="H6217" s="950" t="s">
        <v>436</v>
      </c>
      <c r="I6217" s="951" t="s">
        <v>4398</v>
      </c>
      <c r="J6217" s="947" t="s">
        <v>4399</v>
      </c>
      <c r="K6217" s="143"/>
    </row>
    <row r="6218" spans="1:11">
      <c r="A6218" s="946" t="s">
        <v>28606</v>
      </c>
      <c r="B6218" s="947" t="s">
        <v>4821</v>
      </c>
      <c r="C6218" s="948" t="s">
        <v>4819</v>
      </c>
      <c r="D6218" s="242" t="s">
        <v>31100</v>
      </c>
      <c r="E6218" s="949">
        <v>1806</v>
      </c>
      <c r="F6218" s="949">
        <v>1806</v>
      </c>
      <c r="G6218" s="950" t="s">
        <v>7221</v>
      </c>
      <c r="H6218" s="950" t="s">
        <v>436</v>
      </c>
      <c r="I6218" s="951" t="s">
        <v>4820</v>
      </c>
      <c r="J6218" s="947" t="s">
        <v>4821</v>
      </c>
      <c r="K6218" s="143"/>
    </row>
    <row r="6219" spans="1:11">
      <c r="A6219" s="946" t="s">
        <v>28606</v>
      </c>
      <c r="B6219" s="947" t="s">
        <v>5488</v>
      </c>
      <c r="C6219" s="948" t="s">
        <v>5486</v>
      </c>
      <c r="D6219" s="242" t="s">
        <v>31100</v>
      </c>
      <c r="E6219" s="949">
        <v>1806</v>
      </c>
      <c r="F6219" s="949">
        <v>1806</v>
      </c>
      <c r="G6219" s="950" t="s">
        <v>7221</v>
      </c>
      <c r="H6219" s="950" t="s">
        <v>436</v>
      </c>
      <c r="I6219" s="951" t="s">
        <v>5487</v>
      </c>
      <c r="J6219" s="947" t="s">
        <v>5488</v>
      </c>
      <c r="K6219" s="143"/>
    </row>
    <row r="6220" spans="1:11">
      <c r="A6220" s="946" t="s">
        <v>28606</v>
      </c>
      <c r="B6220" s="947" t="s">
        <v>5593</v>
      </c>
      <c r="C6220" s="948" t="s">
        <v>5591</v>
      </c>
      <c r="D6220" s="242" t="s">
        <v>31100</v>
      </c>
      <c r="E6220" s="949">
        <v>1806</v>
      </c>
      <c r="F6220" s="949">
        <v>1806</v>
      </c>
      <c r="G6220" s="950" t="s">
        <v>7221</v>
      </c>
      <c r="H6220" s="950" t="s">
        <v>436</v>
      </c>
      <c r="I6220" s="951" t="s">
        <v>5592</v>
      </c>
      <c r="J6220" s="947" t="s">
        <v>5593</v>
      </c>
      <c r="K6220" s="143"/>
    </row>
    <row r="6221" spans="1:11">
      <c r="A6221" s="946" t="s">
        <v>28606</v>
      </c>
      <c r="B6221" s="947" t="s">
        <v>5611</v>
      </c>
      <c r="C6221" s="948" t="s">
        <v>5609</v>
      </c>
      <c r="D6221" s="242" t="s">
        <v>31100</v>
      </c>
      <c r="E6221" s="949">
        <v>1806</v>
      </c>
      <c r="F6221" s="949">
        <v>1806</v>
      </c>
      <c r="G6221" s="950" t="s">
        <v>7221</v>
      </c>
      <c r="H6221" s="950" t="s">
        <v>436</v>
      </c>
      <c r="I6221" s="951" t="s">
        <v>5610</v>
      </c>
      <c r="J6221" s="947" t="s">
        <v>5611</v>
      </c>
      <c r="K6221" s="143"/>
    </row>
    <row r="6222" spans="1:11">
      <c r="A6222" s="946" t="s">
        <v>28606</v>
      </c>
      <c r="B6222" s="947" t="s">
        <v>5614</v>
      </c>
      <c r="C6222" s="948" t="s">
        <v>5612</v>
      </c>
      <c r="D6222" s="242" t="s">
        <v>31100</v>
      </c>
      <c r="E6222" s="949">
        <v>1806</v>
      </c>
      <c r="F6222" s="949">
        <v>1806</v>
      </c>
      <c r="G6222" s="950" t="s">
        <v>7221</v>
      </c>
      <c r="H6222" s="950" t="s">
        <v>436</v>
      </c>
      <c r="I6222" s="951" t="s">
        <v>5613</v>
      </c>
      <c r="J6222" s="947" t="s">
        <v>5614</v>
      </c>
      <c r="K6222" s="143"/>
    </row>
    <row r="6223" spans="1:11">
      <c r="A6223" s="946" t="s">
        <v>28606</v>
      </c>
      <c r="B6223" s="947" t="s">
        <v>5787</v>
      </c>
      <c r="C6223" s="948" t="s">
        <v>5785</v>
      </c>
      <c r="D6223" s="242" t="s">
        <v>31100</v>
      </c>
      <c r="E6223" s="949">
        <v>1806</v>
      </c>
      <c r="F6223" s="949">
        <v>1806</v>
      </c>
      <c r="G6223" s="950" t="s">
        <v>7221</v>
      </c>
      <c r="H6223" s="950" t="s">
        <v>436</v>
      </c>
      <c r="I6223" s="951" t="s">
        <v>5786</v>
      </c>
      <c r="J6223" s="947" t="s">
        <v>5787</v>
      </c>
      <c r="K6223" s="143"/>
    </row>
    <row r="6224" spans="1:11">
      <c r="A6224" s="946" t="s">
        <v>28606</v>
      </c>
      <c r="B6224" s="947" t="s">
        <v>5799</v>
      </c>
      <c r="C6224" s="948" t="s">
        <v>5797</v>
      </c>
      <c r="D6224" s="242" t="s">
        <v>31100</v>
      </c>
      <c r="E6224" s="949">
        <v>1806</v>
      </c>
      <c r="F6224" s="949">
        <v>1806</v>
      </c>
      <c r="G6224" s="950" t="s">
        <v>7221</v>
      </c>
      <c r="H6224" s="950" t="s">
        <v>436</v>
      </c>
      <c r="I6224" s="951" t="s">
        <v>5798</v>
      </c>
      <c r="J6224" s="947" t="s">
        <v>5799</v>
      </c>
      <c r="K6224" s="143"/>
    </row>
    <row r="6225" spans="1:11">
      <c r="A6225" s="946" t="s">
        <v>28606</v>
      </c>
      <c r="B6225" s="947" t="s">
        <v>5912</v>
      </c>
      <c r="C6225" s="948" t="s">
        <v>5910</v>
      </c>
      <c r="D6225" s="242" t="s">
        <v>31100</v>
      </c>
      <c r="E6225" s="949">
        <v>1806</v>
      </c>
      <c r="F6225" s="949">
        <v>1806</v>
      </c>
      <c r="G6225" s="950" t="s">
        <v>7221</v>
      </c>
      <c r="H6225" s="950" t="s">
        <v>436</v>
      </c>
      <c r="I6225" s="951" t="s">
        <v>5911</v>
      </c>
      <c r="J6225" s="947" t="s">
        <v>5912</v>
      </c>
      <c r="K6225" s="143"/>
    </row>
    <row r="6226" spans="1:11">
      <c r="A6226" s="946" t="s">
        <v>28606</v>
      </c>
      <c r="B6226" s="947" t="s">
        <v>5976</v>
      </c>
      <c r="C6226" s="948" t="s">
        <v>5974</v>
      </c>
      <c r="D6226" s="242" t="s">
        <v>31100</v>
      </c>
      <c r="E6226" s="949">
        <v>1806</v>
      </c>
      <c r="F6226" s="949">
        <v>1806</v>
      </c>
      <c r="G6226" s="950" t="s">
        <v>7221</v>
      </c>
      <c r="H6226" s="950" t="s">
        <v>436</v>
      </c>
      <c r="I6226" s="951" t="s">
        <v>5975</v>
      </c>
      <c r="J6226" s="947" t="s">
        <v>5976</v>
      </c>
      <c r="K6226" s="143"/>
    </row>
    <row r="6227" spans="1:11">
      <c r="A6227" s="946" t="s">
        <v>28606</v>
      </c>
      <c r="B6227" s="947" t="s">
        <v>6082</v>
      </c>
      <c r="C6227" s="948" t="s">
        <v>6080</v>
      </c>
      <c r="D6227" s="242" t="s">
        <v>31100</v>
      </c>
      <c r="E6227" s="949">
        <v>1806</v>
      </c>
      <c r="F6227" s="949">
        <v>1806</v>
      </c>
      <c r="G6227" s="950" t="s">
        <v>7221</v>
      </c>
      <c r="H6227" s="950" t="s">
        <v>436</v>
      </c>
      <c r="I6227" s="951" t="s">
        <v>6081</v>
      </c>
      <c r="J6227" s="947" t="s">
        <v>6082</v>
      </c>
      <c r="K6227" s="143"/>
    </row>
    <row r="6228" spans="1:11">
      <c r="A6228" s="946" t="s">
        <v>28606</v>
      </c>
      <c r="B6228" s="947" t="s">
        <v>6100</v>
      </c>
      <c r="C6228" s="948" t="s">
        <v>6098</v>
      </c>
      <c r="D6228" s="242" t="s">
        <v>31100</v>
      </c>
      <c r="E6228" s="949">
        <v>1806</v>
      </c>
      <c r="F6228" s="949">
        <v>1806</v>
      </c>
      <c r="G6228" s="950" t="s">
        <v>7221</v>
      </c>
      <c r="H6228" s="950" t="s">
        <v>436</v>
      </c>
      <c r="I6228" s="951" t="s">
        <v>6099</v>
      </c>
      <c r="J6228" s="947" t="s">
        <v>6100</v>
      </c>
      <c r="K6228" s="143"/>
    </row>
    <row r="6229" spans="1:11">
      <c r="A6229" s="946" t="s">
        <v>28606</v>
      </c>
      <c r="B6229" s="947" t="s">
        <v>6160</v>
      </c>
      <c r="C6229" s="948" t="s">
        <v>6158</v>
      </c>
      <c r="D6229" s="242" t="s">
        <v>31100</v>
      </c>
      <c r="E6229" s="949">
        <v>1806</v>
      </c>
      <c r="F6229" s="949">
        <v>1806</v>
      </c>
      <c r="G6229" s="950" t="s">
        <v>7221</v>
      </c>
      <c r="H6229" s="950" t="s">
        <v>436</v>
      </c>
      <c r="I6229" s="951" t="s">
        <v>6159</v>
      </c>
      <c r="J6229" s="947" t="s">
        <v>6160</v>
      </c>
      <c r="K6229" s="143"/>
    </row>
    <row r="6230" spans="1:11">
      <c r="A6230" s="946" t="s">
        <v>28606</v>
      </c>
      <c r="B6230" s="947" t="s">
        <v>6549</v>
      </c>
      <c r="C6230" s="948" t="s">
        <v>6547</v>
      </c>
      <c r="D6230" s="242" t="s">
        <v>31100</v>
      </c>
      <c r="E6230" s="949">
        <v>1806</v>
      </c>
      <c r="F6230" s="949">
        <v>1806</v>
      </c>
      <c r="G6230" s="950" t="s">
        <v>7221</v>
      </c>
      <c r="H6230" s="950" t="s">
        <v>436</v>
      </c>
      <c r="I6230" s="951" t="s">
        <v>6548</v>
      </c>
      <c r="J6230" s="947" t="s">
        <v>6549</v>
      </c>
      <c r="K6230" s="143"/>
    </row>
    <row r="6231" spans="1:11">
      <c r="A6231" s="946" t="s">
        <v>28606</v>
      </c>
      <c r="B6231" s="947" t="s">
        <v>6627</v>
      </c>
      <c r="C6231" s="948" t="s">
        <v>6625</v>
      </c>
      <c r="D6231" s="242" t="s">
        <v>31100</v>
      </c>
      <c r="E6231" s="949">
        <v>1806</v>
      </c>
      <c r="F6231" s="949">
        <v>1806</v>
      </c>
      <c r="G6231" s="950" t="s">
        <v>7221</v>
      </c>
      <c r="H6231" s="950" t="s">
        <v>436</v>
      </c>
      <c r="I6231" s="951" t="s">
        <v>6626</v>
      </c>
      <c r="J6231" s="947" t="s">
        <v>6627</v>
      </c>
      <c r="K6231" s="143"/>
    </row>
    <row r="6232" spans="1:11">
      <c r="A6232" s="946" t="s">
        <v>28606</v>
      </c>
      <c r="B6232" s="947" t="s">
        <v>6857</v>
      </c>
      <c r="C6232" s="948" t="s">
        <v>6855</v>
      </c>
      <c r="D6232" s="242" t="s">
        <v>31100</v>
      </c>
      <c r="E6232" s="949">
        <v>1806</v>
      </c>
      <c r="F6232" s="949">
        <v>1806</v>
      </c>
      <c r="G6232" s="950" t="s">
        <v>7221</v>
      </c>
      <c r="H6232" s="950" t="s">
        <v>436</v>
      </c>
      <c r="I6232" s="951" t="s">
        <v>6856</v>
      </c>
      <c r="J6232" s="947" t="s">
        <v>6857</v>
      </c>
      <c r="K6232" s="143"/>
    </row>
    <row r="6233" spans="1:11">
      <c r="A6233" s="946" t="s">
        <v>28606</v>
      </c>
      <c r="B6233" s="947" t="s">
        <v>7221</v>
      </c>
      <c r="C6233" s="948" t="s">
        <v>7219</v>
      </c>
      <c r="D6233" s="242" t="s">
        <v>31100</v>
      </c>
      <c r="E6233" s="949">
        <v>1806</v>
      </c>
      <c r="F6233" s="949">
        <v>1806</v>
      </c>
      <c r="G6233" s="950" t="s">
        <v>7221</v>
      </c>
      <c r="H6233" s="950" t="s">
        <v>436</v>
      </c>
      <c r="I6233" s="951" t="s">
        <v>7220</v>
      </c>
      <c r="J6233" s="947" t="s">
        <v>7221</v>
      </c>
      <c r="K6233" s="143"/>
    </row>
    <row r="6234" spans="1:11">
      <c r="A6234" s="946" t="s">
        <v>28606</v>
      </c>
      <c r="B6234" s="947" t="s">
        <v>7408</v>
      </c>
      <c r="C6234" s="948" t="s">
        <v>7406</v>
      </c>
      <c r="D6234" s="242" t="s">
        <v>31100</v>
      </c>
      <c r="E6234" s="949">
        <v>1806</v>
      </c>
      <c r="F6234" s="949">
        <v>1806</v>
      </c>
      <c r="G6234" s="950" t="s">
        <v>7221</v>
      </c>
      <c r="H6234" s="950" t="s">
        <v>436</v>
      </c>
      <c r="I6234" s="951" t="s">
        <v>7407</v>
      </c>
      <c r="J6234" s="947" t="s">
        <v>7408</v>
      </c>
      <c r="K6234" s="143"/>
    </row>
    <row r="6235" spans="1:11">
      <c r="A6235" s="946" t="s">
        <v>28606</v>
      </c>
      <c r="B6235" s="947" t="s">
        <v>7414</v>
      </c>
      <c r="C6235" s="948" t="s">
        <v>7412</v>
      </c>
      <c r="D6235" s="242" t="s">
        <v>31100</v>
      </c>
      <c r="E6235" s="949">
        <v>1806</v>
      </c>
      <c r="F6235" s="949">
        <v>1806</v>
      </c>
      <c r="G6235" s="950" t="s">
        <v>7221</v>
      </c>
      <c r="H6235" s="950" t="s">
        <v>436</v>
      </c>
      <c r="I6235" s="951" t="s">
        <v>7413</v>
      </c>
      <c r="J6235" s="947" t="s">
        <v>7414</v>
      </c>
      <c r="K6235" s="143"/>
    </row>
    <row r="6236" spans="1:11">
      <c r="A6236" s="946" t="s">
        <v>28606</v>
      </c>
      <c r="B6236" s="947" t="s">
        <v>7632</v>
      </c>
      <c r="C6236" s="948" t="s">
        <v>7630</v>
      </c>
      <c r="D6236" s="242" t="s">
        <v>31100</v>
      </c>
      <c r="E6236" s="949">
        <v>1806</v>
      </c>
      <c r="F6236" s="949">
        <v>1806</v>
      </c>
      <c r="G6236" s="950" t="s">
        <v>7221</v>
      </c>
      <c r="H6236" s="950" t="s">
        <v>436</v>
      </c>
      <c r="I6236" s="951" t="s">
        <v>7631</v>
      </c>
      <c r="J6236" s="947" t="s">
        <v>7632</v>
      </c>
      <c r="K6236" s="143"/>
    </row>
    <row r="6237" spans="1:11">
      <c r="A6237" s="946" t="s">
        <v>28606</v>
      </c>
      <c r="B6237" s="947" t="s">
        <v>7658</v>
      </c>
      <c r="C6237" s="948" t="s">
        <v>7656</v>
      </c>
      <c r="D6237" s="242" t="s">
        <v>31100</v>
      </c>
      <c r="E6237" s="949">
        <v>1806</v>
      </c>
      <c r="F6237" s="949">
        <v>1806</v>
      </c>
      <c r="G6237" s="950" t="s">
        <v>7221</v>
      </c>
      <c r="H6237" s="950" t="s">
        <v>436</v>
      </c>
      <c r="I6237" s="951" t="s">
        <v>7657</v>
      </c>
      <c r="J6237" s="947" t="s">
        <v>7658</v>
      </c>
      <c r="K6237" s="143"/>
    </row>
    <row r="6238" spans="1:11">
      <c r="A6238" s="946" t="s">
        <v>28606</v>
      </c>
      <c r="B6238" s="947" t="s">
        <v>7702</v>
      </c>
      <c r="C6238" s="948" t="s">
        <v>7700</v>
      </c>
      <c r="D6238" s="242" t="s">
        <v>31100</v>
      </c>
      <c r="E6238" s="949">
        <v>1806</v>
      </c>
      <c r="F6238" s="949">
        <v>1806</v>
      </c>
      <c r="G6238" s="950" t="s">
        <v>7221</v>
      </c>
      <c r="H6238" s="950" t="s">
        <v>436</v>
      </c>
      <c r="I6238" s="951" t="s">
        <v>7701</v>
      </c>
      <c r="J6238" s="947" t="s">
        <v>7702</v>
      </c>
      <c r="K6238" s="143"/>
    </row>
    <row r="6239" spans="1:11">
      <c r="A6239" s="946" t="s">
        <v>28606</v>
      </c>
      <c r="B6239" s="947" t="s">
        <v>7974</v>
      </c>
      <c r="C6239" s="948" t="s">
        <v>7972</v>
      </c>
      <c r="D6239" s="242" t="s">
        <v>31100</v>
      </c>
      <c r="E6239" s="949">
        <v>1806</v>
      </c>
      <c r="F6239" s="949">
        <v>1806</v>
      </c>
      <c r="G6239" s="950" t="s">
        <v>7221</v>
      </c>
      <c r="H6239" s="950" t="s">
        <v>436</v>
      </c>
      <c r="I6239" s="951" t="s">
        <v>7973</v>
      </c>
      <c r="J6239" s="947" t="s">
        <v>7974</v>
      </c>
      <c r="K6239" s="143"/>
    </row>
    <row r="6240" spans="1:11">
      <c r="A6240" s="946" t="s">
        <v>28606</v>
      </c>
      <c r="B6240" s="947" t="s">
        <v>7992</v>
      </c>
      <c r="C6240" s="948" t="s">
        <v>7990</v>
      </c>
      <c r="D6240" s="242" t="s">
        <v>31100</v>
      </c>
      <c r="E6240" s="949">
        <v>1806</v>
      </c>
      <c r="F6240" s="949">
        <v>1806</v>
      </c>
      <c r="G6240" s="950" t="s">
        <v>7221</v>
      </c>
      <c r="H6240" s="950" t="s">
        <v>436</v>
      </c>
      <c r="I6240" s="951" t="s">
        <v>7991</v>
      </c>
      <c r="J6240" s="947" t="s">
        <v>7992</v>
      </c>
      <c r="K6240" s="143"/>
    </row>
    <row r="6241" spans="1:11">
      <c r="A6241" s="946" t="s">
        <v>28606</v>
      </c>
      <c r="B6241" s="947" t="s">
        <v>8226</v>
      </c>
      <c r="C6241" s="948" t="s">
        <v>8224</v>
      </c>
      <c r="D6241" s="242" t="s">
        <v>31100</v>
      </c>
      <c r="E6241" s="949">
        <v>1806</v>
      </c>
      <c r="F6241" s="949">
        <v>1806</v>
      </c>
      <c r="G6241" s="950" t="s">
        <v>7221</v>
      </c>
      <c r="H6241" s="950" t="s">
        <v>436</v>
      </c>
      <c r="I6241" s="951" t="s">
        <v>8225</v>
      </c>
      <c r="J6241" s="947" t="s">
        <v>8226</v>
      </c>
      <c r="K6241" s="143"/>
    </row>
    <row r="6242" spans="1:11">
      <c r="A6242" s="946" t="s">
        <v>28606</v>
      </c>
      <c r="B6242" s="947" t="s">
        <v>8289</v>
      </c>
      <c r="C6242" s="948" t="s">
        <v>8287</v>
      </c>
      <c r="D6242" s="242" t="s">
        <v>31100</v>
      </c>
      <c r="E6242" s="949">
        <v>1806</v>
      </c>
      <c r="F6242" s="949">
        <v>1806</v>
      </c>
      <c r="G6242" s="950" t="s">
        <v>7221</v>
      </c>
      <c r="H6242" s="950" t="s">
        <v>436</v>
      </c>
      <c r="I6242" s="951" t="s">
        <v>8288</v>
      </c>
      <c r="J6242" s="947" t="s">
        <v>8289</v>
      </c>
      <c r="K6242" s="143"/>
    </row>
    <row r="6243" spans="1:11">
      <c r="A6243" s="946" t="s">
        <v>28606</v>
      </c>
      <c r="B6243" s="947" t="s">
        <v>8310</v>
      </c>
      <c r="C6243" s="948" t="s">
        <v>8308</v>
      </c>
      <c r="D6243" s="242" t="s">
        <v>31100</v>
      </c>
      <c r="E6243" s="949">
        <v>1806</v>
      </c>
      <c r="F6243" s="949">
        <v>1806</v>
      </c>
      <c r="G6243" s="950" t="s">
        <v>7221</v>
      </c>
      <c r="H6243" s="950" t="s">
        <v>436</v>
      </c>
      <c r="I6243" s="951" t="s">
        <v>8309</v>
      </c>
      <c r="J6243" s="947" t="s">
        <v>8310</v>
      </c>
      <c r="K6243" s="143"/>
    </row>
    <row r="6244" spans="1:11">
      <c r="A6244" s="946" t="s">
        <v>28606</v>
      </c>
      <c r="B6244" s="947" t="s">
        <v>8633</v>
      </c>
      <c r="C6244" s="948" t="s">
        <v>8631</v>
      </c>
      <c r="D6244" s="242" t="s">
        <v>31100</v>
      </c>
      <c r="E6244" s="949">
        <v>1806</v>
      </c>
      <c r="F6244" s="949">
        <v>1806</v>
      </c>
      <c r="G6244" s="950" t="s">
        <v>7221</v>
      </c>
      <c r="H6244" s="950" t="s">
        <v>436</v>
      </c>
      <c r="I6244" s="951" t="s">
        <v>8632</v>
      </c>
      <c r="J6244" s="947" t="s">
        <v>8633</v>
      </c>
      <c r="K6244" s="143"/>
    </row>
    <row r="6245" spans="1:11">
      <c r="A6245" s="946" t="s">
        <v>28606</v>
      </c>
      <c r="B6245" s="947" t="s">
        <v>8653</v>
      </c>
      <c r="C6245" s="948" t="s">
        <v>8651</v>
      </c>
      <c r="D6245" s="242" t="s">
        <v>31100</v>
      </c>
      <c r="E6245" s="949">
        <v>1806</v>
      </c>
      <c r="F6245" s="949">
        <v>1806</v>
      </c>
      <c r="G6245" s="950" t="s">
        <v>7221</v>
      </c>
      <c r="H6245" s="950" t="s">
        <v>436</v>
      </c>
      <c r="I6245" s="951" t="s">
        <v>8652</v>
      </c>
      <c r="J6245" s="947" t="s">
        <v>8653</v>
      </c>
      <c r="K6245" s="143"/>
    </row>
    <row r="6246" spans="1:11">
      <c r="A6246" s="946" t="s">
        <v>28606</v>
      </c>
      <c r="B6246" s="947" t="s">
        <v>8773</v>
      </c>
      <c r="C6246" s="948" t="s">
        <v>8771</v>
      </c>
      <c r="D6246" s="242" t="s">
        <v>31100</v>
      </c>
      <c r="E6246" s="949">
        <v>1806</v>
      </c>
      <c r="F6246" s="949">
        <v>1806</v>
      </c>
      <c r="G6246" s="950" t="s">
        <v>7221</v>
      </c>
      <c r="H6246" s="950" t="s">
        <v>436</v>
      </c>
      <c r="I6246" s="951" t="s">
        <v>8772</v>
      </c>
      <c r="J6246" s="947" t="s">
        <v>8773</v>
      </c>
      <c r="K6246" s="143"/>
    </row>
    <row r="6247" spans="1:11">
      <c r="A6247" s="946" t="s">
        <v>28606</v>
      </c>
      <c r="B6247" s="947" t="s">
        <v>9555</v>
      </c>
      <c r="C6247" s="948" t="s">
        <v>9553</v>
      </c>
      <c r="D6247" s="242" t="s">
        <v>31100</v>
      </c>
      <c r="E6247" s="949">
        <v>1806</v>
      </c>
      <c r="F6247" s="949">
        <v>1806</v>
      </c>
      <c r="G6247" s="950" t="s">
        <v>7221</v>
      </c>
      <c r="H6247" s="950" t="s">
        <v>436</v>
      </c>
      <c r="I6247" s="951" t="s">
        <v>9554</v>
      </c>
      <c r="J6247" s="947" t="s">
        <v>9555</v>
      </c>
      <c r="K6247" s="143"/>
    </row>
    <row r="6248" spans="1:11">
      <c r="A6248" s="946" t="s">
        <v>28606</v>
      </c>
      <c r="B6248" s="947" t="s">
        <v>9564</v>
      </c>
      <c r="C6248" s="948" t="s">
        <v>9562</v>
      </c>
      <c r="D6248" s="242" t="s">
        <v>31100</v>
      </c>
      <c r="E6248" s="949">
        <v>1806</v>
      </c>
      <c r="F6248" s="949">
        <v>1806</v>
      </c>
      <c r="G6248" s="950" t="s">
        <v>7221</v>
      </c>
      <c r="H6248" s="950" t="s">
        <v>436</v>
      </c>
      <c r="I6248" s="951" t="s">
        <v>9563</v>
      </c>
      <c r="J6248" s="947" t="s">
        <v>9564</v>
      </c>
      <c r="K6248" s="143"/>
    </row>
    <row r="6249" spans="1:11">
      <c r="A6249" s="946" t="s">
        <v>28606</v>
      </c>
      <c r="B6249" s="947" t="s">
        <v>9705</v>
      </c>
      <c r="C6249" s="948" t="s">
        <v>9703</v>
      </c>
      <c r="D6249" s="242" t="s">
        <v>31100</v>
      </c>
      <c r="E6249" s="949">
        <v>1806</v>
      </c>
      <c r="F6249" s="949">
        <v>1806</v>
      </c>
      <c r="G6249" s="950" t="s">
        <v>7221</v>
      </c>
      <c r="H6249" s="950" t="s">
        <v>436</v>
      </c>
      <c r="I6249" s="951" t="s">
        <v>9704</v>
      </c>
      <c r="J6249" s="947" t="s">
        <v>9705</v>
      </c>
      <c r="K6249" s="143"/>
    </row>
    <row r="6250" spans="1:11">
      <c r="A6250" s="946" t="s">
        <v>28606</v>
      </c>
      <c r="B6250" s="947" t="s">
        <v>10054</v>
      </c>
      <c r="C6250" s="948" t="s">
        <v>10052</v>
      </c>
      <c r="D6250" s="242" t="s">
        <v>31100</v>
      </c>
      <c r="E6250" s="949">
        <v>1806</v>
      </c>
      <c r="F6250" s="949">
        <v>1806</v>
      </c>
      <c r="G6250" s="950" t="s">
        <v>7221</v>
      </c>
      <c r="H6250" s="950" t="s">
        <v>436</v>
      </c>
      <c r="I6250" s="951" t="s">
        <v>10053</v>
      </c>
      <c r="J6250" s="947" t="s">
        <v>10054</v>
      </c>
      <c r="K6250" s="143"/>
    </row>
    <row r="6251" spans="1:11">
      <c r="A6251" s="946" t="s">
        <v>28606</v>
      </c>
      <c r="B6251" s="947" t="s">
        <v>10073</v>
      </c>
      <c r="C6251" s="948" t="s">
        <v>10071</v>
      </c>
      <c r="D6251" s="242" t="s">
        <v>31100</v>
      </c>
      <c r="E6251" s="949">
        <v>1806</v>
      </c>
      <c r="F6251" s="949">
        <v>1806</v>
      </c>
      <c r="G6251" s="950" t="s">
        <v>7221</v>
      </c>
      <c r="H6251" s="950" t="s">
        <v>436</v>
      </c>
      <c r="I6251" s="951" t="s">
        <v>10072</v>
      </c>
      <c r="J6251" s="947" t="s">
        <v>10073</v>
      </c>
      <c r="K6251" s="143"/>
    </row>
    <row r="6252" spans="1:11">
      <c r="A6252" s="946" t="s">
        <v>28606</v>
      </c>
      <c r="B6252" s="947" t="s">
        <v>10076</v>
      </c>
      <c r="C6252" s="948" t="s">
        <v>10074</v>
      </c>
      <c r="D6252" s="242" t="s">
        <v>31100</v>
      </c>
      <c r="E6252" s="949">
        <v>1806</v>
      </c>
      <c r="F6252" s="949">
        <v>1806</v>
      </c>
      <c r="G6252" s="950" t="s">
        <v>7221</v>
      </c>
      <c r="H6252" s="950" t="s">
        <v>436</v>
      </c>
      <c r="I6252" s="951" t="s">
        <v>10075</v>
      </c>
      <c r="J6252" s="947" t="s">
        <v>10076</v>
      </c>
      <c r="K6252" s="143"/>
    </row>
    <row r="6253" spans="1:11">
      <c r="A6253" s="946" t="s">
        <v>28606</v>
      </c>
      <c r="B6253" s="947" t="s">
        <v>10142</v>
      </c>
      <c r="C6253" s="948" t="s">
        <v>10140</v>
      </c>
      <c r="D6253" s="242" t="s">
        <v>31100</v>
      </c>
      <c r="E6253" s="949">
        <v>1806</v>
      </c>
      <c r="F6253" s="949">
        <v>1806</v>
      </c>
      <c r="G6253" s="950" t="s">
        <v>7221</v>
      </c>
      <c r="H6253" s="950" t="s">
        <v>436</v>
      </c>
      <c r="I6253" s="951" t="s">
        <v>10141</v>
      </c>
      <c r="J6253" s="947" t="s">
        <v>10142</v>
      </c>
      <c r="K6253" s="143"/>
    </row>
    <row r="6254" spans="1:11">
      <c r="A6254" s="946" t="s">
        <v>28606</v>
      </c>
      <c r="B6254" s="947" t="s">
        <v>10192</v>
      </c>
      <c r="C6254" s="948" t="s">
        <v>10190</v>
      </c>
      <c r="D6254" s="242" t="s">
        <v>31100</v>
      </c>
      <c r="E6254" s="949">
        <v>1806</v>
      </c>
      <c r="F6254" s="949">
        <v>1806</v>
      </c>
      <c r="G6254" s="950" t="s">
        <v>7221</v>
      </c>
      <c r="H6254" s="950" t="s">
        <v>436</v>
      </c>
      <c r="I6254" s="951" t="s">
        <v>10191</v>
      </c>
      <c r="J6254" s="947" t="s">
        <v>10192</v>
      </c>
      <c r="K6254" s="143"/>
    </row>
    <row r="6255" spans="1:11">
      <c r="A6255" s="946" t="s">
        <v>28606</v>
      </c>
      <c r="B6255" s="947" t="s">
        <v>10610</v>
      </c>
      <c r="C6255" s="948" t="s">
        <v>10608</v>
      </c>
      <c r="D6255" s="242" t="s">
        <v>31100</v>
      </c>
      <c r="E6255" s="949">
        <v>1806</v>
      </c>
      <c r="F6255" s="949">
        <v>1806</v>
      </c>
      <c r="G6255" s="950" t="s">
        <v>7221</v>
      </c>
      <c r="H6255" s="950" t="s">
        <v>436</v>
      </c>
      <c r="I6255" s="951" t="s">
        <v>10609</v>
      </c>
      <c r="J6255" s="947" t="s">
        <v>10610</v>
      </c>
      <c r="K6255" s="143"/>
    </row>
    <row r="6256" spans="1:11">
      <c r="A6256" s="946" t="s">
        <v>28606</v>
      </c>
      <c r="B6256" s="947" t="s">
        <v>10613</v>
      </c>
      <c r="C6256" s="948" t="s">
        <v>10611</v>
      </c>
      <c r="D6256" s="242" t="s">
        <v>31100</v>
      </c>
      <c r="E6256" s="949">
        <v>1806</v>
      </c>
      <c r="F6256" s="949">
        <v>1806</v>
      </c>
      <c r="G6256" s="950" t="s">
        <v>7221</v>
      </c>
      <c r="H6256" s="950" t="s">
        <v>436</v>
      </c>
      <c r="I6256" s="951" t="s">
        <v>10612</v>
      </c>
      <c r="J6256" s="947" t="s">
        <v>10613</v>
      </c>
      <c r="K6256" s="143"/>
    </row>
    <row r="6257" spans="1:11">
      <c r="A6257" s="946" t="s">
        <v>28606</v>
      </c>
      <c r="B6257" s="947" t="s">
        <v>10742</v>
      </c>
      <c r="C6257" s="948" t="s">
        <v>10740</v>
      </c>
      <c r="D6257" s="242" t="s">
        <v>31100</v>
      </c>
      <c r="E6257" s="949">
        <v>1806</v>
      </c>
      <c r="F6257" s="949">
        <v>1806</v>
      </c>
      <c r="G6257" s="950" t="s">
        <v>7221</v>
      </c>
      <c r="H6257" s="950" t="s">
        <v>436</v>
      </c>
      <c r="I6257" s="951" t="s">
        <v>10741</v>
      </c>
      <c r="J6257" s="947" t="s">
        <v>10742</v>
      </c>
      <c r="K6257" s="143"/>
    </row>
    <row r="6258" spans="1:11">
      <c r="A6258" s="946" t="s">
        <v>28606</v>
      </c>
      <c r="B6258" s="947" t="s">
        <v>10799</v>
      </c>
      <c r="C6258" s="948" t="s">
        <v>10797</v>
      </c>
      <c r="D6258" s="242" t="s">
        <v>31100</v>
      </c>
      <c r="E6258" s="949">
        <v>1806</v>
      </c>
      <c r="F6258" s="949">
        <v>1806</v>
      </c>
      <c r="G6258" s="950" t="s">
        <v>7221</v>
      </c>
      <c r="H6258" s="950" t="s">
        <v>436</v>
      </c>
      <c r="I6258" s="951" t="s">
        <v>10798</v>
      </c>
      <c r="J6258" s="947" t="s">
        <v>10799</v>
      </c>
      <c r="K6258" s="143"/>
    </row>
    <row r="6259" spans="1:11">
      <c r="A6259" s="946" t="s">
        <v>28606</v>
      </c>
      <c r="B6259" s="947" t="s">
        <v>10929</v>
      </c>
      <c r="C6259" s="948" t="s">
        <v>10927</v>
      </c>
      <c r="D6259" s="242" t="s">
        <v>31100</v>
      </c>
      <c r="E6259" s="949">
        <v>1806</v>
      </c>
      <c r="F6259" s="949">
        <v>1806</v>
      </c>
      <c r="G6259" s="950" t="s">
        <v>7221</v>
      </c>
      <c r="H6259" s="950" t="s">
        <v>436</v>
      </c>
      <c r="I6259" s="951" t="s">
        <v>10928</v>
      </c>
      <c r="J6259" s="947" t="s">
        <v>10929</v>
      </c>
      <c r="K6259" s="143"/>
    </row>
    <row r="6260" spans="1:11">
      <c r="A6260" s="946" t="s">
        <v>28606</v>
      </c>
      <c r="B6260" s="947" t="s">
        <v>10984</v>
      </c>
      <c r="C6260" s="948" t="s">
        <v>10982</v>
      </c>
      <c r="D6260" s="242" t="s">
        <v>31100</v>
      </c>
      <c r="E6260" s="949">
        <v>1806</v>
      </c>
      <c r="F6260" s="949">
        <v>1806</v>
      </c>
      <c r="G6260" s="950" t="s">
        <v>7221</v>
      </c>
      <c r="H6260" s="950" t="s">
        <v>436</v>
      </c>
      <c r="I6260" s="951" t="s">
        <v>10983</v>
      </c>
      <c r="J6260" s="947" t="s">
        <v>10984</v>
      </c>
      <c r="K6260" s="143"/>
    </row>
    <row r="6261" spans="1:11">
      <c r="A6261" s="946" t="s">
        <v>28606</v>
      </c>
      <c r="B6261" s="947" t="s">
        <v>11009</v>
      </c>
      <c r="C6261" s="948" t="s">
        <v>11007</v>
      </c>
      <c r="D6261" s="242" t="s">
        <v>31100</v>
      </c>
      <c r="E6261" s="949">
        <v>1806</v>
      </c>
      <c r="F6261" s="949">
        <v>1806</v>
      </c>
      <c r="G6261" s="950" t="s">
        <v>7221</v>
      </c>
      <c r="H6261" s="950" t="s">
        <v>436</v>
      </c>
      <c r="I6261" s="951" t="s">
        <v>11008</v>
      </c>
      <c r="J6261" s="947" t="s">
        <v>11009</v>
      </c>
      <c r="K6261" s="143"/>
    </row>
    <row r="6262" spans="1:11">
      <c r="A6262" s="946" t="s">
        <v>28606</v>
      </c>
      <c r="B6262" s="947" t="s">
        <v>11024</v>
      </c>
      <c r="C6262" s="948" t="s">
        <v>11022</v>
      </c>
      <c r="D6262" s="242" t="s">
        <v>31100</v>
      </c>
      <c r="E6262" s="949">
        <v>1806</v>
      </c>
      <c r="F6262" s="949">
        <v>1806</v>
      </c>
      <c r="G6262" s="950" t="s">
        <v>7221</v>
      </c>
      <c r="H6262" s="950" t="s">
        <v>436</v>
      </c>
      <c r="I6262" s="951" t="s">
        <v>11023</v>
      </c>
      <c r="J6262" s="947" t="s">
        <v>11024</v>
      </c>
      <c r="K6262" s="143"/>
    </row>
    <row r="6263" spans="1:11">
      <c r="A6263" s="946" t="s">
        <v>28606</v>
      </c>
      <c r="B6263" s="947" t="s">
        <v>11051</v>
      </c>
      <c r="C6263" s="948" t="s">
        <v>11049</v>
      </c>
      <c r="D6263" s="242" t="s">
        <v>31100</v>
      </c>
      <c r="E6263" s="949">
        <v>1806</v>
      </c>
      <c r="F6263" s="949">
        <v>1806</v>
      </c>
      <c r="G6263" s="950" t="s">
        <v>7221</v>
      </c>
      <c r="H6263" s="950" t="s">
        <v>436</v>
      </c>
      <c r="I6263" s="951" t="s">
        <v>11050</v>
      </c>
      <c r="J6263" s="947" t="s">
        <v>11051</v>
      </c>
      <c r="K6263" s="143"/>
    </row>
    <row r="6264" spans="1:11">
      <c r="A6264" s="946" t="s">
        <v>28606</v>
      </c>
      <c r="B6264" s="947" t="s">
        <v>11110</v>
      </c>
      <c r="C6264" s="948" t="s">
        <v>11108</v>
      </c>
      <c r="D6264" s="242" t="s">
        <v>31100</v>
      </c>
      <c r="E6264" s="949">
        <v>1806</v>
      </c>
      <c r="F6264" s="949">
        <v>1806</v>
      </c>
      <c r="G6264" s="950" t="s">
        <v>7221</v>
      </c>
      <c r="H6264" s="950" t="s">
        <v>436</v>
      </c>
      <c r="I6264" s="951" t="s">
        <v>11109</v>
      </c>
      <c r="J6264" s="947" t="s">
        <v>11110</v>
      </c>
      <c r="K6264" s="143"/>
    </row>
    <row r="6265" spans="1:11">
      <c r="A6265" s="946" t="s">
        <v>28606</v>
      </c>
      <c r="B6265" s="947" t="s">
        <v>11113</v>
      </c>
      <c r="C6265" s="948" t="s">
        <v>11111</v>
      </c>
      <c r="D6265" s="242" t="s">
        <v>31100</v>
      </c>
      <c r="E6265" s="949">
        <v>1806</v>
      </c>
      <c r="F6265" s="949">
        <v>1806</v>
      </c>
      <c r="G6265" s="950" t="s">
        <v>7221</v>
      </c>
      <c r="H6265" s="950" t="s">
        <v>436</v>
      </c>
      <c r="I6265" s="951" t="s">
        <v>11112</v>
      </c>
      <c r="J6265" s="947" t="s">
        <v>11113</v>
      </c>
      <c r="K6265" s="143"/>
    </row>
    <row r="6266" spans="1:11">
      <c r="A6266" s="946" t="s">
        <v>28606</v>
      </c>
      <c r="B6266" s="947" t="s">
        <v>11323</v>
      </c>
      <c r="C6266" s="948" t="s">
        <v>11321</v>
      </c>
      <c r="D6266" s="242" t="s">
        <v>31100</v>
      </c>
      <c r="E6266" s="949">
        <v>1806</v>
      </c>
      <c r="F6266" s="949">
        <v>1806</v>
      </c>
      <c r="G6266" s="950" t="s">
        <v>7221</v>
      </c>
      <c r="H6266" s="950" t="s">
        <v>436</v>
      </c>
      <c r="I6266" s="951" t="s">
        <v>11322</v>
      </c>
      <c r="J6266" s="947" t="s">
        <v>11323</v>
      </c>
      <c r="K6266" s="143"/>
    </row>
    <row r="6267" spans="1:11">
      <c r="A6267" s="946" t="s">
        <v>28606</v>
      </c>
      <c r="B6267" s="947" t="s">
        <v>11597</v>
      </c>
      <c r="C6267" s="948" t="s">
        <v>11595</v>
      </c>
      <c r="D6267" s="242" t="s">
        <v>31100</v>
      </c>
      <c r="E6267" s="949">
        <v>1806</v>
      </c>
      <c r="F6267" s="949">
        <v>1806</v>
      </c>
      <c r="G6267" s="950" t="s">
        <v>7221</v>
      </c>
      <c r="H6267" s="950" t="s">
        <v>436</v>
      </c>
      <c r="I6267" s="951" t="s">
        <v>11596</v>
      </c>
      <c r="J6267" s="947" t="s">
        <v>11597</v>
      </c>
      <c r="K6267" s="143"/>
    </row>
    <row r="6268" spans="1:11">
      <c r="A6268" s="946" t="s">
        <v>28606</v>
      </c>
      <c r="B6268" s="947" t="s">
        <v>12114</v>
      </c>
      <c r="C6268" s="948" t="s">
        <v>12112</v>
      </c>
      <c r="D6268" s="242" t="s">
        <v>31100</v>
      </c>
      <c r="E6268" s="949">
        <v>1806</v>
      </c>
      <c r="F6268" s="949">
        <v>1806</v>
      </c>
      <c r="G6268" s="950" t="s">
        <v>7221</v>
      </c>
      <c r="H6268" s="950" t="s">
        <v>436</v>
      </c>
      <c r="I6268" s="951" t="s">
        <v>12113</v>
      </c>
      <c r="J6268" s="947" t="s">
        <v>12114</v>
      </c>
      <c r="K6268" s="143"/>
    </row>
    <row r="6269" spans="1:11">
      <c r="A6269" s="946" t="s">
        <v>28606</v>
      </c>
      <c r="B6269" s="947" t="s">
        <v>12233</v>
      </c>
      <c r="C6269" s="948" t="s">
        <v>12231</v>
      </c>
      <c r="D6269" s="242" t="s">
        <v>31100</v>
      </c>
      <c r="E6269" s="949">
        <v>1806</v>
      </c>
      <c r="F6269" s="949">
        <v>1806</v>
      </c>
      <c r="G6269" s="950" t="s">
        <v>7221</v>
      </c>
      <c r="H6269" s="950" t="s">
        <v>436</v>
      </c>
      <c r="I6269" s="951" t="s">
        <v>12232</v>
      </c>
      <c r="J6269" s="947" t="s">
        <v>12233</v>
      </c>
      <c r="K6269" s="143"/>
    </row>
    <row r="6270" spans="1:11">
      <c r="A6270" s="946" t="s">
        <v>28606</v>
      </c>
      <c r="B6270" s="947" t="s">
        <v>12534</v>
      </c>
      <c r="C6270" s="948" t="s">
        <v>12532</v>
      </c>
      <c r="D6270" s="242" t="s">
        <v>31100</v>
      </c>
      <c r="E6270" s="949">
        <v>1806</v>
      </c>
      <c r="F6270" s="949">
        <v>1806</v>
      </c>
      <c r="G6270" s="950" t="s">
        <v>7221</v>
      </c>
      <c r="H6270" s="950" t="s">
        <v>436</v>
      </c>
      <c r="I6270" s="951" t="s">
        <v>12533</v>
      </c>
      <c r="J6270" s="947" t="s">
        <v>12534</v>
      </c>
      <c r="K6270" s="143"/>
    </row>
    <row r="6271" spans="1:11">
      <c r="A6271" s="946" t="s">
        <v>28606</v>
      </c>
      <c r="B6271" s="947" t="s">
        <v>12878</v>
      </c>
      <c r="C6271" s="948" t="s">
        <v>12876</v>
      </c>
      <c r="D6271" s="242" t="s">
        <v>31100</v>
      </c>
      <c r="E6271" s="949">
        <v>1806</v>
      </c>
      <c r="F6271" s="949">
        <v>1806</v>
      </c>
      <c r="G6271" s="950" t="s">
        <v>7221</v>
      </c>
      <c r="H6271" s="950" t="s">
        <v>436</v>
      </c>
      <c r="I6271" s="951" t="s">
        <v>12877</v>
      </c>
      <c r="J6271" s="947" t="s">
        <v>12878</v>
      </c>
      <c r="K6271" s="143"/>
    </row>
    <row r="6272" spans="1:11">
      <c r="A6272" s="946" t="s">
        <v>28606</v>
      </c>
      <c r="B6272" s="947" t="s">
        <v>12953</v>
      </c>
      <c r="C6272" s="948" t="s">
        <v>12951</v>
      </c>
      <c r="D6272" s="242" t="s">
        <v>31100</v>
      </c>
      <c r="E6272" s="949">
        <v>1806</v>
      </c>
      <c r="F6272" s="949">
        <v>1806</v>
      </c>
      <c r="G6272" s="950" t="s">
        <v>7221</v>
      </c>
      <c r="H6272" s="950" t="s">
        <v>436</v>
      </c>
      <c r="I6272" s="951" t="s">
        <v>12952</v>
      </c>
      <c r="J6272" s="947" t="s">
        <v>12953</v>
      </c>
      <c r="K6272" s="143"/>
    </row>
    <row r="6273" spans="1:11">
      <c r="A6273" s="946" t="s">
        <v>28606</v>
      </c>
      <c r="B6273" s="947" t="s">
        <v>13056</v>
      </c>
      <c r="C6273" s="948" t="s">
        <v>13054</v>
      </c>
      <c r="D6273" s="242" t="s">
        <v>31100</v>
      </c>
      <c r="E6273" s="949">
        <v>1806</v>
      </c>
      <c r="F6273" s="949">
        <v>1806</v>
      </c>
      <c r="G6273" s="950" t="s">
        <v>7221</v>
      </c>
      <c r="H6273" s="950" t="s">
        <v>436</v>
      </c>
      <c r="I6273" s="951" t="s">
        <v>13055</v>
      </c>
      <c r="J6273" s="947" t="s">
        <v>13056</v>
      </c>
      <c r="K6273" s="143"/>
    </row>
    <row r="6274" spans="1:11">
      <c r="A6274" s="946" t="s">
        <v>28606</v>
      </c>
      <c r="B6274" s="947" t="s">
        <v>13301</v>
      </c>
      <c r="C6274" s="948" t="s">
        <v>13299</v>
      </c>
      <c r="D6274" s="242" t="s">
        <v>31100</v>
      </c>
      <c r="E6274" s="949">
        <v>1806</v>
      </c>
      <c r="F6274" s="949">
        <v>1806</v>
      </c>
      <c r="G6274" s="950" t="s">
        <v>7221</v>
      </c>
      <c r="H6274" s="950" t="s">
        <v>436</v>
      </c>
      <c r="I6274" s="951" t="s">
        <v>13300</v>
      </c>
      <c r="J6274" s="947" t="s">
        <v>13301</v>
      </c>
      <c r="K6274" s="143"/>
    </row>
    <row r="6275" spans="1:11">
      <c r="A6275" s="946" t="s">
        <v>28606</v>
      </c>
      <c r="B6275" s="947" t="s">
        <v>13730</v>
      </c>
      <c r="C6275" s="948" t="s">
        <v>13728</v>
      </c>
      <c r="D6275" s="242" t="s">
        <v>31100</v>
      </c>
      <c r="E6275" s="949">
        <v>1806</v>
      </c>
      <c r="F6275" s="949">
        <v>1806</v>
      </c>
      <c r="G6275" s="950" t="s">
        <v>7221</v>
      </c>
      <c r="H6275" s="950" t="s">
        <v>436</v>
      </c>
      <c r="I6275" s="951" t="s">
        <v>13729</v>
      </c>
      <c r="J6275" s="947" t="s">
        <v>13730</v>
      </c>
      <c r="K6275" s="143"/>
    </row>
    <row r="6276" spans="1:11">
      <c r="A6276" s="946" t="s">
        <v>28606</v>
      </c>
      <c r="B6276" s="947" t="s">
        <v>13774</v>
      </c>
      <c r="C6276" s="948" t="s">
        <v>13772</v>
      </c>
      <c r="D6276" s="242" t="s">
        <v>31100</v>
      </c>
      <c r="E6276" s="949">
        <v>1806</v>
      </c>
      <c r="F6276" s="949">
        <v>1806</v>
      </c>
      <c r="G6276" s="950" t="s">
        <v>7221</v>
      </c>
      <c r="H6276" s="950" t="s">
        <v>436</v>
      </c>
      <c r="I6276" s="951" t="s">
        <v>13773</v>
      </c>
      <c r="J6276" s="947" t="s">
        <v>13774</v>
      </c>
      <c r="K6276" s="143"/>
    </row>
    <row r="6277" spans="1:11">
      <c r="A6277" s="946" t="s">
        <v>28606</v>
      </c>
      <c r="B6277" s="947" t="s">
        <v>14183</v>
      </c>
      <c r="C6277" s="948" t="s">
        <v>14181</v>
      </c>
      <c r="D6277" s="242" t="s">
        <v>31100</v>
      </c>
      <c r="E6277" s="949">
        <v>1806</v>
      </c>
      <c r="F6277" s="949">
        <v>1806</v>
      </c>
      <c r="G6277" s="950" t="s">
        <v>7221</v>
      </c>
      <c r="H6277" s="950" t="s">
        <v>436</v>
      </c>
      <c r="I6277" s="951" t="s">
        <v>14182</v>
      </c>
      <c r="J6277" s="947" t="s">
        <v>14183</v>
      </c>
      <c r="K6277" s="143"/>
    </row>
    <row r="6278" spans="1:11">
      <c r="A6278" s="946" t="s">
        <v>28606</v>
      </c>
      <c r="B6278" s="947" t="s">
        <v>14204</v>
      </c>
      <c r="C6278" s="948" t="s">
        <v>14202</v>
      </c>
      <c r="D6278" s="242" t="s">
        <v>31100</v>
      </c>
      <c r="E6278" s="949">
        <v>1806</v>
      </c>
      <c r="F6278" s="949">
        <v>1806</v>
      </c>
      <c r="G6278" s="950" t="s">
        <v>7221</v>
      </c>
      <c r="H6278" s="950" t="s">
        <v>436</v>
      </c>
      <c r="I6278" s="951" t="s">
        <v>14203</v>
      </c>
      <c r="J6278" s="947" t="s">
        <v>14204</v>
      </c>
      <c r="K6278" s="143"/>
    </row>
    <row r="6279" spans="1:11">
      <c r="A6279" s="946" t="s">
        <v>28606</v>
      </c>
      <c r="B6279" s="947" t="s">
        <v>14222</v>
      </c>
      <c r="C6279" s="948" t="s">
        <v>14220</v>
      </c>
      <c r="D6279" s="242" t="s">
        <v>31100</v>
      </c>
      <c r="E6279" s="949">
        <v>1806</v>
      </c>
      <c r="F6279" s="949">
        <v>1806</v>
      </c>
      <c r="G6279" s="950" t="s">
        <v>7221</v>
      </c>
      <c r="H6279" s="950" t="s">
        <v>436</v>
      </c>
      <c r="I6279" s="951" t="s">
        <v>14221</v>
      </c>
      <c r="J6279" s="947" t="s">
        <v>14222</v>
      </c>
      <c r="K6279" s="143"/>
    </row>
    <row r="6280" spans="1:11">
      <c r="A6280" s="946" t="s">
        <v>28606</v>
      </c>
      <c r="B6280" s="947" t="s">
        <v>14228</v>
      </c>
      <c r="C6280" s="948" t="s">
        <v>14226</v>
      </c>
      <c r="D6280" s="242" t="s">
        <v>31100</v>
      </c>
      <c r="E6280" s="949">
        <v>1806</v>
      </c>
      <c r="F6280" s="949">
        <v>1806</v>
      </c>
      <c r="G6280" s="950" t="s">
        <v>7221</v>
      </c>
      <c r="H6280" s="950" t="s">
        <v>436</v>
      </c>
      <c r="I6280" s="951" t="s">
        <v>14227</v>
      </c>
      <c r="J6280" s="947" t="s">
        <v>14228</v>
      </c>
      <c r="K6280" s="143"/>
    </row>
    <row r="6281" spans="1:11">
      <c r="A6281" s="946" t="s">
        <v>28606</v>
      </c>
      <c r="B6281" s="947" t="s">
        <v>14247</v>
      </c>
      <c r="C6281" s="948" t="s">
        <v>14245</v>
      </c>
      <c r="D6281" s="242" t="s">
        <v>31100</v>
      </c>
      <c r="E6281" s="949">
        <v>1806</v>
      </c>
      <c r="F6281" s="949">
        <v>1806</v>
      </c>
      <c r="G6281" s="950" t="s">
        <v>7221</v>
      </c>
      <c r="H6281" s="950" t="s">
        <v>436</v>
      </c>
      <c r="I6281" s="951" t="s">
        <v>14246</v>
      </c>
      <c r="J6281" s="947" t="s">
        <v>14247</v>
      </c>
      <c r="K6281" s="143"/>
    </row>
    <row r="6282" spans="1:11">
      <c r="A6282" s="946" t="s">
        <v>28606</v>
      </c>
      <c r="B6282" s="947" t="s">
        <v>14333</v>
      </c>
      <c r="C6282" s="948" t="s">
        <v>14331</v>
      </c>
      <c r="D6282" s="242" t="s">
        <v>31100</v>
      </c>
      <c r="E6282" s="949">
        <v>1806</v>
      </c>
      <c r="F6282" s="949">
        <v>1806</v>
      </c>
      <c r="G6282" s="950" t="s">
        <v>7221</v>
      </c>
      <c r="H6282" s="950" t="s">
        <v>436</v>
      </c>
      <c r="I6282" s="951" t="s">
        <v>14332</v>
      </c>
      <c r="J6282" s="947" t="s">
        <v>14333</v>
      </c>
      <c r="K6282" s="143"/>
    </row>
    <row r="6283" spans="1:11">
      <c r="A6283" s="946" t="s">
        <v>28606</v>
      </c>
      <c r="B6283" s="947" t="s">
        <v>14411</v>
      </c>
      <c r="C6283" s="948" t="s">
        <v>14409</v>
      </c>
      <c r="D6283" s="242" t="s">
        <v>31100</v>
      </c>
      <c r="E6283" s="949">
        <v>1806</v>
      </c>
      <c r="F6283" s="949">
        <v>1806</v>
      </c>
      <c r="G6283" s="950" t="s">
        <v>7221</v>
      </c>
      <c r="H6283" s="950" t="s">
        <v>436</v>
      </c>
      <c r="I6283" s="951" t="s">
        <v>14410</v>
      </c>
      <c r="J6283" s="947" t="s">
        <v>14411</v>
      </c>
      <c r="K6283" s="143"/>
    </row>
    <row r="6284" spans="1:11">
      <c r="A6284" s="946" t="s">
        <v>28606</v>
      </c>
      <c r="B6284" s="947" t="s">
        <v>14725</v>
      </c>
      <c r="C6284" s="948" t="s">
        <v>14723</v>
      </c>
      <c r="D6284" s="242" t="s">
        <v>31100</v>
      </c>
      <c r="E6284" s="949">
        <v>1806</v>
      </c>
      <c r="F6284" s="949">
        <v>1806</v>
      </c>
      <c r="G6284" s="950" t="s">
        <v>7221</v>
      </c>
      <c r="H6284" s="950" t="s">
        <v>436</v>
      </c>
      <c r="I6284" s="951" t="s">
        <v>14724</v>
      </c>
      <c r="J6284" s="947" t="s">
        <v>14725</v>
      </c>
      <c r="K6284" s="143"/>
    </row>
    <row r="6285" spans="1:11">
      <c r="A6285" s="946" t="s">
        <v>28606</v>
      </c>
      <c r="B6285" s="947" t="s">
        <v>14868</v>
      </c>
      <c r="C6285" s="948" t="s">
        <v>14866</v>
      </c>
      <c r="D6285" s="242" t="s">
        <v>31100</v>
      </c>
      <c r="E6285" s="949">
        <v>1806</v>
      </c>
      <c r="F6285" s="949">
        <v>1806</v>
      </c>
      <c r="G6285" s="950" t="s">
        <v>7221</v>
      </c>
      <c r="H6285" s="950" t="s">
        <v>436</v>
      </c>
      <c r="I6285" s="951" t="s">
        <v>14867</v>
      </c>
      <c r="J6285" s="947" t="s">
        <v>14868</v>
      </c>
      <c r="K6285" s="143"/>
    </row>
    <row r="6286" spans="1:11">
      <c r="A6286" s="946" t="s">
        <v>28606</v>
      </c>
      <c r="B6286" s="947" t="s">
        <v>14886</v>
      </c>
      <c r="C6286" s="948" t="s">
        <v>14884</v>
      </c>
      <c r="D6286" s="242" t="s">
        <v>31100</v>
      </c>
      <c r="E6286" s="949">
        <v>1806</v>
      </c>
      <c r="F6286" s="949">
        <v>1806</v>
      </c>
      <c r="G6286" s="950" t="s">
        <v>7221</v>
      </c>
      <c r="H6286" s="950" t="s">
        <v>436</v>
      </c>
      <c r="I6286" s="951" t="s">
        <v>14885</v>
      </c>
      <c r="J6286" s="947" t="s">
        <v>14886</v>
      </c>
      <c r="K6286" s="143"/>
    </row>
    <row r="6287" spans="1:11">
      <c r="A6287" s="946" t="s">
        <v>28606</v>
      </c>
      <c r="B6287" s="947" t="s">
        <v>15131</v>
      </c>
      <c r="C6287" s="948" t="s">
        <v>15129</v>
      </c>
      <c r="D6287" s="242" t="s">
        <v>31100</v>
      </c>
      <c r="E6287" s="949">
        <v>1806</v>
      </c>
      <c r="F6287" s="949">
        <v>1806</v>
      </c>
      <c r="G6287" s="950" t="s">
        <v>7221</v>
      </c>
      <c r="H6287" s="950" t="s">
        <v>436</v>
      </c>
      <c r="I6287" s="951" t="s">
        <v>15130</v>
      </c>
      <c r="J6287" s="947" t="s">
        <v>15131</v>
      </c>
      <c r="K6287" s="143"/>
    </row>
    <row r="6288" spans="1:11">
      <c r="A6288" s="946" t="s">
        <v>28606</v>
      </c>
      <c r="B6288" s="947" t="s">
        <v>15712</v>
      </c>
      <c r="C6288" s="948" t="s">
        <v>15710</v>
      </c>
      <c r="D6288" s="242" t="s">
        <v>31100</v>
      </c>
      <c r="E6288" s="949">
        <v>1806</v>
      </c>
      <c r="F6288" s="949">
        <v>1806</v>
      </c>
      <c r="G6288" s="950" t="s">
        <v>7221</v>
      </c>
      <c r="H6288" s="950" t="s">
        <v>436</v>
      </c>
      <c r="I6288" s="951" t="s">
        <v>15711</v>
      </c>
      <c r="J6288" s="947" t="s">
        <v>15712</v>
      </c>
      <c r="K6288" s="143"/>
    </row>
    <row r="6289" spans="1:11">
      <c r="A6289" s="946" t="s">
        <v>28606</v>
      </c>
      <c r="B6289" s="947" t="s">
        <v>16204</v>
      </c>
      <c r="C6289" s="948" t="s">
        <v>16202</v>
      </c>
      <c r="D6289" s="242" t="s">
        <v>31100</v>
      </c>
      <c r="E6289" s="949">
        <v>1806</v>
      </c>
      <c r="F6289" s="949">
        <v>1806</v>
      </c>
      <c r="G6289" s="950" t="s">
        <v>7221</v>
      </c>
      <c r="H6289" s="950" t="s">
        <v>436</v>
      </c>
      <c r="I6289" s="951" t="s">
        <v>16203</v>
      </c>
      <c r="J6289" s="947" t="s">
        <v>16204</v>
      </c>
      <c r="K6289" s="143"/>
    </row>
    <row r="6290" spans="1:11">
      <c r="A6290" s="946" t="s">
        <v>28606</v>
      </c>
      <c r="B6290" s="947" t="s">
        <v>16548</v>
      </c>
      <c r="C6290" s="948" t="s">
        <v>16546</v>
      </c>
      <c r="D6290" s="242" t="s">
        <v>31100</v>
      </c>
      <c r="E6290" s="949">
        <v>1806</v>
      </c>
      <c r="F6290" s="949">
        <v>1806</v>
      </c>
      <c r="G6290" s="950" t="s">
        <v>7221</v>
      </c>
      <c r="H6290" s="950" t="s">
        <v>436</v>
      </c>
      <c r="I6290" s="951" t="s">
        <v>16547</v>
      </c>
      <c r="J6290" s="947" t="s">
        <v>16548</v>
      </c>
      <c r="K6290" s="143"/>
    </row>
    <row r="6291" spans="1:11">
      <c r="A6291" s="946" t="s">
        <v>28606</v>
      </c>
      <c r="B6291" s="947" t="s">
        <v>16779</v>
      </c>
      <c r="C6291" s="948" t="s">
        <v>16777</v>
      </c>
      <c r="D6291" s="242" t="s">
        <v>31100</v>
      </c>
      <c r="E6291" s="949">
        <v>1806</v>
      </c>
      <c r="F6291" s="949">
        <v>1806</v>
      </c>
      <c r="G6291" s="950" t="s">
        <v>7221</v>
      </c>
      <c r="H6291" s="950" t="s">
        <v>436</v>
      </c>
      <c r="I6291" s="951" t="s">
        <v>16778</v>
      </c>
      <c r="J6291" s="947" t="s">
        <v>16779</v>
      </c>
      <c r="K6291" s="143"/>
    </row>
    <row r="6292" spans="1:11">
      <c r="A6292" s="946" t="s">
        <v>28606</v>
      </c>
      <c r="B6292" s="947" t="s">
        <v>16785</v>
      </c>
      <c r="C6292" s="948" t="s">
        <v>16783</v>
      </c>
      <c r="D6292" s="242" t="s">
        <v>31100</v>
      </c>
      <c r="E6292" s="949">
        <v>1806</v>
      </c>
      <c r="F6292" s="949">
        <v>1806</v>
      </c>
      <c r="G6292" s="950" t="s">
        <v>7221</v>
      </c>
      <c r="H6292" s="950" t="s">
        <v>436</v>
      </c>
      <c r="I6292" s="951" t="s">
        <v>16784</v>
      </c>
      <c r="J6292" s="947" t="s">
        <v>16785</v>
      </c>
      <c r="K6292" s="143"/>
    </row>
    <row r="6293" spans="1:11">
      <c r="A6293" s="946" t="s">
        <v>28606</v>
      </c>
      <c r="B6293" s="947" t="s">
        <v>16949</v>
      </c>
      <c r="C6293" s="948" t="s">
        <v>16947</v>
      </c>
      <c r="D6293" s="242" t="s">
        <v>31100</v>
      </c>
      <c r="E6293" s="949">
        <v>1806</v>
      </c>
      <c r="F6293" s="949">
        <v>1806</v>
      </c>
      <c r="G6293" s="950" t="s">
        <v>7221</v>
      </c>
      <c r="H6293" s="950" t="s">
        <v>436</v>
      </c>
      <c r="I6293" s="951" t="s">
        <v>16948</v>
      </c>
      <c r="J6293" s="947" t="s">
        <v>16949</v>
      </c>
      <c r="K6293" s="143"/>
    </row>
    <row r="6294" spans="1:11">
      <c r="A6294" s="946" t="s">
        <v>28606</v>
      </c>
      <c r="B6294" s="947" t="s">
        <v>16955</v>
      </c>
      <c r="C6294" s="948" t="s">
        <v>16953</v>
      </c>
      <c r="D6294" s="242" t="s">
        <v>31100</v>
      </c>
      <c r="E6294" s="949">
        <v>1806</v>
      </c>
      <c r="F6294" s="949">
        <v>1806</v>
      </c>
      <c r="G6294" s="950" t="s">
        <v>7221</v>
      </c>
      <c r="H6294" s="950" t="s">
        <v>436</v>
      </c>
      <c r="I6294" s="951" t="s">
        <v>16954</v>
      </c>
      <c r="J6294" s="947" t="s">
        <v>16955</v>
      </c>
      <c r="K6294" s="143"/>
    </row>
    <row r="6295" spans="1:11">
      <c r="A6295" s="946" t="s">
        <v>28606</v>
      </c>
      <c r="B6295" s="947" t="s">
        <v>16997</v>
      </c>
      <c r="C6295" s="948" t="s">
        <v>16995</v>
      </c>
      <c r="D6295" s="242" t="s">
        <v>31100</v>
      </c>
      <c r="E6295" s="949">
        <v>1806</v>
      </c>
      <c r="F6295" s="949">
        <v>1806</v>
      </c>
      <c r="G6295" s="950" t="s">
        <v>7221</v>
      </c>
      <c r="H6295" s="950" t="s">
        <v>436</v>
      </c>
      <c r="I6295" s="951" t="s">
        <v>16996</v>
      </c>
      <c r="J6295" s="947" t="s">
        <v>16997</v>
      </c>
      <c r="K6295" s="143"/>
    </row>
    <row r="6296" spans="1:11">
      <c r="A6296" s="946" t="s">
        <v>28606</v>
      </c>
      <c r="B6296" s="947" t="s">
        <v>17072</v>
      </c>
      <c r="C6296" s="948" t="s">
        <v>17070</v>
      </c>
      <c r="D6296" s="242" t="s">
        <v>31100</v>
      </c>
      <c r="E6296" s="949">
        <v>1806</v>
      </c>
      <c r="F6296" s="949">
        <v>1806</v>
      </c>
      <c r="G6296" s="950" t="s">
        <v>7221</v>
      </c>
      <c r="H6296" s="950" t="s">
        <v>436</v>
      </c>
      <c r="I6296" s="951" t="s">
        <v>17071</v>
      </c>
      <c r="J6296" s="947" t="s">
        <v>17072</v>
      </c>
      <c r="K6296" s="143"/>
    </row>
    <row r="6297" spans="1:11">
      <c r="A6297" s="946" t="s">
        <v>28606</v>
      </c>
      <c r="B6297" s="947" t="s">
        <v>17370</v>
      </c>
      <c r="C6297" s="948" t="s">
        <v>17368</v>
      </c>
      <c r="D6297" s="242" t="s">
        <v>31100</v>
      </c>
      <c r="E6297" s="949">
        <v>1806</v>
      </c>
      <c r="F6297" s="949">
        <v>1806</v>
      </c>
      <c r="G6297" s="950" t="s">
        <v>7221</v>
      </c>
      <c r="H6297" s="950" t="s">
        <v>436</v>
      </c>
      <c r="I6297" s="951" t="s">
        <v>17369</v>
      </c>
      <c r="J6297" s="947" t="s">
        <v>17370</v>
      </c>
      <c r="K6297" s="143"/>
    </row>
    <row r="6298" spans="1:11">
      <c r="A6298" s="946" t="s">
        <v>28606</v>
      </c>
      <c r="B6298" s="947" t="s">
        <v>17395</v>
      </c>
      <c r="C6298" s="948" t="s">
        <v>17393</v>
      </c>
      <c r="D6298" s="242" t="s">
        <v>31100</v>
      </c>
      <c r="E6298" s="949">
        <v>1806</v>
      </c>
      <c r="F6298" s="949">
        <v>1806</v>
      </c>
      <c r="G6298" s="950" t="s">
        <v>7221</v>
      </c>
      <c r="H6298" s="950" t="s">
        <v>436</v>
      </c>
      <c r="I6298" s="951" t="s">
        <v>17394</v>
      </c>
      <c r="J6298" s="947" t="s">
        <v>17395</v>
      </c>
      <c r="K6298" s="143"/>
    </row>
    <row r="6299" spans="1:11">
      <c r="A6299" s="946" t="s">
        <v>28606</v>
      </c>
      <c r="B6299" s="947" t="s">
        <v>17490</v>
      </c>
      <c r="C6299" s="948" t="s">
        <v>17488</v>
      </c>
      <c r="D6299" s="242" t="s">
        <v>31100</v>
      </c>
      <c r="E6299" s="949">
        <v>1806</v>
      </c>
      <c r="F6299" s="949">
        <v>1806</v>
      </c>
      <c r="G6299" s="950" t="s">
        <v>7221</v>
      </c>
      <c r="H6299" s="950" t="s">
        <v>436</v>
      </c>
      <c r="I6299" s="951" t="s">
        <v>17489</v>
      </c>
      <c r="J6299" s="947" t="s">
        <v>17490</v>
      </c>
      <c r="K6299" s="143"/>
    </row>
    <row r="6300" spans="1:11">
      <c r="A6300" s="946" t="s">
        <v>28606</v>
      </c>
      <c r="B6300" s="947" t="s">
        <v>17519</v>
      </c>
      <c r="C6300" s="948" t="s">
        <v>17517</v>
      </c>
      <c r="D6300" s="242" t="s">
        <v>31100</v>
      </c>
      <c r="E6300" s="949">
        <v>1806</v>
      </c>
      <c r="F6300" s="949">
        <v>1806</v>
      </c>
      <c r="G6300" s="950" t="s">
        <v>7221</v>
      </c>
      <c r="H6300" s="950" t="s">
        <v>436</v>
      </c>
      <c r="I6300" s="951" t="s">
        <v>17518</v>
      </c>
      <c r="J6300" s="947" t="s">
        <v>17519</v>
      </c>
      <c r="K6300" s="143"/>
    </row>
    <row r="6301" spans="1:11">
      <c r="A6301" s="946" t="s">
        <v>28606</v>
      </c>
      <c r="B6301" s="947" t="s">
        <v>17537</v>
      </c>
      <c r="C6301" s="948" t="s">
        <v>17535</v>
      </c>
      <c r="D6301" s="242" t="s">
        <v>31100</v>
      </c>
      <c r="E6301" s="949">
        <v>1806</v>
      </c>
      <c r="F6301" s="949">
        <v>1806</v>
      </c>
      <c r="G6301" s="950" t="s">
        <v>7221</v>
      </c>
      <c r="H6301" s="950" t="s">
        <v>436</v>
      </c>
      <c r="I6301" s="951" t="s">
        <v>17536</v>
      </c>
      <c r="J6301" s="947" t="s">
        <v>17537</v>
      </c>
      <c r="K6301" s="143"/>
    </row>
    <row r="6302" spans="1:11">
      <c r="A6302" s="946" t="s">
        <v>28606</v>
      </c>
      <c r="B6302" s="947" t="s">
        <v>17573</v>
      </c>
      <c r="C6302" s="948" t="s">
        <v>17571</v>
      </c>
      <c r="D6302" s="242" t="s">
        <v>31100</v>
      </c>
      <c r="E6302" s="949">
        <v>1806</v>
      </c>
      <c r="F6302" s="949">
        <v>1806</v>
      </c>
      <c r="G6302" s="950" t="s">
        <v>7221</v>
      </c>
      <c r="H6302" s="950" t="s">
        <v>436</v>
      </c>
      <c r="I6302" s="951" t="s">
        <v>17572</v>
      </c>
      <c r="J6302" s="947" t="s">
        <v>17573</v>
      </c>
      <c r="K6302" s="143"/>
    </row>
    <row r="6303" spans="1:11">
      <c r="A6303" s="946" t="s">
        <v>28606</v>
      </c>
      <c r="B6303" s="947" t="s">
        <v>18350</v>
      </c>
      <c r="C6303" s="948" t="s">
        <v>18348</v>
      </c>
      <c r="D6303" s="242" t="s">
        <v>31100</v>
      </c>
      <c r="E6303" s="949">
        <v>1806</v>
      </c>
      <c r="F6303" s="949">
        <v>1806</v>
      </c>
      <c r="G6303" s="950" t="s">
        <v>7221</v>
      </c>
      <c r="H6303" s="950" t="s">
        <v>436</v>
      </c>
      <c r="I6303" s="951" t="s">
        <v>18349</v>
      </c>
      <c r="J6303" s="947" t="s">
        <v>18350</v>
      </c>
      <c r="K6303" s="143"/>
    </row>
    <row r="6304" spans="1:11">
      <c r="A6304" s="946" t="s">
        <v>28606</v>
      </c>
      <c r="B6304" s="947" t="s">
        <v>17641</v>
      </c>
      <c r="C6304" s="948" t="s">
        <v>17639</v>
      </c>
      <c r="D6304" s="242" t="s">
        <v>31100</v>
      </c>
      <c r="E6304" s="949">
        <v>1806</v>
      </c>
      <c r="F6304" s="949">
        <v>1806</v>
      </c>
      <c r="G6304" s="950" t="s">
        <v>7221</v>
      </c>
      <c r="H6304" s="950" t="s">
        <v>436</v>
      </c>
      <c r="I6304" s="951" t="s">
        <v>17640</v>
      </c>
      <c r="J6304" s="947" t="s">
        <v>17641</v>
      </c>
      <c r="K6304" s="143"/>
    </row>
    <row r="6305" spans="1:11">
      <c r="A6305" s="946" t="s">
        <v>28606</v>
      </c>
      <c r="B6305" s="947" t="s">
        <v>17720</v>
      </c>
      <c r="C6305" s="948" t="s">
        <v>17718</v>
      </c>
      <c r="D6305" s="242" t="s">
        <v>31100</v>
      </c>
      <c r="E6305" s="949">
        <v>1806</v>
      </c>
      <c r="F6305" s="949">
        <v>1806</v>
      </c>
      <c r="G6305" s="950" t="s">
        <v>7221</v>
      </c>
      <c r="H6305" s="950" t="s">
        <v>436</v>
      </c>
      <c r="I6305" s="951" t="s">
        <v>17719</v>
      </c>
      <c r="J6305" s="947" t="s">
        <v>17720</v>
      </c>
      <c r="K6305" s="143"/>
    </row>
    <row r="6306" spans="1:11">
      <c r="A6306" s="946" t="s">
        <v>28606</v>
      </c>
      <c r="B6306" s="947" t="s">
        <v>17819</v>
      </c>
      <c r="C6306" s="948" t="s">
        <v>17817</v>
      </c>
      <c r="D6306" s="242" t="s">
        <v>31100</v>
      </c>
      <c r="E6306" s="949">
        <v>1806</v>
      </c>
      <c r="F6306" s="949">
        <v>1806</v>
      </c>
      <c r="G6306" s="950" t="s">
        <v>7221</v>
      </c>
      <c r="H6306" s="950" t="s">
        <v>436</v>
      </c>
      <c r="I6306" s="951" t="s">
        <v>17818</v>
      </c>
      <c r="J6306" s="947" t="s">
        <v>17819</v>
      </c>
      <c r="K6306" s="143"/>
    </row>
    <row r="6307" spans="1:11">
      <c r="A6307" s="946" t="s">
        <v>28606</v>
      </c>
      <c r="B6307" s="947" t="s">
        <v>17822</v>
      </c>
      <c r="C6307" s="948" t="s">
        <v>17820</v>
      </c>
      <c r="D6307" s="242" t="s">
        <v>31100</v>
      </c>
      <c r="E6307" s="949">
        <v>1806</v>
      </c>
      <c r="F6307" s="949">
        <v>1806</v>
      </c>
      <c r="G6307" s="950" t="s">
        <v>7221</v>
      </c>
      <c r="H6307" s="950" t="s">
        <v>436</v>
      </c>
      <c r="I6307" s="951" t="s">
        <v>17821</v>
      </c>
      <c r="J6307" s="947" t="s">
        <v>17822</v>
      </c>
      <c r="K6307" s="143"/>
    </row>
    <row r="6308" spans="1:11">
      <c r="A6308" s="946" t="s">
        <v>28606</v>
      </c>
      <c r="B6308" s="947" t="s">
        <v>17841</v>
      </c>
      <c r="C6308" s="948" t="s">
        <v>17839</v>
      </c>
      <c r="D6308" s="242" t="s">
        <v>31100</v>
      </c>
      <c r="E6308" s="949">
        <v>1806</v>
      </c>
      <c r="F6308" s="949">
        <v>1806</v>
      </c>
      <c r="G6308" s="950" t="s">
        <v>7221</v>
      </c>
      <c r="H6308" s="950" t="s">
        <v>436</v>
      </c>
      <c r="I6308" s="951" t="s">
        <v>17840</v>
      </c>
      <c r="J6308" s="947" t="s">
        <v>17841</v>
      </c>
      <c r="K6308" s="143"/>
    </row>
    <row r="6309" spans="1:11">
      <c r="A6309" s="946" t="s">
        <v>28606</v>
      </c>
      <c r="B6309" s="947" t="s">
        <v>17862</v>
      </c>
      <c r="C6309" s="948" t="s">
        <v>17860</v>
      </c>
      <c r="D6309" s="242" t="s">
        <v>31100</v>
      </c>
      <c r="E6309" s="949">
        <v>1806</v>
      </c>
      <c r="F6309" s="949">
        <v>1806</v>
      </c>
      <c r="G6309" s="950" t="s">
        <v>7221</v>
      </c>
      <c r="H6309" s="950" t="s">
        <v>436</v>
      </c>
      <c r="I6309" s="951" t="s">
        <v>17861</v>
      </c>
      <c r="J6309" s="947" t="s">
        <v>17862</v>
      </c>
      <c r="K6309" s="143"/>
    </row>
    <row r="6310" spans="1:11">
      <c r="A6310" s="946" t="s">
        <v>28606</v>
      </c>
      <c r="B6310" s="947" t="s">
        <v>17901</v>
      </c>
      <c r="C6310" s="948" t="s">
        <v>17899</v>
      </c>
      <c r="D6310" s="242" t="s">
        <v>31100</v>
      </c>
      <c r="E6310" s="949">
        <v>1806</v>
      </c>
      <c r="F6310" s="949">
        <v>1806</v>
      </c>
      <c r="G6310" s="950" t="s">
        <v>7221</v>
      </c>
      <c r="H6310" s="950" t="s">
        <v>436</v>
      </c>
      <c r="I6310" s="951" t="s">
        <v>17900</v>
      </c>
      <c r="J6310" s="947" t="s">
        <v>17901</v>
      </c>
      <c r="K6310" s="143"/>
    </row>
    <row r="6311" spans="1:11">
      <c r="A6311" s="946" t="s">
        <v>28606</v>
      </c>
      <c r="B6311" s="947" t="s">
        <v>18007</v>
      </c>
      <c r="C6311" s="948" t="s">
        <v>18005</v>
      </c>
      <c r="D6311" s="242" t="s">
        <v>31100</v>
      </c>
      <c r="E6311" s="949">
        <v>1806</v>
      </c>
      <c r="F6311" s="949">
        <v>1806</v>
      </c>
      <c r="G6311" s="950" t="s">
        <v>7221</v>
      </c>
      <c r="H6311" s="950" t="s">
        <v>436</v>
      </c>
      <c r="I6311" s="951" t="s">
        <v>18006</v>
      </c>
      <c r="J6311" s="947" t="s">
        <v>18007</v>
      </c>
      <c r="K6311" s="143"/>
    </row>
    <row r="6312" spans="1:11">
      <c r="A6312" s="946" t="s">
        <v>28606</v>
      </c>
      <c r="B6312" s="947" t="s">
        <v>18096</v>
      </c>
      <c r="C6312" s="948" t="s">
        <v>18094</v>
      </c>
      <c r="D6312" s="242" t="s">
        <v>31100</v>
      </c>
      <c r="E6312" s="949">
        <v>1806</v>
      </c>
      <c r="F6312" s="949">
        <v>1806</v>
      </c>
      <c r="G6312" s="950" t="s">
        <v>7221</v>
      </c>
      <c r="H6312" s="950" t="s">
        <v>436</v>
      </c>
      <c r="I6312" s="951" t="s">
        <v>18095</v>
      </c>
      <c r="J6312" s="947" t="s">
        <v>18096</v>
      </c>
      <c r="K6312" s="143"/>
    </row>
    <row r="6313" spans="1:11">
      <c r="A6313" s="946" t="s">
        <v>28606</v>
      </c>
      <c r="B6313" s="947" t="s">
        <v>18111</v>
      </c>
      <c r="C6313" s="948" t="s">
        <v>18109</v>
      </c>
      <c r="D6313" s="242" t="s">
        <v>31100</v>
      </c>
      <c r="E6313" s="949">
        <v>1806</v>
      </c>
      <c r="F6313" s="949">
        <v>1806</v>
      </c>
      <c r="G6313" s="950" t="s">
        <v>7221</v>
      </c>
      <c r="H6313" s="950" t="s">
        <v>436</v>
      </c>
      <c r="I6313" s="951" t="s">
        <v>18110</v>
      </c>
      <c r="J6313" s="947" t="s">
        <v>18111</v>
      </c>
      <c r="K6313" s="143"/>
    </row>
    <row r="6314" spans="1:11">
      <c r="A6314" s="946" t="s">
        <v>28606</v>
      </c>
      <c r="B6314" s="947" t="s">
        <v>18237</v>
      </c>
      <c r="C6314" s="948" t="s">
        <v>18235</v>
      </c>
      <c r="D6314" s="242" t="s">
        <v>31100</v>
      </c>
      <c r="E6314" s="949">
        <v>1806</v>
      </c>
      <c r="F6314" s="949">
        <v>1806</v>
      </c>
      <c r="G6314" s="950" t="s">
        <v>7221</v>
      </c>
      <c r="H6314" s="950" t="s">
        <v>436</v>
      </c>
      <c r="I6314" s="951" t="s">
        <v>18236</v>
      </c>
      <c r="J6314" s="947" t="s">
        <v>18237</v>
      </c>
      <c r="K6314" s="143"/>
    </row>
    <row r="6315" spans="1:11">
      <c r="A6315" s="946" t="s">
        <v>28606</v>
      </c>
      <c r="B6315" s="947" t="s">
        <v>18375</v>
      </c>
      <c r="C6315" s="948" t="s">
        <v>18373</v>
      </c>
      <c r="D6315" s="242" t="s">
        <v>31100</v>
      </c>
      <c r="E6315" s="949">
        <v>1806</v>
      </c>
      <c r="F6315" s="949">
        <v>1806</v>
      </c>
      <c r="G6315" s="950" t="s">
        <v>7221</v>
      </c>
      <c r="H6315" s="950" t="s">
        <v>436</v>
      </c>
      <c r="I6315" s="951" t="s">
        <v>18374</v>
      </c>
      <c r="J6315" s="947" t="s">
        <v>18375</v>
      </c>
      <c r="K6315" s="143"/>
    </row>
    <row r="6316" spans="1:11">
      <c r="A6316" s="946" t="s">
        <v>28606</v>
      </c>
      <c r="B6316" s="947" t="s">
        <v>18409</v>
      </c>
      <c r="C6316" s="948" t="s">
        <v>18407</v>
      </c>
      <c r="D6316" s="242" t="s">
        <v>31100</v>
      </c>
      <c r="E6316" s="949">
        <v>1806</v>
      </c>
      <c r="F6316" s="949">
        <v>1806</v>
      </c>
      <c r="G6316" s="950" t="s">
        <v>7221</v>
      </c>
      <c r="H6316" s="950" t="s">
        <v>436</v>
      </c>
      <c r="I6316" s="951" t="s">
        <v>18408</v>
      </c>
      <c r="J6316" s="947" t="s">
        <v>18409</v>
      </c>
      <c r="K6316" s="143"/>
    </row>
    <row r="6317" spans="1:11">
      <c r="A6317" s="946" t="s">
        <v>28606</v>
      </c>
      <c r="B6317" s="947" t="s">
        <v>18550</v>
      </c>
      <c r="C6317" s="948" t="s">
        <v>18548</v>
      </c>
      <c r="D6317" s="242" t="s">
        <v>31100</v>
      </c>
      <c r="E6317" s="949">
        <v>1806</v>
      </c>
      <c r="F6317" s="949">
        <v>1806</v>
      </c>
      <c r="G6317" s="950" t="s">
        <v>7221</v>
      </c>
      <c r="H6317" s="950" t="s">
        <v>436</v>
      </c>
      <c r="I6317" s="951" t="s">
        <v>18549</v>
      </c>
      <c r="J6317" s="947" t="s">
        <v>18550</v>
      </c>
      <c r="K6317" s="143"/>
    </row>
    <row r="6318" spans="1:11">
      <c r="A6318" s="946" t="s">
        <v>28606</v>
      </c>
      <c r="B6318" s="947" t="s">
        <v>18467</v>
      </c>
      <c r="C6318" s="948" t="s">
        <v>18465</v>
      </c>
      <c r="D6318" s="242" t="s">
        <v>31100</v>
      </c>
      <c r="E6318" s="949">
        <v>1806</v>
      </c>
      <c r="F6318" s="949">
        <v>1806</v>
      </c>
      <c r="G6318" s="950" t="s">
        <v>7221</v>
      </c>
      <c r="H6318" s="950" t="s">
        <v>436</v>
      </c>
      <c r="I6318" s="951" t="s">
        <v>18466</v>
      </c>
      <c r="J6318" s="947" t="s">
        <v>18467</v>
      </c>
      <c r="K6318" s="143"/>
    </row>
    <row r="6319" spans="1:11">
      <c r="A6319" s="946" t="s">
        <v>28606</v>
      </c>
      <c r="B6319" s="947" t="s">
        <v>18522</v>
      </c>
      <c r="C6319" s="948" t="s">
        <v>18520</v>
      </c>
      <c r="D6319" s="242" t="s">
        <v>31100</v>
      </c>
      <c r="E6319" s="949">
        <v>1806</v>
      </c>
      <c r="F6319" s="949">
        <v>1806</v>
      </c>
      <c r="G6319" s="950" t="s">
        <v>7221</v>
      </c>
      <c r="H6319" s="950" t="s">
        <v>436</v>
      </c>
      <c r="I6319" s="951" t="s">
        <v>18521</v>
      </c>
      <c r="J6319" s="947" t="s">
        <v>18522</v>
      </c>
      <c r="K6319" s="143"/>
    </row>
    <row r="6320" spans="1:11">
      <c r="A6320" s="946" t="s">
        <v>28606</v>
      </c>
      <c r="B6320" s="947" t="s">
        <v>18774</v>
      </c>
      <c r="C6320" s="948" t="s">
        <v>18772</v>
      </c>
      <c r="D6320" s="242" t="s">
        <v>31100</v>
      </c>
      <c r="E6320" s="949">
        <v>1806</v>
      </c>
      <c r="F6320" s="949">
        <v>1806</v>
      </c>
      <c r="G6320" s="950" t="s">
        <v>7221</v>
      </c>
      <c r="H6320" s="950" t="s">
        <v>436</v>
      </c>
      <c r="I6320" s="951" t="s">
        <v>18773</v>
      </c>
      <c r="J6320" s="947" t="s">
        <v>18774</v>
      </c>
      <c r="K6320" s="143"/>
    </row>
    <row r="6321" spans="1:11">
      <c r="A6321" s="946" t="s">
        <v>28606</v>
      </c>
      <c r="B6321" s="947" t="s">
        <v>18268</v>
      </c>
      <c r="C6321" s="948" t="s">
        <v>18266</v>
      </c>
      <c r="D6321" s="242" t="s">
        <v>31100</v>
      </c>
      <c r="E6321" s="949">
        <v>1806</v>
      </c>
      <c r="F6321" s="949">
        <v>1806</v>
      </c>
      <c r="G6321" s="950" t="s">
        <v>7221</v>
      </c>
      <c r="H6321" s="950" t="s">
        <v>436</v>
      </c>
      <c r="I6321" s="951" t="s">
        <v>18267</v>
      </c>
      <c r="J6321" s="947" t="s">
        <v>18268</v>
      </c>
      <c r="K6321" s="143"/>
    </row>
    <row r="6322" spans="1:11">
      <c r="A6322" s="946" t="s">
        <v>28606</v>
      </c>
      <c r="B6322" s="947" t="s">
        <v>18841</v>
      </c>
      <c r="C6322" s="948" t="s">
        <v>18839</v>
      </c>
      <c r="D6322" s="242" t="s">
        <v>31100</v>
      </c>
      <c r="E6322" s="949">
        <v>1806</v>
      </c>
      <c r="F6322" s="949">
        <v>1806</v>
      </c>
      <c r="G6322" s="950" t="s">
        <v>7221</v>
      </c>
      <c r="H6322" s="950" t="s">
        <v>436</v>
      </c>
      <c r="I6322" s="951" t="s">
        <v>18840</v>
      </c>
      <c r="J6322" s="947" t="s">
        <v>18841</v>
      </c>
      <c r="K6322" s="143"/>
    </row>
    <row r="6323" spans="1:11">
      <c r="A6323" s="946" t="s">
        <v>28606</v>
      </c>
      <c r="B6323" s="947" t="s">
        <v>19002</v>
      </c>
      <c r="C6323" s="948" t="s">
        <v>19000</v>
      </c>
      <c r="D6323" s="242" t="s">
        <v>31100</v>
      </c>
      <c r="E6323" s="949">
        <v>1806</v>
      </c>
      <c r="F6323" s="949">
        <v>1806</v>
      </c>
      <c r="G6323" s="950" t="s">
        <v>7221</v>
      </c>
      <c r="H6323" s="950" t="s">
        <v>436</v>
      </c>
      <c r="I6323" s="951" t="s">
        <v>19001</v>
      </c>
      <c r="J6323" s="947" t="s">
        <v>19002</v>
      </c>
      <c r="K6323" s="143"/>
    </row>
    <row r="6324" spans="1:11">
      <c r="A6324" s="946" t="s">
        <v>28606</v>
      </c>
      <c r="B6324" s="947" t="s">
        <v>19008</v>
      </c>
      <c r="C6324" s="948" t="s">
        <v>19006</v>
      </c>
      <c r="D6324" s="242" t="s">
        <v>31100</v>
      </c>
      <c r="E6324" s="949">
        <v>1806</v>
      </c>
      <c r="F6324" s="949">
        <v>1806</v>
      </c>
      <c r="G6324" s="950" t="s">
        <v>7221</v>
      </c>
      <c r="H6324" s="950" t="s">
        <v>436</v>
      </c>
      <c r="I6324" s="951" t="s">
        <v>19007</v>
      </c>
      <c r="J6324" s="947" t="s">
        <v>19008</v>
      </c>
      <c r="K6324" s="143"/>
    </row>
    <row r="6325" spans="1:11">
      <c r="A6325" s="946" t="s">
        <v>28606</v>
      </c>
      <c r="B6325" s="947" t="s">
        <v>19103</v>
      </c>
      <c r="C6325" s="948" t="s">
        <v>19101</v>
      </c>
      <c r="D6325" s="242" t="s">
        <v>31100</v>
      </c>
      <c r="E6325" s="949">
        <v>1806</v>
      </c>
      <c r="F6325" s="949">
        <v>1806</v>
      </c>
      <c r="G6325" s="950" t="s">
        <v>7221</v>
      </c>
      <c r="H6325" s="950" t="s">
        <v>436</v>
      </c>
      <c r="I6325" s="951" t="s">
        <v>19102</v>
      </c>
      <c r="J6325" s="947" t="s">
        <v>19103</v>
      </c>
      <c r="K6325" s="143"/>
    </row>
    <row r="6326" spans="1:11">
      <c r="A6326" s="946" t="s">
        <v>28606</v>
      </c>
      <c r="B6326" s="947" t="s">
        <v>19316</v>
      </c>
      <c r="C6326" s="948" t="s">
        <v>19314</v>
      </c>
      <c r="D6326" s="242" t="s">
        <v>31100</v>
      </c>
      <c r="E6326" s="949">
        <v>1806</v>
      </c>
      <c r="F6326" s="949">
        <v>1806</v>
      </c>
      <c r="G6326" s="950" t="s">
        <v>7221</v>
      </c>
      <c r="H6326" s="950" t="s">
        <v>436</v>
      </c>
      <c r="I6326" s="951" t="s">
        <v>19315</v>
      </c>
      <c r="J6326" s="947" t="s">
        <v>19316</v>
      </c>
      <c r="K6326" s="143"/>
    </row>
    <row r="6327" spans="1:11">
      <c r="A6327" s="946" t="s">
        <v>28606</v>
      </c>
      <c r="B6327" s="947" t="s">
        <v>19866</v>
      </c>
      <c r="C6327" s="948" t="s">
        <v>19864</v>
      </c>
      <c r="D6327" s="242" t="s">
        <v>31100</v>
      </c>
      <c r="E6327" s="949">
        <v>1806</v>
      </c>
      <c r="F6327" s="949">
        <v>1806</v>
      </c>
      <c r="G6327" s="950" t="s">
        <v>7221</v>
      </c>
      <c r="H6327" s="950" t="s">
        <v>436</v>
      </c>
      <c r="I6327" s="951" t="s">
        <v>19865</v>
      </c>
      <c r="J6327" s="947" t="s">
        <v>19866</v>
      </c>
      <c r="K6327" s="143"/>
    </row>
    <row r="6328" spans="1:11">
      <c r="A6328" s="946" t="s">
        <v>28606</v>
      </c>
      <c r="B6328" s="947" t="s">
        <v>19869</v>
      </c>
      <c r="C6328" s="948" t="s">
        <v>19867</v>
      </c>
      <c r="D6328" s="242" t="s">
        <v>31100</v>
      </c>
      <c r="E6328" s="949">
        <v>1806</v>
      </c>
      <c r="F6328" s="949">
        <v>1806</v>
      </c>
      <c r="G6328" s="950" t="s">
        <v>7221</v>
      </c>
      <c r="H6328" s="950" t="s">
        <v>436</v>
      </c>
      <c r="I6328" s="951" t="s">
        <v>19868</v>
      </c>
      <c r="J6328" s="947" t="s">
        <v>19869</v>
      </c>
      <c r="K6328" s="143"/>
    </row>
    <row r="6329" spans="1:11">
      <c r="A6329" s="946" t="s">
        <v>28606</v>
      </c>
      <c r="B6329" s="947" t="s">
        <v>20221</v>
      </c>
      <c r="C6329" s="948" t="s">
        <v>20219</v>
      </c>
      <c r="D6329" s="242" t="s">
        <v>31100</v>
      </c>
      <c r="E6329" s="949">
        <v>1806</v>
      </c>
      <c r="F6329" s="949">
        <v>1806</v>
      </c>
      <c r="G6329" s="950" t="s">
        <v>7221</v>
      </c>
      <c r="H6329" s="950" t="s">
        <v>436</v>
      </c>
      <c r="I6329" s="951" t="s">
        <v>20220</v>
      </c>
      <c r="J6329" s="947" t="s">
        <v>20221</v>
      </c>
      <c r="K6329" s="143"/>
    </row>
    <row r="6330" spans="1:11">
      <c r="A6330" s="946" t="s">
        <v>28606</v>
      </c>
      <c r="B6330" s="947" t="s">
        <v>20377</v>
      </c>
      <c r="C6330" s="948" t="s">
        <v>20375</v>
      </c>
      <c r="D6330" s="242" t="s">
        <v>31100</v>
      </c>
      <c r="E6330" s="949">
        <v>1806</v>
      </c>
      <c r="F6330" s="949">
        <v>1806</v>
      </c>
      <c r="G6330" s="950" t="s">
        <v>7221</v>
      </c>
      <c r="H6330" s="950" t="s">
        <v>436</v>
      </c>
      <c r="I6330" s="951" t="s">
        <v>20376</v>
      </c>
      <c r="J6330" s="947" t="s">
        <v>20377</v>
      </c>
      <c r="K6330" s="143"/>
    </row>
    <row r="6331" spans="1:11">
      <c r="A6331" s="946" t="s">
        <v>28606</v>
      </c>
      <c r="B6331" s="947" t="s">
        <v>20398</v>
      </c>
      <c r="C6331" s="948" t="s">
        <v>20396</v>
      </c>
      <c r="D6331" s="242" t="s">
        <v>31100</v>
      </c>
      <c r="E6331" s="949">
        <v>1806</v>
      </c>
      <c r="F6331" s="949">
        <v>1806</v>
      </c>
      <c r="G6331" s="950" t="s">
        <v>7221</v>
      </c>
      <c r="H6331" s="950" t="s">
        <v>436</v>
      </c>
      <c r="I6331" s="951" t="s">
        <v>20397</v>
      </c>
      <c r="J6331" s="947" t="s">
        <v>20398</v>
      </c>
      <c r="K6331" s="143"/>
    </row>
    <row r="6332" spans="1:11">
      <c r="A6332" s="946" t="s">
        <v>28606</v>
      </c>
      <c r="B6332" s="947" t="s">
        <v>20552</v>
      </c>
      <c r="C6332" s="948" t="s">
        <v>20550</v>
      </c>
      <c r="D6332" s="242" t="s">
        <v>31100</v>
      </c>
      <c r="E6332" s="949">
        <v>1806</v>
      </c>
      <c r="F6332" s="949">
        <v>1806</v>
      </c>
      <c r="G6332" s="950" t="s">
        <v>7221</v>
      </c>
      <c r="H6332" s="950" t="s">
        <v>436</v>
      </c>
      <c r="I6332" s="951" t="s">
        <v>20551</v>
      </c>
      <c r="J6332" s="947" t="s">
        <v>20552</v>
      </c>
      <c r="K6332" s="143"/>
    </row>
    <row r="6333" spans="1:11">
      <c r="A6333" s="946" t="s">
        <v>28606</v>
      </c>
      <c r="B6333" s="947" t="s">
        <v>20787</v>
      </c>
      <c r="C6333" s="948" t="s">
        <v>20785</v>
      </c>
      <c r="D6333" s="242" t="s">
        <v>31100</v>
      </c>
      <c r="E6333" s="949">
        <v>1806</v>
      </c>
      <c r="F6333" s="949">
        <v>1806</v>
      </c>
      <c r="G6333" s="950" t="s">
        <v>7221</v>
      </c>
      <c r="H6333" s="950" t="s">
        <v>436</v>
      </c>
      <c r="I6333" s="951" t="s">
        <v>20786</v>
      </c>
      <c r="J6333" s="947" t="s">
        <v>20787</v>
      </c>
      <c r="K6333" s="143"/>
    </row>
    <row r="6334" spans="1:11">
      <c r="A6334" s="946" t="s">
        <v>28606</v>
      </c>
      <c r="B6334" s="947" t="s">
        <v>20889</v>
      </c>
      <c r="C6334" s="948" t="s">
        <v>20887</v>
      </c>
      <c r="D6334" s="242" t="s">
        <v>31100</v>
      </c>
      <c r="E6334" s="949">
        <v>1806</v>
      </c>
      <c r="F6334" s="949">
        <v>1806</v>
      </c>
      <c r="G6334" s="950" t="s">
        <v>7221</v>
      </c>
      <c r="H6334" s="950" t="s">
        <v>436</v>
      </c>
      <c r="I6334" s="951" t="s">
        <v>20888</v>
      </c>
      <c r="J6334" s="947" t="s">
        <v>20889</v>
      </c>
      <c r="K6334" s="143"/>
    </row>
    <row r="6335" spans="1:11">
      <c r="A6335" s="946" t="s">
        <v>28606</v>
      </c>
      <c r="B6335" s="947" t="s">
        <v>21241</v>
      </c>
      <c r="C6335" s="948" t="s">
        <v>21239</v>
      </c>
      <c r="D6335" s="242" t="s">
        <v>31100</v>
      </c>
      <c r="E6335" s="949">
        <v>1806</v>
      </c>
      <c r="F6335" s="949">
        <v>1806</v>
      </c>
      <c r="G6335" s="950" t="s">
        <v>7221</v>
      </c>
      <c r="H6335" s="950" t="s">
        <v>436</v>
      </c>
      <c r="I6335" s="951" t="s">
        <v>21240</v>
      </c>
      <c r="J6335" s="947" t="s">
        <v>21241</v>
      </c>
      <c r="K6335" s="143"/>
    </row>
    <row r="6336" spans="1:11">
      <c r="A6336" s="946" t="s">
        <v>28606</v>
      </c>
      <c r="B6336" s="947" t="s">
        <v>21730</v>
      </c>
      <c r="C6336" s="948" t="s">
        <v>21728</v>
      </c>
      <c r="D6336" s="242" t="s">
        <v>31100</v>
      </c>
      <c r="E6336" s="949">
        <v>1806</v>
      </c>
      <c r="F6336" s="949">
        <v>1806</v>
      </c>
      <c r="G6336" s="950" t="s">
        <v>7221</v>
      </c>
      <c r="H6336" s="950" t="s">
        <v>436</v>
      </c>
      <c r="I6336" s="951" t="s">
        <v>21729</v>
      </c>
      <c r="J6336" s="947" t="s">
        <v>21730</v>
      </c>
      <c r="K6336" s="143"/>
    </row>
    <row r="6337" spans="1:11">
      <c r="A6337" s="946" t="s">
        <v>28606</v>
      </c>
      <c r="B6337" s="947" t="s">
        <v>22281</v>
      </c>
      <c r="C6337" s="948" t="s">
        <v>22279</v>
      </c>
      <c r="D6337" s="242" t="s">
        <v>31100</v>
      </c>
      <c r="E6337" s="949">
        <v>1806</v>
      </c>
      <c r="F6337" s="949">
        <v>1806</v>
      </c>
      <c r="G6337" s="950" t="s">
        <v>7221</v>
      </c>
      <c r="H6337" s="950" t="s">
        <v>436</v>
      </c>
      <c r="I6337" s="951" t="s">
        <v>22280</v>
      </c>
      <c r="J6337" s="947" t="s">
        <v>22281</v>
      </c>
      <c r="K6337" s="143"/>
    </row>
    <row r="6338" spans="1:11">
      <c r="A6338" s="946" t="s">
        <v>28606</v>
      </c>
      <c r="B6338" s="947" t="s">
        <v>22683</v>
      </c>
      <c r="C6338" s="948" t="s">
        <v>22681</v>
      </c>
      <c r="D6338" s="242" t="s">
        <v>31100</v>
      </c>
      <c r="E6338" s="949">
        <v>1806</v>
      </c>
      <c r="F6338" s="949">
        <v>1806</v>
      </c>
      <c r="G6338" s="950" t="s">
        <v>7221</v>
      </c>
      <c r="H6338" s="950" t="s">
        <v>436</v>
      </c>
      <c r="I6338" s="951" t="s">
        <v>22682</v>
      </c>
      <c r="J6338" s="947" t="s">
        <v>22683</v>
      </c>
      <c r="K6338" s="143"/>
    </row>
    <row r="6339" spans="1:11">
      <c r="A6339" s="946" t="s">
        <v>28606</v>
      </c>
      <c r="B6339" s="947" t="s">
        <v>26055</v>
      </c>
      <c r="C6339" s="948" t="s">
        <v>26056</v>
      </c>
      <c r="D6339" s="242" t="s">
        <v>31100</v>
      </c>
      <c r="E6339" s="949">
        <v>1806</v>
      </c>
      <c r="F6339" s="949">
        <v>1806</v>
      </c>
      <c r="G6339" s="950" t="s">
        <v>7221</v>
      </c>
      <c r="H6339" s="950" t="s">
        <v>436</v>
      </c>
      <c r="I6339" s="951" t="s">
        <v>26057</v>
      </c>
      <c r="J6339" s="947" t="s">
        <v>26055</v>
      </c>
      <c r="K6339" s="143"/>
    </row>
    <row r="6340" spans="1:11">
      <c r="A6340" s="946" t="s">
        <v>28606</v>
      </c>
      <c r="B6340" s="947" t="s">
        <v>28621</v>
      </c>
      <c r="C6340" s="948" t="s">
        <v>28743</v>
      </c>
      <c r="D6340" s="242" t="s">
        <v>31100</v>
      </c>
      <c r="E6340" s="949">
        <v>1806</v>
      </c>
      <c r="F6340" s="949">
        <v>1806</v>
      </c>
      <c r="G6340" s="950" t="s">
        <v>7221</v>
      </c>
      <c r="H6340" s="950" t="s">
        <v>436</v>
      </c>
      <c r="I6340" s="951" t="s">
        <v>28667</v>
      </c>
      <c r="J6340" s="947" t="s">
        <v>28621</v>
      </c>
      <c r="K6340" s="143"/>
    </row>
    <row r="6341" spans="1:11">
      <c r="A6341" s="946" t="s">
        <v>28606</v>
      </c>
      <c r="B6341" s="947" t="s">
        <v>817</v>
      </c>
      <c r="C6341" s="948" t="s">
        <v>814</v>
      </c>
      <c r="D6341" s="242" t="s">
        <v>31100</v>
      </c>
      <c r="E6341" s="949">
        <v>1806</v>
      </c>
      <c r="F6341" s="949">
        <v>1806</v>
      </c>
      <c r="G6341" s="950" t="s">
        <v>5620</v>
      </c>
      <c r="H6341" s="950" t="s">
        <v>815</v>
      </c>
      <c r="I6341" s="951" t="s">
        <v>816</v>
      </c>
      <c r="J6341" s="947" t="s">
        <v>817</v>
      </c>
      <c r="K6341" s="143"/>
    </row>
    <row r="6342" spans="1:11">
      <c r="A6342" s="946" t="s">
        <v>28606</v>
      </c>
      <c r="B6342" s="947" t="s">
        <v>1069</v>
      </c>
      <c r="C6342" s="948" t="s">
        <v>1067</v>
      </c>
      <c r="D6342" s="242" t="s">
        <v>31100</v>
      </c>
      <c r="E6342" s="949">
        <v>1806</v>
      </c>
      <c r="F6342" s="949">
        <v>1806</v>
      </c>
      <c r="G6342" s="950" t="s">
        <v>5620</v>
      </c>
      <c r="H6342" s="950" t="s">
        <v>815</v>
      </c>
      <c r="I6342" s="951" t="s">
        <v>1068</v>
      </c>
      <c r="J6342" s="947" t="s">
        <v>1069</v>
      </c>
      <c r="K6342" s="143"/>
    </row>
    <row r="6343" spans="1:11">
      <c r="A6343" s="946" t="s">
        <v>28606</v>
      </c>
      <c r="B6343" s="947" t="s">
        <v>1075</v>
      </c>
      <c r="C6343" s="948" t="s">
        <v>1073</v>
      </c>
      <c r="D6343" s="242" t="s">
        <v>31100</v>
      </c>
      <c r="E6343" s="949">
        <v>1806</v>
      </c>
      <c r="F6343" s="949">
        <v>1806</v>
      </c>
      <c r="G6343" s="950" t="s">
        <v>5620</v>
      </c>
      <c r="H6343" s="950" t="s">
        <v>815</v>
      </c>
      <c r="I6343" s="951" t="s">
        <v>1074</v>
      </c>
      <c r="J6343" s="947" t="s">
        <v>1075</v>
      </c>
      <c r="K6343" s="143"/>
    </row>
    <row r="6344" spans="1:11">
      <c r="A6344" s="946" t="s">
        <v>28606</v>
      </c>
      <c r="B6344" s="947" t="s">
        <v>1115</v>
      </c>
      <c r="C6344" s="948" t="s">
        <v>1113</v>
      </c>
      <c r="D6344" s="242" t="s">
        <v>31100</v>
      </c>
      <c r="E6344" s="949">
        <v>1806</v>
      </c>
      <c r="F6344" s="949">
        <v>1806</v>
      </c>
      <c r="G6344" s="950" t="s">
        <v>5620</v>
      </c>
      <c r="H6344" s="950" t="s">
        <v>815</v>
      </c>
      <c r="I6344" s="951" t="s">
        <v>1114</v>
      </c>
      <c r="J6344" s="947" t="s">
        <v>1115</v>
      </c>
      <c r="K6344" s="143"/>
    </row>
    <row r="6345" spans="1:11">
      <c r="A6345" s="946" t="s">
        <v>28606</v>
      </c>
      <c r="B6345" s="947" t="s">
        <v>1401</v>
      </c>
      <c r="C6345" s="948" t="s">
        <v>1399</v>
      </c>
      <c r="D6345" s="242" t="s">
        <v>31100</v>
      </c>
      <c r="E6345" s="949">
        <v>1806</v>
      </c>
      <c r="F6345" s="949">
        <v>1806</v>
      </c>
      <c r="G6345" s="950" t="s">
        <v>5620</v>
      </c>
      <c r="H6345" s="950" t="s">
        <v>815</v>
      </c>
      <c r="I6345" s="951" t="s">
        <v>1400</v>
      </c>
      <c r="J6345" s="947" t="s">
        <v>1401</v>
      </c>
      <c r="K6345" s="143"/>
    </row>
    <row r="6346" spans="1:11">
      <c r="A6346" s="946" t="s">
        <v>28606</v>
      </c>
      <c r="B6346" s="947" t="s">
        <v>1752</v>
      </c>
      <c r="C6346" s="948" t="s">
        <v>1750</v>
      </c>
      <c r="D6346" s="242" t="s">
        <v>31100</v>
      </c>
      <c r="E6346" s="949">
        <v>1806</v>
      </c>
      <c r="F6346" s="949">
        <v>1806</v>
      </c>
      <c r="G6346" s="950" t="s">
        <v>5620</v>
      </c>
      <c r="H6346" s="950" t="s">
        <v>815</v>
      </c>
      <c r="I6346" s="951" t="s">
        <v>1751</v>
      </c>
      <c r="J6346" s="947" t="s">
        <v>1752</v>
      </c>
      <c r="K6346" s="143"/>
    </row>
    <row r="6347" spans="1:11">
      <c r="A6347" s="946" t="s">
        <v>28606</v>
      </c>
      <c r="B6347" s="947" t="s">
        <v>2149</v>
      </c>
      <c r="C6347" s="948" t="s">
        <v>2147</v>
      </c>
      <c r="D6347" s="242" t="s">
        <v>31100</v>
      </c>
      <c r="E6347" s="949">
        <v>1806</v>
      </c>
      <c r="F6347" s="949">
        <v>1806</v>
      </c>
      <c r="G6347" s="950" t="s">
        <v>5620</v>
      </c>
      <c r="H6347" s="950" t="s">
        <v>815</v>
      </c>
      <c r="I6347" s="951" t="s">
        <v>2148</v>
      </c>
      <c r="J6347" s="947" t="s">
        <v>2149</v>
      </c>
      <c r="K6347" s="143"/>
    </row>
    <row r="6348" spans="1:11">
      <c r="A6348" s="946" t="s">
        <v>28606</v>
      </c>
      <c r="B6348" s="947" t="s">
        <v>2715</v>
      </c>
      <c r="C6348" s="948" t="s">
        <v>2713</v>
      </c>
      <c r="D6348" s="242" t="s">
        <v>31100</v>
      </c>
      <c r="E6348" s="949">
        <v>1806</v>
      </c>
      <c r="F6348" s="949">
        <v>1806</v>
      </c>
      <c r="G6348" s="950" t="s">
        <v>5620</v>
      </c>
      <c r="H6348" s="950" t="s">
        <v>815</v>
      </c>
      <c r="I6348" s="951" t="s">
        <v>2714</v>
      </c>
      <c r="J6348" s="947" t="s">
        <v>2715</v>
      </c>
      <c r="K6348" s="143"/>
    </row>
    <row r="6349" spans="1:11">
      <c r="A6349" s="946" t="s">
        <v>28606</v>
      </c>
      <c r="B6349" s="947" t="s">
        <v>2891</v>
      </c>
      <c r="C6349" s="948" t="s">
        <v>2889</v>
      </c>
      <c r="D6349" s="242" t="s">
        <v>31100</v>
      </c>
      <c r="E6349" s="949">
        <v>1806</v>
      </c>
      <c r="F6349" s="949">
        <v>1806</v>
      </c>
      <c r="G6349" s="950" t="s">
        <v>5620</v>
      </c>
      <c r="H6349" s="950" t="s">
        <v>815</v>
      </c>
      <c r="I6349" s="951" t="s">
        <v>2890</v>
      </c>
      <c r="J6349" s="947" t="s">
        <v>2891</v>
      </c>
      <c r="K6349" s="143"/>
    </row>
    <row r="6350" spans="1:11">
      <c r="A6350" s="946" t="s">
        <v>28606</v>
      </c>
      <c r="B6350" s="947" t="s">
        <v>4197</v>
      </c>
      <c r="C6350" s="948" t="s">
        <v>4195</v>
      </c>
      <c r="D6350" s="242" t="s">
        <v>31100</v>
      </c>
      <c r="E6350" s="949">
        <v>1806</v>
      </c>
      <c r="F6350" s="949">
        <v>1806</v>
      </c>
      <c r="G6350" s="950" t="s">
        <v>5620</v>
      </c>
      <c r="H6350" s="950" t="s">
        <v>815</v>
      </c>
      <c r="I6350" s="951" t="s">
        <v>4196</v>
      </c>
      <c r="J6350" s="947" t="s">
        <v>4197</v>
      </c>
      <c r="K6350" s="143"/>
    </row>
    <row r="6351" spans="1:11">
      <c r="A6351" s="946" t="s">
        <v>28606</v>
      </c>
      <c r="B6351" s="947" t="s">
        <v>4276</v>
      </c>
      <c r="C6351" s="948" t="s">
        <v>4274</v>
      </c>
      <c r="D6351" s="242" t="s">
        <v>31100</v>
      </c>
      <c r="E6351" s="949">
        <v>1806</v>
      </c>
      <c r="F6351" s="949">
        <v>1806</v>
      </c>
      <c r="G6351" s="950" t="s">
        <v>5620</v>
      </c>
      <c r="H6351" s="950" t="s">
        <v>815</v>
      </c>
      <c r="I6351" s="951" t="s">
        <v>4275</v>
      </c>
      <c r="J6351" s="947" t="s">
        <v>4276</v>
      </c>
      <c r="K6351" s="143"/>
    </row>
    <row r="6352" spans="1:11">
      <c r="A6352" s="946" t="s">
        <v>28606</v>
      </c>
      <c r="B6352" s="947" t="s">
        <v>4350</v>
      </c>
      <c r="C6352" s="948" t="s">
        <v>4348</v>
      </c>
      <c r="D6352" s="242" t="s">
        <v>31100</v>
      </c>
      <c r="E6352" s="949">
        <v>1806</v>
      </c>
      <c r="F6352" s="949">
        <v>1806</v>
      </c>
      <c r="G6352" s="950" t="s">
        <v>5620</v>
      </c>
      <c r="H6352" s="950" t="s">
        <v>815</v>
      </c>
      <c r="I6352" s="951" t="s">
        <v>4349</v>
      </c>
      <c r="J6352" s="947" t="s">
        <v>4350</v>
      </c>
      <c r="K6352" s="143"/>
    </row>
    <row r="6353" spans="1:11">
      <c r="A6353" s="946" t="s">
        <v>28606</v>
      </c>
      <c r="B6353" s="947" t="s">
        <v>5620</v>
      </c>
      <c r="C6353" s="948" t="s">
        <v>5618</v>
      </c>
      <c r="D6353" s="242" t="s">
        <v>31100</v>
      </c>
      <c r="E6353" s="949">
        <v>1806</v>
      </c>
      <c r="F6353" s="949">
        <v>1806</v>
      </c>
      <c r="G6353" s="950" t="s">
        <v>5620</v>
      </c>
      <c r="H6353" s="950" t="s">
        <v>815</v>
      </c>
      <c r="I6353" s="951" t="s">
        <v>5619</v>
      </c>
      <c r="J6353" s="947" t="s">
        <v>5620</v>
      </c>
      <c r="K6353" s="143"/>
    </row>
    <row r="6354" spans="1:11">
      <c r="A6354" s="946" t="s">
        <v>28606</v>
      </c>
      <c r="B6354" s="947" t="s">
        <v>5838</v>
      </c>
      <c r="C6354" s="948" t="s">
        <v>5836</v>
      </c>
      <c r="D6354" s="242" t="s">
        <v>31100</v>
      </c>
      <c r="E6354" s="949">
        <v>1806</v>
      </c>
      <c r="F6354" s="949">
        <v>1806</v>
      </c>
      <c r="G6354" s="950" t="s">
        <v>5620</v>
      </c>
      <c r="H6354" s="950" t="s">
        <v>815</v>
      </c>
      <c r="I6354" s="951" t="s">
        <v>5837</v>
      </c>
      <c r="J6354" s="947" t="s">
        <v>5838</v>
      </c>
      <c r="K6354" s="143"/>
    </row>
    <row r="6355" spans="1:11">
      <c r="A6355" s="946" t="s">
        <v>28606</v>
      </c>
      <c r="B6355" s="947" t="s">
        <v>5868</v>
      </c>
      <c r="C6355" s="948" t="s">
        <v>5866</v>
      </c>
      <c r="D6355" s="242" t="s">
        <v>31100</v>
      </c>
      <c r="E6355" s="949">
        <v>1806</v>
      </c>
      <c r="F6355" s="949">
        <v>1806</v>
      </c>
      <c r="G6355" s="950" t="s">
        <v>5620</v>
      </c>
      <c r="H6355" s="950" t="s">
        <v>815</v>
      </c>
      <c r="I6355" s="951" t="s">
        <v>5867</v>
      </c>
      <c r="J6355" s="947" t="s">
        <v>5868</v>
      </c>
      <c r="K6355" s="143"/>
    </row>
    <row r="6356" spans="1:11">
      <c r="A6356" s="946" t="s">
        <v>28606</v>
      </c>
      <c r="B6356" s="947" t="s">
        <v>6049</v>
      </c>
      <c r="C6356" s="948" t="s">
        <v>6047</v>
      </c>
      <c r="D6356" s="242" t="s">
        <v>31100</v>
      </c>
      <c r="E6356" s="949">
        <v>1806</v>
      </c>
      <c r="F6356" s="949">
        <v>1806</v>
      </c>
      <c r="G6356" s="950" t="s">
        <v>5620</v>
      </c>
      <c r="H6356" s="950" t="s">
        <v>815</v>
      </c>
      <c r="I6356" s="951" t="s">
        <v>6048</v>
      </c>
      <c r="J6356" s="947" t="s">
        <v>6049</v>
      </c>
      <c r="K6356" s="143"/>
    </row>
    <row r="6357" spans="1:11">
      <c r="A6357" s="946" t="s">
        <v>28606</v>
      </c>
      <c r="B6357" s="947" t="s">
        <v>6225</v>
      </c>
      <c r="C6357" s="948" t="s">
        <v>6223</v>
      </c>
      <c r="D6357" s="242" t="s">
        <v>31100</v>
      </c>
      <c r="E6357" s="949">
        <v>1806</v>
      </c>
      <c r="F6357" s="949">
        <v>1806</v>
      </c>
      <c r="G6357" s="950" t="s">
        <v>5620</v>
      </c>
      <c r="H6357" s="950" t="s">
        <v>815</v>
      </c>
      <c r="I6357" s="951" t="s">
        <v>6224</v>
      </c>
      <c r="J6357" s="947" t="s">
        <v>6225</v>
      </c>
      <c r="K6357" s="143"/>
    </row>
    <row r="6358" spans="1:11">
      <c r="A6358" s="946" t="s">
        <v>28606</v>
      </c>
      <c r="B6358" s="947" t="s">
        <v>6350</v>
      </c>
      <c r="C6358" s="948" t="s">
        <v>6348</v>
      </c>
      <c r="D6358" s="242" t="s">
        <v>31100</v>
      </c>
      <c r="E6358" s="949">
        <v>1806</v>
      </c>
      <c r="F6358" s="949">
        <v>1806</v>
      </c>
      <c r="G6358" s="950" t="s">
        <v>5620</v>
      </c>
      <c r="H6358" s="950" t="s">
        <v>815</v>
      </c>
      <c r="I6358" s="951" t="s">
        <v>6349</v>
      </c>
      <c r="J6358" s="947" t="s">
        <v>6350</v>
      </c>
      <c r="K6358" s="143"/>
    </row>
    <row r="6359" spans="1:11">
      <c r="A6359" s="946" t="s">
        <v>28606</v>
      </c>
      <c r="B6359" s="947" t="s">
        <v>6970</v>
      </c>
      <c r="C6359" s="948" t="s">
        <v>6968</v>
      </c>
      <c r="D6359" s="242" t="s">
        <v>31100</v>
      </c>
      <c r="E6359" s="949">
        <v>1806</v>
      </c>
      <c r="F6359" s="949">
        <v>1806</v>
      </c>
      <c r="G6359" s="950" t="s">
        <v>5620</v>
      </c>
      <c r="H6359" s="950" t="s">
        <v>815</v>
      </c>
      <c r="I6359" s="951" t="s">
        <v>6969</v>
      </c>
      <c r="J6359" s="947" t="s">
        <v>6970</v>
      </c>
      <c r="K6359" s="143"/>
    </row>
    <row r="6360" spans="1:11">
      <c r="A6360" s="946" t="s">
        <v>28606</v>
      </c>
      <c r="B6360" s="947" t="s">
        <v>7153</v>
      </c>
      <c r="C6360" s="948" t="s">
        <v>7151</v>
      </c>
      <c r="D6360" s="242" t="s">
        <v>31100</v>
      </c>
      <c r="E6360" s="949">
        <v>1806</v>
      </c>
      <c r="F6360" s="949">
        <v>1806</v>
      </c>
      <c r="G6360" s="950" t="s">
        <v>5620</v>
      </c>
      <c r="H6360" s="950" t="s">
        <v>815</v>
      </c>
      <c r="I6360" s="951" t="s">
        <v>7152</v>
      </c>
      <c r="J6360" s="947" t="s">
        <v>7153</v>
      </c>
      <c r="K6360" s="143"/>
    </row>
    <row r="6361" spans="1:11">
      <c r="A6361" s="946" t="s">
        <v>28606</v>
      </c>
      <c r="B6361" s="947" t="s">
        <v>7411</v>
      </c>
      <c r="C6361" s="948" t="s">
        <v>7409</v>
      </c>
      <c r="D6361" s="242" t="s">
        <v>31100</v>
      </c>
      <c r="E6361" s="949">
        <v>1806</v>
      </c>
      <c r="F6361" s="949">
        <v>1806</v>
      </c>
      <c r="G6361" s="950" t="s">
        <v>5620</v>
      </c>
      <c r="H6361" s="950" t="s">
        <v>815</v>
      </c>
      <c r="I6361" s="951" t="s">
        <v>7410</v>
      </c>
      <c r="J6361" s="947" t="s">
        <v>7411</v>
      </c>
      <c r="K6361" s="143"/>
    </row>
    <row r="6362" spans="1:11">
      <c r="A6362" s="946" t="s">
        <v>28606</v>
      </c>
      <c r="B6362" s="947" t="s">
        <v>7494</v>
      </c>
      <c r="C6362" s="948" t="s">
        <v>7492</v>
      </c>
      <c r="D6362" s="242" t="s">
        <v>31100</v>
      </c>
      <c r="E6362" s="949">
        <v>1806</v>
      </c>
      <c r="F6362" s="949">
        <v>1806</v>
      </c>
      <c r="G6362" s="950" t="s">
        <v>5620</v>
      </c>
      <c r="H6362" s="950" t="s">
        <v>815</v>
      </c>
      <c r="I6362" s="951" t="s">
        <v>7493</v>
      </c>
      <c r="J6362" s="947" t="s">
        <v>7494</v>
      </c>
      <c r="K6362" s="143"/>
    </row>
    <row r="6363" spans="1:11">
      <c r="A6363" s="946" t="s">
        <v>28606</v>
      </c>
      <c r="B6363" s="947" t="s">
        <v>7568</v>
      </c>
      <c r="C6363" s="948" t="s">
        <v>7566</v>
      </c>
      <c r="D6363" s="242" t="s">
        <v>31100</v>
      </c>
      <c r="E6363" s="949">
        <v>1806</v>
      </c>
      <c r="F6363" s="949">
        <v>1806</v>
      </c>
      <c r="G6363" s="950" t="s">
        <v>5620</v>
      </c>
      <c r="H6363" s="950" t="s">
        <v>815</v>
      </c>
      <c r="I6363" s="951" t="s">
        <v>7567</v>
      </c>
      <c r="J6363" s="947" t="s">
        <v>7568</v>
      </c>
      <c r="K6363" s="143"/>
    </row>
    <row r="6364" spans="1:11">
      <c r="A6364" s="946" t="s">
        <v>28606</v>
      </c>
      <c r="B6364" s="947" t="s">
        <v>7577</v>
      </c>
      <c r="C6364" s="948" t="s">
        <v>7575</v>
      </c>
      <c r="D6364" s="242" t="s">
        <v>31100</v>
      </c>
      <c r="E6364" s="949">
        <v>1806</v>
      </c>
      <c r="F6364" s="949">
        <v>1806</v>
      </c>
      <c r="G6364" s="950" t="s">
        <v>5620</v>
      </c>
      <c r="H6364" s="950" t="s">
        <v>815</v>
      </c>
      <c r="I6364" s="951" t="s">
        <v>7576</v>
      </c>
      <c r="J6364" s="947" t="s">
        <v>7577</v>
      </c>
      <c r="K6364" s="143"/>
    </row>
    <row r="6365" spans="1:11">
      <c r="A6365" s="946" t="s">
        <v>28606</v>
      </c>
      <c r="B6365" s="947" t="s">
        <v>8004</v>
      </c>
      <c r="C6365" s="948" t="s">
        <v>8002</v>
      </c>
      <c r="D6365" s="242" t="s">
        <v>31100</v>
      </c>
      <c r="E6365" s="949">
        <v>1806</v>
      </c>
      <c r="F6365" s="949">
        <v>1806</v>
      </c>
      <c r="G6365" s="950" t="s">
        <v>5620</v>
      </c>
      <c r="H6365" s="950" t="s">
        <v>815</v>
      </c>
      <c r="I6365" s="951" t="s">
        <v>8003</v>
      </c>
      <c r="J6365" s="947" t="s">
        <v>8004</v>
      </c>
      <c r="K6365" s="143"/>
    </row>
    <row r="6366" spans="1:11">
      <c r="A6366" s="946" t="s">
        <v>28606</v>
      </c>
      <c r="B6366" s="947" t="s">
        <v>8141</v>
      </c>
      <c r="C6366" s="948" t="s">
        <v>8139</v>
      </c>
      <c r="D6366" s="242" t="s">
        <v>31100</v>
      </c>
      <c r="E6366" s="949">
        <v>1806</v>
      </c>
      <c r="F6366" s="949">
        <v>1806</v>
      </c>
      <c r="G6366" s="950" t="s">
        <v>5620</v>
      </c>
      <c r="H6366" s="950" t="s">
        <v>815</v>
      </c>
      <c r="I6366" s="951" t="s">
        <v>8140</v>
      </c>
      <c r="J6366" s="947" t="s">
        <v>8141</v>
      </c>
      <c r="K6366" s="143"/>
    </row>
    <row r="6367" spans="1:11">
      <c r="A6367" s="946" t="s">
        <v>28606</v>
      </c>
      <c r="B6367" s="947" t="s">
        <v>8578</v>
      </c>
      <c r="C6367" s="948" t="s">
        <v>8576</v>
      </c>
      <c r="D6367" s="242" t="s">
        <v>31100</v>
      </c>
      <c r="E6367" s="949">
        <v>1806</v>
      </c>
      <c r="F6367" s="949">
        <v>1806</v>
      </c>
      <c r="G6367" s="950" t="s">
        <v>5620</v>
      </c>
      <c r="H6367" s="950" t="s">
        <v>815</v>
      </c>
      <c r="I6367" s="951" t="s">
        <v>8577</v>
      </c>
      <c r="J6367" s="947" t="s">
        <v>8578</v>
      </c>
      <c r="K6367" s="143"/>
    </row>
    <row r="6368" spans="1:11">
      <c r="A6368" s="946" t="s">
        <v>28606</v>
      </c>
      <c r="B6368" s="947" t="s">
        <v>8826</v>
      </c>
      <c r="C6368" s="948" t="s">
        <v>8824</v>
      </c>
      <c r="D6368" s="242" t="s">
        <v>31100</v>
      </c>
      <c r="E6368" s="949">
        <v>1806</v>
      </c>
      <c r="F6368" s="949">
        <v>1806</v>
      </c>
      <c r="G6368" s="950" t="s">
        <v>5620</v>
      </c>
      <c r="H6368" s="950" t="s">
        <v>815</v>
      </c>
      <c r="I6368" s="951" t="s">
        <v>8825</v>
      </c>
      <c r="J6368" s="947" t="s">
        <v>8826</v>
      </c>
      <c r="K6368" s="143"/>
    </row>
    <row r="6369" spans="1:11">
      <c r="A6369" s="946" t="s">
        <v>28606</v>
      </c>
      <c r="B6369" s="947" t="s">
        <v>9014</v>
      </c>
      <c r="C6369" s="948" t="s">
        <v>9012</v>
      </c>
      <c r="D6369" s="242" t="s">
        <v>31100</v>
      </c>
      <c r="E6369" s="949">
        <v>1806</v>
      </c>
      <c r="F6369" s="949">
        <v>1806</v>
      </c>
      <c r="G6369" s="950" t="s">
        <v>5620</v>
      </c>
      <c r="H6369" s="950" t="s">
        <v>815</v>
      </c>
      <c r="I6369" s="951" t="s">
        <v>9013</v>
      </c>
      <c r="J6369" s="947" t="s">
        <v>9014</v>
      </c>
      <c r="K6369" s="143"/>
    </row>
    <row r="6370" spans="1:11">
      <c r="A6370" s="946" t="s">
        <v>28606</v>
      </c>
      <c r="B6370" s="947" t="s">
        <v>9232</v>
      </c>
      <c r="C6370" s="948" t="s">
        <v>9230</v>
      </c>
      <c r="D6370" s="242" t="s">
        <v>31100</v>
      </c>
      <c r="E6370" s="949">
        <v>1806</v>
      </c>
      <c r="F6370" s="949">
        <v>1806</v>
      </c>
      <c r="G6370" s="950" t="s">
        <v>5620</v>
      </c>
      <c r="H6370" s="950" t="s">
        <v>815</v>
      </c>
      <c r="I6370" s="951" t="s">
        <v>9231</v>
      </c>
      <c r="J6370" s="947" t="s">
        <v>9232</v>
      </c>
      <c r="K6370" s="143"/>
    </row>
    <row r="6371" spans="1:11">
      <c r="A6371" s="946" t="s">
        <v>28606</v>
      </c>
      <c r="B6371" s="947" t="s">
        <v>9275</v>
      </c>
      <c r="C6371" s="948" t="s">
        <v>9273</v>
      </c>
      <c r="D6371" s="242" t="s">
        <v>31100</v>
      </c>
      <c r="E6371" s="949">
        <v>1806</v>
      </c>
      <c r="F6371" s="949">
        <v>1806</v>
      </c>
      <c r="G6371" s="950" t="s">
        <v>5620</v>
      </c>
      <c r="H6371" s="950" t="s">
        <v>815</v>
      </c>
      <c r="I6371" s="951" t="s">
        <v>9274</v>
      </c>
      <c r="J6371" s="947" t="s">
        <v>9275</v>
      </c>
      <c r="K6371" s="143"/>
    </row>
    <row r="6372" spans="1:11">
      <c r="A6372" s="946" t="s">
        <v>28606</v>
      </c>
      <c r="B6372" s="947" t="s">
        <v>9322</v>
      </c>
      <c r="C6372" s="948" t="s">
        <v>9320</v>
      </c>
      <c r="D6372" s="242" t="s">
        <v>31100</v>
      </c>
      <c r="E6372" s="949">
        <v>1806</v>
      </c>
      <c r="F6372" s="949">
        <v>1806</v>
      </c>
      <c r="G6372" s="950" t="s">
        <v>5620</v>
      </c>
      <c r="H6372" s="950" t="s">
        <v>815</v>
      </c>
      <c r="I6372" s="951" t="s">
        <v>9321</v>
      </c>
      <c r="J6372" s="947" t="s">
        <v>9322</v>
      </c>
      <c r="K6372" s="143"/>
    </row>
    <row r="6373" spans="1:11">
      <c r="A6373" s="946" t="s">
        <v>28606</v>
      </c>
      <c r="B6373" s="947" t="s">
        <v>9693</v>
      </c>
      <c r="C6373" s="948" t="s">
        <v>9691</v>
      </c>
      <c r="D6373" s="242" t="s">
        <v>31100</v>
      </c>
      <c r="E6373" s="949">
        <v>1806</v>
      </c>
      <c r="F6373" s="949">
        <v>1806</v>
      </c>
      <c r="G6373" s="950" t="s">
        <v>5620</v>
      </c>
      <c r="H6373" s="950" t="s">
        <v>815</v>
      </c>
      <c r="I6373" s="951" t="s">
        <v>9692</v>
      </c>
      <c r="J6373" s="947" t="s">
        <v>9693</v>
      </c>
      <c r="K6373" s="143"/>
    </row>
    <row r="6374" spans="1:11">
      <c r="A6374" s="946" t="s">
        <v>28606</v>
      </c>
      <c r="B6374" s="947" t="s">
        <v>9847</v>
      </c>
      <c r="C6374" s="948" t="s">
        <v>9845</v>
      </c>
      <c r="D6374" s="242" t="s">
        <v>31100</v>
      </c>
      <c r="E6374" s="949">
        <v>1806</v>
      </c>
      <c r="F6374" s="949">
        <v>1806</v>
      </c>
      <c r="G6374" s="950" t="s">
        <v>5620</v>
      </c>
      <c r="H6374" s="950" t="s">
        <v>815</v>
      </c>
      <c r="I6374" s="951" t="s">
        <v>9846</v>
      </c>
      <c r="J6374" s="947" t="s">
        <v>9847</v>
      </c>
      <c r="K6374" s="143"/>
    </row>
    <row r="6375" spans="1:11">
      <c r="A6375" s="946" t="s">
        <v>28606</v>
      </c>
      <c r="B6375" s="947" t="s">
        <v>9965</v>
      </c>
      <c r="C6375" s="948" t="s">
        <v>9963</v>
      </c>
      <c r="D6375" s="242" t="s">
        <v>31100</v>
      </c>
      <c r="E6375" s="949">
        <v>1806</v>
      </c>
      <c r="F6375" s="949">
        <v>1806</v>
      </c>
      <c r="G6375" s="950" t="s">
        <v>5620</v>
      </c>
      <c r="H6375" s="950" t="s">
        <v>815</v>
      </c>
      <c r="I6375" s="951" t="s">
        <v>9964</v>
      </c>
      <c r="J6375" s="947" t="s">
        <v>9965</v>
      </c>
      <c r="K6375" s="143"/>
    </row>
    <row r="6376" spans="1:11">
      <c r="A6376" s="946" t="s">
        <v>28606</v>
      </c>
      <c r="B6376" s="947" t="s">
        <v>10873</v>
      </c>
      <c r="C6376" s="948" t="s">
        <v>10871</v>
      </c>
      <c r="D6376" s="242" t="s">
        <v>31100</v>
      </c>
      <c r="E6376" s="949">
        <v>1806</v>
      </c>
      <c r="F6376" s="949">
        <v>1806</v>
      </c>
      <c r="G6376" s="950" t="s">
        <v>5620</v>
      </c>
      <c r="H6376" s="950" t="s">
        <v>815</v>
      </c>
      <c r="I6376" s="951" t="s">
        <v>10872</v>
      </c>
      <c r="J6376" s="947" t="s">
        <v>10873</v>
      </c>
      <c r="K6376" s="143"/>
    </row>
    <row r="6377" spans="1:11">
      <c r="A6377" s="946" t="s">
        <v>28606</v>
      </c>
      <c r="B6377" s="947" t="s">
        <v>10926</v>
      </c>
      <c r="C6377" s="948" t="s">
        <v>10924</v>
      </c>
      <c r="D6377" s="242" t="s">
        <v>31100</v>
      </c>
      <c r="E6377" s="949">
        <v>1806</v>
      </c>
      <c r="F6377" s="949">
        <v>1806</v>
      </c>
      <c r="G6377" s="950" t="s">
        <v>5620</v>
      </c>
      <c r="H6377" s="950" t="s">
        <v>815</v>
      </c>
      <c r="I6377" s="951" t="s">
        <v>10925</v>
      </c>
      <c r="J6377" s="947" t="s">
        <v>10926</v>
      </c>
      <c r="K6377" s="143"/>
    </row>
    <row r="6378" spans="1:11">
      <c r="A6378" s="946" t="s">
        <v>28606</v>
      </c>
      <c r="B6378" s="947" t="s">
        <v>11137</v>
      </c>
      <c r="C6378" s="948" t="s">
        <v>11135</v>
      </c>
      <c r="D6378" s="242" t="s">
        <v>31100</v>
      </c>
      <c r="E6378" s="949">
        <v>1806</v>
      </c>
      <c r="F6378" s="949">
        <v>1806</v>
      </c>
      <c r="G6378" s="950" t="s">
        <v>5620</v>
      </c>
      <c r="H6378" s="950" t="s">
        <v>815</v>
      </c>
      <c r="I6378" s="951" t="s">
        <v>11136</v>
      </c>
      <c r="J6378" s="947" t="s">
        <v>11137</v>
      </c>
      <c r="K6378" s="143"/>
    </row>
    <row r="6379" spans="1:11">
      <c r="A6379" s="946" t="s">
        <v>28606</v>
      </c>
      <c r="B6379" s="947" t="s">
        <v>11143</v>
      </c>
      <c r="C6379" s="948" t="s">
        <v>11141</v>
      </c>
      <c r="D6379" s="242" t="s">
        <v>31100</v>
      </c>
      <c r="E6379" s="949">
        <v>1806</v>
      </c>
      <c r="F6379" s="949">
        <v>1806</v>
      </c>
      <c r="G6379" s="950" t="s">
        <v>5620</v>
      </c>
      <c r="H6379" s="950" t="s">
        <v>815</v>
      </c>
      <c r="I6379" s="951" t="s">
        <v>11142</v>
      </c>
      <c r="J6379" s="947" t="s">
        <v>11143</v>
      </c>
      <c r="K6379" s="143"/>
    </row>
    <row r="6380" spans="1:11">
      <c r="A6380" s="946" t="s">
        <v>28606</v>
      </c>
      <c r="B6380" s="947" t="s">
        <v>11294</v>
      </c>
      <c r="C6380" s="948" t="s">
        <v>11292</v>
      </c>
      <c r="D6380" s="242" t="s">
        <v>31100</v>
      </c>
      <c r="E6380" s="949">
        <v>1806</v>
      </c>
      <c r="F6380" s="949">
        <v>1806</v>
      </c>
      <c r="G6380" s="950" t="s">
        <v>5620</v>
      </c>
      <c r="H6380" s="950" t="s">
        <v>815</v>
      </c>
      <c r="I6380" s="951" t="s">
        <v>11293</v>
      </c>
      <c r="J6380" s="947" t="s">
        <v>11294</v>
      </c>
      <c r="K6380" s="143"/>
    </row>
    <row r="6381" spans="1:11">
      <c r="A6381" s="946" t="s">
        <v>28606</v>
      </c>
      <c r="B6381" s="947" t="s">
        <v>11297</v>
      </c>
      <c r="C6381" s="948" t="s">
        <v>11295</v>
      </c>
      <c r="D6381" s="242" t="s">
        <v>31100</v>
      </c>
      <c r="E6381" s="949">
        <v>1806</v>
      </c>
      <c r="F6381" s="949">
        <v>1806</v>
      </c>
      <c r="G6381" s="950" t="s">
        <v>5620</v>
      </c>
      <c r="H6381" s="950" t="s">
        <v>815</v>
      </c>
      <c r="I6381" s="951" t="s">
        <v>11296</v>
      </c>
      <c r="J6381" s="947" t="s">
        <v>11297</v>
      </c>
      <c r="K6381" s="143"/>
    </row>
    <row r="6382" spans="1:11">
      <c r="A6382" s="946" t="s">
        <v>28606</v>
      </c>
      <c r="B6382" s="947" t="s">
        <v>11747</v>
      </c>
      <c r="C6382" s="948" t="s">
        <v>11745</v>
      </c>
      <c r="D6382" s="242" t="s">
        <v>31100</v>
      </c>
      <c r="E6382" s="949">
        <v>1806</v>
      </c>
      <c r="F6382" s="949">
        <v>1806</v>
      </c>
      <c r="G6382" s="950" t="s">
        <v>5620</v>
      </c>
      <c r="H6382" s="950" t="s">
        <v>815</v>
      </c>
      <c r="I6382" s="951" t="s">
        <v>11746</v>
      </c>
      <c r="J6382" s="947" t="s">
        <v>11747</v>
      </c>
      <c r="K6382" s="143"/>
    </row>
    <row r="6383" spans="1:11">
      <c r="A6383" s="946" t="s">
        <v>28606</v>
      </c>
      <c r="B6383" s="947" t="s">
        <v>12259</v>
      </c>
      <c r="C6383" s="948" t="s">
        <v>12257</v>
      </c>
      <c r="D6383" s="242" t="s">
        <v>31100</v>
      </c>
      <c r="E6383" s="949">
        <v>1806</v>
      </c>
      <c r="F6383" s="949">
        <v>1806</v>
      </c>
      <c r="G6383" s="950" t="s">
        <v>5620</v>
      </c>
      <c r="H6383" s="950" t="s">
        <v>815</v>
      </c>
      <c r="I6383" s="951" t="s">
        <v>12258</v>
      </c>
      <c r="J6383" s="947" t="s">
        <v>12259</v>
      </c>
      <c r="K6383" s="143"/>
    </row>
    <row r="6384" spans="1:11">
      <c r="A6384" s="946" t="s">
        <v>28606</v>
      </c>
      <c r="B6384" s="947" t="s">
        <v>12670</v>
      </c>
      <c r="C6384" s="948" t="s">
        <v>12668</v>
      </c>
      <c r="D6384" s="242" t="s">
        <v>31100</v>
      </c>
      <c r="E6384" s="949">
        <v>1806</v>
      </c>
      <c r="F6384" s="949">
        <v>1806</v>
      </c>
      <c r="G6384" s="950" t="s">
        <v>5620</v>
      </c>
      <c r="H6384" s="950" t="s">
        <v>815</v>
      </c>
      <c r="I6384" s="951" t="s">
        <v>12669</v>
      </c>
      <c r="J6384" s="947" t="s">
        <v>12670</v>
      </c>
      <c r="K6384" s="143"/>
    </row>
    <row r="6385" spans="1:11">
      <c r="A6385" s="946" t="s">
        <v>28606</v>
      </c>
      <c r="B6385" s="947" t="s">
        <v>13047</v>
      </c>
      <c r="C6385" s="948" t="s">
        <v>13045</v>
      </c>
      <c r="D6385" s="242" t="s">
        <v>31100</v>
      </c>
      <c r="E6385" s="949">
        <v>1806</v>
      </c>
      <c r="F6385" s="949">
        <v>1806</v>
      </c>
      <c r="G6385" s="950" t="s">
        <v>5620</v>
      </c>
      <c r="H6385" s="950" t="s">
        <v>815</v>
      </c>
      <c r="I6385" s="951" t="s">
        <v>13046</v>
      </c>
      <c r="J6385" s="947" t="s">
        <v>13047</v>
      </c>
      <c r="K6385" s="143"/>
    </row>
    <row r="6386" spans="1:11">
      <c r="A6386" s="946" t="s">
        <v>28606</v>
      </c>
      <c r="B6386" s="947" t="s">
        <v>13313</v>
      </c>
      <c r="C6386" s="948" t="s">
        <v>13311</v>
      </c>
      <c r="D6386" s="242" t="s">
        <v>31100</v>
      </c>
      <c r="E6386" s="949">
        <v>1806</v>
      </c>
      <c r="F6386" s="949">
        <v>1806</v>
      </c>
      <c r="G6386" s="950" t="s">
        <v>5620</v>
      </c>
      <c r="H6386" s="950" t="s">
        <v>815</v>
      </c>
      <c r="I6386" s="951" t="s">
        <v>13312</v>
      </c>
      <c r="J6386" s="947" t="s">
        <v>13313</v>
      </c>
      <c r="K6386" s="143"/>
    </row>
    <row r="6387" spans="1:11">
      <c r="A6387" s="946" t="s">
        <v>28606</v>
      </c>
      <c r="B6387" s="947" t="s">
        <v>13583</v>
      </c>
      <c r="C6387" s="948" t="s">
        <v>13581</v>
      </c>
      <c r="D6387" s="242" t="s">
        <v>31100</v>
      </c>
      <c r="E6387" s="949">
        <v>1806</v>
      </c>
      <c r="F6387" s="949">
        <v>1806</v>
      </c>
      <c r="G6387" s="950" t="s">
        <v>5620</v>
      </c>
      <c r="H6387" s="950" t="s">
        <v>815</v>
      </c>
      <c r="I6387" s="951" t="s">
        <v>13582</v>
      </c>
      <c r="J6387" s="947" t="s">
        <v>13583</v>
      </c>
      <c r="K6387" s="143"/>
    </row>
    <row r="6388" spans="1:11">
      <c r="A6388" s="946" t="s">
        <v>28606</v>
      </c>
      <c r="B6388" s="947" t="s">
        <v>14114</v>
      </c>
      <c r="C6388" s="948" t="s">
        <v>14112</v>
      </c>
      <c r="D6388" s="242" t="s">
        <v>31100</v>
      </c>
      <c r="E6388" s="949">
        <v>1806</v>
      </c>
      <c r="F6388" s="949">
        <v>1806</v>
      </c>
      <c r="G6388" s="950" t="s">
        <v>5620</v>
      </c>
      <c r="H6388" s="950" t="s">
        <v>815</v>
      </c>
      <c r="I6388" s="951" t="s">
        <v>14113</v>
      </c>
      <c r="J6388" s="947" t="s">
        <v>14114</v>
      </c>
      <c r="K6388" s="143"/>
    </row>
    <row r="6389" spans="1:11">
      <c r="A6389" s="946" t="s">
        <v>28606</v>
      </c>
      <c r="B6389" s="947" t="s">
        <v>14470</v>
      </c>
      <c r="C6389" s="948" t="s">
        <v>14468</v>
      </c>
      <c r="D6389" s="242" t="s">
        <v>31100</v>
      </c>
      <c r="E6389" s="949">
        <v>1806</v>
      </c>
      <c r="F6389" s="949">
        <v>1806</v>
      </c>
      <c r="G6389" s="950" t="s">
        <v>5620</v>
      </c>
      <c r="H6389" s="950" t="s">
        <v>815</v>
      </c>
      <c r="I6389" s="951" t="s">
        <v>14469</v>
      </c>
      <c r="J6389" s="947" t="s">
        <v>14470</v>
      </c>
      <c r="K6389" s="143"/>
    </row>
    <row r="6390" spans="1:11">
      <c r="A6390" s="946" t="s">
        <v>28606</v>
      </c>
      <c r="B6390" s="947" t="s">
        <v>14653</v>
      </c>
      <c r="C6390" s="948" t="s">
        <v>14651</v>
      </c>
      <c r="D6390" s="242" t="s">
        <v>31100</v>
      </c>
      <c r="E6390" s="949">
        <v>1806</v>
      </c>
      <c r="F6390" s="949">
        <v>1806</v>
      </c>
      <c r="G6390" s="950" t="s">
        <v>5620</v>
      </c>
      <c r="H6390" s="950" t="s">
        <v>815</v>
      </c>
      <c r="I6390" s="951" t="s">
        <v>14652</v>
      </c>
      <c r="J6390" s="947" t="s">
        <v>14653</v>
      </c>
      <c r="K6390" s="143"/>
    </row>
    <row r="6391" spans="1:11">
      <c r="A6391" s="946" t="s">
        <v>28606</v>
      </c>
      <c r="B6391" s="947" t="s">
        <v>14656</v>
      </c>
      <c r="C6391" s="948" t="s">
        <v>14654</v>
      </c>
      <c r="D6391" s="242" t="s">
        <v>31100</v>
      </c>
      <c r="E6391" s="949">
        <v>1806</v>
      </c>
      <c r="F6391" s="949">
        <v>1806</v>
      </c>
      <c r="G6391" s="950" t="s">
        <v>5620</v>
      </c>
      <c r="H6391" s="950" t="s">
        <v>815</v>
      </c>
      <c r="I6391" s="951" t="s">
        <v>14655</v>
      </c>
      <c r="J6391" s="947" t="s">
        <v>14656</v>
      </c>
      <c r="K6391" s="143"/>
    </row>
    <row r="6392" spans="1:11">
      <c r="A6392" s="946" t="s">
        <v>28606</v>
      </c>
      <c r="B6392" s="947" t="s">
        <v>14758</v>
      </c>
      <c r="C6392" s="948" t="s">
        <v>14756</v>
      </c>
      <c r="D6392" s="242" t="s">
        <v>31100</v>
      </c>
      <c r="E6392" s="949">
        <v>1806</v>
      </c>
      <c r="F6392" s="949">
        <v>1806</v>
      </c>
      <c r="G6392" s="950" t="s">
        <v>5620</v>
      </c>
      <c r="H6392" s="950" t="s">
        <v>815</v>
      </c>
      <c r="I6392" s="951" t="s">
        <v>14757</v>
      </c>
      <c r="J6392" s="947" t="s">
        <v>14758</v>
      </c>
      <c r="K6392" s="143"/>
    </row>
    <row r="6393" spans="1:11">
      <c r="A6393" s="946" t="s">
        <v>28606</v>
      </c>
      <c r="B6393" s="947" t="s">
        <v>15134</v>
      </c>
      <c r="C6393" s="948" t="s">
        <v>15132</v>
      </c>
      <c r="D6393" s="242" t="s">
        <v>31100</v>
      </c>
      <c r="E6393" s="949">
        <v>1806</v>
      </c>
      <c r="F6393" s="949">
        <v>1806</v>
      </c>
      <c r="G6393" s="950" t="s">
        <v>5620</v>
      </c>
      <c r="H6393" s="950" t="s">
        <v>815</v>
      </c>
      <c r="I6393" s="951" t="s">
        <v>15133</v>
      </c>
      <c r="J6393" s="947" t="s">
        <v>15134</v>
      </c>
      <c r="K6393" s="143"/>
    </row>
    <row r="6394" spans="1:11">
      <c r="A6394" s="946" t="s">
        <v>28606</v>
      </c>
      <c r="B6394" s="947" t="s">
        <v>17588</v>
      </c>
      <c r="C6394" s="948" t="s">
        <v>17586</v>
      </c>
      <c r="D6394" s="242" t="s">
        <v>31100</v>
      </c>
      <c r="E6394" s="949">
        <v>1806</v>
      </c>
      <c r="F6394" s="949">
        <v>1806</v>
      </c>
      <c r="G6394" s="950" t="s">
        <v>5620</v>
      </c>
      <c r="H6394" s="950" t="s">
        <v>815</v>
      </c>
      <c r="I6394" s="951" t="s">
        <v>17587</v>
      </c>
      <c r="J6394" s="947" t="s">
        <v>17588</v>
      </c>
      <c r="K6394" s="143"/>
    </row>
    <row r="6395" spans="1:11">
      <c r="A6395" s="946" t="s">
        <v>28606</v>
      </c>
      <c r="B6395" s="947" t="s">
        <v>17847</v>
      </c>
      <c r="C6395" s="948" t="s">
        <v>17845</v>
      </c>
      <c r="D6395" s="242" t="s">
        <v>31100</v>
      </c>
      <c r="E6395" s="949">
        <v>1806</v>
      </c>
      <c r="F6395" s="949">
        <v>1806</v>
      </c>
      <c r="G6395" s="950" t="s">
        <v>5620</v>
      </c>
      <c r="H6395" s="950" t="s">
        <v>815</v>
      </c>
      <c r="I6395" s="951" t="s">
        <v>17846</v>
      </c>
      <c r="J6395" s="947" t="s">
        <v>17847</v>
      </c>
      <c r="K6395" s="143"/>
    </row>
    <row r="6396" spans="1:11">
      <c r="A6396" s="946" t="s">
        <v>28606</v>
      </c>
      <c r="B6396" s="947" t="s">
        <v>18066</v>
      </c>
      <c r="C6396" s="948" t="s">
        <v>18064</v>
      </c>
      <c r="D6396" s="242" t="s">
        <v>31100</v>
      </c>
      <c r="E6396" s="949">
        <v>1806</v>
      </c>
      <c r="F6396" s="949">
        <v>1806</v>
      </c>
      <c r="G6396" s="950" t="s">
        <v>5620</v>
      </c>
      <c r="H6396" s="950" t="s">
        <v>815</v>
      </c>
      <c r="I6396" s="951" t="s">
        <v>18065</v>
      </c>
      <c r="J6396" s="947" t="s">
        <v>18066</v>
      </c>
      <c r="K6396" s="143"/>
    </row>
    <row r="6397" spans="1:11">
      <c r="A6397" s="946" t="s">
        <v>28606</v>
      </c>
      <c r="B6397" s="947" t="s">
        <v>18075</v>
      </c>
      <c r="C6397" s="948" t="s">
        <v>18073</v>
      </c>
      <c r="D6397" s="242" t="s">
        <v>31100</v>
      </c>
      <c r="E6397" s="949">
        <v>1806</v>
      </c>
      <c r="F6397" s="949">
        <v>1806</v>
      </c>
      <c r="G6397" s="950" t="s">
        <v>5620</v>
      </c>
      <c r="H6397" s="950" t="s">
        <v>815</v>
      </c>
      <c r="I6397" s="951" t="s">
        <v>18074</v>
      </c>
      <c r="J6397" s="947" t="s">
        <v>18075</v>
      </c>
      <c r="K6397" s="143"/>
    </row>
    <row r="6398" spans="1:11">
      <c r="A6398" s="946" t="s">
        <v>28606</v>
      </c>
      <c r="B6398" s="947" t="s">
        <v>18234</v>
      </c>
      <c r="C6398" s="948" t="s">
        <v>18232</v>
      </c>
      <c r="D6398" s="242" t="s">
        <v>31100</v>
      </c>
      <c r="E6398" s="949">
        <v>1806</v>
      </c>
      <c r="F6398" s="949">
        <v>1806</v>
      </c>
      <c r="G6398" s="950" t="s">
        <v>5620</v>
      </c>
      <c r="H6398" s="950" t="s">
        <v>815</v>
      </c>
      <c r="I6398" s="951" t="s">
        <v>18233</v>
      </c>
      <c r="J6398" s="947" t="s">
        <v>18234</v>
      </c>
      <c r="K6398" s="143"/>
    </row>
    <row r="6399" spans="1:11">
      <c r="A6399" s="946" t="s">
        <v>28606</v>
      </c>
      <c r="B6399" s="947" t="s">
        <v>18378</v>
      </c>
      <c r="C6399" s="948" t="s">
        <v>18376</v>
      </c>
      <c r="D6399" s="242" t="s">
        <v>31100</v>
      </c>
      <c r="E6399" s="949">
        <v>1806</v>
      </c>
      <c r="F6399" s="949">
        <v>1806</v>
      </c>
      <c r="G6399" s="950" t="s">
        <v>5620</v>
      </c>
      <c r="H6399" s="950" t="s">
        <v>815</v>
      </c>
      <c r="I6399" s="951" t="s">
        <v>18377</v>
      </c>
      <c r="J6399" s="947" t="s">
        <v>18378</v>
      </c>
      <c r="K6399" s="143"/>
    </row>
    <row r="6400" spans="1:11">
      <c r="A6400" s="946" t="s">
        <v>28606</v>
      </c>
      <c r="B6400" s="947" t="s">
        <v>18603</v>
      </c>
      <c r="C6400" s="948" t="s">
        <v>18601</v>
      </c>
      <c r="D6400" s="242" t="s">
        <v>31100</v>
      </c>
      <c r="E6400" s="949">
        <v>1806</v>
      </c>
      <c r="F6400" s="949">
        <v>1806</v>
      </c>
      <c r="G6400" s="950" t="s">
        <v>5620</v>
      </c>
      <c r="H6400" s="950" t="s">
        <v>815</v>
      </c>
      <c r="I6400" s="951" t="s">
        <v>18602</v>
      </c>
      <c r="J6400" s="947" t="s">
        <v>18603</v>
      </c>
      <c r="K6400" s="143"/>
    </row>
    <row r="6401" spans="1:11">
      <c r="A6401" s="946" t="s">
        <v>28606</v>
      </c>
      <c r="B6401" s="947" t="s">
        <v>18305</v>
      </c>
      <c r="C6401" s="948" t="s">
        <v>18303</v>
      </c>
      <c r="D6401" s="242" t="s">
        <v>31100</v>
      </c>
      <c r="E6401" s="949">
        <v>1806</v>
      </c>
      <c r="F6401" s="949">
        <v>1806</v>
      </c>
      <c r="G6401" s="950" t="s">
        <v>5620</v>
      </c>
      <c r="H6401" s="950" t="s">
        <v>815</v>
      </c>
      <c r="I6401" s="951" t="s">
        <v>18304</v>
      </c>
      <c r="J6401" s="947" t="s">
        <v>18305</v>
      </c>
      <c r="K6401" s="143"/>
    </row>
    <row r="6402" spans="1:11">
      <c r="A6402" s="946" t="s">
        <v>28606</v>
      </c>
      <c r="B6402" s="947" t="s">
        <v>18934</v>
      </c>
      <c r="C6402" s="948" t="s">
        <v>18932</v>
      </c>
      <c r="D6402" s="242" t="s">
        <v>31100</v>
      </c>
      <c r="E6402" s="949">
        <v>1806</v>
      </c>
      <c r="F6402" s="949">
        <v>1806</v>
      </c>
      <c r="G6402" s="950" t="s">
        <v>5620</v>
      </c>
      <c r="H6402" s="950" t="s">
        <v>815</v>
      </c>
      <c r="I6402" s="951" t="s">
        <v>18933</v>
      </c>
      <c r="J6402" s="947" t="s">
        <v>18934</v>
      </c>
      <c r="K6402" s="143"/>
    </row>
    <row r="6403" spans="1:11">
      <c r="A6403" s="946" t="s">
        <v>28606</v>
      </c>
      <c r="B6403" s="947" t="s">
        <v>19210</v>
      </c>
      <c r="C6403" s="948" t="s">
        <v>19208</v>
      </c>
      <c r="D6403" s="242" t="s">
        <v>31100</v>
      </c>
      <c r="E6403" s="949">
        <v>1806</v>
      </c>
      <c r="F6403" s="949">
        <v>1806</v>
      </c>
      <c r="G6403" s="950" t="s">
        <v>5620</v>
      </c>
      <c r="H6403" s="950" t="s">
        <v>815</v>
      </c>
      <c r="I6403" s="951" t="s">
        <v>19209</v>
      </c>
      <c r="J6403" s="947" t="s">
        <v>19210</v>
      </c>
      <c r="K6403" s="143"/>
    </row>
    <row r="6404" spans="1:11">
      <c r="A6404" s="946" t="s">
        <v>28606</v>
      </c>
      <c r="B6404" s="947" t="s">
        <v>19213</v>
      </c>
      <c r="C6404" s="948" t="s">
        <v>19211</v>
      </c>
      <c r="D6404" s="242" t="s">
        <v>31100</v>
      </c>
      <c r="E6404" s="949">
        <v>1806</v>
      </c>
      <c r="F6404" s="949">
        <v>1806</v>
      </c>
      <c r="G6404" s="950" t="s">
        <v>5620</v>
      </c>
      <c r="H6404" s="950" t="s">
        <v>815</v>
      </c>
      <c r="I6404" s="951" t="s">
        <v>19212</v>
      </c>
      <c r="J6404" s="947" t="s">
        <v>19213</v>
      </c>
      <c r="K6404" s="143"/>
    </row>
    <row r="6405" spans="1:11">
      <c r="A6405" s="946" t="s">
        <v>28606</v>
      </c>
      <c r="B6405" s="947" t="s">
        <v>19361</v>
      </c>
      <c r="C6405" s="948" t="s">
        <v>19359</v>
      </c>
      <c r="D6405" s="242" t="s">
        <v>31100</v>
      </c>
      <c r="E6405" s="949">
        <v>1806</v>
      </c>
      <c r="F6405" s="949">
        <v>1806</v>
      </c>
      <c r="G6405" s="950" t="s">
        <v>5620</v>
      </c>
      <c r="H6405" s="950" t="s">
        <v>815</v>
      </c>
      <c r="I6405" s="951" t="s">
        <v>19360</v>
      </c>
      <c r="J6405" s="947" t="s">
        <v>19361</v>
      </c>
      <c r="K6405" s="143"/>
    </row>
    <row r="6406" spans="1:11">
      <c r="A6406" s="946" t="s">
        <v>28606</v>
      </c>
      <c r="B6406" s="947" t="s">
        <v>19393</v>
      </c>
      <c r="C6406" s="948" t="s">
        <v>19391</v>
      </c>
      <c r="D6406" s="242" t="s">
        <v>31100</v>
      </c>
      <c r="E6406" s="949">
        <v>1806</v>
      </c>
      <c r="F6406" s="949">
        <v>1806</v>
      </c>
      <c r="G6406" s="950" t="s">
        <v>5620</v>
      </c>
      <c r="H6406" s="950" t="s">
        <v>815</v>
      </c>
      <c r="I6406" s="951" t="s">
        <v>19392</v>
      </c>
      <c r="J6406" s="947" t="s">
        <v>19393</v>
      </c>
      <c r="K6406" s="143"/>
    </row>
    <row r="6407" spans="1:11">
      <c r="A6407" s="946" t="s">
        <v>28606</v>
      </c>
      <c r="B6407" s="947" t="s">
        <v>19469</v>
      </c>
      <c r="C6407" s="948" t="s">
        <v>19467</v>
      </c>
      <c r="D6407" s="242" t="s">
        <v>31100</v>
      </c>
      <c r="E6407" s="949">
        <v>1806</v>
      </c>
      <c r="F6407" s="949">
        <v>1806</v>
      </c>
      <c r="G6407" s="950" t="s">
        <v>5620</v>
      </c>
      <c r="H6407" s="950" t="s">
        <v>815</v>
      </c>
      <c r="I6407" s="951" t="s">
        <v>19468</v>
      </c>
      <c r="J6407" s="947" t="s">
        <v>19469</v>
      </c>
      <c r="K6407" s="143"/>
    </row>
    <row r="6408" spans="1:11">
      <c r="A6408" s="946" t="s">
        <v>28606</v>
      </c>
      <c r="B6408" s="947" t="s">
        <v>19548</v>
      </c>
      <c r="C6408" s="948" t="s">
        <v>19546</v>
      </c>
      <c r="D6408" s="242" t="s">
        <v>31100</v>
      </c>
      <c r="E6408" s="949">
        <v>1806</v>
      </c>
      <c r="F6408" s="949">
        <v>1806</v>
      </c>
      <c r="G6408" s="950" t="s">
        <v>5620</v>
      </c>
      <c r="H6408" s="950" t="s">
        <v>815</v>
      </c>
      <c r="I6408" s="951" t="s">
        <v>19547</v>
      </c>
      <c r="J6408" s="947" t="s">
        <v>19548</v>
      </c>
      <c r="K6408" s="143"/>
    </row>
    <row r="6409" spans="1:11">
      <c r="A6409" s="946" t="s">
        <v>28606</v>
      </c>
      <c r="B6409" s="947" t="s">
        <v>19739</v>
      </c>
      <c r="C6409" s="948" t="s">
        <v>19737</v>
      </c>
      <c r="D6409" s="242" t="s">
        <v>31100</v>
      </c>
      <c r="E6409" s="949">
        <v>1806</v>
      </c>
      <c r="F6409" s="949">
        <v>1806</v>
      </c>
      <c r="G6409" s="950" t="s">
        <v>5620</v>
      </c>
      <c r="H6409" s="950" t="s">
        <v>815</v>
      </c>
      <c r="I6409" s="951" t="s">
        <v>19738</v>
      </c>
      <c r="J6409" s="947" t="s">
        <v>19739</v>
      </c>
      <c r="K6409" s="143"/>
    </row>
    <row r="6410" spans="1:11">
      <c r="A6410" s="946" t="s">
        <v>28606</v>
      </c>
      <c r="B6410" s="947" t="s">
        <v>19809</v>
      </c>
      <c r="C6410" s="948" t="s">
        <v>19807</v>
      </c>
      <c r="D6410" s="242" t="s">
        <v>31100</v>
      </c>
      <c r="E6410" s="949">
        <v>1806</v>
      </c>
      <c r="F6410" s="949">
        <v>1806</v>
      </c>
      <c r="G6410" s="950" t="s">
        <v>5620</v>
      </c>
      <c r="H6410" s="950" t="s">
        <v>815</v>
      </c>
      <c r="I6410" s="951" t="s">
        <v>19808</v>
      </c>
      <c r="J6410" s="947" t="s">
        <v>19809</v>
      </c>
      <c r="K6410" s="143"/>
    </row>
    <row r="6411" spans="1:11">
      <c r="A6411" s="946" t="s">
        <v>28606</v>
      </c>
      <c r="B6411" s="947" t="s">
        <v>19815</v>
      </c>
      <c r="C6411" s="948" t="s">
        <v>19813</v>
      </c>
      <c r="D6411" s="242" t="s">
        <v>31100</v>
      </c>
      <c r="E6411" s="949">
        <v>1806</v>
      </c>
      <c r="F6411" s="949">
        <v>1806</v>
      </c>
      <c r="G6411" s="950" t="s">
        <v>5620</v>
      </c>
      <c r="H6411" s="950" t="s">
        <v>815</v>
      </c>
      <c r="I6411" s="951" t="s">
        <v>19814</v>
      </c>
      <c r="J6411" s="947" t="s">
        <v>19815</v>
      </c>
      <c r="K6411" s="143"/>
    </row>
    <row r="6412" spans="1:11">
      <c r="A6412" s="946" t="s">
        <v>28606</v>
      </c>
      <c r="B6412" s="947" t="s">
        <v>19818</v>
      </c>
      <c r="C6412" s="948" t="s">
        <v>19816</v>
      </c>
      <c r="D6412" s="242" t="s">
        <v>31100</v>
      </c>
      <c r="E6412" s="949">
        <v>1806</v>
      </c>
      <c r="F6412" s="949">
        <v>1806</v>
      </c>
      <c r="G6412" s="950" t="s">
        <v>5620</v>
      </c>
      <c r="H6412" s="950" t="s">
        <v>815</v>
      </c>
      <c r="I6412" s="951" t="s">
        <v>19817</v>
      </c>
      <c r="J6412" s="947" t="s">
        <v>19818</v>
      </c>
      <c r="K6412" s="143"/>
    </row>
    <row r="6413" spans="1:11">
      <c r="A6413" s="946" t="s">
        <v>28606</v>
      </c>
      <c r="B6413" s="947" t="s">
        <v>19945</v>
      </c>
      <c r="C6413" s="948" t="s">
        <v>19943</v>
      </c>
      <c r="D6413" s="242" t="s">
        <v>31100</v>
      </c>
      <c r="E6413" s="949">
        <v>1806</v>
      </c>
      <c r="F6413" s="949">
        <v>1806</v>
      </c>
      <c r="G6413" s="950" t="s">
        <v>5620</v>
      </c>
      <c r="H6413" s="950" t="s">
        <v>815</v>
      </c>
      <c r="I6413" s="951" t="s">
        <v>19944</v>
      </c>
      <c r="J6413" s="947" t="s">
        <v>19945</v>
      </c>
      <c r="K6413" s="143"/>
    </row>
    <row r="6414" spans="1:11">
      <c r="A6414" s="946" t="s">
        <v>28606</v>
      </c>
      <c r="B6414" s="947" t="s">
        <v>19960</v>
      </c>
      <c r="C6414" s="948" t="s">
        <v>19958</v>
      </c>
      <c r="D6414" s="242" t="s">
        <v>31100</v>
      </c>
      <c r="E6414" s="949">
        <v>1806</v>
      </c>
      <c r="F6414" s="949">
        <v>1806</v>
      </c>
      <c r="G6414" s="950" t="s">
        <v>5620</v>
      </c>
      <c r="H6414" s="950" t="s">
        <v>815</v>
      </c>
      <c r="I6414" s="951" t="s">
        <v>19959</v>
      </c>
      <c r="J6414" s="947" t="s">
        <v>19960</v>
      </c>
      <c r="K6414" s="143"/>
    </row>
    <row r="6415" spans="1:11">
      <c r="A6415" s="946" t="s">
        <v>28606</v>
      </c>
      <c r="B6415" s="947" t="s">
        <v>20260</v>
      </c>
      <c r="C6415" s="948" t="s">
        <v>20258</v>
      </c>
      <c r="D6415" s="242" t="s">
        <v>31100</v>
      </c>
      <c r="E6415" s="949">
        <v>1806</v>
      </c>
      <c r="F6415" s="949">
        <v>1806</v>
      </c>
      <c r="G6415" s="950" t="s">
        <v>5620</v>
      </c>
      <c r="H6415" s="950" t="s">
        <v>815</v>
      </c>
      <c r="I6415" s="951" t="s">
        <v>20259</v>
      </c>
      <c r="J6415" s="947" t="s">
        <v>20260</v>
      </c>
      <c r="K6415" s="143"/>
    </row>
    <row r="6416" spans="1:11">
      <c r="A6416" s="946" t="s">
        <v>28606</v>
      </c>
      <c r="B6416" s="947" t="s">
        <v>20482</v>
      </c>
      <c r="C6416" s="948" t="s">
        <v>20480</v>
      </c>
      <c r="D6416" s="242" t="s">
        <v>31100</v>
      </c>
      <c r="E6416" s="949">
        <v>1806</v>
      </c>
      <c r="F6416" s="949">
        <v>1806</v>
      </c>
      <c r="G6416" s="950" t="s">
        <v>5620</v>
      </c>
      <c r="H6416" s="950" t="s">
        <v>815</v>
      </c>
      <c r="I6416" s="951" t="s">
        <v>20481</v>
      </c>
      <c r="J6416" s="947" t="s">
        <v>20482</v>
      </c>
      <c r="K6416" s="143"/>
    </row>
    <row r="6417" spans="1:11">
      <c r="A6417" s="946" t="s">
        <v>28606</v>
      </c>
      <c r="B6417" s="947" t="s">
        <v>20670</v>
      </c>
      <c r="C6417" s="948" t="s">
        <v>20668</v>
      </c>
      <c r="D6417" s="242" t="s">
        <v>31100</v>
      </c>
      <c r="E6417" s="949">
        <v>1806</v>
      </c>
      <c r="F6417" s="949">
        <v>1806</v>
      </c>
      <c r="G6417" s="950" t="s">
        <v>5620</v>
      </c>
      <c r="H6417" s="950" t="s">
        <v>815</v>
      </c>
      <c r="I6417" s="951" t="s">
        <v>20669</v>
      </c>
      <c r="J6417" s="947" t="s">
        <v>20670</v>
      </c>
      <c r="K6417" s="143"/>
    </row>
    <row r="6418" spans="1:11">
      <c r="A6418" s="946" t="s">
        <v>28606</v>
      </c>
      <c r="B6418" s="947" t="s">
        <v>21442</v>
      </c>
      <c r="C6418" s="948" t="s">
        <v>21440</v>
      </c>
      <c r="D6418" s="242" t="s">
        <v>31100</v>
      </c>
      <c r="E6418" s="949">
        <v>1806</v>
      </c>
      <c r="F6418" s="949">
        <v>1806</v>
      </c>
      <c r="G6418" s="950" t="s">
        <v>5620</v>
      </c>
      <c r="H6418" s="950" t="s">
        <v>815</v>
      </c>
      <c r="I6418" s="951" t="s">
        <v>21441</v>
      </c>
      <c r="J6418" s="947" t="s">
        <v>21442</v>
      </c>
      <c r="K6418" s="143"/>
    </row>
    <row r="6419" spans="1:11">
      <c r="A6419" s="946" t="s">
        <v>28606</v>
      </c>
      <c r="B6419" s="947" t="s">
        <v>22554</v>
      </c>
      <c r="C6419" s="948" t="s">
        <v>22552</v>
      </c>
      <c r="D6419" s="242" t="s">
        <v>31100</v>
      </c>
      <c r="E6419" s="949">
        <v>1806</v>
      </c>
      <c r="F6419" s="949">
        <v>1806</v>
      </c>
      <c r="G6419" s="950" t="s">
        <v>5620</v>
      </c>
      <c r="H6419" s="950" t="s">
        <v>815</v>
      </c>
      <c r="I6419" s="951" t="s">
        <v>22553</v>
      </c>
      <c r="J6419" s="947" t="s">
        <v>22554</v>
      </c>
      <c r="K6419" s="143"/>
    </row>
    <row r="6420" spans="1:11">
      <c r="A6420" s="946" t="s">
        <v>28606</v>
      </c>
      <c r="B6420" s="947" t="s">
        <v>10096</v>
      </c>
      <c r="C6420" s="948" t="s">
        <v>10094</v>
      </c>
      <c r="D6420" s="242" t="s">
        <v>31100</v>
      </c>
      <c r="E6420" s="949">
        <v>1806</v>
      </c>
      <c r="F6420" s="949">
        <v>1806</v>
      </c>
      <c r="G6420" s="950" t="s">
        <v>5620</v>
      </c>
      <c r="H6420" s="950" t="s">
        <v>815</v>
      </c>
      <c r="I6420" s="951" t="s">
        <v>10095</v>
      </c>
      <c r="J6420" s="947" t="s">
        <v>10096</v>
      </c>
      <c r="K6420" s="143"/>
    </row>
    <row r="6421" spans="1:11">
      <c r="A6421" s="946" t="s">
        <v>28606</v>
      </c>
      <c r="B6421" s="947" t="s">
        <v>569</v>
      </c>
      <c r="C6421" s="948" t="s">
        <v>566</v>
      </c>
      <c r="D6421" s="242" t="s">
        <v>31100</v>
      </c>
      <c r="E6421" s="949">
        <v>1806</v>
      </c>
      <c r="F6421" s="949">
        <v>1806</v>
      </c>
      <c r="G6421" s="950" t="s">
        <v>31101</v>
      </c>
      <c r="H6421" s="950" t="s">
        <v>567</v>
      </c>
      <c r="I6421" s="951" t="s">
        <v>568</v>
      </c>
      <c r="J6421" s="947" t="s">
        <v>569</v>
      </c>
      <c r="K6421" s="143"/>
    </row>
    <row r="6422" spans="1:11">
      <c r="A6422" s="946" t="s">
        <v>28606</v>
      </c>
      <c r="B6422" s="947" t="s">
        <v>618</v>
      </c>
      <c r="C6422" s="948" t="s">
        <v>616</v>
      </c>
      <c r="D6422" s="242" t="s">
        <v>31100</v>
      </c>
      <c r="E6422" s="949">
        <v>1806</v>
      </c>
      <c r="F6422" s="949">
        <v>1806</v>
      </c>
      <c r="G6422" s="950" t="s">
        <v>31101</v>
      </c>
      <c r="H6422" s="950" t="s">
        <v>567</v>
      </c>
      <c r="I6422" s="951" t="s">
        <v>617</v>
      </c>
      <c r="J6422" s="947" t="s">
        <v>618</v>
      </c>
      <c r="K6422" s="143"/>
    </row>
    <row r="6423" spans="1:11">
      <c r="A6423" s="946" t="s">
        <v>28606</v>
      </c>
      <c r="B6423" s="947" t="s">
        <v>1191</v>
      </c>
      <c r="C6423" s="948" t="s">
        <v>1189</v>
      </c>
      <c r="D6423" s="242" t="s">
        <v>31100</v>
      </c>
      <c r="E6423" s="949">
        <v>1806</v>
      </c>
      <c r="F6423" s="949">
        <v>1806</v>
      </c>
      <c r="G6423" s="950" t="s">
        <v>31101</v>
      </c>
      <c r="H6423" s="950" t="s">
        <v>567</v>
      </c>
      <c r="I6423" s="951" t="s">
        <v>1190</v>
      </c>
      <c r="J6423" s="947" t="s">
        <v>1191</v>
      </c>
      <c r="K6423" s="143"/>
    </row>
    <row r="6424" spans="1:11">
      <c r="A6424" s="946" t="s">
        <v>28606</v>
      </c>
      <c r="B6424" s="947" t="s">
        <v>1208</v>
      </c>
      <c r="C6424" s="948" t="s">
        <v>1206</v>
      </c>
      <c r="D6424" s="242" t="s">
        <v>31100</v>
      </c>
      <c r="E6424" s="949">
        <v>1806</v>
      </c>
      <c r="F6424" s="949">
        <v>1806</v>
      </c>
      <c r="G6424" s="950" t="s">
        <v>31101</v>
      </c>
      <c r="H6424" s="950" t="s">
        <v>567</v>
      </c>
      <c r="I6424" s="951" t="s">
        <v>1207</v>
      </c>
      <c r="J6424" s="947" t="s">
        <v>1208</v>
      </c>
      <c r="K6424" s="143"/>
    </row>
    <row r="6425" spans="1:11">
      <c r="A6425" s="946" t="s">
        <v>28606</v>
      </c>
      <c r="B6425" s="947" t="s">
        <v>1367</v>
      </c>
      <c r="C6425" s="948" t="s">
        <v>1365</v>
      </c>
      <c r="D6425" s="242" t="s">
        <v>31100</v>
      </c>
      <c r="E6425" s="949">
        <v>1806</v>
      </c>
      <c r="F6425" s="949">
        <v>1806</v>
      </c>
      <c r="G6425" s="950" t="s">
        <v>31101</v>
      </c>
      <c r="H6425" s="950" t="s">
        <v>567</v>
      </c>
      <c r="I6425" s="951" t="s">
        <v>1366</v>
      </c>
      <c r="J6425" s="947" t="s">
        <v>1367</v>
      </c>
      <c r="K6425" s="143"/>
    </row>
    <row r="6426" spans="1:11">
      <c r="A6426" s="946" t="s">
        <v>28606</v>
      </c>
      <c r="B6426" s="947" t="s">
        <v>1755</v>
      </c>
      <c r="C6426" s="948" t="s">
        <v>1753</v>
      </c>
      <c r="D6426" s="242" t="s">
        <v>31100</v>
      </c>
      <c r="E6426" s="949">
        <v>1806</v>
      </c>
      <c r="F6426" s="949">
        <v>1806</v>
      </c>
      <c r="G6426" s="950" t="s">
        <v>31101</v>
      </c>
      <c r="H6426" s="950" t="s">
        <v>567</v>
      </c>
      <c r="I6426" s="951" t="s">
        <v>1754</v>
      </c>
      <c r="J6426" s="947" t="s">
        <v>1755</v>
      </c>
      <c r="K6426" s="143"/>
    </row>
    <row r="6427" spans="1:11">
      <c r="A6427" s="946" t="s">
        <v>28606</v>
      </c>
      <c r="B6427" s="947" t="s">
        <v>1764</v>
      </c>
      <c r="C6427" s="948" t="s">
        <v>1762</v>
      </c>
      <c r="D6427" s="242" t="s">
        <v>31100</v>
      </c>
      <c r="E6427" s="949">
        <v>1806</v>
      </c>
      <c r="F6427" s="949">
        <v>1806</v>
      </c>
      <c r="G6427" s="950" t="s">
        <v>31101</v>
      </c>
      <c r="H6427" s="950" t="s">
        <v>567</v>
      </c>
      <c r="I6427" s="951" t="s">
        <v>1763</v>
      </c>
      <c r="J6427" s="947" t="s">
        <v>1764</v>
      </c>
      <c r="K6427" s="143"/>
    </row>
    <row r="6428" spans="1:11">
      <c r="A6428" s="946" t="s">
        <v>28606</v>
      </c>
      <c r="B6428" s="947" t="s">
        <v>2259</v>
      </c>
      <c r="C6428" s="948" t="s">
        <v>2257</v>
      </c>
      <c r="D6428" s="242" t="s">
        <v>31100</v>
      </c>
      <c r="E6428" s="949">
        <v>1806</v>
      </c>
      <c r="F6428" s="949">
        <v>1806</v>
      </c>
      <c r="G6428" s="950" t="s">
        <v>31101</v>
      </c>
      <c r="H6428" s="950" t="s">
        <v>567</v>
      </c>
      <c r="I6428" s="951" t="s">
        <v>2258</v>
      </c>
      <c r="J6428" s="947" t="s">
        <v>2259</v>
      </c>
      <c r="K6428" s="143"/>
    </row>
    <row r="6429" spans="1:11">
      <c r="A6429" s="946" t="s">
        <v>28606</v>
      </c>
      <c r="B6429" s="947" t="s">
        <v>2390</v>
      </c>
      <c r="C6429" s="948" t="s">
        <v>2388</v>
      </c>
      <c r="D6429" s="242" t="s">
        <v>31100</v>
      </c>
      <c r="E6429" s="949">
        <v>1806</v>
      </c>
      <c r="F6429" s="949">
        <v>1806</v>
      </c>
      <c r="G6429" s="950" t="s">
        <v>31101</v>
      </c>
      <c r="H6429" s="950" t="s">
        <v>567</v>
      </c>
      <c r="I6429" s="951" t="s">
        <v>2389</v>
      </c>
      <c r="J6429" s="947" t="s">
        <v>2390</v>
      </c>
      <c r="K6429" s="143"/>
    </row>
    <row r="6430" spans="1:11">
      <c r="A6430" s="946" t="s">
        <v>28606</v>
      </c>
      <c r="B6430" s="947" t="s">
        <v>2501</v>
      </c>
      <c r="C6430" s="948" t="s">
        <v>2499</v>
      </c>
      <c r="D6430" s="242" t="s">
        <v>31100</v>
      </c>
      <c r="E6430" s="949">
        <v>1806</v>
      </c>
      <c r="F6430" s="949">
        <v>1806</v>
      </c>
      <c r="G6430" s="950" t="s">
        <v>31101</v>
      </c>
      <c r="H6430" s="950" t="s">
        <v>567</v>
      </c>
      <c r="I6430" s="951" t="s">
        <v>2500</v>
      </c>
      <c r="J6430" s="947" t="s">
        <v>2501</v>
      </c>
      <c r="K6430" s="143"/>
    </row>
    <row r="6431" spans="1:11">
      <c r="A6431" s="946" t="s">
        <v>28606</v>
      </c>
      <c r="B6431" s="947" t="s">
        <v>2905</v>
      </c>
      <c r="C6431" s="948" t="s">
        <v>2903</v>
      </c>
      <c r="D6431" s="242" t="s">
        <v>31100</v>
      </c>
      <c r="E6431" s="949">
        <v>1806</v>
      </c>
      <c r="F6431" s="949">
        <v>1806</v>
      </c>
      <c r="G6431" s="950" t="s">
        <v>31101</v>
      </c>
      <c r="H6431" s="950" t="s">
        <v>567</v>
      </c>
      <c r="I6431" s="951" t="s">
        <v>2904</v>
      </c>
      <c r="J6431" s="947" t="s">
        <v>2905</v>
      </c>
      <c r="K6431" s="143"/>
    </row>
    <row r="6432" spans="1:11">
      <c r="A6432" s="946" t="s">
        <v>28606</v>
      </c>
      <c r="B6432" s="947" t="s">
        <v>2911</v>
      </c>
      <c r="C6432" s="948" t="s">
        <v>2909</v>
      </c>
      <c r="D6432" s="242" t="s">
        <v>31100</v>
      </c>
      <c r="E6432" s="949">
        <v>1806</v>
      </c>
      <c r="F6432" s="949">
        <v>1806</v>
      </c>
      <c r="G6432" s="950" t="s">
        <v>31101</v>
      </c>
      <c r="H6432" s="950" t="s">
        <v>567</v>
      </c>
      <c r="I6432" s="951" t="s">
        <v>2910</v>
      </c>
      <c r="J6432" s="947" t="s">
        <v>2911</v>
      </c>
      <c r="K6432" s="143"/>
    </row>
    <row r="6433" spans="1:11">
      <c r="A6433" s="946" t="s">
        <v>28606</v>
      </c>
      <c r="B6433" s="947" t="s">
        <v>2908</v>
      </c>
      <c r="C6433" s="948" t="s">
        <v>2906</v>
      </c>
      <c r="D6433" s="242" t="s">
        <v>31100</v>
      </c>
      <c r="E6433" s="949">
        <v>1806</v>
      </c>
      <c r="F6433" s="949">
        <v>1806</v>
      </c>
      <c r="G6433" s="950" t="s">
        <v>31101</v>
      </c>
      <c r="H6433" s="950" t="s">
        <v>567</v>
      </c>
      <c r="I6433" s="951" t="s">
        <v>2907</v>
      </c>
      <c r="J6433" s="947" t="s">
        <v>2908</v>
      </c>
      <c r="K6433" s="143"/>
    </row>
    <row r="6434" spans="1:11">
      <c r="A6434" s="946" t="s">
        <v>28606</v>
      </c>
      <c r="B6434" s="947" t="s">
        <v>2959</v>
      </c>
      <c r="C6434" s="948" t="s">
        <v>2957</v>
      </c>
      <c r="D6434" s="242" t="s">
        <v>31100</v>
      </c>
      <c r="E6434" s="949">
        <v>1806</v>
      </c>
      <c r="F6434" s="949">
        <v>1806</v>
      </c>
      <c r="G6434" s="950" t="s">
        <v>31101</v>
      </c>
      <c r="H6434" s="950" t="s">
        <v>567</v>
      </c>
      <c r="I6434" s="951" t="s">
        <v>2958</v>
      </c>
      <c r="J6434" s="947" t="s">
        <v>2959</v>
      </c>
      <c r="K6434" s="143"/>
    </row>
    <row r="6435" spans="1:11">
      <c r="A6435" s="946" t="s">
        <v>28606</v>
      </c>
      <c r="B6435" s="947" t="s">
        <v>3179</v>
      </c>
      <c r="C6435" s="948" t="s">
        <v>3177</v>
      </c>
      <c r="D6435" s="242" t="s">
        <v>31100</v>
      </c>
      <c r="E6435" s="949">
        <v>1806</v>
      </c>
      <c r="F6435" s="949">
        <v>1806</v>
      </c>
      <c r="G6435" s="950" t="s">
        <v>31101</v>
      </c>
      <c r="H6435" s="950" t="s">
        <v>567</v>
      </c>
      <c r="I6435" s="951" t="s">
        <v>3178</v>
      </c>
      <c r="J6435" s="947" t="s">
        <v>3179</v>
      </c>
      <c r="K6435" s="143"/>
    </row>
    <row r="6436" spans="1:11">
      <c r="A6436" s="946" t="s">
        <v>28606</v>
      </c>
      <c r="B6436" s="947" t="s">
        <v>3425</v>
      </c>
      <c r="C6436" s="948" t="s">
        <v>3423</v>
      </c>
      <c r="D6436" s="242" t="s">
        <v>31100</v>
      </c>
      <c r="E6436" s="949">
        <v>1806</v>
      </c>
      <c r="F6436" s="949">
        <v>1806</v>
      </c>
      <c r="G6436" s="950" t="s">
        <v>31101</v>
      </c>
      <c r="H6436" s="950" t="s">
        <v>567</v>
      </c>
      <c r="I6436" s="951" t="s">
        <v>3424</v>
      </c>
      <c r="J6436" s="947" t="s">
        <v>3425</v>
      </c>
      <c r="K6436" s="143"/>
    </row>
    <row r="6437" spans="1:11">
      <c r="A6437" s="946" t="s">
        <v>28606</v>
      </c>
      <c r="B6437" s="947" t="s">
        <v>3650</v>
      </c>
      <c r="C6437" s="948" t="s">
        <v>3648</v>
      </c>
      <c r="D6437" s="242" t="s">
        <v>31100</v>
      </c>
      <c r="E6437" s="949">
        <v>1806</v>
      </c>
      <c r="F6437" s="949">
        <v>1806</v>
      </c>
      <c r="G6437" s="950" t="s">
        <v>31101</v>
      </c>
      <c r="H6437" s="950" t="s">
        <v>567</v>
      </c>
      <c r="I6437" s="951" t="s">
        <v>3649</v>
      </c>
      <c r="J6437" s="947" t="s">
        <v>3650</v>
      </c>
      <c r="K6437" s="143"/>
    </row>
    <row r="6438" spans="1:11">
      <c r="A6438" s="946" t="s">
        <v>28606</v>
      </c>
      <c r="B6438" s="947" t="s">
        <v>3727</v>
      </c>
      <c r="C6438" s="948" t="s">
        <v>3725</v>
      </c>
      <c r="D6438" s="242" t="s">
        <v>31100</v>
      </c>
      <c r="E6438" s="949">
        <v>1806</v>
      </c>
      <c r="F6438" s="949">
        <v>1806</v>
      </c>
      <c r="G6438" s="950" t="s">
        <v>31101</v>
      </c>
      <c r="H6438" s="950" t="s">
        <v>567</v>
      </c>
      <c r="I6438" s="951" t="s">
        <v>3726</v>
      </c>
      <c r="J6438" s="947" t="s">
        <v>3727</v>
      </c>
      <c r="K6438" s="143"/>
    </row>
    <row r="6439" spans="1:11">
      <c r="A6439" s="946" t="s">
        <v>28606</v>
      </c>
      <c r="B6439" s="947" t="s">
        <v>3903</v>
      </c>
      <c r="C6439" s="948" t="s">
        <v>3901</v>
      </c>
      <c r="D6439" s="242" t="s">
        <v>31100</v>
      </c>
      <c r="E6439" s="949">
        <v>1806</v>
      </c>
      <c r="F6439" s="949">
        <v>1806</v>
      </c>
      <c r="G6439" s="950" t="s">
        <v>31101</v>
      </c>
      <c r="H6439" s="950" t="s">
        <v>567</v>
      </c>
      <c r="I6439" s="951" t="s">
        <v>3902</v>
      </c>
      <c r="J6439" s="947" t="s">
        <v>3903</v>
      </c>
      <c r="K6439" s="143"/>
    </row>
    <row r="6440" spans="1:11">
      <c r="A6440" s="946" t="s">
        <v>28606</v>
      </c>
      <c r="B6440" s="947" t="s">
        <v>3958</v>
      </c>
      <c r="C6440" s="948" t="s">
        <v>3956</v>
      </c>
      <c r="D6440" s="242" t="s">
        <v>31100</v>
      </c>
      <c r="E6440" s="949">
        <v>1806</v>
      </c>
      <c r="F6440" s="949">
        <v>1806</v>
      </c>
      <c r="G6440" s="950" t="s">
        <v>31101</v>
      </c>
      <c r="H6440" s="950" t="s">
        <v>567</v>
      </c>
      <c r="I6440" s="951" t="s">
        <v>3957</v>
      </c>
      <c r="J6440" s="947" t="s">
        <v>3958</v>
      </c>
      <c r="K6440" s="143"/>
    </row>
    <row r="6441" spans="1:11">
      <c r="A6441" s="946" t="s">
        <v>28606</v>
      </c>
      <c r="B6441" s="947" t="s">
        <v>4194</v>
      </c>
      <c r="C6441" s="948" t="s">
        <v>4192</v>
      </c>
      <c r="D6441" s="242" t="s">
        <v>31100</v>
      </c>
      <c r="E6441" s="949">
        <v>1806</v>
      </c>
      <c r="F6441" s="949">
        <v>1806</v>
      </c>
      <c r="G6441" s="950" t="s">
        <v>31101</v>
      </c>
      <c r="H6441" s="950" t="s">
        <v>567</v>
      </c>
      <c r="I6441" s="951" t="s">
        <v>4193</v>
      </c>
      <c r="J6441" s="947" t="s">
        <v>4194</v>
      </c>
      <c r="K6441" s="143"/>
    </row>
    <row r="6442" spans="1:11">
      <c r="A6442" s="946" t="s">
        <v>28606</v>
      </c>
      <c r="B6442" s="947" t="s">
        <v>4273</v>
      </c>
      <c r="C6442" s="948" t="s">
        <v>4271</v>
      </c>
      <c r="D6442" s="242" t="s">
        <v>31100</v>
      </c>
      <c r="E6442" s="949">
        <v>1806</v>
      </c>
      <c r="F6442" s="949">
        <v>1806</v>
      </c>
      <c r="G6442" s="950" t="s">
        <v>31101</v>
      </c>
      <c r="H6442" s="950" t="s">
        <v>567</v>
      </c>
      <c r="I6442" s="951" t="s">
        <v>4272</v>
      </c>
      <c r="J6442" s="947" t="s">
        <v>4273</v>
      </c>
      <c r="K6442" s="143"/>
    </row>
    <row r="6443" spans="1:11">
      <c r="A6443" s="946" t="s">
        <v>28606</v>
      </c>
      <c r="B6443" s="947" t="s">
        <v>4294</v>
      </c>
      <c r="C6443" s="948" t="s">
        <v>4292</v>
      </c>
      <c r="D6443" s="242" t="s">
        <v>31100</v>
      </c>
      <c r="E6443" s="949">
        <v>1806</v>
      </c>
      <c r="F6443" s="949">
        <v>1806</v>
      </c>
      <c r="G6443" s="950" t="s">
        <v>31101</v>
      </c>
      <c r="H6443" s="950" t="s">
        <v>567</v>
      </c>
      <c r="I6443" s="951" t="s">
        <v>4293</v>
      </c>
      <c r="J6443" s="947" t="s">
        <v>4294</v>
      </c>
      <c r="K6443" s="143"/>
    </row>
    <row r="6444" spans="1:11">
      <c r="A6444" s="946" t="s">
        <v>28606</v>
      </c>
      <c r="B6444" s="947" t="s">
        <v>4763</v>
      </c>
      <c r="C6444" s="948" t="s">
        <v>4761</v>
      </c>
      <c r="D6444" s="242" t="s">
        <v>31100</v>
      </c>
      <c r="E6444" s="949">
        <v>1806</v>
      </c>
      <c r="F6444" s="949">
        <v>1806</v>
      </c>
      <c r="G6444" s="950" t="s">
        <v>31101</v>
      </c>
      <c r="H6444" s="950" t="s">
        <v>567</v>
      </c>
      <c r="I6444" s="951" t="s">
        <v>4762</v>
      </c>
      <c r="J6444" s="947" t="s">
        <v>4763</v>
      </c>
      <c r="K6444" s="143"/>
    </row>
    <row r="6445" spans="1:11">
      <c r="A6445" s="946" t="s">
        <v>28606</v>
      </c>
      <c r="B6445" s="947" t="s">
        <v>5635</v>
      </c>
      <c r="C6445" s="948" t="s">
        <v>5633</v>
      </c>
      <c r="D6445" s="242" t="s">
        <v>31100</v>
      </c>
      <c r="E6445" s="949">
        <v>1806</v>
      </c>
      <c r="F6445" s="949">
        <v>1806</v>
      </c>
      <c r="G6445" s="950" t="s">
        <v>31101</v>
      </c>
      <c r="H6445" s="950" t="s">
        <v>567</v>
      </c>
      <c r="I6445" s="951" t="s">
        <v>5634</v>
      </c>
      <c r="J6445" s="947" t="s">
        <v>5635</v>
      </c>
      <c r="K6445" s="143"/>
    </row>
    <row r="6446" spans="1:11">
      <c r="A6446" s="946" t="s">
        <v>28606</v>
      </c>
      <c r="B6446" s="947" t="s">
        <v>6389</v>
      </c>
      <c r="C6446" s="948" t="s">
        <v>6387</v>
      </c>
      <c r="D6446" s="242" t="s">
        <v>31100</v>
      </c>
      <c r="E6446" s="949">
        <v>1806</v>
      </c>
      <c r="F6446" s="949">
        <v>1806</v>
      </c>
      <c r="G6446" s="950" t="s">
        <v>31101</v>
      </c>
      <c r="H6446" s="950" t="s">
        <v>567</v>
      </c>
      <c r="I6446" s="951" t="s">
        <v>6388</v>
      </c>
      <c r="J6446" s="947" t="s">
        <v>6389</v>
      </c>
      <c r="K6446" s="143"/>
    </row>
    <row r="6447" spans="1:11">
      <c r="A6447" s="946" t="s">
        <v>28606</v>
      </c>
      <c r="B6447" s="947" t="s">
        <v>6428</v>
      </c>
      <c r="C6447" s="948" t="s">
        <v>6426</v>
      </c>
      <c r="D6447" s="242" t="s">
        <v>31100</v>
      </c>
      <c r="E6447" s="949">
        <v>1806</v>
      </c>
      <c r="F6447" s="949">
        <v>1806</v>
      </c>
      <c r="G6447" s="950" t="s">
        <v>31101</v>
      </c>
      <c r="H6447" s="950" t="s">
        <v>567</v>
      </c>
      <c r="I6447" s="951" t="s">
        <v>6427</v>
      </c>
      <c r="J6447" s="947" t="s">
        <v>6428</v>
      </c>
      <c r="K6447" s="143"/>
    </row>
    <row r="6448" spans="1:11">
      <c r="A6448" s="946" t="s">
        <v>28606</v>
      </c>
      <c r="B6448" s="947" t="s">
        <v>6519</v>
      </c>
      <c r="C6448" s="948" t="s">
        <v>6517</v>
      </c>
      <c r="D6448" s="242" t="s">
        <v>31100</v>
      </c>
      <c r="E6448" s="949">
        <v>1806</v>
      </c>
      <c r="F6448" s="949">
        <v>1806</v>
      </c>
      <c r="G6448" s="950" t="s">
        <v>31101</v>
      </c>
      <c r="H6448" s="950" t="s">
        <v>567</v>
      </c>
      <c r="I6448" s="951" t="s">
        <v>6518</v>
      </c>
      <c r="J6448" s="947" t="s">
        <v>6519</v>
      </c>
      <c r="K6448" s="143"/>
    </row>
    <row r="6449" spans="1:11">
      <c r="A6449" s="946" t="s">
        <v>28606</v>
      </c>
      <c r="B6449" s="947" t="s">
        <v>6952</v>
      </c>
      <c r="C6449" s="948" t="s">
        <v>6950</v>
      </c>
      <c r="D6449" s="242" t="s">
        <v>31100</v>
      </c>
      <c r="E6449" s="949">
        <v>1806</v>
      </c>
      <c r="F6449" s="949">
        <v>1806</v>
      </c>
      <c r="G6449" s="950" t="s">
        <v>31101</v>
      </c>
      <c r="H6449" s="950" t="s">
        <v>567</v>
      </c>
      <c r="I6449" s="951" t="s">
        <v>6951</v>
      </c>
      <c r="J6449" s="947" t="s">
        <v>6952</v>
      </c>
      <c r="K6449" s="143"/>
    </row>
    <row r="6450" spans="1:11">
      <c r="A6450" s="946" t="s">
        <v>28606</v>
      </c>
      <c r="B6450" s="947" t="s">
        <v>7230</v>
      </c>
      <c r="C6450" s="948" t="s">
        <v>7228</v>
      </c>
      <c r="D6450" s="242" t="s">
        <v>31100</v>
      </c>
      <c r="E6450" s="949">
        <v>1806</v>
      </c>
      <c r="F6450" s="949">
        <v>1806</v>
      </c>
      <c r="G6450" s="950" t="s">
        <v>31101</v>
      </c>
      <c r="H6450" s="950" t="s">
        <v>567</v>
      </c>
      <c r="I6450" s="951" t="s">
        <v>7229</v>
      </c>
      <c r="J6450" s="947" t="s">
        <v>7230</v>
      </c>
      <c r="K6450" s="143"/>
    </row>
    <row r="6451" spans="1:11">
      <c r="A6451" s="946" t="s">
        <v>28606</v>
      </c>
      <c r="B6451" s="947" t="s">
        <v>7592</v>
      </c>
      <c r="C6451" s="948" t="s">
        <v>7590</v>
      </c>
      <c r="D6451" s="242" t="s">
        <v>31100</v>
      </c>
      <c r="E6451" s="949">
        <v>1806</v>
      </c>
      <c r="F6451" s="949">
        <v>1806</v>
      </c>
      <c r="G6451" s="950" t="s">
        <v>31101</v>
      </c>
      <c r="H6451" s="950" t="s">
        <v>567</v>
      </c>
      <c r="I6451" s="951" t="s">
        <v>7591</v>
      </c>
      <c r="J6451" s="947" t="s">
        <v>7592</v>
      </c>
      <c r="K6451" s="143"/>
    </row>
    <row r="6452" spans="1:11">
      <c r="A6452" s="946" t="s">
        <v>28606</v>
      </c>
      <c r="B6452" s="947" t="s">
        <v>8144</v>
      </c>
      <c r="C6452" s="948" t="s">
        <v>8142</v>
      </c>
      <c r="D6452" s="242" t="s">
        <v>31100</v>
      </c>
      <c r="E6452" s="949">
        <v>1806</v>
      </c>
      <c r="F6452" s="949">
        <v>1806</v>
      </c>
      <c r="G6452" s="950" t="s">
        <v>31101</v>
      </c>
      <c r="H6452" s="950" t="s">
        <v>567</v>
      </c>
      <c r="I6452" s="951" t="s">
        <v>8143</v>
      </c>
      <c r="J6452" s="947" t="s">
        <v>8144</v>
      </c>
      <c r="K6452" s="143"/>
    </row>
    <row r="6453" spans="1:11">
      <c r="A6453" s="946" t="s">
        <v>28606</v>
      </c>
      <c r="B6453" s="947" t="s">
        <v>8171</v>
      </c>
      <c r="C6453" s="948" t="s">
        <v>8169</v>
      </c>
      <c r="D6453" s="242" t="s">
        <v>31100</v>
      </c>
      <c r="E6453" s="949">
        <v>1806</v>
      </c>
      <c r="F6453" s="949">
        <v>1806</v>
      </c>
      <c r="G6453" s="950" t="s">
        <v>31101</v>
      </c>
      <c r="H6453" s="950" t="s">
        <v>567</v>
      </c>
      <c r="I6453" s="951" t="s">
        <v>8170</v>
      </c>
      <c r="J6453" s="947" t="s">
        <v>8171</v>
      </c>
      <c r="K6453" s="143"/>
    </row>
    <row r="6454" spans="1:11">
      <c r="A6454" s="946" t="s">
        <v>28606</v>
      </c>
      <c r="B6454" s="947" t="s">
        <v>8301</v>
      </c>
      <c r="C6454" s="948" t="s">
        <v>8299</v>
      </c>
      <c r="D6454" s="242" t="s">
        <v>31100</v>
      </c>
      <c r="E6454" s="949">
        <v>1806</v>
      </c>
      <c r="F6454" s="949">
        <v>1806</v>
      </c>
      <c r="G6454" s="950" t="s">
        <v>31101</v>
      </c>
      <c r="H6454" s="950" t="s">
        <v>567</v>
      </c>
      <c r="I6454" s="951" t="s">
        <v>8300</v>
      </c>
      <c r="J6454" s="947" t="s">
        <v>8301</v>
      </c>
      <c r="K6454" s="143"/>
    </row>
    <row r="6455" spans="1:11">
      <c r="A6455" s="946" t="s">
        <v>28606</v>
      </c>
      <c r="B6455" s="947" t="s">
        <v>8855</v>
      </c>
      <c r="C6455" s="948" t="s">
        <v>8853</v>
      </c>
      <c r="D6455" s="242" t="s">
        <v>31100</v>
      </c>
      <c r="E6455" s="949">
        <v>1806</v>
      </c>
      <c r="F6455" s="949">
        <v>1806</v>
      </c>
      <c r="G6455" s="950" t="s">
        <v>31101</v>
      </c>
      <c r="H6455" s="950" t="s">
        <v>567</v>
      </c>
      <c r="I6455" s="951" t="s">
        <v>8854</v>
      </c>
      <c r="J6455" s="947" t="s">
        <v>8855</v>
      </c>
      <c r="K6455" s="143"/>
    </row>
    <row r="6456" spans="1:11">
      <c r="A6456" s="946" t="s">
        <v>28606</v>
      </c>
      <c r="B6456" s="947" t="s">
        <v>9111</v>
      </c>
      <c r="C6456" s="948" t="s">
        <v>9109</v>
      </c>
      <c r="D6456" s="242" t="s">
        <v>31100</v>
      </c>
      <c r="E6456" s="949">
        <v>1806</v>
      </c>
      <c r="F6456" s="949">
        <v>1806</v>
      </c>
      <c r="G6456" s="950" t="s">
        <v>31101</v>
      </c>
      <c r="H6456" s="950" t="s">
        <v>567</v>
      </c>
      <c r="I6456" s="951" t="s">
        <v>9110</v>
      </c>
      <c r="J6456" s="947" t="s">
        <v>9111</v>
      </c>
      <c r="K6456" s="143"/>
    </row>
    <row r="6457" spans="1:11">
      <c r="A6457" s="946" t="s">
        <v>28606</v>
      </c>
      <c r="B6457" s="947" t="s">
        <v>9215</v>
      </c>
      <c r="C6457" s="948" t="s">
        <v>9213</v>
      </c>
      <c r="D6457" s="242" t="s">
        <v>31100</v>
      </c>
      <c r="E6457" s="949">
        <v>1806</v>
      </c>
      <c r="F6457" s="949">
        <v>1806</v>
      </c>
      <c r="G6457" s="950" t="s">
        <v>31101</v>
      </c>
      <c r="H6457" s="950" t="s">
        <v>567</v>
      </c>
      <c r="I6457" s="951" t="s">
        <v>9214</v>
      </c>
      <c r="J6457" s="947" t="s">
        <v>9215</v>
      </c>
      <c r="K6457" s="143"/>
    </row>
    <row r="6458" spans="1:11">
      <c r="A6458" s="946" t="s">
        <v>28606</v>
      </c>
      <c r="B6458" s="947" t="s">
        <v>9256</v>
      </c>
      <c r="C6458" s="948" t="s">
        <v>9254</v>
      </c>
      <c r="D6458" s="242" t="s">
        <v>31100</v>
      </c>
      <c r="E6458" s="949">
        <v>1806</v>
      </c>
      <c r="F6458" s="949">
        <v>1806</v>
      </c>
      <c r="G6458" s="950" t="s">
        <v>31101</v>
      </c>
      <c r="H6458" s="950" t="s">
        <v>567</v>
      </c>
      <c r="I6458" s="951" t="s">
        <v>9255</v>
      </c>
      <c r="J6458" s="947" t="s">
        <v>9256</v>
      </c>
      <c r="K6458" s="143"/>
    </row>
    <row r="6459" spans="1:11">
      <c r="A6459" s="946" t="s">
        <v>28606</v>
      </c>
      <c r="B6459" s="947" t="s">
        <v>9259</v>
      </c>
      <c r="C6459" s="948" t="s">
        <v>9257</v>
      </c>
      <c r="D6459" s="242" t="s">
        <v>31100</v>
      </c>
      <c r="E6459" s="949">
        <v>1806</v>
      </c>
      <c r="F6459" s="949">
        <v>1806</v>
      </c>
      <c r="G6459" s="950" t="s">
        <v>31101</v>
      </c>
      <c r="H6459" s="950" t="s">
        <v>567</v>
      </c>
      <c r="I6459" s="951" t="s">
        <v>9258</v>
      </c>
      <c r="J6459" s="947" t="s">
        <v>9259</v>
      </c>
      <c r="K6459" s="143"/>
    </row>
    <row r="6460" spans="1:11">
      <c r="A6460" s="946" t="s">
        <v>28606</v>
      </c>
      <c r="B6460" s="947" t="s">
        <v>9626</v>
      </c>
      <c r="C6460" s="948" t="s">
        <v>9624</v>
      </c>
      <c r="D6460" s="242" t="s">
        <v>31100</v>
      </c>
      <c r="E6460" s="949">
        <v>1806</v>
      </c>
      <c r="F6460" s="949">
        <v>1806</v>
      </c>
      <c r="G6460" s="950" t="s">
        <v>31101</v>
      </c>
      <c r="H6460" s="950" t="s">
        <v>567</v>
      </c>
      <c r="I6460" s="951" t="s">
        <v>9625</v>
      </c>
      <c r="J6460" s="947" t="s">
        <v>9626</v>
      </c>
      <c r="K6460" s="143"/>
    </row>
    <row r="6461" spans="1:11">
      <c r="A6461" s="946" t="s">
        <v>28606</v>
      </c>
      <c r="B6461" s="947" t="s">
        <v>10042</v>
      </c>
      <c r="C6461" s="948" t="s">
        <v>10040</v>
      </c>
      <c r="D6461" s="242" t="s">
        <v>31100</v>
      </c>
      <c r="E6461" s="949">
        <v>1806</v>
      </c>
      <c r="F6461" s="949">
        <v>1806</v>
      </c>
      <c r="G6461" s="950" t="s">
        <v>31101</v>
      </c>
      <c r="H6461" s="950" t="s">
        <v>567</v>
      </c>
      <c r="I6461" s="951" t="s">
        <v>10041</v>
      </c>
      <c r="J6461" s="947" t="s">
        <v>10042</v>
      </c>
      <c r="K6461" s="143"/>
    </row>
    <row r="6462" spans="1:11">
      <c r="A6462" s="946" t="s">
        <v>28606</v>
      </c>
      <c r="B6462" s="947" t="s">
        <v>10201</v>
      </c>
      <c r="C6462" s="948" t="s">
        <v>10199</v>
      </c>
      <c r="D6462" s="242" t="s">
        <v>31100</v>
      </c>
      <c r="E6462" s="949">
        <v>1806</v>
      </c>
      <c r="F6462" s="949">
        <v>1806</v>
      </c>
      <c r="G6462" s="950" t="s">
        <v>31101</v>
      </c>
      <c r="H6462" s="950" t="s">
        <v>567</v>
      </c>
      <c r="I6462" s="951" t="s">
        <v>10200</v>
      </c>
      <c r="J6462" s="947" t="s">
        <v>10201</v>
      </c>
      <c r="K6462" s="143"/>
    </row>
    <row r="6463" spans="1:11">
      <c r="A6463" s="946" t="s">
        <v>28606</v>
      </c>
      <c r="B6463" s="947" t="s">
        <v>10538</v>
      </c>
      <c r="C6463" s="948" t="s">
        <v>10536</v>
      </c>
      <c r="D6463" s="242" t="s">
        <v>31100</v>
      </c>
      <c r="E6463" s="949">
        <v>1806</v>
      </c>
      <c r="F6463" s="949">
        <v>1806</v>
      </c>
      <c r="G6463" s="950" t="s">
        <v>31101</v>
      </c>
      <c r="H6463" s="950" t="s">
        <v>567</v>
      </c>
      <c r="I6463" s="951" t="s">
        <v>10537</v>
      </c>
      <c r="J6463" s="947" t="s">
        <v>10538</v>
      </c>
      <c r="K6463" s="143"/>
    </row>
    <row r="6464" spans="1:11">
      <c r="A6464" s="946" t="s">
        <v>28606</v>
      </c>
      <c r="B6464" s="947" t="s">
        <v>11012</v>
      </c>
      <c r="C6464" s="948" t="s">
        <v>11010</v>
      </c>
      <c r="D6464" s="242" t="s">
        <v>31100</v>
      </c>
      <c r="E6464" s="949">
        <v>1806</v>
      </c>
      <c r="F6464" s="949">
        <v>1806</v>
      </c>
      <c r="G6464" s="950" t="s">
        <v>31101</v>
      </c>
      <c r="H6464" s="950" t="s">
        <v>567</v>
      </c>
      <c r="I6464" s="951" t="s">
        <v>11011</v>
      </c>
      <c r="J6464" s="947" t="s">
        <v>11012</v>
      </c>
      <c r="K6464" s="143"/>
    </row>
    <row r="6465" spans="1:11">
      <c r="A6465" s="946" t="s">
        <v>28606</v>
      </c>
      <c r="B6465" s="947" t="s">
        <v>11212</v>
      </c>
      <c r="C6465" s="948" t="s">
        <v>11210</v>
      </c>
      <c r="D6465" s="242" t="s">
        <v>31100</v>
      </c>
      <c r="E6465" s="949">
        <v>1806</v>
      </c>
      <c r="F6465" s="949">
        <v>1806</v>
      </c>
      <c r="G6465" s="950" t="s">
        <v>31101</v>
      </c>
      <c r="H6465" s="950" t="s">
        <v>567</v>
      </c>
      <c r="I6465" s="951" t="s">
        <v>11211</v>
      </c>
      <c r="J6465" s="947" t="s">
        <v>11212</v>
      </c>
      <c r="K6465" s="143"/>
    </row>
    <row r="6466" spans="1:11">
      <c r="A6466" s="946" t="s">
        <v>28606</v>
      </c>
      <c r="B6466" s="947" t="s">
        <v>11240</v>
      </c>
      <c r="C6466" s="948" t="s">
        <v>11238</v>
      </c>
      <c r="D6466" s="242" t="s">
        <v>31100</v>
      </c>
      <c r="E6466" s="949">
        <v>1806</v>
      </c>
      <c r="F6466" s="949">
        <v>1806</v>
      </c>
      <c r="G6466" s="950" t="s">
        <v>31101</v>
      </c>
      <c r="H6466" s="950" t="s">
        <v>567</v>
      </c>
      <c r="I6466" s="951" t="s">
        <v>11239</v>
      </c>
      <c r="J6466" s="947" t="s">
        <v>11240</v>
      </c>
      <c r="K6466" s="143"/>
    </row>
    <row r="6467" spans="1:11">
      <c r="A6467" s="946" t="s">
        <v>28606</v>
      </c>
      <c r="B6467" s="947" t="s">
        <v>11302</v>
      </c>
      <c r="C6467" s="948" t="s">
        <v>11300</v>
      </c>
      <c r="D6467" s="242" t="s">
        <v>31100</v>
      </c>
      <c r="E6467" s="949">
        <v>1806</v>
      </c>
      <c r="F6467" s="949">
        <v>1806</v>
      </c>
      <c r="G6467" s="950" t="s">
        <v>31101</v>
      </c>
      <c r="H6467" s="950" t="s">
        <v>567</v>
      </c>
      <c r="I6467" s="951" t="s">
        <v>11301</v>
      </c>
      <c r="J6467" s="947" t="s">
        <v>11302</v>
      </c>
      <c r="K6467" s="143"/>
    </row>
    <row r="6468" spans="1:11">
      <c r="A6468" s="946" t="s">
        <v>28606</v>
      </c>
      <c r="B6468" s="947" t="s">
        <v>11549</v>
      </c>
      <c r="C6468" s="948" t="s">
        <v>11547</v>
      </c>
      <c r="D6468" s="242" t="s">
        <v>31100</v>
      </c>
      <c r="E6468" s="949">
        <v>1806</v>
      </c>
      <c r="F6468" s="949">
        <v>1806</v>
      </c>
      <c r="G6468" s="950" t="s">
        <v>31101</v>
      </c>
      <c r="H6468" s="950" t="s">
        <v>567</v>
      </c>
      <c r="I6468" s="951" t="s">
        <v>11548</v>
      </c>
      <c r="J6468" s="947" t="s">
        <v>11549</v>
      </c>
      <c r="K6468" s="143"/>
    </row>
    <row r="6469" spans="1:11">
      <c r="A6469" s="946" t="s">
        <v>28606</v>
      </c>
      <c r="B6469" s="947" t="s">
        <v>11552</v>
      </c>
      <c r="C6469" s="948" t="s">
        <v>11550</v>
      </c>
      <c r="D6469" s="242" t="s">
        <v>31100</v>
      </c>
      <c r="E6469" s="949">
        <v>1806</v>
      </c>
      <c r="F6469" s="949">
        <v>1806</v>
      </c>
      <c r="G6469" s="950" t="s">
        <v>31101</v>
      </c>
      <c r="H6469" s="950" t="s">
        <v>567</v>
      </c>
      <c r="I6469" s="951" t="s">
        <v>11551</v>
      </c>
      <c r="J6469" s="947" t="s">
        <v>11552</v>
      </c>
      <c r="K6469" s="143"/>
    </row>
    <row r="6470" spans="1:11">
      <c r="A6470" s="946" t="s">
        <v>28606</v>
      </c>
      <c r="B6470" s="947" t="s">
        <v>11566</v>
      </c>
      <c r="C6470" s="948" t="s">
        <v>11564</v>
      </c>
      <c r="D6470" s="242" t="s">
        <v>31100</v>
      </c>
      <c r="E6470" s="949">
        <v>1806</v>
      </c>
      <c r="F6470" s="949">
        <v>1806</v>
      </c>
      <c r="G6470" s="950" t="s">
        <v>31101</v>
      </c>
      <c r="H6470" s="950" t="s">
        <v>567</v>
      </c>
      <c r="I6470" s="951" t="s">
        <v>11565</v>
      </c>
      <c r="J6470" s="947" t="s">
        <v>11566</v>
      </c>
      <c r="K6470" s="143"/>
    </row>
    <row r="6471" spans="1:11">
      <c r="A6471" s="946" t="s">
        <v>28606</v>
      </c>
      <c r="B6471" s="947" t="s">
        <v>11961</v>
      </c>
      <c r="C6471" s="948" t="s">
        <v>11959</v>
      </c>
      <c r="D6471" s="242" t="s">
        <v>31100</v>
      </c>
      <c r="E6471" s="949">
        <v>1806</v>
      </c>
      <c r="F6471" s="949">
        <v>1806</v>
      </c>
      <c r="G6471" s="950" t="s">
        <v>31101</v>
      </c>
      <c r="H6471" s="950" t="s">
        <v>567</v>
      </c>
      <c r="I6471" s="951" t="s">
        <v>11960</v>
      </c>
      <c r="J6471" s="947" t="s">
        <v>11961</v>
      </c>
      <c r="K6471" s="143"/>
    </row>
    <row r="6472" spans="1:11">
      <c r="A6472" s="946" t="s">
        <v>28606</v>
      </c>
      <c r="B6472" s="947" t="s">
        <v>12015</v>
      </c>
      <c r="C6472" s="948" t="s">
        <v>12013</v>
      </c>
      <c r="D6472" s="242" t="s">
        <v>31100</v>
      </c>
      <c r="E6472" s="949">
        <v>1806</v>
      </c>
      <c r="F6472" s="949">
        <v>1806</v>
      </c>
      <c r="G6472" s="950" t="s">
        <v>31101</v>
      </c>
      <c r="H6472" s="950" t="s">
        <v>567</v>
      </c>
      <c r="I6472" s="951" t="s">
        <v>12014</v>
      </c>
      <c r="J6472" s="947" t="s">
        <v>12015</v>
      </c>
      <c r="K6472" s="143"/>
    </row>
    <row r="6473" spans="1:11">
      <c r="A6473" s="946" t="s">
        <v>28606</v>
      </c>
      <c r="B6473" s="947" t="s">
        <v>30095</v>
      </c>
      <c r="C6473" s="948" t="s">
        <v>30096</v>
      </c>
      <c r="D6473" s="242" t="s">
        <v>31100</v>
      </c>
      <c r="E6473" s="949">
        <v>1806</v>
      </c>
      <c r="F6473" s="949">
        <v>1806</v>
      </c>
      <c r="G6473" s="950" t="s">
        <v>31101</v>
      </c>
      <c r="H6473" s="950" t="s">
        <v>567</v>
      </c>
      <c r="I6473" s="951" t="s">
        <v>12359</v>
      </c>
      <c r="J6473" s="947" t="s">
        <v>30095</v>
      </c>
      <c r="K6473" s="143"/>
    </row>
    <row r="6474" spans="1:11">
      <c r="A6474" s="946" t="s">
        <v>28606</v>
      </c>
      <c r="B6474" s="947" t="s">
        <v>13044</v>
      </c>
      <c r="C6474" s="948" t="s">
        <v>13042</v>
      </c>
      <c r="D6474" s="242" t="s">
        <v>31100</v>
      </c>
      <c r="E6474" s="949">
        <v>1806</v>
      </c>
      <c r="F6474" s="949">
        <v>1806</v>
      </c>
      <c r="G6474" s="950" t="s">
        <v>31101</v>
      </c>
      <c r="H6474" s="950" t="s">
        <v>567</v>
      </c>
      <c r="I6474" s="951" t="s">
        <v>13043</v>
      </c>
      <c r="J6474" s="947" t="s">
        <v>13044</v>
      </c>
      <c r="K6474" s="143"/>
    </row>
    <row r="6475" spans="1:11">
      <c r="A6475" s="946" t="s">
        <v>28606</v>
      </c>
      <c r="B6475" s="947" t="s">
        <v>13677</v>
      </c>
      <c r="C6475" s="948" t="s">
        <v>13675</v>
      </c>
      <c r="D6475" s="242" t="s">
        <v>31100</v>
      </c>
      <c r="E6475" s="949">
        <v>1806</v>
      </c>
      <c r="F6475" s="949">
        <v>1806</v>
      </c>
      <c r="G6475" s="950" t="s">
        <v>31101</v>
      </c>
      <c r="H6475" s="950" t="s">
        <v>567</v>
      </c>
      <c r="I6475" s="951" t="s">
        <v>13676</v>
      </c>
      <c r="J6475" s="947" t="s">
        <v>13677</v>
      </c>
      <c r="K6475" s="143"/>
    </row>
    <row r="6476" spans="1:11">
      <c r="A6476" s="946" t="s">
        <v>28606</v>
      </c>
      <c r="B6476" s="947" t="s">
        <v>14129</v>
      </c>
      <c r="C6476" s="948" t="s">
        <v>14127</v>
      </c>
      <c r="D6476" s="242" t="s">
        <v>31100</v>
      </c>
      <c r="E6476" s="949">
        <v>1806</v>
      </c>
      <c r="F6476" s="949">
        <v>1806</v>
      </c>
      <c r="G6476" s="950" t="s">
        <v>31101</v>
      </c>
      <c r="H6476" s="950" t="s">
        <v>567</v>
      </c>
      <c r="I6476" s="951" t="s">
        <v>14128</v>
      </c>
      <c r="J6476" s="947" t="s">
        <v>14129</v>
      </c>
      <c r="K6476" s="143"/>
    </row>
    <row r="6477" spans="1:11">
      <c r="A6477" s="946" t="s">
        <v>28606</v>
      </c>
      <c r="B6477" s="947" t="s">
        <v>14153</v>
      </c>
      <c r="C6477" s="948" t="s">
        <v>14151</v>
      </c>
      <c r="D6477" s="242" t="s">
        <v>31100</v>
      </c>
      <c r="E6477" s="949">
        <v>1806</v>
      </c>
      <c r="F6477" s="949">
        <v>1806</v>
      </c>
      <c r="G6477" s="950" t="s">
        <v>31101</v>
      </c>
      <c r="H6477" s="950" t="s">
        <v>567</v>
      </c>
      <c r="I6477" s="951" t="s">
        <v>14152</v>
      </c>
      <c r="J6477" s="947" t="s">
        <v>14153</v>
      </c>
      <c r="K6477" s="143"/>
    </row>
    <row r="6478" spans="1:11">
      <c r="A6478" s="946" t="s">
        <v>28606</v>
      </c>
      <c r="B6478" s="947" t="s">
        <v>14382</v>
      </c>
      <c r="C6478" s="948" t="s">
        <v>14380</v>
      </c>
      <c r="D6478" s="242" t="s">
        <v>31100</v>
      </c>
      <c r="E6478" s="949">
        <v>1806</v>
      </c>
      <c r="F6478" s="949">
        <v>1806</v>
      </c>
      <c r="G6478" s="950" t="s">
        <v>31101</v>
      </c>
      <c r="H6478" s="950" t="s">
        <v>567</v>
      </c>
      <c r="I6478" s="951" t="s">
        <v>14381</v>
      </c>
      <c r="J6478" s="947" t="s">
        <v>14382</v>
      </c>
      <c r="K6478" s="143"/>
    </row>
    <row r="6479" spans="1:11">
      <c r="A6479" s="946" t="s">
        <v>28606</v>
      </c>
      <c r="B6479" s="947" t="s">
        <v>15128</v>
      </c>
      <c r="C6479" s="948" t="s">
        <v>15126</v>
      </c>
      <c r="D6479" s="242" t="s">
        <v>31100</v>
      </c>
      <c r="E6479" s="949">
        <v>1806</v>
      </c>
      <c r="F6479" s="949">
        <v>1806</v>
      </c>
      <c r="G6479" s="950" t="s">
        <v>31101</v>
      </c>
      <c r="H6479" s="950" t="s">
        <v>567</v>
      </c>
      <c r="I6479" s="951" t="s">
        <v>15127</v>
      </c>
      <c r="J6479" s="947" t="s">
        <v>15128</v>
      </c>
      <c r="K6479" s="143"/>
    </row>
    <row r="6480" spans="1:11">
      <c r="A6480" s="946" t="s">
        <v>28606</v>
      </c>
      <c r="B6480" s="947" t="s">
        <v>15137</v>
      </c>
      <c r="C6480" s="948" t="s">
        <v>15135</v>
      </c>
      <c r="D6480" s="242" t="s">
        <v>31100</v>
      </c>
      <c r="E6480" s="949">
        <v>1806</v>
      </c>
      <c r="F6480" s="949">
        <v>1806</v>
      </c>
      <c r="G6480" s="950" t="s">
        <v>31101</v>
      </c>
      <c r="H6480" s="950" t="s">
        <v>567</v>
      </c>
      <c r="I6480" s="951" t="s">
        <v>15136</v>
      </c>
      <c r="J6480" s="947" t="s">
        <v>15137</v>
      </c>
      <c r="K6480" s="143"/>
    </row>
    <row r="6481" spans="1:11">
      <c r="A6481" s="946" t="s">
        <v>28606</v>
      </c>
      <c r="B6481" s="947" t="s">
        <v>15273</v>
      </c>
      <c r="C6481" s="948" t="s">
        <v>15271</v>
      </c>
      <c r="D6481" s="242" t="s">
        <v>31100</v>
      </c>
      <c r="E6481" s="949">
        <v>1806</v>
      </c>
      <c r="F6481" s="949">
        <v>1806</v>
      </c>
      <c r="G6481" s="950" t="s">
        <v>31101</v>
      </c>
      <c r="H6481" s="950" t="s">
        <v>567</v>
      </c>
      <c r="I6481" s="951" t="s">
        <v>15272</v>
      </c>
      <c r="J6481" s="947" t="s">
        <v>15273</v>
      </c>
      <c r="K6481" s="143"/>
    </row>
    <row r="6482" spans="1:11">
      <c r="A6482" s="946" t="s">
        <v>28606</v>
      </c>
      <c r="B6482" s="947" t="s">
        <v>15547</v>
      </c>
      <c r="C6482" s="948" t="s">
        <v>15545</v>
      </c>
      <c r="D6482" s="242" t="s">
        <v>31100</v>
      </c>
      <c r="E6482" s="949">
        <v>1806</v>
      </c>
      <c r="F6482" s="949">
        <v>1806</v>
      </c>
      <c r="G6482" s="950" t="s">
        <v>31101</v>
      </c>
      <c r="H6482" s="950" t="s">
        <v>567</v>
      </c>
      <c r="I6482" s="951" t="s">
        <v>15546</v>
      </c>
      <c r="J6482" s="947" t="s">
        <v>15547</v>
      </c>
      <c r="K6482" s="143"/>
    </row>
    <row r="6483" spans="1:11">
      <c r="A6483" s="946" t="s">
        <v>28606</v>
      </c>
      <c r="B6483" s="947" t="s">
        <v>16181</v>
      </c>
      <c r="C6483" s="948" t="s">
        <v>16179</v>
      </c>
      <c r="D6483" s="242" t="s">
        <v>31100</v>
      </c>
      <c r="E6483" s="949">
        <v>1806</v>
      </c>
      <c r="F6483" s="949">
        <v>1806</v>
      </c>
      <c r="G6483" s="950" t="s">
        <v>31101</v>
      </c>
      <c r="H6483" s="950" t="s">
        <v>567</v>
      </c>
      <c r="I6483" s="951" t="s">
        <v>16180</v>
      </c>
      <c r="J6483" s="947" t="s">
        <v>16181</v>
      </c>
      <c r="K6483" s="143"/>
    </row>
    <row r="6484" spans="1:11">
      <c r="A6484" s="946" t="s">
        <v>28606</v>
      </c>
      <c r="B6484" s="947" t="s">
        <v>16252</v>
      </c>
      <c r="C6484" s="948" t="s">
        <v>16250</v>
      </c>
      <c r="D6484" s="242" t="s">
        <v>31100</v>
      </c>
      <c r="E6484" s="949">
        <v>1806</v>
      </c>
      <c r="F6484" s="949">
        <v>1806</v>
      </c>
      <c r="G6484" s="950" t="s">
        <v>31101</v>
      </c>
      <c r="H6484" s="950" t="s">
        <v>567</v>
      </c>
      <c r="I6484" s="951" t="s">
        <v>16251</v>
      </c>
      <c r="J6484" s="947" t="s">
        <v>16252</v>
      </c>
      <c r="K6484" s="143"/>
    </row>
    <row r="6485" spans="1:11">
      <c r="A6485" s="946" t="s">
        <v>28606</v>
      </c>
      <c r="B6485" s="947" t="s">
        <v>16456</v>
      </c>
      <c r="C6485" s="948" t="s">
        <v>16454</v>
      </c>
      <c r="D6485" s="242" t="s">
        <v>31100</v>
      </c>
      <c r="E6485" s="949">
        <v>1806</v>
      </c>
      <c r="F6485" s="949">
        <v>1806</v>
      </c>
      <c r="G6485" s="950" t="s">
        <v>31101</v>
      </c>
      <c r="H6485" s="950" t="s">
        <v>567</v>
      </c>
      <c r="I6485" s="951" t="s">
        <v>16455</v>
      </c>
      <c r="J6485" s="947" t="s">
        <v>16456</v>
      </c>
      <c r="K6485" s="143"/>
    </row>
    <row r="6486" spans="1:11">
      <c r="A6486" s="946" t="s">
        <v>28606</v>
      </c>
      <c r="B6486" s="947" t="s">
        <v>16607</v>
      </c>
      <c r="C6486" s="948" t="s">
        <v>16605</v>
      </c>
      <c r="D6486" s="242" t="s">
        <v>31100</v>
      </c>
      <c r="E6486" s="949">
        <v>1806</v>
      </c>
      <c r="F6486" s="949">
        <v>1806</v>
      </c>
      <c r="G6486" s="950" t="s">
        <v>31101</v>
      </c>
      <c r="H6486" s="950" t="s">
        <v>567</v>
      </c>
      <c r="I6486" s="951" t="s">
        <v>16606</v>
      </c>
      <c r="J6486" s="947" t="s">
        <v>16607</v>
      </c>
      <c r="K6486" s="143"/>
    </row>
    <row r="6487" spans="1:11">
      <c r="A6487" s="946" t="s">
        <v>28606</v>
      </c>
      <c r="B6487" s="947" t="s">
        <v>16709</v>
      </c>
      <c r="C6487" s="948" t="s">
        <v>16707</v>
      </c>
      <c r="D6487" s="242" t="s">
        <v>31100</v>
      </c>
      <c r="E6487" s="949">
        <v>1806</v>
      </c>
      <c r="F6487" s="949">
        <v>1806</v>
      </c>
      <c r="G6487" s="950" t="s">
        <v>31101</v>
      </c>
      <c r="H6487" s="950" t="s">
        <v>567</v>
      </c>
      <c r="I6487" s="951" t="s">
        <v>16708</v>
      </c>
      <c r="J6487" s="947" t="s">
        <v>16709</v>
      </c>
      <c r="K6487" s="143"/>
    </row>
    <row r="6488" spans="1:11">
      <c r="A6488" s="946" t="s">
        <v>28606</v>
      </c>
      <c r="B6488" s="947" t="s">
        <v>16782</v>
      </c>
      <c r="C6488" s="948" t="s">
        <v>16780</v>
      </c>
      <c r="D6488" s="242" t="s">
        <v>31100</v>
      </c>
      <c r="E6488" s="949">
        <v>1806</v>
      </c>
      <c r="F6488" s="949">
        <v>1806</v>
      </c>
      <c r="G6488" s="950" t="s">
        <v>31101</v>
      </c>
      <c r="H6488" s="950" t="s">
        <v>567</v>
      </c>
      <c r="I6488" s="951" t="s">
        <v>16781</v>
      </c>
      <c r="J6488" s="947" t="s">
        <v>16782</v>
      </c>
      <c r="K6488" s="143"/>
    </row>
    <row r="6489" spans="1:11">
      <c r="A6489" s="946" t="s">
        <v>28606</v>
      </c>
      <c r="B6489" s="947" t="s">
        <v>16931</v>
      </c>
      <c r="C6489" s="948" t="s">
        <v>16929</v>
      </c>
      <c r="D6489" s="242" t="s">
        <v>31100</v>
      </c>
      <c r="E6489" s="949">
        <v>1806</v>
      </c>
      <c r="F6489" s="949">
        <v>1806</v>
      </c>
      <c r="G6489" s="950" t="s">
        <v>31101</v>
      </c>
      <c r="H6489" s="950" t="s">
        <v>567</v>
      </c>
      <c r="I6489" s="951" t="s">
        <v>16930</v>
      </c>
      <c r="J6489" s="947" t="s">
        <v>16931</v>
      </c>
      <c r="K6489" s="143"/>
    </row>
    <row r="6490" spans="1:11">
      <c r="A6490" s="946" t="s">
        <v>28606</v>
      </c>
      <c r="B6490" s="947" t="s">
        <v>17347</v>
      </c>
      <c r="C6490" s="948" t="s">
        <v>17345</v>
      </c>
      <c r="D6490" s="242" t="s">
        <v>31100</v>
      </c>
      <c r="E6490" s="949">
        <v>1806</v>
      </c>
      <c r="F6490" s="949">
        <v>1806</v>
      </c>
      <c r="G6490" s="950" t="s">
        <v>31101</v>
      </c>
      <c r="H6490" s="950" t="s">
        <v>567</v>
      </c>
      <c r="I6490" s="951" t="s">
        <v>17346</v>
      </c>
      <c r="J6490" s="947" t="s">
        <v>17347</v>
      </c>
      <c r="K6490" s="143"/>
    </row>
    <row r="6491" spans="1:11">
      <c r="A6491" s="946" t="s">
        <v>28606</v>
      </c>
      <c r="B6491" s="947" t="s">
        <v>17681</v>
      </c>
      <c r="C6491" s="948" t="s">
        <v>17679</v>
      </c>
      <c r="D6491" s="242" t="s">
        <v>31100</v>
      </c>
      <c r="E6491" s="949">
        <v>1806</v>
      </c>
      <c r="F6491" s="949">
        <v>1806</v>
      </c>
      <c r="G6491" s="950" t="s">
        <v>31101</v>
      </c>
      <c r="H6491" s="950" t="s">
        <v>567</v>
      </c>
      <c r="I6491" s="951" t="s">
        <v>17680</v>
      </c>
      <c r="J6491" s="947" t="s">
        <v>17681</v>
      </c>
      <c r="K6491" s="143"/>
    </row>
    <row r="6492" spans="1:11">
      <c r="A6492" s="946" t="s">
        <v>28606</v>
      </c>
      <c r="B6492" s="947" t="s">
        <v>17708</v>
      </c>
      <c r="C6492" s="948" t="s">
        <v>17706</v>
      </c>
      <c r="D6492" s="242" t="s">
        <v>31100</v>
      </c>
      <c r="E6492" s="949">
        <v>1806</v>
      </c>
      <c r="F6492" s="949">
        <v>1806</v>
      </c>
      <c r="G6492" s="950" t="s">
        <v>31101</v>
      </c>
      <c r="H6492" s="950" t="s">
        <v>567</v>
      </c>
      <c r="I6492" s="951" t="s">
        <v>17707</v>
      </c>
      <c r="J6492" s="947" t="s">
        <v>17708</v>
      </c>
      <c r="K6492" s="143"/>
    </row>
    <row r="6493" spans="1:11">
      <c r="A6493" s="946" t="s">
        <v>28606</v>
      </c>
      <c r="B6493" s="947" t="s">
        <v>17813</v>
      </c>
      <c r="C6493" s="948" t="s">
        <v>17811</v>
      </c>
      <c r="D6493" s="242" t="s">
        <v>31100</v>
      </c>
      <c r="E6493" s="949">
        <v>1806</v>
      </c>
      <c r="F6493" s="949">
        <v>1806</v>
      </c>
      <c r="G6493" s="950" t="s">
        <v>31101</v>
      </c>
      <c r="H6493" s="950" t="s">
        <v>567</v>
      </c>
      <c r="I6493" s="951" t="s">
        <v>17812</v>
      </c>
      <c r="J6493" s="947" t="s">
        <v>17813</v>
      </c>
      <c r="K6493" s="143"/>
    </row>
    <row r="6494" spans="1:11">
      <c r="A6494" s="946" t="s">
        <v>28606</v>
      </c>
      <c r="B6494" s="947" t="s">
        <v>17838</v>
      </c>
      <c r="C6494" s="948" t="s">
        <v>17836</v>
      </c>
      <c r="D6494" s="242" t="s">
        <v>31100</v>
      </c>
      <c r="E6494" s="949">
        <v>1806</v>
      </c>
      <c r="F6494" s="949">
        <v>1806</v>
      </c>
      <c r="G6494" s="950" t="s">
        <v>31101</v>
      </c>
      <c r="H6494" s="950" t="s">
        <v>567</v>
      </c>
      <c r="I6494" s="951" t="s">
        <v>17837</v>
      </c>
      <c r="J6494" s="947" t="s">
        <v>17838</v>
      </c>
      <c r="K6494" s="143"/>
    </row>
    <row r="6495" spans="1:11">
      <c r="A6495" s="946" t="s">
        <v>28606</v>
      </c>
      <c r="B6495" s="947" t="s">
        <v>18087</v>
      </c>
      <c r="C6495" s="948" t="s">
        <v>18085</v>
      </c>
      <c r="D6495" s="242" t="s">
        <v>31100</v>
      </c>
      <c r="E6495" s="949">
        <v>1806</v>
      </c>
      <c r="F6495" s="949">
        <v>1806</v>
      </c>
      <c r="G6495" s="950" t="s">
        <v>31101</v>
      </c>
      <c r="H6495" s="950" t="s">
        <v>567</v>
      </c>
      <c r="I6495" s="951" t="s">
        <v>18086</v>
      </c>
      <c r="J6495" s="947" t="s">
        <v>18087</v>
      </c>
      <c r="K6495" s="143"/>
    </row>
    <row r="6496" spans="1:11">
      <c r="A6496" s="946" t="s">
        <v>28606</v>
      </c>
      <c r="B6496" s="947" t="s">
        <v>18165</v>
      </c>
      <c r="C6496" s="948" t="s">
        <v>18163</v>
      </c>
      <c r="D6496" s="242" t="s">
        <v>31100</v>
      </c>
      <c r="E6496" s="949">
        <v>1806</v>
      </c>
      <c r="F6496" s="949">
        <v>1806</v>
      </c>
      <c r="G6496" s="950" t="s">
        <v>31101</v>
      </c>
      <c r="H6496" s="950" t="s">
        <v>567</v>
      </c>
      <c r="I6496" s="951" t="s">
        <v>18164</v>
      </c>
      <c r="J6496" s="947" t="s">
        <v>18165</v>
      </c>
      <c r="K6496" s="143"/>
    </row>
    <row r="6497" spans="1:11">
      <c r="A6497" s="946" t="s">
        <v>28606</v>
      </c>
      <c r="B6497" s="947" t="s">
        <v>18180</v>
      </c>
      <c r="C6497" s="948" t="s">
        <v>18178</v>
      </c>
      <c r="D6497" s="242" t="s">
        <v>31100</v>
      </c>
      <c r="E6497" s="949">
        <v>1806</v>
      </c>
      <c r="F6497" s="949">
        <v>1806</v>
      </c>
      <c r="G6497" s="950" t="s">
        <v>31101</v>
      </c>
      <c r="H6497" s="950" t="s">
        <v>567</v>
      </c>
      <c r="I6497" s="951" t="s">
        <v>18179</v>
      </c>
      <c r="J6497" s="947" t="s">
        <v>18180</v>
      </c>
      <c r="K6497" s="143"/>
    </row>
    <row r="6498" spans="1:11">
      <c r="A6498" s="946" t="s">
        <v>28606</v>
      </c>
      <c r="B6498" s="947" t="s">
        <v>18387</v>
      </c>
      <c r="C6498" s="948" t="s">
        <v>18385</v>
      </c>
      <c r="D6498" s="242" t="s">
        <v>31100</v>
      </c>
      <c r="E6498" s="949">
        <v>1806</v>
      </c>
      <c r="F6498" s="949">
        <v>1806</v>
      </c>
      <c r="G6498" s="950" t="s">
        <v>31101</v>
      </c>
      <c r="H6498" s="950" t="s">
        <v>567</v>
      </c>
      <c r="I6498" s="951" t="s">
        <v>18386</v>
      </c>
      <c r="J6498" s="947" t="s">
        <v>18387</v>
      </c>
      <c r="K6498" s="143"/>
    </row>
    <row r="6499" spans="1:11">
      <c r="A6499" s="946" t="s">
        <v>28606</v>
      </c>
      <c r="B6499" s="947" t="s">
        <v>18547</v>
      </c>
      <c r="C6499" s="948" t="s">
        <v>18545</v>
      </c>
      <c r="D6499" s="242" t="s">
        <v>31100</v>
      </c>
      <c r="E6499" s="949">
        <v>1806</v>
      </c>
      <c r="F6499" s="949">
        <v>1806</v>
      </c>
      <c r="G6499" s="950" t="s">
        <v>31101</v>
      </c>
      <c r="H6499" s="950" t="s">
        <v>567</v>
      </c>
      <c r="I6499" s="951" t="s">
        <v>18546</v>
      </c>
      <c r="J6499" s="947" t="s">
        <v>18547</v>
      </c>
      <c r="K6499" s="143"/>
    </row>
    <row r="6500" spans="1:11">
      <c r="A6500" s="946" t="s">
        <v>28606</v>
      </c>
      <c r="B6500" s="947" t="s">
        <v>18579</v>
      </c>
      <c r="C6500" s="948" t="s">
        <v>18577</v>
      </c>
      <c r="D6500" s="242" t="s">
        <v>31100</v>
      </c>
      <c r="E6500" s="949">
        <v>1806</v>
      </c>
      <c r="F6500" s="949">
        <v>1806</v>
      </c>
      <c r="G6500" s="950" t="s">
        <v>31101</v>
      </c>
      <c r="H6500" s="950" t="s">
        <v>567</v>
      </c>
      <c r="I6500" s="951" t="s">
        <v>18578</v>
      </c>
      <c r="J6500" s="947" t="s">
        <v>18579</v>
      </c>
      <c r="K6500" s="143"/>
    </row>
    <row r="6501" spans="1:11">
      <c r="A6501" s="946" t="s">
        <v>28606</v>
      </c>
      <c r="B6501" s="947" t="s">
        <v>18729</v>
      </c>
      <c r="C6501" s="948" t="s">
        <v>18727</v>
      </c>
      <c r="D6501" s="242" t="s">
        <v>31100</v>
      </c>
      <c r="E6501" s="949">
        <v>1806</v>
      </c>
      <c r="F6501" s="949">
        <v>1806</v>
      </c>
      <c r="G6501" s="950" t="s">
        <v>31101</v>
      </c>
      <c r="H6501" s="950" t="s">
        <v>567</v>
      </c>
      <c r="I6501" s="951" t="s">
        <v>18728</v>
      </c>
      <c r="J6501" s="947" t="s">
        <v>18729</v>
      </c>
      <c r="K6501" s="143"/>
    </row>
    <row r="6502" spans="1:11">
      <c r="A6502" s="946" t="s">
        <v>28606</v>
      </c>
      <c r="B6502" s="947" t="s">
        <v>18744</v>
      </c>
      <c r="C6502" s="948" t="s">
        <v>18742</v>
      </c>
      <c r="D6502" s="242" t="s">
        <v>31100</v>
      </c>
      <c r="E6502" s="949">
        <v>1806</v>
      </c>
      <c r="F6502" s="949">
        <v>1806</v>
      </c>
      <c r="G6502" s="950" t="s">
        <v>31101</v>
      </c>
      <c r="H6502" s="950" t="s">
        <v>567</v>
      </c>
      <c r="I6502" s="951" t="s">
        <v>18743</v>
      </c>
      <c r="J6502" s="947" t="s">
        <v>18744</v>
      </c>
      <c r="K6502" s="143"/>
    </row>
    <row r="6503" spans="1:11">
      <c r="A6503" s="946" t="s">
        <v>28606</v>
      </c>
      <c r="B6503" s="947" t="s">
        <v>18780</v>
      </c>
      <c r="C6503" s="948" t="s">
        <v>18778</v>
      </c>
      <c r="D6503" s="242" t="s">
        <v>31100</v>
      </c>
      <c r="E6503" s="949">
        <v>1806</v>
      </c>
      <c r="F6503" s="949">
        <v>1806</v>
      </c>
      <c r="G6503" s="950" t="s">
        <v>31101</v>
      </c>
      <c r="H6503" s="950" t="s">
        <v>567</v>
      </c>
      <c r="I6503" s="951" t="s">
        <v>18779</v>
      </c>
      <c r="J6503" s="947" t="s">
        <v>18780</v>
      </c>
      <c r="K6503" s="143"/>
    </row>
    <row r="6504" spans="1:11">
      <c r="A6504" s="946" t="s">
        <v>28606</v>
      </c>
      <c r="B6504" s="947" t="s">
        <v>19100</v>
      </c>
      <c r="C6504" s="948" t="s">
        <v>19098</v>
      </c>
      <c r="D6504" s="242" t="s">
        <v>31100</v>
      </c>
      <c r="E6504" s="949">
        <v>1806</v>
      </c>
      <c r="F6504" s="949">
        <v>1806</v>
      </c>
      <c r="G6504" s="950" t="s">
        <v>31101</v>
      </c>
      <c r="H6504" s="950" t="s">
        <v>567</v>
      </c>
      <c r="I6504" s="951" t="s">
        <v>19099</v>
      </c>
      <c r="J6504" s="947" t="s">
        <v>19100</v>
      </c>
      <c r="K6504" s="143"/>
    </row>
    <row r="6505" spans="1:11">
      <c r="A6505" s="946" t="s">
        <v>28606</v>
      </c>
      <c r="B6505" s="947" t="s">
        <v>19106</v>
      </c>
      <c r="C6505" s="948" t="s">
        <v>19104</v>
      </c>
      <c r="D6505" s="242" t="s">
        <v>31100</v>
      </c>
      <c r="E6505" s="949">
        <v>1806</v>
      </c>
      <c r="F6505" s="949">
        <v>1806</v>
      </c>
      <c r="G6505" s="950" t="s">
        <v>31101</v>
      </c>
      <c r="H6505" s="950" t="s">
        <v>567</v>
      </c>
      <c r="I6505" s="951" t="s">
        <v>19105</v>
      </c>
      <c r="J6505" s="947" t="s">
        <v>19106</v>
      </c>
      <c r="K6505" s="143"/>
    </row>
    <row r="6506" spans="1:11">
      <c r="A6506" s="946" t="s">
        <v>28606</v>
      </c>
      <c r="B6506" s="947" t="s">
        <v>19235</v>
      </c>
      <c r="C6506" s="948" t="s">
        <v>19233</v>
      </c>
      <c r="D6506" s="242" t="s">
        <v>31100</v>
      </c>
      <c r="E6506" s="949">
        <v>1806</v>
      </c>
      <c r="F6506" s="949">
        <v>1806</v>
      </c>
      <c r="G6506" s="950" t="s">
        <v>31101</v>
      </c>
      <c r="H6506" s="950" t="s">
        <v>567</v>
      </c>
      <c r="I6506" s="951" t="s">
        <v>19234</v>
      </c>
      <c r="J6506" s="947" t="s">
        <v>19235</v>
      </c>
      <c r="K6506" s="143"/>
    </row>
    <row r="6507" spans="1:11">
      <c r="A6507" s="946" t="s">
        <v>28606</v>
      </c>
      <c r="B6507" s="947" t="s">
        <v>19364</v>
      </c>
      <c r="C6507" s="948" t="s">
        <v>19362</v>
      </c>
      <c r="D6507" s="242" t="s">
        <v>31100</v>
      </c>
      <c r="E6507" s="949">
        <v>1806</v>
      </c>
      <c r="F6507" s="949">
        <v>1806</v>
      </c>
      <c r="G6507" s="950" t="s">
        <v>31101</v>
      </c>
      <c r="H6507" s="950" t="s">
        <v>567</v>
      </c>
      <c r="I6507" s="951" t="s">
        <v>19363</v>
      </c>
      <c r="J6507" s="947" t="s">
        <v>19364</v>
      </c>
      <c r="K6507" s="143"/>
    </row>
    <row r="6508" spans="1:11">
      <c r="A6508" s="946" t="s">
        <v>28606</v>
      </c>
      <c r="B6508" s="947" t="s">
        <v>19508</v>
      </c>
      <c r="C6508" s="948" t="s">
        <v>19506</v>
      </c>
      <c r="D6508" s="242" t="s">
        <v>31100</v>
      </c>
      <c r="E6508" s="949">
        <v>1806</v>
      </c>
      <c r="F6508" s="949">
        <v>1806</v>
      </c>
      <c r="G6508" s="950" t="s">
        <v>31101</v>
      </c>
      <c r="H6508" s="950" t="s">
        <v>567</v>
      </c>
      <c r="I6508" s="951" t="s">
        <v>19507</v>
      </c>
      <c r="J6508" s="947" t="s">
        <v>19508</v>
      </c>
      <c r="K6508" s="143"/>
    </row>
    <row r="6509" spans="1:11">
      <c r="A6509" s="946" t="s">
        <v>28606</v>
      </c>
      <c r="B6509" s="947" t="s">
        <v>19568</v>
      </c>
      <c r="C6509" s="948" t="s">
        <v>19566</v>
      </c>
      <c r="D6509" s="242" t="s">
        <v>31100</v>
      </c>
      <c r="E6509" s="949">
        <v>1806</v>
      </c>
      <c r="F6509" s="949">
        <v>1806</v>
      </c>
      <c r="G6509" s="950" t="s">
        <v>31101</v>
      </c>
      <c r="H6509" s="950" t="s">
        <v>567</v>
      </c>
      <c r="I6509" s="951" t="s">
        <v>19567</v>
      </c>
      <c r="J6509" s="947" t="s">
        <v>19568</v>
      </c>
      <c r="K6509" s="143"/>
    </row>
    <row r="6510" spans="1:11">
      <c r="A6510" s="946" t="s">
        <v>28606</v>
      </c>
      <c r="B6510" s="947" t="s">
        <v>19957</v>
      </c>
      <c r="C6510" s="948" t="s">
        <v>19955</v>
      </c>
      <c r="D6510" s="242" t="s">
        <v>31100</v>
      </c>
      <c r="E6510" s="949">
        <v>1806</v>
      </c>
      <c r="F6510" s="949">
        <v>1806</v>
      </c>
      <c r="G6510" s="950" t="s">
        <v>31101</v>
      </c>
      <c r="H6510" s="950" t="s">
        <v>567</v>
      </c>
      <c r="I6510" s="951" t="s">
        <v>19956</v>
      </c>
      <c r="J6510" s="947" t="s">
        <v>19957</v>
      </c>
      <c r="K6510" s="143"/>
    </row>
    <row r="6511" spans="1:11">
      <c r="A6511" s="946" t="s">
        <v>28606</v>
      </c>
      <c r="B6511" s="947" t="s">
        <v>20008</v>
      </c>
      <c r="C6511" s="948" t="s">
        <v>20006</v>
      </c>
      <c r="D6511" s="242" t="s">
        <v>31100</v>
      </c>
      <c r="E6511" s="949">
        <v>1806</v>
      </c>
      <c r="F6511" s="949">
        <v>1806</v>
      </c>
      <c r="G6511" s="950" t="s">
        <v>31101</v>
      </c>
      <c r="H6511" s="950" t="s">
        <v>567</v>
      </c>
      <c r="I6511" s="951" t="s">
        <v>20007</v>
      </c>
      <c r="J6511" s="947" t="s">
        <v>20008</v>
      </c>
      <c r="K6511" s="143"/>
    </row>
    <row r="6512" spans="1:11">
      <c r="A6512" s="946" t="s">
        <v>28606</v>
      </c>
      <c r="B6512" s="947" t="s">
        <v>20011</v>
      </c>
      <c r="C6512" s="948" t="s">
        <v>20009</v>
      </c>
      <c r="D6512" s="242" t="s">
        <v>31100</v>
      </c>
      <c r="E6512" s="949">
        <v>1806</v>
      </c>
      <c r="F6512" s="949">
        <v>1806</v>
      </c>
      <c r="G6512" s="950" t="s">
        <v>31101</v>
      </c>
      <c r="H6512" s="950" t="s">
        <v>567</v>
      </c>
      <c r="I6512" s="951" t="s">
        <v>20010</v>
      </c>
      <c r="J6512" s="947" t="s">
        <v>20011</v>
      </c>
      <c r="K6512" s="143"/>
    </row>
    <row r="6513" spans="1:11">
      <c r="A6513" s="946" t="s">
        <v>28606</v>
      </c>
      <c r="B6513" s="947" t="s">
        <v>20242</v>
      </c>
      <c r="C6513" s="948" t="s">
        <v>20240</v>
      </c>
      <c r="D6513" s="242" t="s">
        <v>31100</v>
      </c>
      <c r="E6513" s="949">
        <v>1806</v>
      </c>
      <c r="F6513" s="949">
        <v>1806</v>
      </c>
      <c r="G6513" s="950" t="s">
        <v>31101</v>
      </c>
      <c r="H6513" s="950" t="s">
        <v>567</v>
      </c>
      <c r="I6513" s="951" t="s">
        <v>20241</v>
      </c>
      <c r="J6513" s="947" t="s">
        <v>20242</v>
      </c>
      <c r="K6513" s="143"/>
    </row>
    <row r="6514" spans="1:11">
      <c r="A6514" s="946" t="s">
        <v>28606</v>
      </c>
      <c r="B6514" s="947" t="s">
        <v>20386</v>
      </c>
      <c r="C6514" s="948" t="s">
        <v>20384</v>
      </c>
      <c r="D6514" s="242" t="s">
        <v>31100</v>
      </c>
      <c r="E6514" s="949">
        <v>1806</v>
      </c>
      <c r="F6514" s="949">
        <v>1806</v>
      </c>
      <c r="G6514" s="950" t="s">
        <v>31101</v>
      </c>
      <c r="H6514" s="950" t="s">
        <v>567</v>
      </c>
      <c r="I6514" s="951" t="s">
        <v>20385</v>
      </c>
      <c r="J6514" s="947" t="s">
        <v>20386</v>
      </c>
      <c r="K6514" s="143"/>
    </row>
    <row r="6515" spans="1:11">
      <c r="A6515" s="946" t="s">
        <v>28606</v>
      </c>
      <c r="B6515" s="947" t="s">
        <v>21572</v>
      </c>
      <c r="C6515" s="948" t="s">
        <v>21570</v>
      </c>
      <c r="D6515" s="242" t="s">
        <v>31100</v>
      </c>
      <c r="E6515" s="949">
        <v>1806</v>
      </c>
      <c r="F6515" s="949">
        <v>1806</v>
      </c>
      <c r="G6515" s="950" t="s">
        <v>31101</v>
      </c>
      <c r="H6515" s="950" t="s">
        <v>567</v>
      </c>
      <c r="I6515" s="951" t="s">
        <v>21571</v>
      </c>
      <c r="J6515" s="947" t="s">
        <v>21572</v>
      </c>
      <c r="K6515" s="143"/>
    </row>
    <row r="6516" spans="1:11">
      <c r="A6516" s="946" t="s">
        <v>28606</v>
      </c>
      <c r="B6516" s="947" t="s">
        <v>22118</v>
      </c>
      <c r="C6516" s="948" t="s">
        <v>22116</v>
      </c>
      <c r="D6516" s="242" t="s">
        <v>31100</v>
      </c>
      <c r="E6516" s="949">
        <v>1806</v>
      </c>
      <c r="F6516" s="949">
        <v>1806</v>
      </c>
      <c r="G6516" s="950" t="s">
        <v>31101</v>
      </c>
      <c r="H6516" s="950" t="s">
        <v>567</v>
      </c>
      <c r="I6516" s="951" t="s">
        <v>22117</v>
      </c>
      <c r="J6516" s="947" t="s">
        <v>22118</v>
      </c>
      <c r="K6516" s="143"/>
    </row>
    <row r="6517" spans="1:11">
      <c r="A6517" s="946" t="s">
        <v>28606</v>
      </c>
      <c r="B6517" s="947" t="s">
        <v>17565</v>
      </c>
      <c r="C6517" s="948" t="s">
        <v>17563</v>
      </c>
      <c r="D6517" s="242" t="s">
        <v>31100</v>
      </c>
      <c r="E6517" s="949">
        <v>1806</v>
      </c>
      <c r="F6517" s="949">
        <v>1806</v>
      </c>
      <c r="G6517" s="950" t="s">
        <v>31101</v>
      </c>
      <c r="H6517" s="950" t="s">
        <v>567</v>
      </c>
      <c r="I6517" s="951" t="s">
        <v>17564</v>
      </c>
      <c r="J6517" s="947" t="s">
        <v>17565</v>
      </c>
      <c r="K6517" s="143"/>
    </row>
    <row r="6518" spans="1:11">
      <c r="A6518" s="946" t="s">
        <v>28617</v>
      </c>
      <c r="B6518" s="947" t="s">
        <v>866</v>
      </c>
      <c r="C6518" s="948" t="s">
        <v>863</v>
      </c>
      <c r="D6518" s="242" t="s">
        <v>28737</v>
      </c>
      <c r="E6518" s="949">
        <v>1907</v>
      </c>
      <c r="F6518" s="949">
        <v>1907</v>
      </c>
      <c r="G6518" s="950" t="s">
        <v>20845</v>
      </c>
      <c r="H6518" s="950" t="s">
        <v>864</v>
      </c>
      <c r="I6518" s="951" t="s">
        <v>865</v>
      </c>
      <c r="J6518" s="947" t="s">
        <v>866</v>
      </c>
      <c r="K6518" s="143"/>
    </row>
    <row r="6519" spans="1:11">
      <c r="A6519" s="946" t="s">
        <v>28617</v>
      </c>
      <c r="B6519" s="947" t="s">
        <v>3286</v>
      </c>
      <c r="C6519" s="948" t="s">
        <v>3284</v>
      </c>
      <c r="D6519" s="242" t="s">
        <v>28737</v>
      </c>
      <c r="E6519" s="949">
        <v>1907</v>
      </c>
      <c r="F6519" s="949">
        <v>1907</v>
      </c>
      <c r="G6519" s="950" t="s">
        <v>20845</v>
      </c>
      <c r="H6519" s="950" t="s">
        <v>864</v>
      </c>
      <c r="I6519" s="951" t="s">
        <v>3285</v>
      </c>
      <c r="J6519" s="947" t="s">
        <v>3286</v>
      </c>
      <c r="K6519" s="143"/>
    </row>
    <row r="6520" spans="1:11">
      <c r="A6520" s="946" t="s">
        <v>28617</v>
      </c>
      <c r="B6520" s="947" t="s">
        <v>3438</v>
      </c>
      <c r="C6520" s="948" t="s">
        <v>3436</v>
      </c>
      <c r="D6520" s="242" t="s">
        <v>28737</v>
      </c>
      <c r="E6520" s="949">
        <v>1907</v>
      </c>
      <c r="F6520" s="949">
        <v>1907</v>
      </c>
      <c r="G6520" s="950" t="s">
        <v>20845</v>
      </c>
      <c r="H6520" s="950" t="s">
        <v>864</v>
      </c>
      <c r="I6520" s="951" t="s">
        <v>3437</v>
      </c>
      <c r="J6520" s="947" t="s">
        <v>3438</v>
      </c>
      <c r="K6520" s="143"/>
    </row>
    <row r="6521" spans="1:11">
      <c r="A6521" s="946" t="s">
        <v>28617</v>
      </c>
      <c r="B6521" s="947" t="s">
        <v>3750</v>
      </c>
      <c r="C6521" s="948" t="s">
        <v>3748</v>
      </c>
      <c r="D6521" s="242" t="s">
        <v>28737</v>
      </c>
      <c r="E6521" s="949">
        <v>1907</v>
      </c>
      <c r="F6521" s="949">
        <v>1907</v>
      </c>
      <c r="G6521" s="950" t="s">
        <v>20845</v>
      </c>
      <c r="H6521" s="950" t="s">
        <v>864</v>
      </c>
      <c r="I6521" s="951" t="s">
        <v>3749</v>
      </c>
      <c r="J6521" s="947" t="s">
        <v>3750</v>
      </c>
      <c r="K6521" s="143"/>
    </row>
    <row r="6522" spans="1:11">
      <c r="A6522" s="946" t="s">
        <v>28617</v>
      </c>
      <c r="B6522" s="947" t="s">
        <v>5138</v>
      </c>
      <c r="C6522" s="948" t="s">
        <v>5136</v>
      </c>
      <c r="D6522" s="242" t="s">
        <v>28737</v>
      </c>
      <c r="E6522" s="949">
        <v>1907</v>
      </c>
      <c r="F6522" s="949">
        <v>1907</v>
      </c>
      <c r="G6522" s="950" t="s">
        <v>20845</v>
      </c>
      <c r="H6522" s="950" t="s">
        <v>864</v>
      </c>
      <c r="I6522" s="951" t="s">
        <v>5137</v>
      </c>
      <c r="J6522" s="947" t="s">
        <v>5138</v>
      </c>
      <c r="K6522" s="143"/>
    </row>
    <row r="6523" spans="1:11">
      <c r="A6523" s="946" t="s">
        <v>28617</v>
      </c>
      <c r="B6523" s="947" t="s">
        <v>5457</v>
      </c>
      <c r="C6523" s="948" t="s">
        <v>5455</v>
      </c>
      <c r="D6523" s="242" t="s">
        <v>28737</v>
      </c>
      <c r="E6523" s="949">
        <v>1907</v>
      </c>
      <c r="F6523" s="949">
        <v>1907</v>
      </c>
      <c r="G6523" s="950" t="s">
        <v>20845</v>
      </c>
      <c r="H6523" s="950" t="s">
        <v>864</v>
      </c>
      <c r="I6523" s="951" t="s">
        <v>5456</v>
      </c>
      <c r="J6523" s="947" t="s">
        <v>5457</v>
      </c>
      <c r="K6523" s="143"/>
    </row>
    <row r="6524" spans="1:11">
      <c r="A6524" s="946" t="s">
        <v>28617</v>
      </c>
      <c r="B6524" s="947" t="s">
        <v>7531</v>
      </c>
      <c r="C6524" s="948" t="s">
        <v>7529</v>
      </c>
      <c r="D6524" s="242" t="s">
        <v>28737</v>
      </c>
      <c r="E6524" s="949">
        <v>1907</v>
      </c>
      <c r="F6524" s="949">
        <v>1907</v>
      </c>
      <c r="G6524" s="950" t="s">
        <v>20845</v>
      </c>
      <c r="H6524" s="950" t="s">
        <v>864</v>
      </c>
      <c r="I6524" s="951" t="s">
        <v>7530</v>
      </c>
      <c r="J6524" s="947" t="s">
        <v>7531</v>
      </c>
      <c r="K6524" s="143"/>
    </row>
    <row r="6525" spans="1:11">
      <c r="A6525" s="946" t="s">
        <v>28617</v>
      </c>
      <c r="B6525" s="947" t="s">
        <v>7890</v>
      </c>
      <c r="C6525" s="948" t="s">
        <v>7888</v>
      </c>
      <c r="D6525" s="242" t="s">
        <v>28737</v>
      </c>
      <c r="E6525" s="949">
        <v>1907</v>
      </c>
      <c r="F6525" s="949">
        <v>1907</v>
      </c>
      <c r="G6525" s="950" t="s">
        <v>20845</v>
      </c>
      <c r="H6525" s="950" t="s">
        <v>864</v>
      </c>
      <c r="I6525" s="951" t="s">
        <v>7889</v>
      </c>
      <c r="J6525" s="947" t="s">
        <v>7890</v>
      </c>
      <c r="K6525" s="143"/>
    </row>
    <row r="6526" spans="1:11">
      <c r="A6526" s="946" t="s">
        <v>28617</v>
      </c>
      <c r="B6526" s="947" t="s">
        <v>8091</v>
      </c>
      <c r="C6526" s="948" t="s">
        <v>8089</v>
      </c>
      <c r="D6526" s="242" t="s">
        <v>28737</v>
      </c>
      <c r="E6526" s="949">
        <v>1907</v>
      </c>
      <c r="F6526" s="949">
        <v>1907</v>
      </c>
      <c r="G6526" s="950" t="s">
        <v>20845</v>
      </c>
      <c r="H6526" s="950" t="s">
        <v>864</v>
      </c>
      <c r="I6526" s="951" t="s">
        <v>8090</v>
      </c>
      <c r="J6526" s="947" t="s">
        <v>8091</v>
      </c>
      <c r="K6526" s="143"/>
    </row>
    <row r="6527" spans="1:11">
      <c r="A6527" s="946" t="s">
        <v>28617</v>
      </c>
      <c r="B6527" s="947" t="s">
        <v>9209</v>
      </c>
      <c r="C6527" s="948" t="s">
        <v>9207</v>
      </c>
      <c r="D6527" s="242" t="s">
        <v>28737</v>
      </c>
      <c r="E6527" s="949">
        <v>1907</v>
      </c>
      <c r="F6527" s="949">
        <v>1907</v>
      </c>
      <c r="G6527" s="950" t="s">
        <v>20845</v>
      </c>
      <c r="H6527" s="950" t="s">
        <v>864</v>
      </c>
      <c r="I6527" s="951" t="s">
        <v>9208</v>
      </c>
      <c r="J6527" s="947" t="s">
        <v>9209</v>
      </c>
      <c r="K6527" s="143"/>
    </row>
    <row r="6528" spans="1:11">
      <c r="A6528" s="946" t="s">
        <v>28617</v>
      </c>
      <c r="B6528" s="947" t="s">
        <v>11251</v>
      </c>
      <c r="C6528" s="948" t="s">
        <v>11249</v>
      </c>
      <c r="D6528" s="242" t="s">
        <v>28737</v>
      </c>
      <c r="E6528" s="949">
        <v>1907</v>
      </c>
      <c r="F6528" s="949">
        <v>1907</v>
      </c>
      <c r="G6528" s="950" t="s">
        <v>20845</v>
      </c>
      <c r="H6528" s="950" t="s">
        <v>864</v>
      </c>
      <c r="I6528" s="951" t="s">
        <v>11250</v>
      </c>
      <c r="J6528" s="947" t="s">
        <v>11251</v>
      </c>
      <c r="K6528" s="143"/>
    </row>
    <row r="6529" spans="1:11">
      <c r="A6529" s="946" t="s">
        <v>28617</v>
      </c>
      <c r="B6529" s="947" t="s">
        <v>11455</v>
      </c>
      <c r="C6529" s="948" t="s">
        <v>11453</v>
      </c>
      <c r="D6529" s="242" t="s">
        <v>28737</v>
      </c>
      <c r="E6529" s="949">
        <v>1907</v>
      </c>
      <c r="F6529" s="949">
        <v>1907</v>
      </c>
      <c r="G6529" s="950" t="s">
        <v>20845</v>
      </c>
      <c r="H6529" s="950" t="s">
        <v>864</v>
      </c>
      <c r="I6529" s="951" t="s">
        <v>11454</v>
      </c>
      <c r="J6529" s="947" t="s">
        <v>11455</v>
      </c>
      <c r="K6529" s="143"/>
    </row>
    <row r="6530" spans="1:11">
      <c r="A6530" s="946" t="s">
        <v>28617</v>
      </c>
      <c r="B6530" s="947" t="s">
        <v>13975</v>
      </c>
      <c r="C6530" s="948" t="s">
        <v>13973</v>
      </c>
      <c r="D6530" s="242" t="s">
        <v>28737</v>
      </c>
      <c r="E6530" s="949">
        <v>1907</v>
      </c>
      <c r="F6530" s="949">
        <v>1907</v>
      </c>
      <c r="G6530" s="950" t="s">
        <v>20845</v>
      </c>
      <c r="H6530" s="950" t="s">
        <v>864</v>
      </c>
      <c r="I6530" s="951" t="s">
        <v>13974</v>
      </c>
      <c r="J6530" s="947" t="s">
        <v>13975</v>
      </c>
      <c r="K6530" s="143"/>
    </row>
    <row r="6531" spans="1:11">
      <c r="A6531" s="946" t="s">
        <v>28617</v>
      </c>
      <c r="B6531" s="947" t="s">
        <v>14216</v>
      </c>
      <c r="C6531" s="948" t="s">
        <v>14214</v>
      </c>
      <c r="D6531" s="242" t="s">
        <v>28737</v>
      </c>
      <c r="E6531" s="949">
        <v>1907</v>
      </c>
      <c r="F6531" s="949">
        <v>1907</v>
      </c>
      <c r="G6531" s="950" t="s">
        <v>20845</v>
      </c>
      <c r="H6531" s="950" t="s">
        <v>864</v>
      </c>
      <c r="I6531" s="951" t="s">
        <v>14215</v>
      </c>
      <c r="J6531" s="947" t="s">
        <v>14216</v>
      </c>
      <c r="K6531" s="143"/>
    </row>
    <row r="6532" spans="1:11">
      <c r="A6532" s="946" t="s">
        <v>28617</v>
      </c>
      <c r="B6532" s="947" t="s">
        <v>14282</v>
      </c>
      <c r="C6532" s="948" t="s">
        <v>14280</v>
      </c>
      <c r="D6532" s="242" t="s">
        <v>28737</v>
      </c>
      <c r="E6532" s="949">
        <v>1907</v>
      </c>
      <c r="F6532" s="949">
        <v>1907</v>
      </c>
      <c r="G6532" s="950" t="s">
        <v>20845</v>
      </c>
      <c r="H6532" s="950" t="s">
        <v>864</v>
      </c>
      <c r="I6532" s="951" t="s">
        <v>14281</v>
      </c>
      <c r="J6532" s="947" t="s">
        <v>14282</v>
      </c>
      <c r="K6532" s="143"/>
    </row>
    <row r="6533" spans="1:11">
      <c r="A6533" s="946" t="s">
        <v>28617</v>
      </c>
      <c r="B6533" s="947" t="s">
        <v>15220</v>
      </c>
      <c r="C6533" s="948" t="s">
        <v>15218</v>
      </c>
      <c r="D6533" s="242" t="s">
        <v>28737</v>
      </c>
      <c r="E6533" s="949">
        <v>1907</v>
      </c>
      <c r="F6533" s="949">
        <v>1907</v>
      </c>
      <c r="G6533" s="950" t="s">
        <v>20845</v>
      </c>
      <c r="H6533" s="950" t="s">
        <v>864</v>
      </c>
      <c r="I6533" s="951" t="s">
        <v>15219</v>
      </c>
      <c r="J6533" s="947" t="s">
        <v>15220</v>
      </c>
      <c r="K6533" s="143"/>
    </row>
    <row r="6534" spans="1:11">
      <c r="A6534" s="946" t="s">
        <v>28617</v>
      </c>
      <c r="B6534" s="947" t="s">
        <v>17215</v>
      </c>
      <c r="C6534" s="948" t="s">
        <v>17213</v>
      </c>
      <c r="D6534" s="242" t="s">
        <v>28737</v>
      </c>
      <c r="E6534" s="949">
        <v>1907</v>
      </c>
      <c r="F6534" s="949">
        <v>1907</v>
      </c>
      <c r="G6534" s="950" t="s">
        <v>20845</v>
      </c>
      <c r="H6534" s="950" t="s">
        <v>864</v>
      </c>
      <c r="I6534" s="951" t="s">
        <v>17214</v>
      </c>
      <c r="J6534" s="947" t="s">
        <v>17215</v>
      </c>
      <c r="K6534" s="143"/>
    </row>
    <row r="6535" spans="1:11">
      <c r="A6535" s="946" t="s">
        <v>28617</v>
      </c>
      <c r="B6535" s="947" t="s">
        <v>17248</v>
      </c>
      <c r="C6535" s="948" t="s">
        <v>17246</v>
      </c>
      <c r="D6535" s="242" t="s">
        <v>28737</v>
      </c>
      <c r="E6535" s="949">
        <v>1907</v>
      </c>
      <c r="F6535" s="949">
        <v>1907</v>
      </c>
      <c r="G6535" s="950" t="s">
        <v>20845</v>
      </c>
      <c r="H6535" s="950" t="s">
        <v>864</v>
      </c>
      <c r="I6535" s="951" t="s">
        <v>17247</v>
      </c>
      <c r="J6535" s="947" t="s">
        <v>17248</v>
      </c>
      <c r="K6535" s="143"/>
    </row>
    <row r="6536" spans="1:11">
      <c r="A6536" s="946" t="s">
        <v>28617</v>
      </c>
      <c r="B6536" s="947" t="s">
        <v>18511</v>
      </c>
      <c r="C6536" s="948" t="s">
        <v>18509</v>
      </c>
      <c r="D6536" s="242" t="s">
        <v>28737</v>
      </c>
      <c r="E6536" s="949">
        <v>1907</v>
      </c>
      <c r="F6536" s="949">
        <v>1907</v>
      </c>
      <c r="G6536" s="950" t="s">
        <v>20845</v>
      </c>
      <c r="H6536" s="950" t="s">
        <v>864</v>
      </c>
      <c r="I6536" s="951" t="s">
        <v>18510</v>
      </c>
      <c r="J6536" s="947" t="s">
        <v>18511</v>
      </c>
      <c r="K6536" s="143"/>
    </row>
    <row r="6537" spans="1:11">
      <c r="A6537" s="946" t="s">
        <v>28617</v>
      </c>
      <c r="B6537" s="947" t="s">
        <v>18299</v>
      </c>
      <c r="C6537" s="948" t="s">
        <v>18297</v>
      </c>
      <c r="D6537" s="242" t="s">
        <v>28737</v>
      </c>
      <c r="E6537" s="949">
        <v>1907</v>
      </c>
      <c r="F6537" s="949">
        <v>1907</v>
      </c>
      <c r="G6537" s="950" t="s">
        <v>20845</v>
      </c>
      <c r="H6537" s="950" t="s">
        <v>864</v>
      </c>
      <c r="I6537" s="951" t="s">
        <v>18298</v>
      </c>
      <c r="J6537" s="947" t="s">
        <v>18299</v>
      </c>
      <c r="K6537" s="143"/>
    </row>
    <row r="6538" spans="1:11">
      <c r="A6538" s="946" t="s">
        <v>28617</v>
      </c>
      <c r="B6538" s="947" t="s">
        <v>20845</v>
      </c>
      <c r="C6538" s="948" t="s">
        <v>20843</v>
      </c>
      <c r="D6538" s="242" t="s">
        <v>28737</v>
      </c>
      <c r="E6538" s="949">
        <v>1907</v>
      </c>
      <c r="F6538" s="949">
        <v>1907</v>
      </c>
      <c r="G6538" s="950" t="s">
        <v>20845</v>
      </c>
      <c r="H6538" s="950" t="s">
        <v>864</v>
      </c>
      <c r="I6538" s="951" t="s">
        <v>20844</v>
      </c>
      <c r="J6538" s="947" t="s">
        <v>20845</v>
      </c>
      <c r="K6538" s="143"/>
    </row>
    <row r="6539" spans="1:11">
      <c r="A6539" s="946" t="s">
        <v>28617</v>
      </c>
      <c r="B6539" s="947" t="s">
        <v>21318</v>
      </c>
      <c r="C6539" s="948" t="s">
        <v>21316</v>
      </c>
      <c r="D6539" s="242" t="s">
        <v>28737</v>
      </c>
      <c r="E6539" s="949">
        <v>1907</v>
      </c>
      <c r="F6539" s="949">
        <v>1907</v>
      </c>
      <c r="G6539" s="950" t="s">
        <v>20845</v>
      </c>
      <c r="H6539" s="950" t="s">
        <v>864</v>
      </c>
      <c r="I6539" s="951" t="s">
        <v>21317</v>
      </c>
      <c r="J6539" s="947" t="s">
        <v>21318</v>
      </c>
      <c r="K6539" s="143"/>
    </row>
    <row r="6540" spans="1:11">
      <c r="A6540" s="946" t="s">
        <v>28617</v>
      </c>
      <c r="B6540" s="947" t="s">
        <v>22418</v>
      </c>
      <c r="C6540" s="948" t="s">
        <v>22416</v>
      </c>
      <c r="D6540" s="242" t="s">
        <v>28737</v>
      </c>
      <c r="E6540" s="949">
        <v>1907</v>
      </c>
      <c r="F6540" s="949">
        <v>1907</v>
      </c>
      <c r="G6540" s="950" t="s">
        <v>20845</v>
      </c>
      <c r="H6540" s="950" t="s">
        <v>864</v>
      </c>
      <c r="I6540" s="951" t="s">
        <v>22417</v>
      </c>
      <c r="J6540" s="947" t="s">
        <v>22418</v>
      </c>
      <c r="K6540" s="143"/>
    </row>
    <row r="6541" spans="1:11">
      <c r="A6541" s="946" t="s">
        <v>28617</v>
      </c>
      <c r="B6541" s="947" t="s">
        <v>14659</v>
      </c>
      <c r="C6541" s="948" t="s">
        <v>14657</v>
      </c>
      <c r="D6541" s="242" t="s">
        <v>28737</v>
      </c>
      <c r="E6541" s="949">
        <v>1907</v>
      </c>
      <c r="F6541" s="949">
        <v>1907</v>
      </c>
      <c r="G6541" s="950" t="s">
        <v>20845</v>
      </c>
      <c r="H6541" s="950" t="s">
        <v>864</v>
      </c>
      <c r="I6541" s="951" t="s">
        <v>14658</v>
      </c>
      <c r="J6541" s="947" t="s">
        <v>14659</v>
      </c>
      <c r="K6541" s="143"/>
    </row>
    <row r="6542" spans="1:11">
      <c r="A6542" s="946" t="s">
        <v>28617</v>
      </c>
      <c r="B6542" s="947" t="s">
        <v>30104</v>
      </c>
      <c r="C6542" s="948" t="s">
        <v>30105</v>
      </c>
      <c r="D6542" s="242" t="s">
        <v>28737</v>
      </c>
      <c r="E6542" s="949">
        <v>1907</v>
      </c>
      <c r="F6542" s="949">
        <v>1907</v>
      </c>
      <c r="G6542" s="950" t="s">
        <v>20845</v>
      </c>
      <c r="H6542" s="950" t="s">
        <v>864</v>
      </c>
      <c r="I6542" s="951" t="s">
        <v>30106</v>
      </c>
      <c r="J6542" s="947" t="s">
        <v>30104</v>
      </c>
      <c r="K6542" s="143"/>
    </row>
    <row r="6543" spans="1:11">
      <c r="A6543" s="946" t="s">
        <v>28617</v>
      </c>
      <c r="B6543" s="947" t="s">
        <v>923</v>
      </c>
      <c r="C6543" s="948" t="s">
        <v>920</v>
      </c>
      <c r="D6543" s="242" t="s">
        <v>28740</v>
      </c>
      <c r="E6543" s="949">
        <v>1901</v>
      </c>
      <c r="F6543" s="949">
        <v>1901</v>
      </c>
      <c r="G6543" s="950" t="s">
        <v>14117</v>
      </c>
      <c r="H6543" s="950" t="s">
        <v>921</v>
      </c>
      <c r="I6543" s="951" t="s">
        <v>922</v>
      </c>
      <c r="J6543" s="947" t="s">
        <v>923</v>
      </c>
      <c r="K6543" s="143"/>
    </row>
    <row r="6544" spans="1:11">
      <c r="A6544" s="946" t="s">
        <v>28617</v>
      </c>
      <c r="B6544" s="947" t="s">
        <v>938</v>
      </c>
      <c r="C6544" s="948" t="s">
        <v>936</v>
      </c>
      <c r="D6544" s="242" t="s">
        <v>28740</v>
      </c>
      <c r="E6544" s="949">
        <v>1901</v>
      </c>
      <c r="F6544" s="949">
        <v>1901</v>
      </c>
      <c r="G6544" s="950" t="s">
        <v>14117</v>
      </c>
      <c r="H6544" s="950" t="s">
        <v>921</v>
      </c>
      <c r="I6544" s="951" t="s">
        <v>937</v>
      </c>
      <c r="J6544" s="947" t="s">
        <v>938</v>
      </c>
      <c r="K6544" s="143"/>
    </row>
    <row r="6545" spans="1:11">
      <c r="A6545" s="946" t="s">
        <v>28617</v>
      </c>
      <c r="B6545" s="947" t="s">
        <v>941</v>
      </c>
      <c r="C6545" s="948" t="s">
        <v>939</v>
      </c>
      <c r="D6545" s="242" t="s">
        <v>28740</v>
      </c>
      <c r="E6545" s="949">
        <v>1901</v>
      </c>
      <c r="F6545" s="949">
        <v>1901</v>
      </c>
      <c r="G6545" s="950" t="s">
        <v>14117</v>
      </c>
      <c r="H6545" s="950" t="s">
        <v>921</v>
      </c>
      <c r="I6545" s="951" t="s">
        <v>940</v>
      </c>
      <c r="J6545" s="947" t="s">
        <v>941</v>
      </c>
      <c r="K6545" s="143"/>
    </row>
    <row r="6546" spans="1:11">
      <c r="A6546" s="946" t="s">
        <v>28617</v>
      </c>
      <c r="B6546" s="947" t="s">
        <v>998</v>
      </c>
      <c r="C6546" s="948" t="s">
        <v>996</v>
      </c>
      <c r="D6546" s="242" t="s">
        <v>28740</v>
      </c>
      <c r="E6546" s="949">
        <v>1901</v>
      </c>
      <c r="F6546" s="949">
        <v>1901</v>
      </c>
      <c r="G6546" s="950" t="s">
        <v>14117</v>
      </c>
      <c r="H6546" s="950" t="s">
        <v>921</v>
      </c>
      <c r="I6546" s="951" t="s">
        <v>997</v>
      </c>
      <c r="J6546" s="947" t="s">
        <v>998</v>
      </c>
      <c r="K6546" s="143"/>
    </row>
    <row r="6547" spans="1:11">
      <c r="A6547" s="946" t="s">
        <v>28617</v>
      </c>
      <c r="B6547" s="947" t="s">
        <v>1030</v>
      </c>
      <c r="C6547" s="948" t="s">
        <v>1028</v>
      </c>
      <c r="D6547" s="242" t="s">
        <v>28740</v>
      </c>
      <c r="E6547" s="949">
        <v>1901</v>
      </c>
      <c r="F6547" s="949">
        <v>1901</v>
      </c>
      <c r="G6547" s="950" t="s">
        <v>14117</v>
      </c>
      <c r="H6547" s="950" t="s">
        <v>921</v>
      </c>
      <c r="I6547" s="951" t="s">
        <v>1029</v>
      </c>
      <c r="J6547" s="947" t="s">
        <v>1030</v>
      </c>
      <c r="K6547" s="143"/>
    </row>
    <row r="6548" spans="1:11">
      <c r="A6548" s="946" t="s">
        <v>28617</v>
      </c>
      <c r="B6548" s="947" t="s">
        <v>1758</v>
      </c>
      <c r="C6548" s="948" t="s">
        <v>1756</v>
      </c>
      <c r="D6548" s="242" t="s">
        <v>28740</v>
      </c>
      <c r="E6548" s="949">
        <v>1901</v>
      </c>
      <c r="F6548" s="949">
        <v>1901</v>
      </c>
      <c r="G6548" s="950" t="s">
        <v>14117</v>
      </c>
      <c r="H6548" s="950" t="s">
        <v>921</v>
      </c>
      <c r="I6548" s="951" t="s">
        <v>1757</v>
      </c>
      <c r="J6548" s="947" t="s">
        <v>1758</v>
      </c>
      <c r="K6548" s="143"/>
    </row>
    <row r="6549" spans="1:11">
      <c r="A6549" s="946" t="s">
        <v>28617</v>
      </c>
      <c r="B6549" s="947" t="s">
        <v>1862</v>
      </c>
      <c r="C6549" s="948" t="s">
        <v>1860</v>
      </c>
      <c r="D6549" s="242" t="s">
        <v>28740</v>
      </c>
      <c r="E6549" s="949">
        <v>1901</v>
      </c>
      <c r="F6549" s="949">
        <v>1901</v>
      </c>
      <c r="G6549" s="950" t="s">
        <v>14117</v>
      </c>
      <c r="H6549" s="950" t="s">
        <v>921</v>
      </c>
      <c r="I6549" s="951" t="s">
        <v>1861</v>
      </c>
      <c r="J6549" s="947" t="s">
        <v>1862</v>
      </c>
      <c r="K6549" s="143"/>
    </row>
    <row r="6550" spans="1:11">
      <c r="A6550" s="946" t="s">
        <v>28617</v>
      </c>
      <c r="B6550" s="947" t="s">
        <v>2118</v>
      </c>
      <c r="C6550" s="948" t="s">
        <v>2116</v>
      </c>
      <c r="D6550" s="242" t="s">
        <v>28740</v>
      </c>
      <c r="E6550" s="949">
        <v>1901</v>
      </c>
      <c r="F6550" s="949">
        <v>1901</v>
      </c>
      <c r="G6550" s="950" t="s">
        <v>14117</v>
      </c>
      <c r="H6550" s="950" t="s">
        <v>921</v>
      </c>
      <c r="I6550" s="951" t="s">
        <v>2117</v>
      </c>
      <c r="J6550" s="947" t="s">
        <v>2118</v>
      </c>
      <c r="K6550" s="143"/>
    </row>
    <row r="6551" spans="1:11">
      <c r="A6551" s="946" t="s">
        <v>28617</v>
      </c>
      <c r="B6551" s="947" t="s">
        <v>2222</v>
      </c>
      <c r="C6551" s="948" t="s">
        <v>2220</v>
      </c>
      <c r="D6551" s="242" t="s">
        <v>28740</v>
      </c>
      <c r="E6551" s="949">
        <v>1901</v>
      </c>
      <c r="F6551" s="949">
        <v>1901</v>
      </c>
      <c r="G6551" s="950" t="s">
        <v>14117</v>
      </c>
      <c r="H6551" s="950" t="s">
        <v>921</v>
      </c>
      <c r="I6551" s="951" t="s">
        <v>2221</v>
      </c>
      <c r="J6551" s="947" t="s">
        <v>2222</v>
      </c>
      <c r="K6551" s="143"/>
    </row>
    <row r="6552" spans="1:11">
      <c r="A6552" s="946" t="s">
        <v>28617</v>
      </c>
      <c r="B6552" s="947" t="s">
        <v>2467</v>
      </c>
      <c r="C6552" s="948" t="s">
        <v>2465</v>
      </c>
      <c r="D6552" s="242" t="s">
        <v>28740</v>
      </c>
      <c r="E6552" s="949">
        <v>1901</v>
      </c>
      <c r="F6552" s="949">
        <v>1901</v>
      </c>
      <c r="G6552" s="950" t="s">
        <v>14117</v>
      </c>
      <c r="H6552" s="950" t="s">
        <v>921</v>
      </c>
      <c r="I6552" s="951" t="s">
        <v>2466</v>
      </c>
      <c r="J6552" s="947" t="s">
        <v>2467</v>
      </c>
      <c r="K6552" s="143"/>
    </row>
    <row r="6553" spans="1:11">
      <c r="A6553" s="946" t="s">
        <v>28617</v>
      </c>
      <c r="B6553" s="947" t="s">
        <v>2587</v>
      </c>
      <c r="C6553" s="948" t="s">
        <v>2585</v>
      </c>
      <c r="D6553" s="242" t="s">
        <v>28740</v>
      </c>
      <c r="E6553" s="949">
        <v>1901</v>
      </c>
      <c r="F6553" s="949">
        <v>1901</v>
      </c>
      <c r="G6553" s="950" t="s">
        <v>14117</v>
      </c>
      <c r="H6553" s="950" t="s">
        <v>921</v>
      </c>
      <c r="I6553" s="951" t="s">
        <v>2586</v>
      </c>
      <c r="J6553" s="947" t="s">
        <v>2587</v>
      </c>
      <c r="K6553" s="143"/>
    </row>
    <row r="6554" spans="1:11">
      <c r="A6554" s="946" t="s">
        <v>28617</v>
      </c>
      <c r="B6554" s="947" t="s">
        <v>2617</v>
      </c>
      <c r="C6554" s="948" t="s">
        <v>2615</v>
      </c>
      <c r="D6554" s="242" t="s">
        <v>28740</v>
      </c>
      <c r="E6554" s="949">
        <v>1901</v>
      </c>
      <c r="F6554" s="949">
        <v>1901</v>
      </c>
      <c r="G6554" s="950" t="s">
        <v>14117</v>
      </c>
      <c r="H6554" s="950" t="s">
        <v>921</v>
      </c>
      <c r="I6554" s="951" t="s">
        <v>2616</v>
      </c>
      <c r="J6554" s="947" t="s">
        <v>2617</v>
      </c>
      <c r="K6554" s="143"/>
    </row>
    <row r="6555" spans="1:11">
      <c r="A6555" s="946" t="s">
        <v>28617</v>
      </c>
      <c r="B6555" s="947" t="s">
        <v>2694</v>
      </c>
      <c r="C6555" s="948" t="s">
        <v>2692</v>
      </c>
      <c r="D6555" s="242" t="s">
        <v>28740</v>
      </c>
      <c r="E6555" s="949">
        <v>1901</v>
      </c>
      <c r="F6555" s="949">
        <v>1901</v>
      </c>
      <c r="G6555" s="950" t="s">
        <v>14117</v>
      </c>
      <c r="H6555" s="950" t="s">
        <v>921</v>
      </c>
      <c r="I6555" s="951" t="s">
        <v>2693</v>
      </c>
      <c r="J6555" s="947" t="s">
        <v>2694</v>
      </c>
      <c r="K6555" s="143"/>
    </row>
    <row r="6556" spans="1:11">
      <c r="A6556" s="946" t="s">
        <v>28617</v>
      </c>
      <c r="B6556" s="947" t="s">
        <v>3341</v>
      </c>
      <c r="C6556" s="948" t="s">
        <v>3339</v>
      </c>
      <c r="D6556" s="242" t="s">
        <v>28740</v>
      </c>
      <c r="E6556" s="949">
        <v>1901</v>
      </c>
      <c r="F6556" s="949">
        <v>1901</v>
      </c>
      <c r="G6556" s="950" t="s">
        <v>14117</v>
      </c>
      <c r="H6556" s="950" t="s">
        <v>921</v>
      </c>
      <c r="I6556" s="951" t="s">
        <v>3340</v>
      </c>
      <c r="J6556" s="947" t="s">
        <v>3341</v>
      </c>
      <c r="K6556" s="143"/>
    </row>
    <row r="6557" spans="1:11">
      <c r="A6557" s="946" t="s">
        <v>28617</v>
      </c>
      <c r="B6557" s="947" t="s">
        <v>3537</v>
      </c>
      <c r="C6557" s="948" t="s">
        <v>3535</v>
      </c>
      <c r="D6557" s="242" t="s">
        <v>28740</v>
      </c>
      <c r="E6557" s="949">
        <v>1901</v>
      </c>
      <c r="F6557" s="949">
        <v>1901</v>
      </c>
      <c r="G6557" s="950" t="s">
        <v>14117</v>
      </c>
      <c r="H6557" s="950" t="s">
        <v>921</v>
      </c>
      <c r="I6557" s="951" t="s">
        <v>3536</v>
      </c>
      <c r="J6557" s="947" t="s">
        <v>3537</v>
      </c>
      <c r="K6557" s="143"/>
    </row>
    <row r="6558" spans="1:11">
      <c r="A6558" s="946" t="s">
        <v>28617</v>
      </c>
      <c r="B6558" s="947" t="s">
        <v>3774</v>
      </c>
      <c r="C6558" s="948" t="s">
        <v>3772</v>
      </c>
      <c r="D6558" s="242" t="s">
        <v>28740</v>
      </c>
      <c r="E6558" s="949">
        <v>1901</v>
      </c>
      <c r="F6558" s="949">
        <v>1901</v>
      </c>
      <c r="G6558" s="950" t="s">
        <v>14117</v>
      </c>
      <c r="H6558" s="950" t="s">
        <v>921</v>
      </c>
      <c r="I6558" s="951" t="s">
        <v>3773</v>
      </c>
      <c r="J6558" s="947" t="s">
        <v>3774</v>
      </c>
      <c r="K6558" s="143"/>
    </row>
    <row r="6559" spans="1:11">
      <c r="A6559" s="946" t="s">
        <v>28617</v>
      </c>
      <c r="B6559" s="947" t="s">
        <v>3777</v>
      </c>
      <c r="C6559" s="948" t="s">
        <v>3775</v>
      </c>
      <c r="D6559" s="242" t="s">
        <v>28740</v>
      </c>
      <c r="E6559" s="949">
        <v>1901</v>
      </c>
      <c r="F6559" s="949">
        <v>1901</v>
      </c>
      <c r="G6559" s="950" t="s">
        <v>14117</v>
      </c>
      <c r="H6559" s="950" t="s">
        <v>921</v>
      </c>
      <c r="I6559" s="951" t="s">
        <v>3776</v>
      </c>
      <c r="J6559" s="947" t="s">
        <v>3777</v>
      </c>
      <c r="K6559" s="143"/>
    </row>
    <row r="6560" spans="1:11">
      <c r="A6560" s="946" t="s">
        <v>28617</v>
      </c>
      <c r="B6560" s="947" t="s">
        <v>3782</v>
      </c>
      <c r="C6560" s="948" t="s">
        <v>3780</v>
      </c>
      <c r="D6560" s="242" t="s">
        <v>28740</v>
      </c>
      <c r="E6560" s="949">
        <v>1901</v>
      </c>
      <c r="F6560" s="949">
        <v>1901</v>
      </c>
      <c r="G6560" s="950" t="s">
        <v>14117</v>
      </c>
      <c r="H6560" s="950" t="s">
        <v>921</v>
      </c>
      <c r="I6560" s="951" t="s">
        <v>3781</v>
      </c>
      <c r="J6560" s="947" t="s">
        <v>3782</v>
      </c>
      <c r="K6560" s="143"/>
    </row>
    <row r="6561" spans="1:11">
      <c r="A6561" s="946" t="s">
        <v>28617</v>
      </c>
      <c r="B6561" s="947" t="s">
        <v>3827</v>
      </c>
      <c r="C6561" s="948" t="s">
        <v>3825</v>
      </c>
      <c r="D6561" s="242" t="s">
        <v>28740</v>
      </c>
      <c r="E6561" s="949">
        <v>1901</v>
      </c>
      <c r="F6561" s="949">
        <v>1901</v>
      </c>
      <c r="G6561" s="950" t="s">
        <v>14117</v>
      </c>
      <c r="H6561" s="950" t="s">
        <v>921</v>
      </c>
      <c r="I6561" s="951" t="s">
        <v>3826</v>
      </c>
      <c r="J6561" s="947" t="s">
        <v>3827</v>
      </c>
      <c r="K6561" s="143"/>
    </row>
    <row r="6562" spans="1:11">
      <c r="A6562" s="946" t="s">
        <v>28617</v>
      </c>
      <c r="B6562" s="947" t="s">
        <v>4026</v>
      </c>
      <c r="C6562" s="948" t="s">
        <v>4024</v>
      </c>
      <c r="D6562" s="242" t="s">
        <v>28740</v>
      </c>
      <c r="E6562" s="949">
        <v>1901</v>
      </c>
      <c r="F6562" s="949">
        <v>1901</v>
      </c>
      <c r="G6562" s="950" t="s">
        <v>14117</v>
      </c>
      <c r="H6562" s="950" t="s">
        <v>921</v>
      </c>
      <c r="I6562" s="951" t="s">
        <v>4025</v>
      </c>
      <c r="J6562" s="947" t="s">
        <v>4026</v>
      </c>
      <c r="K6562" s="143"/>
    </row>
    <row r="6563" spans="1:11">
      <c r="A6563" s="946" t="s">
        <v>28617</v>
      </c>
      <c r="B6563" s="947" t="s">
        <v>4325</v>
      </c>
      <c r="C6563" s="948" t="s">
        <v>4323</v>
      </c>
      <c r="D6563" s="242" t="s">
        <v>28740</v>
      </c>
      <c r="E6563" s="949">
        <v>1901</v>
      </c>
      <c r="F6563" s="949">
        <v>1901</v>
      </c>
      <c r="G6563" s="950" t="s">
        <v>14117</v>
      </c>
      <c r="H6563" s="950" t="s">
        <v>921</v>
      </c>
      <c r="I6563" s="951" t="s">
        <v>4324</v>
      </c>
      <c r="J6563" s="947" t="s">
        <v>4325</v>
      </c>
      <c r="K6563" s="143"/>
    </row>
    <row r="6564" spans="1:11">
      <c r="A6564" s="946" t="s">
        <v>28617</v>
      </c>
      <c r="B6564" s="947" t="s">
        <v>5067</v>
      </c>
      <c r="C6564" s="948" t="s">
        <v>5065</v>
      </c>
      <c r="D6564" s="242" t="s">
        <v>28740</v>
      </c>
      <c r="E6564" s="949">
        <v>1901</v>
      </c>
      <c r="F6564" s="949">
        <v>1901</v>
      </c>
      <c r="G6564" s="950" t="s">
        <v>14117</v>
      </c>
      <c r="H6564" s="950" t="s">
        <v>921</v>
      </c>
      <c r="I6564" s="951" t="s">
        <v>5066</v>
      </c>
      <c r="J6564" s="947" t="s">
        <v>5067</v>
      </c>
      <c r="K6564" s="143"/>
    </row>
    <row r="6565" spans="1:11">
      <c r="A6565" s="946" t="s">
        <v>28617</v>
      </c>
      <c r="B6565" s="947" t="s">
        <v>5079</v>
      </c>
      <c r="C6565" s="948" t="s">
        <v>5077</v>
      </c>
      <c r="D6565" s="242" t="s">
        <v>28740</v>
      </c>
      <c r="E6565" s="949">
        <v>1901</v>
      </c>
      <c r="F6565" s="949">
        <v>1901</v>
      </c>
      <c r="G6565" s="950" t="s">
        <v>14117</v>
      </c>
      <c r="H6565" s="950" t="s">
        <v>921</v>
      </c>
      <c r="I6565" s="951" t="s">
        <v>5078</v>
      </c>
      <c r="J6565" s="947" t="s">
        <v>5079</v>
      </c>
      <c r="K6565" s="143"/>
    </row>
    <row r="6566" spans="1:11">
      <c r="A6566" s="946" t="s">
        <v>28617</v>
      </c>
      <c r="B6566" s="947" t="s">
        <v>5150</v>
      </c>
      <c r="C6566" s="948" t="s">
        <v>5148</v>
      </c>
      <c r="D6566" s="242" t="s">
        <v>28740</v>
      </c>
      <c r="E6566" s="949">
        <v>1901</v>
      </c>
      <c r="F6566" s="949">
        <v>1901</v>
      </c>
      <c r="G6566" s="950" t="s">
        <v>14117</v>
      </c>
      <c r="H6566" s="950" t="s">
        <v>921</v>
      </c>
      <c r="I6566" s="951" t="s">
        <v>5149</v>
      </c>
      <c r="J6566" s="947" t="s">
        <v>5150</v>
      </c>
      <c r="K6566" s="143"/>
    </row>
    <row r="6567" spans="1:11">
      <c r="A6567" s="946" t="s">
        <v>28617</v>
      </c>
      <c r="B6567" s="947" t="s">
        <v>5599</v>
      </c>
      <c r="C6567" s="948" t="s">
        <v>5597</v>
      </c>
      <c r="D6567" s="242" t="s">
        <v>28740</v>
      </c>
      <c r="E6567" s="949">
        <v>1901</v>
      </c>
      <c r="F6567" s="949">
        <v>1901</v>
      </c>
      <c r="G6567" s="950" t="s">
        <v>14117</v>
      </c>
      <c r="H6567" s="950" t="s">
        <v>921</v>
      </c>
      <c r="I6567" s="951" t="s">
        <v>5598</v>
      </c>
      <c r="J6567" s="947" t="s">
        <v>5599</v>
      </c>
      <c r="K6567" s="143"/>
    </row>
    <row r="6568" spans="1:11">
      <c r="A6568" s="946" t="s">
        <v>28617</v>
      </c>
      <c r="B6568" s="947" t="s">
        <v>5766</v>
      </c>
      <c r="C6568" s="948" t="s">
        <v>5764</v>
      </c>
      <c r="D6568" s="242" t="s">
        <v>28740</v>
      </c>
      <c r="E6568" s="949">
        <v>1901</v>
      </c>
      <c r="F6568" s="949">
        <v>1901</v>
      </c>
      <c r="G6568" s="950" t="s">
        <v>14117</v>
      </c>
      <c r="H6568" s="950" t="s">
        <v>921</v>
      </c>
      <c r="I6568" s="951" t="s">
        <v>5765</v>
      </c>
      <c r="J6568" s="947" t="s">
        <v>5766</v>
      </c>
      <c r="K6568" s="143"/>
    </row>
    <row r="6569" spans="1:11">
      <c r="A6569" s="946" t="s">
        <v>28617</v>
      </c>
      <c r="B6569" s="947" t="s">
        <v>5769</v>
      </c>
      <c r="C6569" s="948" t="s">
        <v>5767</v>
      </c>
      <c r="D6569" s="242" t="s">
        <v>28740</v>
      </c>
      <c r="E6569" s="949">
        <v>1901</v>
      </c>
      <c r="F6569" s="949">
        <v>1901</v>
      </c>
      <c r="G6569" s="950" t="s">
        <v>14117</v>
      </c>
      <c r="H6569" s="950" t="s">
        <v>921</v>
      </c>
      <c r="I6569" s="951" t="s">
        <v>5768</v>
      </c>
      <c r="J6569" s="947" t="s">
        <v>5769</v>
      </c>
      <c r="K6569" s="143"/>
    </row>
    <row r="6570" spans="1:11">
      <c r="A6570" s="946" t="s">
        <v>28617</v>
      </c>
      <c r="B6570" s="947" t="s">
        <v>5927</v>
      </c>
      <c r="C6570" s="948" t="s">
        <v>5925</v>
      </c>
      <c r="D6570" s="242" t="s">
        <v>28740</v>
      </c>
      <c r="E6570" s="949">
        <v>1901</v>
      </c>
      <c r="F6570" s="949">
        <v>1901</v>
      </c>
      <c r="G6570" s="950" t="s">
        <v>14117</v>
      </c>
      <c r="H6570" s="950" t="s">
        <v>921</v>
      </c>
      <c r="I6570" s="951" t="s">
        <v>5926</v>
      </c>
      <c r="J6570" s="947" t="s">
        <v>5927</v>
      </c>
      <c r="K6570" s="143"/>
    </row>
    <row r="6571" spans="1:11">
      <c r="A6571" s="946" t="s">
        <v>28617</v>
      </c>
      <c r="B6571" s="947" t="s">
        <v>6308</v>
      </c>
      <c r="C6571" s="948" t="s">
        <v>6306</v>
      </c>
      <c r="D6571" s="242" t="s">
        <v>28740</v>
      </c>
      <c r="E6571" s="949">
        <v>1901</v>
      </c>
      <c r="F6571" s="949">
        <v>1901</v>
      </c>
      <c r="G6571" s="950" t="s">
        <v>14117</v>
      </c>
      <c r="H6571" s="950" t="s">
        <v>921</v>
      </c>
      <c r="I6571" s="951" t="s">
        <v>6307</v>
      </c>
      <c r="J6571" s="947" t="s">
        <v>6308</v>
      </c>
      <c r="K6571" s="143"/>
    </row>
    <row r="6572" spans="1:11">
      <c r="A6572" s="946" t="s">
        <v>28617</v>
      </c>
      <c r="B6572" s="947" t="s">
        <v>6392</v>
      </c>
      <c r="C6572" s="948" t="s">
        <v>6390</v>
      </c>
      <c r="D6572" s="242" t="s">
        <v>28740</v>
      </c>
      <c r="E6572" s="949">
        <v>1901</v>
      </c>
      <c r="F6572" s="949">
        <v>1901</v>
      </c>
      <c r="G6572" s="950" t="s">
        <v>14117</v>
      </c>
      <c r="H6572" s="950" t="s">
        <v>921</v>
      </c>
      <c r="I6572" s="951" t="s">
        <v>6391</v>
      </c>
      <c r="J6572" s="947" t="s">
        <v>6392</v>
      </c>
      <c r="K6572" s="143"/>
    </row>
    <row r="6573" spans="1:11">
      <c r="A6573" s="946" t="s">
        <v>28617</v>
      </c>
      <c r="B6573" s="947" t="s">
        <v>6422</v>
      </c>
      <c r="C6573" s="948" t="s">
        <v>6420</v>
      </c>
      <c r="D6573" s="242" t="s">
        <v>28740</v>
      </c>
      <c r="E6573" s="949">
        <v>1901</v>
      </c>
      <c r="F6573" s="949">
        <v>1901</v>
      </c>
      <c r="G6573" s="950" t="s">
        <v>14117</v>
      </c>
      <c r="H6573" s="950" t="s">
        <v>921</v>
      </c>
      <c r="I6573" s="951" t="s">
        <v>6421</v>
      </c>
      <c r="J6573" s="947" t="s">
        <v>6422</v>
      </c>
      <c r="K6573" s="143"/>
    </row>
    <row r="6574" spans="1:11">
      <c r="A6574" s="946" t="s">
        <v>28617</v>
      </c>
      <c r="B6574" s="947" t="s">
        <v>6790</v>
      </c>
      <c r="C6574" s="948" t="s">
        <v>6788</v>
      </c>
      <c r="D6574" s="242" t="s">
        <v>28740</v>
      </c>
      <c r="E6574" s="949">
        <v>1901</v>
      </c>
      <c r="F6574" s="949">
        <v>1901</v>
      </c>
      <c r="G6574" s="950" t="s">
        <v>14117</v>
      </c>
      <c r="H6574" s="950" t="s">
        <v>921</v>
      </c>
      <c r="I6574" s="951" t="s">
        <v>6789</v>
      </c>
      <c r="J6574" s="947" t="s">
        <v>6790</v>
      </c>
      <c r="K6574" s="143"/>
    </row>
    <row r="6575" spans="1:11">
      <c r="A6575" s="946" t="s">
        <v>28617</v>
      </c>
      <c r="B6575" s="947" t="s">
        <v>6982</v>
      </c>
      <c r="C6575" s="948" t="s">
        <v>6980</v>
      </c>
      <c r="D6575" s="242" t="s">
        <v>28740</v>
      </c>
      <c r="E6575" s="949">
        <v>1901</v>
      </c>
      <c r="F6575" s="949">
        <v>1901</v>
      </c>
      <c r="G6575" s="950" t="s">
        <v>14117</v>
      </c>
      <c r="H6575" s="950" t="s">
        <v>921</v>
      </c>
      <c r="I6575" s="951" t="s">
        <v>6981</v>
      </c>
      <c r="J6575" s="947" t="s">
        <v>6982</v>
      </c>
      <c r="K6575" s="143"/>
    </row>
    <row r="6576" spans="1:11">
      <c r="A6576" s="946" t="s">
        <v>28617</v>
      </c>
      <c r="B6576" s="947" t="s">
        <v>7075</v>
      </c>
      <c r="C6576" s="948" t="s">
        <v>7073</v>
      </c>
      <c r="D6576" s="242" t="s">
        <v>28740</v>
      </c>
      <c r="E6576" s="949">
        <v>1901</v>
      </c>
      <c r="F6576" s="949">
        <v>1901</v>
      </c>
      <c r="G6576" s="950" t="s">
        <v>14117</v>
      </c>
      <c r="H6576" s="950" t="s">
        <v>921</v>
      </c>
      <c r="I6576" s="951" t="s">
        <v>7074</v>
      </c>
      <c r="J6576" s="947" t="s">
        <v>7075</v>
      </c>
      <c r="K6576" s="143"/>
    </row>
    <row r="6577" spans="1:11">
      <c r="A6577" s="946" t="s">
        <v>28617</v>
      </c>
      <c r="B6577" s="947" t="s">
        <v>8189</v>
      </c>
      <c r="C6577" s="948" t="s">
        <v>8187</v>
      </c>
      <c r="D6577" s="242" t="s">
        <v>28740</v>
      </c>
      <c r="E6577" s="949">
        <v>1901</v>
      </c>
      <c r="F6577" s="949">
        <v>1901</v>
      </c>
      <c r="G6577" s="950" t="s">
        <v>14117</v>
      </c>
      <c r="H6577" s="950" t="s">
        <v>921</v>
      </c>
      <c r="I6577" s="951" t="s">
        <v>8188</v>
      </c>
      <c r="J6577" s="947" t="s">
        <v>8189</v>
      </c>
      <c r="K6577" s="143"/>
    </row>
    <row r="6578" spans="1:11">
      <c r="A6578" s="946" t="s">
        <v>28617</v>
      </c>
      <c r="B6578" s="947" t="s">
        <v>8959</v>
      </c>
      <c r="C6578" s="948" t="s">
        <v>8957</v>
      </c>
      <c r="D6578" s="242" t="s">
        <v>28740</v>
      </c>
      <c r="E6578" s="949">
        <v>1901</v>
      </c>
      <c r="F6578" s="949">
        <v>1901</v>
      </c>
      <c r="G6578" s="950" t="s">
        <v>14117</v>
      </c>
      <c r="H6578" s="950" t="s">
        <v>921</v>
      </c>
      <c r="I6578" s="951" t="s">
        <v>8958</v>
      </c>
      <c r="J6578" s="947" t="s">
        <v>8959</v>
      </c>
      <c r="K6578" s="143"/>
    </row>
    <row r="6579" spans="1:11">
      <c r="A6579" s="946" t="s">
        <v>28617</v>
      </c>
      <c r="B6579" s="947" t="s">
        <v>9114</v>
      </c>
      <c r="C6579" s="948" t="s">
        <v>9112</v>
      </c>
      <c r="D6579" s="242" t="s">
        <v>28740</v>
      </c>
      <c r="E6579" s="949">
        <v>1901</v>
      </c>
      <c r="F6579" s="949">
        <v>1901</v>
      </c>
      <c r="G6579" s="950" t="s">
        <v>14117</v>
      </c>
      <c r="H6579" s="950" t="s">
        <v>921</v>
      </c>
      <c r="I6579" s="951" t="s">
        <v>9113</v>
      </c>
      <c r="J6579" s="947" t="s">
        <v>9114</v>
      </c>
      <c r="K6579" s="143"/>
    </row>
    <row r="6580" spans="1:11">
      <c r="A6580" s="946" t="s">
        <v>28617</v>
      </c>
      <c r="B6580" s="947" t="s">
        <v>9185</v>
      </c>
      <c r="C6580" s="948" t="s">
        <v>9183</v>
      </c>
      <c r="D6580" s="242" t="s">
        <v>28740</v>
      </c>
      <c r="E6580" s="949">
        <v>1901</v>
      </c>
      <c r="F6580" s="949">
        <v>1901</v>
      </c>
      <c r="G6580" s="950" t="s">
        <v>14117</v>
      </c>
      <c r="H6580" s="950" t="s">
        <v>921</v>
      </c>
      <c r="I6580" s="951" t="s">
        <v>9184</v>
      </c>
      <c r="J6580" s="947" t="s">
        <v>9185</v>
      </c>
      <c r="K6580" s="143"/>
    </row>
    <row r="6581" spans="1:11">
      <c r="A6581" s="946" t="s">
        <v>28617</v>
      </c>
      <c r="B6581" s="947" t="s">
        <v>9287</v>
      </c>
      <c r="C6581" s="948" t="s">
        <v>9285</v>
      </c>
      <c r="D6581" s="242" t="s">
        <v>28740</v>
      </c>
      <c r="E6581" s="949">
        <v>1901</v>
      </c>
      <c r="F6581" s="949">
        <v>1901</v>
      </c>
      <c r="G6581" s="950" t="s">
        <v>14117</v>
      </c>
      <c r="H6581" s="950" t="s">
        <v>921</v>
      </c>
      <c r="I6581" s="951" t="s">
        <v>9286</v>
      </c>
      <c r="J6581" s="947" t="s">
        <v>9287</v>
      </c>
      <c r="K6581" s="143"/>
    </row>
    <row r="6582" spans="1:11">
      <c r="A6582" s="946" t="s">
        <v>28617</v>
      </c>
      <c r="B6582" s="947" t="s">
        <v>9330</v>
      </c>
      <c r="C6582" s="948" t="s">
        <v>9328</v>
      </c>
      <c r="D6582" s="242" t="s">
        <v>28740</v>
      </c>
      <c r="E6582" s="949">
        <v>1901</v>
      </c>
      <c r="F6582" s="949">
        <v>1901</v>
      </c>
      <c r="G6582" s="950" t="s">
        <v>14117</v>
      </c>
      <c r="H6582" s="950" t="s">
        <v>921</v>
      </c>
      <c r="I6582" s="951" t="s">
        <v>9329</v>
      </c>
      <c r="J6582" s="947" t="s">
        <v>9330</v>
      </c>
      <c r="K6582" s="143"/>
    </row>
    <row r="6583" spans="1:11">
      <c r="A6583" s="946" t="s">
        <v>28617</v>
      </c>
      <c r="B6583" s="947" t="s">
        <v>9486</v>
      </c>
      <c r="C6583" s="948" t="s">
        <v>9484</v>
      </c>
      <c r="D6583" s="242" t="s">
        <v>28740</v>
      </c>
      <c r="E6583" s="949">
        <v>1901</v>
      </c>
      <c r="F6583" s="949">
        <v>1901</v>
      </c>
      <c r="G6583" s="950" t="s">
        <v>14117</v>
      </c>
      <c r="H6583" s="950" t="s">
        <v>921</v>
      </c>
      <c r="I6583" s="951" t="s">
        <v>9485</v>
      </c>
      <c r="J6583" s="947" t="s">
        <v>9486</v>
      </c>
      <c r="K6583" s="143"/>
    </row>
    <row r="6584" spans="1:11">
      <c r="A6584" s="946" t="s">
        <v>28617</v>
      </c>
      <c r="B6584" s="947" t="s">
        <v>9869</v>
      </c>
      <c r="C6584" s="948" t="s">
        <v>9867</v>
      </c>
      <c r="D6584" s="242" t="s">
        <v>28740</v>
      </c>
      <c r="E6584" s="949">
        <v>1901</v>
      </c>
      <c r="F6584" s="949">
        <v>1901</v>
      </c>
      <c r="G6584" s="950" t="s">
        <v>14117</v>
      </c>
      <c r="H6584" s="950" t="s">
        <v>921</v>
      </c>
      <c r="I6584" s="951" t="s">
        <v>9868</v>
      </c>
      <c r="J6584" s="947" t="s">
        <v>9869</v>
      </c>
      <c r="K6584" s="143"/>
    </row>
    <row r="6585" spans="1:11">
      <c r="A6585" s="946" t="s">
        <v>28617</v>
      </c>
      <c r="B6585" s="947" t="s">
        <v>9893</v>
      </c>
      <c r="C6585" s="948" t="s">
        <v>9891</v>
      </c>
      <c r="D6585" s="242" t="s">
        <v>28740</v>
      </c>
      <c r="E6585" s="949">
        <v>1901</v>
      </c>
      <c r="F6585" s="949">
        <v>1901</v>
      </c>
      <c r="G6585" s="950" t="s">
        <v>14117</v>
      </c>
      <c r="H6585" s="950" t="s">
        <v>921</v>
      </c>
      <c r="I6585" s="951" t="s">
        <v>9892</v>
      </c>
      <c r="J6585" s="947" t="s">
        <v>9893</v>
      </c>
      <c r="K6585" s="143"/>
    </row>
    <row r="6586" spans="1:11">
      <c r="A6586" s="946" t="s">
        <v>28617</v>
      </c>
      <c r="B6586" s="947" t="s">
        <v>10162</v>
      </c>
      <c r="C6586" s="948" t="s">
        <v>10160</v>
      </c>
      <c r="D6586" s="242" t="s">
        <v>28740</v>
      </c>
      <c r="E6586" s="949">
        <v>1901</v>
      </c>
      <c r="F6586" s="949">
        <v>1901</v>
      </c>
      <c r="G6586" s="950" t="s">
        <v>14117</v>
      </c>
      <c r="H6586" s="950" t="s">
        <v>921</v>
      </c>
      <c r="I6586" s="951" t="s">
        <v>10161</v>
      </c>
      <c r="J6586" s="947" t="s">
        <v>10162</v>
      </c>
      <c r="K6586" s="143"/>
    </row>
    <row r="6587" spans="1:11">
      <c r="A6587" s="946" t="s">
        <v>28617</v>
      </c>
      <c r="B6587" s="947" t="s">
        <v>10332</v>
      </c>
      <c r="C6587" s="948" t="s">
        <v>10330</v>
      </c>
      <c r="D6587" s="242" t="s">
        <v>28740</v>
      </c>
      <c r="E6587" s="949">
        <v>1901</v>
      </c>
      <c r="F6587" s="949">
        <v>1901</v>
      </c>
      <c r="G6587" s="950" t="s">
        <v>14117</v>
      </c>
      <c r="H6587" s="950" t="s">
        <v>921</v>
      </c>
      <c r="I6587" s="951" t="s">
        <v>10331</v>
      </c>
      <c r="J6587" s="947" t="s">
        <v>10332</v>
      </c>
      <c r="K6587" s="143"/>
    </row>
    <row r="6588" spans="1:11">
      <c r="A6588" s="946" t="s">
        <v>28617</v>
      </c>
      <c r="B6588" s="947" t="s">
        <v>11215</v>
      </c>
      <c r="C6588" s="948" t="s">
        <v>11213</v>
      </c>
      <c r="D6588" s="242" t="s">
        <v>28740</v>
      </c>
      <c r="E6588" s="949">
        <v>1901</v>
      </c>
      <c r="F6588" s="949">
        <v>1901</v>
      </c>
      <c r="G6588" s="950" t="s">
        <v>14117</v>
      </c>
      <c r="H6588" s="950" t="s">
        <v>921</v>
      </c>
      <c r="I6588" s="951" t="s">
        <v>11214</v>
      </c>
      <c r="J6588" s="947" t="s">
        <v>11215</v>
      </c>
      <c r="K6588" s="143"/>
    </row>
    <row r="6589" spans="1:11">
      <c r="A6589" s="946" t="s">
        <v>28617</v>
      </c>
      <c r="B6589" s="947" t="s">
        <v>11715</v>
      </c>
      <c r="C6589" s="948" t="s">
        <v>11713</v>
      </c>
      <c r="D6589" s="242" t="s">
        <v>28740</v>
      </c>
      <c r="E6589" s="949">
        <v>1901</v>
      </c>
      <c r="F6589" s="949">
        <v>1901</v>
      </c>
      <c r="G6589" s="950" t="s">
        <v>14117</v>
      </c>
      <c r="H6589" s="950" t="s">
        <v>921</v>
      </c>
      <c r="I6589" s="951" t="s">
        <v>11714</v>
      </c>
      <c r="J6589" s="947" t="s">
        <v>11715</v>
      </c>
      <c r="K6589" s="143"/>
    </row>
    <row r="6590" spans="1:11">
      <c r="A6590" s="946" t="s">
        <v>28617</v>
      </c>
      <c r="B6590" s="947" t="s">
        <v>11848</v>
      </c>
      <c r="C6590" s="948" t="s">
        <v>11846</v>
      </c>
      <c r="D6590" s="242" t="s">
        <v>28740</v>
      </c>
      <c r="E6590" s="949">
        <v>1901</v>
      </c>
      <c r="F6590" s="949">
        <v>1901</v>
      </c>
      <c r="G6590" s="950" t="s">
        <v>14117</v>
      </c>
      <c r="H6590" s="950" t="s">
        <v>921</v>
      </c>
      <c r="I6590" s="951" t="s">
        <v>11847</v>
      </c>
      <c r="J6590" s="947" t="s">
        <v>11848</v>
      </c>
      <c r="K6590" s="143"/>
    </row>
    <row r="6591" spans="1:11">
      <c r="A6591" s="946" t="s">
        <v>28617</v>
      </c>
      <c r="B6591" s="947" t="s">
        <v>12133</v>
      </c>
      <c r="C6591" s="948" t="s">
        <v>12131</v>
      </c>
      <c r="D6591" s="242" t="s">
        <v>28740</v>
      </c>
      <c r="E6591" s="949">
        <v>1901</v>
      </c>
      <c r="F6591" s="949">
        <v>1901</v>
      </c>
      <c r="G6591" s="950" t="s">
        <v>14117</v>
      </c>
      <c r="H6591" s="950" t="s">
        <v>921</v>
      </c>
      <c r="I6591" s="951" t="s">
        <v>12132</v>
      </c>
      <c r="J6591" s="947" t="s">
        <v>12133</v>
      </c>
      <c r="K6591" s="143"/>
    </row>
    <row r="6592" spans="1:11">
      <c r="A6592" s="946" t="s">
        <v>28617</v>
      </c>
      <c r="B6592" s="947" t="s">
        <v>12584</v>
      </c>
      <c r="C6592" s="948" t="s">
        <v>12582</v>
      </c>
      <c r="D6592" s="242" t="s">
        <v>28740</v>
      </c>
      <c r="E6592" s="949">
        <v>1901</v>
      </c>
      <c r="F6592" s="949">
        <v>1901</v>
      </c>
      <c r="G6592" s="950" t="s">
        <v>14117</v>
      </c>
      <c r="H6592" s="950" t="s">
        <v>921</v>
      </c>
      <c r="I6592" s="951" t="s">
        <v>12583</v>
      </c>
      <c r="J6592" s="947" t="s">
        <v>12584</v>
      </c>
      <c r="K6592" s="143"/>
    </row>
    <row r="6593" spans="1:11">
      <c r="A6593" s="946" t="s">
        <v>28617</v>
      </c>
      <c r="B6593" s="947" t="s">
        <v>12610</v>
      </c>
      <c r="C6593" s="948" t="s">
        <v>12608</v>
      </c>
      <c r="D6593" s="242" t="s">
        <v>28740</v>
      </c>
      <c r="E6593" s="949">
        <v>1901</v>
      </c>
      <c r="F6593" s="949">
        <v>1901</v>
      </c>
      <c r="G6593" s="950" t="s">
        <v>14117</v>
      </c>
      <c r="H6593" s="950" t="s">
        <v>921</v>
      </c>
      <c r="I6593" s="951" t="s">
        <v>12609</v>
      </c>
      <c r="J6593" s="947" t="s">
        <v>12610</v>
      </c>
      <c r="K6593" s="143"/>
    </row>
    <row r="6594" spans="1:11">
      <c r="A6594" s="946" t="s">
        <v>28617</v>
      </c>
      <c r="B6594" s="947" t="s">
        <v>14087</v>
      </c>
      <c r="C6594" s="948" t="s">
        <v>14085</v>
      </c>
      <c r="D6594" s="242" t="s">
        <v>28740</v>
      </c>
      <c r="E6594" s="949">
        <v>1901</v>
      </c>
      <c r="F6594" s="949">
        <v>1901</v>
      </c>
      <c r="G6594" s="950" t="s">
        <v>14117</v>
      </c>
      <c r="H6594" s="950" t="s">
        <v>921</v>
      </c>
      <c r="I6594" s="951" t="s">
        <v>14086</v>
      </c>
      <c r="J6594" s="947" t="s">
        <v>14087</v>
      </c>
      <c r="K6594" s="143"/>
    </row>
    <row r="6595" spans="1:11">
      <c r="A6595" s="946" t="s">
        <v>28617</v>
      </c>
      <c r="B6595" s="947" t="s">
        <v>14117</v>
      </c>
      <c r="C6595" s="948" t="s">
        <v>14115</v>
      </c>
      <c r="D6595" s="242" t="s">
        <v>28740</v>
      </c>
      <c r="E6595" s="949">
        <v>1901</v>
      </c>
      <c r="F6595" s="949">
        <v>1901</v>
      </c>
      <c r="G6595" s="950" t="s">
        <v>14117</v>
      </c>
      <c r="H6595" s="950" t="s">
        <v>921</v>
      </c>
      <c r="I6595" s="951" t="s">
        <v>14116</v>
      </c>
      <c r="J6595" s="947" t="s">
        <v>14117</v>
      </c>
      <c r="K6595" s="143"/>
    </row>
    <row r="6596" spans="1:11">
      <c r="A6596" s="946" t="s">
        <v>28617</v>
      </c>
      <c r="B6596" s="947" t="s">
        <v>14285</v>
      </c>
      <c r="C6596" s="948" t="s">
        <v>14283</v>
      </c>
      <c r="D6596" s="242" t="s">
        <v>28740</v>
      </c>
      <c r="E6596" s="949">
        <v>1901</v>
      </c>
      <c r="F6596" s="949">
        <v>1901</v>
      </c>
      <c r="G6596" s="950" t="s">
        <v>14117</v>
      </c>
      <c r="H6596" s="950" t="s">
        <v>921</v>
      </c>
      <c r="I6596" s="951" t="s">
        <v>14284</v>
      </c>
      <c r="J6596" s="947" t="s">
        <v>14285</v>
      </c>
      <c r="K6596" s="143"/>
    </row>
    <row r="6597" spans="1:11">
      <c r="A6597" s="946" t="s">
        <v>28617</v>
      </c>
      <c r="B6597" s="947" t="s">
        <v>14633</v>
      </c>
      <c r="C6597" s="948" t="s">
        <v>14631</v>
      </c>
      <c r="D6597" s="242" t="s">
        <v>28740</v>
      </c>
      <c r="E6597" s="949">
        <v>1901</v>
      </c>
      <c r="F6597" s="949">
        <v>1901</v>
      </c>
      <c r="G6597" s="950" t="s">
        <v>14117</v>
      </c>
      <c r="H6597" s="950" t="s">
        <v>921</v>
      </c>
      <c r="I6597" s="951" t="s">
        <v>14632</v>
      </c>
      <c r="J6597" s="947" t="s">
        <v>14633</v>
      </c>
      <c r="K6597" s="143"/>
    </row>
    <row r="6598" spans="1:11">
      <c r="A6598" s="946" t="s">
        <v>28617</v>
      </c>
      <c r="B6598" s="947" t="s">
        <v>14636</v>
      </c>
      <c r="C6598" s="948" t="s">
        <v>14634</v>
      </c>
      <c r="D6598" s="242" t="s">
        <v>28740</v>
      </c>
      <c r="E6598" s="949">
        <v>1901</v>
      </c>
      <c r="F6598" s="949">
        <v>1901</v>
      </c>
      <c r="G6598" s="950" t="s">
        <v>14117</v>
      </c>
      <c r="H6598" s="950" t="s">
        <v>921</v>
      </c>
      <c r="I6598" s="951" t="s">
        <v>14635</v>
      </c>
      <c r="J6598" s="947" t="s">
        <v>14636</v>
      </c>
      <c r="K6598" s="143"/>
    </row>
    <row r="6599" spans="1:11">
      <c r="A6599" s="946" t="s">
        <v>28617</v>
      </c>
      <c r="B6599" s="947" t="s">
        <v>14710</v>
      </c>
      <c r="C6599" s="948" t="s">
        <v>14708</v>
      </c>
      <c r="D6599" s="242" t="s">
        <v>28740</v>
      </c>
      <c r="E6599" s="949">
        <v>1901</v>
      </c>
      <c r="F6599" s="949">
        <v>1901</v>
      </c>
      <c r="G6599" s="950" t="s">
        <v>14117</v>
      </c>
      <c r="H6599" s="950" t="s">
        <v>921</v>
      </c>
      <c r="I6599" s="951" t="s">
        <v>14709</v>
      </c>
      <c r="J6599" s="947" t="s">
        <v>14710</v>
      </c>
      <c r="K6599" s="143"/>
    </row>
    <row r="6600" spans="1:11">
      <c r="A6600" s="946" t="s">
        <v>28617</v>
      </c>
      <c r="B6600" s="947" t="s">
        <v>15276</v>
      </c>
      <c r="C6600" s="948" t="s">
        <v>15274</v>
      </c>
      <c r="D6600" s="242" t="s">
        <v>28740</v>
      </c>
      <c r="E6600" s="949">
        <v>1901</v>
      </c>
      <c r="F6600" s="949">
        <v>1901</v>
      </c>
      <c r="G6600" s="950" t="s">
        <v>14117</v>
      </c>
      <c r="H6600" s="950" t="s">
        <v>921</v>
      </c>
      <c r="I6600" s="951" t="s">
        <v>15275</v>
      </c>
      <c r="J6600" s="947" t="s">
        <v>15276</v>
      </c>
      <c r="K6600" s="143"/>
    </row>
    <row r="6601" spans="1:11">
      <c r="A6601" s="946" t="s">
        <v>28617</v>
      </c>
      <c r="B6601" s="947" t="s">
        <v>15294</v>
      </c>
      <c r="C6601" s="948" t="s">
        <v>15292</v>
      </c>
      <c r="D6601" s="242" t="s">
        <v>28740</v>
      </c>
      <c r="E6601" s="949">
        <v>1901</v>
      </c>
      <c r="F6601" s="949">
        <v>1901</v>
      </c>
      <c r="G6601" s="950" t="s">
        <v>14117</v>
      </c>
      <c r="H6601" s="950" t="s">
        <v>921</v>
      </c>
      <c r="I6601" s="951" t="s">
        <v>15293</v>
      </c>
      <c r="J6601" s="947" t="s">
        <v>15294</v>
      </c>
      <c r="K6601" s="143"/>
    </row>
    <row r="6602" spans="1:11">
      <c r="A6602" s="946" t="s">
        <v>28617</v>
      </c>
      <c r="B6602" s="947" t="s">
        <v>15891</v>
      </c>
      <c r="C6602" s="948" t="s">
        <v>15889</v>
      </c>
      <c r="D6602" s="242" t="s">
        <v>28740</v>
      </c>
      <c r="E6602" s="949">
        <v>1901</v>
      </c>
      <c r="F6602" s="949">
        <v>1901</v>
      </c>
      <c r="G6602" s="950" t="s">
        <v>14117</v>
      </c>
      <c r="H6602" s="950" t="s">
        <v>921</v>
      </c>
      <c r="I6602" s="951" t="s">
        <v>15890</v>
      </c>
      <c r="J6602" s="947" t="s">
        <v>15891</v>
      </c>
      <c r="K6602" s="143"/>
    </row>
    <row r="6603" spans="1:11">
      <c r="A6603" s="946" t="s">
        <v>28617</v>
      </c>
      <c r="B6603" s="947" t="s">
        <v>16640</v>
      </c>
      <c r="C6603" s="948" t="s">
        <v>16638</v>
      </c>
      <c r="D6603" s="242" t="s">
        <v>28740</v>
      </c>
      <c r="E6603" s="949">
        <v>1901</v>
      </c>
      <c r="F6603" s="949">
        <v>1901</v>
      </c>
      <c r="G6603" s="950" t="s">
        <v>14117</v>
      </c>
      <c r="H6603" s="950" t="s">
        <v>921</v>
      </c>
      <c r="I6603" s="951" t="s">
        <v>16639</v>
      </c>
      <c r="J6603" s="947" t="s">
        <v>16640</v>
      </c>
      <c r="K6603" s="143"/>
    </row>
    <row r="6604" spans="1:11">
      <c r="A6604" s="946" t="s">
        <v>28617</v>
      </c>
      <c r="B6604" s="947" t="s">
        <v>16658</v>
      </c>
      <c r="C6604" s="948" t="s">
        <v>16656</v>
      </c>
      <c r="D6604" s="242" t="s">
        <v>28740</v>
      </c>
      <c r="E6604" s="949">
        <v>1901</v>
      </c>
      <c r="F6604" s="949">
        <v>1901</v>
      </c>
      <c r="G6604" s="950" t="s">
        <v>14117</v>
      </c>
      <c r="H6604" s="950" t="s">
        <v>921</v>
      </c>
      <c r="I6604" s="951" t="s">
        <v>16657</v>
      </c>
      <c r="J6604" s="947" t="s">
        <v>16658</v>
      </c>
      <c r="K6604" s="143"/>
    </row>
    <row r="6605" spans="1:11">
      <c r="A6605" s="946" t="s">
        <v>28617</v>
      </c>
      <c r="B6605" s="947" t="s">
        <v>17463</v>
      </c>
      <c r="C6605" s="948" t="s">
        <v>17461</v>
      </c>
      <c r="D6605" s="242" t="s">
        <v>28740</v>
      </c>
      <c r="E6605" s="949">
        <v>1901</v>
      </c>
      <c r="F6605" s="949">
        <v>1901</v>
      </c>
      <c r="G6605" s="950" t="s">
        <v>14117</v>
      </c>
      <c r="H6605" s="950" t="s">
        <v>921</v>
      </c>
      <c r="I6605" s="951" t="s">
        <v>17462</v>
      </c>
      <c r="J6605" s="947" t="s">
        <v>17463</v>
      </c>
      <c r="K6605" s="143"/>
    </row>
    <row r="6606" spans="1:11">
      <c r="A6606" s="946" t="s">
        <v>28617</v>
      </c>
      <c r="B6606" s="947" t="s">
        <v>17766</v>
      </c>
      <c r="C6606" s="948" t="s">
        <v>17764</v>
      </c>
      <c r="D6606" s="242" t="s">
        <v>28740</v>
      </c>
      <c r="E6606" s="949">
        <v>1901</v>
      </c>
      <c r="F6606" s="949">
        <v>1901</v>
      </c>
      <c r="G6606" s="950" t="s">
        <v>14117</v>
      </c>
      <c r="H6606" s="950" t="s">
        <v>921</v>
      </c>
      <c r="I6606" s="951" t="s">
        <v>17765</v>
      </c>
      <c r="J6606" s="947" t="s">
        <v>17766</v>
      </c>
      <c r="K6606" s="143"/>
    </row>
    <row r="6607" spans="1:11">
      <c r="A6607" s="946" t="s">
        <v>28617</v>
      </c>
      <c r="B6607" s="947" t="s">
        <v>17951</v>
      </c>
      <c r="C6607" s="948" t="s">
        <v>17949</v>
      </c>
      <c r="D6607" s="242" t="s">
        <v>28740</v>
      </c>
      <c r="E6607" s="949">
        <v>1901</v>
      </c>
      <c r="F6607" s="949">
        <v>1901</v>
      </c>
      <c r="G6607" s="950" t="s">
        <v>14117</v>
      </c>
      <c r="H6607" s="950" t="s">
        <v>921</v>
      </c>
      <c r="I6607" s="951" t="s">
        <v>17950</v>
      </c>
      <c r="J6607" s="947" t="s">
        <v>17951</v>
      </c>
      <c r="K6607" s="143"/>
    </row>
    <row r="6608" spans="1:11">
      <c r="A6608" s="946" t="s">
        <v>28617</v>
      </c>
      <c r="B6608" s="947" t="s">
        <v>18393</v>
      </c>
      <c r="C6608" s="948" t="s">
        <v>18391</v>
      </c>
      <c r="D6608" s="242" t="s">
        <v>28740</v>
      </c>
      <c r="E6608" s="949">
        <v>1901</v>
      </c>
      <c r="F6608" s="949">
        <v>1901</v>
      </c>
      <c r="G6608" s="950" t="s">
        <v>14117</v>
      </c>
      <c r="H6608" s="950" t="s">
        <v>921</v>
      </c>
      <c r="I6608" s="951" t="s">
        <v>18392</v>
      </c>
      <c r="J6608" s="947" t="s">
        <v>18393</v>
      </c>
      <c r="K6608" s="143"/>
    </row>
    <row r="6609" spans="1:11">
      <c r="A6609" s="946" t="s">
        <v>28617</v>
      </c>
      <c r="B6609" s="947" t="s">
        <v>18421</v>
      </c>
      <c r="C6609" s="948" t="s">
        <v>18419</v>
      </c>
      <c r="D6609" s="242" t="s">
        <v>28740</v>
      </c>
      <c r="E6609" s="949">
        <v>1901</v>
      </c>
      <c r="F6609" s="949">
        <v>1901</v>
      </c>
      <c r="G6609" s="950" t="s">
        <v>14117</v>
      </c>
      <c r="H6609" s="950" t="s">
        <v>921</v>
      </c>
      <c r="I6609" s="951" t="s">
        <v>18420</v>
      </c>
      <c r="J6609" s="947" t="s">
        <v>18421</v>
      </c>
      <c r="K6609" s="143"/>
    </row>
    <row r="6610" spans="1:11">
      <c r="A6610" s="946" t="s">
        <v>28617</v>
      </c>
      <c r="B6610" s="947" t="s">
        <v>19094</v>
      </c>
      <c r="C6610" s="948" t="s">
        <v>19092</v>
      </c>
      <c r="D6610" s="242" t="s">
        <v>28740</v>
      </c>
      <c r="E6610" s="949">
        <v>1901</v>
      </c>
      <c r="F6610" s="949">
        <v>1901</v>
      </c>
      <c r="G6610" s="950" t="s">
        <v>14117</v>
      </c>
      <c r="H6610" s="950" t="s">
        <v>921</v>
      </c>
      <c r="I6610" s="951" t="s">
        <v>19093</v>
      </c>
      <c r="J6610" s="947" t="s">
        <v>19094</v>
      </c>
      <c r="K6610" s="143"/>
    </row>
    <row r="6611" spans="1:11">
      <c r="A6611" s="946" t="s">
        <v>28617</v>
      </c>
      <c r="B6611" s="947" t="s">
        <v>19118</v>
      </c>
      <c r="C6611" s="948" t="s">
        <v>19116</v>
      </c>
      <c r="D6611" s="242" t="s">
        <v>28740</v>
      </c>
      <c r="E6611" s="949">
        <v>1901</v>
      </c>
      <c r="F6611" s="949">
        <v>1901</v>
      </c>
      <c r="G6611" s="950" t="s">
        <v>14117</v>
      </c>
      <c r="H6611" s="950" t="s">
        <v>921</v>
      </c>
      <c r="I6611" s="951" t="s">
        <v>19117</v>
      </c>
      <c r="J6611" s="947" t="s">
        <v>19118</v>
      </c>
      <c r="K6611" s="143"/>
    </row>
    <row r="6612" spans="1:11">
      <c r="A6612" s="946" t="s">
        <v>28617</v>
      </c>
      <c r="B6612" s="947" t="s">
        <v>20351</v>
      </c>
      <c r="C6612" s="948" t="s">
        <v>20349</v>
      </c>
      <c r="D6612" s="242" t="s">
        <v>28740</v>
      </c>
      <c r="E6612" s="949">
        <v>1901</v>
      </c>
      <c r="F6612" s="949">
        <v>1901</v>
      </c>
      <c r="G6612" s="950" t="s">
        <v>14117</v>
      </c>
      <c r="H6612" s="950" t="s">
        <v>921</v>
      </c>
      <c r="I6612" s="951" t="s">
        <v>20350</v>
      </c>
      <c r="J6612" s="947" t="s">
        <v>20351</v>
      </c>
      <c r="K6612" s="143"/>
    </row>
    <row r="6613" spans="1:11">
      <c r="A6613" s="946" t="s">
        <v>28617</v>
      </c>
      <c r="B6613" s="947" t="s">
        <v>20392</v>
      </c>
      <c r="C6613" s="948" t="s">
        <v>20390</v>
      </c>
      <c r="D6613" s="242" t="s">
        <v>28740</v>
      </c>
      <c r="E6613" s="949">
        <v>1901</v>
      </c>
      <c r="F6613" s="949">
        <v>1901</v>
      </c>
      <c r="G6613" s="950" t="s">
        <v>14117</v>
      </c>
      <c r="H6613" s="950" t="s">
        <v>921</v>
      </c>
      <c r="I6613" s="951" t="s">
        <v>20391</v>
      </c>
      <c r="J6613" s="947" t="s">
        <v>20392</v>
      </c>
      <c r="K6613" s="143"/>
    </row>
    <row r="6614" spans="1:11">
      <c r="A6614" s="946" t="s">
        <v>28617</v>
      </c>
      <c r="B6614" s="947" t="s">
        <v>20729</v>
      </c>
      <c r="C6614" s="948" t="s">
        <v>20727</v>
      </c>
      <c r="D6614" s="242" t="s">
        <v>28740</v>
      </c>
      <c r="E6614" s="949">
        <v>1901</v>
      </c>
      <c r="F6614" s="949">
        <v>1901</v>
      </c>
      <c r="G6614" s="950" t="s">
        <v>14117</v>
      </c>
      <c r="H6614" s="950" t="s">
        <v>921</v>
      </c>
      <c r="I6614" s="951" t="s">
        <v>20728</v>
      </c>
      <c r="J6614" s="947" t="s">
        <v>20729</v>
      </c>
      <c r="K6614" s="143"/>
    </row>
    <row r="6615" spans="1:11">
      <c r="A6615" s="946" t="s">
        <v>28617</v>
      </c>
      <c r="B6615" s="947" t="s">
        <v>20814</v>
      </c>
      <c r="C6615" s="948" t="s">
        <v>20812</v>
      </c>
      <c r="D6615" s="242" t="s">
        <v>28740</v>
      </c>
      <c r="E6615" s="949">
        <v>1901</v>
      </c>
      <c r="F6615" s="949">
        <v>1901</v>
      </c>
      <c r="G6615" s="950" t="s">
        <v>14117</v>
      </c>
      <c r="H6615" s="950" t="s">
        <v>921</v>
      </c>
      <c r="I6615" s="951" t="s">
        <v>20813</v>
      </c>
      <c r="J6615" s="947" t="s">
        <v>20814</v>
      </c>
      <c r="K6615" s="143"/>
    </row>
    <row r="6616" spans="1:11">
      <c r="A6616" s="946" t="s">
        <v>28617</v>
      </c>
      <c r="B6616" s="947" t="s">
        <v>20848</v>
      </c>
      <c r="C6616" s="948" t="s">
        <v>20846</v>
      </c>
      <c r="D6616" s="242" t="s">
        <v>28740</v>
      </c>
      <c r="E6616" s="949">
        <v>1901</v>
      </c>
      <c r="F6616" s="949">
        <v>1901</v>
      </c>
      <c r="G6616" s="950" t="s">
        <v>14117</v>
      </c>
      <c r="H6616" s="950" t="s">
        <v>921</v>
      </c>
      <c r="I6616" s="951" t="s">
        <v>20847</v>
      </c>
      <c r="J6616" s="947" t="s">
        <v>20848</v>
      </c>
      <c r="K6616" s="143"/>
    </row>
    <row r="6617" spans="1:11">
      <c r="A6617" s="946" t="s">
        <v>28617</v>
      </c>
      <c r="B6617" s="947" t="s">
        <v>21233</v>
      </c>
      <c r="C6617" s="948" t="s">
        <v>21231</v>
      </c>
      <c r="D6617" s="242" t="s">
        <v>28740</v>
      </c>
      <c r="E6617" s="949">
        <v>1901</v>
      </c>
      <c r="F6617" s="949">
        <v>1901</v>
      </c>
      <c r="G6617" s="950" t="s">
        <v>14117</v>
      </c>
      <c r="H6617" s="950" t="s">
        <v>921</v>
      </c>
      <c r="I6617" s="951" t="s">
        <v>21232</v>
      </c>
      <c r="J6617" s="947" t="s">
        <v>21233</v>
      </c>
      <c r="K6617" s="143"/>
    </row>
    <row r="6618" spans="1:11">
      <c r="A6618" s="946" t="s">
        <v>28617</v>
      </c>
      <c r="B6618" s="947" t="s">
        <v>21437</v>
      </c>
      <c r="C6618" s="948" t="s">
        <v>21435</v>
      </c>
      <c r="D6618" s="242" t="s">
        <v>28740</v>
      </c>
      <c r="E6618" s="949">
        <v>1901</v>
      </c>
      <c r="F6618" s="949">
        <v>1901</v>
      </c>
      <c r="G6618" s="950" t="s">
        <v>14117</v>
      </c>
      <c r="H6618" s="950" t="s">
        <v>921</v>
      </c>
      <c r="I6618" s="951" t="s">
        <v>21436</v>
      </c>
      <c r="J6618" s="947" t="s">
        <v>21437</v>
      </c>
      <c r="K6618" s="143"/>
    </row>
    <row r="6619" spans="1:11">
      <c r="A6619" s="946" t="s">
        <v>28617</v>
      </c>
      <c r="B6619" s="947" t="s">
        <v>21716</v>
      </c>
      <c r="C6619" s="948" t="s">
        <v>21714</v>
      </c>
      <c r="D6619" s="242" t="s">
        <v>28740</v>
      </c>
      <c r="E6619" s="949">
        <v>1901</v>
      </c>
      <c r="F6619" s="949">
        <v>1901</v>
      </c>
      <c r="G6619" s="950" t="s">
        <v>14117</v>
      </c>
      <c r="H6619" s="950" t="s">
        <v>921</v>
      </c>
      <c r="I6619" s="951" t="s">
        <v>21715</v>
      </c>
      <c r="J6619" s="947" t="s">
        <v>21716</v>
      </c>
      <c r="K6619" s="143"/>
    </row>
    <row r="6620" spans="1:11">
      <c r="A6620" s="946" t="s">
        <v>28617</v>
      </c>
      <c r="B6620" s="947" t="s">
        <v>21916</v>
      </c>
      <c r="C6620" s="948" t="s">
        <v>21914</v>
      </c>
      <c r="D6620" s="242" t="s">
        <v>28740</v>
      </c>
      <c r="E6620" s="949">
        <v>1901</v>
      </c>
      <c r="F6620" s="949">
        <v>1901</v>
      </c>
      <c r="G6620" s="950" t="s">
        <v>14117</v>
      </c>
      <c r="H6620" s="950" t="s">
        <v>921</v>
      </c>
      <c r="I6620" s="951" t="s">
        <v>21915</v>
      </c>
      <c r="J6620" s="947" t="s">
        <v>21916</v>
      </c>
      <c r="K6620" s="143"/>
    </row>
    <row r="6621" spans="1:11">
      <c r="A6621" s="946" t="s">
        <v>28617</v>
      </c>
      <c r="B6621" s="947" t="s">
        <v>22152</v>
      </c>
      <c r="C6621" s="948" t="s">
        <v>22150</v>
      </c>
      <c r="D6621" s="242" t="s">
        <v>28740</v>
      </c>
      <c r="E6621" s="949">
        <v>1901</v>
      </c>
      <c r="F6621" s="949">
        <v>1901</v>
      </c>
      <c r="G6621" s="950" t="s">
        <v>14117</v>
      </c>
      <c r="H6621" s="950" t="s">
        <v>921</v>
      </c>
      <c r="I6621" s="951" t="s">
        <v>22151</v>
      </c>
      <c r="J6621" s="947" t="s">
        <v>22152</v>
      </c>
      <c r="K6621" s="143"/>
    </row>
    <row r="6622" spans="1:11">
      <c r="A6622" s="946" t="s">
        <v>28617</v>
      </c>
      <c r="B6622" s="947" t="s">
        <v>22191</v>
      </c>
      <c r="C6622" s="948" t="s">
        <v>22189</v>
      </c>
      <c r="D6622" s="242" t="s">
        <v>28740</v>
      </c>
      <c r="E6622" s="949">
        <v>1901</v>
      </c>
      <c r="F6622" s="949">
        <v>1901</v>
      </c>
      <c r="G6622" s="950" t="s">
        <v>14117</v>
      </c>
      <c r="H6622" s="950" t="s">
        <v>921</v>
      </c>
      <c r="I6622" s="951" t="s">
        <v>22190</v>
      </c>
      <c r="J6622" s="947" t="s">
        <v>22191</v>
      </c>
      <c r="K6622" s="143"/>
    </row>
    <row r="6623" spans="1:11">
      <c r="A6623" s="946" t="s">
        <v>28617</v>
      </c>
      <c r="B6623" s="947" t="s">
        <v>19109</v>
      </c>
      <c r="C6623" s="948" t="s">
        <v>19107</v>
      </c>
      <c r="D6623" s="242" t="s">
        <v>28740</v>
      </c>
      <c r="E6623" s="949">
        <v>1901</v>
      </c>
      <c r="F6623" s="949">
        <v>1901</v>
      </c>
      <c r="G6623" s="950" t="s">
        <v>14117</v>
      </c>
      <c r="H6623" s="950" t="s">
        <v>921</v>
      </c>
      <c r="I6623" s="951" t="s">
        <v>19108</v>
      </c>
      <c r="J6623" s="947" t="s">
        <v>19109</v>
      </c>
      <c r="K6623" s="143"/>
    </row>
    <row r="6624" spans="1:11">
      <c r="A6624" s="946" t="s">
        <v>28617</v>
      </c>
      <c r="B6624" s="947" t="s">
        <v>2522</v>
      </c>
      <c r="C6624" s="948" t="s">
        <v>2520</v>
      </c>
      <c r="D6624" s="242" t="s">
        <v>28740</v>
      </c>
      <c r="E6624" s="949">
        <v>1901</v>
      </c>
      <c r="F6624" s="949">
        <v>1901</v>
      </c>
      <c r="G6624" s="950" t="s">
        <v>14117</v>
      </c>
      <c r="H6624" s="950" t="s">
        <v>921</v>
      </c>
      <c r="I6624" s="951" t="s">
        <v>2521</v>
      </c>
      <c r="J6624" s="947" t="s">
        <v>2522</v>
      </c>
      <c r="K6624" s="143"/>
    </row>
    <row r="6625" spans="1:11">
      <c r="A6625" s="946" t="s">
        <v>28617</v>
      </c>
      <c r="B6625" s="947" t="s">
        <v>869</v>
      </c>
      <c r="C6625" s="948" t="s">
        <v>867</v>
      </c>
      <c r="D6625" s="242" t="s">
        <v>28736</v>
      </c>
      <c r="E6625" s="949">
        <v>1903</v>
      </c>
      <c r="F6625" s="949">
        <v>1903</v>
      </c>
      <c r="G6625" s="950" t="s">
        <v>11674</v>
      </c>
      <c r="H6625" s="950" t="s">
        <v>507</v>
      </c>
      <c r="I6625" s="951" t="s">
        <v>868</v>
      </c>
      <c r="J6625" s="947" t="s">
        <v>869</v>
      </c>
      <c r="K6625" s="143"/>
    </row>
    <row r="6626" spans="1:11">
      <c r="A6626" s="946" t="s">
        <v>28617</v>
      </c>
      <c r="B6626" s="947" t="s">
        <v>916</v>
      </c>
      <c r="C6626" s="948" t="s">
        <v>914</v>
      </c>
      <c r="D6626" s="242" t="s">
        <v>28736</v>
      </c>
      <c r="E6626" s="949">
        <v>1903</v>
      </c>
      <c r="F6626" s="949">
        <v>1903</v>
      </c>
      <c r="G6626" s="950" t="s">
        <v>11674</v>
      </c>
      <c r="H6626" s="950" t="s">
        <v>507</v>
      </c>
      <c r="I6626" s="951" t="s">
        <v>915</v>
      </c>
      <c r="J6626" s="947" t="s">
        <v>916</v>
      </c>
      <c r="K6626" s="143"/>
    </row>
    <row r="6627" spans="1:11">
      <c r="A6627" s="946" t="s">
        <v>28617</v>
      </c>
      <c r="B6627" s="947" t="s">
        <v>919</v>
      </c>
      <c r="C6627" s="948" t="s">
        <v>917</v>
      </c>
      <c r="D6627" s="242" t="s">
        <v>28736</v>
      </c>
      <c r="E6627" s="949">
        <v>1903</v>
      </c>
      <c r="F6627" s="949">
        <v>1903</v>
      </c>
      <c r="G6627" s="950" t="s">
        <v>11674</v>
      </c>
      <c r="H6627" s="950" t="s">
        <v>507</v>
      </c>
      <c r="I6627" s="951" t="s">
        <v>918</v>
      </c>
      <c r="J6627" s="947" t="s">
        <v>919</v>
      </c>
      <c r="K6627" s="143"/>
    </row>
    <row r="6628" spans="1:11">
      <c r="A6628" s="946" t="s">
        <v>28617</v>
      </c>
      <c r="B6628" s="947" t="s">
        <v>1205</v>
      </c>
      <c r="C6628" s="948" t="s">
        <v>1203</v>
      </c>
      <c r="D6628" s="242" t="s">
        <v>28736</v>
      </c>
      <c r="E6628" s="949">
        <v>1903</v>
      </c>
      <c r="F6628" s="949">
        <v>1903</v>
      </c>
      <c r="G6628" s="950" t="s">
        <v>11674</v>
      </c>
      <c r="H6628" s="950" t="s">
        <v>507</v>
      </c>
      <c r="I6628" s="951" t="s">
        <v>1204</v>
      </c>
      <c r="J6628" s="947" t="s">
        <v>1205</v>
      </c>
      <c r="K6628" s="143"/>
    </row>
    <row r="6629" spans="1:11">
      <c r="A6629" s="946" t="s">
        <v>28617</v>
      </c>
      <c r="B6629" s="947" t="s">
        <v>1950</v>
      </c>
      <c r="C6629" s="948" t="s">
        <v>1948</v>
      </c>
      <c r="D6629" s="242" t="s">
        <v>28736</v>
      </c>
      <c r="E6629" s="949">
        <v>1903</v>
      </c>
      <c r="F6629" s="949">
        <v>1903</v>
      </c>
      <c r="G6629" s="950" t="s">
        <v>11674</v>
      </c>
      <c r="H6629" s="950" t="s">
        <v>507</v>
      </c>
      <c r="I6629" s="951" t="s">
        <v>1949</v>
      </c>
      <c r="J6629" s="947" t="s">
        <v>1950</v>
      </c>
      <c r="K6629" s="143"/>
    </row>
    <row r="6630" spans="1:11">
      <c r="A6630" s="946" t="s">
        <v>28617</v>
      </c>
      <c r="B6630" s="947" t="s">
        <v>2066</v>
      </c>
      <c r="C6630" s="948" t="s">
        <v>2064</v>
      </c>
      <c r="D6630" s="242" t="s">
        <v>28736</v>
      </c>
      <c r="E6630" s="949">
        <v>1903</v>
      </c>
      <c r="F6630" s="949">
        <v>1903</v>
      </c>
      <c r="G6630" s="950" t="s">
        <v>11674</v>
      </c>
      <c r="H6630" s="950" t="s">
        <v>507</v>
      </c>
      <c r="I6630" s="951" t="s">
        <v>2065</v>
      </c>
      <c r="J6630" s="947" t="s">
        <v>2066</v>
      </c>
      <c r="K6630" s="143"/>
    </row>
    <row r="6631" spans="1:11">
      <c r="A6631" s="946" t="s">
        <v>28617</v>
      </c>
      <c r="B6631" s="947" t="s">
        <v>3107</v>
      </c>
      <c r="C6631" s="948" t="s">
        <v>3105</v>
      </c>
      <c r="D6631" s="242" t="s">
        <v>28736</v>
      </c>
      <c r="E6631" s="949">
        <v>1903</v>
      </c>
      <c r="F6631" s="949">
        <v>1903</v>
      </c>
      <c r="G6631" s="950" t="s">
        <v>11674</v>
      </c>
      <c r="H6631" s="950" t="s">
        <v>507</v>
      </c>
      <c r="I6631" s="951" t="s">
        <v>3106</v>
      </c>
      <c r="J6631" s="947" t="s">
        <v>3107</v>
      </c>
      <c r="K6631" s="143"/>
    </row>
    <row r="6632" spans="1:11">
      <c r="A6632" s="946" t="s">
        <v>28617</v>
      </c>
      <c r="B6632" s="947" t="s">
        <v>4058</v>
      </c>
      <c r="C6632" s="948" t="s">
        <v>4056</v>
      </c>
      <c r="D6632" s="242" t="s">
        <v>28736</v>
      </c>
      <c r="E6632" s="949">
        <v>1903</v>
      </c>
      <c r="F6632" s="949">
        <v>1903</v>
      </c>
      <c r="G6632" s="950" t="s">
        <v>11674</v>
      </c>
      <c r="H6632" s="950" t="s">
        <v>507</v>
      </c>
      <c r="I6632" s="951" t="s">
        <v>4057</v>
      </c>
      <c r="J6632" s="947" t="s">
        <v>4058</v>
      </c>
      <c r="K6632" s="143"/>
    </row>
    <row r="6633" spans="1:11">
      <c r="A6633" s="946" t="s">
        <v>28617</v>
      </c>
      <c r="B6633" s="947" t="s">
        <v>4067</v>
      </c>
      <c r="C6633" s="948" t="s">
        <v>4065</v>
      </c>
      <c r="D6633" s="242" t="s">
        <v>28736</v>
      </c>
      <c r="E6633" s="949">
        <v>1903</v>
      </c>
      <c r="F6633" s="949">
        <v>1903</v>
      </c>
      <c r="G6633" s="950" t="s">
        <v>11674</v>
      </c>
      <c r="H6633" s="950" t="s">
        <v>507</v>
      </c>
      <c r="I6633" s="951" t="s">
        <v>4066</v>
      </c>
      <c r="J6633" s="947" t="s">
        <v>4067</v>
      </c>
      <c r="K6633" s="143"/>
    </row>
    <row r="6634" spans="1:11">
      <c r="A6634" s="946" t="s">
        <v>28617</v>
      </c>
      <c r="B6634" s="947" t="s">
        <v>4145</v>
      </c>
      <c r="C6634" s="948" t="s">
        <v>4143</v>
      </c>
      <c r="D6634" s="242" t="s">
        <v>28736</v>
      </c>
      <c r="E6634" s="949">
        <v>1903</v>
      </c>
      <c r="F6634" s="949">
        <v>1903</v>
      </c>
      <c r="G6634" s="950" t="s">
        <v>11674</v>
      </c>
      <c r="H6634" s="950" t="s">
        <v>507</v>
      </c>
      <c r="I6634" s="951" t="s">
        <v>4144</v>
      </c>
      <c r="J6634" s="947" t="s">
        <v>4145</v>
      </c>
      <c r="K6634" s="143"/>
    </row>
    <row r="6635" spans="1:11">
      <c r="A6635" s="946" t="s">
        <v>28617</v>
      </c>
      <c r="B6635" s="947" t="s">
        <v>4378</v>
      </c>
      <c r="C6635" s="948" t="s">
        <v>4376</v>
      </c>
      <c r="D6635" s="242" t="s">
        <v>28736</v>
      </c>
      <c r="E6635" s="949">
        <v>1903</v>
      </c>
      <c r="F6635" s="949">
        <v>1903</v>
      </c>
      <c r="G6635" s="950" t="s">
        <v>11674</v>
      </c>
      <c r="H6635" s="950" t="s">
        <v>507</v>
      </c>
      <c r="I6635" s="951" t="s">
        <v>4377</v>
      </c>
      <c r="J6635" s="947" t="s">
        <v>4378</v>
      </c>
      <c r="K6635" s="143"/>
    </row>
    <row r="6636" spans="1:11">
      <c r="A6636" s="946" t="s">
        <v>28617</v>
      </c>
      <c r="B6636" s="947" t="s">
        <v>4646</v>
      </c>
      <c r="C6636" s="948" t="s">
        <v>4644</v>
      </c>
      <c r="D6636" s="242" t="s">
        <v>28736</v>
      </c>
      <c r="E6636" s="949">
        <v>1903</v>
      </c>
      <c r="F6636" s="949">
        <v>1903</v>
      </c>
      <c r="G6636" s="950" t="s">
        <v>11674</v>
      </c>
      <c r="H6636" s="950" t="s">
        <v>507</v>
      </c>
      <c r="I6636" s="951" t="s">
        <v>4645</v>
      </c>
      <c r="J6636" s="947" t="s">
        <v>4646</v>
      </c>
      <c r="K6636" s="143"/>
    </row>
    <row r="6637" spans="1:11">
      <c r="A6637" s="946" t="s">
        <v>28617</v>
      </c>
      <c r="B6637" s="947" t="s">
        <v>4961</v>
      </c>
      <c r="C6637" s="948" t="s">
        <v>4959</v>
      </c>
      <c r="D6637" s="242" t="s">
        <v>28736</v>
      </c>
      <c r="E6637" s="949">
        <v>1903</v>
      </c>
      <c r="F6637" s="949">
        <v>1903</v>
      </c>
      <c r="G6637" s="950" t="s">
        <v>11674</v>
      </c>
      <c r="H6637" s="950" t="s">
        <v>507</v>
      </c>
      <c r="I6637" s="951" t="s">
        <v>4960</v>
      </c>
      <c r="J6637" s="947" t="s">
        <v>4961</v>
      </c>
      <c r="K6637" s="143"/>
    </row>
    <row r="6638" spans="1:11">
      <c r="A6638" s="946" t="s">
        <v>28617</v>
      </c>
      <c r="B6638" s="947" t="s">
        <v>5290</v>
      </c>
      <c r="C6638" s="948" t="s">
        <v>5288</v>
      </c>
      <c r="D6638" s="242" t="s">
        <v>28736</v>
      </c>
      <c r="E6638" s="949">
        <v>1903</v>
      </c>
      <c r="F6638" s="949">
        <v>1903</v>
      </c>
      <c r="G6638" s="950" t="s">
        <v>11674</v>
      </c>
      <c r="H6638" s="950" t="s">
        <v>507</v>
      </c>
      <c r="I6638" s="951" t="s">
        <v>5289</v>
      </c>
      <c r="J6638" s="947" t="s">
        <v>5290</v>
      </c>
      <c r="K6638" s="143"/>
    </row>
    <row r="6639" spans="1:11">
      <c r="A6639" s="946" t="s">
        <v>28617</v>
      </c>
      <c r="B6639" s="947" t="s">
        <v>5308</v>
      </c>
      <c r="C6639" s="948" t="s">
        <v>5306</v>
      </c>
      <c r="D6639" s="242" t="s">
        <v>28736</v>
      </c>
      <c r="E6639" s="949">
        <v>1903</v>
      </c>
      <c r="F6639" s="949">
        <v>1903</v>
      </c>
      <c r="G6639" s="950" t="s">
        <v>11674</v>
      </c>
      <c r="H6639" s="950" t="s">
        <v>507</v>
      </c>
      <c r="I6639" s="951" t="s">
        <v>5307</v>
      </c>
      <c r="J6639" s="947" t="s">
        <v>5308</v>
      </c>
      <c r="K6639" s="143"/>
    </row>
    <row r="6640" spans="1:11">
      <c r="A6640" s="946" t="s">
        <v>28617</v>
      </c>
      <c r="B6640" s="947" t="s">
        <v>5608</v>
      </c>
      <c r="C6640" s="948" t="s">
        <v>5606</v>
      </c>
      <c r="D6640" s="242" t="s">
        <v>28736</v>
      </c>
      <c r="E6640" s="949">
        <v>1903</v>
      </c>
      <c r="F6640" s="949">
        <v>1903</v>
      </c>
      <c r="G6640" s="950" t="s">
        <v>11674</v>
      </c>
      <c r="H6640" s="950" t="s">
        <v>507</v>
      </c>
      <c r="I6640" s="951" t="s">
        <v>5607</v>
      </c>
      <c r="J6640" s="947" t="s">
        <v>5608</v>
      </c>
      <c r="K6640" s="143"/>
    </row>
    <row r="6641" spans="1:11">
      <c r="A6641" s="946" t="s">
        <v>28617</v>
      </c>
      <c r="B6641" s="947" t="s">
        <v>6119</v>
      </c>
      <c r="C6641" s="948" t="s">
        <v>6117</v>
      </c>
      <c r="D6641" s="242" t="s">
        <v>28736</v>
      </c>
      <c r="E6641" s="949">
        <v>1903</v>
      </c>
      <c r="F6641" s="949">
        <v>1903</v>
      </c>
      <c r="G6641" s="950" t="s">
        <v>11674</v>
      </c>
      <c r="H6641" s="950" t="s">
        <v>507</v>
      </c>
      <c r="I6641" s="951" t="s">
        <v>6118</v>
      </c>
      <c r="J6641" s="947" t="s">
        <v>6119</v>
      </c>
      <c r="K6641" s="143"/>
    </row>
    <row r="6642" spans="1:11">
      <c r="A6642" s="946" t="s">
        <v>28617</v>
      </c>
      <c r="B6642" s="947" t="s">
        <v>6958</v>
      </c>
      <c r="C6642" s="948" t="s">
        <v>6956</v>
      </c>
      <c r="D6642" s="242" t="s">
        <v>28736</v>
      </c>
      <c r="E6642" s="949">
        <v>1903</v>
      </c>
      <c r="F6642" s="949">
        <v>1903</v>
      </c>
      <c r="G6642" s="950" t="s">
        <v>11674</v>
      </c>
      <c r="H6642" s="950" t="s">
        <v>507</v>
      </c>
      <c r="I6642" s="951" t="s">
        <v>6957</v>
      </c>
      <c r="J6642" s="947" t="s">
        <v>6958</v>
      </c>
      <c r="K6642" s="143"/>
    </row>
    <row r="6643" spans="1:11">
      <c r="A6643" s="946" t="s">
        <v>28617</v>
      </c>
      <c r="B6643" s="947" t="s">
        <v>7998</v>
      </c>
      <c r="C6643" s="948" t="s">
        <v>7996</v>
      </c>
      <c r="D6643" s="242" t="s">
        <v>28736</v>
      </c>
      <c r="E6643" s="949">
        <v>1903</v>
      </c>
      <c r="F6643" s="949">
        <v>1903</v>
      </c>
      <c r="G6643" s="950" t="s">
        <v>11674</v>
      </c>
      <c r="H6643" s="950" t="s">
        <v>507</v>
      </c>
      <c r="I6643" s="951" t="s">
        <v>7997</v>
      </c>
      <c r="J6643" s="947" t="s">
        <v>7998</v>
      </c>
      <c r="K6643" s="143"/>
    </row>
    <row r="6644" spans="1:11">
      <c r="A6644" s="946" t="s">
        <v>28617</v>
      </c>
      <c r="B6644" s="947" t="s">
        <v>8195</v>
      </c>
      <c r="C6644" s="948" t="s">
        <v>8193</v>
      </c>
      <c r="D6644" s="242" t="s">
        <v>28736</v>
      </c>
      <c r="E6644" s="949">
        <v>1903</v>
      </c>
      <c r="F6644" s="949">
        <v>1903</v>
      </c>
      <c r="G6644" s="950" t="s">
        <v>11674</v>
      </c>
      <c r="H6644" s="950" t="s">
        <v>507</v>
      </c>
      <c r="I6644" s="951" t="s">
        <v>8194</v>
      </c>
      <c r="J6644" s="947" t="s">
        <v>8195</v>
      </c>
      <c r="K6644" s="143"/>
    </row>
    <row r="6645" spans="1:11">
      <c r="A6645" s="946" t="s">
        <v>28617</v>
      </c>
      <c r="B6645" s="947" t="s">
        <v>8307</v>
      </c>
      <c r="C6645" s="948" t="s">
        <v>8305</v>
      </c>
      <c r="D6645" s="242" t="s">
        <v>28736</v>
      </c>
      <c r="E6645" s="949">
        <v>1903</v>
      </c>
      <c r="F6645" s="949">
        <v>1903</v>
      </c>
      <c r="G6645" s="950" t="s">
        <v>11674</v>
      </c>
      <c r="H6645" s="950" t="s">
        <v>507</v>
      </c>
      <c r="I6645" s="951" t="s">
        <v>8306</v>
      </c>
      <c r="J6645" s="947" t="s">
        <v>8307</v>
      </c>
      <c r="K6645" s="143"/>
    </row>
    <row r="6646" spans="1:11">
      <c r="A6646" s="946" t="s">
        <v>28617</v>
      </c>
      <c r="B6646" s="947" t="s">
        <v>8331</v>
      </c>
      <c r="C6646" s="948" t="s">
        <v>8329</v>
      </c>
      <c r="D6646" s="242" t="s">
        <v>28736</v>
      </c>
      <c r="E6646" s="949">
        <v>1903</v>
      </c>
      <c r="F6646" s="949">
        <v>1903</v>
      </c>
      <c r="G6646" s="950" t="s">
        <v>11674</v>
      </c>
      <c r="H6646" s="950" t="s">
        <v>507</v>
      </c>
      <c r="I6646" s="951" t="s">
        <v>8330</v>
      </c>
      <c r="J6646" s="947" t="s">
        <v>8331</v>
      </c>
      <c r="K6646" s="143"/>
    </row>
    <row r="6647" spans="1:11">
      <c r="A6647" s="946" t="s">
        <v>28617</v>
      </c>
      <c r="B6647" s="947" t="s">
        <v>8386</v>
      </c>
      <c r="C6647" s="948" t="s">
        <v>8384</v>
      </c>
      <c r="D6647" s="242" t="s">
        <v>28736</v>
      </c>
      <c r="E6647" s="949">
        <v>1903</v>
      </c>
      <c r="F6647" s="949">
        <v>1903</v>
      </c>
      <c r="G6647" s="950" t="s">
        <v>11674</v>
      </c>
      <c r="H6647" s="950" t="s">
        <v>507</v>
      </c>
      <c r="I6647" s="951" t="s">
        <v>8385</v>
      </c>
      <c r="J6647" s="947" t="s">
        <v>8386</v>
      </c>
      <c r="K6647" s="143"/>
    </row>
    <row r="6648" spans="1:11">
      <c r="A6648" s="946" t="s">
        <v>28617</v>
      </c>
      <c r="B6648" s="947" t="s">
        <v>8548</v>
      </c>
      <c r="C6648" s="948" t="s">
        <v>8546</v>
      </c>
      <c r="D6648" s="242" t="s">
        <v>28736</v>
      </c>
      <c r="E6648" s="949">
        <v>1903</v>
      </c>
      <c r="F6648" s="949">
        <v>1903</v>
      </c>
      <c r="G6648" s="950" t="s">
        <v>11674</v>
      </c>
      <c r="H6648" s="950" t="s">
        <v>507</v>
      </c>
      <c r="I6648" s="951" t="s">
        <v>8547</v>
      </c>
      <c r="J6648" s="947" t="s">
        <v>8548</v>
      </c>
      <c r="K6648" s="143"/>
    </row>
    <row r="6649" spans="1:11">
      <c r="A6649" s="946" t="s">
        <v>28617</v>
      </c>
      <c r="B6649" s="947" t="s">
        <v>8624</v>
      </c>
      <c r="C6649" s="948" t="s">
        <v>8622</v>
      </c>
      <c r="D6649" s="242" t="s">
        <v>28736</v>
      </c>
      <c r="E6649" s="949">
        <v>1903</v>
      </c>
      <c r="F6649" s="949">
        <v>1903</v>
      </c>
      <c r="G6649" s="950" t="s">
        <v>11674</v>
      </c>
      <c r="H6649" s="950" t="s">
        <v>507</v>
      </c>
      <c r="I6649" s="951" t="s">
        <v>8623</v>
      </c>
      <c r="J6649" s="947" t="s">
        <v>8624</v>
      </c>
      <c r="K6649" s="143"/>
    </row>
    <row r="6650" spans="1:11">
      <c r="A6650" s="946" t="s">
        <v>28617</v>
      </c>
      <c r="B6650" s="947" t="s">
        <v>8698</v>
      </c>
      <c r="C6650" s="948" t="s">
        <v>8696</v>
      </c>
      <c r="D6650" s="242" t="s">
        <v>28736</v>
      </c>
      <c r="E6650" s="949">
        <v>1903</v>
      </c>
      <c r="F6650" s="949">
        <v>1903</v>
      </c>
      <c r="G6650" s="950" t="s">
        <v>11674</v>
      </c>
      <c r="H6650" s="950" t="s">
        <v>507</v>
      </c>
      <c r="I6650" s="951" t="s">
        <v>8697</v>
      </c>
      <c r="J6650" s="947" t="s">
        <v>8698</v>
      </c>
      <c r="K6650" s="143"/>
    </row>
    <row r="6651" spans="1:11">
      <c r="A6651" s="946" t="s">
        <v>28617</v>
      </c>
      <c r="B6651" s="947" t="s">
        <v>8763</v>
      </c>
      <c r="C6651" s="948" t="s">
        <v>8761</v>
      </c>
      <c r="D6651" s="242" t="s">
        <v>28736</v>
      </c>
      <c r="E6651" s="949">
        <v>1903</v>
      </c>
      <c r="F6651" s="949">
        <v>1903</v>
      </c>
      <c r="G6651" s="950" t="s">
        <v>11674</v>
      </c>
      <c r="H6651" s="950" t="s">
        <v>507</v>
      </c>
      <c r="I6651" s="951" t="s">
        <v>8762</v>
      </c>
      <c r="J6651" s="947" t="s">
        <v>8763</v>
      </c>
      <c r="K6651" s="143"/>
    </row>
    <row r="6652" spans="1:11">
      <c r="A6652" s="946" t="s">
        <v>28617</v>
      </c>
      <c r="B6652" s="947" t="s">
        <v>8766</v>
      </c>
      <c r="C6652" s="948" t="s">
        <v>8764</v>
      </c>
      <c r="D6652" s="242" t="s">
        <v>28736</v>
      </c>
      <c r="E6652" s="949">
        <v>1903</v>
      </c>
      <c r="F6652" s="949">
        <v>1903</v>
      </c>
      <c r="G6652" s="950" t="s">
        <v>11674</v>
      </c>
      <c r="H6652" s="950" t="s">
        <v>507</v>
      </c>
      <c r="I6652" s="951" t="s">
        <v>8765</v>
      </c>
      <c r="J6652" s="947" t="s">
        <v>8766</v>
      </c>
      <c r="K6652" s="143"/>
    </row>
    <row r="6653" spans="1:11">
      <c r="A6653" s="946" t="s">
        <v>28617</v>
      </c>
      <c r="B6653" s="947" t="s">
        <v>8805</v>
      </c>
      <c r="C6653" s="948" t="s">
        <v>8803</v>
      </c>
      <c r="D6653" s="242" t="s">
        <v>28736</v>
      </c>
      <c r="E6653" s="949">
        <v>1903</v>
      </c>
      <c r="F6653" s="949">
        <v>1903</v>
      </c>
      <c r="G6653" s="950" t="s">
        <v>11674</v>
      </c>
      <c r="H6653" s="950" t="s">
        <v>507</v>
      </c>
      <c r="I6653" s="951" t="s">
        <v>8804</v>
      </c>
      <c r="J6653" s="947" t="s">
        <v>8805</v>
      </c>
      <c r="K6653" s="143"/>
    </row>
    <row r="6654" spans="1:11">
      <c r="A6654" s="946" t="s">
        <v>28617</v>
      </c>
      <c r="B6654" s="947" t="s">
        <v>8846</v>
      </c>
      <c r="C6654" s="948" t="s">
        <v>8844</v>
      </c>
      <c r="D6654" s="242" t="s">
        <v>28736</v>
      </c>
      <c r="E6654" s="949">
        <v>1903</v>
      </c>
      <c r="F6654" s="949">
        <v>1903</v>
      </c>
      <c r="G6654" s="950" t="s">
        <v>11674</v>
      </c>
      <c r="H6654" s="950" t="s">
        <v>507</v>
      </c>
      <c r="I6654" s="951" t="s">
        <v>8845</v>
      </c>
      <c r="J6654" s="947" t="s">
        <v>8846</v>
      </c>
      <c r="K6654" s="143"/>
    </row>
    <row r="6655" spans="1:11">
      <c r="A6655" s="946" t="s">
        <v>28617</v>
      </c>
      <c r="B6655" s="947" t="s">
        <v>8909</v>
      </c>
      <c r="C6655" s="948" t="s">
        <v>8907</v>
      </c>
      <c r="D6655" s="242" t="s">
        <v>28736</v>
      </c>
      <c r="E6655" s="949">
        <v>1903</v>
      </c>
      <c r="F6655" s="949">
        <v>1903</v>
      </c>
      <c r="G6655" s="950" t="s">
        <v>11674</v>
      </c>
      <c r="H6655" s="950" t="s">
        <v>507</v>
      </c>
      <c r="I6655" s="951" t="s">
        <v>8908</v>
      </c>
      <c r="J6655" s="947" t="s">
        <v>8909</v>
      </c>
      <c r="K6655" s="143"/>
    </row>
    <row r="6656" spans="1:11">
      <c r="A6656" s="946" t="s">
        <v>28617</v>
      </c>
      <c r="B6656" s="947" t="s">
        <v>9188</v>
      </c>
      <c r="C6656" s="948" t="s">
        <v>9186</v>
      </c>
      <c r="D6656" s="242" t="s">
        <v>28736</v>
      </c>
      <c r="E6656" s="949">
        <v>1903</v>
      </c>
      <c r="F6656" s="949">
        <v>1903</v>
      </c>
      <c r="G6656" s="950" t="s">
        <v>11674</v>
      </c>
      <c r="H6656" s="950" t="s">
        <v>507</v>
      </c>
      <c r="I6656" s="951" t="s">
        <v>9187</v>
      </c>
      <c r="J6656" s="947" t="s">
        <v>9188</v>
      </c>
      <c r="K6656" s="143"/>
    </row>
    <row r="6657" spans="1:11">
      <c r="A6657" s="946" t="s">
        <v>28617</v>
      </c>
      <c r="B6657" s="947" t="s">
        <v>9262</v>
      </c>
      <c r="C6657" s="948" t="s">
        <v>9260</v>
      </c>
      <c r="D6657" s="242" t="s">
        <v>28736</v>
      </c>
      <c r="E6657" s="949">
        <v>1903</v>
      </c>
      <c r="F6657" s="949">
        <v>1903</v>
      </c>
      <c r="G6657" s="950" t="s">
        <v>11674</v>
      </c>
      <c r="H6657" s="950" t="s">
        <v>507</v>
      </c>
      <c r="I6657" s="951" t="s">
        <v>9261</v>
      </c>
      <c r="J6657" s="947" t="s">
        <v>9262</v>
      </c>
      <c r="K6657" s="143"/>
    </row>
    <row r="6658" spans="1:11">
      <c r="A6658" s="946" t="s">
        <v>28617</v>
      </c>
      <c r="B6658" s="947" t="s">
        <v>9465</v>
      </c>
      <c r="C6658" s="948" t="s">
        <v>9463</v>
      </c>
      <c r="D6658" s="242" t="s">
        <v>28736</v>
      </c>
      <c r="E6658" s="949">
        <v>1903</v>
      </c>
      <c r="F6658" s="949">
        <v>1903</v>
      </c>
      <c r="G6658" s="950" t="s">
        <v>11674</v>
      </c>
      <c r="H6658" s="950" t="s">
        <v>507</v>
      </c>
      <c r="I6658" s="951" t="s">
        <v>9464</v>
      </c>
      <c r="J6658" s="947" t="s">
        <v>9465</v>
      </c>
      <c r="K6658" s="143"/>
    </row>
    <row r="6659" spans="1:11">
      <c r="A6659" s="946" t="s">
        <v>28617</v>
      </c>
      <c r="B6659" s="947" t="s">
        <v>9674</v>
      </c>
      <c r="C6659" s="948" t="s">
        <v>9672</v>
      </c>
      <c r="D6659" s="242" t="s">
        <v>28736</v>
      </c>
      <c r="E6659" s="949">
        <v>1903</v>
      </c>
      <c r="F6659" s="949">
        <v>1903</v>
      </c>
      <c r="G6659" s="950" t="s">
        <v>11674</v>
      </c>
      <c r="H6659" s="950" t="s">
        <v>507</v>
      </c>
      <c r="I6659" s="951" t="s">
        <v>9673</v>
      </c>
      <c r="J6659" s="947" t="s">
        <v>9674</v>
      </c>
      <c r="K6659" s="143"/>
    </row>
    <row r="6660" spans="1:11">
      <c r="A6660" s="946" t="s">
        <v>28617</v>
      </c>
      <c r="B6660" s="947" t="s">
        <v>9949</v>
      </c>
      <c r="C6660" s="948" t="s">
        <v>9947</v>
      </c>
      <c r="D6660" s="242" t="s">
        <v>28736</v>
      </c>
      <c r="E6660" s="949">
        <v>1903</v>
      </c>
      <c r="F6660" s="949">
        <v>1903</v>
      </c>
      <c r="G6660" s="950" t="s">
        <v>11674</v>
      </c>
      <c r="H6660" s="950" t="s">
        <v>507</v>
      </c>
      <c r="I6660" s="951" t="s">
        <v>9948</v>
      </c>
      <c r="J6660" s="947" t="s">
        <v>9949</v>
      </c>
      <c r="K6660" s="143"/>
    </row>
    <row r="6661" spans="1:11">
      <c r="A6661" s="946" t="s">
        <v>28617</v>
      </c>
      <c r="B6661" s="947" t="s">
        <v>10291</v>
      </c>
      <c r="C6661" s="948" t="s">
        <v>10289</v>
      </c>
      <c r="D6661" s="242" t="s">
        <v>28736</v>
      </c>
      <c r="E6661" s="949">
        <v>1903</v>
      </c>
      <c r="F6661" s="949">
        <v>1903</v>
      </c>
      <c r="G6661" s="950" t="s">
        <v>11674</v>
      </c>
      <c r="H6661" s="950" t="s">
        <v>507</v>
      </c>
      <c r="I6661" s="951" t="s">
        <v>10290</v>
      </c>
      <c r="J6661" s="947" t="s">
        <v>10291</v>
      </c>
      <c r="K6661" s="143"/>
    </row>
    <row r="6662" spans="1:11">
      <c r="A6662" s="946" t="s">
        <v>28617</v>
      </c>
      <c r="B6662" s="947" t="s">
        <v>10366</v>
      </c>
      <c r="C6662" s="948" t="s">
        <v>10364</v>
      </c>
      <c r="D6662" s="242" t="s">
        <v>28736</v>
      </c>
      <c r="E6662" s="949">
        <v>1903</v>
      </c>
      <c r="F6662" s="949">
        <v>1903</v>
      </c>
      <c r="G6662" s="950" t="s">
        <v>11674</v>
      </c>
      <c r="H6662" s="950" t="s">
        <v>507</v>
      </c>
      <c r="I6662" s="951" t="s">
        <v>10365</v>
      </c>
      <c r="J6662" s="947" t="s">
        <v>10366</v>
      </c>
      <c r="K6662" s="143"/>
    </row>
    <row r="6663" spans="1:11">
      <c r="A6663" s="946" t="s">
        <v>28617</v>
      </c>
      <c r="B6663" s="947" t="s">
        <v>10402</v>
      </c>
      <c r="C6663" s="948" t="s">
        <v>10400</v>
      </c>
      <c r="D6663" s="242" t="s">
        <v>28736</v>
      </c>
      <c r="E6663" s="949">
        <v>1903</v>
      </c>
      <c r="F6663" s="949">
        <v>1903</v>
      </c>
      <c r="G6663" s="950" t="s">
        <v>11674</v>
      </c>
      <c r="H6663" s="950" t="s">
        <v>507</v>
      </c>
      <c r="I6663" s="951" t="s">
        <v>10401</v>
      </c>
      <c r="J6663" s="947" t="s">
        <v>10402</v>
      </c>
      <c r="K6663" s="143"/>
    </row>
    <row r="6664" spans="1:11">
      <c r="A6664" s="946" t="s">
        <v>28617</v>
      </c>
      <c r="B6664" s="947" t="s">
        <v>10445</v>
      </c>
      <c r="C6664" s="948" t="s">
        <v>10443</v>
      </c>
      <c r="D6664" s="242" t="s">
        <v>28736</v>
      </c>
      <c r="E6664" s="949">
        <v>1903</v>
      </c>
      <c r="F6664" s="949">
        <v>1903</v>
      </c>
      <c r="G6664" s="950" t="s">
        <v>11674</v>
      </c>
      <c r="H6664" s="950" t="s">
        <v>507</v>
      </c>
      <c r="I6664" s="951" t="s">
        <v>10444</v>
      </c>
      <c r="J6664" s="947" t="s">
        <v>10445</v>
      </c>
      <c r="K6664" s="143"/>
    </row>
    <row r="6665" spans="1:11">
      <c r="A6665" s="946" t="s">
        <v>28617</v>
      </c>
      <c r="B6665" s="947" t="s">
        <v>10466</v>
      </c>
      <c r="C6665" s="948" t="s">
        <v>10464</v>
      </c>
      <c r="D6665" s="242" t="s">
        <v>28736</v>
      </c>
      <c r="E6665" s="949">
        <v>1903</v>
      </c>
      <c r="F6665" s="949">
        <v>1903</v>
      </c>
      <c r="G6665" s="950" t="s">
        <v>11674</v>
      </c>
      <c r="H6665" s="950" t="s">
        <v>507</v>
      </c>
      <c r="I6665" s="951" t="s">
        <v>10465</v>
      </c>
      <c r="J6665" s="947" t="s">
        <v>10466</v>
      </c>
      <c r="K6665" s="143"/>
    </row>
    <row r="6666" spans="1:11">
      <c r="A6666" s="946" t="s">
        <v>28617</v>
      </c>
      <c r="B6666" s="947" t="s">
        <v>10604</v>
      </c>
      <c r="C6666" s="948" t="s">
        <v>10602</v>
      </c>
      <c r="D6666" s="242" t="s">
        <v>28736</v>
      </c>
      <c r="E6666" s="949">
        <v>1903</v>
      </c>
      <c r="F6666" s="949">
        <v>1903</v>
      </c>
      <c r="G6666" s="950" t="s">
        <v>11674</v>
      </c>
      <c r="H6666" s="950" t="s">
        <v>507</v>
      </c>
      <c r="I6666" s="951" t="s">
        <v>10603</v>
      </c>
      <c r="J6666" s="947" t="s">
        <v>10604</v>
      </c>
      <c r="K6666" s="143"/>
    </row>
    <row r="6667" spans="1:11">
      <c r="A6667" s="946" t="s">
        <v>28617</v>
      </c>
      <c r="B6667" s="947" t="s">
        <v>10978</v>
      </c>
      <c r="C6667" s="948" t="s">
        <v>10976</v>
      </c>
      <c r="D6667" s="242" t="s">
        <v>28736</v>
      </c>
      <c r="E6667" s="949">
        <v>1903</v>
      </c>
      <c r="F6667" s="949">
        <v>1903</v>
      </c>
      <c r="G6667" s="950" t="s">
        <v>11674</v>
      </c>
      <c r="H6667" s="950" t="s">
        <v>507</v>
      </c>
      <c r="I6667" s="951" t="s">
        <v>10977</v>
      </c>
      <c r="J6667" s="947" t="s">
        <v>10978</v>
      </c>
      <c r="K6667" s="143"/>
    </row>
    <row r="6668" spans="1:11">
      <c r="A6668" s="946" t="s">
        <v>28617</v>
      </c>
      <c r="B6668" s="947" t="s">
        <v>11003</v>
      </c>
      <c r="C6668" s="948" t="s">
        <v>11001</v>
      </c>
      <c r="D6668" s="242" t="s">
        <v>28736</v>
      </c>
      <c r="E6668" s="949">
        <v>1903</v>
      </c>
      <c r="F6668" s="949">
        <v>1903</v>
      </c>
      <c r="G6668" s="950" t="s">
        <v>11674</v>
      </c>
      <c r="H6668" s="950" t="s">
        <v>507</v>
      </c>
      <c r="I6668" s="951" t="s">
        <v>11002</v>
      </c>
      <c r="J6668" s="947" t="s">
        <v>11003</v>
      </c>
      <c r="K6668" s="143"/>
    </row>
    <row r="6669" spans="1:11">
      <c r="A6669" s="946" t="s">
        <v>28617</v>
      </c>
      <c r="B6669" s="947" t="s">
        <v>11020</v>
      </c>
      <c r="C6669" s="948" t="s">
        <v>11018</v>
      </c>
      <c r="D6669" s="242" t="s">
        <v>28736</v>
      </c>
      <c r="E6669" s="949">
        <v>1903</v>
      </c>
      <c r="F6669" s="949">
        <v>1903</v>
      </c>
      <c r="G6669" s="950" t="s">
        <v>11674</v>
      </c>
      <c r="H6669" s="950" t="s">
        <v>507</v>
      </c>
      <c r="I6669" s="951" t="s">
        <v>11019</v>
      </c>
      <c r="J6669" s="947" t="s">
        <v>11020</v>
      </c>
      <c r="K6669" s="143"/>
    </row>
    <row r="6670" spans="1:11">
      <c r="A6670" s="946" t="s">
        <v>28617</v>
      </c>
      <c r="B6670" s="947" t="s">
        <v>11467</v>
      </c>
      <c r="C6670" s="948" t="s">
        <v>11465</v>
      </c>
      <c r="D6670" s="242" t="s">
        <v>28736</v>
      </c>
      <c r="E6670" s="949">
        <v>1903</v>
      </c>
      <c r="F6670" s="949">
        <v>1903</v>
      </c>
      <c r="G6670" s="950" t="s">
        <v>11674</v>
      </c>
      <c r="H6670" s="950" t="s">
        <v>507</v>
      </c>
      <c r="I6670" s="951" t="s">
        <v>11466</v>
      </c>
      <c r="J6670" s="947" t="s">
        <v>11467</v>
      </c>
      <c r="K6670" s="143"/>
    </row>
    <row r="6671" spans="1:11">
      <c r="A6671" s="946" t="s">
        <v>28617</v>
      </c>
      <c r="B6671" s="947" t="s">
        <v>11645</v>
      </c>
      <c r="C6671" s="948" t="s">
        <v>11643</v>
      </c>
      <c r="D6671" s="242" t="s">
        <v>28736</v>
      </c>
      <c r="E6671" s="949">
        <v>1903</v>
      </c>
      <c r="F6671" s="949">
        <v>1903</v>
      </c>
      <c r="G6671" s="950" t="s">
        <v>11674</v>
      </c>
      <c r="H6671" s="950" t="s">
        <v>507</v>
      </c>
      <c r="I6671" s="951" t="s">
        <v>11644</v>
      </c>
      <c r="J6671" s="947" t="s">
        <v>11645</v>
      </c>
      <c r="K6671" s="143"/>
    </row>
    <row r="6672" spans="1:11">
      <c r="A6672" s="946" t="s">
        <v>28617</v>
      </c>
      <c r="B6672" s="947" t="s">
        <v>11674</v>
      </c>
      <c r="C6672" s="948" t="s">
        <v>11672</v>
      </c>
      <c r="D6672" s="242" t="s">
        <v>28736</v>
      </c>
      <c r="E6672" s="949">
        <v>1903</v>
      </c>
      <c r="F6672" s="949">
        <v>1903</v>
      </c>
      <c r="G6672" s="950" t="s">
        <v>11674</v>
      </c>
      <c r="H6672" s="950" t="s">
        <v>507</v>
      </c>
      <c r="I6672" s="951" t="s">
        <v>11673</v>
      </c>
      <c r="J6672" s="947" t="s">
        <v>11674</v>
      </c>
      <c r="K6672" s="143"/>
    </row>
    <row r="6673" spans="1:11">
      <c r="A6673" s="946" t="s">
        <v>28617</v>
      </c>
      <c r="B6673" s="947" t="s">
        <v>11761</v>
      </c>
      <c r="C6673" s="948" t="s">
        <v>11759</v>
      </c>
      <c r="D6673" s="242" t="s">
        <v>28736</v>
      </c>
      <c r="E6673" s="949">
        <v>1903</v>
      </c>
      <c r="F6673" s="949">
        <v>1903</v>
      </c>
      <c r="G6673" s="950" t="s">
        <v>11674</v>
      </c>
      <c r="H6673" s="950" t="s">
        <v>507</v>
      </c>
      <c r="I6673" s="951" t="s">
        <v>11760</v>
      </c>
      <c r="J6673" s="947" t="s">
        <v>11761</v>
      </c>
      <c r="K6673" s="143"/>
    </row>
    <row r="6674" spans="1:11">
      <c r="A6674" s="946" t="s">
        <v>28617</v>
      </c>
      <c r="B6674" s="947" t="s">
        <v>11774</v>
      </c>
      <c r="C6674" s="948" t="s">
        <v>11772</v>
      </c>
      <c r="D6674" s="242" t="s">
        <v>28736</v>
      </c>
      <c r="E6674" s="949">
        <v>1903</v>
      </c>
      <c r="F6674" s="949">
        <v>1903</v>
      </c>
      <c r="G6674" s="950" t="s">
        <v>11674</v>
      </c>
      <c r="H6674" s="950" t="s">
        <v>507</v>
      </c>
      <c r="I6674" s="951" t="s">
        <v>11773</v>
      </c>
      <c r="J6674" s="947" t="s">
        <v>11774</v>
      </c>
      <c r="K6674" s="143"/>
    </row>
    <row r="6675" spans="1:11">
      <c r="A6675" s="946" t="s">
        <v>28617</v>
      </c>
      <c r="B6675" s="947" t="s">
        <v>11839</v>
      </c>
      <c r="C6675" s="948" t="s">
        <v>11837</v>
      </c>
      <c r="D6675" s="242" t="s">
        <v>28736</v>
      </c>
      <c r="E6675" s="949">
        <v>1903</v>
      </c>
      <c r="F6675" s="949">
        <v>1903</v>
      </c>
      <c r="G6675" s="950" t="s">
        <v>11674</v>
      </c>
      <c r="H6675" s="950" t="s">
        <v>507</v>
      </c>
      <c r="I6675" s="951" t="s">
        <v>11838</v>
      </c>
      <c r="J6675" s="947" t="s">
        <v>11839</v>
      </c>
      <c r="K6675" s="143"/>
    </row>
    <row r="6676" spans="1:11">
      <c r="A6676" s="946" t="s">
        <v>28617</v>
      </c>
      <c r="B6676" s="947" t="s">
        <v>11862</v>
      </c>
      <c r="C6676" s="948" t="s">
        <v>11860</v>
      </c>
      <c r="D6676" s="242" t="s">
        <v>28736</v>
      </c>
      <c r="E6676" s="949">
        <v>1903</v>
      </c>
      <c r="F6676" s="949">
        <v>1903</v>
      </c>
      <c r="G6676" s="950" t="s">
        <v>11674</v>
      </c>
      <c r="H6676" s="950" t="s">
        <v>507</v>
      </c>
      <c r="I6676" s="951" t="s">
        <v>11861</v>
      </c>
      <c r="J6676" s="947" t="s">
        <v>11862</v>
      </c>
      <c r="K6676" s="143"/>
    </row>
    <row r="6677" spans="1:11">
      <c r="A6677" s="946" t="s">
        <v>28617</v>
      </c>
      <c r="B6677" s="947" t="s">
        <v>11913</v>
      </c>
      <c r="C6677" s="948" t="s">
        <v>11911</v>
      </c>
      <c r="D6677" s="242" t="s">
        <v>28736</v>
      </c>
      <c r="E6677" s="949">
        <v>1903</v>
      </c>
      <c r="F6677" s="949">
        <v>1903</v>
      </c>
      <c r="G6677" s="950" t="s">
        <v>11674</v>
      </c>
      <c r="H6677" s="950" t="s">
        <v>507</v>
      </c>
      <c r="I6677" s="951" t="s">
        <v>11912</v>
      </c>
      <c r="J6677" s="947" t="s">
        <v>11913</v>
      </c>
      <c r="K6677" s="143"/>
    </row>
    <row r="6678" spans="1:11">
      <c r="A6678" s="946" t="s">
        <v>28617</v>
      </c>
      <c r="B6678" s="947" t="s">
        <v>12091</v>
      </c>
      <c r="C6678" s="948" t="s">
        <v>12089</v>
      </c>
      <c r="D6678" s="242" t="s">
        <v>28736</v>
      </c>
      <c r="E6678" s="949">
        <v>1903</v>
      </c>
      <c r="F6678" s="949">
        <v>1903</v>
      </c>
      <c r="G6678" s="950" t="s">
        <v>11674</v>
      </c>
      <c r="H6678" s="950" t="s">
        <v>507</v>
      </c>
      <c r="I6678" s="951" t="s">
        <v>12090</v>
      </c>
      <c r="J6678" s="947" t="s">
        <v>12091</v>
      </c>
      <c r="K6678" s="143"/>
    </row>
    <row r="6679" spans="1:11">
      <c r="A6679" s="946" t="s">
        <v>28617</v>
      </c>
      <c r="B6679" s="947" t="s">
        <v>12108</v>
      </c>
      <c r="C6679" s="948" t="s">
        <v>12106</v>
      </c>
      <c r="D6679" s="242" t="s">
        <v>28736</v>
      </c>
      <c r="E6679" s="949">
        <v>1903</v>
      </c>
      <c r="F6679" s="949">
        <v>1903</v>
      </c>
      <c r="G6679" s="950" t="s">
        <v>11674</v>
      </c>
      <c r="H6679" s="950" t="s">
        <v>507</v>
      </c>
      <c r="I6679" s="951" t="s">
        <v>12107</v>
      </c>
      <c r="J6679" s="947" t="s">
        <v>12108</v>
      </c>
      <c r="K6679" s="143"/>
    </row>
    <row r="6680" spans="1:11">
      <c r="A6680" s="946" t="s">
        <v>28617</v>
      </c>
      <c r="B6680" s="947" t="s">
        <v>12177</v>
      </c>
      <c r="C6680" s="948" t="s">
        <v>12175</v>
      </c>
      <c r="D6680" s="242" t="s">
        <v>28736</v>
      </c>
      <c r="E6680" s="949">
        <v>1903</v>
      </c>
      <c r="F6680" s="949">
        <v>1903</v>
      </c>
      <c r="G6680" s="950" t="s">
        <v>11674</v>
      </c>
      <c r="H6680" s="950" t="s">
        <v>507</v>
      </c>
      <c r="I6680" s="951" t="s">
        <v>12176</v>
      </c>
      <c r="J6680" s="947" t="s">
        <v>12177</v>
      </c>
      <c r="K6680" s="143"/>
    </row>
    <row r="6681" spans="1:11">
      <c r="A6681" s="946" t="s">
        <v>28617</v>
      </c>
      <c r="B6681" s="947" t="s">
        <v>12186</v>
      </c>
      <c r="C6681" s="948" t="s">
        <v>12184</v>
      </c>
      <c r="D6681" s="242" t="s">
        <v>28736</v>
      </c>
      <c r="E6681" s="949">
        <v>1903</v>
      </c>
      <c r="F6681" s="949">
        <v>1903</v>
      </c>
      <c r="G6681" s="950" t="s">
        <v>11674</v>
      </c>
      <c r="H6681" s="950" t="s">
        <v>507</v>
      </c>
      <c r="I6681" s="951" t="s">
        <v>12185</v>
      </c>
      <c r="J6681" s="947" t="s">
        <v>12186</v>
      </c>
      <c r="K6681" s="143"/>
    </row>
    <row r="6682" spans="1:11">
      <c r="A6682" s="946" t="s">
        <v>28617</v>
      </c>
      <c r="B6682" s="947" t="s">
        <v>13029</v>
      </c>
      <c r="C6682" s="948" t="s">
        <v>13027</v>
      </c>
      <c r="D6682" s="242" t="s">
        <v>28736</v>
      </c>
      <c r="E6682" s="949">
        <v>1903</v>
      </c>
      <c r="F6682" s="949">
        <v>1903</v>
      </c>
      <c r="G6682" s="950" t="s">
        <v>11674</v>
      </c>
      <c r="H6682" s="950" t="s">
        <v>507</v>
      </c>
      <c r="I6682" s="951" t="s">
        <v>13028</v>
      </c>
      <c r="J6682" s="947" t="s">
        <v>13029</v>
      </c>
      <c r="K6682" s="143"/>
    </row>
    <row r="6683" spans="1:11">
      <c r="A6683" s="946" t="s">
        <v>28617</v>
      </c>
      <c r="B6683" s="947" t="s">
        <v>13032</v>
      </c>
      <c r="C6683" s="948" t="s">
        <v>13030</v>
      </c>
      <c r="D6683" s="242" t="s">
        <v>28736</v>
      </c>
      <c r="E6683" s="949">
        <v>1903</v>
      </c>
      <c r="F6683" s="949">
        <v>1903</v>
      </c>
      <c r="G6683" s="950" t="s">
        <v>11674</v>
      </c>
      <c r="H6683" s="950" t="s">
        <v>507</v>
      </c>
      <c r="I6683" s="951" t="s">
        <v>13031</v>
      </c>
      <c r="J6683" s="947" t="s">
        <v>13032</v>
      </c>
      <c r="K6683" s="143"/>
    </row>
    <row r="6684" spans="1:11">
      <c r="A6684" s="946" t="s">
        <v>28617</v>
      </c>
      <c r="B6684" s="947" t="s">
        <v>13177</v>
      </c>
      <c r="C6684" s="948" t="s">
        <v>13175</v>
      </c>
      <c r="D6684" s="242" t="s">
        <v>28736</v>
      </c>
      <c r="E6684" s="949">
        <v>1903</v>
      </c>
      <c r="F6684" s="949">
        <v>1903</v>
      </c>
      <c r="G6684" s="950" t="s">
        <v>11674</v>
      </c>
      <c r="H6684" s="950" t="s">
        <v>507</v>
      </c>
      <c r="I6684" s="951" t="s">
        <v>13176</v>
      </c>
      <c r="J6684" s="947" t="s">
        <v>13177</v>
      </c>
      <c r="K6684" s="143"/>
    </row>
    <row r="6685" spans="1:11">
      <c r="A6685" s="946" t="s">
        <v>28617</v>
      </c>
      <c r="B6685" s="947" t="s">
        <v>13289</v>
      </c>
      <c r="C6685" s="948" t="s">
        <v>13287</v>
      </c>
      <c r="D6685" s="242" t="s">
        <v>28736</v>
      </c>
      <c r="E6685" s="949">
        <v>1903</v>
      </c>
      <c r="F6685" s="949">
        <v>1903</v>
      </c>
      <c r="G6685" s="950" t="s">
        <v>11674</v>
      </c>
      <c r="H6685" s="950" t="s">
        <v>507</v>
      </c>
      <c r="I6685" s="951" t="s">
        <v>13288</v>
      </c>
      <c r="J6685" s="947" t="s">
        <v>13289</v>
      </c>
      <c r="K6685" s="143"/>
    </row>
    <row r="6686" spans="1:11">
      <c r="A6686" s="946" t="s">
        <v>28617</v>
      </c>
      <c r="B6686" s="947" t="s">
        <v>13406</v>
      </c>
      <c r="C6686" s="948" t="s">
        <v>13404</v>
      </c>
      <c r="D6686" s="242" t="s">
        <v>28736</v>
      </c>
      <c r="E6686" s="949">
        <v>1903</v>
      </c>
      <c r="F6686" s="949">
        <v>1903</v>
      </c>
      <c r="G6686" s="950" t="s">
        <v>11674</v>
      </c>
      <c r="H6686" s="950" t="s">
        <v>507</v>
      </c>
      <c r="I6686" s="951" t="s">
        <v>13405</v>
      </c>
      <c r="J6686" s="947" t="s">
        <v>13406</v>
      </c>
      <c r="K6686" s="143"/>
    </row>
    <row r="6687" spans="1:11">
      <c r="A6687" s="946" t="s">
        <v>28617</v>
      </c>
      <c r="B6687" s="947" t="s">
        <v>13586</v>
      </c>
      <c r="C6687" s="948" t="s">
        <v>13584</v>
      </c>
      <c r="D6687" s="242" t="s">
        <v>28736</v>
      </c>
      <c r="E6687" s="949">
        <v>1903</v>
      </c>
      <c r="F6687" s="949">
        <v>1903</v>
      </c>
      <c r="G6687" s="950" t="s">
        <v>11674</v>
      </c>
      <c r="H6687" s="950" t="s">
        <v>507</v>
      </c>
      <c r="I6687" s="951" t="s">
        <v>13585</v>
      </c>
      <c r="J6687" s="947" t="s">
        <v>13586</v>
      </c>
      <c r="K6687" s="143"/>
    </row>
    <row r="6688" spans="1:11">
      <c r="A6688" s="946" t="s">
        <v>28617</v>
      </c>
      <c r="B6688" s="947" t="s">
        <v>13972</v>
      </c>
      <c r="C6688" s="948" t="s">
        <v>13970</v>
      </c>
      <c r="D6688" s="242" t="s">
        <v>28736</v>
      </c>
      <c r="E6688" s="949">
        <v>1903</v>
      </c>
      <c r="F6688" s="949">
        <v>1903</v>
      </c>
      <c r="G6688" s="950" t="s">
        <v>11674</v>
      </c>
      <c r="H6688" s="950" t="s">
        <v>507</v>
      </c>
      <c r="I6688" s="951" t="s">
        <v>13971</v>
      </c>
      <c r="J6688" s="947" t="s">
        <v>13972</v>
      </c>
      <c r="K6688" s="143"/>
    </row>
    <row r="6689" spans="1:11">
      <c r="A6689" s="946" t="s">
        <v>28617</v>
      </c>
      <c r="B6689" s="947" t="s">
        <v>14032</v>
      </c>
      <c r="C6689" s="948" t="s">
        <v>14030</v>
      </c>
      <c r="D6689" s="242" t="s">
        <v>28736</v>
      </c>
      <c r="E6689" s="949">
        <v>1903</v>
      </c>
      <c r="F6689" s="949">
        <v>1903</v>
      </c>
      <c r="G6689" s="950" t="s">
        <v>11674</v>
      </c>
      <c r="H6689" s="950" t="s">
        <v>507</v>
      </c>
      <c r="I6689" s="951" t="s">
        <v>14031</v>
      </c>
      <c r="J6689" s="947" t="s">
        <v>14032</v>
      </c>
      <c r="K6689" s="143"/>
    </row>
    <row r="6690" spans="1:11">
      <c r="A6690" s="946" t="s">
        <v>28617</v>
      </c>
      <c r="B6690" s="947" t="s">
        <v>14344</v>
      </c>
      <c r="C6690" s="948" t="s">
        <v>14342</v>
      </c>
      <c r="D6690" s="242" t="s">
        <v>28736</v>
      </c>
      <c r="E6690" s="949">
        <v>1903</v>
      </c>
      <c r="F6690" s="949">
        <v>1903</v>
      </c>
      <c r="G6690" s="950" t="s">
        <v>11674</v>
      </c>
      <c r="H6690" s="950" t="s">
        <v>507</v>
      </c>
      <c r="I6690" s="951" t="s">
        <v>14343</v>
      </c>
      <c r="J6690" s="947" t="s">
        <v>14344</v>
      </c>
      <c r="K6690" s="143"/>
    </row>
    <row r="6691" spans="1:11">
      <c r="A6691" s="946" t="s">
        <v>28617</v>
      </c>
      <c r="B6691" s="947" t="s">
        <v>14671</v>
      </c>
      <c r="C6691" s="948" t="s">
        <v>14669</v>
      </c>
      <c r="D6691" s="242" t="s">
        <v>28736</v>
      </c>
      <c r="E6691" s="949">
        <v>1903</v>
      </c>
      <c r="F6691" s="949">
        <v>1903</v>
      </c>
      <c r="G6691" s="950" t="s">
        <v>11674</v>
      </c>
      <c r="H6691" s="950" t="s">
        <v>507</v>
      </c>
      <c r="I6691" s="951" t="s">
        <v>14670</v>
      </c>
      <c r="J6691" s="947" t="s">
        <v>14671</v>
      </c>
      <c r="K6691" s="143"/>
    </row>
    <row r="6692" spans="1:11">
      <c r="A6692" s="946" t="s">
        <v>28617</v>
      </c>
      <c r="B6692" s="947" t="s">
        <v>15069</v>
      </c>
      <c r="C6692" s="948" t="s">
        <v>15067</v>
      </c>
      <c r="D6692" s="242" t="s">
        <v>28736</v>
      </c>
      <c r="E6692" s="949">
        <v>1903</v>
      </c>
      <c r="F6692" s="949">
        <v>1903</v>
      </c>
      <c r="G6692" s="950" t="s">
        <v>11674</v>
      </c>
      <c r="H6692" s="950" t="s">
        <v>507</v>
      </c>
      <c r="I6692" s="951" t="s">
        <v>15068</v>
      </c>
      <c r="J6692" s="947" t="s">
        <v>15069</v>
      </c>
      <c r="K6692" s="143"/>
    </row>
    <row r="6693" spans="1:11">
      <c r="A6693" s="946" t="s">
        <v>28617</v>
      </c>
      <c r="B6693" s="947" t="s">
        <v>16037</v>
      </c>
      <c r="C6693" s="948" t="s">
        <v>16035</v>
      </c>
      <c r="D6693" s="242" t="s">
        <v>28736</v>
      </c>
      <c r="E6693" s="949">
        <v>1903</v>
      </c>
      <c r="F6693" s="949">
        <v>1903</v>
      </c>
      <c r="G6693" s="950" t="s">
        <v>11674</v>
      </c>
      <c r="H6693" s="950" t="s">
        <v>507</v>
      </c>
      <c r="I6693" s="951" t="s">
        <v>16036</v>
      </c>
      <c r="J6693" s="947" t="s">
        <v>16037</v>
      </c>
      <c r="K6693" s="143"/>
    </row>
    <row r="6694" spans="1:11">
      <c r="A6694" s="946" t="s">
        <v>28617</v>
      </c>
      <c r="B6694" s="947" t="s">
        <v>16193</v>
      </c>
      <c r="C6694" s="948" t="s">
        <v>16191</v>
      </c>
      <c r="D6694" s="242" t="s">
        <v>28736</v>
      </c>
      <c r="E6694" s="949">
        <v>1903</v>
      </c>
      <c r="F6694" s="949">
        <v>1903</v>
      </c>
      <c r="G6694" s="950" t="s">
        <v>11674</v>
      </c>
      <c r="H6694" s="950" t="s">
        <v>507</v>
      </c>
      <c r="I6694" s="951" t="s">
        <v>16192</v>
      </c>
      <c r="J6694" s="947" t="s">
        <v>16193</v>
      </c>
      <c r="K6694" s="143"/>
    </row>
    <row r="6695" spans="1:11">
      <c r="A6695" s="946" t="s">
        <v>28617</v>
      </c>
      <c r="B6695" s="947" t="s">
        <v>16601</v>
      </c>
      <c r="C6695" s="948" t="s">
        <v>16599</v>
      </c>
      <c r="D6695" s="242" t="s">
        <v>28736</v>
      </c>
      <c r="E6695" s="949">
        <v>1903</v>
      </c>
      <c r="F6695" s="949">
        <v>1903</v>
      </c>
      <c r="G6695" s="950" t="s">
        <v>11674</v>
      </c>
      <c r="H6695" s="950" t="s">
        <v>507</v>
      </c>
      <c r="I6695" s="951" t="s">
        <v>16600</v>
      </c>
      <c r="J6695" s="947" t="s">
        <v>16601</v>
      </c>
      <c r="K6695" s="143"/>
    </row>
    <row r="6696" spans="1:11">
      <c r="A6696" s="946" t="s">
        <v>28617</v>
      </c>
      <c r="B6696" s="947" t="s">
        <v>16634</v>
      </c>
      <c r="C6696" s="948" t="s">
        <v>16632</v>
      </c>
      <c r="D6696" s="242" t="s">
        <v>28736</v>
      </c>
      <c r="E6696" s="949">
        <v>1903</v>
      </c>
      <c r="F6696" s="949">
        <v>1903</v>
      </c>
      <c r="G6696" s="950" t="s">
        <v>11674</v>
      </c>
      <c r="H6696" s="950" t="s">
        <v>507</v>
      </c>
      <c r="I6696" s="951" t="s">
        <v>16633</v>
      </c>
      <c r="J6696" s="947" t="s">
        <v>16634</v>
      </c>
      <c r="K6696" s="143"/>
    </row>
    <row r="6697" spans="1:11">
      <c r="A6697" s="946" t="s">
        <v>28617</v>
      </c>
      <c r="B6697" s="947" t="s">
        <v>16694</v>
      </c>
      <c r="C6697" s="948" t="s">
        <v>16692</v>
      </c>
      <c r="D6697" s="242" t="s">
        <v>28736</v>
      </c>
      <c r="E6697" s="949">
        <v>1903</v>
      </c>
      <c r="F6697" s="949">
        <v>1903</v>
      </c>
      <c r="G6697" s="950" t="s">
        <v>11674</v>
      </c>
      <c r="H6697" s="950" t="s">
        <v>507</v>
      </c>
      <c r="I6697" s="951" t="s">
        <v>16693</v>
      </c>
      <c r="J6697" s="947" t="s">
        <v>16694</v>
      </c>
      <c r="K6697" s="143"/>
    </row>
    <row r="6698" spans="1:11">
      <c r="A6698" s="946" t="s">
        <v>28617</v>
      </c>
      <c r="B6698" s="947" t="s">
        <v>16712</v>
      </c>
      <c r="C6698" s="948" t="s">
        <v>16710</v>
      </c>
      <c r="D6698" s="242" t="s">
        <v>28736</v>
      </c>
      <c r="E6698" s="949">
        <v>1903</v>
      </c>
      <c r="F6698" s="949">
        <v>1903</v>
      </c>
      <c r="G6698" s="950" t="s">
        <v>11674</v>
      </c>
      <c r="H6698" s="950" t="s">
        <v>507</v>
      </c>
      <c r="I6698" s="951" t="s">
        <v>16711</v>
      </c>
      <c r="J6698" s="947" t="s">
        <v>16712</v>
      </c>
      <c r="K6698" s="143"/>
    </row>
    <row r="6699" spans="1:11">
      <c r="A6699" s="946" t="s">
        <v>28617</v>
      </c>
      <c r="B6699" s="947" t="s">
        <v>16764</v>
      </c>
      <c r="C6699" s="948" t="s">
        <v>16762</v>
      </c>
      <c r="D6699" s="242" t="s">
        <v>28736</v>
      </c>
      <c r="E6699" s="949">
        <v>1903</v>
      </c>
      <c r="F6699" s="949">
        <v>1903</v>
      </c>
      <c r="G6699" s="950" t="s">
        <v>11674</v>
      </c>
      <c r="H6699" s="950" t="s">
        <v>507</v>
      </c>
      <c r="I6699" s="951" t="s">
        <v>16763</v>
      </c>
      <c r="J6699" s="947" t="s">
        <v>16764</v>
      </c>
      <c r="K6699" s="143"/>
    </row>
    <row r="6700" spans="1:11">
      <c r="A6700" s="946" t="s">
        <v>28617</v>
      </c>
      <c r="B6700" s="947" t="s">
        <v>16849</v>
      </c>
      <c r="C6700" s="948" t="s">
        <v>16847</v>
      </c>
      <c r="D6700" s="242" t="s">
        <v>28736</v>
      </c>
      <c r="E6700" s="949">
        <v>1903</v>
      </c>
      <c r="F6700" s="949">
        <v>1903</v>
      </c>
      <c r="G6700" s="950" t="s">
        <v>11674</v>
      </c>
      <c r="H6700" s="950" t="s">
        <v>507</v>
      </c>
      <c r="I6700" s="951" t="s">
        <v>16848</v>
      </c>
      <c r="J6700" s="947" t="s">
        <v>16849</v>
      </c>
      <c r="K6700" s="143"/>
    </row>
    <row r="6701" spans="1:11">
      <c r="A6701" s="946" t="s">
        <v>28617</v>
      </c>
      <c r="B6701" s="947" t="s">
        <v>17576</v>
      </c>
      <c r="C6701" s="948" t="s">
        <v>17574</v>
      </c>
      <c r="D6701" s="242" t="s">
        <v>28736</v>
      </c>
      <c r="E6701" s="949">
        <v>1903</v>
      </c>
      <c r="F6701" s="949">
        <v>1903</v>
      </c>
      <c r="G6701" s="950" t="s">
        <v>11674</v>
      </c>
      <c r="H6701" s="950" t="s">
        <v>507</v>
      </c>
      <c r="I6701" s="951" t="s">
        <v>17575</v>
      </c>
      <c r="J6701" s="947" t="s">
        <v>17576</v>
      </c>
      <c r="K6701" s="143"/>
    </row>
    <row r="6702" spans="1:11">
      <c r="A6702" s="946" t="s">
        <v>28617</v>
      </c>
      <c r="B6702" s="947" t="s">
        <v>17594</v>
      </c>
      <c r="C6702" s="948" t="s">
        <v>17592</v>
      </c>
      <c r="D6702" s="242" t="s">
        <v>28736</v>
      </c>
      <c r="E6702" s="949">
        <v>1903</v>
      </c>
      <c r="F6702" s="949">
        <v>1903</v>
      </c>
      <c r="G6702" s="950" t="s">
        <v>11674</v>
      </c>
      <c r="H6702" s="950" t="s">
        <v>507</v>
      </c>
      <c r="I6702" s="951" t="s">
        <v>17593</v>
      </c>
      <c r="J6702" s="947" t="s">
        <v>17594</v>
      </c>
      <c r="K6702" s="143"/>
    </row>
    <row r="6703" spans="1:11">
      <c r="A6703" s="946" t="s">
        <v>28617</v>
      </c>
      <c r="B6703" s="947" t="s">
        <v>17865</v>
      </c>
      <c r="C6703" s="948" t="s">
        <v>17863</v>
      </c>
      <c r="D6703" s="242" t="s">
        <v>28736</v>
      </c>
      <c r="E6703" s="949">
        <v>1903</v>
      </c>
      <c r="F6703" s="949">
        <v>1903</v>
      </c>
      <c r="G6703" s="950" t="s">
        <v>11674</v>
      </c>
      <c r="H6703" s="950" t="s">
        <v>507</v>
      </c>
      <c r="I6703" s="951" t="s">
        <v>17864</v>
      </c>
      <c r="J6703" s="947" t="s">
        <v>17865</v>
      </c>
      <c r="K6703" s="143"/>
    </row>
    <row r="6704" spans="1:11">
      <c r="A6704" s="946" t="s">
        <v>28617</v>
      </c>
      <c r="B6704" s="947" t="s">
        <v>18060</v>
      </c>
      <c r="C6704" s="948" t="s">
        <v>18058</v>
      </c>
      <c r="D6704" s="242" t="s">
        <v>28736</v>
      </c>
      <c r="E6704" s="949">
        <v>1903</v>
      </c>
      <c r="F6704" s="949">
        <v>1903</v>
      </c>
      <c r="G6704" s="950" t="s">
        <v>11674</v>
      </c>
      <c r="H6704" s="950" t="s">
        <v>507</v>
      </c>
      <c r="I6704" s="951" t="s">
        <v>18059</v>
      </c>
      <c r="J6704" s="947" t="s">
        <v>18060</v>
      </c>
      <c r="K6704" s="143"/>
    </row>
    <row r="6705" spans="1:11">
      <c r="A6705" s="946" t="s">
        <v>28617</v>
      </c>
      <c r="B6705" s="947" t="s">
        <v>18063</v>
      </c>
      <c r="C6705" s="948" t="s">
        <v>18061</v>
      </c>
      <c r="D6705" s="242" t="s">
        <v>28736</v>
      </c>
      <c r="E6705" s="949">
        <v>1903</v>
      </c>
      <c r="F6705" s="949">
        <v>1903</v>
      </c>
      <c r="G6705" s="950" t="s">
        <v>11674</v>
      </c>
      <c r="H6705" s="950" t="s">
        <v>507</v>
      </c>
      <c r="I6705" s="951" t="s">
        <v>18062</v>
      </c>
      <c r="J6705" s="947" t="s">
        <v>18063</v>
      </c>
      <c r="K6705" s="143"/>
    </row>
    <row r="6706" spans="1:11">
      <c r="A6706" s="946" t="s">
        <v>28617</v>
      </c>
      <c r="B6706" s="947" t="s">
        <v>18192</v>
      </c>
      <c r="C6706" s="948" t="s">
        <v>18190</v>
      </c>
      <c r="D6706" s="242" t="s">
        <v>28736</v>
      </c>
      <c r="E6706" s="949">
        <v>1903</v>
      </c>
      <c r="F6706" s="949">
        <v>1903</v>
      </c>
      <c r="G6706" s="950" t="s">
        <v>11674</v>
      </c>
      <c r="H6706" s="950" t="s">
        <v>507</v>
      </c>
      <c r="I6706" s="951" t="s">
        <v>18191</v>
      </c>
      <c r="J6706" s="947" t="s">
        <v>18192</v>
      </c>
      <c r="K6706" s="143"/>
    </row>
    <row r="6707" spans="1:11">
      <c r="A6707" s="946" t="s">
        <v>28617</v>
      </c>
      <c r="B6707" s="947" t="s">
        <v>18412</v>
      </c>
      <c r="C6707" s="948" t="s">
        <v>18410</v>
      </c>
      <c r="D6707" s="242" t="s">
        <v>28736</v>
      </c>
      <c r="E6707" s="949">
        <v>1903</v>
      </c>
      <c r="F6707" s="949">
        <v>1903</v>
      </c>
      <c r="G6707" s="950" t="s">
        <v>11674</v>
      </c>
      <c r="H6707" s="950" t="s">
        <v>507</v>
      </c>
      <c r="I6707" s="951" t="s">
        <v>18411</v>
      </c>
      <c r="J6707" s="947" t="s">
        <v>18412</v>
      </c>
      <c r="K6707" s="143"/>
    </row>
    <row r="6708" spans="1:11">
      <c r="A6708" s="946" t="s">
        <v>28617</v>
      </c>
      <c r="B6708" s="947" t="s">
        <v>18553</v>
      </c>
      <c r="C6708" s="948" t="s">
        <v>18551</v>
      </c>
      <c r="D6708" s="242" t="s">
        <v>28736</v>
      </c>
      <c r="E6708" s="949">
        <v>1903</v>
      </c>
      <c r="F6708" s="949">
        <v>1903</v>
      </c>
      <c r="G6708" s="950" t="s">
        <v>11674</v>
      </c>
      <c r="H6708" s="950" t="s">
        <v>507</v>
      </c>
      <c r="I6708" s="951" t="s">
        <v>18552</v>
      </c>
      <c r="J6708" s="947" t="s">
        <v>18553</v>
      </c>
      <c r="K6708" s="143"/>
    </row>
    <row r="6709" spans="1:11">
      <c r="A6709" s="946" t="s">
        <v>28617</v>
      </c>
      <c r="B6709" s="947" t="s">
        <v>18582</v>
      </c>
      <c r="C6709" s="948" t="s">
        <v>18580</v>
      </c>
      <c r="D6709" s="242" t="s">
        <v>28736</v>
      </c>
      <c r="E6709" s="949">
        <v>1903</v>
      </c>
      <c r="F6709" s="949">
        <v>1903</v>
      </c>
      <c r="G6709" s="950" t="s">
        <v>11674</v>
      </c>
      <c r="H6709" s="950" t="s">
        <v>507</v>
      </c>
      <c r="I6709" s="951" t="s">
        <v>18581</v>
      </c>
      <c r="J6709" s="947" t="s">
        <v>18582</v>
      </c>
      <c r="K6709" s="143"/>
    </row>
    <row r="6710" spans="1:11">
      <c r="A6710" s="946" t="s">
        <v>28617</v>
      </c>
      <c r="B6710" s="947" t="s">
        <v>18438</v>
      </c>
      <c r="C6710" s="948" t="s">
        <v>18436</v>
      </c>
      <c r="D6710" s="242" t="s">
        <v>28736</v>
      </c>
      <c r="E6710" s="949">
        <v>1903</v>
      </c>
      <c r="F6710" s="949">
        <v>1903</v>
      </c>
      <c r="G6710" s="950" t="s">
        <v>11674</v>
      </c>
      <c r="H6710" s="950" t="s">
        <v>507</v>
      </c>
      <c r="I6710" s="951" t="s">
        <v>18437</v>
      </c>
      <c r="J6710" s="947" t="s">
        <v>18438</v>
      </c>
      <c r="K6710" s="143"/>
    </row>
    <row r="6711" spans="1:11">
      <c r="A6711" s="946" t="s">
        <v>28617</v>
      </c>
      <c r="B6711" s="947" t="s">
        <v>18505</v>
      </c>
      <c r="C6711" s="948" t="s">
        <v>18503</v>
      </c>
      <c r="D6711" s="242" t="s">
        <v>28736</v>
      </c>
      <c r="E6711" s="949">
        <v>1903</v>
      </c>
      <c r="F6711" s="949">
        <v>1903</v>
      </c>
      <c r="G6711" s="950" t="s">
        <v>11674</v>
      </c>
      <c r="H6711" s="950" t="s">
        <v>507</v>
      </c>
      <c r="I6711" s="951" t="s">
        <v>18504</v>
      </c>
      <c r="J6711" s="947" t="s">
        <v>18505</v>
      </c>
      <c r="K6711" s="143"/>
    </row>
    <row r="6712" spans="1:11">
      <c r="A6712" s="946" t="s">
        <v>28617</v>
      </c>
      <c r="B6712" s="947" t="s">
        <v>18634</v>
      </c>
      <c r="C6712" s="948" t="s">
        <v>18632</v>
      </c>
      <c r="D6712" s="242" t="s">
        <v>28736</v>
      </c>
      <c r="E6712" s="949">
        <v>1903</v>
      </c>
      <c r="F6712" s="949">
        <v>1903</v>
      </c>
      <c r="G6712" s="950" t="s">
        <v>11674</v>
      </c>
      <c r="H6712" s="950" t="s">
        <v>507</v>
      </c>
      <c r="I6712" s="951" t="s">
        <v>18633</v>
      </c>
      <c r="J6712" s="947" t="s">
        <v>18634</v>
      </c>
      <c r="K6712" s="143"/>
    </row>
    <row r="6713" spans="1:11">
      <c r="A6713" s="946" t="s">
        <v>28617</v>
      </c>
      <c r="B6713" s="947" t="s">
        <v>18525</v>
      </c>
      <c r="C6713" s="948" t="s">
        <v>18523</v>
      </c>
      <c r="D6713" s="242" t="s">
        <v>28736</v>
      </c>
      <c r="E6713" s="949">
        <v>1903</v>
      </c>
      <c r="F6713" s="949">
        <v>1903</v>
      </c>
      <c r="G6713" s="950" t="s">
        <v>11674</v>
      </c>
      <c r="H6713" s="950" t="s">
        <v>507</v>
      </c>
      <c r="I6713" s="951" t="s">
        <v>18524</v>
      </c>
      <c r="J6713" s="947" t="s">
        <v>18525</v>
      </c>
      <c r="K6713" s="143"/>
    </row>
    <row r="6714" spans="1:11">
      <c r="A6714" s="946" t="s">
        <v>28617</v>
      </c>
      <c r="B6714" s="947" t="s">
        <v>18245</v>
      </c>
      <c r="C6714" s="948" t="s">
        <v>18243</v>
      </c>
      <c r="D6714" s="242" t="s">
        <v>28736</v>
      </c>
      <c r="E6714" s="949">
        <v>1903</v>
      </c>
      <c r="F6714" s="949">
        <v>1903</v>
      </c>
      <c r="G6714" s="950" t="s">
        <v>11674</v>
      </c>
      <c r="H6714" s="950" t="s">
        <v>507</v>
      </c>
      <c r="I6714" s="951" t="s">
        <v>18244</v>
      </c>
      <c r="J6714" s="947" t="s">
        <v>18245</v>
      </c>
      <c r="K6714" s="143"/>
    </row>
    <row r="6715" spans="1:11">
      <c r="A6715" s="946" t="s">
        <v>28617</v>
      </c>
      <c r="B6715" s="947" t="s">
        <v>18768</v>
      </c>
      <c r="C6715" s="948" t="s">
        <v>18766</v>
      </c>
      <c r="D6715" s="242" t="s">
        <v>28736</v>
      </c>
      <c r="E6715" s="949">
        <v>1903</v>
      </c>
      <c r="F6715" s="949">
        <v>1903</v>
      </c>
      <c r="G6715" s="950" t="s">
        <v>11674</v>
      </c>
      <c r="H6715" s="950" t="s">
        <v>507</v>
      </c>
      <c r="I6715" s="951" t="s">
        <v>18767</v>
      </c>
      <c r="J6715" s="947" t="s">
        <v>18768</v>
      </c>
      <c r="K6715" s="143"/>
    </row>
    <row r="6716" spans="1:11">
      <c r="A6716" s="946" t="s">
        <v>28617</v>
      </c>
      <c r="B6716" s="947" t="s">
        <v>18834</v>
      </c>
      <c r="C6716" s="948" t="s">
        <v>18832</v>
      </c>
      <c r="D6716" s="242" t="s">
        <v>28736</v>
      </c>
      <c r="E6716" s="949">
        <v>1903</v>
      </c>
      <c r="F6716" s="949">
        <v>1903</v>
      </c>
      <c r="G6716" s="950" t="s">
        <v>11674</v>
      </c>
      <c r="H6716" s="950" t="s">
        <v>507</v>
      </c>
      <c r="I6716" s="951" t="s">
        <v>18833</v>
      </c>
      <c r="J6716" s="947" t="s">
        <v>18834</v>
      </c>
      <c r="K6716" s="143"/>
    </row>
    <row r="6717" spans="1:11">
      <c r="A6717" s="946" t="s">
        <v>28617</v>
      </c>
      <c r="B6717" s="947" t="s">
        <v>18975</v>
      </c>
      <c r="C6717" s="948" t="s">
        <v>18973</v>
      </c>
      <c r="D6717" s="242" t="s">
        <v>28736</v>
      </c>
      <c r="E6717" s="949">
        <v>1903</v>
      </c>
      <c r="F6717" s="949">
        <v>1903</v>
      </c>
      <c r="G6717" s="950" t="s">
        <v>11674</v>
      </c>
      <c r="H6717" s="950" t="s">
        <v>507</v>
      </c>
      <c r="I6717" s="951" t="s">
        <v>18974</v>
      </c>
      <c r="J6717" s="947" t="s">
        <v>18975</v>
      </c>
      <c r="K6717" s="143"/>
    </row>
    <row r="6718" spans="1:11">
      <c r="A6718" s="946" t="s">
        <v>28617</v>
      </c>
      <c r="B6718" s="947" t="s">
        <v>19014</v>
      </c>
      <c r="C6718" s="948" t="s">
        <v>19012</v>
      </c>
      <c r="D6718" s="242" t="s">
        <v>28736</v>
      </c>
      <c r="E6718" s="949">
        <v>1903</v>
      </c>
      <c r="F6718" s="949">
        <v>1903</v>
      </c>
      <c r="G6718" s="950" t="s">
        <v>11674</v>
      </c>
      <c r="H6718" s="950" t="s">
        <v>507</v>
      </c>
      <c r="I6718" s="951" t="s">
        <v>19013</v>
      </c>
      <c r="J6718" s="947" t="s">
        <v>19014</v>
      </c>
      <c r="K6718" s="143"/>
    </row>
    <row r="6719" spans="1:11">
      <c r="A6719" s="946" t="s">
        <v>28617</v>
      </c>
      <c r="B6719" s="947" t="s">
        <v>19551</v>
      </c>
      <c r="C6719" s="948" t="s">
        <v>19549</v>
      </c>
      <c r="D6719" s="242" t="s">
        <v>28736</v>
      </c>
      <c r="E6719" s="949">
        <v>1903</v>
      </c>
      <c r="F6719" s="949">
        <v>1903</v>
      </c>
      <c r="G6719" s="950" t="s">
        <v>11674</v>
      </c>
      <c r="H6719" s="950" t="s">
        <v>507</v>
      </c>
      <c r="I6719" s="951" t="s">
        <v>19550</v>
      </c>
      <c r="J6719" s="947" t="s">
        <v>19551</v>
      </c>
      <c r="K6719" s="143"/>
    </row>
    <row r="6720" spans="1:11">
      <c r="A6720" s="946" t="s">
        <v>28617</v>
      </c>
      <c r="B6720" s="947" t="s">
        <v>19837</v>
      </c>
      <c r="C6720" s="948" t="s">
        <v>19835</v>
      </c>
      <c r="D6720" s="242" t="s">
        <v>28736</v>
      </c>
      <c r="E6720" s="949">
        <v>1903</v>
      </c>
      <c r="F6720" s="949">
        <v>1903</v>
      </c>
      <c r="G6720" s="950" t="s">
        <v>11674</v>
      </c>
      <c r="H6720" s="950" t="s">
        <v>507</v>
      </c>
      <c r="I6720" s="951" t="s">
        <v>19836</v>
      </c>
      <c r="J6720" s="947" t="s">
        <v>19837</v>
      </c>
      <c r="K6720" s="143"/>
    </row>
    <row r="6721" spans="1:11">
      <c r="A6721" s="946" t="s">
        <v>28617</v>
      </c>
      <c r="B6721" s="947" t="s">
        <v>20201</v>
      </c>
      <c r="C6721" s="948" t="s">
        <v>20199</v>
      </c>
      <c r="D6721" s="242" t="s">
        <v>28736</v>
      </c>
      <c r="E6721" s="949">
        <v>1903</v>
      </c>
      <c r="F6721" s="949">
        <v>1903</v>
      </c>
      <c r="G6721" s="950" t="s">
        <v>11674</v>
      </c>
      <c r="H6721" s="950" t="s">
        <v>507</v>
      </c>
      <c r="I6721" s="951" t="s">
        <v>20200</v>
      </c>
      <c r="J6721" s="947" t="s">
        <v>20201</v>
      </c>
      <c r="K6721" s="143"/>
    </row>
    <row r="6722" spans="1:11">
      <c r="A6722" s="946" t="s">
        <v>28617</v>
      </c>
      <c r="B6722" s="947" t="s">
        <v>20717</v>
      </c>
      <c r="C6722" s="948" t="s">
        <v>20715</v>
      </c>
      <c r="D6722" s="242" t="s">
        <v>28736</v>
      </c>
      <c r="E6722" s="949">
        <v>1903</v>
      </c>
      <c r="F6722" s="949">
        <v>1903</v>
      </c>
      <c r="G6722" s="950" t="s">
        <v>11674</v>
      </c>
      <c r="H6722" s="950" t="s">
        <v>507</v>
      </c>
      <c r="I6722" s="951" t="s">
        <v>20716</v>
      </c>
      <c r="J6722" s="947" t="s">
        <v>20717</v>
      </c>
      <c r="K6722" s="143"/>
    </row>
    <row r="6723" spans="1:11">
      <c r="A6723" s="946" t="s">
        <v>28617</v>
      </c>
      <c r="B6723" s="947" t="s">
        <v>20796</v>
      </c>
      <c r="C6723" s="948" t="s">
        <v>20794</v>
      </c>
      <c r="D6723" s="242" t="s">
        <v>28736</v>
      </c>
      <c r="E6723" s="949">
        <v>1903</v>
      </c>
      <c r="F6723" s="949">
        <v>1903</v>
      </c>
      <c r="G6723" s="950" t="s">
        <v>11674</v>
      </c>
      <c r="H6723" s="950" t="s">
        <v>507</v>
      </c>
      <c r="I6723" s="951" t="s">
        <v>20795</v>
      </c>
      <c r="J6723" s="947" t="s">
        <v>20796</v>
      </c>
      <c r="K6723" s="143"/>
    </row>
    <row r="6724" spans="1:11">
      <c r="A6724" s="946" t="s">
        <v>28617</v>
      </c>
      <c r="B6724" s="947" t="s">
        <v>32255</v>
      </c>
      <c r="C6724" s="948" t="s">
        <v>32256</v>
      </c>
      <c r="D6724" s="242" t="s">
        <v>28736</v>
      </c>
      <c r="E6724" s="949">
        <v>1903</v>
      </c>
      <c r="F6724" s="949">
        <v>1903</v>
      </c>
      <c r="G6724" s="950" t="s">
        <v>11674</v>
      </c>
      <c r="H6724" s="950" t="s">
        <v>507</v>
      </c>
      <c r="I6724" s="951" t="s">
        <v>21048</v>
      </c>
      <c r="J6724" s="947" t="s">
        <v>32255</v>
      </c>
      <c r="K6724" s="143"/>
    </row>
    <row r="6725" spans="1:11">
      <c r="A6725" s="946" t="s">
        <v>28617</v>
      </c>
      <c r="B6725" s="947" t="s">
        <v>21150</v>
      </c>
      <c r="C6725" s="948" t="s">
        <v>21148</v>
      </c>
      <c r="D6725" s="242" t="s">
        <v>28736</v>
      </c>
      <c r="E6725" s="949">
        <v>1903</v>
      </c>
      <c r="F6725" s="949">
        <v>1903</v>
      </c>
      <c r="G6725" s="950" t="s">
        <v>11674</v>
      </c>
      <c r="H6725" s="950" t="s">
        <v>507</v>
      </c>
      <c r="I6725" s="951" t="s">
        <v>21149</v>
      </c>
      <c r="J6725" s="947" t="s">
        <v>21150</v>
      </c>
      <c r="K6725" s="143"/>
    </row>
    <row r="6726" spans="1:11">
      <c r="A6726" s="946" t="s">
        <v>28617</v>
      </c>
      <c r="B6726" s="947" t="s">
        <v>21162</v>
      </c>
      <c r="C6726" s="948" t="s">
        <v>21160</v>
      </c>
      <c r="D6726" s="242" t="s">
        <v>28736</v>
      </c>
      <c r="E6726" s="949">
        <v>1903</v>
      </c>
      <c r="F6726" s="949">
        <v>1903</v>
      </c>
      <c r="G6726" s="950" t="s">
        <v>11674</v>
      </c>
      <c r="H6726" s="950" t="s">
        <v>507</v>
      </c>
      <c r="I6726" s="951" t="s">
        <v>21161</v>
      </c>
      <c r="J6726" s="947" t="s">
        <v>21162</v>
      </c>
      <c r="K6726" s="143"/>
    </row>
    <row r="6727" spans="1:11">
      <c r="A6727" s="946" t="s">
        <v>28617</v>
      </c>
      <c r="B6727" s="947" t="s">
        <v>21327</v>
      </c>
      <c r="C6727" s="948" t="s">
        <v>21325</v>
      </c>
      <c r="D6727" s="242" t="s">
        <v>28736</v>
      </c>
      <c r="E6727" s="949">
        <v>1903</v>
      </c>
      <c r="F6727" s="949">
        <v>1903</v>
      </c>
      <c r="G6727" s="950" t="s">
        <v>11674</v>
      </c>
      <c r="H6727" s="950" t="s">
        <v>507</v>
      </c>
      <c r="I6727" s="951" t="s">
        <v>21326</v>
      </c>
      <c r="J6727" s="947" t="s">
        <v>21327</v>
      </c>
      <c r="K6727" s="143"/>
    </row>
    <row r="6728" spans="1:11">
      <c r="A6728" s="946" t="s">
        <v>28617</v>
      </c>
      <c r="B6728" s="947" t="s">
        <v>21698</v>
      </c>
      <c r="C6728" s="948" t="s">
        <v>21696</v>
      </c>
      <c r="D6728" s="242" t="s">
        <v>28736</v>
      </c>
      <c r="E6728" s="949">
        <v>1903</v>
      </c>
      <c r="F6728" s="949">
        <v>1903</v>
      </c>
      <c r="G6728" s="950" t="s">
        <v>11674</v>
      </c>
      <c r="H6728" s="950" t="s">
        <v>507</v>
      </c>
      <c r="I6728" s="951" t="s">
        <v>21697</v>
      </c>
      <c r="J6728" s="947" t="s">
        <v>21698</v>
      </c>
      <c r="K6728" s="143"/>
    </row>
    <row r="6729" spans="1:11">
      <c r="A6729" s="946" t="s">
        <v>28617</v>
      </c>
      <c r="B6729" s="947" t="s">
        <v>22188</v>
      </c>
      <c r="C6729" s="948" t="s">
        <v>22186</v>
      </c>
      <c r="D6729" s="242" t="s">
        <v>28736</v>
      </c>
      <c r="E6729" s="949">
        <v>1903</v>
      </c>
      <c r="F6729" s="949">
        <v>1903</v>
      </c>
      <c r="G6729" s="950" t="s">
        <v>11674</v>
      </c>
      <c r="H6729" s="950" t="s">
        <v>507</v>
      </c>
      <c r="I6729" s="951" t="s">
        <v>22187</v>
      </c>
      <c r="J6729" s="947" t="s">
        <v>22188</v>
      </c>
      <c r="K6729" s="143"/>
    </row>
    <row r="6730" spans="1:11">
      <c r="A6730" s="946" t="s">
        <v>28617</v>
      </c>
      <c r="B6730" s="947" t="s">
        <v>20347</v>
      </c>
      <c r="C6730" s="948" t="s">
        <v>20345</v>
      </c>
      <c r="D6730" s="242" t="s">
        <v>28736</v>
      </c>
      <c r="E6730" s="949">
        <v>1903</v>
      </c>
      <c r="F6730" s="949">
        <v>1903</v>
      </c>
      <c r="G6730" s="950" t="s">
        <v>11674</v>
      </c>
      <c r="H6730" s="950" t="s">
        <v>507</v>
      </c>
      <c r="I6730" s="951" t="s">
        <v>20346</v>
      </c>
      <c r="J6730" s="947" t="s">
        <v>20347</v>
      </c>
      <c r="K6730" s="143"/>
    </row>
    <row r="6731" spans="1:11">
      <c r="A6731" s="946" t="s">
        <v>28617</v>
      </c>
      <c r="B6731" s="947" t="s">
        <v>509</v>
      </c>
      <c r="C6731" s="948" t="s">
        <v>505</v>
      </c>
      <c r="D6731" s="242" t="s">
        <v>28736</v>
      </c>
      <c r="E6731" s="949">
        <v>1903</v>
      </c>
      <c r="F6731" s="949">
        <v>1903</v>
      </c>
      <c r="G6731" s="950" t="s">
        <v>11674</v>
      </c>
      <c r="H6731" s="950" t="s">
        <v>507</v>
      </c>
      <c r="I6731" s="951" t="s">
        <v>508</v>
      </c>
      <c r="J6731" s="947" t="s">
        <v>509</v>
      </c>
      <c r="K6731" s="143"/>
    </row>
    <row r="6732" spans="1:11">
      <c r="A6732" s="946" t="s">
        <v>28617</v>
      </c>
      <c r="B6732" s="947" t="s">
        <v>20723</v>
      </c>
      <c r="C6732" s="948" t="s">
        <v>20721</v>
      </c>
      <c r="D6732" s="242" t="s">
        <v>28736</v>
      </c>
      <c r="E6732" s="949">
        <v>1903</v>
      </c>
      <c r="F6732" s="949">
        <v>1903</v>
      </c>
      <c r="G6732" s="950" t="s">
        <v>11674</v>
      </c>
      <c r="H6732" s="950" t="s">
        <v>507</v>
      </c>
      <c r="I6732" s="951" t="s">
        <v>20722</v>
      </c>
      <c r="J6732" s="947" t="s">
        <v>20723</v>
      </c>
      <c r="K6732" s="143"/>
    </row>
    <row r="6733" spans="1:11">
      <c r="A6733" s="946" t="s">
        <v>28617</v>
      </c>
      <c r="B6733" s="947" t="s">
        <v>650</v>
      </c>
      <c r="C6733" s="948" t="s">
        <v>647</v>
      </c>
      <c r="D6733" s="242" t="s">
        <v>28739</v>
      </c>
      <c r="E6733" s="949">
        <v>1909</v>
      </c>
      <c r="F6733" s="949">
        <v>1909</v>
      </c>
      <c r="G6733" s="950" t="s">
        <v>650</v>
      </c>
      <c r="H6733" s="950" t="s">
        <v>648</v>
      </c>
      <c r="I6733" s="951" t="s">
        <v>649</v>
      </c>
      <c r="J6733" s="947" t="s">
        <v>650</v>
      </c>
      <c r="K6733" s="143"/>
    </row>
    <row r="6734" spans="1:11">
      <c r="A6734" s="946" t="s">
        <v>28617</v>
      </c>
      <c r="B6734" s="947" t="s">
        <v>885</v>
      </c>
      <c r="C6734" s="948" t="s">
        <v>883</v>
      </c>
      <c r="D6734" s="242" t="s">
        <v>28739</v>
      </c>
      <c r="E6734" s="949">
        <v>1909</v>
      </c>
      <c r="F6734" s="949">
        <v>1909</v>
      </c>
      <c r="G6734" s="950" t="s">
        <v>650</v>
      </c>
      <c r="H6734" s="950" t="s">
        <v>648</v>
      </c>
      <c r="I6734" s="951" t="s">
        <v>884</v>
      </c>
      <c r="J6734" s="947" t="s">
        <v>885</v>
      </c>
      <c r="K6734" s="143"/>
    </row>
    <row r="6735" spans="1:11">
      <c r="A6735" s="946" t="s">
        <v>28617</v>
      </c>
      <c r="B6735" s="947" t="s">
        <v>1297</v>
      </c>
      <c r="C6735" s="948" t="s">
        <v>1295</v>
      </c>
      <c r="D6735" s="242" t="s">
        <v>28739</v>
      </c>
      <c r="E6735" s="949">
        <v>1909</v>
      </c>
      <c r="F6735" s="949">
        <v>1909</v>
      </c>
      <c r="G6735" s="950" t="s">
        <v>650</v>
      </c>
      <c r="H6735" s="950" t="s">
        <v>648</v>
      </c>
      <c r="I6735" s="951" t="s">
        <v>1296</v>
      </c>
      <c r="J6735" s="947" t="s">
        <v>1297</v>
      </c>
      <c r="K6735" s="143"/>
    </row>
    <row r="6736" spans="1:11">
      <c r="A6736" s="946" t="s">
        <v>28617</v>
      </c>
      <c r="B6736" s="947" t="s">
        <v>2498</v>
      </c>
      <c r="C6736" s="948" t="s">
        <v>2496</v>
      </c>
      <c r="D6736" s="242" t="s">
        <v>28739</v>
      </c>
      <c r="E6736" s="949">
        <v>1909</v>
      </c>
      <c r="F6736" s="949">
        <v>1909</v>
      </c>
      <c r="G6736" s="950" t="s">
        <v>650</v>
      </c>
      <c r="H6736" s="950" t="s">
        <v>648</v>
      </c>
      <c r="I6736" s="951" t="s">
        <v>2497</v>
      </c>
      <c r="J6736" s="947" t="s">
        <v>2498</v>
      </c>
      <c r="K6736" s="143"/>
    </row>
    <row r="6737" spans="1:11">
      <c r="A6737" s="946" t="s">
        <v>28617</v>
      </c>
      <c r="B6737" s="947" t="s">
        <v>3255</v>
      </c>
      <c r="C6737" s="948" t="s">
        <v>3253</v>
      </c>
      <c r="D6737" s="242" t="s">
        <v>28739</v>
      </c>
      <c r="E6737" s="949">
        <v>1909</v>
      </c>
      <c r="F6737" s="949">
        <v>1909</v>
      </c>
      <c r="G6737" s="950" t="s">
        <v>650</v>
      </c>
      <c r="H6737" s="950" t="s">
        <v>648</v>
      </c>
      <c r="I6737" s="951" t="s">
        <v>3254</v>
      </c>
      <c r="J6737" s="947" t="s">
        <v>3255</v>
      </c>
      <c r="K6737" s="143"/>
    </row>
    <row r="6738" spans="1:11">
      <c r="A6738" s="946" t="s">
        <v>28617</v>
      </c>
      <c r="B6738" s="947" t="s">
        <v>3421</v>
      </c>
      <c r="C6738" s="948" t="s">
        <v>3419</v>
      </c>
      <c r="D6738" s="242" t="s">
        <v>28739</v>
      </c>
      <c r="E6738" s="949">
        <v>1909</v>
      </c>
      <c r="F6738" s="949">
        <v>1909</v>
      </c>
      <c r="G6738" s="950" t="s">
        <v>650</v>
      </c>
      <c r="H6738" s="950" t="s">
        <v>648</v>
      </c>
      <c r="I6738" s="951" t="s">
        <v>3420</v>
      </c>
      <c r="J6738" s="947" t="s">
        <v>3421</v>
      </c>
      <c r="K6738" s="143"/>
    </row>
    <row r="6739" spans="1:11">
      <c r="A6739" s="946" t="s">
        <v>28617</v>
      </c>
      <c r="B6739" s="947" t="s">
        <v>3528</v>
      </c>
      <c r="C6739" s="948" t="s">
        <v>3526</v>
      </c>
      <c r="D6739" s="242" t="s">
        <v>28739</v>
      </c>
      <c r="E6739" s="949">
        <v>1909</v>
      </c>
      <c r="F6739" s="949">
        <v>1909</v>
      </c>
      <c r="G6739" s="950" t="s">
        <v>650</v>
      </c>
      <c r="H6739" s="950" t="s">
        <v>648</v>
      </c>
      <c r="I6739" s="951" t="s">
        <v>3527</v>
      </c>
      <c r="J6739" s="947" t="s">
        <v>3528</v>
      </c>
      <c r="K6739" s="143"/>
    </row>
    <row r="6740" spans="1:11">
      <c r="A6740" s="946" t="s">
        <v>28617</v>
      </c>
      <c r="B6740" s="947" t="s">
        <v>3606</v>
      </c>
      <c r="C6740" s="948" t="s">
        <v>3604</v>
      </c>
      <c r="D6740" s="242" t="s">
        <v>28739</v>
      </c>
      <c r="E6740" s="949">
        <v>1909</v>
      </c>
      <c r="F6740" s="949">
        <v>1909</v>
      </c>
      <c r="G6740" s="950" t="s">
        <v>650</v>
      </c>
      <c r="H6740" s="950" t="s">
        <v>648</v>
      </c>
      <c r="I6740" s="951" t="s">
        <v>3605</v>
      </c>
      <c r="J6740" s="947" t="s">
        <v>3606</v>
      </c>
      <c r="K6740" s="143"/>
    </row>
    <row r="6741" spans="1:11">
      <c r="A6741" s="946" t="s">
        <v>28617</v>
      </c>
      <c r="B6741" s="947" t="s">
        <v>3665</v>
      </c>
      <c r="C6741" s="948" t="s">
        <v>3663</v>
      </c>
      <c r="D6741" s="242" t="s">
        <v>28739</v>
      </c>
      <c r="E6741" s="949">
        <v>1909</v>
      </c>
      <c r="F6741" s="949">
        <v>1909</v>
      </c>
      <c r="G6741" s="950" t="s">
        <v>650</v>
      </c>
      <c r="H6741" s="950" t="s">
        <v>648</v>
      </c>
      <c r="I6741" s="951" t="s">
        <v>3664</v>
      </c>
      <c r="J6741" s="947" t="s">
        <v>3665</v>
      </c>
      <c r="K6741" s="143"/>
    </row>
    <row r="6742" spans="1:11">
      <c r="A6742" s="946" t="s">
        <v>28617</v>
      </c>
      <c r="B6742" s="947" t="s">
        <v>3747</v>
      </c>
      <c r="C6742" s="948" t="s">
        <v>3745</v>
      </c>
      <c r="D6742" s="242" t="s">
        <v>28739</v>
      </c>
      <c r="E6742" s="949">
        <v>1909</v>
      </c>
      <c r="F6742" s="949">
        <v>1909</v>
      </c>
      <c r="G6742" s="950" t="s">
        <v>650</v>
      </c>
      <c r="H6742" s="950" t="s">
        <v>648</v>
      </c>
      <c r="I6742" s="951" t="s">
        <v>3746</v>
      </c>
      <c r="J6742" s="947" t="s">
        <v>3747</v>
      </c>
      <c r="K6742" s="143"/>
    </row>
    <row r="6743" spans="1:11">
      <c r="A6743" s="946" t="s">
        <v>28617</v>
      </c>
      <c r="B6743" s="947" t="s">
        <v>3921</v>
      </c>
      <c r="C6743" s="948" t="s">
        <v>3919</v>
      </c>
      <c r="D6743" s="242" t="s">
        <v>28739</v>
      </c>
      <c r="E6743" s="949">
        <v>1909</v>
      </c>
      <c r="F6743" s="949">
        <v>1909</v>
      </c>
      <c r="G6743" s="950" t="s">
        <v>650</v>
      </c>
      <c r="H6743" s="950" t="s">
        <v>648</v>
      </c>
      <c r="I6743" s="951" t="s">
        <v>3920</v>
      </c>
      <c r="J6743" s="947" t="s">
        <v>3921</v>
      </c>
      <c r="K6743" s="143"/>
    </row>
    <row r="6744" spans="1:11">
      <c r="A6744" s="946" t="s">
        <v>28617</v>
      </c>
      <c r="B6744" s="947" t="s">
        <v>5427</v>
      </c>
      <c r="C6744" s="948" t="s">
        <v>5425</v>
      </c>
      <c r="D6744" s="242" t="s">
        <v>28739</v>
      </c>
      <c r="E6744" s="949">
        <v>1909</v>
      </c>
      <c r="F6744" s="949">
        <v>1909</v>
      </c>
      <c r="G6744" s="950" t="s">
        <v>650</v>
      </c>
      <c r="H6744" s="950" t="s">
        <v>648</v>
      </c>
      <c r="I6744" s="951" t="s">
        <v>5426</v>
      </c>
      <c r="J6744" s="947" t="s">
        <v>5427</v>
      </c>
      <c r="K6744" s="143"/>
    </row>
    <row r="6745" spans="1:11">
      <c r="A6745" s="946" t="s">
        <v>28617</v>
      </c>
      <c r="B6745" s="947" t="s">
        <v>5590</v>
      </c>
      <c r="C6745" s="948" t="s">
        <v>5588</v>
      </c>
      <c r="D6745" s="242" t="s">
        <v>28739</v>
      </c>
      <c r="E6745" s="949">
        <v>1909</v>
      </c>
      <c r="F6745" s="949">
        <v>1909</v>
      </c>
      <c r="G6745" s="950" t="s">
        <v>650</v>
      </c>
      <c r="H6745" s="950" t="s">
        <v>648</v>
      </c>
      <c r="I6745" s="951" t="s">
        <v>5589</v>
      </c>
      <c r="J6745" s="947" t="s">
        <v>5590</v>
      </c>
      <c r="K6745" s="143"/>
    </row>
    <row r="6746" spans="1:11">
      <c r="A6746" s="946" t="s">
        <v>28617</v>
      </c>
      <c r="B6746" s="947" t="s">
        <v>5632</v>
      </c>
      <c r="C6746" s="948" t="s">
        <v>5630</v>
      </c>
      <c r="D6746" s="242" t="s">
        <v>28739</v>
      </c>
      <c r="E6746" s="949">
        <v>1909</v>
      </c>
      <c r="F6746" s="949">
        <v>1909</v>
      </c>
      <c r="G6746" s="950" t="s">
        <v>650</v>
      </c>
      <c r="H6746" s="950" t="s">
        <v>648</v>
      </c>
      <c r="I6746" s="951" t="s">
        <v>5631</v>
      </c>
      <c r="J6746" s="947" t="s">
        <v>5632</v>
      </c>
      <c r="K6746" s="143"/>
    </row>
    <row r="6747" spans="1:11">
      <c r="A6747" s="946" t="s">
        <v>28617</v>
      </c>
      <c r="B6747" s="947" t="s">
        <v>6341</v>
      </c>
      <c r="C6747" s="948" t="s">
        <v>6339</v>
      </c>
      <c r="D6747" s="242" t="s">
        <v>28739</v>
      </c>
      <c r="E6747" s="949">
        <v>1909</v>
      </c>
      <c r="F6747" s="949">
        <v>1909</v>
      </c>
      <c r="G6747" s="950" t="s">
        <v>650</v>
      </c>
      <c r="H6747" s="950" t="s">
        <v>648</v>
      </c>
      <c r="I6747" s="951" t="s">
        <v>6340</v>
      </c>
      <c r="J6747" s="947" t="s">
        <v>6341</v>
      </c>
      <c r="K6747" s="143"/>
    </row>
    <row r="6748" spans="1:11">
      <c r="A6748" s="946" t="s">
        <v>28617</v>
      </c>
      <c r="B6748" s="947" t="s">
        <v>6899</v>
      </c>
      <c r="C6748" s="948" t="s">
        <v>6897</v>
      </c>
      <c r="D6748" s="242" t="s">
        <v>28739</v>
      </c>
      <c r="E6748" s="949">
        <v>1909</v>
      </c>
      <c r="F6748" s="949">
        <v>1909</v>
      </c>
      <c r="G6748" s="950" t="s">
        <v>650</v>
      </c>
      <c r="H6748" s="950" t="s">
        <v>648</v>
      </c>
      <c r="I6748" s="951" t="s">
        <v>6898</v>
      </c>
      <c r="J6748" s="947" t="s">
        <v>6899</v>
      </c>
      <c r="K6748" s="143"/>
    </row>
    <row r="6749" spans="1:11">
      <c r="A6749" s="946" t="s">
        <v>28617</v>
      </c>
      <c r="B6749" s="947" t="s">
        <v>8088</v>
      </c>
      <c r="C6749" s="948" t="s">
        <v>8086</v>
      </c>
      <c r="D6749" s="242" t="s">
        <v>28739</v>
      </c>
      <c r="E6749" s="949">
        <v>1909</v>
      </c>
      <c r="F6749" s="949">
        <v>1909</v>
      </c>
      <c r="G6749" s="950" t="s">
        <v>650</v>
      </c>
      <c r="H6749" s="950" t="s">
        <v>648</v>
      </c>
      <c r="I6749" s="951" t="s">
        <v>8087</v>
      </c>
      <c r="J6749" s="947" t="s">
        <v>8088</v>
      </c>
      <c r="K6749" s="143"/>
    </row>
    <row r="6750" spans="1:11">
      <c r="A6750" s="946" t="s">
        <v>28617</v>
      </c>
      <c r="B6750" s="947" t="s">
        <v>9620</v>
      </c>
      <c r="C6750" s="948" t="s">
        <v>9618</v>
      </c>
      <c r="D6750" s="242" t="s">
        <v>28739</v>
      </c>
      <c r="E6750" s="949">
        <v>1909</v>
      </c>
      <c r="F6750" s="949">
        <v>1909</v>
      </c>
      <c r="G6750" s="950" t="s">
        <v>650</v>
      </c>
      <c r="H6750" s="950" t="s">
        <v>648</v>
      </c>
      <c r="I6750" s="951" t="s">
        <v>9619</v>
      </c>
      <c r="J6750" s="947" t="s">
        <v>9620</v>
      </c>
      <c r="K6750" s="143"/>
    </row>
    <row r="6751" spans="1:11">
      <c r="A6751" s="946" t="s">
        <v>28617</v>
      </c>
      <c r="B6751" s="947" t="s">
        <v>9989</v>
      </c>
      <c r="C6751" s="948" t="s">
        <v>9987</v>
      </c>
      <c r="D6751" s="242" t="s">
        <v>28739</v>
      </c>
      <c r="E6751" s="949">
        <v>1909</v>
      </c>
      <c r="F6751" s="949">
        <v>1909</v>
      </c>
      <c r="G6751" s="950" t="s">
        <v>650</v>
      </c>
      <c r="H6751" s="950" t="s">
        <v>648</v>
      </c>
      <c r="I6751" s="951" t="s">
        <v>9988</v>
      </c>
      <c r="J6751" s="947" t="s">
        <v>9989</v>
      </c>
      <c r="K6751" s="143"/>
    </row>
    <row r="6752" spans="1:11">
      <c r="A6752" s="946" t="s">
        <v>28617</v>
      </c>
      <c r="B6752" s="947" t="s">
        <v>10102</v>
      </c>
      <c r="C6752" s="948" t="s">
        <v>10100</v>
      </c>
      <c r="D6752" s="242" t="s">
        <v>28739</v>
      </c>
      <c r="E6752" s="949">
        <v>1909</v>
      </c>
      <c r="F6752" s="949">
        <v>1909</v>
      </c>
      <c r="G6752" s="950" t="s">
        <v>650</v>
      </c>
      <c r="H6752" s="950" t="s">
        <v>648</v>
      </c>
      <c r="I6752" s="951" t="s">
        <v>10101</v>
      </c>
      <c r="J6752" s="947" t="s">
        <v>10102</v>
      </c>
      <c r="K6752" s="143"/>
    </row>
    <row r="6753" spans="1:11">
      <c r="A6753" s="946" t="s">
        <v>28617</v>
      </c>
      <c r="B6753" s="947" t="s">
        <v>10405</v>
      </c>
      <c r="C6753" s="948" t="s">
        <v>10403</v>
      </c>
      <c r="D6753" s="242" t="s">
        <v>28739</v>
      </c>
      <c r="E6753" s="949">
        <v>1909</v>
      </c>
      <c r="F6753" s="949">
        <v>1909</v>
      </c>
      <c r="G6753" s="950" t="s">
        <v>650</v>
      </c>
      <c r="H6753" s="950" t="s">
        <v>648</v>
      </c>
      <c r="I6753" s="951" t="s">
        <v>10404</v>
      </c>
      <c r="J6753" s="947" t="s">
        <v>10405</v>
      </c>
      <c r="K6753" s="143"/>
    </row>
    <row r="6754" spans="1:11">
      <c r="A6754" s="946" t="s">
        <v>28617</v>
      </c>
      <c r="B6754" s="947" t="s">
        <v>10688</v>
      </c>
      <c r="C6754" s="948" t="s">
        <v>10686</v>
      </c>
      <c r="D6754" s="242" t="s">
        <v>28739</v>
      </c>
      <c r="E6754" s="949">
        <v>1909</v>
      </c>
      <c r="F6754" s="949">
        <v>1909</v>
      </c>
      <c r="G6754" s="950" t="s">
        <v>650</v>
      </c>
      <c r="H6754" s="950" t="s">
        <v>648</v>
      </c>
      <c r="I6754" s="951" t="s">
        <v>10687</v>
      </c>
      <c r="J6754" s="947" t="s">
        <v>10688</v>
      </c>
      <c r="K6754" s="143"/>
    </row>
    <row r="6755" spans="1:11">
      <c r="A6755" s="946" t="s">
        <v>28617</v>
      </c>
      <c r="B6755" s="947" t="s">
        <v>11600</v>
      </c>
      <c r="C6755" s="948" t="s">
        <v>11598</v>
      </c>
      <c r="D6755" s="242" t="s">
        <v>28739</v>
      </c>
      <c r="E6755" s="949">
        <v>1909</v>
      </c>
      <c r="F6755" s="949">
        <v>1909</v>
      </c>
      <c r="G6755" s="950" t="s">
        <v>650</v>
      </c>
      <c r="H6755" s="950" t="s">
        <v>648</v>
      </c>
      <c r="I6755" s="951" t="s">
        <v>11599</v>
      </c>
      <c r="J6755" s="947" t="s">
        <v>11600</v>
      </c>
      <c r="K6755" s="143"/>
    </row>
    <row r="6756" spans="1:11">
      <c r="A6756" s="946" t="s">
        <v>28617</v>
      </c>
      <c r="B6756" s="947" t="s">
        <v>12218</v>
      </c>
      <c r="C6756" s="948" t="s">
        <v>12216</v>
      </c>
      <c r="D6756" s="242" t="s">
        <v>28739</v>
      </c>
      <c r="E6756" s="949">
        <v>1909</v>
      </c>
      <c r="F6756" s="949">
        <v>1909</v>
      </c>
      <c r="G6756" s="950" t="s">
        <v>650</v>
      </c>
      <c r="H6756" s="950" t="s">
        <v>648</v>
      </c>
      <c r="I6756" s="951" t="s">
        <v>12217</v>
      </c>
      <c r="J6756" s="947" t="s">
        <v>12218</v>
      </c>
      <c r="K6756" s="143"/>
    </row>
    <row r="6757" spans="1:11">
      <c r="A6757" s="946" t="s">
        <v>28617</v>
      </c>
      <c r="B6757" s="947" t="s">
        <v>12766</v>
      </c>
      <c r="C6757" s="948" t="s">
        <v>12764</v>
      </c>
      <c r="D6757" s="242" t="s">
        <v>28739</v>
      </c>
      <c r="E6757" s="949">
        <v>1909</v>
      </c>
      <c r="F6757" s="949">
        <v>1909</v>
      </c>
      <c r="G6757" s="950" t="s">
        <v>650</v>
      </c>
      <c r="H6757" s="950" t="s">
        <v>648</v>
      </c>
      <c r="I6757" s="951" t="s">
        <v>12765</v>
      </c>
      <c r="J6757" s="947" t="s">
        <v>12766</v>
      </c>
      <c r="K6757" s="143"/>
    </row>
    <row r="6758" spans="1:11">
      <c r="A6758" s="946" t="s">
        <v>28617</v>
      </c>
      <c r="B6758" s="947" t="s">
        <v>13168</v>
      </c>
      <c r="C6758" s="948" t="s">
        <v>13166</v>
      </c>
      <c r="D6758" s="242" t="s">
        <v>28739</v>
      </c>
      <c r="E6758" s="949">
        <v>1909</v>
      </c>
      <c r="F6758" s="949">
        <v>1909</v>
      </c>
      <c r="G6758" s="950" t="s">
        <v>650</v>
      </c>
      <c r="H6758" s="950" t="s">
        <v>648</v>
      </c>
      <c r="I6758" s="951" t="s">
        <v>13167</v>
      </c>
      <c r="J6758" s="947" t="s">
        <v>13168</v>
      </c>
      <c r="K6758" s="143"/>
    </row>
    <row r="6759" spans="1:11">
      <c r="A6759" s="946" t="s">
        <v>28617</v>
      </c>
      <c r="B6759" s="947" t="s">
        <v>14142</v>
      </c>
      <c r="C6759" s="948" t="s">
        <v>14140</v>
      </c>
      <c r="D6759" s="242" t="s">
        <v>28739</v>
      </c>
      <c r="E6759" s="949">
        <v>1909</v>
      </c>
      <c r="F6759" s="949">
        <v>1909</v>
      </c>
      <c r="G6759" s="950" t="s">
        <v>650</v>
      </c>
      <c r="H6759" s="950" t="s">
        <v>648</v>
      </c>
      <c r="I6759" s="951" t="s">
        <v>14141</v>
      </c>
      <c r="J6759" s="947" t="s">
        <v>14142</v>
      </c>
      <c r="K6759" s="143"/>
    </row>
    <row r="6760" spans="1:11">
      <c r="A6760" s="946" t="s">
        <v>28617</v>
      </c>
      <c r="B6760" s="947" t="s">
        <v>15559</v>
      </c>
      <c r="C6760" s="948" t="s">
        <v>15557</v>
      </c>
      <c r="D6760" s="242" t="s">
        <v>28739</v>
      </c>
      <c r="E6760" s="949">
        <v>1909</v>
      </c>
      <c r="F6760" s="949">
        <v>1909</v>
      </c>
      <c r="G6760" s="950" t="s">
        <v>650</v>
      </c>
      <c r="H6760" s="950" t="s">
        <v>648</v>
      </c>
      <c r="I6760" s="951" t="s">
        <v>15558</v>
      </c>
      <c r="J6760" s="947" t="s">
        <v>15559</v>
      </c>
      <c r="K6760" s="143"/>
    </row>
    <row r="6761" spans="1:11">
      <c r="A6761" s="946" t="s">
        <v>28617</v>
      </c>
      <c r="B6761" s="947" t="s">
        <v>16031</v>
      </c>
      <c r="C6761" s="948" t="s">
        <v>16029</v>
      </c>
      <c r="D6761" s="242" t="s">
        <v>28739</v>
      </c>
      <c r="E6761" s="949">
        <v>1909</v>
      </c>
      <c r="F6761" s="949">
        <v>1909</v>
      </c>
      <c r="G6761" s="950" t="s">
        <v>650</v>
      </c>
      <c r="H6761" s="950" t="s">
        <v>648</v>
      </c>
      <c r="I6761" s="951" t="s">
        <v>16030</v>
      </c>
      <c r="J6761" s="947" t="s">
        <v>16031</v>
      </c>
      <c r="K6761" s="143"/>
    </row>
    <row r="6762" spans="1:11">
      <c r="A6762" s="946" t="s">
        <v>28617</v>
      </c>
      <c r="B6762" s="947" t="s">
        <v>16053</v>
      </c>
      <c r="C6762" s="948" t="s">
        <v>16051</v>
      </c>
      <c r="D6762" s="242" t="s">
        <v>28739</v>
      </c>
      <c r="E6762" s="949">
        <v>1909</v>
      </c>
      <c r="F6762" s="949">
        <v>1909</v>
      </c>
      <c r="G6762" s="950" t="s">
        <v>650</v>
      </c>
      <c r="H6762" s="950" t="s">
        <v>648</v>
      </c>
      <c r="I6762" s="951" t="s">
        <v>16052</v>
      </c>
      <c r="J6762" s="947" t="s">
        <v>16053</v>
      </c>
      <c r="K6762" s="143"/>
    </row>
    <row r="6763" spans="1:11">
      <c r="A6763" s="946" t="s">
        <v>28617</v>
      </c>
      <c r="B6763" s="947" t="s">
        <v>16113</v>
      </c>
      <c r="C6763" s="948" t="s">
        <v>16111</v>
      </c>
      <c r="D6763" s="242" t="s">
        <v>28739</v>
      </c>
      <c r="E6763" s="949">
        <v>1909</v>
      </c>
      <c r="F6763" s="949">
        <v>1909</v>
      </c>
      <c r="G6763" s="950" t="s">
        <v>650</v>
      </c>
      <c r="H6763" s="950" t="s">
        <v>648</v>
      </c>
      <c r="I6763" s="951" t="s">
        <v>16112</v>
      </c>
      <c r="J6763" s="947" t="s">
        <v>16113</v>
      </c>
      <c r="K6763" s="143"/>
    </row>
    <row r="6764" spans="1:11">
      <c r="A6764" s="946" t="s">
        <v>28617</v>
      </c>
      <c r="B6764" s="947" t="s">
        <v>16139</v>
      </c>
      <c r="C6764" s="948" t="s">
        <v>16137</v>
      </c>
      <c r="D6764" s="242" t="s">
        <v>28739</v>
      </c>
      <c r="E6764" s="949">
        <v>1909</v>
      </c>
      <c r="F6764" s="949">
        <v>1909</v>
      </c>
      <c r="G6764" s="950" t="s">
        <v>650</v>
      </c>
      <c r="H6764" s="950" t="s">
        <v>648</v>
      </c>
      <c r="I6764" s="951" t="s">
        <v>16138</v>
      </c>
      <c r="J6764" s="947" t="s">
        <v>16139</v>
      </c>
      <c r="K6764" s="143"/>
    </row>
    <row r="6765" spans="1:11">
      <c r="A6765" s="946" t="s">
        <v>28617</v>
      </c>
      <c r="B6765" s="947" t="s">
        <v>16264</v>
      </c>
      <c r="C6765" s="948" t="s">
        <v>16262</v>
      </c>
      <c r="D6765" s="242" t="s">
        <v>28739</v>
      </c>
      <c r="E6765" s="949">
        <v>1909</v>
      </c>
      <c r="F6765" s="949">
        <v>1909</v>
      </c>
      <c r="G6765" s="950" t="s">
        <v>650</v>
      </c>
      <c r="H6765" s="950" t="s">
        <v>648</v>
      </c>
      <c r="I6765" s="951" t="s">
        <v>16263</v>
      </c>
      <c r="J6765" s="947" t="s">
        <v>16264</v>
      </c>
      <c r="K6765" s="143"/>
    </row>
    <row r="6766" spans="1:11">
      <c r="A6766" s="946" t="s">
        <v>28617</v>
      </c>
      <c r="B6766" s="947" t="s">
        <v>17332</v>
      </c>
      <c r="C6766" s="948" t="s">
        <v>17330</v>
      </c>
      <c r="D6766" s="242" t="s">
        <v>28739</v>
      </c>
      <c r="E6766" s="949">
        <v>1909</v>
      </c>
      <c r="F6766" s="949">
        <v>1909</v>
      </c>
      <c r="G6766" s="950" t="s">
        <v>650</v>
      </c>
      <c r="H6766" s="950" t="s">
        <v>648</v>
      </c>
      <c r="I6766" s="951" t="s">
        <v>17331</v>
      </c>
      <c r="J6766" s="947" t="s">
        <v>17332</v>
      </c>
      <c r="K6766" s="143"/>
    </row>
    <row r="6767" spans="1:11">
      <c r="A6767" s="946" t="s">
        <v>28617</v>
      </c>
      <c r="B6767" s="947" t="s">
        <v>17412</v>
      </c>
      <c r="C6767" s="948" t="s">
        <v>17410</v>
      </c>
      <c r="D6767" s="242" t="s">
        <v>28739</v>
      </c>
      <c r="E6767" s="949">
        <v>1909</v>
      </c>
      <c r="F6767" s="949">
        <v>1909</v>
      </c>
      <c r="G6767" s="950" t="s">
        <v>650</v>
      </c>
      <c r="H6767" s="950" t="s">
        <v>648</v>
      </c>
      <c r="I6767" s="951" t="s">
        <v>17411</v>
      </c>
      <c r="J6767" s="947" t="s">
        <v>17412</v>
      </c>
      <c r="K6767" s="143"/>
    </row>
    <row r="6768" spans="1:11">
      <c r="A6768" s="946" t="s">
        <v>28617</v>
      </c>
      <c r="B6768" s="947" t="s">
        <v>17711</v>
      </c>
      <c r="C6768" s="948" t="s">
        <v>17709</v>
      </c>
      <c r="D6768" s="242" t="s">
        <v>28739</v>
      </c>
      <c r="E6768" s="949">
        <v>1909</v>
      </c>
      <c r="F6768" s="949">
        <v>1909</v>
      </c>
      <c r="G6768" s="950" t="s">
        <v>650</v>
      </c>
      <c r="H6768" s="950" t="s">
        <v>648</v>
      </c>
      <c r="I6768" s="951" t="s">
        <v>17710</v>
      </c>
      <c r="J6768" s="947" t="s">
        <v>17711</v>
      </c>
      <c r="K6768" s="143"/>
    </row>
    <row r="6769" spans="1:11">
      <c r="A6769" s="946" t="s">
        <v>28617</v>
      </c>
      <c r="B6769" s="947" t="s">
        <v>18415</v>
      </c>
      <c r="C6769" s="948" t="s">
        <v>18413</v>
      </c>
      <c r="D6769" s="242" t="s">
        <v>28739</v>
      </c>
      <c r="E6769" s="949">
        <v>1909</v>
      </c>
      <c r="F6769" s="949">
        <v>1909</v>
      </c>
      <c r="G6769" s="950" t="s">
        <v>650</v>
      </c>
      <c r="H6769" s="950" t="s">
        <v>648</v>
      </c>
      <c r="I6769" s="951" t="s">
        <v>18414</v>
      </c>
      <c r="J6769" s="947" t="s">
        <v>18415</v>
      </c>
      <c r="K6769" s="143"/>
    </row>
    <row r="6770" spans="1:11">
      <c r="A6770" s="946" t="s">
        <v>28617</v>
      </c>
      <c r="B6770" s="947" t="s">
        <v>18447</v>
      </c>
      <c r="C6770" s="948" t="s">
        <v>18445</v>
      </c>
      <c r="D6770" s="242" t="s">
        <v>28739</v>
      </c>
      <c r="E6770" s="949">
        <v>1909</v>
      </c>
      <c r="F6770" s="949">
        <v>1909</v>
      </c>
      <c r="G6770" s="950" t="s">
        <v>650</v>
      </c>
      <c r="H6770" s="950" t="s">
        <v>648</v>
      </c>
      <c r="I6770" s="951" t="s">
        <v>18446</v>
      </c>
      <c r="J6770" s="947" t="s">
        <v>18447</v>
      </c>
      <c r="K6770" s="143"/>
    </row>
    <row r="6771" spans="1:11">
      <c r="A6771" s="946" t="s">
        <v>28617</v>
      </c>
      <c r="B6771" s="947" t="s">
        <v>18658</v>
      </c>
      <c r="C6771" s="948" t="s">
        <v>18656</v>
      </c>
      <c r="D6771" s="242" t="s">
        <v>28739</v>
      </c>
      <c r="E6771" s="949">
        <v>1909</v>
      </c>
      <c r="F6771" s="949">
        <v>1909</v>
      </c>
      <c r="G6771" s="950" t="s">
        <v>650</v>
      </c>
      <c r="H6771" s="950" t="s">
        <v>648</v>
      </c>
      <c r="I6771" s="951" t="s">
        <v>18657</v>
      </c>
      <c r="J6771" s="947" t="s">
        <v>18658</v>
      </c>
      <c r="K6771" s="143"/>
    </row>
    <row r="6772" spans="1:11">
      <c r="A6772" s="946" t="s">
        <v>28617</v>
      </c>
      <c r="B6772" s="947" t="s">
        <v>18786</v>
      </c>
      <c r="C6772" s="948" t="s">
        <v>18784</v>
      </c>
      <c r="D6772" s="242" t="s">
        <v>28739</v>
      </c>
      <c r="E6772" s="949">
        <v>1909</v>
      </c>
      <c r="F6772" s="949">
        <v>1909</v>
      </c>
      <c r="G6772" s="950" t="s">
        <v>650</v>
      </c>
      <c r="H6772" s="950" t="s">
        <v>648</v>
      </c>
      <c r="I6772" s="951" t="s">
        <v>18785</v>
      </c>
      <c r="J6772" s="947" t="s">
        <v>18786</v>
      </c>
      <c r="K6772" s="143"/>
    </row>
    <row r="6773" spans="1:11">
      <c r="A6773" s="946" t="s">
        <v>28617</v>
      </c>
      <c r="B6773" s="947" t="s">
        <v>19091</v>
      </c>
      <c r="C6773" s="948" t="s">
        <v>19089</v>
      </c>
      <c r="D6773" s="242" t="s">
        <v>28739</v>
      </c>
      <c r="E6773" s="949">
        <v>1909</v>
      </c>
      <c r="F6773" s="949">
        <v>1909</v>
      </c>
      <c r="G6773" s="950" t="s">
        <v>650</v>
      </c>
      <c r="H6773" s="950" t="s">
        <v>648</v>
      </c>
      <c r="I6773" s="951" t="s">
        <v>19090</v>
      </c>
      <c r="J6773" s="947" t="s">
        <v>19091</v>
      </c>
      <c r="K6773" s="143"/>
    </row>
    <row r="6774" spans="1:11">
      <c r="A6774" s="946" t="s">
        <v>28617</v>
      </c>
      <c r="B6774" s="947" t="s">
        <v>19504</v>
      </c>
      <c r="C6774" s="948" t="s">
        <v>19502</v>
      </c>
      <c r="D6774" s="242" t="s">
        <v>28739</v>
      </c>
      <c r="E6774" s="949">
        <v>1909</v>
      </c>
      <c r="F6774" s="949">
        <v>1909</v>
      </c>
      <c r="G6774" s="950" t="s">
        <v>650</v>
      </c>
      <c r="H6774" s="950" t="s">
        <v>648</v>
      </c>
      <c r="I6774" s="951" t="s">
        <v>19503</v>
      </c>
      <c r="J6774" s="947" t="s">
        <v>19504</v>
      </c>
      <c r="K6774" s="143"/>
    </row>
    <row r="6775" spans="1:11">
      <c r="A6775" s="946" t="s">
        <v>28617</v>
      </c>
      <c r="B6775" s="947" t="s">
        <v>22185</v>
      </c>
      <c r="C6775" s="948" t="s">
        <v>22183</v>
      </c>
      <c r="D6775" s="242" t="s">
        <v>28739</v>
      </c>
      <c r="E6775" s="949">
        <v>1909</v>
      </c>
      <c r="F6775" s="949">
        <v>1909</v>
      </c>
      <c r="G6775" s="950" t="s">
        <v>650</v>
      </c>
      <c r="H6775" s="950" t="s">
        <v>648</v>
      </c>
      <c r="I6775" s="951" t="s">
        <v>22184</v>
      </c>
      <c r="J6775" s="947" t="s">
        <v>22185</v>
      </c>
      <c r="K6775" s="143"/>
    </row>
    <row r="6776" spans="1:11">
      <c r="A6776" s="946" t="s">
        <v>28617</v>
      </c>
      <c r="B6776" s="947" t="s">
        <v>503</v>
      </c>
      <c r="C6776" s="948" t="s">
        <v>500</v>
      </c>
      <c r="D6776" s="242" t="s">
        <v>30102</v>
      </c>
      <c r="E6776" s="949">
        <v>1906</v>
      </c>
      <c r="F6776" s="949">
        <v>1906</v>
      </c>
      <c r="G6776" s="950" t="s">
        <v>3534</v>
      </c>
      <c r="H6776" s="950" t="s">
        <v>501</v>
      </c>
      <c r="I6776" s="951" t="s">
        <v>502</v>
      </c>
      <c r="J6776" s="947" t="s">
        <v>503</v>
      </c>
      <c r="K6776" s="143"/>
    </row>
    <row r="6777" spans="1:11">
      <c r="A6777" s="946" t="s">
        <v>28617</v>
      </c>
      <c r="B6777" s="947" t="s">
        <v>2614</v>
      </c>
      <c r="C6777" s="948" t="s">
        <v>2612</v>
      </c>
      <c r="D6777" s="242" t="s">
        <v>30102</v>
      </c>
      <c r="E6777" s="949">
        <v>1906</v>
      </c>
      <c r="F6777" s="949">
        <v>1906</v>
      </c>
      <c r="G6777" s="950" t="s">
        <v>3534</v>
      </c>
      <c r="H6777" s="950" t="s">
        <v>501</v>
      </c>
      <c r="I6777" s="951" t="s">
        <v>2613</v>
      </c>
      <c r="J6777" s="947" t="s">
        <v>2614</v>
      </c>
      <c r="K6777" s="143"/>
    </row>
    <row r="6778" spans="1:11">
      <c r="A6778" s="946" t="s">
        <v>28617</v>
      </c>
      <c r="B6778" s="947" t="s">
        <v>3315</v>
      </c>
      <c r="C6778" s="948" t="s">
        <v>3313</v>
      </c>
      <c r="D6778" s="242" t="s">
        <v>30102</v>
      </c>
      <c r="E6778" s="949">
        <v>1906</v>
      </c>
      <c r="F6778" s="949">
        <v>1906</v>
      </c>
      <c r="G6778" s="950" t="s">
        <v>3534</v>
      </c>
      <c r="H6778" s="950" t="s">
        <v>501</v>
      </c>
      <c r="I6778" s="951" t="s">
        <v>3314</v>
      </c>
      <c r="J6778" s="947" t="s">
        <v>3315</v>
      </c>
      <c r="K6778" s="143"/>
    </row>
    <row r="6779" spans="1:11">
      <c r="A6779" s="946" t="s">
        <v>28617</v>
      </c>
      <c r="B6779" s="947" t="s">
        <v>3534</v>
      </c>
      <c r="C6779" s="948" t="s">
        <v>3532</v>
      </c>
      <c r="D6779" s="242" t="s">
        <v>30102</v>
      </c>
      <c r="E6779" s="949">
        <v>1906</v>
      </c>
      <c r="F6779" s="949">
        <v>1906</v>
      </c>
      <c r="G6779" s="950" t="s">
        <v>3534</v>
      </c>
      <c r="H6779" s="950" t="s">
        <v>501</v>
      </c>
      <c r="I6779" s="951" t="s">
        <v>3533</v>
      </c>
      <c r="J6779" s="947" t="s">
        <v>3534</v>
      </c>
      <c r="K6779" s="143"/>
    </row>
    <row r="6780" spans="1:11">
      <c r="A6780" s="946" t="s">
        <v>28617</v>
      </c>
      <c r="B6780" s="947" t="s">
        <v>3788</v>
      </c>
      <c r="C6780" s="948" t="s">
        <v>3786</v>
      </c>
      <c r="D6780" s="242" t="s">
        <v>30102</v>
      </c>
      <c r="E6780" s="949">
        <v>1906</v>
      </c>
      <c r="F6780" s="949">
        <v>1906</v>
      </c>
      <c r="G6780" s="950" t="s">
        <v>3534</v>
      </c>
      <c r="H6780" s="950" t="s">
        <v>501</v>
      </c>
      <c r="I6780" s="951" t="s">
        <v>3787</v>
      </c>
      <c r="J6780" s="947" t="s">
        <v>3788</v>
      </c>
      <c r="K6780" s="143"/>
    </row>
    <row r="6781" spans="1:11">
      <c r="A6781" s="946" t="s">
        <v>28617</v>
      </c>
      <c r="B6781" s="947" t="s">
        <v>7589</v>
      </c>
      <c r="C6781" s="948" t="s">
        <v>7587</v>
      </c>
      <c r="D6781" s="242" t="s">
        <v>30102</v>
      </c>
      <c r="E6781" s="949">
        <v>1906</v>
      </c>
      <c r="F6781" s="949">
        <v>1906</v>
      </c>
      <c r="G6781" s="950" t="s">
        <v>3534</v>
      </c>
      <c r="H6781" s="950" t="s">
        <v>501</v>
      </c>
      <c r="I6781" s="951" t="s">
        <v>7588</v>
      </c>
      <c r="J6781" s="947" t="s">
        <v>7589</v>
      </c>
      <c r="K6781" s="143"/>
    </row>
    <row r="6782" spans="1:11">
      <c r="A6782" s="946" t="s">
        <v>28617</v>
      </c>
      <c r="B6782" s="947" t="s">
        <v>9073</v>
      </c>
      <c r="C6782" s="948" t="s">
        <v>9071</v>
      </c>
      <c r="D6782" s="242" t="s">
        <v>30102</v>
      </c>
      <c r="E6782" s="949">
        <v>1906</v>
      </c>
      <c r="F6782" s="949">
        <v>1906</v>
      </c>
      <c r="G6782" s="950" t="s">
        <v>3534</v>
      </c>
      <c r="H6782" s="950" t="s">
        <v>501</v>
      </c>
      <c r="I6782" s="951" t="s">
        <v>9072</v>
      </c>
      <c r="J6782" s="947" t="s">
        <v>9073</v>
      </c>
      <c r="K6782" s="143"/>
    </row>
    <row r="6783" spans="1:11">
      <c r="A6783" s="946" t="s">
        <v>28617</v>
      </c>
      <c r="B6783" s="947" t="s">
        <v>11203</v>
      </c>
      <c r="C6783" s="948" t="s">
        <v>11201</v>
      </c>
      <c r="D6783" s="242" t="s">
        <v>30102</v>
      </c>
      <c r="E6783" s="949">
        <v>1906</v>
      </c>
      <c r="F6783" s="949">
        <v>1906</v>
      </c>
      <c r="G6783" s="950" t="s">
        <v>3534</v>
      </c>
      <c r="H6783" s="950" t="s">
        <v>501</v>
      </c>
      <c r="I6783" s="951" t="s">
        <v>11202</v>
      </c>
      <c r="J6783" s="947" t="s">
        <v>11203</v>
      </c>
      <c r="K6783" s="143"/>
    </row>
    <row r="6784" spans="1:11">
      <c r="A6784" s="946" t="s">
        <v>28617</v>
      </c>
      <c r="B6784" s="947" t="s">
        <v>11464</v>
      </c>
      <c r="C6784" s="948" t="s">
        <v>11462</v>
      </c>
      <c r="D6784" s="242" t="s">
        <v>30102</v>
      </c>
      <c r="E6784" s="949">
        <v>1906</v>
      </c>
      <c r="F6784" s="949">
        <v>1906</v>
      </c>
      <c r="G6784" s="950" t="s">
        <v>3534</v>
      </c>
      <c r="H6784" s="950" t="s">
        <v>501</v>
      </c>
      <c r="I6784" s="951" t="s">
        <v>11463</v>
      </c>
      <c r="J6784" s="947" t="s">
        <v>11464</v>
      </c>
      <c r="K6784" s="143"/>
    </row>
    <row r="6785" spans="1:11">
      <c r="A6785" s="946" t="s">
        <v>28617</v>
      </c>
      <c r="B6785" s="947" t="s">
        <v>11764</v>
      </c>
      <c r="C6785" s="948" t="s">
        <v>11762</v>
      </c>
      <c r="D6785" s="242" t="s">
        <v>30102</v>
      </c>
      <c r="E6785" s="949">
        <v>1906</v>
      </c>
      <c r="F6785" s="949">
        <v>1906</v>
      </c>
      <c r="G6785" s="950" t="s">
        <v>3534</v>
      </c>
      <c r="H6785" s="950" t="s">
        <v>501</v>
      </c>
      <c r="I6785" s="951" t="s">
        <v>11763</v>
      </c>
      <c r="J6785" s="947" t="s">
        <v>11764</v>
      </c>
      <c r="K6785" s="143"/>
    </row>
    <row r="6786" spans="1:11">
      <c r="A6786" s="946" t="s">
        <v>28617</v>
      </c>
      <c r="B6786" s="947" t="s">
        <v>12455</v>
      </c>
      <c r="C6786" s="948" t="s">
        <v>12453</v>
      </c>
      <c r="D6786" s="242" t="s">
        <v>30102</v>
      </c>
      <c r="E6786" s="949">
        <v>1906</v>
      </c>
      <c r="F6786" s="949">
        <v>1906</v>
      </c>
      <c r="G6786" s="950" t="s">
        <v>3534</v>
      </c>
      <c r="H6786" s="950" t="s">
        <v>501</v>
      </c>
      <c r="I6786" s="951" t="s">
        <v>12454</v>
      </c>
      <c r="J6786" s="947" t="s">
        <v>12455</v>
      </c>
      <c r="K6786" s="143"/>
    </row>
    <row r="6787" spans="1:11">
      <c r="A6787" s="946" t="s">
        <v>28617</v>
      </c>
      <c r="B6787" s="947" t="s">
        <v>13141</v>
      </c>
      <c r="C6787" s="948" t="s">
        <v>13139</v>
      </c>
      <c r="D6787" s="242" t="s">
        <v>30102</v>
      </c>
      <c r="E6787" s="949">
        <v>1906</v>
      </c>
      <c r="F6787" s="949">
        <v>1906</v>
      </c>
      <c r="G6787" s="950" t="s">
        <v>3534</v>
      </c>
      <c r="H6787" s="950" t="s">
        <v>501</v>
      </c>
      <c r="I6787" s="951" t="s">
        <v>13140</v>
      </c>
      <c r="J6787" s="947" t="s">
        <v>13141</v>
      </c>
      <c r="K6787" s="143"/>
    </row>
    <row r="6788" spans="1:11">
      <c r="A6788" s="946" t="s">
        <v>28617</v>
      </c>
      <c r="B6788" s="947" t="s">
        <v>13283</v>
      </c>
      <c r="C6788" s="948" t="s">
        <v>13281</v>
      </c>
      <c r="D6788" s="242" t="s">
        <v>30102</v>
      </c>
      <c r="E6788" s="949">
        <v>1906</v>
      </c>
      <c r="F6788" s="949">
        <v>1906</v>
      </c>
      <c r="G6788" s="950" t="s">
        <v>3534</v>
      </c>
      <c r="H6788" s="950" t="s">
        <v>501</v>
      </c>
      <c r="I6788" s="951" t="s">
        <v>13282</v>
      </c>
      <c r="J6788" s="947" t="s">
        <v>13283</v>
      </c>
      <c r="K6788" s="143"/>
    </row>
    <row r="6789" spans="1:11">
      <c r="A6789" s="946" t="s">
        <v>28617</v>
      </c>
      <c r="B6789" s="947" t="s">
        <v>16220</v>
      </c>
      <c r="C6789" s="948" t="s">
        <v>16218</v>
      </c>
      <c r="D6789" s="242" t="s">
        <v>30102</v>
      </c>
      <c r="E6789" s="949">
        <v>1906</v>
      </c>
      <c r="F6789" s="949">
        <v>1906</v>
      </c>
      <c r="G6789" s="950" t="s">
        <v>3534</v>
      </c>
      <c r="H6789" s="950" t="s">
        <v>501</v>
      </c>
      <c r="I6789" s="951" t="s">
        <v>16219</v>
      </c>
      <c r="J6789" s="947" t="s">
        <v>16220</v>
      </c>
      <c r="K6789" s="143"/>
    </row>
    <row r="6790" spans="1:11">
      <c r="A6790" s="946" t="s">
        <v>28617</v>
      </c>
      <c r="B6790" s="947" t="s">
        <v>16293</v>
      </c>
      <c r="C6790" s="948" t="s">
        <v>16291</v>
      </c>
      <c r="D6790" s="242" t="s">
        <v>30102</v>
      </c>
      <c r="E6790" s="949">
        <v>1906</v>
      </c>
      <c r="F6790" s="949">
        <v>1906</v>
      </c>
      <c r="G6790" s="950" t="s">
        <v>3534</v>
      </c>
      <c r="H6790" s="950" t="s">
        <v>501</v>
      </c>
      <c r="I6790" s="951" t="s">
        <v>16292</v>
      </c>
      <c r="J6790" s="947" t="s">
        <v>16293</v>
      </c>
      <c r="K6790" s="143"/>
    </row>
    <row r="6791" spans="1:11">
      <c r="A6791" s="946" t="s">
        <v>28617</v>
      </c>
      <c r="B6791" s="947" t="s">
        <v>17445</v>
      </c>
      <c r="C6791" s="948" t="s">
        <v>17443</v>
      </c>
      <c r="D6791" s="242" t="s">
        <v>30102</v>
      </c>
      <c r="E6791" s="949">
        <v>1906</v>
      </c>
      <c r="F6791" s="949">
        <v>1906</v>
      </c>
      <c r="G6791" s="950" t="s">
        <v>3534</v>
      </c>
      <c r="H6791" s="950" t="s">
        <v>501</v>
      </c>
      <c r="I6791" s="951" t="s">
        <v>17444</v>
      </c>
      <c r="J6791" s="947" t="s">
        <v>17445</v>
      </c>
      <c r="K6791" s="143"/>
    </row>
    <row r="6792" spans="1:11">
      <c r="A6792" s="946" t="s">
        <v>28617</v>
      </c>
      <c r="B6792" s="947" t="s">
        <v>18381</v>
      </c>
      <c r="C6792" s="948" t="s">
        <v>18379</v>
      </c>
      <c r="D6792" s="242" t="s">
        <v>30102</v>
      </c>
      <c r="E6792" s="949">
        <v>1906</v>
      </c>
      <c r="F6792" s="949">
        <v>1906</v>
      </c>
      <c r="G6792" s="950" t="s">
        <v>3534</v>
      </c>
      <c r="H6792" s="950" t="s">
        <v>501</v>
      </c>
      <c r="I6792" s="951" t="s">
        <v>18380</v>
      </c>
      <c r="J6792" s="947" t="s">
        <v>18381</v>
      </c>
      <c r="K6792" s="143"/>
    </row>
    <row r="6793" spans="1:11">
      <c r="A6793" s="946" t="s">
        <v>28617</v>
      </c>
      <c r="B6793" s="947" t="s">
        <v>19336</v>
      </c>
      <c r="C6793" s="948" t="s">
        <v>19334</v>
      </c>
      <c r="D6793" s="242" t="s">
        <v>30102</v>
      </c>
      <c r="E6793" s="949">
        <v>1906</v>
      </c>
      <c r="F6793" s="949">
        <v>1906</v>
      </c>
      <c r="G6793" s="950" t="s">
        <v>3534</v>
      </c>
      <c r="H6793" s="950" t="s">
        <v>501</v>
      </c>
      <c r="I6793" s="951" t="s">
        <v>19335</v>
      </c>
      <c r="J6793" s="947" t="s">
        <v>19336</v>
      </c>
      <c r="K6793" s="143"/>
    </row>
    <row r="6794" spans="1:11">
      <c r="A6794" s="946" t="s">
        <v>28617</v>
      </c>
      <c r="B6794" s="947" t="s">
        <v>19702</v>
      </c>
      <c r="C6794" s="948" t="s">
        <v>19700</v>
      </c>
      <c r="D6794" s="242" t="s">
        <v>30102</v>
      </c>
      <c r="E6794" s="949">
        <v>1906</v>
      </c>
      <c r="F6794" s="949">
        <v>1906</v>
      </c>
      <c r="G6794" s="950" t="s">
        <v>3534</v>
      </c>
      <c r="H6794" s="950" t="s">
        <v>501</v>
      </c>
      <c r="I6794" s="951" t="s">
        <v>19701</v>
      </c>
      <c r="J6794" s="947" t="s">
        <v>19702</v>
      </c>
      <c r="K6794" s="143"/>
    </row>
    <row r="6795" spans="1:11">
      <c r="A6795" s="946" t="s">
        <v>28617</v>
      </c>
      <c r="B6795" s="947" t="s">
        <v>20142</v>
      </c>
      <c r="C6795" s="948" t="s">
        <v>20140</v>
      </c>
      <c r="D6795" s="242" t="s">
        <v>30102</v>
      </c>
      <c r="E6795" s="949">
        <v>1906</v>
      </c>
      <c r="F6795" s="949">
        <v>1906</v>
      </c>
      <c r="G6795" s="950" t="s">
        <v>3534</v>
      </c>
      <c r="H6795" s="950" t="s">
        <v>501</v>
      </c>
      <c r="I6795" s="951" t="s">
        <v>20141</v>
      </c>
      <c r="J6795" s="947" t="s">
        <v>20142</v>
      </c>
      <c r="K6795" s="143"/>
    </row>
    <row r="6796" spans="1:11">
      <c r="A6796" s="946" t="s">
        <v>28617</v>
      </c>
      <c r="B6796" s="947" t="s">
        <v>21447</v>
      </c>
      <c r="C6796" s="948" t="s">
        <v>21445</v>
      </c>
      <c r="D6796" s="242" t="s">
        <v>30102</v>
      </c>
      <c r="E6796" s="949">
        <v>1906</v>
      </c>
      <c r="F6796" s="949">
        <v>1906</v>
      </c>
      <c r="G6796" s="950" t="s">
        <v>3534</v>
      </c>
      <c r="H6796" s="950" t="s">
        <v>501</v>
      </c>
      <c r="I6796" s="951" t="s">
        <v>21446</v>
      </c>
      <c r="J6796" s="947" t="s">
        <v>21447</v>
      </c>
      <c r="K6796" s="143"/>
    </row>
    <row r="6797" spans="1:11">
      <c r="A6797" s="946" t="s">
        <v>28617</v>
      </c>
      <c r="B6797" s="947" t="s">
        <v>22201</v>
      </c>
      <c r="C6797" s="948" t="s">
        <v>22199</v>
      </c>
      <c r="D6797" s="242" t="s">
        <v>30102</v>
      </c>
      <c r="E6797" s="949">
        <v>1906</v>
      </c>
      <c r="F6797" s="949">
        <v>1906</v>
      </c>
      <c r="G6797" s="950" t="s">
        <v>3534</v>
      </c>
      <c r="H6797" s="950" t="s">
        <v>501</v>
      </c>
      <c r="I6797" s="951" t="s">
        <v>22200</v>
      </c>
      <c r="J6797" s="947" t="s">
        <v>22201</v>
      </c>
      <c r="K6797" s="143"/>
    </row>
    <row r="6798" spans="1:11">
      <c r="A6798" s="946" t="s">
        <v>28617</v>
      </c>
      <c r="B6798" s="947" t="s">
        <v>587</v>
      </c>
      <c r="C6798" s="948" t="s">
        <v>584</v>
      </c>
      <c r="D6798" s="242" t="s">
        <v>30103</v>
      </c>
      <c r="E6798" s="949">
        <v>1905</v>
      </c>
      <c r="F6798" s="949">
        <v>1905</v>
      </c>
      <c r="G6798" s="950" t="s">
        <v>7854</v>
      </c>
      <c r="H6798" s="950" t="s">
        <v>585</v>
      </c>
      <c r="I6798" s="951" t="s">
        <v>586</v>
      </c>
      <c r="J6798" s="947" t="s">
        <v>587</v>
      </c>
      <c r="K6798" s="143"/>
    </row>
    <row r="6799" spans="1:11">
      <c r="A6799" s="946" t="s">
        <v>28617</v>
      </c>
      <c r="B6799" s="947" t="s">
        <v>672</v>
      </c>
      <c r="C6799" s="948" t="s">
        <v>670</v>
      </c>
      <c r="D6799" s="242" t="s">
        <v>30103</v>
      </c>
      <c r="E6799" s="949">
        <v>1905</v>
      </c>
      <c r="F6799" s="949">
        <v>1905</v>
      </c>
      <c r="G6799" s="950" t="s">
        <v>7854</v>
      </c>
      <c r="H6799" s="950" t="s">
        <v>585</v>
      </c>
      <c r="I6799" s="951" t="s">
        <v>671</v>
      </c>
      <c r="J6799" s="947" t="s">
        <v>672</v>
      </c>
      <c r="K6799" s="143"/>
    </row>
    <row r="6800" spans="1:11">
      <c r="A6800" s="946" t="s">
        <v>28617</v>
      </c>
      <c r="B6800" s="947" t="s">
        <v>1582</v>
      </c>
      <c r="C6800" s="948" t="s">
        <v>1580</v>
      </c>
      <c r="D6800" s="242" t="s">
        <v>30103</v>
      </c>
      <c r="E6800" s="949">
        <v>1905</v>
      </c>
      <c r="F6800" s="949">
        <v>1905</v>
      </c>
      <c r="G6800" s="950" t="s">
        <v>7854</v>
      </c>
      <c r="H6800" s="950" t="s">
        <v>585</v>
      </c>
      <c r="I6800" s="951" t="s">
        <v>1581</v>
      </c>
      <c r="J6800" s="947" t="s">
        <v>1582</v>
      </c>
      <c r="K6800" s="143"/>
    </row>
    <row r="6801" spans="1:11">
      <c r="A6801" s="946" t="s">
        <v>28617</v>
      </c>
      <c r="B6801" s="947" t="s">
        <v>2025</v>
      </c>
      <c r="C6801" s="948" t="s">
        <v>2023</v>
      </c>
      <c r="D6801" s="242" t="s">
        <v>30103</v>
      </c>
      <c r="E6801" s="949">
        <v>1905</v>
      </c>
      <c r="F6801" s="949">
        <v>1905</v>
      </c>
      <c r="G6801" s="950" t="s">
        <v>7854</v>
      </c>
      <c r="H6801" s="950" t="s">
        <v>585</v>
      </c>
      <c r="I6801" s="951" t="s">
        <v>2024</v>
      </c>
      <c r="J6801" s="947" t="s">
        <v>2025</v>
      </c>
      <c r="K6801" s="143"/>
    </row>
    <row r="6802" spans="1:11">
      <c r="A6802" s="946" t="s">
        <v>28617</v>
      </c>
      <c r="B6802" s="947" t="s">
        <v>3428</v>
      </c>
      <c r="C6802" s="948" t="s">
        <v>3426</v>
      </c>
      <c r="D6802" s="242" t="s">
        <v>30103</v>
      </c>
      <c r="E6802" s="949">
        <v>1905</v>
      </c>
      <c r="F6802" s="949">
        <v>1905</v>
      </c>
      <c r="G6802" s="950" t="s">
        <v>7854</v>
      </c>
      <c r="H6802" s="950" t="s">
        <v>585</v>
      </c>
      <c r="I6802" s="951" t="s">
        <v>3427</v>
      </c>
      <c r="J6802" s="947" t="s">
        <v>3428</v>
      </c>
      <c r="K6802" s="143"/>
    </row>
    <row r="6803" spans="1:11">
      <c r="A6803" s="946" t="s">
        <v>28617</v>
      </c>
      <c r="B6803" s="947" t="s">
        <v>5623</v>
      </c>
      <c r="C6803" s="948" t="s">
        <v>5621</v>
      </c>
      <c r="D6803" s="242" t="s">
        <v>30103</v>
      </c>
      <c r="E6803" s="949">
        <v>1905</v>
      </c>
      <c r="F6803" s="949">
        <v>1905</v>
      </c>
      <c r="G6803" s="950" t="s">
        <v>7854</v>
      </c>
      <c r="H6803" s="950" t="s">
        <v>585</v>
      </c>
      <c r="I6803" s="951" t="s">
        <v>5622</v>
      </c>
      <c r="J6803" s="947" t="s">
        <v>5623</v>
      </c>
      <c r="K6803" s="143"/>
    </row>
    <row r="6804" spans="1:11">
      <c r="A6804" s="946" t="s">
        <v>28617</v>
      </c>
      <c r="B6804" s="947" t="s">
        <v>5871</v>
      </c>
      <c r="C6804" s="948" t="s">
        <v>5869</v>
      </c>
      <c r="D6804" s="242" t="s">
        <v>30103</v>
      </c>
      <c r="E6804" s="949">
        <v>1905</v>
      </c>
      <c r="F6804" s="949">
        <v>1905</v>
      </c>
      <c r="G6804" s="950" t="s">
        <v>7854</v>
      </c>
      <c r="H6804" s="950" t="s">
        <v>585</v>
      </c>
      <c r="I6804" s="951" t="s">
        <v>5870</v>
      </c>
      <c r="J6804" s="947" t="s">
        <v>5871</v>
      </c>
      <c r="K6804" s="143"/>
    </row>
    <row r="6805" spans="1:11">
      <c r="A6805" s="946" t="s">
        <v>28617</v>
      </c>
      <c r="B6805" s="947" t="s">
        <v>5885</v>
      </c>
      <c r="C6805" s="948" t="s">
        <v>5883</v>
      </c>
      <c r="D6805" s="242" t="s">
        <v>30103</v>
      </c>
      <c r="E6805" s="949">
        <v>1905</v>
      </c>
      <c r="F6805" s="949">
        <v>1905</v>
      </c>
      <c r="G6805" s="950" t="s">
        <v>7854</v>
      </c>
      <c r="H6805" s="950" t="s">
        <v>585</v>
      </c>
      <c r="I6805" s="951" t="s">
        <v>5884</v>
      </c>
      <c r="J6805" s="947" t="s">
        <v>5885</v>
      </c>
      <c r="K6805" s="143"/>
    </row>
    <row r="6806" spans="1:11">
      <c r="A6806" s="946" t="s">
        <v>28617</v>
      </c>
      <c r="B6806" s="947" t="s">
        <v>7854</v>
      </c>
      <c r="C6806" s="948" t="s">
        <v>7852</v>
      </c>
      <c r="D6806" s="242" t="s">
        <v>30103</v>
      </c>
      <c r="E6806" s="949">
        <v>1905</v>
      </c>
      <c r="F6806" s="949">
        <v>1905</v>
      </c>
      <c r="G6806" s="950" t="s">
        <v>7854</v>
      </c>
      <c r="H6806" s="950" t="s">
        <v>585</v>
      </c>
      <c r="I6806" s="951" t="s">
        <v>7853</v>
      </c>
      <c r="J6806" s="947" t="s">
        <v>7854</v>
      </c>
      <c r="K6806" s="143"/>
    </row>
    <row r="6807" spans="1:11">
      <c r="A6807" s="946" t="s">
        <v>28617</v>
      </c>
      <c r="B6807" s="947" t="s">
        <v>8820</v>
      </c>
      <c r="C6807" s="948" t="s">
        <v>8818</v>
      </c>
      <c r="D6807" s="242" t="s">
        <v>30103</v>
      </c>
      <c r="E6807" s="949">
        <v>1905</v>
      </c>
      <c r="F6807" s="949">
        <v>1905</v>
      </c>
      <c r="G6807" s="950" t="s">
        <v>7854</v>
      </c>
      <c r="H6807" s="950" t="s">
        <v>585</v>
      </c>
      <c r="I6807" s="951" t="s">
        <v>8819</v>
      </c>
      <c r="J6807" s="947" t="s">
        <v>8820</v>
      </c>
      <c r="K6807" s="143"/>
    </row>
    <row r="6808" spans="1:11">
      <c r="A6808" s="946" t="s">
        <v>28617</v>
      </c>
      <c r="B6808" s="947" t="s">
        <v>10317</v>
      </c>
      <c r="C6808" s="948" t="s">
        <v>10315</v>
      </c>
      <c r="D6808" s="242" t="s">
        <v>30103</v>
      </c>
      <c r="E6808" s="949">
        <v>1905</v>
      </c>
      <c r="F6808" s="949">
        <v>1905</v>
      </c>
      <c r="G6808" s="950" t="s">
        <v>7854</v>
      </c>
      <c r="H6808" s="950" t="s">
        <v>585</v>
      </c>
      <c r="I6808" s="951" t="s">
        <v>10316</v>
      </c>
      <c r="J6808" s="947" t="s">
        <v>10317</v>
      </c>
      <c r="K6808" s="143"/>
    </row>
    <row r="6809" spans="1:11">
      <c r="A6809" s="946" t="s">
        <v>28617</v>
      </c>
      <c r="B6809" s="947" t="s">
        <v>13269</v>
      </c>
      <c r="C6809" s="948" t="s">
        <v>13267</v>
      </c>
      <c r="D6809" s="242" t="s">
        <v>30103</v>
      </c>
      <c r="E6809" s="949">
        <v>1905</v>
      </c>
      <c r="F6809" s="949">
        <v>1905</v>
      </c>
      <c r="G6809" s="950" t="s">
        <v>7854</v>
      </c>
      <c r="H6809" s="950" t="s">
        <v>585</v>
      </c>
      <c r="I6809" s="951" t="s">
        <v>13268</v>
      </c>
      <c r="J6809" s="947" t="s">
        <v>13269</v>
      </c>
      <c r="K6809" s="143"/>
    </row>
    <row r="6810" spans="1:11">
      <c r="A6810" s="946" t="s">
        <v>28617</v>
      </c>
      <c r="B6810" s="947" t="s">
        <v>13286</v>
      </c>
      <c r="C6810" s="948" t="s">
        <v>13284</v>
      </c>
      <c r="D6810" s="242" t="s">
        <v>30103</v>
      </c>
      <c r="E6810" s="949">
        <v>1905</v>
      </c>
      <c r="F6810" s="949">
        <v>1905</v>
      </c>
      <c r="G6810" s="950" t="s">
        <v>7854</v>
      </c>
      <c r="H6810" s="950" t="s">
        <v>585</v>
      </c>
      <c r="I6810" s="951" t="s">
        <v>13285</v>
      </c>
      <c r="J6810" s="947" t="s">
        <v>13286</v>
      </c>
      <c r="K6810" s="143"/>
    </row>
    <row r="6811" spans="1:11">
      <c r="A6811" s="946" t="s">
        <v>28617</v>
      </c>
      <c r="B6811" s="947" t="s">
        <v>14785</v>
      </c>
      <c r="C6811" s="948" t="s">
        <v>14783</v>
      </c>
      <c r="D6811" s="242" t="s">
        <v>30103</v>
      </c>
      <c r="E6811" s="949">
        <v>1905</v>
      </c>
      <c r="F6811" s="949">
        <v>1905</v>
      </c>
      <c r="G6811" s="950" t="s">
        <v>7854</v>
      </c>
      <c r="H6811" s="950" t="s">
        <v>585</v>
      </c>
      <c r="I6811" s="951" t="s">
        <v>14784</v>
      </c>
      <c r="J6811" s="947" t="s">
        <v>14785</v>
      </c>
      <c r="K6811" s="143"/>
    </row>
    <row r="6812" spans="1:11">
      <c r="A6812" s="946" t="s">
        <v>28617</v>
      </c>
      <c r="B6812" s="947" t="s">
        <v>14892</v>
      </c>
      <c r="C6812" s="948" t="s">
        <v>14890</v>
      </c>
      <c r="D6812" s="242" t="s">
        <v>30103</v>
      </c>
      <c r="E6812" s="949">
        <v>1905</v>
      </c>
      <c r="F6812" s="949">
        <v>1905</v>
      </c>
      <c r="G6812" s="950" t="s">
        <v>7854</v>
      </c>
      <c r="H6812" s="950" t="s">
        <v>585</v>
      </c>
      <c r="I6812" s="951" t="s">
        <v>14891</v>
      </c>
      <c r="J6812" s="947" t="s">
        <v>14892</v>
      </c>
      <c r="K6812" s="143"/>
    </row>
    <row r="6813" spans="1:11">
      <c r="A6813" s="946" t="s">
        <v>28617</v>
      </c>
      <c r="B6813" s="947" t="s">
        <v>16175</v>
      </c>
      <c r="C6813" s="948" t="s">
        <v>16173</v>
      </c>
      <c r="D6813" s="242" t="s">
        <v>30103</v>
      </c>
      <c r="E6813" s="949">
        <v>1905</v>
      </c>
      <c r="F6813" s="949">
        <v>1905</v>
      </c>
      <c r="G6813" s="950" t="s">
        <v>7854</v>
      </c>
      <c r="H6813" s="950" t="s">
        <v>585</v>
      </c>
      <c r="I6813" s="951" t="s">
        <v>16174</v>
      </c>
      <c r="J6813" s="947" t="s">
        <v>16175</v>
      </c>
      <c r="K6813" s="143"/>
    </row>
    <row r="6814" spans="1:11">
      <c r="A6814" s="946" t="s">
        <v>28617</v>
      </c>
      <c r="B6814" s="947" t="s">
        <v>19854</v>
      </c>
      <c r="C6814" s="948" t="s">
        <v>19852</v>
      </c>
      <c r="D6814" s="242" t="s">
        <v>30103</v>
      </c>
      <c r="E6814" s="949">
        <v>1905</v>
      </c>
      <c r="F6814" s="949">
        <v>1905</v>
      </c>
      <c r="G6814" s="950" t="s">
        <v>7854</v>
      </c>
      <c r="H6814" s="950" t="s">
        <v>585</v>
      </c>
      <c r="I6814" s="951" t="s">
        <v>19853</v>
      </c>
      <c r="J6814" s="947" t="s">
        <v>19854</v>
      </c>
      <c r="K6814" s="143"/>
    </row>
    <row r="6815" spans="1:11">
      <c r="A6815" s="946" t="s">
        <v>28617</v>
      </c>
      <c r="B6815" s="947" t="s">
        <v>21081</v>
      </c>
      <c r="C6815" s="948" t="s">
        <v>21079</v>
      </c>
      <c r="D6815" s="242" t="s">
        <v>30103</v>
      </c>
      <c r="E6815" s="949">
        <v>1905</v>
      </c>
      <c r="F6815" s="949">
        <v>1905</v>
      </c>
      <c r="G6815" s="950" t="s">
        <v>7854</v>
      </c>
      <c r="H6815" s="950" t="s">
        <v>585</v>
      </c>
      <c r="I6815" s="951" t="s">
        <v>21080</v>
      </c>
      <c r="J6815" s="947" t="s">
        <v>21081</v>
      </c>
      <c r="K6815" s="143"/>
    </row>
    <row r="6816" spans="1:11">
      <c r="A6816" s="946" t="s">
        <v>28617</v>
      </c>
      <c r="B6816" s="947" t="s">
        <v>21387</v>
      </c>
      <c r="C6816" s="948" t="s">
        <v>21385</v>
      </c>
      <c r="D6816" s="242" t="s">
        <v>30103</v>
      </c>
      <c r="E6816" s="949">
        <v>1905</v>
      </c>
      <c r="F6816" s="949">
        <v>1905</v>
      </c>
      <c r="G6816" s="950" t="s">
        <v>7854</v>
      </c>
      <c r="H6816" s="950" t="s">
        <v>585</v>
      </c>
      <c r="I6816" s="951" t="s">
        <v>21386</v>
      </c>
      <c r="J6816" s="947" t="s">
        <v>21387</v>
      </c>
      <c r="K6816" s="143"/>
    </row>
    <row r="6817" spans="1:11">
      <c r="A6817" s="946" t="s">
        <v>28617</v>
      </c>
      <c r="B6817" s="947" t="s">
        <v>22315</v>
      </c>
      <c r="C6817" s="948" t="s">
        <v>22313</v>
      </c>
      <c r="D6817" s="242" t="s">
        <v>30103</v>
      </c>
      <c r="E6817" s="949">
        <v>1905</v>
      </c>
      <c r="F6817" s="949">
        <v>1905</v>
      </c>
      <c r="G6817" s="950" t="s">
        <v>7854</v>
      </c>
      <c r="H6817" s="950" t="s">
        <v>585</v>
      </c>
      <c r="I6817" s="951" t="s">
        <v>22314</v>
      </c>
      <c r="J6817" s="947" t="s">
        <v>22315</v>
      </c>
      <c r="K6817" s="143"/>
    </row>
    <row r="6818" spans="1:11">
      <c r="A6818" s="946" t="s">
        <v>28617</v>
      </c>
      <c r="B6818" s="947" t="s">
        <v>411</v>
      </c>
      <c r="C6818" s="948" t="s">
        <v>408</v>
      </c>
      <c r="D6818" s="242" t="s">
        <v>28738</v>
      </c>
      <c r="E6818" s="949">
        <v>1902</v>
      </c>
      <c r="F6818" s="949">
        <v>1902</v>
      </c>
      <c r="G6818" s="950" t="s">
        <v>5617</v>
      </c>
      <c r="H6818" s="950" t="s">
        <v>409</v>
      </c>
      <c r="I6818" s="951" t="s">
        <v>410</v>
      </c>
      <c r="J6818" s="947" t="s">
        <v>411</v>
      </c>
      <c r="K6818" s="143"/>
    </row>
    <row r="6819" spans="1:11">
      <c r="A6819" s="946" t="s">
        <v>28617</v>
      </c>
      <c r="B6819" s="947" t="s">
        <v>415</v>
      </c>
      <c r="C6819" s="948" t="s">
        <v>413</v>
      </c>
      <c r="D6819" s="242" t="s">
        <v>28738</v>
      </c>
      <c r="E6819" s="949">
        <v>1902</v>
      </c>
      <c r="F6819" s="949">
        <v>1902</v>
      </c>
      <c r="G6819" s="950" t="s">
        <v>5617</v>
      </c>
      <c r="H6819" s="950" t="s">
        <v>409</v>
      </c>
      <c r="I6819" s="951" t="s">
        <v>414</v>
      </c>
      <c r="J6819" s="947" t="s">
        <v>415</v>
      </c>
      <c r="K6819" s="143"/>
    </row>
    <row r="6820" spans="1:11">
      <c r="A6820" s="946" t="s">
        <v>28617</v>
      </c>
      <c r="B6820" s="947" t="s">
        <v>419</v>
      </c>
      <c r="C6820" s="948" t="s">
        <v>417</v>
      </c>
      <c r="D6820" s="242" t="s">
        <v>28738</v>
      </c>
      <c r="E6820" s="949">
        <v>1902</v>
      </c>
      <c r="F6820" s="949">
        <v>1902</v>
      </c>
      <c r="G6820" s="950" t="s">
        <v>5617</v>
      </c>
      <c r="H6820" s="950" t="s">
        <v>409</v>
      </c>
      <c r="I6820" s="951" t="s">
        <v>418</v>
      </c>
      <c r="J6820" s="947" t="s">
        <v>419</v>
      </c>
      <c r="K6820" s="143"/>
    </row>
    <row r="6821" spans="1:11">
      <c r="A6821" s="946" t="s">
        <v>28617</v>
      </c>
      <c r="B6821" s="947" t="s">
        <v>427</v>
      </c>
      <c r="C6821" s="948" t="s">
        <v>425</v>
      </c>
      <c r="D6821" s="242" t="s">
        <v>28738</v>
      </c>
      <c r="E6821" s="949">
        <v>1902</v>
      </c>
      <c r="F6821" s="949">
        <v>1902</v>
      </c>
      <c r="G6821" s="950" t="s">
        <v>5617</v>
      </c>
      <c r="H6821" s="950" t="s">
        <v>409</v>
      </c>
      <c r="I6821" s="951" t="s">
        <v>426</v>
      </c>
      <c r="J6821" s="947" t="s">
        <v>427</v>
      </c>
      <c r="K6821" s="143"/>
    </row>
    <row r="6822" spans="1:11">
      <c r="A6822" s="946" t="s">
        <v>28617</v>
      </c>
      <c r="B6822" s="947" t="s">
        <v>423</v>
      </c>
      <c r="C6822" s="948" t="s">
        <v>421</v>
      </c>
      <c r="D6822" s="242" t="s">
        <v>28738</v>
      </c>
      <c r="E6822" s="949">
        <v>1902</v>
      </c>
      <c r="F6822" s="949">
        <v>1902</v>
      </c>
      <c r="G6822" s="950" t="s">
        <v>5617</v>
      </c>
      <c r="H6822" s="950" t="s">
        <v>409</v>
      </c>
      <c r="I6822" s="951" t="s">
        <v>422</v>
      </c>
      <c r="J6822" s="947" t="s">
        <v>423</v>
      </c>
      <c r="K6822" s="143"/>
    </row>
    <row r="6823" spans="1:11">
      <c r="A6823" s="946" t="s">
        <v>28617</v>
      </c>
      <c r="B6823" s="947" t="s">
        <v>531</v>
      </c>
      <c r="C6823" s="948" t="s">
        <v>529</v>
      </c>
      <c r="D6823" s="242" t="s">
        <v>28738</v>
      </c>
      <c r="E6823" s="949">
        <v>1902</v>
      </c>
      <c r="F6823" s="949">
        <v>1902</v>
      </c>
      <c r="G6823" s="950" t="s">
        <v>5617</v>
      </c>
      <c r="H6823" s="950" t="s">
        <v>409</v>
      </c>
      <c r="I6823" s="951" t="s">
        <v>530</v>
      </c>
      <c r="J6823" s="947" t="s">
        <v>531</v>
      </c>
      <c r="K6823" s="143"/>
    </row>
    <row r="6824" spans="1:11">
      <c r="A6824" s="946" t="s">
        <v>28617</v>
      </c>
      <c r="B6824" s="947" t="s">
        <v>2227</v>
      </c>
      <c r="C6824" s="948" t="s">
        <v>2225</v>
      </c>
      <c r="D6824" s="242" t="s">
        <v>28738</v>
      </c>
      <c r="E6824" s="949">
        <v>1902</v>
      </c>
      <c r="F6824" s="949">
        <v>1902</v>
      </c>
      <c r="G6824" s="950" t="s">
        <v>5617</v>
      </c>
      <c r="H6824" s="950" t="s">
        <v>409</v>
      </c>
      <c r="I6824" s="951" t="s">
        <v>2226</v>
      </c>
      <c r="J6824" s="947" t="s">
        <v>2227</v>
      </c>
      <c r="K6824" s="143"/>
    </row>
    <row r="6825" spans="1:11">
      <c r="A6825" s="946" t="s">
        <v>28617</v>
      </c>
      <c r="B6825" s="947" t="s">
        <v>2384</v>
      </c>
      <c r="C6825" s="948" t="s">
        <v>2382</v>
      </c>
      <c r="D6825" s="242" t="s">
        <v>28738</v>
      </c>
      <c r="E6825" s="949">
        <v>1902</v>
      </c>
      <c r="F6825" s="949">
        <v>1902</v>
      </c>
      <c r="G6825" s="950" t="s">
        <v>5617</v>
      </c>
      <c r="H6825" s="950" t="s">
        <v>409</v>
      </c>
      <c r="I6825" s="951" t="s">
        <v>2383</v>
      </c>
      <c r="J6825" s="947" t="s">
        <v>2384</v>
      </c>
      <c r="K6825" s="143"/>
    </row>
    <row r="6826" spans="1:11">
      <c r="A6826" s="946" t="s">
        <v>28617</v>
      </c>
      <c r="B6826" s="947" t="s">
        <v>3116</v>
      </c>
      <c r="C6826" s="948" t="s">
        <v>3114</v>
      </c>
      <c r="D6826" s="242" t="s">
        <v>28738</v>
      </c>
      <c r="E6826" s="949">
        <v>1902</v>
      </c>
      <c r="F6826" s="949">
        <v>1902</v>
      </c>
      <c r="G6826" s="950" t="s">
        <v>5617</v>
      </c>
      <c r="H6826" s="950" t="s">
        <v>409</v>
      </c>
      <c r="I6826" s="951" t="s">
        <v>3115</v>
      </c>
      <c r="J6826" s="947" t="s">
        <v>3116</v>
      </c>
      <c r="K6826" s="143"/>
    </row>
    <row r="6827" spans="1:11">
      <c r="A6827" s="946" t="s">
        <v>28617</v>
      </c>
      <c r="B6827" s="947" t="s">
        <v>3435</v>
      </c>
      <c r="C6827" s="948" t="s">
        <v>3433</v>
      </c>
      <c r="D6827" s="242" t="s">
        <v>28738</v>
      </c>
      <c r="E6827" s="949">
        <v>1902</v>
      </c>
      <c r="F6827" s="949">
        <v>1902</v>
      </c>
      <c r="G6827" s="950" t="s">
        <v>5617</v>
      </c>
      <c r="H6827" s="950" t="s">
        <v>409</v>
      </c>
      <c r="I6827" s="951" t="s">
        <v>3434</v>
      </c>
      <c r="J6827" s="947" t="s">
        <v>3435</v>
      </c>
      <c r="K6827" s="143"/>
    </row>
    <row r="6828" spans="1:11">
      <c r="A6828" s="946" t="s">
        <v>28617</v>
      </c>
      <c r="B6828" s="947" t="s">
        <v>3531</v>
      </c>
      <c r="C6828" s="948" t="s">
        <v>3529</v>
      </c>
      <c r="D6828" s="242" t="s">
        <v>28738</v>
      </c>
      <c r="E6828" s="949">
        <v>1902</v>
      </c>
      <c r="F6828" s="949">
        <v>1902</v>
      </c>
      <c r="G6828" s="950" t="s">
        <v>5617</v>
      </c>
      <c r="H6828" s="950" t="s">
        <v>409</v>
      </c>
      <c r="I6828" s="951" t="s">
        <v>3530</v>
      </c>
      <c r="J6828" s="947" t="s">
        <v>3531</v>
      </c>
      <c r="K6828" s="143"/>
    </row>
    <row r="6829" spans="1:11">
      <c r="A6829" s="946" t="s">
        <v>28617</v>
      </c>
      <c r="B6829" s="947" t="s">
        <v>3839</v>
      </c>
      <c r="C6829" s="948" t="s">
        <v>3837</v>
      </c>
      <c r="D6829" s="242" t="s">
        <v>28738</v>
      </c>
      <c r="E6829" s="949">
        <v>1902</v>
      </c>
      <c r="F6829" s="949">
        <v>1902</v>
      </c>
      <c r="G6829" s="950" t="s">
        <v>5617</v>
      </c>
      <c r="H6829" s="950" t="s">
        <v>409</v>
      </c>
      <c r="I6829" s="951" t="s">
        <v>3838</v>
      </c>
      <c r="J6829" s="947" t="s">
        <v>3839</v>
      </c>
      <c r="K6829" s="143"/>
    </row>
    <row r="6830" spans="1:11">
      <c r="A6830" s="946" t="s">
        <v>28617</v>
      </c>
      <c r="B6830" s="947" t="s">
        <v>4955</v>
      </c>
      <c r="C6830" s="948" t="s">
        <v>4953</v>
      </c>
      <c r="D6830" s="242" t="s">
        <v>28738</v>
      </c>
      <c r="E6830" s="949">
        <v>1902</v>
      </c>
      <c r="F6830" s="949">
        <v>1902</v>
      </c>
      <c r="G6830" s="950" t="s">
        <v>5617</v>
      </c>
      <c r="H6830" s="950" t="s">
        <v>409</v>
      </c>
      <c r="I6830" s="951" t="s">
        <v>4954</v>
      </c>
      <c r="J6830" s="947" t="s">
        <v>4955</v>
      </c>
      <c r="K6830" s="143"/>
    </row>
    <row r="6831" spans="1:11">
      <c r="A6831" s="946" t="s">
        <v>28617</v>
      </c>
      <c r="B6831" s="947" t="s">
        <v>5512</v>
      </c>
      <c r="C6831" s="948" t="s">
        <v>5510</v>
      </c>
      <c r="D6831" s="242" t="s">
        <v>28738</v>
      </c>
      <c r="E6831" s="949">
        <v>1902</v>
      </c>
      <c r="F6831" s="949">
        <v>1902</v>
      </c>
      <c r="G6831" s="950" t="s">
        <v>5617</v>
      </c>
      <c r="H6831" s="950" t="s">
        <v>409</v>
      </c>
      <c r="I6831" s="951" t="s">
        <v>5511</v>
      </c>
      <c r="J6831" s="947" t="s">
        <v>5512</v>
      </c>
      <c r="K6831" s="143"/>
    </row>
    <row r="6832" spans="1:11">
      <c r="A6832" s="946" t="s">
        <v>28617</v>
      </c>
      <c r="B6832" s="947" t="s">
        <v>5617</v>
      </c>
      <c r="C6832" s="948" t="s">
        <v>5615</v>
      </c>
      <c r="D6832" s="242" t="s">
        <v>28738</v>
      </c>
      <c r="E6832" s="949">
        <v>1902</v>
      </c>
      <c r="F6832" s="949">
        <v>1902</v>
      </c>
      <c r="G6832" s="950" t="s">
        <v>5617</v>
      </c>
      <c r="H6832" s="950" t="s">
        <v>409</v>
      </c>
      <c r="I6832" s="951" t="s">
        <v>5616</v>
      </c>
      <c r="J6832" s="947" t="s">
        <v>5617</v>
      </c>
      <c r="K6832" s="143"/>
    </row>
    <row r="6833" spans="1:11">
      <c r="A6833" s="946" t="s">
        <v>28617</v>
      </c>
      <c r="B6833" s="947" t="s">
        <v>8313</v>
      </c>
      <c r="C6833" s="948" t="s">
        <v>8311</v>
      </c>
      <c r="D6833" s="242" t="s">
        <v>28738</v>
      </c>
      <c r="E6833" s="949">
        <v>1902</v>
      </c>
      <c r="F6833" s="949">
        <v>1902</v>
      </c>
      <c r="G6833" s="950" t="s">
        <v>5617</v>
      </c>
      <c r="H6833" s="950" t="s">
        <v>409</v>
      </c>
      <c r="I6833" s="951" t="s">
        <v>8312</v>
      </c>
      <c r="J6833" s="947" t="s">
        <v>8313</v>
      </c>
      <c r="K6833" s="143"/>
    </row>
    <row r="6834" spans="1:11">
      <c r="A6834" s="946" t="s">
        <v>28617</v>
      </c>
      <c r="B6834" s="947" t="s">
        <v>9197</v>
      </c>
      <c r="C6834" s="948" t="s">
        <v>9195</v>
      </c>
      <c r="D6834" s="242" t="s">
        <v>28738</v>
      </c>
      <c r="E6834" s="949">
        <v>1902</v>
      </c>
      <c r="F6834" s="949">
        <v>1902</v>
      </c>
      <c r="G6834" s="950" t="s">
        <v>5617</v>
      </c>
      <c r="H6834" s="950" t="s">
        <v>409</v>
      </c>
      <c r="I6834" s="951" t="s">
        <v>9196</v>
      </c>
      <c r="J6834" s="947" t="s">
        <v>9197</v>
      </c>
      <c r="K6834" s="143"/>
    </row>
    <row r="6835" spans="1:11">
      <c r="A6835" s="946" t="s">
        <v>28617</v>
      </c>
      <c r="B6835" s="947" t="s">
        <v>9452</v>
      </c>
      <c r="C6835" s="948" t="s">
        <v>9450</v>
      </c>
      <c r="D6835" s="242" t="s">
        <v>28738</v>
      </c>
      <c r="E6835" s="949">
        <v>1902</v>
      </c>
      <c r="F6835" s="949">
        <v>1902</v>
      </c>
      <c r="G6835" s="950" t="s">
        <v>5617</v>
      </c>
      <c r="H6835" s="950" t="s">
        <v>409</v>
      </c>
      <c r="I6835" s="951" t="s">
        <v>9451</v>
      </c>
      <c r="J6835" s="947" t="s">
        <v>9452</v>
      </c>
      <c r="K6835" s="143"/>
    </row>
    <row r="6836" spans="1:11">
      <c r="A6836" s="946" t="s">
        <v>28617</v>
      </c>
      <c r="B6836" s="947" t="s">
        <v>9500</v>
      </c>
      <c r="C6836" s="948" t="s">
        <v>9498</v>
      </c>
      <c r="D6836" s="242" t="s">
        <v>28738</v>
      </c>
      <c r="E6836" s="949">
        <v>1902</v>
      </c>
      <c r="F6836" s="949">
        <v>1902</v>
      </c>
      <c r="G6836" s="950" t="s">
        <v>5617</v>
      </c>
      <c r="H6836" s="950" t="s">
        <v>409</v>
      </c>
      <c r="I6836" s="951" t="s">
        <v>9499</v>
      </c>
      <c r="J6836" s="947" t="s">
        <v>9500</v>
      </c>
      <c r="K6836" s="143"/>
    </row>
    <row r="6837" spans="1:11">
      <c r="A6837" s="946" t="s">
        <v>28617</v>
      </c>
      <c r="B6837" s="947" t="s">
        <v>10414</v>
      </c>
      <c r="C6837" s="948" t="s">
        <v>10412</v>
      </c>
      <c r="D6837" s="242" t="s">
        <v>28738</v>
      </c>
      <c r="E6837" s="949">
        <v>1902</v>
      </c>
      <c r="F6837" s="949">
        <v>1902</v>
      </c>
      <c r="G6837" s="950" t="s">
        <v>5617</v>
      </c>
      <c r="H6837" s="950" t="s">
        <v>409</v>
      </c>
      <c r="I6837" s="951" t="s">
        <v>10413</v>
      </c>
      <c r="J6837" s="947" t="s">
        <v>10414</v>
      </c>
      <c r="K6837" s="143"/>
    </row>
    <row r="6838" spans="1:11">
      <c r="A6838" s="946" t="s">
        <v>28617</v>
      </c>
      <c r="B6838" s="947" t="s">
        <v>10460</v>
      </c>
      <c r="C6838" s="948" t="s">
        <v>10458</v>
      </c>
      <c r="D6838" s="242" t="s">
        <v>28738</v>
      </c>
      <c r="E6838" s="949">
        <v>1902</v>
      </c>
      <c r="F6838" s="949">
        <v>1902</v>
      </c>
      <c r="G6838" s="950" t="s">
        <v>5617</v>
      </c>
      <c r="H6838" s="950" t="s">
        <v>409</v>
      </c>
      <c r="I6838" s="951" t="s">
        <v>10459</v>
      </c>
      <c r="J6838" s="947" t="s">
        <v>10460</v>
      </c>
      <c r="K6838" s="143"/>
    </row>
    <row r="6839" spans="1:11">
      <c r="A6839" s="946" t="s">
        <v>28617</v>
      </c>
      <c r="B6839" s="947" t="s">
        <v>10975</v>
      </c>
      <c r="C6839" s="948" t="s">
        <v>10973</v>
      </c>
      <c r="D6839" s="242" t="s">
        <v>28738</v>
      </c>
      <c r="E6839" s="949">
        <v>1902</v>
      </c>
      <c r="F6839" s="949">
        <v>1902</v>
      </c>
      <c r="G6839" s="950" t="s">
        <v>5617</v>
      </c>
      <c r="H6839" s="950" t="s">
        <v>409</v>
      </c>
      <c r="I6839" s="951" t="s">
        <v>10974</v>
      </c>
      <c r="J6839" s="947" t="s">
        <v>10975</v>
      </c>
      <c r="K6839" s="143"/>
    </row>
    <row r="6840" spans="1:11">
      <c r="A6840" s="946" t="s">
        <v>28617</v>
      </c>
      <c r="B6840" s="947" t="s">
        <v>11333</v>
      </c>
      <c r="C6840" s="948" t="s">
        <v>11331</v>
      </c>
      <c r="D6840" s="242" t="s">
        <v>28738</v>
      </c>
      <c r="E6840" s="949">
        <v>1902</v>
      </c>
      <c r="F6840" s="949">
        <v>1902</v>
      </c>
      <c r="G6840" s="950" t="s">
        <v>5617</v>
      </c>
      <c r="H6840" s="950" t="s">
        <v>409</v>
      </c>
      <c r="I6840" s="951" t="s">
        <v>11332</v>
      </c>
      <c r="J6840" s="947" t="s">
        <v>11333</v>
      </c>
      <c r="K6840" s="143"/>
    </row>
    <row r="6841" spans="1:11">
      <c r="A6841" s="946" t="s">
        <v>28617</v>
      </c>
      <c r="B6841" s="947" t="s">
        <v>11336</v>
      </c>
      <c r="C6841" s="948" t="s">
        <v>11334</v>
      </c>
      <c r="D6841" s="242" t="s">
        <v>28738</v>
      </c>
      <c r="E6841" s="949">
        <v>1902</v>
      </c>
      <c r="F6841" s="949">
        <v>1902</v>
      </c>
      <c r="G6841" s="950" t="s">
        <v>5617</v>
      </c>
      <c r="H6841" s="950" t="s">
        <v>409</v>
      </c>
      <c r="I6841" s="951" t="s">
        <v>11335</v>
      </c>
      <c r="J6841" s="947" t="s">
        <v>11336</v>
      </c>
      <c r="K6841" s="143"/>
    </row>
    <row r="6842" spans="1:11">
      <c r="A6842" s="946" t="s">
        <v>28617</v>
      </c>
      <c r="B6842" s="947" t="s">
        <v>11771</v>
      </c>
      <c r="C6842" s="948" t="s">
        <v>11769</v>
      </c>
      <c r="D6842" s="242" t="s">
        <v>28738</v>
      </c>
      <c r="E6842" s="949">
        <v>1902</v>
      </c>
      <c r="F6842" s="949">
        <v>1902</v>
      </c>
      <c r="G6842" s="950" t="s">
        <v>5617</v>
      </c>
      <c r="H6842" s="950" t="s">
        <v>409</v>
      </c>
      <c r="I6842" s="951" t="s">
        <v>11770</v>
      </c>
      <c r="J6842" s="947" t="s">
        <v>11771</v>
      </c>
      <c r="K6842" s="143"/>
    </row>
    <row r="6843" spans="1:11">
      <c r="A6843" s="946" t="s">
        <v>28617</v>
      </c>
      <c r="B6843" s="947" t="s">
        <v>11780</v>
      </c>
      <c r="C6843" s="948" t="s">
        <v>11778</v>
      </c>
      <c r="D6843" s="242" t="s">
        <v>28738</v>
      </c>
      <c r="E6843" s="949">
        <v>1902</v>
      </c>
      <c r="F6843" s="949">
        <v>1902</v>
      </c>
      <c r="G6843" s="950" t="s">
        <v>5617</v>
      </c>
      <c r="H6843" s="950" t="s">
        <v>409</v>
      </c>
      <c r="I6843" s="951" t="s">
        <v>11779</v>
      </c>
      <c r="J6843" s="947" t="s">
        <v>11780</v>
      </c>
      <c r="K6843" s="143"/>
    </row>
    <row r="6844" spans="1:11">
      <c r="A6844" s="946" t="s">
        <v>28617</v>
      </c>
      <c r="B6844" s="947" t="s">
        <v>11786</v>
      </c>
      <c r="C6844" s="948" t="s">
        <v>11784</v>
      </c>
      <c r="D6844" s="242" t="s">
        <v>28738</v>
      </c>
      <c r="E6844" s="949">
        <v>1902</v>
      </c>
      <c r="F6844" s="949">
        <v>1902</v>
      </c>
      <c r="G6844" s="950" t="s">
        <v>5617</v>
      </c>
      <c r="H6844" s="950" t="s">
        <v>409</v>
      </c>
      <c r="I6844" s="951" t="s">
        <v>11785</v>
      </c>
      <c r="J6844" s="947" t="s">
        <v>11786</v>
      </c>
      <c r="K6844" s="143"/>
    </row>
    <row r="6845" spans="1:11">
      <c r="A6845" s="946" t="s">
        <v>28617</v>
      </c>
      <c r="B6845" s="947" t="s">
        <v>11818</v>
      </c>
      <c r="C6845" s="948" t="s">
        <v>11816</v>
      </c>
      <c r="D6845" s="242" t="s">
        <v>28738</v>
      </c>
      <c r="E6845" s="949">
        <v>1902</v>
      </c>
      <c r="F6845" s="949">
        <v>1902</v>
      </c>
      <c r="G6845" s="950" t="s">
        <v>5617</v>
      </c>
      <c r="H6845" s="950" t="s">
        <v>409</v>
      </c>
      <c r="I6845" s="951" t="s">
        <v>11817</v>
      </c>
      <c r="J6845" s="947" t="s">
        <v>11818</v>
      </c>
      <c r="K6845" s="143"/>
    </row>
    <row r="6846" spans="1:11">
      <c r="A6846" s="946" t="s">
        <v>28617</v>
      </c>
      <c r="B6846" s="947" t="s">
        <v>11859</v>
      </c>
      <c r="C6846" s="948" t="s">
        <v>11857</v>
      </c>
      <c r="D6846" s="242" t="s">
        <v>28738</v>
      </c>
      <c r="E6846" s="949">
        <v>1902</v>
      </c>
      <c r="F6846" s="949">
        <v>1902</v>
      </c>
      <c r="G6846" s="950" t="s">
        <v>5617</v>
      </c>
      <c r="H6846" s="950" t="s">
        <v>409</v>
      </c>
      <c r="I6846" s="951" t="s">
        <v>11858</v>
      </c>
      <c r="J6846" s="947" t="s">
        <v>11859</v>
      </c>
      <c r="K6846" s="143"/>
    </row>
    <row r="6847" spans="1:11">
      <c r="A6847" s="946" t="s">
        <v>28617</v>
      </c>
      <c r="B6847" s="947" t="s">
        <v>13050</v>
      </c>
      <c r="C6847" s="948" t="s">
        <v>13048</v>
      </c>
      <c r="D6847" s="242" t="s">
        <v>28738</v>
      </c>
      <c r="E6847" s="949">
        <v>1902</v>
      </c>
      <c r="F6847" s="949">
        <v>1902</v>
      </c>
      <c r="G6847" s="950" t="s">
        <v>5617</v>
      </c>
      <c r="H6847" s="950" t="s">
        <v>409</v>
      </c>
      <c r="I6847" s="951" t="s">
        <v>13049</v>
      </c>
      <c r="J6847" s="947" t="s">
        <v>13050</v>
      </c>
      <c r="K6847" s="143"/>
    </row>
    <row r="6848" spans="1:11">
      <c r="A6848" s="946" t="s">
        <v>28617</v>
      </c>
      <c r="B6848" s="947" t="s">
        <v>13263</v>
      </c>
      <c r="C6848" s="948" t="s">
        <v>13261</v>
      </c>
      <c r="D6848" s="242" t="s">
        <v>28738</v>
      </c>
      <c r="E6848" s="949">
        <v>1902</v>
      </c>
      <c r="F6848" s="949">
        <v>1902</v>
      </c>
      <c r="G6848" s="950" t="s">
        <v>5617</v>
      </c>
      <c r="H6848" s="950" t="s">
        <v>409</v>
      </c>
      <c r="I6848" s="951" t="s">
        <v>13262</v>
      </c>
      <c r="J6848" s="947" t="s">
        <v>13263</v>
      </c>
      <c r="K6848" s="143"/>
    </row>
    <row r="6849" spans="1:11">
      <c r="A6849" s="946" t="s">
        <v>28617</v>
      </c>
      <c r="B6849" s="947" t="s">
        <v>14071</v>
      </c>
      <c r="C6849" s="948" t="s">
        <v>14069</v>
      </c>
      <c r="D6849" s="242" t="s">
        <v>28738</v>
      </c>
      <c r="E6849" s="949">
        <v>1902</v>
      </c>
      <c r="F6849" s="949">
        <v>1902</v>
      </c>
      <c r="G6849" s="950" t="s">
        <v>5617</v>
      </c>
      <c r="H6849" s="950" t="s">
        <v>409</v>
      </c>
      <c r="I6849" s="951" t="s">
        <v>14070</v>
      </c>
      <c r="J6849" s="947" t="s">
        <v>14071</v>
      </c>
      <c r="K6849" s="143"/>
    </row>
    <row r="6850" spans="1:11">
      <c r="A6850" s="946" t="s">
        <v>28617</v>
      </c>
      <c r="B6850" s="947" t="s">
        <v>14327</v>
      </c>
      <c r="C6850" s="948" t="s">
        <v>14325</v>
      </c>
      <c r="D6850" s="242" t="s">
        <v>28738</v>
      </c>
      <c r="E6850" s="949">
        <v>1902</v>
      </c>
      <c r="F6850" s="949">
        <v>1902</v>
      </c>
      <c r="G6850" s="950" t="s">
        <v>5617</v>
      </c>
      <c r="H6850" s="950" t="s">
        <v>409</v>
      </c>
      <c r="I6850" s="951" t="s">
        <v>14326</v>
      </c>
      <c r="J6850" s="947" t="s">
        <v>14327</v>
      </c>
      <c r="K6850" s="143"/>
    </row>
    <row r="6851" spans="1:11">
      <c r="A6851" s="946" t="s">
        <v>28617</v>
      </c>
      <c r="B6851" s="947" t="s">
        <v>14394</v>
      </c>
      <c r="C6851" s="948" t="s">
        <v>14392</v>
      </c>
      <c r="D6851" s="242" t="s">
        <v>28738</v>
      </c>
      <c r="E6851" s="949">
        <v>1902</v>
      </c>
      <c r="F6851" s="949">
        <v>1902</v>
      </c>
      <c r="G6851" s="950" t="s">
        <v>5617</v>
      </c>
      <c r="H6851" s="950" t="s">
        <v>409</v>
      </c>
      <c r="I6851" s="951" t="s">
        <v>14393</v>
      </c>
      <c r="J6851" s="947" t="s">
        <v>14394</v>
      </c>
      <c r="K6851" s="143"/>
    </row>
    <row r="6852" spans="1:11">
      <c r="A6852" s="946" t="s">
        <v>28617</v>
      </c>
      <c r="B6852" s="947" t="s">
        <v>14818</v>
      </c>
      <c r="C6852" s="948" t="s">
        <v>14816</v>
      </c>
      <c r="D6852" s="242" t="s">
        <v>28738</v>
      </c>
      <c r="E6852" s="949">
        <v>1902</v>
      </c>
      <c r="F6852" s="949">
        <v>1902</v>
      </c>
      <c r="G6852" s="950" t="s">
        <v>5617</v>
      </c>
      <c r="H6852" s="950" t="s">
        <v>409</v>
      </c>
      <c r="I6852" s="951" t="s">
        <v>14817</v>
      </c>
      <c r="J6852" s="947" t="s">
        <v>14818</v>
      </c>
      <c r="K6852" s="143"/>
    </row>
    <row r="6853" spans="1:11">
      <c r="A6853" s="946" t="s">
        <v>28617</v>
      </c>
      <c r="B6853" s="947" t="s">
        <v>16044</v>
      </c>
      <c r="C6853" s="948" t="s">
        <v>16042</v>
      </c>
      <c r="D6853" s="242" t="s">
        <v>28738</v>
      </c>
      <c r="E6853" s="949">
        <v>1902</v>
      </c>
      <c r="F6853" s="949">
        <v>1902</v>
      </c>
      <c r="G6853" s="950" t="s">
        <v>5617</v>
      </c>
      <c r="H6853" s="950" t="s">
        <v>409</v>
      </c>
      <c r="I6853" s="951" t="s">
        <v>16043</v>
      </c>
      <c r="J6853" s="947" t="s">
        <v>16044</v>
      </c>
      <c r="K6853" s="143"/>
    </row>
    <row r="6854" spans="1:11">
      <c r="A6854" s="946" t="s">
        <v>28617</v>
      </c>
      <c r="B6854" s="947" t="s">
        <v>16068</v>
      </c>
      <c r="C6854" s="948" t="s">
        <v>16066</v>
      </c>
      <c r="D6854" s="242" t="s">
        <v>28738</v>
      </c>
      <c r="E6854" s="949">
        <v>1902</v>
      </c>
      <c r="F6854" s="949">
        <v>1902</v>
      </c>
      <c r="G6854" s="950" t="s">
        <v>5617</v>
      </c>
      <c r="H6854" s="950" t="s">
        <v>409</v>
      </c>
      <c r="I6854" s="951" t="s">
        <v>16067</v>
      </c>
      <c r="J6854" s="947" t="s">
        <v>16068</v>
      </c>
      <c r="K6854" s="143"/>
    </row>
    <row r="6855" spans="1:11">
      <c r="A6855" s="946" t="s">
        <v>28617</v>
      </c>
      <c r="B6855" s="947" t="s">
        <v>16077</v>
      </c>
      <c r="C6855" s="948" t="s">
        <v>16075</v>
      </c>
      <c r="D6855" s="242" t="s">
        <v>28738</v>
      </c>
      <c r="E6855" s="949">
        <v>1902</v>
      </c>
      <c r="F6855" s="949">
        <v>1902</v>
      </c>
      <c r="G6855" s="950" t="s">
        <v>5617</v>
      </c>
      <c r="H6855" s="950" t="s">
        <v>409</v>
      </c>
      <c r="I6855" s="951" t="s">
        <v>16076</v>
      </c>
      <c r="J6855" s="947" t="s">
        <v>16077</v>
      </c>
      <c r="K6855" s="143"/>
    </row>
    <row r="6856" spans="1:11">
      <c r="A6856" s="946" t="s">
        <v>28617</v>
      </c>
      <c r="B6856" s="947" t="s">
        <v>16378</v>
      </c>
      <c r="C6856" s="948" t="s">
        <v>16376</v>
      </c>
      <c r="D6856" s="242" t="s">
        <v>28738</v>
      </c>
      <c r="E6856" s="949">
        <v>1902</v>
      </c>
      <c r="F6856" s="949">
        <v>1902</v>
      </c>
      <c r="G6856" s="950" t="s">
        <v>5617</v>
      </c>
      <c r="H6856" s="950" t="s">
        <v>409</v>
      </c>
      <c r="I6856" s="951" t="s">
        <v>16377</v>
      </c>
      <c r="J6856" s="947" t="s">
        <v>16378</v>
      </c>
      <c r="K6856" s="143"/>
    </row>
    <row r="6857" spans="1:11">
      <c r="A6857" s="946" t="s">
        <v>28617</v>
      </c>
      <c r="B6857" s="947" t="s">
        <v>17487</v>
      </c>
      <c r="C6857" s="948" t="s">
        <v>17485</v>
      </c>
      <c r="D6857" s="242" t="s">
        <v>28738</v>
      </c>
      <c r="E6857" s="949">
        <v>1902</v>
      </c>
      <c r="F6857" s="949">
        <v>1902</v>
      </c>
      <c r="G6857" s="950" t="s">
        <v>5617</v>
      </c>
      <c r="H6857" s="950" t="s">
        <v>409</v>
      </c>
      <c r="I6857" s="951" t="s">
        <v>17486</v>
      </c>
      <c r="J6857" s="947" t="s">
        <v>17487</v>
      </c>
      <c r="K6857" s="143"/>
    </row>
    <row r="6858" spans="1:11">
      <c r="A6858" s="946" t="s">
        <v>28617</v>
      </c>
      <c r="B6858" s="947" t="s">
        <v>17735</v>
      </c>
      <c r="C6858" s="948" t="s">
        <v>17733</v>
      </c>
      <c r="D6858" s="242" t="s">
        <v>28738</v>
      </c>
      <c r="E6858" s="949">
        <v>1902</v>
      </c>
      <c r="F6858" s="949">
        <v>1902</v>
      </c>
      <c r="G6858" s="950" t="s">
        <v>5617</v>
      </c>
      <c r="H6858" s="950" t="s">
        <v>409</v>
      </c>
      <c r="I6858" s="951" t="s">
        <v>17734</v>
      </c>
      <c r="J6858" s="947" t="s">
        <v>17735</v>
      </c>
      <c r="K6858" s="143"/>
    </row>
    <row r="6859" spans="1:11">
      <c r="A6859" s="946" t="s">
        <v>28617</v>
      </c>
      <c r="B6859" s="947" t="s">
        <v>17784</v>
      </c>
      <c r="C6859" s="948" t="s">
        <v>17782</v>
      </c>
      <c r="D6859" s="242" t="s">
        <v>28738</v>
      </c>
      <c r="E6859" s="949">
        <v>1902</v>
      </c>
      <c r="F6859" s="949">
        <v>1902</v>
      </c>
      <c r="G6859" s="950" t="s">
        <v>5617</v>
      </c>
      <c r="H6859" s="950" t="s">
        <v>409</v>
      </c>
      <c r="I6859" s="951" t="s">
        <v>17783</v>
      </c>
      <c r="J6859" s="947" t="s">
        <v>17784</v>
      </c>
      <c r="K6859" s="143"/>
    </row>
    <row r="6860" spans="1:11">
      <c r="A6860" s="946" t="s">
        <v>28617</v>
      </c>
      <c r="B6860" s="947" t="s">
        <v>17980</v>
      </c>
      <c r="C6860" s="948" t="s">
        <v>17978</v>
      </c>
      <c r="D6860" s="242" t="s">
        <v>28738</v>
      </c>
      <c r="E6860" s="949">
        <v>1902</v>
      </c>
      <c r="F6860" s="949">
        <v>1902</v>
      </c>
      <c r="G6860" s="950" t="s">
        <v>5617</v>
      </c>
      <c r="H6860" s="950" t="s">
        <v>409</v>
      </c>
      <c r="I6860" s="951" t="s">
        <v>17979</v>
      </c>
      <c r="J6860" s="947" t="s">
        <v>17980</v>
      </c>
      <c r="K6860" s="143"/>
    </row>
    <row r="6861" spans="1:11">
      <c r="A6861" s="946" t="s">
        <v>28617</v>
      </c>
      <c r="B6861" s="947" t="s">
        <v>18081</v>
      </c>
      <c r="C6861" s="948" t="s">
        <v>18079</v>
      </c>
      <c r="D6861" s="242" t="s">
        <v>28738</v>
      </c>
      <c r="E6861" s="949">
        <v>1902</v>
      </c>
      <c r="F6861" s="949">
        <v>1902</v>
      </c>
      <c r="G6861" s="950" t="s">
        <v>5617</v>
      </c>
      <c r="H6861" s="950" t="s">
        <v>409</v>
      </c>
      <c r="I6861" s="951" t="s">
        <v>18080</v>
      </c>
      <c r="J6861" s="947" t="s">
        <v>18081</v>
      </c>
      <c r="K6861" s="143"/>
    </row>
    <row r="6862" spans="1:11">
      <c r="A6862" s="946" t="s">
        <v>28617</v>
      </c>
      <c r="B6862" s="947" t="s">
        <v>18564</v>
      </c>
      <c r="C6862" s="948" t="s">
        <v>18562</v>
      </c>
      <c r="D6862" s="242" t="s">
        <v>28738</v>
      </c>
      <c r="E6862" s="949">
        <v>1902</v>
      </c>
      <c r="F6862" s="949">
        <v>1902</v>
      </c>
      <c r="G6862" s="950" t="s">
        <v>5617</v>
      </c>
      <c r="H6862" s="950" t="s">
        <v>409</v>
      </c>
      <c r="I6862" s="951" t="s">
        <v>18563</v>
      </c>
      <c r="J6862" s="947" t="s">
        <v>18564</v>
      </c>
      <c r="K6862" s="143"/>
    </row>
    <row r="6863" spans="1:11">
      <c r="A6863" s="946" t="s">
        <v>28617</v>
      </c>
      <c r="B6863" s="947" t="s">
        <v>18585</v>
      </c>
      <c r="C6863" s="948" t="s">
        <v>18583</v>
      </c>
      <c r="D6863" s="242" t="s">
        <v>28738</v>
      </c>
      <c r="E6863" s="949">
        <v>1902</v>
      </c>
      <c r="F6863" s="949">
        <v>1902</v>
      </c>
      <c r="G6863" s="950" t="s">
        <v>5617</v>
      </c>
      <c r="H6863" s="950" t="s">
        <v>409</v>
      </c>
      <c r="I6863" s="951" t="s">
        <v>18584</v>
      </c>
      <c r="J6863" s="947" t="s">
        <v>18585</v>
      </c>
      <c r="K6863" s="143"/>
    </row>
    <row r="6864" spans="1:11">
      <c r="A6864" s="946" t="s">
        <v>28617</v>
      </c>
      <c r="B6864" s="947" t="s">
        <v>18476</v>
      </c>
      <c r="C6864" s="948" t="s">
        <v>18474</v>
      </c>
      <c r="D6864" s="242" t="s">
        <v>28738</v>
      </c>
      <c r="E6864" s="949">
        <v>1902</v>
      </c>
      <c r="F6864" s="949">
        <v>1902</v>
      </c>
      <c r="G6864" s="950" t="s">
        <v>5617</v>
      </c>
      <c r="H6864" s="950" t="s">
        <v>409</v>
      </c>
      <c r="I6864" s="951" t="s">
        <v>18475</v>
      </c>
      <c r="J6864" s="947" t="s">
        <v>18476</v>
      </c>
      <c r="K6864" s="143"/>
    </row>
    <row r="6865" spans="1:11">
      <c r="A6865" s="946" t="s">
        <v>28617</v>
      </c>
      <c r="B6865" s="947" t="s">
        <v>18529</v>
      </c>
      <c r="C6865" s="948" t="s">
        <v>18527</v>
      </c>
      <c r="D6865" s="242" t="s">
        <v>28738</v>
      </c>
      <c r="E6865" s="949">
        <v>1902</v>
      </c>
      <c r="F6865" s="949">
        <v>1902</v>
      </c>
      <c r="G6865" s="950" t="s">
        <v>5617</v>
      </c>
      <c r="H6865" s="950" t="s">
        <v>409</v>
      </c>
      <c r="I6865" s="951" t="s">
        <v>18528</v>
      </c>
      <c r="J6865" s="947" t="s">
        <v>18529</v>
      </c>
      <c r="K6865" s="143"/>
    </row>
    <row r="6866" spans="1:11">
      <c r="A6866" s="946" t="s">
        <v>28617</v>
      </c>
      <c r="B6866" s="947" t="s">
        <v>19133</v>
      </c>
      <c r="C6866" s="948" t="s">
        <v>19131</v>
      </c>
      <c r="D6866" s="242" t="s">
        <v>28738</v>
      </c>
      <c r="E6866" s="949">
        <v>1902</v>
      </c>
      <c r="F6866" s="949">
        <v>1902</v>
      </c>
      <c r="G6866" s="950" t="s">
        <v>5617</v>
      </c>
      <c r="H6866" s="950" t="s">
        <v>409</v>
      </c>
      <c r="I6866" s="951" t="s">
        <v>19132</v>
      </c>
      <c r="J6866" s="947" t="s">
        <v>19133</v>
      </c>
      <c r="K6866" s="143"/>
    </row>
    <row r="6867" spans="1:11">
      <c r="A6867" s="946" t="s">
        <v>28617</v>
      </c>
      <c r="B6867" s="947" t="s">
        <v>20895</v>
      </c>
      <c r="C6867" s="948" t="s">
        <v>20893</v>
      </c>
      <c r="D6867" s="242" t="s">
        <v>28738</v>
      </c>
      <c r="E6867" s="949">
        <v>1902</v>
      </c>
      <c r="F6867" s="949">
        <v>1902</v>
      </c>
      <c r="G6867" s="950" t="s">
        <v>5617</v>
      </c>
      <c r="H6867" s="950" t="s">
        <v>409</v>
      </c>
      <c r="I6867" s="951" t="s">
        <v>20894</v>
      </c>
      <c r="J6867" s="947" t="s">
        <v>20895</v>
      </c>
      <c r="K6867" s="143"/>
    </row>
    <row r="6868" spans="1:11">
      <c r="A6868" s="946" t="s">
        <v>28617</v>
      </c>
      <c r="B6868" s="947" t="s">
        <v>20922</v>
      </c>
      <c r="C6868" s="948" t="s">
        <v>20920</v>
      </c>
      <c r="D6868" s="242" t="s">
        <v>28738</v>
      </c>
      <c r="E6868" s="949">
        <v>1902</v>
      </c>
      <c r="F6868" s="949">
        <v>1902</v>
      </c>
      <c r="G6868" s="950" t="s">
        <v>5617</v>
      </c>
      <c r="H6868" s="950" t="s">
        <v>409</v>
      </c>
      <c r="I6868" s="951" t="s">
        <v>20921</v>
      </c>
      <c r="J6868" s="947" t="s">
        <v>20922</v>
      </c>
      <c r="K6868" s="143"/>
    </row>
    <row r="6869" spans="1:11">
      <c r="A6869" s="946" t="s">
        <v>28617</v>
      </c>
      <c r="B6869" s="947" t="s">
        <v>21539</v>
      </c>
      <c r="C6869" s="948" t="s">
        <v>21538</v>
      </c>
      <c r="D6869" s="242" t="s">
        <v>28738</v>
      </c>
      <c r="E6869" s="949">
        <v>1902</v>
      </c>
      <c r="F6869" s="949">
        <v>1902</v>
      </c>
      <c r="G6869" s="950" t="s">
        <v>5617</v>
      </c>
      <c r="H6869" s="950" t="s">
        <v>409</v>
      </c>
      <c r="I6869" s="951" t="s">
        <v>26386</v>
      </c>
      <c r="J6869" s="947" t="s">
        <v>21539</v>
      </c>
      <c r="K6869" s="143"/>
    </row>
    <row r="6870" spans="1:11">
      <c r="A6870" s="946" t="s">
        <v>28617</v>
      </c>
      <c r="B6870" s="947" t="s">
        <v>21890</v>
      </c>
      <c r="C6870" s="948" t="s">
        <v>21888</v>
      </c>
      <c r="D6870" s="242" t="s">
        <v>28738</v>
      </c>
      <c r="E6870" s="949">
        <v>1902</v>
      </c>
      <c r="F6870" s="949">
        <v>1902</v>
      </c>
      <c r="G6870" s="950" t="s">
        <v>5617</v>
      </c>
      <c r="H6870" s="950" t="s">
        <v>409</v>
      </c>
      <c r="I6870" s="951" t="s">
        <v>21889</v>
      </c>
      <c r="J6870" s="947" t="s">
        <v>21890</v>
      </c>
      <c r="K6870" s="143"/>
    </row>
    <row r="6871" spans="1:11">
      <c r="A6871" s="946" t="s">
        <v>28617</v>
      </c>
      <c r="B6871" s="947" t="s">
        <v>22463</v>
      </c>
      <c r="C6871" s="948" t="s">
        <v>22461</v>
      </c>
      <c r="D6871" s="242" t="s">
        <v>28738</v>
      </c>
      <c r="E6871" s="949">
        <v>1902</v>
      </c>
      <c r="F6871" s="949">
        <v>1902</v>
      </c>
      <c r="G6871" s="950" t="s">
        <v>5617</v>
      </c>
      <c r="H6871" s="950" t="s">
        <v>409</v>
      </c>
      <c r="I6871" s="951" t="s">
        <v>22462</v>
      </c>
      <c r="J6871" s="947" t="s">
        <v>22463</v>
      </c>
      <c r="K6871" s="143"/>
    </row>
    <row r="6872" spans="1:11">
      <c r="A6872" s="946" t="s">
        <v>28617</v>
      </c>
      <c r="B6872" s="947" t="s">
        <v>22551</v>
      </c>
      <c r="C6872" s="948" t="s">
        <v>22549</v>
      </c>
      <c r="D6872" s="242" t="s">
        <v>28738</v>
      </c>
      <c r="E6872" s="949">
        <v>1902</v>
      </c>
      <c r="F6872" s="949">
        <v>1902</v>
      </c>
      <c r="G6872" s="950" t="s">
        <v>5617</v>
      </c>
      <c r="H6872" s="950" t="s">
        <v>409</v>
      </c>
      <c r="I6872" s="951" t="s">
        <v>22550</v>
      </c>
      <c r="J6872" s="947" t="s">
        <v>22551</v>
      </c>
      <c r="K6872" s="143"/>
    </row>
    <row r="6873" spans="1:11">
      <c r="A6873" s="946" t="s">
        <v>28617</v>
      </c>
      <c r="B6873" s="947" t="s">
        <v>11470</v>
      </c>
      <c r="C6873" s="948" t="s">
        <v>11468</v>
      </c>
      <c r="D6873" s="242" t="s">
        <v>28738</v>
      </c>
      <c r="E6873" s="949">
        <v>1902</v>
      </c>
      <c r="F6873" s="949">
        <v>1902</v>
      </c>
      <c r="G6873" s="950" t="s">
        <v>5617</v>
      </c>
      <c r="H6873" s="950" t="s">
        <v>409</v>
      </c>
      <c r="I6873" s="951" t="s">
        <v>11469</v>
      </c>
      <c r="J6873" s="947" t="s">
        <v>11470</v>
      </c>
      <c r="K6873" s="143"/>
    </row>
    <row r="6874" spans="1:11">
      <c r="A6874" s="946" t="s">
        <v>28617</v>
      </c>
      <c r="B6874" s="947" t="s">
        <v>11054</v>
      </c>
      <c r="C6874" s="948" t="s">
        <v>11052</v>
      </c>
      <c r="D6874" s="242" t="s">
        <v>28738</v>
      </c>
      <c r="E6874" s="949">
        <v>1902</v>
      </c>
      <c r="F6874" s="949">
        <v>1902</v>
      </c>
      <c r="G6874" s="950" t="s">
        <v>5617</v>
      </c>
      <c r="H6874" s="950" t="s">
        <v>409</v>
      </c>
      <c r="I6874" s="951" t="s">
        <v>11053</v>
      </c>
      <c r="J6874" s="947" t="s">
        <v>11054</v>
      </c>
      <c r="K6874" s="143"/>
    </row>
    <row r="6875" spans="1:11">
      <c r="A6875" s="946" t="s">
        <v>28617</v>
      </c>
      <c r="B6875" s="947" t="s">
        <v>16056</v>
      </c>
      <c r="C6875" s="948" t="s">
        <v>16054</v>
      </c>
      <c r="D6875" s="242" t="s">
        <v>28738</v>
      </c>
      <c r="E6875" s="949">
        <v>1902</v>
      </c>
      <c r="F6875" s="949">
        <v>1902</v>
      </c>
      <c r="G6875" s="950" t="s">
        <v>5617</v>
      </c>
      <c r="H6875" s="950" t="s">
        <v>409</v>
      </c>
      <c r="I6875" s="951" t="s">
        <v>16055</v>
      </c>
      <c r="J6875" s="947" t="s">
        <v>16056</v>
      </c>
      <c r="K6875" s="143"/>
    </row>
    <row r="6876" spans="1:11">
      <c r="A6876" s="946" t="s">
        <v>28617</v>
      </c>
      <c r="B6876" s="947" t="s">
        <v>370</v>
      </c>
      <c r="C6876" s="948" t="s">
        <v>367</v>
      </c>
      <c r="D6876" s="242" t="s">
        <v>28735</v>
      </c>
      <c r="E6876" s="949">
        <v>1904</v>
      </c>
      <c r="F6876" s="949">
        <v>1904</v>
      </c>
      <c r="G6876" s="950" t="s">
        <v>16062</v>
      </c>
      <c r="H6876" s="950" t="s">
        <v>368</v>
      </c>
      <c r="I6876" s="951" t="s">
        <v>369</v>
      </c>
      <c r="J6876" s="947" t="s">
        <v>370</v>
      </c>
      <c r="K6876" s="143"/>
    </row>
    <row r="6877" spans="1:11">
      <c r="A6877" s="946" t="s">
        <v>28617</v>
      </c>
      <c r="B6877" s="947" t="s">
        <v>6214</v>
      </c>
      <c r="C6877" s="948" t="s">
        <v>6212</v>
      </c>
      <c r="D6877" s="242" t="s">
        <v>28735</v>
      </c>
      <c r="E6877" s="949">
        <v>1904</v>
      </c>
      <c r="F6877" s="949">
        <v>1904</v>
      </c>
      <c r="G6877" s="950" t="s">
        <v>16062</v>
      </c>
      <c r="H6877" s="950" t="s">
        <v>368</v>
      </c>
      <c r="I6877" s="951" t="s">
        <v>6213</v>
      </c>
      <c r="J6877" s="947" t="s">
        <v>6214</v>
      </c>
      <c r="K6877" s="143"/>
    </row>
    <row r="6878" spans="1:11">
      <c r="A6878" s="946" t="s">
        <v>28617</v>
      </c>
      <c r="B6878" s="947" t="s">
        <v>6896</v>
      </c>
      <c r="C6878" s="948" t="s">
        <v>6894</v>
      </c>
      <c r="D6878" s="242" t="s">
        <v>28735</v>
      </c>
      <c r="E6878" s="949">
        <v>1904</v>
      </c>
      <c r="F6878" s="949">
        <v>1904</v>
      </c>
      <c r="G6878" s="950" t="s">
        <v>16062</v>
      </c>
      <c r="H6878" s="950" t="s">
        <v>368</v>
      </c>
      <c r="I6878" s="951" t="s">
        <v>6895</v>
      </c>
      <c r="J6878" s="947" t="s">
        <v>6896</v>
      </c>
      <c r="K6878" s="143"/>
    </row>
    <row r="6879" spans="1:11">
      <c r="A6879" s="946" t="s">
        <v>28617</v>
      </c>
      <c r="B6879" s="947" t="s">
        <v>9194</v>
      </c>
      <c r="C6879" s="948" t="s">
        <v>9192</v>
      </c>
      <c r="D6879" s="242" t="s">
        <v>28735</v>
      </c>
      <c r="E6879" s="949">
        <v>1904</v>
      </c>
      <c r="F6879" s="949">
        <v>1904</v>
      </c>
      <c r="G6879" s="950" t="s">
        <v>16062</v>
      </c>
      <c r="H6879" s="950" t="s">
        <v>368</v>
      </c>
      <c r="I6879" s="951" t="s">
        <v>9193</v>
      </c>
      <c r="J6879" s="947" t="s">
        <v>9194</v>
      </c>
      <c r="K6879" s="143"/>
    </row>
    <row r="6880" spans="1:11">
      <c r="A6880" s="946" t="s">
        <v>28617</v>
      </c>
      <c r="B6880" s="947" t="s">
        <v>9928</v>
      </c>
      <c r="C6880" s="948" t="s">
        <v>9926</v>
      </c>
      <c r="D6880" s="242" t="s">
        <v>28735</v>
      </c>
      <c r="E6880" s="949">
        <v>1904</v>
      </c>
      <c r="F6880" s="949">
        <v>1904</v>
      </c>
      <c r="G6880" s="950" t="s">
        <v>16062</v>
      </c>
      <c r="H6880" s="950" t="s">
        <v>368</v>
      </c>
      <c r="I6880" s="951" t="s">
        <v>9927</v>
      </c>
      <c r="J6880" s="947" t="s">
        <v>9928</v>
      </c>
      <c r="K6880" s="143"/>
    </row>
    <row r="6881" spans="1:11">
      <c r="A6881" s="946" t="s">
        <v>28617</v>
      </c>
      <c r="B6881" s="947" t="s">
        <v>11874</v>
      </c>
      <c r="C6881" s="948" t="s">
        <v>11872</v>
      </c>
      <c r="D6881" s="242" t="s">
        <v>28735</v>
      </c>
      <c r="E6881" s="949">
        <v>1904</v>
      </c>
      <c r="F6881" s="949">
        <v>1904</v>
      </c>
      <c r="G6881" s="950" t="s">
        <v>16062</v>
      </c>
      <c r="H6881" s="950" t="s">
        <v>368</v>
      </c>
      <c r="I6881" s="951" t="s">
        <v>11873</v>
      </c>
      <c r="J6881" s="947" t="s">
        <v>11874</v>
      </c>
      <c r="K6881" s="143"/>
    </row>
    <row r="6882" spans="1:11">
      <c r="A6882" s="946" t="s">
        <v>28617</v>
      </c>
      <c r="B6882" s="947" t="s">
        <v>12712</v>
      </c>
      <c r="C6882" s="948" t="s">
        <v>12710</v>
      </c>
      <c r="D6882" s="242" t="s">
        <v>28735</v>
      </c>
      <c r="E6882" s="949">
        <v>1904</v>
      </c>
      <c r="F6882" s="949">
        <v>1904</v>
      </c>
      <c r="G6882" s="950" t="s">
        <v>16062</v>
      </c>
      <c r="H6882" s="950" t="s">
        <v>368</v>
      </c>
      <c r="I6882" s="951" t="s">
        <v>12711</v>
      </c>
      <c r="J6882" s="947" t="s">
        <v>12712</v>
      </c>
      <c r="K6882" s="143"/>
    </row>
    <row r="6883" spans="1:11">
      <c r="A6883" s="946" t="s">
        <v>28617</v>
      </c>
      <c r="B6883" s="947" t="s">
        <v>15665</v>
      </c>
      <c r="C6883" s="948" t="s">
        <v>15663</v>
      </c>
      <c r="D6883" s="242" t="s">
        <v>28735</v>
      </c>
      <c r="E6883" s="949">
        <v>1904</v>
      </c>
      <c r="F6883" s="949">
        <v>1904</v>
      </c>
      <c r="G6883" s="950" t="s">
        <v>16062</v>
      </c>
      <c r="H6883" s="950" t="s">
        <v>368</v>
      </c>
      <c r="I6883" s="951" t="s">
        <v>15664</v>
      </c>
      <c r="J6883" s="947" t="s">
        <v>15665</v>
      </c>
      <c r="K6883" s="143"/>
    </row>
    <row r="6884" spans="1:11">
      <c r="A6884" s="946" t="s">
        <v>28617</v>
      </c>
      <c r="B6884" s="947" t="s">
        <v>16062</v>
      </c>
      <c r="C6884" s="948" t="s">
        <v>16060</v>
      </c>
      <c r="D6884" s="242" t="s">
        <v>28735</v>
      </c>
      <c r="E6884" s="949">
        <v>1904</v>
      </c>
      <c r="F6884" s="949">
        <v>1904</v>
      </c>
      <c r="G6884" s="950" t="s">
        <v>16062</v>
      </c>
      <c r="H6884" s="950" t="s">
        <v>368</v>
      </c>
      <c r="I6884" s="951" t="s">
        <v>16061</v>
      </c>
      <c r="J6884" s="947" t="s">
        <v>16062</v>
      </c>
      <c r="K6884" s="143"/>
    </row>
    <row r="6885" spans="1:11">
      <c r="A6885" s="946" t="s">
        <v>28617</v>
      </c>
      <c r="B6885" s="947" t="s">
        <v>18397</v>
      </c>
      <c r="C6885" s="948" t="s">
        <v>18395</v>
      </c>
      <c r="D6885" s="242" t="s">
        <v>28735</v>
      </c>
      <c r="E6885" s="949">
        <v>1904</v>
      </c>
      <c r="F6885" s="949">
        <v>1904</v>
      </c>
      <c r="G6885" s="950" t="s">
        <v>16062</v>
      </c>
      <c r="H6885" s="950" t="s">
        <v>368</v>
      </c>
      <c r="I6885" s="951" t="s">
        <v>18396</v>
      </c>
      <c r="J6885" s="947" t="s">
        <v>18397</v>
      </c>
      <c r="K6885" s="143"/>
    </row>
    <row r="6886" spans="1:11">
      <c r="A6886" s="946" t="s">
        <v>28617</v>
      </c>
      <c r="B6886" s="947" t="s">
        <v>19097</v>
      </c>
      <c r="C6886" s="948" t="s">
        <v>19095</v>
      </c>
      <c r="D6886" s="242" t="s">
        <v>28735</v>
      </c>
      <c r="E6886" s="949">
        <v>1904</v>
      </c>
      <c r="F6886" s="949">
        <v>1904</v>
      </c>
      <c r="G6886" s="950" t="s">
        <v>16062</v>
      </c>
      <c r="H6886" s="950" t="s">
        <v>368</v>
      </c>
      <c r="I6886" s="951" t="s">
        <v>19096</v>
      </c>
      <c r="J6886" s="947" t="s">
        <v>19097</v>
      </c>
      <c r="K6886" s="143"/>
    </row>
    <row r="6887" spans="1:11">
      <c r="A6887" s="946" t="s">
        <v>28617</v>
      </c>
      <c r="B6887" s="947" t="s">
        <v>22433</v>
      </c>
      <c r="C6887" s="948" t="s">
        <v>22431</v>
      </c>
      <c r="D6887" s="242" t="s">
        <v>28735</v>
      </c>
      <c r="E6887" s="949">
        <v>1904</v>
      </c>
      <c r="F6887" s="949">
        <v>1904</v>
      </c>
      <c r="G6887" s="950" t="s">
        <v>16062</v>
      </c>
      <c r="H6887" s="950" t="s">
        <v>368</v>
      </c>
      <c r="I6887" s="951" t="s">
        <v>22432</v>
      </c>
      <c r="J6887" s="947" t="s">
        <v>22433</v>
      </c>
      <c r="K6887" s="143"/>
    </row>
    <row r="6888" spans="1:11">
      <c r="A6888" s="946" t="s">
        <v>28617</v>
      </c>
      <c r="B6888" s="947" t="s">
        <v>1623</v>
      </c>
      <c r="C6888" s="948" t="s">
        <v>1620</v>
      </c>
      <c r="D6888" s="242" t="s">
        <v>29741</v>
      </c>
      <c r="E6888" s="949">
        <v>1908</v>
      </c>
      <c r="F6888" s="949">
        <v>1908</v>
      </c>
      <c r="G6888" s="950" t="s">
        <v>19571</v>
      </c>
      <c r="H6888" s="950" t="s">
        <v>1621</v>
      </c>
      <c r="I6888" s="951" t="s">
        <v>1622</v>
      </c>
      <c r="J6888" s="947" t="s">
        <v>1623</v>
      </c>
      <c r="K6888" s="143"/>
    </row>
    <row r="6889" spans="1:11">
      <c r="A6889" s="946" t="s">
        <v>28617</v>
      </c>
      <c r="B6889" s="947" t="s">
        <v>1691</v>
      </c>
      <c r="C6889" s="948" t="s">
        <v>1689</v>
      </c>
      <c r="D6889" s="242" t="s">
        <v>29741</v>
      </c>
      <c r="E6889" s="949">
        <v>1908</v>
      </c>
      <c r="F6889" s="949">
        <v>1908</v>
      </c>
      <c r="G6889" s="950" t="s">
        <v>19571</v>
      </c>
      <c r="H6889" s="950" t="s">
        <v>1621</v>
      </c>
      <c r="I6889" s="951" t="s">
        <v>1690</v>
      </c>
      <c r="J6889" s="947" t="s">
        <v>1691</v>
      </c>
      <c r="K6889" s="143"/>
    </row>
    <row r="6890" spans="1:11">
      <c r="A6890" s="946" t="s">
        <v>28617</v>
      </c>
      <c r="B6890" s="947" t="s">
        <v>3188</v>
      </c>
      <c r="C6890" s="948" t="s">
        <v>3186</v>
      </c>
      <c r="D6890" s="242" t="s">
        <v>29741</v>
      </c>
      <c r="E6890" s="949">
        <v>1908</v>
      </c>
      <c r="F6890" s="949">
        <v>1908</v>
      </c>
      <c r="G6890" s="950" t="s">
        <v>19571</v>
      </c>
      <c r="H6890" s="950" t="s">
        <v>1621</v>
      </c>
      <c r="I6890" s="951" t="s">
        <v>3187</v>
      </c>
      <c r="J6890" s="947" t="s">
        <v>3188</v>
      </c>
      <c r="K6890" s="143"/>
    </row>
    <row r="6891" spans="1:11">
      <c r="A6891" s="946" t="s">
        <v>28617</v>
      </c>
      <c r="B6891" s="947" t="s">
        <v>3283</v>
      </c>
      <c r="C6891" s="948" t="s">
        <v>3281</v>
      </c>
      <c r="D6891" s="242" t="s">
        <v>29741</v>
      </c>
      <c r="E6891" s="949">
        <v>1908</v>
      </c>
      <c r="F6891" s="949">
        <v>1908</v>
      </c>
      <c r="G6891" s="950" t="s">
        <v>19571</v>
      </c>
      <c r="H6891" s="950" t="s">
        <v>1621</v>
      </c>
      <c r="I6891" s="951" t="s">
        <v>3282</v>
      </c>
      <c r="J6891" s="947" t="s">
        <v>3283</v>
      </c>
      <c r="K6891" s="143"/>
    </row>
    <row r="6892" spans="1:11">
      <c r="A6892" s="946" t="s">
        <v>28617</v>
      </c>
      <c r="B6892" s="947" t="s">
        <v>3924</v>
      </c>
      <c r="C6892" s="948" t="s">
        <v>3922</v>
      </c>
      <c r="D6892" s="242" t="s">
        <v>29741</v>
      </c>
      <c r="E6892" s="949">
        <v>1908</v>
      </c>
      <c r="F6892" s="949">
        <v>1908</v>
      </c>
      <c r="G6892" s="950" t="s">
        <v>19571</v>
      </c>
      <c r="H6892" s="950" t="s">
        <v>1621</v>
      </c>
      <c r="I6892" s="951" t="s">
        <v>3923</v>
      </c>
      <c r="J6892" s="947" t="s">
        <v>3924</v>
      </c>
      <c r="K6892" s="143"/>
    </row>
    <row r="6893" spans="1:11">
      <c r="A6893" s="946" t="s">
        <v>28617</v>
      </c>
      <c r="B6893" s="947" t="s">
        <v>4343</v>
      </c>
      <c r="C6893" s="948" t="s">
        <v>4341</v>
      </c>
      <c r="D6893" s="242" t="s">
        <v>29741</v>
      </c>
      <c r="E6893" s="949">
        <v>1908</v>
      </c>
      <c r="F6893" s="949">
        <v>1908</v>
      </c>
      <c r="G6893" s="950" t="s">
        <v>19571</v>
      </c>
      <c r="H6893" s="950" t="s">
        <v>1621</v>
      </c>
      <c r="I6893" s="951" t="s">
        <v>4342</v>
      </c>
      <c r="J6893" s="947" t="s">
        <v>4343</v>
      </c>
      <c r="K6893" s="143"/>
    </row>
    <row r="6894" spans="1:11">
      <c r="A6894" s="946" t="s">
        <v>28617</v>
      </c>
      <c r="B6894" s="947" t="s">
        <v>4841</v>
      </c>
      <c r="C6894" s="948" t="s">
        <v>4839</v>
      </c>
      <c r="D6894" s="242" t="s">
        <v>29741</v>
      </c>
      <c r="E6894" s="949">
        <v>1908</v>
      </c>
      <c r="F6894" s="949">
        <v>1908</v>
      </c>
      <c r="G6894" s="950" t="s">
        <v>19571</v>
      </c>
      <c r="H6894" s="950" t="s">
        <v>1621</v>
      </c>
      <c r="I6894" s="951" t="s">
        <v>4840</v>
      </c>
      <c r="J6894" s="947" t="s">
        <v>4841</v>
      </c>
      <c r="K6894" s="143"/>
    </row>
    <row r="6895" spans="1:11">
      <c r="A6895" s="946" t="s">
        <v>28617</v>
      </c>
      <c r="B6895" s="947" t="s">
        <v>8130</v>
      </c>
      <c r="C6895" s="948" t="s">
        <v>8128</v>
      </c>
      <c r="D6895" s="242" t="s">
        <v>29741</v>
      </c>
      <c r="E6895" s="949">
        <v>1908</v>
      </c>
      <c r="F6895" s="949">
        <v>1908</v>
      </c>
      <c r="G6895" s="950" t="s">
        <v>19571</v>
      </c>
      <c r="H6895" s="950" t="s">
        <v>1621</v>
      </c>
      <c r="I6895" s="951" t="s">
        <v>8129</v>
      </c>
      <c r="J6895" s="947" t="s">
        <v>8130</v>
      </c>
      <c r="K6895" s="143"/>
    </row>
    <row r="6896" spans="1:11">
      <c r="A6896" s="946" t="s">
        <v>28617</v>
      </c>
      <c r="B6896" s="947" t="s">
        <v>8334</v>
      </c>
      <c r="C6896" s="948" t="s">
        <v>8332</v>
      </c>
      <c r="D6896" s="242" t="s">
        <v>29741</v>
      </c>
      <c r="E6896" s="949">
        <v>1908</v>
      </c>
      <c r="F6896" s="949">
        <v>1908</v>
      </c>
      <c r="G6896" s="950" t="s">
        <v>19571</v>
      </c>
      <c r="H6896" s="950" t="s">
        <v>1621</v>
      </c>
      <c r="I6896" s="951" t="s">
        <v>8333</v>
      </c>
      <c r="J6896" s="947" t="s">
        <v>8334</v>
      </c>
      <c r="K6896" s="143"/>
    </row>
    <row r="6897" spans="1:11">
      <c r="A6897" s="946" t="s">
        <v>28617</v>
      </c>
      <c r="B6897" s="947" t="s">
        <v>8638</v>
      </c>
      <c r="C6897" s="948" t="s">
        <v>8636</v>
      </c>
      <c r="D6897" s="242" t="s">
        <v>29741</v>
      </c>
      <c r="E6897" s="949">
        <v>1908</v>
      </c>
      <c r="F6897" s="949">
        <v>1908</v>
      </c>
      <c r="G6897" s="950" t="s">
        <v>19571</v>
      </c>
      <c r="H6897" s="950" t="s">
        <v>1621</v>
      </c>
      <c r="I6897" s="951" t="s">
        <v>8637</v>
      </c>
      <c r="J6897" s="947" t="s">
        <v>8638</v>
      </c>
      <c r="K6897" s="143"/>
    </row>
    <row r="6898" spans="1:11">
      <c r="A6898" s="946" t="s">
        <v>28617</v>
      </c>
      <c r="B6898" s="947" t="s">
        <v>10311</v>
      </c>
      <c r="C6898" s="948" t="s">
        <v>10309</v>
      </c>
      <c r="D6898" s="242" t="s">
        <v>29741</v>
      </c>
      <c r="E6898" s="949">
        <v>1908</v>
      </c>
      <c r="F6898" s="949">
        <v>1908</v>
      </c>
      <c r="G6898" s="950" t="s">
        <v>19571</v>
      </c>
      <c r="H6898" s="950" t="s">
        <v>1621</v>
      </c>
      <c r="I6898" s="951" t="s">
        <v>10310</v>
      </c>
      <c r="J6898" s="947" t="s">
        <v>10311</v>
      </c>
      <c r="K6898" s="143"/>
    </row>
    <row r="6899" spans="1:11">
      <c r="A6899" s="946" t="s">
        <v>28617</v>
      </c>
      <c r="B6899" s="947" t="s">
        <v>11555</v>
      </c>
      <c r="C6899" s="948" t="s">
        <v>11553</v>
      </c>
      <c r="D6899" s="242" t="s">
        <v>29741</v>
      </c>
      <c r="E6899" s="949">
        <v>1908</v>
      </c>
      <c r="F6899" s="949">
        <v>1908</v>
      </c>
      <c r="G6899" s="950" t="s">
        <v>19571</v>
      </c>
      <c r="H6899" s="950" t="s">
        <v>1621</v>
      </c>
      <c r="I6899" s="951" t="s">
        <v>11554</v>
      </c>
      <c r="J6899" s="947" t="s">
        <v>11555</v>
      </c>
      <c r="K6899" s="143"/>
    </row>
    <row r="6900" spans="1:11">
      <c r="A6900" s="946" t="s">
        <v>28617</v>
      </c>
      <c r="B6900" s="947" t="s">
        <v>13385</v>
      </c>
      <c r="C6900" s="948" t="s">
        <v>13383</v>
      </c>
      <c r="D6900" s="242" t="s">
        <v>29741</v>
      </c>
      <c r="E6900" s="949">
        <v>1908</v>
      </c>
      <c r="F6900" s="949">
        <v>1908</v>
      </c>
      <c r="G6900" s="950" t="s">
        <v>19571</v>
      </c>
      <c r="H6900" s="950" t="s">
        <v>1621</v>
      </c>
      <c r="I6900" s="951" t="s">
        <v>13384</v>
      </c>
      <c r="J6900" s="947" t="s">
        <v>13385</v>
      </c>
      <c r="K6900" s="143"/>
    </row>
    <row r="6901" spans="1:11">
      <c r="A6901" s="946" t="s">
        <v>28617</v>
      </c>
      <c r="B6901" s="947" t="s">
        <v>13981</v>
      </c>
      <c r="C6901" s="948" t="s">
        <v>13979</v>
      </c>
      <c r="D6901" s="242" t="s">
        <v>29741</v>
      </c>
      <c r="E6901" s="949">
        <v>1908</v>
      </c>
      <c r="F6901" s="949">
        <v>1908</v>
      </c>
      <c r="G6901" s="950" t="s">
        <v>19571</v>
      </c>
      <c r="H6901" s="950" t="s">
        <v>1621</v>
      </c>
      <c r="I6901" s="951" t="s">
        <v>13980</v>
      </c>
      <c r="J6901" s="947" t="s">
        <v>13981</v>
      </c>
      <c r="K6901" s="143"/>
    </row>
    <row r="6902" spans="1:11">
      <c r="A6902" s="946" t="s">
        <v>28617</v>
      </c>
      <c r="B6902" s="947" t="s">
        <v>14099</v>
      </c>
      <c r="C6902" s="948" t="s">
        <v>14097</v>
      </c>
      <c r="D6902" s="242" t="s">
        <v>29741</v>
      </c>
      <c r="E6902" s="949">
        <v>1908</v>
      </c>
      <c r="F6902" s="949">
        <v>1908</v>
      </c>
      <c r="G6902" s="950" t="s">
        <v>19571</v>
      </c>
      <c r="H6902" s="950" t="s">
        <v>1621</v>
      </c>
      <c r="I6902" s="951" t="s">
        <v>14098</v>
      </c>
      <c r="J6902" s="947" t="s">
        <v>14099</v>
      </c>
      <c r="K6902" s="143"/>
    </row>
    <row r="6903" spans="1:11">
      <c r="A6903" s="946" t="s">
        <v>28617</v>
      </c>
      <c r="B6903" s="947" t="s">
        <v>16973</v>
      </c>
      <c r="C6903" s="948" t="s">
        <v>16971</v>
      </c>
      <c r="D6903" s="242" t="s">
        <v>29741</v>
      </c>
      <c r="E6903" s="949">
        <v>1908</v>
      </c>
      <c r="F6903" s="949">
        <v>1908</v>
      </c>
      <c r="G6903" s="950" t="s">
        <v>19571</v>
      </c>
      <c r="H6903" s="950" t="s">
        <v>1621</v>
      </c>
      <c r="I6903" s="951" t="s">
        <v>16972</v>
      </c>
      <c r="J6903" s="947" t="s">
        <v>16973</v>
      </c>
      <c r="K6903" s="143"/>
    </row>
    <row r="6904" spans="1:11">
      <c r="A6904" s="946" t="s">
        <v>28617</v>
      </c>
      <c r="B6904" s="947" t="s">
        <v>19571</v>
      </c>
      <c r="C6904" s="948" t="s">
        <v>19569</v>
      </c>
      <c r="D6904" s="242" t="s">
        <v>29741</v>
      </c>
      <c r="E6904" s="949">
        <v>1908</v>
      </c>
      <c r="F6904" s="949">
        <v>1908</v>
      </c>
      <c r="G6904" s="950" t="s">
        <v>19571</v>
      </c>
      <c r="H6904" s="950" t="s">
        <v>1621</v>
      </c>
      <c r="I6904" s="951" t="s">
        <v>19570</v>
      </c>
      <c r="J6904" s="947" t="s">
        <v>19571</v>
      </c>
      <c r="K6904" s="143"/>
    </row>
    <row r="6905" spans="1:11">
      <c r="A6905" s="946" t="s">
        <v>28617</v>
      </c>
      <c r="B6905" s="947" t="s">
        <v>19624</v>
      </c>
      <c r="C6905" s="948" t="s">
        <v>19622</v>
      </c>
      <c r="D6905" s="242" t="s">
        <v>29741</v>
      </c>
      <c r="E6905" s="949">
        <v>1908</v>
      </c>
      <c r="F6905" s="949">
        <v>1908</v>
      </c>
      <c r="G6905" s="950" t="s">
        <v>19571</v>
      </c>
      <c r="H6905" s="950" t="s">
        <v>1621</v>
      </c>
      <c r="I6905" s="951" t="s">
        <v>19623</v>
      </c>
      <c r="J6905" s="947" t="s">
        <v>19624</v>
      </c>
      <c r="K6905" s="143"/>
    </row>
    <row r="6906" spans="1:11">
      <c r="A6906" s="946" t="s">
        <v>28617</v>
      </c>
      <c r="B6906" s="947" t="s">
        <v>19788</v>
      </c>
      <c r="C6906" s="948" t="s">
        <v>19786</v>
      </c>
      <c r="D6906" s="242" t="s">
        <v>29741</v>
      </c>
      <c r="E6906" s="949">
        <v>1908</v>
      </c>
      <c r="F6906" s="949">
        <v>1908</v>
      </c>
      <c r="G6906" s="950" t="s">
        <v>19571</v>
      </c>
      <c r="H6906" s="950" t="s">
        <v>1621</v>
      </c>
      <c r="I6906" s="951" t="s">
        <v>19787</v>
      </c>
      <c r="J6906" s="947" t="s">
        <v>19788</v>
      </c>
      <c r="K6906" s="143"/>
    </row>
    <row r="6907" spans="1:11">
      <c r="A6907" s="946" t="s">
        <v>28617</v>
      </c>
      <c r="B6907" s="947" t="s">
        <v>15601</v>
      </c>
      <c r="C6907" s="948" t="s">
        <v>15599</v>
      </c>
      <c r="D6907" s="242" t="s">
        <v>29741</v>
      </c>
      <c r="E6907" s="949">
        <v>1908</v>
      </c>
      <c r="F6907" s="949">
        <v>1908</v>
      </c>
      <c r="G6907" s="950" t="s">
        <v>19571</v>
      </c>
      <c r="H6907" s="950" t="s">
        <v>1621</v>
      </c>
      <c r="I6907" s="951" t="s">
        <v>15600</v>
      </c>
      <c r="J6907" s="947" t="s">
        <v>15601</v>
      </c>
      <c r="K6907" s="143"/>
    </row>
    <row r="6908" spans="1:11">
      <c r="A6908" s="946" t="s">
        <v>28617</v>
      </c>
      <c r="B6908" s="947" t="s">
        <v>15885</v>
      </c>
      <c r="C6908" s="948" t="s">
        <v>15883</v>
      </c>
      <c r="D6908" s="242" t="s">
        <v>29741</v>
      </c>
      <c r="E6908" s="949">
        <v>1908</v>
      </c>
      <c r="F6908" s="949">
        <v>1908</v>
      </c>
      <c r="G6908" s="950" t="s">
        <v>19571</v>
      </c>
      <c r="H6908" s="950" t="s">
        <v>1621</v>
      </c>
      <c r="I6908" s="951" t="s">
        <v>15884</v>
      </c>
      <c r="J6908" s="947" t="s">
        <v>15885</v>
      </c>
      <c r="K6908" s="143"/>
    </row>
    <row r="6909" spans="1:11">
      <c r="A6909" s="946" t="s">
        <v>28609</v>
      </c>
      <c r="B6909" s="947" t="s">
        <v>1140</v>
      </c>
      <c r="C6909" s="948" t="s">
        <v>1137</v>
      </c>
      <c r="D6909" s="242" t="s">
        <v>28714</v>
      </c>
      <c r="E6909" s="949">
        <v>605</v>
      </c>
      <c r="F6909" s="949">
        <v>605</v>
      </c>
      <c r="G6909" s="950" t="s">
        <v>15517</v>
      </c>
      <c r="H6909" s="950" t="s">
        <v>1138</v>
      </c>
      <c r="I6909" s="951" t="s">
        <v>1139</v>
      </c>
      <c r="J6909" s="947" t="s">
        <v>1140</v>
      </c>
      <c r="K6909" s="143"/>
    </row>
    <row r="6910" spans="1:11">
      <c r="A6910" s="946" t="s">
        <v>28609</v>
      </c>
      <c r="B6910" s="947" t="s">
        <v>1303</v>
      </c>
      <c r="C6910" s="948" t="s">
        <v>1301</v>
      </c>
      <c r="D6910" s="242" t="s">
        <v>28714</v>
      </c>
      <c r="E6910" s="949">
        <v>605</v>
      </c>
      <c r="F6910" s="949">
        <v>605</v>
      </c>
      <c r="G6910" s="950" t="s">
        <v>15517</v>
      </c>
      <c r="H6910" s="950" t="s">
        <v>1138</v>
      </c>
      <c r="I6910" s="951" t="s">
        <v>1302</v>
      </c>
      <c r="J6910" s="947" t="s">
        <v>1303</v>
      </c>
      <c r="K6910" s="143"/>
    </row>
    <row r="6911" spans="1:11">
      <c r="A6911" s="946" t="s">
        <v>28609</v>
      </c>
      <c r="B6911" s="947" t="s">
        <v>1670</v>
      </c>
      <c r="C6911" s="948" t="s">
        <v>1668</v>
      </c>
      <c r="D6911" s="242" t="s">
        <v>28714</v>
      </c>
      <c r="E6911" s="949">
        <v>605</v>
      </c>
      <c r="F6911" s="949">
        <v>605</v>
      </c>
      <c r="G6911" s="950" t="s">
        <v>15517</v>
      </c>
      <c r="H6911" s="950" t="s">
        <v>1138</v>
      </c>
      <c r="I6911" s="951" t="s">
        <v>1669</v>
      </c>
      <c r="J6911" s="947" t="s">
        <v>1670</v>
      </c>
      <c r="K6911" s="143"/>
    </row>
    <row r="6912" spans="1:11">
      <c r="A6912" s="946" t="s">
        <v>28609</v>
      </c>
      <c r="B6912" s="947" t="s">
        <v>1712</v>
      </c>
      <c r="C6912" s="948" t="s">
        <v>1710</v>
      </c>
      <c r="D6912" s="242" t="s">
        <v>28714</v>
      </c>
      <c r="E6912" s="949">
        <v>605</v>
      </c>
      <c r="F6912" s="949">
        <v>605</v>
      </c>
      <c r="G6912" s="950" t="s">
        <v>15517</v>
      </c>
      <c r="H6912" s="950" t="s">
        <v>1138</v>
      </c>
      <c r="I6912" s="951" t="s">
        <v>1711</v>
      </c>
      <c r="J6912" s="947" t="s">
        <v>1712</v>
      </c>
      <c r="K6912" s="143"/>
    </row>
    <row r="6913" spans="1:11">
      <c r="A6913" s="946" t="s">
        <v>28609</v>
      </c>
      <c r="B6913" s="947" t="s">
        <v>1953</v>
      </c>
      <c r="C6913" s="948" t="s">
        <v>1951</v>
      </c>
      <c r="D6913" s="242" t="s">
        <v>28714</v>
      </c>
      <c r="E6913" s="949">
        <v>605</v>
      </c>
      <c r="F6913" s="949">
        <v>605</v>
      </c>
      <c r="G6913" s="950" t="s">
        <v>15517</v>
      </c>
      <c r="H6913" s="950" t="s">
        <v>1138</v>
      </c>
      <c r="I6913" s="951" t="s">
        <v>1952</v>
      </c>
      <c r="J6913" s="947" t="s">
        <v>1953</v>
      </c>
      <c r="K6913" s="143"/>
    </row>
    <row r="6914" spans="1:11">
      <c r="A6914" s="946" t="s">
        <v>28609</v>
      </c>
      <c r="B6914" s="947" t="s">
        <v>3139</v>
      </c>
      <c r="C6914" s="948" t="s">
        <v>3137</v>
      </c>
      <c r="D6914" s="242" t="s">
        <v>28714</v>
      </c>
      <c r="E6914" s="949">
        <v>605</v>
      </c>
      <c r="F6914" s="949">
        <v>605</v>
      </c>
      <c r="G6914" s="950" t="s">
        <v>15517</v>
      </c>
      <c r="H6914" s="950" t="s">
        <v>1138</v>
      </c>
      <c r="I6914" s="951" t="s">
        <v>3138</v>
      </c>
      <c r="J6914" s="947" t="s">
        <v>3139</v>
      </c>
      <c r="K6914" s="143"/>
    </row>
    <row r="6915" spans="1:11">
      <c r="A6915" s="946" t="s">
        <v>28609</v>
      </c>
      <c r="B6915" s="947" t="s">
        <v>3207</v>
      </c>
      <c r="C6915" s="948" t="s">
        <v>3205</v>
      </c>
      <c r="D6915" s="242" t="s">
        <v>28714</v>
      </c>
      <c r="E6915" s="949">
        <v>605</v>
      </c>
      <c r="F6915" s="949">
        <v>605</v>
      </c>
      <c r="G6915" s="950" t="s">
        <v>15517</v>
      </c>
      <c r="H6915" s="950" t="s">
        <v>1138</v>
      </c>
      <c r="I6915" s="951" t="s">
        <v>3206</v>
      </c>
      <c r="J6915" s="947" t="s">
        <v>3207</v>
      </c>
      <c r="K6915" s="143"/>
    </row>
    <row r="6916" spans="1:11">
      <c r="A6916" s="946" t="s">
        <v>28609</v>
      </c>
      <c r="B6916" s="947" t="s">
        <v>3918</v>
      </c>
      <c r="C6916" s="948" t="s">
        <v>3916</v>
      </c>
      <c r="D6916" s="242" t="s">
        <v>28714</v>
      </c>
      <c r="E6916" s="949">
        <v>605</v>
      </c>
      <c r="F6916" s="949">
        <v>605</v>
      </c>
      <c r="G6916" s="950" t="s">
        <v>15517</v>
      </c>
      <c r="H6916" s="950" t="s">
        <v>1138</v>
      </c>
      <c r="I6916" s="951" t="s">
        <v>3917</v>
      </c>
      <c r="J6916" s="947" t="s">
        <v>3918</v>
      </c>
      <c r="K6916" s="143"/>
    </row>
    <row r="6917" spans="1:11">
      <c r="A6917" s="946" t="s">
        <v>28609</v>
      </c>
      <c r="B6917" s="947" t="s">
        <v>4703</v>
      </c>
      <c r="C6917" s="948" t="s">
        <v>4701</v>
      </c>
      <c r="D6917" s="242" t="s">
        <v>28714</v>
      </c>
      <c r="E6917" s="949">
        <v>605</v>
      </c>
      <c r="F6917" s="949">
        <v>605</v>
      </c>
      <c r="G6917" s="950" t="s">
        <v>15517</v>
      </c>
      <c r="H6917" s="950" t="s">
        <v>1138</v>
      </c>
      <c r="I6917" s="951" t="s">
        <v>4702</v>
      </c>
      <c r="J6917" s="947" t="s">
        <v>4703</v>
      </c>
      <c r="K6917" s="143"/>
    </row>
    <row r="6918" spans="1:11">
      <c r="A6918" s="946" t="s">
        <v>28609</v>
      </c>
      <c r="B6918" s="947" t="s">
        <v>5317</v>
      </c>
      <c r="C6918" s="948" t="s">
        <v>5315</v>
      </c>
      <c r="D6918" s="242" t="s">
        <v>28714</v>
      </c>
      <c r="E6918" s="949">
        <v>605</v>
      </c>
      <c r="F6918" s="949">
        <v>605</v>
      </c>
      <c r="G6918" s="950" t="s">
        <v>15517</v>
      </c>
      <c r="H6918" s="950" t="s">
        <v>1138</v>
      </c>
      <c r="I6918" s="951" t="s">
        <v>5316</v>
      </c>
      <c r="J6918" s="947" t="s">
        <v>5317</v>
      </c>
      <c r="K6918" s="143"/>
    </row>
    <row r="6919" spans="1:11">
      <c r="A6919" s="946" t="s">
        <v>28609</v>
      </c>
      <c r="B6919" s="947" t="s">
        <v>5695</v>
      </c>
      <c r="C6919" s="948" t="s">
        <v>5693</v>
      </c>
      <c r="D6919" s="242" t="s">
        <v>28714</v>
      </c>
      <c r="E6919" s="949">
        <v>605</v>
      </c>
      <c r="F6919" s="949">
        <v>605</v>
      </c>
      <c r="G6919" s="950" t="s">
        <v>15517</v>
      </c>
      <c r="H6919" s="950" t="s">
        <v>1138</v>
      </c>
      <c r="I6919" s="951" t="s">
        <v>5694</v>
      </c>
      <c r="J6919" s="947" t="s">
        <v>5695</v>
      </c>
      <c r="K6919" s="143"/>
    </row>
    <row r="6920" spans="1:11">
      <c r="A6920" s="946" t="s">
        <v>28609</v>
      </c>
      <c r="B6920" s="947" t="s">
        <v>6283</v>
      </c>
      <c r="C6920" s="948" t="s">
        <v>6281</v>
      </c>
      <c r="D6920" s="242" t="s">
        <v>28714</v>
      </c>
      <c r="E6920" s="949">
        <v>605</v>
      </c>
      <c r="F6920" s="949">
        <v>605</v>
      </c>
      <c r="G6920" s="950" t="s">
        <v>15517</v>
      </c>
      <c r="H6920" s="950" t="s">
        <v>1138</v>
      </c>
      <c r="I6920" s="951" t="s">
        <v>6282</v>
      </c>
      <c r="J6920" s="947" t="s">
        <v>6283</v>
      </c>
      <c r="K6920" s="143"/>
    </row>
    <row r="6921" spans="1:11">
      <c r="A6921" s="946" t="s">
        <v>28609</v>
      </c>
      <c r="B6921" s="947" t="s">
        <v>6398</v>
      </c>
      <c r="C6921" s="948" t="s">
        <v>6396</v>
      </c>
      <c r="D6921" s="242" t="s">
        <v>28714</v>
      </c>
      <c r="E6921" s="949">
        <v>605</v>
      </c>
      <c r="F6921" s="949">
        <v>605</v>
      </c>
      <c r="G6921" s="950" t="s">
        <v>15517</v>
      </c>
      <c r="H6921" s="950" t="s">
        <v>1138</v>
      </c>
      <c r="I6921" s="951" t="s">
        <v>6397</v>
      </c>
      <c r="J6921" s="947" t="s">
        <v>6398</v>
      </c>
      <c r="K6921" s="143"/>
    </row>
    <row r="6922" spans="1:11">
      <c r="A6922" s="946" t="s">
        <v>28609</v>
      </c>
      <c r="B6922" s="947" t="s">
        <v>6612</v>
      </c>
      <c r="C6922" s="948" t="s">
        <v>6610</v>
      </c>
      <c r="D6922" s="242" t="s">
        <v>28714</v>
      </c>
      <c r="E6922" s="949">
        <v>605</v>
      </c>
      <c r="F6922" s="949">
        <v>605</v>
      </c>
      <c r="G6922" s="950" t="s">
        <v>15517</v>
      </c>
      <c r="H6922" s="950" t="s">
        <v>1138</v>
      </c>
      <c r="I6922" s="951" t="s">
        <v>6611</v>
      </c>
      <c r="J6922" s="947" t="s">
        <v>6612</v>
      </c>
      <c r="K6922" s="143"/>
    </row>
    <row r="6923" spans="1:11">
      <c r="A6923" s="946" t="s">
        <v>28609</v>
      </c>
      <c r="B6923" s="947" t="s">
        <v>6615</v>
      </c>
      <c r="C6923" s="948" t="s">
        <v>6613</v>
      </c>
      <c r="D6923" s="242" t="s">
        <v>28714</v>
      </c>
      <c r="E6923" s="949">
        <v>605</v>
      </c>
      <c r="F6923" s="949">
        <v>605</v>
      </c>
      <c r="G6923" s="950" t="s">
        <v>15517</v>
      </c>
      <c r="H6923" s="950" t="s">
        <v>1138</v>
      </c>
      <c r="I6923" s="951" t="s">
        <v>6614</v>
      </c>
      <c r="J6923" s="947" t="s">
        <v>6615</v>
      </c>
      <c r="K6923" s="143"/>
    </row>
    <row r="6924" spans="1:11">
      <c r="A6924" s="946" t="s">
        <v>28609</v>
      </c>
      <c r="B6924" s="947" t="s">
        <v>7039</v>
      </c>
      <c r="C6924" s="948" t="s">
        <v>7037</v>
      </c>
      <c r="D6924" s="242" t="s">
        <v>28714</v>
      </c>
      <c r="E6924" s="949">
        <v>605</v>
      </c>
      <c r="F6924" s="949">
        <v>605</v>
      </c>
      <c r="G6924" s="950" t="s">
        <v>15517</v>
      </c>
      <c r="H6924" s="950" t="s">
        <v>1138</v>
      </c>
      <c r="I6924" s="951" t="s">
        <v>7038</v>
      </c>
      <c r="J6924" s="947" t="s">
        <v>7039</v>
      </c>
      <c r="K6924" s="143"/>
    </row>
    <row r="6925" spans="1:11">
      <c r="A6925" s="946" t="s">
        <v>28609</v>
      </c>
      <c r="B6925" s="947" t="s">
        <v>7045</v>
      </c>
      <c r="C6925" s="948" t="s">
        <v>7043</v>
      </c>
      <c r="D6925" s="242" t="s">
        <v>28714</v>
      </c>
      <c r="E6925" s="949">
        <v>605</v>
      </c>
      <c r="F6925" s="949">
        <v>605</v>
      </c>
      <c r="G6925" s="950" t="s">
        <v>15517</v>
      </c>
      <c r="H6925" s="950" t="s">
        <v>1138</v>
      </c>
      <c r="I6925" s="951" t="s">
        <v>7044</v>
      </c>
      <c r="J6925" s="947" t="s">
        <v>7045</v>
      </c>
      <c r="K6925" s="143"/>
    </row>
    <row r="6926" spans="1:11">
      <c r="A6926" s="946" t="s">
        <v>28609</v>
      </c>
      <c r="B6926" s="947" t="s">
        <v>7896</v>
      </c>
      <c r="C6926" s="948" t="s">
        <v>7894</v>
      </c>
      <c r="D6926" s="242" t="s">
        <v>28714</v>
      </c>
      <c r="E6926" s="949">
        <v>605</v>
      </c>
      <c r="F6926" s="949">
        <v>605</v>
      </c>
      <c r="G6926" s="950" t="s">
        <v>15517</v>
      </c>
      <c r="H6926" s="950" t="s">
        <v>1138</v>
      </c>
      <c r="I6926" s="951" t="s">
        <v>7895</v>
      </c>
      <c r="J6926" s="947" t="s">
        <v>7896</v>
      </c>
      <c r="K6926" s="143"/>
    </row>
    <row r="6927" spans="1:11">
      <c r="A6927" s="946" t="s">
        <v>28609</v>
      </c>
      <c r="B6927" s="947" t="s">
        <v>8022</v>
      </c>
      <c r="C6927" s="948" t="s">
        <v>8020</v>
      </c>
      <c r="D6927" s="242" t="s">
        <v>28714</v>
      </c>
      <c r="E6927" s="949">
        <v>605</v>
      </c>
      <c r="F6927" s="949">
        <v>605</v>
      </c>
      <c r="G6927" s="950" t="s">
        <v>15517</v>
      </c>
      <c r="H6927" s="950" t="s">
        <v>1138</v>
      </c>
      <c r="I6927" s="951" t="s">
        <v>8021</v>
      </c>
      <c r="J6927" s="947" t="s">
        <v>8022</v>
      </c>
      <c r="K6927" s="143"/>
    </row>
    <row r="6928" spans="1:11">
      <c r="A6928" s="946" t="s">
        <v>28609</v>
      </c>
      <c r="B6928" s="947" t="s">
        <v>8304</v>
      </c>
      <c r="C6928" s="948" t="s">
        <v>8302</v>
      </c>
      <c r="D6928" s="242" t="s">
        <v>28714</v>
      </c>
      <c r="E6928" s="949">
        <v>605</v>
      </c>
      <c r="F6928" s="949">
        <v>605</v>
      </c>
      <c r="G6928" s="950" t="s">
        <v>15517</v>
      </c>
      <c r="H6928" s="950" t="s">
        <v>1138</v>
      </c>
      <c r="I6928" s="951" t="s">
        <v>8303</v>
      </c>
      <c r="J6928" s="947" t="s">
        <v>8304</v>
      </c>
      <c r="K6928" s="143"/>
    </row>
    <row r="6929" spans="1:11">
      <c r="A6929" s="946" t="s">
        <v>28609</v>
      </c>
      <c r="B6929" s="947" t="s">
        <v>8400</v>
      </c>
      <c r="C6929" s="948" t="s">
        <v>8398</v>
      </c>
      <c r="D6929" s="242" t="s">
        <v>28714</v>
      </c>
      <c r="E6929" s="949">
        <v>605</v>
      </c>
      <c r="F6929" s="949">
        <v>605</v>
      </c>
      <c r="G6929" s="950" t="s">
        <v>15517</v>
      </c>
      <c r="H6929" s="950" t="s">
        <v>1138</v>
      </c>
      <c r="I6929" s="951" t="s">
        <v>8399</v>
      </c>
      <c r="J6929" s="947" t="s">
        <v>8400</v>
      </c>
      <c r="K6929" s="143"/>
    </row>
    <row r="6930" spans="1:11">
      <c r="A6930" s="946" t="s">
        <v>28609</v>
      </c>
      <c r="B6930" s="947" t="s">
        <v>8722</v>
      </c>
      <c r="C6930" s="948" t="s">
        <v>8720</v>
      </c>
      <c r="D6930" s="242" t="s">
        <v>28714</v>
      </c>
      <c r="E6930" s="949">
        <v>605</v>
      </c>
      <c r="F6930" s="949">
        <v>605</v>
      </c>
      <c r="G6930" s="950" t="s">
        <v>15517</v>
      </c>
      <c r="H6930" s="950" t="s">
        <v>1138</v>
      </c>
      <c r="I6930" s="951" t="s">
        <v>8721</v>
      </c>
      <c r="J6930" s="947" t="s">
        <v>8722</v>
      </c>
      <c r="K6930" s="143"/>
    </row>
    <row r="6931" spans="1:11">
      <c r="A6931" s="946" t="s">
        <v>28609</v>
      </c>
      <c r="B6931" s="947" t="s">
        <v>11057</v>
      </c>
      <c r="C6931" s="948" t="s">
        <v>11055</v>
      </c>
      <c r="D6931" s="242" t="s">
        <v>28714</v>
      </c>
      <c r="E6931" s="949">
        <v>605</v>
      </c>
      <c r="F6931" s="949">
        <v>605</v>
      </c>
      <c r="G6931" s="950" t="s">
        <v>15517</v>
      </c>
      <c r="H6931" s="950" t="s">
        <v>1138</v>
      </c>
      <c r="I6931" s="951" t="s">
        <v>11056</v>
      </c>
      <c r="J6931" s="947" t="s">
        <v>11057</v>
      </c>
      <c r="K6931" s="143"/>
    </row>
    <row r="6932" spans="1:11">
      <c r="A6932" s="946" t="s">
        <v>28609</v>
      </c>
      <c r="B6932" s="947" t="s">
        <v>11516</v>
      </c>
      <c r="C6932" s="948" t="s">
        <v>11514</v>
      </c>
      <c r="D6932" s="242" t="s">
        <v>28714</v>
      </c>
      <c r="E6932" s="949">
        <v>605</v>
      </c>
      <c r="F6932" s="949">
        <v>605</v>
      </c>
      <c r="G6932" s="950" t="s">
        <v>15517</v>
      </c>
      <c r="H6932" s="950" t="s">
        <v>1138</v>
      </c>
      <c r="I6932" s="951" t="s">
        <v>11515</v>
      </c>
      <c r="J6932" s="947" t="s">
        <v>11516</v>
      </c>
      <c r="K6932" s="143"/>
    </row>
    <row r="6933" spans="1:11">
      <c r="A6933" s="946" t="s">
        <v>28609</v>
      </c>
      <c r="B6933" s="947" t="s">
        <v>12688</v>
      </c>
      <c r="C6933" s="948" t="s">
        <v>12686</v>
      </c>
      <c r="D6933" s="242" t="s">
        <v>28714</v>
      </c>
      <c r="E6933" s="949">
        <v>605</v>
      </c>
      <c r="F6933" s="949">
        <v>605</v>
      </c>
      <c r="G6933" s="950" t="s">
        <v>15517</v>
      </c>
      <c r="H6933" s="950" t="s">
        <v>1138</v>
      </c>
      <c r="I6933" s="951" t="s">
        <v>12687</v>
      </c>
      <c r="J6933" s="947" t="s">
        <v>12688</v>
      </c>
      <c r="K6933" s="143"/>
    </row>
    <row r="6934" spans="1:11">
      <c r="A6934" s="946" t="s">
        <v>28609</v>
      </c>
      <c r="B6934" s="947" t="s">
        <v>12992</v>
      </c>
      <c r="C6934" s="948" t="s">
        <v>12990</v>
      </c>
      <c r="D6934" s="242" t="s">
        <v>28714</v>
      </c>
      <c r="E6934" s="949">
        <v>605</v>
      </c>
      <c r="F6934" s="949">
        <v>605</v>
      </c>
      <c r="G6934" s="950" t="s">
        <v>15517</v>
      </c>
      <c r="H6934" s="950" t="s">
        <v>1138</v>
      </c>
      <c r="I6934" s="951" t="s">
        <v>12991</v>
      </c>
      <c r="J6934" s="947" t="s">
        <v>12992</v>
      </c>
      <c r="K6934" s="143"/>
    </row>
    <row r="6935" spans="1:11">
      <c r="A6935" s="946" t="s">
        <v>28609</v>
      </c>
      <c r="B6935" s="947" t="s">
        <v>14297</v>
      </c>
      <c r="C6935" s="948" t="s">
        <v>14295</v>
      </c>
      <c r="D6935" s="242" t="s">
        <v>28714</v>
      </c>
      <c r="E6935" s="949">
        <v>605</v>
      </c>
      <c r="F6935" s="949">
        <v>605</v>
      </c>
      <c r="G6935" s="950" t="s">
        <v>15517</v>
      </c>
      <c r="H6935" s="950" t="s">
        <v>1138</v>
      </c>
      <c r="I6935" s="951" t="s">
        <v>14296</v>
      </c>
      <c r="J6935" s="947" t="s">
        <v>14297</v>
      </c>
      <c r="K6935" s="143"/>
    </row>
    <row r="6936" spans="1:11">
      <c r="A6936" s="946" t="s">
        <v>28609</v>
      </c>
      <c r="B6936" s="947" t="s">
        <v>15021</v>
      </c>
      <c r="C6936" s="948" t="s">
        <v>15019</v>
      </c>
      <c r="D6936" s="242" t="s">
        <v>28714</v>
      </c>
      <c r="E6936" s="949">
        <v>605</v>
      </c>
      <c r="F6936" s="949">
        <v>605</v>
      </c>
      <c r="G6936" s="950" t="s">
        <v>15517</v>
      </c>
      <c r="H6936" s="950" t="s">
        <v>1138</v>
      </c>
      <c r="I6936" s="951" t="s">
        <v>15020</v>
      </c>
      <c r="J6936" s="947" t="s">
        <v>15021</v>
      </c>
      <c r="K6936" s="143"/>
    </row>
    <row r="6937" spans="1:11">
      <c r="A6937" s="946" t="s">
        <v>28609</v>
      </c>
      <c r="B6937" s="947" t="s">
        <v>15250</v>
      </c>
      <c r="C6937" s="948" t="s">
        <v>15248</v>
      </c>
      <c r="D6937" s="242" t="s">
        <v>28714</v>
      </c>
      <c r="E6937" s="949">
        <v>605</v>
      </c>
      <c r="F6937" s="949">
        <v>605</v>
      </c>
      <c r="G6937" s="950" t="s">
        <v>15517</v>
      </c>
      <c r="H6937" s="950" t="s">
        <v>1138</v>
      </c>
      <c r="I6937" s="951" t="s">
        <v>15249</v>
      </c>
      <c r="J6937" s="947" t="s">
        <v>15250</v>
      </c>
      <c r="K6937" s="143"/>
    </row>
    <row r="6938" spans="1:11">
      <c r="A6938" s="946" t="s">
        <v>28609</v>
      </c>
      <c r="B6938" s="947" t="s">
        <v>15514</v>
      </c>
      <c r="C6938" s="948" t="s">
        <v>15512</v>
      </c>
      <c r="D6938" s="242" t="s">
        <v>28714</v>
      </c>
      <c r="E6938" s="949">
        <v>605</v>
      </c>
      <c r="F6938" s="949">
        <v>605</v>
      </c>
      <c r="G6938" s="950" t="s">
        <v>15517</v>
      </c>
      <c r="H6938" s="950" t="s">
        <v>1138</v>
      </c>
      <c r="I6938" s="951" t="s">
        <v>15513</v>
      </c>
      <c r="J6938" s="947" t="s">
        <v>15514</v>
      </c>
      <c r="K6938" s="143"/>
    </row>
    <row r="6939" spans="1:11">
      <c r="A6939" s="946" t="s">
        <v>28609</v>
      </c>
      <c r="B6939" s="947" t="s">
        <v>15517</v>
      </c>
      <c r="C6939" s="948" t="s">
        <v>15515</v>
      </c>
      <c r="D6939" s="242" t="s">
        <v>28714</v>
      </c>
      <c r="E6939" s="949">
        <v>605</v>
      </c>
      <c r="F6939" s="949">
        <v>605</v>
      </c>
      <c r="G6939" s="950" t="s">
        <v>15517</v>
      </c>
      <c r="H6939" s="950" t="s">
        <v>1138</v>
      </c>
      <c r="I6939" s="951" t="s">
        <v>15516</v>
      </c>
      <c r="J6939" s="947" t="s">
        <v>15517</v>
      </c>
      <c r="K6939" s="143"/>
    </row>
    <row r="6940" spans="1:11">
      <c r="A6940" s="946" t="s">
        <v>28609</v>
      </c>
      <c r="B6940" s="947" t="s">
        <v>15754</v>
      </c>
      <c r="C6940" s="948" t="s">
        <v>15752</v>
      </c>
      <c r="D6940" s="242" t="s">
        <v>28714</v>
      </c>
      <c r="E6940" s="949">
        <v>605</v>
      </c>
      <c r="F6940" s="949">
        <v>605</v>
      </c>
      <c r="G6940" s="950" t="s">
        <v>15517</v>
      </c>
      <c r="H6940" s="950" t="s">
        <v>1138</v>
      </c>
      <c r="I6940" s="951" t="s">
        <v>15753</v>
      </c>
      <c r="J6940" s="947" t="s">
        <v>15754</v>
      </c>
      <c r="K6940" s="143"/>
    </row>
    <row r="6941" spans="1:11">
      <c r="A6941" s="946" t="s">
        <v>28609</v>
      </c>
      <c r="B6941" s="947" t="s">
        <v>15784</v>
      </c>
      <c r="C6941" s="948" t="s">
        <v>15782</v>
      </c>
      <c r="D6941" s="242" t="s">
        <v>28714</v>
      </c>
      <c r="E6941" s="949">
        <v>605</v>
      </c>
      <c r="F6941" s="949">
        <v>605</v>
      </c>
      <c r="G6941" s="950" t="s">
        <v>15517</v>
      </c>
      <c r="H6941" s="950" t="s">
        <v>1138</v>
      </c>
      <c r="I6941" s="951" t="s">
        <v>15783</v>
      </c>
      <c r="J6941" s="947" t="s">
        <v>15784</v>
      </c>
      <c r="K6941" s="143"/>
    </row>
    <row r="6942" spans="1:11">
      <c r="A6942" s="946" t="s">
        <v>28609</v>
      </c>
      <c r="B6942" s="947" t="s">
        <v>17054</v>
      </c>
      <c r="C6942" s="948" t="s">
        <v>17052</v>
      </c>
      <c r="D6942" s="242" t="s">
        <v>28714</v>
      </c>
      <c r="E6942" s="949">
        <v>605</v>
      </c>
      <c r="F6942" s="949">
        <v>605</v>
      </c>
      <c r="G6942" s="950" t="s">
        <v>15517</v>
      </c>
      <c r="H6942" s="950" t="s">
        <v>1138</v>
      </c>
      <c r="I6942" s="951" t="s">
        <v>17053</v>
      </c>
      <c r="J6942" s="947" t="s">
        <v>17054</v>
      </c>
      <c r="K6942" s="143"/>
    </row>
    <row r="6943" spans="1:11">
      <c r="A6943" s="946" t="s">
        <v>28609</v>
      </c>
      <c r="B6943" s="947" t="s">
        <v>17152</v>
      </c>
      <c r="C6943" s="948" t="s">
        <v>17150</v>
      </c>
      <c r="D6943" s="242" t="s">
        <v>28714</v>
      </c>
      <c r="E6943" s="949">
        <v>605</v>
      </c>
      <c r="F6943" s="949">
        <v>605</v>
      </c>
      <c r="G6943" s="950" t="s">
        <v>15517</v>
      </c>
      <c r="H6943" s="950" t="s">
        <v>1138</v>
      </c>
      <c r="I6943" s="951" t="s">
        <v>17151</v>
      </c>
      <c r="J6943" s="947" t="s">
        <v>17152</v>
      </c>
      <c r="K6943" s="143"/>
    </row>
    <row r="6944" spans="1:11">
      <c r="A6944" s="946" t="s">
        <v>28609</v>
      </c>
      <c r="B6944" s="947" t="s">
        <v>17650</v>
      </c>
      <c r="C6944" s="948" t="s">
        <v>17648</v>
      </c>
      <c r="D6944" s="242" t="s">
        <v>28714</v>
      </c>
      <c r="E6944" s="949">
        <v>605</v>
      </c>
      <c r="F6944" s="949">
        <v>605</v>
      </c>
      <c r="G6944" s="950" t="s">
        <v>15517</v>
      </c>
      <c r="H6944" s="950" t="s">
        <v>1138</v>
      </c>
      <c r="I6944" s="951" t="s">
        <v>17649</v>
      </c>
      <c r="J6944" s="947" t="s">
        <v>17650</v>
      </c>
      <c r="K6944" s="143"/>
    </row>
    <row r="6945" spans="1:11">
      <c r="A6945" s="946" t="s">
        <v>28609</v>
      </c>
      <c r="B6945" s="947" t="s">
        <v>17880</v>
      </c>
      <c r="C6945" s="948" t="s">
        <v>17878</v>
      </c>
      <c r="D6945" s="242" t="s">
        <v>28714</v>
      </c>
      <c r="E6945" s="949">
        <v>605</v>
      </c>
      <c r="F6945" s="949">
        <v>605</v>
      </c>
      <c r="G6945" s="950" t="s">
        <v>15517</v>
      </c>
      <c r="H6945" s="950" t="s">
        <v>1138</v>
      </c>
      <c r="I6945" s="951" t="s">
        <v>17879</v>
      </c>
      <c r="J6945" s="947" t="s">
        <v>17880</v>
      </c>
      <c r="K6945" s="143"/>
    </row>
    <row r="6946" spans="1:11">
      <c r="A6946" s="946" t="s">
        <v>28609</v>
      </c>
      <c r="B6946" s="947" t="s">
        <v>18174</v>
      </c>
      <c r="C6946" s="948" t="s">
        <v>18172</v>
      </c>
      <c r="D6946" s="242" t="s">
        <v>28714</v>
      </c>
      <c r="E6946" s="949">
        <v>605</v>
      </c>
      <c r="F6946" s="949">
        <v>605</v>
      </c>
      <c r="G6946" s="950" t="s">
        <v>15517</v>
      </c>
      <c r="H6946" s="950" t="s">
        <v>1138</v>
      </c>
      <c r="I6946" s="951" t="s">
        <v>18173</v>
      </c>
      <c r="J6946" s="947" t="s">
        <v>18174</v>
      </c>
      <c r="K6946" s="143"/>
    </row>
    <row r="6947" spans="1:11">
      <c r="A6947" s="946" t="s">
        <v>28609</v>
      </c>
      <c r="B6947" s="947" t="s">
        <v>18278</v>
      </c>
      <c r="C6947" s="948" t="s">
        <v>18276</v>
      </c>
      <c r="D6947" s="242" t="s">
        <v>28714</v>
      </c>
      <c r="E6947" s="949">
        <v>605</v>
      </c>
      <c r="F6947" s="949">
        <v>605</v>
      </c>
      <c r="G6947" s="950" t="s">
        <v>15517</v>
      </c>
      <c r="H6947" s="950" t="s">
        <v>1138</v>
      </c>
      <c r="I6947" s="951" t="s">
        <v>18277</v>
      </c>
      <c r="J6947" s="947" t="s">
        <v>18278</v>
      </c>
      <c r="K6947" s="143"/>
    </row>
    <row r="6948" spans="1:11">
      <c r="A6948" s="946" t="s">
        <v>28609</v>
      </c>
      <c r="B6948" s="947" t="s">
        <v>19276</v>
      </c>
      <c r="C6948" s="948" t="s">
        <v>19274</v>
      </c>
      <c r="D6948" s="242" t="s">
        <v>28714</v>
      </c>
      <c r="E6948" s="949">
        <v>605</v>
      </c>
      <c r="F6948" s="949">
        <v>605</v>
      </c>
      <c r="G6948" s="950" t="s">
        <v>15517</v>
      </c>
      <c r="H6948" s="950" t="s">
        <v>1138</v>
      </c>
      <c r="I6948" s="951" t="s">
        <v>19275</v>
      </c>
      <c r="J6948" s="947" t="s">
        <v>19276</v>
      </c>
      <c r="K6948" s="143"/>
    </row>
    <row r="6949" spans="1:11">
      <c r="A6949" s="946" t="s">
        <v>28609</v>
      </c>
      <c r="B6949" s="947" t="s">
        <v>19417</v>
      </c>
      <c r="C6949" s="948" t="s">
        <v>19415</v>
      </c>
      <c r="D6949" s="242" t="s">
        <v>28714</v>
      </c>
      <c r="E6949" s="949">
        <v>605</v>
      </c>
      <c r="F6949" s="949">
        <v>605</v>
      </c>
      <c r="G6949" s="950" t="s">
        <v>15517</v>
      </c>
      <c r="H6949" s="950" t="s">
        <v>1138</v>
      </c>
      <c r="I6949" s="951" t="s">
        <v>19416</v>
      </c>
      <c r="J6949" s="947" t="s">
        <v>19417</v>
      </c>
      <c r="K6949" s="143"/>
    </row>
    <row r="6950" spans="1:11">
      <c r="A6950" s="946" t="s">
        <v>28609</v>
      </c>
      <c r="B6950" s="947" t="s">
        <v>19884</v>
      </c>
      <c r="C6950" s="948" t="s">
        <v>19882</v>
      </c>
      <c r="D6950" s="242" t="s">
        <v>28714</v>
      </c>
      <c r="E6950" s="949">
        <v>605</v>
      </c>
      <c r="F6950" s="949">
        <v>605</v>
      </c>
      <c r="G6950" s="950" t="s">
        <v>15517</v>
      </c>
      <c r="H6950" s="950" t="s">
        <v>1138</v>
      </c>
      <c r="I6950" s="951" t="s">
        <v>19883</v>
      </c>
      <c r="J6950" s="947" t="s">
        <v>19884</v>
      </c>
      <c r="K6950" s="143"/>
    </row>
    <row r="6951" spans="1:11">
      <c r="A6951" s="946" t="s">
        <v>28609</v>
      </c>
      <c r="B6951" s="947" t="s">
        <v>20828</v>
      </c>
      <c r="C6951" s="948" t="s">
        <v>20826</v>
      </c>
      <c r="D6951" s="242" t="s">
        <v>28714</v>
      </c>
      <c r="E6951" s="949">
        <v>605</v>
      </c>
      <c r="F6951" s="949">
        <v>605</v>
      </c>
      <c r="G6951" s="950" t="s">
        <v>15517</v>
      </c>
      <c r="H6951" s="950" t="s">
        <v>1138</v>
      </c>
      <c r="I6951" s="951" t="s">
        <v>20827</v>
      </c>
      <c r="J6951" s="947" t="s">
        <v>20828</v>
      </c>
      <c r="K6951" s="143"/>
    </row>
    <row r="6952" spans="1:11">
      <c r="A6952" s="946" t="s">
        <v>28609</v>
      </c>
      <c r="B6952" s="947" t="s">
        <v>20831</v>
      </c>
      <c r="C6952" s="948" t="s">
        <v>20829</v>
      </c>
      <c r="D6952" s="242" t="s">
        <v>28714</v>
      </c>
      <c r="E6952" s="949">
        <v>605</v>
      </c>
      <c r="F6952" s="949">
        <v>605</v>
      </c>
      <c r="G6952" s="950" t="s">
        <v>15517</v>
      </c>
      <c r="H6952" s="950" t="s">
        <v>1138</v>
      </c>
      <c r="I6952" s="951" t="s">
        <v>20830</v>
      </c>
      <c r="J6952" s="947" t="s">
        <v>20831</v>
      </c>
      <c r="K6952" s="143"/>
    </row>
    <row r="6953" spans="1:11">
      <c r="A6953" s="946" t="s">
        <v>28609</v>
      </c>
      <c r="B6953" s="947" t="s">
        <v>20880</v>
      </c>
      <c r="C6953" s="948" t="s">
        <v>20878</v>
      </c>
      <c r="D6953" s="242" t="s">
        <v>28714</v>
      </c>
      <c r="E6953" s="949">
        <v>605</v>
      </c>
      <c r="F6953" s="949">
        <v>605</v>
      </c>
      <c r="G6953" s="950" t="s">
        <v>15517</v>
      </c>
      <c r="H6953" s="950" t="s">
        <v>1138</v>
      </c>
      <c r="I6953" s="951" t="s">
        <v>20879</v>
      </c>
      <c r="J6953" s="947" t="s">
        <v>20880</v>
      </c>
      <c r="K6953" s="143"/>
    </row>
    <row r="6954" spans="1:11">
      <c r="A6954" s="946" t="s">
        <v>28609</v>
      </c>
      <c r="B6954" s="947" t="s">
        <v>22427</v>
      </c>
      <c r="C6954" s="948" t="s">
        <v>22425</v>
      </c>
      <c r="D6954" s="242" t="s">
        <v>28714</v>
      </c>
      <c r="E6954" s="949">
        <v>605</v>
      </c>
      <c r="F6954" s="949">
        <v>605</v>
      </c>
      <c r="G6954" s="950" t="s">
        <v>15517</v>
      </c>
      <c r="H6954" s="950" t="s">
        <v>1138</v>
      </c>
      <c r="I6954" s="951" t="s">
        <v>22426</v>
      </c>
      <c r="J6954" s="947" t="s">
        <v>22427</v>
      </c>
      <c r="K6954" s="143"/>
    </row>
    <row r="6955" spans="1:11">
      <c r="A6955" s="946" t="s">
        <v>28609</v>
      </c>
      <c r="B6955" s="947" t="s">
        <v>22454</v>
      </c>
      <c r="C6955" s="948" t="s">
        <v>22452</v>
      </c>
      <c r="D6955" s="242" t="s">
        <v>28714</v>
      </c>
      <c r="E6955" s="949">
        <v>605</v>
      </c>
      <c r="F6955" s="949">
        <v>605</v>
      </c>
      <c r="G6955" s="950" t="s">
        <v>15517</v>
      </c>
      <c r="H6955" s="950" t="s">
        <v>1138</v>
      </c>
      <c r="I6955" s="951" t="s">
        <v>22453</v>
      </c>
      <c r="J6955" s="947" t="s">
        <v>22454</v>
      </c>
      <c r="K6955" s="143"/>
    </row>
    <row r="6956" spans="1:11">
      <c r="A6956" s="946" t="s">
        <v>28609</v>
      </c>
      <c r="B6956" s="947" t="s">
        <v>22662</v>
      </c>
      <c r="C6956" s="948" t="s">
        <v>22660</v>
      </c>
      <c r="D6956" s="242" t="s">
        <v>28714</v>
      </c>
      <c r="E6956" s="949">
        <v>605</v>
      </c>
      <c r="F6956" s="949">
        <v>605</v>
      </c>
      <c r="G6956" s="950" t="s">
        <v>15517</v>
      </c>
      <c r="H6956" s="950" t="s">
        <v>1138</v>
      </c>
      <c r="I6956" s="951" t="s">
        <v>22661</v>
      </c>
      <c r="J6956" s="947" t="s">
        <v>22662</v>
      </c>
      <c r="K6956" s="143"/>
    </row>
    <row r="6957" spans="1:11">
      <c r="A6957" s="946" t="s">
        <v>28609</v>
      </c>
      <c r="B6957" s="947" t="s">
        <v>21280</v>
      </c>
      <c r="C6957" s="948" t="s">
        <v>21278</v>
      </c>
      <c r="D6957" s="242" t="s">
        <v>28714</v>
      </c>
      <c r="E6957" s="949">
        <v>605</v>
      </c>
      <c r="F6957" s="949">
        <v>605</v>
      </c>
      <c r="G6957" s="950" t="s">
        <v>15517</v>
      </c>
      <c r="H6957" s="950" t="s">
        <v>1138</v>
      </c>
      <c r="I6957" s="951" t="s">
        <v>21279</v>
      </c>
      <c r="J6957" s="947" t="s">
        <v>21280</v>
      </c>
      <c r="K6957" s="143"/>
    </row>
    <row r="6958" spans="1:11">
      <c r="A6958" s="946" t="s">
        <v>28609</v>
      </c>
      <c r="B6958" s="947" t="s">
        <v>24969</v>
      </c>
      <c r="C6958" s="948" t="s">
        <v>26162</v>
      </c>
      <c r="D6958" s="242" t="s">
        <v>28714</v>
      </c>
      <c r="E6958" s="949">
        <v>605</v>
      </c>
      <c r="F6958" s="949">
        <v>605</v>
      </c>
      <c r="G6958" s="950" t="s">
        <v>15517</v>
      </c>
      <c r="H6958" s="950" t="s">
        <v>1138</v>
      </c>
      <c r="I6958" s="951" t="s">
        <v>24970</v>
      </c>
      <c r="J6958" s="947" t="s">
        <v>24969</v>
      </c>
      <c r="K6958" s="143"/>
    </row>
    <row r="6959" spans="1:11">
      <c r="A6959" s="946" t="s">
        <v>11952</v>
      </c>
      <c r="B6959" s="947" t="s">
        <v>495</v>
      </c>
      <c r="C6959" s="948" t="s">
        <v>492</v>
      </c>
      <c r="D6959" s="242" t="s">
        <v>31115</v>
      </c>
      <c r="E6959" s="949">
        <v>1401</v>
      </c>
      <c r="F6959" s="949">
        <v>1401</v>
      </c>
      <c r="G6959" s="950" t="s">
        <v>9865</v>
      </c>
      <c r="H6959" s="950" t="s">
        <v>493</v>
      </c>
      <c r="I6959" s="951" t="s">
        <v>494</v>
      </c>
      <c r="J6959" s="947" t="s">
        <v>495</v>
      </c>
      <c r="K6959" s="143"/>
    </row>
    <row r="6960" spans="1:11">
      <c r="A6960" s="946" t="s">
        <v>11952</v>
      </c>
      <c r="B6960" s="947" t="s">
        <v>621</v>
      </c>
      <c r="C6960" s="948" t="s">
        <v>619</v>
      </c>
      <c r="D6960" s="242" t="s">
        <v>31115</v>
      </c>
      <c r="E6960" s="949">
        <v>1401</v>
      </c>
      <c r="F6960" s="949">
        <v>1401</v>
      </c>
      <c r="G6960" s="950" t="s">
        <v>9865</v>
      </c>
      <c r="H6960" s="950" t="s">
        <v>493</v>
      </c>
      <c r="I6960" s="951" t="s">
        <v>620</v>
      </c>
      <c r="J6960" s="947" t="s">
        <v>621</v>
      </c>
      <c r="K6960" s="143"/>
    </row>
    <row r="6961" spans="1:11">
      <c r="A6961" s="946" t="s">
        <v>11952</v>
      </c>
      <c r="B6961" s="947" t="s">
        <v>1793</v>
      </c>
      <c r="C6961" s="948" t="s">
        <v>1791</v>
      </c>
      <c r="D6961" s="242" t="s">
        <v>31115</v>
      </c>
      <c r="E6961" s="949">
        <v>1401</v>
      </c>
      <c r="F6961" s="949">
        <v>1401</v>
      </c>
      <c r="G6961" s="950" t="s">
        <v>9865</v>
      </c>
      <c r="H6961" s="950" t="s">
        <v>493</v>
      </c>
      <c r="I6961" s="951" t="s">
        <v>1792</v>
      </c>
      <c r="J6961" s="947" t="s">
        <v>1793</v>
      </c>
      <c r="K6961" s="143"/>
    </row>
    <row r="6962" spans="1:11">
      <c r="A6962" s="946" t="s">
        <v>11952</v>
      </c>
      <c r="B6962" s="947" t="s">
        <v>2216</v>
      </c>
      <c r="C6962" s="948" t="s">
        <v>2214</v>
      </c>
      <c r="D6962" s="242" t="s">
        <v>31115</v>
      </c>
      <c r="E6962" s="949">
        <v>1401</v>
      </c>
      <c r="F6962" s="949">
        <v>1401</v>
      </c>
      <c r="G6962" s="950" t="s">
        <v>9865</v>
      </c>
      <c r="H6962" s="950" t="s">
        <v>493</v>
      </c>
      <c r="I6962" s="951" t="s">
        <v>2215</v>
      </c>
      <c r="J6962" s="947" t="s">
        <v>2216</v>
      </c>
      <c r="K6962" s="143"/>
    </row>
    <row r="6963" spans="1:11">
      <c r="A6963" s="946" t="s">
        <v>11952</v>
      </c>
      <c r="B6963" s="947" t="s">
        <v>3993</v>
      </c>
      <c r="C6963" s="948" t="s">
        <v>3991</v>
      </c>
      <c r="D6963" s="242" t="s">
        <v>31115</v>
      </c>
      <c r="E6963" s="949">
        <v>1401</v>
      </c>
      <c r="F6963" s="949">
        <v>1401</v>
      </c>
      <c r="G6963" s="950" t="s">
        <v>9865</v>
      </c>
      <c r="H6963" s="950" t="s">
        <v>493</v>
      </c>
      <c r="I6963" s="951" t="s">
        <v>3992</v>
      </c>
      <c r="J6963" s="947" t="s">
        <v>3993</v>
      </c>
      <c r="K6963" s="143"/>
    </row>
    <row r="6964" spans="1:11">
      <c r="A6964" s="946" t="s">
        <v>11952</v>
      </c>
      <c r="B6964" s="947" t="s">
        <v>4110</v>
      </c>
      <c r="C6964" s="948" t="s">
        <v>4108</v>
      </c>
      <c r="D6964" s="242" t="s">
        <v>31115</v>
      </c>
      <c r="E6964" s="949">
        <v>1401</v>
      </c>
      <c r="F6964" s="949">
        <v>1401</v>
      </c>
      <c r="G6964" s="950" t="s">
        <v>9865</v>
      </c>
      <c r="H6964" s="950" t="s">
        <v>493</v>
      </c>
      <c r="I6964" s="951" t="s">
        <v>4109</v>
      </c>
      <c r="J6964" s="947" t="s">
        <v>4110</v>
      </c>
      <c r="K6964" s="143"/>
    </row>
    <row r="6965" spans="1:11">
      <c r="A6965" s="946" t="s">
        <v>11952</v>
      </c>
      <c r="B6965" s="947" t="s">
        <v>4393</v>
      </c>
      <c r="C6965" s="948" t="s">
        <v>4391</v>
      </c>
      <c r="D6965" s="242" t="s">
        <v>31115</v>
      </c>
      <c r="E6965" s="949">
        <v>1401</v>
      </c>
      <c r="F6965" s="949">
        <v>1401</v>
      </c>
      <c r="G6965" s="950" t="s">
        <v>9865</v>
      </c>
      <c r="H6965" s="950" t="s">
        <v>493</v>
      </c>
      <c r="I6965" s="951" t="s">
        <v>4392</v>
      </c>
      <c r="J6965" s="947" t="s">
        <v>4393</v>
      </c>
      <c r="K6965" s="143"/>
    </row>
    <row r="6966" spans="1:11">
      <c r="A6966" s="946" t="s">
        <v>11952</v>
      </c>
      <c r="B6966" s="947" t="s">
        <v>4438</v>
      </c>
      <c r="C6966" s="948" t="s">
        <v>4436</v>
      </c>
      <c r="D6966" s="242" t="s">
        <v>31115</v>
      </c>
      <c r="E6966" s="949">
        <v>1401</v>
      </c>
      <c r="F6966" s="949">
        <v>1401</v>
      </c>
      <c r="G6966" s="950" t="s">
        <v>9865</v>
      </c>
      <c r="H6966" s="950" t="s">
        <v>493</v>
      </c>
      <c r="I6966" s="951" t="s">
        <v>4437</v>
      </c>
      <c r="J6966" s="947" t="s">
        <v>4438</v>
      </c>
      <c r="K6966" s="143"/>
    </row>
    <row r="6967" spans="1:11">
      <c r="A6967" s="946" t="s">
        <v>11952</v>
      </c>
      <c r="B6967" s="947" t="s">
        <v>4937</v>
      </c>
      <c r="C6967" s="948" t="s">
        <v>4935</v>
      </c>
      <c r="D6967" s="242" t="s">
        <v>31115</v>
      </c>
      <c r="E6967" s="949">
        <v>1401</v>
      </c>
      <c r="F6967" s="949">
        <v>1401</v>
      </c>
      <c r="G6967" s="950" t="s">
        <v>9865</v>
      </c>
      <c r="H6967" s="950" t="s">
        <v>493</v>
      </c>
      <c r="I6967" s="951" t="s">
        <v>4936</v>
      </c>
      <c r="J6967" s="947" t="s">
        <v>4937</v>
      </c>
      <c r="K6967" s="143"/>
    </row>
    <row r="6968" spans="1:11">
      <c r="A6968" s="946" t="s">
        <v>11952</v>
      </c>
      <c r="B6968" s="947" t="s">
        <v>5395</v>
      </c>
      <c r="C6968" s="948" t="s">
        <v>5393</v>
      </c>
      <c r="D6968" s="242" t="s">
        <v>31115</v>
      </c>
      <c r="E6968" s="949">
        <v>1401</v>
      </c>
      <c r="F6968" s="949">
        <v>1401</v>
      </c>
      <c r="G6968" s="950" t="s">
        <v>9865</v>
      </c>
      <c r="H6968" s="950" t="s">
        <v>493</v>
      </c>
      <c r="I6968" s="951" t="s">
        <v>5394</v>
      </c>
      <c r="J6968" s="947" t="s">
        <v>5395</v>
      </c>
      <c r="K6968" s="143"/>
    </row>
    <row r="6969" spans="1:11">
      <c r="A6969" s="946" t="s">
        <v>11952</v>
      </c>
      <c r="B6969" s="947" t="s">
        <v>5398</v>
      </c>
      <c r="C6969" s="948" t="s">
        <v>5396</v>
      </c>
      <c r="D6969" s="242" t="s">
        <v>31115</v>
      </c>
      <c r="E6969" s="949">
        <v>1401</v>
      </c>
      <c r="F6969" s="949">
        <v>1401</v>
      </c>
      <c r="G6969" s="950" t="s">
        <v>9865</v>
      </c>
      <c r="H6969" s="950" t="s">
        <v>493</v>
      </c>
      <c r="I6969" s="951" t="s">
        <v>5397</v>
      </c>
      <c r="J6969" s="947" t="s">
        <v>5398</v>
      </c>
      <c r="K6969" s="143"/>
    </row>
    <row r="6970" spans="1:11">
      <c r="A6970" s="946" t="s">
        <v>11952</v>
      </c>
      <c r="B6970" s="947" t="s">
        <v>5033</v>
      </c>
      <c r="C6970" s="948" t="s">
        <v>5031</v>
      </c>
      <c r="D6970" s="242" t="s">
        <v>31115</v>
      </c>
      <c r="E6970" s="949">
        <v>1401</v>
      </c>
      <c r="F6970" s="949">
        <v>1401</v>
      </c>
      <c r="G6970" s="950" t="s">
        <v>9865</v>
      </c>
      <c r="H6970" s="950" t="s">
        <v>493</v>
      </c>
      <c r="I6970" s="951" t="s">
        <v>5032</v>
      </c>
      <c r="J6970" s="947" t="s">
        <v>5033</v>
      </c>
      <c r="K6970" s="143"/>
    </row>
    <row r="6971" spans="1:11">
      <c r="A6971" s="946" t="s">
        <v>11952</v>
      </c>
      <c r="B6971" s="947" t="s">
        <v>5448</v>
      </c>
      <c r="C6971" s="948" t="s">
        <v>5446</v>
      </c>
      <c r="D6971" s="242" t="s">
        <v>31115</v>
      </c>
      <c r="E6971" s="949">
        <v>1401</v>
      </c>
      <c r="F6971" s="949">
        <v>1401</v>
      </c>
      <c r="G6971" s="950" t="s">
        <v>9865</v>
      </c>
      <c r="H6971" s="950" t="s">
        <v>493</v>
      </c>
      <c r="I6971" s="951" t="s">
        <v>5447</v>
      </c>
      <c r="J6971" s="947" t="s">
        <v>5448</v>
      </c>
      <c r="K6971" s="143"/>
    </row>
    <row r="6972" spans="1:11">
      <c r="A6972" s="946" t="s">
        <v>11952</v>
      </c>
      <c r="B6972" s="947" t="s">
        <v>6028</v>
      </c>
      <c r="C6972" s="948" t="s">
        <v>6026</v>
      </c>
      <c r="D6972" s="242" t="s">
        <v>31115</v>
      </c>
      <c r="E6972" s="949">
        <v>1401</v>
      </c>
      <c r="F6972" s="949">
        <v>1401</v>
      </c>
      <c r="G6972" s="950" t="s">
        <v>9865</v>
      </c>
      <c r="H6972" s="950" t="s">
        <v>493</v>
      </c>
      <c r="I6972" s="951" t="s">
        <v>6027</v>
      </c>
      <c r="J6972" s="947" t="s">
        <v>6028</v>
      </c>
      <c r="K6972" s="143"/>
    </row>
    <row r="6973" spans="1:11">
      <c r="A6973" s="946" t="s">
        <v>11952</v>
      </c>
      <c r="B6973" s="947" t="s">
        <v>6234</v>
      </c>
      <c r="C6973" s="948" t="s">
        <v>6232</v>
      </c>
      <c r="D6973" s="242" t="s">
        <v>31115</v>
      </c>
      <c r="E6973" s="949">
        <v>1401</v>
      </c>
      <c r="F6973" s="949">
        <v>1401</v>
      </c>
      <c r="G6973" s="950" t="s">
        <v>9865</v>
      </c>
      <c r="H6973" s="950" t="s">
        <v>493</v>
      </c>
      <c r="I6973" s="951" t="s">
        <v>6233</v>
      </c>
      <c r="J6973" s="947" t="s">
        <v>6234</v>
      </c>
      <c r="K6973" s="143"/>
    </row>
    <row r="6974" spans="1:11">
      <c r="A6974" s="946" t="s">
        <v>11952</v>
      </c>
      <c r="B6974" s="947" t="s">
        <v>6564</v>
      </c>
      <c r="C6974" s="948" t="s">
        <v>6562</v>
      </c>
      <c r="D6974" s="242" t="s">
        <v>31115</v>
      </c>
      <c r="E6974" s="949">
        <v>1401</v>
      </c>
      <c r="F6974" s="949">
        <v>1401</v>
      </c>
      <c r="G6974" s="950" t="s">
        <v>9865</v>
      </c>
      <c r="H6974" s="950" t="s">
        <v>493</v>
      </c>
      <c r="I6974" s="951" t="s">
        <v>6563</v>
      </c>
      <c r="J6974" s="947" t="s">
        <v>6564</v>
      </c>
      <c r="K6974" s="143"/>
    </row>
    <row r="6975" spans="1:11">
      <c r="A6975" s="946" t="s">
        <v>11952</v>
      </c>
      <c r="B6975" s="947" t="s">
        <v>6799</v>
      </c>
      <c r="C6975" s="948" t="s">
        <v>6797</v>
      </c>
      <c r="D6975" s="242" t="s">
        <v>31115</v>
      </c>
      <c r="E6975" s="949">
        <v>1401</v>
      </c>
      <c r="F6975" s="949">
        <v>1401</v>
      </c>
      <c r="G6975" s="950" t="s">
        <v>9865</v>
      </c>
      <c r="H6975" s="950" t="s">
        <v>493</v>
      </c>
      <c r="I6975" s="951" t="s">
        <v>6798</v>
      </c>
      <c r="J6975" s="947" t="s">
        <v>6799</v>
      </c>
      <c r="K6975" s="143"/>
    </row>
    <row r="6976" spans="1:11">
      <c r="A6976" s="946" t="s">
        <v>11952</v>
      </c>
      <c r="B6976" s="947" t="s">
        <v>6926</v>
      </c>
      <c r="C6976" s="948" t="s">
        <v>6924</v>
      </c>
      <c r="D6976" s="242" t="s">
        <v>31115</v>
      </c>
      <c r="E6976" s="949">
        <v>1401</v>
      </c>
      <c r="F6976" s="949">
        <v>1401</v>
      </c>
      <c r="G6976" s="950" t="s">
        <v>9865</v>
      </c>
      <c r="H6976" s="950" t="s">
        <v>493</v>
      </c>
      <c r="I6976" s="951" t="s">
        <v>6925</v>
      </c>
      <c r="J6976" s="947" t="s">
        <v>6926</v>
      </c>
      <c r="K6976" s="143"/>
    </row>
    <row r="6977" spans="1:11">
      <c r="A6977" s="946" t="s">
        <v>11952</v>
      </c>
      <c r="B6977" s="947" t="s">
        <v>8254</v>
      </c>
      <c r="C6977" s="948" t="s">
        <v>8252</v>
      </c>
      <c r="D6977" s="242" t="s">
        <v>31115</v>
      </c>
      <c r="E6977" s="949">
        <v>1401</v>
      </c>
      <c r="F6977" s="949">
        <v>1401</v>
      </c>
      <c r="G6977" s="950" t="s">
        <v>9865</v>
      </c>
      <c r="H6977" s="950" t="s">
        <v>493</v>
      </c>
      <c r="I6977" s="951" t="s">
        <v>8253</v>
      </c>
      <c r="J6977" s="947" t="s">
        <v>8254</v>
      </c>
      <c r="K6977" s="143"/>
    </row>
    <row r="6978" spans="1:11">
      <c r="A6978" s="946" t="s">
        <v>11952</v>
      </c>
      <c r="B6978" s="947" t="s">
        <v>8491</v>
      </c>
      <c r="C6978" s="948" t="s">
        <v>8489</v>
      </c>
      <c r="D6978" s="242" t="s">
        <v>31115</v>
      </c>
      <c r="E6978" s="949">
        <v>1401</v>
      </c>
      <c r="F6978" s="949">
        <v>1401</v>
      </c>
      <c r="G6978" s="950" t="s">
        <v>9865</v>
      </c>
      <c r="H6978" s="950" t="s">
        <v>493</v>
      </c>
      <c r="I6978" s="951" t="s">
        <v>8490</v>
      </c>
      <c r="J6978" s="947" t="s">
        <v>8491</v>
      </c>
      <c r="K6978" s="143"/>
    </row>
    <row r="6979" spans="1:11">
      <c r="A6979" s="946" t="s">
        <v>11952</v>
      </c>
      <c r="B6979" s="947" t="s">
        <v>8520</v>
      </c>
      <c r="C6979" s="948" t="s">
        <v>8518</v>
      </c>
      <c r="D6979" s="242" t="s">
        <v>31115</v>
      </c>
      <c r="E6979" s="949">
        <v>1401</v>
      </c>
      <c r="F6979" s="949">
        <v>1401</v>
      </c>
      <c r="G6979" s="950" t="s">
        <v>9865</v>
      </c>
      <c r="H6979" s="950" t="s">
        <v>493</v>
      </c>
      <c r="I6979" s="951" t="s">
        <v>8519</v>
      </c>
      <c r="J6979" s="947" t="s">
        <v>8520</v>
      </c>
      <c r="K6979" s="143"/>
    </row>
    <row r="6980" spans="1:11">
      <c r="A6980" s="946" t="s">
        <v>11952</v>
      </c>
      <c r="B6980" s="947" t="s">
        <v>8737</v>
      </c>
      <c r="C6980" s="948" t="s">
        <v>8735</v>
      </c>
      <c r="D6980" s="242" t="s">
        <v>31115</v>
      </c>
      <c r="E6980" s="949">
        <v>1401</v>
      </c>
      <c r="F6980" s="949">
        <v>1401</v>
      </c>
      <c r="G6980" s="950" t="s">
        <v>9865</v>
      </c>
      <c r="H6980" s="950" t="s">
        <v>493</v>
      </c>
      <c r="I6980" s="951" t="s">
        <v>8736</v>
      </c>
      <c r="J6980" s="947" t="s">
        <v>8737</v>
      </c>
      <c r="K6980" s="143"/>
    </row>
    <row r="6981" spans="1:11">
      <c r="A6981" s="946" t="s">
        <v>11952</v>
      </c>
      <c r="B6981" s="947" t="s">
        <v>9865</v>
      </c>
      <c r="C6981" s="948" t="s">
        <v>9863</v>
      </c>
      <c r="D6981" s="242" t="s">
        <v>31115</v>
      </c>
      <c r="E6981" s="949">
        <v>1401</v>
      </c>
      <c r="F6981" s="949">
        <v>1401</v>
      </c>
      <c r="G6981" s="950" t="s">
        <v>9865</v>
      </c>
      <c r="H6981" s="950" t="s">
        <v>493</v>
      </c>
      <c r="I6981" s="951" t="s">
        <v>9864</v>
      </c>
      <c r="J6981" s="947" t="s">
        <v>9865</v>
      </c>
      <c r="K6981" s="143"/>
    </row>
    <row r="6982" spans="1:11">
      <c r="A6982" s="946" t="s">
        <v>11952</v>
      </c>
      <c r="B6982" s="947" t="s">
        <v>10593</v>
      </c>
      <c r="C6982" s="948" t="s">
        <v>10591</v>
      </c>
      <c r="D6982" s="242" t="s">
        <v>31115</v>
      </c>
      <c r="E6982" s="949">
        <v>1401</v>
      </c>
      <c r="F6982" s="949">
        <v>1401</v>
      </c>
      <c r="G6982" s="950" t="s">
        <v>9865</v>
      </c>
      <c r="H6982" s="950" t="s">
        <v>493</v>
      </c>
      <c r="I6982" s="951" t="s">
        <v>10592</v>
      </c>
      <c r="J6982" s="947" t="s">
        <v>10593</v>
      </c>
      <c r="K6982" s="143"/>
    </row>
    <row r="6983" spans="1:11">
      <c r="A6983" s="946" t="s">
        <v>11952</v>
      </c>
      <c r="B6983" s="947" t="s">
        <v>10805</v>
      </c>
      <c r="C6983" s="948" t="s">
        <v>10803</v>
      </c>
      <c r="D6983" s="242" t="s">
        <v>31115</v>
      </c>
      <c r="E6983" s="949">
        <v>1401</v>
      </c>
      <c r="F6983" s="949">
        <v>1401</v>
      </c>
      <c r="G6983" s="950" t="s">
        <v>9865</v>
      </c>
      <c r="H6983" s="950" t="s">
        <v>493</v>
      </c>
      <c r="I6983" s="951" t="s">
        <v>10804</v>
      </c>
      <c r="J6983" s="947" t="s">
        <v>10805</v>
      </c>
      <c r="K6983" s="143"/>
    </row>
    <row r="6984" spans="1:11">
      <c r="A6984" s="946" t="s">
        <v>11952</v>
      </c>
      <c r="B6984" s="947" t="s">
        <v>10811</v>
      </c>
      <c r="C6984" s="948" t="s">
        <v>10809</v>
      </c>
      <c r="D6984" s="242" t="s">
        <v>31115</v>
      </c>
      <c r="E6984" s="949">
        <v>1401</v>
      </c>
      <c r="F6984" s="949">
        <v>1401</v>
      </c>
      <c r="G6984" s="950" t="s">
        <v>9865</v>
      </c>
      <c r="H6984" s="950" t="s">
        <v>493</v>
      </c>
      <c r="I6984" s="951" t="s">
        <v>10810</v>
      </c>
      <c r="J6984" s="947" t="s">
        <v>10811</v>
      </c>
      <c r="K6984" s="143"/>
    </row>
    <row r="6985" spans="1:11">
      <c r="A6985" s="946" t="s">
        <v>11952</v>
      </c>
      <c r="B6985" s="947" t="s">
        <v>11830</v>
      </c>
      <c r="C6985" s="948" t="s">
        <v>11828</v>
      </c>
      <c r="D6985" s="242" t="s">
        <v>31115</v>
      </c>
      <c r="E6985" s="949">
        <v>1401</v>
      </c>
      <c r="F6985" s="949">
        <v>1401</v>
      </c>
      <c r="G6985" s="950" t="s">
        <v>9865</v>
      </c>
      <c r="H6985" s="950" t="s">
        <v>493</v>
      </c>
      <c r="I6985" s="951" t="s">
        <v>11829</v>
      </c>
      <c r="J6985" s="947" t="s">
        <v>11830</v>
      </c>
      <c r="K6985" s="143"/>
    </row>
    <row r="6986" spans="1:11">
      <c r="A6986" s="946" t="s">
        <v>11952</v>
      </c>
      <c r="B6986" s="947" t="s">
        <v>12253</v>
      </c>
      <c r="C6986" s="948" t="s">
        <v>12251</v>
      </c>
      <c r="D6986" s="242" t="s">
        <v>31115</v>
      </c>
      <c r="E6986" s="949">
        <v>1401</v>
      </c>
      <c r="F6986" s="949">
        <v>1401</v>
      </c>
      <c r="G6986" s="950" t="s">
        <v>9865</v>
      </c>
      <c r="H6986" s="950" t="s">
        <v>493</v>
      </c>
      <c r="I6986" s="951" t="s">
        <v>12252</v>
      </c>
      <c r="J6986" s="947" t="s">
        <v>12253</v>
      </c>
      <c r="K6986" s="143"/>
    </row>
    <row r="6987" spans="1:11">
      <c r="A6987" s="946" t="s">
        <v>11952</v>
      </c>
      <c r="B6987" s="947" t="s">
        <v>12661</v>
      </c>
      <c r="C6987" s="948" t="s">
        <v>12659</v>
      </c>
      <c r="D6987" s="242" t="s">
        <v>31115</v>
      </c>
      <c r="E6987" s="949">
        <v>1401</v>
      </c>
      <c r="F6987" s="949">
        <v>1401</v>
      </c>
      <c r="G6987" s="950" t="s">
        <v>9865</v>
      </c>
      <c r="H6987" s="950" t="s">
        <v>493</v>
      </c>
      <c r="I6987" s="951" t="s">
        <v>12660</v>
      </c>
      <c r="J6987" s="947" t="s">
        <v>12661</v>
      </c>
      <c r="K6987" s="143"/>
    </row>
    <row r="6988" spans="1:11">
      <c r="A6988" s="946" t="s">
        <v>11952</v>
      </c>
      <c r="B6988" s="947" t="s">
        <v>12697</v>
      </c>
      <c r="C6988" s="948" t="s">
        <v>12695</v>
      </c>
      <c r="D6988" s="242" t="s">
        <v>31115</v>
      </c>
      <c r="E6988" s="949">
        <v>1401</v>
      </c>
      <c r="F6988" s="949">
        <v>1401</v>
      </c>
      <c r="G6988" s="950" t="s">
        <v>9865</v>
      </c>
      <c r="H6988" s="950" t="s">
        <v>493</v>
      </c>
      <c r="I6988" s="951" t="s">
        <v>12696</v>
      </c>
      <c r="J6988" s="947" t="s">
        <v>12697</v>
      </c>
      <c r="K6988" s="143"/>
    </row>
    <row r="6989" spans="1:11">
      <c r="A6989" s="946" t="s">
        <v>11952</v>
      </c>
      <c r="B6989" s="947" t="s">
        <v>14574</v>
      </c>
      <c r="C6989" s="948" t="s">
        <v>14572</v>
      </c>
      <c r="D6989" s="242" t="s">
        <v>31115</v>
      </c>
      <c r="E6989" s="949">
        <v>1401</v>
      </c>
      <c r="F6989" s="949">
        <v>1401</v>
      </c>
      <c r="G6989" s="950" t="s">
        <v>9865</v>
      </c>
      <c r="H6989" s="950" t="s">
        <v>493</v>
      </c>
      <c r="I6989" s="951" t="s">
        <v>14573</v>
      </c>
      <c r="J6989" s="947" t="s">
        <v>14574</v>
      </c>
      <c r="K6989" s="143"/>
    </row>
    <row r="6990" spans="1:11">
      <c r="A6990" s="946" t="s">
        <v>11952</v>
      </c>
      <c r="B6990" s="947" t="s">
        <v>14598</v>
      </c>
      <c r="C6990" s="948" t="s">
        <v>14596</v>
      </c>
      <c r="D6990" s="242" t="s">
        <v>31115</v>
      </c>
      <c r="E6990" s="949">
        <v>1401</v>
      </c>
      <c r="F6990" s="949">
        <v>1401</v>
      </c>
      <c r="G6990" s="950" t="s">
        <v>9865</v>
      </c>
      <c r="H6990" s="950" t="s">
        <v>493</v>
      </c>
      <c r="I6990" s="951" t="s">
        <v>14597</v>
      </c>
      <c r="J6990" s="947" t="s">
        <v>14598</v>
      </c>
      <c r="K6990" s="143"/>
    </row>
    <row r="6991" spans="1:11">
      <c r="A6991" s="946" t="s">
        <v>11952</v>
      </c>
      <c r="B6991" s="947" t="s">
        <v>14604</v>
      </c>
      <c r="C6991" s="948" t="s">
        <v>14602</v>
      </c>
      <c r="D6991" s="242" t="s">
        <v>31115</v>
      </c>
      <c r="E6991" s="949">
        <v>1401</v>
      </c>
      <c r="F6991" s="949">
        <v>1401</v>
      </c>
      <c r="G6991" s="950" t="s">
        <v>9865</v>
      </c>
      <c r="H6991" s="950" t="s">
        <v>493</v>
      </c>
      <c r="I6991" s="951" t="s">
        <v>14603</v>
      </c>
      <c r="J6991" s="947" t="s">
        <v>14604</v>
      </c>
      <c r="K6991" s="143"/>
    </row>
    <row r="6992" spans="1:11">
      <c r="A6992" s="946" t="s">
        <v>11952</v>
      </c>
      <c r="B6992" s="947" t="s">
        <v>14674</v>
      </c>
      <c r="C6992" s="948" t="s">
        <v>14672</v>
      </c>
      <c r="D6992" s="242" t="s">
        <v>31115</v>
      </c>
      <c r="E6992" s="949">
        <v>1401</v>
      </c>
      <c r="F6992" s="949">
        <v>1401</v>
      </c>
      <c r="G6992" s="950" t="s">
        <v>9865</v>
      </c>
      <c r="H6992" s="950" t="s">
        <v>493</v>
      </c>
      <c r="I6992" s="951" t="s">
        <v>14673</v>
      </c>
      <c r="J6992" s="947" t="s">
        <v>14674</v>
      </c>
      <c r="K6992" s="143"/>
    </row>
    <row r="6993" spans="1:11">
      <c r="A6993" s="946" t="s">
        <v>11952</v>
      </c>
      <c r="B6993" s="947" t="s">
        <v>14847</v>
      </c>
      <c r="C6993" s="948" t="s">
        <v>14845</v>
      </c>
      <c r="D6993" s="242" t="s">
        <v>31115</v>
      </c>
      <c r="E6993" s="949">
        <v>1401</v>
      </c>
      <c r="F6993" s="949">
        <v>1401</v>
      </c>
      <c r="G6993" s="950" t="s">
        <v>9865</v>
      </c>
      <c r="H6993" s="950" t="s">
        <v>493</v>
      </c>
      <c r="I6993" s="951" t="s">
        <v>14846</v>
      </c>
      <c r="J6993" s="947" t="s">
        <v>14847</v>
      </c>
      <c r="K6993" s="143"/>
    </row>
    <row r="6994" spans="1:11">
      <c r="A6994" s="946" t="s">
        <v>11952</v>
      </c>
      <c r="B6994" s="947" t="s">
        <v>15123</v>
      </c>
      <c r="C6994" s="948" t="s">
        <v>15121</v>
      </c>
      <c r="D6994" s="242" t="s">
        <v>31115</v>
      </c>
      <c r="E6994" s="949">
        <v>1401</v>
      </c>
      <c r="F6994" s="949">
        <v>1401</v>
      </c>
      <c r="G6994" s="950" t="s">
        <v>9865</v>
      </c>
      <c r="H6994" s="950" t="s">
        <v>493</v>
      </c>
      <c r="I6994" s="951" t="s">
        <v>15122</v>
      </c>
      <c r="J6994" s="947" t="s">
        <v>15123</v>
      </c>
      <c r="K6994" s="143"/>
    </row>
    <row r="6995" spans="1:11">
      <c r="A6995" s="946" t="s">
        <v>11952</v>
      </c>
      <c r="B6995" s="947" t="s">
        <v>15208</v>
      </c>
      <c r="C6995" s="948" t="s">
        <v>15206</v>
      </c>
      <c r="D6995" s="242" t="s">
        <v>31115</v>
      </c>
      <c r="E6995" s="949">
        <v>1401</v>
      </c>
      <c r="F6995" s="949">
        <v>1401</v>
      </c>
      <c r="G6995" s="950" t="s">
        <v>9865</v>
      </c>
      <c r="H6995" s="950" t="s">
        <v>493</v>
      </c>
      <c r="I6995" s="951" t="s">
        <v>15207</v>
      </c>
      <c r="J6995" s="947" t="s">
        <v>15208</v>
      </c>
      <c r="K6995" s="143"/>
    </row>
    <row r="6996" spans="1:11">
      <c r="A6996" s="946" t="s">
        <v>11952</v>
      </c>
      <c r="B6996" s="947" t="s">
        <v>15668</v>
      </c>
      <c r="C6996" s="948" t="s">
        <v>15666</v>
      </c>
      <c r="D6996" s="242" t="s">
        <v>31115</v>
      </c>
      <c r="E6996" s="949">
        <v>1401</v>
      </c>
      <c r="F6996" s="949">
        <v>1401</v>
      </c>
      <c r="G6996" s="950" t="s">
        <v>9865</v>
      </c>
      <c r="H6996" s="950" t="s">
        <v>493</v>
      </c>
      <c r="I6996" s="951" t="s">
        <v>15667</v>
      </c>
      <c r="J6996" s="947" t="s">
        <v>15668</v>
      </c>
      <c r="K6996" s="143"/>
    </row>
    <row r="6997" spans="1:11">
      <c r="A6997" s="946" t="s">
        <v>11952</v>
      </c>
      <c r="B6997" s="947" t="s">
        <v>16342</v>
      </c>
      <c r="C6997" s="948" t="s">
        <v>16340</v>
      </c>
      <c r="D6997" s="242" t="s">
        <v>31115</v>
      </c>
      <c r="E6997" s="949">
        <v>1401</v>
      </c>
      <c r="F6997" s="949">
        <v>1401</v>
      </c>
      <c r="G6997" s="950" t="s">
        <v>9865</v>
      </c>
      <c r="H6997" s="950" t="s">
        <v>493</v>
      </c>
      <c r="I6997" s="951" t="s">
        <v>16341</v>
      </c>
      <c r="J6997" s="947" t="s">
        <v>16342</v>
      </c>
      <c r="K6997" s="143"/>
    </row>
    <row r="6998" spans="1:11">
      <c r="A6998" s="946" t="s">
        <v>11952</v>
      </c>
      <c r="B6998" s="947" t="s">
        <v>16637</v>
      </c>
      <c r="C6998" s="948" t="s">
        <v>16635</v>
      </c>
      <c r="D6998" s="242" t="s">
        <v>31115</v>
      </c>
      <c r="E6998" s="949">
        <v>1401</v>
      </c>
      <c r="F6998" s="949">
        <v>1401</v>
      </c>
      <c r="G6998" s="950" t="s">
        <v>9865</v>
      </c>
      <c r="H6998" s="950" t="s">
        <v>493</v>
      </c>
      <c r="I6998" s="951" t="s">
        <v>16636</v>
      </c>
      <c r="J6998" s="947" t="s">
        <v>16637</v>
      </c>
      <c r="K6998" s="143"/>
    </row>
    <row r="6999" spans="1:11">
      <c r="A6999" s="946" t="s">
        <v>11952</v>
      </c>
      <c r="B6999" s="947" t="s">
        <v>16682</v>
      </c>
      <c r="C6999" s="948" t="s">
        <v>16680</v>
      </c>
      <c r="D6999" s="242" t="s">
        <v>31115</v>
      </c>
      <c r="E6999" s="949">
        <v>1401</v>
      </c>
      <c r="F6999" s="949">
        <v>1401</v>
      </c>
      <c r="G6999" s="950" t="s">
        <v>9865</v>
      </c>
      <c r="H6999" s="950" t="s">
        <v>493</v>
      </c>
      <c r="I6999" s="951" t="s">
        <v>16681</v>
      </c>
      <c r="J6999" s="947" t="s">
        <v>16682</v>
      </c>
      <c r="K6999" s="143"/>
    </row>
    <row r="7000" spans="1:11">
      <c r="A7000" s="946" t="s">
        <v>11952</v>
      </c>
      <c r="B7000" s="947" t="s">
        <v>16715</v>
      </c>
      <c r="C7000" s="948" t="s">
        <v>16713</v>
      </c>
      <c r="D7000" s="242" t="s">
        <v>31115</v>
      </c>
      <c r="E7000" s="949">
        <v>1401</v>
      </c>
      <c r="F7000" s="949">
        <v>1401</v>
      </c>
      <c r="G7000" s="950" t="s">
        <v>9865</v>
      </c>
      <c r="H7000" s="950" t="s">
        <v>493</v>
      </c>
      <c r="I7000" s="951" t="s">
        <v>16714</v>
      </c>
      <c r="J7000" s="947" t="s">
        <v>16715</v>
      </c>
      <c r="K7000" s="143"/>
    </row>
    <row r="7001" spans="1:11">
      <c r="A7001" s="946" t="s">
        <v>11952</v>
      </c>
      <c r="B7001" s="947" t="s">
        <v>18078</v>
      </c>
      <c r="C7001" s="948" t="s">
        <v>18076</v>
      </c>
      <c r="D7001" s="242" t="s">
        <v>31115</v>
      </c>
      <c r="E7001" s="949">
        <v>1401</v>
      </c>
      <c r="F7001" s="949">
        <v>1401</v>
      </c>
      <c r="G7001" s="950" t="s">
        <v>9865</v>
      </c>
      <c r="H7001" s="950" t="s">
        <v>493</v>
      </c>
      <c r="I7001" s="951" t="s">
        <v>18077</v>
      </c>
      <c r="J7001" s="947" t="s">
        <v>18078</v>
      </c>
      <c r="K7001" s="143"/>
    </row>
    <row r="7002" spans="1:11">
      <c r="A7002" s="946" t="s">
        <v>11952</v>
      </c>
      <c r="B7002" s="947" t="s">
        <v>18538</v>
      </c>
      <c r="C7002" s="948" t="s">
        <v>18536</v>
      </c>
      <c r="D7002" s="242" t="s">
        <v>31115</v>
      </c>
      <c r="E7002" s="949">
        <v>1401</v>
      </c>
      <c r="F7002" s="949">
        <v>1401</v>
      </c>
      <c r="G7002" s="950" t="s">
        <v>9865</v>
      </c>
      <c r="H7002" s="950" t="s">
        <v>493</v>
      </c>
      <c r="I7002" s="951" t="s">
        <v>18537</v>
      </c>
      <c r="J7002" s="947" t="s">
        <v>18538</v>
      </c>
      <c r="K7002" s="143"/>
    </row>
    <row r="7003" spans="1:11">
      <c r="A7003" s="946" t="s">
        <v>11952</v>
      </c>
      <c r="B7003" s="947" t="s">
        <v>18470</v>
      </c>
      <c r="C7003" s="948" t="s">
        <v>18468</v>
      </c>
      <c r="D7003" s="242" t="s">
        <v>31115</v>
      </c>
      <c r="E7003" s="949">
        <v>1401</v>
      </c>
      <c r="F7003" s="949">
        <v>1401</v>
      </c>
      <c r="G7003" s="950" t="s">
        <v>9865</v>
      </c>
      <c r="H7003" s="950" t="s">
        <v>493</v>
      </c>
      <c r="I7003" s="951" t="s">
        <v>18469</v>
      </c>
      <c r="J7003" s="947" t="s">
        <v>18470</v>
      </c>
      <c r="K7003" s="143"/>
    </row>
    <row r="7004" spans="1:11">
      <c r="A7004" s="946" t="s">
        <v>11952</v>
      </c>
      <c r="B7004" s="947" t="s">
        <v>18631</v>
      </c>
      <c r="C7004" s="948" t="s">
        <v>18629</v>
      </c>
      <c r="D7004" s="242" t="s">
        <v>31115</v>
      </c>
      <c r="E7004" s="949">
        <v>1401</v>
      </c>
      <c r="F7004" s="949">
        <v>1401</v>
      </c>
      <c r="G7004" s="950" t="s">
        <v>9865</v>
      </c>
      <c r="H7004" s="950" t="s">
        <v>493</v>
      </c>
      <c r="I7004" s="951" t="s">
        <v>18630</v>
      </c>
      <c r="J7004" s="947" t="s">
        <v>18631</v>
      </c>
      <c r="K7004" s="143"/>
    </row>
    <row r="7005" spans="1:11">
      <c r="A7005" s="946" t="s">
        <v>11952</v>
      </c>
      <c r="B7005" s="947" t="s">
        <v>18709</v>
      </c>
      <c r="C7005" s="948" t="s">
        <v>18707</v>
      </c>
      <c r="D7005" s="242" t="s">
        <v>31115</v>
      </c>
      <c r="E7005" s="949">
        <v>1401</v>
      </c>
      <c r="F7005" s="949">
        <v>1401</v>
      </c>
      <c r="G7005" s="950" t="s">
        <v>9865</v>
      </c>
      <c r="H7005" s="950" t="s">
        <v>493</v>
      </c>
      <c r="I7005" s="951" t="s">
        <v>18708</v>
      </c>
      <c r="J7005" s="947" t="s">
        <v>18709</v>
      </c>
      <c r="K7005" s="143"/>
    </row>
    <row r="7006" spans="1:11">
      <c r="A7006" s="946" t="s">
        <v>11952</v>
      </c>
      <c r="B7006" s="947" t="s">
        <v>19051</v>
      </c>
      <c r="C7006" s="948" t="s">
        <v>19049</v>
      </c>
      <c r="D7006" s="242" t="s">
        <v>31115</v>
      </c>
      <c r="E7006" s="949">
        <v>1401</v>
      </c>
      <c r="F7006" s="949">
        <v>1401</v>
      </c>
      <c r="G7006" s="950" t="s">
        <v>9865</v>
      </c>
      <c r="H7006" s="950" t="s">
        <v>493</v>
      </c>
      <c r="I7006" s="951" t="s">
        <v>19050</v>
      </c>
      <c r="J7006" s="947" t="s">
        <v>19051</v>
      </c>
      <c r="K7006" s="143"/>
    </row>
    <row r="7007" spans="1:11">
      <c r="A7007" s="946" t="s">
        <v>11952</v>
      </c>
      <c r="B7007" s="947" t="s">
        <v>19407</v>
      </c>
      <c r="C7007" s="948" t="s">
        <v>19405</v>
      </c>
      <c r="D7007" s="242" t="s">
        <v>31115</v>
      </c>
      <c r="E7007" s="949">
        <v>1401</v>
      </c>
      <c r="F7007" s="949">
        <v>1401</v>
      </c>
      <c r="G7007" s="950" t="s">
        <v>9865</v>
      </c>
      <c r="H7007" s="950" t="s">
        <v>493</v>
      </c>
      <c r="I7007" s="951" t="s">
        <v>19406</v>
      </c>
      <c r="J7007" s="947" t="s">
        <v>19407</v>
      </c>
      <c r="K7007" s="143"/>
    </row>
    <row r="7008" spans="1:11">
      <c r="A7008" s="946" t="s">
        <v>11952</v>
      </c>
      <c r="B7008" s="947" t="s">
        <v>19423</v>
      </c>
      <c r="C7008" s="948" t="s">
        <v>19421</v>
      </c>
      <c r="D7008" s="242" t="s">
        <v>31115</v>
      </c>
      <c r="E7008" s="949">
        <v>1401</v>
      </c>
      <c r="F7008" s="949">
        <v>1401</v>
      </c>
      <c r="G7008" s="950" t="s">
        <v>9865</v>
      </c>
      <c r="H7008" s="950" t="s">
        <v>493</v>
      </c>
      <c r="I7008" s="951" t="s">
        <v>19422</v>
      </c>
      <c r="J7008" s="947" t="s">
        <v>19423</v>
      </c>
      <c r="K7008" s="143"/>
    </row>
    <row r="7009" spans="1:11">
      <c r="A7009" s="946" t="s">
        <v>11952</v>
      </c>
      <c r="B7009" s="947" t="s">
        <v>21616</v>
      </c>
      <c r="C7009" s="948" t="s">
        <v>21614</v>
      </c>
      <c r="D7009" s="242" t="s">
        <v>31115</v>
      </c>
      <c r="E7009" s="949">
        <v>1401</v>
      </c>
      <c r="F7009" s="949">
        <v>1401</v>
      </c>
      <c r="G7009" s="950" t="s">
        <v>9865</v>
      </c>
      <c r="H7009" s="950" t="s">
        <v>493</v>
      </c>
      <c r="I7009" s="951" t="s">
        <v>21615</v>
      </c>
      <c r="J7009" s="947" t="s">
        <v>21616</v>
      </c>
      <c r="K7009" s="143"/>
    </row>
    <row r="7010" spans="1:11">
      <c r="A7010" s="946" t="s">
        <v>11952</v>
      </c>
      <c r="B7010" s="947" t="s">
        <v>21674</v>
      </c>
      <c r="C7010" s="948" t="s">
        <v>21672</v>
      </c>
      <c r="D7010" s="242" t="s">
        <v>31115</v>
      </c>
      <c r="E7010" s="949">
        <v>1401</v>
      </c>
      <c r="F7010" s="949">
        <v>1401</v>
      </c>
      <c r="G7010" s="950" t="s">
        <v>9865</v>
      </c>
      <c r="H7010" s="950" t="s">
        <v>493</v>
      </c>
      <c r="I7010" s="951" t="s">
        <v>21673</v>
      </c>
      <c r="J7010" s="947" t="s">
        <v>21674</v>
      </c>
      <c r="K7010" s="143"/>
    </row>
    <row r="7011" spans="1:11">
      <c r="A7011" s="946" t="s">
        <v>28614</v>
      </c>
      <c r="B7011" s="947" t="s">
        <v>699</v>
      </c>
      <c r="C7011" s="948" t="s">
        <v>696</v>
      </c>
      <c r="D7011" s="242" t="s">
        <v>516</v>
      </c>
      <c r="E7011" s="949">
        <v>102</v>
      </c>
      <c r="F7011" s="949">
        <v>102</v>
      </c>
      <c r="G7011" s="950" t="s">
        <v>2431</v>
      </c>
      <c r="H7011" s="950" t="s">
        <v>697</v>
      </c>
      <c r="I7011" s="951" t="s">
        <v>698</v>
      </c>
      <c r="J7011" s="947" t="s">
        <v>699</v>
      </c>
      <c r="K7011" s="143"/>
    </row>
    <row r="7012" spans="1:11">
      <c r="A7012" s="946" t="s">
        <v>28614</v>
      </c>
      <c r="B7012" s="947" t="s">
        <v>1130</v>
      </c>
      <c r="C7012" s="948" t="s">
        <v>1128</v>
      </c>
      <c r="D7012" s="242" t="s">
        <v>516</v>
      </c>
      <c r="E7012" s="949">
        <v>102</v>
      </c>
      <c r="F7012" s="949">
        <v>102</v>
      </c>
      <c r="G7012" s="950" t="s">
        <v>2431</v>
      </c>
      <c r="H7012" s="950" t="s">
        <v>697</v>
      </c>
      <c r="I7012" s="951" t="s">
        <v>1129</v>
      </c>
      <c r="J7012" s="947" t="s">
        <v>1130</v>
      </c>
      <c r="K7012" s="143"/>
    </row>
    <row r="7013" spans="1:11">
      <c r="A7013" s="946" t="s">
        <v>28614</v>
      </c>
      <c r="B7013" s="947" t="s">
        <v>2270</v>
      </c>
      <c r="C7013" s="948" t="s">
        <v>2268</v>
      </c>
      <c r="D7013" s="242" t="s">
        <v>516</v>
      </c>
      <c r="E7013" s="949">
        <v>102</v>
      </c>
      <c r="F7013" s="949">
        <v>102</v>
      </c>
      <c r="G7013" s="950" t="s">
        <v>2431</v>
      </c>
      <c r="H7013" s="950" t="s">
        <v>697</v>
      </c>
      <c r="I7013" s="951" t="s">
        <v>2269</v>
      </c>
      <c r="J7013" s="947" t="s">
        <v>2270</v>
      </c>
      <c r="K7013" s="143"/>
    </row>
    <row r="7014" spans="1:11">
      <c r="A7014" s="946" t="s">
        <v>28614</v>
      </c>
      <c r="B7014" s="947" t="s">
        <v>2431</v>
      </c>
      <c r="C7014" s="948" t="s">
        <v>2429</v>
      </c>
      <c r="D7014" s="242" t="s">
        <v>516</v>
      </c>
      <c r="E7014" s="949">
        <v>102</v>
      </c>
      <c r="F7014" s="949">
        <v>102</v>
      </c>
      <c r="G7014" s="950" t="s">
        <v>2431</v>
      </c>
      <c r="H7014" s="950" t="s">
        <v>697</v>
      </c>
      <c r="I7014" s="951" t="s">
        <v>2430</v>
      </c>
      <c r="J7014" s="947" t="s">
        <v>2431</v>
      </c>
      <c r="K7014" s="143"/>
    </row>
    <row r="7015" spans="1:11">
      <c r="A7015" s="946" t="s">
        <v>28614</v>
      </c>
      <c r="B7015" s="947" t="s">
        <v>2453</v>
      </c>
      <c r="C7015" s="948" t="s">
        <v>2451</v>
      </c>
      <c r="D7015" s="242" t="s">
        <v>516</v>
      </c>
      <c r="E7015" s="949">
        <v>102</v>
      </c>
      <c r="F7015" s="949">
        <v>102</v>
      </c>
      <c r="G7015" s="950" t="s">
        <v>2431</v>
      </c>
      <c r="H7015" s="950" t="s">
        <v>697</v>
      </c>
      <c r="I7015" s="951" t="s">
        <v>2452</v>
      </c>
      <c r="J7015" s="947" t="s">
        <v>2453</v>
      </c>
      <c r="K7015" s="143"/>
    </row>
    <row r="7016" spans="1:11">
      <c r="A7016" s="946" t="s">
        <v>28614</v>
      </c>
      <c r="B7016" s="947" t="s">
        <v>2836</v>
      </c>
      <c r="C7016" s="948" t="s">
        <v>2834</v>
      </c>
      <c r="D7016" s="242" t="s">
        <v>516</v>
      </c>
      <c r="E7016" s="949">
        <v>102</v>
      </c>
      <c r="F7016" s="949">
        <v>102</v>
      </c>
      <c r="G7016" s="950" t="s">
        <v>2431</v>
      </c>
      <c r="H7016" s="950" t="s">
        <v>697</v>
      </c>
      <c r="I7016" s="951" t="s">
        <v>2835</v>
      </c>
      <c r="J7016" s="947" t="s">
        <v>2836</v>
      </c>
      <c r="K7016" s="143"/>
    </row>
    <row r="7017" spans="1:11">
      <c r="A7017" s="946" t="s">
        <v>28614</v>
      </c>
      <c r="B7017" s="947" t="s">
        <v>3170</v>
      </c>
      <c r="C7017" s="948" t="s">
        <v>3168</v>
      </c>
      <c r="D7017" s="242" t="s">
        <v>516</v>
      </c>
      <c r="E7017" s="949">
        <v>102</v>
      </c>
      <c r="F7017" s="949">
        <v>102</v>
      </c>
      <c r="G7017" s="950" t="s">
        <v>2431</v>
      </c>
      <c r="H7017" s="950" t="s">
        <v>697</v>
      </c>
      <c r="I7017" s="951" t="s">
        <v>3169</v>
      </c>
      <c r="J7017" s="947" t="s">
        <v>3170</v>
      </c>
      <c r="K7017" s="143"/>
    </row>
    <row r="7018" spans="1:11">
      <c r="A7018" s="946" t="s">
        <v>28614</v>
      </c>
      <c r="B7018" s="947" t="s">
        <v>3511</v>
      </c>
      <c r="C7018" s="948" t="s">
        <v>3509</v>
      </c>
      <c r="D7018" s="242" t="s">
        <v>516</v>
      </c>
      <c r="E7018" s="949">
        <v>102</v>
      </c>
      <c r="F7018" s="949">
        <v>102</v>
      </c>
      <c r="G7018" s="950" t="s">
        <v>2431</v>
      </c>
      <c r="H7018" s="950" t="s">
        <v>697</v>
      </c>
      <c r="I7018" s="951" t="s">
        <v>3510</v>
      </c>
      <c r="J7018" s="947" t="s">
        <v>3511</v>
      </c>
      <c r="K7018" s="143"/>
    </row>
    <row r="7019" spans="1:11">
      <c r="A7019" s="946" t="s">
        <v>28614</v>
      </c>
      <c r="B7019" s="947" t="s">
        <v>3603</v>
      </c>
      <c r="C7019" s="948" t="s">
        <v>3601</v>
      </c>
      <c r="D7019" s="242" t="s">
        <v>516</v>
      </c>
      <c r="E7019" s="949">
        <v>102</v>
      </c>
      <c r="F7019" s="949">
        <v>102</v>
      </c>
      <c r="G7019" s="950" t="s">
        <v>2431</v>
      </c>
      <c r="H7019" s="950" t="s">
        <v>697</v>
      </c>
      <c r="I7019" s="951" t="s">
        <v>3602</v>
      </c>
      <c r="J7019" s="947" t="s">
        <v>3603</v>
      </c>
      <c r="K7019" s="143"/>
    </row>
    <row r="7020" spans="1:11">
      <c r="A7020" s="946" t="s">
        <v>28614</v>
      </c>
      <c r="B7020" s="947" t="s">
        <v>3617</v>
      </c>
      <c r="C7020" s="948" t="s">
        <v>3615</v>
      </c>
      <c r="D7020" s="242" t="s">
        <v>516</v>
      </c>
      <c r="E7020" s="949">
        <v>102</v>
      </c>
      <c r="F7020" s="949">
        <v>102</v>
      </c>
      <c r="G7020" s="950" t="s">
        <v>2431</v>
      </c>
      <c r="H7020" s="950" t="s">
        <v>697</v>
      </c>
      <c r="I7020" s="951" t="s">
        <v>3616</v>
      </c>
      <c r="J7020" s="947" t="s">
        <v>3617</v>
      </c>
      <c r="K7020" s="143"/>
    </row>
    <row r="7021" spans="1:11">
      <c r="A7021" s="946" t="s">
        <v>28614</v>
      </c>
      <c r="B7021" s="947" t="s">
        <v>3888</v>
      </c>
      <c r="C7021" s="948" t="s">
        <v>3886</v>
      </c>
      <c r="D7021" s="242" t="s">
        <v>516</v>
      </c>
      <c r="E7021" s="949">
        <v>102</v>
      </c>
      <c r="F7021" s="949">
        <v>102</v>
      </c>
      <c r="G7021" s="950" t="s">
        <v>2431</v>
      </c>
      <c r="H7021" s="950" t="s">
        <v>697</v>
      </c>
      <c r="I7021" s="951" t="s">
        <v>3887</v>
      </c>
      <c r="J7021" s="947" t="s">
        <v>3888</v>
      </c>
      <c r="K7021" s="143"/>
    </row>
    <row r="7022" spans="1:11">
      <c r="A7022" s="946" t="s">
        <v>28614</v>
      </c>
      <c r="B7022" s="947" t="s">
        <v>4172</v>
      </c>
      <c r="C7022" s="948" t="s">
        <v>4170</v>
      </c>
      <c r="D7022" s="242" t="s">
        <v>516</v>
      </c>
      <c r="E7022" s="949">
        <v>102</v>
      </c>
      <c r="F7022" s="949">
        <v>102</v>
      </c>
      <c r="G7022" s="950" t="s">
        <v>2431</v>
      </c>
      <c r="H7022" s="950" t="s">
        <v>697</v>
      </c>
      <c r="I7022" s="951" t="s">
        <v>4171</v>
      </c>
      <c r="J7022" s="947" t="s">
        <v>4172</v>
      </c>
      <c r="K7022" s="143"/>
    </row>
    <row r="7023" spans="1:11">
      <c r="A7023" s="946" t="s">
        <v>28614</v>
      </c>
      <c r="B7023" s="947" t="s">
        <v>4685</v>
      </c>
      <c r="C7023" s="948" t="s">
        <v>4683</v>
      </c>
      <c r="D7023" s="242" t="s">
        <v>516</v>
      </c>
      <c r="E7023" s="949">
        <v>102</v>
      </c>
      <c r="F7023" s="949">
        <v>102</v>
      </c>
      <c r="G7023" s="950" t="s">
        <v>2431</v>
      </c>
      <c r="H7023" s="950" t="s">
        <v>697</v>
      </c>
      <c r="I7023" s="951" t="s">
        <v>4684</v>
      </c>
      <c r="J7023" s="947" t="s">
        <v>4685</v>
      </c>
      <c r="K7023" s="143"/>
    </row>
    <row r="7024" spans="1:11">
      <c r="A7024" s="946" t="s">
        <v>28614</v>
      </c>
      <c r="B7024" s="947" t="s">
        <v>5190</v>
      </c>
      <c r="C7024" s="948" t="s">
        <v>5188</v>
      </c>
      <c r="D7024" s="242" t="s">
        <v>516</v>
      </c>
      <c r="E7024" s="949">
        <v>102</v>
      </c>
      <c r="F7024" s="949">
        <v>102</v>
      </c>
      <c r="G7024" s="950" t="s">
        <v>2431</v>
      </c>
      <c r="H7024" s="950" t="s">
        <v>697</v>
      </c>
      <c r="I7024" s="951" t="s">
        <v>5189</v>
      </c>
      <c r="J7024" s="947" t="s">
        <v>5190</v>
      </c>
      <c r="K7024" s="143"/>
    </row>
    <row r="7025" spans="1:11">
      <c r="A7025" s="946" t="s">
        <v>28614</v>
      </c>
      <c r="B7025" s="947" t="s">
        <v>5647</v>
      </c>
      <c r="C7025" s="948" t="s">
        <v>5645</v>
      </c>
      <c r="D7025" s="242" t="s">
        <v>516</v>
      </c>
      <c r="E7025" s="949">
        <v>102</v>
      </c>
      <c r="F7025" s="949">
        <v>102</v>
      </c>
      <c r="G7025" s="950" t="s">
        <v>2431</v>
      </c>
      <c r="H7025" s="950" t="s">
        <v>697</v>
      </c>
      <c r="I7025" s="951" t="s">
        <v>5646</v>
      </c>
      <c r="J7025" s="947" t="s">
        <v>5647</v>
      </c>
      <c r="K7025" s="143"/>
    </row>
    <row r="7026" spans="1:11">
      <c r="A7026" s="946" t="s">
        <v>28614</v>
      </c>
      <c r="B7026" s="947" t="s">
        <v>6022</v>
      </c>
      <c r="C7026" s="948" t="s">
        <v>6020</v>
      </c>
      <c r="D7026" s="242" t="s">
        <v>516</v>
      </c>
      <c r="E7026" s="949">
        <v>102</v>
      </c>
      <c r="F7026" s="949">
        <v>102</v>
      </c>
      <c r="G7026" s="950" t="s">
        <v>2431</v>
      </c>
      <c r="H7026" s="950" t="s">
        <v>697</v>
      </c>
      <c r="I7026" s="951" t="s">
        <v>6021</v>
      </c>
      <c r="J7026" s="947" t="s">
        <v>6022</v>
      </c>
      <c r="K7026" s="143"/>
    </row>
    <row r="7027" spans="1:11">
      <c r="A7027" s="946" t="s">
        <v>28614</v>
      </c>
      <c r="B7027" s="947" t="s">
        <v>6677</v>
      </c>
      <c r="C7027" s="948" t="s">
        <v>6675</v>
      </c>
      <c r="D7027" s="242" t="s">
        <v>516</v>
      </c>
      <c r="E7027" s="949">
        <v>102</v>
      </c>
      <c r="F7027" s="949">
        <v>102</v>
      </c>
      <c r="G7027" s="950" t="s">
        <v>2431</v>
      </c>
      <c r="H7027" s="950" t="s">
        <v>697</v>
      </c>
      <c r="I7027" s="951" t="s">
        <v>6676</v>
      </c>
      <c r="J7027" s="947" t="s">
        <v>6677</v>
      </c>
      <c r="K7027" s="143"/>
    </row>
    <row r="7028" spans="1:11">
      <c r="A7028" s="946" t="s">
        <v>28614</v>
      </c>
      <c r="B7028" s="947" t="s">
        <v>7239</v>
      </c>
      <c r="C7028" s="948" t="s">
        <v>7237</v>
      </c>
      <c r="D7028" s="242" t="s">
        <v>516</v>
      </c>
      <c r="E7028" s="949">
        <v>102</v>
      </c>
      <c r="F7028" s="949">
        <v>102</v>
      </c>
      <c r="G7028" s="950" t="s">
        <v>2431</v>
      </c>
      <c r="H7028" s="950" t="s">
        <v>697</v>
      </c>
      <c r="I7028" s="951" t="s">
        <v>7238</v>
      </c>
      <c r="J7028" s="947" t="s">
        <v>7239</v>
      </c>
      <c r="K7028" s="143"/>
    </row>
    <row r="7029" spans="1:11">
      <c r="A7029" s="946" t="s">
        <v>28614</v>
      </c>
      <c r="B7029" s="947" t="s">
        <v>7380</v>
      </c>
      <c r="C7029" s="948" t="s">
        <v>7378</v>
      </c>
      <c r="D7029" s="242" t="s">
        <v>516</v>
      </c>
      <c r="E7029" s="949">
        <v>102</v>
      </c>
      <c r="F7029" s="949">
        <v>102</v>
      </c>
      <c r="G7029" s="950" t="s">
        <v>2431</v>
      </c>
      <c r="H7029" s="950" t="s">
        <v>697</v>
      </c>
      <c r="I7029" s="951" t="s">
        <v>7379</v>
      </c>
      <c r="J7029" s="947" t="s">
        <v>7380</v>
      </c>
      <c r="K7029" s="143"/>
    </row>
    <row r="7030" spans="1:11">
      <c r="A7030" s="946" t="s">
        <v>28614</v>
      </c>
      <c r="B7030" s="947" t="s">
        <v>7497</v>
      </c>
      <c r="C7030" s="948" t="s">
        <v>7495</v>
      </c>
      <c r="D7030" s="242" t="s">
        <v>516</v>
      </c>
      <c r="E7030" s="949">
        <v>102</v>
      </c>
      <c r="F7030" s="949">
        <v>102</v>
      </c>
      <c r="G7030" s="950" t="s">
        <v>2431</v>
      </c>
      <c r="H7030" s="950" t="s">
        <v>697</v>
      </c>
      <c r="I7030" s="951" t="s">
        <v>7496</v>
      </c>
      <c r="J7030" s="947" t="s">
        <v>7497</v>
      </c>
      <c r="K7030" s="143"/>
    </row>
    <row r="7031" spans="1:11">
      <c r="A7031" s="946" t="s">
        <v>28614</v>
      </c>
      <c r="B7031" s="947" t="s">
        <v>7718</v>
      </c>
      <c r="C7031" s="948" t="s">
        <v>7716</v>
      </c>
      <c r="D7031" s="242" t="s">
        <v>516</v>
      </c>
      <c r="E7031" s="949">
        <v>102</v>
      </c>
      <c r="F7031" s="949">
        <v>102</v>
      </c>
      <c r="G7031" s="950" t="s">
        <v>2431</v>
      </c>
      <c r="H7031" s="950" t="s">
        <v>697</v>
      </c>
      <c r="I7031" s="951" t="s">
        <v>7717</v>
      </c>
      <c r="J7031" s="947" t="s">
        <v>7718</v>
      </c>
      <c r="K7031" s="143"/>
    </row>
    <row r="7032" spans="1:11">
      <c r="A7032" s="946" t="s">
        <v>28614</v>
      </c>
      <c r="B7032" s="947" t="s">
        <v>7739</v>
      </c>
      <c r="C7032" s="948" t="s">
        <v>7737</v>
      </c>
      <c r="D7032" s="242" t="s">
        <v>516</v>
      </c>
      <c r="E7032" s="949">
        <v>102</v>
      </c>
      <c r="F7032" s="949">
        <v>102</v>
      </c>
      <c r="G7032" s="950" t="s">
        <v>2431</v>
      </c>
      <c r="H7032" s="950" t="s">
        <v>697</v>
      </c>
      <c r="I7032" s="951" t="s">
        <v>7738</v>
      </c>
      <c r="J7032" s="947" t="s">
        <v>7739</v>
      </c>
      <c r="K7032" s="143"/>
    </row>
    <row r="7033" spans="1:11">
      <c r="A7033" s="946" t="s">
        <v>28614</v>
      </c>
      <c r="B7033" s="947" t="s">
        <v>8814</v>
      </c>
      <c r="C7033" s="948" t="s">
        <v>8812</v>
      </c>
      <c r="D7033" s="242" t="s">
        <v>516</v>
      </c>
      <c r="E7033" s="949">
        <v>102</v>
      </c>
      <c r="F7033" s="949">
        <v>102</v>
      </c>
      <c r="G7033" s="950" t="s">
        <v>2431</v>
      </c>
      <c r="H7033" s="950" t="s">
        <v>697</v>
      </c>
      <c r="I7033" s="951" t="s">
        <v>8813</v>
      </c>
      <c r="J7033" s="947" t="s">
        <v>8814</v>
      </c>
      <c r="K7033" s="143"/>
    </row>
    <row r="7034" spans="1:11">
      <c r="A7034" s="946" t="s">
        <v>28614</v>
      </c>
      <c r="B7034" s="947" t="s">
        <v>9212</v>
      </c>
      <c r="C7034" s="948" t="s">
        <v>9210</v>
      </c>
      <c r="D7034" s="242" t="s">
        <v>516</v>
      </c>
      <c r="E7034" s="949">
        <v>102</v>
      </c>
      <c r="F7034" s="949">
        <v>102</v>
      </c>
      <c r="G7034" s="950" t="s">
        <v>2431</v>
      </c>
      <c r="H7034" s="950" t="s">
        <v>697</v>
      </c>
      <c r="I7034" s="951" t="s">
        <v>9211</v>
      </c>
      <c r="J7034" s="947" t="s">
        <v>9212</v>
      </c>
      <c r="K7034" s="143"/>
    </row>
    <row r="7035" spans="1:11">
      <c r="A7035" s="946" t="s">
        <v>28614</v>
      </c>
      <c r="B7035" s="947" t="s">
        <v>9443</v>
      </c>
      <c r="C7035" s="948" t="s">
        <v>9441</v>
      </c>
      <c r="D7035" s="242" t="s">
        <v>516</v>
      </c>
      <c r="E7035" s="949">
        <v>102</v>
      </c>
      <c r="F7035" s="949">
        <v>102</v>
      </c>
      <c r="G7035" s="950" t="s">
        <v>2431</v>
      </c>
      <c r="H7035" s="950" t="s">
        <v>697</v>
      </c>
      <c r="I7035" s="951" t="s">
        <v>9442</v>
      </c>
      <c r="J7035" s="947" t="s">
        <v>9443</v>
      </c>
      <c r="K7035" s="143"/>
    </row>
    <row r="7036" spans="1:11">
      <c r="A7036" s="946" t="s">
        <v>28614</v>
      </c>
      <c r="B7036" s="947" t="s">
        <v>10914</v>
      </c>
      <c r="C7036" s="948" t="s">
        <v>10912</v>
      </c>
      <c r="D7036" s="242" t="s">
        <v>516</v>
      </c>
      <c r="E7036" s="949">
        <v>102</v>
      </c>
      <c r="F7036" s="949">
        <v>102</v>
      </c>
      <c r="G7036" s="950" t="s">
        <v>2431</v>
      </c>
      <c r="H7036" s="950" t="s">
        <v>697</v>
      </c>
      <c r="I7036" s="951" t="s">
        <v>10913</v>
      </c>
      <c r="J7036" s="947" t="s">
        <v>10914</v>
      </c>
      <c r="K7036" s="143"/>
    </row>
    <row r="7037" spans="1:11">
      <c r="A7037" s="946" t="s">
        <v>28614</v>
      </c>
      <c r="B7037" s="947" t="s">
        <v>11409</v>
      </c>
      <c r="C7037" s="948" t="s">
        <v>11407</v>
      </c>
      <c r="D7037" s="242" t="s">
        <v>516</v>
      </c>
      <c r="E7037" s="949">
        <v>102</v>
      </c>
      <c r="F7037" s="949">
        <v>102</v>
      </c>
      <c r="G7037" s="950" t="s">
        <v>2431</v>
      </c>
      <c r="H7037" s="950" t="s">
        <v>697</v>
      </c>
      <c r="I7037" s="951" t="s">
        <v>11408</v>
      </c>
      <c r="J7037" s="947" t="s">
        <v>11409</v>
      </c>
      <c r="K7037" s="143"/>
    </row>
    <row r="7038" spans="1:11">
      <c r="A7038" s="946" t="s">
        <v>28614</v>
      </c>
      <c r="B7038" s="947" t="s">
        <v>11415</v>
      </c>
      <c r="C7038" s="948" t="s">
        <v>11413</v>
      </c>
      <c r="D7038" s="242" t="s">
        <v>516</v>
      </c>
      <c r="E7038" s="949">
        <v>102</v>
      </c>
      <c r="F7038" s="949">
        <v>102</v>
      </c>
      <c r="G7038" s="950" t="s">
        <v>2431</v>
      </c>
      <c r="H7038" s="950" t="s">
        <v>697</v>
      </c>
      <c r="I7038" s="951" t="s">
        <v>11414</v>
      </c>
      <c r="J7038" s="947" t="s">
        <v>11415</v>
      </c>
      <c r="K7038" s="143"/>
    </row>
    <row r="7039" spans="1:11">
      <c r="A7039" s="946" t="s">
        <v>28614</v>
      </c>
      <c r="B7039" s="947" t="s">
        <v>11691</v>
      </c>
      <c r="C7039" s="948" t="s">
        <v>11689</v>
      </c>
      <c r="D7039" s="242" t="s">
        <v>516</v>
      </c>
      <c r="E7039" s="949">
        <v>102</v>
      </c>
      <c r="F7039" s="949">
        <v>102</v>
      </c>
      <c r="G7039" s="950" t="s">
        <v>2431</v>
      </c>
      <c r="H7039" s="950" t="s">
        <v>697</v>
      </c>
      <c r="I7039" s="951" t="s">
        <v>11690</v>
      </c>
      <c r="J7039" s="947" t="s">
        <v>11691</v>
      </c>
      <c r="K7039" s="143"/>
    </row>
    <row r="7040" spans="1:11">
      <c r="A7040" s="946" t="s">
        <v>28614</v>
      </c>
      <c r="B7040" s="947" t="s">
        <v>11727</v>
      </c>
      <c r="C7040" s="948" t="s">
        <v>11725</v>
      </c>
      <c r="D7040" s="242" t="s">
        <v>516</v>
      </c>
      <c r="E7040" s="949">
        <v>102</v>
      </c>
      <c r="F7040" s="949">
        <v>102</v>
      </c>
      <c r="G7040" s="950" t="s">
        <v>2431</v>
      </c>
      <c r="H7040" s="950" t="s">
        <v>697</v>
      </c>
      <c r="I7040" s="951" t="s">
        <v>11726</v>
      </c>
      <c r="J7040" s="947" t="s">
        <v>11727</v>
      </c>
      <c r="K7040" s="143"/>
    </row>
    <row r="7041" spans="1:11">
      <c r="A7041" s="946" t="s">
        <v>28614</v>
      </c>
      <c r="B7041" s="947" t="s">
        <v>12111</v>
      </c>
      <c r="C7041" s="948" t="s">
        <v>12109</v>
      </c>
      <c r="D7041" s="242" t="s">
        <v>516</v>
      </c>
      <c r="E7041" s="949">
        <v>102</v>
      </c>
      <c r="F7041" s="949">
        <v>102</v>
      </c>
      <c r="G7041" s="950" t="s">
        <v>2431</v>
      </c>
      <c r="H7041" s="950" t="s">
        <v>697</v>
      </c>
      <c r="I7041" s="951" t="s">
        <v>12110</v>
      </c>
      <c r="J7041" s="947" t="s">
        <v>12111</v>
      </c>
      <c r="K7041" s="143"/>
    </row>
    <row r="7042" spans="1:11">
      <c r="A7042" s="946" t="s">
        <v>28614</v>
      </c>
      <c r="B7042" s="947" t="s">
        <v>13059</v>
      </c>
      <c r="C7042" s="948" t="s">
        <v>13057</v>
      </c>
      <c r="D7042" s="242" t="s">
        <v>516</v>
      </c>
      <c r="E7042" s="949">
        <v>102</v>
      </c>
      <c r="F7042" s="949">
        <v>102</v>
      </c>
      <c r="G7042" s="950" t="s">
        <v>2431</v>
      </c>
      <c r="H7042" s="950" t="s">
        <v>697</v>
      </c>
      <c r="I7042" s="951" t="s">
        <v>13058</v>
      </c>
      <c r="J7042" s="947" t="s">
        <v>13059</v>
      </c>
      <c r="K7042" s="143"/>
    </row>
    <row r="7043" spans="1:11">
      <c r="A7043" s="946" t="s">
        <v>28614</v>
      </c>
      <c r="B7043" s="947" t="s">
        <v>13147</v>
      </c>
      <c r="C7043" s="948" t="s">
        <v>13145</v>
      </c>
      <c r="D7043" s="242" t="s">
        <v>516</v>
      </c>
      <c r="E7043" s="949">
        <v>102</v>
      </c>
      <c r="F7043" s="949">
        <v>102</v>
      </c>
      <c r="G7043" s="950" t="s">
        <v>2431</v>
      </c>
      <c r="H7043" s="950" t="s">
        <v>697</v>
      </c>
      <c r="I7043" s="951" t="s">
        <v>13146</v>
      </c>
      <c r="J7043" s="947" t="s">
        <v>13147</v>
      </c>
      <c r="K7043" s="143"/>
    </row>
    <row r="7044" spans="1:11">
      <c r="A7044" s="946" t="s">
        <v>28614</v>
      </c>
      <c r="B7044" s="947" t="s">
        <v>13236</v>
      </c>
      <c r="C7044" s="948" t="s">
        <v>13234</v>
      </c>
      <c r="D7044" s="242" t="s">
        <v>516</v>
      </c>
      <c r="E7044" s="949">
        <v>102</v>
      </c>
      <c r="F7044" s="949">
        <v>102</v>
      </c>
      <c r="G7044" s="950" t="s">
        <v>2431</v>
      </c>
      <c r="H7044" s="950" t="s">
        <v>697</v>
      </c>
      <c r="I7044" s="951" t="s">
        <v>13235</v>
      </c>
      <c r="J7044" s="947" t="s">
        <v>13236</v>
      </c>
      <c r="K7044" s="143"/>
    </row>
    <row r="7045" spans="1:11">
      <c r="A7045" s="946" t="s">
        <v>28614</v>
      </c>
      <c r="B7045" s="947" t="s">
        <v>13488</v>
      </c>
      <c r="C7045" s="948" t="s">
        <v>13486</v>
      </c>
      <c r="D7045" s="242" t="s">
        <v>516</v>
      </c>
      <c r="E7045" s="949">
        <v>102</v>
      </c>
      <c r="F7045" s="949">
        <v>102</v>
      </c>
      <c r="G7045" s="950" t="s">
        <v>2431</v>
      </c>
      <c r="H7045" s="950" t="s">
        <v>697</v>
      </c>
      <c r="I7045" s="951" t="s">
        <v>13487</v>
      </c>
      <c r="J7045" s="947" t="s">
        <v>13488</v>
      </c>
      <c r="K7045" s="143"/>
    </row>
    <row r="7046" spans="1:11">
      <c r="A7046" s="946" t="s">
        <v>28614</v>
      </c>
      <c r="B7046" s="947" t="s">
        <v>13491</v>
      </c>
      <c r="C7046" s="948" t="s">
        <v>13489</v>
      </c>
      <c r="D7046" s="242" t="s">
        <v>516</v>
      </c>
      <c r="E7046" s="949">
        <v>102</v>
      </c>
      <c r="F7046" s="949">
        <v>102</v>
      </c>
      <c r="G7046" s="950" t="s">
        <v>2431</v>
      </c>
      <c r="H7046" s="950" t="s">
        <v>697</v>
      </c>
      <c r="I7046" s="951" t="s">
        <v>13490</v>
      </c>
      <c r="J7046" s="947" t="s">
        <v>13491</v>
      </c>
      <c r="K7046" s="143"/>
    </row>
    <row r="7047" spans="1:11">
      <c r="A7047" s="946" t="s">
        <v>28614</v>
      </c>
      <c r="B7047" s="947" t="s">
        <v>14668</v>
      </c>
      <c r="C7047" s="948" t="s">
        <v>14666</v>
      </c>
      <c r="D7047" s="242" t="s">
        <v>516</v>
      </c>
      <c r="E7047" s="949">
        <v>102</v>
      </c>
      <c r="F7047" s="949">
        <v>102</v>
      </c>
      <c r="G7047" s="950" t="s">
        <v>2431</v>
      </c>
      <c r="H7047" s="950" t="s">
        <v>697</v>
      </c>
      <c r="I7047" s="951" t="s">
        <v>14667</v>
      </c>
      <c r="J7047" s="947" t="s">
        <v>14668</v>
      </c>
      <c r="K7047" s="143"/>
    </row>
    <row r="7048" spans="1:11">
      <c r="A7048" s="946" t="s">
        <v>28614</v>
      </c>
      <c r="B7048" s="947" t="s">
        <v>14779</v>
      </c>
      <c r="C7048" s="948" t="s">
        <v>14777</v>
      </c>
      <c r="D7048" s="242" t="s">
        <v>516</v>
      </c>
      <c r="E7048" s="949">
        <v>102</v>
      </c>
      <c r="F7048" s="949">
        <v>102</v>
      </c>
      <c r="G7048" s="950" t="s">
        <v>2431</v>
      </c>
      <c r="H7048" s="950" t="s">
        <v>697</v>
      </c>
      <c r="I7048" s="951" t="s">
        <v>14778</v>
      </c>
      <c r="J7048" s="947" t="s">
        <v>14779</v>
      </c>
      <c r="K7048" s="143"/>
    </row>
    <row r="7049" spans="1:11">
      <c r="A7049" s="946" t="s">
        <v>28614</v>
      </c>
      <c r="B7049" s="947" t="s">
        <v>14815</v>
      </c>
      <c r="C7049" s="948" t="s">
        <v>14813</v>
      </c>
      <c r="D7049" s="242" t="s">
        <v>516</v>
      </c>
      <c r="E7049" s="949">
        <v>102</v>
      </c>
      <c r="F7049" s="949">
        <v>102</v>
      </c>
      <c r="G7049" s="950" t="s">
        <v>2431</v>
      </c>
      <c r="H7049" s="950" t="s">
        <v>697</v>
      </c>
      <c r="I7049" s="951" t="s">
        <v>14814</v>
      </c>
      <c r="J7049" s="947" t="s">
        <v>14815</v>
      </c>
      <c r="K7049" s="143"/>
    </row>
    <row r="7050" spans="1:11">
      <c r="A7050" s="946" t="s">
        <v>28614</v>
      </c>
      <c r="B7050" s="947" t="s">
        <v>15297</v>
      </c>
      <c r="C7050" s="948" t="s">
        <v>15295</v>
      </c>
      <c r="D7050" s="242" t="s">
        <v>516</v>
      </c>
      <c r="E7050" s="949">
        <v>102</v>
      </c>
      <c r="F7050" s="949">
        <v>102</v>
      </c>
      <c r="G7050" s="950" t="s">
        <v>2431</v>
      </c>
      <c r="H7050" s="950" t="s">
        <v>697</v>
      </c>
      <c r="I7050" s="951" t="s">
        <v>15296</v>
      </c>
      <c r="J7050" s="947" t="s">
        <v>15297</v>
      </c>
      <c r="K7050" s="143"/>
    </row>
    <row r="7051" spans="1:11">
      <c r="A7051" s="946" t="s">
        <v>28614</v>
      </c>
      <c r="B7051" s="947" t="s">
        <v>15356</v>
      </c>
      <c r="C7051" s="948" t="s">
        <v>15354</v>
      </c>
      <c r="D7051" s="242" t="s">
        <v>516</v>
      </c>
      <c r="E7051" s="949">
        <v>102</v>
      </c>
      <c r="F7051" s="949">
        <v>102</v>
      </c>
      <c r="G7051" s="950" t="s">
        <v>2431</v>
      </c>
      <c r="H7051" s="950" t="s">
        <v>697</v>
      </c>
      <c r="I7051" s="951" t="s">
        <v>15355</v>
      </c>
      <c r="J7051" s="947" t="s">
        <v>15356</v>
      </c>
      <c r="K7051" s="143"/>
    </row>
    <row r="7052" spans="1:11">
      <c r="A7052" s="946" t="s">
        <v>28614</v>
      </c>
      <c r="B7052" s="947" t="s">
        <v>15608</v>
      </c>
      <c r="C7052" s="948" t="s">
        <v>15606</v>
      </c>
      <c r="D7052" s="242" t="s">
        <v>516</v>
      </c>
      <c r="E7052" s="949">
        <v>102</v>
      </c>
      <c r="F7052" s="949">
        <v>102</v>
      </c>
      <c r="G7052" s="950" t="s">
        <v>2431</v>
      </c>
      <c r="H7052" s="950" t="s">
        <v>697</v>
      </c>
      <c r="I7052" s="951" t="s">
        <v>15607</v>
      </c>
      <c r="J7052" s="947" t="s">
        <v>15608</v>
      </c>
      <c r="K7052" s="143"/>
    </row>
    <row r="7053" spans="1:11">
      <c r="A7053" s="946" t="s">
        <v>28614</v>
      </c>
      <c r="B7053" s="947" t="s">
        <v>15727</v>
      </c>
      <c r="C7053" s="948" t="s">
        <v>15725</v>
      </c>
      <c r="D7053" s="242" t="s">
        <v>516</v>
      </c>
      <c r="E7053" s="949">
        <v>102</v>
      </c>
      <c r="F7053" s="949">
        <v>102</v>
      </c>
      <c r="G7053" s="950" t="s">
        <v>2431</v>
      </c>
      <c r="H7053" s="950" t="s">
        <v>697</v>
      </c>
      <c r="I7053" s="951" t="s">
        <v>15726</v>
      </c>
      <c r="J7053" s="947" t="s">
        <v>15727</v>
      </c>
      <c r="K7053" s="143"/>
    </row>
    <row r="7054" spans="1:11">
      <c r="A7054" s="946" t="s">
        <v>28614</v>
      </c>
      <c r="B7054" s="947" t="s">
        <v>15787</v>
      </c>
      <c r="C7054" s="948" t="s">
        <v>15785</v>
      </c>
      <c r="D7054" s="242" t="s">
        <v>516</v>
      </c>
      <c r="E7054" s="949">
        <v>102</v>
      </c>
      <c r="F7054" s="949">
        <v>102</v>
      </c>
      <c r="G7054" s="950" t="s">
        <v>2431</v>
      </c>
      <c r="H7054" s="950" t="s">
        <v>697</v>
      </c>
      <c r="I7054" s="951" t="s">
        <v>15786</v>
      </c>
      <c r="J7054" s="947" t="s">
        <v>15787</v>
      </c>
      <c r="K7054" s="143"/>
    </row>
    <row r="7055" spans="1:11">
      <c r="A7055" s="946" t="s">
        <v>28614</v>
      </c>
      <c r="B7055" s="947" t="s">
        <v>16884</v>
      </c>
      <c r="C7055" s="948" t="s">
        <v>16882</v>
      </c>
      <c r="D7055" s="242" t="s">
        <v>516</v>
      </c>
      <c r="E7055" s="949">
        <v>102</v>
      </c>
      <c r="F7055" s="949">
        <v>102</v>
      </c>
      <c r="G7055" s="950" t="s">
        <v>2431</v>
      </c>
      <c r="H7055" s="950" t="s">
        <v>697</v>
      </c>
      <c r="I7055" s="951" t="s">
        <v>16883</v>
      </c>
      <c r="J7055" s="947" t="s">
        <v>16884</v>
      </c>
      <c r="K7055" s="143"/>
    </row>
    <row r="7056" spans="1:11">
      <c r="A7056" s="946" t="s">
        <v>28614</v>
      </c>
      <c r="B7056" s="947" t="s">
        <v>16922</v>
      </c>
      <c r="C7056" s="948" t="s">
        <v>16920</v>
      </c>
      <c r="D7056" s="242" t="s">
        <v>516</v>
      </c>
      <c r="E7056" s="949">
        <v>102</v>
      </c>
      <c r="F7056" s="949">
        <v>102</v>
      </c>
      <c r="G7056" s="950" t="s">
        <v>2431</v>
      </c>
      <c r="H7056" s="950" t="s">
        <v>697</v>
      </c>
      <c r="I7056" s="951" t="s">
        <v>16921</v>
      </c>
      <c r="J7056" s="947" t="s">
        <v>16922</v>
      </c>
      <c r="K7056" s="143"/>
    </row>
    <row r="7057" spans="1:11">
      <c r="A7057" s="946" t="s">
        <v>28614</v>
      </c>
      <c r="B7057" s="947" t="s">
        <v>16940</v>
      </c>
      <c r="C7057" s="948" t="s">
        <v>16938</v>
      </c>
      <c r="D7057" s="242" t="s">
        <v>516</v>
      </c>
      <c r="E7057" s="949">
        <v>102</v>
      </c>
      <c r="F7057" s="949">
        <v>102</v>
      </c>
      <c r="G7057" s="950" t="s">
        <v>2431</v>
      </c>
      <c r="H7057" s="950" t="s">
        <v>697</v>
      </c>
      <c r="I7057" s="951" t="s">
        <v>16939</v>
      </c>
      <c r="J7057" s="947" t="s">
        <v>16940</v>
      </c>
      <c r="K7057" s="143"/>
    </row>
    <row r="7058" spans="1:11">
      <c r="A7058" s="946" t="s">
        <v>28614</v>
      </c>
      <c r="B7058" s="947" t="s">
        <v>17161</v>
      </c>
      <c r="C7058" s="948" t="s">
        <v>17159</v>
      </c>
      <c r="D7058" s="242" t="s">
        <v>516</v>
      </c>
      <c r="E7058" s="949">
        <v>102</v>
      </c>
      <c r="F7058" s="949">
        <v>102</v>
      </c>
      <c r="G7058" s="950" t="s">
        <v>2431</v>
      </c>
      <c r="H7058" s="950" t="s">
        <v>697</v>
      </c>
      <c r="I7058" s="951" t="s">
        <v>17160</v>
      </c>
      <c r="J7058" s="947" t="s">
        <v>17161</v>
      </c>
      <c r="K7058" s="143"/>
    </row>
    <row r="7059" spans="1:11">
      <c r="A7059" s="946" t="s">
        <v>28614</v>
      </c>
      <c r="B7059" s="947" t="s">
        <v>17197</v>
      </c>
      <c r="C7059" s="948" t="s">
        <v>17195</v>
      </c>
      <c r="D7059" s="242" t="s">
        <v>516</v>
      </c>
      <c r="E7059" s="949">
        <v>102</v>
      </c>
      <c r="F7059" s="949">
        <v>102</v>
      </c>
      <c r="G7059" s="950" t="s">
        <v>2431</v>
      </c>
      <c r="H7059" s="950" t="s">
        <v>697</v>
      </c>
      <c r="I7059" s="951" t="s">
        <v>17196</v>
      </c>
      <c r="J7059" s="947" t="s">
        <v>17197</v>
      </c>
      <c r="K7059" s="143"/>
    </row>
    <row r="7060" spans="1:11">
      <c r="A7060" s="946" t="s">
        <v>28614</v>
      </c>
      <c r="B7060" s="947" t="s">
        <v>17303</v>
      </c>
      <c r="C7060" s="948" t="s">
        <v>17301</v>
      </c>
      <c r="D7060" s="242" t="s">
        <v>516</v>
      </c>
      <c r="E7060" s="949">
        <v>102</v>
      </c>
      <c r="F7060" s="949">
        <v>102</v>
      </c>
      <c r="G7060" s="950" t="s">
        <v>2431</v>
      </c>
      <c r="H7060" s="950" t="s">
        <v>697</v>
      </c>
      <c r="I7060" s="951" t="s">
        <v>17302</v>
      </c>
      <c r="J7060" s="947" t="s">
        <v>17303</v>
      </c>
      <c r="K7060" s="143"/>
    </row>
    <row r="7061" spans="1:11">
      <c r="A7061" s="946" t="s">
        <v>28614</v>
      </c>
      <c r="B7061" s="947" t="s">
        <v>18332</v>
      </c>
      <c r="C7061" s="948" t="s">
        <v>18330</v>
      </c>
      <c r="D7061" s="242" t="s">
        <v>516</v>
      </c>
      <c r="E7061" s="949">
        <v>102</v>
      </c>
      <c r="F7061" s="949">
        <v>102</v>
      </c>
      <c r="G7061" s="950" t="s">
        <v>2431</v>
      </c>
      <c r="H7061" s="950" t="s">
        <v>697</v>
      </c>
      <c r="I7061" s="951" t="s">
        <v>18331</v>
      </c>
      <c r="J7061" s="947" t="s">
        <v>18332</v>
      </c>
      <c r="K7061" s="143"/>
    </row>
    <row r="7062" spans="1:11">
      <c r="A7062" s="946" t="s">
        <v>28614</v>
      </c>
      <c r="B7062" s="947" t="s">
        <v>19745</v>
      </c>
      <c r="C7062" s="948" t="s">
        <v>19743</v>
      </c>
      <c r="D7062" s="242" t="s">
        <v>516</v>
      </c>
      <c r="E7062" s="949">
        <v>102</v>
      </c>
      <c r="F7062" s="949">
        <v>102</v>
      </c>
      <c r="G7062" s="950" t="s">
        <v>2431</v>
      </c>
      <c r="H7062" s="950" t="s">
        <v>697</v>
      </c>
      <c r="I7062" s="951" t="s">
        <v>19744</v>
      </c>
      <c r="J7062" s="947" t="s">
        <v>19745</v>
      </c>
      <c r="K7062" s="143"/>
    </row>
    <row r="7063" spans="1:11">
      <c r="A7063" s="946" t="s">
        <v>28614</v>
      </c>
      <c r="B7063" s="947" t="s">
        <v>19800</v>
      </c>
      <c r="C7063" s="948" t="s">
        <v>19798</v>
      </c>
      <c r="D7063" s="242" t="s">
        <v>516</v>
      </c>
      <c r="E7063" s="949">
        <v>102</v>
      </c>
      <c r="F7063" s="949">
        <v>102</v>
      </c>
      <c r="G7063" s="950" t="s">
        <v>2431</v>
      </c>
      <c r="H7063" s="950" t="s">
        <v>697</v>
      </c>
      <c r="I7063" s="951" t="s">
        <v>19799</v>
      </c>
      <c r="J7063" s="947" t="s">
        <v>19800</v>
      </c>
      <c r="K7063" s="143"/>
    </row>
    <row r="7064" spans="1:11">
      <c r="A7064" s="946" t="s">
        <v>28614</v>
      </c>
      <c r="B7064" s="947" t="s">
        <v>20060</v>
      </c>
      <c r="C7064" s="948" t="s">
        <v>20058</v>
      </c>
      <c r="D7064" s="242" t="s">
        <v>516</v>
      </c>
      <c r="E7064" s="949">
        <v>102</v>
      </c>
      <c r="F7064" s="949">
        <v>102</v>
      </c>
      <c r="G7064" s="950" t="s">
        <v>2431</v>
      </c>
      <c r="H7064" s="950" t="s">
        <v>697</v>
      </c>
      <c r="I7064" s="951" t="s">
        <v>20059</v>
      </c>
      <c r="J7064" s="947" t="s">
        <v>20060</v>
      </c>
      <c r="K7064" s="143"/>
    </row>
    <row r="7065" spans="1:11">
      <c r="A7065" s="946" t="s">
        <v>28614</v>
      </c>
      <c r="B7065" s="947" t="s">
        <v>20275</v>
      </c>
      <c r="C7065" s="948" t="s">
        <v>20273</v>
      </c>
      <c r="D7065" s="242" t="s">
        <v>516</v>
      </c>
      <c r="E7065" s="949">
        <v>102</v>
      </c>
      <c r="F7065" s="949">
        <v>102</v>
      </c>
      <c r="G7065" s="950" t="s">
        <v>2431</v>
      </c>
      <c r="H7065" s="950" t="s">
        <v>697</v>
      </c>
      <c r="I7065" s="951" t="s">
        <v>20274</v>
      </c>
      <c r="J7065" s="947" t="s">
        <v>20275</v>
      </c>
      <c r="K7065" s="143"/>
    </row>
    <row r="7066" spans="1:11">
      <c r="A7066" s="946" t="s">
        <v>28614</v>
      </c>
      <c r="B7066" s="947" t="s">
        <v>20360</v>
      </c>
      <c r="C7066" s="948" t="s">
        <v>20358</v>
      </c>
      <c r="D7066" s="242" t="s">
        <v>516</v>
      </c>
      <c r="E7066" s="949">
        <v>102</v>
      </c>
      <c r="F7066" s="949">
        <v>102</v>
      </c>
      <c r="G7066" s="950" t="s">
        <v>2431</v>
      </c>
      <c r="H7066" s="950" t="s">
        <v>697</v>
      </c>
      <c r="I7066" s="951" t="s">
        <v>20359</v>
      </c>
      <c r="J7066" s="947" t="s">
        <v>20360</v>
      </c>
      <c r="K7066" s="143"/>
    </row>
    <row r="7067" spans="1:11">
      <c r="A7067" s="946" t="s">
        <v>28614</v>
      </c>
      <c r="B7067" s="947" t="s">
        <v>20523</v>
      </c>
      <c r="C7067" s="948" t="s">
        <v>20521</v>
      </c>
      <c r="D7067" s="242" t="s">
        <v>516</v>
      </c>
      <c r="E7067" s="949">
        <v>102</v>
      </c>
      <c r="F7067" s="949">
        <v>102</v>
      </c>
      <c r="G7067" s="950" t="s">
        <v>2431</v>
      </c>
      <c r="H7067" s="950" t="s">
        <v>697</v>
      </c>
      <c r="I7067" s="951" t="s">
        <v>20522</v>
      </c>
      <c r="J7067" s="947" t="s">
        <v>20523</v>
      </c>
      <c r="K7067" s="143"/>
    </row>
    <row r="7068" spans="1:11">
      <c r="A7068" s="946" t="s">
        <v>28614</v>
      </c>
      <c r="B7068" s="947" t="s">
        <v>20627</v>
      </c>
      <c r="C7068" s="948" t="s">
        <v>20625</v>
      </c>
      <c r="D7068" s="242" t="s">
        <v>516</v>
      </c>
      <c r="E7068" s="949">
        <v>102</v>
      </c>
      <c r="F7068" s="949">
        <v>102</v>
      </c>
      <c r="G7068" s="950" t="s">
        <v>2431</v>
      </c>
      <c r="H7068" s="950" t="s">
        <v>697</v>
      </c>
      <c r="I7068" s="951" t="s">
        <v>20626</v>
      </c>
      <c r="J7068" s="947" t="s">
        <v>20627</v>
      </c>
      <c r="K7068" s="143"/>
    </row>
    <row r="7069" spans="1:11">
      <c r="A7069" s="946" t="s">
        <v>28614</v>
      </c>
      <c r="B7069" s="947" t="s">
        <v>21315</v>
      </c>
      <c r="C7069" s="948" t="s">
        <v>21313</v>
      </c>
      <c r="D7069" s="242" t="s">
        <v>516</v>
      </c>
      <c r="E7069" s="949">
        <v>102</v>
      </c>
      <c r="F7069" s="949">
        <v>102</v>
      </c>
      <c r="G7069" s="950" t="s">
        <v>2431</v>
      </c>
      <c r="H7069" s="950" t="s">
        <v>697</v>
      </c>
      <c r="I7069" s="951" t="s">
        <v>21314</v>
      </c>
      <c r="J7069" s="947" t="s">
        <v>21315</v>
      </c>
      <c r="K7069" s="143"/>
    </row>
    <row r="7070" spans="1:11">
      <c r="A7070" s="946" t="s">
        <v>28614</v>
      </c>
      <c r="B7070" s="947" t="s">
        <v>21393</v>
      </c>
      <c r="C7070" s="948" t="s">
        <v>21391</v>
      </c>
      <c r="D7070" s="242" t="s">
        <v>516</v>
      </c>
      <c r="E7070" s="949">
        <v>102</v>
      </c>
      <c r="F7070" s="949">
        <v>102</v>
      </c>
      <c r="G7070" s="950" t="s">
        <v>2431</v>
      </c>
      <c r="H7070" s="950" t="s">
        <v>697</v>
      </c>
      <c r="I7070" s="951" t="s">
        <v>21392</v>
      </c>
      <c r="J7070" s="947" t="s">
        <v>21393</v>
      </c>
      <c r="K7070" s="143"/>
    </row>
    <row r="7071" spans="1:11">
      <c r="A7071" s="946" t="s">
        <v>28614</v>
      </c>
      <c r="B7071" s="947" t="s">
        <v>21425</v>
      </c>
      <c r="C7071" s="948" t="s">
        <v>21423</v>
      </c>
      <c r="D7071" s="242" t="s">
        <v>516</v>
      </c>
      <c r="E7071" s="949">
        <v>102</v>
      </c>
      <c r="F7071" s="949">
        <v>102</v>
      </c>
      <c r="G7071" s="950" t="s">
        <v>2431</v>
      </c>
      <c r="H7071" s="950" t="s">
        <v>697</v>
      </c>
      <c r="I7071" s="951" t="s">
        <v>21424</v>
      </c>
      <c r="J7071" s="947" t="s">
        <v>21425</v>
      </c>
      <c r="K7071" s="143"/>
    </row>
    <row r="7072" spans="1:11">
      <c r="A7072" s="946" t="s">
        <v>28614</v>
      </c>
      <c r="B7072" s="947" t="s">
        <v>21649</v>
      </c>
      <c r="C7072" s="948" t="s">
        <v>21647</v>
      </c>
      <c r="D7072" s="242" t="s">
        <v>516</v>
      </c>
      <c r="E7072" s="949">
        <v>102</v>
      </c>
      <c r="F7072" s="949">
        <v>102</v>
      </c>
      <c r="G7072" s="950" t="s">
        <v>2431</v>
      </c>
      <c r="H7072" s="950" t="s">
        <v>697</v>
      </c>
      <c r="I7072" s="951" t="s">
        <v>21648</v>
      </c>
      <c r="J7072" s="947" t="s">
        <v>21649</v>
      </c>
      <c r="K7072" s="143"/>
    </row>
    <row r="7073" spans="1:11">
      <c r="A7073" s="946" t="s">
        <v>28614</v>
      </c>
      <c r="B7073" s="947" t="s">
        <v>21810</v>
      </c>
      <c r="C7073" s="948" t="s">
        <v>21808</v>
      </c>
      <c r="D7073" s="242" t="s">
        <v>516</v>
      </c>
      <c r="E7073" s="949">
        <v>102</v>
      </c>
      <c r="F7073" s="949">
        <v>102</v>
      </c>
      <c r="G7073" s="950" t="s">
        <v>2431</v>
      </c>
      <c r="H7073" s="950" t="s">
        <v>697</v>
      </c>
      <c r="I7073" s="951" t="s">
        <v>21809</v>
      </c>
      <c r="J7073" s="947" t="s">
        <v>21810</v>
      </c>
      <c r="K7073" s="143"/>
    </row>
    <row r="7074" spans="1:11">
      <c r="A7074" s="946" t="s">
        <v>28614</v>
      </c>
      <c r="B7074" s="947" t="s">
        <v>21993</v>
      </c>
      <c r="C7074" s="948" t="s">
        <v>21991</v>
      </c>
      <c r="D7074" s="242" t="s">
        <v>516</v>
      </c>
      <c r="E7074" s="949">
        <v>102</v>
      </c>
      <c r="F7074" s="949">
        <v>102</v>
      </c>
      <c r="G7074" s="950" t="s">
        <v>2431</v>
      </c>
      <c r="H7074" s="950" t="s">
        <v>697</v>
      </c>
      <c r="I7074" s="951" t="s">
        <v>21992</v>
      </c>
      <c r="J7074" s="947" t="s">
        <v>21993</v>
      </c>
      <c r="K7074" s="143"/>
    </row>
    <row r="7075" spans="1:11">
      <c r="A7075" s="946" t="s">
        <v>28614</v>
      </c>
      <c r="B7075" s="947" t="s">
        <v>22076</v>
      </c>
      <c r="C7075" s="948" t="s">
        <v>22074</v>
      </c>
      <c r="D7075" s="242" t="s">
        <v>516</v>
      </c>
      <c r="E7075" s="949">
        <v>102</v>
      </c>
      <c r="F7075" s="949">
        <v>102</v>
      </c>
      <c r="G7075" s="950" t="s">
        <v>2431</v>
      </c>
      <c r="H7075" s="950" t="s">
        <v>697</v>
      </c>
      <c r="I7075" s="951" t="s">
        <v>22075</v>
      </c>
      <c r="J7075" s="947" t="s">
        <v>22076</v>
      </c>
      <c r="K7075" s="143"/>
    </row>
    <row r="7076" spans="1:11">
      <c r="A7076" s="946" t="s">
        <v>28614</v>
      </c>
      <c r="B7076" s="947" t="s">
        <v>22225</v>
      </c>
      <c r="C7076" s="948" t="s">
        <v>22223</v>
      </c>
      <c r="D7076" s="242" t="s">
        <v>516</v>
      </c>
      <c r="E7076" s="949">
        <v>102</v>
      </c>
      <c r="F7076" s="949">
        <v>102</v>
      </c>
      <c r="G7076" s="950" t="s">
        <v>2431</v>
      </c>
      <c r="H7076" s="950" t="s">
        <v>697</v>
      </c>
      <c r="I7076" s="951" t="s">
        <v>22224</v>
      </c>
      <c r="J7076" s="947" t="s">
        <v>22225</v>
      </c>
      <c r="K7076" s="143"/>
    </row>
    <row r="7077" spans="1:11">
      <c r="A7077" s="946" t="s">
        <v>28614</v>
      </c>
      <c r="B7077" s="947" t="s">
        <v>22460</v>
      </c>
      <c r="C7077" s="948" t="s">
        <v>22458</v>
      </c>
      <c r="D7077" s="242" t="s">
        <v>516</v>
      </c>
      <c r="E7077" s="949">
        <v>102</v>
      </c>
      <c r="F7077" s="949">
        <v>102</v>
      </c>
      <c r="G7077" s="950" t="s">
        <v>2431</v>
      </c>
      <c r="H7077" s="950" t="s">
        <v>697</v>
      </c>
      <c r="I7077" s="951" t="s">
        <v>22459</v>
      </c>
      <c r="J7077" s="947" t="s">
        <v>22460</v>
      </c>
      <c r="K7077" s="143"/>
    </row>
    <row r="7078" spans="1:11">
      <c r="A7078" s="946" t="s">
        <v>28614</v>
      </c>
      <c r="B7078" s="947" t="s">
        <v>22635</v>
      </c>
      <c r="C7078" s="948" t="s">
        <v>22633</v>
      </c>
      <c r="D7078" s="242" t="s">
        <v>516</v>
      </c>
      <c r="E7078" s="949">
        <v>102</v>
      </c>
      <c r="F7078" s="949">
        <v>102</v>
      </c>
      <c r="G7078" s="950" t="s">
        <v>2431</v>
      </c>
      <c r="H7078" s="950" t="s">
        <v>697</v>
      </c>
      <c r="I7078" s="951" t="s">
        <v>22634</v>
      </c>
      <c r="J7078" s="947" t="s">
        <v>22635</v>
      </c>
      <c r="K7078" s="143"/>
    </row>
    <row r="7079" spans="1:11">
      <c r="A7079" s="946" t="s">
        <v>28614</v>
      </c>
      <c r="B7079" s="947" t="s">
        <v>22668</v>
      </c>
      <c r="C7079" s="948" t="s">
        <v>22666</v>
      </c>
      <c r="D7079" s="242" t="s">
        <v>516</v>
      </c>
      <c r="E7079" s="949">
        <v>102</v>
      </c>
      <c r="F7079" s="949">
        <v>102</v>
      </c>
      <c r="G7079" s="950" t="s">
        <v>2431</v>
      </c>
      <c r="H7079" s="950" t="s">
        <v>697</v>
      </c>
      <c r="I7079" s="951" t="s">
        <v>22667</v>
      </c>
      <c r="J7079" s="947" t="s">
        <v>22668</v>
      </c>
      <c r="K7079" s="143"/>
    </row>
    <row r="7080" spans="1:11">
      <c r="A7080" s="946" t="s">
        <v>28614</v>
      </c>
      <c r="B7080" s="947" t="s">
        <v>22680</v>
      </c>
      <c r="C7080" s="948" t="s">
        <v>22678</v>
      </c>
      <c r="D7080" s="242" t="s">
        <v>516</v>
      </c>
      <c r="E7080" s="949">
        <v>102</v>
      </c>
      <c r="F7080" s="949">
        <v>102</v>
      </c>
      <c r="G7080" s="950" t="s">
        <v>2431</v>
      </c>
      <c r="H7080" s="950" t="s">
        <v>697</v>
      </c>
      <c r="I7080" s="951" t="s">
        <v>22679</v>
      </c>
      <c r="J7080" s="947" t="s">
        <v>22680</v>
      </c>
      <c r="K7080" s="143"/>
    </row>
    <row r="7081" spans="1:11">
      <c r="A7081" s="946" t="s">
        <v>28614</v>
      </c>
      <c r="B7081" s="947" t="s">
        <v>10357</v>
      </c>
      <c r="C7081" s="948" t="s">
        <v>10356</v>
      </c>
      <c r="D7081" s="242" t="s">
        <v>516</v>
      </c>
      <c r="E7081" s="949">
        <v>102</v>
      </c>
      <c r="F7081" s="949">
        <v>102</v>
      </c>
      <c r="G7081" s="950" t="s">
        <v>2431</v>
      </c>
      <c r="H7081" s="950" t="s">
        <v>697</v>
      </c>
      <c r="I7081" s="951" t="s">
        <v>26373</v>
      </c>
      <c r="J7081" s="947" t="s">
        <v>10357</v>
      </c>
      <c r="K7081" s="143"/>
    </row>
    <row r="7082" spans="1:11">
      <c r="A7082" s="946" t="s">
        <v>28614</v>
      </c>
      <c r="B7082" s="947" t="s">
        <v>3708</v>
      </c>
      <c r="C7082" s="948" t="s">
        <v>3707</v>
      </c>
      <c r="D7082" s="242" t="s">
        <v>516</v>
      </c>
      <c r="E7082" s="949">
        <v>102</v>
      </c>
      <c r="F7082" s="949">
        <v>102</v>
      </c>
      <c r="G7082" s="950" t="s">
        <v>2431</v>
      </c>
      <c r="H7082" s="950" t="s">
        <v>697</v>
      </c>
      <c r="I7082" s="951" t="s">
        <v>26294</v>
      </c>
      <c r="J7082" s="947" t="s">
        <v>3708</v>
      </c>
      <c r="K7082" s="143"/>
    </row>
    <row r="7083" spans="1:11">
      <c r="A7083" s="946" t="s">
        <v>28614</v>
      </c>
      <c r="B7083" s="947" t="s">
        <v>28645</v>
      </c>
      <c r="C7083" s="948" t="s">
        <v>28768</v>
      </c>
      <c r="D7083" s="242" t="s">
        <v>516</v>
      </c>
      <c r="E7083" s="949">
        <v>102</v>
      </c>
      <c r="F7083" s="949">
        <v>102</v>
      </c>
      <c r="G7083" s="950" t="s">
        <v>2431</v>
      </c>
      <c r="H7083" s="950" t="s">
        <v>697</v>
      </c>
      <c r="I7083" s="951" t="s">
        <v>28689</v>
      </c>
      <c r="J7083" s="947" t="s">
        <v>28645</v>
      </c>
      <c r="K7083" s="143"/>
    </row>
    <row r="7084" spans="1:11">
      <c r="A7084" s="946" t="s">
        <v>28614</v>
      </c>
      <c r="B7084" s="947" t="s">
        <v>28646</v>
      </c>
      <c r="C7084" s="948" t="s">
        <v>28769</v>
      </c>
      <c r="D7084" s="242" t="s">
        <v>516</v>
      </c>
      <c r="E7084" s="949">
        <v>102</v>
      </c>
      <c r="F7084" s="949">
        <v>102</v>
      </c>
      <c r="G7084" s="950" t="s">
        <v>2431</v>
      </c>
      <c r="H7084" s="950" t="s">
        <v>697</v>
      </c>
      <c r="I7084" s="951" t="s">
        <v>28690</v>
      </c>
      <c r="J7084" s="947" t="s">
        <v>28646</v>
      </c>
      <c r="K7084" s="143"/>
    </row>
    <row r="7085" spans="1:11">
      <c r="A7085" s="946" t="s">
        <v>28612</v>
      </c>
      <c r="B7085" s="947" t="s">
        <v>342</v>
      </c>
      <c r="C7085" s="948" t="s">
        <v>338</v>
      </c>
      <c r="D7085" s="242" t="s">
        <v>339</v>
      </c>
      <c r="E7085" s="949">
        <v>306</v>
      </c>
      <c r="F7085" s="949">
        <v>306</v>
      </c>
      <c r="G7085" s="950" t="s">
        <v>10258</v>
      </c>
      <c r="H7085" s="950" t="s">
        <v>340</v>
      </c>
      <c r="I7085" s="951" t="s">
        <v>341</v>
      </c>
      <c r="J7085" s="947" t="s">
        <v>342</v>
      </c>
      <c r="K7085" s="143"/>
    </row>
    <row r="7086" spans="1:11">
      <c r="A7086" s="946" t="s">
        <v>28612</v>
      </c>
      <c r="B7086" s="947" t="s">
        <v>717</v>
      </c>
      <c r="C7086" s="948" t="s">
        <v>715</v>
      </c>
      <c r="D7086" s="242" t="s">
        <v>339</v>
      </c>
      <c r="E7086" s="949">
        <v>306</v>
      </c>
      <c r="F7086" s="949">
        <v>306</v>
      </c>
      <c r="G7086" s="950" t="s">
        <v>10258</v>
      </c>
      <c r="H7086" s="950" t="s">
        <v>340</v>
      </c>
      <c r="I7086" s="951" t="s">
        <v>716</v>
      </c>
      <c r="J7086" s="947" t="s">
        <v>717</v>
      </c>
      <c r="K7086" s="143"/>
    </row>
    <row r="7087" spans="1:11">
      <c r="A7087" s="946" t="s">
        <v>28612</v>
      </c>
      <c r="B7087" s="947" t="s">
        <v>1184</v>
      </c>
      <c r="C7087" s="948" t="s">
        <v>1182</v>
      </c>
      <c r="D7087" s="242" t="s">
        <v>339</v>
      </c>
      <c r="E7087" s="949">
        <v>306</v>
      </c>
      <c r="F7087" s="949">
        <v>306</v>
      </c>
      <c r="G7087" s="950" t="s">
        <v>10258</v>
      </c>
      <c r="H7087" s="950" t="s">
        <v>340</v>
      </c>
      <c r="I7087" s="951" t="s">
        <v>1183</v>
      </c>
      <c r="J7087" s="947" t="s">
        <v>1184</v>
      </c>
      <c r="K7087" s="143"/>
    </row>
    <row r="7088" spans="1:11">
      <c r="A7088" s="946" t="s">
        <v>28612</v>
      </c>
      <c r="B7088" s="947" t="s">
        <v>1868</v>
      </c>
      <c r="C7088" s="948" t="s">
        <v>1866</v>
      </c>
      <c r="D7088" s="242" t="s">
        <v>339</v>
      </c>
      <c r="E7088" s="949">
        <v>306</v>
      </c>
      <c r="F7088" s="949">
        <v>306</v>
      </c>
      <c r="G7088" s="950" t="s">
        <v>10258</v>
      </c>
      <c r="H7088" s="950" t="s">
        <v>340</v>
      </c>
      <c r="I7088" s="951" t="s">
        <v>1867</v>
      </c>
      <c r="J7088" s="947" t="s">
        <v>1868</v>
      </c>
      <c r="K7088" s="143"/>
    </row>
    <row r="7089" spans="1:11">
      <c r="A7089" s="946" t="s">
        <v>28612</v>
      </c>
      <c r="B7089" s="947" t="s">
        <v>2033</v>
      </c>
      <c r="C7089" s="948" t="s">
        <v>2031</v>
      </c>
      <c r="D7089" s="242" t="s">
        <v>339</v>
      </c>
      <c r="E7089" s="949">
        <v>306</v>
      </c>
      <c r="F7089" s="949">
        <v>306</v>
      </c>
      <c r="G7089" s="950" t="s">
        <v>10258</v>
      </c>
      <c r="H7089" s="950" t="s">
        <v>340</v>
      </c>
      <c r="I7089" s="951" t="s">
        <v>2032</v>
      </c>
      <c r="J7089" s="947" t="s">
        <v>2033</v>
      </c>
      <c r="K7089" s="143"/>
    </row>
    <row r="7090" spans="1:11">
      <c r="A7090" s="946" t="s">
        <v>28612</v>
      </c>
      <c r="B7090" s="947" t="s">
        <v>2039</v>
      </c>
      <c r="C7090" s="948" t="s">
        <v>2037</v>
      </c>
      <c r="D7090" s="242" t="s">
        <v>339</v>
      </c>
      <c r="E7090" s="949">
        <v>306</v>
      </c>
      <c r="F7090" s="949">
        <v>306</v>
      </c>
      <c r="G7090" s="950" t="s">
        <v>10258</v>
      </c>
      <c r="H7090" s="950" t="s">
        <v>340</v>
      </c>
      <c r="I7090" s="951" t="s">
        <v>2038</v>
      </c>
      <c r="J7090" s="947" t="s">
        <v>2039</v>
      </c>
      <c r="K7090" s="143"/>
    </row>
    <row r="7091" spans="1:11">
      <c r="A7091" s="946" t="s">
        <v>28612</v>
      </c>
      <c r="B7091" s="947" t="s">
        <v>2042</v>
      </c>
      <c r="C7091" s="948" t="s">
        <v>2040</v>
      </c>
      <c r="D7091" s="242" t="s">
        <v>339</v>
      </c>
      <c r="E7091" s="949">
        <v>306</v>
      </c>
      <c r="F7091" s="949">
        <v>306</v>
      </c>
      <c r="G7091" s="950" t="s">
        <v>10258</v>
      </c>
      <c r="H7091" s="950" t="s">
        <v>340</v>
      </c>
      <c r="I7091" s="951" t="s">
        <v>2041</v>
      </c>
      <c r="J7091" s="947" t="s">
        <v>2042</v>
      </c>
      <c r="K7091" s="143"/>
    </row>
    <row r="7092" spans="1:11">
      <c r="A7092" s="946" t="s">
        <v>28612</v>
      </c>
      <c r="B7092" s="947" t="s">
        <v>2174</v>
      </c>
      <c r="C7092" s="948" t="s">
        <v>2172</v>
      </c>
      <c r="D7092" s="242" t="s">
        <v>339</v>
      </c>
      <c r="E7092" s="949">
        <v>306</v>
      </c>
      <c r="F7092" s="949">
        <v>306</v>
      </c>
      <c r="G7092" s="950" t="s">
        <v>10258</v>
      </c>
      <c r="H7092" s="950" t="s">
        <v>340</v>
      </c>
      <c r="I7092" s="951" t="s">
        <v>2173</v>
      </c>
      <c r="J7092" s="947" t="s">
        <v>2174</v>
      </c>
      <c r="K7092" s="143"/>
    </row>
    <row r="7093" spans="1:11">
      <c r="A7093" s="946" t="s">
        <v>28612</v>
      </c>
      <c r="B7093" s="947" t="s">
        <v>2879</v>
      </c>
      <c r="C7093" s="948" t="s">
        <v>2877</v>
      </c>
      <c r="D7093" s="242" t="s">
        <v>339</v>
      </c>
      <c r="E7093" s="949">
        <v>306</v>
      </c>
      <c r="F7093" s="949">
        <v>306</v>
      </c>
      <c r="G7093" s="950" t="s">
        <v>10258</v>
      </c>
      <c r="H7093" s="950" t="s">
        <v>340</v>
      </c>
      <c r="I7093" s="951" t="s">
        <v>2878</v>
      </c>
      <c r="J7093" s="947" t="s">
        <v>2879</v>
      </c>
      <c r="K7093" s="143"/>
    </row>
    <row r="7094" spans="1:11">
      <c r="A7094" s="946" t="s">
        <v>28612</v>
      </c>
      <c r="B7094" s="947" t="s">
        <v>3096</v>
      </c>
      <c r="C7094" s="948" t="s">
        <v>3094</v>
      </c>
      <c r="D7094" s="242" t="s">
        <v>339</v>
      </c>
      <c r="E7094" s="949">
        <v>306</v>
      </c>
      <c r="F7094" s="949">
        <v>306</v>
      </c>
      <c r="G7094" s="950" t="s">
        <v>10258</v>
      </c>
      <c r="H7094" s="950" t="s">
        <v>340</v>
      </c>
      <c r="I7094" s="951" t="s">
        <v>3095</v>
      </c>
      <c r="J7094" s="947" t="s">
        <v>3096</v>
      </c>
      <c r="K7094" s="143"/>
    </row>
    <row r="7095" spans="1:11">
      <c r="A7095" s="946" t="s">
        <v>28612</v>
      </c>
      <c r="B7095" s="947" t="s">
        <v>3230</v>
      </c>
      <c r="C7095" s="948" t="s">
        <v>3228</v>
      </c>
      <c r="D7095" s="242" t="s">
        <v>339</v>
      </c>
      <c r="E7095" s="949">
        <v>306</v>
      </c>
      <c r="F7095" s="949">
        <v>306</v>
      </c>
      <c r="G7095" s="950" t="s">
        <v>10258</v>
      </c>
      <c r="H7095" s="950" t="s">
        <v>340</v>
      </c>
      <c r="I7095" s="951" t="s">
        <v>3229</v>
      </c>
      <c r="J7095" s="947" t="s">
        <v>3230</v>
      </c>
      <c r="K7095" s="143"/>
    </row>
    <row r="7096" spans="1:11">
      <c r="A7096" s="946" t="s">
        <v>28612</v>
      </c>
      <c r="B7096" s="947" t="s">
        <v>3465</v>
      </c>
      <c r="C7096" s="948" t="s">
        <v>3463</v>
      </c>
      <c r="D7096" s="242" t="s">
        <v>339</v>
      </c>
      <c r="E7096" s="949">
        <v>306</v>
      </c>
      <c r="F7096" s="949">
        <v>306</v>
      </c>
      <c r="G7096" s="950" t="s">
        <v>10258</v>
      </c>
      <c r="H7096" s="950" t="s">
        <v>340</v>
      </c>
      <c r="I7096" s="951" t="s">
        <v>3464</v>
      </c>
      <c r="J7096" s="947" t="s">
        <v>3465</v>
      </c>
      <c r="K7096" s="143"/>
    </row>
    <row r="7097" spans="1:11">
      <c r="A7097" s="946" t="s">
        <v>28612</v>
      </c>
      <c r="B7097" s="947" t="s">
        <v>3516</v>
      </c>
      <c r="C7097" s="948" t="s">
        <v>3514</v>
      </c>
      <c r="D7097" s="242" t="s">
        <v>339</v>
      </c>
      <c r="E7097" s="949">
        <v>306</v>
      </c>
      <c r="F7097" s="949">
        <v>306</v>
      </c>
      <c r="G7097" s="950" t="s">
        <v>10258</v>
      </c>
      <c r="H7097" s="950" t="s">
        <v>340</v>
      </c>
      <c r="I7097" s="951" t="s">
        <v>3515</v>
      </c>
      <c r="J7097" s="947" t="s">
        <v>3516</v>
      </c>
      <c r="K7097" s="143"/>
    </row>
    <row r="7098" spans="1:11">
      <c r="A7098" s="946" t="s">
        <v>28612</v>
      </c>
      <c r="B7098" s="947" t="s">
        <v>4288</v>
      </c>
      <c r="C7098" s="948" t="s">
        <v>4286</v>
      </c>
      <c r="D7098" s="242" t="s">
        <v>339</v>
      </c>
      <c r="E7098" s="949">
        <v>306</v>
      </c>
      <c r="F7098" s="949">
        <v>306</v>
      </c>
      <c r="G7098" s="950" t="s">
        <v>10258</v>
      </c>
      <c r="H7098" s="950" t="s">
        <v>340</v>
      </c>
      <c r="I7098" s="951" t="s">
        <v>4287</v>
      </c>
      <c r="J7098" s="947" t="s">
        <v>4288</v>
      </c>
      <c r="K7098" s="143"/>
    </row>
    <row r="7099" spans="1:11">
      <c r="A7099" s="946" t="s">
        <v>28612</v>
      </c>
      <c r="B7099" s="947" t="s">
        <v>4697</v>
      </c>
      <c r="C7099" s="948" t="s">
        <v>4695</v>
      </c>
      <c r="D7099" s="242" t="s">
        <v>339</v>
      </c>
      <c r="E7099" s="949">
        <v>306</v>
      </c>
      <c r="F7099" s="949">
        <v>306</v>
      </c>
      <c r="G7099" s="950" t="s">
        <v>10258</v>
      </c>
      <c r="H7099" s="950" t="s">
        <v>340</v>
      </c>
      <c r="I7099" s="951" t="s">
        <v>4696</v>
      </c>
      <c r="J7099" s="947" t="s">
        <v>4697</v>
      </c>
      <c r="K7099" s="143"/>
    </row>
    <row r="7100" spans="1:11">
      <c r="A7100" s="946" t="s">
        <v>28612</v>
      </c>
      <c r="B7100" s="947" t="s">
        <v>4712</v>
      </c>
      <c r="C7100" s="948" t="s">
        <v>4710</v>
      </c>
      <c r="D7100" s="242" t="s">
        <v>339</v>
      </c>
      <c r="E7100" s="949">
        <v>306</v>
      </c>
      <c r="F7100" s="949">
        <v>306</v>
      </c>
      <c r="G7100" s="950" t="s">
        <v>10258</v>
      </c>
      <c r="H7100" s="950" t="s">
        <v>340</v>
      </c>
      <c r="I7100" s="951" t="s">
        <v>4711</v>
      </c>
      <c r="J7100" s="947" t="s">
        <v>4712</v>
      </c>
      <c r="K7100" s="143"/>
    </row>
    <row r="7101" spans="1:11">
      <c r="A7101" s="946" t="s">
        <v>28612</v>
      </c>
      <c r="B7101" s="947" t="s">
        <v>4818</v>
      </c>
      <c r="C7101" s="948" t="s">
        <v>4816</v>
      </c>
      <c r="D7101" s="242" t="s">
        <v>339</v>
      </c>
      <c r="E7101" s="949">
        <v>306</v>
      </c>
      <c r="F7101" s="949">
        <v>306</v>
      </c>
      <c r="G7101" s="950" t="s">
        <v>10258</v>
      </c>
      <c r="H7101" s="950" t="s">
        <v>340</v>
      </c>
      <c r="I7101" s="951" t="s">
        <v>4817</v>
      </c>
      <c r="J7101" s="947" t="s">
        <v>4818</v>
      </c>
      <c r="K7101" s="143"/>
    </row>
    <row r="7102" spans="1:11">
      <c r="A7102" s="946" t="s">
        <v>28612</v>
      </c>
      <c r="B7102" s="947" t="s">
        <v>4853</v>
      </c>
      <c r="C7102" s="948" t="s">
        <v>4851</v>
      </c>
      <c r="D7102" s="242" t="s">
        <v>339</v>
      </c>
      <c r="E7102" s="949">
        <v>306</v>
      </c>
      <c r="F7102" s="949">
        <v>306</v>
      </c>
      <c r="G7102" s="950" t="s">
        <v>10258</v>
      </c>
      <c r="H7102" s="950" t="s">
        <v>340</v>
      </c>
      <c r="I7102" s="951" t="s">
        <v>4852</v>
      </c>
      <c r="J7102" s="947" t="s">
        <v>4853</v>
      </c>
      <c r="K7102" s="143"/>
    </row>
    <row r="7103" spans="1:11">
      <c r="A7103" s="946" t="s">
        <v>28612</v>
      </c>
      <c r="B7103" s="947" t="s">
        <v>5260</v>
      </c>
      <c r="C7103" s="948" t="s">
        <v>5258</v>
      </c>
      <c r="D7103" s="242" t="s">
        <v>339</v>
      </c>
      <c r="E7103" s="949">
        <v>306</v>
      </c>
      <c r="F7103" s="949">
        <v>306</v>
      </c>
      <c r="G7103" s="950" t="s">
        <v>10258</v>
      </c>
      <c r="H7103" s="950" t="s">
        <v>340</v>
      </c>
      <c r="I7103" s="951" t="s">
        <v>5259</v>
      </c>
      <c r="J7103" s="947" t="s">
        <v>5260</v>
      </c>
      <c r="K7103" s="143"/>
    </row>
    <row r="7104" spans="1:11">
      <c r="A7104" s="946" t="s">
        <v>28612</v>
      </c>
      <c r="B7104" s="947" t="s">
        <v>5989</v>
      </c>
      <c r="C7104" s="948" t="s">
        <v>5987</v>
      </c>
      <c r="D7104" s="242" t="s">
        <v>339</v>
      </c>
      <c r="E7104" s="949">
        <v>306</v>
      </c>
      <c r="F7104" s="949">
        <v>306</v>
      </c>
      <c r="G7104" s="950" t="s">
        <v>10258</v>
      </c>
      <c r="H7104" s="950" t="s">
        <v>340</v>
      </c>
      <c r="I7104" s="951" t="s">
        <v>5988</v>
      </c>
      <c r="J7104" s="947" t="s">
        <v>5989</v>
      </c>
      <c r="K7104" s="143"/>
    </row>
    <row r="7105" spans="1:11">
      <c r="A7105" s="946" t="s">
        <v>28612</v>
      </c>
      <c r="B7105" s="947" t="s">
        <v>6106</v>
      </c>
      <c r="C7105" s="948" t="s">
        <v>6104</v>
      </c>
      <c r="D7105" s="242" t="s">
        <v>339</v>
      </c>
      <c r="E7105" s="949">
        <v>306</v>
      </c>
      <c r="F7105" s="949">
        <v>306</v>
      </c>
      <c r="G7105" s="950" t="s">
        <v>10258</v>
      </c>
      <c r="H7105" s="950" t="s">
        <v>340</v>
      </c>
      <c r="I7105" s="951" t="s">
        <v>6105</v>
      </c>
      <c r="J7105" s="947" t="s">
        <v>6106</v>
      </c>
      <c r="K7105" s="143"/>
    </row>
    <row r="7106" spans="1:11">
      <c r="A7106" s="946" t="s">
        <v>28612</v>
      </c>
      <c r="B7106" s="947" t="s">
        <v>6528</v>
      </c>
      <c r="C7106" s="948" t="s">
        <v>6526</v>
      </c>
      <c r="D7106" s="242" t="s">
        <v>339</v>
      </c>
      <c r="E7106" s="949">
        <v>306</v>
      </c>
      <c r="F7106" s="949">
        <v>306</v>
      </c>
      <c r="G7106" s="950" t="s">
        <v>10258</v>
      </c>
      <c r="H7106" s="950" t="s">
        <v>340</v>
      </c>
      <c r="I7106" s="951" t="s">
        <v>6527</v>
      </c>
      <c r="J7106" s="947" t="s">
        <v>6528</v>
      </c>
      <c r="K7106" s="143"/>
    </row>
    <row r="7107" spans="1:11">
      <c r="A7107" s="946" t="s">
        <v>28612</v>
      </c>
      <c r="B7107" s="947" t="s">
        <v>6706</v>
      </c>
      <c r="C7107" s="948" t="s">
        <v>6704</v>
      </c>
      <c r="D7107" s="242" t="s">
        <v>339</v>
      </c>
      <c r="E7107" s="949">
        <v>306</v>
      </c>
      <c r="F7107" s="949">
        <v>306</v>
      </c>
      <c r="G7107" s="950" t="s">
        <v>10258</v>
      </c>
      <c r="H7107" s="950" t="s">
        <v>340</v>
      </c>
      <c r="I7107" s="951" t="s">
        <v>6705</v>
      </c>
      <c r="J7107" s="947" t="s">
        <v>6706</v>
      </c>
      <c r="K7107" s="143"/>
    </row>
    <row r="7108" spans="1:11">
      <c r="A7108" s="946" t="s">
        <v>28612</v>
      </c>
      <c r="B7108" s="947" t="s">
        <v>6718</v>
      </c>
      <c r="C7108" s="948" t="s">
        <v>6716</v>
      </c>
      <c r="D7108" s="242" t="s">
        <v>339</v>
      </c>
      <c r="E7108" s="949">
        <v>306</v>
      </c>
      <c r="F7108" s="949">
        <v>306</v>
      </c>
      <c r="G7108" s="950" t="s">
        <v>10258</v>
      </c>
      <c r="H7108" s="950" t="s">
        <v>340</v>
      </c>
      <c r="I7108" s="951" t="s">
        <v>6717</v>
      </c>
      <c r="J7108" s="947" t="s">
        <v>6718</v>
      </c>
      <c r="K7108" s="143"/>
    </row>
    <row r="7109" spans="1:11">
      <c r="A7109" s="946" t="s">
        <v>28612</v>
      </c>
      <c r="B7109" s="947" t="s">
        <v>7189</v>
      </c>
      <c r="C7109" s="948" t="s">
        <v>7187</v>
      </c>
      <c r="D7109" s="242" t="s">
        <v>339</v>
      </c>
      <c r="E7109" s="949">
        <v>306</v>
      </c>
      <c r="F7109" s="949">
        <v>306</v>
      </c>
      <c r="G7109" s="950" t="s">
        <v>10258</v>
      </c>
      <c r="H7109" s="950" t="s">
        <v>340</v>
      </c>
      <c r="I7109" s="951" t="s">
        <v>7188</v>
      </c>
      <c r="J7109" s="947" t="s">
        <v>7189</v>
      </c>
      <c r="K7109" s="143"/>
    </row>
    <row r="7110" spans="1:11">
      <c r="A7110" s="946" t="s">
        <v>28612</v>
      </c>
      <c r="B7110" s="947" t="s">
        <v>7264</v>
      </c>
      <c r="C7110" s="948" t="s">
        <v>7262</v>
      </c>
      <c r="D7110" s="242" t="s">
        <v>339</v>
      </c>
      <c r="E7110" s="949">
        <v>306</v>
      </c>
      <c r="F7110" s="949">
        <v>306</v>
      </c>
      <c r="G7110" s="950" t="s">
        <v>10258</v>
      </c>
      <c r="H7110" s="950" t="s">
        <v>340</v>
      </c>
      <c r="I7110" s="951" t="s">
        <v>7263</v>
      </c>
      <c r="J7110" s="947" t="s">
        <v>7264</v>
      </c>
      <c r="K7110" s="143"/>
    </row>
    <row r="7111" spans="1:11">
      <c r="A7111" s="946" t="s">
        <v>28612</v>
      </c>
      <c r="B7111" s="947" t="s">
        <v>7318</v>
      </c>
      <c r="C7111" s="948" t="s">
        <v>7316</v>
      </c>
      <c r="D7111" s="242" t="s">
        <v>339</v>
      </c>
      <c r="E7111" s="949">
        <v>306</v>
      </c>
      <c r="F7111" s="949">
        <v>306</v>
      </c>
      <c r="G7111" s="950" t="s">
        <v>10258</v>
      </c>
      <c r="H7111" s="950" t="s">
        <v>340</v>
      </c>
      <c r="I7111" s="951" t="s">
        <v>7317</v>
      </c>
      <c r="J7111" s="947" t="s">
        <v>7318</v>
      </c>
      <c r="K7111" s="143"/>
    </row>
    <row r="7112" spans="1:11">
      <c r="A7112" s="946" t="s">
        <v>28612</v>
      </c>
      <c r="B7112" s="947" t="s">
        <v>7344</v>
      </c>
      <c r="C7112" s="948" t="s">
        <v>7342</v>
      </c>
      <c r="D7112" s="242" t="s">
        <v>339</v>
      </c>
      <c r="E7112" s="949">
        <v>306</v>
      </c>
      <c r="F7112" s="949">
        <v>306</v>
      </c>
      <c r="G7112" s="950" t="s">
        <v>10258</v>
      </c>
      <c r="H7112" s="950" t="s">
        <v>340</v>
      </c>
      <c r="I7112" s="951" t="s">
        <v>7343</v>
      </c>
      <c r="J7112" s="947" t="s">
        <v>7344</v>
      </c>
      <c r="K7112" s="143"/>
    </row>
    <row r="7113" spans="1:11">
      <c r="A7113" s="946" t="s">
        <v>28612</v>
      </c>
      <c r="B7113" s="947" t="s">
        <v>7350</v>
      </c>
      <c r="C7113" s="948" t="s">
        <v>7348</v>
      </c>
      <c r="D7113" s="242" t="s">
        <v>339</v>
      </c>
      <c r="E7113" s="949">
        <v>306</v>
      </c>
      <c r="F7113" s="949">
        <v>306</v>
      </c>
      <c r="G7113" s="950" t="s">
        <v>10258</v>
      </c>
      <c r="H7113" s="950" t="s">
        <v>340</v>
      </c>
      <c r="I7113" s="951" t="s">
        <v>7349</v>
      </c>
      <c r="J7113" s="947" t="s">
        <v>7350</v>
      </c>
      <c r="K7113" s="143"/>
    </row>
    <row r="7114" spans="1:11">
      <c r="A7114" s="946" t="s">
        <v>28612</v>
      </c>
      <c r="B7114" s="947" t="s">
        <v>7619</v>
      </c>
      <c r="C7114" s="948" t="s">
        <v>7617</v>
      </c>
      <c r="D7114" s="242" t="s">
        <v>339</v>
      </c>
      <c r="E7114" s="949">
        <v>306</v>
      </c>
      <c r="F7114" s="949">
        <v>306</v>
      </c>
      <c r="G7114" s="950" t="s">
        <v>10258</v>
      </c>
      <c r="H7114" s="950" t="s">
        <v>340</v>
      </c>
      <c r="I7114" s="951" t="s">
        <v>7618</v>
      </c>
      <c r="J7114" s="947" t="s">
        <v>7619</v>
      </c>
      <c r="K7114" s="143"/>
    </row>
    <row r="7115" spans="1:11">
      <c r="A7115" s="946" t="s">
        <v>28612</v>
      </c>
      <c r="B7115" s="947" t="s">
        <v>7699</v>
      </c>
      <c r="C7115" s="948" t="s">
        <v>7697</v>
      </c>
      <c r="D7115" s="242" t="s">
        <v>339</v>
      </c>
      <c r="E7115" s="949">
        <v>306</v>
      </c>
      <c r="F7115" s="949">
        <v>306</v>
      </c>
      <c r="G7115" s="950" t="s">
        <v>10258</v>
      </c>
      <c r="H7115" s="950" t="s">
        <v>340</v>
      </c>
      <c r="I7115" s="951" t="s">
        <v>7698</v>
      </c>
      <c r="J7115" s="947" t="s">
        <v>7699</v>
      </c>
      <c r="K7115" s="143"/>
    </row>
    <row r="7116" spans="1:11">
      <c r="A7116" s="946" t="s">
        <v>28612</v>
      </c>
      <c r="B7116" s="947" t="s">
        <v>7730</v>
      </c>
      <c r="C7116" s="948" t="s">
        <v>7728</v>
      </c>
      <c r="D7116" s="242" t="s">
        <v>339</v>
      </c>
      <c r="E7116" s="949">
        <v>306</v>
      </c>
      <c r="F7116" s="949">
        <v>306</v>
      </c>
      <c r="G7116" s="950" t="s">
        <v>10258</v>
      </c>
      <c r="H7116" s="950" t="s">
        <v>340</v>
      </c>
      <c r="I7116" s="951" t="s">
        <v>7729</v>
      </c>
      <c r="J7116" s="947" t="s">
        <v>7730</v>
      </c>
      <c r="K7116" s="143"/>
    </row>
    <row r="7117" spans="1:11">
      <c r="A7117" s="946" t="s">
        <v>28612</v>
      </c>
      <c r="B7117" s="947" t="s">
        <v>7831</v>
      </c>
      <c r="C7117" s="948" t="s">
        <v>7829</v>
      </c>
      <c r="D7117" s="242" t="s">
        <v>339</v>
      </c>
      <c r="E7117" s="949">
        <v>306</v>
      </c>
      <c r="F7117" s="949">
        <v>306</v>
      </c>
      <c r="G7117" s="950" t="s">
        <v>10258</v>
      </c>
      <c r="H7117" s="950" t="s">
        <v>340</v>
      </c>
      <c r="I7117" s="951" t="s">
        <v>7830</v>
      </c>
      <c r="J7117" s="947" t="s">
        <v>7831</v>
      </c>
      <c r="K7117" s="143"/>
    </row>
    <row r="7118" spans="1:11">
      <c r="A7118" s="946" t="s">
        <v>28612</v>
      </c>
      <c r="B7118" s="947" t="s">
        <v>7901</v>
      </c>
      <c r="C7118" s="948" t="s">
        <v>7899</v>
      </c>
      <c r="D7118" s="242" t="s">
        <v>339</v>
      </c>
      <c r="E7118" s="949">
        <v>306</v>
      </c>
      <c r="F7118" s="949">
        <v>306</v>
      </c>
      <c r="G7118" s="950" t="s">
        <v>10258</v>
      </c>
      <c r="H7118" s="950" t="s">
        <v>340</v>
      </c>
      <c r="I7118" s="951" t="s">
        <v>7900</v>
      </c>
      <c r="J7118" s="947" t="s">
        <v>7901</v>
      </c>
      <c r="K7118" s="143"/>
    </row>
    <row r="7119" spans="1:11">
      <c r="A7119" s="946" t="s">
        <v>28612</v>
      </c>
      <c r="B7119" s="947" t="s">
        <v>7912</v>
      </c>
      <c r="C7119" s="948" t="s">
        <v>7910</v>
      </c>
      <c r="D7119" s="242" t="s">
        <v>339</v>
      </c>
      <c r="E7119" s="949">
        <v>306</v>
      </c>
      <c r="F7119" s="949">
        <v>306</v>
      </c>
      <c r="G7119" s="950" t="s">
        <v>10258</v>
      </c>
      <c r="H7119" s="950" t="s">
        <v>340</v>
      </c>
      <c r="I7119" s="951" t="s">
        <v>7911</v>
      </c>
      <c r="J7119" s="947" t="s">
        <v>7912</v>
      </c>
      <c r="K7119" s="143"/>
    </row>
    <row r="7120" spans="1:11">
      <c r="A7120" s="946" t="s">
        <v>28612</v>
      </c>
      <c r="B7120" s="947" t="s">
        <v>8858</v>
      </c>
      <c r="C7120" s="948" t="s">
        <v>8856</v>
      </c>
      <c r="D7120" s="242" t="s">
        <v>339</v>
      </c>
      <c r="E7120" s="949">
        <v>306</v>
      </c>
      <c r="F7120" s="949">
        <v>306</v>
      </c>
      <c r="G7120" s="950" t="s">
        <v>10258</v>
      </c>
      <c r="H7120" s="950" t="s">
        <v>340</v>
      </c>
      <c r="I7120" s="951" t="s">
        <v>8857</v>
      </c>
      <c r="J7120" s="947" t="s">
        <v>8858</v>
      </c>
      <c r="K7120" s="143"/>
    </row>
    <row r="7121" spans="1:11">
      <c r="A7121" s="946" t="s">
        <v>28612</v>
      </c>
      <c r="B7121" s="947" t="s">
        <v>8974</v>
      </c>
      <c r="C7121" s="948" t="s">
        <v>8972</v>
      </c>
      <c r="D7121" s="242" t="s">
        <v>339</v>
      </c>
      <c r="E7121" s="949">
        <v>306</v>
      </c>
      <c r="F7121" s="949">
        <v>306</v>
      </c>
      <c r="G7121" s="950" t="s">
        <v>10258</v>
      </c>
      <c r="H7121" s="950" t="s">
        <v>340</v>
      </c>
      <c r="I7121" s="951" t="s">
        <v>8973</v>
      </c>
      <c r="J7121" s="947" t="s">
        <v>8974</v>
      </c>
      <c r="K7121" s="143"/>
    </row>
    <row r="7122" spans="1:11">
      <c r="A7122" s="946" t="s">
        <v>28612</v>
      </c>
      <c r="B7122" s="947" t="s">
        <v>8999</v>
      </c>
      <c r="C7122" s="948" t="s">
        <v>8997</v>
      </c>
      <c r="D7122" s="242" t="s">
        <v>339</v>
      </c>
      <c r="E7122" s="949">
        <v>306</v>
      </c>
      <c r="F7122" s="949">
        <v>306</v>
      </c>
      <c r="G7122" s="950" t="s">
        <v>10258</v>
      </c>
      <c r="H7122" s="950" t="s">
        <v>340</v>
      </c>
      <c r="I7122" s="951" t="s">
        <v>8998</v>
      </c>
      <c r="J7122" s="947" t="s">
        <v>8999</v>
      </c>
      <c r="K7122" s="143"/>
    </row>
    <row r="7123" spans="1:11">
      <c r="A7123" s="946" t="s">
        <v>28612</v>
      </c>
      <c r="B7123" s="947" t="s">
        <v>9777</v>
      </c>
      <c r="C7123" s="948" t="s">
        <v>9775</v>
      </c>
      <c r="D7123" s="242" t="s">
        <v>339</v>
      </c>
      <c r="E7123" s="949">
        <v>306</v>
      </c>
      <c r="F7123" s="949">
        <v>306</v>
      </c>
      <c r="G7123" s="950" t="s">
        <v>10258</v>
      </c>
      <c r="H7123" s="950" t="s">
        <v>340</v>
      </c>
      <c r="I7123" s="951" t="s">
        <v>9776</v>
      </c>
      <c r="J7123" s="947" t="s">
        <v>9777</v>
      </c>
      <c r="K7123" s="143"/>
    </row>
    <row r="7124" spans="1:11">
      <c r="A7124" s="946" t="s">
        <v>28612</v>
      </c>
      <c r="B7124" s="947" t="s">
        <v>9809</v>
      </c>
      <c r="C7124" s="948" t="s">
        <v>9807</v>
      </c>
      <c r="D7124" s="242" t="s">
        <v>339</v>
      </c>
      <c r="E7124" s="949">
        <v>306</v>
      </c>
      <c r="F7124" s="949">
        <v>306</v>
      </c>
      <c r="G7124" s="950" t="s">
        <v>10258</v>
      </c>
      <c r="H7124" s="950" t="s">
        <v>340</v>
      </c>
      <c r="I7124" s="951" t="s">
        <v>9808</v>
      </c>
      <c r="J7124" s="947" t="s">
        <v>9809</v>
      </c>
      <c r="K7124" s="143"/>
    </row>
    <row r="7125" spans="1:11">
      <c r="A7125" s="946" t="s">
        <v>28612</v>
      </c>
      <c r="B7125" s="947" t="s">
        <v>10258</v>
      </c>
      <c r="C7125" s="948" t="s">
        <v>10256</v>
      </c>
      <c r="D7125" s="242" t="s">
        <v>339</v>
      </c>
      <c r="E7125" s="949">
        <v>306</v>
      </c>
      <c r="F7125" s="949">
        <v>306</v>
      </c>
      <c r="G7125" s="950" t="s">
        <v>10258</v>
      </c>
      <c r="H7125" s="950" t="s">
        <v>340</v>
      </c>
      <c r="I7125" s="951" t="s">
        <v>10257</v>
      </c>
      <c r="J7125" s="947" t="s">
        <v>10258</v>
      </c>
      <c r="K7125" s="143"/>
    </row>
    <row r="7126" spans="1:11">
      <c r="A7126" s="946" t="s">
        <v>28612</v>
      </c>
      <c r="B7126" s="947" t="s">
        <v>10417</v>
      </c>
      <c r="C7126" s="948" t="s">
        <v>10415</v>
      </c>
      <c r="D7126" s="242" t="s">
        <v>339</v>
      </c>
      <c r="E7126" s="949">
        <v>306</v>
      </c>
      <c r="F7126" s="949">
        <v>306</v>
      </c>
      <c r="G7126" s="950" t="s">
        <v>10258</v>
      </c>
      <c r="H7126" s="950" t="s">
        <v>340</v>
      </c>
      <c r="I7126" s="951" t="s">
        <v>10416</v>
      </c>
      <c r="J7126" s="947" t="s">
        <v>10417</v>
      </c>
      <c r="K7126" s="143"/>
    </row>
    <row r="7127" spans="1:11">
      <c r="A7127" s="946" t="s">
        <v>28612</v>
      </c>
      <c r="B7127" s="947" t="s">
        <v>10563</v>
      </c>
      <c r="C7127" s="948" t="s">
        <v>10561</v>
      </c>
      <c r="D7127" s="242" t="s">
        <v>339</v>
      </c>
      <c r="E7127" s="949">
        <v>306</v>
      </c>
      <c r="F7127" s="949">
        <v>306</v>
      </c>
      <c r="G7127" s="950" t="s">
        <v>10258</v>
      </c>
      <c r="H7127" s="950" t="s">
        <v>340</v>
      </c>
      <c r="I7127" s="951" t="s">
        <v>10562</v>
      </c>
      <c r="J7127" s="947" t="s">
        <v>10563</v>
      </c>
      <c r="K7127" s="143"/>
    </row>
    <row r="7128" spans="1:11">
      <c r="A7128" s="946" t="s">
        <v>28612</v>
      </c>
      <c r="B7128" s="947" t="s">
        <v>10981</v>
      </c>
      <c r="C7128" s="948" t="s">
        <v>10979</v>
      </c>
      <c r="D7128" s="242" t="s">
        <v>339</v>
      </c>
      <c r="E7128" s="949">
        <v>306</v>
      </c>
      <c r="F7128" s="949">
        <v>306</v>
      </c>
      <c r="G7128" s="950" t="s">
        <v>10258</v>
      </c>
      <c r="H7128" s="950" t="s">
        <v>340</v>
      </c>
      <c r="I7128" s="951" t="s">
        <v>10980</v>
      </c>
      <c r="J7128" s="947" t="s">
        <v>10981</v>
      </c>
      <c r="K7128" s="143"/>
    </row>
    <row r="7129" spans="1:11">
      <c r="A7129" s="946" t="s">
        <v>28612</v>
      </c>
      <c r="B7129" s="947" t="s">
        <v>11030</v>
      </c>
      <c r="C7129" s="948" t="s">
        <v>11028</v>
      </c>
      <c r="D7129" s="242" t="s">
        <v>339</v>
      </c>
      <c r="E7129" s="949">
        <v>306</v>
      </c>
      <c r="F7129" s="949">
        <v>306</v>
      </c>
      <c r="G7129" s="950" t="s">
        <v>10258</v>
      </c>
      <c r="H7129" s="950" t="s">
        <v>340</v>
      </c>
      <c r="I7129" s="951" t="s">
        <v>11029</v>
      </c>
      <c r="J7129" s="947" t="s">
        <v>11030</v>
      </c>
      <c r="K7129" s="143"/>
    </row>
    <row r="7130" spans="1:11">
      <c r="A7130" s="946" t="s">
        <v>28612</v>
      </c>
      <c r="B7130" s="947" t="s">
        <v>11191</v>
      </c>
      <c r="C7130" s="948" t="s">
        <v>11189</v>
      </c>
      <c r="D7130" s="242" t="s">
        <v>339</v>
      </c>
      <c r="E7130" s="949">
        <v>306</v>
      </c>
      <c r="F7130" s="949">
        <v>306</v>
      </c>
      <c r="G7130" s="950" t="s">
        <v>10258</v>
      </c>
      <c r="H7130" s="950" t="s">
        <v>340</v>
      </c>
      <c r="I7130" s="951" t="s">
        <v>11190</v>
      </c>
      <c r="J7130" s="947" t="s">
        <v>11191</v>
      </c>
      <c r="K7130" s="143"/>
    </row>
    <row r="7131" spans="1:11">
      <c r="A7131" s="946" t="s">
        <v>28612</v>
      </c>
      <c r="B7131" s="947" t="s">
        <v>11613</v>
      </c>
      <c r="C7131" s="948" t="s">
        <v>11611</v>
      </c>
      <c r="D7131" s="242" t="s">
        <v>339</v>
      </c>
      <c r="E7131" s="949">
        <v>306</v>
      </c>
      <c r="F7131" s="949">
        <v>306</v>
      </c>
      <c r="G7131" s="950" t="s">
        <v>10258</v>
      </c>
      <c r="H7131" s="950" t="s">
        <v>340</v>
      </c>
      <c r="I7131" s="951" t="s">
        <v>11612</v>
      </c>
      <c r="J7131" s="947" t="s">
        <v>11613</v>
      </c>
      <c r="K7131" s="143"/>
    </row>
    <row r="7132" spans="1:11">
      <c r="A7132" s="946" t="s">
        <v>28612</v>
      </c>
      <c r="B7132" s="947" t="s">
        <v>11853</v>
      </c>
      <c r="C7132" s="948" t="s">
        <v>11851</v>
      </c>
      <c r="D7132" s="242" t="s">
        <v>339</v>
      </c>
      <c r="E7132" s="949">
        <v>306</v>
      </c>
      <c r="F7132" s="949">
        <v>306</v>
      </c>
      <c r="G7132" s="950" t="s">
        <v>10258</v>
      </c>
      <c r="H7132" s="950" t="s">
        <v>340</v>
      </c>
      <c r="I7132" s="951" t="s">
        <v>11852</v>
      </c>
      <c r="J7132" s="947" t="s">
        <v>11853</v>
      </c>
      <c r="K7132" s="143"/>
    </row>
    <row r="7133" spans="1:11">
      <c r="A7133" s="946" t="s">
        <v>28612</v>
      </c>
      <c r="B7133" s="947" t="s">
        <v>11888</v>
      </c>
      <c r="C7133" s="948" t="s">
        <v>11886</v>
      </c>
      <c r="D7133" s="242" t="s">
        <v>339</v>
      </c>
      <c r="E7133" s="949">
        <v>306</v>
      </c>
      <c r="F7133" s="949">
        <v>306</v>
      </c>
      <c r="G7133" s="950" t="s">
        <v>10258</v>
      </c>
      <c r="H7133" s="950" t="s">
        <v>340</v>
      </c>
      <c r="I7133" s="951" t="s">
        <v>11887</v>
      </c>
      <c r="J7133" s="947" t="s">
        <v>11888</v>
      </c>
      <c r="K7133" s="143"/>
    </row>
    <row r="7134" spans="1:11">
      <c r="A7134" s="946" t="s">
        <v>28612</v>
      </c>
      <c r="B7134" s="947" t="s">
        <v>11964</v>
      </c>
      <c r="C7134" s="948" t="s">
        <v>11962</v>
      </c>
      <c r="D7134" s="242" t="s">
        <v>339</v>
      </c>
      <c r="E7134" s="949">
        <v>306</v>
      </c>
      <c r="F7134" s="949">
        <v>306</v>
      </c>
      <c r="G7134" s="950" t="s">
        <v>10258</v>
      </c>
      <c r="H7134" s="950" t="s">
        <v>340</v>
      </c>
      <c r="I7134" s="951" t="s">
        <v>11963</v>
      </c>
      <c r="J7134" s="947" t="s">
        <v>11964</v>
      </c>
      <c r="K7134" s="143"/>
    </row>
    <row r="7135" spans="1:11">
      <c r="A7135" s="946" t="s">
        <v>28612</v>
      </c>
      <c r="B7135" s="947" t="s">
        <v>12297</v>
      </c>
      <c r="C7135" s="948" t="s">
        <v>12295</v>
      </c>
      <c r="D7135" s="242" t="s">
        <v>339</v>
      </c>
      <c r="E7135" s="949">
        <v>306</v>
      </c>
      <c r="F7135" s="949">
        <v>306</v>
      </c>
      <c r="G7135" s="950" t="s">
        <v>10258</v>
      </c>
      <c r="H7135" s="950" t="s">
        <v>340</v>
      </c>
      <c r="I7135" s="951" t="s">
        <v>12296</v>
      </c>
      <c r="J7135" s="947" t="s">
        <v>12297</v>
      </c>
      <c r="K7135" s="143"/>
    </row>
    <row r="7136" spans="1:11">
      <c r="A7136" s="946" t="s">
        <v>28612</v>
      </c>
      <c r="B7136" s="947" t="s">
        <v>12772</v>
      </c>
      <c r="C7136" s="948" t="s">
        <v>12770</v>
      </c>
      <c r="D7136" s="242" t="s">
        <v>339</v>
      </c>
      <c r="E7136" s="949">
        <v>306</v>
      </c>
      <c r="F7136" s="949">
        <v>306</v>
      </c>
      <c r="G7136" s="950" t="s">
        <v>10258</v>
      </c>
      <c r="H7136" s="950" t="s">
        <v>340</v>
      </c>
      <c r="I7136" s="951" t="s">
        <v>12771</v>
      </c>
      <c r="J7136" s="947" t="s">
        <v>12772</v>
      </c>
      <c r="K7136" s="143"/>
    </row>
    <row r="7137" spans="1:11">
      <c r="A7137" s="946" t="s">
        <v>28612</v>
      </c>
      <c r="B7137" s="947" t="s">
        <v>12800</v>
      </c>
      <c r="C7137" s="948" t="s">
        <v>12798</v>
      </c>
      <c r="D7137" s="242" t="s">
        <v>339</v>
      </c>
      <c r="E7137" s="949">
        <v>306</v>
      </c>
      <c r="F7137" s="949">
        <v>306</v>
      </c>
      <c r="G7137" s="950" t="s">
        <v>10258</v>
      </c>
      <c r="H7137" s="950" t="s">
        <v>340</v>
      </c>
      <c r="I7137" s="951" t="s">
        <v>12799</v>
      </c>
      <c r="J7137" s="947" t="s">
        <v>12800</v>
      </c>
      <c r="K7137" s="143"/>
    </row>
    <row r="7138" spans="1:11">
      <c r="A7138" s="946" t="s">
        <v>28612</v>
      </c>
      <c r="B7138" s="947" t="s">
        <v>13004</v>
      </c>
      <c r="C7138" s="948" t="s">
        <v>13002</v>
      </c>
      <c r="D7138" s="242" t="s">
        <v>339</v>
      </c>
      <c r="E7138" s="949">
        <v>306</v>
      </c>
      <c r="F7138" s="949">
        <v>306</v>
      </c>
      <c r="G7138" s="950" t="s">
        <v>10258</v>
      </c>
      <c r="H7138" s="950" t="s">
        <v>340</v>
      </c>
      <c r="I7138" s="951" t="s">
        <v>13003</v>
      </c>
      <c r="J7138" s="947" t="s">
        <v>13004</v>
      </c>
      <c r="K7138" s="143"/>
    </row>
    <row r="7139" spans="1:11">
      <c r="A7139" s="946" t="s">
        <v>28612</v>
      </c>
      <c r="B7139" s="947" t="s">
        <v>13257</v>
      </c>
      <c r="C7139" s="948" t="s">
        <v>13255</v>
      </c>
      <c r="D7139" s="242" t="s">
        <v>339</v>
      </c>
      <c r="E7139" s="949">
        <v>306</v>
      </c>
      <c r="F7139" s="949">
        <v>306</v>
      </c>
      <c r="G7139" s="950" t="s">
        <v>10258</v>
      </c>
      <c r="H7139" s="950" t="s">
        <v>340</v>
      </c>
      <c r="I7139" s="951" t="s">
        <v>13256</v>
      </c>
      <c r="J7139" s="947" t="s">
        <v>13257</v>
      </c>
      <c r="K7139" s="143"/>
    </row>
    <row r="7140" spans="1:11">
      <c r="A7140" s="946" t="s">
        <v>28612</v>
      </c>
      <c r="B7140" s="947" t="s">
        <v>13535</v>
      </c>
      <c r="C7140" s="948" t="s">
        <v>13533</v>
      </c>
      <c r="D7140" s="242" t="s">
        <v>339</v>
      </c>
      <c r="E7140" s="949">
        <v>306</v>
      </c>
      <c r="F7140" s="949">
        <v>306</v>
      </c>
      <c r="G7140" s="950" t="s">
        <v>10258</v>
      </c>
      <c r="H7140" s="950" t="s">
        <v>340</v>
      </c>
      <c r="I7140" s="951" t="s">
        <v>13534</v>
      </c>
      <c r="J7140" s="947" t="s">
        <v>13535</v>
      </c>
      <c r="K7140" s="143"/>
    </row>
    <row r="7141" spans="1:11">
      <c r="A7141" s="946" t="s">
        <v>28612</v>
      </c>
      <c r="B7141" s="947" t="s">
        <v>13569</v>
      </c>
      <c r="C7141" s="948" t="s">
        <v>13567</v>
      </c>
      <c r="D7141" s="242" t="s">
        <v>339</v>
      </c>
      <c r="E7141" s="949">
        <v>306</v>
      </c>
      <c r="F7141" s="949">
        <v>306</v>
      </c>
      <c r="G7141" s="950" t="s">
        <v>10258</v>
      </c>
      <c r="H7141" s="950" t="s">
        <v>340</v>
      </c>
      <c r="I7141" s="951" t="s">
        <v>13568</v>
      </c>
      <c r="J7141" s="947" t="s">
        <v>13569</v>
      </c>
      <c r="K7141" s="143"/>
    </row>
    <row r="7142" spans="1:11">
      <c r="A7142" s="946" t="s">
        <v>28612</v>
      </c>
      <c r="B7142" s="947" t="s">
        <v>13575</v>
      </c>
      <c r="C7142" s="948" t="s">
        <v>13573</v>
      </c>
      <c r="D7142" s="242" t="s">
        <v>339</v>
      </c>
      <c r="E7142" s="949">
        <v>306</v>
      </c>
      <c r="F7142" s="949">
        <v>306</v>
      </c>
      <c r="G7142" s="950" t="s">
        <v>10258</v>
      </c>
      <c r="H7142" s="950" t="s">
        <v>340</v>
      </c>
      <c r="I7142" s="951" t="s">
        <v>13574</v>
      </c>
      <c r="J7142" s="947" t="s">
        <v>13575</v>
      </c>
      <c r="K7142" s="143"/>
    </row>
    <row r="7143" spans="1:11">
      <c r="A7143" s="946" t="s">
        <v>28612</v>
      </c>
      <c r="B7143" s="947" t="s">
        <v>13592</v>
      </c>
      <c r="C7143" s="948" t="s">
        <v>13590</v>
      </c>
      <c r="D7143" s="242" t="s">
        <v>339</v>
      </c>
      <c r="E7143" s="949">
        <v>306</v>
      </c>
      <c r="F7143" s="949">
        <v>306</v>
      </c>
      <c r="G7143" s="950" t="s">
        <v>10258</v>
      </c>
      <c r="H7143" s="950" t="s">
        <v>340</v>
      </c>
      <c r="I7143" s="951" t="s">
        <v>13591</v>
      </c>
      <c r="J7143" s="947" t="s">
        <v>13592</v>
      </c>
      <c r="K7143" s="143"/>
    </row>
    <row r="7144" spans="1:11">
      <c r="A7144" s="946" t="s">
        <v>28612</v>
      </c>
      <c r="B7144" s="947" t="s">
        <v>13852</v>
      </c>
      <c r="C7144" s="948" t="s">
        <v>13850</v>
      </c>
      <c r="D7144" s="242" t="s">
        <v>339</v>
      </c>
      <c r="E7144" s="949">
        <v>306</v>
      </c>
      <c r="F7144" s="949">
        <v>306</v>
      </c>
      <c r="G7144" s="950" t="s">
        <v>10258</v>
      </c>
      <c r="H7144" s="950" t="s">
        <v>340</v>
      </c>
      <c r="I7144" s="951" t="s">
        <v>13851</v>
      </c>
      <c r="J7144" s="947" t="s">
        <v>13852</v>
      </c>
      <c r="K7144" s="143"/>
    </row>
    <row r="7145" spans="1:11">
      <c r="A7145" s="946" t="s">
        <v>28612</v>
      </c>
      <c r="B7145" s="947" t="s">
        <v>13993</v>
      </c>
      <c r="C7145" s="948" t="s">
        <v>13991</v>
      </c>
      <c r="D7145" s="242" t="s">
        <v>339</v>
      </c>
      <c r="E7145" s="949">
        <v>306</v>
      </c>
      <c r="F7145" s="949">
        <v>306</v>
      </c>
      <c r="G7145" s="950" t="s">
        <v>10258</v>
      </c>
      <c r="H7145" s="950" t="s">
        <v>340</v>
      </c>
      <c r="I7145" s="951" t="s">
        <v>13992</v>
      </c>
      <c r="J7145" s="947" t="s">
        <v>13993</v>
      </c>
      <c r="K7145" s="143"/>
    </row>
    <row r="7146" spans="1:11">
      <c r="A7146" s="946" t="s">
        <v>28612</v>
      </c>
      <c r="B7146" s="947" t="s">
        <v>14044</v>
      </c>
      <c r="C7146" s="948" t="s">
        <v>14042</v>
      </c>
      <c r="D7146" s="242" t="s">
        <v>339</v>
      </c>
      <c r="E7146" s="949">
        <v>306</v>
      </c>
      <c r="F7146" s="949">
        <v>306</v>
      </c>
      <c r="G7146" s="950" t="s">
        <v>10258</v>
      </c>
      <c r="H7146" s="950" t="s">
        <v>340</v>
      </c>
      <c r="I7146" s="951" t="s">
        <v>14043</v>
      </c>
      <c r="J7146" s="947" t="s">
        <v>14044</v>
      </c>
      <c r="K7146" s="143"/>
    </row>
    <row r="7147" spans="1:11">
      <c r="A7147" s="946" t="s">
        <v>28612</v>
      </c>
      <c r="B7147" s="947" t="s">
        <v>14258</v>
      </c>
      <c r="C7147" s="948" t="s">
        <v>14256</v>
      </c>
      <c r="D7147" s="242" t="s">
        <v>339</v>
      </c>
      <c r="E7147" s="949">
        <v>306</v>
      </c>
      <c r="F7147" s="949">
        <v>306</v>
      </c>
      <c r="G7147" s="950" t="s">
        <v>10258</v>
      </c>
      <c r="H7147" s="950" t="s">
        <v>340</v>
      </c>
      <c r="I7147" s="951" t="s">
        <v>14257</v>
      </c>
      <c r="J7147" s="947" t="s">
        <v>14258</v>
      </c>
      <c r="K7147" s="143"/>
    </row>
    <row r="7148" spans="1:11">
      <c r="A7148" s="946" t="s">
        <v>28612</v>
      </c>
      <c r="B7148" s="947" t="s">
        <v>14324</v>
      </c>
      <c r="C7148" s="948" t="s">
        <v>14322</v>
      </c>
      <c r="D7148" s="242" t="s">
        <v>339</v>
      </c>
      <c r="E7148" s="949">
        <v>306</v>
      </c>
      <c r="F7148" s="949">
        <v>306</v>
      </c>
      <c r="G7148" s="950" t="s">
        <v>10258</v>
      </c>
      <c r="H7148" s="950" t="s">
        <v>340</v>
      </c>
      <c r="I7148" s="951" t="s">
        <v>14323</v>
      </c>
      <c r="J7148" s="947" t="s">
        <v>14324</v>
      </c>
      <c r="K7148" s="143"/>
    </row>
    <row r="7149" spans="1:11">
      <c r="A7149" s="946" t="s">
        <v>28612</v>
      </c>
      <c r="B7149" s="947" t="s">
        <v>14505</v>
      </c>
      <c r="C7149" s="948" t="s">
        <v>14503</v>
      </c>
      <c r="D7149" s="242" t="s">
        <v>339</v>
      </c>
      <c r="E7149" s="949">
        <v>306</v>
      </c>
      <c r="F7149" s="949">
        <v>306</v>
      </c>
      <c r="G7149" s="950" t="s">
        <v>10258</v>
      </c>
      <c r="H7149" s="950" t="s">
        <v>340</v>
      </c>
      <c r="I7149" s="951" t="s">
        <v>14504</v>
      </c>
      <c r="J7149" s="947" t="s">
        <v>14505</v>
      </c>
      <c r="K7149" s="143"/>
    </row>
    <row r="7150" spans="1:11">
      <c r="A7150" s="946" t="s">
        <v>28612</v>
      </c>
      <c r="B7150" s="947" t="s">
        <v>14571</v>
      </c>
      <c r="C7150" s="948" t="s">
        <v>14569</v>
      </c>
      <c r="D7150" s="242" t="s">
        <v>339</v>
      </c>
      <c r="E7150" s="949">
        <v>306</v>
      </c>
      <c r="F7150" s="949">
        <v>306</v>
      </c>
      <c r="G7150" s="950" t="s">
        <v>10258</v>
      </c>
      <c r="H7150" s="950" t="s">
        <v>340</v>
      </c>
      <c r="I7150" s="951" t="s">
        <v>14570</v>
      </c>
      <c r="J7150" s="947" t="s">
        <v>14571</v>
      </c>
      <c r="K7150" s="143"/>
    </row>
    <row r="7151" spans="1:11">
      <c r="A7151" s="946" t="s">
        <v>28612</v>
      </c>
      <c r="B7151" s="947" t="s">
        <v>15821</v>
      </c>
      <c r="C7151" s="948" t="s">
        <v>15819</v>
      </c>
      <c r="D7151" s="242" t="s">
        <v>339</v>
      </c>
      <c r="E7151" s="949">
        <v>306</v>
      </c>
      <c r="F7151" s="949">
        <v>306</v>
      </c>
      <c r="G7151" s="950" t="s">
        <v>10258</v>
      </c>
      <c r="H7151" s="950" t="s">
        <v>340</v>
      </c>
      <c r="I7151" s="951" t="s">
        <v>15820</v>
      </c>
      <c r="J7151" s="947" t="s">
        <v>15821</v>
      </c>
      <c r="K7151" s="143"/>
    </row>
    <row r="7152" spans="1:11">
      <c r="A7152" s="946" t="s">
        <v>28612</v>
      </c>
      <c r="B7152" s="947" t="s">
        <v>15876</v>
      </c>
      <c r="C7152" s="948" t="s">
        <v>15874</v>
      </c>
      <c r="D7152" s="242" t="s">
        <v>339</v>
      </c>
      <c r="E7152" s="949">
        <v>306</v>
      </c>
      <c r="F7152" s="949">
        <v>306</v>
      </c>
      <c r="G7152" s="950" t="s">
        <v>10258</v>
      </c>
      <c r="H7152" s="950" t="s">
        <v>340</v>
      </c>
      <c r="I7152" s="951" t="s">
        <v>15875</v>
      </c>
      <c r="J7152" s="947" t="s">
        <v>15876</v>
      </c>
      <c r="K7152" s="143"/>
    </row>
    <row r="7153" spans="1:11">
      <c r="A7153" s="946" t="s">
        <v>28612</v>
      </c>
      <c r="B7153" s="947" t="s">
        <v>16477</v>
      </c>
      <c r="C7153" s="948" t="s">
        <v>16475</v>
      </c>
      <c r="D7153" s="242" t="s">
        <v>339</v>
      </c>
      <c r="E7153" s="949">
        <v>306</v>
      </c>
      <c r="F7153" s="949">
        <v>306</v>
      </c>
      <c r="G7153" s="950" t="s">
        <v>10258</v>
      </c>
      <c r="H7153" s="950" t="s">
        <v>340</v>
      </c>
      <c r="I7153" s="951" t="s">
        <v>16476</v>
      </c>
      <c r="J7153" s="947" t="s">
        <v>16477</v>
      </c>
      <c r="K7153" s="143"/>
    </row>
    <row r="7154" spans="1:11">
      <c r="A7154" s="946" t="s">
        <v>28612</v>
      </c>
      <c r="B7154" s="947" t="s">
        <v>16776</v>
      </c>
      <c r="C7154" s="948" t="s">
        <v>16774</v>
      </c>
      <c r="D7154" s="242" t="s">
        <v>339</v>
      </c>
      <c r="E7154" s="949">
        <v>306</v>
      </c>
      <c r="F7154" s="949">
        <v>306</v>
      </c>
      <c r="G7154" s="950" t="s">
        <v>10258</v>
      </c>
      <c r="H7154" s="950" t="s">
        <v>340</v>
      </c>
      <c r="I7154" s="951" t="s">
        <v>16775</v>
      </c>
      <c r="J7154" s="947" t="s">
        <v>16776</v>
      </c>
      <c r="K7154" s="143"/>
    </row>
    <row r="7155" spans="1:11">
      <c r="A7155" s="946" t="s">
        <v>28612</v>
      </c>
      <c r="B7155" s="947" t="s">
        <v>18482</v>
      </c>
      <c r="C7155" s="948" t="s">
        <v>18480</v>
      </c>
      <c r="D7155" s="242" t="s">
        <v>339</v>
      </c>
      <c r="E7155" s="949">
        <v>306</v>
      </c>
      <c r="F7155" s="949">
        <v>306</v>
      </c>
      <c r="G7155" s="950" t="s">
        <v>10258</v>
      </c>
      <c r="H7155" s="950" t="s">
        <v>340</v>
      </c>
      <c r="I7155" s="951" t="s">
        <v>18481</v>
      </c>
      <c r="J7155" s="947" t="s">
        <v>18482</v>
      </c>
      <c r="K7155" s="143"/>
    </row>
    <row r="7156" spans="1:11">
      <c r="A7156" s="946" t="s">
        <v>28612</v>
      </c>
      <c r="B7156" s="947" t="s">
        <v>19585</v>
      </c>
      <c r="C7156" s="948" t="s">
        <v>19583</v>
      </c>
      <c r="D7156" s="242" t="s">
        <v>339</v>
      </c>
      <c r="E7156" s="949">
        <v>306</v>
      </c>
      <c r="F7156" s="949">
        <v>306</v>
      </c>
      <c r="G7156" s="950" t="s">
        <v>10258</v>
      </c>
      <c r="H7156" s="950" t="s">
        <v>340</v>
      </c>
      <c r="I7156" s="951" t="s">
        <v>19584</v>
      </c>
      <c r="J7156" s="947" t="s">
        <v>19585</v>
      </c>
      <c r="K7156" s="143"/>
    </row>
    <row r="7157" spans="1:11">
      <c r="A7157" s="946" t="s">
        <v>28612</v>
      </c>
      <c r="B7157" s="947" t="s">
        <v>19588</v>
      </c>
      <c r="C7157" s="948" t="s">
        <v>19586</v>
      </c>
      <c r="D7157" s="242" t="s">
        <v>339</v>
      </c>
      <c r="E7157" s="949">
        <v>306</v>
      </c>
      <c r="F7157" s="949">
        <v>306</v>
      </c>
      <c r="G7157" s="950" t="s">
        <v>10258</v>
      </c>
      <c r="H7157" s="950" t="s">
        <v>340</v>
      </c>
      <c r="I7157" s="951" t="s">
        <v>19587</v>
      </c>
      <c r="J7157" s="947" t="s">
        <v>19588</v>
      </c>
      <c r="K7157" s="143"/>
    </row>
    <row r="7158" spans="1:11">
      <c r="A7158" s="946" t="s">
        <v>28612</v>
      </c>
      <c r="B7158" s="947" t="s">
        <v>20092</v>
      </c>
      <c r="C7158" s="948" t="s">
        <v>20090</v>
      </c>
      <c r="D7158" s="242" t="s">
        <v>339</v>
      </c>
      <c r="E7158" s="949">
        <v>306</v>
      </c>
      <c r="F7158" s="949">
        <v>306</v>
      </c>
      <c r="G7158" s="950" t="s">
        <v>10258</v>
      </c>
      <c r="H7158" s="950" t="s">
        <v>340</v>
      </c>
      <c r="I7158" s="951" t="s">
        <v>20091</v>
      </c>
      <c r="J7158" s="947" t="s">
        <v>20092</v>
      </c>
      <c r="K7158" s="143"/>
    </row>
    <row r="7159" spans="1:11">
      <c r="A7159" s="946" t="s">
        <v>28612</v>
      </c>
      <c r="B7159" s="947" t="s">
        <v>20096</v>
      </c>
      <c r="C7159" s="948" t="s">
        <v>20094</v>
      </c>
      <c r="D7159" s="242" t="s">
        <v>339</v>
      </c>
      <c r="E7159" s="949">
        <v>306</v>
      </c>
      <c r="F7159" s="949">
        <v>306</v>
      </c>
      <c r="G7159" s="950" t="s">
        <v>10258</v>
      </c>
      <c r="H7159" s="950" t="s">
        <v>340</v>
      </c>
      <c r="I7159" s="951" t="s">
        <v>20095</v>
      </c>
      <c r="J7159" s="947" t="s">
        <v>20096</v>
      </c>
      <c r="K7159" s="143"/>
    </row>
    <row r="7160" spans="1:11">
      <c r="A7160" s="946" t="s">
        <v>28612</v>
      </c>
      <c r="B7160" s="947" t="s">
        <v>20157</v>
      </c>
      <c r="C7160" s="948" t="s">
        <v>20155</v>
      </c>
      <c r="D7160" s="242" t="s">
        <v>339</v>
      </c>
      <c r="E7160" s="949">
        <v>306</v>
      </c>
      <c r="F7160" s="949">
        <v>306</v>
      </c>
      <c r="G7160" s="950" t="s">
        <v>10258</v>
      </c>
      <c r="H7160" s="950" t="s">
        <v>340</v>
      </c>
      <c r="I7160" s="951" t="s">
        <v>20156</v>
      </c>
      <c r="J7160" s="947" t="s">
        <v>20157</v>
      </c>
      <c r="K7160" s="143"/>
    </row>
    <row r="7161" spans="1:11">
      <c r="A7161" s="946" t="s">
        <v>28612</v>
      </c>
      <c r="B7161" s="947" t="s">
        <v>21381</v>
      </c>
      <c r="C7161" s="948" t="s">
        <v>21379</v>
      </c>
      <c r="D7161" s="242" t="s">
        <v>339</v>
      </c>
      <c r="E7161" s="949">
        <v>306</v>
      </c>
      <c r="F7161" s="949">
        <v>306</v>
      </c>
      <c r="G7161" s="950" t="s">
        <v>10258</v>
      </c>
      <c r="H7161" s="950" t="s">
        <v>340</v>
      </c>
      <c r="I7161" s="951" t="s">
        <v>21380</v>
      </c>
      <c r="J7161" s="947" t="s">
        <v>21381</v>
      </c>
      <c r="K7161" s="143"/>
    </row>
    <row r="7162" spans="1:11">
      <c r="A7162" s="946" t="s">
        <v>28612</v>
      </c>
      <c r="B7162" s="947" t="s">
        <v>21493</v>
      </c>
      <c r="C7162" s="948" t="s">
        <v>21491</v>
      </c>
      <c r="D7162" s="242" t="s">
        <v>339</v>
      </c>
      <c r="E7162" s="949">
        <v>306</v>
      </c>
      <c r="F7162" s="949">
        <v>306</v>
      </c>
      <c r="G7162" s="950" t="s">
        <v>10258</v>
      </c>
      <c r="H7162" s="950" t="s">
        <v>340</v>
      </c>
      <c r="I7162" s="951" t="s">
        <v>21492</v>
      </c>
      <c r="J7162" s="947" t="s">
        <v>21493</v>
      </c>
      <c r="K7162" s="143"/>
    </row>
    <row r="7163" spans="1:11">
      <c r="A7163" s="946" t="s">
        <v>28612</v>
      </c>
      <c r="B7163" s="947" t="s">
        <v>21583</v>
      </c>
      <c r="C7163" s="948" t="s">
        <v>21581</v>
      </c>
      <c r="D7163" s="242" t="s">
        <v>339</v>
      </c>
      <c r="E7163" s="949">
        <v>306</v>
      </c>
      <c r="F7163" s="949">
        <v>306</v>
      </c>
      <c r="G7163" s="950" t="s">
        <v>10258</v>
      </c>
      <c r="H7163" s="950" t="s">
        <v>340</v>
      </c>
      <c r="I7163" s="951" t="s">
        <v>21582</v>
      </c>
      <c r="J7163" s="947" t="s">
        <v>21583</v>
      </c>
      <c r="K7163" s="143"/>
    </row>
    <row r="7164" spans="1:11">
      <c r="A7164" s="946" t="s">
        <v>28612</v>
      </c>
      <c r="B7164" s="947" t="s">
        <v>21742</v>
      </c>
      <c r="C7164" s="948" t="s">
        <v>21740</v>
      </c>
      <c r="D7164" s="242" t="s">
        <v>339</v>
      </c>
      <c r="E7164" s="949">
        <v>306</v>
      </c>
      <c r="F7164" s="949">
        <v>306</v>
      </c>
      <c r="G7164" s="950" t="s">
        <v>10258</v>
      </c>
      <c r="H7164" s="950" t="s">
        <v>340</v>
      </c>
      <c r="I7164" s="951" t="s">
        <v>21741</v>
      </c>
      <c r="J7164" s="947" t="s">
        <v>21742</v>
      </c>
      <c r="K7164" s="143"/>
    </row>
    <row r="7165" spans="1:11">
      <c r="A7165" s="946" t="s">
        <v>28612</v>
      </c>
      <c r="B7165" s="947" t="s">
        <v>21969</v>
      </c>
      <c r="C7165" s="948" t="s">
        <v>21967</v>
      </c>
      <c r="D7165" s="242" t="s">
        <v>339</v>
      </c>
      <c r="E7165" s="949">
        <v>306</v>
      </c>
      <c r="F7165" s="949">
        <v>306</v>
      </c>
      <c r="G7165" s="950" t="s">
        <v>10258</v>
      </c>
      <c r="H7165" s="950" t="s">
        <v>340</v>
      </c>
      <c r="I7165" s="951" t="s">
        <v>21968</v>
      </c>
      <c r="J7165" s="947" t="s">
        <v>21969</v>
      </c>
      <c r="K7165" s="143"/>
    </row>
    <row r="7166" spans="1:11">
      <c r="A7166" s="946" t="s">
        <v>28612</v>
      </c>
      <c r="B7166" s="947" t="s">
        <v>26180</v>
      </c>
      <c r="C7166" s="948" t="s">
        <v>26181</v>
      </c>
      <c r="D7166" s="242" t="s">
        <v>339</v>
      </c>
      <c r="E7166" s="949">
        <v>306</v>
      </c>
      <c r="F7166" s="949">
        <v>306</v>
      </c>
      <c r="G7166" s="950" t="s">
        <v>10258</v>
      </c>
      <c r="H7166" s="950" t="s">
        <v>340</v>
      </c>
      <c r="I7166" s="951" t="s">
        <v>24971</v>
      </c>
      <c r="J7166" s="947" t="s">
        <v>26180</v>
      </c>
      <c r="K7166" s="143"/>
    </row>
    <row r="7167" spans="1:11">
      <c r="A7167" s="946" t="s">
        <v>28612</v>
      </c>
      <c r="B7167" s="947" t="s">
        <v>24933</v>
      </c>
      <c r="C7167" s="948" t="s">
        <v>26182</v>
      </c>
      <c r="D7167" s="242" t="s">
        <v>339</v>
      </c>
      <c r="E7167" s="949">
        <v>306</v>
      </c>
      <c r="F7167" s="949">
        <v>306</v>
      </c>
      <c r="G7167" s="950" t="s">
        <v>10258</v>
      </c>
      <c r="H7167" s="950" t="s">
        <v>340</v>
      </c>
      <c r="I7167" s="951" t="s">
        <v>24934</v>
      </c>
      <c r="J7167" s="947" t="s">
        <v>24933</v>
      </c>
      <c r="K7167" s="143"/>
    </row>
    <row r="7168" spans="1:11">
      <c r="A7168" s="946" t="s">
        <v>28612</v>
      </c>
      <c r="B7168" s="947" t="s">
        <v>28637</v>
      </c>
      <c r="C7168" s="948" t="s">
        <v>28759</v>
      </c>
      <c r="D7168" s="242" t="s">
        <v>339</v>
      </c>
      <c r="E7168" s="949">
        <v>306</v>
      </c>
      <c r="F7168" s="949">
        <v>306</v>
      </c>
      <c r="G7168" s="950" t="s">
        <v>10258</v>
      </c>
      <c r="H7168" s="950" t="s">
        <v>340</v>
      </c>
      <c r="I7168" s="951" t="s">
        <v>28680</v>
      </c>
      <c r="J7168" s="947" t="s">
        <v>28637</v>
      </c>
      <c r="K7168" s="143"/>
    </row>
    <row r="7169" spans="1:11">
      <c r="A7169" s="946" t="s">
        <v>28612</v>
      </c>
      <c r="B7169" s="947" t="s">
        <v>336</v>
      </c>
      <c r="C7169" s="948" t="s">
        <v>332</v>
      </c>
      <c r="D7169" s="242" t="s">
        <v>333</v>
      </c>
      <c r="E7169" s="949">
        <v>307</v>
      </c>
      <c r="F7169" s="949">
        <v>307</v>
      </c>
      <c r="G7169" s="950" t="s">
        <v>10545</v>
      </c>
      <c r="H7169" s="950" t="s">
        <v>334</v>
      </c>
      <c r="I7169" s="951" t="s">
        <v>335</v>
      </c>
      <c r="J7169" s="947" t="s">
        <v>336</v>
      </c>
      <c r="K7169" s="143"/>
    </row>
    <row r="7170" spans="1:11">
      <c r="A7170" s="946" t="s">
        <v>28612</v>
      </c>
      <c r="B7170" s="947" t="s">
        <v>2327</v>
      </c>
      <c r="C7170" s="948" t="s">
        <v>2325</v>
      </c>
      <c r="D7170" s="242" t="s">
        <v>333</v>
      </c>
      <c r="E7170" s="949">
        <v>307</v>
      </c>
      <c r="F7170" s="949">
        <v>307</v>
      </c>
      <c r="G7170" s="950" t="s">
        <v>10545</v>
      </c>
      <c r="H7170" s="950" t="s">
        <v>334</v>
      </c>
      <c r="I7170" s="951" t="s">
        <v>2326</v>
      </c>
      <c r="J7170" s="947" t="s">
        <v>2327</v>
      </c>
      <c r="K7170" s="143"/>
    </row>
    <row r="7171" spans="1:11">
      <c r="A7171" s="946" t="s">
        <v>28612</v>
      </c>
      <c r="B7171" s="947" t="s">
        <v>2549</v>
      </c>
      <c r="C7171" s="948" t="s">
        <v>2547</v>
      </c>
      <c r="D7171" s="242" t="s">
        <v>333</v>
      </c>
      <c r="E7171" s="949">
        <v>307</v>
      </c>
      <c r="F7171" s="949">
        <v>307</v>
      </c>
      <c r="G7171" s="950" t="s">
        <v>10545</v>
      </c>
      <c r="H7171" s="950" t="s">
        <v>334</v>
      </c>
      <c r="I7171" s="951" t="s">
        <v>2548</v>
      </c>
      <c r="J7171" s="947" t="s">
        <v>2549</v>
      </c>
      <c r="K7171" s="143"/>
    </row>
    <row r="7172" spans="1:11">
      <c r="A7172" s="946" t="s">
        <v>28612</v>
      </c>
      <c r="B7172" s="947" t="s">
        <v>2706</v>
      </c>
      <c r="C7172" s="948" t="s">
        <v>2704</v>
      </c>
      <c r="D7172" s="242" t="s">
        <v>333</v>
      </c>
      <c r="E7172" s="949">
        <v>307</v>
      </c>
      <c r="F7172" s="949">
        <v>307</v>
      </c>
      <c r="G7172" s="950" t="s">
        <v>10545</v>
      </c>
      <c r="H7172" s="950" t="s">
        <v>334</v>
      </c>
      <c r="I7172" s="951" t="s">
        <v>2705</v>
      </c>
      <c r="J7172" s="947" t="s">
        <v>2706</v>
      </c>
      <c r="K7172" s="143"/>
    </row>
    <row r="7173" spans="1:11">
      <c r="A7173" s="946" t="s">
        <v>28612</v>
      </c>
      <c r="B7173" s="947" t="s">
        <v>2745</v>
      </c>
      <c r="C7173" s="948" t="s">
        <v>2743</v>
      </c>
      <c r="D7173" s="242" t="s">
        <v>333</v>
      </c>
      <c r="E7173" s="949">
        <v>307</v>
      </c>
      <c r="F7173" s="949">
        <v>307</v>
      </c>
      <c r="G7173" s="950" t="s">
        <v>10545</v>
      </c>
      <c r="H7173" s="950" t="s">
        <v>334</v>
      </c>
      <c r="I7173" s="951" t="s">
        <v>2744</v>
      </c>
      <c r="J7173" s="947" t="s">
        <v>2745</v>
      </c>
      <c r="K7173" s="143"/>
    </row>
    <row r="7174" spans="1:11">
      <c r="A7174" s="946" t="s">
        <v>28612</v>
      </c>
      <c r="B7174" s="947" t="s">
        <v>2992</v>
      </c>
      <c r="C7174" s="948" t="s">
        <v>2990</v>
      </c>
      <c r="D7174" s="242" t="s">
        <v>333</v>
      </c>
      <c r="E7174" s="949">
        <v>307</v>
      </c>
      <c r="F7174" s="949">
        <v>307</v>
      </c>
      <c r="G7174" s="950" t="s">
        <v>10545</v>
      </c>
      <c r="H7174" s="950" t="s">
        <v>334</v>
      </c>
      <c r="I7174" s="951" t="s">
        <v>2991</v>
      </c>
      <c r="J7174" s="947" t="s">
        <v>2992</v>
      </c>
      <c r="K7174" s="143"/>
    </row>
    <row r="7175" spans="1:11">
      <c r="A7175" s="946" t="s">
        <v>28612</v>
      </c>
      <c r="B7175" s="947" t="s">
        <v>4583</v>
      </c>
      <c r="C7175" s="948" t="s">
        <v>4581</v>
      </c>
      <c r="D7175" s="242" t="s">
        <v>333</v>
      </c>
      <c r="E7175" s="949">
        <v>307</v>
      </c>
      <c r="F7175" s="949">
        <v>307</v>
      </c>
      <c r="G7175" s="950" t="s">
        <v>10545</v>
      </c>
      <c r="H7175" s="950" t="s">
        <v>334</v>
      </c>
      <c r="I7175" s="951" t="s">
        <v>4582</v>
      </c>
      <c r="J7175" s="947" t="s">
        <v>4583</v>
      </c>
      <c r="K7175" s="143"/>
    </row>
    <row r="7176" spans="1:11">
      <c r="A7176" s="946" t="s">
        <v>28612</v>
      </c>
      <c r="B7176" s="947" t="s">
        <v>4610</v>
      </c>
      <c r="C7176" s="948" t="s">
        <v>4608</v>
      </c>
      <c r="D7176" s="242" t="s">
        <v>333</v>
      </c>
      <c r="E7176" s="949">
        <v>307</v>
      </c>
      <c r="F7176" s="949">
        <v>307</v>
      </c>
      <c r="G7176" s="950" t="s">
        <v>10545</v>
      </c>
      <c r="H7176" s="950" t="s">
        <v>334</v>
      </c>
      <c r="I7176" s="951" t="s">
        <v>4609</v>
      </c>
      <c r="J7176" s="947" t="s">
        <v>4610</v>
      </c>
      <c r="K7176" s="143"/>
    </row>
    <row r="7177" spans="1:11">
      <c r="A7177" s="946" t="s">
        <v>28612</v>
      </c>
      <c r="B7177" s="947" t="s">
        <v>4631</v>
      </c>
      <c r="C7177" s="948" t="s">
        <v>4629</v>
      </c>
      <c r="D7177" s="242" t="s">
        <v>333</v>
      </c>
      <c r="E7177" s="949">
        <v>307</v>
      </c>
      <c r="F7177" s="949">
        <v>307</v>
      </c>
      <c r="G7177" s="950" t="s">
        <v>10545</v>
      </c>
      <c r="H7177" s="950" t="s">
        <v>334</v>
      </c>
      <c r="I7177" s="951" t="s">
        <v>4630</v>
      </c>
      <c r="J7177" s="947" t="s">
        <v>4631</v>
      </c>
      <c r="K7177" s="143"/>
    </row>
    <row r="7178" spans="1:11">
      <c r="A7178" s="946" t="s">
        <v>28612</v>
      </c>
      <c r="B7178" s="947" t="s">
        <v>4748</v>
      </c>
      <c r="C7178" s="948" t="s">
        <v>4746</v>
      </c>
      <c r="D7178" s="242" t="s">
        <v>333</v>
      </c>
      <c r="E7178" s="949">
        <v>307</v>
      </c>
      <c r="F7178" s="949">
        <v>307</v>
      </c>
      <c r="G7178" s="950" t="s">
        <v>10545</v>
      </c>
      <c r="H7178" s="950" t="s">
        <v>334</v>
      </c>
      <c r="I7178" s="951" t="s">
        <v>4747</v>
      </c>
      <c r="J7178" s="947" t="s">
        <v>4748</v>
      </c>
      <c r="K7178" s="143"/>
    </row>
    <row r="7179" spans="1:11">
      <c r="A7179" s="946" t="s">
        <v>28612</v>
      </c>
      <c r="B7179" s="947" t="s">
        <v>4751</v>
      </c>
      <c r="C7179" s="948" t="s">
        <v>4749</v>
      </c>
      <c r="D7179" s="242" t="s">
        <v>333</v>
      </c>
      <c r="E7179" s="949">
        <v>307</v>
      </c>
      <c r="F7179" s="949">
        <v>307</v>
      </c>
      <c r="G7179" s="950" t="s">
        <v>10545</v>
      </c>
      <c r="H7179" s="950" t="s">
        <v>334</v>
      </c>
      <c r="I7179" s="951" t="s">
        <v>4750</v>
      </c>
      <c r="J7179" s="947" t="s">
        <v>4751</v>
      </c>
      <c r="K7179" s="143"/>
    </row>
    <row r="7180" spans="1:11">
      <c r="A7180" s="946" t="s">
        <v>28612</v>
      </c>
      <c r="B7180" s="947" t="s">
        <v>5335</v>
      </c>
      <c r="C7180" s="948" t="s">
        <v>5333</v>
      </c>
      <c r="D7180" s="242" t="s">
        <v>333</v>
      </c>
      <c r="E7180" s="949">
        <v>307</v>
      </c>
      <c r="F7180" s="949">
        <v>307</v>
      </c>
      <c r="G7180" s="950" t="s">
        <v>10545</v>
      </c>
      <c r="H7180" s="950" t="s">
        <v>334</v>
      </c>
      <c r="I7180" s="951" t="s">
        <v>5334</v>
      </c>
      <c r="J7180" s="947" t="s">
        <v>5335</v>
      </c>
      <c r="K7180" s="143"/>
    </row>
    <row r="7181" spans="1:11">
      <c r="A7181" s="946" t="s">
        <v>28612</v>
      </c>
      <c r="B7181" s="947" t="s">
        <v>5491</v>
      </c>
      <c r="C7181" s="948" t="s">
        <v>5489</v>
      </c>
      <c r="D7181" s="242" t="s">
        <v>333</v>
      </c>
      <c r="E7181" s="949">
        <v>307</v>
      </c>
      <c r="F7181" s="949">
        <v>307</v>
      </c>
      <c r="G7181" s="950" t="s">
        <v>10545</v>
      </c>
      <c r="H7181" s="950" t="s">
        <v>334</v>
      </c>
      <c r="I7181" s="951" t="s">
        <v>5490</v>
      </c>
      <c r="J7181" s="947" t="s">
        <v>5491</v>
      </c>
      <c r="K7181" s="143"/>
    </row>
    <row r="7182" spans="1:11">
      <c r="A7182" s="946" t="s">
        <v>28612</v>
      </c>
      <c r="B7182" s="947" t="s">
        <v>5557</v>
      </c>
      <c r="C7182" s="948" t="s">
        <v>5555</v>
      </c>
      <c r="D7182" s="242" t="s">
        <v>333</v>
      </c>
      <c r="E7182" s="949">
        <v>307</v>
      </c>
      <c r="F7182" s="949">
        <v>307</v>
      </c>
      <c r="G7182" s="950" t="s">
        <v>10545</v>
      </c>
      <c r="H7182" s="950" t="s">
        <v>334</v>
      </c>
      <c r="I7182" s="951" t="s">
        <v>5556</v>
      </c>
      <c r="J7182" s="947" t="s">
        <v>5557</v>
      </c>
      <c r="K7182" s="143"/>
    </row>
    <row r="7183" spans="1:11">
      <c r="A7183" s="946" t="s">
        <v>28612</v>
      </c>
      <c r="B7183" s="947" t="s">
        <v>5713</v>
      </c>
      <c r="C7183" s="948" t="s">
        <v>5711</v>
      </c>
      <c r="D7183" s="242" t="s">
        <v>333</v>
      </c>
      <c r="E7183" s="949">
        <v>307</v>
      </c>
      <c r="F7183" s="949">
        <v>307</v>
      </c>
      <c r="G7183" s="950" t="s">
        <v>10545</v>
      </c>
      <c r="H7183" s="950" t="s">
        <v>334</v>
      </c>
      <c r="I7183" s="951" t="s">
        <v>5712</v>
      </c>
      <c r="J7183" s="947" t="s">
        <v>5713</v>
      </c>
      <c r="K7183" s="143"/>
    </row>
    <row r="7184" spans="1:11">
      <c r="A7184" s="946" t="s">
        <v>28612</v>
      </c>
      <c r="B7184" s="947" t="s">
        <v>6085</v>
      </c>
      <c r="C7184" s="948" t="s">
        <v>6083</v>
      </c>
      <c r="D7184" s="242" t="s">
        <v>333</v>
      </c>
      <c r="E7184" s="949">
        <v>307</v>
      </c>
      <c r="F7184" s="949">
        <v>307</v>
      </c>
      <c r="G7184" s="950" t="s">
        <v>10545</v>
      </c>
      <c r="H7184" s="950" t="s">
        <v>334</v>
      </c>
      <c r="I7184" s="951" t="s">
        <v>6084</v>
      </c>
      <c r="J7184" s="947" t="s">
        <v>6085</v>
      </c>
      <c r="K7184" s="143"/>
    </row>
    <row r="7185" spans="1:11">
      <c r="A7185" s="946" t="s">
        <v>28612</v>
      </c>
      <c r="B7185" s="947" t="s">
        <v>6669</v>
      </c>
      <c r="C7185" s="948" t="s">
        <v>6667</v>
      </c>
      <c r="D7185" s="242" t="s">
        <v>333</v>
      </c>
      <c r="E7185" s="949">
        <v>307</v>
      </c>
      <c r="F7185" s="949">
        <v>307</v>
      </c>
      <c r="G7185" s="950" t="s">
        <v>10545</v>
      </c>
      <c r="H7185" s="950" t="s">
        <v>334</v>
      </c>
      <c r="I7185" s="951" t="s">
        <v>6668</v>
      </c>
      <c r="J7185" s="947" t="s">
        <v>6669</v>
      </c>
      <c r="K7185" s="143"/>
    </row>
    <row r="7186" spans="1:11">
      <c r="A7186" s="946" t="s">
        <v>28612</v>
      </c>
      <c r="B7186" s="947" t="s">
        <v>6878</v>
      </c>
      <c r="C7186" s="948" t="s">
        <v>6876</v>
      </c>
      <c r="D7186" s="242" t="s">
        <v>333</v>
      </c>
      <c r="E7186" s="949">
        <v>307</v>
      </c>
      <c r="F7186" s="949">
        <v>307</v>
      </c>
      <c r="G7186" s="950" t="s">
        <v>10545</v>
      </c>
      <c r="H7186" s="950" t="s">
        <v>334</v>
      </c>
      <c r="I7186" s="951" t="s">
        <v>6877</v>
      </c>
      <c r="J7186" s="947" t="s">
        <v>6878</v>
      </c>
      <c r="K7186" s="143"/>
    </row>
    <row r="7187" spans="1:11">
      <c r="A7187" s="946" t="s">
        <v>28612</v>
      </c>
      <c r="B7187" s="947" t="s">
        <v>7105</v>
      </c>
      <c r="C7187" s="948" t="s">
        <v>7103</v>
      </c>
      <c r="D7187" s="242" t="s">
        <v>333</v>
      </c>
      <c r="E7187" s="949">
        <v>307</v>
      </c>
      <c r="F7187" s="949">
        <v>307</v>
      </c>
      <c r="G7187" s="950" t="s">
        <v>10545</v>
      </c>
      <c r="H7187" s="950" t="s">
        <v>334</v>
      </c>
      <c r="I7187" s="951" t="s">
        <v>7104</v>
      </c>
      <c r="J7187" s="947" t="s">
        <v>7105</v>
      </c>
      <c r="K7187" s="143"/>
    </row>
    <row r="7188" spans="1:11">
      <c r="A7188" s="946" t="s">
        <v>28612</v>
      </c>
      <c r="B7188" s="947" t="s">
        <v>7117</v>
      </c>
      <c r="C7188" s="948" t="s">
        <v>7115</v>
      </c>
      <c r="D7188" s="242" t="s">
        <v>333</v>
      </c>
      <c r="E7188" s="949">
        <v>307</v>
      </c>
      <c r="F7188" s="949">
        <v>307</v>
      </c>
      <c r="G7188" s="950" t="s">
        <v>10545</v>
      </c>
      <c r="H7188" s="950" t="s">
        <v>334</v>
      </c>
      <c r="I7188" s="951" t="s">
        <v>7116</v>
      </c>
      <c r="J7188" s="947" t="s">
        <v>7117</v>
      </c>
      <c r="K7188" s="143"/>
    </row>
    <row r="7189" spans="1:11">
      <c r="A7189" s="946" t="s">
        <v>28612</v>
      </c>
      <c r="B7189" s="947" t="s">
        <v>7120</v>
      </c>
      <c r="C7189" s="948" t="s">
        <v>7118</v>
      </c>
      <c r="D7189" s="242" t="s">
        <v>333</v>
      </c>
      <c r="E7189" s="949">
        <v>307</v>
      </c>
      <c r="F7189" s="949">
        <v>307</v>
      </c>
      <c r="G7189" s="950" t="s">
        <v>10545</v>
      </c>
      <c r="H7189" s="950" t="s">
        <v>334</v>
      </c>
      <c r="I7189" s="951" t="s">
        <v>7119</v>
      </c>
      <c r="J7189" s="947" t="s">
        <v>7120</v>
      </c>
      <c r="K7189" s="143"/>
    </row>
    <row r="7190" spans="1:11">
      <c r="A7190" s="946" t="s">
        <v>28612</v>
      </c>
      <c r="B7190" s="947" t="s">
        <v>7177</v>
      </c>
      <c r="C7190" s="948" t="s">
        <v>7175</v>
      </c>
      <c r="D7190" s="242" t="s">
        <v>333</v>
      </c>
      <c r="E7190" s="949">
        <v>307</v>
      </c>
      <c r="F7190" s="949">
        <v>307</v>
      </c>
      <c r="G7190" s="950" t="s">
        <v>10545</v>
      </c>
      <c r="H7190" s="950" t="s">
        <v>334</v>
      </c>
      <c r="I7190" s="951" t="s">
        <v>7176</v>
      </c>
      <c r="J7190" s="947" t="s">
        <v>7177</v>
      </c>
      <c r="K7190" s="143"/>
    </row>
    <row r="7191" spans="1:11">
      <c r="A7191" s="946" t="s">
        <v>28612</v>
      </c>
      <c r="B7191" s="947" t="s">
        <v>7371</v>
      </c>
      <c r="C7191" s="948" t="s">
        <v>7369</v>
      </c>
      <c r="D7191" s="242" t="s">
        <v>333</v>
      </c>
      <c r="E7191" s="949">
        <v>307</v>
      </c>
      <c r="F7191" s="949">
        <v>307</v>
      </c>
      <c r="G7191" s="950" t="s">
        <v>10545</v>
      </c>
      <c r="H7191" s="950" t="s">
        <v>334</v>
      </c>
      <c r="I7191" s="951" t="s">
        <v>7370</v>
      </c>
      <c r="J7191" s="947" t="s">
        <v>7371</v>
      </c>
      <c r="K7191" s="143"/>
    </row>
    <row r="7192" spans="1:11">
      <c r="A7192" s="946" t="s">
        <v>28612</v>
      </c>
      <c r="B7192" s="947" t="s">
        <v>8383</v>
      </c>
      <c r="C7192" s="948" t="s">
        <v>8381</v>
      </c>
      <c r="D7192" s="242" t="s">
        <v>333</v>
      </c>
      <c r="E7192" s="949">
        <v>307</v>
      </c>
      <c r="F7192" s="949">
        <v>307</v>
      </c>
      <c r="G7192" s="950" t="s">
        <v>10545</v>
      </c>
      <c r="H7192" s="950" t="s">
        <v>334</v>
      </c>
      <c r="I7192" s="951" t="s">
        <v>8382</v>
      </c>
      <c r="J7192" s="947" t="s">
        <v>8383</v>
      </c>
      <c r="K7192" s="143"/>
    </row>
    <row r="7193" spans="1:11">
      <c r="A7193" s="946" t="s">
        <v>28612</v>
      </c>
      <c r="B7193" s="947" t="s">
        <v>8864</v>
      </c>
      <c r="C7193" s="948" t="s">
        <v>8862</v>
      </c>
      <c r="D7193" s="242" t="s">
        <v>333</v>
      </c>
      <c r="E7193" s="949">
        <v>307</v>
      </c>
      <c r="F7193" s="949">
        <v>307</v>
      </c>
      <c r="G7193" s="950" t="s">
        <v>10545</v>
      </c>
      <c r="H7193" s="950" t="s">
        <v>334</v>
      </c>
      <c r="I7193" s="951" t="s">
        <v>8863</v>
      </c>
      <c r="J7193" s="947" t="s">
        <v>8864</v>
      </c>
      <c r="K7193" s="143"/>
    </row>
    <row r="7194" spans="1:11">
      <c r="A7194" s="946" t="s">
        <v>28612</v>
      </c>
      <c r="B7194" s="947" t="s">
        <v>9437</v>
      </c>
      <c r="C7194" s="948" t="s">
        <v>9435</v>
      </c>
      <c r="D7194" s="242" t="s">
        <v>333</v>
      </c>
      <c r="E7194" s="949">
        <v>307</v>
      </c>
      <c r="F7194" s="949">
        <v>307</v>
      </c>
      <c r="G7194" s="950" t="s">
        <v>10545</v>
      </c>
      <c r="H7194" s="950" t="s">
        <v>334</v>
      </c>
      <c r="I7194" s="951" t="s">
        <v>9436</v>
      </c>
      <c r="J7194" s="947" t="s">
        <v>9437</v>
      </c>
      <c r="K7194" s="143"/>
    </row>
    <row r="7195" spans="1:11">
      <c r="A7195" s="946" t="s">
        <v>28612</v>
      </c>
      <c r="B7195" s="947" t="s">
        <v>9690</v>
      </c>
      <c r="C7195" s="948" t="s">
        <v>9688</v>
      </c>
      <c r="D7195" s="242" t="s">
        <v>333</v>
      </c>
      <c r="E7195" s="949">
        <v>307</v>
      </c>
      <c r="F7195" s="949">
        <v>307</v>
      </c>
      <c r="G7195" s="950" t="s">
        <v>10545</v>
      </c>
      <c r="H7195" s="950" t="s">
        <v>334</v>
      </c>
      <c r="I7195" s="951" t="s">
        <v>9689</v>
      </c>
      <c r="J7195" s="947" t="s">
        <v>9690</v>
      </c>
      <c r="K7195" s="143"/>
    </row>
    <row r="7196" spans="1:11">
      <c r="A7196" s="946" t="s">
        <v>28612</v>
      </c>
      <c r="B7196" s="947" t="s">
        <v>10504</v>
      </c>
      <c r="C7196" s="948" t="s">
        <v>10502</v>
      </c>
      <c r="D7196" s="242" t="s">
        <v>333</v>
      </c>
      <c r="E7196" s="949">
        <v>307</v>
      </c>
      <c r="F7196" s="949">
        <v>307</v>
      </c>
      <c r="G7196" s="950" t="s">
        <v>10545</v>
      </c>
      <c r="H7196" s="950" t="s">
        <v>334</v>
      </c>
      <c r="I7196" s="951" t="s">
        <v>10503</v>
      </c>
      <c r="J7196" s="947" t="s">
        <v>10504</v>
      </c>
      <c r="K7196" s="143"/>
    </row>
    <row r="7197" spans="1:11">
      <c r="A7197" s="946" t="s">
        <v>28612</v>
      </c>
      <c r="B7197" s="947" t="s">
        <v>10545</v>
      </c>
      <c r="C7197" s="948" t="s">
        <v>10543</v>
      </c>
      <c r="D7197" s="242" t="s">
        <v>333</v>
      </c>
      <c r="E7197" s="949">
        <v>307</v>
      </c>
      <c r="F7197" s="949">
        <v>307</v>
      </c>
      <c r="G7197" s="950" t="s">
        <v>10545</v>
      </c>
      <c r="H7197" s="950" t="s">
        <v>334</v>
      </c>
      <c r="I7197" s="951" t="s">
        <v>10544</v>
      </c>
      <c r="J7197" s="947" t="s">
        <v>10545</v>
      </c>
      <c r="K7197" s="143"/>
    </row>
    <row r="7198" spans="1:11">
      <c r="A7198" s="946" t="s">
        <v>28612</v>
      </c>
      <c r="B7198" s="947" t="s">
        <v>10548</v>
      </c>
      <c r="C7198" s="948" t="s">
        <v>10546</v>
      </c>
      <c r="D7198" s="242" t="s">
        <v>333</v>
      </c>
      <c r="E7198" s="949">
        <v>307</v>
      </c>
      <c r="F7198" s="949">
        <v>307</v>
      </c>
      <c r="G7198" s="950" t="s">
        <v>10545</v>
      </c>
      <c r="H7198" s="950" t="s">
        <v>334</v>
      </c>
      <c r="I7198" s="951" t="s">
        <v>10547</v>
      </c>
      <c r="J7198" s="947" t="s">
        <v>10548</v>
      </c>
      <c r="K7198" s="143"/>
    </row>
    <row r="7199" spans="1:11">
      <c r="A7199" s="946" t="s">
        <v>28612</v>
      </c>
      <c r="B7199" s="947" t="s">
        <v>10802</v>
      </c>
      <c r="C7199" s="948" t="s">
        <v>10800</v>
      </c>
      <c r="D7199" s="242" t="s">
        <v>333</v>
      </c>
      <c r="E7199" s="949">
        <v>307</v>
      </c>
      <c r="F7199" s="949">
        <v>307</v>
      </c>
      <c r="G7199" s="950" t="s">
        <v>10545</v>
      </c>
      <c r="H7199" s="950" t="s">
        <v>334</v>
      </c>
      <c r="I7199" s="951" t="s">
        <v>10801</v>
      </c>
      <c r="J7199" s="947" t="s">
        <v>10802</v>
      </c>
      <c r="K7199" s="143"/>
    </row>
    <row r="7200" spans="1:11">
      <c r="A7200" s="946" t="s">
        <v>28612</v>
      </c>
      <c r="B7200" s="947" t="s">
        <v>10942</v>
      </c>
      <c r="C7200" s="948" t="s">
        <v>10940</v>
      </c>
      <c r="D7200" s="242" t="s">
        <v>333</v>
      </c>
      <c r="E7200" s="949">
        <v>307</v>
      </c>
      <c r="F7200" s="949">
        <v>307</v>
      </c>
      <c r="G7200" s="950" t="s">
        <v>10545</v>
      </c>
      <c r="H7200" s="950" t="s">
        <v>334</v>
      </c>
      <c r="I7200" s="951" t="s">
        <v>10941</v>
      </c>
      <c r="J7200" s="947" t="s">
        <v>10942</v>
      </c>
      <c r="K7200" s="143"/>
    </row>
    <row r="7201" spans="1:11">
      <c r="A7201" s="946" t="s">
        <v>28612</v>
      </c>
      <c r="B7201" s="947" t="s">
        <v>10970</v>
      </c>
      <c r="C7201" s="948" t="s">
        <v>10968</v>
      </c>
      <c r="D7201" s="242" t="s">
        <v>333</v>
      </c>
      <c r="E7201" s="949">
        <v>307</v>
      </c>
      <c r="F7201" s="949">
        <v>307</v>
      </c>
      <c r="G7201" s="950" t="s">
        <v>10545</v>
      </c>
      <c r="H7201" s="950" t="s">
        <v>334</v>
      </c>
      <c r="I7201" s="951" t="s">
        <v>10969</v>
      </c>
      <c r="J7201" s="947" t="s">
        <v>10970</v>
      </c>
      <c r="K7201" s="143"/>
    </row>
    <row r="7202" spans="1:11">
      <c r="A7202" s="946" t="s">
        <v>28612</v>
      </c>
      <c r="B7202" s="947" t="s">
        <v>11305</v>
      </c>
      <c r="C7202" s="948" t="s">
        <v>11303</v>
      </c>
      <c r="D7202" s="242" t="s">
        <v>333</v>
      </c>
      <c r="E7202" s="949">
        <v>307</v>
      </c>
      <c r="F7202" s="949">
        <v>307</v>
      </c>
      <c r="G7202" s="950" t="s">
        <v>10545</v>
      </c>
      <c r="H7202" s="950" t="s">
        <v>334</v>
      </c>
      <c r="I7202" s="951" t="s">
        <v>11304</v>
      </c>
      <c r="J7202" s="947" t="s">
        <v>11305</v>
      </c>
      <c r="K7202" s="143"/>
    </row>
    <row r="7203" spans="1:11">
      <c r="A7203" s="946" t="s">
        <v>28612</v>
      </c>
      <c r="B7203" s="947" t="s">
        <v>11400</v>
      </c>
      <c r="C7203" s="948" t="s">
        <v>11398</v>
      </c>
      <c r="D7203" s="242" t="s">
        <v>333</v>
      </c>
      <c r="E7203" s="949">
        <v>307</v>
      </c>
      <c r="F7203" s="949">
        <v>307</v>
      </c>
      <c r="G7203" s="950" t="s">
        <v>10545</v>
      </c>
      <c r="H7203" s="950" t="s">
        <v>334</v>
      </c>
      <c r="I7203" s="951" t="s">
        <v>11399</v>
      </c>
      <c r="J7203" s="947" t="s">
        <v>11400</v>
      </c>
      <c r="K7203" s="143"/>
    </row>
    <row r="7204" spans="1:11">
      <c r="A7204" s="946" t="s">
        <v>28612</v>
      </c>
      <c r="B7204" s="947" t="s">
        <v>11543</v>
      </c>
      <c r="C7204" s="948" t="s">
        <v>11541</v>
      </c>
      <c r="D7204" s="242" t="s">
        <v>333</v>
      </c>
      <c r="E7204" s="949">
        <v>307</v>
      </c>
      <c r="F7204" s="949">
        <v>307</v>
      </c>
      <c r="G7204" s="950" t="s">
        <v>10545</v>
      </c>
      <c r="H7204" s="950" t="s">
        <v>334</v>
      </c>
      <c r="I7204" s="951" t="s">
        <v>11542</v>
      </c>
      <c r="J7204" s="947" t="s">
        <v>11543</v>
      </c>
      <c r="K7204" s="143"/>
    </row>
    <row r="7205" spans="1:11">
      <c r="A7205" s="946" t="s">
        <v>28612</v>
      </c>
      <c r="B7205" s="947" t="s">
        <v>11651</v>
      </c>
      <c r="C7205" s="948" t="s">
        <v>11649</v>
      </c>
      <c r="D7205" s="242" t="s">
        <v>333</v>
      </c>
      <c r="E7205" s="949">
        <v>307</v>
      </c>
      <c r="F7205" s="949">
        <v>307</v>
      </c>
      <c r="G7205" s="950" t="s">
        <v>10545</v>
      </c>
      <c r="H7205" s="950" t="s">
        <v>334</v>
      </c>
      <c r="I7205" s="951" t="s">
        <v>11650</v>
      </c>
      <c r="J7205" s="947" t="s">
        <v>11651</v>
      </c>
      <c r="K7205" s="143"/>
    </row>
    <row r="7206" spans="1:11">
      <c r="A7206" s="946" t="s">
        <v>28612</v>
      </c>
      <c r="B7206" s="947" t="s">
        <v>12239</v>
      </c>
      <c r="C7206" s="948" t="s">
        <v>12237</v>
      </c>
      <c r="D7206" s="242" t="s">
        <v>333</v>
      </c>
      <c r="E7206" s="949">
        <v>307</v>
      </c>
      <c r="F7206" s="949">
        <v>307</v>
      </c>
      <c r="G7206" s="950" t="s">
        <v>10545</v>
      </c>
      <c r="H7206" s="950" t="s">
        <v>334</v>
      </c>
      <c r="I7206" s="951" t="s">
        <v>12238</v>
      </c>
      <c r="J7206" s="947" t="s">
        <v>12239</v>
      </c>
      <c r="K7206" s="143"/>
    </row>
    <row r="7207" spans="1:11">
      <c r="A7207" s="946" t="s">
        <v>28612</v>
      </c>
      <c r="B7207" s="947" t="s">
        <v>13097</v>
      </c>
      <c r="C7207" s="948" t="s">
        <v>13095</v>
      </c>
      <c r="D7207" s="242" t="s">
        <v>333</v>
      </c>
      <c r="E7207" s="949">
        <v>307</v>
      </c>
      <c r="F7207" s="949">
        <v>307</v>
      </c>
      <c r="G7207" s="950" t="s">
        <v>10545</v>
      </c>
      <c r="H7207" s="950" t="s">
        <v>334</v>
      </c>
      <c r="I7207" s="951" t="s">
        <v>13096</v>
      </c>
      <c r="J7207" s="947" t="s">
        <v>13097</v>
      </c>
      <c r="K7207" s="143"/>
    </row>
    <row r="7208" spans="1:11">
      <c r="A7208" s="946" t="s">
        <v>28612</v>
      </c>
      <c r="B7208" s="947" t="s">
        <v>13727</v>
      </c>
      <c r="C7208" s="948" t="s">
        <v>13725</v>
      </c>
      <c r="D7208" s="242" t="s">
        <v>333</v>
      </c>
      <c r="E7208" s="949">
        <v>307</v>
      </c>
      <c r="F7208" s="949">
        <v>307</v>
      </c>
      <c r="G7208" s="950" t="s">
        <v>10545</v>
      </c>
      <c r="H7208" s="950" t="s">
        <v>334</v>
      </c>
      <c r="I7208" s="951" t="s">
        <v>13726</v>
      </c>
      <c r="J7208" s="947" t="s">
        <v>13727</v>
      </c>
      <c r="K7208" s="143"/>
    </row>
    <row r="7209" spans="1:11">
      <c r="A7209" s="946" t="s">
        <v>28612</v>
      </c>
      <c r="B7209" s="947" t="s">
        <v>13870</v>
      </c>
      <c r="C7209" s="948" t="s">
        <v>13868</v>
      </c>
      <c r="D7209" s="242" t="s">
        <v>333</v>
      </c>
      <c r="E7209" s="949">
        <v>307</v>
      </c>
      <c r="F7209" s="949">
        <v>307</v>
      </c>
      <c r="G7209" s="950" t="s">
        <v>10545</v>
      </c>
      <c r="H7209" s="950" t="s">
        <v>334</v>
      </c>
      <c r="I7209" s="951" t="s">
        <v>13869</v>
      </c>
      <c r="J7209" s="947" t="s">
        <v>13870</v>
      </c>
      <c r="K7209" s="143"/>
    </row>
    <row r="7210" spans="1:11">
      <c r="A7210" s="946" t="s">
        <v>28612</v>
      </c>
      <c r="B7210" s="947" t="s">
        <v>13879</v>
      </c>
      <c r="C7210" s="948" t="s">
        <v>13877</v>
      </c>
      <c r="D7210" s="242" t="s">
        <v>333</v>
      </c>
      <c r="E7210" s="949">
        <v>307</v>
      </c>
      <c r="F7210" s="949">
        <v>307</v>
      </c>
      <c r="G7210" s="950" t="s">
        <v>10545</v>
      </c>
      <c r="H7210" s="950" t="s">
        <v>334</v>
      </c>
      <c r="I7210" s="951" t="s">
        <v>13878</v>
      </c>
      <c r="J7210" s="947" t="s">
        <v>13879</v>
      </c>
      <c r="K7210" s="143"/>
    </row>
    <row r="7211" spans="1:11">
      <c r="A7211" s="946" t="s">
        <v>28612</v>
      </c>
      <c r="B7211" s="947" t="s">
        <v>14943</v>
      </c>
      <c r="C7211" s="948" t="s">
        <v>14941</v>
      </c>
      <c r="D7211" s="242" t="s">
        <v>333</v>
      </c>
      <c r="E7211" s="949">
        <v>307</v>
      </c>
      <c r="F7211" s="949">
        <v>307</v>
      </c>
      <c r="G7211" s="950" t="s">
        <v>10545</v>
      </c>
      <c r="H7211" s="950" t="s">
        <v>334</v>
      </c>
      <c r="I7211" s="951" t="s">
        <v>14942</v>
      </c>
      <c r="J7211" s="947" t="s">
        <v>14943</v>
      </c>
      <c r="K7211" s="143"/>
    </row>
    <row r="7212" spans="1:11">
      <c r="A7212" s="946" t="s">
        <v>28612</v>
      </c>
      <c r="B7212" s="947" t="s">
        <v>17257</v>
      </c>
      <c r="C7212" s="948" t="s">
        <v>17255</v>
      </c>
      <c r="D7212" s="242" t="s">
        <v>333</v>
      </c>
      <c r="E7212" s="949">
        <v>307</v>
      </c>
      <c r="F7212" s="949">
        <v>307</v>
      </c>
      <c r="G7212" s="950" t="s">
        <v>10545</v>
      </c>
      <c r="H7212" s="950" t="s">
        <v>334</v>
      </c>
      <c r="I7212" s="951" t="s">
        <v>17256</v>
      </c>
      <c r="J7212" s="947" t="s">
        <v>17257</v>
      </c>
      <c r="K7212" s="143"/>
    </row>
    <row r="7213" spans="1:11">
      <c r="A7213" s="946" t="s">
        <v>28612</v>
      </c>
      <c r="B7213" s="947" t="s">
        <v>17582</v>
      </c>
      <c r="C7213" s="948" t="s">
        <v>17580</v>
      </c>
      <c r="D7213" s="242" t="s">
        <v>333</v>
      </c>
      <c r="E7213" s="949">
        <v>307</v>
      </c>
      <c r="F7213" s="949">
        <v>307</v>
      </c>
      <c r="G7213" s="950" t="s">
        <v>10545</v>
      </c>
      <c r="H7213" s="950" t="s">
        <v>334</v>
      </c>
      <c r="I7213" s="951" t="s">
        <v>17581</v>
      </c>
      <c r="J7213" s="947" t="s">
        <v>17582</v>
      </c>
      <c r="K7213" s="143"/>
    </row>
    <row r="7214" spans="1:11">
      <c r="A7214" s="946" t="s">
        <v>28612</v>
      </c>
      <c r="B7214" s="947" t="s">
        <v>17918</v>
      </c>
      <c r="C7214" s="948" t="s">
        <v>17916</v>
      </c>
      <c r="D7214" s="242" t="s">
        <v>333</v>
      </c>
      <c r="E7214" s="949">
        <v>307</v>
      </c>
      <c r="F7214" s="949">
        <v>307</v>
      </c>
      <c r="G7214" s="950" t="s">
        <v>10545</v>
      </c>
      <c r="H7214" s="950" t="s">
        <v>334</v>
      </c>
      <c r="I7214" s="951" t="s">
        <v>17917</v>
      </c>
      <c r="J7214" s="947" t="s">
        <v>17918</v>
      </c>
      <c r="K7214" s="143"/>
    </row>
    <row r="7215" spans="1:11">
      <c r="A7215" s="946" t="s">
        <v>28612</v>
      </c>
      <c r="B7215" s="947" t="s">
        <v>18183</v>
      </c>
      <c r="C7215" s="948" t="s">
        <v>18181</v>
      </c>
      <c r="D7215" s="242" t="s">
        <v>333</v>
      </c>
      <c r="E7215" s="949">
        <v>307</v>
      </c>
      <c r="F7215" s="949">
        <v>307</v>
      </c>
      <c r="G7215" s="950" t="s">
        <v>10545</v>
      </c>
      <c r="H7215" s="950" t="s">
        <v>334</v>
      </c>
      <c r="I7215" s="951" t="s">
        <v>18182</v>
      </c>
      <c r="J7215" s="947" t="s">
        <v>18183</v>
      </c>
      <c r="K7215" s="143"/>
    </row>
    <row r="7216" spans="1:11">
      <c r="A7216" s="946" t="s">
        <v>28612</v>
      </c>
      <c r="B7216" s="947" t="s">
        <v>18652</v>
      </c>
      <c r="C7216" s="948" t="s">
        <v>18650</v>
      </c>
      <c r="D7216" s="242" t="s">
        <v>333</v>
      </c>
      <c r="E7216" s="949">
        <v>307</v>
      </c>
      <c r="F7216" s="949">
        <v>307</v>
      </c>
      <c r="G7216" s="950" t="s">
        <v>10545</v>
      </c>
      <c r="H7216" s="950" t="s">
        <v>334</v>
      </c>
      <c r="I7216" s="951" t="s">
        <v>18651</v>
      </c>
      <c r="J7216" s="947" t="s">
        <v>18652</v>
      </c>
      <c r="K7216" s="143"/>
    </row>
    <row r="7217" spans="1:11">
      <c r="A7217" s="946" t="s">
        <v>28612</v>
      </c>
      <c r="B7217" s="947" t="s">
        <v>18783</v>
      </c>
      <c r="C7217" s="948" t="s">
        <v>18781</v>
      </c>
      <c r="D7217" s="242" t="s">
        <v>333</v>
      </c>
      <c r="E7217" s="949">
        <v>307</v>
      </c>
      <c r="F7217" s="949">
        <v>307</v>
      </c>
      <c r="G7217" s="950" t="s">
        <v>10545</v>
      </c>
      <c r="H7217" s="950" t="s">
        <v>334</v>
      </c>
      <c r="I7217" s="951" t="s">
        <v>18782</v>
      </c>
      <c r="J7217" s="947" t="s">
        <v>18783</v>
      </c>
      <c r="K7217" s="143"/>
    </row>
    <row r="7218" spans="1:11">
      <c r="A7218" s="946" t="s">
        <v>28612</v>
      </c>
      <c r="B7218" s="947" t="s">
        <v>19160</v>
      </c>
      <c r="C7218" s="948" t="s">
        <v>19158</v>
      </c>
      <c r="D7218" s="242" t="s">
        <v>333</v>
      </c>
      <c r="E7218" s="949">
        <v>307</v>
      </c>
      <c r="F7218" s="949">
        <v>307</v>
      </c>
      <c r="G7218" s="950" t="s">
        <v>10545</v>
      </c>
      <c r="H7218" s="950" t="s">
        <v>334</v>
      </c>
      <c r="I7218" s="951" t="s">
        <v>19159</v>
      </c>
      <c r="J7218" s="947" t="s">
        <v>19160</v>
      </c>
      <c r="K7218" s="143"/>
    </row>
    <row r="7219" spans="1:11">
      <c r="A7219" s="946" t="s">
        <v>28612</v>
      </c>
      <c r="B7219" s="947" t="s">
        <v>19265</v>
      </c>
      <c r="C7219" s="948" t="s">
        <v>19263</v>
      </c>
      <c r="D7219" s="242" t="s">
        <v>333</v>
      </c>
      <c r="E7219" s="949">
        <v>307</v>
      </c>
      <c r="F7219" s="949">
        <v>307</v>
      </c>
      <c r="G7219" s="950" t="s">
        <v>10545</v>
      </c>
      <c r="H7219" s="950" t="s">
        <v>334</v>
      </c>
      <c r="I7219" s="951" t="s">
        <v>19264</v>
      </c>
      <c r="J7219" s="947" t="s">
        <v>19265</v>
      </c>
      <c r="K7219" s="143"/>
    </row>
    <row r="7220" spans="1:11">
      <c r="A7220" s="946" t="s">
        <v>28612</v>
      </c>
      <c r="B7220" s="947" t="s">
        <v>19681</v>
      </c>
      <c r="C7220" s="948" t="s">
        <v>19679</v>
      </c>
      <c r="D7220" s="242" t="s">
        <v>333</v>
      </c>
      <c r="E7220" s="949">
        <v>307</v>
      </c>
      <c r="F7220" s="949">
        <v>307</v>
      </c>
      <c r="G7220" s="950" t="s">
        <v>10545</v>
      </c>
      <c r="H7220" s="950" t="s">
        <v>334</v>
      </c>
      <c r="I7220" s="951" t="s">
        <v>19680</v>
      </c>
      <c r="J7220" s="947" t="s">
        <v>19681</v>
      </c>
      <c r="K7220" s="143"/>
    </row>
    <row r="7221" spans="1:11">
      <c r="A7221" s="946" t="s">
        <v>28612</v>
      </c>
      <c r="B7221" s="947" t="s">
        <v>19748</v>
      </c>
      <c r="C7221" s="948" t="s">
        <v>19746</v>
      </c>
      <c r="D7221" s="242" t="s">
        <v>333</v>
      </c>
      <c r="E7221" s="949">
        <v>307</v>
      </c>
      <c r="F7221" s="949">
        <v>307</v>
      </c>
      <c r="G7221" s="950" t="s">
        <v>10545</v>
      </c>
      <c r="H7221" s="950" t="s">
        <v>334</v>
      </c>
      <c r="I7221" s="951" t="s">
        <v>19747</v>
      </c>
      <c r="J7221" s="947" t="s">
        <v>19748</v>
      </c>
      <c r="K7221" s="143"/>
    </row>
    <row r="7222" spans="1:11">
      <c r="A7222" s="946" t="s">
        <v>28612</v>
      </c>
      <c r="B7222" s="947" t="s">
        <v>20254</v>
      </c>
      <c r="C7222" s="948" t="s">
        <v>20252</v>
      </c>
      <c r="D7222" s="242" t="s">
        <v>333</v>
      </c>
      <c r="E7222" s="949">
        <v>307</v>
      </c>
      <c r="F7222" s="949">
        <v>307</v>
      </c>
      <c r="G7222" s="950" t="s">
        <v>10545</v>
      </c>
      <c r="H7222" s="950" t="s">
        <v>334</v>
      </c>
      <c r="I7222" s="951" t="s">
        <v>20253</v>
      </c>
      <c r="J7222" s="947" t="s">
        <v>20254</v>
      </c>
      <c r="K7222" s="143"/>
    </row>
    <row r="7223" spans="1:11">
      <c r="A7223" s="946" t="s">
        <v>28612</v>
      </c>
      <c r="B7223" s="947" t="s">
        <v>20380</v>
      </c>
      <c r="C7223" s="948" t="s">
        <v>20378</v>
      </c>
      <c r="D7223" s="242" t="s">
        <v>333</v>
      </c>
      <c r="E7223" s="949">
        <v>307</v>
      </c>
      <c r="F7223" s="949">
        <v>307</v>
      </c>
      <c r="G7223" s="950" t="s">
        <v>10545</v>
      </c>
      <c r="H7223" s="950" t="s">
        <v>334</v>
      </c>
      <c r="I7223" s="951" t="s">
        <v>20379</v>
      </c>
      <c r="J7223" s="947" t="s">
        <v>20380</v>
      </c>
      <c r="K7223" s="143"/>
    </row>
    <row r="7224" spans="1:11">
      <c r="A7224" s="946" t="s">
        <v>28612</v>
      </c>
      <c r="B7224" s="947" t="s">
        <v>21128</v>
      </c>
      <c r="C7224" s="948" t="s">
        <v>21126</v>
      </c>
      <c r="D7224" s="242" t="s">
        <v>333</v>
      </c>
      <c r="E7224" s="949">
        <v>307</v>
      </c>
      <c r="F7224" s="949">
        <v>307</v>
      </c>
      <c r="G7224" s="950" t="s">
        <v>10545</v>
      </c>
      <c r="H7224" s="950" t="s">
        <v>334</v>
      </c>
      <c r="I7224" s="951" t="s">
        <v>21127</v>
      </c>
      <c r="J7224" s="947" t="s">
        <v>21128</v>
      </c>
      <c r="K7224" s="143"/>
    </row>
    <row r="7225" spans="1:11">
      <c r="A7225" s="946" t="s">
        <v>28612</v>
      </c>
      <c r="B7225" s="947" t="s">
        <v>21354</v>
      </c>
      <c r="C7225" s="948" t="s">
        <v>21352</v>
      </c>
      <c r="D7225" s="242" t="s">
        <v>333</v>
      </c>
      <c r="E7225" s="949">
        <v>307</v>
      </c>
      <c r="F7225" s="949">
        <v>307</v>
      </c>
      <c r="G7225" s="950" t="s">
        <v>10545</v>
      </c>
      <c r="H7225" s="950" t="s">
        <v>334</v>
      </c>
      <c r="I7225" s="951" t="s">
        <v>21353</v>
      </c>
      <c r="J7225" s="947" t="s">
        <v>21354</v>
      </c>
      <c r="K7225" s="143"/>
    </row>
    <row r="7226" spans="1:11">
      <c r="A7226" s="946" t="s">
        <v>28612</v>
      </c>
      <c r="B7226" s="947" t="s">
        <v>22246</v>
      </c>
      <c r="C7226" s="948" t="s">
        <v>22244</v>
      </c>
      <c r="D7226" s="242" t="s">
        <v>333</v>
      </c>
      <c r="E7226" s="949">
        <v>307</v>
      </c>
      <c r="F7226" s="949">
        <v>307</v>
      </c>
      <c r="G7226" s="950" t="s">
        <v>10545</v>
      </c>
      <c r="H7226" s="950" t="s">
        <v>334</v>
      </c>
      <c r="I7226" s="951" t="s">
        <v>22245</v>
      </c>
      <c r="J7226" s="947" t="s">
        <v>22246</v>
      </c>
      <c r="K7226" s="143"/>
    </row>
    <row r="7227" spans="1:11">
      <c r="A7227" s="946" t="s">
        <v>28612</v>
      </c>
      <c r="B7227" s="947" t="s">
        <v>22585</v>
      </c>
      <c r="C7227" s="948" t="s">
        <v>22583</v>
      </c>
      <c r="D7227" s="242" t="s">
        <v>333</v>
      </c>
      <c r="E7227" s="949">
        <v>307</v>
      </c>
      <c r="F7227" s="949">
        <v>307</v>
      </c>
      <c r="G7227" s="950" t="s">
        <v>10545</v>
      </c>
      <c r="H7227" s="950" t="s">
        <v>334</v>
      </c>
      <c r="I7227" s="951" t="s">
        <v>22584</v>
      </c>
      <c r="J7227" s="947" t="s">
        <v>22585</v>
      </c>
      <c r="K7227" s="143"/>
    </row>
    <row r="7228" spans="1:11">
      <c r="A7228" s="946" t="s">
        <v>28612</v>
      </c>
      <c r="B7228" s="947" t="s">
        <v>28635</v>
      </c>
      <c r="C7228" s="948" t="s">
        <v>28757</v>
      </c>
      <c r="D7228" s="242" t="s">
        <v>333</v>
      </c>
      <c r="E7228" s="949">
        <v>307</v>
      </c>
      <c r="F7228" s="949">
        <v>307</v>
      </c>
      <c r="G7228" s="950" t="s">
        <v>10545</v>
      </c>
      <c r="H7228" s="950" t="s">
        <v>334</v>
      </c>
      <c r="I7228" s="951" t="s">
        <v>28678</v>
      </c>
      <c r="J7228" s="947" t="s">
        <v>28635</v>
      </c>
      <c r="K7228" s="143"/>
    </row>
    <row r="7229" spans="1:11">
      <c r="A7229" s="946" t="s">
        <v>28608</v>
      </c>
      <c r="B7229" s="947" t="s">
        <v>2181</v>
      </c>
      <c r="C7229" s="948" t="s">
        <v>2178</v>
      </c>
      <c r="D7229" s="242" t="s">
        <v>28713</v>
      </c>
      <c r="E7229" s="949">
        <v>809</v>
      </c>
      <c r="F7229" s="949">
        <v>809</v>
      </c>
      <c r="G7229" s="950" t="s">
        <v>16318</v>
      </c>
      <c r="H7229" s="950" t="s">
        <v>2179</v>
      </c>
      <c r="I7229" s="951" t="s">
        <v>2180</v>
      </c>
      <c r="J7229" s="947" t="s">
        <v>2181</v>
      </c>
      <c r="K7229" s="143"/>
    </row>
    <row r="7230" spans="1:11">
      <c r="A7230" s="946" t="s">
        <v>28608</v>
      </c>
      <c r="B7230" s="947" t="s">
        <v>5629</v>
      </c>
      <c r="C7230" s="948" t="s">
        <v>5627</v>
      </c>
      <c r="D7230" s="242" t="s">
        <v>28713</v>
      </c>
      <c r="E7230" s="949">
        <v>809</v>
      </c>
      <c r="F7230" s="949">
        <v>809</v>
      </c>
      <c r="G7230" s="950" t="s">
        <v>16318</v>
      </c>
      <c r="H7230" s="950" t="s">
        <v>2179</v>
      </c>
      <c r="I7230" s="951" t="s">
        <v>5628</v>
      </c>
      <c r="J7230" s="947" t="s">
        <v>5629</v>
      </c>
      <c r="K7230" s="143"/>
    </row>
    <row r="7231" spans="1:11">
      <c r="A7231" s="946" t="s">
        <v>28608</v>
      </c>
      <c r="B7231" s="947" t="s">
        <v>7063</v>
      </c>
      <c r="C7231" s="948" t="s">
        <v>7061</v>
      </c>
      <c r="D7231" s="242" t="s">
        <v>28713</v>
      </c>
      <c r="E7231" s="949">
        <v>809</v>
      </c>
      <c r="F7231" s="949">
        <v>809</v>
      </c>
      <c r="G7231" s="950" t="s">
        <v>16318</v>
      </c>
      <c r="H7231" s="950" t="s">
        <v>2179</v>
      </c>
      <c r="I7231" s="951" t="s">
        <v>7062</v>
      </c>
      <c r="J7231" s="947" t="s">
        <v>7063</v>
      </c>
      <c r="K7231" s="143"/>
    </row>
    <row r="7232" spans="1:11">
      <c r="A7232" s="946" t="s">
        <v>28608</v>
      </c>
      <c r="B7232" s="947" t="s">
        <v>9076</v>
      </c>
      <c r="C7232" s="948" t="s">
        <v>9074</v>
      </c>
      <c r="D7232" s="242" t="s">
        <v>28713</v>
      </c>
      <c r="E7232" s="949">
        <v>809</v>
      </c>
      <c r="F7232" s="949">
        <v>809</v>
      </c>
      <c r="G7232" s="950" t="s">
        <v>16318</v>
      </c>
      <c r="H7232" s="950" t="s">
        <v>2179</v>
      </c>
      <c r="I7232" s="951" t="s">
        <v>9075</v>
      </c>
      <c r="J7232" s="947" t="s">
        <v>9076</v>
      </c>
      <c r="K7232" s="143"/>
    </row>
    <row r="7233" spans="1:11">
      <c r="A7233" s="946" t="s">
        <v>28608</v>
      </c>
      <c r="B7233" s="947" t="s">
        <v>11842</v>
      </c>
      <c r="C7233" s="948" t="s">
        <v>11840</v>
      </c>
      <c r="D7233" s="242" t="s">
        <v>28713</v>
      </c>
      <c r="E7233" s="949">
        <v>809</v>
      </c>
      <c r="F7233" s="949">
        <v>809</v>
      </c>
      <c r="G7233" s="950" t="s">
        <v>16318</v>
      </c>
      <c r="H7233" s="950" t="s">
        <v>2179</v>
      </c>
      <c r="I7233" s="951" t="s">
        <v>11841</v>
      </c>
      <c r="J7233" s="947" t="s">
        <v>11842</v>
      </c>
      <c r="K7233" s="143"/>
    </row>
    <row r="7234" spans="1:11">
      <c r="A7234" s="946" t="s">
        <v>28608</v>
      </c>
      <c r="B7234" s="947" t="s">
        <v>12064</v>
      </c>
      <c r="C7234" s="948" t="s">
        <v>12062</v>
      </c>
      <c r="D7234" s="242" t="s">
        <v>28713</v>
      </c>
      <c r="E7234" s="949">
        <v>809</v>
      </c>
      <c r="F7234" s="949">
        <v>809</v>
      </c>
      <c r="G7234" s="950" t="s">
        <v>16318</v>
      </c>
      <c r="H7234" s="950" t="s">
        <v>2179</v>
      </c>
      <c r="I7234" s="951" t="s">
        <v>12063</v>
      </c>
      <c r="J7234" s="947" t="s">
        <v>12064</v>
      </c>
      <c r="K7234" s="143"/>
    </row>
    <row r="7235" spans="1:11">
      <c r="A7235" s="946" t="s">
        <v>28608</v>
      </c>
      <c r="B7235" s="947" t="s">
        <v>12487</v>
      </c>
      <c r="C7235" s="948" t="s">
        <v>12485</v>
      </c>
      <c r="D7235" s="242" t="s">
        <v>28713</v>
      </c>
      <c r="E7235" s="949">
        <v>809</v>
      </c>
      <c r="F7235" s="949">
        <v>809</v>
      </c>
      <c r="G7235" s="950" t="s">
        <v>16318</v>
      </c>
      <c r="H7235" s="950" t="s">
        <v>2179</v>
      </c>
      <c r="I7235" s="951" t="s">
        <v>12486</v>
      </c>
      <c r="J7235" s="947" t="s">
        <v>12487</v>
      </c>
      <c r="K7235" s="143"/>
    </row>
    <row r="7236" spans="1:11">
      <c r="A7236" s="946" t="s">
        <v>28608</v>
      </c>
      <c r="B7236" s="947" t="s">
        <v>12541</v>
      </c>
      <c r="C7236" s="948" t="s">
        <v>12539</v>
      </c>
      <c r="D7236" s="242" t="s">
        <v>28713</v>
      </c>
      <c r="E7236" s="949">
        <v>809</v>
      </c>
      <c r="F7236" s="949">
        <v>809</v>
      </c>
      <c r="G7236" s="950" t="s">
        <v>16318</v>
      </c>
      <c r="H7236" s="950" t="s">
        <v>2179</v>
      </c>
      <c r="I7236" s="951" t="s">
        <v>12540</v>
      </c>
      <c r="J7236" s="947" t="s">
        <v>12541</v>
      </c>
      <c r="K7236" s="143"/>
    </row>
    <row r="7237" spans="1:11">
      <c r="A7237" s="946" t="s">
        <v>28608</v>
      </c>
      <c r="B7237" s="947" t="s">
        <v>12899</v>
      </c>
      <c r="C7237" s="948" t="s">
        <v>12897</v>
      </c>
      <c r="D7237" s="242" t="s">
        <v>28713</v>
      </c>
      <c r="E7237" s="949">
        <v>809</v>
      </c>
      <c r="F7237" s="949">
        <v>809</v>
      </c>
      <c r="G7237" s="950" t="s">
        <v>16318</v>
      </c>
      <c r="H7237" s="950" t="s">
        <v>2179</v>
      </c>
      <c r="I7237" s="951" t="s">
        <v>12898</v>
      </c>
      <c r="J7237" s="947" t="s">
        <v>12899</v>
      </c>
      <c r="K7237" s="143"/>
    </row>
    <row r="7238" spans="1:11">
      <c r="A7238" s="946" t="s">
        <v>28608</v>
      </c>
      <c r="B7238" s="947" t="s">
        <v>16278</v>
      </c>
      <c r="C7238" s="948" t="s">
        <v>16276</v>
      </c>
      <c r="D7238" s="242" t="s">
        <v>28713</v>
      </c>
      <c r="E7238" s="949">
        <v>809</v>
      </c>
      <c r="F7238" s="949">
        <v>809</v>
      </c>
      <c r="G7238" s="950" t="s">
        <v>16318</v>
      </c>
      <c r="H7238" s="950" t="s">
        <v>2179</v>
      </c>
      <c r="I7238" s="951" t="s">
        <v>16277</v>
      </c>
      <c r="J7238" s="947" t="s">
        <v>16278</v>
      </c>
      <c r="K7238" s="143"/>
    </row>
    <row r="7239" spans="1:11">
      <c r="A7239" s="946" t="s">
        <v>28608</v>
      </c>
      <c r="B7239" s="947" t="s">
        <v>16318</v>
      </c>
      <c r="C7239" s="948" t="s">
        <v>16316</v>
      </c>
      <c r="D7239" s="242" t="s">
        <v>28713</v>
      </c>
      <c r="E7239" s="949">
        <v>809</v>
      </c>
      <c r="F7239" s="949">
        <v>809</v>
      </c>
      <c r="G7239" s="950" t="s">
        <v>16318</v>
      </c>
      <c r="H7239" s="950" t="s">
        <v>2179</v>
      </c>
      <c r="I7239" s="951" t="s">
        <v>16317</v>
      </c>
      <c r="J7239" s="947" t="s">
        <v>16318</v>
      </c>
      <c r="K7239" s="143"/>
    </row>
    <row r="7240" spans="1:11">
      <c r="A7240" s="946" t="s">
        <v>28608</v>
      </c>
      <c r="B7240" s="947" t="s">
        <v>17297</v>
      </c>
      <c r="C7240" s="948" t="s">
        <v>17295</v>
      </c>
      <c r="D7240" s="242" t="s">
        <v>28713</v>
      </c>
      <c r="E7240" s="949">
        <v>809</v>
      </c>
      <c r="F7240" s="949">
        <v>809</v>
      </c>
      <c r="G7240" s="950" t="s">
        <v>16318</v>
      </c>
      <c r="H7240" s="950" t="s">
        <v>2179</v>
      </c>
      <c r="I7240" s="951" t="s">
        <v>17296</v>
      </c>
      <c r="J7240" s="947" t="s">
        <v>17297</v>
      </c>
      <c r="K7240" s="143"/>
    </row>
    <row r="7241" spans="1:11">
      <c r="A7241" s="946" t="s">
        <v>28608</v>
      </c>
      <c r="B7241" s="947" t="s">
        <v>17475</v>
      </c>
      <c r="C7241" s="948" t="s">
        <v>17473</v>
      </c>
      <c r="D7241" s="242" t="s">
        <v>28713</v>
      </c>
      <c r="E7241" s="949">
        <v>809</v>
      </c>
      <c r="F7241" s="949">
        <v>809</v>
      </c>
      <c r="G7241" s="950" t="s">
        <v>16318</v>
      </c>
      <c r="H7241" s="950" t="s">
        <v>2179</v>
      </c>
      <c r="I7241" s="951" t="s">
        <v>17474</v>
      </c>
      <c r="J7241" s="947" t="s">
        <v>17475</v>
      </c>
      <c r="K7241" s="143"/>
    </row>
    <row r="7242" spans="1:11">
      <c r="A7242" s="946" t="s">
        <v>28608</v>
      </c>
      <c r="B7242" s="947" t="s">
        <v>17726</v>
      </c>
      <c r="C7242" s="948" t="s">
        <v>17724</v>
      </c>
      <c r="D7242" s="242" t="s">
        <v>28713</v>
      </c>
      <c r="E7242" s="949">
        <v>809</v>
      </c>
      <c r="F7242" s="949">
        <v>809</v>
      </c>
      <c r="G7242" s="950" t="s">
        <v>16318</v>
      </c>
      <c r="H7242" s="950" t="s">
        <v>2179</v>
      </c>
      <c r="I7242" s="951" t="s">
        <v>17725</v>
      </c>
      <c r="J7242" s="947" t="s">
        <v>17726</v>
      </c>
      <c r="K7242" s="143"/>
    </row>
    <row r="7243" spans="1:11">
      <c r="A7243" s="946" t="s">
        <v>28608</v>
      </c>
      <c r="B7243" s="947" t="s">
        <v>18685</v>
      </c>
      <c r="C7243" s="948" t="s">
        <v>18683</v>
      </c>
      <c r="D7243" s="242" t="s">
        <v>28713</v>
      </c>
      <c r="E7243" s="949">
        <v>809</v>
      </c>
      <c r="F7243" s="949">
        <v>809</v>
      </c>
      <c r="G7243" s="950" t="s">
        <v>16318</v>
      </c>
      <c r="H7243" s="950" t="s">
        <v>2179</v>
      </c>
      <c r="I7243" s="951" t="s">
        <v>18684</v>
      </c>
      <c r="J7243" s="947" t="s">
        <v>18685</v>
      </c>
      <c r="K7243" s="143"/>
    </row>
    <row r="7244" spans="1:11">
      <c r="A7244" s="946" t="s">
        <v>28608</v>
      </c>
      <c r="B7244" s="947" t="s">
        <v>21825</v>
      </c>
      <c r="C7244" s="948" t="s">
        <v>21823</v>
      </c>
      <c r="D7244" s="242" t="s">
        <v>28713</v>
      </c>
      <c r="E7244" s="949">
        <v>809</v>
      </c>
      <c r="F7244" s="949">
        <v>809</v>
      </c>
      <c r="G7244" s="950" t="s">
        <v>16318</v>
      </c>
      <c r="H7244" s="950" t="s">
        <v>2179</v>
      </c>
      <c r="I7244" s="951" t="s">
        <v>21824</v>
      </c>
      <c r="J7244" s="947" t="s">
        <v>21825</v>
      </c>
      <c r="K7244" s="143"/>
    </row>
    <row r="7245" spans="1:11">
      <c r="A7245" s="946" t="s">
        <v>28608</v>
      </c>
      <c r="B7245" s="947" t="s">
        <v>5081</v>
      </c>
      <c r="C7245" s="948" t="s">
        <v>5080</v>
      </c>
      <c r="D7245" s="242" t="s">
        <v>28713</v>
      </c>
      <c r="E7245" s="949">
        <v>809</v>
      </c>
      <c r="F7245" s="949">
        <v>809</v>
      </c>
      <c r="G7245" s="950" t="s">
        <v>16318</v>
      </c>
      <c r="H7245" s="950" t="s">
        <v>2179</v>
      </c>
      <c r="I7245" s="951" t="s">
        <v>26152</v>
      </c>
      <c r="J7245" s="947" t="s">
        <v>5081</v>
      </c>
      <c r="K7245" s="143"/>
    </row>
    <row r="7246" spans="1:11">
      <c r="A7246" s="946" t="s">
        <v>28608</v>
      </c>
      <c r="B7246" s="947" t="s">
        <v>10936</v>
      </c>
      <c r="C7246" s="948" t="s">
        <v>10935</v>
      </c>
      <c r="D7246" s="242" t="s">
        <v>28713</v>
      </c>
      <c r="E7246" s="949">
        <v>809</v>
      </c>
      <c r="F7246" s="949">
        <v>809</v>
      </c>
      <c r="G7246" s="950" t="s">
        <v>16318</v>
      </c>
      <c r="H7246" s="950" t="s">
        <v>2179</v>
      </c>
      <c r="I7246" s="951" t="s">
        <v>26153</v>
      </c>
      <c r="J7246" s="947" t="s">
        <v>10936</v>
      </c>
      <c r="K7246" s="143"/>
    </row>
    <row r="7247" spans="1:11">
      <c r="A7247" s="946" t="s">
        <v>28608</v>
      </c>
      <c r="B7247" s="947" t="s">
        <v>13394</v>
      </c>
      <c r="C7247" s="948" t="s">
        <v>13393</v>
      </c>
      <c r="D7247" s="242" t="s">
        <v>28713</v>
      </c>
      <c r="E7247" s="949">
        <v>809</v>
      </c>
      <c r="F7247" s="949">
        <v>809</v>
      </c>
      <c r="G7247" s="950" t="s">
        <v>16318</v>
      </c>
      <c r="H7247" s="950" t="s">
        <v>2179</v>
      </c>
      <c r="I7247" s="951" t="s">
        <v>26154</v>
      </c>
      <c r="J7247" s="947" t="s">
        <v>13394</v>
      </c>
      <c r="K7247" s="143"/>
    </row>
    <row r="7248" spans="1:11">
      <c r="A7248" s="946" t="s">
        <v>28608</v>
      </c>
      <c r="B7248" s="947" t="s">
        <v>14458</v>
      </c>
      <c r="C7248" s="948" t="s">
        <v>14457</v>
      </c>
      <c r="D7248" s="242" t="s">
        <v>28713</v>
      </c>
      <c r="E7248" s="949">
        <v>809</v>
      </c>
      <c r="F7248" s="949">
        <v>809</v>
      </c>
      <c r="G7248" s="950" t="s">
        <v>16318</v>
      </c>
      <c r="H7248" s="950" t="s">
        <v>2179</v>
      </c>
      <c r="I7248" s="951" t="s">
        <v>26155</v>
      </c>
      <c r="J7248" s="947" t="s">
        <v>14458</v>
      </c>
      <c r="K7248" s="143"/>
    </row>
    <row r="7249" spans="1:11">
      <c r="A7249" s="946" t="s">
        <v>28608</v>
      </c>
      <c r="B7249" s="947" t="s">
        <v>17800</v>
      </c>
      <c r="C7249" s="948" t="s">
        <v>17799</v>
      </c>
      <c r="D7249" s="242" t="s">
        <v>28713</v>
      </c>
      <c r="E7249" s="949">
        <v>809</v>
      </c>
      <c r="F7249" s="949">
        <v>809</v>
      </c>
      <c r="G7249" s="950" t="s">
        <v>16318</v>
      </c>
      <c r="H7249" s="950" t="s">
        <v>2179</v>
      </c>
      <c r="I7249" s="951" t="s">
        <v>26156</v>
      </c>
      <c r="J7249" s="947" t="s">
        <v>17800</v>
      </c>
      <c r="K7249" s="143"/>
    </row>
    <row r="7250" spans="1:11">
      <c r="A7250" s="946" t="s">
        <v>28608</v>
      </c>
      <c r="B7250" s="947" t="s">
        <v>18558</v>
      </c>
      <c r="C7250" s="948" t="s">
        <v>18557</v>
      </c>
      <c r="D7250" s="242" t="s">
        <v>28713</v>
      </c>
      <c r="E7250" s="949">
        <v>809</v>
      </c>
      <c r="F7250" s="949">
        <v>809</v>
      </c>
      <c r="G7250" s="950" t="s">
        <v>16318</v>
      </c>
      <c r="H7250" s="950" t="s">
        <v>2179</v>
      </c>
      <c r="I7250" s="951" t="s">
        <v>26157</v>
      </c>
      <c r="J7250" s="947" t="s">
        <v>18558</v>
      </c>
      <c r="K7250" s="143"/>
    </row>
    <row r="7251" spans="1:11">
      <c r="A7251" s="946" t="s">
        <v>28608</v>
      </c>
      <c r="B7251" s="947" t="s">
        <v>20182</v>
      </c>
      <c r="C7251" s="948" t="s">
        <v>20181</v>
      </c>
      <c r="D7251" s="242" t="s">
        <v>28713</v>
      </c>
      <c r="E7251" s="949">
        <v>809</v>
      </c>
      <c r="F7251" s="949">
        <v>809</v>
      </c>
      <c r="G7251" s="950" t="s">
        <v>16318</v>
      </c>
      <c r="H7251" s="950" t="s">
        <v>2179</v>
      </c>
      <c r="I7251" s="951" t="s">
        <v>26158</v>
      </c>
      <c r="J7251" s="947" t="s">
        <v>20182</v>
      </c>
      <c r="K7251" s="143"/>
    </row>
    <row r="7252" spans="1:11">
      <c r="A7252" s="946" t="s">
        <v>28608</v>
      </c>
      <c r="B7252" s="947" t="s">
        <v>24941</v>
      </c>
      <c r="C7252" s="948" t="s">
        <v>26159</v>
      </c>
      <c r="D7252" s="242" t="s">
        <v>28713</v>
      </c>
      <c r="E7252" s="949">
        <v>809</v>
      </c>
      <c r="F7252" s="949">
        <v>809</v>
      </c>
      <c r="G7252" s="950" t="s">
        <v>16318</v>
      </c>
      <c r="H7252" s="950" t="s">
        <v>2179</v>
      </c>
      <c r="I7252" s="951" t="s">
        <v>24942</v>
      </c>
      <c r="J7252" s="947" t="s">
        <v>24941</v>
      </c>
      <c r="K7252" s="143"/>
    </row>
    <row r="7253" spans="1:11">
      <c r="A7253" s="946" t="s">
        <v>28608</v>
      </c>
      <c r="B7253" s="947" t="s">
        <v>32257</v>
      </c>
      <c r="C7253" s="948" t="s">
        <v>32258</v>
      </c>
      <c r="D7253" s="242" t="s">
        <v>28713</v>
      </c>
      <c r="E7253" s="949">
        <v>809</v>
      </c>
      <c r="F7253" s="949">
        <v>809</v>
      </c>
      <c r="G7253" s="950" t="s">
        <v>16318</v>
      </c>
      <c r="H7253" s="950" t="s">
        <v>2179</v>
      </c>
      <c r="I7253" s="951" t="s">
        <v>26160</v>
      </c>
      <c r="J7253" s="947" t="s">
        <v>32257</v>
      </c>
      <c r="K7253" s="143"/>
    </row>
    <row r="7254" spans="1:11">
      <c r="A7254" s="946" t="s">
        <v>28608</v>
      </c>
      <c r="B7254" s="947" t="s">
        <v>12432</v>
      </c>
      <c r="C7254" s="948" t="s">
        <v>30098</v>
      </c>
      <c r="D7254" s="242" t="s">
        <v>28713</v>
      </c>
      <c r="E7254" s="949">
        <v>809</v>
      </c>
      <c r="F7254" s="949">
        <v>809</v>
      </c>
      <c r="G7254" s="950" t="s">
        <v>16318</v>
      </c>
      <c r="H7254" s="950" t="s">
        <v>2179</v>
      </c>
      <c r="I7254" s="951" t="s">
        <v>30099</v>
      </c>
      <c r="J7254" s="947" t="s">
        <v>12432</v>
      </c>
      <c r="K7254" s="143"/>
    </row>
    <row r="7255" spans="1:11">
      <c r="A7255" s="946" t="s">
        <v>28608</v>
      </c>
      <c r="B7255" s="947" t="s">
        <v>18925</v>
      </c>
      <c r="C7255" s="948" t="s">
        <v>30100</v>
      </c>
      <c r="D7255" s="242" t="s">
        <v>28713</v>
      </c>
      <c r="E7255" s="949">
        <v>809</v>
      </c>
      <c r="F7255" s="949">
        <v>809</v>
      </c>
      <c r="G7255" s="950" t="s">
        <v>16318</v>
      </c>
      <c r="H7255" s="950" t="s">
        <v>2179</v>
      </c>
      <c r="I7255" s="951" t="s">
        <v>30101</v>
      </c>
      <c r="J7255" s="947" t="s">
        <v>18925</v>
      </c>
      <c r="K7255" s="143"/>
    </row>
    <row r="7256" spans="1:11">
      <c r="A7256" s="946" t="s">
        <v>28618</v>
      </c>
      <c r="B7256" s="947" t="s">
        <v>3978</v>
      </c>
      <c r="C7256" s="948" t="s">
        <v>3976</v>
      </c>
      <c r="D7256" s="242" t="s">
        <v>24912</v>
      </c>
      <c r="E7256" s="949">
        <v>903</v>
      </c>
      <c r="F7256" s="949">
        <v>903</v>
      </c>
      <c r="G7256" s="950" t="s">
        <v>15768</v>
      </c>
      <c r="H7256" s="950" t="s">
        <v>3977</v>
      </c>
      <c r="I7256" s="951" t="s">
        <v>26402</v>
      </c>
      <c r="J7256" s="947" t="s">
        <v>3978</v>
      </c>
      <c r="K7256" s="143"/>
    </row>
    <row r="7257" spans="1:11">
      <c r="A7257" s="946" t="s">
        <v>28618</v>
      </c>
      <c r="B7257" s="947" t="s">
        <v>4358</v>
      </c>
      <c r="C7257" s="948" t="s">
        <v>4357</v>
      </c>
      <c r="D7257" s="242" t="s">
        <v>24912</v>
      </c>
      <c r="E7257" s="949">
        <v>903</v>
      </c>
      <c r="F7257" s="949">
        <v>903</v>
      </c>
      <c r="G7257" s="950" t="s">
        <v>15768</v>
      </c>
      <c r="H7257" s="950" t="s">
        <v>3977</v>
      </c>
      <c r="I7257" s="951" t="s">
        <v>26403</v>
      </c>
      <c r="J7257" s="947" t="s">
        <v>4358</v>
      </c>
      <c r="K7257" s="143"/>
    </row>
    <row r="7258" spans="1:11">
      <c r="A7258" s="946" t="s">
        <v>28618</v>
      </c>
      <c r="B7258" s="947" t="s">
        <v>12646</v>
      </c>
      <c r="C7258" s="948" t="s">
        <v>12645</v>
      </c>
      <c r="D7258" s="242" t="s">
        <v>24912</v>
      </c>
      <c r="E7258" s="949">
        <v>903</v>
      </c>
      <c r="F7258" s="949">
        <v>903</v>
      </c>
      <c r="G7258" s="950" t="s">
        <v>15768</v>
      </c>
      <c r="H7258" s="950" t="s">
        <v>3977</v>
      </c>
      <c r="I7258" s="951" t="s">
        <v>26404</v>
      </c>
      <c r="J7258" s="947" t="s">
        <v>12646</v>
      </c>
      <c r="K7258" s="143"/>
    </row>
    <row r="7259" spans="1:11">
      <c r="A7259" s="946" t="s">
        <v>28618</v>
      </c>
      <c r="B7259" s="947" t="s">
        <v>15169</v>
      </c>
      <c r="C7259" s="948" t="s">
        <v>15168</v>
      </c>
      <c r="D7259" s="242" t="s">
        <v>24912</v>
      </c>
      <c r="E7259" s="949">
        <v>903</v>
      </c>
      <c r="F7259" s="949">
        <v>903</v>
      </c>
      <c r="G7259" s="950" t="s">
        <v>15768</v>
      </c>
      <c r="H7259" s="950" t="s">
        <v>3977</v>
      </c>
      <c r="I7259" s="951" t="s">
        <v>26405</v>
      </c>
      <c r="J7259" s="947" t="s">
        <v>15169</v>
      </c>
      <c r="K7259" s="143"/>
    </row>
    <row r="7260" spans="1:11">
      <c r="A7260" s="946" t="s">
        <v>28618</v>
      </c>
      <c r="B7260" s="947" t="s">
        <v>15768</v>
      </c>
      <c r="C7260" s="948" t="s">
        <v>15767</v>
      </c>
      <c r="D7260" s="242" t="s">
        <v>24912</v>
      </c>
      <c r="E7260" s="949">
        <v>903</v>
      </c>
      <c r="F7260" s="949">
        <v>903</v>
      </c>
      <c r="G7260" s="950" t="s">
        <v>15768</v>
      </c>
      <c r="H7260" s="950" t="s">
        <v>3977</v>
      </c>
      <c r="I7260" s="951" t="s">
        <v>26406</v>
      </c>
      <c r="J7260" s="947" t="s">
        <v>15768</v>
      </c>
      <c r="K7260" s="143"/>
    </row>
    <row r="7261" spans="1:11">
      <c r="A7261" s="946" t="s">
        <v>28618</v>
      </c>
      <c r="B7261" s="947" t="s">
        <v>21265</v>
      </c>
      <c r="C7261" s="948" t="s">
        <v>21264</v>
      </c>
      <c r="D7261" s="242" t="s">
        <v>24912</v>
      </c>
      <c r="E7261" s="949">
        <v>903</v>
      </c>
      <c r="F7261" s="949">
        <v>903</v>
      </c>
      <c r="G7261" s="950" t="s">
        <v>15768</v>
      </c>
      <c r="H7261" s="950" t="s">
        <v>3977</v>
      </c>
      <c r="I7261" s="951" t="s">
        <v>26407</v>
      </c>
      <c r="J7261" s="947" t="s">
        <v>21265</v>
      </c>
      <c r="K7261" s="143"/>
    </row>
    <row r="7262" spans="1:11">
      <c r="A7262" s="946" t="s">
        <v>28618</v>
      </c>
      <c r="B7262" s="947" t="s">
        <v>21777</v>
      </c>
      <c r="C7262" s="948" t="s">
        <v>21776</v>
      </c>
      <c r="D7262" s="242" t="s">
        <v>24912</v>
      </c>
      <c r="E7262" s="949">
        <v>903</v>
      </c>
      <c r="F7262" s="949">
        <v>903</v>
      </c>
      <c r="G7262" s="950" t="s">
        <v>15768</v>
      </c>
      <c r="H7262" s="950" t="s">
        <v>3977</v>
      </c>
      <c r="I7262" s="951" t="s">
        <v>26408</v>
      </c>
      <c r="J7262" s="947" t="s">
        <v>21777</v>
      </c>
      <c r="K7262" s="143"/>
    </row>
    <row r="7263" spans="1:11">
      <c r="A7263" s="946" t="s">
        <v>28606</v>
      </c>
      <c r="B7263" s="947" t="s">
        <v>2233</v>
      </c>
      <c r="C7263" s="948" t="s">
        <v>2231</v>
      </c>
      <c r="D7263" s="242" t="s">
        <v>31100</v>
      </c>
      <c r="E7263" s="949">
        <v>1806</v>
      </c>
      <c r="F7263" s="949">
        <v>1806</v>
      </c>
      <c r="G7263" s="950" t="s">
        <v>7419</v>
      </c>
      <c r="H7263" s="950" t="s">
        <v>2232</v>
      </c>
      <c r="I7263" s="951" t="s">
        <v>26058</v>
      </c>
      <c r="J7263" s="947" t="s">
        <v>2233</v>
      </c>
      <c r="K7263" s="143"/>
    </row>
    <row r="7264" spans="1:11">
      <c r="A7264" s="946" t="s">
        <v>28606</v>
      </c>
      <c r="B7264" s="947" t="s">
        <v>3343</v>
      </c>
      <c r="C7264" s="948" t="s">
        <v>3342</v>
      </c>
      <c r="D7264" s="242" t="s">
        <v>31100</v>
      </c>
      <c r="E7264" s="949">
        <v>1806</v>
      </c>
      <c r="F7264" s="949">
        <v>1806</v>
      </c>
      <c r="G7264" s="950" t="s">
        <v>7419</v>
      </c>
      <c r="H7264" s="950" t="s">
        <v>2232</v>
      </c>
      <c r="I7264" s="951" t="s">
        <v>26059</v>
      </c>
      <c r="J7264" s="947" t="s">
        <v>3343</v>
      </c>
      <c r="K7264" s="143"/>
    </row>
    <row r="7265" spans="1:11">
      <c r="A7265" s="946" t="s">
        <v>28606</v>
      </c>
      <c r="B7265" s="947" t="s">
        <v>4305</v>
      </c>
      <c r="C7265" s="948" t="s">
        <v>4304</v>
      </c>
      <c r="D7265" s="242" t="s">
        <v>31100</v>
      </c>
      <c r="E7265" s="949">
        <v>1806</v>
      </c>
      <c r="F7265" s="949">
        <v>1806</v>
      </c>
      <c r="G7265" s="950" t="s">
        <v>7419</v>
      </c>
      <c r="H7265" s="950" t="s">
        <v>2232</v>
      </c>
      <c r="I7265" s="951" t="s">
        <v>26060</v>
      </c>
      <c r="J7265" s="947" t="s">
        <v>4305</v>
      </c>
      <c r="K7265" s="143"/>
    </row>
    <row r="7266" spans="1:11">
      <c r="A7266" s="946" t="s">
        <v>28606</v>
      </c>
      <c r="B7266" s="947" t="s">
        <v>4494</v>
      </c>
      <c r="C7266" s="948" t="s">
        <v>4493</v>
      </c>
      <c r="D7266" s="242" t="s">
        <v>31100</v>
      </c>
      <c r="E7266" s="949">
        <v>1806</v>
      </c>
      <c r="F7266" s="949">
        <v>1806</v>
      </c>
      <c r="G7266" s="950" t="s">
        <v>7419</v>
      </c>
      <c r="H7266" s="950" t="s">
        <v>2232</v>
      </c>
      <c r="I7266" s="951" t="s">
        <v>26061</v>
      </c>
      <c r="J7266" s="947" t="s">
        <v>4494</v>
      </c>
      <c r="K7266" s="143"/>
    </row>
    <row r="7267" spans="1:11">
      <c r="A7267" s="946" t="s">
        <v>28606</v>
      </c>
      <c r="B7267" s="947" t="s">
        <v>5421</v>
      </c>
      <c r="C7267" s="948" t="s">
        <v>5420</v>
      </c>
      <c r="D7267" s="242" t="s">
        <v>31100</v>
      </c>
      <c r="E7267" s="949">
        <v>1806</v>
      </c>
      <c r="F7267" s="949">
        <v>1806</v>
      </c>
      <c r="G7267" s="950" t="s">
        <v>7419</v>
      </c>
      <c r="H7267" s="950" t="s">
        <v>2232</v>
      </c>
      <c r="I7267" s="951" t="s">
        <v>26062</v>
      </c>
      <c r="J7267" s="947" t="s">
        <v>5421</v>
      </c>
      <c r="K7267" s="143"/>
    </row>
    <row r="7268" spans="1:11">
      <c r="A7268" s="946" t="s">
        <v>28606</v>
      </c>
      <c r="B7268" s="947" t="s">
        <v>5935</v>
      </c>
      <c r="C7268" s="948" t="s">
        <v>5934</v>
      </c>
      <c r="D7268" s="242" t="s">
        <v>31100</v>
      </c>
      <c r="E7268" s="949">
        <v>1806</v>
      </c>
      <c r="F7268" s="949">
        <v>1806</v>
      </c>
      <c r="G7268" s="950" t="s">
        <v>7419</v>
      </c>
      <c r="H7268" s="950" t="s">
        <v>2232</v>
      </c>
      <c r="I7268" s="951" t="s">
        <v>26063</v>
      </c>
      <c r="J7268" s="947" t="s">
        <v>5935</v>
      </c>
      <c r="K7268" s="143"/>
    </row>
    <row r="7269" spans="1:11">
      <c r="A7269" s="946" t="s">
        <v>28606</v>
      </c>
      <c r="B7269" s="947" t="s">
        <v>6463</v>
      </c>
      <c r="C7269" s="948" t="s">
        <v>6462</v>
      </c>
      <c r="D7269" s="242" t="s">
        <v>31100</v>
      </c>
      <c r="E7269" s="949">
        <v>1806</v>
      </c>
      <c r="F7269" s="949">
        <v>1806</v>
      </c>
      <c r="G7269" s="950" t="s">
        <v>7419</v>
      </c>
      <c r="H7269" s="950" t="s">
        <v>2232</v>
      </c>
      <c r="I7269" s="951" t="s">
        <v>26064</v>
      </c>
      <c r="J7269" s="947" t="s">
        <v>6463</v>
      </c>
      <c r="K7269" s="143"/>
    </row>
    <row r="7270" spans="1:11">
      <c r="A7270" s="946" t="s">
        <v>28606</v>
      </c>
      <c r="B7270" s="947" t="s">
        <v>6465</v>
      </c>
      <c r="C7270" s="948" t="s">
        <v>6464</v>
      </c>
      <c r="D7270" s="242" t="s">
        <v>31100</v>
      </c>
      <c r="E7270" s="949">
        <v>1806</v>
      </c>
      <c r="F7270" s="949">
        <v>1806</v>
      </c>
      <c r="G7270" s="950" t="s">
        <v>7419</v>
      </c>
      <c r="H7270" s="950" t="s">
        <v>2232</v>
      </c>
      <c r="I7270" s="951" t="s">
        <v>26065</v>
      </c>
      <c r="J7270" s="947" t="s">
        <v>6465</v>
      </c>
      <c r="K7270" s="143"/>
    </row>
    <row r="7271" spans="1:11">
      <c r="A7271" s="946" t="s">
        <v>28606</v>
      </c>
      <c r="B7271" s="947" t="s">
        <v>7300</v>
      </c>
      <c r="C7271" s="948" t="s">
        <v>7299</v>
      </c>
      <c r="D7271" s="242" t="s">
        <v>31100</v>
      </c>
      <c r="E7271" s="949">
        <v>1806</v>
      </c>
      <c r="F7271" s="949">
        <v>1806</v>
      </c>
      <c r="G7271" s="950" t="s">
        <v>7419</v>
      </c>
      <c r="H7271" s="950" t="s">
        <v>2232</v>
      </c>
      <c r="I7271" s="951" t="s">
        <v>26066</v>
      </c>
      <c r="J7271" s="947" t="s">
        <v>7300</v>
      </c>
      <c r="K7271" s="143"/>
    </row>
    <row r="7272" spans="1:11">
      <c r="A7272" s="946" t="s">
        <v>28606</v>
      </c>
      <c r="B7272" s="947" t="s">
        <v>7419</v>
      </c>
      <c r="C7272" s="948" t="s">
        <v>7418</v>
      </c>
      <c r="D7272" s="242" t="s">
        <v>31100</v>
      </c>
      <c r="E7272" s="949">
        <v>1806</v>
      </c>
      <c r="F7272" s="949">
        <v>1806</v>
      </c>
      <c r="G7272" s="950" t="s">
        <v>7419</v>
      </c>
      <c r="H7272" s="950" t="s">
        <v>2232</v>
      </c>
      <c r="I7272" s="951" t="s">
        <v>26067</v>
      </c>
      <c r="J7272" s="947" t="s">
        <v>7419</v>
      </c>
      <c r="K7272" s="143"/>
    </row>
    <row r="7273" spans="1:11">
      <c r="A7273" s="946" t="s">
        <v>28606</v>
      </c>
      <c r="B7273" s="947" t="s">
        <v>7430</v>
      </c>
      <c r="C7273" s="948" t="s">
        <v>7429</v>
      </c>
      <c r="D7273" s="242" t="s">
        <v>31100</v>
      </c>
      <c r="E7273" s="949">
        <v>1806</v>
      </c>
      <c r="F7273" s="949">
        <v>1806</v>
      </c>
      <c r="G7273" s="950" t="s">
        <v>7419</v>
      </c>
      <c r="H7273" s="950" t="s">
        <v>2232</v>
      </c>
      <c r="I7273" s="951" t="s">
        <v>26068</v>
      </c>
      <c r="J7273" s="947" t="s">
        <v>7430</v>
      </c>
      <c r="K7273" s="143"/>
    </row>
    <row r="7274" spans="1:11">
      <c r="A7274" s="946" t="s">
        <v>28606</v>
      </c>
      <c r="B7274" s="947" t="s">
        <v>7533</v>
      </c>
      <c r="C7274" s="948" t="s">
        <v>7532</v>
      </c>
      <c r="D7274" s="242" t="s">
        <v>31100</v>
      </c>
      <c r="E7274" s="949">
        <v>1806</v>
      </c>
      <c r="F7274" s="949">
        <v>1806</v>
      </c>
      <c r="G7274" s="950" t="s">
        <v>7419</v>
      </c>
      <c r="H7274" s="950" t="s">
        <v>2232</v>
      </c>
      <c r="I7274" s="951" t="s">
        <v>26069</v>
      </c>
      <c r="J7274" s="947" t="s">
        <v>7533</v>
      </c>
      <c r="K7274" s="143"/>
    </row>
    <row r="7275" spans="1:11">
      <c r="A7275" s="946" t="s">
        <v>28606</v>
      </c>
      <c r="B7275" s="947" t="s">
        <v>9895</v>
      </c>
      <c r="C7275" s="948" t="s">
        <v>9894</v>
      </c>
      <c r="D7275" s="242" t="s">
        <v>31100</v>
      </c>
      <c r="E7275" s="949">
        <v>1806</v>
      </c>
      <c r="F7275" s="949">
        <v>1806</v>
      </c>
      <c r="G7275" s="950" t="s">
        <v>7419</v>
      </c>
      <c r="H7275" s="950" t="s">
        <v>2232</v>
      </c>
      <c r="I7275" s="951" t="s">
        <v>26070</v>
      </c>
      <c r="J7275" s="947" t="s">
        <v>9895</v>
      </c>
      <c r="K7275" s="143"/>
    </row>
    <row r="7276" spans="1:11">
      <c r="A7276" s="946" t="s">
        <v>28606</v>
      </c>
      <c r="B7276" s="947" t="s">
        <v>11557</v>
      </c>
      <c r="C7276" s="948" t="s">
        <v>11556</v>
      </c>
      <c r="D7276" s="242" t="s">
        <v>31100</v>
      </c>
      <c r="E7276" s="949">
        <v>1806</v>
      </c>
      <c r="F7276" s="949">
        <v>1806</v>
      </c>
      <c r="G7276" s="950" t="s">
        <v>7419</v>
      </c>
      <c r="H7276" s="950" t="s">
        <v>2232</v>
      </c>
      <c r="I7276" s="951" t="s">
        <v>26071</v>
      </c>
      <c r="J7276" s="947" t="s">
        <v>11557</v>
      </c>
      <c r="K7276" s="143"/>
    </row>
    <row r="7277" spans="1:11">
      <c r="A7277" s="946" t="s">
        <v>28606</v>
      </c>
      <c r="B7277" s="947" t="s">
        <v>11671</v>
      </c>
      <c r="C7277" s="948" t="s">
        <v>11670</v>
      </c>
      <c r="D7277" s="242" t="s">
        <v>31100</v>
      </c>
      <c r="E7277" s="949">
        <v>1806</v>
      </c>
      <c r="F7277" s="949">
        <v>1806</v>
      </c>
      <c r="G7277" s="950" t="s">
        <v>7419</v>
      </c>
      <c r="H7277" s="950" t="s">
        <v>2232</v>
      </c>
      <c r="I7277" s="951" t="s">
        <v>26072</v>
      </c>
      <c r="J7277" s="947" t="s">
        <v>11671</v>
      </c>
      <c r="K7277" s="143"/>
    </row>
    <row r="7278" spans="1:11">
      <c r="A7278" s="946" t="s">
        <v>28606</v>
      </c>
      <c r="B7278" s="947" t="s">
        <v>14131</v>
      </c>
      <c r="C7278" s="948" t="s">
        <v>14130</v>
      </c>
      <c r="D7278" s="242" t="s">
        <v>31100</v>
      </c>
      <c r="E7278" s="949">
        <v>1806</v>
      </c>
      <c r="F7278" s="949">
        <v>1806</v>
      </c>
      <c r="G7278" s="950" t="s">
        <v>7419</v>
      </c>
      <c r="H7278" s="950" t="s">
        <v>2232</v>
      </c>
      <c r="I7278" s="951" t="s">
        <v>26073</v>
      </c>
      <c r="J7278" s="947" t="s">
        <v>14131</v>
      </c>
      <c r="K7278" s="143"/>
    </row>
    <row r="7279" spans="1:11">
      <c r="A7279" s="946" t="s">
        <v>28606</v>
      </c>
      <c r="B7279" s="947" t="s">
        <v>14627</v>
      </c>
      <c r="C7279" s="948" t="s">
        <v>14626</v>
      </c>
      <c r="D7279" s="242" t="s">
        <v>31100</v>
      </c>
      <c r="E7279" s="949">
        <v>1806</v>
      </c>
      <c r="F7279" s="949">
        <v>1806</v>
      </c>
      <c r="G7279" s="950" t="s">
        <v>7419</v>
      </c>
      <c r="H7279" s="950" t="s">
        <v>2232</v>
      </c>
      <c r="I7279" s="951" t="s">
        <v>26074</v>
      </c>
      <c r="J7279" s="947" t="s">
        <v>14627</v>
      </c>
      <c r="K7279" s="143"/>
    </row>
    <row r="7280" spans="1:11">
      <c r="A7280" s="946" t="s">
        <v>28606</v>
      </c>
      <c r="B7280" s="947" t="s">
        <v>16586</v>
      </c>
      <c r="C7280" s="948" t="s">
        <v>16585</v>
      </c>
      <c r="D7280" s="242" t="s">
        <v>31100</v>
      </c>
      <c r="E7280" s="949">
        <v>1806</v>
      </c>
      <c r="F7280" s="949">
        <v>1806</v>
      </c>
      <c r="G7280" s="950" t="s">
        <v>7419</v>
      </c>
      <c r="H7280" s="950" t="s">
        <v>2232</v>
      </c>
      <c r="I7280" s="951" t="s">
        <v>26076</v>
      </c>
      <c r="J7280" s="947" t="s">
        <v>16586</v>
      </c>
      <c r="K7280" s="143"/>
    </row>
    <row r="7281" spans="1:11">
      <c r="A7281" s="946" t="s">
        <v>28606</v>
      </c>
      <c r="B7281" s="947" t="s">
        <v>16539</v>
      </c>
      <c r="C7281" s="948" t="s">
        <v>16538</v>
      </c>
      <c r="D7281" s="242" t="s">
        <v>31100</v>
      </c>
      <c r="E7281" s="949">
        <v>1806</v>
      </c>
      <c r="F7281" s="949">
        <v>1806</v>
      </c>
      <c r="G7281" s="950" t="s">
        <v>7419</v>
      </c>
      <c r="H7281" s="950" t="s">
        <v>2232</v>
      </c>
      <c r="I7281" s="951" t="s">
        <v>26075</v>
      </c>
      <c r="J7281" s="947" t="s">
        <v>16539</v>
      </c>
      <c r="K7281" s="143"/>
    </row>
    <row r="7282" spans="1:11">
      <c r="A7282" s="946" t="s">
        <v>28606</v>
      </c>
      <c r="B7282" s="947" t="s">
        <v>17965</v>
      </c>
      <c r="C7282" s="948" t="s">
        <v>17964</v>
      </c>
      <c r="D7282" s="242" t="s">
        <v>31100</v>
      </c>
      <c r="E7282" s="949">
        <v>1806</v>
      </c>
      <c r="F7282" s="949">
        <v>1806</v>
      </c>
      <c r="G7282" s="950" t="s">
        <v>7419</v>
      </c>
      <c r="H7282" s="950" t="s">
        <v>2232</v>
      </c>
      <c r="I7282" s="951" t="s">
        <v>26077</v>
      </c>
      <c r="J7282" s="947" t="s">
        <v>17965</v>
      </c>
      <c r="K7282" s="143"/>
    </row>
    <row r="7283" spans="1:11">
      <c r="A7283" s="946" t="s">
        <v>28606</v>
      </c>
      <c r="B7283" s="947" t="s">
        <v>18014</v>
      </c>
      <c r="C7283" s="948" t="s">
        <v>18013</v>
      </c>
      <c r="D7283" s="242" t="s">
        <v>31100</v>
      </c>
      <c r="E7283" s="949">
        <v>1806</v>
      </c>
      <c r="F7283" s="949">
        <v>1806</v>
      </c>
      <c r="G7283" s="950" t="s">
        <v>7419</v>
      </c>
      <c r="H7283" s="950" t="s">
        <v>2232</v>
      </c>
      <c r="I7283" s="951" t="s">
        <v>26078</v>
      </c>
      <c r="J7283" s="947" t="s">
        <v>18014</v>
      </c>
      <c r="K7283" s="143"/>
    </row>
    <row r="7284" spans="1:11">
      <c r="A7284" s="946" t="s">
        <v>28606</v>
      </c>
      <c r="B7284" s="947" t="s">
        <v>18516</v>
      </c>
      <c r="C7284" s="948" t="s">
        <v>18515</v>
      </c>
      <c r="D7284" s="242" t="s">
        <v>31100</v>
      </c>
      <c r="E7284" s="949">
        <v>1806</v>
      </c>
      <c r="F7284" s="949">
        <v>1806</v>
      </c>
      <c r="G7284" s="950" t="s">
        <v>7419</v>
      </c>
      <c r="H7284" s="950" t="s">
        <v>2232</v>
      </c>
      <c r="I7284" s="951" t="s">
        <v>26079</v>
      </c>
      <c r="J7284" s="947" t="s">
        <v>18516</v>
      </c>
      <c r="K7284" s="143"/>
    </row>
    <row r="7285" spans="1:11">
      <c r="A7285" s="946" t="s">
        <v>28606</v>
      </c>
      <c r="B7285" s="947" t="s">
        <v>18951</v>
      </c>
      <c r="C7285" s="948" t="s">
        <v>18950</v>
      </c>
      <c r="D7285" s="242" t="s">
        <v>31100</v>
      </c>
      <c r="E7285" s="949">
        <v>1806</v>
      </c>
      <c r="F7285" s="949">
        <v>1806</v>
      </c>
      <c r="G7285" s="950" t="s">
        <v>7419</v>
      </c>
      <c r="H7285" s="950" t="s">
        <v>2232</v>
      </c>
      <c r="I7285" s="951" t="s">
        <v>26080</v>
      </c>
      <c r="J7285" s="947" t="s">
        <v>18951</v>
      </c>
      <c r="K7285" s="143"/>
    </row>
    <row r="7286" spans="1:11">
      <c r="A7286" s="946" t="s">
        <v>28606</v>
      </c>
      <c r="B7286" s="947" t="s">
        <v>19019</v>
      </c>
      <c r="C7286" s="948" t="s">
        <v>19018</v>
      </c>
      <c r="D7286" s="242" t="s">
        <v>31100</v>
      </c>
      <c r="E7286" s="949">
        <v>1806</v>
      </c>
      <c r="F7286" s="949">
        <v>1806</v>
      </c>
      <c r="G7286" s="950" t="s">
        <v>7419</v>
      </c>
      <c r="H7286" s="950" t="s">
        <v>2232</v>
      </c>
      <c r="I7286" s="951" t="s">
        <v>26081</v>
      </c>
      <c r="J7286" s="947" t="s">
        <v>19019</v>
      </c>
      <c r="K7286" s="143"/>
    </row>
    <row r="7287" spans="1:11">
      <c r="A7287" s="946" t="s">
        <v>28606</v>
      </c>
      <c r="B7287" s="947" t="s">
        <v>20065</v>
      </c>
      <c r="C7287" s="948" t="s">
        <v>20064</v>
      </c>
      <c r="D7287" s="242" t="s">
        <v>31100</v>
      </c>
      <c r="E7287" s="949">
        <v>1806</v>
      </c>
      <c r="F7287" s="949">
        <v>1806</v>
      </c>
      <c r="G7287" s="950" t="s">
        <v>7419</v>
      </c>
      <c r="H7287" s="950" t="s">
        <v>2232</v>
      </c>
      <c r="I7287" s="951" t="s">
        <v>26082</v>
      </c>
      <c r="J7287" s="947" t="s">
        <v>20065</v>
      </c>
      <c r="K7287" s="143"/>
    </row>
    <row r="7288" spans="1:11">
      <c r="A7288" s="946" t="s">
        <v>28606</v>
      </c>
      <c r="B7288" s="947" t="s">
        <v>21180</v>
      </c>
      <c r="C7288" s="948" t="s">
        <v>21179</v>
      </c>
      <c r="D7288" s="242" t="s">
        <v>31100</v>
      </c>
      <c r="E7288" s="949">
        <v>1806</v>
      </c>
      <c r="F7288" s="949">
        <v>1806</v>
      </c>
      <c r="G7288" s="950" t="s">
        <v>7419</v>
      </c>
      <c r="H7288" s="950" t="s">
        <v>2232</v>
      </c>
      <c r="I7288" s="951" t="s">
        <v>26083</v>
      </c>
      <c r="J7288" s="947" t="s">
        <v>21180</v>
      </c>
      <c r="K7288" s="143"/>
    </row>
    <row r="7289" spans="1:11">
      <c r="A7289" s="946" t="s">
        <v>28606</v>
      </c>
      <c r="B7289" s="947" t="s">
        <v>21833</v>
      </c>
      <c r="C7289" s="948" t="s">
        <v>21832</v>
      </c>
      <c r="D7289" s="242" t="s">
        <v>31100</v>
      </c>
      <c r="E7289" s="949">
        <v>1806</v>
      </c>
      <c r="F7289" s="949">
        <v>1806</v>
      </c>
      <c r="G7289" s="950" t="s">
        <v>7419</v>
      </c>
      <c r="H7289" s="950" t="s">
        <v>2232</v>
      </c>
      <c r="I7289" s="951" t="s">
        <v>26084</v>
      </c>
      <c r="J7289" s="947" t="s">
        <v>21833</v>
      </c>
      <c r="K7289" s="143"/>
    </row>
    <row r="7290" spans="1:11">
      <c r="A7290" s="946" t="s">
        <v>28606</v>
      </c>
      <c r="B7290" s="947" t="s">
        <v>472</v>
      </c>
      <c r="C7290" s="948" t="s">
        <v>470</v>
      </c>
      <c r="D7290" s="242" t="s">
        <v>31100</v>
      </c>
      <c r="E7290" s="949">
        <v>1806</v>
      </c>
      <c r="F7290" s="949">
        <v>1806</v>
      </c>
      <c r="G7290" s="950" t="s">
        <v>21907</v>
      </c>
      <c r="H7290" s="950" t="s">
        <v>471</v>
      </c>
      <c r="I7290" s="951" t="s">
        <v>26085</v>
      </c>
      <c r="J7290" s="947" t="s">
        <v>472</v>
      </c>
      <c r="K7290" s="143"/>
    </row>
    <row r="7291" spans="1:11">
      <c r="A7291" s="946" t="s">
        <v>28606</v>
      </c>
      <c r="B7291" s="947" t="s">
        <v>1369</v>
      </c>
      <c r="C7291" s="948" t="s">
        <v>1368</v>
      </c>
      <c r="D7291" s="242" t="s">
        <v>31100</v>
      </c>
      <c r="E7291" s="949">
        <v>1806</v>
      </c>
      <c r="F7291" s="949">
        <v>1806</v>
      </c>
      <c r="G7291" s="950" t="s">
        <v>21907</v>
      </c>
      <c r="H7291" s="950" t="s">
        <v>471</v>
      </c>
      <c r="I7291" s="951" t="s">
        <v>26086</v>
      </c>
      <c r="J7291" s="947" t="s">
        <v>1369</v>
      </c>
      <c r="K7291" s="143"/>
    </row>
    <row r="7292" spans="1:11">
      <c r="A7292" s="946" t="s">
        <v>28606</v>
      </c>
      <c r="B7292" s="947" t="s">
        <v>3042</v>
      </c>
      <c r="C7292" s="948" t="s">
        <v>3041</v>
      </c>
      <c r="D7292" s="242" t="s">
        <v>31100</v>
      </c>
      <c r="E7292" s="949">
        <v>1806</v>
      </c>
      <c r="F7292" s="949">
        <v>1806</v>
      </c>
      <c r="G7292" s="950" t="s">
        <v>21907</v>
      </c>
      <c r="H7292" s="950" t="s">
        <v>471</v>
      </c>
      <c r="I7292" s="951" t="s">
        <v>26087</v>
      </c>
      <c r="J7292" s="947" t="s">
        <v>3042</v>
      </c>
      <c r="K7292" s="143"/>
    </row>
    <row r="7293" spans="1:11">
      <c r="A7293" s="946" t="s">
        <v>28606</v>
      </c>
      <c r="B7293" s="947" t="s">
        <v>3104</v>
      </c>
      <c r="C7293" s="948" t="s">
        <v>3103</v>
      </c>
      <c r="D7293" s="242" t="s">
        <v>31100</v>
      </c>
      <c r="E7293" s="949">
        <v>1806</v>
      </c>
      <c r="F7293" s="949">
        <v>1806</v>
      </c>
      <c r="G7293" s="950" t="s">
        <v>21907</v>
      </c>
      <c r="H7293" s="950" t="s">
        <v>471</v>
      </c>
      <c r="I7293" s="951" t="s">
        <v>26088</v>
      </c>
      <c r="J7293" s="947" t="s">
        <v>3104</v>
      </c>
      <c r="K7293" s="143"/>
    </row>
    <row r="7294" spans="1:11">
      <c r="A7294" s="946" t="s">
        <v>28606</v>
      </c>
      <c r="B7294" s="947" t="s">
        <v>4049</v>
      </c>
      <c r="C7294" s="948" t="s">
        <v>4048</v>
      </c>
      <c r="D7294" s="242" t="s">
        <v>31100</v>
      </c>
      <c r="E7294" s="949">
        <v>1806</v>
      </c>
      <c r="F7294" s="949">
        <v>1806</v>
      </c>
      <c r="G7294" s="950" t="s">
        <v>21907</v>
      </c>
      <c r="H7294" s="950" t="s">
        <v>471</v>
      </c>
      <c r="I7294" s="951" t="s">
        <v>26089</v>
      </c>
      <c r="J7294" s="947" t="s">
        <v>4049</v>
      </c>
      <c r="K7294" s="143"/>
    </row>
    <row r="7295" spans="1:11">
      <c r="A7295" s="946" t="s">
        <v>28606</v>
      </c>
      <c r="B7295" s="947" t="s">
        <v>6142</v>
      </c>
      <c r="C7295" s="948" t="s">
        <v>6141</v>
      </c>
      <c r="D7295" s="242" t="s">
        <v>31100</v>
      </c>
      <c r="E7295" s="949">
        <v>1806</v>
      </c>
      <c r="F7295" s="949">
        <v>1806</v>
      </c>
      <c r="G7295" s="950" t="s">
        <v>21907</v>
      </c>
      <c r="H7295" s="950" t="s">
        <v>471</v>
      </c>
      <c r="I7295" s="951" t="s">
        <v>26090</v>
      </c>
      <c r="J7295" s="947" t="s">
        <v>6142</v>
      </c>
      <c r="K7295" s="143"/>
    </row>
    <row r="7296" spans="1:11">
      <c r="A7296" s="946" t="s">
        <v>28606</v>
      </c>
      <c r="B7296" s="947" t="s">
        <v>7559</v>
      </c>
      <c r="C7296" s="948" t="s">
        <v>7558</v>
      </c>
      <c r="D7296" s="242" t="s">
        <v>31100</v>
      </c>
      <c r="E7296" s="949">
        <v>1806</v>
      </c>
      <c r="F7296" s="949">
        <v>1806</v>
      </c>
      <c r="G7296" s="950" t="s">
        <v>21907</v>
      </c>
      <c r="H7296" s="950" t="s">
        <v>471</v>
      </c>
      <c r="I7296" s="951" t="s">
        <v>26091</v>
      </c>
      <c r="J7296" s="947" t="s">
        <v>7559</v>
      </c>
      <c r="K7296" s="143"/>
    </row>
    <row r="7297" spans="1:11">
      <c r="A7297" s="946" t="s">
        <v>28606</v>
      </c>
      <c r="B7297" s="947" t="s">
        <v>7655</v>
      </c>
      <c r="C7297" s="948" t="s">
        <v>7654</v>
      </c>
      <c r="D7297" s="242" t="s">
        <v>31100</v>
      </c>
      <c r="E7297" s="949">
        <v>1806</v>
      </c>
      <c r="F7297" s="949">
        <v>1806</v>
      </c>
      <c r="G7297" s="950" t="s">
        <v>21907</v>
      </c>
      <c r="H7297" s="950" t="s">
        <v>471</v>
      </c>
      <c r="I7297" s="951" t="s">
        <v>26092</v>
      </c>
      <c r="J7297" s="947" t="s">
        <v>7655</v>
      </c>
      <c r="K7297" s="143"/>
    </row>
    <row r="7298" spans="1:11">
      <c r="A7298" s="946" t="s">
        <v>28606</v>
      </c>
      <c r="B7298" s="947" t="s">
        <v>7765</v>
      </c>
      <c r="C7298" s="948" t="s">
        <v>7764</v>
      </c>
      <c r="D7298" s="242" t="s">
        <v>31100</v>
      </c>
      <c r="E7298" s="949">
        <v>1806</v>
      </c>
      <c r="F7298" s="949">
        <v>1806</v>
      </c>
      <c r="G7298" s="950" t="s">
        <v>21907</v>
      </c>
      <c r="H7298" s="950" t="s">
        <v>471</v>
      </c>
      <c r="I7298" s="951" t="s">
        <v>26093</v>
      </c>
      <c r="J7298" s="947" t="s">
        <v>7765</v>
      </c>
      <c r="K7298" s="143"/>
    </row>
    <row r="7299" spans="1:11">
      <c r="A7299" s="946" t="s">
        <v>28606</v>
      </c>
      <c r="B7299" s="947" t="s">
        <v>7944</v>
      </c>
      <c r="C7299" s="948" t="s">
        <v>7943</v>
      </c>
      <c r="D7299" s="242" t="s">
        <v>31100</v>
      </c>
      <c r="E7299" s="949">
        <v>1806</v>
      </c>
      <c r="F7299" s="949">
        <v>1806</v>
      </c>
      <c r="G7299" s="950" t="s">
        <v>21907</v>
      </c>
      <c r="H7299" s="950" t="s">
        <v>471</v>
      </c>
      <c r="I7299" s="951" t="s">
        <v>26094</v>
      </c>
      <c r="J7299" s="947" t="s">
        <v>7944</v>
      </c>
      <c r="K7299" s="143"/>
    </row>
    <row r="7300" spans="1:11">
      <c r="A7300" s="946" t="s">
        <v>28606</v>
      </c>
      <c r="B7300" s="947" t="s">
        <v>8231</v>
      </c>
      <c r="C7300" s="948" t="s">
        <v>8230</v>
      </c>
      <c r="D7300" s="242" t="s">
        <v>31100</v>
      </c>
      <c r="E7300" s="949">
        <v>1806</v>
      </c>
      <c r="F7300" s="949">
        <v>1806</v>
      </c>
      <c r="G7300" s="950" t="s">
        <v>21907</v>
      </c>
      <c r="H7300" s="950" t="s">
        <v>471</v>
      </c>
      <c r="I7300" s="951" t="s">
        <v>26095</v>
      </c>
      <c r="J7300" s="947" t="s">
        <v>8231</v>
      </c>
      <c r="K7300" s="143"/>
    </row>
    <row r="7301" spans="1:11">
      <c r="A7301" s="946" t="s">
        <v>28606</v>
      </c>
      <c r="B7301" s="947" t="s">
        <v>8236</v>
      </c>
      <c r="C7301" s="948" t="s">
        <v>8235</v>
      </c>
      <c r="D7301" s="242" t="s">
        <v>31100</v>
      </c>
      <c r="E7301" s="949">
        <v>1806</v>
      </c>
      <c r="F7301" s="949">
        <v>1806</v>
      </c>
      <c r="G7301" s="950" t="s">
        <v>21907</v>
      </c>
      <c r="H7301" s="950" t="s">
        <v>471</v>
      </c>
      <c r="I7301" s="951" t="s">
        <v>26096</v>
      </c>
      <c r="J7301" s="947" t="s">
        <v>8236</v>
      </c>
      <c r="K7301" s="143"/>
    </row>
    <row r="7302" spans="1:11">
      <c r="A7302" s="946" t="s">
        <v>28606</v>
      </c>
      <c r="B7302" s="947" t="s">
        <v>8256</v>
      </c>
      <c r="C7302" s="948" t="s">
        <v>8255</v>
      </c>
      <c r="D7302" s="242" t="s">
        <v>31100</v>
      </c>
      <c r="E7302" s="949">
        <v>1806</v>
      </c>
      <c r="F7302" s="949">
        <v>1806</v>
      </c>
      <c r="G7302" s="950" t="s">
        <v>21907</v>
      </c>
      <c r="H7302" s="950" t="s">
        <v>471</v>
      </c>
      <c r="I7302" s="951" t="s">
        <v>26097</v>
      </c>
      <c r="J7302" s="947" t="s">
        <v>8256</v>
      </c>
      <c r="K7302" s="143"/>
    </row>
    <row r="7303" spans="1:11">
      <c r="A7303" s="946" t="s">
        <v>28606</v>
      </c>
      <c r="B7303" s="947" t="s">
        <v>8616</v>
      </c>
      <c r="C7303" s="948" t="s">
        <v>8615</v>
      </c>
      <c r="D7303" s="242" t="s">
        <v>31100</v>
      </c>
      <c r="E7303" s="949">
        <v>1806</v>
      </c>
      <c r="F7303" s="949">
        <v>1806</v>
      </c>
      <c r="G7303" s="950" t="s">
        <v>21907</v>
      </c>
      <c r="H7303" s="950" t="s">
        <v>471</v>
      </c>
      <c r="I7303" s="951" t="s">
        <v>26098</v>
      </c>
      <c r="J7303" s="947" t="s">
        <v>8616</v>
      </c>
      <c r="K7303" s="143"/>
    </row>
    <row r="7304" spans="1:11">
      <c r="A7304" s="946" t="s">
        <v>28606</v>
      </c>
      <c r="B7304" s="947" t="s">
        <v>8635</v>
      </c>
      <c r="C7304" s="948" t="s">
        <v>8634</v>
      </c>
      <c r="D7304" s="242" t="s">
        <v>31100</v>
      </c>
      <c r="E7304" s="949">
        <v>1806</v>
      </c>
      <c r="F7304" s="949">
        <v>1806</v>
      </c>
      <c r="G7304" s="950" t="s">
        <v>21907</v>
      </c>
      <c r="H7304" s="950" t="s">
        <v>471</v>
      </c>
      <c r="I7304" s="951" t="s">
        <v>26099</v>
      </c>
      <c r="J7304" s="947" t="s">
        <v>8635</v>
      </c>
      <c r="K7304" s="143"/>
    </row>
    <row r="7305" spans="1:11">
      <c r="A7305" s="946" t="s">
        <v>28606</v>
      </c>
      <c r="B7305" s="947" t="s">
        <v>9134</v>
      </c>
      <c r="C7305" s="948" t="s">
        <v>9133</v>
      </c>
      <c r="D7305" s="242" t="s">
        <v>31100</v>
      </c>
      <c r="E7305" s="949">
        <v>1806</v>
      </c>
      <c r="F7305" s="949">
        <v>1806</v>
      </c>
      <c r="G7305" s="950" t="s">
        <v>21907</v>
      </c>
      <c r="H7305" s="950" t="s">
        <v>471</v>
      </c>
      <c r="I7305" s="951" t="s">
        <v>26100</v>
      </c>
      <c r="J7305" s="947" t="s">
        <v>9134</v>
      </c>
      <c r="K7305" s="143"/>
    </row>
    <row r="7306" spans="1:11">
      <c r="A7306" s="946" t="s">
        <v>28606</v>
      </c>
      <c r="B7306" s="947" t="s">
        <v>32259</v>
      </c>
      <c r="C7306" s="948" t="s">
        <v>32260</v>
      </c>
      <c r="D7306" s="242" t="s">
        <v>31100</v>
      </c>
      <c r="E7306" s="949">
        <v>1806</v>
      </c>
      <c r="F7306" s="949">
        <v>1806</v>
      </c>
      <c r="G7306" s="950" t="s">
        <v>21907</v>
      </c>
      <c r="H7306" s="950" t="s">
        <v>471</v>
      </c>
      <c r="I7306" s="951" t="s">
        <v>26101</v>
      </c>
      <c r="J7306" s="947" t="s">
        <v>32259</v>
      </c>
      <c r="K7306" s="143"/>
    </row>
    <row r="7307" spans="1:11">
      <c r="A7307" s="946" t="s">
        <v>28606</v>
      </c>
      <c r="B7307" s="947" t="s">
        <v>9986</v>
      </c>
      <c r="C7307" s="948" t="s">
        <v>9985</v>
      </c>
      <c r="D7307" s="242" t="s">
        <v>31100</v>
      </c>
      <c r="E7307" s="949">
        <v>1806</v>
      </c>
      <c r="F7307" s="949">
        <v>1806</v>
      </c>
      <c r="G7307" s="950" t="s">
        <v>21907</v>
      </c>
      <c r="H7307" s="950" t="s">
        <v>471</v>
      </c>
      <c r="I7307" s="951" t="s">
        <v>26102</v>
      </c>
      <c r="J7307" s="947" t="s">
        <v>9986</v>
      </c>
      <c r="K7307" s="143"/>
    </row>
    <row r="7308" spans="1:11">
      <c r="A7308" s="946" t="s">
        <v>28606</v>
      </c>
      <c r="B7308" s="947" t="s">
        <v>10434</v>
      </c>
      <c r="C7308" s="948" t="s">
        <v>10433</v>
      </c>
      <c r="D7308" s="242" t="s">
        <v>31100</v>
      </c>
      <c r="E7308" s="949">
        <v>1806</v>
      </c>
      <c r="F7308" s="949">
        <v>1806</v>
      </c>
      <c r="G7308" s="950" t="s">
        <v>21907</v>
      </c>
      <c r="H7308" s="950" t="s">
        <v>471</v>
      </c>
      <c r="I7308" s="951" t="s">
        <v>26103</v>
      </c>
      <c r="J7308" s="947" t="s">
        <v>10434</v>
      </c>
      <c r="K7308" s="143"/>
    </row>
    <row r="7309" spans="1:11">
      <c r="A7309" s="946" t="s">
        <v>28606</v>
      </c>
      <c r="B7309" s="947" t="s">
        <v>10931</v>
      </c>
      <c r="C7309" s="948" t="s">
        <v>10930</v>
      </c>
      <c r="D7309" s="242" t="s">
        <v>31100</v>
      </c>
      <c r="E7309" s="949">
        <v>1806</v>
      </c>
      <c r="F7309" s="949">
        <v>1806</v>
      </c>
      <c r="G7309" s="950" t="s">
        <v>21907</v>
      </c>
      <c r="H7309" s="950" t="s">
        <v>471</v>
      </c>
      <c r="I7309" s="951" t="s">
        <v>26104</v>
      </c>
      <c r="J7309" s="947" t="s">
        <v>10931</v>
      </c>
      <c r="K7309" s="143"/>
    </row>
    <row r="7310" spans="1:11">
      <c r="A7310" s="946" t="s">
        <v>28606</v>
      </c>
      <c r="B7310" s="947" t="s">
        <v>11766</v>
      </c>
      <c r="C7310" s="948" t="s">
        <v>11765</v>
      </c>
      <c r="D7310" s="242" t="s">
        <v>31100</v>
      </c>
      <c r="E7310" s="949">
        <v>1806</v>
      </c>
      <c r="F7310" s="949">
        <v>1806</v>
      </c>
      <c r="G7310" s="950" t="s">
        <v>21907</v>
      </c>
      <c r="H7310" s="950" t="s">
        <v>471</v>
      </c>
      <c r="I7310" s="951" t="s">
        <v>26105</v>
      </c>
      <c r="J7310" s="947" t="s">
        <v>11766</v>
      </c>
      <c r="K7310" s="143"/>
    </row>
    <row r="7311" spans="1:11">
      <c r="A7311" s="946" t="s">
        <v>28606</v>
      </c>
      <c r="B7311" s="947" t="s">
        <v>12102</v>
      </c>
      <c r="C7311" s="948" t="s">
        <v>12101</v>
      </c>
      <c r="D7311" s="242" t="s">
        <v>31100</v>
      </c>
      <c r="E7311" s="949">
        <v>1806</v>
      </c>
      <c r="F7311" s="949">
        <v>1806</v>
      </c>
      <c r="G7311" s="950" t="s">
        <v>21907</v>
      </c>
      <c r="H7311" s="950" t="s">
        <v>471</v>
      </c>
      <c r="I7311" s="951" t="s">
        <v>26106</v>
      </c>
      <c r="J7311" s="947" t="s">
        <v>12102</v>
      </c>
      <c r="K7311" s="143"/>
    </row>
    <row r="7312" spans="1:11">
      <c r="A7312" s="946" t="s">
        <v>28606</v>
      </c>
      <c r="B7312" s="947" t="s">
        <v>12714</v>
      </c>
      <c r="C7312" s="948" t="s">
        <v>12713</v>
      </c>
      <c r="D7312" s="242" t="s">
        <v>31100</v>
      </c>
      <c r="E7312" s="949">
        <v>1806</v>
      </c>
      <c r="F7312" s="949">
        <v>1806</v>
      </c>
      <c r="G7312" s="950" t="s">
        <v>21907</v>
      </c>
      <c r="H7312" s="950" t="s">
        <v>471</v>
      </c>
      <c r="I7312" s="951" t="s">
        <v>26107</v>
      </c>
      <c r="J7312" s="947" t="s">
        <v>12714</v>
      </c>
      <c r="K7312" s="143"/>
    </row>
    <row r="7313" spans="1:11">
      <c r="A7313" s="946" t="s">
        <v>28606</v>
      </c>
      <c r="B7313" s="947" t="s">
        <v>13162</v>
      </c>
      <c r="C7313" s="948" t="s">
        <v>13161</v>
      </c>
      <c r="D7313" s="242" t="s">
        <v>31100</v>
      </c>
      <c r="E7313" s="949">
        <v>1806</v>
      </c>
      <c r="F7313" s="949">
        <v>1806</v>
      </c>
      <c r="G7313" s="950" t="s">
        <v>21907</v>
      </c>
      <c r="H7313" s="950" t="s">
        <v>471</v>
      </c>
      <c r="I7313" s="951" t="s">
        <v>26108</v>
      </c>
      <c r="J7313" s="947" t="s">
        <v>13162</v>
      </c>
      <c r="K7313" s="143"/>
    </row>
    <row r="7314" spans="1:11">
      <c r="A7314" s="946" t="s">
        <v>28606</v>
      </c>
      <c r="B7314" s="947" t="s">
        <v>13271</v>
      </c>
      <c r="C7314" s="948" t="s">
        <v>13270</v>
      </c>
      <c r="D7314" s="242" t="s">
        <v>31100</v>
      </c>
      <c r="E7314" s="949">
        <v>1806</v>
      </c>
      <c r="F7314" s="949">
        <v>1806</v>
      </c>
      <c r="G7314" s="950" t="s">
        <v>21907</v>
      </c>
      <c r="H7314" s="950" t="s">
        <v>471</v>
      </c>
      <c r="I7314" s="951" t="s">
        <v>26109</v>
      </c>
      <c r="J7314" s="947" t="s">
        <v>13271</v>
      </c>
      <c r="K7314" s="143"/>
    </row>
    <row r="7315" spans="1:11">
      <c r="A7315" s="946" t="s">
        <v>28606</v>
      </c>
      <c r="B7315" s="947" t="s">
        <v>14255</v>
      </c>
      <c r="C7315" s="948" t="s">
        <v>14254</v>
      </c>
      <c r="D7315" s="242" t="s">
        <v>31100</v>
      </c>
      <c r="E7315" s="949">
        <v>1806</v>
      </c>
      <c r="F7315" s="949">
        <v>1806</v>
      </c>
      <c r="G7315" s="950" t="s">
        <v>21907</v>
      </c>
      <c r="H7315" s="950" t="s">
        <v>471</v>
      </c>
      <c r="I7315" s="951" t="s">
        <v>26110</v>
      </c>
      <c r="J7315" s="947" t="s">
        <v>14255</v>
      </c>
      <c r="K7315" s="143"/>
    </row>
    <row r="7316" spans="1:11">
      <c r="A7316" s="946" t="s">
        <v>28606</v>
      </c>
      <c r="B7316" s="947" t="s">
        <v>15114</v>
      </c>
      <c r="C7316" s="948" t="s">
        <v>15113</v>
      </c>
      <c r="D7316" s="242" t="s">
        <v>31100</v>
      </c>
      <c r="E7316" s="949">
        <v>1806</v>
      </c>
      <c r="F7316" s="949">
        <v>1806</v>
      </c>
      <c r="G7316" s="950" t="s">
        <v>21907</v>
      </c>
      <c r="H7316" s="950" t="s">
        <v>471</v>
      </c>
      <c r="I7316" s="951" t="s">
        <v>26111</v>
      </c>
      <c r="J7316" s="947" t="s">
        <v>15114</v>
      </c>
      <c r="K7316" s="143"/>
    </row>
    <row r="7317" spans="1:11">
      <c r="A7317" s="946" t="s">
        <v>28606</v>
      </c>
      <c r="B7317" s="947" t="s">
        <v>15125</v>
      </c>
      <c r="C7317" s="948" t="s">
        <v>15124</v>
      </c>
      <c r="D7317" s="242" t="s">
        <v>31100</v>
      </c>
      <c r="E7317" s="949">
        <v>1806</v>
      </c>
      <c r="F7317" s="949">
        <v>1806</v>
      </c>
      <c r="G7317" s="950" t="s">
        <v>21907</v>
      </c>
      <c r="H7317" s="950" t="s">
        <v>471</v>
      </c>
      <c r="I7317" s="951" t="s">
        <v>26112</v>
      </c>
      <c r="J7317" s="947" t="s">
        <v>15125</v>
      </c>
      <c r="K7317" s="143"/>
    </row>
    <row r="7318" spans="1:11">
      <c r="A7318" s="946" t="s">
        <v>28606</v>
      </c>
      <c r="B7318" s="947" t="s">
        <v>15258</v>
      </c>
      <c r="C7318" s="948" t="s">
        <v>15257</v>
      </c>
      <c r="D7318" s="242" t="s">
        <v>31100</v>
      </c>
      <c r="E7318" s="949">
        <v>1806</v>
      </c>
      <c r="F7318" s="949">
        <v>1806</v>
      </c>
      <c r="G7318" s="950" t="s">
        <v>21907</v>
      </c>
      <c r="H7318" s="950" t="s">
        <v>471</v>
      </c>
      <c r="I7318" s="951" t="s">
        <v>26113</v>
      </c>
      <c r="J7318" s="947" t="s">
        <v>15258</v>
      </c>
      <c r="K7318" s="143"/>
    </row>
    <row r="7319" spans="1:11">
      <c r="A7319" s="946" t="s">
        <v>28606</v>
      </c>
      <c r="B7319" s="947" t="s">
        <v>16269</v>
      </c>
      <c r="C7319" s="948" t="s">
        <v>16268</v>
      </c>
      <c r="D7319" s="242" t="s">
        <v>31100</v>
      </c>
      <c r="E7319" s="949">
        <v>1806</v>
      </c>
      <c r="F7319" s="949">
        <v>1806</v>
      </c>
      <c r="G7319" s="950" t="s">
        <v>21907</v>
      </c>
      <c r="H7319" s="950" t="s">
        <v>471</v>
      </c>
      <c r="I7319" s="951" t="s">
        <v>26114</v>
      </c>
      <c r="J7319" s="947" t="s">
        <v>16269</v>
      </c>
      <c r="K7319" s="143"/>
    </row>
    <row r="7320" spans="1:11">
      <c r="A7320" s="946" t="s">
        <v>28606</v>
      </c>
      <c r="B7320" s="947" t="s">
        <v>16840</v>
      </c>
      <c r="C7320" s="948" t="s">
        <v>16839</v>
      </c>
      <c r="D7320" s="242" t="s">
        <v>31100</v>
      </c>
      <c r="E7320" s="949">
        <v>1806</v>
      </c>
      <c r="F7320" s="949">
        <v>1806</v>
      </c>
      <c r="G7320" s="950" t="s">
        <v>21907</v>
      </c>
      <c r="H7320" s="950" t="s">
        <v>471</v>
      </c>
      <c r="I7320" s="951" t="s">
        <v>26115</v>
      </c>
      <c r="J7320" s="947" t="s">
        <v>16840</v>
      </c>
      <c r="K7320" s="143"/>
    </row>
    <row r="7321" spans="1:11">
      <c r="A7321" s="946" t="s">
        <v>28606</v>
      </c>
      <c r="B7321" s="947" t="s">
        <v>17426</v>
      </c>
      <c r="C7321" s="948" t="s">
        <v>17425</v>
      </c>
      <c r="D7321" s="242" t="s">
        <v>31100</v>
      </c>
      <c r="E7321" s="949">
        <v>1806</v>
      </c>
      <c r="F7321" s="949">
        <v>1806</v>
      </c>
      <c r="G7321" s="950" t="s">
        <v>21907</v>
      </c>
      <c r="H7321" s="950" t="s">
        <v>471</v>
      </c>
      <c r="I7321" s="951" t="s">
        <v>26116</v>
      </c>
      <c r="J7321" s="947" t="s">
        <v>17426</v>
      </c>
      <c r="K7321" s="143"/>
    </row>
    <row r="7322" spans="1:11">
      <c r="A7322" s="946" t="s">
        <v>28606</v>
      </c>
      <c r="B7322" s="947" t="s">
        <v>17495</v>
      </c>
      <c r="C7322" s="948" t="s">
        <v>17494</v>
      </c>
      <c r="D7322" s="242" t="s">
        <v>31100</v>
      </c>
      <c r="E7322" s="949">
        <v>1806</v>
      </c>
      <c r="F7322" s="949">
        <v>1806</v>
      </c>
      <c r="G7322" s="950" t="s">
        <v>21907</v>
      </c>
      <c r="H7322" s="950" t="s">
        <v>471</v>
      </c>
      <c r="I7322" s="951" t="s">
        <v>26117</v>
      </c>
      <c r="J7322" s="947" t="s">
        <v>17495</v>
      </c>
      <c r="K7322" s="143"/>
    </row>
    <row r="7323" spans="1:11">
      <c r="A7323" s="946" t="s">
        <v>28606</v>
      </c>
      <c r="B7323" s="947" t="s">
        <v>17786</v>
      </c>
      <c r="C7323" s="948" t="s">
        <v>17785</v>
      </c>
      <c r="D7323" s="242" t="s">
        <v>31100</v>
      </c>
      <c r="E7323" s="949">
        <v>1806</v>
      </c>
      <c r="F7323" s="949">
        <v>1806</v>
      </c>
      <c r="G7323" s="950" t="s">
        <v>21907</v>
      </c>
      <c r="H7323" s="950" t="s">
        <v>471</v>
      </c>
      <c r="I7323" s="951" t="s">
        <v>26118</v>
      </c>
      <c r="J7323" s="947" t="s">
        <v>17786</v>
      </c>
      <c r="K7323" s="143"/>
    </row>
    <row r="7324" spans="1:11">
      <c r="A7324" s="946" t="s">
        <v>28606</v>
      </c>
      <c r="B7324" s="947" t="s">
        <v>18012</v>
      </c>
      <c r="C7324" s="948" t="s">
        <v>18011</v>
      </c>
      <c r="D7324" s="242" t="s">
        <v>31100</v>
      </c>
      <c r="E7324" s="949">
        <v>1806</v>
      </c>
      <c r="F7324" s="949">
        <v>1806</v>
      </c>
      <c r="G7324" s="950" t="s">
        <v>21907</v>
      </c>
      <c r="H7324" s="950" t="s">
        <v>471</v>
      </c>
      <c r="I7324" s="951" t="s">
        <v>26119</v>
      </c>
      <c r="J7324" s="947" t="s">
        <v>18012</v>
      </c>
      <c r="K7324" s="143"/>
    </row>
    <row r="7325" spans="1:11">
      <c r="A7325" s="946" t="s">
        <v>28606</v>
      </c>
      <c r="B7325" s="947" t="s">
        <v>18805</v>
      </c>
      <c r="C7325" s="948" t="s">
        <v>18804</v>
      </c>
      <c r="D7325" s="242" t="s">
        <v>31100</v>
      </c>
      <c r="E7325" s="949">
        <v>1806</v>
      </c>
      <c r="F7325" s="949">
        <v>1806</v>
      </c>
      <c r="G7325" s="950" t="s">
        <v>21907</v>
      </c>
      <c r="H7325" s="950" t="s">
        <v>471</v>
      </c>
      <c r="I7325" s="951" t="s">
        <v>26120</v>
      </c>
      <c r="J7325" s="947" t="s">
        <v>18805</v>
      </c>
      <c r="K7325" s="143"/>
    </row>
    <row r="7326" spans="1:11">
      <c r="A7326" s="946" t="s">
        <v>28606</v>
      </c>
      <c r="B7326" s="947" t="s">
        <v>19324</v>
      </c>
      <c r="C7326" s="948" t="s">
        <v>19323</v>
      </c>
      <c r="D7326" s="242" t="s">
        <v>31100</v>
      </c>
      <c r="E7326" s="949">
        <v>1806</v>
      </c>
      <c r="F7326" s="949">
        <v>1806</v>
      </c>
      <c r="G7326" s="950" t="s">
        <v>21907</v>
      </c>
      <c r="H7326" s="950" t="s">
        <v>471</v>
      </c>
      <c r="I7326" s="951" t="s">
        <v>26121</v>
      </c>
      <c r="J7326" s="947" t="s">
        <v>19324</v>
      </c>
      <c r="K7326" s="143"/>
    </row>
    <row r="7327" spans="1:11">
      <c r="A7327" s="946" t="s">
        <v>28606</v>
      </c>
      <c r="B7327" s="947" t="s">
        <v>19545</v>
      </c>
      <c r="C7327" s="948" t="s">
        <v>19544</v>
      </c>
      <c r="D7327" s="242" t="s">
        <v>31100</v>
      </c>
      <c r="E7327" s="949">
        <v>1806</v>
      </c>
      <c r="F7327" s="949">
        <v>1806</v>
      </c>
      <c r="G7327" s="950" t="s">
        <v>21907</v>
      </c>
      <c r="H7327" s="950" t="s">
        <v>471</v>
      </c>
      <c r="I7327" s="951" t="s">
        <v>26122</v>
      </c>
      <c r="J7327" s="947" t="s">
        <v>19545</v>
      </c>
      <c r="K7327" s="143"/>
    </row>
    <row r="7328" spans="1:11">
      <c r="A7328" s="946" t="s">
        <v>28606</v>
      </c>
      <c r="B7328" s="947" t="s">
        <v>19761</v>
      </c>
      <c r="C7328" s="948" t="s">
        <v>19760</v>
      </c>
      <c r="D7328" s="242" t="s">
        <v>31100</v>
      </c>
      <c r="E7328" s="949">
        <v>1806</v>
      </c>
      <c r="F7328" s="949">
        <v>1806</v>
      </c>
      <c r="G7328" s="950" t="s">
        <v>21907</v>
      </c>
      <c r="H7328" s="950" t="s">
        <v>471</v>
      </c>
      <c r="I7328" s="951" t="s">
        <v>26123</v>
      </c>
      <c r="J7328" s="947" t="s">
        <v>19761</v>
      </c>
      <c r="K7328" s="143"/>
    </row>
    <row r="7329" spans="1:11">
      <c r="A7329" s="946" t="s">
        <v>28606</v>
      </c>
      <c r="B7329" s="947" t="s">
        <v>19763</v>
      </c>
      <c r="C7329" s="948" t="s">
        <v>19762</v>
      </c>
      <c r="D7329" s="242" t="s">
        <v>31100</v>
      </c>
      <c r="E7329" s="949">
        <v>1806</v>
      </c>
      <c r="F7329" s="949">
        <v>1806</v>
      </c>
      <c r="G7329" s="950" t="s">
        <v>21907</v>
      </c>
      <c r="H7329" s="950" t="s">
        <v>471</v>
      </c>
      <c r="I7329" s="951" t="s">
        <v>26124</v>
      </c>
      <c r="J7329" s="947" t="s">
        <v>19763</v>
      </c>
      <c r="K7329" s="143"/>
    </row>
    <row r="7330" spans="1:11">
      <c r="A7330" s="946" t="s">
        <v>28606</v>
      </c>
      <c r="B7330" s="947" t="s">
        <v>19839</v>
      </c>
      <c r="C7330" s="948" t="s">
        <v>19838</v>
      </c>
      <c r="D7330" s="242" t="s">
        <v>31100</v>
      </c>
      <c r="E7330" s="949">
        <v>1806</v>
      </c>
      <c r="F7330" s="949">
        <v>1806</v>
      </c>
      <c r="G7330" s="950" t="s">
        <v>21907</v>
      </c>
      <c r="H7330" s="950" t="s">
        <v>471</v>
      </c>
      <c r="I7330" s="951" t="s">
        <v>26125</v>
      </c>
      <c r="J7330" s="947" t="s">
        <v>19839</v>
      </c>
      <c r="K7330" s="143"/>
    </row>
    <row r="7331" spans="1:11">
      <c r="A7331" s="946" t="s">
        <v>28606</v>
      </c>
      <c r="B7331" s="947" t="s">
        <v>19886</v>
      </c>
      <c r="C7331" s="948" t="s">
        <v>19885</v>
      </c>
      <c r="D7331" s="242" t="s">
        <v>31100</v>
      </c>
      <c r="E7331" s="949">
        <v>1806</v>
      </c>
      <c r="F7331" s="949">
        <v>1806</v>
      </c>
      <c r="G7331" s="950" t="s">
        <v>21907</v>
      </c>
      <c r="H7331" s="950" t="s">
        <v>471</v>
      </c>
      <c r="I7331" s="951" t="s">
        <v>26126</v>
      </c>
      <c r="J7331" s="947" t="s">
        <v>19886</v>
      </c>
      <c r="K7331" s="143"/>
    </row>
    <row r="7332" spans="1:11">
      <c r="A7332" s="946" t="s">
        <v>28606</v>
      </c>
      <c r="B7332" s="947" t="s">
        <v>19980</v>
      </c>
      <c r="C7332" s="948" t="s">
        <v>19979</v>
      </c>
      <c r="D7332" s="242" t="s">
        <v>31100</v>
      </c>
      <c r="E7332" s="949">
        <v>1806</v>
      </c>
      <c r="F7332" s="949">
        <v>1806</v>
      </c>
      <c r="G7332" s="950" t="s">
        <v>21907</v>
      </c>
      <c r="H7332" s="950" t="s">
        <v>471</v>
      </c>
      <c r="I7332" s="951" t="s">
        <v>26127</v>
      </c>
      <c r="J7332" s="947" t="s">
        <v>19980</v>
      </c>
      <c r="K7332" s="143"/>
    </row>
    <row r="7333" spans="1:11">
      <c r="A7333" s="946" t="s">
        <v>28606</v>
      </c>
      <c r="B7333" s="947" t="s">
        <v>21094</v>
      </c>
      <c r="C7333" s="948" t="s">
        <v>21093</v>
      </c>
      <c r="D7333" s="242" t="s">
        <v>31100</v>
      </c>
      <c r="E7333" s="949">
        <v>1806</v>
      </c>
      <c r="F7333" s="949">
        <v>1806</v>
      </c>
      <c r="G7333" s="950" t="s">
        <v>21907</v>
      </c>
      <c r="H7333" s="950" t="s">
        <v>471</v>
      </c>
      <c r="I7333" s="951" t="s">
        <v>26128</v>
      </c>
      <c r="J7333" s="947" t="s">
        <v>21094</v>
      </c>
      <c r="K7333" s="143"/>
    </row>
    <row r="7334" spans="1:11">
      <c r="A7334" s="946" t="s">
        <v>28606</v>
      </c>
      <c r="B7334" s="947" t="s">
        <v>21444</v>
      </c>
      <c r="C7334" s="948" t="s">
        <v>21443</v>
      </c>
      <c r="D7334" s="242" t="s">
        <v>31100</v>
      </c>
      <c r="E7334" s="949">
        <v>1806</v>
      </c>
      <c r="F7334" s="949">
        <v>1806</v>
      </c>
      <c r="G7334" s="950" t="s">
        <v>21907</v>
      </c>
      <c r="H7334" s="950" t="s">
        <v>471</v>
      </c>
      <c r="I7334" s="951" t="s">
        <v>26129</v>
      </c>
      <c r="J7334" s="947" t="s">
        <v>21444</v>
      </c>
      <c r="K7334" s="143"/>
    </row>
    <row r="7335" spans="1:11">
      <c r="A7335" s="946" t="s">
        <v>28606</v>
      </c>
      <c r="B7335" s="947" t="s">
        <v>21621</v>
      </c>
      <c r="C7335" s="948" t="s">
        <v>21620</v>
      </c>
      <c r="D7335" s="242" t="s">
        <v>31100</v>
      </c>
      <c r="E7335" s="949">
        <v>1806</v>
      </c>
      <c r="F7335" s="949">
        <v>1806</v>
      </c>
      <c r="G7335" s="950" t="s">
        <v>21907</v>
      </c>
      <c r="H7335" s="950" t="s">
        <v>471</v>
      </c>
      <c r="I7335" s="951" t="s">
        <v>26130</v>
      </c>
      <c r="J7335" s="947" t="s">
        <v>21621</v>
      </c>
      <c r="K7335" s="143"/>
    </row>
    <row r="7336" spans="1:11">
      <c r="A7336" s="946" t="s">
        <v>28606</v>
      </c>
      <c r="B7336" s="947" t="s">
        <v>21907</v>
      </c>
      <c r="C7336" s="948" t="s">
        <v>21906</v>
      </c>
      <c r="D7336" s="242" t="s">
        <v>31100</v>
      </c>
      <c r="E7336" s="949">
        <v>1806</v>
      </c>
      <c r="F7336" s="949">
        <v>1806</v>
      </c>
      <c r="G7336" s="950" t="s">
        <v>21907</v>
      </c>
      <c r="H7336" s="950" t="s">
        <v>471</v>
      </c>
      <c r="I7336" s="951" t="s">
        <v>26131</v>
      </c>
      <c r="J7336" s="947" t="s">
        <v>21907</v>
      </c>
      <c r="K7336" s="143"/>
    </row>
    <row r="7337" spans="1:11">
      <c r="A7337" s="946" t="s">
        <v>28606</v>
      </c>
      <c r="B7337" s="947" t="s">
        <v>22548</v>
      </c>
      <c r="C7337" s="948" t="s">
        <v>22547</v>
      </c>
      <c r="D7337" s="242" t="s">
        <v>31100</v>
      </c>
      <c r="E7337" s="949">
        <v>1806</v>
      </c>
      <c r="F7337" s="949">
        <v>1806</v>
      </c>
      <c r="G7337" s="950" t="s">
        <v>21907</v>
      </c>
      <c r="H7337" s="950" t="s">
        <v>471</v>
      </c>
      <c r="I7337" s="951" t="s">
        <v>26132</v>
      </c>
      <c r="J7337" s="947" t="s">
        <v>22548</v>
      </c>
      <c r="K7337" s="143"/>
    </row>
    <row r="7338" spans="1:11">
      <c r="A7338" s="946" t="s">
        <v>28606</v>
      </c>
      <c r="B7338" s="947" t="s">
        <v>22559</v>
      </c>
      <c r="C7338" s="948" t="s">
        <v>22558</v>
      </c>
      <c r="D7338" s="242" t="s">
        <v>31100</v>
      </c>
      <c r="E7338" s="949">
        <v>1806</v>
      </c>
      <c r="F7338" s="949">
        <v>1806</v>
      </c>
      <c r="G7338" s="950" t="s">
        <v>21907</v>
      </c>
      <c r="H7338" s="950" t="s">
        <v>471</v>
      </c>
      <c r="I7338" s="951" t="s">
        <v>26133</v>
      </c>
      <c r="J7338" s="947" t="s">
        <v>22559</v>
      </c>
      <c r="K7338" s="143"/>
    </row>
    <row r="7339" spans="1:11">
      <c r="A7339" s="946" t="s">
        <v>28606</v>
      </c>
      <c r="B7339" s="947" t="s">
        <v>22688</v>
      </c>
      <c r="C7339" s="948" t="s">
        <v>22687</v>
      </c>
      <c r="D7339" s="242" t="s">
        <v>31100</v>
      </c>
      <c r="E7339" s="949">
        <v>1806</v>
      </c>
      <c r="F7339" s="949">
        <v>1806</v>
      </c>
      <c r="G7339" s="950" t="s">
        <v>21907</v>
      </c>
      <c r="H7339" s="950" t="s">
        <v>471</v>
      </c>
      <c r="I7339" s="951" t="s">
        <v>26134</v>
      </c>
      <c r="J7339" s="947" t="s">
        <v>22688</v>
      </c>
      <c r="K7339" s="143"/>
    </row>
    <row r="7340" spans="1:11">
      <c r="A7340" s="946" t="s">
        <v>28614</v>
      </c>
      <c r="B7340" s="947" t="s">
        <v>1214</v>
      </c>
      <c r="C7340" s="948" t="s">
        <v>1212</v>
      </c>
      <c r="D7340" s="242" t="s">
        <v>510</v>
      </c>
      <c r="E7340" s="949">
        <v>101</v>
      </c>
      <c r="F7340" s="949">
        <v>101</v>
      </c>
      <c r="G7340" s="950" t="s">
        <v>26295</v>
      </c>
      <c r="H7340" s="950" t="s">
        <v>1213</v>
      </c>
      <c r="I7340" s="951" t="s">
        <v>26296</v>
      </c>
      <c r="J7340" s="947" t="s">
        <v>1214</v>
      </c>
      <c r="K7340" s="143"/>
    </row>
    <row r="7341" spans="1:11">
      <c r="A7341" s="946" t="s">
        <v>28614</v>
      </c>
      <c r="B7341" s="947" t="s">
        <v>1235</v>
      </c>
      <c r="C7341" s="948" t="s">
        <v>1234</v>
      </c>
      <c r="D7341" s="242" t="s">
        <v>510</v>
      </c>
      <c r="E7341" s="949">
        <v>101</v>
      </c>
      <c r="F7341" s="949">
        <v>101</v>
      </c>
      <c r="G7341" s="950" t="s">
        <v>26295</v>
      </c>
      <c r="H7341" s="950" t="s">
        <v>1213</v>
      </c>
      <c r="I7341" s="951" t="s">
        <v>26297</v>
      </c>
      <c r="J7341" s="947" t="s">
        <v>1235</v>
      </c>
      <c r="K7341" s="143"/>
    </row>
    <row r="7342" spans="1:11">
      <c r="A7342" s="946" t="s">
        <v>28614</v>
      </c>
      <c r="B7342" s="947" t="s">
        <v>1427</v>
      </c>
      <c r="C7342" s="948" t="s">
        <v>1426</v>
      </c>
      <c r="D7342" s="242" t="s">
        <v>510</v>
      </c>
      <c r="E7342" s="949">
        <v>101</v>
      </c>
      <c r="F7342" s="949">
        <v>101</v>
      </c>
      <c r="G7342" s="950" t="s">
        <v>26295</v>
      </c>
      <c r="H7342" s="950" t="s">
        <v>1213</v>
      </c>
      <c r="I7342" s="951" t="s">
        <v>26298</v>
      </c>
      <c r="J7342" s="947" t="s">
        <v>1427</v>
      </c>
      <c r="K7342" s="143"/>
    </row>
    <row r="7343" spans="1:11">
      <c r="A7343" s="946" t="s">
        <v>28614</v>
      </c>
      <c r="B7343" s="947" t="s">
        <v>1458</v>
      </c>
      <c r="C7343" s="948" t="s">
        <v>1457</v>
      </c>
      <c r="D7343" s="242" t="s">
        <v>510</v>
      </c>
      <c r="E7343" s="949">
        <v>101</v>
      </c>
      <c r="F7343" s="949">
        <v>101</v>
      </c>
      <c r="G7343" s="950" t="s">
        <v>26295</v>
      </c>
      <c r="H7343" s="950" t="s">
        <v>1213</v>
      </c>
      <c r="I7343" s="951" t="s">
        <v>26299</v>
      </c>
      <c r="J7343" s="947" t="s">
        <v>1458</v>
      </c>
      <c r="K7343" s="143"/>
    </row>
    <row r="7344" spans="1:11">
      <c r="A7344" s="946" t="s">
        <v>28614</v>
      </c>
      <c r="B7344" s="947" t="s">
        <v>1632</v>
      </c>
      <c r="C7344" s="948" t="s">
        <v>1631</v>
      </c>
      <c r="D7344" s="242" t="s">
        <v>510</v>
      </c>
      <c r="E7344" s="949">
        <v>101</v>
      </c>
      <c r="F7344" s="949">
        <v>101</v>
      </c>
      <c r="G7344" s="950" t="s">
        <v>26295</v>
      </c>
      <c r="H7344" s="950" t="s">
        <v>1213</v>
      </c>
      <c r="I7344" s="951" t="s">
        <v>26300</v>
      </c>
      <c r="J7344" s="947" t="s">
        <v>1632</v>
      </c>
      <c r="K7344" s="143"/>
    </row>
    <row r="7345" spans="1:11">
      <c r="A7345" s="946" t="s">
        <v>28614</v>
      </c>
      <c r="B7345" s="947" t="s">
        <v>1729</v>
      </c>
      <c r="C7345" s="948" t="s">
        <v>1728</v>
      </c>
      <c r="D7345" s="242" t="s">
        <v>510</v>
      </c>
      <c r="E7345" s="949">
        <v>101</v>
      </c>
      <c r="F7345" s="949">
        <v>101</v>
      </c>
      <c r="G7345" s="950" t="s">
        <v>26295</v>
      </c>
      <c r="H7345" s="950" t="s">
        <v>1213</v>
      </c>
      <c r="I7345" s="951" t="s">
        <v>26301</v>
      </c>
      <c r="J7345" s="947" t="s">
        <v>1729</v>
      </c>
      <c r="K7345" s="143"/>
    </row>
    <row r="7346" spans="1:11">
      <c r="A7346" s="946" t="s">
        <v>28614</v>
      </c>
      <c r="B7346" s="947" t="s">
        <v>1894</v>
      </c>
      <c r="C7346" s="948" t="s">
        <v>1893</v>
      </c>
      <c r="D7346" s="242" t="s">
        <v>510</v>
      </c>
      <c r="E7346" s="949">
        <v>101</v>
      </c>
      <c r="F7346" s="949">
        <v>101</v>
      </c>
      <c r="G7346" s="950" t="s">
        <v>26295</v>
      </c>
      <c r="H7346" s="950" t="s">
        <v>1213</v>
      </c>
      <c r="I7346" s="951" t="s">
        <v>26302</v>
      </c>
      <c r="J7346" s="947" t="s">
        <v>1894</v>
      </c>
      <c r="K7346" s="143"/>
    </row>
    <row r="7347" spans="1:11">
      <c r="A7347" s="946" t="s">
        <v>28614</v>
      </c>
      <c r="B7347" s="947" t="s">
        <v>2123</v>
      </c>
      <c r="C7347" s="948" t="s">
        <v>2122</v>
      </c>
      <c r="D7347" s="242" t="s">
        <v>510</v>
      </c>
      <c r="E7347" s="949">
        <v>101</v>
      </c>
      <c r="F7347" s="949">
        <v>101</v>
      </c>
      <c r="G7347" s="950" t="s">
        <v>26295</v>
      </c>
      <c r="H7347" s="950" t="s">
        <v>1213</v>
      </c>
      <c r="I7347" s="951" t="s">
        <v>26303</v>
      </c>
      <c r="J7347" s="947" t="s">
        <v>2123</v>
      </c>
      <c r="K7347" s="143"/>
    </row>
    <row r="7348" spans="1:11">
      <c r="A7348" s="946" t="s">
        <v>28614</v>
      </c>
      <c r="B7348" s="947" t="s">
        <v>2140</v>
      </c>
      <c r="C7348" s="948" t="s">
        <v>2139</v>
      </c>
      <c r="D7348" s="242" t="s">
        <v>510</v>
      </c>
      <c r="E7348" s="949">
        <v>101</v>
      </c>
      <c r="F7348" s="949">
        <v>101</v>
      </c>
      <c r="G7348" s="950" t="s">
        <v>26295</v>
      </c>
      <c r="H7348" s="950" t="s">
        <v>1213</v>
      </c>
      <c r="I7348" s="951" t="s">
        <v>26304</v>
      </c>
      <c r="J7348" s="947" t="s">
        <v>2140</v>
      </c>
      <c r="K7348" s="143"/>
    </row>
    <row r="7349" spans="1:11">
      <c r="A7349" s="946" t="s">
        <v>28614</v>
      </c>
      <c r="B7349" s="947" t="s">
        <v>2166</v>
      </c>
      <c r="C7349" s="948" t="s">
        <v>2165</v>
      </c>
      <c r="D7349" s="242" t="s">
        <v>510</v>
      </c>
      <c r="E7349" s="949">
        <v>101</v>
      </c>
      <c r="F7349" s="949">
        <v>101</v>
      </c>
      <c r="G7349" s="950" t="s">
        <v>26295</v>
      </c>
      <c r="H7349" s="950" t="s">
        <v>1213</v>
      </c>
      <c r="I7349" s="951" t="s">
        <v>26305</v>
      </c>
      <c r="J7349" s="947" t="s">
        <v>2166</v>
      </c>
      <c r="K7349" s="143"/>
    </row>
    <row r="7350" spans="1:11">
      <c r="A7350" s="946" t="s">
        <v>28614</v>
      </c>
      <c r="B7350" s="947" t="s">
        <v>2372</v>
      </c>
      <c r="C7350" s="948" t="s">
        <v>2371</v>
      </c>
      <c r="D7350" s="242" t="s">
        <v>510</v>
      </c>
      <c r="E7350" s="949">
        <v>101</v>
      </c>
      <c r="F7350" s="949">
        <v>101</v>
      </c>
      <c r="G7350" s="950" t="s">
        <v>26295</v>
      </c>
      <c r="H7350" s="950" t="s">
        <v>1213</v>
      </c>
      <c r="I7350" s="951" t="s">
        <v>26306</v>
      </c>
      <c r="J7350" s="947" t="s">
        <v>2372</v>
      </c>
      <c r="K7350" s="143"/>
    </row>
    <row r="7351" spans="1:11">
      <c r="A7351" s="946" t="s">
        <v>28614</v>
      </c>
      <c r="B7351" s="947" t="s">
        <v>2557</v>
      </c>
      <c r="C7351" s="948" t="s">
        <v>2556</v>
      </c>
      <c r="D7351" s="242" t="s">
        <v>510</v>
      </c>
      <c r="E7351" s="949">
        <v>101</v>
      </c>
      <c r="F7351" s="949">
        <v>101</v>
      </c>
      <c r="G7351" s="950" t="s">
        <v>26295</v>
      </c>
      <c r="H7351" s="950" t="s">
        <v>1213</v>
      </c>
      <c r="I7351" s="951" t="s">
        <v>26307</v>
      </c>
      <c r="J7351" s="947" t="s">
        <v>2557</v>
      </c>
      <c r="K7351" s="143"/>
    </row>
    <row r="7352" spans="1:11">
      <c r="A7352" s="946" t="s">
        <v>28614</v>
      </c>
      <c r="B7352" s="947" t="s">
        <v>3125</v>
      </c>
      <c r="C7352" s="948" t="s">
        <v>3124</v>
      </c>
      <c r="D7352" s="242" t="s">
        <v>510</v>
      </c>
      <c r="E7352" s="949">
        <v>101</v>
      </c>
      <c r="F7352" s="949">
        <v>101</v>
      </c>
      <c r="G7352" s="950" t="s">
        <v>26295</v>
      </c>
      <c r="H7352" s="950" t="s">
        <v>1213</v>
      </c>
      <c r="I7352" s="951" t="s">
        <v>26311</v>
      </c>
      <c r="J7352" s="947" t="s">
        <v>3125</v>
      </c>
      <c r="K7352" s="143"/>
    </row>
    <row r="7353" spans="1:11">
      <c r="A7353" s="946" t="s">
        <v>28614</v>
      </c>
      <c r="B7353" s="947" t="s">
        <v>26312</v>
      </c>
      <c r="C7353" s="948" t="s">
        <v>26313</v>
      </c>
      <c r="D7353" s="242" t="s">
        <v>510</v>
      </c>
      <c r="E7353" s="949">
        <v>101</v>
      </c>
      <c r="F7353" s="949">
        <v>101</v>
      </c>
      <c r="G7353" s="950" t="s">
        <v>26295</v>
      </c>
      <c r="H7353" s="950" t="s">
        <v>1213</v>
      </c>
      <c r="I7353" s="951" t="s">
        <v>26314</v>
      </c>
      <c r="J7353" s="947" t="s">
        <v>26312</v>
      </c>
      <c r="K7353" s="143"/>
    </row>
    <row r="7354" spans="1:11">
      <c r="A7354" s="946" t="s">
        <v>28614</v>
      </c>
      <c r="B7354" s="947" t="s">
        <v>3614</v>
      </c>
      <c r="C7354" s="948" t="s">
        <v>3613</v>
      </c>
      <c r="D7354" s="242" t="s">
        <v>510</v>
      </c>
      <c r="E7354" s="949">
        <v>101</v>
      </c>
      <c r="F7354" s="949">
        <v>101</v>
      </c>
      <c r="G7354" s="950" t="s">
        <v>26295</v>
      </c>
      <c r="H7354" s="950" t="s">
        <v>1213</v>
      </c>
      <c r="I7354" s="951" t="s">
        <v>26315</v>
      </c>
      <c r="J7354" s="947" t="s">
        <v>3614</v>
      </c>
      <c r="K7354" s="143"/>
    </row>
    <row r="7355" spans="1:11">
      <c r="A7355" s="946" t="s">
        <v>28614</v>
      </c>
      <c r="B7355" s="947" t="s">
        <v>3944</v>
      </c>
      <c r="C7355" s="948" t="s">
        <v>3943</v>
      </c>
      <c r="D7355" s="242" t="s">
        <v>510</v>
      </c>
      <c r="E7355" s="949">
        <v>101</v>
      </c>
      <c r="F7355" s="949">
        <v>101</v>
      </c>
      <c r="G7355" s="950" t="s">
        <v>26295</v>
      </c>
      <c r="H7355" s="950" t="s">
        <v>1213</v>
      </c>
      <c r="I7355" s="951" t="s">
        <v>26316</v>
      </c>
      <c r="J7355" s="947" t="s">
        <v>3944</v>
      </c>
      <c r="K7355" s="143"/>
    </row>
    <row r="7356" spans="1:11">
      <c r="A7356" s="946" t="s">
        <v>28614</v>
      </c>
      <c r="B7356" s="947" t="s">
        <v>3952</v>
      </c>
      <c r="C7356" s="948" t="s">
        <v>3951</v>
      </c>
      <c r="D7356" s="242" t="s">
        <v>510</v>
      </c>
      <c r="E7356" s="949">
        <v>101</v>
      </c>
      <c r="F7356" s="949">
        <v>101</v>
      </c>
      <c r="G7356" s="950" t="s">
        <v>26295</v>
      </c>
      <c r="H7356" s="950" t="s">
        <v>1213</v>
      </c>
      <c r="I7356" s="951" t="s">
        <v>26317</v>
      </c>
      <c r="J7356" s="947" t="s">
        <v>3952</v>
      </c>
      <c r="K7356" s="143"/>
    </row>
    <row r="7357" spans="1:11">
      <c r="A7357" s="946" t="s">
        <v>28614</v>
      </c>
      <c r="B7357" s="947" t="s">
        <v>4139</v>
      </c>
      <c r="C7357" s="948" t="s">
        <v>4138</v>
      </c>
      <c r="D7357" s="242" t="s">
        <v>510</v>
      </c>
      <c r="E7357" s="949">
        <v>101</v>
      </c>
      <c r="F7357" s="949">
        <v>101</v>
      </c>
      <c r="G7357" s="950" t="s">
        <v>26295</v>
      </c>
      <c r="H7357" s="950" t="s">
        <v>1213</v>
      </c>
      <c r="I7357" s="951" t="s">
        <v>26318</v>
      </c>
      <c r="J7357" s="947" t="s">
        <v>4139</v>
      </c>
      <c r="K7357" s="143"/>
    </row>
    <row r="7358" spans="1:11">
      <c r="A7358" s="946" t="s">
        <v>28614</v>
      </c>
      <c r="B7358" s="947" t="s">
        <v>4544</v>
      </c>
      <c r="C7358" s="948" t="s">
        <v>4543</v>
      </c>
      <c r="D7358" s="242" t="s">
        <v>510</v>
      </c>
      <c r="E7358" s="949">
        <v>101</v>
      </c>
      <c r="F7358" s="949">
        <v>101</v>
      </c>
      <c r="G7358" s="950" t="s">
        <v>26295</v>
      </c>
      <c r="H7358" s="950" t="s">
        <v>1213</v>
      </c>
      <c r="I7358" s="951" t="s">
        <v>26319</v>
      </c>
      <c r="J7358" s="947" t="s">
        <v>4544</v>
      </c>
      <c r="K7358" s="143"/>
    </row>
    <row r="7359" spans="1:11">
      <c r="A7359" s="946" t="s">
        <v>28614</v>
      </c>
      <c r="B7359" s="947" t="s">
        <v>5879</v>
      </c>
      <c r="C7359" s="948" t="s">
        <v>5878</v>
      </c>
      <c r="D7359" s="242" t="s">
        <v>510</v>
      </c>
      <c r="E7359" s="949">
        <v>101</v>
      </c>
      <c r="F7359" s="949">
        <v>101</v>
      </c>
      <c r="G7359" s="950" t="s">
        <v>26295</v>
      </c>
      <c r="H7359" s="950" t="s">
        <v>1213</v>
      </c>
      <c r="I7359" s="951" t="s">
        <v>26320</v>
      </c>
      <c r="J7359" s="947" t="s">
        <v>5879</v>
      </c>
      <c r="K7359" s="143"/>
    </row>
    <row r="7360" spans="1:11">
      <c r="A7360" s="946" t="s">
        <v>28614</v>
      </c>
      <c r="B7360" s="947" t="s">
        <v>6116</v>
      </c>
      <c r="C7360" s="948" t="s">
        <v>6115</v>
      </c>
      <c r="D7360" s="242" t="s">
        <v>510</v>
      </c>
      <c r="E7360" s="949">
        <v>101</v>
      </c>
      <c r="F7360" s="949">
        <v>101</v>
      </c>
      <c r="G7360" s="950" t="s">
        <v>26295</v>
      </c>
      <c r="H7360" s="950" t="s">
        <v>1213</v>
      </c>
      <c r="I7360" s="951" t="s">
        <v>26321</v>
      </c>
      <c r="J7360" s="947" t="s">
        <v>6116</v>
      </c>
      <c r="K7360" s="143"/>
    </row>
    <row r="7361" spans="1:11">
      <c r="A7361" s="946" t="s">
        <v>28614</v>
      </c>
      <c r="B7361" s="947" t="s">
        <v>7247</v>
      </c>
      <c r="C7361" s="948" t="s">
        <v>7246</v>
      </c>
      <c r="D7361" s="242" t="s">
        <v>510</v>
      </c>
      <c r="E7361" s="949">
        <v>101</v>
      </c>
      <c r="F7361" s="949">
        <v>101</v>
      </c>
      <c r="G7361" s="950" t="s">
        <v>26295</v>
      </c>
      <c r="H7361" s="950" t="s">
        <v>1213</v>
      </c>
      <c r="I7361" s="951" t="s">
        <v>26322</v>
      </c>
      <c r="J7361" s="947" t="s">
        <v>7247</v>
      </c>
      <c r="K7361" s="143"/>
    </row>
    <row r="7362" spans="1:11">
      <c r="A7362" s="946" t="s">
        <v>28614</v>
      </c>
      <c r="B7362" s="947" t="s">
        <v>7326</v>
      </c>
      <c r="C7362" s="948" t="s">
        <v>7325</v>
      </c>
      <c r="D7362" s="242" t="s">
        <v>510</v>
      </c>
      <c r="E7362" s="949">
        <v>101</v>
      </c>
      <c r="F7362" s="949">
        <v>101</v>
      </c>
      <c r="G7362" s="950" t="s">
        <v>26295</v>
      </c>
      <c r="H7362" s="950" t="s">
        <v>1213</v>
      </c>
      <c r="I7362" s="951" t="s">
        <v>26323</v>
      </c>
      <c r="J7362" s="947" t="s">
        <v>7326</v>
      </c>
      <c r="K7362" s="143"/>
    </row>
    <row r="7363" spans="1:11">
      <c r="A7363" s="946" t="s">
        <v>28614</v>
      </c>
      <c r="B7363" s="947" t="s">
        <v>7385</v>
      </c>
      <c r="C7363" s="948" t="s">
        <v>7384</v>
      </c>
      <c r="D7363" s="242" t="s">
        <v>510</v>
      </c>
      <c r="E7363" s="949">
        <v>101</v>
      </c>
      <c r="F7363" s="949">
        <v>101</v>
      </c>
      <c r="G7363" s="950" t="s">
        <v>26295</v>
      </c>
      <c r="H7363" s="950" t="s">
        <v>1213</v>
      </c>
      <c r="I7363" s="951" t="s">
        <v>26324</v>
      </c>
      <c r="J7363" s="947" t="s">
        <v>7385</v>
      </c>
      <c r="K7363" s="143"/>
    </row>
    <row r="7364" spans="1:11">
      <c r="A7364" s="946" t="s">
        <v>28614</v>
      </c>
      <c r="B7364" s="947" t="s">
        <v>7402</v>
      </c>
      <c r="C7364" s="948" t="s">
        <v>7401</v>
      </c>
      <c r="D7364" s="242" t="s">
        <v>510</v>
      </c>
      <c r="E7364" s="949">
        <v>101</v>
      </c>
      <c r="F7364" s="949">
        <v>101</v>
      </c>
      <c r="G7364" s="950" t="s">
        <v>26295</v>
      </c>
      <c r="H7364" s="950" t="s">
        <v>1213</v>
      </c>
      <c r="I7364" s="951" t="s">
        <v>26325</v>
      </c>
      <c r="J7364" s="947" t="s">
        <v>7402</v>
      </c>
      <c r="K7364" s="143"/>
    </row>
    <row r="7365" spans="1:11">
      <c r="A7365" s="946" t="s">
        <v>28614</v>
      </c>
      <c r="B7365" s="947" t="s">
        <v>7713</v>
      </c>
      <c r="C7365" s="948" t="s">
        <v>7712</v>
      </c>
      <c r="D7365" s="242" t="s">
        <v>510</v>
      </c>
      <c r="E7365" s="949">
        <v>101</v>
      </c>
      <c r="F7365" s="949">
        <v>101</v>
      </c>
      <c r="G7365" s="950" t="s">
        <v>26295</v>
      </c>
      <c r="H7365" s="950" t="s">
        <v>1213</v>
      </c>
      <c r="I7365" s="951" t="s">
        <v>26326</v>
      </c>
      <c r="J7365" s="947" t="s">
        <v>7713</v>
      </c>
      <c r="K7365" s="143"/>
    </row>
    <row r="7366" spans="1:11">
      <c r="A7366" s="946" t="s">
        <v>28614</v>
      </c>
      <c r="B7366" s="947" t="s">
        <v>7786</v>
      </c>
      <c r="C7366" s="948" t="s">
        <v>7785</v>
      </c>
      <c r="D7366" s="242" t="s">
        <v>510</v>
      </c>
      <c r="E7366" s="949">
        <v>101</v>
      </c>
      <c r="F7366" s="949">
        <v>101</v>
      </c>
      <c r="G7366" s="950" t="s">
        <v>26295</v>
      </c>
      <c r="H7366" s="950" t="s">
        <v>1213</v>
      </c>
      <c r="I7366" s="951" t="s">
        <v>26327</v>
      </c>
      <c r="J7366" s="947" t="s">
        <v>7786</v>
      </c>
      <c r="K7366" s="143"/>
    </row>
    <row r="7367" spans="1:11">
      <c r="A7367" s="946" t="s">
        <v>28614</v>
      </c>
      <c r="B7367" s="947" t="s">
        <v>8496</v>
      </c>
      <c r="C7367" s="948" t="s">
        <v>8495</v>
      </c>
      <c r="D7367" s="242" t="s">
        <v>510</v>
      </c>
      <c r="E7367" s="949">
        <v>101</v>
      </c>
      <c r="F7367" s="949">
        <v>101</v>
      </c>
      <c r="G7367" s="950" t="s">
        <v>26295</v>
      </c>
      <c r="H7367" s="950" t="s">
        <v>1213</v>
      </c>
      <c r="I7367" s="951" t="s">
        <v>26328</v>
      </c>
      <c r="J7367" s="947" t="s">
        <v>8496</v>
      </c>
      <c r="K7367" s="143"/>
    </row>
    <row r="7368" spans="1:11">
      <c r="A7368" s="946" t="s">
        <v>28614</v>
      </c>
      <c r="B7368" s="947" t="s">
        <v>9129</v>
      </c>
      <c r="C7368" s="948" t="s">
        <v>9128</v>
      </c>
      <c r="D7368" s="242" t="s">
        <v>510</v>
      </c>
      <c r="E7368" s="949">
        <v>101</v>
      </c>
      <c r="F7368" s="949">
        <v>101</v>
      </c>
      <c r="G7368" s="950" t="s">
        <v>26295</v>
      </c>
      <c r="H7368" s="950" t="s">
        <v>1213</v>
      </c>
      <c r="I7368" s="951" t="s">
        <v>26329</v>
      </c>
      <c r="J7368" s="947" t="s">
        <v>9129</v>
      </c>
      <c r="K7368" s="143"/>
    </row>
    <row r="7369" spans="1:11">
      <c r="A7369" s="946" t="s">
        <v>28614</v>
      </c>
      <c r="B7369" s="947" t="s">
        <v>9159</v>
      </c>
      <c r="C7369" s="948" t="s">
        <v>9158</v>
      </c>
      <c r="D7369" s="242" t="s">
        <v>510</v>
      </c>
      <c r="E7369" s="949">
        <v>101</v>
      </c>
      <c r="F7369" s="949">
        <v>101</v>
      </c>
      <c r="G7369" s="950" t="s">
        <v>26295</v>
      </c>
      <c r="H7369" s="950" t="s">
        <v>1213</v>
      </c>
      <c r="I7369" s="951" t="s">
        <v>26330</v>
      </c>
      <c r="J7369" s="947" t="s">
        <v>9159</v>
      </c>
      <c r="K7369" s="143"/>
    </row>
    <row r="7370" spans="1:11">
      <c r="A7370" s="946" t="s">
        <v>28614</v>
      </c>
      <c r="B7370" s="947" t="s">
        <v>9223</v>
      </c>
      <c r="C7370" s="948" t="s">
        <v>9222</v>
      </c>
      <c r="D7370" s="242" t="s">
        <v>510</v>
      </c>
      <c r="E7370" s="949">
        <v>101</v>
      </c>
      <c r="F7370" s="949">
        <v>101</v>
      </c>
      <c r="G7370" s="950" t="s">
        <v>26295</v>
      </c>
      <c r="H7370" s="950" t="s">
        <v>1213</v>
      </c>
      <c r="I7370" s="951" t="s">
        <v>26331</v>
      </c>
      <c r="J7370" s="947" t="s">
        <v>9223</v>
      </c>
      <c r="K7370" s="143"/>
    </row>
    <row r="7371" spans="1:11">
      <c r="A7371" s="946" t="s">
        <v>28614</v>
      </c>
      <c r="B7371" s="947" t="s">
        <v>9494</v>
      </c>
      <c r="C7371" s="948" t="s">
        <v>9493</v>
      </c>
      <c r="D7371" s="242" t="s">
        <v>510</v>
      </c>
      <c r="E7371" s="949">
        <v>101</v>
      </c>
      <c r="F7371" s="949">
        <v>101</v>
      </c>
      <c r="G7371" s="950" t="s">
        <v>26295</v>
      </c>
      <c r="H7371" s="950" t="s">
        <v>1213</v>
      </c>
      <c r="I7371" s="951" t="s">
        <v>26332</v>
      </c>
      <c r="J7371" s="947" t="s">
        <v>9494</v>
      </c>
      <c r="K7371" s="143"/>
    </row>
    <row r="7372" spans="1:11">
      <c r="A7372" s="946" t="s">
        <v>28614</v>
      </c>
      <c r="B7372" s="947" t="s">
        <v>9753</v>
      </c>
      <c r="C7372" s="948" t="s">
        <v>9752</v>
      </c>
      <c r="D7372" s="242" t="s">
        <v>510</v>
      </c>
      <c r="E7372" s="949">
        <v>101</v>
      </c>
      <c r="F7372" s="949">
        <v>101</v>
      </c>
      <c r="G7372" s="950" t="s">
        <v>26295</v>
      </c>
      <c r="H7372" s="950" t="s">
        <v>1213</v>
      </c>
      <c r="I7372" s="951" t="s">
        <v>26333</v>
      </c>
      <c r="J7372" s="947" t="s">
        <v>9753</v>
      </c>
      <c r="K7372" s="143"/>
    </row>
    <row r="7373" spans="1:11">
      <c r="A7373" s="946" t="s">
        <v>28614</v>
      </c>
      <c r="B7373" s="947" t="s">
        <v>9806</v>
      </c>
      <c r="C7373" s="948" t="s">
        <v>9805</v>
      </c>
      <c r="D7373" s="242" t="s">
        <v>510</v>
      </c>
      <c r="E7373" s="949">
        <v>101</v>
      </c>
      <c r="F7373" s="949">
        <v>101</v>
      </c>
      <c r="G7373" s="950" t="s">
        <v>26295</v>
      </c>
      <c r="H7373" s="950" t="s">
        <v>1213</v>
      </c>
      <c r="I7373" s="951" t="s">
        <v>26334</v>
      </c>
      <c r="J7373" s="947" t="s">
        <v>9806</v>
      </c>
      <c r="K7373" s="143"/>
    </row>
    <row r="7374" spans="1:11">
      <c r="A7374" s="946" t="s">
        <v>28614</v>
      </c>
      <c r="B7374" s="947" t="s">
        <v>10630</v>
      </c>
      <c r="C7374" s="948" t="s">
        <v>10629</v>
      </c>
      <c r="D7374" s="242" t="s">
        <v>510</v>
      </c>
      <c r="E7374" s="949">
        <v>101</v>
      </c>
      <c r="F7374" s="949">
        <v>101</v>
      </c>
      <c r="G7374" s="950" t="s">
        <v>26295</v>
      </c>
      <c r="H7374" s="950" t="s">
        <v>1213</v>
      </c>
      <c r="I7374" s="951" t="s">
        <v>26335</v>
      </c>
      <c r="J7374" s="947" t="s">
        <v>10630</v>
      </c>
      <c r="K7374" s="143"/>
    </row>
    <row r="7375" spans="1:11">
      <c r="A7375" s="946" t="s">
        <v>28614</v>
      </c>
      <c r="B7375" s="947" t="s">
        <v>10835</v>
      </c>
      <c r="C7375" s="948" t="s">
        <v>10834</v>
      </c>
      <c r="D7375" s="242" t="s">
        <v>510</v>
      </c>
      <c r="E7375" s="949">
        <v>101</v>
      </c>
      <c r="F7375" s="949">
        <v>101</v>
      </c>
      <c r="G7375" s="950" t="s">
        <v>26295</v>
      </c>
      <c r="H7375" s="950" t="s">
        <v>1213</v>
      </c>
      <c r="I7375" s="951" t="s">
        <v>26336</v>
      </c>
      <c r="J7375" s="947" t="s">
        <v>10835</v>
      </c>
      <c r="K7375" s="143"/>
    </row>
    <row r="7376" spans="1:11">
      <c r="A7376" s="946" t="s">
        <v>28614</v>
      </c>
      <c r="B7376" s="947" t="s">
        <v>10849</v>
      </c>
      <c r="C7376" s="948" t="s">
        <v>10848</v>
      </c>
      <c r="D7376" s="242" t="s">
        <v>510</v>
      </c>
      <c r="E7376" s="949">
        <v>101</v>
      </c>
      <c r="F7376" s="949">
        <v>101</v>
      </c>
      <c r="G7376" s="950" t="s">
        <v>26295</v>
      </c>
      <c r="H7376" s="950" t="s">
        <v>1213</v>
      </c>
      <c r="I7376" s="951" t="s">
        <v>26337</v>
      </c>
      <c r="J7376" s="947" t="s">
        <v>10849</v>
      </c>
      <c r="K7376" s="143"/>
    </row>
    <row r="7377" spans="1:11">
      <c r="A7377" s="946" t="s">
        <v>28614</v>
      </c>
      <c r="B7377" s="947" t="s">
        <v>10972</v>
      </c>
      <c r="C7377" s="948" t="s">
        <v>10971</v>
      </c>
      <c r="D7377" s="242" t="s">
        <v>510</v>
      </c>
      <c r="E7377" s="949">
        <v>101</v>
      </c>
      <c r="F7377" s="949">
        <v>101</v>
      </c>
      <c r="G7377" s="950" t="s">
        <v>26295</v>
      </c>
      <c r="H7377" s="950" t="s">
        <v>1213</v>
      </c>
      <c r="I7377" s="951" t="s">
        <v>26338</v>
      </c>
      <c r="J7377" s="947" t="s">
        <v>10972</v>
      </c>
      <c r="K7377" s="143"/>
    </row>
    <row r="7378" spans="1:11">
      <c r="A7378" s="946" t="s">
        <v>28614</v>
      </c>
      <c r="B7378" s="947" t="s">
        <v>11347</v>
      </c>
      <c r="C7378" s="948" t="s">
        <v>11346</v>
      </c>
      <c r="D7378" s="242" t="s">
        <v>510</v>
      </c>
      <c r="E7378" s="949">
        <v>101</v>
      </c>
      <c r="F7378" s="949">
        <v>101</v>
      </c>
      <c r="G7378" s="950" t="s">
        <v>26295</v>
      </c>
      <c r="H7378" s="950" t="s">
        <v>1213</v>
      </c>
      <c r="I7378" s="951" t="s">
        <v>26339</v>
      </c>
      <c r="J7378" s="947" t="s">
        <v>11347</v>
      </c>
      <c r="K7378" s="143"/>
    </row>
    <row r="7379" spans="1:11">
      <c r="A7379" s="946" t="s">
        <v>28614</v>
      </c>
      <c r="B7379" s="947" t="s">
        <v>11429</v>
      </c>
      <c r="C7379" s="948" t="s">
        <v>11428</v>
      </c>
      <c r="D7379" s="242" t="s">
        <v>510</v>
      </c>
      <c r="E7379" s="949">
        <v>101</v>
      </c>
      <c r="F7379" s="949">
        <v>101</v>
      </c>
      <c r="G7379" s="950" t="s">
        <v>26295</v>
      </c>
      <c r="H7379" s="950" t="s">
        <v>1213</v>
      </c>
      <c r="I7379" s="951" t="s">
        <v>26340</v>
      </c>
      <c r="J7379" s="947" t="s">
        <v>11429</v>
      </c>
      <c r="K7379" s="143"/>
    </row>
    <row r="7380" spans="1:11">
      <c r="A7380" s="946" t="s">
        <v>28614</v>
      </c>
      <c r="B7380" s="947" t="s">
        <v>11642</v>
      </c>
      <c r="C7380" s="948" t="s">
        <v>11641</v>
      </c>
      <c r="D7380" s="242" t="s">
        <v>510</v>
      </c>
      <c r="E7380" s="949">
        <v>101</v>
      </c>
      <c r="F7380" s="949">
        <v>101</v>
      </c>
      <c r="G7380" s="950" t="s">
        <v>26295</v>
      </c>
      <c r="H7380" s="950" t="s">
        <v>1213</v>
      </c>
      <c r="I7380" s="951" t="s">
        <v>26341</v>
      </c>
      <c r="J7380" s="947" t="s">
        <v>11642</v>
      </c>
      <c r="K7380" s="143"/>
    </row>
    <row r="7381" spans="1:11">
      <c r="A7381" s="946" t="s">
        <v>28614</v>
      </c>
      <c r="B7381" s="947" t="s">
        <v>11735</v>
      </c>
      <c r="C7381" s="948" t="s">
        <v>11734</v>
      </c>
      <c r="D7381" s="242" t="s">
        <v>510</v>
      </c>
      <c r="E7381" s="949">
        <v>101</v>
      </c>
      <c r="F7381" s="949">
        <v>101</v>
      </c>
      <c r="G7381" s="950" t="s">
        <v>26295</v>
      </c>
      <c r="H7381" s="950" t="s">
        <v>1213</v>
      </c>
      <c r="I7381" s="951" t="s">
        <v>26342</v>
      </c>
      <c r="J7381" s="947" t="s">
        <v>11735</v>
      </c>
      <c r="K7381" s="143"/>
    </row>
    <row r="7382" spans="1:11">
      <c r="A7382" s="946" t="s">
        <v>28614</v>
      </c>
      <c r="B7382" s="947" t="s">
        <v>12446</v>
      </c>
      <c r="C7382" s="948" t="s">
        <v>12445</v>
      </c>
      <c r="D7382" s="242" t="s">
        <v>510</v>
      </c>
      <c r="E7382" s="949">
        <v>101</v>
      </c>
      <c r="F7382" s="949">
        <v>101</v>
      </c>
      <c r="G7382" s="950" t="s">
        <v>26295</v>
      </c>
      <c r="H7382" s="950" t="s">
        <v>1213</v>
      </c>
      <c r="I7382" s="951" t="s">
        <v>26343</v>
      </c>
      <c r="J7382" s="947" t="s">
        <v>12446</v>
      </c>
      <c r="K7382" s="143"/>
    </row>
    <row r="7383" spans="1:11">
      <c r="A7383" s="946" t="s">
        <v>28614</v>
      </c>
      <c r="B7383" s="947" t="s">
        <v>12742</v>
      </c>
      <c r="C7383" s="948" t="s">
        <v>12741</v>
      </c>
      <c r="D7383" s="242" t="s">
        <v>510</v>
      </c>
      <c r="E7383" s="949">
        <v>101</v>
      </c>
      <c r="F7383" s="949">
        <v>101</v>
      </c>
      <c r="G7383" s="950" t="s">
        <v>26295</v>
      </c>
      <c r="H7383" s="950" t="s">
        <v>1213</v>
      </c>
      <c r="I7383" s="951" t="s">
        <v>26344</v>
      </c>
      <c r="J7383" s="947" t="s">
        <v>12742</v>
      </c>
      <c r="K7383" s="143"/>
    </row>
    <row r="7384" spans="1:11">
      <c r="A7384" s="946" t="s">
        <v>28614</v>
      </c>
      <c r="B7384" s="947" t="s">
        <v>13366</v>
      </c>
      <c r="C7384" s="948" t="s">
        <v>13365</v>
      </c>
      <c r="D7384" s="242" t="s">
        <v>510</v>
      </c>
      <c r="E7384" s="949">
        <v>101</v>
      </c>
      <c r="F7384" s="949">
        <v>101</v>
      </c>
      <c r="G7384" s="950" t="s">
        <v>26295</v>
      </c>
      <c r="H7384" s="950" t="s">
        <v>1213</v>
      </c>
      <c r="I7384" s="951" t="s">
        <v>26345</v>
      </c>
      <c r="J7384" s="947" t="s">
        <v>13366</v>
      </c>
      <c r="K7384" s="143"/>
    </row>
    <row r="7385" spans="1:11">
      <c r="A7385" s="946" t="s">
        <v>28614</v>
      </c>
      <c r="B7385" s="947" t="s">
        <v>13529</v>
      </c>
      <c r="C7385" s="948" t="s">
        <v>13528</v>
      </c>
      <c r="D7385" s="242" t="s">
        <v>510</v>
      </c>
      <c r="E7385" s="949">
        <v>101</v>
      </c>
      <c r="F7385" s="949">
        <v>101</v>
      </c>
      <c r="G7385" s="950" t="s">
        <v>26295</v>
      </c>
      <c r="H7385" s="950" t="s">
        <v>1213</v>
      </c>
      <c r="I7385" s="951" t="s">
        <v>26346</v>
      </c>
      <c r="J7385" s="947" t="s">
        <v>13529</v>
      </c>
      <c r="K7385" s="143"/>
    </row>
    <row r="7386" spans="1:11">
      <c r="A7386" s="946" t="s">
        <v>28614</v>
      </c>
      <c r="B7386" s="947" t="s">
        <v>13635</v>
      </c>
      <c r="C7386" s="948" t="s">
        <v>13634</v>
      </c>
      <c r="D7386" s="242" t="s">
        <v>510</v>
      </c>
      <c r="E7386" s="949">
        <v>101</v>
      </c>
      <c r="F7386" s="949">
        <v>101</v>
      </c>
      <c r="G7386" s="950" t="s">
        <v>26295</v>
      </c>
      <c r="H7386" s="950" t="s">
        <v>1213</v>
      </c>
      <c r="I7386" s="951" t="s">
        <v>26347</v>
      </c>
      <c r="J7386" s="947" t="s">
        <v>13635</v>
      </c>
      <c r="K7386" s="143"/>
    </row>
    <row r="7387" spans="1:11">
      <c r="A7387" s="946" t="s">
        <v>28614</v>
      </c>
      <c r="B7387" s="947" t="s">
        <v>13745</v>
      </c>
      <c r="C7387" s="948" t="s">
        <v>13744</v>
      </c>
      <c r="D7387" s="242" t="s">
        <v>510</v>
      </c>
      <c r="E7387" s="949">
        <v>101</v>
      </c>
      <c r="F7387" s="949">
        <v>101</v>
      </c>
      <c r="G7387" s="950" t="s">
        <v>26295</v>
      </c>
      <c r="H7387" s="950" t="s">
        <v>1213</v>
      </c>
      <c r="I7387" s="951" t="s">
        <v>26348</v>
      </c>
      <c r="J7387" s="947" t="s">
        <v>13745</v>
      </c>
      <c r="K7387" s="143"/>
    </row>
    <row r="7388" spans="1:11">
      <c r="A7388" s="946" t="s">
        <v>28614</v>
      </c>
      <c r="B7388" s="947" t="s">
        <v>14133</v>
      </c>
      <c r="C7388" s="948" t="s">
        <v>14132</v>
      </c>
      <c r="D7388" s="242" t="s">
        <v>510</v>
      </c>
      <c r="E7388" s="949">
        <v>101</v>
      </c>
      <c r="F7388" s="949">
        <v>101</v>
      </c>
      <c r="G7388" s="950" t="s">
        <v>26295</v>
      </c>
      <c r="H7388" s="950" t="s">
        <v>1213</v>
      </c>
      <c r="I7388" s="951" t="s">
        <v>26349</v>
      </c>
      <c r="J7388" s="947" t="s">
        <v>14133</v>
      </c>
      <c r="K7388" s="143"/>
    </row>
    <row r="7389" spans="1:11">
      <c r="A7389" s="946" t="s">
        <v>28614</v>
      </c>
      <c r="B7389" s="947" t="s">
        <v>14826</v>
      </c>
      <c r="C7389" s="948" t="s">
        <v>14825</v>
      </c>
      <c r="D7389" s="242" t="s">
        <v>510</v>
      </c>
      <c r="E7389" s="949">
        <v>101</v>
      </c>
      <c r="F7389" s="949">
        <v>101</v>
      </c>
      <c r="G7389" s="950" t="s">
        <v>26295</v>
      </c>
      <c r="H7389" s="950" t="s">
        <v>1213</v>
      </c>
      <c r="I7389" s="951" t="s">
        <v>26350</v>
      </c>
      <c r="J7389" s="947" t="s">
        <v>14826</v>
      </c>
      <c r="K7389" s="143"/>
    </row>
    <row r="7390" spans="1:11">
      <c r="A7390" s="946" t="s">
        <v>28614</v>
      </c>
      <c r="B7390" s="947" t="s">
        <v>14966</v>
      </c>
      <c r="C7390" s="948" t="s">
        <v>14965</v>
      </c>
      <c r="D7390" s="242" t="s">
        <v>510</v>
      </c>
      <c r="E7390" s="949">
        <v>101</v>
      </c>
      <c r="F7390" s="949">
        <v>101</v>
      </c>
      <c r="G7390" s="950" t="s">
        <v>26295</v>
      </c>
      <c r="H7390" s="950" t="s">
        <v>1213</v>
      </c>
      <c r="I7390" s="951" t="s">
        <v>26351</v>
      </c>
      <c r="J7390" s="947" t="s">
        <v>14966</v>
      </c>
      <c r="K7390" s="143"/>
    </row>
    <row r="7391" spans="1:11">
      <c r="A7391" s="946" t="s">
        <v>28614</v>
      </c>
      <c r="B7391" s="947" t="s">
        <v>15826</v>
      </c>
      <c r="C7391" s="948" t="s">
        <v>15825</v>
      </c>
      <c r="D7391" s="242" t="s">
        <v>510</v>
      </c>
      <c r="E7391" s="949">
        <v>101</v>
      </c>
      <c r="F7391" s="949">
        <v>101</v>
      </c>
      <c r="G7391" s="950" t="s">
        <v>26295</v>
      </c>
      <c r="H7391" s="950" t="s">
        <v>1213</v>
      </c>
      <c r="I7391" s="951" t="s">
        <v>26352</v>
      </c>
      <c r="J7391" s="947" t="s">
        <v>15826</v>
      </c>
      <c r="K7391" s="143"/>
    </row>
    <row r="7392" spans="1:11">
      <c r="A7392" s="946" t="s">
        <v>28614</v>
      </c>
      <c r="B7392" s="947" t="s">
        <v>15828</v>
      </c>
      <c r="C7392" s="948" t="s">
        <v>15827</v>
      </c>
      <c r="D7392" s="242" t="s">
        <v>510</v>
      </c>
      <c r="E7392" s="949">
        <v>101</v>
      </c>
      <c r="F7392" s="949">
        <v>101</v>
      </c>
      <c r="G7392" s="950" t="s">
        <v>26295</v>
      </c>
      <c r="H7392" s="950" t="s">
        <v>1213</v>
      </c>
      <c r="I7392" s="951" t="s">
        <v>26353</v>
      </c>
      <c r="J7392" s="947" t="s">
        <v>15828</v>
      </c>
      <c r="K7392" s="143"/>
    </row>
    <row r="7393" spans="1:11">
      <c r="A7393" s="946" t="s">
        <v>28614</v>
      </c>
      <c r="B7393" s="947" t="s">
        <v>15836</v>
      </c>
      <c r="C7393" s="948" t="s">
        <v>15835</v>
      </c>
      <c r="D7393" s="242" t="s">
        <v>510</v>
      </c>
      <c r="E7393" s="949">
        <v>101</v>
      </c>
      <c r="F7393" s="949">
        <v>101</v>
      </c>
      <c r="G7393" s="950" t="s">
        <v>26295</v>
      </c>
      <c r="H7393" s="950" t="s">
        <v>1213</v>
      </c>
      <c r="I7393" s="951" t="s">
        <v>26354</v>
      </c>
      <c r="J7393" s="947" t="s">
        <v>15836</v>
      </c>
      <c r="K7393" s="143"/>
    </row>
    <row r="7394" spans="1:11">
      <c r="A7394" s="946" t="s">
        <v>28614</v>
      </c>
      <c r="B7394" s="947" t="s">
        <v>15962</v>
      </c>
      <c r="C7394" s="948" t="s">
        <v>15961</v>
      </c>
      <c r="D7394" s="242" t="s">
        <v>510</v>
      </c>
      <c r="E7394" s="949">
        <v>101</v>
      </c>
      <c r="F7394" s="949">
        <v>101</v>
      </c>
      <c r="G7394" s="950" t="s">
        <v>26295</v>
      </c>
      <c r="H7394" s="950" t="s">
        <v>1213</v>
      </c>
      <c r="I7394" s="951" t="s">
        <v>26355</v>
      </c>
      <c r="J7394" s="947" t="s">
        <v>15962</v>
      </c>
      <c r="K7394" s="143"/>
    </row>
    <row r="7395" spans="1:11">
      <c r="A7395" s="946" t="s">
        <v>28614</v>
      </c>
      <c r="B7395" s="947" t="s">
        <v>15964</v>
      </c>
      <c r="C7395" s="948" t="s">
        <v>15963</v>
      </c>
      <c r="D7395" s="242" t="s">
        <v>510</v>
      </c>
      <c r="E7395" s="949">
        <v>101</v>
      </c>
      <c r="F7395" s="949">
        <v>101</v>
      </c>
      <c r="G7395" s="950" t="s">
        <v>26295</v>
      </c>
      <c r="H7395" s="950" t="s">
        <v>1213</v>
      </c>
      <c r="I7395" s="951" t="s">
        <v>26356</v>
      </c>
      <c r="J7395" s="947" t="s">
        <v>15964</v>
      </c>
      <c r="K7395" s="143"/>
    </row>
    <row r="7396" spans="1:11">
      <c r="A7396" s="946" t="s">
        <v>28614</v>
      </c>
      <c r="B7396" s="947" t="s">
        <v>16133</v>
      </c>
      <c r="C7396" s="948" t="s">
        <v>16132</v>
      </c>
      <c r="D7396" s="242" t="s">
        <v>510</v>
      </c>
      <c r="E7396" s="949">
        <v>101</v>
      </c>
      <c r="F7396" s="949">
        <v>101</v>
      </c>
      <c r="G7396" s="950" t="s">
        <v>26295</v>
      </c>
      <c r="H7396" s="950" t="s">
        <v>1213</v>
      </c>
      <c r="I7396" s="951" t="s">
        <v>26357</v>
      </c>
      <c r="J7396" s="947" t="s">
        <v>16133</v>
      </c>
      <c r="K7396" s="143"/>
    </row>
    <row r="7397" spans="1:11">
      <c r="A7397" s="946" t="s">
        <v>28614</v>
      </c>
      <c r="B7397" s="947" t="s">
        <v>17403</v>
      </c>
      <c r="C7397" s="948" t="s">
        <v>17402</v>
      </c>
      <c r="D7397" s="242" t="s">
        <v>510</v>
      </c>
      <c r="E7397" s="949">
        <v>101</v>
      </c>
      <c r="F7397" s="949">
        <v>101</v>
      </c>
      <c r="G7397" s="950" t="s">
        <v>26295</v>
      </c>
      <c r="H7397" s="950" t="s">
        <v>1213</v>
      </c>
      <c r="I7397" s="951" t="s">
        <v>26358</v>
      </c>
      <c r="J7397" s="947" t="s">
        <v>17403</v>
      </c>
      <c r="K7397" s="143"/>
    </row>
    <row r="7398" spans="1:11">
      <c r="A7398" s="946" t="s">
        <v>28614</v>
      </c>
      <c r="B7398" s="947" t="s">
        <v>18496</v>
      </c>
      <c r="C7398" s="948" t="s">
        <v>18495</v>
      </c>
      <c r="D7398" s="242" t="s">
        <v>510</v>
      </c>
      <c r="E7398" s="949">
        <v>101</v>
      </c>
      <c r="F7398" s="949">
        <v>101</v>
      </c>
      <c r="G7398" s="950" t="s">
        <v>26295</v>
      </c>
      <c r="H7398" s="950" t="s">
        <v>1213</v>
      </c>
      <c r="I7398" s="951" t="s">
        <v>26359</v>
      </c>
      <c r="J7398" s="947" t="s">
        <v>18496</v>
      </c>
      <c r="K7398" s="143"/>
    </row>
    <row r="7399" spans="1:11">
      <c r="A7399" s="946" t="s">
        <v>28614</v>
      </c>
      <c r="B7399" s="947" t="s">
        <v>20051</v>
      </c>
      <c r="C7399" s="948" t="s">
        <v>20050</v>
      </c>
      <c r="D7399" s="242" t="s">
        <v>510</v>
      </c>
      <c r="E7399" s="949">
        <v>101</v>
      </c>
      <c r="F7399" s="949">
        <v>101</v>
      </c>
      <c r="G7399" s="950" t="s">
        <v>26295</v>
      </c>
      <c r="H7399" s="950" t="s">
        <v>1213</v>
      </c>
      <c r="I7399" s="951" t="s">
        <v>26360</v>
      </c>
      <c r="J7399" s="947" t="s">
        <v>20051</v>
      </c>
      <c r="K7399" s="143"/>
    </row>
    <row r="7400" spans="1:11">
      <c r="A7400" s="946" t="s">
        <v>28614</v>
      </c>
      <c r="B7400" s="947" t="s">
        <v>20505</v>
      </c>
      <c r="C7400" s="948" t="s">
        <v>20504</v>
      </c>
      <c r="D7400" s="242" t="s">
        <v>510</v>
      </c>
      <c r="E7400" s="949">
        <v>101</v>
      </c>
      <c r="F7400" s="949">
        <v>101</v>
      </c>
      <c r="G7400" s="950" t="s">
        <v>26295</v>
      </c>
      <c r="H7400" s="950" t="s">
        <v>1213</v>
      </c>
      <c r="I7400" s="951" t="s">
        <v>26361</v>
      </c>
      <c r="J7400" s="947" t="s">
        <v>20505</v>
      </c>
      <c r="K7400" s="143"/>
    </row>
    <row r="7401" spans="1:11">
      <c r="A7401" s="946" t="s">
        <v>28614</v>
      </c>
      <c r="B7401" s="947" t="s">
        <v>20850</v>
      </c>
      <c r="C7401" s="948" t="s">
        <v>20849</v>
      </c>
      <c r="D7401" s="242" t="s">
        <v>510</v>
      </c>
      <c r="E7401" s="949">
        <v>101</v>
      </c>
      <c r="F7401" s="949">
        <v>101</v>
      </c>
      <c r="G7401" s="950" t="s">
        <v>26295</v>
      </c>
      <c r="H7401" s="950" t="s">
        <v>1213</v>
      </c>
      <c r="I7401" s="951" t="s">
        <v>26362</v>
      </c>
      <c r="J7401" s="947" t="s">
        <v>20850</v>
      </c>
      <c r="K7401" s="143"/>
    </row>
    <row r="7402" spans="1:11">
      <c r="A7402" s="946" t="s">
        <v>28614</v>
      </c>
      <c r="B7402" s="947" t="s">
        <v>20858</v>
      </c>
      <c r="C7402" s="948" t="s">
        <v>20857</v>
      </c>
      <c r="D7402" s="242" t="s">
        <v>510</v>
      </c>
      <c r="E7402" s="949">
        <v>101</v>
      </c>
      <c r="F7402" s="949">
        <v>101</v>
      </c>
      <c r="G7402" s="950" t="s">
        <v>26295</v>
      </c>
      <c r="H7402" s="950" t="s">
        <v>1213</v>
      </c>
      <c r="I7402" s="951" t="s">
        <v>26363</v>
      </c>
      <c r="J7402" s="947" t="s">
        <v>20858</v>
      </c>
      <c r="K7402" s="143"/>
    </row>
    <row r="7403" spans="1:11">
      <c r="A7403" s="946" t="s">
        <v>28614</v>
      </c>
      <c r="B7403" s="947" t="s">
        <v>21086</v>
      </c>
      <c r="C7403" s="948" t="s">
        <v>21085</v>
      </c>
      <c r="D7403" s="242" t="s">
        <v>510</v>
      </c>
      <c r="E7403" s="949">
        <v>101</v>
      </c>
      <c r="F7403" s="949">
        <v>101</v>
      </c>
      <c r="G7403" s="950" t="s">
        <v>26295</v>
      </c>
      <c r="H7403" s="950" t="s">
        <v>1213</v>
      </c>
      <c r="I7403" s="951" t="s">
        <v>26364</v>
      </c>
      <c r="J7403" s="947" t="s">
        <v>21086</v>
      </c>
      <c r="K7403" s="143"/>
    </row>
    <row r="7404" spans="1:11">
      <c r="A7404" s="946" t="s">
        <v>28614</v>
      </c>
      <c r="B7404" s="947" t="s">
        <v>21525</v>
      </c>
      <c r="C7404" s="948" t="s">
        <v>21524</v>
      </c>
      <c r="D7404" s="242" t="s">
        <v>510</v>
      </c>
      <c r="E7404" s="949">
        <v>101</v>
      </c>
      <c r="F7404" s="949">
        <v>101</v>
      </c>
      <c r="G7404" s="950" t="s">
        <v>26295</v>
      </c>
      <c r="H7404" s="950" t="s">
        <v>1213</v>
      </c>
      <c r="I7404" s="951" t="s">
        <v>26365</v>
      </c>
      <c r="J7404" s="947" t="s">
        <v>21525</v>
      </c>
      <c r="K7404" s="143"/>
    </row>
    <row r="7405" spans="1:11">
      <c r="A7405" s="946" t="s">
        <v>28614</v>
      </c>
      <c r="B7405" s="947" t="s">
        <v>21551</v>
      </c>
      <c r="C7405" s="948" t="s">
        <v>21550</v>
      </c>
      <c r="D7405" s="242" t="s">
        <v>510</v>
      </c>
      <c r="E7405" s="949">
        <v>101</v>
      </c>
      <c r="F7405" s="949">
        <v>101</v>
      </c>
      <c r="G7405" s="950" t="s">
        <v>26295</v>
      </c>
      <c r="H7405" s="950" t="s">
        <v>1213</v>
      </c>
      <c r="I7405" s="951" t="s">
        <v>26366</v>
      </c>
      <c r="J7405" s="947" t="s">
        <v>21551</v>
      </c>
      <c r="K7405" s="143"/>
    </row>
    <row r="7406" spans="1:11">
      <c r="A7406" s="946" t="s">
        <v>28614</v>
      </c>
      <c r="B7406" s="947" t="s">
        <v>21604</v>
      </c>
      <c r="C7406" s="948" t="s">
        <v>21603</v>
      </c>
      <c r="D7406" s="242" t="s">
        <v>510</v>
      </c>
      <c r="E7406" s="949">
        <v>101</v>
      </c>
      <c r="F7406" s="949">
        <v>101</v>
      </c>
      <c r="G7406" s="950" t="s">
        <v>26295</v>
      </c>
      <c r="H7406" s="950" t="s">
        <v>1213</v>
      </c>
      <c r="I7406" s="951" t="s">
        <v>26367</v>
      </c>
      <c r="J7406" s="947" t="s">
        <v>21604</v>
      </c>
      <c r="K7406" s="143"/>
    </row>
    <row r="7407" spans="1:11">
      <c r="A7407" s="946" t="s">
        <v>28614</v>
      </c>
      <c r="B7407" s="947" t="s">
        <v>21727</v>
      </c>
      <c r="C7407" s="948" t="s">
        <v>21726</v>
      </c>
      <c r="D7407" s="242" t="s">
        <v>510</v>
      </c>
      <c r="E7407" s="949">
        <v>101</v>
      </c>
      <c r="F7407" s="949">
        <v>101</v>
      </c>
      <c r="G7407" s="950" t="s">
        <v>26295</v>
      </c>
      <c r="H7407" s="950" t="s">
        <v>1213</v>
      </c>
      <c r="I7407" s="951" t="s">
        <v>26368</v>
      </c>
      <c r="J7407" s="947" t="s">
        <v>21727</v>
      </c>
      <c r="K7407" s="143"/>
    </row>
    <row r="7408" spans="1:11">
      <c r="A7408" s="946" t="s">
        <v>28614</v>
      </c>
      <c r="B7408" s="947" t="s">
        <v>22019</v>
      </c>
      <c r="C7408" s="948" t="s">
        <v>22018</v>
      </c>
      <c r="D7408" s="242" t="s">
        <v>510</v>
      </c>
      <c r="E7408" s="949">
        <v>101</v>
      </c>
      <c r="F7408" s="949">
        <v>101</v>
      </c>
      <c r="G7408" s="950" t="s">
        <v>26295</v>
      </c>
      <c r="H7408" s="950" t="s">
        <v>1213</v>
      </c>
      <c r="I7408" s="951" t="s">
        <v>26369</v>
      </c>
      <c r="J7408" s="947" t="s">
        <v>22019</v>
      </c>
      <c r="K7408" s="143"/>
    </row>
    <row r="7409" spans="1:11">
      <c r="A7409" s="946" t="s">
        <v>28614</v>
      </c>
      <c r="B7409" s="947" t="s">
        <v>22164</v>
      </c>
      <c r="C7409" s="948" t="s">
        <v>22163</v>
      </c>
      <c r="D7409" s="242" t="s">
        <v>510</v>
      </c>
      <c r="E7409" s="949">
        <v>101</v>
      </c>
      <c r="F7409" s="949">
        <v>101</v>
      </c>
      <c r="G7409" s="950" t="s">
        <v>26295</v>
      </c>
      <c r="H7409" s="950" t="s">
        <v>1213</v>
      </c>
      <c r="I7409" s="951" t="s">
        <v>26370</v>
      </c>
      <c r="J7409" s="947" t="s">
        <v>22164</v>
      </c>
      <c r="K7409" s="143"/>
    </row>
    <row r="7410" spans="1:11">
      <c r="A7410" s="946" t="s">
        <v>28614</v>
      </c>
      <c r="B7410" s="947" t="s">
        <v>22346</v>
      </c>
      <c r="C7410" s="948" t="s">
        <v>22345</v>
      </c>
      <c r="D7410" s="242" t="s">
        <v>510</v>
      </c>
      <c r="E7410" s="949">
        <v>101</v>
      </c>
      <c r="F7410" s="949">
        <v>101</v>
      </c>
      <c r="G7410" s="950" t="s">
        <v>26295</v>
      </c>
      <c r="H7410" s="950" t="s">
        <v>1213</v>
      </c>
      <c r="I7410" s="951" t="s">
        <v>26371</v>
      </c>
      <c r="J7410" s="947" t="s">
        <v>22346</v>
      </c>
      <c r="K7410" s="143"/>
    </row>
    <row r="7411" spans="1:11">
      <c r="A7411" s="946" t="s">
        <v>28614</v>
      </c>
      <c r="B7411" s="947" t="s">
        <v>22492</v>
      </c>
      <c r="C7411" s="948" t="s">
        <v>22491</v>
      </c>
      <c r="D7411" s="242" t="s">
        <v>510</v>
      </c>
      <c r="E7411" s="949">
        <v>101</v>
      </c>
      <c r="F7411" s="949">
        <v>101</v>
      </c>
      <c r="G7411" s="950" t="s">
        <v>26295</v>
      </c>
      <c r="H7411" s="950" t="s">
        <v>1213</v>
      </c>
      <c r="I7411" s="951" t="s">
        <v>26372</v>
      </c>
      <c r="J7411" s="947" t="s">
        <v>22492</v>
      </c>
      <c r="K7411" s="143"/>
    </row>
    <row r="7412" spans="1:11">
      <c r="A7412" s="946" t="s">
        <v>28614</v>
      </c>
      <c r="B7412" s="947" t="s">
        <v>26308</v>
      </c>
      <c r="C7412" s="948" t="s">
        <v>26309</v>
      </c>
      <c r="D7412" s="242" t="s">
        <v>510</v>
      </c>
      <c r="E7412" s="949">
        <v>101</v>
      </c>
      <c r="F7412" s="949">
        <v>101</v>
      </c>
      <c r="G7412" s="950" t="s">
        <v>26295</v>
      </c>
      <c r="H7412" s="950" t="s">
        <v>1213</v>
      </c>
      <c r="I7412" s="951" t="s">
        <v>26310</v>
      </c>
      <c r="J7412" s="947" t="s">
        <v>26308</v>
      </c>
      <c r="K7412" s="143"/>
    </row>
    <row r="7413" spans="1:11">
      <c r="A7413" s="946" t="s">
        <v>28614</v>
      </c>
      <c r="B7413" s="947" t="s">
        <v>28644</v>
      </c>
      <c r="C7413" s="948" t="s">
        <v>28767</v>
      </c>
      <c r="D7413" s="242" t="s">
        <v>510</v>
      </c>
      <c r="E7413" s="949">
        <v>101</v>
      </c>
      <c r="F7413" s="949">
        <v>101</v>
      </c>
      <c r="G7413" s="950" t="s">
        <v>26295</v>
      </c>
      <c r="H7413" s="950" t="s">
        <v>1213</v>
      </c>
      <c r="I7413" s="951" t="s">
        <v>28688</v>
      </c>
      <c r="J7413" s="947" t="s">
        <v>28644</v>
      </c>
      <c r="K7413" s="143"/>
    </row>
    <row r="7414" spans="1:11">
      <c r="A7414" s="946" t="s">
        <v>28612</v>
      </c>
      <c r="B7414" s="947" t="s">
        <v>642</v>
      </c>
      <c r="C7414" s="948" t="s">
        <v>640</v>
      </c>
      <c r="D7414" s="242" t="s">
        <v>28725</v>
      </c>
      <c r="E7414" s="949">
        <v>313</v>
      </c>
      <c r="F7414" s="949">
        <v>313</v>
      </c>
      <c r="G7414" s="950" t="s">
        <v>26183</v>
      </c>
      <c r="H7414" s="950" t="s">
        <v>641</v>
      </c>
      <c r="I7414" s="951" t="s">
        <v>26184</v>
      </c>
      <c r="J7414" s="947" t="s">
        <v>642</v>
      </c>
      <c r="K7414" s="143"/>
    </row>
    <row r="7415" spans="1:11">
      <c r="A7415" s="946" t="s">
        <v>28612</v>
      </c>
      <c r="B7415" s="947" t="s">
        <v>665</v>
      </c>
      <c r="C7415" s="948" t="s">
        <v>664</v>
      </c>
      <c r="D7415" s="242" t="s">
        <v>28725</v>
      </c>
      <c r="E7415" s="949">
        <v>313</v>
      </c>
      <c r="F7415" s="949">
        <v>313</v>
      </c>
      <c r="G7415" s="950" t="s">
        <v>26183</v>
      </c>
      <c r="H7415" s="950" t="s">
        <v>641</v>
      </c>
      <c r="I7415" s="951" t="s">
        <v>26185</v>
      </c>
      <c r="J7415" s="947" t="s">
        <v>665</v>
      </c>
      <c r="K7415" s="143"/>
    </row>
    <row r="7416" spans="1:11">
      <c r="A7416" s="946" t="s">
        <v>28612</v>
      </c>
      <c r="B7416" s="947" t="s">
        <v>825</v>
      </c>
      <c r="C7416" s="948" t="s">
        <v>824</v>
      </c>
      <c r="D7416" s="242" t="s">
        <v>28725</v>
      </c>
      <c r="E7416" s="949">
        <v>313</v>
      </c>
      <c r="F7416" s="949">
        <v>313</v>
      </c>
      <c r="G7416" s="950" t="s">
        <v>26183</v>
      </c>
      <c r="H7416" s="950" t="s">
        <v>641</v>
      </c>
      <c r="I7416" s="951" t="s">
        <v>26186</v>
      </c>
      <c r="J7416" s="947" t="s">
        <v>825</v>
      </c>
      <c r="K7416" s="143"/>
    </row>
    <row r="7417" spans="1:11">
      <c r="A7417" s="946" t="s">
        <v>28612</v>
      </c>
      <c r="B7417" s="947" t="s">
        <v>1348</v>
      </c>
      <c r="C7417" s="948" t="s">
        <v>1347</v>
      </c>
      <c r="D7417" s="242" t="s">
        <v>28725</v>
      </c>
      <c r="E7417" s="949">
        <v>313</v>
      </c>
      <c r="F7417" s="949">
        <v>313</v>
      </c>
      <c r="G7417" s="950" t="s">
        <v>26183</v>
      </c>
      <c r="H7417" s="950" t="s">
        <v>641</v>
      </c>
      <c r="I7417" s="951" t="s">
        <v>26187</v>
      </c>
      <c r="J7417" s="947" t="s">
        <v>1348</v>
      </c>
      <c r="K7417" s="143"/>
    </row>
    <row r="7418" spans="1:11">
      <c r="A7418" s="946" t="s">
        <v>28612</v>
      </c>
      <c r="B7418" s="947" t="s">
        <v>2008</v>
      </c>
      <c r="C7418" s="948" t="s">
        <v>2007</v>
      </c>
      <c r="D7418" s="242" t="s">
        <v>28725</v>
      </c>
      <c r="E7418" s="949">
        <v>313</v>
      </c>
      <c r="F7418" s="949">
        <v>313</v>
      </c>
      <c r="G7418" s="950" t="s">
        <v>26183</v>
      </c>
      <c r="H7418" s="950" t="s">
        <v>641</v>
      </c>
      <c r="I7418" s="951" t="s">
        <v>26188</v>
      </c>
      <c r="J7418" s="947" t="s">
        <v>2008</v>
      </c>
      <c r="K7418" s="143"/>
    </row>
    <row r="7419" spans="1:11">
      <c r="A7419" s="946" t="s">
        <v>28612</v>
      </c>
      <c r="B7419" s="947" t="s">
        <v>2207</v>
      </c>
      <c r="C7419" s="948" t="s">
        <v>2206</v>
      </c>
      <c r="D7419" s="242" t="s">
        <v>28725</v>
      </c>
      <c r="E7419" s="949">
        <v>313</v>
      </c>
      <c r="F7419" s="949">
        <v>313</v>
      </c>
      <c r="G7419" s="950" t="s">
        <v>26183</v>
      </c>
      <c r="H7419" s="950" t="s">
        <v>641</v>
      </c>
      <c r="I7419" s="951" t="s">
        <v>26189</v>
      </c>
      <c r="J7419" s="947" t="s">
        <v>2207</v>
      </c>
      <c r="K7419" s="143"/>
    </row>
    <row r="7420" spans="1:11">
      <c r="A7420" s="946" t="s">
        <v>28612</v>
      </c>
      <c r="B7420" s="947" t="s">
        <v>2312</v>
      </c>
      <c r="C7420" s="948" t="s">
        <v>2311</v>
      </c>
      <c r="D7420" s="242" t="s">
        <v>28725</v>
      </c>
      <c r="E7420" s="949">
        <v>313</v>
      </c>
      <c r="F7420" s="949">
        <v>313</v>
      </c>
      <c r="G7420" s="950" t="s">
        <v>26183</v>
      </c>
      <c r="H7420" s="950" t="s">
        <v>641</v>
      </c>
      <c r="I7420" s="951" t="s">
        <v>26190</v>
      </c>
      <c r="J7420" s="947" t="s">
        <v>2312</v>
      </c>
      <c r="K7420" s="143"/>
    </row>
    <row r="7421" spans="1:11">
      <c r="A7421" s="946" t="s">
        <v>28612</v>
      </c>
      <c r="B7421" s="947" t="s">
        <v>2344</v>
      </c>
      <c r="C7421" s="948" t="s">
        <v>2343</v>
      </c>
      <c r="D7421" s="242" t="s">
        <v>28725</v>
      </c>
      <c r="E7421" s="949">
        <v>313</v>
      </c>
      <c r="F7421" s="949">
        <v>313</v>
      </c>
      <c r="G7421" s="950" t="s">
        <v>26183</v>
      </c>
      <c r="H7421" s="950" t="s">
        <v>641</v>
      </c>
      <c r="I7421" s="951" t="s">
        <v>26191</v>
      </c>
      <c r="J7421" s="947" t="s">
        <v>2344</v>
      </c>
      <c r="K7421" s="143"/>
    </row>
    <row r="7422" spans="1:11">
      <c r="A7422" s="946" t="s">
        <v>28612</v>
      </c>
      <c r="B7422" s="947" t="s">
        <v>2407</v>
      </c>
      <c r="C7422" s="948" t="s">
        <v>2406</v>
      </c>
      <c r="D7422" s="242" t="s">
        <v>28725</v>
      </c>
      <c r="E7422" s="949">
        <v>313</v>
      </c>
      <c r="F7422" s="949">
        <v>313</v>
      </c>
      <c r="G7422" s="950" t="s">
        <v>26183</v>
      </c>
      <c r="H7422" s="950" t="s">
        <v>641</v>
      </c>
      <c r="I7422" s="951" t="s">
        <v>26192</v>
      </c>
      <c r="J7422" s="947" t="s">
        <v>2407</v>
      </c>
      <c r="K7422" s="143"/>
    </row>
    <row r="7423" spans="1:11">
      <c r="A7423" s="946" t="s">
        <v>28612</v>
      </c>
      <c r="B7423" s="947" t="s">
        <v>2928</v>
      </c>
      <c r="C7423" s="948" t="s">
        <v>2927</v>
      </c>
      <c r="D7423" s="242" t="s">
        <v>28725</v>
      </c>
      <c r="E7423" s="949">
        <v>313</v>
      </c>
      <c r="F7423" s="949">
        <v>313</v>
      </c>
      <c r="G7423" s="950" t="s">
        <v>26183</v>
      </c>
      <c r="H7423" s="950" t="s">
        <v>641</v>
      </c>
      <c r="I7423" s="951" t="s">
        <v>26193</v>
      </c>
      <c r="J7423" s="947" t="s">
        <v>2928</v>
      </c>
      <c r="K7423" s="143"/>
    </row>
    <row r="7424" spans="1:11">
      <c r="A7424" s="946" t="s">
        <v>28612</v>
      </c>
      <c r="B7424" s="947" t="s">
        <v>3081</v>
      </c>
      <c r="C7424" s="948" t="s">
        <v>3080</v>
      </c>
      <c r="D7424" s="242" t="s">
        <v>28725</v>
      </c>
      <c r="E7424" s="949">
        <v>313</v>
      </c>
      <c r="F7424" s="949">
        <v>313</v>
      </c>
      <c r="G7424" s="950" t="s">
        <v>26183</v>
      </c>
      <c r="H7424" s="950" t="s">
        <v>641</v>
      </c>
      <c r="I7424" s="951" t="s">
        <v>26194</v>
      </c>
      <c r="J7424" s="947" t="s">
        <v>3081</v>
      </c>
      <c r="K7424" s="143"/>
    </row>
    <row r="7425" spans="1:11">
      <c r="A7425" s="946" t="s">
        <v>28612</v>
      </c>
      <c r="B7425" s="947" t="s">
        <v>3130</v>
      </c>
      <c r="C7425" s="948" t="s">
        <v>3129</v>
      </c>
      <c r="D7425" s="242" t="s">
        <v>28725</v>
      </c>
      <c r="E7425" s="949">
        <v>313</v>
      </c>
      <c r="F7425" s="949">
        <v>313</v>
      </c>
      <c r="G7425" s="950" t="s">
        <v>26183</v>
      </c>
      <c r="H7425" s="950" t="s">
        <v>641</v>
      </c>
      <c r="I7425" s="951" t="s">
        <v>26195</v>
      </c>
      <c r="J7425" s="947" t="s">
        <v>3130</v>
      </c>
      <c r="K7425" s="143"/>
    </row>
    <row r="7426" spans="1:11">
      <c r="A7426" s="946" t="s">
        <v>28612</v>
      </c>
      <c r="B7426" s="947" t="s">
        <v>3251</v>
      </c>
      <c r="C7426" s="948" t="s">
        <v>3250</v>
      </c>
      <c r="D7426" s="242" t="s">
        <v>28725</v>
      </c>
      <c r="E7426" s="949">
        <v>313</v>
      </c>
      <c r="F7426" s="949">
        <v>313</v>
      </c>
      <c r="G7426" s="950" t="s">
        <v>26183</v>
      </c>
      <c r="H7426" s="950" t="s">
        <v>641</v>
      </c>
      <c r="I7426" s="951" t="s">
        <v>26196</v>
      </c>
      <c r="J7426" s="947" t="s">
        <v>3251</v>
      </c>
      <c r="K7426" s="143"/>
    </row>
    <row r="7427" spans="1:11">
      <c r="A7427" s="946" t="s">
        <v>28612</v>
      </c>
      <c r="B7427" s="947" t="s">
        <v>3691</v>
      </c>
      <c r="C7427" s="948" t="s">
        <v>3690</v>
      </c>
      <c r="D7427" s="242" t="s">
        <v>28725</v>
      </c>
      <c r="E7427" s="949">
        <v>313</v>
      </c>
      <c r="F7427" s="949">
        <v>313</v>
      </c>
      <c r="G7427" s="950" t="s">
        <v>26183</v>
      </c>
      <c r="H7427" s="950" t="s">
        <v>641</v>
      </c>
      <c r="I7427" s="951" t="s">
        <v>26197</v>
      </c>
      <c r="J7427" s="947" t="s">
        <v>3691</v>
      </c>
      <c r="K7427" s="143"/>
    </row>
    <row r="7428" spans="1:11">
      <c r="A7428" s="946" t="s">
        <v>28612</v>
      </c>
      <c r="B7428" s="947" t="s">
        <v>4220</v>
      </c>
      <c r="C7428" s="948" t="s">
        <v>4219</v>
      </c>
      <c r="D7428" s="242" t="s">
        <v>28725</v>
      </c>
      <c r="E7428" s="949">
        <v>313</v>
      </c>
      <c r="F7428" s="949">
        <v>313</v>
      </c>
      <c r="G7428" s="950" t="s">
        <v>26183</v>
      </c>
      <c r="H7428" s="950" t="s">
        <v>641</v>
      </c>
      <c r="I7428" s="951" t="s">
        <v>26198</v>
      </c>
      <c r="J7428" s="947" t="s">
        <v>4220</v>
      </c>
      <c r="K7428" s="143"/>
    </row>
    <row r="7429" spans="1:11">
      <c r="A7429" s="946" t="s">
        <v>28612</v>
      </c>
      <c r="B7429" s="947" t="s">
        <v>4366</v>
      </c>
      <c r="C7429" s="948" t="s">
        <v>4365</v>
      </c>
      <c r="D7429" s="242" t="s">
        <v>28725</v>
      </c>
      <c r="E7429" s="949">
        <v>313</v>
      </c>
      <c r="F7429" s="949">
        <v>313</v>
      </c>
      <c r="G7429" s="950" t="s">
        <v>26183</v>
      </c>
      <c r="H7429" s="950" t="s">
        <v>641</v>
      </c>
      <c r="I7429" s="951" t="s">
        <v>26199</v>
      </c>
      <c r="J7429" s="947" t="s">
        <v>4366</v>
      </c>
      <c r="K7429" s="143"/>
    </row>
    <row r="7430" spans="1:11">
      <c r="A7430" s="946" t="s">
        <v>28612</v>
      </c>
      <c r="B7430" s="947" t="s">
        <v>5715</v>
      </c>
      <c r="C7430" s="948" t="s">
        <v>5714</v>
      </c>
      <c r="D7430" s="242" t="s">
        <v>28725</v>
      </c>
      <c r="E7430" s="949">
        <v>313</v>
      </c>
      <c r="F7430" s="949">
        <v>313</v>
      </c>
      <c r="G7430" s="950" t="s">
        <v>26183</v>
      </c>
      <c r="H7430" s="950" t="s">
        <v>641</v>
      </c>
      <c r="I7430" s="951" t="s">
        <v>26200</v>
      </c>
      <c r="J7430" s="947" t="s">
        <v>5715</v>
      </c>
      <c r="K7430" s="143"/>
    </row>
    <row r="7431" spans="1:11">
      <c r="A7431" s="946" t="s">
        <v>28612</v>
      </c>
      <c r="B7431" s="947" t="s">
        <v>5967</v>
      </c>
      <c r="C7431" s="948" t="s">
        <v>5966</v>
      </c>
      <c r="D7431" s="242" t="s">
        <v>28725</v>
      </c>
      <c r="E7431" s="949">
        <v>313</v>
      </c>
      <c r="F7431" s="949">
        <v>313</v>
      </c>
      <c r="G7431" s="950" t="s">
        <v>26183</v>
      </c>
      <c r="H7431" s="950" t="s">
        <v>641</v>
      </c>
      <c r="I7431" s="951" t="s">
        <v>26201</v>
      </c>
      <c r="J7431" s="947" t="s">
        <v>5967</v>
      </c>
      <c r="K7431" s="143"/>
    </row>
    <row r="7432" spans="1:11">
      <c r="A7432" s="946" t="s">
        <v>28612</v>
      </c>
      <c r="B7432" s="947" t="s">
        <v>6114</v>
      </c>
      <c r="C7432" s="948" t="s">
        <v>6113</v>
      </c>
      <c r="D7432" s="242" t="s">
        <v>28725</v>
      </c>
      <c r="E7432" s="949">
        <v>313</v>
      </c>
      <c r="F7432" s="949">
        <v>313</v>
      </c>
      <c r="G7432" s="950" t="s">
        <v>26183</v>
      </c>
      <c r="H7432" s="950" t="s">
        <v>641</v>
      </c>
      <c r="I7432" s="951" t="s">
        <v>26202</v>
      </c>
      <c r="J7432" s="947" t="s">
        <v>6114</v>
      </c>
      <c r="K7432" s="143"/>
    </row>
    <row r="7433" spans="1:11">
      <c r="A7433" s="946" t="s">
        <v>28612</v>
      </c>
      <c r="B7433" s="947" t="s">
        <v>6679</v>
      </c>
      <c r="C7433" s="948" t="s">
        <v>6678</v>
      </c>
      <c r="D7433" s="242" t="s">
        <v>28725</v>
      </c>
      <c r="E7433" s="949">
        <v>313</v>
      </c>
      <c r="F7433" s="949">
        <v>313</v>
      </c>
      <c r="G7433" s="950" t="s">
        <v>26183</v>
      </c>
      <c r="H7433" s="950" t="s">
        <v>641</v>
      </c>
      <c r="I7433" s="951" t="s">
        <v>26203</v>
      </c>
      <c r="J7433" s="947" t="s">
        <v>6679</v>
      </c>
      <c r="K7433" s="143"/>
    </row>
    <row r="7434" spans="1:11">
      <c r="A7434" s="946" t="s">
        <v>28612</v>
      </c>
      <c r="B7434" s="947" t="s">
        <v>6949</v>
      </c>
      <c r="C7434" s="948" t="s">
        <v>6948</v>
      </c>
      <c r="D7434" s="242" t="s">
        <v>28725</v>
      </c>
      <c r="E7434" s="949">
        <v>313</v>
      </c>
      <c r="F7434" s="949">
        <v>313</v>
      </c>
      <c r="G7434" s="950" t="s">
        <v>26183</v>
      </c>
      <c r="H7434" s="950" t="s">
        <v>641</v>
      </c>
      <c r="I7434" s="951" t="s">
        <v>26204</v>
      </c>
      <c r="J7434" s="947" t="s">
        <v>6949</v>
      </c>
      <c r="K7434" s="143"/>
    </row>
    <row r="7435" spans="1:11">
      <c r="A7435" s="946" t="s">
        <v>28612</v>
      </c>
      <c r="B7435" s="947" t="s">
        <v>7128</v>
      </c>
      <c r="C7435" s="948" t="s">
        <v>7127</v>
      </c>
      <c r="D7435" s="242" t="s">
        <v>28725</v>
      </c>
      <c r="E7435" s="949">
        <v>313</v>
      </c>
      <c r="F7435" s="949">
        <v>313</v>
      </c>
      <c r="G7435" s="950" t="s">
        <v>26183</v>
      </c>
      <c r="H7435" s="950" t="s">
        <v>641</v>
      </c>
      <c r="I7435" s="951" t="s">
        <v>26205</v>
      </c>
      <c r="J7435" s="947" t="s">
        <v>7128</v>
      </c>
      <c r="K7435" s="143"/>
    </row>
    <row r="7436" spans="1:11">
      <c r="A7436" s="946" t="s">
        <v>28612</v>
      </c>
      <c r="B7436" s="947" t="s">
        <v>7627</v>
      </c>
      <c r="C7436" s="948" t="s">
        <v>7626</v>
      </c>
      <c r="D7436" s="242" t="s">
        <v>28725</v>
      </c>
      <c r="E7436" s="949">
        <v>313</v>
      </c>
      <c r="F7436" s="949">
        <v>313</v>
      </c>
      <c r="G7436" s="950" t="s">
        <v>26183</v>
      </c>
      <c r="H7436" s="950" t="s">
        <v>641</v>
      </c>
      <c r="I7436" s="951" t="s">
        <v>26206</v>
      </c>
      <c r="J7436" s="947" t="s">
        <v>7627</v>
      </c>
      <c r="K7436" s="143"/>
    </row>
    <row r="7437" spans="1:11">
      <c r="A7437" s="946" t="s">
        <v>28612</v>
      </c>
      <c r="B7437" s="947" t="s">
        <v>9307</v>
      </c>
      <c r="C7437" s="948" t="s">
        <v>9306</v>
      </c>
      <c r="D7437" s="242" t="s">
        <v>28725</v>
      </c>
      <c r="E7437" s="949">
        <v>313</v>
      </c>
      <c r="F7437" s="949">
        <v>313</v>
      </c>
      <c r="G7437" s="950" t="s">
        <v>26183</v>
      </c>
      <c r="H7437" s="950" t="s">
        <v>641</v>
      </c>
      <c r="I7437" s="951" t="s">
        <v>26207</v>
      </c>
      <c r="J7437" s="947" t="s">
        <v>9307</v>
      </c>
      <c r="K7437" s="143"/>
    </row>
    <row r="7438" spans="1:11">
      <c r="A7438" s="946" t="s">
        <v>28612</v>
      </c>
      <c r="B7438" s="947" t="s">
        <v>10250</v>
      </c>
      <c r="C7438" s="948" t="s">
        <v>10249</v>
      </c>
      <c r="D7438" s="242" t="s">
        <v>28725</v>
      </c>
      <c r="E7438" s="949">
        <v>313</v>
      </c>
      <c r="F7438" s="949">
        <v>313</v>
      </c>
      <c r="G7438" s="950" t="s">
        <v>26183</v>
      </c>
      <c r="H7438" s="950" t="s">
        <v>641</v>
      </c>
      <c r="I7438" s="951" t="s">
        <v>26208</v>
      </c>
      <c r="J7438" s="947" t="s">
        <v>10250</v>
      </c>
      <c r="K7438" s="143"/>
    </row>
    <row r="7439" spans="1:11">
      <c r="A7439" s="946" t="s">
        <v>28612</v>
      </c>
      <c r="B7439" s="947" t="s">
        <v>10352</v>
      </c>
      <c r="C7439" s="948" t="s">
        <v>10351</v>
      </c>
      <c r="D7439" s="242" t="s">
        <v>28725</v>
      </c>
      <c r="E7439" s="949">
        <v>313</v>
      </c>
      <c r="F7439" s="949">
        <v>313</v>
      </c>
      <c r="G7439" s="950" t="s">
        <v>26183</v>
      </c>
      <c r="H7439" s="950" t="s">
        <v>641</v>
      </c>
      <c r="I7439" s="951" t="s">
        <v>26209</v>
      </c>
      <c r="J7439" s="947" t="s">
        <v>10352</v>
      </c>
      <c r="K7439" s="143"/>
    </row>
    <row r="7440" spans="1:11">
      <c r="A7440" s="946" t="s">
        <v>28612</v>
      </c>
      <c r="B7440" s="947" t="s">
        <v>10436</v>
      </c>
      <c r="C7440" s="948" t="s">
        <v>10435</v>
      </c>
      <c r="D7440" s="242" t="s">
        <v>28725</v>
      </c>
      <c r="E7440" s="949">
        <v>313</v>
      </c>
      <c r="F7440" s="949">
        <v>313</v>
      </c>
      <c r="G7440" s="950" t="s">
        <v>26183</v>
      </c>
      <c r="H7440" s="950" t="s">
        <v>641</v>
      </c>
      <c r="I7440" s="951" t="s">
        <v>26210</v>
      </c>
      <c r="J7440" s="947" t="s">
        <v>10436</v>
      </c>
      <c r="K7440" s="143"/>
    </row>
    <row r="7441" spans="1:11">
      <c r="A7441" s="946" t="s">
        <v>28612</v>
      </c>
      <c r="B7441" s="947" t="s">
        <v>10483</v>
      </c>
      <c r="C7441" s="948" t="s">
        <v>10482</v>
      </c>
      <c r="D7441" s="242" t="s">
        <v>28725</v>
      </c>
      <c r="E7441" s="949">
        <v>313</v>
      </c>
      <c r="F7441" s="949">
        <v>313</v>
      </c>
      <c r="G7441" s="950" t="s">
        <v>26183</v>
      </c>
      <c r="H7441" s="950" t="s">
        <v>641</v>
      </c>
      <c r="I7441" s="951" t="s">
        <v>26211</v>
      </c>
      <c r="J7441" s="947" t="s">
        <v>10483</v>
      </c>
      <c r="K7441" s="143"/>
    </row>
    <row r="7442" spans="1:11">
      <c r="A7442" s="946" t="s">
        <v>28612</v>
      </c>
      <c r="B7442" s="947" t="s">
        <v>10825</v>
      </c>
      <c r="C7442" s="948" t="s">
        <v>10824</v>
      </c>
      <c r="D7442" s="242" t="s">
        <v>28725</v>
      </c>
      <c r="E7442" s="949">
        <v>313</v>
      </c>
      <c r="F7442" s="949">
        <v>313</v>
      </c>
      <c r="G7442" s="950" t="s">
        <v>26183</v>
      </c>
      <c r="H7442" s="950" t="s">
        <v>641</v>
      </c>
      <c r="I7442" s="951" t="s">
        <v>26212</v>
      </c>
      <c r="J7442" s="947" t="s">
        <v>10825</v>
      </c>
      <c r="K7442" s="143"/>
    </row>
    <row r="7443" spans="1:11">
      <c r="A7443" s="946" t="s">
        <v>28612</v>
      </c>
      <c r="B7443" s="947" t="s">
        <v>11486</v>
      </c>
      <c r="C7443" s="948" t="s">
        <v>11485</v>
      </c>
      <c r="D7443" s="242" t="s">
        <v>28725</v>
      </c>
      <c r="E7443" s="949">
        <v>313</v>
      </c>
      <c r="F7443" s="949">
        <v>313</v>
      </c>
      <c r="G7443" s="950" t="s">
        <v>26183</v>
      </c>
      <c r="H7443" s="950" t="s">
        <v>641</v>
      </c>
      <c r="I7443" s="951" t="s">
        <v>26213</v>
      </c>
      <c r="J7443" s="947" t="s">
        <v>11486</v>
      </c>
      <c r="K7443" s="143"/>
    </row>
    <row r="7444" spans="1:11">
      <c r="A7444" s="946" t="s">
        <v>28612</v>
      </c>
      <c r="B7444" s="947" t="s">
        <v>11682</v>
      </c>
      <c r="C7444" s="948" t="s">
        <v>11681</v>
      </c>
      <c r="D7444" s="242" t="s">
        <v>28725</v>
      </c>
      <c r="E7444" s="949">
        <v>313</v>
      </c>
      <c r="F7444" s="949">
        <v>313</v>
      </c>
      <c r="G7444" s="950" t="s">
        <v>26183</v>
      </c>
      <c r="H7444" s="950" t="s">
        <v>641</v>
      </c>
      <c r="I7444" s="951" t="s">
        <v>26214</v>
      </c>
      <c r="J7444" s="947" t="s">
        <v>11682</v>
      </c>
      <c r="K7444" s="143"/>
    </row>
    <row r="7445" spans="1:11">
      <c r="A7445" s="946" t="s">
        <v>28612</v>
      </c>
      <c r="B7445" s="947" t="s">
        <v>11850</v>
      </c>
      <c r="C7445" s="948" t="s">
        <v>11849</v>
      </c>
      <c r="D7445" s="242" t="s">
        <v>28725</v>
      </c>
      <c r="E7445" s="949">
        <v>313</v>
      </c>
      <c r="F7445" s="949">
        <v>313</v>
      </c>
      <c r="G7445" s="950" t="s">
        <v>26183</v>
      </c>
      <c r="H7445" s="950" t="s">
        <v>641</v>
      </c>
      <c r="I7445" s="951" t="s">
        <v>26215</v>
      </c>
      <c r="J7445" s="947" t="s">
        <v>11850</v>
      </c>
      <c r="K7445" s="143"/>
    </row>
    <row r="7446" spans="1:11">
      <c r="A7446" s="946" t="s">
        <v>28612</v>
      </c>
      <c r="B7446" s="947" t="s">
        <v>12869</v>
      </c>
      <c r="C7446" s="948" t="s">
        <v>12868</v>
      </c>
      <c r="D7446" s="242" t="s">
        <v>28725</v>
      </c>
      <c r="E7446" s="949">
        <v>313</v>
      </c>
      <c r="F7446" s="949">
        <v>313</v>
      </c>
      <c r="G7446" s="950" t="s">
        <v>26183</v>
      </c>
      <c r="H7446" s="950" t="s">
        <v>641</v>
      </c>
      <c r="I7446" s="951" t="s">
        <v>26216</v>
      </c>
      <c r="J7446" s="947" t="s">
        <v>12869</v>
      </c>
      <c r="K7446" s="143"/>
    </row>
    <row r="7447" spans="1:11">
      <c r="A7447" s="946" t="s">
        <v>28612</v>
      </c>
      <c r="B7447" s="947" t="s">
        <v>13088</v>
      </c>
      <c r="C7447" s="948" t="s">
        <v>13087</v>
      </c>
      <c r="D7447" s="242" t="s">
        <v>28725</v>
      </c>
      <c r="E7447" s="949">
        <v>313</v>
      </c>
      <c r="F7447" s="949">
        <v>313</v>
      </c>
      <c r="G7447" s="950" t="s">
        <v>26183</v>
      </c>
      <c r="H7447" s="950" t="s">
        <v>641</v>
      </c>
      <c r="I7447" s="951" t="s">
        <v>26217</v>
      </c>
      <c r="J7447" s="947" t="s">
        <v>13088</v>
      </c>
      <c r="K7447" s="143"/>
    </row>
    <row r="7448" spans="1:11">
      <c r="A7448" s="946" t="s">
        <v>28612</v>
      </c>
      <c r="B7448" s="947" t="s">
        <v>13388</v>
      </c>
      <c r="C7448" s="948" t="s">
        <v>13387</v>
      </c>
      <c r="D7448" s="242" t="s">
        <v>28725</v>
      </c>
      <c r="E7448" s="949">
        <v>313</v>
      </c>
      <c r="F7448" s="949">
        <v>313</v>
      </c>
      <c r="G7448" s="950" t="s">
        <v>26183</v>
      </c>
      <c r="H7448" s="950" t="s">
        <v>641</v>
      </c>
      <c r="I7448" s="951" t="s">
        <v>26218</v>
      </c>
      <c r="J7448" s="947" t="s">
        <v>13388</v>
      </c>
      <c r="K7448" s="143"/>
    </row>
    <row r="7449" spans="1:11">
      <c r="A7449" s="946" t="s">
        <v>28612</v>
      </c>
      <c r="B7449" s="947" t="s">
        <v>13743</v>
      </c>
      <c r="C7449" s="948" t="s">
        <v>13742</v>
      </c>
      <c r="D7449" s="242" t="s">
        <v>28725</v>
      </c>
      <c r="E7449" s="949">
        <v>313</v>
      </c>
      <c r="F7449" s="949">
        <v>313</v>
      </c>
      <c r="G7449" s="950" t="s">
        <v>26183</v>
      </c>
      <c r="H7449" s="950" t="s">
        <v>641</v>
      </c>
      <c r="I7449" s="951" t="s">
        <v>26219</v>
      </c>
      <c r="J7449" s="947" t="s">
        <v>13743</v>
      </c>
      <c r="K7449" s="143"/>
    </row>
    <row r="7450" spans="1:11">
      <c r="A7450" s="946" t="s">
        <v>28612</v>
      </c>
      <c r="B7450" s="947" t="s">
        <v>16201</v>
      </c>
      <c r="C7450" s="948" t="s">
        <v>16200</v>
      </c>
      <c r="D7450" s="242" t="s">
        <v>28725</v>
      </c>
      <c r="E7450" s="949">
        <v>313</v>
      </c>
      <c r="F7450" s="949">
        <v>313</v>
      </c>
      <c r="G7450" s="950" t="s">
        <v>26183</v>
      </c>
      <c r="H7450" s="950" t="s">
        <v>641</v>
      </c>
      <c r="I7450" s="951" t="s">
        <v>26220</v>
      </c>
      <c r="J7450" s="947" t="s">
        <v>16201</v>
      </c>
      <c r="K7450" s="143"/>
    </row>
    <row r="7451" spans="1:11">
      <c r="A7451" s="946" t="s">
        <v>28612</v>
      </c>
      <c r="B7451" s="947" t="s">
        <v>16886</v>
      </c>
      <c r="C7451" s="948" t="s">
        <v>16885</v>
      </c>
      <c r="D7451" s="242" t="s">
        <v>28725</v>
      </c>
      <c r="E7451" s="949">
        <v>313</v>
      </c>
      <c r="F7451" s="949">
        <v>313</v>
      </c>
      <c r="G7451" s="950" t="s">
        <v>26183</v>
      </c>
      <c r="H7451" s="950" t="s">
        <v>641</v>
      </c>
      <c r="I7451" s="951" t="s">
        <v>26221</v>
      </c>
      <c r="J7451" s="947" t="s">
        <v>16886</v>
      </c>
      <c r="K7451" s="143"/>
    </row>
    <row r="7452" spans="1:11">
      <c r="A7452" s="946" t="s">
        <v>28612</v>
      </c>
      <c r="B7452" s="947" t="s">
        <v>19282</v>
      </c>
      <c r="C7452" s="948" t="s">
        <v>19281</v>
      </c>
      <c r="D7452" s="242" t="s">
        <v>28725</v>
      </c>
      <c r="E7452" s="949">
        <v>313</v>
      </c>
      <c r="F7452" s="949">
        <v>313</v>
      </c>
      <c r="G7452" s="950" t="s">
        <v>26183</v>
      </c>
      <c r="H7452" s="950" t="s">
        <v>641</v>
      </c>
      <c r="I7452" s="951" t="s">
        <v>26222</v>
      </c>
      <c r="J7452" s="947" t="s">
        <v>19282</v>
      </c>
      <c r="K7452" s="143"/>
    </row>
    <row r="7453" spans="1:11">
      <c r="A7453" s="946" t="s">
        <v>28612</v>
      </c>
      <c r="B7453" s="947" t="s">
        <v>19474</v>
      </c>
      <c r="C7453" s="948" t="s">
        <v>19473</v>
      </c>
      <c r="D7453" s="242" t="s">
        <v>28725</v>
      </c>
      <c r="E7453" s="949">
        <v>313</v>
      </c>
      <c r="F7453" s="949">
        <v>313</v>
      </c>
      <c r="G7453" s="950" t="s">
        <v>26183</v>
      </c>
      <c r="H7453" s="950" t="s">
        <v>641</v>
      </c>
      <c r="I7453" s="951" t="s">
        <v>26223</v>
      </c>
      <c r="J7453" s="947" t="s">
        <v>19474</v>
      </c>
      <c r="K7453" s="143"/>
    </row>
    <row r="7454" spans="1:11">
      <c r="A7454" s="946" t="s">
        <v>28612</v>
      </c>
      <c r="B7454" s="947" t="s">
        <v>19826</v>
      </c>
      <c r="C7454" s="948" t="s">
        <v>19825</v>
      </c>
      <c r="D7454" s="242" t="s">
        <v>28725</v>
      </c>
      <c r="E7454" s="949">
        <v>313</v>
      </c>
      <c r="F7454" s="949">
        <v>313</v>
      </c>
      <c r="G7454" s="950" t="s">
        <v>26183</v>
      </c>
      <c r="H7454" s="950" t="s">
        <v>641</v>
      </c>
      <c r="I7454" s="951" t="s">
        <v>26224</v>
      </c>
      <c r="J7454" s="947" t="s">
        <v>19826</v>
      </c>
      <c r="K7454" s="143"/>
    </row>
    <row r="7455" spans="1:11">
      <c r="A7455" s="946" t="s">
        <v>28612</v>
      </c>
      <c r="B7455" s="947" t="s">
        <v>20101</v>
      </c>
      <c r="C7455" s="948" t="s">
        <v>20100</v>
      </c>
      <c r="D7455" s="242" t="s">
        <v>28725</v>
      </c>
      <c r="E7455" s="949">
        <v>313</v>
      </c>
      <c r="F7455" s="949">
        <v>313</v>
      </c>
      <c r="G7455" s="950" t="s">
        <v>26183</v>
      </c>
      <c r="H7455" s="950" t="s">
        <v>641</v>
      </c>
      <c r="I7455" s="951" t="s">
        <v>26225</v>
      </c>
      <c r="J7455" s="947" t="s">
        <v>20101</v>
      </c>
      <c r="K7455" s="143"/>
    </row>
    <row r="7456" spans="1:11">
      <c r="A7456" s="946" t="s">
        <v>28612</v>
      </c>
      <c r="B7456" s="947" t="s">
        <v>21056</v>
      </c>
      <c r="C7456" s="948" t="s">
        <v>21055</v>
      </c>
      <c r="D7456" s="242" t="s">
        <v>28725</v>
      </c>
      <c r="E7456" s="949">
        <v>313</v>
      </c>
      <c r="F7456" s="949">
        <v>313</v>
      </c>
      <c r="G7456" s="950" t="s">
        <v>26183</v>
      </c>
      <c r="H7456" s="950" t="s">
        <v>641</v>
      </c>
      <c r="I7456" s="951" t="s">
        <v>26226</v>
      </c>
      <c r="J7456" s="947" t="s">
        <v>21056</v>
      </c>
      <c r="K7456" s="143"/>
    </row>
    <row r="7457" spans="1:11">
      <c r="A7457" s="946" t="s">
        <v>28612</v>
      </c>
      <c r="B7457" s="947" t="s">
        <v>21218</v>
      </c>
      <c r="C7457" s="948" t="s">
        <v>21217</v>
      </c>
      <c r="D7457" s="242" t="s">
        <v>28725</v>
      </c>
      <c r="E7457" s="949">
        <v>313</v>
      </c>
      <c r="F7457" s="949">
        <v>313</v>
      </c>
      <c r="G7457" s="950" t="s">
        <v>26183</v>
      </c>
      <c r="H7457" s="950" t="s">
        <v>641</v>
      </c>
      <c r="I7457" s="951" t="s">
        <v>26227</v>
      </c>
      <c r="J7457" s="947" t="s">
        <v>21218</v>
      </c>
      <c r="K7457" s="143"/>
    </row>
    <row r="7458" spans="1:11">
      <c r="A7458" s="946" t="s">
        <v>28612</v>
      </c>
      <c r="B7458" s="947" t="s">
        <v>21580</v>
      </c>
      <c r="C7458" s="948" t="s">
        <v>21579</v>
      </c>
      <c r="D7458" s="242" t="s">
        <v>28725</v>
      </c>
      <c r="E7458" s="949">
        <v>313</v>
      </c>
      <c r="F7458" s="949">
        <v>313</v>
      </c>
      <c r="G7458" s="950" t="s">
        <v>26183</v>
      </c>
      <c r="H7458" s="950" t="s">
        <v>641</v>
      </c>
      <c r="I7458" s="951" t="s">
        <v>26228</v>
      </c>
      <c r="J7458" s="947" t="s">
        <v>21580</v>
      </c>
      <c r="K7458" s="143"/>
    </row>
    <row r="7459" spans="1:11">
      <c r="A7459" s="946" t="s">
        <v>28612</v>
      </c>
      <c r="B7459" s="947" t="s">
        <v>21629</v>
      </c>
      <c r="C7459" s="948" t="s">
        <v>21628</v>
      </c>
      <c r="D7459" s="242" t="s">
        <v>28725</v>
      </c>
      <c r="E7459" s="949">
        <v>313</v>
      </c>
      <c r="F7459" s="949">
        <v>313</v>
      </c>
      <c r="G7459" s="950" t="s">
        <v>26183</v>
      </c>
      <c r="H7459" s="950" t="s">
        <v>641</v>
      </c>
      <c r="I7459" s="951" t="s">
        <v>26229</v>
      </c>
      <c r="J7459" s="947" t="s">
        <v>21629</v>
      </c>
      <c r="K7459" s="143"/>
    </row>
    <row r="7460" spans="1:11">
      <c r="A7460" s="946" t="s">
        <v>28612</v>
      </c>
      <c r="B7460" s="947" t="s">
        <v>21640</v>
      </c>
      <c r="C7460" s="948" t="s">
        <v>21639</v>
      </c>
      <c r="D7460" s="242" t="s">
        <v>28725</v>
      </c>
      <c r="E7460" s="949">
        <v>313</v>
      </c>
      <c r="F7460" s="949">
        <v>313</v>
      </c>
      <c r="G7460" s="950" t="s">
        <v>26183</v>
      </c>
      <c r="H7460" s="950" t="s">
        <v>641</v>
      </c>
      <c r="I7460" s="951" t="s">
        <v>26230</v>
      </c>
      <c r="J7460" s="947" t="s">
        <v>21640</v>
      </c>
      <c r="K7460" s="143"/>
    </row>
    <row r="7461" spans="1:11">
      <c r="A7461" s="946" t="s">
        <v>28612</v>
      </c>
      <c r="B7461" s="947" t="s">
        <v>21725</v>
      </c>
      <c r="C7461" s="948" t="s">
        <v>21724</v>
      </c>
      <c r="D7461" s="242" t="s">
        <v>28725</v>
      </c>
      <c r="E7461" s="949">
        <v>313</v>
      </c>
      <c r="F7461" s="949">
        <v>313</v>
      </c>
      <c r="G7461" s="950" t="s">
        <v>26183</v>
      </c>
      <c r="H7461" s="950" t="s">
        <v>641</v>
      </c>
      <c r="I7461" s="951" t="s">
        <v>26231</v>
      </c>
      <c r="J7461" s="947" t="s">
        <v>21725</v>
      </c>
      <c r="K7461" s="143"/>
    </row>
    <row r="7462" spans="1:11">
      <c r="A7462" s="946" t="s">
        <v>28612</v>
      </c>
      <c r="B7462" s="947" t="s">
        <v>22318</v>
      </c>
      <c r="C7462" s="948" t="s">
        <v>22317</v>
      </c>
      <c r="D7462" s="242" t="s">
        <v>28725</v>
      </c>
      <c r="E7462" s="949">
        <v>313</v>
      </c>
      <c r="F7462" s="949">
        <v>313</v>
      </c>
      <c r="G7462" s="950" t="s">
        <v>26183</v>
      </c>
      <c r="H7462" s="950" t="s">
        <v>641</v>
      </c>
      <c r="I7462" s="951" t="s">
        <v>26232</v>
      </c>
      <c r="J7462" s="947" t="s">
        <v>22318</v>
      </c>
      <c r="K7462" s="143"/>
    </row>
    <row r="7463" spans="1:11">
      <c r="A7463" s="946" t="s">
        <v>28612</v>
      </c>
      <c r="B7463" s="947" t="s">
        <v>22360</v>
      </c>
      <c r="C7463" s="948" t="s">
        <v>22359</v>
      </c>
      <c r="D7463" s="242" t="s">
        <v>28725</v>
      </c>
      <c r="E7463" s="949">
        <v>313</v>
      </c>
      <c r="F7463" s="949">
        <v>313</v>
      </c>
      <c r="G7463" s="950" t="s">
        <v>26183</v>
      </c>
      <c r="H7463" s="950" t="s">
        <v>641</v>
      </c>
      <c r="I7463" s="951" t="s">
        <v>26233</v>
      </c>
      <c r="J7463" s="947" t="s">
        <v>22360</v>
      </c>
      <c r="K7463" s="143"/>
    </row>
    <row r="7464" spans="1:11">
      <c r="A7464" s="946" t="s">
        <v>28612</v>
      </c>
      <c r="B7464" s="947" t="s">
        <v>3288</v>
      </c>
      <c r="C7464" s="948" t="s">
        <v>3287</v>
      </c>
      <c r="D7464" s="242" t="s">
        <v>28725</v>
      </c>
      <c r="E7464" s="949">
        <v>313</v>
      </c>
      <c r="F7464" s="949">
        <v>313</v>
      </c>
      <c r="G7464" s="950" t="s">
        <v>26183</v>
      </c>
      <c r="H7464" s="950" t="s">
        <v>641</v>
      </c>
      <c r="I7464" s="951" t="s">
        <v>26234</v>
      </c>
      <c r="J7464" s="947" t="s">
        <v>3288</v>
      </c>
      <c r="K7464" s="143"/>
    </row>
    <row r="7465" spans="1:11">
      <c r="A7465" s="946" t="s">
        <v>28612</v>
      </c>
      <c r="B7465" s="947" t="s">
        <v>4081</v>
      </c>
      <c r="C7465" s="948" t="s">
        <v>4080</v>
      </c>
      <c r="D7465" s="242" t="s">
        <v>28725</v>
      </c>
      <c r="E7465" s="949">
        <v>313</v>
      </c>
      <c r="F7465" s="949">
        <v>313</v>
      </c>
      <c r="G7465" s="950" t="s">
        <v>26183</v>
      </c>
      <c r="H7465" s="950" t="s">
        <v>641</v>
      </c>
      <c r="I7465" s="951" t="s">
        <v>26235</v>
      </c>
      <c r="J7465" s="947" t="s">
        <v>4081</v>
      </c>
      <c r="K7465" s="143"/>
    </row>
    <row r="7466" spans="1:11">
      <c r="A7466" s="946" t="s">
        <v>28612</v>
      </c>
      <c r="B7466" s="947" t="s">
        <v>7098</v>
      </c>
      <c r="C7466" s="948" t="s">
        <v>7097</v>
      </c>
      <c r="D7466" s="242" t="s">
        <v>28725</v>
      </c>
      <c r="E7466" s="949">
        <v>313</v>
      </c>
      <c r="F7466" s="949">
        <v>313</v>
      </c>
      <c r="G7466" s="950" t="s">
        <v>26183</v>
      </c>
      <c r="H7466" s="950" t="s">
        <v>641</v>
      </c>
      <c r="I7466" s="951" t="s">
        <v>26236</v>
      </c>
      <c r="J7466" s="947" t="s">
        <v>7098</v>
      </c>
      <c r="K7466" s="143"/>
    </row>
    <row r="7467" spans="1:11">
      <c r="A7467" s="946" t="s">
        <v>28612</v>
      </c>
      <c r="B7467" s="947" t="s">
        <v>10305</v>
      </c>
      <c r="C7467" s="948" t="s">
        <v>10304</v>
      </c>
      <c r="D7467" s="242" t="s">
        <v>28725</v>
      </c>
      <c r="E7467" s="949">
        <v>313</v>
      </c>
      <c r="F7467" s="949">
        <v>313</v>
      </c>
      <c r="G7467" s="950" t="s">
        <v>26183</v>
      </c>
      <c r="H7467" s="950" t="s">
        <v>641</v>
      </c>
      <c r="I7467" s="951" t="s">
        <v>26237</v>
      </c>
      <c r="J7467" s="947" t="s">
        <v>10305</v>
      </c>
      <c r="K7467" s="143"/>
    </row>
    <row r="7468" spans="1:11">
      <c r="A7468" s="946" t="s">
        <v>28612</v>
      </c>
      <c r="B7468" s="947" t="s">
        <v>16866</v>
      </c>
      <c r="C7468" s="948" t="s">
        <v>16865</v>
      </c>
      <c r="D7468" s="242" t="s">
        <v>28725</v>
      </c>
      <c r="E7468" s="949">
        <v>313</v>
      </c>
      <c r="F7468" s="949">
        <v>313</v>
      </c>
      <c r="G7468" s="950" t="s">
        <v>26183</v>
      </c>
      <c r="H7468" s="950" t="s">
        <v>641</v>
      </c>
      <c r="I7468" s="951" t="s">
        <v>26238</v>
      </c>
      <c r="J7468" s="947" t="s">
        <v>16866</v>
      </c>
      <c r="K7468" s="143"/>
    </row>
    <row r="7469" spans="1:11">
      <c r="A7469" s="946" t="s">
        <v>28613</v>
      </c>
      <c r="B7469" s="947" t="s">
        <v>1010</v>
      </c>
      <c r="C7469" s="948" t="s">
        <v>1008</v>
      </c>
      <c r="D7469" s="242" t="s">
        <v>28729</v>
      </c>
      <c r="E7469" s="949">
        <v>1105</v>
      </c>
      <c r="F7469" s="949">
        <v>1105</v>
      </c>
      <c r="G7469" s="950" t="s">
        <v>8135</v>
      </c>
      <c r="H7469" s="950" t="s">
        <v>1009</v>
      </c>
      <c r="I7469" s="951" t="s">
        <v>26253</v>
      </c>
      <c r="J7469" s="947" t="s">
        <v>1010</v>
      </c>
      <c r="K7469" s="143"/>
    </row>
    <row r="7470" spans="1:11">
      <c r="A7470" s="946" t="s">
        <v>28613</v>
      </c>
      <c r="B7470" s="947" t="s">
        <v>1060</v>
      </c>
      <c r="C7470" s="948" t="s">
        <v>1059</v>
      </c>
      <c r="D7470" s="242" t="s">
        <v>28729</v>
      </c>
      <c r="E7470" s="949">
        <v>1105</v>
      </c>
      <c r="F7470" s="949">
        <v>1105</v>
      </c>
      <c r="G7470" s="950" t="s">
        <v>8135</v>
      </c>
      <c r="H7470" s="950" t="s">
        <v>1009</v>
      </c>
      <c r="I7470" s="951" t="s">
        <v>26254</v>
      </c>
      <c r="J7470" s="947" t="s">
        <v>1060</v>
      </c>
      <c r="K7470" s="143"/>
    </row>
    <row r="7471" spans="1:11">
      <c r="A7471" s="946" t="s">
        <v>28613</v>
      </c>
      <c r="B7471" s="947" t="s">
        <v>2224</v>
      </c>
      <c r="C7471" s="948" t="s">
        <v>2223</v>
      </c>
      <c r="D7471" s="242" t="s">
        <v>28729</v>
      </c>
      <c r="E7471" s="949">
        <v>1105</v>
      </c>
      <c r="F7471" s="949">
        <v>1105</v>
      </c>
      <c r="G7471" s="950" t="s">
        <v>8135</v>
      </c>
      <c r="H7471" s="950" t="s">
        <v>1009</v>
      </c>
      <c r="I7471" s="951" t="s">
        <v>26255</v>
      </c>
      <c r="J7471" s="947" t="s">
        <v>2224</v>
      </c>
      <c r="K7471" s="143"/>
    </row>
    <row r="7472" spans="1:11">
      <c r="A7472" s="946" t="s">
        <v>28613</v>
      </c>
      <c r="B7472" s="947" t="s">
        <v>3779</v>
      </c>
      <c r="C7472" s="948" t="s">
        <v>3778</v>
      </c>
      <c r="D7472" s="242" t="s">
        <v>28729</v>
      </c>
      <c r="E7472" s="949">
        <v>1105</v>
      </c>
      <c r="F7472" s="949">
        <v>1105</v>
      </c>
      <c r="G7472" s="950" t="s">
        <v>8135</v>
      </c>
      <c r="H7472" s="950" t="s">
        <v>1009</v>
      </c>
      <c r="I7472" s="951" t="s">
        <v>26256</v>
      </c>
      <c r="J7472" s="947" t="s">
        <v>3779</v>
      </c>
      <c r="K7472" s="143"/>
    </row>
    <row r="7473" spans="1:11">
      <c r="A7473" s="946" t="s">
        <v>28613</v>
      </c>
      <c r="B7473" s="947" t="s">
        <v>8006</v>
      </c>
      <c r="C7473" s="948" t="s">
        <v>8005</v>
      </c>
      <c r="D7473" s="242" t="s">
        <v>28727</v>
      </c>
      <c r="E7473" s="949">
        <v>1104</v>
      </c>
      <c r="F7473" s="949">
        <v>1104</v>
      </c>
      <c r="G7473" s="950" t="s">
        <v>8135</v>
      </c>
      <c r="H7473" s="950" t="s">
        <v>1009</v>
      </c>
      <c r="I7473" s="951" t="s">
        <v>26257</v>
      </c>
      <c r="J7473" s="947" t="s">
        <v>8006</v>
      </c>
      <c r="K7473" s="143"/>
    </row>
    <row r="7474" spans="1:11">
      <c r="A7474" s="946" t="s">
        <v>28613</v>
      </c>
      <c r="B7474" s="947" t="s">
        <v>8135</v>
      </c>
      <c r="C7474" s="948" t="s">
        <v>8134</v>
      </c>
      <c r="D7474" s="242" t="s">
        <v>28729</v>
      </c>
      <c r="E7474" s="949">
        <v>1105</v>
      </c>
      <c r="F7474" s="949">
        <v>1105</v>
      </c>
      <c r="G7474" s="950" t="s">
        <v>8135</v>
      </c>
      <c r="H7474" s="950" t="s">
        <v>1009</v>
      </c>
      <c r="I7474" s="951" t="s">
        <v>26258</v>
      </c>
      <c r="J7474" s="947" t="s">
        <v>8135</v>
      </c>
      <c r="K7474" s="143"/>
    </row>
    <row r="7475" spans="1:11">
      <c r="A7475" s="946" t="s">
        <v>28613</v>
      </c>
      <c r="B7475" s="947" t="s">
        <v>8621</v>
      </c>
      <c r="C7475" s="948" t="s">
        <v>8620</v>
      </c>
      <c r="D7475" s="242" t="s">
        <v>28727</v>
      </c>
      <c r="E7475" s="949">
        <v>1104</v>
      </c>
      <c r="F7475" s="949">
        <v>1104</v>
      </c>
      <c r="G7475" s="950" t="s">
        <v>8135</v>
      </c>
      <c r="H7475" s="950" t="s">
        <v>1009</v>
      </c>
      <c r="I7475" s="951" t="s">
        <v>26259</v>
      </c>
      <c r="J7475" s="947" t="s">
        <v>8621</v>
      </c>
      <c r="K7475" s="143"/>
    </row>
    <row r="7476" spans="1:11">
      <c r="A7476" s="946" t="s">
        <v>28613</v>
      </c>
      <c r="B7476" s="947" t="s">
        <v>9617</v>
      </c>
      <c r="C7476" s="948" t="s">
        <v>9616</v>
      </c>
      <c r="D7476" s="242" t="s">
        <v>28729</v>
      </c>
      <c r="E7476" s="949">
        <v>1105</v>
      </c>
      <c r="F7476" s="949">
        <v>1105</v>
      </c>
      <c r="G7476" s="950" t="s">
        <v>8135</v>
      </c>
      <c r="H7476" s="950" t="s">
        <v>1009</v>
      </c>
      <c r="I7476" s="951" t="s">
        <v>26260</v>
      </c>
      <c r="J7476" s="947" t="s">
        <v>9617</v>
      </c>
      <c r="K7476" s="143"/>
    </row>
    <row r="7477" spans="1:11">
      <c r="A7477" s="946" t="s">
        <v>28613</v>
      </c>
      <c r="B7477" s="947" t="s">
        <v>10136</v>
      </c>
      <c r="C7477" s="948" t="s">
        <v>10135</v>
      </c>
      <c r="D7477" s="242" t="s">
        <v>28729</v>
      </c>
      <c r="E7477" s="949">
        <v>1105</v>
      </c>
      <c r="F7477" s="949">
        <v>1105</v>
      </c>
      <c r="G7477" s="950" t="s">
        <v>8135</v>
      </c>
      <c r="H7477" s="950" t="s">
        <v>1009</v>
      </c>
      <c r="I7477" s="951" t="s">
        <v>26261</v>
      </c>
      <c r="J7477" s="947" t="s">
        <v>10136</v>
      </c>
      <c r="K7477" s="143"/>
    </row>
    <row r="7478" spans="1:11">
      <c r="A7478" s="946" t="s">
        <v>28613</v>
      </c>
      <c r="B7478" s="947" t="s">
        <v>10884</v>
      </c>
      <c r="C7478" s="948" t="s">
        <v>10883</v>
      </c>
      <c r="D7478" s="242" t="s">
        <v>28727</v>
      </c>
      <c r="E7478" s="949">
        <v>1104</v>
      </c>
      <c r="F7478" s="949">
        <v>1104</v>
      </c>
      <c r="G7478" s="950" t="s">
        <v>8135</v>
      </c>
      <c r="H7478" s="950" t="s">
        <v>1009</v>
      </c>
      <c r="I7478" s="951" t="s">
        <v>26262</v>
      </c>
      <c r="J7478" s="947" t="s">
        <v>10884</v>
      </c>
      <c r="K7478" s="143"/>
    </row>
    <row r="7479" spans="1:11">
      <c r="A7479" s="946" t="s">
        <v>28613</v>
      </c>
      <c r="B7479" s="947" t="s">
        <v>11382</v>
      </c>
      <c r="C7479" s="948" t="s">
        <v>11381</v>
      </c>
      <c r="D7479" s="242" t="s">
        <v>28727</v>
      </c>
      <c r="E7479" s="949">
        <v>1104</v>
      </c>
      <c r="F7479" s="949">
        <v>1104</v>
      </c>
      <c r="G7479" s="950" t="s">
        <v>8135</v>
      </c>
      <c r="H7479" s="950" t="s">
        <v>1009</v>
      </c>
      <c r="I7479" s="951" t="s">
        <v>26263</v>
      </c>
      <c r="J7479" s="947" t="s">
        <v>11382</v>
      </c>
      <c r="K7479" s="143"/>
    </row>
    <row r="7480" spans="1:11">
      <c r="A7480" s="946" t="s">
        <v>28613</v>
      </c>
      <c r="B7480" s="947" t="s">
        <v>12138</v>
      </c>
      <c r="C7480" s="948" t="s">
        <v>12137</v>
      </c>
      <c r="D7480" s="242" t="s">
        <v>28729</v>
      </c>
      <c r="E7480" s="949">
        <v>1105</v>
      </c>
      <c r="F7480" s="949">
        <v>1105</v>
      </c>
      <c r="G7480" s="950" t="s">
        <v>8135</v>
      </c>
      <c r="H7480" s="950" t="s">
        <v>1009</v>
      </c>
      <c r="I7480" s="951" t="s">
        <v>26264</v>
      </c>
      <c r="J7480" s="947" t="s">
        <v>12138</v>
      </c>
      <c r="K7480" s="143"/>
    </row>
    <row r="7481" spans="1:11">
      <c r="A7481" s="946" t="s">
        <v>28613</v>
      </c>
      <c r="B7481" s="947" t="s">
        <v>12250</v>
      </c>
      <c r="C7481" s="948" t="s">
        <v>12249</v>
      </c>
      <c r="D7481" s="242" t="s">
        <v>28727</v>
      </c>
      <c r="E7481" s="949">
        <v>1104</v>
      </c>
      <c r="F7481" s="949">
        <v>1104</v>
      </c>
      <c r="G7481" s="950" t="s">
        <v>8135</v>
      </c>
      <c r="H7481" s="950" t="s">
        <v>1009</v>
      </c>
      <c r="I7481" s="951" t="s">
        <v>26265</v>
      </c>
      <c r="J7481" s="947" t="s">
        <v>12250</v>
      </c>
      <c r="K7481" s="143"/>
    </row>
    <row r="7482" spans="1:11">
      <c r="A7482" s="946" t="s">
        <v>28613</v>
      </c>
      <c r="B7482" s="947" t="s">
        <v>12463</v>
      </c>
      <c r="C7482" s="948" t="s">
        <v>12462</v>
      </c>
      <c r="D7482" s="242" t="s">
        <v>28729</v>
      </c>
      <c r="E7482" s="949">
        <v>1105</v>
      </c>
      <c r="F7482" s="949">
        <v>1105</v>
      </c>
      <c r="G7482" s="950" t="s">
        <v>8135</v>
      </c>
      <c r="H7482" s="950" t="s">
        <v>1009</v>
      </c>
      <c r="I7482" s="951" t="s">
        <v>26266</v>
      </c>
      <c r="J7482" s="947" t="s">
        <v>12463</v>
      </c>
      <c r="K7482" s="143"/>
    </row>
    <row r="7483" spans="1:11">
      <c r="A7483" s="946" t="s">
        <v>28613</v>
      </c>
      <c r="B7483" s="947" t="s">
        <v>12507</v>
      </c>
      <c r="C7483" s="948" t="s">
        <v>12506</v>
      </c>
      <c r="D7483" s="242" t="s">
        <v>28729</v>
      </c>
      <c r="E7483" s="949">
        <v>1105</v>
      </c>
      <c r="F7483" s="949">
        <v>1105</v>
      </c>
      <c r="G7483" s="950" t="s">
        <v>8135</v>
      </c>
      <c r="H7483" s="950" t="s">
        <v>1009</v>
      </c>
      <c r="I7483" s="951" t="s">
        <v>26267</v>
      </c>
      <c r="J7483" s="947" t="s">
        <v>12507</v>
      </c>
      <c r="K7483" s="143"/>
    </row>
    <row r="7484" spans="1:11">
      <c r="A7484" s="946" t="s">
        <v>28613</v>
      </c>
      <c r="B7484" s="947" t="s">
        <v>12288</v>
      </c>
      <c r="C7484" s="948" t="s">
        <v>12287</v>
      </c>
      <c r="D7484" s="242" t="s">
        <v>28729</v>
      </c>
      <c r="E7484" s="949">
        <v>1105</v>
      </c>
      <c r="F7484" s="949">
        <v>1105</v>
      </c>
      <c r="G7484" s="950" t="s">
        <v>8135</v>
      </c>
      <c r="H7484" s="950" t="s">
        <v>1009</v>
      </c>
      <c r="I7484" s="951" t="s">
        <v>26268</v>
      </c>
      <c r="J7484" s="947" t="s">
        <v>12288</v>
      </c>
      <c r="K7484" s="143"/>
    </row>
    <row r="7485" spans="1:11">
      <c r="A7485" s="946" t="s">
        <v>28613</v>
      </c>
      <c r="B7485" s="947" t="s">
        <v>12536</v>
      </c>
      <c r="C7485" s="948" t="s">
        <v>12535</v>
      </c>
      <c r="D7485" s="242" t="s">
        <v>28727</v>
      </c>
      <c r="E7485" s="949">
        <v>1104</v>
      </c>
      <c r="F7485" s="949">
        <v>1104</v>
      </c>
      <c r="G7485" s="950" t="s">
        <v>8135</v>
      </c>
      <c r="H7485" s="950" t="s">
        <v>1009</v>
      </c>
      <c r="I7485" s="951" t="s">
        <v>26269</v>
      </c>
      <c r="J7485" s="947" t="s">
        <v>12536</v>
      </c>
      <c r="K7485" s="143"/>
    </row>
    <row r="7486" spans="1:11">
      <c r="A7486" s="946" t="s">
        <v>28613</v>
      </c>
      <c r="B7486" s="947" t="s">
        <v>12538</v>
      </c>
      <c r="C7486" s="948" t="s">
        <v>12537</v>
      </c>
      <c r="D7486" s="242" t="s">
        <v>28727</v>
      </c>
      <c r="E7486" s="949">
        <v>1104</v>
      </c>
      <c r="F7486" s="949">
        <v>1104</v>
      </c>
      <c r="G7486" s="950" t="s">
        <v>8135</v>
      </c>
      <c r="H7486" s="950" t="s">
        <v>1009</v>
      </c>
      <c r="I7486" s="951" t="s">
        <v>26270</v>
      </c>
      <c r="J7486" s="947" t="s">
        <v>12538</v>
      </c>
      <c r="K7486" s="143"/>
    </row>
    <row r="7487" spans="1:11">
      <c r="A7487" s="946" t="s">
        <v>28613</v>
      </c>
      <c r="B7487" s="947" t="s">
        <v>12567</v>
      </c>
      <c r="C7487" s="948" t="s">
        <v>12566</v>
      </c>
      <c r="D7487" s="242" t="s">
        <v>28729</v>
      </c>
      <c r="E7487" s="949">
        <v>1105</v>
      </c>
      <c r="F7487" s="949">
        <v>1105</v>
      </c>
      <c r="G7487" s="950" t="s">
        <v>8135</v>
      </c>
      <c r="H7487" s="950" t="s">
        <v>1009</v>
      </c>
      <c r="I7487" s="951" t="s">
        <v>26271</v>
      </c>
      <c r="J7487" s="947" t="s">
        <v>12567</v>
      </c>
      <c r="K7487" s="143"/>
    </row>
    <row r="7488" spans="1:11">
      <c r="A7488" s="946" t="s">
        <v>28613</v>
      </c>
      <c r="B7488" s="947" t="s">
        <v>12598</v>
      </c>
      <c r="C7488" s="948" t="s">
        <v>12597</v>
      </c>
      <c r="D7488" s="242" t="s">
        <v>28729</v>
      </c>
      <c r="E7488" s="949">
        <v>1105</v>
      </c>
      <c r="F7488" s="949">
        <v>1105</v>
      </c>
      <c r="G7488" s="950" t="s">
        <v>8135</v>
      </c>
      <c r="H7488" s="950" t="s">
        <v>1009</v>
      </c>
      <c r="I7488" s="951" t="s">
        <v>26272</v>
      </c>
      <c r="J7488" s="947" t="s">
        <v>12598</v>
      </c>
      <c r="K7488" s="143"/>
    </row>
    <row r="7489" spans="1:11">
      <c r="A7489" s="946" t="s">
        <v>28613</v>
      </c>
      <c r="B7489" s="947" t="s">
        <v>12305</v>
      </c>
      <c r="C7489" s="948" t="s">
        <v>12304</v>
      </c>
      <c r="D7489" s="242" t="s">
        <v>28729</v>
      </c>
      <c r="E7489" s="949">
        <v>1105</v>
      </c>
      <c r="F7489" s="949">
        <v>1105</v>
      </c>
      <c r="G7489" s="950" t="s">
        <v>8135</v>
      </c>
      <c r="H7489" s="950" t="s">
        <v>1009</v>
      </c>
      <c r="I7489" s="951" t="s">
        <v>26273</v>
      </c>
      <c r="J7489" s="947" t="s">
        <v>12305</v>
      </c>
      <c r="K7489" s="143"/>
    </row>
    <row r="7490" spans="1:11">
      <c r="A7490" s="946" t="s">
        <v>28613</v>
      </c>
      <c r="B7490" s="947" t="s">
        <v>12725</v>
      </c>
      <c r="C7490" s="948" t="s">
        <v>12724</v>
      </c>
      <c r="D7490" s="242" t="s">
        <v>28729</v>
      </c>
      <c r="E7490" s="949">
        <v>1105</v>
      </c>
      <c r="F7490" s="949">
        <v>1105</v>
      </c>
      <c r="G7490" s="950" t="s">
        <v>8135</v>
      </c>
      <c r="H7490" s="950" t="s">
        <v>1009</v>
      </c>
      <c r="I7490" s="951" t="s">
        <v>26274</v>
      </c>
      <c r="J7490" s="947" t="s">
        <v>12725</v>
      </c>
      <c r="K7490" s="143"/>
    </row>
    <row r="7491" spans="1:11">
      <c r="A7491" s="946" t="s">
        <v>28613</v>
      </c>
      <c r="B7491" s="947" t="s">
        <v>12331</v>
      </c>
      <c r="C7491" s="948" t="s">
        <v>12330</v>
      </c>
      <c r="D7491" s="242" t="s">
        <v>28727</v>
      </c>
      <c r="E7491" s="949">
        <v>1104</v>
      </c>
      <c r="F7491" s="949">
        <v>1104</v>
      </c>
      <c r="G7491" s="950" t="s">
        <v>8135</v>
      </c>
      <c r="H7491" s="950" t="s">
        <v>1009</v>
      </c>
      <c r="I7491" s="951" t="s">
        <v>26275</v>
      </c>
      <c r="J7491" s="947" t="s">
        <v>12331</v>
      </c>
      <c r="K7491" s="143"/>
    </row>
    <row r="7492" spans="1:11">
      <c r="A7492" s="946" t="s">
        <v>28613</v>
      </c>
      <c r="B7492" s="947" t="s">
        <v>12348</v>
      </c>
      <c r="C7492" s="948" t="s">
        <v>12347</v>
      </c>
      <c r="D7492" s="242" t="s">
        <v>28727</v>
      </c>
      <c r="E7492" s="949">
        <v>1104</v>
      </c>
      <c r="F7492" s="949">
        <v>1104</v>
      </c>
      <c r="G7492" s="950" t="s">
        <v>8135</v>
      </c>
      <c r="H7492" s="950" t="s">
        <v>1009</v>
      </c>
      <c r="I7492" s="951" t="s">
        <v>26276</v>
      </c>
      <c r="J7492" s="947" t="s">
        <v>12348</v>
      </c>
      <c r="K7492" s="143"/>
    </row>
    <row r="7493" spans="1:11">
      <c r="A7493" s="946" t="s">
        <v>28613</v>
      </c>
      <c r="B7493" s="947" t="s">
        <v>12350</v>
      </c>
      <c r="C7493" s="948" t="s">
        <v>12349</v>
      </c>
      <c r="D7493" s="242" t="s">
        <v>28729</v>
      </c>
      <c r="E7493" s="949">
        <v>1105</v>
      </c>
      <c r="F7493" s="949">
        <v>1105</v>
      </c>
      <c r="G7493" s="950" t="s">
        <v>8135</v>
      </c>
      <c r="H7493" s="950" t="s">
        <v>1009</v>
      </c>
      <c r="I7493" s="951" t="s">
        <v>26277</v>
      </c>
      <c r="J7493" s="947" t="s">
        <v>12350</v>
      </c>
      <c r="K7493" s="143"/>
    </row>
    <row r="7494" spans="1:11">
      <c r="A7494" s="946" t="s">
        <v>28613</v>
      </c>
      <c r="B7494" s="947" t="s">
        <v>12352</v>
      </c>
      <c r="C7494" s="948" t="s">
        <v>12351</v>
      </c>
      <c r="D7494" s="242" t="s">
        <v>28727</v>
      </c>
      <c r="E7494" s="949">
        <v>1104</v>
      </c>
      <c r="F7494" s="949">
        <v>1104</v>
      </c>
      <c r="G7494" s="950" t="s">
        <v>8135</v>
      </c>
      <c r="H7494" s="950" t="s">
        <v>1009</v>
      </c>
      <c r="I7494" s="951" t="s">
        <v>26278</v>
      </c>
      <c r="J7494" s="947" t="s">
        <v>12352</v>
      </c>
      <c r="K7494" s="143"/>
    </row>
    <row r="7495" spans="1:11">
      <c r="A7495" s="946" t="s">
        <v>28613</v>
      </c>
      <c r="B7495" s="947" t="s">
        <v>12859</v>
      </c>
      <c r="C7495" s="948" t="s">
        <v>12858</v>
      </c>
      <c r="D7495" s="242" t="s">
        <v>28729</v>
      </c>
      <c r="E7495" s="949">
        <v>1105</v>
      </c>
      <c r="F7495" s="949">
        <v>1105</v>
      </c>
      <c r="G7495" s="950" t="s">
        <v>8135</v>
      </c>
      <c r="H7495" s="950" t="s">
        <v>1009</v>
      </c>
      <c r="I7495" s="951" t="s">
        <v>26279</v>
      </c>
      <c r="J7495" s="947" t="s">
        <v>12859</v>
      </c>
      <c r="K7495" s="143"/>
    </row>
    <row r="7496" spans="1:11">
      <c r="A7496" s="946" t="s">
        <v>28613</v>
      </c>
      <c r="B7496" s="947" t="s">
        <v>12912</v>
      </c>
      <c r="C7496" s="948" t="s">
        <v>12911</v>
      </c>
      <c r="D7496" s="242" t="s">
        <v>28729</v>
      </c>
      <c r="E7496" s="949">
        <v>1105</v>
      </c>
      <c r="F7496" s="949">
        <v>1105</v>
      </c>
      <c r="G7496" s="950" t="s">
        <v>8135</v>
      </c>
      <c r="H7496" s="950" t="s">
        <v>1009</v>
      </c>
      <c r="I7496" s="951" t="s">
        <v>26280</v>
      </c>
      <c r="J7496" s="947" t="s">
        <v>12912</v>
      </c>
      <c r="K7496" s="143"/>
    </row>
    <row r="7497" spans="1:11">
      <c r="A7497" s="946" t="s">
        <v>28613</v>
      </c>
      <c r="B7497" s="947" t="s">
        <v>13792</v>
      </c>
      <c r="C7497" s="948" t="s">
        <v>13791</v>
      </c>
      <c r="D7497" s="242" t="s">
        <v>28729</v>
      </c>
      <c r="E7497" s="949">
        <v>1105</v>
      </c>
      <c r="F7497" s="949">
        <v>1105</v>
      </c>
      <c r="G7497" s="950" t="s">
        <v>8135</v>
      </c>
      <c r="H7497" s="950" t="s">
        <v>1009</v>
      </c>
      <c r="I7497" s="951" t="s">
        <v>26281</v>
      </c>
      <c r="J7497" s="947" t="s">
        <v>13792</v>
      </c>
      <c r="K7497" s="143"/>
    </row>
    <row r="7498" spans="1:11">
      <c r="A7498" s="946" t="s">
        <v>28613</v>
      </c>
      <c r="B7498" s="947" t="s">
        <v>14396</v>
      </c>
      <c r="C7498" s="948" t="s">
        <v>14395</v>
      </c>
      <c r="D7498" s="242" t="s">
        <v>28729</v>
      </c>
      <c r="E7498" s="949">
        <v>1105</v>
      </c>
      <c r="F7498" s="949">
        <v>1105</v>
      </c>
      <c r="G7498" s="950" t="s">
        <v>8135</v>
      </c>
      <c r="H7498" s="950" t="s">
        <v>1009</v>
      </c>
      <c r="I7498" s="951" t="s">
        <v>26282</v>
      </c>
      <c r="J7498" s="947" t="s">
        <v>14396</v>
      </c>
      <c r="K7498" s="143"/>
    </row>
    <row r="7499" spans="1:11">
      <c r="A7499" s="946" t="s">
        <v>28613</v>
      </c>
      <c r="B7499" s="947" t="s">
        <v>14650</v>
      </c>
      <c r="C7499" s="948" t="s">
        <v>14649</v>
      </c>
      <c r="D7499" s="242" t="s">
        <v>28729</v>
      </c>
      <c r="E7499" s="949">
        <v>1105</v>
      </c>
      <c r="F7499" s="949">
        <v>1105</v>
      </c>
      <c r="G7499" s="950" t="s">
        <v>8135</v>
      </c>
      <c r="H7499" s="950" t="s">
        <v>1009</v>
      </c>
      <c r="I7499" s="951" t="s">
        <v>26283</v>
      </c>
      <c r="J7499" s="947" t="s">
        <v>14650</v>
      </c>
      <c r="K7499" s="143"/>
    </row>
    <row r="7500" spans="1:11">
      <c r="A7500" s="946" t="s">
        <v>28613</v>
      </c>
      <c r="B7500" s="947" t="s">
        <v>15489</v>
      </c>
      <c r="C7500" s="948" t="s">
        <v>15488</v>
      </c>
      <c r="D7500" s="242" t="s">
        <v>28729</v>
      </c>
      <c r="E7500" s="949">
        <v>1105</v>
      </c>
      <c r="F7500" s="949">
        <v>1105</v>
      </c>
      <c r="G7500" s="950" t="s">
        <v>8135</v>
      </c>
      <c r="H7500" s="950" t="s">
        <v>1009</v>
      </c>
      <c r="I7500" s="951" t="s">
        <v>26284</v>
      </c>
      <c r="J7500" s="947" t="s">
        <v>15489</v>
      </c>
      <c r="K7500" s="143"/>
    </row>
    <row r="7501" spans="1:11">
      <c r="A7501" s="946" t="s">
        <v>28613</v>
      </c>
      <c r="B7501" s="947" t="s">
        <v>15567</v>
      </c>
      <c r="C7501" s="948" t="s">
        <v>15566</v>
      </c>
      <c r="D7501" s="242" t="s">
        <v>28729</v>
      </c>
      <c r="E7501" s="949">
        <v>1105</v>
      </c>
      <c r="F7501" s="949">
        <v>1105</v>
      </c>
      <c r="G7501" s="950" t="s">
        <v>8135</v>
      </c>
      <c r="H7501" s="950" t="s">
        <v>1009</v>
      </c>
      <c r="I7501" s="951" t="s">
        <v>26285</v>
      </c>
      <c r="J7501" s="947" t="s">
        <v>15567</v>
      </c>
      <c r="K7501" s="143"/>
    </row>
    <row r="7502" spans="1:11">
      <c r="A7502" s="946" t="s">
        <v>28613</v>
      </c>
      <c r="B7502" s="947" t="s">
        <v>15569</v>
      </c>
      <c r="C7502" s="948" t="s">
        <v>15568</v>
      </c>
      <c r="D7502" s="242" t="s">
        <v>28727</v>
      </c>
      <c r="E7502" s="949">
        <v>1104</v>
      </c>
      <c r="F7502" s="949">
        <v>1104</v>
      </c>
      <c r="G7502" s="950" t="s">
        <v>8135</v>
      </c>
      <c r="H7502" s="950" t="s">
        <v>1009</v>
      </c>
      <c r="I7502" s="951" t="s">
        <v>26286</v>
      </c>
      <c r="J7502" s="947" t="s">
        <v>15569</v>
      </c>
      <c r="K7502" s="143"/>
    </row>
    <row r="7503" spans="1:11">
      <c r="A7503" s="946" t="s">
        <v>28613</v>
      </c>
      <c r="B7503" s="947" t="s">
        <v>16088</v>
      </c>
      <c r="C7503" s="948" t="s">
        <v>16087</v>
      </c>
      <c r="D7503" s="242" t="s">
        <v>28727</v>
      </c>
      <c r="E7503" s="949">
        <v>1104</v>
      </c>
      <c r="F7503" s="949">
        <v>1104</v>
      </c>
      <c r="G7503" s="950" t="s">
        <v>8135</v>
      </c>
      <c r="H7503" s="950" t="s">
        <v>1009</v>
      </c>
      <c r="I7503" s="951" t="s">
        <v>26287</v>
      </c>
      <c r="J7503" s="947" t="s">
        <v>16088</v>
      </c>
      <c r="K7503" s="143"/>
    </row>
    <row r="7504" spans="1:11">
      <c r="A7504" s="946" t="s">
        <v>28613</v>
      </c>
      <c r="B7504" s="947" t="s">
        <v>18534</v>
      </c>
      <c r="C7504" s="948" t="s">
        <v>18533</v>
      </c>
      <c r="D7504" s="242" t="s">
        <v>28729</v>
      </c>
      <c r="E7504" s="949">
        <v>1105</v>
      </c>
      <c r="F7504" s="949">
        <v>1105</v>
      </c>
      <c r="G7504" s="950" t="s">
        <v>8135</v>
      </c>
      <c r="H7504" s="950" t="s">
        <v>1009</v>
      </c>
      <c r="I7504" s="951" t="s">
        <v>26288</v>
      </c>
      <c r="J7504" s="947" t="s">
        <v>18534</v>
      </c>
      <c r="K7504" s="143"/>
    </row>
    <row r="7505" spans="1:11">
      <c r="A7505" s="946" t="s">
        <v>28613</v>
      </c>
      <c r="B7505" s="947" t="s">
        <v>18717</v>
      </c>
      <c r="C7505" s="948" t="s">
        <v>18716</v>
      </c>
      <c r="D7505" s="242" t="s">
        <v>28727</v>
      </c>
      <c r="E7505" s="949">
        <v>1104</v>
      </c>
      <c r="F7505" s="949">
        <v>1104</v>
      </c>
      <c r="G7505" s="950" t="s">
        <v>8135</v>
      </c>
      <c r="H7505" s="950" t="s">
        <v>1009</v>
      </c>
      <c r="I7505" s="951" t="s">
        <v>26289</v>
      </c>
      <c r="J7505" s="947" t="s">
        <v>18717</v>
      </c>
      <c r="K7505" s="143"/>
    </row>
    <row r="7506" spans="1:11">
      <c r="A7506" s="946" t="s">
        <v>28613</v>
      </c>
      <c r="B7506" s="947" t="s">
        <v>19395</v>
      </c>
      <c r="C7506" s="948" t="s">
        <v>19394</v>
      </c>
      <c r="D7506" s="242" t="s">
        <v>28729</v>
      </c>
      <c r="E7506" s="949">
        <v>1105</v>
      </c>
      <c r="F7506" s="949">
        <v>1105</v>
      </c>
      <c r="G7506" s="950" t="s">
        <v>8135</v>
      </c>
      <c r="H7506" s="950" t="s">
        <v>1009</v>
      </c>
      <c r="I7506" s="951" t="s">
        <v>26290</v>
      </c>
      <c r="J7506" s="947" t="s">
        <v>19395</v>
      </c>
      <c r="K7506" s="143"/>
    </row>
    <row r="7507" spans="1:11">
      <c r="A7507" s="946" t="s">
        <v>28613</v>
      </c>
      <c r="B7507" s="947" t="s">
        <v>19598</v>
      </c>
      <c r="C7507" s="948" t="s">
        <v>19597</v>
      </c>
      <c r="D7507" s="242" t="s">
        <v>28729</v>
      </c>
      <c r="E7507" s="949">
        <v>1105</v>
      </c>
      <c r="F7507" s="949">
        <v>1105</v>
      </c>
      <c r="G7507" s="950" t="s">
        <v>8135</v>
      </c>
      <c r="H7507" s="950" t="s">
        <v>1009</v>
      </c>
      <c r="I7507" s="951" t="s">
        <v>26291</v>
      </c>
      <c r="J7507" s="947" t="s">
        <v>19598</v>
      </c>
      <c r="K7507" s="143"/>
    </row>
    <row r="7508" spans="1:11">
      <c r="A7508" s="946" t="s">
        <v>28613</v>
      </c>
      <c r="B7508" s="947" t="s">
        <v>20696</v>
      </c>
      <c r="C7508" s="948" t="s">
        <v>20695</v>
      </c>
      <c r="D7508" s="242" t="s">
        <v>28727</v>
      </c>
      <c r="E7508" s="949">
        <v>1104</v>
      </c>
      <c r="F7508" s="949">
        <v>1104</v>
      </c>
      <c r="G7508" s="950" t="s">
        <v>8135</v>
      </c>
      <c r="H7508" s="950" t="s">
        <v>1009</v>
      </c>
      <c r="I7508" s="951" t="s">
        <v>26292</v>
      </c>
      <c r="J7508" s="947" t="s">
        <v>20696</v>
      </c>
      <c r="K7508" s="143"/>
    </row>
    <row r="7509" spans="1:11">
      <c r="A7509" s="946" t="s">
        <v>28615</v>
      </c>
      <c r="B7509" s="947" t="s">
        <v>1147</v>
      </c>
      <c r="C7509" s="948" t="s">
        <v>1144</v>
      </c>
      <c r="D7509" s="242" t="s">
        <v>372</v>
      </c>
      <c r="E7509" s="949">
        <v>1601</v>
      </c>
      <c r="F7509" s="949">
        <v>1601</v>
      </c>
      <c r="G7509" s="950" t="s">
        <v>1145</v>
      </c>
      <c r="H7509" s="950" t="s">
        <v>1146</v>
      </c>
      <c r="I7509" s="951" t="s">
        <v>26376</v>
      </c>
      <c r="J7509" s="947" t="s">
        <v>1147</v>
      </c>
      <c r="K7509" s="143"/>
    </row>
    <row r="7510" spans="1:11">
      <c r="A7510" s="946" t="s">
        <v>28615</v>
      </c>
      <c r="B7510" s="947" t="s">
        <v>2010</v>
      </c>
      <c r="C7510" s="948" t="s">
        <v>2009</v>
      </c>
      <c r="D7510" s="242" t="s">
        <v>372</v>
      </c>
      <c r="E7510" s="949">
        <v>1601</v>
      </c>
      <c r="F7510" s="949">
        <v>1601</v>
      </c>
      <c r="G7510" s="950" t="s">
        <v>1145</v>
      </c>
      <c r="H7510" s="950" t="s">
        <v>1146</v>
      </c>
      <c r="I7510" s="951" t="s">
        <v>26377</v>
      </c>
      <c r="J7510" s="947" t="s">
        <v>2010</v>
      </c>
      <c r="K7510" s="143"/>
    </row>
    <row r="7511" spans="1:11">
      <c r="A7511" s="946" t="s">
        <v>28615</v>
      </c>
      <c r="B7511" s="947" t="s">
        <v>2469</v>
      </c>
      <c r="C7511" s="948" t="s">
        <v>2468</v>
      </c>
      <c r="D7511" s="242" t="s">
        <v>372</v>
      </c>
      <c r="E7511" s="949">
        <v>1601</v>
      </c>
      <c r="F7511" s="949">
        <v>1601</v>
      </c>
      <c r="G7511" s="950" t="s">
        <v>1145</v>
      </c>
      <c r="H7511" s="950" t="s">
        <v>1146</v>
      </c>
      <c r="I7511" s="951" t="s">
        <v>26378</v>
      </c>
      <c r="J7511" s="947" t="s">
        <v>2469</v>
      </c>
      <c r="K7511" s="143"/>
    </row>
    <row r="7512" spans="1:11">
      <c r="A7512" s="946" t="s">
        <v>28615</v>
      </c>
      <c r="B7512" s="947" t="s">
        <v>3963</v>
      </c>
      <c r="C7512" s="948" t="s">
        <v>3962</v>
      </c>
      <c r="D7512" s="242" t="s">
        <v>372</v>
      </c>
      <c r="E7512" s="949">
        <v>1601</v>
      </c>
      <c r="F7512" s="949">
        <v>1601</v>
      </c>
      <c r="G7512" s="950" t="s">
        <v>1145</v>
      </c>
      <c r="H7512" s="950" t="s">
        <v>1146</v>
      </c>
      <c r="I7512" s="951" t="s">
        <v>26379</v>
      </c>
      <c r="J7512" s="947" t="s">
        <v>3963</v>
      </c>
      <c r="K7512" s="143"/>
    </row>
    <row r="7513" spans="1:11">
      <c r="A7513" s="946" t="s">
        <v>28615</v>
      </c>
      <c r="B7513" s="947" t="s">
        <v>11188</v>
      </c>
      <c r="C7513" s="948" t="s">
        <v>11187</v>
      </c>
      <c r="D7513" s="242" t="s">
        <v>372</v>
      </c>
      <c r="E7513" s="949">
        <v>1601</v>
      </c>
      <c r="F7513" s="949">
        <v>1601</v>
      </c>
      <c r="G7513" s="950" t="s">
        <v>1145</v>
      </c>
      <c r="H7513" s="950" t="s">
        <v>1146</v>
      </c>
      <c r="I7513" s="951" t="s">
        <v>26380</v>
      </c>
      <c r="J7513" s="947" t="s">
        <v>11188</v>
      </c>
      <c r="K7513" s="143"/>
    </row>
    <row r="7514" spans="1:11">
      <c r="A7514" s="946" t="s">
        <v>28615</v>
      </c>
      <c r="B7514" s="947" t="s">
        <v>11797</v>
      </c>
      <c r="C7514" s="948" t="s">
        <v>11796</v>
      </c>
      <c r="D7514" s="242" t="s">
        <v>372</v>
      </c>
      <c r="E7514" s="949">
        <v>1601</v>
      </c>
      <c r="F7514" s="949">
        <v>1601</v>
      </c>
      <c r="G7514" s="950" t="s">
        <v>1145</v>
      </c>
      <c r="H7514" s="950" t="s">
        <v>1146</v>
      </c>
      <c r="I7514" s="951" t="s">
        <v>26381</v>
      </c>
      <c r="J7514" s="947" t="s">
        <v>11797</v>
      </c>
      <c r="K7514" s="143"/>
    </row>
    <row r="7515" spans="1:11">
      <c r="A7515" s="946" t="s">
        <v>28615</v>
      </c>
      <c r="B7515" s="947" t="s">
        <v>17567</v>
      </c>
      <c r="C7515" s="948" t="s">
        <v>17566</v>
      </c>
      <c r="D7515" s="242" t="s">
        <v>372</v>
      </c>
      <c r="E7515" s="949">
        <v>1601</v>
      </c>
      <c r="F7515" s="949">
        <v>1601</v>
      </c>
      <c r="G7515" s="950" t="s">
        <v>1145</v>
      </c>
      <c r="H7515" s="950" t="s">
        <v>1146</v>
      </c>
      <c r="I7515" s="951" t="s">
        <v>26382</v>
      </c>
      <c r="J7515" s="947" t="s">
        <v>17567</v>
      </c>
      <c r="K7515" s="143"/>
    </row>
    <row r="7516" spans="1:11">
      <c r="A7516" s="946" t="s">
        <v>28615</v>
      </c>
      <c r="B7516" s="947" t="s">
        <v>19891</v>
      </c>
      <c r="C7516" s="948" t="s">
        <v>19890</v>
      </c>
      <c r="D7516" s="242" t="s">
        <v>372</v>
      </c>
      <c r="E7516" s="949">
        <v>1601</v>
      </c>
      <c r="F7516" s="949">
        <v>1601</v>
      </c>
      <c r="G7516" s="950" t="s">
        <v>1145</v>
      </c>
      <c r="H7516" s="950" t="s">
        <v>1146</v>
      </c>
      <c r="I7516" s="951" t="s">
        <v>26383</v>
      </c>
      <c r="J7516" s="947" t="s">
        <v>19891</v>
      </c>
      <c r="K7516" s="143"/>
    </row>
    <row r="7517" spans="1:11">
      <c r="A7517" s="946" t="s">
        <v>28615</v>
      </c>
      <c r="B7517" s="947" t="s">
        <v>20839</v>
      </c>
      <c r="C7517" s="948" t="s">
        <v>20838</v>
      </c>
      <c r="D7517" s="242" t="s">
        <v>372</v>
      </c>
      <c r="E7517" s="949">
        <v>1601</v>
      </c>
      <c r="F7517" s="949">
        <v>1601</v>
      </c>
      <c r="G7517" s="950" t="s">
        <v>1145</v>
      </c>
      <c r="H7517" s="950" t="s">
        <v>1146</v>
      </c>
      <c r="I7517" s="951" t="s">
        <v>26384</v>
      </c>
      <c r="J7517" s="947" t="s">
        <v>20839</v>
      </c>
      <c r="K7517" s="143"/>
    </row>
    <row r="7518" spans="1:11">
      <c r="A7518" s="946" t="s">
        <v>28615</v>
      </c>
      <c r="B7518" s="947" t="s">
        <v>21041</v>
      </c>
      <c r="C7518" s="948" t="s">
        <v>21040</v>
      </c>
      <c r="D7518" s="242" t="s">
        <v>372</v>
      </c>
      <c r="E7518" s="949">
        <v>1601</v>
      </c>
      <c r="F7518" s="949">
        <v>1601</v>
      </c>
      <c r="G7518" s="950" t="s">
        <v>1145</v>
      </c>
      <c r="H7518" s="950" t="s">
        <v>1146</v>
      </c>
      <c r="I7518" s="951" t="s">
        <v>26385</v>
      </c>
      <c r="J7518" s="947" t="s">
        <v>21041</v>
      </c>
      <c r="K7518" s="143"/>
    </row>
    <row r="7519" spans="1:11">
      <c r="A7519" s="946" t="s">
        <v>28616</v>
      </c>
      <c r="B7519" s="947" t="s">
        <v>910</v>
      </c>
      <c r="C7519" s="948" t="s">
        <v>908</v>
      </c>
      <c r="D7519" s="242" t="s">
        <v>28734</v>
      </c>
      <c r="E7519" s="949">
        <v>2001</v>
      </c>
      <c r="F7519" s="949">
        <v>2001</v>
      </c>
      <c r="G7519" s="950" t="s">
        <v>18909</v>
      </c>
      <c r="H7519" s="950" t="s">
        <v>909</v>
      </c>
      <c r="I7519" s="951" t="s">
        <v>32261</v>
      </c>
      <c r="J7519" s="947" t="s">
        <v>910</v>
      </c>
      <c r="K7519" s="143"/>
    </row>
    <row r="7520" spans="1:11">
      <c r="A7520" s="946" t="s">
        <v>28616</v>
      </c>
      <c r="B7520" s="947" t="s">
        <v>1150</v>
      </c>
      <c r="C7520" s="948" t="s">
        <v>1149</v>
      </c>
      <c r="D7520" s="242" t="s">
        <v>28734</v>
      </c>
      <c r="E7520" s="949">
        <v>2001</v>
      </c>
      <c r="F7520" s="949">
        <v>2001</v>
      </c>
      <c r="G7520" s="950" t="s">
        <v>18909</v>
      </c>
      <c r="H7520" s="950" t="s">
        <v>909</v>
      </c>
      <c r="I7520" s="951" t="s">
        <v>32262</v>
      </c>
      <c r="J7520" s="947" t="s">
        <v>1150</v>
      </c>
      <c r="K7520" s="143"/>
    </row>
    <row r="7521" spans="1:11">
      <c r="A7521" s="946" t="s">
        <v>28616</v>
      </c>
      <c r="B7521" s="947" t="s">
        <v>1353</v>
      </c>
      <c r="C7521" s="948" t="s">
        <v>1352</v>
      </c>
      <c r="D7521" s="242" t="s">
        <v>28734</v>
      </c>
      <c r="E7521" s="949">
        <v>2001</v>
      </c>
      <c r="F7521" s="949">
        <v>2001</v>
      </c>
      <c r="G7521" s="950" t="s">
        <v>18909</v>
      </c>
      <c r="H7521" s="950" t="s">
        <v>909</v>
      </c>
      <c r="I7521" s="951" t="s">
        <v>32263</v>
      </c>
      <c r="J7521" s="947" t="s">
        <v>1353</v>
      </c>
      <c r="K7521" s="143"/>
    </row>
    <row r="7522" spans="1:11">
      <c r="A7522" s="946" t="s">
        <v>28616</v>
      </c>
      <c r="B7522" s="947" t="s">
        <v>1889</v>
      </c>
      <c r="C7522" s="948" t="s">
        <v>1888</v>
      </c>
      <c r="D7522" s="242" t="s">
        <v>28734</v>
      </c>
      <c r="E7522" s="949">
        <v>2001</v>
      </c>
      <c r="F7522" s="949">
        <v>2001</v>
      </c>
      <c r="G7522" s="950" t="s">
        <v>18909</v>
      </c>
      <c r="H7522" s="950" t="s">
        <v>909</v>
      </c>
      <c r="I7522" s="951" t="s">
        <v>32264</v>
      </c>
      <c r="J7522" s="947" t="s">
        <v>1889</v>
      </c>
      <c r="K7522" s="143"/>
    </row>
    <row r="7523" spans="1:11">
      <c r="A7523" s="946" t="s">
        <v>28616</v>
      </c>
      <c r="B7523" s="947" t="s">
        <v>2261</v>
      </c>
      <c r="C7523" s="948" t="s">
        <v>2260</v>
      </c>
      <c r="D7523" s="242" t="s">
        <v>28734</v>
      </c>
      <c r="E7523" s="949">
        <v>2001</v>
      </c>
      <c r="F7523" s="949">
        <v>2001</v>
      </c>
      <c r="G7523" s="950" t="s">
        <v>18909</v>
      </c>
      <c r="H7523" s="950" t="s">
        <v>909</v>
      </c>
      <c r="I7523" s="951" t="s">
        <v>32265</v>
      </c>
      <c r="J7523" s="947" t="s">
        <v>2261</v>
      </c>
      <c r="K7523" s="143"/>
    </row>
    <row r="7524" spans="1:11">
      <c r="A7524" s="946" t="s">
        <v>28616</v>
      </c>
      <c r="B7524" s="947" t="s">
        <v>2364</v>
      </c>
      <c r="C7524" s="948" t="s">
        <v>2363</v>
      </c>
      <c r="D7524" s="242" t="s">
        <v>28734</v>
      </c>
      <c r="E7524" s="949">
        <v>2001</v>
      </c>
      <c r="F7524" s="949">
        <v>2001</v>
      </c>
      <c r="G7524" s="950" t="s">
        <v>18909</v>
      </c>
      <c r="H7524" s="950" t="s">
        <v>909</v>
      </c>
      <c r="I7524" s="951" t="s">
        <v>32266</v>
      </c>
      <c r="J7524" s="947" t="s">
        <v>2364</v>
      </c>
      <c r="K7524" s="143"/>
    </row>
    <row r="7525" spans="1:11">
      <c r="A7525" s="946" t="s">
        <v>28616</v>
      </c>
      <c r="B7525" s="947" t="s">
        <v>2657</v>
      </c>
      <c r="C7525" s="948" t="s">
        <v>2656</v>
      </c>
      <c r="D7525" s="242" t="s">
        <v>28734</v>
      </c>
      <c r="E7525" s="949">
        <v>2001</v>
      </c>
      <c r="F7525" s="949">
        <v>2001</v>
      </c>
      <c r="G7525" s="950" t="s">
        <v>18909</v>
      </c>
      <c r="H7525" s="950" t="s">
        <v>909</v>
      </c>
      <c r="I7525" s="951" t="s">
        <v>32267</v>
      </c>
      <c r="J7525" s="947" t="s">
        <v>2657</v>
      </c>
      <c r="K7525" s="143"/>
    </row>
    <row r="7526" spans="1:11">
      <c r="A7526" s="946" t="s">
        <v>28616</v>
      </c>
      <c r="B7526" s="947" t="s">
        <v>2659</v>
      </c>
      <c r="C7526" s="948" t="s">
        <v>2658</v>
      </c>
      <c r="D7526" s="242" t="s">
        <v>28734</v>
      </c>
      <c r="E7526" s="949">
        <v>2001</v>
      </c>
      <c r="F7526" s="949">
        <v>2001</v>
      </c>
      <c r="G7526" s="950" t="s">
        <v>18909</v>
      </c>
      <c r="H7526" s="950" t="s">
        <v>909</v>
      </c>
      <c r="I7526" s="951" t="s">
        <v>32268</v>
      </c>
      <c r="J7526" s="947" t="s">
        <v>2659</v>
      </c>
      <c r="K7526" s="143"/>
    </row>
    <row r="7527" spans="1:11">
      <c r="A7527" s="946" t="s">
        <v>28616</v>
      </c>
      <c r="B7527" s="947" t="s">
        <v>2661</v>
      </c>
      <c r="C7527" s="948" t="s">
        <v>2660</v>
      </c>
      <c r="D7527" s="242" t="s">
        <v>28734</v>
      </c>
      <c r="E7527" s="949">
        <v>2001</v>
      </c>
      <c r="F7527" s="949">
        <v>2001</v>
      </c>
      <c r="G7527" s="950" t="s">
        <v>18909</v>
      </c>
      <c r="H7527" s="950" t="s">
        <v>909</v>
      </c>
      <c r="I7527" s="951" t="s">
        <v>32269</v>
      </c>
      <c r="J7527" s="947" t="s">
        <v>2661</v>
      </c>
      <c r="K7527" s="143"/>
    </row>
    <row r="7528" spans="1:11">
      <c r="A7528" s="946" t="s">
        <v>28616</v>
      </c>
      <c r="B7528" s="947" t="s">
        <v>2844</v>
      </c>
      <c r="C7528" s="948" t="s">
        <v>2843</v>
      </c>
      <c r="D7528" s="242" t="s">
        <v>28734</v>
      </c>
      <c r="E7528" s="949">
        <v>2001</v>
      </c>
      <c r="F7528" s="949">
        <v>2001</v>
      </c>
      <c r="G7528" s="950" t="s">
        <v>18909</v>
      </c>
      <c r="H7528" s="950" t="s">
        <v>909</v>
      </c>
      <c r="I7528" s="951" t="s">
        <v>32270</v>
      </c>
      <c r="J7528" s="947" t="s">
        <v>2844</v>
      </c>
      <c r="K7528" s="143"/>
    </row>
    <row r="7529" spans="1:11">
      <c r="A7529" s="946" t="s">
        <v>28616</v>
      </c>
      <c r="B7529" s="947" t="s">
        <v>2902</v>
      </c>
      <c r="C7529" s="948" t="s">
        <v>2901</v>
      </c>
      <c r="D7529" s="242" t="s">
        <v>28734</v>
      </c>
      <c r="E7529" s="949">
        <v>2001</v>
      </c>
      <c r="F7529" s="949">
        <v>2001</v>
      </c>
      <c r="G7529" s="950" t="s">
        <v>18909</v>
      </c>
      <c r="H7529" s="950" t="s">
        <v>909</v>
      </c>
      <c r="I7529" s="951" t="s">
        <v>32271</v>
      </c>
      <c r="J7529" s="947" t="s">
        <v>2902</v>
      </c>
      <c r="K7529" s="143"/>
    </row>
    <row r="7530" spans="1:11">
      <c r="A7530" s="946" t="s">
        <v>28616</v>
      </c>
      <c r="B7530" s="947" t="s">
        <v>3235</v>
      </c>
      <c r="C7530" s="948" t="s">
        <v>3234</v>
      </c>
      <c r="D7530" s="242" t="s">
        <v>28734</v>
      </c>
      <c r="E7530" s="949">
        <v>2001</v>
      </c>
      <c r="F7530" s="949">
        <v>2001</v>
      </c>
      <c r="G7530" s="950" t="s">
        <v>18909</v>
      </c>
      <c r="H7530" s="950" t="s">
        <v>909</v>
      </c>
      <c r="I7530" s="951" t="s">
        <v>32272</v>
      </c>
      <c r="J7530" s="947" t="s">
        <v>3235</v>
      </c>
      <c r="K7530" s="143"/>
    </row>
    <row r="7531" spans="1:11">
      <c r="A7531" s="946" t="s">
        <v>28616</v>
      </c>
      <c r="B7531" s="947" t="s">
        <v>3237</v>
      </c>
      <c r="C7531" s="948" t="s">
        <v>3236</v>
      </c>
      <c r="D7531" s="242" t="s">
        <v>28734</v>
      </c>
      <c r="E7531" s="949">
        <v>2001</v>
      </c>
      <c r="F7531" s="949">
        <v>2001</v>
      </c>
      <c r="G7531" s="950" t="s">
        <v>18909</v>
      </c>
      <c r="H7531" s="950" t="s">
        <v>909</v>
      </c>
      <c r="I7531" s="951" t="s">
        <v>32273</v>
      </c>
      <c r="J7531" s="947" t="s">
        <v>3237</v>
      </c>
      <c r="K7531" s="143"/>
    </row>
    <row r="7532" spans="1:11">
      <c r="A7532" s="946" t="s">
        <v>28616</v>
      </c>
      <c r="B7532" s="947" t="s">
        <v>3257</v>
      </c>
      <c r="C7532" s="948" t="s">
        <v>3256</v>
      </c>
      <c r="D7532" s="242" t="s">
        <v>28734</v>
      </c>
      <c r="E7532" s="949">
        <v>2001</v>
      </c>
      <c r="F7532" s="949">
        <v>2001</v>
      </c>
      <c r="G7532" s="950" t="s">
        <v>18909</v>
      </c>
      <c r="H7532" s="950" t="s">
        <v>909</v>
      </c>
      <c r="I7532" s="951" t="s">
        <v>32274</v>
      </c>
      <c r="J7532" s="947" t="s">
        <v>3257</v>
      </c>
      <c r="K7532" s="143"/>
    </row>
    <row r="7533" spans="1:11">
      <c r="A7533" s="946" t="s">
        <v>28616</v>
      </c>
      <c r="B7533" s="947" t="s">
        <v>4307</v>
      </c>
      <c r="C7533" s="948" t="s">
        <v>4306</v>
      </c>
      <c r="D7533" s="242" t="s">
        <v>28734</v>
      </c>
      <c r="E7533" s="949">
        <v>2001</v>
      </c>
      <c r="F7533" s="949">
        <v>2001</v>
      </c>
      <c r="G7533" s="950" t="s">
        <v>18909</v>
      </c>
      <c r="H7533" s="950" t="s">
        <v>909</v>
      </c>
      <c r="I7533" s="951" t="s">
        <v>32275</v>
      </c>
      <c r="J7533" s="947" t="s">
        <v>4307</v>
      </c>
      <c r="K7533" s="143"/>
    </row>
    <row r="7534" spans="1:11">
      <c r="A7534" s="946" t="s">
        <v>28616</v>
      </c>
      <c r="B7534" s="947" t="s">
        <v>5416</v>
      </c>
      <c r="C7534" s="948" t="s">
        <v>5415</v>
      </c>
      <c r="D7534" s="242" t="s">
        <v>28734</v>
      </c>
      <c r="E7534" s="949">
        <v>2001</v>
      </c>
      <c r="F7534" s="949">
        <v>2001</v>
      </c>
      <c r="G7534" s="950" t="s">
        <v>18909</v>
      </c>
      <c r="H7534" s="950" t="s">
        <v>909</v>
      </c>
      <c r="I7534" s="951" t="s">
        <v>32276</v>
      </c>
      <c r="J7534" s="947" t="s">
        <v>5416</v>
      </c>
      <c r="K7534" s="143"/>
    </row>
    <row r="7535" spans="1:11">
      <c r="A7535" s="946" t="s">
        <v>28616</v>
      </c>
      <c r="B7535" s="947" t="s">
        <v>6193</v>
      </c>
      <c r="C7535" s="948" t="s">
        <v>6192</v>
      </c>
      <c r="D7535" s="242" t="s">
        <v>28734</v>
      </c>
      <c r="E7535" s="949">
        <v>2001</v>
      </c>
      <c r="F7535" s="949">
        <v>2001</v>
      </c>
      <c r="G7535" s="950" t="s">
        <v>18909</v>
      </c>
      <c r="H7535" s="950" t="s">
        <v>909</v>
      </c>
      <c r="I7535" s="951" t="s">
        <v>32277</v>
      </c>
      <c r="J7535" s="947" t="s">
        <v>6193</v>
      </c>
      <c r="K7535" s="143"/>
    </row>
    <row r="7536" spans="1:11">
      <c r="A7536" s="946" t="s">
        <v>28616</v>
      </c>
      <c r="B7536" s="947" t="s">
        <v>6216</v>
      </c>
      <c r="C7536" s="948" t="s">
        <v>6215</v>
      </c>
      <c r="D7536" s="242" t="s">
        <v>28734</v>
      </c>
      <c r="E7536" s="949">
        <v>2001</v>
      </c>
      <c r="F7536" s="949">
        <v>2001</v>
      </c>
      <c r="G7536" s="950" t="s">
        <v>18909</v>
      </c>
      <c r="H7536" s="950" t="s">
        <v>909</v>
      </c>
      <c r="I7536" s="951" t="s">
        <v>32278</v>
      </c>
      <c r="J7536" s="947" t="s">
        <v>6216</v>
      </c>
      <c r="K7536" s="143"/>
    </row>
    <row r="7537" spans="1:11">
      <c r="A7537" s="946" t="s">
        <v>28616</v>
      </c>
      <c r="B7537" s="947" t="s">
        <v>6674</v>
      </c>
      <c r="C7537" s="948" t="s">
        <v>6673</v>
      </c>
      <c r="D7537" s="242" t="s">
        <v>28734</v>
      </c>
      <c r="E7537" s="949">
        <v>2001</v>
      </c>
      <c r="F7537" s="949">
        <v>2001</v>
      </c>
      <c r="G7537" s="950" t="s">
        <v>18909</v>
      </c>
      <c r="H7537" s="950" t="s">
        <v>909</v>
      </c>
      <c r="I7537" s="951" t="s">
        <v>32279</v>
      </c>
      <c r="J7537" s="947" t="s">
        <v>6674</v>
      </c>
      <c r="K7537" s="143"/>
    </row>
    <row r="7538" spans="1:11">
      <c r="A7538" s="946" t="s">
        <v>28616</v>
      </c>
      <c r="B7538" s="947" t="s">
        <v>7249</v>
      </c>
      <c r="C7538" s="948" t="s">
        <v>7248</v>
      </c>
      <c r="D7538" s="242" t="s">
        <v>28734</v>
      </c>
      <c r="E7538" s="949">
        <v>2001</v>
      </c>
      <c r="F7538" s="949">
        <v>2001</v>
      </c>
      <c r="G7538" s="950" t="s">
        <v>18909</v>
      </c>
      <c r="H7538" s="950" t="s">
        <v>909</v>
      </c>
      <c r="I7538" s="951" t="s">
        <v>32280</v>
      </c>
      <c r="J7538" s="947" t="s">
        <v>7249</v>
      </c>
      <c r="K7538" s="143"/>
    </row>
    <row r="7539" spans="1:11">
      <c r="A7539" s="946" t="s">
        <v>28616</v>
      </c>
      <c r="B7539" s="947" t="s">
        <v>7898</v>
      </c>
      <c r="C7539" s="948" t="s">
        <v>7897</v>
      </c>
      <c r="D7539" s="242" t="s">
        <v>28734</v>
      </c>
      <c r="E7539" s="949">
        <v>2001</v>
      </c>
      <c r="F7539" s="949">
        <v>2001</v>
      </c>
      <c r="G7539" s="950" t="s">
        <v>18909</v>
      </c>
      <c r="H7539" s="950" t="s">
        <v>909</v>
      </c>
      <c r="I7539" s="951" t="s">
        <v>32281</v>
      </c>
      <c r="J7539" s="947" t="s">
        <v>7898</v>
      </c>
      <c r="K7539" s="143"/>
    </row>
    <row r="7540" spans="1:11">
      <c r="A7540" s="946" t="s">
        <v>28616</v>
      </c>
      <c r="B7540" s="947" t="s">
        <v>7917</v>
      </c>
      <c r="C7540" s="948" t="s">
        <v>7916</v>
      </c>
      <c r="D7540" s="242" t="s">
        <v>28734</v>
      </c>
      <c r="E7540" s="949">
        <v>2001</v>
      </c>
      <c r="F7540" s="949">
        <v>2001</v>
      </c>
      <c r="G7540" s="950" t="s">
        <v>18909</v>
      </c>
      <c r="H7540" s="950" t="s">
        <v>909</v>
      </c>
      <c r="I7540" s="951" t="s">
        <v>32282</v>
      </c>
      <c r="J7540" s="947" t="s">
        <v>7917</v>
      </c>
      <c r="K7540" s="143"/>
    </row>
    <row r="7541" spans="1:11">
      <c r="A7541" s="946" t="s">
        <v>28616</v>
      </c>
      <c r="B7541" s="947" t="s">
        <v>8336</v>
      </c>
      <c r="C7541" s="948" t="s">
        <v>8335</v>
      </c>
      <c r="D7541" s="242" t="s">
        <v>28734</v>
      </c>
      <c r="E7541" s="949">
        <v>2001</v>
      </c>
      <c r="F7541" s="949">
        <v>2001</v>
      </c>
      <c r="G7541" s="950" t="s">
        <v>18909</v>
      </c>
      <c r="H7541" s="950" t="s">
        <v>909</v>
      </c>
      <c r="I7541" s="951" t="s">
        <v>32283</v>
      </c>
      <c r="J7541" s="947" t="s">
        <v>8336</v>
      </c>
      <c r="K7541" s="143"/>
    </row>
    <row r="7542" spans="1:11">
      <c r="A7542" s="946" t="s">
        <v>28616</v>
      </c>
      <c r="B7542" s="947" t="s">
        <v>9199</v>
      </c>
      <c r="C7542" s="948" t="s">
        <v>9198</v>
      </c>
      <c r="D7542" s="242" t="s">
        <v>28734</v>
      </c>
      <c r="E7542" s="949">
        <v>2001</v>
      </c>
      <c r="F7542" s="949">
        <v>2001</v>
      </c>
      <c r="G7542" s="950" t="s">
        <v>18909</v>
      </c>
      <c r="H7542" s="950" t="s">
        <v>909</v>
      </c>
      <c r="I7542" s="951" t="s">
        <v>32284</v>
      </c>
      <c r="J7542" s="947" t="s">
        <v>9199</v>
      </c>
      <c r="K7542" s="143"/>
    </row>
    <row r="7543" spans="1:11">
      <c r="A7543" s="946" t="s">
        <v>28616</v>
      </c>
      <c r="B7543" s="947" t="s">
        <v>9774</v>
      </c>
      <c r="C7543" s="948" t="s">
        <v>9773</v>
      </c>
      <c r="D7543" s="242" t="s">
        <v>28734</v>
      </c>
      <c r="E7543" s="949">
        <v>2001</v>
      </c>
      <c r="F7543" s="949">
        <v>2001</v>
      </c>
      <c r="G7543" s="950" t="s">
        <v>18909</v>
      </c>
      <c r="H7543" s="950" t="s">
        <v>909</v>
      </c>
      <c r="I7543" s="951" t="s">
        <v>32285</v>
      </c>
      <c r="J7543" s="947" t="s">
        <v>9774</v>
      </c>
      <c r="K7543" s="143"/>
    </row>
    <row r="7544" spans="1:11">
      <c r="A7544" s="946" t="s">
        <v>28616</v>
      </c>
      <c r="B7544" s="947" t="s">
        <v>9954</v>
      </c>
      <c r="C7544" s="948" t="s">
        <v>9953</v>
      </c>
      <c r="D7544" s="242" t="s">
        <v>28734</v>
      </c>
      <c r="E7544" s="949">
        <v>2001</v>
      </c>
      <c r="F7544" s="949">
        <v>2001</v>
      </c>
      <c r="G7544" s="950" t="s">
        <v>18909</v>
      </c>
      <c r="H7544" s="950" t="s">
        <v>909</v>
      </c>
      <c r="I7544" s="951" t="s">
        <v>32286</v>
      </c>
      <c r="J7544" s="947" t="s">
        <v>9954</v>
      </c>
      <c r="K7544" s="143"/>
    </row>
    <row r="7545" spans="1:11">
      <c r="A7545" s="946" t="s">
        <v>28616</v>
      </c>
      <c r="B7545" s="947" t="s">
        <v>9956</v>
      </c>
      <c r="C7545" s="948" t="s">
        <v>9955</v>
      </c>
      <c r="D7545" s="242" t="s">
        <v>28734</v>
      </c>
      <c r="E7545" s="949">
        <v>2001</v>
      </c>
      <c r="F7545" s="949">
        <v>2001</v>
      </c>
      <c r="G7545" s="950" t="s">
        <v>18909</v>
      </c>
      <c r="H7545" s="950" t="s">
        <v>909</v>
      </c>
      <c r="I7545" s="951" t="s">
        <v>32287</v>
      </c>
      <c r="J7545" s="947" t="s">
        <v>9956</v>
      </c>
      <c r="K7545" s="143"/>
    </row>
    <row r="7546" spans="1:11">
      <c r="A7546" s="946" t="s">
        <v>28616</v>
      </c>
      <c r="B7546" s="947" t="s">
        <v>10039</v>
      </c>
      <c r="C7546" s="948" t="s">
        <v>10038</v>
      </c>
      <c r="D7546" s="242" t="s">
        <v>28734</v>
      </c>
      <c r="E7546" s="949">
        <v>2001</v>
      </c>
      <c r="F7546" s="949">
        <v>2001</v>
      </c>
      <c r="G7546" s="950" t="s">
        <v>18909</v>
      </c>
      <c r="H7546" s="950" t="s">
        <v>909</v>
      </c>
      <c r="I7546" s="951" t="s">
        <v>32288</v>
      </c>
      <c r="J7546" s="947" t="s">
        <v>10039</v>
      </c>
      <c r="K7546" s="143"/>
    </row>
    <row r="7547" spans="1:11">
      <c r="A7547" s="946" t="s">
        <v>28616</v>
      </c>
      <c r="B7547" s="947" t="s">
        <v>11090</v>
      </c>
      <c r="C7547" s="948" t="s">
        <v>11089</v>
      </c>
      <c r="D7547" s="242" t="s">
        <v>28734</v>
      </c>
      <c r="E7547" s="949">
        <v>2001</v>
      </c>
      <c r="F7547" s="949">
        <v>2001</v>
      </c>
      <c r="G7547" s="950" t="s">
        <v>18909</v>
      </c>
      <c r="H7547" s="950" t="s">
        <v>909</v>
      </c>
      <c r="I7547" s="951" t="s">
        <v>32289</v>
      </c>
      <c r="J7547" s="947" t="s">
        <v>11090</v>
      </c>
      <c r="K7547" s="143"/>
    </row>
    <row r="7548" spans="1:11">
      <c r="A7548" s="946" t="s">
        <v>28616</v>
      </c>
      <c r="B7548" s="947" t="s">
        <v>11299</v>
      </c>
      <c r="C7548" s="948" t="s">
        <v>11298</v>
      </c>
      <c r="D7548" s="242" t="s">
        <v>28734</v>
      </c>
      <c r="E7548" s="949">
        <v>2001</v>
      </c>
      <c r="F7548" s="949">
        <v>2001</v>
      </c>
      <c r="G7548" s="950" t="s">
        <v>18909</v>
      </c>
      <c r="H7548" s="950" t="s">
        <v>909</v>
      </c>
      <c r="I7548" s="951" t="s">
        <v>32290</v>
      </c>
      <c r="J7548" s="947" t="s">
        <v>11299</v>
      </c>
      <c r="K7548" s="143"/>
    </row>
    <row r="7549" spans="1:11">
      <c r="A7549" s="946" t="s">
        <v>28616</v>
      </c>
      <c r="B7549" s="947" t="s">
        <v>12578</v>
      </c>
      <c r="C7549" s="948" t="s">
        <v>12577</v>
      </c>
      <c r="D7549" s="242" t="s">
        <v>28734</v>
      </c>
      <c r="E7549" s="949">
        <v>2001</v>
      </c>
      <c r="F7549" s="949">
        <v>2001</v>
      </c>
      <c r="G7549" s="950" t="s">
        <v>18909</v>
      </c>
      <c r="H7549" s="950" t="s">
        <v>909</v>
      </c>
      <c r="I7549" s="951" t="s">
        <v>32291</v>
      </c>
      <c r="J7549" s="947" t="s">
        <v>12578</v>
      </c>
      <c r="K7549" s="143"/>
    </row>
    <row r="7550" spans="1:11">
      <c r="A7550" s="946" t="s">
        <v>28616</v>
      </c>
      <c r="B7550" s="947" t="s">
        <v>12910</v>
      </c>
      <c r="C7550" s="948" t="s">
        <v>12909</v>
      </c>
      <c r="D7550" s="242" t="s">
        <v>28734</v>
      </c>
      <c r="E7550" s="949">
        <v>2001</v>
      </c>
      <c r="F7550" s="949">
        <v>2001</v>
      </c>
      <c r="G7550" s="950" t="s">
        <v>18909</v>
      </c>
      <c r="H7550" s="950" t="s">
        <v>909</v>
      </c>
      <c r="I7550" s="951" t="s">
        <v>32292</v>
      </c>
      <c r="J7550" s="947" t="s">
        <v>12910</v>
      </c>
      <c r="K7550" s="143"/>
    </row>
    <row r="7551" spans="1:11">
      <c r="A7551" s="946" t="s">
        <v>28616</v>
      </c>
      <c r="B7551" s="947" t="s">
        <v>13125</v>
      </c>
      <c r="C7551" s="948" t="s">
        <v>13124</v>
      </c>
      <c r="D7551" s="242" t="s">
        <v>28734</v>
      </c>
      <c r="E7551" s="949">
        <v>2001</v>
      </c>
      <c r="F7551" s="949">
        <v>2001</v>
      </c>
      <c r="G7551" s="950" t="s">
        <v>18909</v>
      </c>
      <c r="H7551" s="950" t="s">
        <v>909</v>
      </c>
      <c r="I7551" s="951" t="s">
        <v>32293</v>
      </c>
      <c r="J7551" s="947" t="s">
        <v>13125</v>
      </c>
      <c r="K7551" s="143"/>
    </row>
    <row r="7552" spans="1:11">
      <c r="A7552" s="946" t="s">
        <v>28616</v>
      </c>
      <c r="B7552" s="947" t="s">
        <v>13453</v>
      </c>
      <c r="C7552" s="948" t="s">
        <v>13452</v>
      </c>
      <c r="D7552" s="242" t="s">
        <v>28734</v>
      </c>
      <c r="E7552" s="949">
        <v>2001</v>
      </c>
      <c r="F7552" s="949">
        <v>2001</v>
      </c>
      <c r="G7552" s="950" t="s">
        <v>18909</v>
      </c>
      <c r="H7552" s="950" t="s">
        <v>909</v>
      </c>
      <c r="I7552" s="951" t="s">
        <v>32294</v>
      </c>
      <c r="J7552" s="947" t="s">
        <v>13453</v>
      </c>
      <c r="K7552" s="143"/>
    </row>
    <row r="7553" spans="1:11">
      <c r="A7553" s="946" t="s">
        <v>28616</v>
      </c>
      <c r="B7553" s="947" t="s">
        <v>13457</v>
      </c>
      <c r="C7553" s="948" t="s">
        <v>13456</v>
      </c>
      <c r="D7553" s="242" t="s">
        <v>28734</v>
      </c>
      <c r="E7553" s="949">
        <v>2001</v>
      </c>
      <c r="F7553" s="949">
        <v>2001</v>
      </c>
      <c r="G7553" s="950" t="s">
        <v>18909</v>
      </c>
      <c r="H7553" s="950" t="s">
        <v>909</v>
      </c>
      <c r="I7553" s="951" t="s">
        <v>32295</v>
      </c>
      <c r="J7553" s="947" t="s">
        <v>13457</v>
      </c>
      <c r="K7553" s="143"/>
    </row>
    <row r="7554" spans="1:11">
      <c r="A7554" s="946" t="s">
        <v>28616</v>
      </c>
      <c r="B7554" s="947" t="s">
        <v>13459</v>
      </c>
      <c r="C7554" s="948" t="s">
        <v>13458</v>
      </c>
      <c r="D7554" s="242" t="s">
        <v>28734</v>
      </c>
      <c r="E7554" s="949">
        <v>2001</v>
      </c>
      <c r="F7554" s="949">
        <v>2001</v>
      </c>
      <c r="G7554" s="950" t="s">
        <v>18909</v>
      </c>
      <c r="H7554" s="950" t="s">
        <v>909</v>
      </c>
      <c r="I7554" s="951" t="s">
        <v>32296</v>
      </c>
      <c r="J7554" s="947" t="s">
        <v>13459</v>
      </c>
      <c r="K7554" s="143"/>
    </row>
    <row r="7555" spans="1:11">
      <c r="A7555" s="946" t="s">
        <v>28616</v>
      </c>
      <c r="B7555" s="947" t="s">
        <v>13610</v>
      </c>
      <c r="C7555" s="948" t="s">
        <v>13609</v>
      </c>
      <c r="D7555" s="242" t="s">
        <v>28734</v>
      </c>
      <c r="E7555" s="949">
        <v>2001</v>
      </c>
      <c r="F7555" s="949">
        <v>2001</v>
      </c>
      <c r="G7555" s="950" t="s">
        <v>18909</v>
      </c>
      <c r="H7555" s="950" t="s">
        <v>909</v>
      </c>
      <c r="I7555" s="951" t="s">
        <v>32297</v>
      </c>
      <c r="J7555" s="947" t="s">
        <v>13610</v>
      </c>
      <c r="K7555" s="143"/>
    </row>
    <row r="7556" spans="1:11">
      <c r="A7556" s="946" t="s">
        <v>28616</v>
      </c>
      <c r="B7556" s="947" t="s">
        <v>13839</v>
      </c>
      <c r="C7556" s="948" t="s">
        <v>13838</v>
      </c>
      <c r="D7556" s="242" t="s">
        <v>28734</v>
      </c>
      <c r="E7556" s="949">
        <v>2001</v>
      </c>
      <c r="F7556" s="949">
        <v>2001</v>
      </c>
      <c r="G7556" s="950" t="s">
        <v>18909</v>
      </c>
      <c r="H7556" s="950" t="s">
        <v>909</v>
      </c>
      <c r="I7556" s="951" t="s">
        <v>32298</v>
      </c>
      <c r="J7556" s="947" t="s">
        <v>13839</v>
      </c>
      <c r="K7556" s="143"/>
    </row>
    <row r="7557" spans="1:11">
      <c r="A7557" s="946" t="s">
        <v>28616</v>
      </c>
      <c r="B7557" s="947" t="s">
        <v>13884</v>
      </c>
      <c r="C7557" s="948" t="s">
        <v>13883</v>
      </c>
      <c r="D7557" s="242" t="s">
        <v>28734</v>
      </c>
      <c r="E7557" s="949">
        <v>2001</v>
      </c>
      <c r="F7557" s="949">
        <v>2001</v>
      </c>
      <c r="G7557" s="950" t="s">
        <v>18909</v>
      </c>
      <c r="H7557" s="950" t="s">
        <v>909</v>
      </c>
      <c r="I7557" s="951" t="s">
        <v>32299</v>
      </c>
      <c r="J7557" s="947" t="s">
        <v>13884</v>
      </c>
      <c r="K7557" s="143"/>
    </row>
    <row r="7558" spans="1:11">
      <c r="A7558" s="946" t="s">
        <v>28616</v>
      </c>
      <c r="B7558" s="947" t="s">
        <v>13959</v>
      </c>
      <c r="C7558" s="948" t="s">
        <v>13958</v>
      </c>
      <c r="D7558" s="242" t="s">
        <v>28734</v>
      </c>
      <c r="E7558" s="949">
        <v>2001</v>
      </c>
      <c r="F7558" s="949">
        <v>2001</v>
      </c>
      <c r="G7558" s="950" t="s">
        <v>18909</v>
      </c>
      <c r="H7558" s="950" t="s">
        <v>909</v>
      </c>
      <c r="I7558" s="951" t="s">
        <v>32300</v>
      </c>
      <c r="J7558" s="947" t="s">
        <v>13959</v>
      </c>
      <c r="K7558" s="143"/>
    </row>
    <row r="7559" spans="1:11">
      <c r="A7559" s="946" t="s">
        <v>28616</v>
      </c>
      <c r="B7559" s="947" t="s">
        <v>14007</v>
      </c>
      <c r="C7559" s="948" t="s">
        <v>14006</v>
      </c>
      <c r="D7559" s="242" t="s">
        <v>28734</v>
      </c>
      <c r="E7559" s="949">
        <v>2001</v>
      </c>
      <c r="F7559" s="949">
        <v>2001</v>
      </c>
      <c r="G7559" s="950" t="s">
        <v>18909</v>
      </c>
      <c r="H7559" s="950" t="s">
        <v>909</v>
      </c>
      <c r="I7559" s="951" t="s">
        <v>32301</v>
      </c>
      <c r="J7559" s="947" t="s">
        <v>14007</v>
      </c>
      <c r="K7559" s="143"/>
    </row>
    <row r="7560" spans="1:11">
      <c r="A7560" s="946" t="s">
        <v>28616</v>
      </c>
      <c r="B7560" s="947" t="s">
        <v>14341</v>
      </c>
      <c r="C7560" s="948" t="s">
        <v>14340</v>
      </c>
      <c r="D7560" s="242" t="s">
        <v>28734</v>
      </c>
      <c r="E7560" s="949">
        <v>2001</v>
      </c>
      <c r="F7560" s="949">
        <v>2001</v>
      </c>
      <c r="G7560" s="950" t="s">
        <v>18909</v>
      </c>
      <c r="H7560" s="950" t="s">
        <v>909</v>
      </c>
      <c r="I7560" s="951" t="s">
        <v>32302</v>
      </c>
      <c r="J7560" s="947" t="s">
        <v>14341</v>
      </c>
      <c r="K7560" s="143"/>
    </row>
    <row r="7561" spans="1:11">
      <c r="A7561" s="946" t="s">
        <v>28616</v>
      </c>
      <c r="B7561" s="947" t="s">
        <v>14490</v>
      </c>
      <c r="C7561" s="948" t="s">
        <v>14489</v>
      </c>
      <c r="D7561" s="242" t="s">
        <v>28734</v>
      </c>
      <c r="E7561" s="949">
        <v>2001</v>
      </c>
      <c r="F7561" s="949">
        <v>2001</v>
      </c>
      <c r="G7561" s="950" t="s">
        <v>18909</v>
      </c>
      <c r="H7561" s="950" t="s">
        <v>909</v>
      </c>
      <c r="I7561" s="951" t="s">
        <v>32303</v>
      </c>
      <c r="J7561" s="947" t="s">
        <v>14490</v>
      </c>
      <c r="K7561" s="143"/>
    </row>
    <row r="7562" spans="1:11">
      <c r="A7562" s="946" t="s">
        <v>28616</v>
      </c>
      <c r="B7562" s="947" t="s">
        <v>15143</v>
      </c>
      <c r="C7562" s="948" t="s">
        <v>15142</v>
      </c>
      <c r="D7562" s="242" t="s">
        <v>28734</v>
      </c>
      <c r="E7562" s="949">
        <v>2001</v>
      </c>
      <c r="F7562" s="949">
        <v>2001</v>
      </c>
      <c r="G7562" s="950" t="s">
        <v>18909</v>
      </c>
      <c r="H7562" s="950" t="s">
        <v>909</v>
      </c>
      <c r="I7562" s="951" t="s">
        <v>32304</v>
      </c>
      <c r="J7562" s="947" t="s">
        <v>15143</v>
      </c>
      <c r="K7562" s="143"/>
    </row>
    <row r="7563" spans="1:11">
      <c r="A7563" s="946" t="s">
        <v>28616</v>
      </c>
      <c r="B7563" s="947" t="s">
        <v>15574</v>
      </c>
      <c r="C7563" s="948" t="s">
        <v>15573</v>
      </c>
      <c r="D7563" s="242" t="s">
        <v>28734</v>
      </c>
      <c r="E7563" s="949">
        <v>2001</v>
      </c>
      <c r="F7563" s="949">
        <v>2001</v>
      </c>
      <c r="G7563" s="950" t="s">
        <v>18909</v>
      </c>
      <c r="H7563" s="950" t="s">
        <v>909</v>
      </c>
      <c r="I7563" s="951" t="s">
        <v>32305</v>
      </c>
      <c r="J7563" s="947" t="s">
        <v>15574</v>
      </c>
      <c r="K7563" s="143"/>
    </row>
    <row r="7564" spans="1:11">
      <c r="A7564" s="946" t="s">
        <v>28616</v>
      </c>
      <c r="B7564" s="947" t="s">
        <v>15685</v>
      </c>
      <c r="C7564" s="948" t="s">
        <v>15684</v>
      </c>
      <c r="D7564" s="242" t="s">
        <v>28734</v>
      </c>
      <c r="E7564" s="949">
        <v>2001</v>
      </c>
      <c r="F7564" s="949">
        <v>2001</v>
      </c>
      <c r="G7564" s="950" t="s">
        <v>18909</v>
      </c>
      <c r="H7564" s="950" t="s">
        <v>909</v>
      </c>
      <c r="I7564" s="951" t="s">
        <v>32306</v>
      </c>
      <c r="J7564" s="947" t="s">
        <v>15685</v>
      </c>
      <c r="K7564" s="143"/>
    </row>
    <row r="7565" spans="1:11">
      <c r="A7565" s="946" t="s">
        <v>28616</v>
      </c>
      <c r="B7565" s="947" t="s">
        <v>15939</v>
      </c>
      <c r="C7565" s="948" t="s">
        <v>15938</v>
      </c>
      <c r="D7565" s="242" t="s">
        <v>28734</v>
      </c>
      <c r="E7565" s="949">
        <v>2001</v>
      </c>
      <c r="F7565" s="949">
        <v>2001</v>
      </c>
      <c r="G7565" s="950" t="s">
        <v>18909</v>
      </c>
      <c r="H7565" s="950" t="s">
        <v>909</v>
      </c>
      <c r="I7565" s="951" t="s">
        <v>32307</v>
      </c>
      <c r="J7565" s="947" t="s">
        <v>15939</v>
      </c>
      <c r="K7565" s="143"/>
    </row>
    <row r="7566" spans="1:11">
      <c r="A7566" s="946" t="s">
        <v>28616</v>
      </c>
      <c r="B7566" s="947" t="s">
        <v>16823</v>
      </c>
      <c r="C7566" s="948" t="s">
        <v>16822</v>
      </c>
      <c r="D7566" s="242" t="s">
        <v>28734</v>
      </c>
      <c r="E7566" s="949">
        <v>2001</v>
      </c>
      <c r="F7566" s="949">
        <v>2001</v>
      </c>
      <c r="G7566" s="950" t="s">
        <v>18909</v>
      </c>
      <c r="H7566" s="950" t="s">
        <v>909</v>
      </c>
      <c r="I7566" s="951" t="s">
        <v>32308</v>
      </c>
      <c r="J7566" s="947" t="s">
        <v>16823</v>
      </c>
      <c r="K7566" s="143"/>
    </row>
    <row r="7567" spans="1:11">
      <c r="A7567" s="946" t="s">
        <v>28616</v>
      </c>
      <c r="B7567" s="947" t="s">
        <v>18464</v>
      </c>
      <c r="C7567" s="948" t="s">
        <v>18463</v>
      </c>
      <c r="D7567" s="242" t="s">
        <v>28734</v>
      </c>
      <c r="E7567" s="949">
        <v>2001</v>
      </c>
      <c r="F7567" s="949">
        <v>2001</v>
      </c>
      <c r="G7567" s="950" t="s">
        <v>18909</v>
      </c>
      <c r="H7567" s="950" t="s">
        <v>909</v>
      </c>
      <c r="I7567" s="951" t="s">
        <v>32309</v>
      </c>
      <c r="J7567" s="947" t="s">
        <v>18464</v>
      </c>
      <c r="K7567" s="143"/>
    </row>
    <row r="7568" spans="1:11">
      <c r="A7568" s="946" t="s">
        <v>28616</v>
      </c>
      <c r="B7568" s="947" t="s">
        <v>18909</v>
      </c>
      <c r="C7568" s="948" t="s">
        <v>18908</v>
      </c>
      <c r="D7568" s="242" t="s">
        <v>28734</v>
      </c>
      <c r="E7568" s="949">
        <v>2001</v>
      </c>
      <c r="F7568" s="949">
        <v>2001</v>
      </c>
      <c r="G7568" s="950" t="s">
        <v>18909</v>
      </c>
      <c r="H7568" s="950" t="s">
        <v>909</v>
      </c>
      <c r="I7568" s="951" t="s">
        <v>32310</v>
      </c>
      <c r="J7568" s="947" t="s">
        <v>18909</v>
      </c>
      <c r="K7568" s="143"/>
    </row>
    <row r="7569" spans="1:11">
      <c r="A7569" s="946" t="s">
        <v>28616</v>
      </c>
      <c r="B7569" s="947" t="s">
        <v>19170</v>
      </c>
      <c r="C7569" s="948" t="s">
        <v>19169</v>
      </c>
      <c r="D7569" s="242" t="s">
        <v>28734</v>
      </c>
      <c r="E7569" s="949">
        <v>2001</v>
      </c>
      <c r="F7569" s="949">
        <v>2001</v>
      </c>
      <c r="G7569" s="950" t="s">
        <v>18909</v>
      </c>
      <c r="H7569" s="950" t="s">
        <v>909</v>
      </c>
      <c r="I7569" s="951" t="s">
        <v>32311</v>
      </c>
      <c r="J7569" s="947" t="s">
        <v>19170</v>
      </c>
      <c r="K7569" s="143"/>
    </row>
    <row r="7570" spans="1:11">
      <c r="A7570" s="946" t="s">
        <v>28616</v>
      </c>
      <c r="B7570" s="947" t="s">
        <v>19229</v>
      </c>
      <c r="C7570" s="948" t="s">
        <v>19228</v>
      </c>
      <c r="D7570" s="242" t="s">
        <v>28734</v>
      </c>
      <c r="E7570" s="949">
        <v>2001</v>
      </c>
      <c r="F7570" s="949">
        <v>2001</v>
      </c>
      <c r="G7570" s="950" t="s">
        <v>18909</v>
      </c>
      <c r="H7570" s="950" t="s">
        <v>909</v>
      </c>
      <c r="I7570" s="951" t="s">
        <v>32312</v>
      </c>
      <c r="J7570" s="947" t="s">
        <v>19229</v>
      </c>
      <c r="K7570" s="143"/>
    </row>
    <row r="7571" spans="1:11">
      <c r="A7571" s="946" t="s">
        <v>28616</v>
      </c>
      <c r="B7571" s="947" t="s">
        <v>19269</v>
      </c>
      <c r="C7571" s="948" t="s">
        <v>19268</v>
      </c>
      <c r="D7571" s="242" t="s">
        <v>28734</v>
      </c>
      <c r="E7571" s="949">
        <v>2001</v>
      </c>
      <c r="F7571" s="949">
        <v>2001</v>
      </c>
      <c r="G7571" s="950" t="s">
        <v>18909</v>
      </c>
      <c r="H7571" s="950" t="s">
        <v>909</v>
      </c>
      <c r="I7571" s="951" t="s">
        <v>32313</v>
      </c>
      <c r="J7571" s="947" t="s">
        <v>19269</v>
      </c>
      <c r="K7571" s="143"/>
    </row>
    <row r="7572" spans="1:11">
      <c r="A7572" s="946" t="s">
        <v>28616</v>
      </c>
      <c r="B7572" s="947" t="s">
        <v>19525</v>
      </c>
      <c r="C7572" s="948" t="s">
        <v>19524</v>
      </c>
      <c r="D7572" s="242" t="s">
        <v>28734</v>
      </c>
      <c r="E7572" s="949">
        <v>2001</v>
      </c>
      <c r="F7572" s="949">
        <v>2001</v>
      </c>
      <c r="G7572" s="950" t="s">
        <v>18909</v>
      </c>
      <c r="H7572" s="950" t="s">
        <v>909</v>
      </c>
      <c r="I7572" s="951" t="s">
        <v>32314</v>
      </c>
      <c r="J7572" s="947" t="s">
        <v>19525</v>
      </c>
      <c r="K7572" s="143"/>
    </row>
    <row r="7573" spans="1:11">
      <c r="A7573" s="946" t="s">
        <v>28616</v>
      </c>
      <c r="B7573" s="947" t="s">
        <v>19785</v>
      </c>
      <c r="C7573" s="948" t="s">
        <v>19784</v>
      </c>
      <c r="D7573" s="242" t="s">
        <v>28734</v>
      </c>
      <c r="E7573" s="949">
        <v>2001</v>
      </c>
      <c r="F7573" s="949">
        <v>2001</v>
      </c>
      <c r="G7573" s="950" t="s">
        <v>18909</v>
      </c>
      <c r="H7573" s="950" t="s">
        <v>909</v>
      </c>
      <c r="I7573" s="951" t="s">
        <v>32315</v>
      </c>
      <c r="J7573" s="947" t="s">
        <v>19785</v>
      </c>
      <c r="K7573" s="143"/>
    </row>
    <row r="7574" spans="1:11">
      <c r="A7574" s="946" t="s">
        <v>28616</v>
      </c>
      <c r="B7574" s="947" t="s">
        <v>20016</v>
      </c>
      <c r="C7574" s="948" t="s">
        <v>20015</v>
      </c>
      <c r="D7574" s="242" t="s">
        <v>28734</v>
      </c>
      <c r="E7574" s="949">
        <v>2001</v>
      </c>
      <c r="F7574" s="949">
        <v>2001</v>
      </c>
      <c r="G7574" s="950" t="s">
        <v>18909</v>
      </c>
      <c r="H7574" s="950" t="s">
        <v>909</v>
      </c>
      <c r="I7574" s="951" t="s">
        <v>32316</v>
      </c>
      <c r="J7574" s="947" t="s">
        <v>20016</v>
      </c>
      <c r="K7574" s="143"/>
    </row>
    <row r="7575" spans="1:11">
      <c r="A7575" s="946" t="s">
        <v>28616</v>
      </c>
      <c r="B7575" s="947" t="s">
        <v>20340</v>
      </c>
      <c r="C7575" s="948" t="s">
        <v>20339</v>
      </c>
      <c r="D7575" s="242" t="s">
        <v>28734</v>
      </c>
      <c r="E7575" s="949">
        <v>2001</v>
      </c>
      <c r="F7575" s="949">
        <v>2001</v>
      </c>
      <c r="G7575" s="950" t="s">
        <v>18909</v>
      </c>
      <c r="H7575" s="950" t="s">
        <v>909</v>
      </c>
      <c r="I7575" s="951" t="s">
        <v>32317</v>
      </c>
      <c r="J7575" s="947" t="s">
        <v>20340</v>
      </c>
      <c r="K7575" s="143"/>
    </row>
    <row r="7576" spans="1:11">
      <c r="A7576" s="946" t="s">
        <v>28616</v>
      </c>
      <c r="B7576" s="947" t="s">
        <v>20447</v>
      </c>
      <c r="C7576" s="948" t="s">
        <v>20446</v>
      </c>
      <c r="D7576" s="242" t="s">
        <v>28734</v>
      </c>
      <c r="E7576" s="949">
        <v>2001</v>
      </c>
      <c r="F7576" s="949">
        <v>2001</v>
      </c>
      <c r="G7576" s="950" t="s">
        <v>18909</v>
      </c>
      <c r="H7576" s="950" t="s">
        <v>909</v>
      </c>
      <c r="I7576" s="951" t="s">
        <v>32318</v>
      </c>
      <c r="J7576" s="947" t="s">
        <v>20447</v>
      </c>
      <c r="K7576" s="143"/>
    </row>
    <row r="7577" spans="1:11">
      <c r="A7577" s="946" t="s">
        <v>28616</v>
      </c>
      <c r="B7577" s="947" t="s">
        <v>20485</v>
      </c>
      <c r="C7577" s="948" t="s">
        <v>20484</v>
      </c>
      <c r="D7577" s="242" t="s">
        <v>28734</v>
      </c>
      <c r="E7577" s="949">
        <v>2001</v>
      </c>
      <c r="F7577" s="949">
        <v>2001</v>
      </c>
      <c r="G7577" s="950" t="s">
        <v>18909</v>
      </c>
      <c r="H7577" s="950" t="s">
        <v>909</v>
      </c>
      <c r="I7577" s="951" t="s">
        <v>32319</v>
      </c>
      <c r="J7577" s="947" t="s">
        <v>20485</v>
      </c>
      <c r="K7577" s="143"/>
    </row>
    <row r="7578" spans="1:11">
      <c r="A7578" s="946" t="s">
        <v>28616</v>
      </c>
      <c r="B7578" s="947" t="s">
        <v>20618</v>
      </c>
      <c r="C7578" s="948" t="s">
        <v>20617</v>
      </c>
      <c r="D7578" s="242" t="s">
        <v>28734</v>
      </c>
      <c r="E7578" s="949">
        <v>2001</v>
      </c>
      <c r="F7578" s="949">
        <v>2001</v>
      </c>
      <c r="G7578" s="950" t="s">
        <v>18909</v>
      </c>
      <c r="H7578" s="950" t="s">
        <v>909</v>
      </c>
      <c r="I7578" s="951" t="s">
        <v>32320</v>
      </c>
      <c r="J7578" s="947" t="s">
        <v>20618</v>
      </c>
      <c r="K7578" s="143"/>
    </row>
    <row r="7579" spans="1:11">
      <c r="A7579" s="946" t="s">
        <v>28616</v>
      </c>
      <c r="B7579" s="947" t="s">
        <v>21119</v>
      </c>
      <c r="C7579" s="948" t="s">
        <v>21118</v>
      </c>
      <c r="D7579" s="242" t="s">
        <v>28734</v>
      </c>
      <c r="E7579" s="949">
        <v>2001</v>
      </c>
      <c r="F7579" s="949">
        <v>2001</v>
      </c>
      <c r="G7579" s="950" t="s">
        <v>18909</v>
      </c>
      <c r="H7579" s="950" t="s">
        <v>909</v>
      </c>
      <c r="I7579" s="951" t="s">
        <v>32321</v>
      </c>
      <c r="J7579" s="947" t="s">
        <v>21119</v>
      </c>
      <c r="K7579" s="143"/>
    </row>
    <row r="7580" spans="1:11">
      <c r="A7580" s="946" t="s">
        <v>28616</v>
      </c>
      <c r="B7580" s="947" t="s">
        <v>21205</v>
      </c>
      <c r="C7580" s="948" t="s">
        <v>21204</v>
      </c>
      <c r="D7580" s="242" t="s">
        <v>28734</v>
      </c>
      <c r="E7580" s="949">
        <v>2001</v>
      </c>
      <c r="F7580" s="949">
        <v>2001</v>
      </c>
      <c r="G7580" s="950" t="s">
        <v>18909</v>
      </c>
      <c r="H7580" s="950" t="s">
        <v>909</v>
      </c>
      <c r="I7580" s="951" t="s">
        <v>32322</v>
      </c>
      <c r="J7580" s="947" t="s">
        <v>21205</v>
      </c>
      <c r="K7580" s="143"/>
    </row>
    <row r="7581" spans="1:11">
      <c r="A7581" s="946" t="s">
        <v>28616</v>
      </c>
      <c r="B7581" s="947" t="s">
        <v>21216</v>
      </c>
      <c r="C7581" s="948" t="s">
        <v>21215</v>
      </c>
      <c r="D7581" s="242" t="s">
        <v>28734</v>
      </c>
      <c r="E7581" s="949">
        <v>2001</v>
      </c>
      <c r="F7581" s="949">
        <v>2001</v>
      </c>
      <c r="G7581" s="950" t="s">
        <v>18909</v>
      </c>
      <c r="H7581" s="950" t="s">
        <v>909</v>
      </c>
      <c r="I7581" s="951" t="s">
        <v>32323</v>
      </c>
      <c r="J7581" s="947" t="s">
        <v>21216</v>
      </c>
      <c r="K7581" s="143"/>
    </row>
    <row r="7582" spans="1:11">
      <c r="A7582" s="946" t="s">
        <v>28616</v>
      </c>
      <c r="B7582" s="947" t="s">
        <v>21439</v>
      </c>
      <c r="C7582" s="948" t="s">
        <v>21438</v>
      </c>
      <c r="D7582" s="242" t="s">
        <v>28734</v>
      </c>
      <c r="E7582" s="949">
        <v>2001</v>
      </c>
      <c r="F7582" s="949">
        <v>2001</v>
      </c>
      <c r="G7582" s="950" t="s">
        <v>18909</v>
      </c>
      <c r="H7582" s="950" t="s">
        <v>909</v>
      </c>
      <c r="I7582" s="951" t="s">
        <v>32324</v>
      </c>
      <c r="J7582" s="947" t="s">
        <v>21439</v>
      </c>
      <c r="K7582" s="143"/>
    </row>
    <row r="7583" spans="1:11">
      <c r="A7583" s="946" t="s">
        <v>28616</v>
      </c>
      <c r="B7583" s="947" t="s">
        <v>21948</v>
      </c>
      <c r="C7583" s="948" t="s">
        <v>21947</v>
      </c>
      <c r="D7583" s="242" t="s">
        <v>28734</v>
      </c>
      <c r="E7583" s="949">
        <v>2001</v>
      </c>
      <c r="F7583" s="949">
        <v>2001</v>
      </c>
      <c r="G7583" s="950" t="s">
        <v>18909</v>
      </c>
      <c r="H7583" s="950" t="s">
        <v>909</v>
      </c>
      <c r="I7583" s="951" t="s">
        <v>32325</v>
      </c>
      <c r="J7583" s="947" t="s">
        <v>21948</v>
      </c>
      <c r="K7583" s="143"/>
    </row>
    <row r="7584" spans="1:11">
      <c r="A7584" s="946" t="s">
        <v>28616</v>
      </c>
      <c r="B7584" s="947" t="s">
        <v>22260</v>
      </c>
      <c r="C7584" s="948" t="s">
        <v>22259</v>
      </c>
      <c r="D7584" s="242" t="s">
        <v>28734</v>
      </c>
      <c r="E7584" s="949">
        <v>2001</v>
      </c>
      <c r="F7584" s="949">
        <v>2001</v>
      </c>
      <c r="G7584" s="950" t="s">
        <v>18909</v>
      </c>
      <c r="H7584" s="950" t="s">
        <v>909</v>
      </c>
      <c r="I7584" s="951" t="s">
        <v>32326</v>
      </c>
      <c r="J7584" s="947" t="s">
        <v>22260</v>
      </c>
      <c r="K7584" s="143"/>
    </row>
    <row r="7585" spans="1:11">
      <c r="A7585" s="946" t="s">
        <v>28616</v>
      </c>
      <c r="B7585" s="947" t="s">
        <v>582</v>
      </c>
      <c r="C7585" s="948" t="s">
        <v>32327</v>
      </c>
      <c r="D7585" s="242" t="s">
        <v>28734</v>
      </c>
      <c r="E7585" s="949">
        <v>2001</v>
      </c>
      <c r="F7585" s="949">
        <v>2001</v>
      </c>
      <c r="G7585" s="950" t="s">
        <v>32328</v>
      </c>
      <c r="H7585" s="950" t="s">
        <v>32329</v>
      </c>
      <c r="I7585" s="951" t="s">
        <v>32330</v>
      </c>
      <c r="J7585" s="947" t="s">
        <v>582</v>
      </c>
      <c r="K7585" s="143"/>
    </row>
    <row r="7586" spans="1:11">
      <c r="A7586" s="946" t="s">
        <v>28616</v>
      </c>
      <c r="B7586" s="947" t="s">
        <v>604</v>
      </c>
      <c r="C7586" s="948" t="s">
        <v>32331</v>
      </c>
      <c r="D7586" s="242" t="s">
        <v>28734</v>
      </c>
      <c r="E7586" s="949">
        <v>2001</v>
      </c>
      <c r="F7586" s="949">
        <v>2001</v>
      </c>
      <c r="G7586" s="950" t="s">
        <v>32328</v>
      </c>
      <c r="H7586" s="950" t="s">
        <v>32329</v>
      </c>
      <c r="I7586" s="951" t="s">
        <v>32332</v>
      </c>
      <c r="J7586" s="947" t="s">
        <v>604</v>
      </c>
      <c r="K7586" s="143"/>
    </row>
    <row r="7587" spans="1:11">
      <c r="A7587" s="946" t="s">
        <v>28616</v>
      </c>
      <c r="B7587" s="947" t="s">
        <v>728</v>
      </c>
      <c r="C7587" s="948" t="s">
        <v>32333</v>
      </c>
      <c r="D7587" s="242" t="s">
        <v>28734</v>
      </c>
      <c r="E7587" s="949">
        <v>2001</v>
      </c>
      <c r="F7587" s="949">
        <v>2001</v>
      </c>
      <c r="G7587" s="950" t="s">
        <v>32328</v>
      </c>
      <c r="H7587" s="950" t="s">
        <v>32329</v>
      </c>
      <c r="I7587" s="951" t="s">
        <v>32334</v>
      </c>
      <c r="J7587" s="947" t="s">
        <v>728</v>
      </c>
      <c r="K7587" s="143"/>
    </row>
    <row r="7588" spans="1:11">
      <c r="A7588" s="946" t="s">
        <v>28616</v>
      </c>
      <c r="B7588" s="947" t="s">
        <v>1522</v>
      </c>
      <c r="C7588" s="948" t="s">
        <v>32335</v>
      </c>
      <c r="D7588" s="242" t="s">
        <v>28734</v>
      </c>
      <c r="E7588" s="949">
        <v>2001</v>
      </c>
      <c r="F7588" s="949">
        <v>2001</v>
      </c>
      <c r="G7588" s="950" t="s">
        <v>32328</v>
      </c>
      <c r="H7588" s="950" t="s">
        <v>32329</v>
      </c>
      <c r="I7588" s="951" t="s">
        <v>32336</v>
      </c>
      <c r="J7588" s="947" t="s">
        <v>1522</v>
      </c>
      <c r="K7588" s="143"/>
    </row>
    <row r="7589" spans="1:11">
      <c r="A7589" s="946" t="s">
        <v>28616</v>
      </c>
      <c r="B7589" s="947" t="s">
        <v>1736</v>
      </c>
      <c r="C7589" s="948" t="s">
        <v>32337</v>
      </c>
      <c r="D7589" s="242" t="s">
        <v>28734</v>
      </c>
      <c r="E7589" s="949">
        <v>2001</v>
      </c>
      <c r="F7589" s="949">
        <v>2001</v>
      </c>
      <c r="G7589" s="950" t="s">
        <v>32328</v>
      </c>
      <c r="H7589" s="950" t="s">
        <v>32329</v>
      </c>
      <c r="I7589" s="951" t="s">
        <v>32338</v>
      </c>
      <c r="J7589" s="947" t="s">
        <v>1736</v>
      </c>
      <c r="K7589" s="143"/>
    </row>
    <row r="7590" spans="1:11">
      <c r="A7590" s="946" t="s">
        <v>28616</v>
      </c>
      <c r="B7590" s="947" t="s">
        <v>2283</v>
      </c>
      <c r="C7590" s="948" t="s">
        <v>32339</v>
      </c>
      <c r="D7590" s="242" t="s">
        <v>28734</v>
      </c>
      <c r="E7590" s="949">
        <v>2001</v>
      </c>
      <c r="F7590" s="949">
        <v>2001</v>
      </c>
      <c r="G7590" s="950" t="s">
        <v>32328</v>
      </c>
      <c r="H7590" s="950" t="s">
        <v>32329</v>
      </c>
      <c r="I7590" s="951" t="s">
        <v>32340</v>
      </c>
      <c r="J7590" s="947" t="s">
        <v>2283</v>
      </c>
      <c r="K7590" s="143"/>
    </row>
    <row r="7591" spans="1:11">
      <c r="A7591" s="946" t="s">
        <v>28616</v>
      </c>
      <c r="B7591" s="947" t="s">
        <v>2842</v>
      </c>
      <c r="C7591" s="948" t="s">
        <v>32341</v>
      </c>
      <c r="D7591" s="242" t="s">
        <v>28734</v>
      </c>
      <c r="E7591" s="949">
        <v>2001</v>
      </c>
      <c r="F7591" s="949">
        <v>2001</v>
      </c>
      <c r="G7591" s="950" t="s">
        <v>32328</v>
      </c>
      <c r="H7591" s="950" t="s">
        <v>32329</v>
      </c>
      <c r="I7591" s="951" t="s">
        <v>32342</v>
      </c>
      <c r="J7591" s="947" t="s">
        <v>2842</v>
      </c>
      <c r="K7591" s="143"/>
    </row>
    <row r="7592" spans="1:11">
      <c r="A7592" s="946" t="s">
        <v>28616</v>
      </c>
      <c r="B7592" s="947" t="s">
        <v>3204</v>
      </c>
      <c r="C7592" s="948" t="s">
        <v>32343</v>
      </c>
      <c r="D7592" s="242" t="s">
        <v>28734</v>
      </c>
      <c r="E7592" s="949">
        <v>2001</v>
      </c>
      <c r="F7592" s="949">
        <v>2001</v>
      </c>
      <c r="G7592" s="950" t="s">
        <v>32328</v>
      </c>
      <c r="H7592" s="950" t="s">
        <v>32329</v>
      </c>
      <c r="I7592" s="951" t="s">
        <v>32344</v>
      </c>
      <c r="J7592" s="947" t="s">
        <v>3204</v>
      </c>
      <c r="K7592" s="143"/>
    </row>
    <row r="7593" spans="1:11">
      <c r="A7593" s="946" t="s">
        <v>28616</v>
      </c>
      <c r="B7593" s="947" t="s">
        <v>3208</v>
      </c>
      <c r="C7593" s="948" t="s">
        <v>32345</v>
      </c>
      <c r="D7593" s="242" t="s">
        <v>28734</v>
      </c>
      <c r="E7593" s="949">
        <v>2001</v>
      </c>
      <c r="F7593" s="949">
        <v>2001</v>
      </c>
      <c r="G7593" s="950" t="s">
        <v>32328</v>
      </c>
      <c r="H7593" s="950" t="s">
        <v>32329</v>
      </c>
      <c r="I7593" s="951" t="s">
        <v>32346</v>
      </c>
      <c r="J7593" s="947" t="s">
        <v>3208</v>
      </c>
      <c r="K7593" s="143"/>
    </row>
    <row r="7594" spans="1:11">
      <c r="A7594" s="946" t="s">
        <v>28616</v>
      </c>
      <c r="B7594" s="947" t="s">
        <v>3422</v>
      </c>
      <c r="C7594" s="948" t="s">
        <v>32347</v>
      </c>
      <c r="D7594" s="242" t="s">
        <v>28734</v>
      </c>
      <c r="E7594" s="949">
        <v>2001</v>
      </c>
      <c r="F7594" s="949">
        <v>2001</v>
      </c>
      <c r="G7594" s="950" t="s">
        <v>32328</v>
      </c>
      <c r="H7594" s="950" t="s">
        <v>32329</v>
      </c>
      <c r="I7594" s="951" t="s">
        <v>32348</v>
      </c>
      <c r="J7594" s="947" t="s">
        <v>3422</v>
      </c>
      <c r="K7594" s="143"/>
    </row>
    <row r="7595" spans="1:11">
      <c r="A7595" s="946" t="s">
        <v>28616</v>
      </c>
      <c r="B7595" s="947" t="s">
        <v>9340</v>
      </c>
      <c r="C7595" s="948" t="s">
        <v>32349</v>
      </c>
      <c r="D7595" s="242" t="s">
        <v>28734</v>
      </c>
      <c r="E7595" s="949">
        <v>2001</v>
      </c>
      <c r="F7595" s="949">
        <v>2001</v>
      </c>
      <c r="G7595" s="950" t="s">
        <v>32328</v>
      </c>
      <c r="H7595" s="950" t="s">
        <v>32329</v>
      </c>
      <c r="I7595" s="951" t="s">
        <v>32350</v>
      </c>
      <c r="J7595" s="947" t="s">
        <v>9340</v>
      </c>
      <c r="K7595" s="143"/>
    </row>
    <row r="7596" spans="1:11">
      <c r="A7596" s="946" t="s">
        <v>28616</v>
      </c>
      <c r="B7596" s="947" t="s">
        <v>9997</v>
      </c>
      <c r="C7596" s="948" t="s">
        <v>32351</v>
      </c>
      <c r="D7596" s="242" t="s">
        <v>28734</v>
      </c>
      <c r="E7596" s="949">
        <v>2001</v>
      </c>
      <c r="F7596" s="949">
        <v>2001</v>
      </c>
      <c r="G7596" s="950" t="s">
        <v>32328</v>
      </c>
      <c r="H7596" s="950" t="s">
        <v>32329</v>
      </c>
      <c r="I7596" s="951" t="s">
        <v>32352</v>
      </c>
      <c r="J7596" s="947" t="s">
        <v>9997</v>
      </c>
      <c r="K7596" s="143"/>
    </row>
    <row r="7597" spans="1:11">
      <c r="A7597" s="946" t="s">
        <v>28616</v>
      </c>
      <c r="B7597" s="947" t="s">
        <v>10560</v>
      </c>
      <c r="C7597" s="948" t="s">
        <v>32353</v>
      </c>
      <c r="D7597" s="242" t="s">
        <v>28734</v>
      </c>
      <c r="E7597" s="949">
        <v>2001</v>
      </c>
      <c r="F7597" s="949">
        <v>2001</v>
      </c>
      <c r="G7597" s="950" t="s">
        <v>32328</v>
      </c>
      <c r="H7597" s="950" t="s">
        <v>32329</v>
      </c>
      <c r="I7597" s="951" t="s">
        <v>32354</v>
      </c>
      <c r="J7597" s="947" t="s">
        <v>10560</v>
      </c>
      <c r="K7597" s="143"/>
    </row>
    <row r="7598" spans="1:11">
      <c r="A7598" s="946" t="s">
        <v>28616</v>
      </c>
      <c r="B7598" s="947" t="s">
        <v>10746</v>
      </c>
      <c r="C7598" s="948" t="s">
        <v>32355</v>
      </c>
      <c r="D7598" s="242" t="s">
        <v>28734</v>
      </c>
      <c r="E7598" s="949">
        <v>2001</v>
      </c>
      <c r="F7598" s="949">
        <v>2001</v>
      </c>
      <c r="G7598" s="950" t="s">
        <v>32328</v>
      </c>
      <c r="H7598" s="950" t="s">
        <v>32329</v>
      </c>
      <c r="I7598" s="951" t="s">
        <v>32356</v>
      </c>
      <c r="J7598" s="947" t="s">
        <v>10746</v>
      </c>
      <c r="K7598" s="143"/>
    </row>
    <row r="7599" spans="1:11">
      <c r="A7599" s="946" t="s">
        <v>28616</v>
      </c>
      <c r="B7599" s="947" t="s">
        <v>10759</v>
      </c>
      <c r="C7599" s="948" t="s">
        <v>32357</v>
      </c>
      <c r="D7599" s="242" t="s">
        <v>28734</v>
      </c>
      <c r="E7599" s="949">
        <v>2001</v>
      </c>
      <c r="F7599" s="949">
        <v>2001</v>
      </c>
      <c r="G7599" s="950" t="s">
        <v>32328</v>
      </c>
      <c r="H7599" s="950" t="s">
        <v>32329</v>
      </c>
      <c r="I7599" s="951" t="s">
        <v>32358</v>
      </c>
      <c r="J7599" s="947" t="s">
        <v>10759</v>
      </c>
      <c r="K7599" s="143"/>
    </row>
    <row r="7600" spans="1:11">
      <c r="A7600" s="946" t="s">
        <v>28616</v>
      </c>
      <c r="B7600" s="947" t="s">
        <v>12785</v>
      </c>
      <c r="C7600" s="948" t="s">
        <v>32359</v>
      </c>
      <c r="D7600" s="242" t="s">
        <v>28734</v>
      </c>
      <c r="E7600" s="949">
        <v>2001</v>
      </c>
      <c r="F7600" s="949">
        <v>2001</v>
      </c>
      <c r="G7600" s="950" t="s">
        <v>32328</v>
      </c>
      <c r="H7600" s="950" t="s">
        <v>32329</v>
      </c>
      <c r="I7600" s="951" t="s">
        <v>32360</v>
      </c>
      <c r="J7600" s="947" t="s">
        <v>12785</v>
      </c>
      <c r="K7600" s="143"/>
    </row>
    <row r="7601" spans="1:11">
      <c r="A7601" s="946" t="s">
        <v>28616</v>
      </c>
      <c r="B7601" s="947" t="s">
        <v>13542</v>
      </c>
      <c r="C7601" s="948" t="s">
        <v>32361</v>
      </c>
      <c r="D7601" s="242" t="s">
        <v>28734</v>
      </c>
      <c r="E7601" s="949">
        <v>2001</v>
      </c>
      <c r="F7601" s="949">
        <v>2001</v>
      </c>
      <c r="G7601" s="950" t="s">
        <v>32328</v>
      </c>
      <c r="H7601" s="950" t="s">
        <v>32329</v>
      </c>
      <c r="I7601" s="951" t="s">
        <v>32362</v>
      </c>
      <c r="J7601" s="947" t="s">
        <v>13542</v>
      </c>
      <c r="K7601" s="143"/>
    </row>
    <row r="7602" spans="1:11">
      <c r="A7602" s="946" t="s">
        <v>28616</v>
      </c>
      <c r="B7602" s="947" t="s">
        <v>13832</v>
      </c>
      <c r="C7602" s="948" t="s">
        <v>32363</v>
      </c>
      <c r="D7602" s="242" t="s">
        <v>28734</v>
      </c>
      <c r="E7602" s="949">
        <v>2001</v>
      </c>
      <c r="F7602" s="949">
        <v>2001</v>
      </c>
      <c r="G7602" s="950" t="s">
        <v>32328</v>
      </c>
      <c r="H7602" s="950" t="s">
        <v>32329</v>
      </c>
      <c r="I7602" s="951" t="s">
        <v>32364</v>
      </c>
      <c r="J7602" s="947" t="s">
        <v>13832</v>
      </c>
      <c r="K7602" s="143"/>
    </row>
    <row r="7603" spans="1:11">
      <c r="A7603" s="946" t="s">
        <v>28616</v>
      </c>
      <c r="B7603" s="947" t="s">
        <v>14008</v>
      </c>
      <c r="C7603" s="948" t="s">
        <v>32365</v>
      </c>
      <c r="D7603" s="242" t="s">
        <v>28734</v>
      </c>
      <c r="E7603" s="949">
        <v>2001</v>
      </c>
      <c r="F7603" s="949">
        <v>2001</v>
      </c>
      <c r="G7603" s="950" t="s">
        <v>32328</v>
      </c>
      <c r="H7603" s="950" t="s">
        <v>32329</v>
      </c>
      <c r="I7603" s="951" t="s">
        <v>32366</v>
      </c>
      <c r="J7603" s="947" t="s">
        <v>14008</v>
      </c>
      <c r="K7603" s="143"/>
    </row>
    <row r="7604" spans="1:11">
      <c r="A7604" s="946" t="s">
        <v>28616</v>
      </c>
      <c r="B7604" s="947" t="s">
        <v>14081</v>
      </c>
      <c r="C7604" s="948" t="s">
        <v>32367</v>
      </c>
      <c r="D7604" s="242" t="s">
        <v>28734</v>
      </c>
      <c r="E7604" s="949">
        <v>2001</v>
      </c>
      <c r="F7604" s="949">
        <v>2001</v>
      </c>
      <c r="G7604" s="950" t="s">
        <v>32328</v>
      </c>
      <c r="H7604" s="950" t="s">
        <v>32329</v>
      </c>
      <c r="I7604" s="951" t="s">
        <v>32368</v>
      </c>
      <c r="J7604" s="947" t="s">
        <v>14081</v>
      </c>
      <c r="K7604" s="143"/>
    </row>
    <row r="7605" spans="1:11">
      <c r="A7605" s="946" t="s">
        <v>28616</v>
      </c>
      <c r="B7605" s="947" t="s">
        <v>18245</v>
      </c>
      <c r="C7605" s="948" t="s">
        <v>32369</v>
      </c>
      <c r="D7605" s="242" t="s">
        <v>28734</v>
      </c>
      <c r="E7605" s="949">
        <v>2001</v>
      </c>
      <c r="F7605" s="949">
        <v>2001</v>
      </c>
      <c r="G7605" s="950" t="s">
        <v>32328</v>
      </c>
      <c r="H7605" s="950" t="s">
        <v>32329</v>
      </c>
      <c r="I7605" s="951" t="s">
        <v>32370</v>
      </c>
      <c r="J7605" s="947" t="s">
        <v>18245</v>
      </c>
      <c r="K7605" s="143"/>
    </row>
    <row r="7606" spans="1:11">
      <c r="A7606" s="946" t="s">
        <v>28616</v>
      </c>
      <c r="B7606" s="947" t="s">
        <v>18526</v>
      </c>
      <c r="C7606" s="948" t="s">
        <v>32371</v>
      </c>
      <c r="D7606" s="242" t="s">
        <v>28734</v>
      </c>
      <c r="E7606" s="949">
        <v>2001</v>
      </c>
      <c r="F7606" s="949">
        <v>2001</v>
      </c>
      <c r="G7606" s="950" t="s">
        <v>32328</v>
      </c>
      <c r="H7606" s="950" t="s">
        <v>32329</v>
      </c>
      <c r="I7606" s="951" t="s">
        <v>32372</v>
      </c>
      <c r="J7606" s="947" t="s">
        <v>18526</v>
      </c>
      <c r="K7606" s="143"/>
    </row>
    <row r="7607" spans="1:11">
      <c r="A7607" s="946" t="s">
        <v>28616</v>
      </c>
      <c r="B7607" s="947" t="s">
        <v>18676</v>
      </c>
      <c r="C7607" s="948" t="s">
        <v>32373</v>
      </c>
      <c r="D7607" s="242" t="s">
        <v>28734</v>
      </c>
      <c r="E7607" s="949">
        <v>2001</v>
      </c>
      <c r="F7607" s="949">
        <v>2001</v>
      </c>
      <c r="G7607" s="950" t="s">
        <v>32328</v>
      </c>
      <c r="H7607" s="950" t="s">
        <v>32329</v>
      </c>
      <c r="I7607" s="951" t="s">
        <v>32374</v>
      </c>
      <c r="J7607" s="947" t="s">
        <v>18676</v>
      </c>
      <c r="K7607" s="143"/>
    </row>
    <row r="7608" spans="1:11">
      <c r="A7608" s="946" t="s">
        <v>28616</v>
      </c>
      <c r="B7608" s="947" t="s">
        <v>20303</v>
      </c>
      <c r="C7608" s="948" t="s">
        <v>32375</v>
      </c>
      <c r="D7608" s="242" t="s">
        <v>28734</v>
      </c>
      <c r="E7608" s="949">
        <v>2001</v>
      </c>
      <c r="F7608" s="949">
        <v>2001</v>
      </c>
      <c r="G7608" s="950" t="s">
        <v>32328</v>
      </c>
      <c r="H7608" s="950" t="s">
        <v>32329</v>
      </c>
      <c r="I7608" s="951" t="s">
        <v>32376</v>
      </c>
      <c r="J7608" s="947" t="s">
        <v>20303</v>
      </c>
      <c r="K7608" s="143"/>
    </row>
    <row r="7609" spans="1:11">
      <c r="A7609" s="946" t="s">
        <v>28616</v>
      </c>
      <c r="B7609" s="947" t="s">
        <v>20310</v>
      </c>
      <c r="C7609" s="948" t="s">
        <v>32377</v>
      </c>
      <c r="D7609" s="242" t="s">
        <v>28734</v>
      </c>
      <c r="E7609" s="949">
        <v>2001</v>
      </c>
      <c r="F7609" s="949">
        <v>2001</v>
      </c>
      <c r="G7609" s="950" t="s">
        <v>32328</v>
      </c>
      <c r="H7609" s="950" t="s">
        <v>32329</v>
      </c>
      <c r="I7609" s="951" t="s">
        <v>32378</v>
      </c>
      <c r="J7609" s="947" t="s">
        <v>20310</v>
      </c>
      <c r="K7609" s="143"/>
    </row>
    <row r="7610" spans="1:11">
      <c r="A7610" s="946" t="s">
        <v>28616</v>
      </c>
      <c r="B7610" s="947" t="s">
        <v>21039</v>
      </c>
      <c r="C7610" s="948" t="s">
        <v>32379</v>
      </c>
      <c r="D7610" s="242" t="s">
        <v>28734</v>
      </c>
      <c r="E7610" s="949">
        <v>2001</v>
      </c>
      <c r="F7610" s="949">
        <v>2001</v>
      </c>
      <c r="G7610" s="950" t="s">
        <v>32328</v>
      </c>
      <c r="H7610" s="950" t="s">
        <v>32329</v>
      </c>
      <c r="I7610" s="951" t="s">
        <v>32380</v>
      </c>
      <c r="J7610" s="947" t="s">
        <v>21039</v>
      </c>
      <c r="K7610" s="143"/>
    </row>
    <row r="7611" spans="1:11">
      <c r="A7611" s="946" t="s">
        <v>28616</v>
      </c>
      <c r="B7611" s="947" t="s">
        <v>1425</v>
      </c>
      <c r="C7611" s="948" t="s">
        <v>1423</v>
      </c>
      <c r="D7611" s="242" t="s">
        <v>28734</v>
      </c>
      <c r="E7611" s="949">
        <v>2001</v>
      </c>
      <c r="F7611" s="949">
        <v>2001</v>
      </c>
      <c r="G7611" s="950" t="s">
        <v>13464</v>
      </c>
      <c r="H7611" s="950" t="s">
        <v>1424</v>
      </c>
      <c r="I7611" s="951" t="s">
        <v>32381</v>
      </c>
      <c r="J7611" s="947" t="s">
        <v>1425</v>
      </c>
      <c r="K7611" s="143"/>
    </row>
    <row r="7612" spans="1:11">
      <c r="A7612" s="946" t="s">
        <v>28616</v>
      </c>
      <c r="B7612" s="947" t="s">
        <v>1619</v>
      </c>
      <c r="C7612" s="948" t="s">
        <v>1618</v>
      </c>
      <c r="D7612" s="242" t="s">
        <v>28734</v>
      </c>
      <c r="E7612" s="949">
        <v>2001</v>
      </c>
      <c r="F7612" s="949">
        <v>2001</v>
      </c>
      <c r="G7612" s="950" t="s">
        <v>13464</v>
      </c>
      <c r="H7612" s="950" t="s">
        <v>1424</v>
      </c>
      <c r="I7612" s="951" t="s">
        <v>32382</v>
      </c>
      <c r="J7612" s="947" t="s">
        <v>1619</v>
      </c>
      <c r="K7612" s="143"/>
    </row>
    <row r="7613" spans="1:11">
      <c r="A7613" s="946" t="s">
        <v>28616</v>
      </c>
      <c r="B7613" s="947" t="s">
        <v>1643</v>
      </c>
      <c r="C7613" s="948" t="s">
        <v>1642</v>
      </c>
      <c r="D7613" s="242" t="s">
        <v>28734</v>
      </c>
      <c r="E7613" s="949">
        <v>2001</v>
      </c>
      <c r="F7613" s="949">
        <v>2001</v>
      </c>
      <c r="G7613" s="950" t="s">
        <v>13464</v>
      </c>
      <c r="H7613" s="950" t="s">
        <v>1424</v>
      </c>
      <c r="I7613" s="951" t="s">
        <v>32383</v>
      </c>
      <c r="J7613" s="947" t="s">
        <v>1643</v>
      </c>
      <c r="K7613" s="143"/>
    </row>
    <row r="7614" spans="1:11">
      <c r="A7614" s="946" t="s">
        <v>28616</v>
      </c>
      <c r="B7614" s="947" t="s">
        <v>2247</v>
      </c>
      <c r="C7614" s="948" t="s">
        <v>2246</v>
      </c>
      <c r="D7614" s="242" t="s">
        <v>28734</v>
      </c>
      <c r="E7614" s="949">
        <v>2001</v>
      </c>
      <c r="F7614" s="949">
        <v>2001</v>
      </c>
      <c r="G7614" s="950" t="s">
        <v>13464</v>
      </c>
      <c r="H7614" s="950" t="s">
        <v>1424</v>
      </c>
      <c r="I7614" s="951" t="s">
        <v>32384</v>
      </c>
      <c r="J7614" s="947" t="s">
        <v>2247</v>
      </c>
      <c r="K7614" s="143"/>
    </row>
    <row r="7615" spans="1:11">
      <c r="A7615" s="946" t="s">
        <v>28616</v>
      </c>
      <c r="B7615" s="947" t="s">
        <v>2461</v>
      </c>
      <c r="C7615" s="948" t="s">
        <v>2460</v>
      </c>
      <c r="D7615" s="242" t="s">
        <v>28734</v>
      </c>
      <c r="E7615" s="949">
        <v>2001</v>
      </c>
      <c r="F7615" s="949">
        <v>2001</v>
      </c>
      <c r="G7615" s="950" t="s">
        <v>13464</v>
      </c>
      <c r="H7615" s="950" t="s">
        <v>1424</v>
      </c>
      <c r="I7615" s="951" t="s">
        <v>32385</v>
      </c>
      <c r="J7615" s="947" t="s">
        <v>2461</v>
      </c>
      <c r="K7615" s="143"/>
    </row>
    <row r="7616" spans="1:11">
      <c r="A7616" s="946" t="s">
        <v>28616</v>
      </c>
      <c r="B7616" s="947" t="s">
        <v>2495</v>
      </c>
      <c r="C7616" s="948" t="s">
        <v>2494</v>
      </c>
      <c r="D7616" s="242" t="s">
        <v>28734</v>
      </c>
      <c r="E7616" s="949">
        <v>2001</v>
      </c>
      <c r="F7616" s="949">
        <v>2001</v>
      </c>
      <c r="G7616" s="950" t="s">
        <v>13464</v>
      </c>
      <c r="H7616" s="950" t="s">
        <v>1424</v>
      </c>
      <c r="I7616" s="951" t="s">
        <v>32386</v>
      </c>
      <c r="J7616" s="947" t="s">
        <v>2495</v>
      </c>
      <c r="K7616" s="143"/>
    </row>
    <row r="7617" spans="1:11">
      <c r="A7617" s="946" t="s">
        <v>28616</v>
      </c>
      <c r="B7617" s="947" t="s">
        <v>2592</v>
      </c>
      <c r="C7617" s="948" t="s">
        <v>2591</v>
      </c>
      <c r="D7617" s="242" t="s">
        <v>28734</v>
      </c>
      <c r="E7617" s="949">
        <v>2001</v>
      </c>
      <c r="F7617" s="949">
        <v>2001</v>
      </c>
      <c r="G7617" s="950" t="s">
        <v>13464</v>
      </c>
      <c r="H7617" s="950" t="s">
        <v>1424</v>
      </c>
      <c r="I7617" s="951" t="s">
        <v>32387</v>
      </c>
      <c r="J7617" s="947" t="s">
        <v>2592</v>
      </c>
      <c r="K7617" s="143"/>
    </row>
    <row r="7618" spans="1:11">
      <c r="A7618" s="946" t="s">
        <v>28616</v>
      </c>
      <c r="B7618" s="947" t="s">
        <v>2830</v>
      </c>
      <c r="C7618" s="948" t="s">
        <v>2829</v>
      </c>
      <c r="D7618" s="242" t="s">
        <v>28734</v>
      </c>
      <c r="E7618" s="949">
        <v>2001</v>
      </c>
      <c r="F7618" s="949">
        <v>2001</v>
      </c>
      <c r="G7618" s="950" t="s">
        <v>13464</v>
      </c>
      <c r="H7618" s="950" t="s">
        <v>1424</v>
      </c>
      <c r="I7618" s="951" t="s">
        <v>32388</v>
      </c>
      <c r="J7618" s="947" t="s">
        <v>2830</v>
      </c>
      <c r="K7618" s="143"/>
    </row>
    <row r="7619" spans="1:11">
      <c r="A7619" s="946" t="s">
        <v>28616</v>
      </c>
      <c r="B7619" s="947" t="s">
        <v>2841</v>
      </c>
      <c r="C7619" s="948" t="s">
        <v>2840</v>
      </c>
      <c r="D7619" s="242" t="s">
        <v>28734</v>
      </c>
      <c r="E7619" s="949">
        <v>2001</v>
      </c>
      <c r="F7619" s="949">
        <v>2001</v>
      </c>
      <c r="G7619" s="950" t="s">
        <v>13464</v>
      </c>
      <c r="H7619" s="950" t="s">
        <v>1424</v>
      </c>
      <c r="I7619" s="951" t="s">
        <v>32389</v>
      </c>
      <c r="J7619" s="947" t="s">
        <v>2841</v>
      </c>
      <c r="K7619" s="143"/>
    </row>
    <row r="7620" spans="1:11">
      <c r="A7620" s="946" t="s">
        <v>28616</v>
      </c>
      <c r="B7620" s="947" t="s">
        <v>7629</v>
      </c>
      <c r="C7620" s="948" t="s">
        <v>7628</v>
      </c>
      <c r="D7620" s="242" t="s">
        <v>28734</v>
      </c>
      <c r="E7620" s="949">
        <v>2001</v>
      </c>
      <c r="F7620" s="949">
        <v>2001</v>
      </c>
      <c r="G7620" s="950" t="s">
        <v>13464</v>
      </c>
      <c r="H7620" s="950" t="s">
        <v>1424</v>
      </c>
      <c r="I7620" s="951" t="s">
        <v>32390</v>
      </c>
      <c r="J7620" s="947" t="s">
        <v>7629</v>
      </c>
      <c r="K7620" s="143"/>
    </row>
    <row r="7621" spans="1:11">
      <c r="A7621" s="946" t="s">
        <v>28616</v>
      </c>
      <c r="B7621" s="947" t="s">
        <v>7727</v>
      </c>
      <c r="C7621" s="948" t="s">
        <v>7726</v>
      </c>
      <c r="D7621" s="242" t="s">
        <v>28734</v>
      </c>
      <c r="E7621" s="949">
        <v>2001</v>
      </c>
      <c r="F7621" s="949">
        <v>2001</v>
      </c>
      <c r="G7621" s="950" t="s">
        <v>13464</v>
      </c>
      <c r="H7621" s="950" t="s">
        <v>1424</v>
      </c>
      <c r="I7621" s="951" t="s">
        <v>32391</v>
      </c>
      <c r="J7621" s="947" t="s">
        <v>7727</v>
      </c>
      <c r="K7621" s="143"/>
    </row>
    <row r="7622" spans="1:11">
      <c r="A7622" s="946" t="s">
        <v>28616</v>
      </c>
      <c r="B7622" s="947" t="s">
        <v>7788</v>
      </c>
      <c r="C7622" s="948" t="s">
        <v>7787</v>
      </c>
      <c r="D7622" s="242" t="s">
        <v>28734</v>
      </c>
      <c r="E7622" s="949">
        <v>2001</v>
      </c>
      <c r="F7622" s="949">
        <v>2001</v>
      </c>
      <c r="G7622" s="950" t="s">
        <v>13464</v>
      </c>
      <c r="H7622" s="950" t="s">
        <v>1424</v>
      </c>
      <c r="I7622" s="951" t="s">
        <v>32392</v>
      </c>
      <c r="J7622" s="947" t="s">
        <v>7788</v>
      </c>
      <c r="K7622" s="143"/>
    </row>
    <row r="7623" spans="1:11">
      <c r="A7623" s="946" t="s">
        <v>28616</v>
      </c>
      <c r="B7623" s="947" t="s">
        <v>8391</v>
      </c>
      <c r="C7623" s="948" t="s">
        <v>8390</v>
      </c>
      <c r="D7623" s="242" t="s">
        <v>28734</v>
      </c>
      <c r="E7623" s="949">
        <v>2001</v>
      </c>
      <c r="F7623" s="949">
        <v>2001</v>
      </c>
      <c r="G7623" s="950" t="s">
        <v>13464</v>
      </c>
      <c r="H7623" s="950" t="s">
        <v>1424</v>
      </c>
      <c r="I7623" s="951" t="s">
        <v>32393</v>
      </c>
      <c r="J7623" s="947" t="s">
        <v>8391</v>
      </c>
      <c r="K7623" s="143"/>
    </row>
    <row r="7624" spans="1:11">
      <c r="A7624" s="946" t="s">
        <v>28616</v>
      </c>
      <c r="B7624" s="947" t="s">
        <v>8799</v>
      </c>
      <c r="C7624" s="948" t="s">
        <v>8798</v>
      </c>
      <c r="D7624" s="242" t="s">
        <v>28734</v>
      </c>
      <c r="E7624" s="949">
        <v>2001</v>
      </c>
      <c r="F7624" s="949">
        <v>2001</v>
      </c>
      <c r="G7624" s="950" t="s">
        <v>13464</v>
      </c>
      <c r="H7624" s="950" t="s">
        <v>1424</v>
      </c>
      <c r="I7624" s="951" t="s">
        <v>32394</v>
      </c>
      <c r="J7624" s="947" t="s">
        <v>8799</v>
      </c>
      <c r="K7624" s="143"/>
    </row>
    <row r="7625" spans="1:11">
      <c r="A7625" s="946" t="s">
        <v>28616</v>
      </c>
      <c r="B7625" s="947" t="s">
        <v>8914</v>
      </c>
      <c r="C7625" s="948" t="s">
        <v>8913</v>
      </c>
      <c r="D7625" s="242" t="s">
        <v>28734</v>
      </c>
      <c r="E7625" s="949">
        <v>2001</v>
      </c>
      <c r="F7625" s="949">
        <v>2001</v>
      </c>
      <c r="G7625" s="950" t="s">
        <v>13464</v>
      </c>
      <c r="H7625" s="950" t="s">
        <v>1424</v>
      </c>
      <c r="I7625" s="951" t="s">
        <v>32395</v>
      </c>
      <c r="J7625" s="947" t="s">
        <v>8914</v>
      </c>
      <c r="K7625" s="143"/>
    </row>
    <row r="7626" spans="1:11">
      <c r="A7626" s="946" t="s">
        <v>28616</v>
      </c>
      <c r="B7626" s="947" t="s">
        <v>9046</v>
      </c>
      <c r="C7626" s="948" t="s">
        <v>9045</v>
      </c>
      <c r="D7626" s="242" t="s">
        <v>28734</v>
      </c>
      <c r="E7626" s="949">
        <v>2001</v>
      </c>
      <c r="F7626" s="949">
        <v>2001</v>
      </c>
      <c r="G7626" s="950" t="s">
        <v>13464</v>
      </c>
      <c r="H7626" s="950" t="s">
        <v>1424</v>
      </c>
      <c r="I7626" s="951" t="s">
        <v>32396</v>
      </c>
      <c r="J7626" s="947" t="s">
        <v>9046</v>
      </c>
      <c r="K7626" s="143"/>
    </row>
    <row r="7627" spans="1:11">
      <c r="A7627" s="946" t="s">
        <v>28616</v>
      </c>
      <c r="B7627" s="947" t="s">
        <v>9835</v>
      </c>
      <c r="C7627" s="948" t="s">
        <v>9834</v>
      </c>
      <c r="D7627" s="242" t="s">
        <v>28734</v>
      </c>
      <c r="E7627" s="949">
        <v>2001</v>
      </c>
      <c r="F7627" s="949">
        <v>2001</v>
      </c>
      <c r="G7627" s="950" t="s">
        <v>13464</v>
      </c>
      <c r="H7627" s="950" t="s">
        <v>1424</v>
      </c>
      <c r="I7627" s="951" t="s">
        <v>32397</v>
      </c>
      <c r="J7627" s="947" t="s">
        <v>9835</v>
      </c>
      <c r="K7627" s="143"/>
    </row>
    <row r="7628" spans="1:11">
      <c r="A7628" s="946" t="s">
        <v>28616</v>
      </c>
      <c r="B7628" s="947" t="s">
        <v>10278</v>
      </c>
      <c r="C7628" s="948" t="s">
        <v>10277</v>
      </c>
      <c r="D7628" s="242" t="s">
        <v>28734</v>
      </c>
      <c r="E7628" s="949">
        <v>2001</v>
      </c>
      <c r="F7628" s="949">
        <v>2001</v>
      </c>
      <c r="G7628" s="950" t="s">
        <v>13464</v>
      </c>
      <c r="H7628" s="950" t="s">
        <v>1424</v>
      </c>
      <c r="I7628" s="951" t="s">
        <v>32398</v>
      </c>
      <c r="J7628" s="947" t="s">
        <v>10278</v>
      </c>
      <c r="K7628" s="143"/>
    </row>
    <row r="7629" spans="1:11">
      <c r="A7629" s="946" t="s">
        <v>28616</v>
      </c>
      <c r="B7629" s="947" t="s">
        <v>10540</v>
      </c>
      <c r="C7629" s="948" t="s">
        <v>10539</v>
      </c>
      <c r="D7629" s="242" t="s">
        <v>28734</v>
      </c>
      <c r="E7629" s="949">
        <v>2001</v>
      </c>
      <c r="F7629" s="949">
        <v>2001</v>
      </c>
      <c r="G7629" s="950" t="s">
        <v>13464</v>
      </c>
      <c r="H7629" s="950" t="s">
        <v>1424</v>
      </c>
      <c r="I7629" s="951" t="s">
        <v>32399</v>
      </c>
      <c r="J7629" s="947" t="s">
        <v>10540</v>
      </c>
      <c r="K7629" s="143"/>
    </row>
    <row r="7630" spans="1:11">
      <c r="A7630" s="946" t="s">
        <v>28616</v>
      </c>
      <c r="B7630" s="947" t="s">
        <v>10542</v>
      </c>
      <c r="C7630" s="948" t="s">
        <v>10541</v>
      </c>
      <c r="D7630" s="242" t="s">
        <v>28734</v>
      </c>
      <c r="E7630" s="949">
        <v>2001</v>
      </c>
      <c r="F7630" s="949">
        <v>2001</v>
      </c>
      <c r="G7630" s="950" t="s">
        <v>13464</v>
      </c>
      <c r="H7630" s="950" t="s">
        <v>1424</v>
      </c>
      <c r="I7630" s="951" t="s">
        <v>32400</v>
      </c>
      <c r="J7630" s="947" t="s">
        <v>10542</v>
      </c>
      <c r="K7630" s="143"/>
    </row>
    <row r="7631" spans="1:11">
      <c r="A7631" s="946" t="s">
        <v>28616</v>
      </c>
      <c r="B7631" s="947" t="s">
        <v>10550</v>
      </c>
      <c r="C7631" s="948" t="s">
        <v>10549</v>
      </c>
      <c r="D7631" s="242" t="s">
        <v>28734</v>
      </c>
      <c r="E7631" s="949">
        <v>2001</v>
      </c>
      <c r="F7631" s="949">
        <v>2001</v>
      </c>
      <c r="G7631" s="950" t="s">
        <v>13464</v>
      </c>
      <c r="H7631" s="950" t="s">
        <v>1424</v>
      </c>
      <c r="I7631" s="951" t="s">
        <v>32401</v>
      </c>
      <c r="J7631" s="947" t="s">
        <v>10550</v>
      </c>
      <c r="K7631" s="143"/>
    </row>
    <row r="7632" spans="1:11">
      <c r="A7632" s="946" t="s">
        <v>28616</v>
      </c>
      <c r="B7632" s="947" t="s">
        <v>10726</v>
      </c>
      <c r="C7632" s="948" t="s">
        <v>10725</v>
      </c>
      <c r="D7632" s="242" t="s">
        <v>28734</v>
      </c>
      <c r="E7632" s="949">
        <v>2001</v>
      </c>
      <c r="F7632" s="949">
        <v>2001</v>
      </c>
      <c r="G7632" s="950" t="s">
        <v>13464</v>
      </c>
      <c r="H7632" s="950" t="s">
        <v>1424</v>
      </c>
      <c r="I7632" s="951" t="s">
        <v>32402</v>
      </c>
      <c r="J7632" s="947" t="s">
        <v>10726</v>
      </c>
      <c r="K7632" s="143"/>
    </row>
    <row r="7633" spans="1:11">
      <c r="A7633" s="946" t="s">
        <v>28616</v>
      </c>
      <c r="B7633" s="947" t="s">
        <v>10830</v>
      </c>
      <c r="C7633" s="948" t="s">
        <v>10829</v>
      </c>
      <c r="D7633" s="242" t="s">
        <v>28734</v>
      </c>
      <c r="E7633" s="949">
        <v>2001</v>
      </c>
      <c r="F7633" s="949">
        <v>2001</v>
      </c>
      <c r="G7633" s="950" t="s">
        <v>13464</v>
      </c>
      <c r="H7633" s="950" t="s">
        <v>1424</v>
      </c>
      <c r="I7633" s="951" t="s">
        <v>32403</v>
      </c>
      <c r="J7633" s="947" t="s">
        <v>10830</v>
      </c>
      <c r="K7633" s="143"/>
    </row>
    <row r="7634" spans="1:11">
      <c r="A7634" s="946" t="s">
        <v>28616</v>
      </c>
      <c r="B7634" s="947" t="s">
        <v>11014</v>
      </c>
      <c r="C7634" s="948" t="s">
        <v>11013</v>
      </c>
      <c r="D7634" s="242" t="s">
        <v>28734</v>
      </c>
      <c r="E7634" s="949">
        <v>2001</v>
      </c>
      <c r="F7634" s="949">
        <v>2001</v>
      </c>
      <c r="G7634" s="950" t="s">
        <v>13464</v>
      </c>
      <c r="H7634" s="950" t="s">
        <v>1424</v>
      </c>
      <c r="I7634" s="951" t="s">
        <v>32404</v>
      </c>
      <c r="J7634" s="947" t="s">
        <v>11014</v>
      </c>
      <c r="K7634" s="143"/>
    </row>
    <row r="7635" spans="1:11">
      <c r="A7635" s="946" t="s">
        <v>28616</v>
      </c>
      <c r="B7635" s="947" t="s">
        <v>11484</v>
      </c>
      <c r="C7635" s="948" t="s">
        <v>11483</v>
      </c>
      <c r="D7635" s="242" t="s">
        <v>28734</v>
      </c>
      <c r="E7635" s="949">
        <v>2001</v>
      </c>
      <c r="F7635" s="949">
        <v>2001</v>
      </c>
      <c r="G7635" s="950" t="s">
        <v>13464</v>
      </c>
      <c r="H7635" s="950" t="s">
        <v>1424</v>
      </c>
      <c r="I7635" s="951" t="s">
        <v>32405</v>
      </c>
      <c r="J7635" s="947" t="s">
        <v>11484</v>
      </c>
      <c r="K7635" s="143"/>
    </row>
    <row r="7636" spans="1:11">
      <c r="A7636" s="946" t="s">
        <v>28616</v>
      </c>
      <c r="B7636" s="947" t="s">
        <v>13368</v>
      </c>
      <c r="C7636" s="948" t="s">
        <v>13367</v>
      </c>
      <c r="D7636" s="242" t="s">
        <v>28734</v>
      </c>
      <c r="E7636" s="949">
        <v>2001</v>
      </c>
      <c r="F7636" s="949">
        <v>2001</v>
      </c>
      <c r="G7636" s="950" t="s">
        <v>13464</v>
      </c>
      <c r="H7636" s="950" t="s">
        <v>1424</v>
      </c>
      <c r="I7636" s="951" t="s">
        <v>32406</v>
      </c>
      <c r="J7636" s="947" t="s">
        <v>13368</v>
      </c>
      <c r="K7636" s="143"/>
    </row>
    <row r="7637" spans="1:11">
      <c r="A7637" s="946" t="s">
        <v>28616</v>
      </c>
      <c r="B7637" s="947" t="s">
        <v>13464</v>
      </c>
      <c r="C7637" s="948" t="s">
        <v>13463</v>
      </c>
      <c r="D7637" s="242" t="s">
        <v>28734</v>
      </c>
      <c r="E7637" s="949">
        <v>2001</v>
      </c>
      <c r="F7637" s="949">
        <v>2001</v>
      </c>
      <c r="G7637" s="950" t="s">
        <v>13464</v>
      </c>
      <c r="H7637" s="950" t="s">
        <v>1424</v>
      </c>
      <c r="I7637" s="951" t="s">
        <v>32407</v>
      </c>
      <c r="J7637" s="947" t="s">
        <v>13464</v>
      </c>
      <c r="K7637" s="143"/>
    </row>
    <row r="7638" spans="1:11">
      <c r="A7638" s="946" t="s">
        <v>28616</v>
      </c>
      <c r="B7638" s="947" t="s">
        <v>13577</v>
      </c>
      <c r="C7638" s="948" t="s">
        <v>13576</v>
      </c>
      <c r="D7638" s="242" t="s">
        <v>28734</v>
      </c>
      <c r="E7638" s="949">
        <v>2001</v>
      </c>
      <c r="F7638" s="949">
        <v>2001</v>
      </c>
      <c r="G7638" s="950" t="s">
        <v>13464</v>
      </c>
      <c r="H7638" s="950" t="s">
        <v>1424</v>
      </c>
      <c r="I7638" s="951" t="s">
        <v>32408</v>
      </c>
      <c r="J7638" s="947" t="s">
        <v>13577</v>
      </c>
      <c r="K7638" s="143"/>
    </row>
    <row r="7639" spans="1:11">
      <c r="A7639" s="946" t="s">
        <v>28616</v>
      </c>
      <c r="B7639" s="947" t="s">
        <v>13605</v>
      </c>
      <c r="C7639" s="948" t="s">
        <v>13604</v>
      </c>
      <c r="D7639" s="242" t="s">
        <v>28734</v>
      </c>
      <c r="E7639" s="949">
        <v>2001</v>
      </c>
      <c r="F7639" s="949">
        <v>2001</v>
      </c>
      <c r="G7639" s="950" t="s">
        <v>13464</v>
      </c>
      <c r="H7639" s="950" t="s">
        <v>1424</v>
      </c>
      <c r="I7639" s="951" t="s">
        <v>32409</v>
      </c>
      <c r="J7639" s="947" t="s">
        <v>13605</v>
      </c>
      <c r="K7639" s="143"/>
    </row>
    <row r="7640" spans="1:11">
      <c r="A7640" s="946" t="s">
        <v>28616</v>
      </c>
      <c r="B7640" s="947" t="s">
        <v>13630</v>
      </c>
      <c r="C7640" s="948" t="s">
        <v>13629</v>
      </c>
      <c r="D7640" s="242" t="s">
        <v>28734</v>
      </c>
      <c r="E7640" s="949">
        <v>2001</v>
      </c>
      <c r="F7640" s="949">
        <v>2001</v>
      </c>
      <c r="G7640" s="950" t="s">
        <v>13464</v>
      </c>
      <c r="H7640" s="950" t="s">
        <v>1424</v>
      </c>
      <c r="I7640" s="951" t="s">
        <v>32410</v>
      </c>
      <c r="J7640" s="947" t="s">
        <v>13630</v>
      </c>
      <c r="K7640" s="143"/>
    </row>
    <row r="7641" spans="1:11">
      <c r="A7641" s="946" t="s">
        <v>28616</v>
      </c>
      <c r="B7641" s="947" t="s">
        <v>13640</v>
      </c>
      <c r="C7641" s="948" t="s">
        <v>13639</v>
      </c>
      <c r="D7641" s="242" t="s">
        <v>28734</v>
      </c>
      <c r="E7641" s="949">
        <v>2001</v>
      </c>
      <c r="F7641" s="949">
        <v>2001</v>
      </c>
      <c r="G7641" s="950" t="s">
        <v>13464</v>
      </c>
      <c r="H7641" s="950" t="s">
        <v>1424</v>
      </c>
      <c r="I7641" s="951" t="s">
        <v>32411</v>
      </c>
      <c r="J7641" s="947" t="s">
        <v>13640</v>
      </c>
      <c r="K7641" s="143"/>
    </row>
    <row r="7642" spans="1:11">
      <c r="A7642" s="946" t="s">
        <v>28616</v>
      </c>
      <c r="B7642" s="947" t="s">
        <v>13651</v>
      </c>
      <c r="C7642" s="948" t="s">
        <v>13650</v>
      </c>
      <c r="D7642" s="242" t="s">
        <v>28734</v>
      </c>
      <c r="E7642" s="949">
        <v>2001</v>
      </c>
      <c r="F7642" s="949">
        <v>2001</v>
      </c>
      <c r="G7642" s="950" t="s">
        <v>13464</v>
      </c>
      <c r="H7642" s="950" t="s">
        <v>1424</v>
      </c>
      <c r="I7642" s="951" t="s">
        <v>32412</v>
      </c>
      <c r="J7642" s="947" t="s">
        <v>13651</v>
      </c>
      <c r="K7642" s="143"/>
    </row>
    <row r="7643" spans="1:11">
      <c r="A7643" s="946" t="s">
        <v>28616</v>
      </c>
      <c r="B7643" s="947" t="s">
        <v>13653</v>
      </c>
      <c r="C7643" s="948" t="s">
        <v>13652</v>
      </c>
      <c r="D7643" s="242" t="s">
        <v>28734</v>
      </c>
      <c r="E7643" s="949">
        <v>2001</v>
      </c>
      <c r="F7643" s="949">
        <v>2001</v>
      </c>
      <c r="G7643" s="950" t="s">
        <v>13464</v>
      </c>
      <c r="H7643" s="950" t="s">
        <v>1424</v>
      </c>
      <c r="I7643" s="951" t="s">
        <v>32413</v>
      </c>
      <c r="J7643" s="947" t="s">
        <v>13653</v>
      </c>
      <c r="K7643" s="143"/>
    </row>
    <row r="7644" spans="1:11">
      <c r="A7644" s="946" t="s">
        <v>28616</v>
      </c>
      <c r="B7644" s="947" t="s">
        <v>13680</v>
      </c>
      <c r="C7644" s="948" t="s">
        <v>13679</v>
      </c>
      <c r="D7644" s="242" t="s">
        <v>28734</v>
      </c>
      <c r="E7644" s="949">
        <v>2001</v>
      </c>
      <c r="F7644" s="949">
        <v>2001</v>
      </c>
      <c r="G7644" s="950" t="s">
        <v>13464</v>
      </c>
      <c r="H7644" s="950" t="s">
        <v>1424</v>
      </c>
      <c r="I7644" s="951" t="s">
        <v>32414</v>
      </c>
      <c r="J7644" s="947" t="s">
        <v>13680</v>
      </c>
      <c r="K7644" s="143"/>
    </row>
    <row r="7645" spans="1:11">
      <c r="A7645" s="946" t="s">
        <v>28616</v>
      </c>
      <c r="B7645" s="947" t="s">
        <v>13706</v>
      </c>
      <c r="C7645" s="948" t="s">
        <v>13705</v>
      </c>
      <c r="D7645" s="242" t="s">
        <v>28734</v>
      </c>
      <c r="E7645" s="949">
        <v>2001</v>
      </c>
      <c r="F7645" s="949">
        <v>2001</v>
      </c>
      <c r="G7645" s="950" t="s">
        <v>13464</v>
      </c>
      <c r="H7645" s="950" t="s">
        <v>1424</v>
      </c>
      <c r="I7645" s="951" t="s">
        <v>32415</v>
      </c>
      <c r="J7645" s="947" t="s">
        <v>13706</v>
      </c>
      <c r="K7645" s="143"/>
    </row>
    <row r="7646" spans="1:11">
      <c r="A7646" s="946" t="s">
        <v>28616</v>
      </c>
      <c r="B7646" s="947" t="s">
        <v>13750</v>
      </c>
      <c r="C7646" s="948" t="s">
        <v>13749</v>
      </c>
      <c r="D7646" s="242" t="s">
        <v>28734</v>
      </c>
      <c r="E7646" s="949">
        <v>2001</v>
      </c>
      <c r="F7646" s="949">
        <v>2001</v>
      </c>
      <c r="G7646" s="950" t="s">
        <v>13464</v>
      </c>
      <c r="H7646" s="950" t="s">
        <v>1424</v>
      </c>
      <c r="I7646" s="951" t="s">
        <v>32416</v>
      </c>
      <c r="J7646" s="947" t="s">
        <v>13750</v>
      </c>
      <c r="K7646" s="143"/>
    </row>
    <row r="7647" spans="1:11">
      <c r="A7647" s="946" t="s">
        <v>28616</v>
      </c>
      <c r="B7647" s="947" t="s">
        <v>13752</v>
      </c>
      <c r="C7647" s="948" t="s">
        <v>13751</v>
      </c>
      <c r="D7647" s="242" t="s">
        <v>28734</v>
      </c>
      <c r="E7647" s="949">
        <v>2001</v>
      </c>
      <c r="F7647" s="949">
        <v>2001</v>
      </c>
      <c r="G7647" s="950" t="s">
        <v>13464</v>
      </c>
      <c r="H7647" s="950" t="s">
        <v>1424</v>
      </c>
      <c r="I7647" s="951" t="s">
        <v>32417</v>
      </c>
      <c r="J7647" s="947" t="s">
        <v>13752</v>
      </c>
      <c r="K7647" s="143"/>
    </row>
    <row r="7648" spans="1:11">
      <c r="A7648" s="946" t="s">
        <v>28616</v>
      </c>
      <c r="B7648" s="947" t="s">
        <v>13811</v>
      </c>
      <c r="C7648" s="948" t="s">
        <v>13810</v>
      </c>
      <c r="D7648" s="242" t="s">
        <v>28734</v>
      </c>
      <c r="E7648" s="949">
        <v>2001</v>
      </c>
      <c r="F7648" s="949">
        <v>2001</v>
      </c>
      <c r="G7648" s="950" t="s">
        <v>13464</v>
      </c>
      <c r="H7648" s="950" t="s">
        <v>1424</v>
      </c>
      <c r="I7648" s="951" t="s">
        <v>32418</v>
      </c>
      <c r="J7648" s="947" t="s">
        <v>13811</v>
      </c>
      <c r="K7648" s="143"/>
    </row>
    <row r="7649" spans="1:11">
      <c r="A7649" s="946" t="s">
        <v>28616</v>
      </c>
      <c r="B7649" s="947" t="s">
        <v>13813</v>
      </c>
      <c r="C7649" s="948" t="s">
        <v>13812</v>
      </c>
      <c r="D7649" s="242" t="s">
        <v>28734</v>
      </c>
      <c r="E7649" s="949">
        <v>2001</v>
      </c>
      <c r="F7649" s="949">
        <v>2001</v>
      </c>
      <c r="G7649" s="950" t="s">
        <v>13464</v>
      </c>
      <c r="H7649" s="950" t="s">
        <v>1424</v>
      </c>
      <c r="I7649" s="951" t="s">
        <v>32419</v>
      </c>
      <c r="J7649" s="947" t="s">
        <v>13813</v>
      </c>
      <c r="K7649" s="143"/>
    </row>
    <row r="7650" spans="1:11">
      <c r="A7650" s="946" t="s">
        <v>28616</v>
      </c>
      <c r="B7650" s="947" t="s">
        <v>13834</v>
      </c>
      <c r="C7650" s="948" t="s">
        <v>13833</v>
      </c>
      <c r="D7650" s="242" t="s">
        <v>28734</v>
      </c>
      <c r="E7650" s="949">
        <v>2001</v>
      </c>
      <c r="F7650" s="949">
        <v>2001</v>
      </c>
      <c r="G7650" s="950" t="s">
        <v>13464</v>
      </c>
      <c r="H7650" s="950" t="s">
        <v>1424</v>
      </c>
      <c r="I7650" s="951" t="s">
        <v>32420</v>
      </c>
      <c r="J7650" s="947" t="s">
        <v>13834</v>
      </c>
      <c r="K7650" s="143"/>
    </row>
    <row r="7651" spans="1:11">
      <c r="A7651" s="946" t="s">
        <v>28616</v>
      </c>
      <c r="B7651" s="947" t="s">
        <v>13919</v>
      </c>
      <c r="C7651" s="948" t="s">
        <v>13918</v>
      </c>
      <c r="D7651" s="242" t="s">
        <v>28734</v>
      </c>
      <c r="E7651" s="949">
        <v>2001</v>
      </c>
      <c r="F7651" s="949">
        <v>2001</v>
      </c>
      <c r="G7651" s="950" t="s">
        <v>13464</v>
      </c>
      <c r="H7651" s="950" t="s">
        <v>1424</v>
      </c>
      <c r="I7651" s="951" t="s">
        <v>32421</v>
      </c>
      <c r="J7651" s="947" t="s">
        <v>13919</v>
      </c>
      <c r="K7651" s="143"/>
    </row>
    <row r="7652" spans="1:11">
      <c r="A7652" s="946" t="s">
        <v>28616</v>
      </c>
      <c r="B7652" s="947" t="s">
        <v>13951</v>
      </c>
      <c r="C7652" s="948" t="s">
        <v>13950</v>
      </c>
      <c r="D7652" s="242" t="s">
        <v>28734</v>
      </c>
      <c r="E7652" s="949">
        <v>2001</v>
      </c>
      <c r="F7652" s="949">
        <v>2001</v>
      </c>
      <c r="G7652" s="950" t="s">
        <v>13464</v>
      </c>
      <c r="H7652" s="950" t="s">
        <v>1424</v>
      </c>
      <c r="I7652" s="951" t="s">
        <v>32422</v>
      </c>
      <c r="J7652" s="947" t="s">
        <v>13951</v>
      </c>
      <c r="K7652" s="143"/>
    </row>
    <row r="7653" spans="1:11">
      <c r="A7653" s="946" t="s">
        <v>28616</v>
      </c>
      <c r="B7653" s="947" t="s">
        <v>15610</v>
      </c>
      <c r="C7653" s="948" t="s">
        <v>15609</v>
      </c>
      <c r="D7653" s="242" t="s">
        <v>28734</v>
      </c>
      <c r="E7653" s="949">
        <v>2001</v>
      </c>
      <c r="F7653" s="949">
        <v>2001</v>
      </c>
      <c r="G7653" s="950" t="s">
        <v>13464</v>
      </c>
      <c r="H7653" s="950" t="s">
        <v>1424</v>
      </c>
      <c r="I7653" s="951" t="s">
        <v>32423</v>
      </c>
      <c r="J7653" s="947" t="s">
        <v>15610</v>
      </c>
      <c r="K7653" s="143"/>
    </row>
    <row r="7654" spans="1:11">
      <c r="A7654" s="946" t="s">
        <v>28616</v>
      </c>
      <c r="B7654" s="947" t="s">
        <v>18901</v>
      </c>
      <c r="C7654" s="948" t="s">
        <v>18900</v>
      </c>
      <c r="D7654" s="242" t="s">
        <v>28734</v>
      </c>
      <c r="E7654" s="949">
        <v>2001</v>
      </c>
      <c r="F7654" s="949">
        <v>2001</v>
      </c>
      <c r="G7654" s="950" t="s">
        <v>13464</v>
      </c>
      <c r="H7654" s="950" t="s">
        <v>1424</v>
      </c>
      <c r="I7654" s="951" t="s">
        <v>32424</v>
      </c>
      <c r="J7654" s="947" t="s">
        <v>18901</v>
      </c>
      <c r="K7654" s="143"/>
    </row>
    <row r="7655" spans="1:11">
      <c r="A7655" s="946" t="s">
        <v>28616</v>
      </c>
      <c r="B7655" s="947" t="s">
        <v>19472</v>
      </c>
      <c r="C7655" s="948" t="s">
        <v>32425</v>
      </c>
      <c r="D7655" s="242" t="s">
        <v>28734</v>
      </c>
      <c r="E7655" s="949">
        <v>2001</v>
      </c>
      <c r="F7655" s="949">
        <v>2001</v>
      </c>
      <c r="G7655" s="950" t="s">
        <v>13464</v>
      </c>
      <c r="H7655" s="950" t="s">
        <v>1424</v>
      </c>
      <c r="I7655" s="951" t="s">
        <v>32426</v>
      </c>
      <c r="J7655" s="947" t="s">
        <v>19472</v>
      </c>
      <c r="K7655" s="143"/>
    </row>
    <row r="7656" spans="1:11">
      <c r="A7656" s="946" t="s">
        <v>28616</v>
      </c>
      <c r="B7656" s="947" t="s">
        <v>19520</v>
      </c>
      <c r="C7656" s="948" t="s">
        <v>19519</v>
      </c>
      <c r="D7656" s="242" t="s">
        <v>28734</v>
      </c>
      <c r="E7656" s="949">
        <v>2001</v>
      </c>
      <c r="F7656" s="949">
        <v>2001</v>
      </c>
      <c r="G7656" s="950" t="s">
        <v>13464</v>
      </c>
      <c r="H7656" s="950" t="s">
        <v>1424</v>
      </c>
      <c r="I7656" s="951" t="s">
        <v>32427</v>
      </c>
      <c r="J7656" s="947" t="s">
        <v>19520</v>
      </c>
      <c r="K7656" s="143"/>
    </row>
    <row r="7657" spans="1:11">
      <c r="A7657" s="946" t="s">
        <v>28616</v>
      </c>
      <c r="B7657" s="947" t="s">
        <v>19556</v>
      </c>
      <c r="C7657" s="948" t="s">
        <v>19555</v>
      </c>
      <c r="D7657" s="242" t="s">
        <v>28734</v>
      </c>
      <c r="E7657" s="949">
        <v>2001</v>
      </c>
      <c r="F7657" s="949">
        <v>2001</v>
      </c>
      <c r="G7657" s="950" t="s">
        <v>13464</v>
      </c>
      <c r="H7657" s="950" t="s">
        <v>1424</v>
      </c>
      <c r="I7657" s="951" t="s">
        <v>32428</v>
      </c>
      <c r="J7657" s="947" t="s">
        <v>19556</v>
      </c>
      <c r="K7657" s="143"/>
    </row>
    <row r="7658" spans="1:11">
      <c r="A7658" s="946" t="s">
        <v>28616</v>
      </c>
      <c r="B7658" s="947" t="s">
        <v>19563</v>
      </c>
      <c r="C7658" s="948" t="s">
        <v>19562</v>
      </c>
      <c r="D7658" s="242" t="s">
        <v>28734</v>
      </c>
      <c r="E7658" s="949">
        <v>2001</v>
      </c>
      <c r="F7658" s="949">
        <v>2001</v>
      </c>
      <c r="G7658" s="950" t="s">
        <v>13464</v>
      </c>
      <c r="H7658" s="950" t="s">
        <v>1424</v>
      </c>
      <c r="I7658" s="951" t="s">
        <v>32429</v>
      </c>
      <c r="J7658" s="947" t="s">
        <v>19563</v>
      </c>
      <c r="K7658" s="143"/>
    </row>
    <row r="7659" spans="1:11">
      <c r="A7659" s="946" t="s">
        <v>28616</v>
      </c>
      <c r="B7659" s="947" t="s">
        <v>19756</v>
      </c>
      <c r="C7659" s="948" t="s">
        <v>19755</v>
      </c>
      <c r="D7659" s="242" t="s">
        <v>28734</v>
      </c>
      <c r="E7659" s="949">
        <v>2001</v>
      </c>
      <c r="F7659" s="949">
        <v>2001</v>
      </c>
      <c r="G7659" s="950" t="s">
        <v>13464</v>
      </c>
      <c r="H7659" s="950" t="s">
        <v>1424</v>
      </c>
      <c r="I7659" s="951" t="s">
        <v>32430</v>
      </c>
      <c r="J7659" s="947" t="s">
        <v>19756</v>
      </c>
      <c r="K7659" s="143"/>
    </row>
    <row r="7660" spans="1:11">
      <c r="A7660" s="946" t="s">
        <v>28616</v>
      </c>
      <c r="B7660" s="947" t="s">
        <v>20435</v>
      </c>
      <c r="C7660" s="948" t="s">
        <v>20434</v>
      </c>
      <c r="D7660" s="242" t="s">
        <v>28734</v>
      </c>
      <c r="E7660" s="949">
        <v>2001</v>
      </c>
      <c r="F7660" s="949">
        <v>2001</v>
      </c>
      <c r="G7660" s="950" t="s">
        <v>13464</v>
      </c>
      <c r="H7660" s="950" t="s">
        <v>1424</v>
      </c>
      <c r="I7660" s="951" t="s">
        <v>32431</v>
      </c>
      <c r="J7660" s="947" t="s">
        <v>20435</v>
      </c>
      <c r="K7660" s="143"/>
    </row>
    <row r="7661" spans="1:11">
      <c r="A7661" s="946" t="s">
        <v>28616</v>
      </c>
      <c r="B7661" s="947" t="s">
        <v>20449</v>
      </c>
      <c r="C7661" s="948" t="s">
        <v>20448</v>
      </c>
      <c r="D7661" s="242" t="s">
        <v>28734</v>
      </c>
      <c r="E7661" s="949">
        <v>2001</v>
      </c>
      <c r="F7661" s="949">
        <v>2001</v>
      </c>
      <c r="G7661" s="950" t="s">
        <v>13464</v>
      </c>
      <c r="H7661" s="950" t="s">
        <v>1424</v>
      </c>
      <c r="I7661" s="951" t="s">
        <v>32432</v>
      </c>
      <c r="J7661" s="947" t="s">
        <v>20449</v>
      </c>
      <c r="K7661" s="143"/>
    </row>
    <row r="7662" spans="1:11">
      <c r="A7662" s="946" t="s">
        <v>28616</v>
      </c>
      <c r="B7662" s="947" t="s">
        <v>20540</v>
      </c>
      <c r="C7662" s="948" t="s">
        <v>20539</v>
      </c>
      <c r="D7662" s="242" t="s">
        <v>28734</v>
      </c>
      <c r="E7662" s="949">
        <v>2001</v>
      </c>
      <c r="F7662" s="949">
        <v>2001</v>
      </c>
      <c r="G7662" s="950" t="s">
        <v>13464</v>
      </c>
      <c r="H7662" s="950" t="s">
        <v>1424</v>
      </c>
      <c r="I7662" s="951" t="s">
        <v>32433</v>
      </c>
      <c r="J7662" s="947" t="s">
        <v>20540</v>
      </c>
      <c r="K7662" s="143"/>
    </row>
    <row r="7663" spans="1:11">
      <c r="A7663" s="946" t="s">
        <v>28616</v>
      </c>
      <c r="B7663" s="947" t="s">
        <v>20613</v>
      </c>
      <c r="C7663" s="948" t="s">
        <v>20612</v>
      </c>
      <c r="D7663" s="242" t="s">
        <v>28734</v>
      </c>
      <c r="E7663" s="949">
        <v>2001</v>
      </c>
      <c r="F7663" s="949">
        <v>2001</v>
      </c>
      <c r="G7663" s="950" t="s">
        <v>13464</v>
      </c>
      <c r="H7663" s="950" t="s">
        <v>1424</v>
      </c>
      <c r="I7663" s="951" t="s">
        <v>32434</v>
      </c>
      <c r="J7663" s="947" t="s">
        <v>20613</v>
      </c>
      <c r="K7663" s="143"/>
    </row>
    <row r="7664" spans="1:11">
      <c r="A7664" s="946" t="s">
        <v>28616</v>
      </c>
      <c r="B7664" s="947" t="s">
        <v>350</v>
      </c>
      <c r="C7664" s="948" t="s">
        <v>348</v>
      </c>
      <c r="D7664" s="242" t="s">
        <v>28734</v>
      </c>
      <c r="E7664" s="949">
        <v>2001</v>
      </c>
      <c r="F7664" s="949">
        <v>2001</v>
      </c>
      <c r="G7664" s="950" t="s">
        <v>13735</v>
      </c>
      <c r="H7664" s="950" t="s">
        <v>349</v>
      </c>
      <c r="I7664" s="951" t="s">
        <v>32435</v>
      </c>
      <c r="J7664" s="947" t="s">
        <v>350</v>
      </c>
      <c r="K7664" s="143"/>
    </row>
    <row r="7665" spans="1:11">
      <c r="A7665" s="946" t="s">
        <v>28616</v>
      </c>
      <c r="B7665" s="947" t="s">
        <v>668</v>
      </c>
      <c r="C7665" s="948" t="s">
        <v>667</v>
      </c>
      <c r="D7665" s="242" t="s">
        <v>28734</v>
      </c>
      <c r="E7665" s="949">
        <v>2001</v>
      </c>
      <c r="F7665" s="949">
        <v>2001</v>
      </c>
      <c r="G7665" s="950" t="s">
        <v>13735</v>
      </c>
      <c r="H7665" s="950" t="s">
        <v>349</v>
      </c>
      <c r="I7665" s="951" t="s">
        <v>32436</v>
      </c>
      <c r="J7665" s="947" t="s">
        <v>668</v>
      </c>
      <c r="K7665" s="143"/>
    </row>
    <row r="7666" spans="1:11">
      <c r="A7666" s="946" t="s">
        <v>28616</v>
      </c>
      <c r="B7666" s="947" t="s">
        <v>759</v>
      </c>
      <c r="C7666" s="948" t="s">
        <v>758</v>
      </c>
      <c r="D7666" s="242" t="s">
        <v>28734</v>
      </c>
      <c r="E7666" s="949">
        <v>2001</v>
      </c>
      <c r="F7666" s="949">
        <v>2001</v>
      </c>
      <c r="G7666" s="950" t="s">
        <v>13735</v>
      </c>
      <c r="H7666" s="950" t="s">
        <v>349</v>
      </c>
      <c r="I7666" s="951" t="s">
        <v>32437</v>
      </c>
      <c r="J7666" s="947" t="s">
        <v>759</v>
      </c>
      <c r="K7666" s="143"/>
    </row>
    <row r="7667" spans="1:11">
      <c r="A7667" s="946" t="s">
        <v>28616</v>
      </c>
      <c r="B7667" s="947" t="s">
        <v>876</v>
      </c>
      <c r="C7667" s="948" t="s">
        <v>875</v>
      </c>
      <c r="D7667" s="242" t="s">
        <v>28734</v>
      </c>
      <c r="E7667" s="949">
        <v>2001</v>
      </c>
      <c r="F7667" s="949">
        <v>2001</v>
      </c>
      <c r="G7667" s="950" t="s">
        <v>13735</v>
      </c>
      <c r="H7667" s="950" t="s">
        <v>349</v>
      </c>
      <c r="I7667" s="951" t="s">
        <v>32438</v>
      </c>
      <c r="J7667" s="947" t="s">
        <v>876</v>
      </c>
      <c r="K7667" s="143"/>
    </row>
    <row r="7668" spans="1:11">
      <c r="A7668" s="946" t="s">
        <v>28616</v>
      </c>
      <c r="B7668" s="947" t="s">
        <v>943</v>
      </c>
      <c r="C7668" s="948" t="s">
        <v>942</v>
      </c>
      <c r="D7668" s="242" t="s">
        <v>28734</v>
      </c>
      <c r="E7668" s="949">
        <v>2001</v>
      </c>
      <c r="F7668" s="949">
        <v>2001</v>
      </c>
      <c r="G7668" s="950" t="s">
        <v>13735</v>
      </c>
      <c r="H7668" s="950" t="s">
        <v>349</v>
      </c>
      <c r="I7668" s="951" t="s">
        <v>32439</v>
      </c>
      <c r="J7668" s="947" t="s">
        <v>943</v>
      </c>
      <c r="K7668" s="143"/>
    </row>
    <row r="7669" spans="1:11">
      <c r="A7669" s="946" t="s">
        <v>28616</v>
      </c>
      <c r="B7669" s="947" t="s">
        <v>1305</v>
      </c>
      <c r="C7669" s="948" t="s">
        <v>1304</v>
      </c>
      <c r="D7669" s="242" t="s">
        <v>28734</v>
      </c>
      <c r="E7669" s="949">
        <v>2001</v>
      </c>
      <c r="F7669" s="949">
        <v>2001</v>
      </c>
      <c r="G7669" s="950" t="s">
        <v>13735</v>
      </c>
      <c r="H7669" s="950" t="s">
        <v>349</v>
      </c>
      <c r="I7669" s="951" t="s">
        <v>32440</v>
      </c>
      <c r="J7669" s="947" t="s">
        <v>1305</v>
      </c>
      <c r="K7669" s="143"/>
    </row>
    <row r="7670" spans="1:11">
      <c r="A7670" s="946" t="s">
        <v>28616</v>
      </c>
      <c r="B7670" s="947" t="s">
        <v>1355</v>
      </c>
      <c r="C7670" s="948" t="s">
        <v>1354</v>
      </c>
      <c r="D7670" s="242" t="s">
        <v>28734</v>
      </c>
      <c r="E7670" s="949">
        <v>2001</v>
      </c>
      <c r="F7670" s="949">
        <v>2001</v>
      </c>
      <c r="G7670" s="950" t="s">
        <v>13735</v>
      </c>
      <c r="H7670" s="950" t="s">
        <v>349</v>
      </c>
      <c r="I7670" s="951" t="s">
        <v>32441</v>
      </c>
      <c r="J7670" s="947" t="s">
        <v>1355</v>
      </c>
      <c r="K7670" s="143"/>
    </row>
    <row r="7671" spans="1:11">
      <c r="A7671" s="946" t="s">
        <v>28616</v>
      </c>
      <c r="B7671" s="947" t="s">
        <v>1579</v>
      </c>
      <c r="C7671" s="948" t="s">
        <v>1578</v>
      </c>
      <c r="D7671" s="242" t="s">
        <v>28734</v>
      </c>
      <c r="E7671" s="949">
        <v>2001</v>
      </c>
      <c r="F7671" s="949">
        <v>2001</v>
      </c>
      <c r="G7671" s="950" t="s">
        <v>13735</v>
      </c>
      <c r="H7671" s="950" t="s">
        <v>349</v>
      </c>
      <c r="I7671" s="951" t="s">
        <v>32442</v>
      </c>
      <c r="J7671" s="947" t="s">
        <v>1579</v>
      </c>
      <c r="K7671" s="143"/>
    </row>
    <row r="7672" spans="1:11">
      <c r="A7672" s="946" t="s">
        <v>28616</v>
      </c>
      <c r="B7672" s="947" t="s">
        <v>1587</v>
      </c>
      <c r="C7672" s="948" t="s">
        <v>1586</v>
      </c>
      <c r="D7672" s="242" t="s">
        <v>28734</v>
      </c>
      <c r="E7672" s="949">
        <v>2001</v>
      </c>
      <c r="F7672" s="949">
        <v>2001</v>
      </c>
      <c r="G7672" s="950" t="s">
        <v>13735</v>
      </c>
      <c r="H7672" s="950" t="s">
        <v>349</v>
      </c>
      <c r="I7672" s="951" t="s">
        <v>32443</v>
      </c>
      <c r="J7672" s="947" t="s">
        <v>1587</v>
      </c>
      <c r="K7672" s="143"/>
    </row>
    <row r="7673" spans="1:11">
      <c r="A7673" s="946" t="s">
        <v>28616</v>
      </c>
      <c r="B7673" s="947" t="s">
        <v>1902</v>
      </c>
      <c r="C7673" s="948" t="s">
        <v>1901</v>
      </c>
      <c r="D7673" s="242" t="s">
        <v>28734</v>
      </c>
      <c r="E7673" s="949">
        <v>2001</v>
      </c>
      <c r="F7673" s="949">
        <v>2001</v>
      </c>
      <c r="G7673" s="950" t="s">
        <v>13735</v>
      </c>
      <c r="H7673" s="950" t="s">
        <v>349</v>
      </c>
      <c r="I7673" s="951" t="s">
        <v>32444</v>
      </c>
      <c r="J7673" s="947" t="s">
        <v>1902</v>
      </c>
      <c r="K7673" s="143"/>
    </row>
    <row r="7674" spans="1:11">
      <c r="A7674" s="946" t="s">
        <v>28616</v>
      </c>
      <c r="B7674" s="947" t="s">
        <v>1919</v>
      </c>
      <c r="C7674" s="948" t="s">
        <v>1918</v>
      </c>
      <c r="D7674" s="242" t="s">
        <v>28734</v>
      </c>
      <c r="E7674" s="949">
        <v>2001</v>
      </c>
      <c r="F7674" s="949">
        <v>2001</v>
      </c>
      <c r="G7674" s="950" t="s">
        <v>13735</v>
      </c>
      <c r="H7674" s="950" t="s">
        <v>349</v>
      </c>
      <c r="I7674" s="951" t="s">
        <v>32445</v>
      </c>
      <c r="J7674" s="947" t="s">
        <v>1919</v>
      </c>
      <c r="K7674" s="143"/>
    </row>
    <row r="7675" spans="1:11">
      <c r="A7675" s="946" t="s">
        <v>28616</v>
      </c>
      <c r="B7675" s="947" t="s">
        <v>1976</v>
      </c>
      <c r="C7675" s="948" t="s">
        <v>1975</v>
      </c>
      <c r="D7675" s="242" t="s">
        <v>28734</v>
      </c>
      <c r="E7675" s="949">
        <v>2001</v>
      </c>
      <c r="F7675" s="949">
        <v>2001</v>
      </c>
      <c r="G7675" s="950" t="s">
        <v>13735</v>
      </c>
      <c r="H7675" s="950" t="s">
        <v>349</v>
      </c>
      <c r="I7675" s="951" t="s">
        <v>32446</v>
      </c>
      <c r="J7675" s="947" t="s">
        <v>1976</v>
      </c>
      <c r="K7675" s="143"/>
    </row>
    <row r="7676" spans="1:11">
      <c r="A7676" s="946" t="s">
        <v>28616</v>
      </c>
      <c r="B7676" s="947" t="s">
        <v>2120</v>
      </c>
      <c r="C7676" s="948" t="s">
        <v>2119</v>
      </c>
      <c r="D7676" s="242" t="s">
        <v>28734</v>
      </c>
      <c r="E7676" s="949">
        <v>2001</v>
      </c>
      <c r="F7676" s="949">
        <v>2001</v>
      </c>
      <c r="G7676" s="950" t="s">
        <v>13735</v>
      </c>
      <c r="H7676" s="950" t="s">
        <v>349</v>
      </c>
      <c r="I7676" s="951" t="s">
        <v>32447</v>
      </c>
      <c r="J7676" s="947" t="s">
        <v>2120</v>
      </c>
      <c r="K7676" s="143"/>
    </row>
    <row r="7677" spans="1:11">
      <c r="A7677" s="946" t="s">
        <v>28616</v>
      </c>
      <c r="B7677" s="947" t="s">
        <v>2428</v>
      </c>
      <c r="C7677" s="948" t="s">
        <v>2427</v>
      </c>
      <c r="D7677" s="242" t="s">
        <v>28734</v>
      </c>
      <c r="E7677" s="949">
        <v>2001</v>
      </c>
      <c r="F7677" s="949">
        <v>2001</v>
      </c>
      <c r="G7677" s="950" t="s">
        <v>13735</v>
      </c>
      <c r="H7677" s="950" t="s">
        <v>349</v>
      </c>
      <c r="I7677" s="951" t="s">
        <v>32448</v>
      </c>
      <c r="J7677" s="947" t="s">
        <v>2428</v>
      </c>
      <c r="K7677" s="143"/>
    </row>
    <row r="7678" spans="1:11">
      <c r="A7678" s="946" t="s">
        <v>28616</v>
      </c>
      <c r="B7678" s="947" t="s">
        <v>2622</v>
      </c>
      <c r="C7678" s="948" t="s">
        <v>2621</v>
      </c>
      <c r="D7678" s="242" t="s">
        <v>28734</v>
      </c>
      <c r="E7678" s="949">
        <v>2001</v>
      </c>
      <c r="F7678" s="949">
        <v>2001</v>
      </c>
      <c r="G7678" s="950" t="s">
        <v>13735</v>
      </c>
      <c r="H7678" s="950" t="s">
        <v>349</v>
      </c>
      <c r="I7678" s="951" t="s">
        <v>32449</v>
      </c>
      <c r="J7678" s="947" t="s">
        <v>2622</v>
      </c>
      <c r="K7678" s="143"/>
    </row>
    <row r="7679" spans="1:11">
      <c r="A7679" s="946" t="s">
        <v>28616</v>
      </c>
      <c r="B7679" s="947" t="s">
        <v>2828</v>
      </c>
      <c r="C7679" s="948" t="s">
        <v>2827</v>
      </c>
      <c r="D7679" s="242" t="s">
        <v>28734</v>
      </c>
      <c r="E7679" s="949">
        <v>2001</v>
      </c>
      <c r="F7679" s="949">
        <v>2001</v>
      </c>
      <c r="G7679" s="950" t="s">
        <v>13735</v>
      </c>
      <c r="H7679" s="950" t="s">
        <v>349</v>
      </c>
      <c r="I7679" s="951" t="s">
        <v>32450</v>
      </c>
      <c r="J7679" s="947" t="s">
        <v>2828</v>
      </c>
      <c r="K7679" s="143"/>
    </row>
    <row r="7680" spans="1:11">
      <c r="A7680" s="946" t="s">
        <v>28616</v>
      </c>
      <c r="B7680" s="947" t="s">
        <v>2849</v>
      </c>
      <c r="C7680" s="948" t="s">
        <v>2848</v>
      </c>
      <c r="D7680" s="242" t="s">
        <v>28734</v>
      </c>
      <c r="E7680" s="949">
        <v>2001</v>
      </c>
      <c r="F7680" s="949">
        <v>2001</v>
      </c>
      <c r="G7680" s="950" t="s">
        <v>13735</v>
      </c>
      <c r="H7680" s="950" t="s">
        <v>349</v>
      </c>
      <c r="I7680" s="951" t="s">
        <v>32451</v>
      </c>
      <c r="J7680" s="947" t="s">
        <v>2849</v>
      </c>
      <c r="K7680" s="143"/>
    </row>
    <row r="7681" spans="1:11">
      <c r="A7681" s="946" t="s">
        <v>28616</v>
      </c>
      <c r="B7681" s="947" t="s">
        <v>3268</v>
      </c>
      <c r="C7681" s="948" t="s">
        <v>3267</v>
      </c>
      <c r="D7681" s="242" t="s">
        <v>28734</v>
      </c>
      <c r="E7681" s="949">
        <v>2001</v>
      </c>
      <c r="F7681" s="949">
        <v>2001</v>
      </c>
      <c r="G7681" s="950" t="s">
        <v>13735</v>
      </c>
      <c r="H7681" s="950" t="s">
        <v>349</v>
      </c>
      <c r="I7681" s="951" t="s">
        <v>32452</v>
      </c>
      <c r="J7681" s="947" t="s">
        <v>3268</v>
      </c>
      <c r="K7681" s="143"/>
    </row>
    <row r="7682" spans="1:11">
      <c r="A7682" s="946" t="s">
        <v>28616</v>
      </c>
      <c r="B7682" s="947" t="s">
        <v>3338</v>
      </c>
      <c r="C7682" s="948" t="s">
        <v>3337</v>
      </c>
      <c r="D7682" s="242" t="s">
        <v>28734</v>
      </c>
      <c r="E7682" s="949">
        <v>2001</v>
      </c>
      <c r="F7682" s="949">
        <v>2001</v>
      </c>
      <c r="G7682" s="950" t="s">
        <v>13735</v>
      </c>
      <c r="H7682" s="950" t="s">
        <v>349</v>
      </c>
      <c r="I7682" s="951" t="s">
        <v>32453</v>
      </c>
      <c r="J7682" s="947" t="s">
        <v>3338</v>
      </c>
      <c r="K7682" s="143"/>
    </row>
    <row r="7683" spans="1:11">
      <c r="A7683" s="946" t="s">
        <v>28616</v>
      </c>
      <c r="B7683" s="947" t="s">
        <v>7450</v>
      </c>
      <c r="C7683" s="948" t="s">
        <v>7449</v>
      </c>
      <c r="D7683" s="242" t="s">
        <v>28734</v>
      </c>
      <c r="E7683" s="949">
        <v>2001</v>
      </c>
      <c r="F7683" s="949">
        <v>2001</v>
      </c>
      <c r="G7683" s="950" t="s">
        <v>13735</v>
      </c>
      <c r="H7683" s="950" t="s">
        <v>349</v>
      </c>
      <c r="I7683" s="951" t="s">
        <v>32454</v>
      </c>
      <c r="J7683" s="947" t="s">
        <v>7450</v>
      </c>
      <c r="K7683" s="143"/>
    </row>
    <row r="7684" spans="1:11">
      <c r="A7684" s="946" t="s">
        <v>28616</v>
      </c>
      <c r="B7684" s="947" t="s">
        <v>7485</v>
      </c>
      <c r="C7684" s="948" t="s">
        <v>7484</v>
      </c>
      <c r="D7684" s="242" t="s">
        <v>28734</v>
      </c>
      <c r="E7684" s="949">
        <v>2001</v>
      </c>
      <c r="F7684" s="949">
        <v>2001</v>
      </c>
      <c r="G7684" s="950" t="s">
        <v>13735</v>
      </c>
      <c r="H7684" s="950" t="s">
        <v>349</v>
      </c>
      <c r="I7684" s="951" t="s">
        <v>32455</v>
      </c>
      <c r="J7684" s="947" t="s">
        <v>7485</v>
      </c>
      <c r="K7684" s="143"/>
    </row>
    <row r="7685" spans="1:11">
      <c r="A7685" s="946" t="s">
        <v>28616</v>
      </c>
      <c r="B7685" s="947" t="s">
        <v>8342</v>
      </c>
      <c r="C7685" s="948" t="s">
        <v>8341</v>
      </c>
      <c r="D7685" s="242" t="s">
        <v>28734</v>
      </c>
      <c r="E7685" s="949">
        <v>2001</v>
      </c>
      <c r="F7685" s="949">
        <v>2001</v>
      </c>
      <c r="G7685" s="950" t="s">
        <v>13735</v>
      </c>
      <c r="H7685" s="950" t="s">
        <v>349</v>
      </c>
      <c r="I7685" s="951" t="s">
        <v>32456</v>
      </c>
      <c r="J7685" s="947" t="s">
        <v>8342</v>
      </c>
      <c r="K7685" s="143"/>
    </row>
    <row r="7686" spans="1:11">
      <c r="A7686" s="946" t="s">
        <v>28616</v>
      </c>
      <c r="B7686" s="947" t="s">
        <v>8470</v>
      </c>
      <c r="C7686" s="948" t="s">
        <v>8469</v>
      </c>
      <c r="D7686" s="242" t="s">
        <v>28734</v>
      </c>
      <c r="E7686" s="949">
        <v>2001</v>
      </c>
      <c r="F7686" s="949">
        <v>2001</v>
      </c>
      <c r="G7686" s="950" t="s">
        <v>13735</v>
      </c>
      <c r="H7686" s="950" t="s">
        <v>349</v>
      </c>
      <c r="I7686" s="951" t="s">
        <v>32457</v>
      </c>
      <c r="J7686" s="947" t="s">
        <v>8470</v>
      </c>
      <c r="K7686" s="143"/>
    </row>
    <row r="7687" spans="1:11">
      <c r="A7687" s="946" t="s">
        <v>28616</v>
      </c>
      <c r="B7687" s="947" t="s">
        <v>9161</v>
      </c>
      <c r="C7687" s="948" t="s">
        <v>9160</v>
      </c>
      <c r="D7687" s="242" t="s">
        <v>28734</v>
      </c>
      <c r="E7687" s="949">
        <v>2001</v>
      </c>
      <c r="F7687" s="949">
        <v>2001</v>
      </c>
      <c r="G7687" s="950" t="s">
        <v>13735</v>
      </c>
      <c r="H7687" s="950" t="s">
        <v>349</v>
      </c>
      <c r="I7687" s="951" t="s">
        <v>32458</v>
      </c>
      <c r="J7687" s="947" t="s">
        <v>9161</v>
      </c>
      <c r="K7687" s="143"/>
    </row>
    <row r="7688" spans="1:11">
      <c r="A7688" s="946" t="s">
        <v>28616</v>
      </c>
      <c r="B7688" s="947" t="s">
        <v>9350</v>
      </c>
      <c r="C7688" s="948" t="s">
        <v>9349</v>
      </c>
      <c r="D7688" s="242" t="s">
        <v>28734</v>
      </c>
      <c r="E7688" s="949">
        <v>2001</v>
      </c>
      <c r="F7688" s="949">
        <v>2001</v>
      </c>
      <c r="G7688" s="950" t="s">
        <v>13735</v>
      </c>
      <c r="H7688" s="950" t="s">
        <v>349</v>
      </c>
      <c r="I7688" s="951" t="s">
        <v>32459</v>
      </c>
      <c r="J7688" s="947" t="s">
        <v>9350</v>
      </c>
      <c r="K7688" s="143"/>
    </row>
    <row r="7689" spans="1:11">
      <c r="A7689" s="946" t="s">
        <v>28616</v>
      </c>
      <c r="B7689" s="947" t="s">
        <v>9353</v>
      </c>
      <c r="C7689" s="948" t="s">
        <v>9352</v>
      </c>
      <c r="D7689" s="242" t="s">
        <v>28734</v>
      </c>
      <c r="E7689" s="949">
        <v>2001</v>
      </c>
      <c r="F7689" s="949">
        <v>2001</v>
      </c>
      <c r="G7689" s="950" t="s">
        <v>13735</v>
      </c>
      <c r="H7689" s="950" t="s">
        <v>349</v>
      </c>
      <c r="I7689" s="951" t="s">
        <v>32460</v>
      </c>
      <c r="J7689" s="947" t="s">
        <v>9353</v>
      </c>
      <c r="K7689" s="143"/>
    </row>
    <row r="7690" spans="1:11">
      <c r="A7690" s="946" t="s">
        <v>28616</v>
      </c>
      <c r="B7690" s="947" t="s">
        <v>9355</v>
      </c>
      <c r="C7690" s="948" t="s">
        <v>9354</v>
      </c>
      <c r="D7690" s="242" t="s">
        <v>28734</v>
      </c>
      <c r="E7690" s="949">
        <v>2001</v>
      </c>
      <c r="F7690" s="949">
        <v>2001</v>
      </c>
      <c r="G7690" s="950" t="s">
        <v>13735</v>
      </c>
      <c r="H7690" s="950" t="s">
        <v>349</v>
      </c>
      <c r="I7690" s="951" t="s">
        <v>32461</v>
      </c>
      <c r="J7690" s="947" t="s">
        <v>9355</v>
      </c>
      <c r="K7690" s="143"/>
    </row>
    <row r="7691" spans="1:11">
      <c r="A7691" s="946" t="s">
        <v>28616</v>
      </c>
      <c r="B7691" s="947" t="s">
        <v>10034</v>
      </c>
      <c r="C7691" s="948" t="s">
        <v>10033</v>
      </c>
      <c r="D7691" s="242" t="s">
        <v>28734</v>
      </c>
      <c r="E7691" s="949">
        <v>2001</v>
      </c>
      <c r="F7691" s="949">
        <v>2001</v>
      </c>
      <c r="G7691" s="950" t="s">
        <v>13735</v>
      </c>
      <c r="H7691" s="950" t="s">
        <v>349</v>
      </c>
      <c r="I7691" s="951" t="s">
        <v>32462</v>
      </c>
      <c r="J7691" s="947" t="s">
        <v>10034</v>
      </c>
      <c r="K7691" s="143"/>
    </row>
    <row r="7692" spans="1:11">
      <c r="A7692" s="946" t="s">
        <v>28616</v>
      </c>
      <c r="B7692" s="947" t="s">
        <v>10919</v>
      </c>
      <c r="C7692" s="948" t="s">
        <v>10918</v>
      </c>
      <c r="D7692" s="242" t="s">
        <v>28734</v>
      </c>
      <c r="E7692" s="949">
        <v>2001</v>
      </c>
      <c r="F7692" s="949">
        <v>2001</v>
      </c>
      <c r="G7692" s="950" t="s">
        <v>13735</v>
      </c>
      <c r="H7692" s="950" t="s">
        <v>349</v>
      </c>
      <c r="I7692" s="951" t="s">
        <v>32463</v>
      </c>
      <c r="J7692" s="947" t="s">
        <v>10919</v>
      </c>
      <c r="K7692" s="143"/>
    </row>
    <row r="7693" spans="1:11">
      <c r="A7693" s="946" t="s">
        <v>28616</v>
      </c>
      <c r="B7693" s="947" t="s">
        <v>11245</v>
      </c>
      <c r="C7693" s="948" t="s">
        <v>11244</v>
      </c>
      <c r="D7693" s="242" t="s">
        <v>28734</v>
      </c>
      <c r="E7693" s="949">
        <v>2001</v>
      </c>
      <c r="F7693" s="949">
        <v>2001</v>
      </c>
      <c r="G7693" s="950" t="s">
        <v>13735</v>
      </c>
      <c r="H7693" s="950" t="s">
        <v>349</v>
      </c>
      <c r="I7693" s="951" t="s">
        <v>32464</v>
      </c>
      <c r="J7693" s="947" t="s">
        <v>11245</v>
      </c>
      <c r="K7693" s="143"/>
    </row>
    <row r="7694" spans="1:11">
      <c r="A7694" s="946" t="s">
        <v>28616</v>
      </c>
      <c r="B7694" s="947" t="s">
        <v>11431</v>
      </c>
      <c r="C7694" s="948" t="s">
        <v>11430</v>
      </c>
      <c r="D7694" s="242" t="s">
        <v>28734</v>
      </c>
      <c r="E7694" s="949">
        <v>2001</v>
      </c>
      <c r="F7694" s="949">
        <v>2001</v>
      </c>
      <c r="G7694" s="950" t="s">
        <v>13735</v>
      </c>
      <c r="H7694" s="950" t="s">
        <v>349</v>
      </c>
      <c r="I7694" s="951" t="s">
        <v>32465</v>
      </c>
      <c r="J7694" s="947" t="s">
        <v>11431</v>
      </c>
      <c r="K7694" s="143"/>
    </row>
    <row r="7695" spans="1:11">
      <c r="A7695" s="946" t="s">
        <v>28616</v>
      </c>
      <c r="B7695" s="947" t="s">
        <v>11768</v>
      </c>
      <c r="C7695" s="948" t="s">
        <v>11767</v>
      </c>
      <c r="D7695" s="242" t="s">
        <v>28734</v>
      </c>
      <c r="E7695" s="949">
        <v>2001</v>
      </c>
      <c r="F7695" s="949">
        <v>2001</v>
      </c>
      <c r="G7695" s="950" t="s">
        <v>13735</v>
      </c>
      <c r="H7695" s="950" t="s">
        <v>349</v>
      </c>
      <c r="I7695" s="951" t="s">
        <v>32466</v>
      </c>
      <c r="J7695" s="947" t="s">
        <v>11768</v>
      </c>
      <c r="K7695" s="143"/>
    </row>
    <row r="7696" spans="1:11">
      <c r="A7696" s="946" t="s">
        <v>28616</v>
      </c>
      <c r="B7696" s="947" t="s">
        <v>11879</v>
      </c>
      <c r="C7696" s="948" t="s">
        <v>11878</v>
      </c>
      <c r="D7696" s="242" t="s">
        <v>28734</v>
      </c>
      <c r="E7696" s="949">
        <v>2001</v>
      </c>
      <c r="F7696" s="949">
        <v>2001</v>
      </c>
      <c r="G7696" s="950" t="s">
        <v>13735</v>
      </c>
      <c r="H7696" s="950" t="s">
        <v>349</v>
      </c>
      <c r="I7696" s="951" t="s">
        <v>32467</v>
      </c>
      <c r="J7696" s="947" t="s">
        <v>11879</v>
      </c>
      <c r="K7696" s="143"/>
    </row>
    <row r="7697" spans="1:11">
      <c r="A7697" s="946" t="s">
        <v>28616</v>
      </c>
      <c r="B7697" s="947" t="s">
        <v>11902</v>
      </c>
      <c r="C7697" s="948" t="s">
        <v>11901</v>
      </c>
      <c r="D7697" s="242" t="s">
        <v>28734</v>
      </c>
      <c r="E7697" s="949">
        <v>2001</v>
      </c>
      <c r="F7697" s="949">
        <v>2001</v>
      </c>
      <c r="G7697" s="950" t="s">
        <v>13735</v>
      </c>
      <c r="H7697" s="950" t="s">
        <v>349</v>
      </c>
      <c r="I7697" s="951" t="s">
        <v>32468</v>
      </c>
      <c r="J7697" s="947" t="s">
        <v>11902</v>
      </c>
      <c r="K7697" s="143"/>
    </row>
    <row r="7698" spans="1:11">
      <c r="A7698" s="946" t="s">
        <v>28616</v>
      </c>
      <c r="B7698" s="947" t="s">
        <v>11904</v>
      </c>
      <c r="C7698" s="948" t="s">
        <v>11903</v>
      </c>
      <c r="D7698" s="242" t="s">
        <v>28734</v>
      </c>
      <c r="E7698" s="949">
        <v>2001</v>
      </c>
      <c r="F7698" s="949">
        <v>2001</v>
      </c>
      <c r="G7698" s="950" t="s">
        <v>13735</v>
      </c>
      <c r="H7698" s="950" t="s">
        <v>349</v>
      </c>
      <c r="I7698" s="951" t="s">
        <v>32469</v>
      </c>
      <c r="J7698" s="947" t="s">
        <v>11904</v>
      </c>
      <c r="K7698" s="143"/>
    </row>
    <row r="7699" spans="1:11">
      <c r="A7699" s="946" t="s">
        <v>28616</v>
      </c>
      <c r="B7699" s="947" t="s">
        <v>12861</v>
      </c>
      <c r="C7699" s="948" t="s">
        <v>12860</v>
      </c>
      <c r="D7699" s="242" t="s">
        <v>28734</v>
      </c>
      <c r="E7699" s="949">
        <v>2001</v>
      </c>
      <c r="F7699" s="949">
        <v>2001</v>
      </c>
      <c r="G7699" s="950" t="s">
        <v>13735</v>
      </c>
      <c r="H7699" s="950" t="s">
        <v>349</v>
      </c>
      <c r="I7699" s="951" t="s">
        <v>32470</v>
      </c>
      <c r="J7699" s="947" t="s">
        <v>12861</v>
      </c>
      <c r="K7699" s="143"/>
    </row>
    <row r="7700" spans="1:11">
      <c r="A7700" s="946" t="s">
        <v>28616</v>
      </c>
      <c r="B7700" s="947" t="s">
        <v>12926</v>
      </c>
      <c r="C7700" s="948" t="s">
        <v>12925</v>
      </c>
      <c r="D7700" s="242" t="s">
        <v>28734</v>
      </c>
      <c r="E7700" s="949">
        <v>2001</v>
      </c>
      <c r="F7700" s="949">
        <v>2001</v>
      </c>
      <c r="G7700" s="950" t="s">
        <v>13735</v>
      </c>
      <c r="H7700" s="950" t="s">
        <v>349</v>
      </c>
      <c r="I7700" s="951" t="s">
        <v>32471</v>
      </c>
      <c r="J7700" s="947" t="s">
        <v>12926</v>
      </c>
      <c r="K7700" s="143"/>
    </row>
    <row r="7701" spans="1:11">
      <c r="A7701" s="946" t="s">
        <v>28616</v>
      </c>
      <c r="B7701" s="947" t="s">
        <v>13156</v>
      </c>
      <c r="C7701" s="948" t="s">
        <v>13155</v>
      </c>
      <c r="D7701" s="242" t="s">
        <v>28734</v>
      </c>
      <c r="E7701" s="949">
        <v>2001</v>
      </c>
      <c r="F7701" s="949">
        <v>2001</v>
      </c>
      <c r="G7701" s="950" t="s">
        <v>13735</v>
      </c>
      <c r="H7701" s="950" t="s">
        <v>349</v>
      </c>
      <c r="I7701" s="951" t="s">
        <v>32472</v>
      </c>
      <c r="J7701" s="947" t="s">
        <v>13156</v>
      </c>
      <c r="K7701" s="143"/>
    </row>
    <row r="7702" spans="1:11">
      <c r="A7702" s="946" t="s">
        <v>28616</v>
      </c>
      <c r="B7702" s="947" t="s">
        <v>13212</v>
      </c>
      <c r="C7702" s="948" t="s">
        <v>13211</v>
      </c>
      <c r="D7702" s="242" t="s">
        <v>28734</v>
      </c>
      <c r="E7702" s="949">
        <v>2001</v>
      </c>
      <c r="F7702" s="949">
        <v>2001</v>
      </c>
      <c r="G7702" s="950" t="s">
        <v>13735</v>
      </c>
      <c r="H7702" s="950" t="s">
        <v>349</v>
      </c>
      <c r="I7702" s="951" t="s">
        <v>32473</v>
      </c>
      <c r="J7702" s="947" t="s">
        <v>13212</v>
      </c>
      <c r="K7702" s="143"/>
    </row>
    <row r="7703" spans="1:11">
      <c r="A7703" s="946" t="s">
        <v>28616</v>
      </c>
      <c r="B7703" s="947" t="s">
        <v>13370</v>
      </c>
      <c r="C7703" s="948" t="s">
        <v>13369</v>
      </c>
      <c r="D7703" s="242" t="s">
        <v>28734</v>
      </c>
      <c r="E7703" s="949">
        <v>2001</v>
      </c>
      <c r="F7703" s="949">
        <v>2001</v>
      </c>
      <c r="G7703" s="950" t="s">
        <v>13735</v>
      </c>
      <c r="H7703" s="950" t="s">
        <v>349</v>
      </c>
      <c r="I7703" s="951" t="s">
        <v>32474</v>
      </c>
      <c r="J7703" s="947" t="s">
        <v>13370</v>
      </c>
      <c r="K7703" s="143"/>
    </row>
    <row r="7704" spans="1:11">
      <c r="A7704" s="946" t="s">
        <v>28616</v>
      </c>
      <c r="B7704" s="947" t="s">
        <v>13455</v>
      </c>
      <c r="C7704" s="948" t="s">
        <v>13454</v>
      </c>
      <c r="D7704" s="242" t="s">
        <v>28734</v>
      </c>
      <c r="E7704" s="949">
        <v>2001</v>
      </c>
      <c r="F7704" s="949">
        <v>2001</v>
      </c>
      <c r="G7704" s="950" t="s">
        <v>13735</v>
      </c>
      <c r="H7704" s="950" t="s">
        <v>349</v>
      </c>
      <c r="I7704" s="951" t="s">
        <v>32475</v>
      </c>
      <c r="J7704" s="947" t="s">
        <v>13455</v>
      </c>
      <c r="K7704" s="143"/>
    </row>
    <row r="7705" spans="1:11">
      <c r="A7705" s="946" t="s">
        <v>28616</v>
      </c>
      <c r="B7705" s="947" t="s">
        <v>13466</v>
      </c>
      <c r="C7705" s="948" t="s">
        <v>13465</v>
      </c>
      <c r="D7705" s="242" t="s">
        <v>28734</v>
      </c>
      <c r="E7705" s="949">
        <v>2001</v>
      </c>
      <c r="F7705" s="949">
        <v>2001</v>
      </c>
      <c r="G7705" s="950" t="s">
        <v>13735</v>
      </c>
      <c r="H7705" s="950" t="s">
        <v>349</v>
      </c>
      <c r="I7705" s="951" t="s">
        <v>32476</v>
      </c>
      <c r="J7705" s="947" t="s">
        <v>13466</v>
      </c>
      <c r="K7705" s="143"/>
    </row>
    <row r="7706" spans="1:11">
      <c r="A7706" s="946" t="s">
        <v>28616</v>
      </c>
      <c r="B7706" s="947" t="s">
        <v>13471</v>
      </c>
      <c r="C7706" s="948" t="s">
        <v>13470</v>
      </c>
      <c r="D7706" s="242" t="s">
        <v>28734</v>
      </c>
      <c r="E7706" s="949">
        <v>2001</v>
      </c>
      <c r="F7706" s="949">
        <v>2001</v>
      </c>
      <c r="G7706" s="950" t="s">
        <v>13735</v>
      </c>
      <c r="H7706" s="950" t="s">
        <v>349</v>
      </c>
      <c r="I7706" s="951" t="s">
        <v>32477</v>
      </c>
      <c r="J7706" s="947" t="s">
        <v>13471</v>
      </c>
      <c r="K7706" s="143"/>
    </row>
    <row r="7707" spans="1:11">
      <c r="A7707" s="946" t="s">
        <v>28616</v>
      </c>
      <c r="B7707" s="947" t="s">
        <v>13603</v>
      </c>
      <c r="C7707" s="948" t="s">
        <v>13602</v>
      </c>
      <c r="D7707" s="242" t="s">
        <v>28734</v>
      </c>
      <c r="E7707" s="949">
        <v>2001</v>
      </c>
      <c r="F7707" s="949">
        <v>2001</v>
      </c>
      <c r="G7707" s="950" t="s">
        <v>13735</v>
      </c>
      <c r="H7707" s="950" t="s">
        <v>349</v>
      </c>
      <c r="I7707" s="951" t="s">
        <v>32478</v>
      </c>
      <c r="J7707" s="947" t="s">
        <v>13603</v>
      </c>
      <c r="K7707" s="143"/>
    </row>
    <row r="7708" spans="1:11">
      <c r="A7708" s="946" t="s">
        <v>28616</v>
      </c>
      <c r="B7708" s="947" t="s">
        <v>13735</v>
      </c>
      <c r="C7708" s="948" t="s">
        <v>13734</v>
      </c>
      <c r="D7708" s="242" t="s">
        <v>28734</v>
      </c>
      <c r="E7708" s="949">
        <v>2001</v>
      </c>
      <c r="F7708" s="949">
        <v>2001</v>
      </c>
      <c r="G7708" s="950" t="s">
        <v>13735</v>
      </c>
      <c r="H7708" s="950" t="s">
        <v>349</v>
      </c>
      <c r="I7708" s="951" t="s">
        <v>32479</v>
      </c>
      <c r="J7708" s="947" t="s">
        <v>13735</v>
      </c>
      <c r="K7708" s="143"/>
    </row>
    <row r="7709" spans="1:11">
      <c r="A7709" s="946" t="s">
        <v>28616</v>
      </c>
      <c r="B7709" s="947" t="s">
        <v>14150</v>
      </c>
      <c r="C7709" s="948" t="s">
        <v>14149</v>
      </c>
      <c r="D7709" s="242" t="s">
        <v>28734</v>
      </c>
      <c r="E7709" s="949">
        <v>2001</v>
      </c>
      <c r="F7709" s="949">
        <v>2001</v>
      </c>
      <c r="G7709" s="950" t="s">
        <v>13735</v>
      </c>
      <c r="H7709" s="950" t="s">
        <v>349</v>
      </c>
      <c r="I7709" s="951" t="s">
        <v>32480</v>
      </c>
      <c r="J7709" s="947" t="s">
        <v>14150</v>
      </c>
      <c r="K7709" s="143"/>
    </row>
    <row r="7710" spans="1:11">
      <c r="A7710" s="946" t="s">
        <v>28616</v>
      </c>
      <c r="B7710" s="947" t="s">
        <v>14349</v>
      </c>
      <c r="C7710" s="948" t="s">
        <v>14348</v>
      </c>
      <c r="D7710" s="242" t="s">
        <v>28734</v>
      </c>
      <c r="E7710" s="949">
        <v>2001</v>
      </c>
      <c r="F7710" s="949">
        <v>2001</v>
      </c>
      <c r="G7710" s="950" t="s">
        <v>13735</v>
      </c>
      <c r="H7710" s="950" t="s">
        <v>349</v>
      </c>
      <c r="I7710" s="951" t="s">
        <v>32481</v>
      </c>
      <c r="J7710" s="947" t="s">
        <v>14349</v>
      </c>
      <c r="K7710" s="143"/>
    </row>
    <row r="7711" spans="1:11">
      <c r="A7711" s="946" t="s">
        <v>28616</v>
      </c>
      <c r="B7711" s="947" t="s">
        <v>14355</v>
      </c>
      <c r="C7711" s="948" t="s">
        <v>14354</v>
      </c>
      <c r="D7711" s="242" t="s">
        <v>28734</v>
      </c>
      <c r="E7711" s="949">
        <v>2001</v>
      </c>
      <c r="F7711" s="949">
        <v>2001</v>
      </c>
      <c r="G7711" s="950" t="s">
        <v>13735</v>
      </c>
      <c r="H7711" s="950" t="s">
        <v>349</v>
      </c>
      <c r="I7711" s="951" t="s">
        <v>32482</v>
      </c>
      <c r="J7711" s="947" t="s">
        <v>14355</v>
      </c>
      <c r="K7711" s="143"/>
    </row>
    <row r="7712" spans="1:11">
      <c r="A7712" s="946" t="s">
        <v>28616</v>
      </c>
      <c r="B7712" s="947" t="s">
        <v>15350</v>
      </c>
      <c r="C7712" s="948" t="s">
        <v>15349</v>
      </c>
      <c r="D7712" s="242" t="s">
        <v>28734</v>
      </c>
      <c r="E7712" s="949">
        <v>2001</v>
      </c>
      <c r="F7712" s="949">
        <v>2001</v>
      </c>
      <c r="G7712" s="950" t="s">
        <v>13735</v>
      </c>
      <c r="H7712" s="950" t="s">
        <v>349</v>
      </c>
      <c r="I7712" s="951" t="s">
        <v>32483</v>
      </c>
      <c r="J7712" s="947" t="s">
        <v>15350</v>
      </c>
      <c r="K7712" s="143"/>
    </row>
    <row r="7713" spans="1:11">
      <c r="A7713" s="946" t="s">
        <v>28616</v>
      </c>
      <c r="B7713" s="947" t="s">
        <v>16327</v>
      </c>
      <c r="C7713" s="948" t="s">
        <v>16326</v>
      </c>
      <c r="D7713" s="242" t="s">
        <v>28734</v>
      </c>
      <c r="E7713" s="949">
        <v>2001</v>
      </c>
      <c r="F7713" s="949">
        <v>2001</v>
      </c>
      <c r="G7713" s="950" t="s">
        <v>13735</v>
      </c>
      <c r="H7713" s="950" t="s">
        <v>349</v>
      </c>
      <c r="I7713" s="951" t="s">
        <v>32484</v>
      </c>
      <c r="J7713" s="947" t="s">
        <v>16327</v>
      </c>
      <c r="K7713" s="143"/>
    </row>
    <row r="7714" spans="1:11">
      <c r="A7714" s="946" t="s">
        <v>28616</v>
      </c>
      <c r="B7714" s="947" t="s">
        <v>17110</v>
      </c>
      <c r="C7714" s="948" t="s">
        <v>17109</v>
      </c>
      <c r="D7714" s="242" t="s">
        <v>28734</v>
      </c>
      <c r="E7714" s="949">
        <v>2001</v>
      </c>
      <c r="F7714" s="949">
        <v>2001</v>
      </c>
      <c r="G7714" s="950" t="s">
        <v>13735</v>
      </c>
      <c r="H7714" s="950" t="s">
        <v>349</v>
      </c>
      <c r="I7714" s="951" t="s">
        <v>32485</v>
      </c>
      <c r="J7714" s="947" t="s">
        <v>17110</v>
      </c>
      <c r="K7714" s="143"/>
    </row>
    <row r="7715" spans="1:11">
      <c r="A7715" s="946" t="s">
        <v>28616</v>
      </c>
      <c r="B7715" s="947" t="s">
        <v>17158</v>
      </c>
      <c r="C7715" s="948" t="s">
        <v>17157</v>
      </c>
      <c r="D7715" s="242" t="s">
        <v>28734</v>
      </c>
      <c r="E7715" s="949">
        <v>2001</v>
      </c>
      <c r="F7715" s="949">
        <v>2001</v>
      </c>
      <c r="G7715" s="950" t="s">
        <v>13735</v>
      </c>
      <c r="H7715" s="950" t="s">
        <v>349</v>
      </c>
      <c r="I7715" s="951" t="s">
        <v>32486</v>
      </c>
      <c r="J7715" s="947" t="s">
        <v>17158</v>
      </c>
      <c r="K7715" s="143"/>
    </row>
    <row r="7716" spans="1:11">
      <c r="A7716" s="946" t="s">
        <v>28616</v>
      </c>
      <c r="B7716" s="947" t="s">
        <v>17358</v>
      </c>
      <c r="C7716" s="948" t="s">
        <v>17357</v>
      </c>
      <c r="D7716" s="242" t="s">
        <v>28734</v>
      </c>
      <c r="E7716" s="949">
        <v>2001</v>
      </c>
      <c r="F7716" s="949">
        <v>2001</v>
      </c>
      <c r="G7716" s="950" t="s">
        <v>13735</v>
      </c>
      <c r="H7716" s="950" t="s">
        <v>349</v>
      </c>
      <c r="I7716" s="951" t="s">
        <v>32487</v>
      </c>
      <c r="J7716" s="947" t="s">
        <v>17358</v>
      </c>
      <c r="K7716" s="143"/>
    </row>
    <row r="7717" spans="1:11">
      <c r="A7717" s="946" t="s">
        <v>28616</v>
      </c>
      <c r="B7717" s="947" t="s">
        <v>18022</v>
      </c>
      <c r="C7717" s="948" t="s">
        <v>18021</v>
      </c>
      <c r="D7717" s="242" t="s">
        <v>28734</v>
      </c>
      <c r="E7717" s="949">
        <v>2001</v>
      </c>
      <c r="F7717" s="949">
        <v>2001</v>
      </c>
      <c r="G7717" s="950" t="s">
        <v>13735</v>
      </c>
      <c r="H7717" s="950" t="s">
        <v>349</v>
      </c>
      <c r="I7717" s="951" t="s">
        <v>32488</v>
      </c>
      <c r="J7717" s="947" t="s">
        <v>18022</v>
      </c>
      <c r="K7717" s="143"/>
    </row>
    <row r="7718" spans="1:11">
      <c r="A7718" s="946" t="s">
        <v>28616</v>
      </c>
      <c r="B7718" s="947" t="s">
        <v>18262</v>
      </c>
      <c r="C7718" s="948" t="s">
        <v>18261</v>
      </c>
      <c r="D7718" s="242" t="s">
        <v>28734</v>
      </c>
      <c r="E7718" s="949">
        <v>2001</v>
      </c>
      <c r="F7718" s="949">
        <v>2001</v>
      </c>
      <c r="G7718" s="950" t="s">
        <v>13735</v>
      </c>
      <c r="H7718" s="950" t="s">
        <v>349</v>
      </c>
      <c r="I7718" s="951" t="s">
        <v>32489</v>
      </c>
      <c r="J7718" s="947" t="s">
        <v>18262</v>
      </c>
      <c r="K7718" s="143"/>
    </row>
    <row r="7719" spans="1:11">
      <c r="A7719" s="946" t="s">
        <v>28616</v>
      </c>
      <c r="B7719" s="947" t="s">
        <v>18426</v>
      </c>
      <c r="C7719" s="948" t="s">
        <v>18425</v>
      </c>
      <c r="D7719" s="242" t="s">
        <v>28734</v>
      </c>
      <c r="E7719" s="949">
        <v>2001</v>
      </c>
      <c r="F7719" s="949">
        <v>2001</v>
      </c>
      <c r="G7719" s="950" t="s">
        <v>13735</v>
      </c>
      <c r="H7719" s="950" t="s">
        <v>349</v>
      </c>
      <c r="I7719" s="951" t="s">
        <v>32490</v>
      </c>
      <c r="J7719" s="947" t="s">
        <v>18426</v>
      </c>
      <c r="K7719" s="143"/>
    </row>
    <row r="7720" spans="1:11">
      <c r="A7720" s="946" t="s">
        <v>28616</v>
      </c>
      <c r="B7720" s="947" t="s">
        <v>18819</v>
      </c>
      <c r="C7720" s="948" t="s">
        <v>18818</v>
      </c>
      <c r="D7720" s="242" t="s">
        <v>28734</v>
      </c>
      <c r="E7720" s="949">
        <v>2001</v>
      </c>
      <c r="F7720" s="949">
        <v>2001</v>
      </c>
      <c r="G7720" s="950" t="s">
        <v>13735</v>
      </c>
      <c r="H7720" s="950" t="s">
        <v>349</v>
      </c>
      <c r="I7720" s="951" t="s">
        <v>32491</v>
      </c>
      <c r="J7720" s="947" t="s">
        <v>18819</v>
      </c>
      <c r="K7720" s="143"/>
    </row>
    <row r="7721" spans="1:11">
      <c r="A7721" s="946" t="s">
        <v>28616</v>
      </c>
      <c r="B7721" s="947" t="s">
        <v>19039</v>
      </c>
      <c r="C7721" s="948" t="s">
        <v>19038</v>
      </c>
      <c r="D7721" s="242" t="s">
        <v>28734</v>
      </c>
      <c r="E7721" s="949">
        <v>2001</v>
      </c>
      <c r="F7721" s="949">
        <v>2001</v>
      </c>
      <c r="G7721" s="950" t="s">
        <v>13735</v>
      </c>
      <c r="H7721" s="950" t="s">
        <v>349</v>
      </c>
      <c r="I7721" s="951" t="s">
        <v>32492</v>
      </c>
      <c r="J7721" s="947" t="s">
        <v>19039</v>
      </c>
      <c r="K7721" s="143"/>
    </row>
    <row r="7722" spans="1:11">
      <c r="A7722" s="946" t="s">
        <v>28616</v>
      </c>
      <c r="B7722" s="947" t="s">
        <v>19168</v>
      </c>
      <c r="C7722" s="948" t="s">
        <v>19167</v>
      </c>
      <c r="D7722" s="242" t="s">
        <v>28734</v>
      </c>
      <c r="E7722" s="949">
        <v>2001</v>
      </c>
      <c r="F7722" s="949">
        <v>2001</v>
      </c>
      <c r="G7722" s="950" t="s">
        <v>13735</v>
      </c>
      <c r="H7722" s="950" t="s">
        <v>349</v>
      </c>
      <c r="I7722" s="951" t="s">
        <v>32493</v>
      </c>
      <c r="J7722" s="947" t="s">
        <v>19168</v>
      </c>
      <c r="K7722" s="143"/>
    </row>
    <row r="7723" spans="1:11">
      <c r="A7723" s="946" t="s">
        <v>28616</v>
      </c>
      <c r="B7723" s="947" t="s">
        <v>19245</v>
      </c>
      <c r="C7723" s="948" t="s">
        <v>19244</v>
      </c>
      <c r="D7723" s="242" t="s">
        <v>28734</v>
      </c>
      <c r="E7723" s="949">
        <v>2001</v>
      </c>
      <c r="F7723" s="949">
        <v>2001</v>
      </c>
      <c r="G7723" s="950" t="s">
        <v>13735</v>
      </c>
      <c r="H7723" s="950" t="s">
        <v>349</v>
      </c>
      <c r="I7723" s="951" t="s">
        <v>32494</v>
      </c>
      <c r="J7723" s="947" t="s">
        <v>19245</v>
      </c>
      <c r="K7723" s="143"/>
    </row>
    <row r="7724" spans="1:11">
      <c r="A7724" s="946" t="s">
        <v>28616</v>
      </c>
      <c r="B7724" s="947" t="s">
        <v>19256</v>
      </c>
      <c r="C7724" s="948" t="s">
        <v>19255</v>
      </c>
      <c r="D7724" s="242" t="s">
        <v>28734</v>
      </c>
      <c r="E7724" s="949">
        <v>2001</v>
      </c>
      <c r="F7724" s="949">
        <v>2001</v>
      </c>
      <c r="G7724" s="950" t="s">
        <v>13735</v>
      </c>
      <c r="H7724" s="950" t="s">
        <v>349</v>
      </c>
      <c r="I7724" s="951" t="s">
        <v>32495</v>
      </c>
      <c r="J7724" s="947" t="s">
        <v>19256</v>
      </c>
      <c r="K7724" s="143"/>
    </row>
    <row r="7725" spans="1:11">
      <c r="A7725" s="946" t="s">
        <v>28616</v>
      </c>
      <c r="B7725" s="947" t="s">
        <v>19267</v>
      </c>
      <c r="C7725" s="948" t="s">
        <v>19266</v>
      </c>
      <c r="D7725" s="242" t="s">
        <v>28734</v>
      </c>
      <c r="E7725" s="949">
        <v>2001</v>
      </c>
      <c r="F7725" s="949">
        <v>2001</v>
      </c>
      <c r="G7725" s="950" t="s">
        <v>13735</v>
      </c>
      <c r="H7725" s="950" t="s">
        <v>349</v>
      </c>
      <c r="I7725" s="951" t="s">
        <v>32496</v>
      </c>
      <c r="J7725" s="947" t="s">
        <v>19267</v>
      </c>
      <c r="K7725" s="143"/>
    </row>
    <row r="7726" spans="1:11">
      <c r="A7726" s="946" t="s">
        <v>28616</v>
      </c>
      <c r="B7726" s="947" t="s">
        <v>19491</v>
      </c>
      <c r="C7726" s="948" t="s">
        <v>19490</v>
      </c>
      <c r="D7726" s="242" t="s">
        <v>28734</v>
      </c>
      <c r="E7726" s="949">
        <v>2001</v>
      </c>
      <c r="F7726" s="949">
        <v>2001</v>
      </c>
      <c r="G7726" s="950" t="s">
        <v>13735</v>
      </c>
      <c r="H7726" s="950" t="s">
        <v>349</v>
      </c>
      <c r="I7726" s="951" t="s">
        <v>32497</v>
      </c>
      <c r="J7726" s="947" t="s">
        <v>19491</v>
      </c>
      <c r="K7726" s="143"/>
    </row>
    <row r="7727" spans="1:11">
      <c r="A7727" s="946" t="s">
        <v>28616</v>
      </c>
      <c r="B7727" s="947" t="s">
        <v>19493</v>
      </c>
      <c r="C7727" s="948" t="s">
        <v>19492</v>
      </c>
      <c r="D7727" s="242" t="s">
        <v>28734</v>
      </c>
      <c r="E7727" s="949">
        <v>2001</v>
      </c>
      <c r="F7727" s="949">
        <v>2001</v>
      </c>
      <c r="G7727" s="950" t="s">
        <v>13735</v>
      </c>
      <c r="H7727" s="950" t="s">
        <v>349</v>
      </c>
      <c r="I7727" s="951" t="s">
        <v>32498</v>
      </c>
      <c r="J7727" s="947" t="s">
        <v>19493</v>
      </c>
      <c r="K7727" s="143"/>
    </row>
    <row r="7728" spans="1:11">
      <c r="A7728" s="946" t="s">
        <v>28616</v>
      </c>
      <c r="B7728" s="947" t="s">
        <v>19498</v>
      </c>
      <c r="C7728" s="948" t="s">
        <v>19497</v>
      </c>
      <c r="D7728" s="242" t="s">
        <v>28734</v>
      </c>
      <c r="E7728" s="949">
        <v>2001</v>
      </c>
      <c r="F7728" s="949">
        <v>2001</v>
      </c>
      <c r="G7728" s="950" t="s">
        <v>13735</v>
      </c>
      <c r="H7728" s="950" t="s">
        <v>349</v>
      </c>
      <c r="I7728" s="951" t="s">
        <v>32499</v>
      </c>
      <c r="J7728" s="947" t="s">
        <v>19498</v>
      </c>
      <c r="K7728" s="143"/>
    </row>
    <row r="7729" spans="1:11">
      <c r="A7729" s="946" t="s">
        <v>28616</v>
      </c>
      <c r="B7729" s="947" t="s">
        <v>19541</v>
      </c>
      <c r="C7729" s="948" t="s">
        <v>19540</v>
      </c>
      <c r="D7729" s="242" t="s">
        <v>28734</v>
      </c>
      <c r="E7729" s="949">
        <v>2001</v>
      </c>
      <c r="F7729" s="949">
        <v>2001</v>
      </c>
      <c r="G7729" s="950" t="s">
        <v>13735</v>
      </c>
      <c r="H7729" s="950" t="s">
        <v>349</v>
      </c>
      <c r="I7729" s="951" t="s">
        <v>32500</v>
      </c>
      <c r="J7729" s="947" t="s">
        <v>19541</v>
      </c>
      <c r="K7729" s="143"/>
    </row>
    <row r="7730" spans="1:11">
      <c r="A7730" s="946" t="s">
        <v>28616</v>
      </c>
      <c r="B7730" s="947" t="s">
        <v>19543</v>
      </c>
      <c r="C7730" s="948" t="s">
        <v>19542</v>
      </c>
      <c r="D7730" s="242" t="s">
        <v>28734</v>
      </c>
      <c r="E7730" s="949">
        <v>2001</v>
      </c>
      <c r="F7730" s="949">
        <v>2001</v>
      </c>
      <c r="G7730" s="950" t="s">
        <v>13735</v>
      </c>
      <c r="H7730" s="950" t="s">
        <v>349</v>
      </c>
      <c r="I7730" s="951" t="s">
        <v>32501</v>
      </c>
      <c r="J7730" s="947" t="s">
        <v>19543</v>
      </c>
      <c r="K7730" s="143"/>
    </row>
    <row r="7731" spans="1:11">
      <c r="A7731" s="946" t="s">
        <v>28616</v>
      </c>
      <c r="B7731" s="947" t="s">
        <v>19558</v>
      </c>
      <c r="C7731" s="948" t="s">
        <v>19557</v>
      </c>
      <c r="D7731" s="242" t="s">
        <v>28734</v>
      </c>
      <c r="E7731" s="949">
        <v>2001</v>
      </c>
      <c r="F7731" s="949">
        <v>2001</v>
      </c>
      <c r="G7731" s="950" t="s">
        <v>13735</v>
      </c>
      <c r="H7731" s="950" t="s">
        <v>349</v>
      </c>
      <c r="I7731" s="951" t="s">
        <v>32502</v>
      </c>
      <c r="J7731" s="947" t="s">
        <v>19558</v>
      </c>
      <c r="K7731" s="143"/>
    </row>
    <row r="7732" spans="1:11">
      <c r="A7732" s="946" t="s">
        <v>28616</v>
      </c>
      <c r="B7732" s="947" t="s">
        <v>19576</v>
      </c>
      <c r="C7732" s="948" t="s">
        <v>19575</v>
      </c>
      <c r="D7732" s="242" t="s">
        <v>28734</v>
      </c>
      <c r="E7732" s="949">
        <v>2001</v>
      </c>
      <c r="F7732" s="949">
        <v>2001</v>
      </c>
      <c r="G7732" s="950" t="s">
        <v>13735</v>
      </c>
      <c r="H7732" s="950" t="s">
        <v>349</v>
      </c>
      <c r="I7732" s="951" t="s">
        <v>32503</v>
      </c>
      <c r="J7732" s="947" t="s">
        <v>19576</v>
      </c>
      <c r="K7732" s="143"/>
    </row>
    <row r="7733" spans="1:11">
      <c r="A7733" s="946" t="s">
        <v>28616</v>
      </c>
      <c r="B7733" s="947" t="s">
        <v>19606</v>
      </c>
      <c r="C7733" s="948" t="s">
        <v>19605</v>
      </c>
      <c r="D7733" s="242" t="s">
        <v>28734</v>
      </c>
      <c r="E7733" s="949">
        <v>2001</v>
      </c>
      <c r="F7733" s="949">
        <v>2001</v>
      </c>
      <c r="G7733" s="950" t="s">
        <v>13735</v>
      </c>
      <c r="H7733" s="950" t="s">
        <v>349</v>
      </c>
      <c r="I7733" s="951" t="s">
        <v>32504</v>
      </c>
      <c r="J7733" s="947" t="s">
        <v>19606</v>
      </c>
      <c r="K7733" s="143"/>
    </row>
    <row r="7734" spans="1:11">
      <c r="A7734" s="946" t="s">
        <v>28616</v>
      </c>
      <c r="B7734" s="947" t="s">
        <v>19635</v>
      </c>
      <c r="C7734" s="948" t="s">
        <v>19634</v>
      </c>
      <c r="D7734" s="242" t="s">
        <v>28734</v>
      </c>
      <c r="E7734" s="949">
        <v>2001</v>
      </c>
      <c r="F7734" s="949">
        <v>2001</v>
      </c>
      <c r="G7734" s="950" t="s">
        <v>13735</v>
      </c>
      <c r="H7734" s="950" t="s">
        <v>349</v>
      </c>
      <c r="I7734" s="951" t="s">
        <v>32505</v>
      </c>
      <c r="J7734" s="947" t="s">
        <v>19635</v>
      </c>
      <c r="K7734" s="143"/>
    </row>
    <row r="7735" spans="1:11">
      <c r="A7735" s="946" t="s">
        <v>28616</v>
      </c>
      <c r="B7735" s="947" t="s">
        <v>19780</v>
      </c>
      <c r="C7735" s="948" t="s">
        <v>19779</v>
      </c>
      <c r="D7735" s="242" t="s">
        <v>28734</v>
      </c>
      <c r="E7735" s="949">
        <v>2001</v>
      </c>
      <c r="F7735" s="949">
        <v>2001</v>
      </c>
      <c r="G7735" s="950" t="s">
        <v>13735</v>
      </c>
      <c r="H7735" s="950" t="s">
        <v>349</v>
      </c>
      <c r="I7735" s="951" t="s">
        <v>32506</v>
      </c>
      <c r="J7735" s="947" t="s">
        <v>19780</v>
      </c>
      <c r="K7735" s="143"/>
    </row>
    <row r="7736" spans="1:11">
      <c r="A7736" s="946" t="s">
        <v>28616</v>
      </c>
      <c r="B7736" s="947" t="s">
        <v>20115</v>
      </c>
      <c r="C7736" s="948" t="s">
        <v>20114</v>
      </c>
      <c r="D7736" s="242" t="s">
        <v>28734</v>
      </c>
      <c r="E7736" s="949">
        <v>2001</v>
      </c>
      <c r="F7736" s="949">
        <v>2001</v>
      </c>
      <c r="G7736" s="950" t="s">
        <v>13735</v>
      </c>
      <c r="H7736" s="950" t="s">
        <v>349</v>
      </c>
      <c r="I7736" s="951" t="s">
        <v>32507</v>
      </c>
      <c r="J7736" s="947" t="s">
        <v>20115</v>
      </c>
      <c r="K7736" s="143"/>
    </row>
    <row r="7737" spans="1:11">
      <c r="A7737" s="946" t="s">
        <v>28616</v>
      </c>
      <c r="B7737" s="947" t="s">
        <v>20159</v>
      </c>
      <c r="C7737" s="948" t="s">
        <v>20158</v>
      </c>
      <c r="D7737" s="242" t="s">
        <v>28734</v>
      </c>
      <c r="E7737" s="949">
        <v>2001</v>
      </c>
      <c r="F7737" s="949">
        <v>2001</v>
      </c>
      <c r="G7737" s="950" t="s">
        <v>13735</v>
      </c>
      <c r="H7737" s="950" t="s">
        <v>349</v>
      </c>
      <c r="I7737" s="951" t="s">
        <v>32508</v>
      </c>
      <c r="J7737" s="947" t="s">
        <v>20159</v>
      </c>
      <c r="K7737" s="143"/>
    </row>
    <row r="7738" spans="1:11">
      <c r="A7738" s="946" t="s">
        <v>28616</v>
      </c>
      <c r="B7738" s="947" t="s">
        <v>20374</v>
      </c>
      <c r="C7738" s="948" t="s">
        <v>20373</v>
      </c>
      <c r="D7738" s="242" t="s">
        <v>28734</v>
      </c>
      <c r="E7738" s="949">
        <v>2001</v>
      </c>
      <c r="F7738" s="949">
        <v>2001</v>
      </c>
      <c r="G7738" s="950" t="s">
        <v>13735</v>
      </c>
      <c r="H7738" s="950" t="s">
        <v>349</v>
      </c>
      <c r="I7738" s="951" t="s">
        <v>32509</v>
      </c>
      <c r="J7738" s="947" t="s">
        <v>20374</v>
      </c>
      <c r="K7738" s="143"/>
    </row>
    <row r="7739" spans="1:11">
      <c r="A7739" s="946" t="s">
        <v>28616</v>
      </c>
      <c r="B7739" s="947" t="s">
        <v>20469</v>
      </c>
      <c r="C7739" s="948" t="s">
        <v>20468</v>
      </c>
      <c r="D7739" s="242" t="s">
        <v>28734</v>
      </c>
      <c r="E7739" s="949">
        <v>2001</v>
      </c>
      <c r="F7739" s="949">
        <v>2001</v>
      </c>
      <c r="G7739" s="950" t="s">
        <v>13735</v>
      </c>
      <c r="H7739" s="950" t="s">
        <v>349</v>
      </c>
      <c r="I7739" s="951" t="s">
        <v>32510</v>
      </c>
      <c r="J7739" s="947" t="s">
        <v>20469</v>
      </c>
      <c r="K7739" s="143"/>
    </row>
    <row r="7740" spans="1:11">
      <c r="A7740" s="946" t="s">
        <v>28616</v>
      </c>
      <c r="B7740" s="947" t="s">
        <v>20819</v>
      </c>
      <c r="C7740" s="948" t="s">
        <v>20818</v>
      </c>
      <c r="D7740" s="242" t="s">
        <v>28734</v>
      </c>
      <c r="E7740" s="949">
        <v>2001</v>
      </c>
      <c r="F7740" s="949">
        <v>2001</v>
      </c>
      <c r="G7740" s="950" t="s">
        <v>13735</v>
      </c>
      <c r="H7740" s="950" t="s">
        <v>349</v>
      </c>
      <c r="I7740" s="951" t="s">
        <v>32511</v>
      </c>
      <c r="J7740" s="947" t="s">
        <v>20819</v>
      </c>
      <c r="K7740" s="143"/>
    </row>
    <row r="7741" spans="1:11">
      <c r="A7741" s="946" t="s">
        <v>28616</v>
      </c>
      <c r="B7741" s="947" t="s">
        <v>20956</v>
      </c>
      <c r="C7741" s="948" t="s">
        <v>20955</v>
      </c>
      <c r="D7741" s="242" t="s">
        <v>28734</v>
      </c>
      <c r="E7741" s="949">
        <v>2001</v>
      </c>
      <c r="F7741" s="949">
        <v>2001</v>
      </c>
      <c r="G7741" s="950" t="s">
        <v>13735</v>
      </c>
      <c r="H7741" s="950" t="s">
        <v>349</v>
      </c>
      <c r="I7741" s="951" t="s">
        <v>32512</v>
      </c>
      <c r="J7741" s="947" t="s">
        <v>20956</v>
      </c>
      <c r="K7741" s="143"/>
    </row>
    <row r="7742" spans="1:11">
      <c r="A7742" s="946" t="s">
        <v>28616</v>
      </c>
      <c r="B7742" s="947" t="s">
        <v>21173</v>
      </c>
      <c r="C7742" s="948" t="s">
        <v>21172</v>
      </c>
      <c r="D7742" s="242" t="s">
        <v>28734</v>
      </c>
      <c r="E7742" s="949">
        <v>2001</v>
      </c>
      <c r="F7742" s="949">
        <v>2001</v>
      </c>
      <c r="G7742" s="950" t="s">
        <v>13735</v>
      </c>
      <c r="H7742" s="950" t="s">
        <v>349</v>
      </c>
      <c r="I7742" s="951" t="s">
        <v>32513</v>
      </c>
      <c r="J7742" s="947" t="s">
        <v>21173</v>
      </c>
      <c r="K7742" s="143"/>
    </row>
    <row r="7743" spans="1:11">
      <c r="A7743" s="946" t="s">
        <v>28616</v>
      </c>
      <c r="B7743" s="947" t="s">
        <v>21185</v>
      </c>
      <c r="C7743" s="948" t="s">
        <v>21184</v>
      </c>
      <c r="D7743" s="242" t="s">
        <v>28734</v>
      </c>
      <c r="E7743" s="949">
        <v>2001</v>
      </c>
      <c r="F7743" s="949">
        <v>2001</v>
      </c>
      <c r="G7743" s="950" t="s">
        <v>13735</v>
      </c>
      <c r="H7743" s="950" t="s">
        <v>349</v>
      </c>
      <c r="I7743" s="951" t="s">
        <v>32514</v>
      </c>
      <c r="J7743" s="947" t="s">
        <v>21185</v>
      </c>
      <c r="K7743" s="143"/>
    </row>
    <row r="7744" spans="1:11">
      <c r="A7744" s="946" t="s">
        <v>28616</v>
      </c>
      <c r="B7744" s="947" t="s">
        <v>21214</v>
      </c>
      <c r="C7744" s="948" t="s">
        <v>21213</v>
      </c>
      <c r="D7744" s="242" t="s">
        <v>28734</v>
      </c>
      <c r="E7744" s="949">
        <v>2001</v>
      </c>
      <c r="F7744" s="949">
        <v>2001</v>
      </c>
      <c r="G7744" s="950" t="s">
        <v>13735</v>
      </c>
      <c r="H7744" s="950" t="s">
        <v>349</v>
      </c>
      <c r="I7744" s="951" t="s">
        <v>32515</v>
      </c>
      <c r="J7744" s="947" t="s">
        <v>21214</v>
      </c>
      <c r="K7744" s="143"/>
    </row>
    <row r="7745" spans="1:11">
      <c r="A7745" s="946" t="s">
        <v>28616</v>
      </c>
      <c r="B7745" s="947" t="s">
        <v>22140</v>
      </c>
      <c r="C7745" s="948" t="s">
        <v>22139</v>
      </c>
      <c r="D7745" s="242" t="s">
        <v>28734</v>
      </c>
      <c r="E7745" s="949">
        <v>2001</v>
      </c>
      <c r="F7745" s="949">
        <v>2001</v>
      </c>
      <c r="G7745" s="950" t="s">
        <v>13735</v>
      </c>
      <c r="H7745" s="950" t="s">
        <v>349</v>
      </c>
      <c r="I7745" s="951" t="s">
        <v>32516</v>
      </c>
      <c r="J7745" s="947" t="s">
        <v>22140</v>
      </c>
      <c r="K7745" s="143"/>
    </row>
    <row r="7746" spans="1:11">
      <c r="A7746" s="946" t="s">
        <v>28616</v>
      </c>
      <c r="B7746" s="947" t="s">
        <v>22148</v>
      </c>
      <c r="C7746" s="948" t="s">
        <v>22147</v>
      </c>
      <c r="D7746" s="242" t="s">
        <v>28734</v>
      </c>
      <c r="E7746" s="949">
        <v>2001</v>
      </c>
      <c r="F7746" s="949">
        <v>2001</v>
      </c>
      <c r="G7746" s="950" t="s">
        <v>13735</v>
      </c>
      <c r="H7746" s="950" t="s">
        <v>349</v>
      </c>
      <c r="I7746" s="951" t="s">
        <v>32517</v>
      </c>
      <c r="J7746" s="947" t="s">
        <v>22148</v>
      </c>
      <c r="K7746" s="143"/>
    </row>
    <row r="7747" spans="1:11">
      <c r="A7747" s="946" t="s">
        <v>28616</v>
      </c>
      <c r="B7747" s="947" t="s">
        <v>22268</v>
      </c>
      <c r="C7747" s="948" t="s">
        <v>22267</v>
      </c>
      <c r="D7747" s="242" t="s">
        <v>28734</v>
      </c>
      <c r="E7747" s="949">
        <v>2001</v>
      </c>
      <c r="F7747" s="949">
        <v>2001</v>
      </c>
      <c r="G7747" s="950" t="s">
        <v>13735</v>
      </c>
      <c r="H7747" s="950" t="s">
        <v>349</v>
      </c>
      <c r="I7747" s="951" t="s">
        <v>32518</v>
      </c>
      <c r="J7747" s="947" t="s">
        <v>22268</v>
      </c>
      <c r="K7747" s="143"/>
    </row>
    <row r="7748" spans="1:11">
      <c r="A7748" s="946" t="s">
        <v>28616</v>
      </c>
      <c r="B7748" s="947" t="s">
        <v>22329</v>
      </c>
      <c r="C7748" s="948" t="s">
        <v>22328</v>
      </c>
      <c r="D7748" s="242" t="s">
        <v>28734</v>
      </c>
      <c r="E7748" s="949">
        <v>2001</v>
      </c>
      <c r="F7748" s="949">
        <v>2001</v>
      </c>
      <c r="G7748" s="950" t="s">
        <v>13735</v>
      </c>
      <c r="H7748" s="950" t="s">
        <v>349</v>
      </c>
      <c r="I7748" s="951" t="s">
        <v>32519</v>
      </c>
      <c r="J7748" s="947" t="s">
        <v>22329</v>
      </c>
      <c r="K7748" s="143"/>
    </row>
    <row r="7749" spans="1:11">
      <c r="A7749" s="946" t="s">
        <v>28616</v>
      </c>
      <c r="B7749" s="947" t="s">
        <v>22579</v>
      </c>
      <c r="C7749" s="948" t="s">
        <v>22578</v>
      </c>
      <c r="D7749" s="242" t="s">
        <v>28734</v>
      </c>
      <c r="E7749" s="949">
        <v>2001</v>
      </c>
      <c r="F7749" s="949">
        <v>2001</v>
      </c>
      <c r="G7749" s="950" t="s">
        <v>13735</v>
      </c>
      <c r="H7749" s="950" t="s">
        <v>349</v>
      </c>
      <c r="I7749" s="951" t="s">
        <v>32520</v>
      </c>
      <c r="J7749" s="947" t="s">
        <v>22579</v>
      </c>
      <c r="K7749" s="143"/>
    </row>
    <row r="7750" spans="1:11">
      <c r="A7750" s="946" t="s">
        <v>28616</v>
      </c>
      <c r="B7750" s="947" t="s">
        <v>22605</v>
      </c>
      <c r="C7750" s="948" t="s">
        <v>22604</v>
      </c>
      <c r="D7750" s="242" t="s">
        <v>28734</v>
      </c>
      <c r="E7750" s="949">
        <v>2001</v>
      </c>
      <c r="F7750" s="949">
        <v>2001</v>
      </c>
      <c r="G7750" s="950" t="s">
        <v>13735</v>
      </c>
      <c r="H7750" s="950" t="s">
        <v>349</v>
      </c>
      <c r="I7750" s="951" t="s">
        <v>32521</v>
      </c>
      <c r="J7750" s="947" t="s">
        <v>22605</v>
      </c>
      <c r="K7750" s="143"/>
    </row>
    <row r="7751" spans="1:11">
      <c r="A7751" s="946" t="s">
        <v>28616</v>
      </c>
      <c r="B7751" s="947" t="s">
        <v>1526</v>
      </c>
      <c r="C7751" s="948" t="s">
        <v>32522</v>
      </c>
      <c r="D7751" s="242" t="s">
        <v>28734</v>
      </c>
      <c r="E7751" s="949">
        <v>2001</v>
      </c>
      <c r="F7751" s="949">
        <v>2001</v>
      </c>
      <c r="G7751" s="950" t="s">
        <v>32523</v>
      </c>
      <c r="H7751" s="950" t="s">
        <v>32524</v>
      </c>
      <c r="I7751" s="951" t="s">
        <v>32525</v>
      </c>
      <c r="J7751" s="947" t="s">
        <v>1526</v>
      </c>
      <c r="K7751" s="143"/>
    </row>
    <row r="7752" spans="1:11">
      <c r="A7752" s="946" t="s">
        <v>28616</v>
      </c>
      <c r="B7752" s="947" t="s">
        <v>1994</v>
      </c>
      <c r="C7752" s="948" t="s">
        <v>32526</v>
      </c>
      <c r="D7752" s="242" t="s">
        <v>28734</v>
      </c>
      <c r="E7752" s="949">
        <v>2001</v>
      </c>
      <c r="F7752" s="949">
        <v>2001</v>
      </c>
      <c r="G7752" s="950" t="s">
        <v>32523</v>
      </c>
      <c r="H7752" s="950" t="s">
        <v>32524</v>
      </c>
      <c r="I7752" s="951" t="s">
        <v>32527</v>
      </c>
      <c r="J7752" s="947" t="s">
        <v>1994</v>
      </c>
      <c r="K7752" s="143"/>
    </row>
    <row r="7753" spans="1:11">
      <c r="A7753" s="946" t="s">
        <v>28616</v>
      </c>
      <c r="B7753" s="947" t="s">
        <v>2121</v>
      </c>
      <c r="C7753" s="948" t="s">
        <v>32528</v>
      </c>
      <c r="D7753" s="242" t="s">
        <v>28734</v>
      </c>
      <c r="E7753" s="949">
        <v>2001</v>
      </c>
      <c r="F7753" s="949">
        <v>2001</v>
      </c>
      <c r="G7753" s="950" t="s">
        <v>32523</v>
      </c>
      <c r="H7753" s="950" t="s">
        <v>32524</v>
      </c>
      <c r="I7753" s="951" t="s">
        <v>32529</v>
      </c>
      <c r="J7753" s="947" t="s">
        <v>2121</v>
      </c>
      <c r="K7753" s="143"/>
    </row>
    <row r="7754" spans="1:11">
      <c r="A7754" s="946" t="s">
        <v>28616</v>
      </c>
      <c r="B7754" s="947" t="s">
        <v>4270</v>
      </c>
      <c r="C7754" s="948" t="s">
        <v>32530</v>
      </c>
      <c r="D7754" s="242" t="s">
        <v>28734</v>
      </c>
      <c r="E7754" s="949">
        <v>2001</v>
      </c>
      <c r="F7754" s="949">
        <v>2001</v>
      </c>
      <c r="G7754" s="950" t="s">
        <v>32523</v>
      </c>
      <c r="H7754" s="950" t="s">
        <v>32524</v>
      </c>
      <c r="I7754" s="951" t="s">
        <v>32531</v>
      </c>
      <c r="J7754" s="947" t="s">
        <v>4270</v>
      </c>
      <c r="K7754" s="143"/>
    </row>
    <row r="7755" spans="1:11">
      <c r="A7755" s="946" t="s">
        <v>28616</v>
      </c>
      <c r="B7755" s="947" t="s">
        <v>7828</v>
      </c>
      <c r="C7755" s="948" t="s">
        <v>32532</v>
      </c>
      <c r="D7755" s="242" t="s">
        <v>28734</v>
      </c>
      <c r="E7755" s="949">
        <v>2001</v>
      </c>
      <c r="F7755" s="949">
        <v>2001</v>
      </c>
      <c r="G7755" s="950" t="s">
        <v>32523</v>
      </c>
      <c r="H7755" s="950" t="s">
        <v>32524</v>
      </c>
      <c r="I7755" s="951" t="s">
        <v>32533</v>
      </c>
      <c r="J7755" s="947" t="s">
        <v>7828</v>
      </c>
      <c r="K7755" s="143"/>
    </row>
    <row r="7756" spans="1:11">
      <c r="A7756" s="946" t="s">
        <v>28616</v>
      </c>
      <c r="B7756" s="947" t="s">
        <v>8842</v>
      </c>
      <c r="C7756" s="948" t="s">
        <v>32534</v>
      </c>
      <c r="D7756" s="242" t="s">
        <v>28734</v>
      </c>
      <c r="E7756" s="949">
        <v>2001</v>
      </c>
      <c r="F7756" s="949">
        <v>2001</v>
      </c>
      <c r="G7756" s="950" t="s">
        <v>32523</v>
      </c>
      <c r="H7756" s="950" t="s">
        <v>32524</v>
      </c>
      <c r="I7756" s="951" t="s">
        <v>32535</v>
      </c>
      <c r="J7756" s="947" t="s">
        <v>8842</v>
      </c>
      <c r="K7756" s="143"/>
    </row>
    <row r="7757" spans="1:11">
      <c r="A7757" s="946" t="s">
        <v>28616</v>
      </c>
      <c r="B7757" s="947" t="s">
        <v>9272</v>
      </c>
      <c r="C7757" s="948" t="s">
        <v>32536</v>
      </c>
      <c r="D7757" s="242" t="s">
        <v>28734</v>
      </c>
      <c r="E7757" s="949">
        <v>2001</v>
      </c>
      <c r="F7757" s="949">
        <v>2001</v>
      </c>
      <c r="G7757" s="950" t="s">
        <v>32523</v>
      </c>
      <c r="H7757" s="950" t="s">
        <v>32524</v>
      </c>
      <c r="I7757" s="951" t="s">
        <v>32537</v>
      </c>
      <c r="J7757" s="947" t="s">
        <v>9272</v>
      </c>
      <c r="K7757" s="143"/>
    </row>
    <row r="7758" spans="1:11">
      <c r="A7758" s="946" t="s">
        <v>28616</v>
      </c>
      <c r="B7758" s="947" t="s">
        <v>9769</v>
      </c>
      <c r="C7758" s="948" t="s">
        <v>32538</v>
      </c>
      <c r="D7758" s="242" t="s">
        <v>28734</v>
      </c>
      <c r="E7758" s="949">
        <v>2001</v>
      </c>
      <c r="F7758" s="949">
        <v>2001</v>
      </c>
      <c r="G7758" s="950" t="s">
        <v>32523</v>
      </c>
      <c r="H7758" s="950" t="s">
        <v>32524</v>
      </c>
      <c r="I7758" s="951" t="s">
        <v>32539</v>
      </c>
      <c r="J7758" s="947" t="s">
        <v>9769</v>
      </c>
      <c r="K7758" s="143"/>
    </row>
    <row r="7759" spans="1:11">
      <c r="A7759" s="946" t="s">
        <v>28616</v>
      </c>
      <c r="B7759" s="947" t="s">
        <v>9975</v>
      </c>
      <c r="C7759" s="948" t="s">
        <v>32540</v>
      </c>
      <c r="D7759" s="242" t="s">
        <v>28734</v>
      </c>
      <c r="E7759" s="949">
        <v>2001</v>
      </c>
      <c r="F7759" s="949">
        <v>2001</v>
      </c>
      <c r="G7759" s="950" t="s">
        <v>32523</v>
      </c>
      <c r="H7759" s="950" t="s">
        <v>32524</v>
      </c>
      <c r="I7759" s="951" t="s">
        <v>32541</v>
      </c>
      <c r="J7759" s="947" t="s">
        <v>9975</v>
      </c>
      <c r="K7759" s="143"/>
    </row>
    <row r="7760" spans="1:11">
      <c r="A7760" s="946" t="s">
        <v>28616</v>
      </c>
      <c r="B7760" s="947" t="s">
        <v>10125</v>
      </c>
      <c r="C7760" s="948" t="s">
        <v>32542</v>
      </c>
      <c r="D7760" s="242" t="s">
        <v>28734</v>
      </c>
      <c r="E7760" s="949">
        <v>2001</v>
      </c>
      <c r="F7760" s="949">
        <v>2001</v>
      </c>
      <c r="G7760" s="950" t="s">
        <v>32523</v>
      </c>
      <c r="H7760" s="950" t="s">
        <v>32524</v>
      </c>
      <c r="I7760" s="951" t="s">
        <v>32543</v>
      </c>
      <c r="J7760" s="947" t="s">
        <v>10125</v>
      </c>
      <c r="K7760" s="143"/>
    </row>
    <row r="7761" spans="1:11">
      <c r="A7761" s="946" t="s">
        <v>28616</v>
      </c>
      <c r="B7761" s="947" t="s">
        <v>10532</v>
      </c>
      <c r="C7761" s="948" t="s">
        <v>32544</v>
      </c>
      <c r="D7761" s="242" t="s">
        <v>28734</v>
      </c>
      <c r="E7761" s="949">
        <v>2001</v>
      </c>
      <c r="F7761" s="949">
        <v>2001</v>
      </c>
      <c r="G7761" s="950" t="s">
        <v>32523</v>
      </c>
      <c r="H7761" s="950" t="s">
        <v>32524</v>
      </c>
      <c r="I7761" s="951" t="s">
        <v>32545</v>
      </c>
      <c r="J7761" s="947" t="s">
        <v>10532</v>
      </c>
      <c r="K7761" s="143"/>
    </row>
    <row r="7762" spans="1:11">
      <c r="A7762" s="946" t="s">
        <v>28616</v>
      </c>
      <c r="B7762" s="947" t="s">
        <v>10658</v>
      </c>
      <c r="C7762" s="948" t="s">
        <v>32546</v>
      </c>
      <c r="D7762" s="242" t="s">
        <v>28734</v>
      </c>
      <c r="E7762" s="949">
        <v>2001</v>
      </c>
      <c r="F7762" s="949">
        <v>2001</v>
      </c>
      <c r="G7762" s="950" t="s">
        <v>32523</v>
      </c>
      <c r="H7762" s="950" t="s">
        <v>32524</v>
      </c>
      <c r="I7762" s="951" t="s">
        <v>32547</v>
      </c>
      <c r="J7762" s="947" t="s">
        <v>10658</v>
      </c>
      <c r="K7762" s="143"/>
    </row>
    <row r="7763" spans="1:11">
      <c r="A7763" s="946" t="s">
        <v>28616</v>
      </c>
      <c r="B7763" s="947" t="s">
        <v>13843</v>
      </c>
      <c r="C7763" s="948" t="s">
        <v>32548</v>
      </c>
      <c r="D7763" s="242" t="s">
        <v>28734</v>
      </c>
      <c r="E7763" s="949">
        <v>2001</v>
      </c>
      <c r="F7763" s="949">
        <v>2001</v>
      </c>
      <c r="G7763" s="950" t="s">
        <v>32523</v>
      </c>
      <c r="H7763" s="950" t="s">
        <v>32524</v>
      </c>
      <c r="I7763" s="951" t="s">
        <v>32549</v>
      </c>
      <c r="J7763" s="947" t="s">
        <v>13843</v>
      </c>
      <c r="K7763" s="143"/>
    </row>
    <row r="7764" spans="1:11">
      <c r="A7764" s="946" t="s">
        <v>28616</v>
      </c>
      <c r="B7764" s="947" t="s">
        <v>14481</v>
      </c>
      <c r="C7764" s="948" t="s">
        <v>32550</v>
      </c>
      <c r="D7764" s="242" t="s">
        <v>28734</v>
      </c>
      <c r="E7764" s="949">
        <v>2001</v>
      </c>
      <c r="F7764" s="949">
        <v>2001</v>
      </c>
      <c r="G7764" s="950" t="s">
        <v>32523</v>
      </c>
      <c r="H7764" s="950" t="s">
        <v>32524</v>
      </c>
      <c r="I7764" s="951" t="s">
        <v>32551</v>
      </c>
      <c r="J7764" s="947" t="s">
        <v>14481</v>
      </c>
      <c r="K7764" s="143"/>
    </row>
    <row r="7765" spans="1:11">
      <c r="A7765" s="946" t="s">
        <v>28616</v>
      </c>
      <c r="B7765" s="947" t="s">
        <v>20186</v>
      </c>
      <c r="C7765" s="948" t="s">
        <v>32552</v>
      </c>
      <c r="D7765" s="242" t="s">
        <v>28734</v>
      </c>
      <c r="E7765" s="949">
        <v>2001</v>
      </c>
      <c r="F7765" s="949">
        <v>2001</v>
      </c>
      <c r="G7765" s="950" t="s">
        <v>32523</v>
      </c>
      <c r="H7765" s="950" t="s">
        <v>32524</v>
      </c>
      <c r="I7765" s="951" t="s">
        <v>32553</v>
      </c>
      <c r="J7765" s="947" t="s">
        <v>20186</v>
      </c>
      <c r="K7765" s="143"/>
    </row>
    <row r="7766" spans="1:11">
      <c r="A7766" s="946" t="s">
        <v>28616</v>
      </c>
      <c r="B7766" s="947" t="s">
        <v>20408</v>
      </c>
      <c r="C7766" s="948" t="s">
        <v>32554</v>
      </c>
      <c r="D7766" s="242" t="s">
        <v>28734</v>
      </c>
      <c r="E7766" s="949">
        <v>2001</v>
      </c>
      <c r="F7766" s="949">
        <v>2001</v>
      </c>
      <c r="G7766" s="950" t="s">
        <v>32523</v>
      </c>
      <c r="H7766" s="950" t="s">
        <v>32524</v>
      </c>
      <c r="I7766" s="951" t="s">
        <v>32555</v>
      </c>
      <c r="J7766" s="947" t="s">
        <v>20408</v>
      </c>
      <c r="K7766" s="143"/>
    </row>
    <row r="7767" spans="1:11">
      <c r="A7767" s="946" t="s">
        <v>28616</v>
      </c>
      <c r="B7767" s="947" t="s">
        <v>20781</v>
      </c>
      <c r="C7767" s="948" t="s">
        <v>32556</v>
      </c>
      <c r="D7767" s="242" t="s">
        <v>28734</v>
      </c>
      <c r="E7767" s="949">
        <v>2001</v>
      </c>
      <c r="F7767" s="949">
        <v>2001</v>
      </c>
      <c r="G7767" s="950" t="s">
        <v>32523</v>
      </c>
      <c r="H7767" s="950" t="s">
        <v>32524</v>
      </c>
      <c r="I7767" s="951" t="s">
        <v>32557</v>
      </c>
      <c r="J7767" s="947" t="s">
        <v>20781</v>
      </c>
      <c r="K7767" s="143"/>
    </row>
    <row r="7768" spans="1:11">
      <c r="A7768" s="946" t="s">
        <v>28616</v>
      </c>
      <c r="B7768" s="947" t="s">
        <v>21026</v>
      </c>
      <c r="C7768" s="948" t="s">
        <v>32558</v>
      </c>
      <c r="D7768" s="242" t="s">
        <v>28734</v>
      </c>
      <c r="E7768" s="949">
        <v>2001</v>
      </c>
      <c r="F7768" s="949">
        <v>2001</v>
      </c>
      <c r="G7768" s="950" t="s">
        <v>32523</v>
      </c>
      <c r="H7768" s="950" t="s">
        <v>32524</v>
      </c>
      <c r="I7768" s="951" t="s">
        <v>32559</v>
      </c>
      <c r="J7768" s="947" t="s">
        <v>21026</v>
      </c>
      <c r="K7768" s="143"/>
    </row>
    <row r="7769" spans="1:11">
      <c r="A7769" s="946" t="s">
        <v>28616</v>
      </c>
      <c r="B7769" s="947" t="s">
        <v>21174</v>
      </c>
      <c r="C7769" s="948" t="s">
        <v>32560</v>
      </c>
      <c r="D7769" s="242" t="s">
        <v>28734</v>
      </c>
      <c r="E7769" s="949">
        <v>2001</v>
      </c>
      <c r="F7769" s="949">
        <v>2001</v>
      </c>
      <c r="G7769" s="950" t="s">
        <v>32523</v>
      </c>
      <c r="H7769" s="950" t="s">
        <v>32524</v>
      </c>
      <c r="I7769" s="951" t="s">
        <v>32561</v>
      </c>
      <c r="J7769" s="947" t="s">
        <v>21174</v>
      </c>
      <c r="K7769" s="143"/>
    </row>
    <row r="7770" spans="1:11">
      <c r="A7770" s="946" t="s">
        <v>28616</v>
      </c>
      <c r="B7770" s="947" t="s">
        <v>21209</v>
      </c>
      <c r="C7770" s="948" t="s">
        <v>32562</v>
      </c>
      <c r="D7770" s="242" t="s">
        <v>28734</v>
      </c>
      <c r="E7770" s="949">
        <v>2001</v>
      </c>
      <c r="F7770" s="949">
        <v>2001</v>
      </c>
      <c r="G7770" s="950" t="s">
        <v>32523</v>
      </c>
      <c r="H7770" s="950" t="s">
        <v>32524</v>
      </c>
      <c r="I7770" s="951" t="s">
        <v>32563</v>
      </c>
      <c r="J7770" s="947" t="s">
        <v>21209</v>
      </c>
      <c r="K7770" s="143"/>
    </row>
    <row r="7771" spans="1:11">
      <c r="A7771" s="946" t="s">
        <v>28616</v>
      </c>
      <c r="B7771" s="947" t="s">
        <v>21221</v>
      </c>
      <c r="C7771" s="948" t="s">
        <v>32564</v>
      </c>
      <c r="D7771" s="242" t="s">
        <v>28734</v>
      </c>
      <c r="E7771" s="949">
        <v>2001</v>
      </c>
      <c r="F7771" s="949">
        <v>2001</v>
      </c>
      <c r="G7771" s="950" t="s">
        <v>32523</v>
      </c>
      <c r="H7771" s="950" t="s">
        <v>32524</v>
      </c>
      <c r="I7771" s="951" t="s">
        <v>32565</v>
      </c>
      <c r="J7771" s="947" t="s">
        <v>21221</v>
      </c>
      <c r="K7771" s="143"/>
    </row>
    <row r="7772" spans="1:11">
      <c r="A7772" s="946" t="s">
        <v>28616</v>
      </c>
      <c r="B7772" s="947" t="s">
        <v>22195</v>
      </c>
      <c r="C7772" s="948" t="s">
        <v>32566</v>
      </c>
      <c r="D7772" s="242" t="s">
        <v>28734</v>
      </c>
      <c r="E7772" s="949">
        <v>2001</v>
      </c>
      <c r="F7772" s="949">
        <v>2001</v>
      </c>
      <c r="G7772" s="950" t="s">
        <v>32523</v>
      </c>
      <c r="H7772" s="950" t="s">
        <v>32524</v>
      </c>
      <c r="I7772" s="951" t="s">
        <v>32567</v>
      </c>
      <c r="J7772" s="947" t="s">
        <v>22195</v>
      </c>
      <c r="K7772" s="143"/>
    </row>
    <row r="7773" spans="1:11">
      <c r="A7773" s="946" t="s">
        <v>28616</v>
      </c>
      <c r="B7773" s="947" t="s">
        <v>19471</v>
      </c>
      <c r="C7773" s="948" t="s">
        <v>32568</v>
      </c>
      <c r="D7773" s="242" t="s">
        <v>28734</v>
      </c>
      <c r="E7773" s="949">
        <v>2001</v>
      </c>
      <c r="F7773" s="949">
        <v>2001</v>
      </c>
      <c r="G7773" s="950" t="s">
        <v>32523</v>
      </c>
      <c r="H7773" s="950" t="s">
        <v>32524</v>
      </c>
      <c r="I7773" s="951" t="s">
        <v>32569</v>
      </c>
      <c r="J7773" s="947" t="s">
        <v>19471</v>
      </c>
      <c r="K7773" s="143"/>
    </row>
    <row r="7774" spans="1:11">
      <c r="A7774" s="946" t="s">
        <v>28616</v>
      </c>
      <c r="B7774" s="947" t="s">
        <v>1309</v>
      </c>
      <c r="C7774" s="948" t="s">
        <v>32570</v>
      </c>
      <c r="D7774" s="242" t="s">
        <v>28734</v>
      </c>
      <c r="E7774" s="949">
        <v>2001</v>
      </c>
      <c r="F7774" s="949">
        <v>2001</v>
      </c>
      <c r="G7774" s="950" t="s">
        <v>32571</v>
      </c>
      <c r="H7774" s="950" t="s">
        <v>32572</v>
      </c>
      <c r="I7774" s="951" t="s">
        <v>32573</v>
      </c>
      <c r="J7774" s="947" t="s">
        <v>1309</v>
      </c>
      <c r="K7774" s="143"/>
    </row>
    <row r="7775" spans="1:11">
      <c r="A7775" s="946" t="s">
        <v>28616</v>
      </c>
      <c r="B7775" s="947" t="s">
        <v>2030</v>
      </c>
      <c r="C7775" s="948" t="s">
        <v>32574</v>
      </c>
      <c r="D7775" s="242" t="s">
        <v>28734</v>
      </c>
      <c r="E7775" s="949">
        <v>2001</v>
      </c>
      <c r="F7775" s="949">
        <v>2001</v>
      </c>
      <c r="G7775" s="950" t="s">
        <v>32571</v>
      </c>
      <c r="H7775" s="950" t="s">
        <v>32572</v>
      </c>
      <c r="I7775" s="951" t="s">
        <v>32575</v>
      </c>
      <c r="J7775" s="947" t="s">
        <v>2030</v>
      </c>
      <c r="K7775" s="143"/>
    </row>
    <row r="7776" spans="1:11">
      <c r="A7776" s="946" t="s">
        <v>28616</v>
      </c>
      <c r="B7776" s="947" t="s">
        <v>6809</v>
      </c>
      <c r="C7776" s="948" t="s">
        <v>32576</v>
      </c>
      <c r="D7776" s="242" t="s">
        <v>28734</v>
      </c>
      <c r="E7776" s="949">
        <v>2001</v>
      </c>
      <c r="F7776" s="949">
        <v>2001</v>
      </c>
      <c r="G7776" s="950" t="s">
        <v>32571</v>
      </c>
      <c r="H7776" s="950" t="s">
        <v>32572</v>
      </c>
      <c r="I7776" s="951" t="s">
        <v>32577</v>
      </c>
      <c r="J7776" s="947" t="s">
        <v>6809</v>
      </c>
      <c r="K7776" s="143"/>
    </row>
    <row r="7777" spans="1:11">
      <c r="A7777" s="946" t="s">
        <v>28616</v>
      </c>
      <c r="B7777" s="947" t="s">
        <v>8770</v>
      </c>
      <c r="C7777" s="948" t="s">
        <v>32578</v>
      </c>
      <c r="D7777" s="242" t="s">
        <v>28734</v>
      </c>
      <c r="E7777" s="949">
        <v>2001</v>
      </c>
      <c r="F7777" s="949">
        <v>2001</v>
      </c>
      <c r="G7777" s="950" t="s">
        <v>32571</v>
      </c>
      <c r="H7777" s="950" t="s">
        <v>32572</v>
      </c>
      <c r="I7777" s="951" t="s">
        <v>32579</v>
      </c>
      <c r="J7777" s="947" t="s">
        <v>8770</v>
      </c>
      <c r="K7777" s="143"/>
    </row>
    <row r="7778" spans="1:11">
      <c r="A7778" s="946" t="s">
        <v>28616</v>
      </c>
      <c r="B7778" s="947" t="s">
        <v>9099</v>
      </c>
      <c r="C7778" s="948" t="s">
        <v>32580</v>
      </c>
      <c r="D7778" s="242" t="s">
        <v>28734</v>
      </c>
      <c r="E7778" s="949">
        <v>2001</v>
      </c>
      <c r="F7778" s="949">
        <v>2001</v>
      </c>
      <c r="G7778" s="950" t="s">
        <v>32571</v>
      </c>
      <c r="H7778" s="950" t="s">
        <v>32572</v>
      </c>
      <c r="I7778" s="951" t="s">
        <v>32581</v>
      </c>
      <c r="J7778" s="947" t="s">
        <v>9099</v>
      </c>
      <c r="K7778" s="143"/>
    </row>
    <row r="7779" spans="1:11">
      <c r="A7779" s="946" t="s">
        <v>28616</v>
      </c>
      <c r="B7779" s="947" t="s">
        <v>9148</v>
      </c>
      <c r="C7779" s="948" t="s">
        <v>32582</v>
      </c>
      <c r="D7779" s="242" t="s">
        <v>28734</v>
      </c>
      <c r="E7779" s="949">
        <v>2001</v>
      </c>
      <c r="F7779" s="949">
        <v>2001</v>
      </c>
      <c r="G7779" s="950" t="s">
        <v>32571</v>
      </c>
      <c r="H7779" s="950" t="s">
        <v>32572</v>
      </c>
      <c r="I7779" s="951" t="s">
        <v>32583</v>
      </c>
      <c r="J7779" s="947" t="s">
        <v>9148</v>
      </c>
      <c r="K7779" s="143"/>
    </row>
    <row r="7780" spans="1:11">
      <c r="A7780" s="946" t="s">
        <v>28616</v>
      </c>
      <c r="B7780" s="947" t="s">
        <v>9351</v>
      </c>
      <c r="C7780" s="948" t="s">
        <v>32584</v>
      </c>
      <c r="D7780" s="242" t="s">
        <v>28734</v>
      </c>
      <c r="E7780" s="949">
        <v>2001</v>
      </c>
      <c r="F7780" s="949">
        <v>2001</v>
      </c>
      <c r="G7780" s="950" t="s">
        <v>32571</v>
      </c>
      <c r="H7780" s="950" t="s">
        <v>32572</v>
      </c>
      <c r="I7780" s="951" t="s">
        <v>32585</v>
      </c>
      <c r="J7780" s="947" t="s">
        <v>9351</v>
      </c>
      <c r="K7780" s="143"/>
    </row>
    <row r="7781" spans="1:11">
      <c r="A7781" s="946" t="s">
        <v>28616</v>
      </c>
      <c r="B7781" s="947" t="s">
        <v>9754</v>
      </c>
      <c r="C7781" s="948" t="s">
        <v>32586</v>
      </c>
      <c r="D7781" s="242" t="s">
        <v>28734</v>
      </c>
      <c r="E7781" s="949">
        <v>2001</v>
      </c>
      <c r="F7781" s="949">
        <v>2001</v>
      </c>
      <c r="G7781" s="950" t="s">
        <v>32571</v>
      </c>
      <c r="H7781" s="950" t="s">
        <v>32572</v>
      </c>
      <c r="I7781" s="951" t="s">
        <v>32587</v>
      </c>
      <c r="J7781" s="947" t="s">
        <v>9754</v>
      </c>
      <c r="K7781" s="143"/>
    </row>
    <row r="7782" spans="1:11">
      <c r="A7782" s="946" t="s">
        <v>28616</v>
      </c>
      <c r="B7782" s="947" t="s">
        <v>10158</v>
      </c>
      <c r="C7782" s="948" t="s">
        <v>32588</v>
      </c>
      <c r="D7782" s="242" t="s">
        <v>28734</v>
      </c>
      <c r="E7782" s="949">
        <v>2001</v>
      </c>
      <c r="F7782" s="949">
        <v>2001</v>
      </c>
      <c r="G7782" s="950" t="s">
        <v>32571</v>
      </c>
      <c r="H7782" s="950" t="s">
        <v>32572</v>
      </c>
      <c r="I7782" s="951" t="s">
        <v>32589</v>
      </c>
      <c r="J7782" s="947" t="s">
        <v>10158</v>
      </c>
      <c r="K7782" s="143"/>
    </row>
    <row r="7783" spans="1:11">
      <c r="A7783" s="946" t="s">
        <v>28616</v>
      </c>
      <c r="B7783" s="947" t="s">
        <v>10733</v>
      </c>
      <c r="C7783" s="948" t="s">
        <v>32590</v>
      </c>
      <c r="D7783" s="242" t="s">
        <v>28734</v>
      </c>
      <c r="E7783" s="949">
        <v>2001</v>
      </c>
      <c r="F7783" s="949">
        <v>2001</v>
      </c>
      <c r="G7783" s="950" t="s">
        <v>32571</v>
      </c>
      <c r="H7783" s="950" t="s">
        <v>32572</v>
      </c>
      <c r="I7783" s="951" t="s">
        <v>32591</v>
      </c>
      <c r="J7783" s="947" t="s">
        <v>10733</v>
      </c>
      <c r="K7783" s="143"/>
    </row>
    <row r="7784" spans="1:11">
      <c r="A7784" s="946" t="s">
        <v>28616</v>
      </c>
      <c r="B7784" s="947" t="s">
        <v>13969</v>
      </c>
      <c r="C7784" s="948" t="s">
        <v>32592</v>
      </c>
      <c r="D7784" s="242" t="s">
        <v>28734</v>
      </c>
      <c r="E7784" s="949">
        <v>2001</v>
      </c>
      <c r="F7784" s="949">
        <v>2001</v>
      </c>
      <c r="G7784" s="950" t="s">
        <v>32571</v>
      </c>
      <c r="H7784" s="950" t="s">
        <v>32572</v>
      </c>
      <c r="I7784" s="951" t="s">
        <v>32593</v>
      </c>
      <c r="J7784" s="947" t="s">
        <v>13969</v>
      </c>
      <c r="K7784" s="143"/>
    </row>
    <row r="7785" spans="1:11">
      <c r="A7785" s="946" t="s">
        <v>28616</v>
      </c>
      <c r="B7785" s="947" t="s">
        <v>14353</v>
      </c>
      <c r="C7785" s="948" t="s">
        <v>32594</v>
      </c>
      <c r="D7785" s="242" t="s">
        <v>28734</v>
      </c>
      <c r="E7785" s="949">
        <v>2001</v>
      </c>
      <c r="F7785" s="949">
        <v>2001</v>
      </c>
      <c r="G7785" s="950" t="s">
        <v>32571</v>
      </c>
      <c r="H7785" s="950" t="s">
        <v>32572</v>
      </c>
      <c r="I7785" s="951" t="s">
        <v>32595</v>
      </c>
      <c r="J7785" s="947" t="s">
        <v>14353</v>
      </c>
      <c r="K7785" s="143"/>
    </row>
    <row r="7786" spans="1:11">
      <c r="A7786" s="946" t="s">
        <v>28616</v>
      </c>
      <c r="B7786" s="947" t="s">
        <v>17328</v>
      </c>
      <c r="C7786" s="948" t="s">
        <v>32596</v>
      </c>
      <c r="D7786" s="242" t="s">
        <v>28734</v>
      </c>
      <c r="E7786" s="949">
        <v>2001</v>
      </c>
      <c r="F7786" s="949">
        <v>2001</v>
      </c>
      <c r="G7786" s="950" t="s">
        <v>32571</v>
      </c>
      <c r="H7786" s="950" t="s">
        <v>32572</v>
      </c>
      <c r="I7786" s="951" t="s">
        <v>32597</v>
      </c>
      <c r="J7786" s="947" t="s">
        <v>17328</v>
      </c>
      <c r="K7786" s="143"/>
    </row>
    <row r="7787" spans="1:11">
      <c r="A7787" s="946" t="s">
        <v>28616</v>
      </c>
      <c r="B7787" s="947" t="s">
        <v>17595</v>
      </c>
      <c r="C7787" s="948" t="s">
        <v>32598</v>
      </c>
      <c r="D7787" s="242" t="s">
        <v>28734</v>
      </c>
      <c r="E7787" s="949">
        <v>2001</v>
      </c>
      <c r="F7787" s="949">
        <v>2001</v>
      </c>
      <c r="G7787" s="950" t="s">
        <v>32571</v>
      </c>
      <c r="H7787" s="950" t="s">
        <v>32572</v>
      </c>
      <c r="I7787" s="951" t="s">
        <v>32599</v>
      </c>
      <c r="J7787" s="947" t="s">
        <v>17595</v>
      </c>
      <c r="K7787" s="143"/>
    </row>
    <row r="7788" spans="1:11">
      <c r="A7788" s="946" t="s">
        <v>28616</v>
      </c>
      <c r="B7788" s="947" t="s">
        <v>18354</v>
      </c>
      <c r="C7788" s="948" t="s">
        <v>32600</v>
      </c>
      <c r="D7788" s="242" t="s">
        <v>28734</v>
      </c>
      <c r="E7788" s="949">
        <v>2001</v>
      </c>
      <c r="F7788" s="949">
        <v>2001</v>
      </c>
      <c r="G7788" s="950" t="s">
        <v>32571</v>
      </c>
      <c r="H7788" s="950" t="s">
        <v>32572</v>
      </c>
      <c r="I7788" s="951" t="s">
        <v>32601</v>
      </c>
      <c r="J7788" s="947" t="s">
        <v>18354</v>
      </c>
      <c r="K7788" s="143"/>
    </row>
    <row r="7789" spans="1:11">
      <c r="A7789" s="946" t="s">
        <v>28616</v>
      </c>
      <c r="B7789" s="947" t="s">
        <v>18851</v>
      </c>
      <c r="C7789" s="948" t="s">
        <v>32602</v>
      </c>
      <c r="D7789" s="242" t="s">
        <v>28734</v>
      </c>
      <c r="E7789" s="949">
        <v>2001</v>
      </c>
      <c r="F7789" s="949">
        <v>2001</v>
      </c>
      <c r="G7789" s="950" t="s">
        <v>32571</v>
      </c>
      <c r="H7789" s="950" t="s">
        <v>32572</v>
      </c>
      <c r="I7789" s="951" t="s">
        <v>32603</v>
      </c>
      <c r="J7789" s="947" t="s">
        <v>18851</v>
      </c>
      <c r="K7789" s="143"/>
    </row>
    <row r="7790" spans="1:11">
      <c r="A7790" s="946" t="s">
        <v>28616</v>
      </c>
      <c r="B7790" s="947" t="s">
        <v>19180</v>
      </c>
      <c r="C7790" s="948" t="s">
        <v>32604</v>
      </c>
      <c r="D7790" s="242" t="s">
        <v>28734</v>
      </c>
      <c r="E7790" s="949">
        <v>2001</v>
      </c>
      <c r="F7790" s="949">
        <v>2001</v>
      </c>
      <c r="G7790" s="950" t="s">
        <v>32571</v>
      </c>
      <c r="H7790" s="950" t="s">
        <v>32572</v>
      </c>
      <c r="I7790" s="951" t="s">
        <v>32605</v>
      </c>
      <c r="J7790" s="947" t="s">
        <v>19180</v>
      </c>
      <c r="K7790" s="143"/>
    </row>
    <row r="7791" spans="1:11">
      <c r="A7791" s="946" t="s">
        <v>28616</v>
      </c>
      <c r="B7791" s="947" t="s">
        <v>19343</v>
      </c>
      <c r="C7791" s="948" t="s">
        <v>32606</v>
      </c>
      <c r="D7791" s="242" t="s">
        <v>28734</v>
      </c>
      <c r="E7791" s="949">
        <v>2001</v>
      </c>
      <c r="F7791" s="949">
        <v>2001</v>
      </c>
      <c r="G7791" s="950" t="s">
        <v>32571</v>
      </c>
      <c r="H7791" s="950" t="s">
        <v>32572</v>
      </c>
      <c r="I7791" s="951" t="s">
        <v>32607</v>
      </c>
      <c r="J7791" s="947" t="s">
        <v>19343</v>
      </c>
      <c r="K7791" s="143"/>
    </row>
    <row r="7792" spans="1:11">
      <c r="A7792" s="946" t="s">
        <v>28616</v>
      </c>
      <c r="B7792" s="947" t="s">
        <v>19386</v>
      </c>
      <c r="C7792" s="948" t="s">
        <v>32608</v>
      </c>
      <c r="D7792" s="242" t="s">
        <v>28734</v>
      </c>
      <c r="E7792" s="949">
        <v>2001</v>
      </c>
      <c r="F7792" s="949">
        <v>2001</v>
      </c>
      <c r="G7792" s="950" t="s">
        <v>32571</v>
      </c>
      <c r="H7792" s="950" t="s">
        <v>32572</v>
      </c>
      <c r="I7792" s="951" t="s">
        <v>32609</v>
      </c>
      <c r="J7792" s="947" t="s">
        <v>19386</v>
      </c>
      <c r="K7792" s="143"/>
    </row>
    <row r="7793" spans="1:11">
      <c r="A7793" s="946" t="s">
        <v>28616</v>
      </c>
      <c r="B7793" s="947" t="s">
        <v>19470</v>
      </c>
      <c r="C7793" s="948" t="s">
        <v>32610</v>
      </c>
      <c r="D7793" s="242" t="s">
        <v>28734</v>
      </c>
      <c r="E7793" s="949">
        <v>2001</v>
      </c>
      <c r="F7793" s="949">
        <v>2001</v>
      </c>
      <c r="G7793" s="950" t="s">
        <v>32571</v>
      </c>
      <c r="H7793" s="950" t="s">
        <v>32572</v>
      </c>
      <c r="I7793" s="951" t="s">
        <v>32611</v>
      </c>
      <c r="J7793" s="947" t="s">
        <v>19470</v>
      </c>
      <c r="K7793" s="143"/>
    </row>
    <row r="7794" spans="1:11">
      <c r="A7794" s="946" t="s">
        <v>28616</v>
      </c>
      <c r="B7794" s="947" t="s">
        <v>19505</v>
      </c>
      <c r="C7794" s="948" t="s">
        <v>32612</v>
      </c>
      <c r="D7794" s="242" t="s">
        <v>28734</v>
      </c>
      <c r="E7794" s="949">
        <v>2001</v>
      </c>
      <c r="F7794" s="949">
        <v>2001</v>
      </c>
      <c r="G7794" s="950" t="s">
        <v>32571</v>
      </c>
      <c r="H7794" s="950" t="s">
        <v>32572</v>
      </c>
      <c r="I7794" s="951" t="s">
        <v>32613</v>
      </c>
      <c r="J7794" s="947" t="s">
        <v>19505</v>
      </c>
      <c r="K7794" s="143"/>
    </row>
    <row r="7795" spans="1:11">
      <c r="A7795" s="946" t="s">
        <v>28616</v>
      </c>
      <c r="B7795" s="947" t="s">
        <v>21117</v>
      </c>
      <c r="C7795" s="948" t="s">
        <v>32614</v>
      </c>
      <c r="D7795" s="242" t="s">
        <v>28734</v>
      </c>
      <c r="E7795" s="949">
        <v>2001</v>
      </c>
      <c r="F7795" s="949">
        <v>2001</v>
      </c>
      <c r="G7795" s="950" t="s">
        <v>32571</v>
      </c>
      <c r="H7795" s="950" t="s">
        <v>32572</v>
      </c>
      <c r="I7795" s="951" t="s">
        <v>32615</v>
      </c>
      <c r="J7795" s="947" t="s">
        <v>21117</v>
      </c>
      <c r="K7795" s="143"/>
    </row>
    <row r="7796" spans="1:11">
      <c r="A7796" s="946" t="s">
        <v>28616</v>
      </c>
      <c r="B7796" s="947" t="s">
        <v>21138</v>
      </c>
      <c r="C7796" s="948" t="s">
        <v>32616</v>
      </c>
      <c r="D7796" s="242" t="s">
        <v>28734</v>
      </c>
      <c r="E7796" s="949">
        <v>2001</v>
      </c>
      <c r="F7796" s="949">
        <v>2001</v>
      </c>
      <c r="G7796" s="950" t="s">
        <v>32571</v>
      </c>
      <c r="H7796" s="950" t="s">
        <v>32572</v>
      </c>
      <c r="I7796" s="951" t="s">
        <v>32617</v>
      </c>
      <c r="J7796" s="947" t="s">
        <v>21138</v>
      </c>
      <c r="K7796" s="143"/>
    </row>
    <row r="7797" spans="1:11">
      <c r="A7797" s="946" t="s">
        <v>28616</v>
      </c>
      <c r="B7797" s="947" t="s">
        <v>21220</v>
      </c>
      <c r="C7797" s="948" t="s">
        <v>32618</v>
      </c>
      <c r="D7797" s="242" t="s">
        <v>28734</v>
      </c>
      <c r="E7797" s="949">
        <v>2001</v>
      </c>
      <c r="F7797" s="949">
        <v>2001</v>
      </c>
      <c r="G7797" s="950" t="s">
        <v>32571</v>
      </c>
      <c r="H7797" s="950" t="s">
        <v>32572</v>
      </c>
      <c r="I7797" s="951" t="s">
        <v>32619</v>
      </c>
      <c r="J7797" s="947" t="s">
        <v>21220</v>
      </c>
      <c r="K7797" s="143"/>
    </row>
    <row r="7798" spans="1:11">
      <c r="A7798" s="946" t="s">
        <v>28616</v>
      </c>
      <c r="B7798" s="947" t="s">
        <v>22156</v>
      </c>
      <c r="C7798" s="948" t="s">
        <v>32620</v>
      </c>
      <c r="D7798" s="242" t="s">
        <v>28734</v>
      </c>
      <c r="E7798" s="949">
        <v>2001</v>
      </c>
      <c r="F7798" s="949">
        <v>2001</v>
      </c>
      <c r="G7798" s="950" t="s">
        <v>32571</v>
      </c>
      <c r="H7798" s="950" t="s">
        <v>32572</v>
      </c>
      <c r="I7798" s="951" t="s">
        <v>32621</v>
      </c>
      <c r="J7798" s="947" t="s">
        <v>22156</v>
      </c>
      <c r="K7798" s="143"/>
    </row>
    <row r="7799" spans="1:11">
      <c r="A7799" s="946" t="s">
        <v>28616</v>
      </c>
      <c r="B7799" s="947" t="s">
        <v>22214</v>
      </c>
      <c r="C7799" s="948" t="s">
        <v>32622</v>
      </c>
      <c r="D7799" s="242" t="s">
        <v>28734</v>
      </c>
      <c r="E7799" s="949">
        <v>2001</v>
      </c>
      <c r="F7799" s="949">
        <v>2001</v>
      </c>
      <c r="G7799" s="950" t="s">
        <v>32571</v>
      </c>
      <c r="H7799" s="950" t="s">
        <v>32572</v>
      </c>
      <c r="I7799" s="951" t="s">
        <v>32623</v>
      </c>
      <c r="J7799" s="947" t="s">
        <v>22214</v>
      </c>
      <c r="K7799" s="143"/>
    </row>
    <row r="7800" spans="1:11">
      <c r="A7800" s="946" t="s">
        <v>28616</v>
      </c>
      <c r="B7800" s="947" t="s">
        <v>22270</v>
      </c>
      <c r="C7800" s="948" t="s">
        <v>32624</v>
      </c>
      <c r="D7800" s="242" t="s">
        <v>28734</v>
      </c>
      <c r="E7800" s="949">
        <v>2001</v>
      </c>
      <c r="F7800" s="949">
        <v>2001</v>
      </c>
      <c r="G7800" s="950" t="s">
        <v>32571</v>
      </c>
      <c r="H7800" s="950" t="s">
        <v>32572</v>
      </c>
      <c r="I7800" s="951" t="s">
        <v>32625</v>
      </c>
      <c r="J7800" s="947" t="s">
        <v>22270</v>
      </c>
      <c r="K7800" s="143"/>
    </row>
    <row r="7801" spans="1:11">
      <c r="A7801" s="946" t="s">
        <v>28616</v>
      </c>
      <c r="B7801" s="947" t="s">
        <v>22271</v>
      </c>
      <c r="C7801" s="948" t="s">
        <v>32626</v>
      </c>
      <c r="D7801" s="242" t="s">
        <v>28734</v>
      </c>
      <c r="E7801" s="949">
        <v>2001</v>
      </c>
      <c r="F7801" s="949">
        <v>2001</v>
      </c>
      <c r="G7801" s="950" t="s">
        <v>32571</v>
      </c>
      <c r="H7801" s="950" t="s">
        <v>32572</v>
      </c>
      <c r="I7801" s="951" t="s">
        <v>32627</v>
      </c>
      <c r="J7801" s="947" t="s">
        <v>22271</v>
      </c>
      <c r="K7801" s="143"/>
    </row>
    <row r="7802" spans="1:11">
      <c r="A7802" s="946" t="s">
        <v>28616</v>
      </c>
      <c r="B7802" s="947" t="s">
        <v>1444</v>
      </c>
      <c r="C7802" s="948" t="s">
        <v>32628</v>
      </c>
      <c r="D7802" s="242" t="s">
        <v>28734</v>
      </c>
      <c r="E7802" s="949">
        <v>2001</v>
      </c>
      <c r="F7802" s="949">
        <v>2001</v>
      </c>
      <c r="G7802" s="950" t="s">
        <v>3375</v>
      </c>
      <c r="H7802" s="950" t="s">
        <v>1443</v>
      </c>
      <c r="I7802" s="951" t="s">
        <v>32629</v>
      </c>
      <c r="J7802" s="947" t="s">
        <v>1444</v>
      </c>
      <c r="K7802" s="143"/>
    </row>
    <row r="7803" spans="1:11">
      <c r="A7803" s="946" t="s">
        <v>28616</v>
      </c>
      <c r="B7803" s="947" t="s">
        <v>1570</v>
      </c>
      <c r="C7803" s="948" t="s">
        <v>1569</v>
      </c>
      <c r="D7803" s="242" t="s">
        <v>28734</v>
      </c>
      <c r="E7803" s="949">
        <v>2001</v>
      </c>
      <c r="F7803" s="949">
        <v>2001</v>
      </c>
      <c r="G7803" s="950" t="s">
        <v>3375</v>
      </c>
      <c r="H7803" s="950" t="s">
        <v>1443</v>
      </c>
      <c r="I7803" s="951" t="s">
        <v>32630</v>
      </c>
      <c r="J7803" s="947" t="s">
        <v>1570</v>
      </c>
      <c r="K7803" s="143"/>
    </row>
    <row r="7804" spans="1:11">
      <c r="A7804" s="946" t="s">
        <v>28616</v>
      </c>
      <c r="B7804" s="947" t="s">
        <v>1869</v>
      </c>
      <c r="C7804" s="948" t="s">
        <v>32631</v>
      </c>
      <c r="D7804" s="242" t="s">
        <v>28734</v>
      </c>
      <c r="E7804" s="949">
        <v>2001</v>
      </c>
      <c r="F7804" s="949">
        <v>2001</v>
      </c>
      <c r="G7804" s="950" t="s">
        <v>3375</v>
      </c>
      <c r="H7804" s="950" t="s">
        <v>1443</v>
      </c>
      <c r="I7804" s="951" t="s">
        <v>32632</v>
      </c>
      <c r="J7804" s="947" t="s">
        <v>1869</v>
      </c>
      <c r="K7804" s="143"/>
    </row>
    <row r="7805" spans="1:11">
      <c r="A7805" s="946" t="s">
        <v>28616</v>
      </c>
      <c r="B7805" s="947" t="s">
        <v>2026</v>
      </c>
      <c r="C7805" s="948" t="s">
        <v>32633</v>
      </c>
      <c r="D7805" s="242" t="s">
        <v>28734</v>
      </c>
      <c r="E7805" s="949">
        <v>2001</v>
      </c>
      <c r="F7805" s="949">
        <v>2001</v>
      </c>
      <c r="G7805" s="950" t="s">
        <v>3375</v>
      </c>
      <c r="H7805" s="950" t="s">
        <v>1443</v>
      </c>
      <c r="I7805" s="951" t="s">
        <v>32634</v>
      </c>
      <c r="J7805" s="947" t="s">
        <v>2026</v>
      </c>
    </row>
    <row r="7806" spans="1:11">
      <c r="A7806" s="946" t="s">
        <v>28616</v>
      </c>
      <c r="B7806" s="947" t="s">
        <v>3252</v>
      </c>
      <c r="C7806" s="948" t="s">
        <v>32635</v>
      </c>
      <c r="D7806" s="242" t="s">
        <v>28734</v>
      </c>
      <c r="E7806" s="949">
        <v>2001</v>
      </c>
      <c r="F7806" s="949">
        <v>2001</v>
      </c>
      <c r="G7806" s="950" t="s">
        <v>3375</v>
      </c>
      <c r="H7806" s="950" t="s">
        <v>1443</v>
      </c>
      <c r="I7806" s="951" t="s">
        <v>32636</v>
      </c>
      <c r="J7806" s="947" t="s">
        <v>3252</v>
      </c>
    </row>
    <row r="7807" spans="1:11">
      <c r="A7807" s="946" t="s">
        <v>28616</v>
      </c>
      <c r="B7807" s="947" t="s">
        <v>3375</v>
      </c>
      <c r="C7807" s="948" t="s">
        <v>3374</v>
      </c>
      <c r="D7807" s="242" t="s">
        <v>28734</v>
      </c>
      <c r="E7807" s="949">
        <v>2001</v>
      </c>
      <c r="F7807" s="949">
        <v>2001</v>
      </c>
      <c r="G7807" s="950" t="s">
        <v>3375</v>
      </c>
      <c r="H7807" s="950" t="s">
        <v>1443</v>
      </c>
      <c r="I7807" s="951" t="s">
        <v>32637</v>
      </c>
      <c r="J7807" s="947" t="s">
        <v>3375</v>
      </c>
    </row>
    <row r="7808" spans="1:11">
      <c r="A7808" s="946" t="s">
        <v>28616</v>
      </c>
      <c r="B7808" s="947" t="s">
        <v>4089</v>
      </c>
      <c r="C7808" s="948" t="s">
        <v>4088</v>
      </c>
      <c r="D7808" s="242" t="s">
        <v>28734</v>
      </c>
      <c r="E7808" s="949">
        <v>2001</v>
      </c>
      <c r="F7808" s="949">
        <v>2001</v>
      </c>
      <c r="G7808" s="950" t="s">
        <v>3375</v>
      </c>
      <c r="H7808" s="950" t="s">
        <v>1443</v>
      </c>
      <c r="I7808" s="951" t="s">
        <v>32638</v>
      </c>
      <c r="J7808" s="947" t="s">
        <v>4089</v>
      </c>
    </row>
    <row r="7809" spans="1:10">
      <c r="A7809" s="946" t="s">
        <v>28616</v>
      </c>
      <c r="B7809" s="947" t="s">
        <v>5473</v>
      </c>
      <c r="C7809" s="948" t="s">
        <v>32639</v>
      </c>
      <c r="D7809" s="242" t="s">
        <v>28734</v>
      </c>
      <c r="E7809" s="949">
        <v>2001</v>
      </c>
      <c r="F7809" s="949">
        <v>2001</v>
      </c>
      <c r="G7809" s="950" t="s">
        <v>3375</v>
      </c>
      <c r="H7809" s="950" t="s">
        <v>1443</v>
      </c>
      <c r="I7809" s="951" t="s">
        <v>32640</v>
      </c>
      <c r="J7809" s="947" t="s">
        <v>5473</v>
      </c>
    </row>
    <row r="7810" spans="1:10">
      <c r="A7810" s="946" t="s">
        <v>28616</v>
      </c>
      <c r="B7810" s="947" t="s">
        <v>7573</v>
      </c>
      <c r="C7810" s="948" t="s">
        <v>7572</v>
      </c>
      <c r="D7810" s="242" t="s">
        <v>28734</v>
      </c>
      <c r="E7810" s="949">
        <v>2001</v>
      </c>
      <c r="F7810" s="949">
        <v>2001</v>
      </c>
      <c r="G7810" s="950" t="s">
        <v>3375</v>
      </c>
      <c r="H7810" s="950" t="s">
        <v>1443</v>
      </c>
      <c r="I7810" s="951" t="s">
        <v>32641</v>
      </c>
      <c r="J7810" s="947" t="s">
        <v>7573</v>
      </c>
    </row>
    <row r="7811" spans="1:10">
      <c r="A7811" s="946" t="s">
        <v>28616</v>
      </c>
      <c r="B7811" s="947" t="s">
        <v>7574</v>
      </c>
      <c r="C7811" s="948" t="s">
        <v>32642</v>
      </c>
      <c r="D7811" s="242" t="s">
        <v>28734</v>
      </c>
      <c r="E7811" s="949">
        <v>2001</v>
      </c>
      <c r="F7811" s="949">
        <v>2001</v>
      </c>
      <c r="G7811" s="950" t="s">
        <v>3375</v>
      </c>
      <c r="H7811" s="950" t="s">
        <v>1443</v>
      </c>
      <c r="I7811" s="951" t="s">
        <v>32643</v>
      </c>
      <c r="J7811" s="947" t="s">
        <v>7574</v>
      </c>
    </row>
    <row r="7812" spans="1:10">
      <c r="A7812" s="946" t="s">
        <v>28616</v>
      </c>
      <c r="B7812" s="947" t="s">
        <v>7693</v>
      </c>
      <c r="C7812" s="948" t="s">
        <v>32644</v>
      </c>
      <c r="D7812" s="242" t="s">
        <v>28734</v>
      </c>
      <c r="E7812" s="949">
        <v>2001</v>
      </c>
      <c r="F7812" s="949">
        <v>2001</v>
      </c>
      <c r="G7812" s="950" t="s">
        <v>3375</v>
      </c>
      <c r="H7812" s="950" t="s">
        <v>1443</v>
      </c>
      <c r="I7812" s="951" t="s">
        <v>32645</v>
      </c>
      <c r="J7812" s="947" t="s">
        <v>7693</v>
      </c>
    </row>
    <row r="7813" spans="1:10">
      <c r="A7813" s="946" t="s">
        <v>28616</v>
      </c>
      <c r="B7813" s="947" t="s">
        <v>7714</v>
      </c>
      <c r="C7813" s="948" t="s">
        <v>32646</v>
      </c>
      <c r="D7813" s="242" t="s">
        <v>28734</v>
      </c>
      <c r="E7813" s="949">
        <v>2001</v>
      </c>
      <c r="F7813" s="949">
        <v>2001</v>
      </c>
      <c r="G7813" s="950" t="s">
        <v>3375</v>
      </c>
      <c r="H7813" s="950" t="s">
        <v>1443</v>
      </c>
      <c r="I7813" s="951" t="s">
        <v>32647</v>
      </c>
      <c r="J7813" s="947" t="s">
        <v>7714</v>
      </c>
    </row>
    <row r="7814" spans="1:10">
      <c r="A7814" s="946" t="s">
        <v>28616</v>
      </c>
      <c r="B7814" s="947" t="s">
        <v>7725</v>
      </c>
      <c r="C7814" s="948" t="s">
        <v>32648</v>
      </c>
      <c r="D7814" s="242" t="s">
        <v>28734</v>
      </c>
      <c r="E7814" s="949">
        <v>2001</v>
      </c>
      <c r="F7814" s="949">
        <v>2001</v>
      </c>
      <c r="G7814" s="950" t="s">
        <v>3375</v>
      </c>
      <c r="H7814" s="950" t="s">
        <v>1443</v>
      </c>
      <c r="I7814" s="951" t="s">
        <v>32649</v>
      </c>
      <c r="J7814" s="947" t="s">
        <v>7725</v>
      </c>
    </row>
    <row r="7815" spans="1:10">
      <c r="A7815" s="946" t="s">
        <v>28616</v>
      </c>
      <c r="B7815" s="947" t="s">
        <v>7833</v>
      </c>
      <c r="C7815" s="948" t="s">
        <v>7832</v>
      </c>
      <c r="D7815" s="242" t="s">
        <v>28734</v>
      </c>
      <c r="E7815" s="949">
        <v>2001</v>
      </c>
      <c r="F7815" s="949">
        <v>2001</v>
      </c>
      <c r="G7815" s="950" t="s">
        <v>3375</v>
      </c>
      <c r="H7815" s="950" t="s">
        <v>1443</v>
      </c>
      <c r="I7815" s="951" t="s">
        <v>32650</v>
      </c>
      <c r="J7815" s="947" t="s">
        <v>7833</v>
      </c>
    </row>
    <row r="7816" spans="1:10">
      <c r="A7816" s="946" t="s">
        <v>28616</v>
      </c>
      <c r="B7816" s="947" t="s">
        <v>7905</v>
      </c>
      <c r="C7816" s="948" t="s">
        <v>32651</v>
      </c>
      <c r="D7816" s="242" t="s">
        <v>28734</v>
      </c>
      <c r="E7816" s="949">
        <v>2001</v>
      </c>
      <c r="F7816" s="949">
        <v>2001</v>
      </c>
      <c r="G7816" s="950" t="s">
        <v>3375</v>
      </c>
      <c r="H7816" s="950" t="s">
        <v>1443</v>
      </c>
      <c r="I7816" s="951" t="s">
        <v>32652</v>
      </c>
      <c r="J7816" s="947" t="s">
        <v>7905</v>
      </c>
    </row>
    <row r="7817" spans="1:10">
      <c r="A7817" s="946" t="s">
        <v>28616</v>
      </c>
      <c r="B7817" s="947" t="s">
        <v>7906</v>
      </c>
      <c r="C7817" s="948" t="s">
        <v>32653</v>
      </c>
      <c r="D7817" s="242" t="s">
        <v>28734</v>
      </c>
      <c r="E7817" s="949">
        <v>2001</v>
      </c>
      <c r="F7817" s="949">
        <v>2001</v>
      </c>
      <c r="G7817" s="950" t="s">
        <v>3375</v>
      </c>
      <c r="H7817" s="950" t="s">
        <v>1443</v>
      </c>
      <c r="I7817" s="951" t="s">
        <v>32654</v>
      </c>
      <c r="J7817" s="947" t="s">
        <v>7906</v>
      </c>
    </row>
    <row r="7818" spans="1:10">
      <c r="A7818" s="946" t="s">
        <v>28616</v>
      </c>
      <c r="B7818" s="947" t="s">
        <v>7921</v>
      </c>
      <c r="C7818" s="948" t="s">
        <v>32655</v>
      </c>
      <c r="D7818" s="242" t="s">
        <v>28734</v>
      </c>
      <c r="E7818" s="949">
        <v>2001</v>
      </c>
      <c r="F7818" s="949">
        <v>2001</v>
      </c>
      <c r="G7818" s="950" t="s">
        <v>3375</v>
      </c>
      <c r="H7818" s="950" t="s">
        <v>1443</v>
      </c>
      <c r="I7818" s="951" t="s">
        <v>32656</v>
      </c>
      <c r="J7818" s="947" t="s">
        <v>7921</v>
      </c>
    </row>
    <row r="7819" spans="1:10">
      <c r="A7819" s="946" t="s">
        <v>28616</v>
      </c>
      <c r="B7819" s="947" t="s">
        <v>9095</v>
      </c>
      <c r="C7819" s="948" t="s">
        <v>32657</v>
      </c>
      <c r="D7819" s="242" t="s">
        <v>28734</v>
      </c>
      <c r="E7819" s="949">
        <v>2001</v>
      </c>
      <c r="F7819" s="949">
        <v>2001</v>
      </c>
      <c r="G7819" s="950" t="s">
        <v>3375</v>
      </c>
      <c r="H7819" s="950" t="s">
        <v>1443</v>
      </c>
      <c r="I7819" s="951" t="s">
        <v>32658</v>
      </c>
      <c r="J7819" s="947" t="s">
        <v>9095</v>
      </c>
    </row>
    <row r="7820" spans="1:10">
      <c r="A7820" s="946" t="s">
        <v>28616</v>
      </c>
      <c r="B7820" s="947" t="s">
        <v>9124</v>
      </c>
      <c r="C7820" s="948" t="s">
        <v>32659</v>
      </c>
      <c r="D7820" s="242" t="s">
        <v>28734</v>
      </c>
      <c r="E7820" s="949">
        <v>2001</v>
      </c>
      <c r="F7820" s="949">
        <v>2001</v>
      </c>
      <c r="G7820" s="950" t="s">
        <v>3375</v>
      </c>
      <c r="H7820" s="950" t="s">
        <v>1443</v>
      </c>
      <c r="I7820" s="951" t="s">
        <v>32660</v>
      </c>
      <c r="J7820" s="947" t="s">
        <v>9124</v>
      </c>
    </row>
    <row r="7821" spans="1:10">
      <c r="A7821" s="946" t="s">
        <v>28616</v>
      </c>
      <c r="B7821" s="947" t="s">
        <v>9141</v>
      </c>
      <c r="C7821" s="948" t="s">
        <v>32661</v>
      </c>
      <c r="D7821" s="242" t="s">
        <v>28734</v>
      </c>
      <c r="E7821" s="949">
        <v>2001</v>
      </c>
      <c r="F7821" s="949">
        <v>2001</v>
      </c>
      <c r="G7821" s="950" t="s">
        <v>3375</v>
      </c>
      <c r="H7821" s="950" t="s">
        <v>1443</v>
      </c>
      <c r="I7821" s="951" t="s">
        <v>32662</v>
      </c>
      <c r="J7821" s="947" t="s">
        <v>9141</v>
      </c>
    </row>
    <row r="7822" spans="1:10">
      <c r="A7822" s="946" t="s">
        <v>28616</v>
      </c>
      <c r="B7822" s="947" t="s">
        <v>9347</v>
      </c>
      <c r="C7822" s="948" t="s">
        <v>32663</v>
      </c>
      <c r="D7822" s="242" t="s">
        <v>28734</v>
      </c>
      <c r="E7822" s="949">
        <v>2001</v>
      </c>
      <c r="F7822" s="949">
        <v>2001</v>
      </c>
      <c r="G7822" s="950" t="s">
        <v>3375</v>
      </c>
      <c r="H7822" s="950" t="s">
        <v>1443</v>
      </c>
      <c r="I7822" s="951" t="s">
        <v>32664</v>
      </c>
      <c r="J7822" s="947" t="s">
        <v>9347</v>
      </c>
    </row>
    <row r="7823" spans="1:10">
      <c r="A7823" s="946" t="s">
        <v>28616</v>
      </c>
      <c r="B7823" s="947" t="s">
        <v>9675</v>
      </c>
      <c r="C7823" s="948" t="s">
        <v>32665</v>
      </c>
      <c r="D7823" s="242" t="s">
        <v>28734</v>
      </c>
      <c r="E7823" s="949">
        <v>2001</v>
      </c>
      <c r="F7823" s="949">
        <v>2001</v>
      </c>
      <c r="G7823" s="950" t="s">
        <v>3375</v>
      </c>
      <c r="H7823" s="950" t="s">
        <v>1443</v>
      </c>
      <c r="I7823" s="951" t="s">
        <v>32666</v>
      </c>
      <c r="J7823" s="947" t="s">
        <v>9675</v>
      </c>
    </row>
    <row r="7824" spans="1:10">
      <c r="A7824" s="946" t="s">
        <v>28616</v>
      </c>
      <c r="B7824" s="947" t="s">
        <v>9724</v>
      </c>
      <c r="C7824" s="948" t="s">
        <v>32667</v>
      </c>
      <c r="D7824" s="242" t="s">
        <v>28734</v>
      </c>
      <c r="E7824" s="949">
        <v>2001</v>
      </c>
      <c r="F7824" s="949">
        <v>2001</v>
      </c>
      <c r="G7824" s="950" t="s">
        <v>3375</v>
      </c>
      <c r="H7824" s="950" t="s">
        <v>1443</v>
      </c>
      <c r="I7824" s="951" t="s">
        <v>32668</v>
      </c>
      <c r="J7824" s="947" t="s">
        <v>9724</v>
      </c>
    </row>
    <row r="7825" spans="1:10">
      <c r="A7825" s="946" t="s">
        <v>28616</v>
      </c>
      <c r="B7825" s="947" t="s">
        <v>9866</v>
      </c>
      <c r="C7825" s="948" t="s">
        <v>32669</v>
      </c>
      <c r="D7825" s="242" t="s">
        <v>28734</v>
      </c>
      <c r="E7825" s="949">
        <v>2001</v>
      </c>
      <c r="F7825" s="949">
        <v>2001</v>
      </c>
      <c r="G7825" s="950" t="s">
        <v>3375</v>
      </c>
      <c r="H7825" s="950" t="s">
        <v>1443</v>
      </c>
      <c r="I7825" s="951" t="s">
        <v>32670</v>
      </c>
      <c r="J7825" s="947" t="s">
        <v>9866</v>
      </c>
    </row>
    <row r="7826" spans="1:10">
      <c r="A7826" s="946" t="s">
        <v>28616</v>
      </c>
      <c r="B7826" s="947" t="s">
        <v>11021</v>
      </c>
      <c r="C7826" s="948" t="s">
        <v>32671</v>
      </c>
      <c r="D7826" s="242" t="s">
        <v>28734</v>
      </c>
      <c r="E7826" s="949">
        <v>2001</v>
      </c>
      <c r="F7826" s="949">
        <v>2001</v>
      </c>
      <c r="G7826" s="950" t="s">
        <v>3375</v>
      </c>
      <c r="H7826" s="950" t="s">
        <v>1443</v>
      </c>
      <c r="I7826" s="951" t="s">
        <v>32672</v>
      </c>
      <c r="J7826" s="947" t="s">
        <v>11021</v>
      </c>
    </row>
    <row r="7827" spans="1:10">
      <c r="A7827" s="946" t="s">
        <v>28616</v>
      </c>
      <c r="B7827" s="947" t="s">
        <v>11092</v>
      </c>
      <c r="C7827" s="948" t="s">
        <v>11091</v>
      </c>
      <c r="D7827" s="242" t="s">
        <v>28734</v>
      </c>
      <c r="E7827" s="949">
        <v>2001</v>
      </c>
      <c r="F7827" s="949">
        <v>2001</v>
      </c>
      <c r="G7827" s="950" t="s">
        <v>3375</v>
      </c>
      <c r="H7827" s="950" t="s">
        <v>1443</v>
      </c>
      <c r="I7827" s="951" t="s">
        <v>32673</v>
      </c>
      <c r="J7827" s="947" t="s">
        <v>11092</v>
      </c>
    </row>
    <row r="7828" spans="1:10">
      <c r="A7828" s="946" t="s">
        <v>28616</v>
      </c>
      <c r="B7828" s="947" t="s">
        <v>12037</v>
      </c>
      <c r="C7828" s="948" t="s">
        <v>32674</v>
      </c>
      <c r="D7828" s="242" t="s">
        <v>28734</v>
      </c>
      <c r="E7828" s="949">
        <v>2001</v>
      </c>
      <c r="F7828" s="949">
        <v>2001</v>
      </c>
      <c r="G7828" s="950" t="s">
        <v>3375</v>
      </c>
      <c r="H7828" s="950" t="s">
        <v>1443</v>
      </c>
      <c r="I7828" s="951" t="s">
        <v>32675</v>
      </c>
      <c r="J7828" s="947" t="s">
        <v>12037</v>
      </c>
    </row>
    <row r="7829" spans="1:10">
      <c r="A7829" s="946" t="s">
        <v>28616</v>
      </c>
      <c r="B7829" s="947" t="s">
        <v>12149</v>
      </c>
      <c r="C7829" s="948" t="s">
        <v>12148</v>
      </c>
      <c r="D7829" s="242" t="s">
        <v>28734</v>
      </c>
      <c r="E7829" s="949">
        <v>2001</v>
      </c>
      <c r="F7829" s="949">
        <v>2001</v>
      </c>
      <c r="G7829" s="950" t="s">
        <v>3375</v>
      </c>
      <c r="H7829" s="950" t="s">
        <v>1443</v>
      </c>
      <c r="I7829" s="951" t="s">
        <v>32676</v>
      </c>
      <c r="J7829" s="947" t="s">
        <v>12149</v>
      </c>
    </row>
    <row r="7830" spans="1:10">
      <c r="A7830" s="946" t="s">
        <v>28616</v>
      </c>
      <c r="B7830" s="947" t="s">
        <v>13104</v>
      </c>
      <c r="C7830" s="948" t="s">
        <v>32677</v>
      </c>
      <c r="D7830" s="242" t="s">
        <v>28734</v>
      </c>
      <c r="E7830" s="949">
        <v>2001</v>
      </c>
      <c r="F7830" s="949">
        <v>2001</v>
      </c>
      <c r="G7830" s="950" t="s">
        <v>3375</v>
      </c>
      <c r="H7830" s="950" t="s">
        <v>1443</v>
      </c>
      <c r="I7830" s="951" t="s">
        <v>32678</v>
      </c>
      <c r="J7830" s="947" t="s">
        <v>13104</v>
      </c>
    </row>
    <row r="7831" spans="1:10">
      <c r="A7831" s="946" t="s">
        <v>28616</v>
      </c>
      <c r="B7831" s="947" t="s">
        <v>13467</v>
      </c>
      <c r="C7831" s="948" t="s">
        <v>32679</v>
      </c>
      <c r="D7831" s="242" t="s">
        <v>28734</v>
      </c>
      <c r="E7831" s="949">
        <v>2001</v>
      </c>
      <c r="F7831" s="949">
        <v>2001</v>
      </c>
      <c r="G7831" s="950" t="s">
        <v>3375</v>
      </c>
      <c r="H7831" s="950" t="s">
        <v>1443</v>
      </c>
      <c r="I7831" s="951" t="s">
        <v>32680</v>
      </c>
      <c r="J7831" s="947" t="s">
        <v>13467</v>
      </c>
    </row>
    <row r="7832" spans="1:10">
      <c r="A7832" s="946" t="s">
        <v>28616</v>
      </c>
      <c r="B7832" s="947" t="s">
        <v>13468</v>
      </c>
      <c r="C7832" s="948" t="s">
        <v>32681</v>
      </c>
      <c r="D7832" s="242" t="s">
        <v>28734</v>
      </c>
      <c r="E7832" s="949">
        <v>2001</v>
      </c>
      <c r="F7832" s="949">
        <v>2001</v>
      </c>
      <c r="G7832" s="950" t="s">
        <v>3375</v>
      </c>
      <c r="H7832" s="950" t="s">
        <v>1443</v>
      </c>
      <c r="I7832" s="951" t="s">
        <v>32682</v>
      </c>
      <c r="J7832" s="947" t="s">
        <v>13468</v>
      </c>
    </row>
    <row r="7833" spans="1:10">
      <c r="A7833" s="946" t="s">
        <v>28616</v>
      </c>
      <c r="B7833" s="947" t="s">
        <v>13469</v>
      </c>
      <c r="C7833" s="948" t="s">
        <v>32683</v>
      </c>
      <c r="D7833" s="242" t="s">
        <v>28734</v>
      </c>
      <c r="E7833" s="949">
        <v>2001</v>
      </c>
      <c r="F7833" s="949">
        <v>2001</v>
      </c>
      <c r="G7833" s="950" t="s">
        <v>3375</v>
      </c>
      <c r="H7833" s="950" t="s">
        <v>1443</v>
      </c>
      <c r="I7833" s="951" t="s">
        <v>32684</v>
      </c>
      <c r="J7833" s="947" t="s">
        <v>13469</v>
      </c>
    </row>
    <row r="7834" spans="1:10">
      <c r="A7834" s="946" t="s">
        <v>28616</v>
      </c>
      <c r="B7834" s="947" t="s">
        <v>13472</v>
      </c>
      <c r="C7834" s="948" t="s">
        <v>32685</v>
      </c>
      <c r="D7834" s="242" t="s">
        <v>28734</v>
      </c>
      <c r="E7834" s="949">
        <v>2001</v>
      </c>
      <c r="F7834" s="949">
        <v>2001</v>
      </c>
      <c r="G7834" s="950" t="s">
        <v>3375</v>
      </c>
      <c r="H7834" s="950" t="s">
        <v>1443</v>
      </c>
      <c r="I7834" s="951" t="s">
        <v>32686</v>
      </c>
      <c r="J7834" s="947" t="s">
        <v>13472</v>
      </c>
    </row>
    <row r="7835" spans="1:10">
      <c r="A7835" s="946" t="s">
        <v>28616</v>
      </c>
      <c r="B7835" s="947" t="s">
        <v>13756</v>
      </c>
      <c r="C7835" s="948" t="s">
        <v>32687</v>
      </c>
      <c r="D7835" s="242" t="s">
        <v>28734</v>
      </c>
      <c r="E7835" s="949">
        <v>2001</v>
      </c>
      <c r="F7835" s="949">
        <v>2001</v>
      </c>
      <c r="G7835" s="950" t="s">
        <v>3375</v>
      </c>
      <c r="H7835" s="950" t="s">
        <v>1443</v>
      </c>
      <c r="I7835" s="951" t="s">
        <v>32688</v>
      </c>
      <c r="J7835" s="947" t="s">
        <v>13756</v>
      </c>
    </row>
    <row r="7836" spans="1:10">
      <c r="A7836" s="946" t="s">
        <v>28616</v>
      </c>
      <c r="B7836" s="947" t="s">
        <v>13784</v>
      </c>
      <c r="C7836" s="948" t="s">
        <v>32689</v>
      </c>
      <c r="D7836" s="242" t="s">
        <v>28734</v>
      </c>
      <c r="E7836" s="949">
        <v>2001</v>
      </c>
      <c r="F7836" s="949">
        <v>2001</v>
      </c>
      <c r="G7836" s="950" t="s">
        <v>3375</v>
      </c>
      <c r="H7836" s="950" t="s">
        <v>1443</v>
      </c>
      <c r="I7836" s="951" t="s">
        <v>32690</v>
      </c>
      <c r="J7836" s="947" t="s">
        <v>13784</v>
      </c>
    </row>
    <row r="7837" spans="1:10">
      <c r="A7837" s="946" t="s">
        <v>28616</v>
      </c>
      <c r="B7837" s="947" t="s">
        <v>14994</v>
      </c>
      <c r="C7837" s="948" t="s">
        <v>32691</v>
      </c>
      <c r="D7837" s="242" t="s">
        <v>28734</v>
      </c>
      <c r="E7837" s="949">
        <v>2001</v>
      </c>
      <c r="F7837" s="949">
        <v>2001</v>
      </c>
      <c r="G7837" s="950" t="s">
        <v>3375</v>
      </c>
      <c r="H7837" s="950" t="s">
        <v>1443</v>
      </c>
      <c r="I7837" s="951" t="s">
        <v>32692</v>
      </c>
      <c r="J7837" s="947" t="s">
        <v>14994</v>
      </c>
    </row>
    <row r="7838" spans="1:10">
      <c r="A7838" s="946" t="s">
        <v>28616</v>
      </c>
      <c r="B7838" s="947" t="s">
        <v>15925</v>
      </c>
      <c r="C7838" s="948" t="s">
        <v>15924</v>
      </c>
      <c r="D7838" s="242" t="s">
        <v>28734</v>
      </c>
      <c r="E7838" s="949">
        <v>2001</v>
      </c>
      <c r="F7838" s="949">
        <v>2001</v>
      </c>
      <c r="G7838" s="950" t="s">
        <v>3375</v>
      </c>
      <c r="H7838" s="950" t="s">
        <v>1443</v>
      </c>
      <c r="I7838" s="951" t="s">
        <v>32693</v>
      </c>
      <c r="J7838" s="947" t="s">
        <v>15925</v>
      </c>
    </row>
    <row r="7839" spans="1:10">
      <c r="A7839" s="946" t="s">
        <v>28616</v>
      </c>
      <c r="B7839" s="947" t="s">
        <v>15981</v>
      </c>
      <c r="C7839" s="948" t="s">
        <v>15980</v>
      </c>
      <c r="D7839" s="242" t="s">
        <v>28734</v>
      </c>
      <c r="E7839" s="949">
        <v>2001</v>
      </c>
      <c r="F7839" s="949">
        <v>2001</v>
      </c>
      <c r="G7839" s="950" t="s">
        <v>3375</v>
      </c>
      <c r="H7839" s="950" t="s">
        <v>1443</v>
      </c>
      <c r="I7839" s="951" t="s">
        <v>32694</v>
      </c>
      <c r="J7839" s="947" t="s">
        <v>15981</v>
      </c>
    </row>
    <row r="7840" spans="1:10">
      <c r="A7840" s="946" t="s">
        <v>28616</v>
      </c>
      <c r="B7840" s="947" t="s">
        <v>15983</v>
      </c>
      <c r="C7840" s="948" t="s">
        <v>15982</v>
      </c>
      <c r="D7840" s="242" t="s">
        <v>28734</v>
      </c>
      <c r="E7840" s="949">
        <v>2001</v>
      </c>
      <c r="F7840" s="949">
        <v>2001</v>
      </c>
      <c r="G7840" s="950" t="s">
        <v>3375</v>
      </c>
      <c r="H7840" s="950" t="s">
        <v>1443</v>
      </c>
      <c r="I7840" s="951" t="s">
        <v>32695</v>
      </c>
      <c r="J7840" s="947" t="s">
        <v>15983</v>
      </c>
    </row>
    <row r="7841" spans="1:10">
      <c r="A7841" s="946" t="s">
        <v>28616</v>
      </c>
      <c r="B7841" s="947" t="s">
        <v>17156</v>
      </c>
      <c r="C7841" s="948" t="s">
        <v>32696</v>
      </c>
      <c r="D7841" s="242" t="s">
        <v>28734</v>
      </c>
      <c r="E7841" s="949">
        <v>2001</v>
      </c>
      <c r="F7841" s="949">
        <v>2001</v>
      </c>
      <c r="G7841" s="950" t="s">
        <v>3375</v>
      </c>
      <c r="H7841" s="950" t="s">
        <v>1443</v>
      </c>
      <c r="I7841" s="951" t="s">
        <v>32697</v>
      </c>
      <c r="J7841" s="947" t="s">
        <v>17156</v>
      </c>
    </row>
    <row r="7842" spans="1:10">
      <c r="A7842" s="946" t="s">
        <v>28616</v>
      </c>
      <c r="B7842" s="947" t="s">
        <v>17329</v>
      </c>
      <c r="C7842" s="948" t="s">
        <v>32698</v>
      </c>
      <c r="D7842" s="242" t="s">
        <v>28734</v>
      </c>
      <c r="E7842" s="949">
        <v>2001</v>
      </c>
      <c r="F7842" s="949">
        <v>2001</v>
      </c>
      <c r="G7842" s="950" t="s">
        <v>3375</v>
      </c>
      <c r="H7842" s="950" t="s">
        <v>1443</v>
      </c>
      <c r="I7842" s="951" t="s">
        <v>32699</v>
      </c>
      <c r="J7842" s="947" t="s">
        <v>17329</v>
      </c>
    </row>
    <row r="7843" spans="1:10">
      <c r="A7843" s="946" t="s">
        <v>28616</v>
      </c>
      <c r="B7843" s="947" t="s">
        <v>17371</v>
      </c>
      <c r="C7843" s="948" t="s">
        <v>32700</v>
      </c>
      <c r="D7843" s="242" t="s">
        <v>28734</v>
      </c>
      <c r="E7843" s="949">
        <v>2001</v>
      </c>
      <c r="F7843" s="949">
        <v>2001</v>
      </c>
      <c r="G7843" s="950" t="s">
        <v>3375</v>
      </c>
      <c r="H7843" s="950" t="s">
        <v>1443</v>
      </c>
      <c r="I7843" s="951" t="s">
        <v>32701</v>
      </c>
      <c r="J7843" s="947" t="s">
        <v>17371</v>
      </c>
    </row>
    <row r="7844" spans="1:10">
      <c r="A7844" s="946" t="s">
        <v>28616</v>
      </c>
      <c r="B7844" s="947" t="s">
        <v>18026</v>
      </c>
      <c r="C7844" s="948" t="s">
        <v>32702</v>
      </c>
      <c r="D7844" s="242" t="s">
        <v>28734</v>
      </c>
      <c r="E7844" s="949">
        <v>2001</v>
      </c>
      <c r="F7844" s="949">
        <v>2001</v>
      </c>
      <c r="G7844" s="950" t="s">
        <v>3375</v>
      </c>
      <c r="H7844" s="950" t="s">
        <v>1443</v>
      </c>
      <c r="I7844" s="951" t="s">
        <v>32703</v>
      </c>
      <c r="J7844" s="947" t="s">
        <v>18026</v>
      </c>
    </row>
    <row r="7845" spans="1:10">
      <c r="A7845" s="946" t="s">
        <v>28616</v>
      </c>
      <c r="B7845" s="947" t="s">
        <v>18238</v>
      </c>
      <c r="C7845" s="948" t="s">
        <v>32704</v>
      </c>
      <c r="D7845" s="242" t="s">
        <v>28734</v>
      </c>
      <c r="E7845" s="949">
        <v>2001</v>
      </c>
      <c r="F7845" s="949">
        <v>2001</v>
      </c>
      <c r="G7845" s="950" t="s">
        <v>3375</v>
      </c>
      <c r="H7845" s="950" t="s">
        <v>1443</v>
      </c>
      <c r="I7845" s="951" t="s">
        <v>32705</v>
      </c>
      <c r="J7845" s="947" t="s">
        <v>18238</v>
      </c>
    </row>
    <row r="7846" spans="1:10">
      <c r="A7846" s="946" t="s">
        <v>28616</v>
      </c>
      <c r="B7846" s="947" t="s">
        <v>18275</v>
      </c>
      <c r="C7846" s="948" t="s">
        <v>32706</v>
      </c>
      <c r="D7846" s="242" t="s">
        <v>28734</v>
      </c>
      <c r="E7846" s="949">
        <v>2001</v>
      </c>
      <c r="F7846" s="949">
        <v>2001</v>
      </c>
      <c r="G7846" s="950" t="s">
        <v>3375</v>
      </c>
      <c r="H7846" s="950" t="s">
        <v>1443</v>
      </c>
      <c r="I7846" s="951" t="s">
        <v>32707</v>
      </c>
      <c r="J7846" s="947" t="s">
        <v>18275</v>
      </c>
    </row>
    <row r="7847" spans="1:10">
      <c r="A7847" s="946" t="s">
        <v>28616</v>
      </c>
      <c r="B7847" s="947" t="s">
        <v>18610</v>
      </c>
      <c r="C7847" s="948" t="s">
        <v>32708</v>
      </c>
      <c r="D7847" s="242" t="s">
        <v>28734</v>
      </c>
      <c r="E7847" s="949">
        <v>2001</v>
      </c>
      <c r="F7847" s="949">
        <v>2001</v>
      </c>
      <c r="G7847" s="950" t="s">
        <v>3375</v>
      </c>
      <c r="H7847" s="950" t="s">
        <v>1443</v>
      </c>
      <c r="I7847" s="951" t="s">
        <v>32709</v>
      </c>
      <c r="J7847" s="947" t="s">
        <v>18610</v>
      </c>
    </row>
    <row r="7848" spans="1:10">
      <c r="A7848" s="946" t="s">
        <v>28616</v>
      </c>
      <c r="B7848" s="947" t="s">
        <v>18890</v>
      </c>
      <c r="C7848" s="948" t="s">
        <v>18889</v>
      </c>
      <c r="D7848" s="242" t="s">
        <v>28734</v>
      </c>
      <c r="E7848" s="949">
        <v>2001</v>
      </c>
      <c r="F7848" s="949">
        <v>2001</v>
      </c>
      <c r="G7848" s="950" t="s">
        <v>3375</v>
      </c>
      <c r="H7848" s="950" t="s">
        <v>1443</v>
      </c>
      <c r="I7848" s="951" t="s">
        <v>32710</v>
      </c>
      <c r="J7848" s="947" t="s">
        <v>18890</v>
      </c>
    </row>
    <row r="7849" spans="1:10">
      <c r="A7849" s="946" t="s">
        <v>28616</v>
      </c>
      <c r="B7849" s="947" t="s">
        <v>19197</v>
      </c>
      <c r="C7849" s="948" t="s">
        <v>19196</v>
      </c>
      <c r="D7849" s="242" t="s">
        <v>28734</v>
      </c>
      <c r="E7849" s="949">
        <v>2001</v>
      </c>
      <c r="F7849" s="949">
        <v>2001</v>
      </c>
      <c r="G7849" s="950" t="s">
        <v>3375</v>
      </c>
      <c r="H7849" s="950" t="s">
        <v>1443</v>
      </c>
      <c r="I7849" s="951" t="s">
        <v>32711</v>
      </c>
      <c r="J7849" s="947" t="s">
        <v>19197</v>
      </c>
    </row>
    <row r="7850" spans="1:10">
      <c r="A7850" s="946" t="s">
        <v>28616</v>
      </c>
      <c r="B7850" s="947" t="s">
        <v>19201</v>
      </c>
      <c r="C7850" s="948" t="s">
        <v>32712</v>
      </c>
      <c r="D7850" s="242" t="s">
        <v>28734</v>
      </c>
      <c r="E7850" s="949">
        <v>2001</v>
      </c>
      <c r="F7850" s="949">
        <v>2001</v>
      </c>
      <c r="G7850" s="950" t="s">
        <v>3375</v>
      </c>
      <c r="H7850" s="950" t="s">
        <v>1443</v>
      </c>
      <c r="I7850" s="951" t="s">
        <v>32713</v>
      </c>
      <c r="J7850" s="947" t="s">
        <v>19201</v>
      </c>
    </row>
    <row r="7851" spans="1:10">
      <c r="A7851" s="946" t="s">
        <v>28616</v>
      </c>
      <c r="B7851" s="947" t="s">
        <v>19270</v>
      </c>
      <c r="C7851" s="948" t="s">
        <v>32714</v>
      </c>
      <c r="D7851" s="242" t="s">
        <v>28734</v>
      </c>
      <c r="E7851" s="949">
        <v>2001</v>
      </c>
      <c r="F7851" s="949">
        <v>2001</v>
      </c>
      <c r="G7851" s="950" t="s">
        <v>3375</v>
      </c>
      <c r="H7851" s="950" t="s">
        <v>1443</v>
      </c>
      <c r="I7851" s="951" t="s">
        <v>32715</v>
      </c>
      <c r="J7851" s="947" t="s">
        <v>19270</v>
      </c>
    </row>
    <row r="7852" spans="1:10">
      <c r="A7852" s="946" t="s">
        <v>28616</v>
      </c>
      <c r="B7852" s="947" t="s">
        <v>19280</v>
      </c>
      <c r="C7852" s="948" t="s">
        <v>32716</v>
      </c>
      <c r="D7852" s="242" t="s">
        <v>28734</v>
      </c>
      <c r="E7852" s="949">
        <v>2001</v>
      </c>
      <c r="F7852" s="949">
        <v>2001</v>
      </c>
      <c r="G7852" s="950" t="s">
        <v>3375</v>
      </c>
      <c r="H7852" s="950" t="s">
        <v>1443</v>
      </c>
      <c r="I7852" s="951" t="s">
        <v>32717</v>
      </c>
      <c r="J7852" s="947" t="s">
        <v>19280</v>
      </c>
    </row>
    <row r="7853" spans="1:10">
      <c r="A7853" s="946" t="s">
        <v>28616</v>
      </c>
      <c r="B7853" s="947" t="s">
        <v>19387</v>
      </c>
      <c r="C7853" s="948" t="s">
        <v>32718</v>
      </c>
      <c r="D7853" s="242" t="s">
        <v>28734</v>
      </c>
      <c r="E7853" s="949">
        <v>2001</v>
      </c>
      <c r="F7853" s="949">
        <v>2001</v>
      </c>
      <c r="G7853" s="950" t="s">
        <v>3375</v>
      </c>
      <c r="H7853" s="950" t="s">
        <v>1443</v>
      </c>
      <c r="I7853" s="951" t="s">
        <v>32719</v>
      </c>
      <c r="J7853" s="947" t="s">
        <v>19387</v>
      </c>
    </row>
    <row r="7854" spans="1:10">
      <c r="A7854" s="946" t="s">
        <v>28616</v>
      </c>
      <c r="B7854" s="947" t="s">
        <v>19443</v>
      </c>
      <c r="C7854" s="948" t="s">
        <v>19442</v>
      </c>
      <c r="D7854" s="242" t="s">
        <v>28734</v>
      </c>
      <c r="E7854" s="949">
        <v>2001</v>
      </c>
      <c r="F7854" s="949">
        <v>2001</v>
      </c>
      <c r="G7854" s="950" t="s">
        <v>3375</v>
      </c>
      <c r="H7854" s="950" t="s">
        <v>1443</v>
      </c>
      <c r="I7854" s="951" t="s">
        <v>32720</v>
      </c>
      <c r="J7854" s="947" t="s">
        <v>19443</v>
      </c>
    </row>
    <row r="7855" spans="1:10">
      <c r="A7855" s="946" t="s">
        <v>28616</v>
      </c>
      <c r="B7855" s="947" t="s">
        <v>19460</v>
      </c>
      <c r="C7855" s="948" t="s">
        <v>19459</v>
      </c>
      <c r="D7855" s="242" t="s">
        <v>28734</v>
      </c>
      <c r="E7855" s="949">
        <v>2001</v>
      </c>
      <c r="F7855" s="949">
        <v>2001</v>
      </c>
      <c r="G7855" s="950" t="s">
        <v>3375</v>
      </c>
      <c r="H7855" s="950" t="s">
        <v>1443</v>
      </c>
      <c r="I7855" s="951" t="s">
        <v>32721</v>
      </c>
      <c r="J7855" s="947" t="s">
        <v>19460</v>
      </c>
    </row>
    <row r="7856" spans="1:10">
      <c r="A7856" s="946" t="s">
        <v>28616</v>
      </c>
      <c r="B7856" s="947" t="s">
        <v>19526</v>
      </c>
      <c r="C7856" s="948" t="s">
        <v>32722</v>
      </c>
      <c r="D7856" s="242" t="s">
        <v>28734</v>
      </c>
      <c r="E7856" s="949">
        <v>2001</v>
      </c>
      <c r="F7856" s="949">
        <v>2001</v>
      </c>
      <c r="G7856" s="950" t="s">
        <v>3375</v>
      </c>
      <c r="H7856" s="950" t="s">
        <v>1443</v>
      </c>
      <c r="I7856" s="951" t="s">
        <v>32723</v>
      </c>
      <c r="J7856" s="947" t="s">
        <v>19526</v>
      </c>
    </row>
    <row r="7857" spans="1:10">
      <c r="A7857" s="946" t="s">
        <v>28616</v>
      </c>
      <c r="B7857" s="947" t="s">
        <v>19527</v>
      </c>
      <c r="C7857" s="948" t="s">
        <v>32724</v>
      </c>
      <c r="D7857" s="242" t="s">
        <v>28734</v>
      </c>
      <c r="E7857" s="949">
        <v>2001</v>
      </c>
      <c r="F7857" s="949">
        <v>2001</v>
      </c>
      <c r="G7857" s="950" t="s">
        <v>3375</v>
      </c>
      <c r="H7857" s="950" t="s">
        <v>1443</v>
      </c>
      <c r="I7857" s="951" t="s">
        <v>32725</v>
      </c>
      <c r="J7857" s="947" t="s">
        <v>19527</v>
      </c>
    </row>
    <row r="7858" spans="1:10">
      <c r="A7858" s="946" t="s">
        <v>28616</v>
      </c>
      <c r="B7858" s="947" t="s">
        <v>19565</v>
      </c>
      <c r="C7858" s="948" t="s">
        <v>19564</v>
      </c>
      <c r="D7858" s="242" t="s">
        <v>28734</v>
      </c>
      <c r="E7858" s="949">
        <v>2001</v>
      </c>
      <c r="F7858" s="949">
        <v>2001</v>
      </c>
      <c r="G7858" s="950" t="s">
        <v>3375</v>
      </c>
      <c r="H7858" s="950" t="s">
        <v>1443</v>
      </c>
      <c r="I7858" s="951" t="s">
        <v>32726</v>
      </c>
      <c r="J7858" s="947" t="s">
        <v>19565</v>
      </c>
    </row>
    <row r="7859" spans="1:10">
      <c r="A7859" s="946" t="s">
        <v>28616</v>
      </c>
      <c r="B7859" s="947" t="s">
        <v>19589</v>
      </c>
      <c r="C7859" s="948" t="s">
        <v>32727</v>
      </c>
      <c r="D7859" s="242" t="s">
        <v>28734</v>
      </c>
      <c r="E7859" s="949">
        <v>2001</v>
      </c>
      <c r="F7859" s="949">
        <v>2001</v>
      </c>
      <c r="G7859" s="950" t="s">
        <v>3375</v>
      </c>
      <c r="H7859" s="950" t="s">
        <v>1443</v>
      </c>
      <c r="I7859" s="951" t="s">
        <v>32728</v>
      </c>
      <c r="J7859" s="947" t="s">
        <v>19589</v>
      </c>
    </row>
    <row r="7860" spans="1:10">
      <c r="A7860" s="946" t="s">
        <v>28616</v>
      </c>
      <c r="B7860" s="947" t="s">
        <v>19645</v>
      </c>
      <c r="C7860" s="948" t="s">
        <v>32729</v>
      </c>
      <c r="D7860" s="242" t="s">
        <v>28734</v>
      </c>
      <c r="E7860" s="949">
        <v>2001</v>
      </c>
      <c r="F7860" s="949">
        <v>2001</v>
      </c>
      <c r="G7860" s="950" t="s">
        <v>3375</v>
      </c>
      <c r="H7860" s="950" t="s">
        <v>1443</v>
      </c>
      <c r="I7860" s="951" t="s">
        <v>32730</v>
      </c>
      <c r="J7860" s="947" t="s">
        <v>19645</v>
      </c>
    </row>
    <row r="7861" spans="1:10">
      <c r="A7861" s="946" t="s">
        <v>28616</v>
      </c>
      <c r="B7861" s="947" t="s">
        <v>20093</v>
      </c>
      <c r="C7861" s="948" t="s">
        <v>32731</v>
      </c>
      <c r="D7861" s="242" t="s">
        <v>28734</v>
      </c>
      <c r="E7861" s="949">
        <v>2001</v>
      </c>
      <c r="F7861" s="949">
        <v>2001</v>
      </c>
      <c r="G7861" s="950" t="s">
        <v>3375</v>
      </c>
      <c r="H7861" s="950" t="s">
        <v>1443</v>
      </c>
      <c r="I7861" s="951" t="s">
        <v>32732</v>
      </c>
      <c r="J7861" s="947" t="s">
        <v>20093</v>
      </c>
    </row>
    <row r="7862" spans="1:10">
      <c r="A7862" s="946" t="s">
        <v>28616</v>
      </c>
      <c r="B7862" s="947" t="s">
        <v>21219</v>
      </c>
      <c r="C7862" s="948" t="s">
        <v>32733</v>
      </c>
      <c r="D7862" s="242" t="s">
        <v>28734</v>
      </c>
      <c r="E7862" s="949">
        <v>2001</v>
      </c>
      <c r="F7862" s="949">
        <v>2001</v>
      </c>
      <c r="G7862" s="950" t="s">
        <v>3375</v>
      </c>
      <c r="H7862" s="950" t="s">
        <v>1443</v>
      </c>
      <c r="I7862" s="951" t="s">
        <v>32734</v>
      </c>
      <c r="J7862" s="947" t="s">
        <v>21219</v>
      </c>
    </row>
    <row r="7863" spans="1:10">
      <c r="A7863" s="946" t="s">
        <v>28616</v>
      </c>
      <c r="B7863" s="947" t="s">
        <v>21235</v>
      </c>
      <c r="C7863" s="948" t="s">
        <v>21234</v>
      </c>
      <c r="D7863" s="242" t="s">
        <v>28734</v>
      </c>
      <c r="E7863" s="949">
        <v>2001</v>
      </c>
      <c r="F7863" s="949">
        <v>2001</v>
      </c>
      <c r="G7863" s="950" t="s">
        <v>3375</v>
      </c>
      <c r="H7863" s="950" t="s">
        <v>1443</v>
      </c>
      <c r="I7863" s="951" t="s">
        <v>32735</v>
      </c>
      <c r="J7863" s="947" t="s">
        <v>21235</v>
      </c>
    </row>
    <row r="7864" spans="1:10">
      <c r="A7864" s="946" t="s">
        <v>28616</v>
      </c>
      <c r="B7864" s="947" t="s">
        <v>21457</v>
      </c>
      <c r="C7864" s="948" t="s">
        <v>32736</v>
      </c>
      <c r="D7864" s="242" t="s">
        <v>28734</v>
      </c>
      <c r="E7864" s="949">
        <v>2001</v>
      </c>
      <c r="F7864" s="949">
        <v>2001</v>
      </c>
      <c r="G7864" s="950" t="s">
        <v>3375</v>
      </c>
      <c r="H7864" s="950" t="s">
        <v>1443</v>
      </c>
      <c r="I7864" s="951" t="s">
        <v>32737</v>
      </c>
      <c r="J7864" s="947" t="s">
        <v>21457</v>
      </c>
    </row>
    <row r="7865" spans="1:10">
      <c r="A7865" s="946" t="s">
        <v>28616</v>
      </c>
      <c r="B7865" s="947" t="s">
        <v>22123</v>
      </c>
      <c r="C7865" s="948" t="s">
        <v>22122</v>
      </c>
      <c r="D7865" s="242" t="s">
        <v>28734</v>
      </c>
      <c r="E7865" s="949">
        <v>2001</v>
      </c>
      <c r="F7865" s="949">
        <v>2001</v>
      </c>
      <c r="G7865" s="950" t="s">
        <v>3375</v>
      </c>
      <c r="H7865" s="950" t="s">
        <v>1443</v>
      </c>
      <c r="I7865" s="951" t="s">
        <v>32738</v>
      </c>
      <c r="J7865" s="947" t="s">
        <v>22123</v>
      </c>
    </row>
    <row r="7866" spans="1:10">
      <c r="A7866" s="946" t="s">
        <v>28616</v>
      </c>
      <c r="B7866" s="947" t="s">
        <v>22269</v>
      </c>
      <c r="C7866" s="948" t="s">
        <v>32739</v>
      </c>
      <c r="D7866" s="242" t="s">
        <v>28734</v>
      </c>
      <c r="E7866" s="949">
        <v>2001</v>
      </c>
      <c r="F7866" s="949">
        <v>2001</v>
      </c>
      <c r="G7866" s="950" t="s">
        <v>3375</v>
      </c>
      <c r="H7866" s="950" t="s">
        <v>1443</v>
      </c>
      <c r="I7866" s="951" t="s">
        <v>32740</v>
      </c>
      <c r="J7866" s="947" t="s">
        <v>22269</v>
      </c>
    </row>
    <row r="7867" spans="1:10">
      <c r="A7867" s="946" t="s">
        <v>28616</v>
      </c>
      <c r="B7867" s="947" t="s">
        <v>22282</v>
      </c>
      <c r="C7867" s="948" t="s">
        <v>32741</v>
      </c>
      <c r="D7867" s="242" t="s">
        <v>28734</v>
      </c>
      <c r="E7867" s="949">
        <v>2001</v>
      </c>
      <c r="F7867" s="949">
        <v>2001</v>
      </c>
      <c r="G7867" s="950" t="s">
        <v>3375</v>
      </c>
      <c r="H7867" s="950" t="s">
        <v>1443</v>
      </c>
      <c r="I7867" s="951" t="s">
        <v>32742</v>
      </c>
      <c r="J7867" s="947" t="s">
        <v>22282</v>
      </c>
    </row>
    <row r="7868" spans="1:10">
      <c r="A7868" s="946" t="s">
        <v>28616</v>
      </c>
      <c r="B7868" s="947" t="s">
        <v>22316</v>
      </c>
      <c r="C7868" s="948" t="s">
        <v>32743</v>
      </c>
      <c r="D7868" s="242" t="s">
        <v>28734</v>
      </c>
      <c r="E7868" s="949">
        <v>2001</v>
      </c>
      <c r="F7868" s="949">
        <v>2001</v>
      </c>
      <c r="G7868" s="950" t="s">
        <v>3375</v>
      </c>
      <c r="H7868" s="950" t="s">
        <v>1443</v>
      </c>
      <c r="I7868" s="951" t="s">
        <v>32744</v>
      </c>
      <c r="J7868" s="947" t="s">
        <v>22316</v>
      </c>
    </row>
    <row r="7869" spans="1:10">
      <c r="A7869" s="946" t="s">
        <v>28616</v>
      </c>
      <c r="B7869" s="947" t="s">
        <v>22319</v>
      </c>
      <c r="C7869" s="948" t="s">
        <v>32745</v>
      </c>
      <c r="D7869" s="242" t="s">
        <v>28734</v>
      </c>
      <c r="E7869" s="949">
        <v>2001</v>
      </c>
      <c r="F7869" s="949">
        <v>2001</v>
      </c>
      <c r="G7869" s="950" t="s">
        <v>3375</v>
      </c>
      <c r="H7869" s="950" t="s">
        <v>1443</v>
      </c>
      <c r="I7869" s="951" t="s">
        <v>32746</v>
      </c>
      <c r="J7869" s="947" t="s">
        <v>22319</v>
      </c>
    </row>
    <row r="7870" spans="1:10">
      <c r="A7870" s="946" t="s">
        <v>28616</v>
      </c>
      <c r="B7870" s="947" t="s">
        <v>22320</v>
      </c>
      <c r="C7870" s="948" t="s">
        <v>32747</v>
      </c>
      <c r="D7870" s="242" t="s">
        <v>28734</v>
      </c>
      <c r="E7870" s="949">
        <v>2001</v>
      </c>
      <c r="F7870" s="949">
        <v>2001</v>
      </c>
      <c r="G7870" s="950" t="s">
        <v>3375</v>
      </c>
      <c r="H7870" s="950" t="s">
        <v>1443</v>
      </c>
      <c r="I7870" s="951" t="s">
        <v>32748</v>
      </c>
      <c r="J7870" s="947" t="s">
        <v>22320</v>
      </c>
    </row>
    <row r="7871" spans="1:10">
      <c r="A7871" s="946" t="s">
        <v>28616</v>
      </c>
      <c r="B7871" s="947" t="s">
        <v>22321</v>
      </c>
      <c r="C7871" s="948" t="s">
        <v>32749</v>
      </c>
      <c r="D7871" s="242" t="s">
        <v>28734</v>
      </c>
      <c r="E7871" s="949">
        <v>2001</v>
      </c>
      <c r="F7871" s="949">
        <v>2001</v>
      </c>
      <c r="G7871" s="950" t="s">
        <v>3375</v>
      </c>
      <c r="H7871" s="950" t="s">
        <v>1443</v>
      </c>
      <c r="I7871" s="951" t="s">
        <v>32750</v>
      </c>
      <c r="J7871" s="947" t="s">
        <v>22321</v>
      </c>
    </row>
    <row r="7872" spans="1:10">
      <c r="A7872" s="946" t="s">
        <v>28616</v>
      </c>
      <c r="B7872" s="947" t="s">
        <v>3212</v>
      </c>
      <c r="C7872" s="948" t="s">
        <v>32751</v>
      </c>
      <c r="D7872" s="242" t="s">
        <v>28734</v>
      </c>
      <c r="E7872" s="949">
        <v>2001</v>
      </c>
      <c r="F7872" s="949">
        <v>2001</v>
      </c>
      <c r="G7872" s="950" t="s">
        <v>32752</v>
      </c>
      <c r="H7872" s="950" t="s">
        <v>32753</v>
      </c>
      <c r="I7872" s="951" t="s">
        <v>32754</v>
      </c>
      <c r="J7872" s="947" t="s">
        <v>3212</v>
      </c>
    </row>
    <row r="7873" spans="1:10">
      <c r="A7873" s="946" t="s">
        <v>28616</v>
      </c>
      <c r="B7873" s="947" t="s">
        <v>3432</v>
      </c>
      <c r="C7873" s="948" t="s">
        <v>32755</v>
      </c>
      <c r="D7873" s="242" t="s">
        <v>28734</v>
      </c>
      <c r="E7873" s="949">
        <v>2001</v>
      </c>
      <c r="F7873" s="949">
        <v>2001</v>
      </c>
      <c r="G7873" s="950" t="s">
        <v>32752</v>
      </c>
      <c r="H7873" s="950" t="s">
        <v>32753</v>
      </c>
      <c r="I7873" s="951" t="s">
        <v>32756</v>
      </c>
      <c r="J7873" s="947" t="s">
        <v>3432</v>
      </c>
    </row>
    <row r="7874" spans="1:10">
      <c r="A7874" s="946" t="s">
        <v>28616</v>
      </c>
      <c r="B7874" s="947" t="s">
        <v>4257</v>
      </c>
      <c r="C7874" s="948" t="s">
        <v>32757</v>
      </c>
      <c r="D7874" s="242" t="s">
        <v>28734</v>
      </c>
      <c r="E7874" s="949">
        <v>2001</v>
      </c>
      <c r="F7874" s="949">
        <v>2001</v>
      </c>
      <c r="G7874" s="950" t="s">
        <v>32752</v>
      </c>
      <c r="H7874" s="950" t="s">
        <v>32753</v>
      </c>
      <c r="I7874" s="951" t="s">
        <v>32758</v>
      </c>
      <c r="J7874" s="947" t="s">
        <v>4257</v>
      </c>
    </row>
    <row r="7875" spans="1:10">
      <c r="A7875" s="946" t="s">
        <v>28616</v>
      </c>
      <c r="B7875" s="947" t="s">
        <v>4347</v>
      </c>
      <c r="C7875" s="948" t="s">
        <v>32759</v>
      </c>
      <c r="D7875" s="242" t="s">
        <v>28734</v>
      </c>
      <c r="E7875" s="949">
        <v>2001</v>
      </c>
      <c r="F7875" s="949">
        <v>2001</v>
      </c>
      <c r="G7875" s="950" t="s">
        <v>32752</v>
      </c>
      <c r="H7875" s="950" t="s">
        <v>32753</v>
      </c>
      <c r="I7875" s="951" t="s">
        <v>32760</v>
      </c>
      <c r="J7875" s="947" t="s">
        <v>4347</v>
      </c>
    </row>
    <row r="7876" spans="1:10">
      <c r="A7876" s="946" t="s">
        <v>28616</v>
      </c>
      <c r="B7876" s="947" t="s">
        <v>7715</v>
      </c>
      <c r="C7876" s="948" t="s">
        <v>32761</v>
      </c>
      <c r="D7876" s="242" t="s">
        <v>28734</v>
      </c>
      <c r="E7876" s="949">
        <v>2001</v>
      </c>
      <c r="F7876" s="949">
        <v>2001</v>
      </c>
      <c r="G7876" s="950" t="s">
        <v>32752</v>
      </c>
      <c r="H7876" s="950" t="s">
        <v>32753</v>
      </c>
      <c r="I7876" s="951" t="s">
        <v>32762</v>
      </c>
      <c r="J7876" s="947" t="s">
        <v>7715</v>
      </c>
    </row>
    <row r="7877" spans="1:10">
      <c r="A7877" s="946" t="s">
        <v>28616</v>
      </c>
      <c r="B7877" s="947" t="s">
        <v>8340</v>
      </c>
      <c r="C7877" s="948" t="s">
        <v>32763</v>
      </c>
      <c r="D7877" s="242" t="s">
        <v>28734</v>
      </c>
      <c r="E7877" s="949">
        <v>2001</v>
      </c>
      <c r="F7877" s="949">
        <v>2001</v>
      </c>
      <c r="G7877" s="950" t="s">
        <v>32752</v>
      </c>
      <c r="H7877" s="950" t="s">
        <v>32753</v>
      </c>
      <c r="I7877" s="951" t="s">
        <v>32764</v>
      </c>
      <c r="J7877" s="947" t="s">
        <v>8340</v>
      </c>
    </row>
    <row r="7878" spans="1:10">
      <c r="A7878" s="946" t="s">
        <v>28616</v>
      </c>
      <c r="B7878" s="947" t="s">
        <v>9206</v>
      </c>
      <c r="C7878" s="948" t="s">
        <v>32765</v>
      </c>
      <c r="D7878" s="242" t="s">
        <v>28734</v>
      </c>
      <c r="E7878" s="949">
        <v>2001</v>
      </c>
      <c r="F7878" s="949">
        <v>2001</v>
      </c>
      <c r="G7878" s="950" t="s">
        <v>32752</v>
      </c>
      <c r="H7878" s="950" t="s">
        <v>32753</v>
      </c>
      <c r="I7878" s="951" t="s">
        <v>32766</v>
      </c>
      <c r="J7878" s="947" t="s">
        <v>9206</v>
      </c>
    </row>
    <row r="7879" spans="1:10">
      <c r="A7879" s="946" t="s">
        <v>28616</v>
      </c>
      <c r="B7879" s="947" t="s">
        <v>9348</v>
      </c>
      <c r="C7879" s="948" t="s">
        <v>32767</v>
      </c>
      <c r="D7879" s="242" t="s">
        <v>28734</v>
      </c>
      <c r="E7879" s="949">
        <v>2001</v>
      </c>
      <c r="F7879" s="949">
        <v>2001</v>
      </c>
      <c r="G7879" s="950" t="s">
        <v>32752</v>
      </c>
      <c r="H7879" s="950" t="s">
        <v>32753</v>
      </c>
      <c r="I7879" s="951" t="s">
        <v>32768</v>
      </c>
      <c r="J7879" s="947" t="s">
        <v>9348</v>
      </c>
    </row>
    <row r="7880" spans="1:10">
      <c r="A7880" s="946" t="s">
        <v>28616</v>
      </c>
      <c r="B7880" s="947" t="s">
        <v>9765</v>
      </c>
      <c r="C7880" s="948" t="s">
        <v>32769</v>
      </c>
      <c r="D7880" s="242" t="s">
        <v>28734</v>
      </c>
      <c r="E7880" s="949">
        <v>2001</v>
      </c>
      <c r="F7880" s="949">
        <v>2001</v>
      </c>
      <c r="G7880" s="950" t="s">
        <v>32752</v>
      </c>
      <c r="H7880" s="950" t="s">
        <v>32753</v>
      </c>
      <c r="I7880" s="951" t="s">
        <v>32770</v>
      </c>
      <c r="J7880" s="947" t="s">
        <v>9765</v>
      </c>
    </row>
    <row r="7881" spans="1:10">
      <c r="A7881" s="946" t="s">
        <v>28616</v>
      </c>
      <c r="B7881" s="947" t="s">
        <v>11327</v>
      </c>
      <c r="C7881" s="948" t="s">
        <v>32771</v>
      </c>
      <c r="D7881" s="242" t="s">
        <v>28734</v>
      </c>
      <c r="E7881" s="949">
        <v>2001</v>
      </c>
      <c r="F7881" s="949">
        <v>2001</v>
      </c>
      <c r="G7881" s="950" t="s">
        <v>32752</v>
      </c>
      <c r="H7881" s="950" t="s">
        <v>32753</v>
      </c>
      <c r="I7881" s="951" t="s">
        <v>32772</v>
      </c>
      <c r="J7881" s="947" t="s">
        <v>11327</v>
      </c>
    </row>
    <row r="7882" spans="1:10">
      <c r="A7882" s="946" t="s">
        <v>28616</v>
      </c>
      <c r="B7882" s="947" t="s">
        <v>13129</v>
      </c>
      <c r="C7882" s="948" t="s">
        <v>32773</v>
      </c>
      <c r="D7882" s="242" t="s">
        <v>28734</v>
      </c>
      <c r="E7882" s="949">
        <v>2001</v>
      </c>
      <c r="F7882" s="949">
        <v>2001</v>
      </c>
      <c r="G7882" s="950" t="s">
        <v>32752</v>
      </c>
      <c r="H7882" s="950" t="s">
        <v>32753</v>
      </c>
      <c r="I7882" s="951" t="s">
        <v>32774</v>
      </c>
      <c r="J7882" s="947" t="s">
        <v>13129</v>
      </c>
    </row>
    <row r="7883" spans="1:10">
      <c r="A7883" s="946" t="s">
        <v>28616</v>
      </c>
      <c r="B7883" s="947" t="s">
        <v>13157</v>
      </c>
      <c r="C7883" s="948" t="s">
        <v>32775</v>
      </c>
      <c r="D7883" s="242" t="s">
        <v>28734</v>
      </c>
      <c r="E7883" s="949">
        <v>2001</v>
      </c>
      <c r="F7883" s="949">
        <v>2001</v>
      </c>
      <c r="G7883" s="950" t="s">
        <v>32752</v>
      </c>
      <c r="H7883" s="950" t="s">
        <v>32753</v>
      </c>
      <c r="I7883" s="951" t="s">
        <v>32776</v>
      </c>
      <c r="J7883" s="947" t="s">
        <v>13157</v>
      </c>
    </row>
    <row r="7884" spans="1:10">
      <c r="A7884" s="946" t="s">
        <v>28616</v>
      </c>
      <c r="B7884" s="947" t="s">
        <v>13485</v>
      </c>
      <c r="C7884" s="948" t="s">
        <v>32777</v>
      </c>
      <c r="D7884" s="242" t="s">
        <v>28734</v>
      </c>
      <c r="E7884" s="949">
        <v>2001</v>
      </c>
      <c r="F7884" s="949">
        <v>2001</v>
      </c>
      <c r="G7884" s="950" t="s">
        <v>32752</v>
      </c>
      <c r="H7884" s="950" t="s">
        <v>32753</v>
      </c>
      <c r="I7884" s="951" t="s">
        <v>32778</v>
      </c>
      <c r="J7884" s="947" t="s">
        <v>13485</v>
      </c>
    </row>
    <row r="7885" spans="1:10">
      <c r="A7885" s="946" t="s">
        <v>28616</v>
      </c>
      <c r="B7885" s="947" t="s">
        <v>14482</v>
      </c>
      <c r="C7885" s="948" t="s">
        <v>32779</v>
      </c>
      <c r="D7885" s="242" t="s">
        <v>28734</v>
      </c>
      <c r="E7885" s="949">
        <v>2001</v>
      </c>
      <c r="F7885" s="949">
        <v>2001</v>
      </c>
      <c r="G7885" s="950" t="s">
        <v>32752</v>
      </c>
      <c r="H7885" s="950" t="s">
        <v>32753</v>
      </c>
      <c r="I7885" s="951" t="s">
        <v>32780</v>
      </c>
      <c r="J7885" s="947" t="s">
        <v>14482</v>
      </c>
    </row>
    <row r="7886" spans="1:10">
      <c r="A7886" s="946" t="s">
        <v>28616</v>
      </c>
      <c r="B7886" s="947" t="s">
        <v>15079</v>
      </c>
      <c r="C7886" s="948" t="s">
        <v>32781</v>
      </c>
      <c r="D7886" s="242" t="s">
        <v>28734</v>
      </c>
      <c r="E7886" s="949">
        <v>2001</v>
      </c>
      <c r="F7886" s="949">
        <v>2001</v>
      </c>
      <c r="G7886" s="950" t="s">
        <v>32752</v>
      </c>
      <c r="H7886" s="950" t="s">
        <v>32753</v>
      </c>
      <c r="I7886" s="951" t="s">
        <v>32782</v>
      </c>
      <c r="J7886" s="947" t="s">
        <v>15079</v>
      </c>
    </row>
    <row r="7887" spans="1:10">
      <c r="A7887" s="946" t="s">
        <v>28616</v>
      </c>
      <c r="B7887" s="947" t="s">
        <v>15602</v>
      </c>
      <c r="C7887" s="948" t="s">
        <v>32783</v>
      </c>
      <c r="D7887" s="242" t="s">
        <v>28734</v>
      </c>
      <c r="E7887" s="949">
        <v>2001</v>
      </c>
      <c r="F7887" s="949">
        <v>2001</v>
      </c>
      <c r="G7887" s="950" t="s">
        <v>32752</v>
      </c>
      <c r="H7887" s="950" t="s">
        <v>32753</v>
      </c>
      <c r="I7887" s="951" t="s">
        <v>32784</v>
      </c>
      <c r="J7887" s="947" t="s">
        <v>15602</v>
      </c>
    </row>
    <row r="7888" spans="1:10">
      <c r="A7888" s="946" t="s">
        <v>28616</v>
      </c>
      <c r="B7888" s="947" t="s">
        <v>17745</v>
      </c>
      <c r="C7888" s="948" t="s">
        <v>32785</v>
      </c>
      <c r="D7888" s="242" t="s">
        <v>28734</v>
      </c>
      <c r="E7888" s="949">
        <v>2001</v>
      </c>
      <c r="F7888" s="949">
        <v>2001</v>
      </c>
      <c r="G7888" s="950" t="s">
        <v>32752</v>
      </c>
      <c r="H7888" s="950" t="s">
        <v>32753</v>
      </c>
      <c r="I7888" s="951" t="s">
        <v>32786</v>
      </c>
      <c r="J7888" s="947" t="s">
        <v>17745</v>
      </c>
    </row>
    <row r="7889" spans="1:10">
      <c r="A7889" s="946" t="s">
        <v>28616</v>
      </c>
      <c r="B7889" s="947" t="s">
        <v>18535</v>
      </c>
      <c r="C7889" s="948" t="s">
        <v>32787</v>
      </c>
      <c r="D7889" s="242" t="s">
        <v>28734</v>
      </c>
      <c r="E7889" s="949">
        <v>2001</v>
      </c>
      <c r="F7889" s="949">
        <v>2001</v>
      </c>
      <c r="G7889" s="950" t="s">
        <v>32752</v>
      </c>
      <c r="H7889" s="950" t="s">
        <v>32753</v>
      </c>
      <c r="I7889" s="951" t="s">
        <v>32788</v>
      </c>
      <c r="J7889" s="947" t="s">
        <v>18535</v>
      </c>
    </row>
    <row r="7890" spans="1:10">
      <c r="A7890" s="946" t="s">
        <v>28616</v>
      </c>
      <c r="B7890" s="947" t="s">
        <v>18662</v>
      </c>
      <c r="C7890" s="948" t="s">
        <v>32789</v>
      </c>
      <c r="D7890" s="242" t="s">
        <v>28734</v>
      </c>
      <c r="E7890" s="949">
        <v>2001</v>
      </c>
      <c r="F7890" s="949">
        <v>2001</v>
      </c>
      <c r="G7890" s="950" t="s">
        <v>32752</v>
      </c>
      <c r="H7890" s="950" t="s">
        <v>32753</v>
      </c>
      <c r="I7890" s="951" t="s">
        <v>32790</v>
      </c>
      <c r="J7890" s="947" t="s">
        <v>18662</v>
      </c>
    </row>
    <row r="7891" spans="1:10">
      <c r="A7891" s="946" t="s">
        <v>28616</v>
      </c>
      <c r="B7891" s="947" t="s">
        <v>18669</v>
      </c>
      <c r="C7891" s="948" t="s">
        <v>32791</v>
      </c>
      <c r="D7891" s="242" t="s">
        <v>28734</v>
      </c>
      <c r="E7891" s="949">
        <v>2001</v>
      </c>
      <c r="F7891" s="949">
        <v>2001</v>
      </c>
      <c r="G7891" s="950" t="s">
        <v>32752</v>
      </c>
      <c r="H7891" s="950" t="s">
        <v>32753</v>
      </c>
      <c r="I7891" s="951" t="s">
        <v>32792</v>
      </c>
      <c r="J7891" s="947" t="s">
        <v>18669</v>
      </c>
    </row>
    <row r="7892" spans="1:10">
      <c r="A7892" s="946" t="s">
        <v>28616</v>
      </c>
      <c r="B7892" s="947" t="s">
        <v>20859</v>
      </c>
      <c r="C7892" s="948" t="s">
        <v>32793</v>
      </c>
      <c r="D7892" s="242" t="s">
        <v>28734</v>
      </c>
      <c r="E7892" s="949">
        <v>2001</v>
      </c>
      <c r="F7892" s="949">
        <v>2001</v>
      </c>
      <c r="G7892" s="950" t="s">
        <v>32752</v>
      </c>
      <c r="H7892" s="950" t="s">
        <v>32753</v>
      </c>
      <c r="I7892" s="951" t="s">
        <v>32794</v>
      </c>
      <c r="J7892" s="947" t="s">
        <v>20859</v>
      </c>
    </row>
    <row r="7893" spans="1:10">
      <c r="A7893" s="946" t="s">
        <v>28616</v>
      </c>
      <c r="B7893" s="947" t="s">
        <v>22218</v>
      </c>
      <c r="C7893" s="948" t="s">
        <v>32795</v>
      </c>
      <c r="D7893" s="242" t="s">
        <v>28734</v>
      </c>
      <c r="E7893" s="949">
        <v>2001</v>
      </c>
      <c r="F7893" s="949">
        <v>2001</v>
      </c>
      <c r="G7893" s="950" t="s">
        <v>32752</v>
      </c>
      <c r="H7893" s="950" t="s">
        <v>32753</v>
      </c>
      <c r="I7893" s="951" t="s">
        <v>32796</v>
      </c>
      <c r="J7893" s="947" t="s">
        <v>22218</v>
      </c>
    </row>
    <row r="7894" spans="1:10">
      <c r="A7894" s="946" t="s">
        <v>28616</v>
      </c>
      <c r="B7894" s="947" t="s">
        <v>22278</v>
      </c>
      <c r="C7894" s="948" t="s">
        <v>32797</v>
      </c>
      <c r="D7894" s="242" t="s">
        <v>28734</v>
      </c>
      <c r="E7894" s="949">
        <v>2001</v>
      </c>
      <c r="F7894" s="949">
        <v>2001</v>
      </c>
      <c r="G7894" s="950" t="s">
        <v>32752</v>
      </c>
      <c r="H7894" s="950" t="s">
        <v>32753</v>
      </c>
      <c r="I7894" s="951" t="s">
        <v>32798</v>
      </c>
      <c r="J7894" s="947" t="s">
        <v>22278</v>
      </c>
    </row>
    <row r="7895" spans="1:10">
      <c r="A7895" s="946" t="s">
        <v>28616</v>
      </c>
      <c r="B7895" s="947" t="s">
        <v>20436</v>
      </c>
      <c r="C7895" s="948" t="s">
        <v>32799</v>
      </c>
      <c r="D7895" s="242" t="s">
        <v>28734</v>
      </c>
      <c r="E7895" s="949">
        <v>2001</v>
      </c>
      <c r="F7895" s="949">
        <v>2001</v>
      </c>
      <c r="G7895" s="950" t="s">
        <v>32752</v>
      </c>
      <c r="H7895" s="950" t="s">
        <v>32753</v>
      </c>
      <c r="I7895" s="951" t="s">
        <v>32800</v>
      </c>
      <c r="J7895" s="947" t="s">
        <v>20436</v>
      </c>
    </row>
    <row r="7896" spans="1:10" ht="15">
      <c r="A7896"/>
      <c r="B7896"/>
      <c r="C7896"/>
      <c r="D7896"/>
      <c r="E7896"/>
      <c r="F7896"/>
      <c r="G7896"/>
      <c r="H7896"/>
      <c r="I7896"/>
      <c r="J7896"/>
    </row>
    <row r="7897" spans="1:10" ht="15">
      <c r="A7897"/>
      <c r="B7897"/>
      <c r="C7897"/>
      <c r="D7897"/>
      <c r="E7897"/>
      <c r="F7897"/>
      <c r="G7897"/>
      <c r="H7897"/>
      <c r="I7897"/>
      <c r="J7897"/>
    </row>
    <row r="7898" spans="1:10" ht="15">
      <c r="A7898"/>
      <c r="B7898"/>
      <c r="C7898"/>
      <c r="D7898"/>
      <c r="E7898"/>
      <c r="F7898"/>
      <c r="G7898"/>
      <c r="H7898"/>
      <c r="I7898"/>
      <c r="J7898"/>
    </row>
    <row r="7899" spans="1:10" ht="15">
      <c r="A7899"/>
      <c r="B7899"/>
      <c r="C7899"/>
      <c r="D7899"/>
      <c r="E7899"/>
      <c r="F7899"/>
      <c r="G7899"/>
      <c r="H7899"/>
      <c r="I7899"/>
      <c r="J7899"/>
    </row>
    <row r="7900" spans="1:10" ht="15">
      <c r="A7900"/>
      <c r="B7900"/>
      <c r="C7900"/>
      <c r="D7900"/>
      <c r="E7900"/>
      <c r="F7900"/>
      <c r="G7900"/>
      <c r="H7900"/>
      <c r="I7900"/>
      <c r="J7900"/>
    </row>
    <row r="7901" spans="1:10" ht="15">
      <c r="A7901"/>
      <c r="B7901"/>
      <c r="C7901"/>
      <c r="D7901"/>
      <c r="E7901"/>
      <c r="F7901"/>
      <c r="G7901"/>
      <c r="H7901"/>
      <c r="I7901"/>
      <c r="J7901"/>
    </row>
    <row r="7902" spans="1:10" ht="15">
      <c r="A7902"/>
      <c r="B7902"/>
      <c r="C7902"/>
      <c r="D7902"/>
      <c r="E7902"/>
      <c r="F7902"/>
      <c r="G7902"/>
      <c r="H7902"/>
      <c r="I7902"/>
      <c r="J7902"/>
    </row>
    <row r="7903" spans="1:10" ht="15">
      <c r="A7903"/>
      <c r="B7903"/>
      <c r="C7903"/>
      <c r="D7903"/>
      <c r="E7903"/>
      <c r="F7903"/>
      <c r="G7903"/>
      <c r="H7903"/>
      <c r="I7903"/>
      <c r="J7903"/>
    </row>
    <row r="7904" spans="1:10" ht="15">
      <c r="A7904"/>
      <c r="B7904"/>
      <c r="C7904"/>
      <c r="D7904"/>
      <c r="E7904"/>
      <c r="F7904"/>
      <c r="G7904"/>
      <c r="H7904"/>
      <c r="I7904"/>
      <c r="J7904"/>
    </row>
    <row r="7905" spans="1:10" ht="15">
      <c r="A7905"/>
      <c r="B7905"/>
      <c r="C7905"/>
      <c r="D7905"/>
      <c r="E7905"/>
      <c r="F7905"/>
      <c r="G7905"/>
      <c r="H7905"/>
      <c r="I7905"/>
      <c r="J7905"/>
    </row>
    <row r="7906" spans="1:10" ht="15">
      <c r="A7906"/>
      <c r="B7906"/>
      <c r="C7906"/>
      <c r="D7906"/>
      <c r="E7906"/>
      <c r="F7906"/>
      <c r="G7906"/>
      <c r="H7906"/>
      <c r="I7906"/>
      <c r="J7906"/>
    </row>
    <row r="7907" spans="1:10" ht="15">
      <c r="A7907"/>
      <c r="B7907"/>
      <c r="C7907"/>
      <c r="D7907"/>
      <c r="E7907"/>
      <c r="F7907"/>
      <c r="G7907"/>
      <c r="H7907"/>
      <c r="I7907"/>
      <c r="J7907"/>
    </row>
    <row r="7908" spans="1:10" ht="15">
      <c r="A7908"/>
      <c r="B7908"/>
      <c r="C7908"/>
      <c r="D7908"/>
      <c r="E7908"/>
      <c r="F7908"/>
      <c r="G7908"/>
      <c r="H7908"/>
      <c r="I7908"/>
      <c r="J7908"/>
    </row>
    <row r="7909" spans="1:10" ht="15">
      <c r="A7909"/>
      <c r="B7909"/>
      <c r="C7909"/>
      <c r="D7909"/>
      <c r="E7909"/>
      <c r="F7909"/>
      <c r="G7909"/>
      <c r="H7909"/>
      <c r="I7909"/>
      <c r="J7909"/>
    </row>
    <row r="7910" spans="1:10" ht="15">
      <c r="A7910"/>
      <c r="B7910"/>
      <c r="C7910"/>
      <c r="D7910"/>
      <c r="E7910"/>
      <c r="F7910"/>
      <c r="G7910"/>
      <c r="H7910"/>
      <c r="I7910"/>
      <c r="J7910"/>
    </row>
    <row r="7911" spans="1:10" ht="15">
      <c r="A7911"/>
      <c r="B7911"/>
      <c r="C7911"/>
      <c r="D7911"/>
      <c r="E7911"/>
      <c r="F7911"/>
      <c r="G7911"/>
      <c r="H7911"/>
      <c r="I7911"/>
      <c r="J7911"/>
    </row>
  </sheetData>
  <sheetProtection algorithmName="SHA-512" hashValue="XCXV0xJzukN3F1r30C83R2YwdoIslcmZhD6D4Zzh8Y6wbU6VUtVXChxo/XPnyRuBM+Lmr0yn5H74zj4VbpDZww==" saltValue="zU/yO2FueA94Tw/ZduIC1Q==" spinCount="100000" sheet="1" objects="1" scenarios="1"/>
  <customSheetViews>
    <customSheetView guid="{849F61E1-F6D3-48F4-A6FF-68F8FE186D80}" scale="85" showGridLines="0">
      <selection activeCell="D36" sqref="D36"/>
      <pageMargins left="0.7" right="0.7" top="0.75" bottom="0.75" header="0.3" footer="0.3"/>
      <pageSetup paperSize="9" orientation="portrait" r:id="rId1"/>
    </customSheetView>
    <customSheetView guid="{1E1889AA-9C00-49BF-A07E-295053EABBEF}" scale="85">
      <pageMargins left="0.7" right="0.7" top="0.75" bottom="0.75" header="0.3" footer="0.3"/>
      <pageSetup paperSize="9" orientation="portrait" r:id="rId2"/>
    </customSheetView>
    <customSheetView guid="{83029BA9-344F-4783-B8F2-6704FB40A582}" scale="85" showGridLines="0">
      <selection activeCell="D36" sqref="D36"/>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Foglio14">
    <tabColor rgb="FFE4DFEC"/>
  </sheetPr>
  <dimension ref="A1:T175"/>
  <sheetViews>
    <sheetView showGridLines="0" zoomScale="85" zoomScaleNormal="85" workbookViewId="0"/>
  </sheetViews>
  <sheetFormatPr defaultColWidth="9.42578125" defaultRowHeight="12.75"/>
  <cols>
    <col min="1" max="1" width="15.5703125" style="339" bestFit="1" customWidth="1"/>
    <col min="2" max="2" width="43.5703125" style="124" customWidth="1"/>
    <col min="3" max="3" width="36.5703125" style="339" bestFit="1" customWidth="1"/>
    <col min="4" max="4" width="14.42578125" style="124" customWidth="1"/>
    <col min="5" max="5" width="28.42578125" style="124" bestFit="1" customWidth="1"/>
    <col min="6" max="6" width="15.5703125" style="339" customWidth="1"/>
    <col min="7" max="7" width="59.42578125" style="124" bestFit="1" customWidth="1"/>
    <col min="8" max="8" width="23.42578125" style="339" bestFit="1" customWidth="1"/>
    <col min="9" max="9" width="13.5703125" style="339" customWidth="1"/>
    <col min="10" max="10" width="14.5703125" style="124" customWidth="1"/>
    <col min="11" max="12" width="9.42578125" style="124"/>
    <col min="13" max="13" width="38.42578125" style="124" bestFit="1" customWidth="1"/>
    <col min="14" max="14" width="12" style="124" bestFit="1" customWidth="1"/>
    <col min="15" max="15" width="12.42578125" style="124" bestFit="1" customWidth="1"/>
    <col min="16" max="18" width="9.42578125" style="124"/>
    <col min="19" max="19" width="19.5703125" style="124" bestFit="1" customWidth="1"/>
    <col min="20" max="20" width="5.42578125" style="124" bestFit="1" customWidth="1"/>
    <col min="21" max="16384" width="9.42578125" style="124"/>
  </cols>
  <sheetData>
    <row r="1" spans="1:20" ht="13.5" thickBot="1">
      <c r="A1" s="386" t="s">
        <v>24724</v>
      </c>
      <c r="B1" s="117"/>
      <c r="C1" s="389"/>
    </row>
    <row r="2" spans="1:20">
      <c r="A2" s="387" t="s">
        <v>131</v>
      </c>
      <c r="B2" s="219" t="s">
        <v>132</v>
      </c>
      <c r="C2" s="390" t="s">
        <v>24736</v>
      </c>
      <c r="E2" s="220" t="s">
        <v>22743</v>
      </c>
      <c r="F2" s="394" t="s">
        <v>204</v>
      </c>
      <c r="G2" s="221" t="s">
        <v>134</v>
      </c>
      <c r="H2" s="398" t="s">
        <v>204</v>
      </c>
      <c r="I2" s="596" t="s">
        <v>135</v>
      </c>
      <c r="J2" s="598" t="s">
        <v>135</v>
      </c>
      <c r="K2" s="598" t="s">
        <v>30406</v>
      </c>
      <c r="L2" s="598" t="s">
        <v>30578</v>
      </c>
      <c r="M2" s="1066"/>
      <c r="N2" s="1066"/>
      <c r="O2" s="1066"/>
      <c r="P2" s="1066"/>
      <c r="Q2" s="1066"/>
      <c r="R2" s="1066"/>
      <c r="S2" s="1066"/>
      <c r="T2" s="1066"/>
    </row>
    <row r="3" spans="1:20">
      <c r="A3" s="388">
        <v>1</v>
      </c>
      <c r="B3" s="26" t="s">
        <v>136</v>
      </c>
      <c r="C3" s="391">
        <v>1</v>
      </c>
      <c r="E3" s="222" t="s">
        <v>133</v>
      </c>
      <c r="F3" s="395">
        <v>1</v>
      </c>
      <c r="G3" s="33" t="s">
        <v>142</v>
      </c>
      <c r="H3" s="399">
        <v>1</v>
      </c>
      <c r="I3" s="597">
        <v>2014</v>
      </c>
      <c r="J3" s="599">
        <v>2011</v>
      </c>
      <c r="K3" s="599" t="s">
        <v>30407</v>
      </c>
      <c r="L3" s="599" t="str">
        <f>+IF(iAF="SI","SI","NO")</f>
        <v>NO</v>
      </c>
      <c r="P3" s="1066"/>
      <c r="Q3" s="1066"/>
      <c r="R3" s="1066"/>
    </row>
    <row r="4" spans="1:20">
      <c r="A4" s="388">
        <v>2</v>
      </c>
      <c r="B4" s="26" t="s">
        <v>139</v>
      </c>
      <c r="C4" s="391">
        <v>1</v>
      </c>
      <c r="E4" s="222" t="s">
        <v>137</v>
      </c>
      <c r="F4" s="395">
        <v>2</v>
      </c>
      <c r="G4" s="33" t="s">
        <v>140</v>
      </c>
      <c r="H4" s="399">
        <v>2</v>
      </c>
      <c r="I4" s="597">
        <v>2015</v>
      </c>
      <c r="J4" s="599">
        <v>2012</v>
      </c>
      <c r="K4" s="599" t="s">
        <v>30408</v>
      </c>
      <c r="L4" s="3322" t="str">
        <f>+IF(OR(Dati_Anni_precedenti!E133=1,Dati_Anni_precedenti!E133="SI"),"SI",IF(iAF="SI","SI","NO"))</f>
        <v>NO</v>
      </c>
      <c r="P4" s="1066"/>
      <c r="Q4" s="1066"/>
      <c r="R4" s="1066"/>
    </row>
    <row r="5" spans="1:20">
      <c r="A5" s="388">
        <v>3</v>
      </c>
      <c r="B5" s="26" t="s">
        <v>141</v>
      </c>
      <c r="C5" s="391">
        <v>1</v>
      </c>
      <c r="F5" s="395">
        <v>3</v>
      </c>
      <c r="G5" s="33" t="s">
        <v>138</v>
      </c>
      <c r="H5" s="399">
        <v>3</v>
      </c>
      <c r="I5" s="597">
        <v>2016</v>
      </c>
      <c r="J5" s="599">
        <v>2013</v>
      </c>
      <c r="K5" s="599" t="s">
        <v>30408</v>
      </c>
      <c r="L5" s="3322" t="str">
        <f>+IF(OR(Dati_Anni_precedenti!F133=1,Dati_Anni_precedenti!F133="SI"),"SI",IF(iAF="SI","SI","NO"))</f>
        <v>NO</v>
      </c>
      <c r="P5" s="1066"/>
      <c r="Q5" s="1066"/>
      <c r="R5" s="1066"/>
    </row>
    <row r="6" spans="1:20" ht="13.5" thickBot="1">
      <c r="A6" s="388">
        <v>4</v>
      </c>
      <c r="B6" s="26" t="s">
        <v>143</v>
      </c>
      <c r="C6" s="391">
        <v>1</v>
      </c>
      <c r="F6" s="396">
        <v>4</v>
      </c>
      <c r="G6" s="223" t="s">
        <v>24725</v>
      </c>
      <c r="H6" s="400">
        <v>4</v>
      </c>
      <c r="I6" s="597">
        <v>2017</v>
      </c>
      <c r="J6" s="599">
        <v>2014</v>
      </c>
      <c r="K6" s="599" t="s">
        <v>30409</v>
      </c>
      <c r="L6" s="3322" t="str">
        <f>+IF(OR(Dati_Anni_precedenti!E128=1,Dati_Anni_precedenti!E128="SI"),"SI",IF(iAF="SI","SI","NO"))</f>
        <v>NO</v>
      </c>
      <c r="P6" s="1066"/>
      <c r="Q6" s="1066"/>
      <c r="R6" s="1066"/>
    </row>
    <row r="7" spans="1:20">
      <c r="A7" s="388">
        <v>5</v>
      </c>
      <c r="B7" s="26" t="s">
        <v>144</v>
      </c>
      <c r="C7" s="391">
        <v>0</v>
      </c>
      <c r="J7" s="599">
        <v>2015</v>
      </c>
      <c r="K7" s="599" t="s">
        <v>30409</v>
      </c>
      <c r="L7" s="3322" t="str">
        <f>+IF(OR(Dati_Anni_precedenti!F128=1,Dati_Anni_precedenti!F128="SI"),"SI",IF(iAF="SI","SI","NO"))</f>
        <v>NO</v>
      </c>
      <c r="P7" s="1066"/>
      <c r="Q7" s="1066"/>
      <c r="R7" s="1066"/>
      <c r="S7" s="1066"/>
      <c r="T7" s="1066"/>
    </row>
    <row r="8" spans="1:20">
      <c r="A8" s="388">
        <v>6</v>
      </c>
      <c r="B8" s="26" t="s">
        <v>145</v>
      </c>
      <c r="C8" s="391">
        <v>0</v>
      </c>
      <c r="J8" s="599">
        <v>2016</v>
      </c>
      <c r="K8" s="599" t="s">
        <v>30410</v>
      </c>
      <c r="L8" s="3322" t="str">
        <f>+IF(OR(Dati_Anni_precedenti!E122=1,Dati_Anni_precedenti!E122="SI"),"SI",IF(iAF="SI","SI","NO"))</f>
        <v>NO</v>
      </c>
      <c r="P8" s="1066"/>
      <c r="Q8" s="1066"/>
      <c r="R8" s="1066"/>
      <c r="S8" s="1066"/>
      <c r="T8" s="1066"/>
    </row>
    <row r="9" spans="1:20">
      <c r="A9" s="388">
        <v>7</v>
      </c>
      <c r="B9" s="26" t="s">
        <v>140</v>
      </c>
      <c r="C9" s="391">
        <v>0</v>
      </c>
      <c r="J9" s="599">
        <v>2017</v>
      </c>
      <c r="K9" s="599" t="s">
        <v>30410</v>
      </c>
      <c r="L9" s="3322" t="str">
        <f>+IF(OR(Dati_Anni_precedenti!F122=1,Dati_Anni_precedenti!F122="SI"),"SI",IF(iAF="SI","SI","NO"))</f>
        <v>NO</v>
      </c>
      <c r="P9" s="1066"/>
      <c r="Q9" s="1066"/>
      <c r="R9" s="1066"/>
      <c r="S9" s="1066"/>
      <c r="T9" s="1066"/>
    </row>
    <row r="10" spans="1:20">
      <c r="A10" s="388">
        <v>8</v>
      </c>
      <c r="B10" s="26" t="s">
        <v>138</v>
      </c>
      <c r="C10" s="391">
        <v>0</v>
      </c>
      <c r="J10" s="599">
        <v>2018</v>
      </c>
      <c r="K10" s="599" t="s">
        <v>30411</v>
      </c>
      <c r="L10" s="3323" t="str">
        <f>+IF(OR(Dati_Anni_precedenti!E117=1,Dati_Anni_precedenti!E117="SI"),"SI",IF(iAF="SI","SI","NO"))</f>
        <v>NO</v>
      </c>
      <c r="P10" s="1066"/>
      <c r="Q10" s="1066"/>
      <c r="R10" s="1066"/>
      <c r="S10" s="1066"/>
      <c r="T10" s="1066"/>
    </row>
    <row r="11" spans="1:20">
      <c r="J11" s="599">
        <v>2019</v>
      </c>
      <c r="K11" s="599" t="s">
        <v>30411</v>
      </c>
      <c r="L11" s="3322" t="str">
        <f>+IF(OR(Dati_Anni_precedenti!F117=1,Dati_Anni_precedenti!F117="SI"),"SI",IF(iAF="SI","SI","NO"))</f>
        <v>NO</v>
      </c>
      <c r="P11" s="1066"/>
      <c r="Q11" s="1066"/>
      <c r="R11" s="1066"/>
      <c r="S11" s="1066"/>
      <c r="T11" s="1066"/>
    </row>
    <row r="12" spans="1:20">
      <c r="J12" s="599">
        <v>2020</v>
      </c>
      <c r="K12" s="599" t="s">
        <v>30412</v>
      </c>
      <c r="L12" s="3323" t="str">
        <f>+IF(OR(Dati_Anni_precedenti!E109=1,Dati_Anni_precedenti!E109="SI"),"SI",IF(iAF="SI","SI","NO"))</f>
        <v>NO</v>
      </c>
      <c r="P12" s="1066"/>
      <c r="Q12" s="1066"/>
      <c r="R12" s="1066"/>
      <c r="S12" s="1066"/>
      <c r="T12" s="1066"/>
    </row>
    <row r="13" spans="1:20">
      <c r="B13" s="21" t="s">
        <v>146</v>
      </c>
      <c r="C13" s="392" t="s">
        <v>24873</v>
      </c>
      <c r="D13" s="219" t="s">
        <v>147</v>
      </c>
      <c r="E13" s="219" t="s">
        <v>148</v>
      </c>
      <c r="G13" s="21" t="s">
        <v>149</v>
      </c>
      <c r="I13" s="387" t="s">
        <v>24749</v>
      </c>
      <c r="J13" s="599">
        <v>2021</v>
      </c>
      <c r="K13" s="599" t="s">
        <v>30412</v>
      </c>
      <c r="L13" s="3323" t="str">
        <f>+IF(OR(Dati_Anni_precedenti!F109=1,Dati_Anni_precedenti!F109="SI"),"SI",IF(iAF="SI","SI","NO"))</f>
        <v>NO</v>
      </c>
      <c r="P13" s="1066"/>
      <c r="Q13" s="1066"/>
      <c r="R13" s="1066"/>
      <c r="S13" s="1066"/>
      <c r="T13" s="1066"/>
    </row>
    <row r="14" spans="1:20">
      <c r="B14" s="224" t="s">
        <v>150</v>
      </c>
      <c r="C14" s="393" t="s">
        <v>151</v>
      </c>
      <c r="D14" s="26" t="s">
        <v>152</v>
      </c>
      <c r="E14" s="26" t="s">
        <v>153</v>
      </c>
      <c r="G14" s="33" t="s">
        <v>154</v>
      </c>
      <c r="I14" s="397" t="s">
        <v>5</v>
      </c>
      <c r="J14" s="599">
        <v>2022</v>
      </c>
      <c r="K14" s="599" t="s">
        <v>30131</v>
      </c>
      <c r="L14" s="1927" t="str">
        <f>+IF(OR(Ammortamento_Finanziario!F4=1,Ammortamento_Finanziario!F4="SI"),"SI",IF(iAF="SI","SI","NO"))</f>
        <v>NO</v>
      </c>
    </row>
    <row r="15" spans="1:20" ht="25.5">
      <c r="B15" s="224" t="s">
        <v>155</v>
      </c>
      <c r="C15" s="393" t="s">
        <v>156</v>
      </c>
      <c r="D15" s="26" t="s">
        <v>157</v>
      </c>
      <c r="E15" s="26" t="s">
        <v>158</v>
      </c>
      <c r="G15" s="2422" t="s">
        <v>31185</v>
      </c>
      <c r="I15" s="397" t="s">
        <v>4</v>
      </c>
      <c r="J15" s="599">
        <v>2023</v>
      </c>
      <c r="K15" s="599" t="s">
        <v>30131</v>
      </c>
      <c r="L15" s="1927" t="str">
        <f>+IF(OR(Ammortamento_Finanziario!G4=1,Ammortamento_Finanziario!G4="SI"),"SI",IF(iAF="SI","SI","NO"))</f>
        <v>NO</v>
      </c>
    </row>
    <row r="16" spans="1:20">
      <c r="B16" s="224" t="s">
        <v>8</v>
      </c>
      <c r="C16" s="393" t="s">
        <v>159</v>
      </c>
      <c r="D16" s="26" t="s">
        <v>160</v>
      </c>
      <c r="E16" s="26" t="s">
        <v>161</v>
      </c>
      <c r="G16" s="2422" t="s">
        <v>31186</v>
      </c>
      <c r="J16" s="599">
        <v>2024</v>
      </c>
      <c r="K16" s="599" t="s">
        <v>30131</v>
      </c>
      <c r="L16" s="1927" t="str">
        <f>+IF(OR(Ammortamento_Finanziario!H4=1,Ammortamento_Finanziario!H4="SI"),"SI",IF(iAF="SI","SI","NO"))</f>
        <v>NO</v>
      </c>
    </row>
    <row r="17" spans="2:12">
      <c r="B17" s="224" t="s">
        <v>162</v>
      </c>
      <c r="C17" s="393" t="s">
        <v>163</v>
      </c>
      <c r="D17" s="226"/>
      <c r="E17" s="225" t="s">
        <v>164</v>
      </c>
      <c r="G17" s="2422" t="s">
        <v>31187</v>
      </c>
      <c r="J17" s="599">
        <v>2025</v>
      </c>
      <c r="K17" s="599" t="s">
        <v>30131</v>
      </c>
      <c r="L17" s="1927" t="str">
        <f>+IF(OR(Ammortamento_Finanziario!I4=1,Ammortamento_Finanziario!I4="SI"),"SI",IF(iAF="SI","SI","NO"))</f>
        <v>NO</v>
      </c>
    </row>
    <row r="18" spans="2:12">
      <c r="B18" s="224" t="s">
        <v>159</v>
      </c>
      <c r="C18" s="393" t="s">
        <v>165</v>
      </c>
      <c r="D18" s="226"/>
      <c r="E18" s="33" t="s">
        <v>166</v>
      </c>
      <c r="G18" s="33" t="s">
        <v>167</v>
      </c>
      <c r="J18" s="599">
        <v>2026</v>
      </c>
      <c r="K18" s="599" t="s">
        <v>30131</v>
      </c>
      <c r="L18" s="1927" t="str">
        <f>+IF(OR(Ammortamento_Finanziario!J4=1,Ammortamento_Finanziario!J4="SI"),"SI",IF(iAF="SI","SI","NO"))</f>
        <v>NO</v>
      </c>
    </row>
    <row r="19" spans="2:12">
      <c r="B19" s="224" t="s">
        <v>168</v>
      </c>
      <c r="C19" s="393" t="s">
        <v>169</v>
      </c>
      <c r="D19" s="226"/>
      <c r="E19" s="33" t="s">
        <v>170</v>
      </c>
      <c r="J19" s="599">
        <v>2027</v>
      </c>
      <c r="K19" s="599" t="s">
        <v>30131</v>
      </c>
      <c r="L19" s="1927" t="str">
        <f>+IF(OR(Ammortamento_Finanziario!K4=1,Ammortamento_Finanziario!K4="SI"),"SI",IF(iAF="SI","SI","NO"))</f>
        <v>NO</v>
      </c>
    </row>
    <row r="20" spans="2:12">
      <c r="C20" s="393" t="s">
        <v>171</v>
      </c>
      <c r="D20" s="226"/>
      <c r="E20" s="33" t="s">
        <v>172</v>
      </c>
      <c r="G20" s="21" t="s">
        <v>24812</v>
      </c>
    </row>
    <row r="21" spans="2:12">
      <c r="B21" s="220" t="s">
        <v>173</v>
      </c>
      <c r="C21" s="393" t="s">
        <v>174</v>
      </c>
      <c r="D21" s="226"/>
      <c r="E21" s="33" t="s">
        <v>175</v>
      </c>
      <c r="G21" s="33" t="s">
        <v>24817</v>
      </c>
    </row>
    <row r="22" spans="2:12">
      <c r="B22" s="227" t="s">
        <v>176</v>
      </c>
      <c r="C22" s="393" t="s">
        <v>177</v>
      </c>
      <c r="D22" s="226"/>
      <c r="E22" s="33" t="s">
        <v>178</v>
      </c>
      <c r="G22" s="33" t="s">
        <v>24767</v>
      </c>
    </row>
    <row r="23" spans="2:12">
      <c r="B23" s="227" t="s">
        <v>179</v>
      </c>
      <c r="C23" s="393" t="s">
        <v>180</v>
      </c>
      <c r="D23" s="226"/>
      <c r="E23" s="33" t="s">
        <v>181</v>
      </c>
      <c r="G23" s="33" t="s">
        <v>24768</v>
      </c>
    </row>
    <row r="24" spans="2:12">
      <c r="B24" s="227" t="s">
        <v>182</v>
      </c>
      <c r="C24" s="393" t="s">
        <v>183</v>
      </c>
      <c r="D24" s="226"/>
    </row>
    <row r="25" spans="2:12">
      <c r="B25" s="228" t="s">
        <v>184</v>
      </c>
      <c r="D25" s="226"/>
      <c r="G25" s="21" t="s">
        <v>22825</v>
      </c>
    </row>
    <row r="26" spans="2:12">
      <c r="B26" s="228" t="s">
        <v>185</v>
      </c>
      <c r="D26" s="226"/>
      <c r="G26" s="33" t="s">
        <v>27004</v>
      </c>
    </row>
    <row r="27" spans="2:12">
      <c r="B27" s="228" t="s">
        <v>186</v>
      </c>
      <c r="D27" s="226"/>
      <c r="G27" s="33" t="s">
        <v>0</v>
      </c>
    </row>
    <row r="28" spans="2:12">
      <c r="D28" s="226"/>
    </row>
    <row r="29" spans="2:12">
      <c r="B29" s="229" t="s">
        <v>3</v>
      </c>
      <c r="D29" s="226"/>
    </row>
    <row r="30" spans="2:12">
      <c r="D30" s="226"/>
    </row>
    <row r="31" spans="2:12">
      <c r="D31" s="226"/>
      <c r="F31" s="387" t="s">
        <v>204</v>
      </c>
      <c r="G31" s="21" t="s">
        <v>205</v>
      </c>
      <c r="H31" s="387" t="s">
        <v>204</v>
      </c>
      <c r="I31" s="387" t="s">
        <v>30395</v>
      </c>
    </row>
    <row r="32" spans="2:12">
      <c r="F32" s="397">
        <v>1</v>
      </c>
      <c r="G32" s="33" t="s">
        <v>114</v>
      </c>
      <c r="H32" s="397">
        <v>1</v>
      </c>
      <c r="I32" s="397" t="s">
        <v>21</v>
      </c>
    </row>
    <row r="33" spans="2:9">
      <c r="F33" s="397">
        <v>2</v>
      </c>
      <c r="G33" s="33" t="s">
        <v>115</v>
      </c>
      <c r="H33" s="397">
        <v>2</v>
      </c>
      <c r="I33" s="397">
        <v>40</v>
      </c>
    </row>
    <row r="34" spans="2:9">
      <c r="B34" s="21" t="s">
        <v>24892</v>
      </c>
      <c r="F34" s="397">
        <v>3</v>
      </c>
      <c r="G34" s="33" t="s">
        <v>116</v>
      </c>
      <c r="H34" s="397">
        <v>3</v>
      </c>
      <c r="I34" s="397">
        <v>40</v>
      </c>
    </row>
    <row r="35" spans="2:9">
      <c r="B35" s="33" t="s">
        <v>249</v>
      </c>
      <c r="F35" s="397">
        <v>4</v>
      </c>
      <c r="G35" s="33" t="s">
        <v>117</v>
      </c>
      <c r="H35" s="397">
        <v>4</v>
      </c>
      <c r="I35" s="397">
        <v>40</v>
      </c>
    </row>
    <row r="36" spans="2:9">
      <c r="B36" s="33" t="s">
        <v>230</v>
      </c>
      <c r="F36" s="397">
        <v>5</v>
      </c>
      <c r="G36" s="33" t="s">
        <v>118</v>
      </c>
      <c r="H36" s="397">
        <v>5</v>
      </c>
      <c r="I36" s="397">
        <v>40</v>
      </c>
    </row>
    <row r="37" spans="2:9">
      <c r="B37" s="33" t="s">
        <v>22893</v>
      </c>
      <c r="F37" s="397">
        <v>6</v>
      </c>
      <c r="G37" s="33" t="s">
        <v>119</v>
      </c>
      <c r="H37" s="397">
        <v>6</v>
      </c>
      <c r="I37" s="397">
        <v>50</v>
      </c>
    </row>
    <row r="38" spans="2:9">
      <c r="B38" s="10"/>
      <c r="F38" s="397">
        <v>7</v>
      </c>
      <c r="G38" s="33" t="s">
        <v>120</v>
      </c>
      <c r="H38" s="397">
        <v>7</v>
      </c>
      <c r="I38" s="397">
        <v>12</v>
      </c>
    </row>
    <row r="39" spans="2:9">
      <c r="B39" s="10"/>
      <c r="F39" s="397">
        <v>8</v>
      </c>
      <c r="G39" s="33" t="s">
        <v>121</v>
      </c>
      <c r="H39" s="397">
        <v>8</v>
      </c>
      <c r="I39" s="397">
        <v>8</v>
      </c>
    </row>
    <row r="40" spans="2:9">
      <c r="B40" s="114" t="s">
        <v>24806</v>
      </c>
      <c r="F40" s="397">
        <v>9</v>
      </c>
      <c r="G40" s="33" t="s">
        <v>122</v>
      </c>
      <c r="H40" s="397">
        <v>9</v>
      </c>
      <c r="I40" s="397">
        <v>15</v>
      </c>
    </row>
    <row r="41" spans="2:9">
      <c r="B41" s="33" t="s">
        <v>24807</v>
      </c>
      <c r="F41" s="397">
        <v>10</v>
      </c>
      <c r="G41" s="33" t="s">
        <v>123</v>
      </c>
      <c r="H41" s="397">
        <v>10</v>
      </c>
      <c r="I41" s="397">
        <v>15</v>
      </c>
    </row>
    <row r="42" spans="2:9">
      <c r="B42" s="33" t="s">
        <v>24808</v>
      </c>
      <c r="F42" s="397">
        <v>11</v>
      </c>
      <c r="G42" s="33" t="s">
        <v>124</v>
      </c>
      <c r="H42" s="397">
        <v>11</v>
      </c>
      <c r="I42" s="397">
        <v>20</v>
      </c>
    </row>
    <row r="43" spans="2:9">
      <c r="F43" s="397">
        <v>12</v>
      </c>
      <c r="G43" s="33" t="s">
        <v>125</v>
      </c>
      <c r="H43" s="397">
        <v>12</v>
      </c>
      <c r="I43" s="397">
        <v>10</v>
      </c>
    </row>
    <row r="44" spans="2:9">
      <c r="B44" s="114" t="s">
        <v>24809</v>
      </c>
      <c r="F44" s="397">
        <v>13</v>
      </c>
      <c r="G44" s="33" t="s">
        <v>206</v>
      </c>
      <c r="H44" s="397">
        <v>13</v>
      </c>
      <c r="I44" s="397">
        <v>8</v>
      </c>
    </row>
    <row r="45" spans="2:9">
      <c r="B45" s="33" t="s">
        <v>24810</v>
      </c>
      <c r="F45" s="397">
        <v>14</v>
      </c>
      <c r="G45" s="33" t="s">
        <v>127</v>
      </c>
      <c r="H45" s="397">
        <v>14</v>
      </c>
      <c r="I45" s="397">
        <v>5</v>
      </c>
    </row>
    <row r="46" spans="2:9">
      <c r="B46" s="33" t="s">
        <v>24811</v>
      </c>
      <c r="F46" s="397">
        <v>15</v>
      </c>
      <c r="G46" s="33" t="s">
        <v>128</v>
      </c>
      <c r="H46" s="397">
        <v>15</v>
      </c>
      <c r="I46" s="397">
        <v>5</v>
      </c>
    </row>
    <row r="47" spans="2:9">
      <c r="F47" s="1874">
        <v>16</v>
      </c>
      <c r="G47" s="1875" t="s">
        <v>207</v>
      </c>
      <c r="H47" s="1874">
        <v>16</v>
      </c>
      <c r="I47" s="1874">
        <v>7</v>
      </c>
    </row>
    <row r="48" spans="2:9">
      <c r="B48" s="114" t="s">
        <v>24840</v>
      </c>
      <c r="F48" s="1874">
        <v>17</v>
      </c>
      <c r="G48" s="1875" t="s">
        <v>208</v>
      </c>
      <c r="H48" s="1874">
        <v>17</v>
      </c>
      <c r="I48" s="1874" t="s">
        <v>21</v>
      </c>
    </row>
    <row r="49" spans="2:9" ht="25.5">
      <c r="B49" s="33" t="s">
        <v>24841</v>
      </c>
      <c r="F49" s="2423">
        <v>38</v>
      </c>
      <c r="G49" s="2422" t="s">
        <v>30133</v>
      </c>
      <c r="H49" s="2423">
        <v>38</v>
      </c>
      <c r="I49" s="2423">
        <v>60</v>
      </c>
    </row>
    <row r="50" spans="2:9" ht="25.5">
      <c r="B50" s="33" t="s">
        <v>24842</v>
      </c>
      <c r="F50" s="2423">
        <v>39</v>
      </c>
      <c r="G50" s="2422" t="s">
        <v>30134</v>
      </c>
      <c r="H50" s="2423">
        <v>39</v>
      </c>
      <c r="I50" s="2423">
        <v>30</v>
      </c>
    </row>
    <row r="52" spans="2:9">
      <c r="B52" s="114" t="s">
        <v>25415</v>
      </c>
      <c r="G52" s="21" t="s">
        <v>24816</v>
      </c>
    </row>
    <row r="53" spans="2:9">
      <c r="B53" s="33" t="s">
        <v>25416</v>
      </c>
      <c r="G53" s="33" t="s">
        <v>27003</v>
      </c>
    </row>
    <row r="54" spans="2:9">
      <c r="B54" s="33" t="s">
        <v>25417</v>
      </c>
      <c r="G54" s="33" t="s">
        <v>24813</v>
      </c>
    </row>
    <row r="55" spans="2:9">
      <c r="G55" s="33" t="s">
        <v>24814</v>
      </c>
    </row>
    <row r="56" spans="2:9">
      <c r="G56" s="33" t="s">
        <v>24815</v>
      </c>
    </row>
    <row r="57" spans="2:9">
      <c r="B57" s="1604" t="s">
        <v>28815</v>
      </c>
    </row>
    <row r="58" spans="2:9">
      <c r="B58" s="393" t="s">
        <v>29762</v>
      </c>
    </row>
    <row r="59" spans="2:9">
      <c r="B59" s="393" t="s">
        <v>29758</v>
      </c>
    </row>
    <row r="60" spans="2:9">
      <c r="B60" s="393" t="s">
        <v>27068</v>
      </c>
    </row>
    <row r="61" spans="2:9">
      <c r="B61" s="339"/>
    </row>
    <row r="62" spans="2:9">
      <c r="B62" s="1604" t="s">
        <v>29763</v>
      </c>
    </row>
    <row r="63" spans="2:9">
      <c r="B63" s="1767" t="s">
        <v>26558</v>
      </c>
      <c r="G63" s="932" t="s">
        <v>26492</v>
      </c>
    </row>
    <row r="64" spans="2:9">
      <c r="B64" s="393" t="s">
        <v>26559</v>
      </c>
      <c r="G64" s="933" t="s">
        <v>26514</v>
      </c>
    </row>
    <row r="65" spans="2:8">
      <c r="B65" s="393" t="s">
        <v>145</v>
      </c>
      <c r="G65" s="933" t="s">
        <v>26517</v>
      </c>
    </row>
    <row r="66" spans="2:8">
      <c r="B66" s="393" t="s">
        <v>8</v>
      </c>
      <c r="G66" s="933" t="s">
        <v>26518</v>
      </c>
    </row>
    <row r="67" spans="2:8">
      <c r="G67" s="933" t="s">
        <v>26519</v>
      </c>
    </row>
    <row r="68" spans="2:8">
      <c r="G68" s="933" t="s">
        <v>26520</v>
      </c>
    </row>
    <row r="69" spans="2:8">
      <c r="G69" s="933" t="s">
        <v>26521</v>
      </c>
    </row>
    <row r="70" spans="2:8">
      <c r="B70" s="2116" t="s">
        <v>30956</v>
      </c>
      <c r="G70" s="933" t="s">
        <v>26522</v>
      </c>
    </row>
    <row r="71" spans="2:8">
      <c r="B71" s="2117" t="s">
        <v>30944</v>
      </c>
    </row>
    <row r="72" spans="2:8">
      <c r="B72" s="2117" t="s">
        <v>30945</v>
      </c>
    </row>
    <row r="73" spans="2:8">
      <c r="B73" s="2117" t="s">
        <v>30946</v>
      </c>
    </row>
    <row r="74" spans="2:8">
      <c r="B74" s="2117" t="s">
        <v>30947</v>
      </c>
    </row>
    <row r="75" spans="2:8">
      <c r="B75" s="2117" t="s">
        <v>30949</v>
      </c>
      <c r="G75" s="3677" t="s">
        <v>26513</v>
      </c>
      <c r="H75" s="3677"/>
    </row>
    <row r="76" spans="2:8">
      <c r="B76" s="2117" t="s">
        <v>30948</v>
      </c>
      <c r="G76" s="933" t="s">
        <v>26514</v>
      </c>
      <c r="H76" s="987" t="s">
        <v>27095</v>
      </c>
    </row>
    <row r="77" spans="2:8">
      <c r="G77" s="933" t="s">
        <v>26514</v>
      </c>
      <c r="H77" s="987" t="s">
        <v>26515</v>
      </c>
    </row>
    <row r="78" spans="2:8">
      <c r="G78" s="933" t="s">
        <v>26514</v>
      </c>
      <c r="H78" s="987" t="s">
        <v>26516</v>
      </c>
    </row>
    <row r="79" spans="2:8">
      <c r="B79" s="2116" t="s">
        <v>31189</v>
      </c>
      <c r="G79" s="933" t="s">
        <v>26514</v>
      </c>
      <c r="H79" s="987" t="s">
        <v>26523</v>
      </c>
    </row>
    <row r="80" spans="2:8">
      <c r="B80" s="2117" t="s">
        <v>31190</v>
      </c>
      <c r="G80" s="933" t="s">
        <v>26514</v>
      </c>
      <c r="H80" s="987" t="s">
        <v>26524</v>
      </c>
    </row>
    <row r="81" spans="2:8">
      <c r="B81" s="2117" t="s">
        <v>31191</v>
      </c>
      <c r="G81" s="933" t="s">
        <v>26514</v>
      </c>
      <c r="H81" s="1347" t="s">
        <v>29593</v>
      </c>
    </row>
    <row r="82" spans="2:8">
      <c r="B82" s="2117" t="s">
        <v>30948</v>
      </c>
      <c r="G82" s="933" t="s">
        <v>26514</v>
      </c>
      <c r="H82" s="1347" t="s">
        <v>29594</v>
      </c>
    </row>
    <row r="83" spans="2:8">
      <c r="B83" s="2118"/>
      <c r="G83" s="933" t="s">
        <v>26514</v>
      </c>
      <c r="H83" s="1347" t="s">
        <v>29595</v>
      </c>
    </row>
    <row r="84" spans="2:8">
      <c r="B84" s="2118"/>
      <c r="G84" s="933" t="s">
        <v>26514</v>
      </c>
      <c r="H84" s="1347" t="s">
        <v>29596</v>
      </c>
    </row>
    <row r="85" spans="2:8">
      <c r="B85" s="2118"/>
      <c r="G85" s="933" t="s">
        <v>26514</v>
      </c>
      <c r="H85" s="1347" t="s">
        <v>29597</v>
      </c>
    </row>
    <row r="86" spans="2:8">
      <c r="B86" s="2116" t="s">
        <v>30927</v>
      </c>
      <c r="C86" s="2116" t="s">
        <v>31224</v>
      </c>
      <c r="D86" s="2116" t="s">
        <v>210</v>
      </c>
      <c r="G86" s="933" t="s">
        <v>26514</v>
      </c>
      <c r="H86" s="1347" t="s">
        <v>29598</v>
      </c>
    </row>
    <row r="87" spans="2:8" ht="51">
      <c r="B87" s="2117" t="s">
        <v>31221</v>
      </c>
      <c r="C87" s="2117" t="s">
        <v>31222</v>
      </c>
      <c r="D87" s="2117" t="s">
        <v>31221</v>
      </c>
      <c r="G87" s="933" t="s">
        <v>26514</v>
      </c>
      <c r="H87" s="1347" t="s">
        <v>29599</v>
      </c>
    </row>
    <row r="88" spans="2:8" ht="38.25">
      <c r="B88" s="2117" t="s">
        <v>31223</v>
      </c>
      <c r="C88" s="2117" t="s">
        <v>31220</v>
      </c>
      <c r="D88" s="2117" t="s">
        <v>31223</v>
      </c>
      <c r="G88" s="933" t="s">
        <v>26514</v>
      </c>
      <c r="H88" s="1347" t="s">
        <v>29600</v>
      </c>
    </row>
    <row r="89" spans="2:8" ht="15">
      <c r="B89"/>
      <c r="C89"/>
      <c r="D89"/>
      <c r="G89" s="933" t="s">
        <v>26514</v>
      </c>
      <c r="H89" s="1347" t="s">
        <v>29601</v>
      </c>
    </row>
    <row r="90" spans="2:8">
      <c r="G90" s="933" t="s">
        <v>26514</v>
      </c>
      <c r="H90" s="1347" t="s">
        <v>29602</v>
      </c>
    </row>
    <row r="91" spans="2:8">
      <c r="G91" s="933" t="s">
        <v>26517</v>
      </c>
      <c r="H91" s="987" t="s">
        <v>29603</v>
      </c>
    </row>
    <row r="92" spans="2:8">
      <c r="G92" s="933" t="s">
        <v>26518</v>
      </c>
      <c r="H92" s="987" t="s">
        <v>29604</v>
      </c>
    </row>
    <row r="93" spans="2:8">
      <c r="G93" s="933" t="s">
        <v>26519</v>
      </c>
      <c r="H93" s="987"/>
    </row>
    <row r="94" spans="2:8">
      <c r="G94" s="933" t="s">
        <v>26520</v>
      </c>
      <c r="H94" s="987"/>
    </row>
    <row r="95" spans="2:8">
      <c r="G95" s="933" t="s">
        <v>26521</v>
      </c>
      <c r="H95" s="987"/>
    </row>
    <row r="96" spans="2:8">
      <c r="G96" s="933" t="s">
        <v>26522</v>
      </c>
      <c r="H96" s="987"/>
    </row>
    <row r="102" spans="6:8">
      <c r="F102" s="387" t="s">
        <v>204</v>
      </c>
      <c r="G102" s="21" t="s">
        <v>26591</v>
      </c>
      <c r="H102" s="387" t="s">
        <v>204</v>
      </c>
    </row>
    <row r="103" spans="6:8">
      <c r="F103" s="397">
        <v>1</v>
      </c>
      <c r="G103" s="33" t="s">
        <v>114</v>
      </c>
      <c r="H103" s="397">
        <v>1</v>
      </c>
    </row>
    <row r="104" spans="6:8">
      <c r="F104" s="397">
        <v>2</v>
      </c>
      <c r="G104" s="33" t="s">
        <v>115</v>
      </c>
      <c r="H104" s="397">
        <v>2</v>
      </c>
    </row>
    <row r="105" spans="6:8">
      <c r="F105" s="397">
        <v>3</v>
      </c>
      <c r="G105" s="33" t="s">
        <v>116</v>
      </c>
      <c r="H105" s="397">
        <v>3</v>
      </c>
    </row>
    <row r="106" spans="6:8">
      <c r="F106" s="397">
        <v>4</v>
      </c>
      <c r="G106" s="33" t="s">
        <v>117</v>
      </c>
      <c r="H106" s="397">
        <v>4</v>
      </c>
    </row>
    <row r="107" spans="6:8">
      <c r="F107" s="397">
        <v>5</v>
      </c>
      <c r="G107" s="33" t="s">
        <v>118</v>
      </c>
      <c r="H107" s="397">
        <v>5</v>
      </c>
    </row>
    <row r="108" spans="6:8">
      <c r="F108" s="397">
        <v>6</v>
      </c>
      <c r="G108" s="33" t="s">
        <v>119</v>
      </c>
      <c r="H108" s="397">
        <v>6</v>
      </c>
    </row>
    <row r="109" spans="6:8">
      <c r="F109" s="397">
        <v>7</v>
      </c>
      <c r="G109" s="33" t="s">
        <v>120</v>
      </c>
      <c r="H109" s="397">
        <v>7</v>
      </c>
    </row>
    <row r="110" spans="6:8">
      <c r="F110" s="397">
        <v>8</v>
      </c>
      <c r="G110" s="33" t="s">
        <v>121</v>
      </c>
      <c r="H110" s="397">
        <v>8</v>
      </c>
    </row>
    <row r="111" spans="6:8">
      <c r="F111" s="397">
        <v>9</v>
      </c>
      <c r="G111" s="33" t="s">
        <v>122</v>
      </c>
      <c r="H111" s="397">
        <v>9</v>
      </c>
    </row>
    <row r="112" spans="6:8">
      <c r="F112" s="397">
        <v>10</v>
      </c>
      <c r="G112" s="33" t="s">
        <v>123</v>
      </c>
      <c r="H112" s="397">
        <v>10</v>
      </c>
    </row>
    <row r="113" spans="4:11">
      <c r="F113" s="397">
        <v>11</v>
      </c>
      <c r="G113" s="33" t="s">
        <v>124</v>
      </c>
      <c r="H113" s="397">
        <v>11</v>
      </c>
    </row>
    <row r="114" spans="4:11">
      <c r="F114" s="397">
        <v>12</v>
      </c>
      <c r="G114" s="33" t="s">
        <v>125</v>
      </c>
      <c r="H114" s="397">
        <v>12</v>
      </c>
    </row>
    <row r="115" spans="4:11">
      <c r="F115" s="397">
        <v>13</v>
      </c>
      <c r="G115" s="33" t="s">
        <v>206</v>
      </c>
      <c r="H115" s="397">
        <v>13</v>
      </c>
    </row>
    <row r="116" spans="4:11">
      <c r="F116" s="397">
        <v>14</v>
      </c>
      <c r="G116" s="33" t="s">
        <v>127</v>
      </c>
      <c r="H116" s="397">
        <v>14</v>
      </c>
    </row>
    <row r="117" spans="4:11">
      <c r="F117" s="397">
        <v>15</v>
      </c>
      <c r="G117" s="33" t="s">
        <v>128</v>
      </c>
      <c r="H117" s="397">
        <v>15</v>
      </c>
    </row>
    <row r="118" spans="4:11">
      <c r="F118" s="397">
        <v>16</v>
      </c>
      <c r="G118" s="33" t="s">
        <v>207</v>
      </c>
      <c r="H118" s="397">
        <v>16</v>
      </c>
    </row>
    <row r="119" spans="4:11">
      <c r="F119" s="397">
        <v>17</v>
      </c>
      <c r="G119" s="33" t="s">
        <v>208</v>
      </c>
      <c r="H119" s="397">
        <v>17</v>
      </c>
    </row>
    <row r="120" spans="4:11" ht="25.5">
      <c r="F120" s="2423">
        <v>38</v>
      </c>
      <c r="G120" s="2422" t="s">
        <v>30133</v>
      </c>
      <c r="H120" s="2423">
        <v>38</v>
      </c>
    </row>
    <row r="121" spans="4:11" ht="25.5">
      <c r="F121" s="2423">
        <v>39</v>
      </c>
      <c r="G121" s="2422" t="s">
        <v>30134</v>
      </c>
      <c r="H121" s="2423">
        <v>39</v>
      </c>
    </row>
    <row r="125" spans="4:11" ht="29.85" customHeight="1" thickBot="1"/>
    <row r="126" spans="4:11" ht="31.35" customHeight="1" thickBot="1">
      <c r="D126" s="1052" t="s">
        <v>22703</v>
      </c>
      <c r="E126" s="1052" t="s">
        <v>26592</v>
      </c>
      <c r="F126" s="1053" t="s">
        <v>26593</v>
      </c>
      <c r="G126" s="1053" t="s">
        <v>26594</v>
      </c>
      <c r="H126" s="1054" t="s">
        <v>26595</v>
      </c>
      <c r="I126" s="1052" t="s">
        <v>26592</v>
      </c>
      <c r="J126" s="1053" t="s">
        <v>26634</v>
      </c>
      <c r="K126" s="1052" t="s">
        <v>22703</v>
      </c>
    </row>
    <row r="127" spans="4:11" ht="26.25" thickBot="1">
      <c r="D127" s="1057">
        <v>38</v>
      </c>
      <c r="E127" s="1057" t="s">
        <v>26558</v>
      </c>
      <c r="F127" s="1055" t="s">
        <v>30132</v>
      </c>
      <c r="G127" s="1056" t="s">
        <v>30133</v>
      </c>
      <c r="H127" s="4">
        <v>60</v>
      </c>
      <c r="I127" s="1057" t="s">
        <v>26558</v>
      </c>
      <c r="J127" s="1055" t="s">
        <v>30132</v>
      </c>
      <c r="K127" s="1057">
        <v>38</v>
      </c>
    </row>
    <row r="128" spans="4:11" ht="26.25" customHeight="1" thickBot="1">
      <c r="D128" s="1057">
        <v>39</v>
      </c>
      <c r="E128" s="1057" t="s">
        <v>26558</v>
      </c>
      <c r="F128" s="1055" t="s">
        <v>30132</v>
      </c>
      <c r="G128" s="1056" t="s">
        <v>30134</v>
      </c>
      <c r="H128" s="4">
        <v>30</v>
      </c>
      <c r="I128" s="1057" t="s">
        <v>26558</v>
      </c>
      <c r="J128" s="1055" t="s">
        <v>30132</v>
      </c>
      <c r="K128" s="1057">
        <v>39</v>
      </c>
    </row>
    <row r="129" spans="4:11" ht="13.5" thickBot="1">
      <c r="D129" s="1057">
        <v>2</v>
      </c>
      <c r="E129" s="1057" t="s">
        <v>26558</v>
      </c>
      <c r="F129" s="1055" t="s">
        <v>26596</v>
      </c>
      <c r="G129" s="1056" t="s">
        <v>26597</v>
      </c>
      <c r="H129" s="4">
        <v>40</v>
      </c>
      <c r="I129" s="1057" t="s">
        <v>26558</v>
      </c>
      <c r="J129" s="1055" t="s">
        <v>26596</v>
      </c>
      <c r="K129" s="1057">
        <v>2</v>
      </c>
    </row>
    <row r="130" spans="4:11" ht="13.5" thickBot="1">
      <c r="D130" s="1057">
        <v>3</v>
      </c>
      <c r="E130" s="1057" t="s">
        <v>26558</v>
      </c>
      <c r="F130" s="1055" t="s">
        <v>26598</v>
      </c>
      <c r="G130" s="1056" t="s">
        <v>26599</v>
      </c>
      <c r="H130" s="4">
        <v>40</v>
      </c>
      <c r="I130" s="1057" t="s">
        <v>26558</v>
      </c>
      <c r="J130" s="1055" t="s">
        <v>26598</v>
      </c>
      <c r="K130" s="1057">
        <v>3</v>
      </c>
    </row>
    <row r="131" spans="4:11" ht="26.25" customHeight="1" thickBot="1">
      <c r="D131" s="1057">
        <v>4</v>
      </c>
      <c r="E131" s="1057" t="s">
        <v>26558</v>
      </c>
      <c r="F131" s="1055" t="s">
        <v>26600</v>
      </c>
      <c r="G131" s="1056" t="s">
        <v>119</v>
      </c>
      <c r="H131" s="4">
        <v>40</v>
      </c>
      <c r="I131" s="1057" t="s">
        <v>26558</v>
      </c>
      <c r="J131" s="1055" t="s">
        <v>26600</v>
      </c>
      <c r="K131" s="1057">
        <v>4</v>
      </c>
    </row>
    <row r="132" spans="4:11" ht="26.25" customHeight="1" thickBot="1">
      <c r="D132" s="1057">
        <v>5</v>
      </c>
      <c r="E132" s="1057" t="s">
        <v>26558</v>
      </c>
      <c r="F132" s="1055" t="s">
        <v>26598</v>
      </c>
      <c r="G132" s="1056" t="s">
        <v>26601</v>
      </c>
      <c r="H132" s="4">
        <v>8</v>
      </c>
      <c r="I132" s="1057" t="s">
        <v>26558</v>
      </c>
      <c r="J132" s="1055" t="s">
        <v>26598</v>
      </c>
      <c r="K132" s="1057">
        <v>5</v>
      </c>
    </row>
    <row r="133" spans="4:11" ht="26.25" customHeight="1" thickBot="1">
      <c r="D133" s="1057">
        <v>6</v>
      </c>
      <c r="E133" s="1057" t="s">
        <v>26558</v>
      </c>
      <c r="F133" s="1055" t="s">
        <v>25472</v>
      </c>
      <c r="G133" s="1056" t="s">
        <v>26602</v>
      </c>
      <c r="H133" s="4">
        <v>20</v>
      </c>
      <c r="I133" s="1057" t="s">
        <v>26558</v>
      </c>
      <c r="J133" s="1055" t="s">
        <v>25472</v>
      </c>
      <c r="K133" s="1057">
        <v>6</v>
      </c>
    </row>
    <row r="134" spans="4:11" ht="26.25" thickBot="1">
      <c r="D134" s="1057">
        <v>7</v>
      </c>
      <c r="E134" s="1057" t="s">
        <v>26558</v>
      </c>
      <c r="F134" s="1055" t="s">
        <v>25472</v>
      </c>
      <c r="G134" s="1056" t="s">
        <v>26603</v>
      </c>
      <c r="H134" s="4">
        <v>12</v>
      </c>
      <c r="I134" s="1057" t="s">
        <v>26558</v>
      </c>
      <c r="J134" s="1055" t="s">
        <v>25472</v>
      </c>
      <c r="K134" s="1057">
        <v>7</v>
      </c>
    </row>
    <row r="135" spans="4:11" ht="13.5" thickBot="1">
      <c r="D135" s="1057">
        <v>8</v>
      </c>
      <c r="E135" s="1057" t="s">
        <v>26558</v>
      </c>
      <c r="F135" s="1055" t="s">
        <v>26604</v>
      </c>
      <c r="G135" s="1056" t="s">
        <v>26605</v>
      </c>
      <c r="H135" s="4">
        <v>10</v>
      </c>
      <c r="I135" s="1057" t="s">
        <v>26558</v>
      </c>
      <c r="J135" s="1055" t="s">
        <v>26604</v>
      </c>
      <c r="K135" s="1057">
        <v>8</v>
      </c>
    </row>
    <row r="136" spans="4:11" ht="13.5" thickBot="1">
      <c r="D136" s="1057">
        <v>9</v>
      </c>
      <c r="E136" s="1057" t="s">
        <v>26558</v>
      </c>
      <c r="F136" s="1055" t="s">
        <v>26598</v>
      </c>
      <c r="G136" s="1056" t="s">
        <v>26606</v>
      </c>
      <c r="H136" s="4">
        <v>5</v>
      </c>
      <c r="I136" s="1057" t="s">
        <v>26558</v>
      </c>
      <c r="J136" s="1055" t="s">
        <v>26598</v>
      </c>
      <c r="K136" s="1057">
        <v>9</v>
      </c>
    </row>
    <row r="137" spans="4:11" ht="13.5" thickBot="1">
      <c r="D137" s="1057">
        <v>10</v>
      </c>
      <c r="E137" s="1057" t="s">
        <v>26558</v>
      </c>
      <c r="F137" s="1055" t="s">
        <v>26598</v>
      </c>
      <c r="G137" s="1056" t="s">
        <v>26607</v>
      </c>
      <c r="H137" s="4">
        <v>8</v>
      </c>
      <c r="I137" s="1057" t="s">
        <v>26558</v>
      </c>
      <c r="J137" s="1055" t="s">
        <v>26598</v>
      </c>
      <c r="K137" s="1057">
        <v>10</v>
      </c>
    </row>
    <row r="138" spans="4:11" ht="13.5" thickBot="1">
      <c r="D138" s="1057">
        <v>11</v>
      </c>
      <c r="E138" s="1057" t="s">
        <v>26559</v>
      </c>
      <c r="F138" s="1055" t="s">
        <v>25654</v>
      </c>
      <c r="G138" s="1056" t="s">
        <v>26608</v>
      </c>
      <c r="H138" s="4">
        <v>50</v>
      </c>
      <c r="I138" s="1057" t="s">
        <v>26559</v>
      </c>
      <c r="J138" s="1055" t="s">
        <v>25654</v>
      </c>
      <c r="K138" s="1057">
        <v>11</v>
      </c>
    </row>
    <row r="139" spans="4:11" ht="13.5" thickBot="1">
      <c r="D139" s="1057">
        <v>12</v>
      </c>
      <c r="E139" s="1057" t="s">
        <v>26559</v>
      </c>
      <c r="F139" s="1055" t="s">
        <v>25654</v>
      </c>
      <c r="G139" s="1056" t="s">
        <v>26609</v>
      </c>
      <c r="H139" s="4">
        <v>40</v>
      </c>
      <c r="I139" s="1057" t="s">
        <v>26559</v>
      </c>
      <c r="J139" s="1055" t="s">
        <v>25654</v>
      </c>
      <c r="K139" s="1057">
        <v>12</v>
      </c>
    </row>
    <row r="140" spans="4:11" ht="13.5" thickBot="1">
      <c r="D140" s="1057">
        <v>13</v>
      </c>
      <c r="E140" s="1057" t="s">
        <v>26559</v>
      </c>
      <c r="F140" s="1055" t="s">
        <v>25654</v>
      </c>
      <c r="G140" s="1056" t="s">
        <v>26610</v>
      </c>
      <c r="H140" s="4">
        <v>40</v>
      </c>
      <c r="I140" s="1057" t="s">
        <v>26559</v>
      </c>
      <c r="J140" s="1055" t="s">
        <v>25654</v>
      </c>
      <c r="K140" s="1057">
        <v>13</v>
      </c>
    </row>
    <row r="141" spans="4:11" ht="13.5" thickBot="1">
      <c r="D141" s="1057">
        <v>14</v>
      </c>
      <c r="E141" s="1057" t="s">
        <v>26559</v>
      </c>
      <c r="F141" s="1055" t="s">
        <v>25654</v>
      </c>
      <c r="G141" s="1056" t="s">
        <v>26611</v>
      </c>
      <c r="H141" s="4">
        <v>8</v>
      </c>
      <c r="I141" s="1057" t="s">
        <v>26559</v>
      </c>
      <c r="J141" s="1055" t="s">
        <v>25654</v>
      </c>
      <c r="K141" s="1057">
        <v>14</v>
      </c>
    </row>
    <row r="142" spans="4:11" ht="13.5" thickBot="1">
      <c r="D142" s="1057">
        <v>15</v>
      </c>
      <c r="E142" s="1057" t="s">
        <v>26559</v>
      </c>
      <c r="F142" s="1055" t="s">
        <v>25654</v>
      </c>
      <c r="G142" s="1056" t="s">
        <v>26612</v>
      </c>
      <c r="H142" s="4">
        <v>10</v>
      </c>
      <c r="I142" s="1057" t="s">
        <v>26559</v>
      </c>
      <c r="J142" s="1055" t="s">
        <v>25654</v>
      </c>
      <c r="K142" s="1057">
        <v>15</v>
      </c>
    </row>
    <row r="143" spans="4:11" ht="13.5" thickBot="1">
      <c r="D143" s="1057">
        <v>16</v>
      </c>
      <c r="E143" s="1057" t="s">
        <v>26559</v>
      </c>
      <c r="F143" s="1055" t="s">
        <v>25654</v>
      </c>
      <c r="G143" s="1056" t="s">
        <v>26613</v>
      </c>
      <c r="H143" s="4">
        <v>5</v>
      </c>
      <c r="I143" s="1057" t="s">
        <v>26559</v>
      </c>
      <c r="J143" s="1055" t="s">
        <v>25654</v>
      </c>
      <c r="K143" s="1057">
        <v>16</v>
      </c>
    </row>
    <row r="144" spans="4:11" ht="13.5" thickBot="1">
      <c r="D144" s="1057">
        <v>18</v>
      </c>
      <c r="E144" s="1057" t="s">
        <v>26559</v>
      </c>
      <c r="F144" s="1055" t="s">
        <v>25654</v>
      </c>
      <c r="G144" s="1056" t="s">
        <v>26614</v>
      </c>
      <c r="H144" s="4">
        <v>8</v>
      </c>
      <c r="I144" s="1057" t="s">
        <v>26559</v>
      </c>
      <c r="J144" s="1055" t="s">
        <v>25654</v>
      </c>
      <c r="K144" s="1057">
        <v>18</v>
      </c>
    </row>
    <row r="145" spans="4:11" ht="13.5" thickBot="1">
      <c r="D145" s="1057">
        <v>19</v>
      </c>
      <c r="E145" s="1057" t="s">
        <v>145</v>
      </c>
      <c r="F145" s="1055" t="s">
        <v>26615</v>
      </c>
      <c r="G145" s="1056" t="s">
        <v>26616</v>
      </c>
      <c r="H145" s="4">
        <v>8</v>
      </c>
      <c r="I145" s="1057" t="s">
        <v>145</v>
      </c>
      <c r="J145" s="1055" t="s">
        <v>26615</v>
      </c>
      <c r="K145" s="1057">
        <v>19</v>
      </c>
    </row>
    <row r="146" spans="4:11" ht="13.5" thickBot="1">
      <c r="D146" s="1057">
        <v>20</v>
      </c>
      <c r="E146" s="1057" t="s">
        <v>145</v>
      </c>
      <c r="F146" s="1055" t="s">
        <v>25464</v>
      </c>
      <c r="G146" s="1056" t="s">
        <v>26617</v>
      </c>
      <c r="H146" s="4">
        <v>40</v>
      </c>
      <c r="I146" s="1057" t="s">
        <v>145</v>
      </c>
      <c r="J146" s="1055" t="s">
        <v>25464</v>
      </c>
      <c r="K146" s="1057">
        <v>20</v>
      </c>
    </row>
    <row r="147" spans="4:11" ht="26.25" thickBot="1">
      <c r="D147" s="1057">
        <v>21</v>
      </c>
      <c r="E147" s="1057" t="s">
        <v>145</v>
      </c>
      <c r="F147" s="1055" t="s">
        <v>25464</v>
      </c>
      <c r="G147" s="1056" t="s">
        <v>26618</v>
      </c>
      <c r="H147" s="4">
        <v>20</v>
      </c>
      <c r="I147" s="1057" t="s">
        <v>145</v>
      </c>
      <c r="J147" s="1055" t="s">
        <v>25464</v>
      </c>
      <c r="K147" s="1057">
        <v>21</v>
      </c>
    </row>
    <row r="148" spans="4:11" ht="13.5" thickBot="1">
      <c r="D148" s="1057">
        <v>22</v>
      </c>
      <c r="E148" s="1057" t="s">
        <v>145</v>
      </c>
      <c r="F148" s="1055" t="s">
        <v>26615</v>
      </c>
      <c r="G148" s="1056" t="s">
        <v>26619</v>
      </c>
      <c r="H148" s="4">
        <v>20</v>
      </c>
      <c r="I148" s="1057" t="s">
        <v>145</v>
      </c>
      <c r="J148" s="1055" t="s">
        <v>26615</v>
      </c>
      <c r="K148" s="1057">
        <v>22</v>
      </c>
    </row>
    <row r="149" spans="4:11" ht="13.5" thickBot="1">
      <c r="D149" s="1057">
        <v>23</v>
      </c>
      <c r="E149" s="1057" t="s">
        <v>145</v>
      </c>
      <c r="F149" s="1055" t="s">
        <v>26615</v>
      </c>
      <c r="G149" s="1056" t="s">
        <v>26620</v>
      </c>
      <c r="H149" s="4">
        <v>20</v>
      </c>
      <c r="I149" s="1057" t="s">
        <v>145</v>
      </c>
      <c r="J149" s="1055" t="s">
        <v>26615</v>
      </c>
      <c r="K149" s="1057">
        <v>23</v>
      </c>
    </row>
    <row r="150" spans="4:11" ht="26.25" thickBot="1">
      <c r="D150" s="1057">
        <v>24</v>
      </c>
      <c r="E150" s="1057" t="s">
        <v>145</v>
      </c>
      <c r="F150" s="1055" t="s">
        <v>25462</v>
      </c>
      <c r="G150" s="1056" t="s">
        <v>26621</v>
      </c>
      <c r="H150" s="4">
        <v>20</v>
      </c>
      <c r="I150" s="1057" t="s">
        <v>145</v>
      </c>
      <c r="J150" s="1055" t="s">
        <v>25462</v>
      </c>
      <c r="K150" s="1057">
        <v>24</v>
      </c>
    </row>
    <row r="151" spans="4:11" ht="13.5" thickBot="1">
      <c r="D151" s="1057">
        <v>25</v>
      </c>
      <c r="E151" s="1057" t="s">
        <v>145</v>
      </c>
      <c r="F151" s="1055" t="s">
        <v>26615</v>
      </c>
      <c r="G151" s="1056" t="s">
        <v>26622</v>
      </c>
      <c r="H151" s="4">
        <v>10</v>
      </c>
      <c r="I151" s="1057" t="s">
        <v>145</v>
      </c>
      <c r="J151" s="1055" t="s">
        <v>26615</v>
      </c>
      <c r="K151" s="1057">
        <v>25</v>
      </c>
    </row>
    <row r="152" spans="4:11" ht="64.5" customHeight="1" thickBot="1">
      <c r="D152" s="1057">
        <v>26</v>
      </c>
      <c r="E152" s="1057" t="s">
        <v>145</v>
      </c>
      <c r="F152" s="1055" t="s">
        <v>26615</v>
      </c>
      <c r="G152" s="1056" t="s">
        <v>26623</v>
      </c>
      <c r="H152" s="4">
        <v>5</v>
      </c>
      <c r="I152" s="1057" t="s">
        <v>145</v>
      </c>
      <c r="J152" s="1055" t="s">
        <v>26615</v>
      </c>
      <c r="K152" s="1057">
        <v>26</v>
      </c>
    </row>
    <row r="153" spans="4:11" ht="39" customHeight="1" thickBot="1">
      <c r="D153" s="1057">
        <v>27</v>
      </c>
      <c r="E153" s="1057" t="s">
        <v>145</v>
      </c>
      <c r="F153" s="1055" t="s">
        <v>25464</v>
      </c>
      <c r="G153" s="1056" t="s">
        <v>26624</v>
      </c>
      <c r="H153" s="4">
        <v>8</v>
      </c>
      <c r="I153" s="1057" t="s">
        <v>145</v>
      </c>
      <c r="J153" s="1055" t="s">
        <v>25464</v>
      </c>
      <c r="K153" s="1057">
        <v>27</v>
      </c>
    </row>
    <row r="154" spans="4:11" ht="64.5" customHeight="1" thickBot="1">
      <c r="D154" s="1057">
        <v>28</v>
      </c>
      <c r="E154" s="1057" t="s">
        <v>8</v>
      </c>
      <c r="F154" s="1055" t="s">
        <v>26625</v>
      </c>
      <c r="G154" s="1056" t="s">
        <v>124</v>
      </c>
      <c r="H154" s="4">
        <v>20</v>
      </c>
      <c r="I154" s="1057" t="s">
        <v>8</v>
      </c>
      <c r="J154" s="1055" t="s">
        <v>26625</v>
      </c>
      <c r="K154" s="1057">
        <v>28</v>
      </c>
    </row>
    <row r="155" spans="4:11" ht="13.5" thickBot="1">
      <c r="D155" s="1057">
        <v>29</v>
      </c>
      <c r="E155" s="1057" t="s">
        <v>8</v>
      </c>
      <c r="F155" s="1055" t="s">
        <v>26626</v>
      </c>
      <c r="G155" s="1056" t="s">
        <v>26627</v>
      </c>
      <c r="H155" s="4">
        <v>10</v>
      </c>
      <c r="I155" s="1057" t="s">
        <v>8</v>
      </c>
      <c r="J155" s="1055" t="s">
        <v>26626</v>
      </c>
      <c r="K155" s="1057">
        <v>29</v>
      </c>
    </row>
    <row r="156" spans="4:11" ht="39" thickBot="1">
      <c r="D156" s="1057">
        <v>30</v>
      </c>
      <c r="E156" s="1057" t="s">
        <v>8</v>
      </c>
      <c r="F156" s="1055" t="s">
        <v>26628</v>
      </c>
      <c r="G156" s="1056" t="s">
        <v>26629</v>
      </c>
      <c r="H156" s="4">
        <v>5</v>
      </c>
      <c r="I156" s="1057" t="s">
        <v>8</v>
      </c>
      <c r="J156" s="1055" t="s">
        <v>26628</v>
      </c>
      <c r="K156" s="1057">
        <v>30</v>
      </c>
    </row>
    <row r="157" spans="4:11" ht="39" customHeight="1" thickBot="1">
      <c r="D157" s="1057">
        <v>31</v>
      </c>
      <c r="E157" s="1057" t="s">
        <v>8</v>
      </c>
      <c r="F157" s="1055" t="s">
        <v>26625</v>
      </c>
      <c r="G157" s="1056" t="s">
        <v>126</v>
      </c>
      <c r="H157" s="4">
        <v>8</v>
      </c>
      <c r="I157" s="1057" t="s">
        <v>8</v>
      </c>
      <c r="J157" s="1055" t="s">
        <v>26625</v>
      </c>
      <c r="K157" s="1057">
        <v>31</v>
      </c>
    </row>
    <row r="158" spans="4:11" ht="39" thickBot="1">
      <c r="D158" s="1057">
        <v>32</v>
      </c>
      <c r="E158" s="1057" t="s">
        <v>8</v>
      </c>
      <c r="F158" s="1055" t="s">
        <v>26630</v>
      </c>
      <c r="G158" s="1056" t="s">
        <v>26631</v>
      </c>
      <c r="H158" s="4">
        <v>5</v>
      </c>
      <c r="I158" s="1057" t="s">
        <v>8</v>
      </c>
      <c r="J158" s="1055" t="s">
        <v>26630</v>
      </c>
      <c r="K158" s="1057">
        <v>32</v>
      </c>
    </row>
    <row r="159" spans="4:11" ht="39" customHeight="1" thickBot="1">
      <c r="D159" s="1057">
        <v>1</v>
      </c>
      <c r="E159" s="1057" t="s">
        <v>8</v>
      </c>
      <c r="F159" s="1055" t="s">
        <v>21</v>
      </c>
      <c r="G159" s="1056" t="s">
        <v>114</v>
      </c>
      <c r="H159" s="4" t="s">
        <v>21</v>
      </c>
      <c r="I159" s="1057" t="s">
        <v>8</v>
      </c>
      <c r="J159" s="1055" t="s">
        <v>21</v>
      </c>
      <c r="K159" s="1057">
        <v>1</v>
      </c>
    </row>
    <row r="160" spans="4:11" ht="13.5" thickBot="1">
      <c r="D160" s="1057">
        <v>33</v>
      </c>
      <c r="E160" s="1057" t="s">
        <v>8</v>
      </c>
      <c r="F160" s="1055" t="s">
        <v>26632</v>
      </c>
      <c r="G160" s="1056" t="s">
        <v>115</v>
      </c>
      <c r="H160" s="4">
        <v>40</v>
      </c>
      <c r="I160" s="1057" t="s">
        <v>8</v>
      </c>
      <c r="J160" s="1055" t="s">
        <v>26632</v>
      </c>
      <c r="K160" s="1057">
        <v>33</v>
      </c>
    </row>
    <row r="161" spans="4:11" ht="26.25" thickBot="1">
      <c r="D161" s="1057">
        <v>34</v>
      </c>
      <c r="E161" s="1057" t="s">
        <v>8</v>
      </c>
      <c r="F161" s="1055" t="s">
        <v>26625</v>
      </c>
      <c r="G161" s="1056" t="s">
        <v>116</v>
      </c>
      <c r="H161" s="4">
        <v>40</v>
      </c>
      <c r="I161" s="1057" t="s">
        <v>8</v>
      </c>
      <c r="J161" s="1055" t="s">
        <v>26625</v>
      </c>
      <c r="K161" s="1057">
        <v>34</v>
      </c>
    </row>
    <row r="162" spans="4:11" ht="13.5" thickBot="1">
      <c r="D162" s="1057">
        <v>35</v>
      </c>
      <c r="E162" s="1057" t="s">
        <v>8</v>
      </c>
      <c r="F162" s="1055" t="s">
        <v>21</v>
      </c>
      <c r="G162" s="1056" t="s">
        <v>117</v>
      </c>
      <c r="H162" s="4">
        <v>20</v>
      </c>
      <c r="I162" s="1057" t="s">
        <v>8</v>
      </c>
      <c r="J162" s="1055" t="s">
        <v>21</v>
      </c>
      <c r="K162" s="1057">
        <v>35</v>
      </c>
    </row>
    <row r="163" spans="4:11" ht="26.25" thickBot="1">
      <c r="D163" s="1057">
        <v>36</v>
      </c>
      <c r="E163" s="1057" t="s">
        <v>8</v>
      </c>
      <c r="F163" s="1055" t="s">
        <v>26625</v>
      </c>
      <c r="G163" s="1056" t="s">
        <v>128</v>
      </c>
      <c r="H163" s="4">
        <v>5</v>
      </c>
      <c r="I163" s="1057" t="s">
        <v>8</v>
      </c>
      <c r="J163" s="1055" t="s">
        <v>26625</v>
      </c>
      <c r="K163" s="1057">
        <v>36</v>
      </c>
    </row>
    <row r="164" spans="4:11" ht="26.25" thickBot="1">
      <c r="D164" s="1057">
        <v>37</v>
      </c>
      <c r="E164" s="1057" t="s">
        <v>8</v>
      </c>
      <c r="F164" s="1055" t="s">
        <v>26633</v>
      </c>
      <c r="G164" s="1056" t="s">
        <v>207</v>
      </c>
      <c r="H164" s="4">
        <v>7</v>
      </c>
      <c r="I164" s="1057" t="s">
        <v>8</v>
      </c>
      <c r="J164" s="1055" t="s">
        <v>26633</v>
      </c>
      <c r="K164" s="1057">
        <v>37</v>
      </c>
    </row>
    <row r="170" spans="4:11" ht="13.5" thickBot="1"/>
    <row r="171" spans="4:11">
      <c r="F171" s="394" t="s">
        <v>204</v>
      </c>
      <c r="G171" s="221" t="s">
        <v>134</v>
      </c>
      <c r="H171" s="398" t="s">
        <v>204</v>
      </c>
    </row>
    <row r="172" spans="4:11">
      <c r="F172" s="395">
        <v>1</v>
      </c>
      <c r="G172" s="33" t="s">
        <v>142</v>
      </c>
      <c r="H172" s="399">
        <v>1</v>
      </c>
    </row>
    <row r="173" spans="4:11">
      <c r="F173" s="395">
        <v>2</v>
      </c>
      <c r="G173" s="33" t="s">
        <v>140</v>
      </c>
      <c r="H173" s="399">
        <v>2</v>
      </c>
    </row>
    <row r="174" spans="4:11">
      <c r="F174" s="395">
        <v>3</v>
      </c>
      <c r="G174" s="33" t="s">
        <v>138</v>
      </c>
      <c r="H174" s="399">
        <v>3</v>
      </c>
    </row>
    <row r="175" spans="4:11" ht="13.5" thickBot="1">
      <c r="F175" s="396">
        <v>4</v>
      </c>
      <c r="G175" s="223" t="s">
        <v>24725</v>
      </c>
      <c r="H175" s="400">
        <v>4</v>
      </c>
    </row>
  </sheetData>
  <sheetProtection algorithmName="SHA-512" hashValue="cnH5e7/DmTof51Gfw8B+rV7MHPDLLCbdsAAV3Gl2GCWN63ASKHmu4WyRY+aCxhOHV7gJyiqx1v0rsJWOlc0WLA==" saltValue="hSLIduYH1Ho2QtC8j0vENw==" spinCount="100000" sheet="1" objects="1" scenarios="1"/>
  <customSheetViews>
    <customSheetView guid="{849F61E1-F6D3-48F4-A6FF-68F8FE186D80}" scale="85" showGridLines="0" state="hidden" topLeftCell="A46">
      <pageMargins left="0.7" right="0.7" top="0.75" bottom="0.75" header="0.3" footer="0.3"/>
    </customSheetView>
    <customSheetView guid="{1E1889AA-9C00-49BF-A07E-295053EABBEF}" scale="85" showGridLines="0">
      <selection sqref="A1:C1"/>
      <pageMargins left="0.7" right="0.7" top="0.75" bottom="0.75" header="0.3" footer="0.3"/>
    </customSheetView>
    <customSheetView guid="{83029BA9-344F-4783-B8F2-6704FB40A582}" scale="85" showGridLines="0" topLeftCell="A46">
      <pageMargins left="0.7" right="0.7" top="0.75" bottom="0.75" header="0.3" footer="0.3"/>
    </customSheetView>
  </customSheetViews>
  <mergeCells count="1">
    <mergeCell ref="G75:H75"/>
  </mergeCells>
  <pageMargins left="0.7" right="0.7" top="0.75" bottom="0.75" header="0.3" footer="0.3"/>
  <pageSetup paperSize="9"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Foglio19">
    <tabColor rgb="FFE4DFEC"/>
  </sheetPr>
  <dimension ref="A2:BS109"/>
  <sheetViews>
    <sheetView showGridLines="0" zoomScale="85" zoomScaleNormal="85" workbookViewId="0">
      <pane ySplit="6" topLeftCell="A7" activePane="bottomLeft" state="frozen"/>
      <selection pane="bottomLeft"/>
    </sheetView>
  </sheetViews>
  <sheetFormatPr defaultColWidth="9.42578125" defaultRowHeight="15" outlineLevelRow="1" outlineLevelCol="1"/>
  <cols>
    <col min="1" max="1" width="9.42578125" style="10"/>
    <col min="2" max="19" width="15.5703125" style="10" customWidth="1"/>
    <col min="20" max="45" width="15.5703125" style="10" hidden="1" customWidth="1" outlineLevel="1"/>
    <col min="46" max="46" width="9.42578125" style="10" collapsed="1"/>
    <col min="47" max="47" width="9.42578125" style="10"/>
    <col min="48" max="48" width="38.5703125" style="10" customWidth="1"/>
    <col min="49" max="53" width="9.42578125" style="10"/>
    <col min="54" max="58" width="13.42578125" style="10" customWidth="1"/>
    <col min="59" max="62" width="13.42578125" customWidth="1"/>
    <col min="63" max="65" width="13.42578125" style="10" customWidth="1"/>
    <col min="66" max="67" width="15.5703125" customWidth="1"/>
    <col min="68" max="71" width="15.5703125" style="10" customWidth="1"/>
    <col min="72" max="16384" width="9.42578125" style="10"/>
  </cols>
  <sheetData>
    <row r="2" spans="1:71" s="18" customFormat="1" ht="21" thickBot="1">
      <c r="A2" s="401"/>
      <c r="B2" s="402" t="s">
        <v>22718</v>
      </c>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BB2" s="1109"/>
      <c r="BC2" s="1109"/>
      <c r="BN2" s="66"/>
      <c r="BO2" s="66"/>
    </row>
    <row r="3" spans="1:71" ht="15.75" thickTop="1">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V3" s="19"/>
      <c r="AX3" s="19"/>
      <c r="BG3" s="10"/>
      <c r="BH3" s="10"/>
      <c r="BI3" s="10"/>
      <c r="BJ3" s="10"/>
    </row>
    <row r="4" spans="1:71" ht="20.25" customHeight="1">
      <c r="A4" s="403" t="s">
        <v>105</v>
      </c>
      <c r="B4" s="404"/>
      <c r="C4" s="404"/>
      <c r="D4" s="15"/>
      <c r="E4" s="16"/>
      <c r="F4" s="16"/>
      <c r="G4" s="930">
        <v>1.0029999999999999</v>
      </c>
      <c r="H4" s="930">
        <v>0.998</v>
      </c>
      <c r="I4" s="930">
        <v>1.004</v>
      </c>
      <c r="J4" s="930">
        <v>1.0069999999999999</v>
      </c>
      <c r="K4" s="930">
        <v>1.0049999999999999</v>
      </c>
      <c r="L4" s="930">
        <v>1.004</v>
      </c>
      <c r="M4" s="930">
        <v>1.034</v>
      </c>
      <c r="N4" s="930">
        <v>1.028</v>
      </c>
      <c r="O4" s="930">
        <v>0.999</v>
      </c>
      <c r="P4" s="930">
        <v>1.0009999999999999</v>
      </c>
      <c r="Q4" s="16">
        <v>0</v>
      </c>
      <c r="R4" s="16">
        <v>0</v>
      </c>
      <c r="S4" s="16">
        <v>0</v>
      </c>
      <c r="T4" s="16">
        <v>0</v>
      </c>
      <c r="U4" s="16">
        <v>0</v>
      </c>
      <c r="V4" s="16">
        <v>0</v>
      </c>
      <c r="W4" s="16">
        <v>0</v>
      </c>
      <c r="X4" s="16">
        <v>0</v>
      </c>
      <c r="Y4" s="16">
        <v>0</v>
      </c>
      <c r="Z4" s="16">
        <v>0</v>
      </c>
      <c r="AA4" s="16">
        <v>0</v>
      </c>
      <c r="AB4" s="16">
        <v>0</v>
      </c>
      <c r="AC4" s="16">
        <v>0</v>
      </c>
      <c r="AD4" s="16">
        <v>0</v>
      </c>
      <c r="AE4" s="16">
        <v>0</v>
      </c>
      <c r="AF4" s="16">
        <v>0</v>
      </c>
      <c r="AG4" s="16">
        <v>0</v>
      </c>
      <c r="AH4" s="16">
        <v>0</v>
      </c>
      <c r="AI4" s="16">
        <v>0</v>
      </c>
      <c r="AJ4" s="16">
        <v>0</v>
      </c>
      <c r="AK4" s="16">
        <v>0</v>
      </c>
      <c r="AL4" s="16">
        <v>0</v>
      </c>
      <c r="AM4" s="16">
        <v>0</v>
      </c>
      <c r="AN4" s="16">
        <v>0</v>
      </c>
      <c r="AO4" s="16">
        <v>0</v>
      </c>
      <c r="AP4" s="16">
        <v>0</v>
      </c>
      <c r="AQ4" s="16">
        <v>0</v>
      </c>
      <c r="AR4" s="16">
        <v>0</v>
      </c>
      <c r="AS4" s="16">
        <v>0</v>
      </c>
      <c r="AT4" s="19"/>
      <c r="AU4" s="403" t="s">
        <v>106</v>
      </c>
      <c r="AV4" s="14"/>
      <c r="AW4" s="404"/>
      <c r="AX4" s="19"/>
      <c r="AY4" s="403" t="s">
        <v>107</v>
      </c>
      <c r="BD4" s="13" t="s">
        <v>22717</v>
      </c>
    </row>
    <row r="5" spans="1:71">
      <c r="A5" s="405"/>
      <c r="B5" s="405"/>
      <c r="C5" s="405"/>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9"/>
      <c r="AU5" s="416" t="s">
        <v>108</v>
      </c>
      <c r="AV5" s="19"/>
      <c r="AX5" s="19"/>
    </row>
    <row r="6" spans="1:71" s="61" customFormat="1" ht="25.5">
      <c r="A6" s="406" t="s">
        <v>109</v>
      </c>
      <c r="B6" s="59" t="s">
        <v>24980</v>
      </c>
      <c r="C6" s="59" t="s">
        <v>24981</v>
      </c>
      <c r="D6" s="59" t="s">
        <v>24982</v>
      </c>
      <c r="E6" s="59" t="s">
        <v>24983</v>
      </c>
      <c r="F6" s="59" t="s">
        <v>24984</v>
      </c>
      <c r="G6" s="59" t="s">
        <v>24985</v>
      </c>
      <c r="H6" s="59" t="s">
        <v>24986</v>
      </c>
      <c r="I6" s="59" t="s">
        <v>24987</v>
      </c>
      <c r="J6" s="59" t="s">
        <v>25162</v>
      </c>
      <c r="K6" s="59" t="s">
        <v>25163</v>
      </c>
      <c r="L6" s="59" t="s">
        <v>25164</v>
      </c>
      <c r="M6" s="59" t="s">
        <v>25165</v>
      </c>
      <c r="N6" s="59" t="s">
        <v>25166</v>
      </c>
      <c r="O6" s="59" t="s">
        <v>25167</v>
      </c>
      <c r="P6" s="59" t="s">
        <v>25168</v>
      </c>
      <c r="Q6" s="59" t="s">
        <v>25169</v>
      </c>
      <c r="R6" s="59" t="s">
        <v>25170</v>
      </c>
      <c r="S6" s="59" t="s">
        <v>25171</v>
      </c>
      <c r="T6" s="59" t="s">
        <v>25172</v>
      </c>
      <c r="U6" s="59" t="s">
        <v>25173</v>
      </c>
      <c r="V6" s="59" t="s">
        <v>25174</v>
      </c>
      <c r="W6" s="59" t="s">
        <v>25175</v>
      </c>
      <c r="X6" s="59" t="s">
        <v>25176</v>
      </c>
      <c r="Y6" s="59" t="s">
        <v>25177</v>
      </c>
      <c r="Z6" s="59" t="s">
        <v>25178</v>
      </c>
      <c r="AA6" s="59" t="s">
        <v>25179</v>
      </c>
      <c r="AB6" s="59" t="s">
        <v>25180</v>
      </c>
      <c r="AC6" s="59" t="s">
        <v>25181</v>
      </c>
      <c r="AD6" s="59" t="s">
        <v>25182</v>
      </c>
      <c r="AE6" s="59" t="s">
        <v>25183</v>
      </c>
      <c r="AF6" s="59" t="s">
        <v>25184</v>
      </c>
      <c r="AG6" s="59" t="s">
        <v>25185</v>
      </c>
      <c r="AH6" s="59" t="s">
        <v>25186</v>
      </c>
      <c r="AI6" s="59" t="s">
        <v>25187</v>
      </c>
      <c r="AJ6" s="59" t="s">
        <v>25188</v>
      </c>
      <c r="AK6" s="59" t="s">
        <v>25189</v>
      </c>
      <c r="AL6" s="59" t="s">
        <v>25190</v>
      </c>
      <c r="AM6" s="59" t="s">
        <v>25191</v>
      </c>
      <c r="AN6" s="59" t="s">
        <v>25192</v>
      </c>
      <c r="AO6" s="59" t="s">
        <v>25193</v>
      </c>
      <c r="AP6" s="59" t="s">
        <v>25194</v>
      </c>
      <c r="AQ6" s="59" t="s">
        <v>25195</v>
      </c>
      <c r="AR6" s="59" t="s">
        <v>25196</v>
      </c>
      <c r="AS6" s="59" t="s">
        <v>25197</v>
      </c>
      <c r="AT6" s="31"/>
      <c r="AU6" s="417" t="s">
        <v>110</v>
      </c>
      <c r="AV6" s="60" t="s">
        <v>111</v>
      </c>
      <c r="AW6" s="413" t="s">
        <v>112</v>
      </c>
      <c r="AX6" s="31"/>
      <c r="AY6" s="406" t="s">
        <v>109</v>
      </c>
      <c r="AZ6" s="58" t="s">
        <v>113</v>
      </c>
      <c r="BB6" s="62" t="s">
        <v>22735</v>
      </c>
      <c r="BC6" s="406">
        <v>2013</v>
      </c>
      <c r="BD6" s="406">
        <v>2014</v>
      </c>
      <c r="BE6" s="406">
        <v>2015</v>
      </c>
      <c r="BF6" s="406">
        <v>2016</v>
      </c>
      <c r="BG6" s="406">
        <v>2017</v>
      </c>
      <c r="BH6" s="406">
        <v>2018</v>
      </c>
      <c r="BI6" s="406">
        <v>2019</v>
      </c>
      <c r="BJ6" s="406">
        <v>2020</v>
      </c>
      <c r="BK6" s="406">
        <v>2021</v>
      </c>
      <c r="BL6" s="406">
        <v>2022</v>
      </c>
      <c r="BM6" s="406">
        <v>2023</v>
      </c>
      <c r="BN6" s="406">
        <v>2024</v>
      </c>
      <c r="BO6" s="406">
        <v>2025</v>
      </c>
      <c r="BP6" s="406">
        <v>2026</v>
      </c>
      <c r="BQ6" s="406">
        <v>2027</v>
      </c>
      <c r="BR6" s="406">
        <v>2028</v>
      </c>
      <c r="BS6" s="406">
        <v>2029</v>
      </c>
    </row>
    <row r="7" spans="1:71" ht="12.75">
      <c r="A7" s="407">
        <v>1961</v>
      </c>
      <c r="B7" s="408">
        <v>29.864999999999998</v>
      </c>
      <c r="C7" s="408">
        <v>30.670999999999999</v>
      </c>
      <c r="D7" s="22">
        <v>31.039000000000001</v>
      </c>
      <c r="E7" s="22">
        <v>31.008012947999998</v>
      </c>
      <c r="F7" s="23">
        <v>31.132044999791997</v>
      </c>
      <c r="G7" s="23">
        <f t="shared" ref="G7:N7" si="0">+F7*(G$4)</f>
        <v>31.225441134791371</v>
      </c>
      <c r="H7" s="23">
        <f t="shared" si="0"/>
        <v>31.162990252521787</v>
      </c>
      <c r="I7" s="23">
        <f t="shared" si="0"/>
        <v>31.287642213531875</v>
      </c>
      <c r="J7" s="23">
        <f t="shared" si="0"/>
        <v>31.506655709026596</v>
      </c>
      <c r="K7" s="23">
        <f t="shared" si="0"/>
        <v>31.664188987571727</v>
      </c>
      <c r="L7" s="23">
        <f t="shared" si="0"/>
        <v>31.790845743522013</v>
      </c>
      <c r="M7" s="23">
        <f t="shared" si="0"/>
        <v>32.871734498801764</v>
      </c>
      <c r="N7" s="23">
        <f t="shared" si="0"/>
        <v>33.792143064768212</v>
      </c>
      <c r="O7" s="23">
        <f>+N7*(O$4)</f>
        <v>33.758350921703446</v>
      </c>
      <c r="P7" s="23">
        <f>+O7*(P$4)</f>
        <v>33.792109272625147</v>
      </c>
      <c r="Q7" s="23">
        <f t="shared" ref="Q7:Q70" si="1">+P7*(1+Q$4)</f>
        <v>33.792109272625147</v>
      </c>
      <c r="R7" s="23">
        <f t="shared" ref="R7:R70" si="2">+Q7*(1+R$4)</f>
        <v>33.792109272625147</v>
      </c>
      <c r="S7" s="23">
        <f t="shared" ref="S7:S70" si="3">+R7*(1+S$4)</f>
        <v>33.792109272625147</v>
      </c>
      <c r="T7" s="23">
        <f t="shared" ref="T7:T70" si="4">+S7*(1+T$4)</f>
        <v>33.792109272625147</v>
      </c>
      <c r="U7" s="23">
        <f t="shared" ref="U7:U70" si="5">+T7*(1+U$4)</f>
        <v>33.792109272625147</v>
      </c>
      <c r="V7" s="23">
        <f t="shared" ref="V7:V70" si="6">+U7*(1+V$4)</f>
        <v>33.792109272625147</v>
      </c>
      <c r="W7" s="23">
        <f t="shared" ref="W7:W70" si="7">+V7*(1+W$4)</f>
        <v>33.792109272625147</v>
      </c>
      <c r="X7" s="23">
        <f t="shared" ref="X7:X70" si="8">+W7*(1+X$4)</f>
        <v>33.792109272625147</v>
      </c>
      <c r="Y7" s="23">
        <f t="shared" ref="Y7:Y70" si="9">+X7*(1+Y$4)</f>
        <v>33.792109272625147</v>
      </c>
      <c r="Z7" s="23">
        <f t="shared" ref="Z7:Z70" si="10">+Y7*(1+Z$4)</f>
        <v>33.792109272625147</v>
      </c>
      <c r="AA7" s="23">
        <f t="shared" ref="AA7:AA70" si="11">+Z7*(1+AA$4)</f>
        <v>33.792109272625147</v>
      </c>
      <c r="AB7" s="23">
        <f t="shared" ref="AB7:AB70" si="12">+AA7*(1+AB$4)</f>
        <v>33.792109272625147</v>
      </c>
      <c r="AC7" s="23">
        <f t="shared" ref="AC7:AC70" si="13">+AB7*(1+AC$4)</f>
        <v>33.792109272625147</v>
      </c>
      <c r="AD7" s="23">
        <f t="shared" ref="AD7:AD70" si="14">+AC7*(1+AD$4)</f>
        <v>33.792109272625147</v>
      </c>
      <c r="AE7" s="23">
        <f t="shared" ref="AE7:AE70" si="15">+AD7*(1+AE$4)</f>
        <v>33.792109272625147</v>
      </c>
      <c r="AF7" s="23">
        <f t="shared" ref="AF7:AF70" si="16">+AE7*(1+AF$4)</f>
        <v>33.792109272625147</v>
      </c>
      <c r="AG7" s="23">
        <f t="shared" ref="AG7:AG70" si="17">+AF7*(1+AG$4)</f>
        <v>33.792109272625147</v>
      </c>
      <c r="AH7" s="23">
        <f t="shared" ref="AH7:AH70" si="18">+AG7*(1+AH$4)</f>
        <v>33.792109272625147</v>
      </c>
      <c r="AI7" s="23">
        <f t="shared" ref="AI7:AI70" si="19">+AH7*(1+AI$4)</f>
        <v>33.792109272625147</v>
      </c>
      <c r="AJ7" s="23">
        <f t="shared" ref="AJ7:AJ70" si="20">+AI7*(1+AJ$4)</f>
        <v>33.792109272625147</v>
      </c>
      <c r="AK7" s="23">
        <f t="shared" ref="AK7:AK70" si="21">+AJ7*(1+AK$4)</f>
        <v>33.792109272625147</v>
      </c>
      <c r="AL7" s="23">
        <f t="shared" ref="AL7:AL70" si="22">+AK7*(1+AL$4)</f>
        <v>33.792109272625147</v>
      </c>
      <c r="AM7" s="23">
        <f t="shared" ref="AM7:AM70" si="23">+AL7*(1+AM$4)</f>
        <v>33.792109272625147</v>
      </c>
      <c r="AN7" s="23">
        <f t="shared" ref="AN7:AN70" si="24">+AM7*(1+AN$4)</f>
        <v>33.792109272625147</v>
      </c>
      <c r="AO7" s="23">
        <f t="shared" ref="AO7:AO70" si="25">+AN7*(1+AO$4)</f>
        <v>33.792109272625147</v>
      </c>
      <c r="AP7" s="23">
        <f t="shared" ref="AP7:AP70" si="26">+AO7*(1+AP$4)</f>
        <v>33.792109272625147</v>
      </c>
      <c r="AQ7" s="23">
        <f t="shared" ref="AQ7:AQ70" si="27">+AP7*(1+AQ$4)</f>
        <v>33.792109272625147</v>
      </c>
      <c r="AR7" s="23">
        <f t="shared" ref="AR7:AR70" si="28">+AQ7*(1+AR$4)</f>
        <v>33.792109272625147</v>
      </c>
      <c r="AS7" s="23">
        <f t="shared" ref="AS7:AS70" si="29">+AR7*(1+AS$4)</f>
        <v>33.792109272625147</v>
      </c>
      <c r="AT7" s="24"/>
      <c r="AU7" s="388">
        <v>1</v>
      </c>
      <c r="AV7" s="26" t="s">
        <v>114</v>
      </c>
      <c r="AW7" s="391">
        <v>0</v>
      </c>
      <c r="AX7" s="19"/>
      <c r="AY7" s="1110">
        <v>2013</v>
      </c>
      <c r="AZ7" s="1111">
        <v>3.0960000000000001E-2</v>
      </c>
      <c r="BB7" s="20" t="s">
        <v>22721</v>
      </c>
      <c r="BC7" s="568">
        <f>+AZ7+1</f>
        <v>1.0309600000000001</v>
      </c>
      <c r="BD7" s="568">
        <f>+AZ8+1</f>
        <v>1.0209999999999999</v>
      </c>
      <c r="BE7" s="568">
        <f>+AZ9+1</f>
        <v>1.006</v>
      </c>
      <c r="BF7" s="568">
        <f>+AZ10+1</f>
        <v>0.999</v>
      </c>
      <c r="BG7" s="568">
        <f>+AZ11+1</f>
        <v>0.999</v>
      </c>
      <c r="BH7" s="568">
        <f>+AZ12+1</f>
        <v>1.0069999999999999</v>
      </c>
      <c r="BI7" s="568">
        <f>+AZ13+1</f>
        <v>1.0089999999999999</v>
      </c>
      <c r="BJ7" s="568">
        <f>+AZ14+1</f>
        <v>1.0109999999999999</v>
      </c>
      <c r="BK7" s="568">
        <f>+AZ15+1</f>
        <v>1.0009999999999999</v>
      </c>
      <c r="BL7" s="568">
        <f>+AZ16+1</f>
        <v>1.002</v>
      </c>
      <c r="BM7" s="568">
        <f>+AZ17+1</f>
        <v>1.0449999999999999</v>
      </c>
      <c r="BN7" s="568">
        <f>+AZ18+1</f>
        <v>1.0880000000000001</v>
      </c>
      <c r="BO7" s="2784">
        <f>+AZ19+1</f>
        <v>1.02</v>
      </c>
      <c r="BP7" s="2784">
        <f>+AZ20+1</f>
        <v>1.012</v>
      </c>
      <c r="BQ7" s="568">
        <v>1</v>
      </c>
      <c r="BR7" s="568">
        <v>1</v>
      </c>
      <c r="BS7" s="568">
        <v>1</v>
      </c>
    </row>
    <row r="8" spans="1:71" ht="12.75">
      <c r="A8" s="407">
        <v>1962</v>
      </c>
      <c r="B8" s="408">
        <v>28.648</v>
      </c>
      <c r="C8" s="408">
        <v>29.422000000000001</v>
      </c>
      <c r="D8" s="22">
        <v>29.774999999999999</v>
      </c>
      <c r="E8" s="22">
        <v>29.745288936000001</v>
      </c>
      <c r="F8" s="23">
        <v>29.864270091744</v>
      </c>
      <c r="G8" s="23">
        <f t="shared" ref="G8:I62" si="30">+F8*(G$4)</f>
        <v>29.953862902019228</v>
      </c>
      <c r="H8" s="23">
        <f t="shared" si="30"/>
        <v>29.89395517621519</v>
      </c>
      <c r="I8" s="23">
        <f t="shared" si="30"/>
        <v>30.01353099692005</v>
      </c>
      <c r="J8" s="23">
        <f t="shared" ref="J8:J65" si="31">+I8*(J$4)</f>
        <v>30.223625713898485</v>
      </c>
      <c r="K8" s="23">
        <f t="shared" ref="K8:N66" si="32">+J8*(K$4)</f>
        <v>30.374743842467975</v>
      </c>
      <c r="L8" s="23">
        <f t="shared" si="32"/>
        <v>30.496242817837846</v>
      </c>
      <c r="M8" s="23">
        <f t="shared" si="32"/>
        <v>31.533115073644332</v>
      </c>
      <c r="N8" s="23">
        <f t="shared" ref="N8:N22" si="33">+M8*(N$4)</f>
        <v>32.416042295706376</v>
      </c>
      <c r="O8" s="23">
        <f t="shared" ref="O8:P70" si="34">+N8*(O$4)</f>
        <v>32.383626253410668</v>
      </c>
      <c r="P8" s="23">
        <f t="shared" si="34"/>
        <v>32.416009879664074</v>
      </c>
      <c r="Q8" s="23">
        <f t="shared" si="1"/>
        <v>32.416009879664074</v>
      </c>
      <c r="R8" s="23">
        <f t="shared" si="2"/>
        <v>32.416009879664074</v>
      </c>
      <c r="S8" s="23">
        <f t="shared" si="3"/>
        <v>32.416009879664074</v>
      </c>
      <c r="T8" s="23">
        <f t="shared" si="4"/>
        <v>32.416009879664074</v>
      </c>
      <c r="U8" s="23">
        <f t="shared" si="5"/>
        <v>32.416009879664074</v>
      </c>
      <c r="V8" s="23">
        <f t="shared" si="6"/>
        <v>32.416009879664074</v>
      </c>
      <c r="W8" s="23">
        <f t="shared" si="7"/>
        <v>32.416009879664074</v>
      </c>
      <c r="X8" s="23">
        <f t="shared" si="8"/>
        <v>32.416009879664074</v>
      </c>
      <c r="Y8" s="23">
        <f t="shared" si="9"/>
        <v>32.416009879664074</v>
      </c>
      <c r="Z8" s="23">
        <f t="shared" si="10"/>
        <v>32.416009879664074</v>
      </c>
      <c r="AA8" s="23">
        <f t="shared" si="11"/>
        <v>32.416009879664074</v>
      </c>
      <c r="AB8" s="23">
        <f t="shared" si="12"/>
        <v>32.416009879664074</v>
      </c>
      <c r="AC8" s="23">
        <f t="shared" si="13"/>
        <v>32.416009879664074</v>
      </c>
      <c r="AD8" s="23">
        <f t="shared" si="14"/>
        <v>32.416009879664074</v>
      </c>
      <c r="AE8" s="23">
        <f t="shared" si="15"/>
        <v>32.416009879664074</v>
      </c>
      <c r="AF8" s="23">
        <f t="shared" si="16"/>
        <v>32.416009879664074</v>
      </c>
      <c r="AG8" s="23">
        <f t="shared" si="17"/>
        <v>32.416009879664074</v>
      </c>
      <c r="AH8" s="23">
        <f t="shared" si="18"/>
        <v>32.416009879664074</v>
      </c>
      <c r="AI8" s="23">
        <f t="shared" si="19"/>
        <v>32.416009879664074</v>
      </c>
      <c r="AJ8" s="23">
        <f t="shared" si="20"/>
        <v>32.416009879664074</v>
      </c>
      <c r="AK8" s="23">
        <f t="shared" si="21"/>
        <v>32.416009879664074</v>
      </c>
      <c r="AL8" s="23">
        <f t="shared" si="22"/>
        <v>32.416009879664074</v>
      </c>
      <c r="AM8" s="23">
        <f t="shared" si="23"/>
        <v>32.416009879664074</v>
      </c>
      <c r="AN8" s="23">
        <f t="shared" si="24"/>
        <v>32.416009879664074</v>
      </c>
      <c r="AO8" s="23">
        <f t="shared" si="25"/>
        <v>32.416009879664074</v>
      </c>
      <c r="AP8" s="23">
        <f t="shared" si="26"/>
        <v>32.416009879664074</v>
      </c>
      <c r="AQ8" s="23">
        <f t="shared" si="27"/>
        <v>32.416009879664074</v>
      </c>
      <c r="AR8" s="23">
        <f t="shared" si="28"/>
        <v>32.416009879664074</v>
      </c>
      <c r="AS8" s="23">
        <f t="shared" si="29"/>
        <v>32.416009879664074</v>
      </c>
      <c r="AT8" s="24"/>
      <c r="AU8" s="388">
        <v>2</v>
      </c>
      <c r="AV8" s="26" t="s">
        <v>115</v>
      </c>
      <c r="AW8" s="391">
        <v>40</v>
      </c>
      <c r="AX8" s="19"/>
      <c r="AY8" s="1110">
        <v>2014</v>
      </c>
      <c r="AZ8" s="1111">
        <v>2.1000000000000001E-2</v>
      </c>
      <c r="BB8" s="20" t="s">
        <v>22722</v>
      </c>
      <c r="BC8" s="568"/>
      <c r="BD8" s="568">
        <f>+PRODUCT(BC7:$BD7)</f>
        <v>1.05261016</v>
      </c>
      <c r="BE8" s="568">
        <f>+PRODUCT(BD7:$BE7)</f>
        <v>1.027126</v>
      </c>
      <c r="BF8" s="568">
        <f>+PRODUCT(BE7:$BF7)</f>
        <v>1.0049939999999999</v>
      </c>
      <c r="BG8" s="568">
        <f>+PRODUCT(BF7:$BG7)</f>
        <v>0.99800100000000003</v>
      </c>
      <c r="BH8" s="568">
        <f>+PRODUCT(BG7:$BH7)</f>
        <v>1.0059929999999999</v>
      </c>
      <c r="BI8" s="568">
        <f>+PRODUCT(BH7:$BI7)</f>
        <v>1.0160629999999997</v>
      </c>
      <c r="BJ8" s="568">
        <f>+PRODUCT($BI7:BJ7)</f>
        <v>1.0200989999999999</v>
      </c>
      <c r="BK8" s="568">
        <f>+PRODUCT($BJ7:BK7)</f>
        <v>1.0120109999999998</v>
      </c>
      <c r="BL8" s="568">
        <f>+PRODUCT($BK7:BL7)</f>
        <v>1.0030019999999999</v>
      </c>
      <c r="BM8" s="568">
        <f>+PRODUCT($BL7:BM7)</f>
        <v>1.0470899999999999</v>
      </c>
      <c r="BN8" s="568">
        <f>+PRODUCT($BM7:BN7)</f>
        <v>1.13696</v>
      </c>
      <c r="BO8" s="568">
        <f>+PRODUCT(BN$7:BO$7)</f>
        <v>1.1097600000000001</v>
      </c>
      <c r="BP8" s="568">
        <f>+PRODUCT(BO$7:BP$7)</f>
        <v>1.03224</v>
      </c>
      <c r="BQ8" s="568">
        <f>+PRODUCT(BP$7:BQ$7)</f>
        <v>1.012</v>
      </c>
      <c r="BR8" s="568">
        <f>+PRODUCT(BQ$7:BR$7)</f>
        <v>1</v>
      </c>
      <c r="BS8" s="568">
        <f>+PRODUCT(BR$7:BS$7)</f>
        <v>1</v>
      </c>
    </row>
    <row r="9" spans="1:71" ht="12.75">
      <c r="A9" s="407">
        <v>1963</v>
      </c>
      <c r="B9" s="408">
        <v>26.498999999999999</v>
      </c>
      <c r="C9" s="408">
        <v>27.215</v>
      </c>
      <c r="D9" s="22">
        <v>27.542000000000002</v>
      </c>
      <c r="E9" s="22">
        <v>27.514038419999999</v>
      </c>
      <c r="F9" s="23">
        <v>27.624094573679997</v>
      </c>
      <c r="G9" s="23">
        <f t="shared" si="30"/>
        <v>27.706966857401035</v>
      </c>
      <c r="H9" s="23">
        <f t="shared" si="30"/>
        <v>27.651552923686232</v>
      </c>
      <c r="I9" s="23">
        <f t="shared" si="30"/>
        <v>27.762159135380976</v>
      </c>
      <c r="J9" s="23">
        <f t="shared" si="31"/>
        <v>27.956494249328639</v>
      </c>
      <c r="K9" s="23">
        <f t="shared" si="32"/>
        <v>28.096276720575279</v>
      </c>
      <c r="L9" s="23">
        <f t="shared" si="32"/>
        <v>28.208661827457579</v>
      </c>
      <c r="M9" s="23">
        <f t="shared" si="32"/>
        <v>29.167756329591139</v>
      </c>
      <c r="N9" s="23">
        <f t="shared" si="33"/>
        <v>29.98445350681969</v>
      </c>
      <c r="O9" s="23">
        <f t="shared" si="34"/>
        <v>29.95446905331287</v>
      </c>
      <c r="P9" s="23">
        <f t="shared" si="34"/>
        <v>29.984423522366178</v>
      </c>
      <c r="Q9" s="23">
        <f t="shared" si="1"/>
        <v>29.984423522366178</v>
      </c>
      <c r="R9" s="23">
        <f t="shared" si="2"/>
        <v>29.984423522366178</v>
      </c>
      <c r="S9" s="23">
        <f t="shared" si="3"/>
        <v>29.984423522366178</v>
      </c>
      <c r="T9" s="23">
        <f t="shared" si="4"/>
        <v>29.984423522366178</v>
      </c>
      <c r="U9" s="23">
        <f t="shared" si="5"/>
        <v>29.984423522366178</v>
      </c>
      <c r="V9" s="23">
        <f t="shared" si="6"/>
        <v>29.984423522366178</v>
      </c>
      <c r="W9" s="23">
        <f t="shared" si="7"/>
        <v>29.984423522366178</v>
      </c>
      <c r="X9" s="23">
        <f t="shared" si="8"/>
        <v>29.984423522366178</v>
      </c>
      <c r="Y9" s="23">
        <f t="shared" si="9"/>
        <v>29.984423522366178</v>
      </c>
      <c r="Z9" s="23">
        <f t="shared" si="10"/>
        <v>29.984423522366178</v>
      </c>
      <c r="AA9" s="23">
        <f t="shared" si="11"/>
        <v>29.984423522366178</v>
      </c>
      <c r="AB9" s="23">
        <f t="shared" si="12"/>
        <v>29.984423522366178</v>
      </c>
      <c r="AC9" s="23">
        <f t="shared" si="13"/>
        <v>29.984423522366178</v>
      </c>
      <c r="AD9" s="23">
        <f t="shared" si="14"/>
        <v>29.984423522366178</v>
      </c>
      <c r="AE9" s="23">
        <f t="shared" si="15"/>
        <v>29.984423522366178</v>
      </c>
      <c r="AF9" s="23">
        <f t="shared" si="16"/>
        <v>29.984423522366178</v>
      </c>
      <c r="AG9" s="23">
        <f t="shared" si="17"/>
        <v>29.984423522366178</v>
      </c>
      <c r="AH9" s="23">
        <f t="shared" si="18"/>
        <v>29.984423522366178</v>
      </c>
      <c r="AI9" s="23">
        <f t="shared" si="19"/>
        <v>29.984423522366178</v>
      </c>
      <c r="AJ9" s="23">
        <f t="shared" si="20"/>
        <v>29.984423522366178</v>
      </c>
      <c r="AK9" s="23">
        <f t="shared" si="21"/>
        <v>29.984423522366178</v>
      </c>
      <c r="AL9" s="23">
        <f t="shared" si="22"/>
        <v>29.984423522366178</v>
      </c>
      <c r="AM9" s="23">
        <f t="shared" si="23"/>
        <v>29.984423522366178</v>
      </c>
      <c r="AN9" s="23">
        <f t="shared" si="24"/>
        <v>29.984423522366178</v>
      </c>
      <c r="AO9" s="23">
        <f t="shared" si="25"/>
        <v>29.984423522366178</v>
      </c>
      <c r="AP9" s="23">
        <f t="shared" si="26"/>
        <v>29.984423522366178</v>
      </c>
      <c r="AQ9" s="23">
        <f t="shared" si="27"/>
        <v>29.984423522366178</v>
      </c>
      <c r="AR9" s="23">
        <f t="shared" si="28"/>
        <v>29.984423522366178</v>
      </c>
      <c r="AS9" s="23">
        <f t="shared" si="29"/>
        <v>29.984423522366178</v>
      </c>
      <c r="AT9" s="24"/>
      <c r="AU9" s="388">
        <v>3</v>
      </c>
      <c r="AV9" s="26" t="s">
        <v>116</v>
      </c>
      <c r="AW9" s="391">
        <v>40</v>
      </c>
      <c r="AX9" s="19"/>
      <c r="AY9" s="1110">
        <v>2015</v>
      </c>
      <c r="AZ9" s="1111">
        <v>6.0000000000000001E-3</v>
      </c>
      <c r="BB9" s="20" t="s">
        <v>22723</v>
      </c>
      <c r="BC9" s="568"/>
      <c r="BD9" s="568"/>
      <c r="BE9" s="568">
        <f>+PRODUCT($BC7:BE7)</f>
        <v>1.0589258209599999</v>
      </c>
      <c r="BF9" s="568">
        <f>+PRODUCT($BD7:BF7)</f>
        <v>1.0260988739999999</v>
      </c>
      <c r="BG9" s="568">
        <f>+PRODUCT($BE7:BG7)</f>
        <v>1.0039890059999999</v>
      </c>
      <c r="BH9" s="568">
        <f>+PRODUCT($BF7:BH7)</f>
        <v>1.004987007</v>
      </c>
      <c r="BI9" s="568">
        <f>+PRODUCT($BG7:BI7)</f>
        <v>1.0150469369999997</v>
      </c>
      <c r="BJ9" s="568">
        <f>+PRODUCT($BH7:BJ7)</f>
        <v>1.0272396929999996</v>
      </c>
      <c r="BK9" s="568">
        <f>+PRODUCT($BI7:BK7)</f>
        <v>1.0211190989999999</v>
      </c>
      <c r="BL9" s="568">
        <f>+PRODUCT($BJ7:BL7)</f>
        <v>1.0140350219999998</v>
      </c>
      <c r="BM9" s="568">
        <f>+PRODUCT($BK7:BM7)</f>
        <v>1.0481370899999998</v>
      </c>
      <c r="BN9" s="568">
        <f>+PRODUCT($BL7:BN7)</f>
        <v>1.1392339199999999</v>
      </c>
      <c r="BO9" s="568">
        <f>+PRODUCT(BM$7:BO$7)</f>
        <v>1.1596991999999999</v>
      </c>
      <c r="BP9" s="568">
        <f>+PRODUCT(BN$7:BP$7)</f>
        <v>1.12307712</v>
      </c>
      <c r="BQ9" s="568">
        <f>+PRODUCT(BO$7:BQ$7)</f>
        <v>1.03224</v>
      </c>
      <c r="BR9" s="568">
        <f>+PRODUCT(BP$7:BR$7)</f>
        <v>1.012</v>
      </c>
      <c r="BS9" s="568">
        <f>+PRODUCT(BQ$7:BS$7)</f>
        <v>1</v>
      </c>
    </row>
    <row r="10" spans="1:71" ht="12.75">
      <c r="A10" s="407">
        <v>1964</v>
      </c>
      <c r="B10" s="408">
        <v>25.39</v>
      </c>
      <c r="C10" s="408">
        <v>26.074999999999999</v>
      </c>
      <c r="D10" s="22">
        <v>26.388000000000002</v>
      </c>
      <c r="E10" s="22">
        <v>26.361512099999999</v>
      </c>
      <c r="F10" s="23">
        <v>26.4669581484</v>
      </c>
      <c r="G10" s="23">
        <f t="shared" si="30"/>
        <v>26.546359022845198</v>
      </c>
      <c r="H10" s="23">
        <f t="shared" si="30"/>
        <v>26.493266304799509</v>
      </c>
      <c r="I10" s="23">
        <f t="shared" si="30"/>
        <v>26.599239370018708</v>
      </c>
      <c r="J10" s="23">
        <f t="shared" si="31"/>
        <v>26.785434045608834</v>
      </c>
      <c r="K10" s="23">
        <f t="shared" si="32"/>
        <v>26.919361215836876</v>
      </c>
      <c r="L10" s="23">
        <f t="shared" si="32"/>
        <v>27.027038660700224</v>
      </c>
      <c r="M10" s="23">
        <f t="shared" si="32"/>
        <v>27.945957975164031</v>
      </c>
      <c r="N10" s="23">
        <f t="shared" si="33"/>
        <v>28.728444798468626</v>
      </c>
      <c r="O10" s="23">
        <f t="shared" si="34"/>
        <v>28.699716353670158</v>
      </c>
      <c r="P10" s="23">
        <f t="shared" si="34"/>
        <v>28.728416070023826</v>
      </c>
      <c r="Q10" s="23">
        <f t="shared" si="1"/>
        <v>28.728416070023826</v>
      </c>
      <c r="R10" s="23">
        <f t="shared" si="2"/>
        <v>28.728416070023826</v>
      </c>
      <c r="S10" s="23">
        <f t="shared" si="3"/>
        <v>28.728416070023826</v>
      </c>
      <c r="T10" s="23">
        <f t="shared" si="4"/>
        <v>28.728416070023826</v>
      </c>
      <c r="U10" s="23">
        <f t="shared" si="5"/>
        <v>28.728416070023826</v>
      </c>
      <c r="V10" s="23">
        <f t="shared" si="6"/>
        <v>28.728416070023826</v>
      </c>
      <c r="W10" s="23">
        <f t="shared" si="7"/>
        <v>28.728416070023826</v>
      </c>
      <c r="X10" s="23">
        <f t="shared" si="8"/>
        <v>28.728416070023826</v>
      </c>
      <c r="Y10" s="23">
        <f t="shared" si="9"/>
        <v>28.728416070023826</v>
      </c>
      <c r="Z10" s="23">
        <f t="shared" si="10"/>
        <v>28.728416070023826</v>
      </c>
      <c r="AA10" s="23">
        <f t="shared" si="11"/>
        <v>28.728416070023826</v>
      </c>
      <c r="AB10" s="23">
        <f t="shared" si="12"/>
        <v>28.728416070023826</v>
      </c>
      <c r="AC10" s="23">
        <f t="shared" si="13"/>
        <v>28.728416070023826</v>
      </c>
      <c r="AD10" s="23">
        <f t="shared" si="14"/>
        <v>28.728416070023826</v>
      </c>
      <c r="AE10" s="23">
        <f t="shared" si="15"/>
        <v>28.728416070023826</v>
      </c>
      <c r="AF10" s="23">
        <f t="shared" si="16"/>
        <v>28.728416070023826</v>
      </c>
      <c r="AG10" s="23">
        <f t="shared" si="17"/>
        <v>28.728416070023826</v>
      </c>
      <c r="AH10" s="23">
        <f t="shared" si="18"/>
        <v>28.728416070023826</v>
      </c>
      <c r="AI10" s="23">
        <f t="shared" si="19"/>
        <v>28.728416070023826</v>
      </c>
      <c r="AJ10" s="23">
        <f t="shared" si="20"/>
        <v>28.728416070023826</v>
      </c>
      <c r="AK10" s="23">
        <f t="shared" si="21"/>
        <v>28.728416070023826</v>
      </c>
      <c r="AL10" s="23">
        <f t="shared" si="22"/>
        <v>28.728416070023826</v>
      </c>
      <c r="AM10" s="23">
        <f t="shared" si="23"/>
        <v>28.728416070023826</v>
      </c>
      <c r="AN10" s="23">
        <f t="shared" si="24"/>
        <v>28.728416070023826</v>
      </c>
      <c r="AO10" s="23">
        <f t="shared" si="25"/>
        <v>28.728416070023826</v>
      </c>
      <c r="AP10" s="23">
        <f t="shared" si="26"/>
        <v>28.728416070023826</v>
      </c>
      <c r="AQ10" s="23">
        <f t="shared" si="27"/>
        <v>28.728416070023826</v>
      </c>
      <c r="AR10" s="23">
        <f t="shared" si="28"/>
        <v>28.728416070023826</v>
      </c>
      <c r="AS10" s="23">
        <f t="shared" si="29"/>
        <v>28.728416070023826</v>
      </c>
      <c r="AT10" s="24"/>
      <c r="AU10" s="388">
        <v>4</v>
      </c>
      <c r="AV10" s="26" t="s">
        <v>117</v>
      </c>
      <c r="AW10" s="391">
        <v>40</v>
      </c>
      <c r="AX10" s="19"/>
      <c r="AY10" s="1110">
        <v>2016</v>
      </c>
      <c r="AZ10" s="1111">
        <v>-1E-3</v>
      </c>
      <c r="BB10" s="20" t="s">
        <v>22724</v>
      </c>
      <c r="BC10" s="568"/>
      <c r="BD10" s="568"/>
      <c r="BE10" s="568"/>
      <c r="BF10" s="568">
        <f>+PRODUCT($BC7:BF7)</f>
        <v>1.05786689513904</v>
      </c>
      <c r="BG10" s="568">
        <f>+PRODUCT($BD7:BG7)</f>
        <v>1.0250727751259998</v>
      </c>
      <c r="BH10" s="568">
        <f>+PRODUCT($BE7:BH7)</f>
        <v>1.0110169290419997</v>
      </c>
      <c r="BI10" s="568">
        <f>+PRODUCT($BF7:BI7)</f>
        <v>1.0140318900629999</v>
      </c>
      <c r="BJ10" s="568">
        <f>+PRODUCT($BG7:BJ7)</f>
        <v>1.0262124533069996</v>
      </c>
      <c r="BK10" s="568">
        <f>+PRODUCT($BH7:BK7)</f>
        <v>1.0282669326929994</v>
      </c>
      <c r="BL10" s="568">
        <f>+PRODUCT($BI7:BL7)</f>
        <v>1.023161337198</v>
      </c>
      <c r="BM10" s="568">
        <f>+PRODUCT($BJ7:BM7)</f>
        <v>1.0596665979899997</v>
      </c>
      <c r="BN10" s="568">
        <f>+PRODUCT($BK7:BN7)</f>
        <v>1.1403731539199999</v>
      </c>
      <c r="BO10" s="568">
        <f>+PRODUCT(BL$7:BO$7)</f>
        <v>1.1620185984</v>
      </c>
      <c r="BP10" s="568">
        <f>+PRODUCT(BM$7:BP$7)</f>
        <v>1.1736155903999999</v>
      </c>
      <c r="BQ10" s="568">
        <f>+PRODUCT(BN$7:BQ$7)</f>
        <v>1.12307712</v>
      </c>
      <c r="BR10" s="568">
        <f>+PRODUCT(BO$7:BR$7)</f>
        <v>1.03224</v>
      </c>
      <c r="BS10" s="568">
        <f>+PRODUCT(BP$7:BS$7)</f>
        <v>1.012</v>
      </c>
    </row>
    <row r="11" spans="1:71" ht="12.75">
      <c r="A11" s="407">
        <v>1965</v>
      </c>
      <c r="B11" s="408">
        <v>25.31</v>
      </c>
      <c r="C11" s="408">
        <v>25.992999999999999</v>
      </c>
      <c r="D11" s="22">
        <v>26.305</v>
      </c>
      <c r="E11" s="22">
        <v>26.278611083999998</v>
      </c>
      <c r="F11" s="23">
        <v>26.383725528335997</v>
      </c>
      <c r="G11" s="23">
        <f t="shared" si="30"/>
        <v>26.462876704921001</v>
      </c>
      <c r="H11" s="23">
        <f t="shared" si="30"/>
        <v>26.40995095151116</v>
      </c>
      <c r="I11" s="23">
        <f t="shared" si="30"/>
        <v>26.515590755317206</v>
      </c>
      <c r="J11" s="23">
        <f t="shared" si="31"/>
        <v>26.701199890604425</v>
      </c>
      <c r="K11" s="23">
        <f t="shared" si="32"/>
        <v>26.834705890057442</v>
      </c>
      <c r="L11" s="23">
        <f t="shared" si="32"/>
        <v>26.942044713617673</v>
      </c>
      <c r="M11" s="23">
        <f t="shared" si="32"/>
        <v>27.858074233880675</v>
      </c>
      <c r="N11" s="23">
        <f t="shared" si="33"/>
        <v>28.638100312429334</v>
      </c>
      <c r="O11" s="23">
        <f t="shared" si="34"/>
        <v>28.609462212116906</v>
      </c>
      <c r="P11" s="23">
        <f t="shared" si="34"/>
        <v>28.638071674329019</v>
      </c>
      <c r="Q11" s="23">
        <f t="shared" si="1"/>
        <v>28.638071674329019</v>
      </c>
      <c r="R11" s="23">
        <f t="shared" si="2"/>
        <v>28.638071674329019</v>
      </c>
      <c r="S11" s="23">
        <f t="shared" si="3"/>
        <v>28.638071674329019</v>
      </c>
      <c r="T11" s="23">
        <f t="shared" si="4"/>
        <v>28.638071674329019</v>
      </c>
      <c r="U11" s="23">
        <f t="shared" si="5"/>
        <v>28.638071674329019</v>
      </c>
      <c r="V11" s="23">
        <f t="shared" si="6"/>
        <v>28.638071674329019</v>
      </c>
      <c r="W11" s="23">
        <f t="shared" si="7"/>
        <v>28.638071674329019</v>
      </c>
      <c r="X11" s="23">
        <f t="shared" si="8"/>
        <v>28.638071674329019</v>
      </c>
      <c r="Y11" s="23">
        <f t="shared" si="9"/>
        <v>28.638071674329019</v>
      </c>
      <c r="Z11" s="23">
        <f t="shared" si="10"/>
        <v>28.638071674329019</v>
      </c>
      <c r="AA11" s="23">
        <f t="shared" si="11"/>
        <v>28.638071674329019</v>
      </c>
      <c r="AB11" s="23">
        <f t="shared" si="12"/>
        <v>28.638071674329019</v>
      </c>
      <c r="AC11" s="23">
        <f t="shared" si="13"/>
        <v>28.638071674329019</v>
      </c>
      <c r="AD11" s="23">
        <f t="shared" si="14"/>
        <v>28.638071674329019</v>
      </c>
      <c r="AE11" s="23">
        <f t="shared" si="15"/>
        <v>28.638071674329019</v>
      </c>
      <c r="AF11" s="23">
        <f t="shared" si="16"/>
        <v>28.638071674329019</v>
      </c>
      <c r="AG11" s="23">
        <f t="shared" si="17"/>
        <v>28.638071674329019</v>
      </c>
      <c r="AH11" s="23">
        <f t="shared" si="18"/>
        <v>28.638071674329019</v>
      </c>
      <c r="AI11" s="23">
        <f t="shared" si="19"/>
        <v>28.638071674329019</v>
      </c>
      <c r="AJ11" s="23">
        <f t="shared" si="20"/>
        <v>28.638071674329019</v>
      </c>
      <c r="AK11" s="23">
        <f t="shared" si="21"/>
        <v>28.638071674329019</v>
      </c>
      <c r="AL11" s="23">
        <f t="shared" si="22"/>
        <v>28.638071674329019</v>
      </c>
      <c r="AM11" s="23">
        <f t="shared" si="23"/>
        <v>28.638071674329019</v>
      </c>
      <c r="AN11" s="23">
        <f t="shared" si="24"/>
        <v>28.638071674329019</v>
      </c>
      <c r="AO11" s="23">
        <f t="shared" si="25"/>
        <v>28.638071674329019</v>
      </c>
      <c r="AP11" s="23">
        <f t="shared" si="26"/>
        <v>28.638071674329019</v>
      </c>
      <c r="AQ11" s="23">
        <f t="shared" si="27"/>
        <v>28.638071674329019</v>
      </c>
      <c r="AR11" s="23">
        <f t="shared" si="28"/>
        <v>28.638071674329019</v>
      </c>
      <c r="AS11" s="23">
        <f t="shared" si="29"/>
        <v>28.638071674329019</v>
      </c>
      <c r="AT11" s="24"/>
      <c r="AU11" s="388">
        <v>5</v>
      </c>
      <c r="AV11" s="29" t="s">
        <v>118</v>
      </c>
      <c r="AW11" s="391">
        <v>40</v>
      </c>
      <c r="AX11" s="19"/>
      <c r="AY11" s="1110">
        <v>2017</v>
      </c>
      <c r="AZ11" s="1111">
        <v>-1E-3</v>
      </c>
      <c r="BB11" s="20" t="s">
        <v>24735</v>
      </c>
      <c r="BC11" s="568"/>
      <c r="BD11" s="568"/>
      <c r="BE11" s="568"/>
      <c r="BF11" s="568"/>
      <c r="BG11" s="568">
        <f>+PRODUCT($BC7:BG7)</f>
        <v>1.0568090282439009</v>
      </c>
      <c r="BH11" s="568">
        <f>+PRODUCT($BD7:BH7)</f>
        <v>1.0322482845518817</v>
      </c>
      <c r="BI11" s="568">
        <f>+PRODUCT($BE7:BI7)</f>
        <v>1.0201160814033776</v>
      </c>
      <c r="BJ11" s="568">
        <f>+PRODUCT($BF7:BJ7)</f>
        <v>1.0251862408536927</v>
      </c>
      <c r="BK11" s="568">
        <f>+PRODUCT($BG7:BK7)</f>
        <v>1.0272386657603065</v>
      </c>
      <c r="BL11" s="568">
        <f>+PRODUCT($BH7:BL7)</f>
        <v>1.0303234665583854</v>
      </c>
      <c r="BM11" s="568">
        <f>+PRODUCT($BI7:BM7)</f>
        <v>1.0692035973719098</v>
      </c>
      <c r="BN11" s="568">
        <f>+PRODUCT($BJ7:BN7)</f>
        <v>1.1529172586131198</v>
      </c>
      <c r="BO11" s="568">
        <f>+PRODUCT(BK$7:BO$7)</f>
        <v>1.1631806169984</v>
      </c>
      <c r="BP11" s="568">
        <f>+PRODUCT(BL$7:BP$7)</f>
        <v>1.1759628215808</v>
      </c>
      <c r="BQ11" s="568">
        <f>+PRODUCT(BM$7:BQ$7)</f>
        <v>1.1736155903999999</v>
      </c>
      <c r="BR11" s="568">
        <f>+PRODUCT(BN$7:BR$7)</f>
        <v>1.12307712</v>
      </c>
      <c r="BS11" s="568">
        <f>+PRODUCT(BO$7:BS$7)</f>
        <v>1.03224</v>
      </c>
    </row>
    <row r="12" spans="1:71" ht="12.75">
      <c r="A12" s="407">
        <v>1966</v>
      </c>
      <c r="B12" s="408">
        <v>24.629000000000001</v>
      </c>
      <c r="C12" s="408">
        <v>25.292999999999999</v>
      </c>
      <c r="D12" s="22">
        <v>25.597000000000001</v>
      </c>
      <c r="E12" s="22">
        <v>25.570919484000001</v>
      </c>
      <c r="F12" s="23">
        <v>25.673203161936001</v>
      </c>
      <c r="G12" s="23">
        <f t="shared" si="30"/>
        <v>25.750222771421807</v>
      </c>
      <c r="H12" s="23">
        <f t="shared" si="30"/>
        <v>25.698722325878965</v>
      </c>
      <c r="I12" s="23">
        <f t="shared" si="30"/>
        <v>25.801517215182482</v>
      </c>
      <c r="J12" s="23">
        <f t="shared" si="31"/>
        <v>25.982127835688758</v>
      </c>
      <c r="K12" s="23">
        <f t="shared" si="32"/>
        <v>26.112038474867198</v>
      </c>
      <c r="L12" s="23">
        <f t="shared" si="32"/>
        <v>26.216486628766667</v>
      </c>
      <c r="M12" s="23">
        <f t="shared" si="32"/>
        <v>27.107847174144734</v>
      </c>
      <c r="N12" s="23">
        <f t="shared" si="33"/>
        <v>27.866866895020788</v>
      </c>
      <c r="O12" s="23">
        <f t="shared" si="34"/>
        <v>27.839000028125767</v>
      </c>
      <c r="P12" s="23">
        <f t="shared" si="34"/>
        <v>27.86683902815389</v>
      </c>
      <c r="Q12" s="23">
        <f t="shared" si="1"/>
        <v>27.86683902815389</v>
      </c>
      <c r="R12" s="23">
        <f t="shared" si="2"/>
        <v>27.86683902815389</v>
      </c>
      <c r="S12" s="23">
        <f t="shared" si="3"/>
        <v>27.86683902815389</v>
      </c>
      <c r="T12" s="23">
        <f t="shared" si="4"/>
        <v>27.86683902815389</v>
      </c>
      <c r="U12" s="23">
        <f t="shared" si="5"/>
        <v>27.86683902815389</v>
      </c>
      <c r="V12" s="23">
        <f t="shared" si="6"/>
        <v>27.86683902815389</v>
      </c>
      <c r="W12" s="23">
        <f t="shared" si="7"/>
        <v>27.86683902815389</v>
      </c>
      <c r="X12" s="23">
        <f t="shared" si="8"/>
        <v>27.86683902815389</v>
      </c>
      <c r="Y12" s="23">
        <f t="shared" si="9"/>
        <v>27.86683902815389</v>
      </c>
      <c r="Z12" s="23">
        <f t="shared" si="10"/>
        <v>27.86683902815389</v>
      </c>
      <c r="AA12" s="23">
        <f t="shared" si="11"/>
        <v>27.86683902815389</v>
      </c>
      <c r="AB12" s="23">
        <f t="shared" si="12"/>
        <v>27.86683902815389</v>
      </c>
      <c r="AC12" s="23">
        <f t="shared" si="13"/>
        <v>27.86683902815389</v>
      </c>
      <c r="AD12" s="23">
        <f t="shared" si="14"/>
        <v>27.86683902815389</v>
      </c>
      <c r="AE12" s="23">
        <f t="shared" si="15"/>
        <v>27.86683902815389</v>
      </c>
      <c r="AF12" s="23">
        <f t="shared" si="16"/>
        <v>27.86683902815389</v>
      </c>
      <c r="AG12" s="23">
        <f t="shared" si="17"/>
        <v>27.86683902815389</v>
      </c>
      <c r="AH12" s="23">
        <f t="shared" si="18"/>
        <v>27.86683902815389</v>
      </c>
      <c r="AI12" s="23">
        <f t="shared" si="19"/>
        <v>27.86683902815389</v>
      </c>
      <c r="AJ12" s="23">
        <f t="shared" si="20"/>
        <v>27.86683902815389</v>
      </c>
      <c r="AK12" s="23">
        <f t="shared" si="21"/>
        <v>27.86683902815389</v>
      </c>
      <c r="AL12" s="23">
        <f t="shared" si="22"/>
        <v>27.86683902815389</v>
      </c>
      <c r="AM12" s="23">
        <f t="shared" si="23"/>
        <v>27.86683902815389</v>
      </c>
      <c r="AN12" s="23">
        <f t="shared" si="24"/>
        <v>27.86683902815389</v>
      </c>
      <c r="AO12" s="23">
        <f t="shared" si="25"/>
        <v>27.86683902815389</v>
      </c>
      <c r="AP12" s="23">
        <f t="shared" si="26"/>
        <v>27.86683902815389</v>
      </c>
      <c r="AQ12" s="23">
        <f t="shared" si="27"/>
        <v>27.86683902815389</v>
      </c>
      <c r="AR12" s="23">
        <f t="shared" si="28"/>
        <v>27.86683902815389</v>
      </c>
      <c r="AS12" s="23">
        <f t="shared" si="29"/>
        <v>27.86683902815389</v>
      </c>
      <c r="AT12" s="24"/>
      <c r="AU12" s="388">
        <v>6</v>
      </c>
      <c r="AV12" s="26" t="s">
        <v>119</v>
      </c>
      <c r="AW12" s="391">
        <v>50</v>
      </c>
      <c r="AX12" s="19"/>
      <c r="AY12" s="1110">
        <v>2018</v>
      </c>
      <c r="AZ12" s="1111">
        <v>7.0000000000000001E-3</v>
      </c>
      <c r="BB12" s="20" t="s">
        <v>24898</v>
      </c>
      <c r="BC12" s="568"/>
      <c r="BD12" s="568"/>
      <c r="BE12" s="568"/>
      <c r="BF12" s="568"/>
      <c r="BG12" s="568"/>
      <c r="BH12" s="568">
        <f>+PRODUCT($BC7:BH7)</f>
        <v>1.0642066914416082</v>
      </c>
      <c r="BI12" s="568">
        <f>+PRODUCT($BD7:BI7)</f>
        <v>1.0415385191128486</v>
      </c>
      <c r="BJ12" s="568">
        <f>+PRODUCT($BE7:BJ7)</f>
        <v>1.0313373582988146</v>
      </c>
      <c r="BK12" s="568">
        <f>+PRODUCT($BF7:BK7)</f>
        <v>1.0262114270945464</v>
      </c>
      <c r="BL12" s="568">
        <f>+PRODUCT($BG7:BL7)</f>
        <v>1.0292931430918271</v>
      </c>
      <c r="BM12" s="568">
        <f>+PRODUCT($BH7:BM7)</f>
        <v>1.0766880225535127</v>
      </c>
      <c r="BN12" s="568">
        <f>+PRODUCT($BI7:BN7)</f>
        <v>1.163293513940638</v>
      </c>
      <c r="BO12" s="568">
        <f>+PRODUCT(BJ$7:BO$7)</f>
        <v>1.1759756037853821</v>
      </c>
      <c r="BP12" s="568">
        <f>+PRODUCT(BK$7:BP$7)</f>
        <v>1.1771387844023808</v>
      </c>
      <c r="BQ12" s="568">
        <f>+PRODUCT(BL$7:BQ$7)</f>
        <v>1.1759628215808</v>
      </c>
      <c r="BR12" s="568">
        <f>+PRODUCT(BM$7:BR$7)</f>
        <v>1.1736155903999999</v>
      </c>
      <c r="BS12" s="568">
        <f>+PRODUCT(BN$7:BS$7)</f>
        <v>1.12307712</v>
      </c>
    </row>
    <row r="13" spans="1:71" ht="12.75">
      <c r="A13" s="407">
        <v>1967</v>
      </c>
      <c r="B13" s="408">
        <v>23.818999999999999</v>
      </c>
      <c r="C13" s="408">
        <v>24.462</v>
      </c>
      <c r="D13" s="22">
        <v>24.756</v>
      </c>
      <c r="E13" s="22">
        <v>24.730788455999999</v>
      </c>
      <c r="F13" s="23">
        <v>24.829711609823999</v>
      </c>
      <c r="G13" s="23">
        <f t="shared" si="30"/>
        <v>24.904200744653469</v>
      </c>
      <c r="H13" s="23">
        <f t="shared" si="30"/>
        <v>24.854392343164161</v>
      </c>
      <c r="I13" s="23">
        <f t="shared" si="30"/>
        <v>24.953809912536819</v>
      </c>
      <c r="J13" s="23">
        <f t="shared" si="31"/>
        <v>25.128486581924573</v>
      </c>
      <c r="K13" s="23">
        <f t="shared" si="32"/>
        <v>25.254129014834195</v>
      </c>
      <c r="L13" s="23">
        <f t="shared" si="32"/>
        <v>25.35514553089353</v>
      </c>
      <c r="M13" s="23">
        <f t="shared" si="32"/>
        <v>26.217220478943911</v>
      </c>
      <c r="N13" s="23">
        <f t="shared" si="33"/>
        <v>26.951302652354343</v>
      </c>
      <c r="O13" s="23">
        <f t="shared" si="34"/>
        <v>26.92435134970199</v>
      </c>
      <c r="P13" s="23">
        <f t="shared" si="34"/>
        <v>26.951275701051689</v>
      </c>
      <c r="Q13" s="23">
        <f t="shared" si="1"/>
        <v>26.951275701051689</v>
      </c>
      <c r="R13" s="23">
        <f t="shared" si="2"/>
        <v>26.951275701051689</v>
      </c>
      <c r="S13" s="23">
        <f t="shared" si="3"/>
        <v>26.951275701051689</v>
      </c>
      <c r="T13" s="23">
        <f t="shared" si="4"/>
        <v>26.951275701051689</v>
      </c>
      <c r="U13" s="23">
        <f t="shared" si="5"/>
        <v>26.951275701051689</v>
      </c>
      <c r="V13" s="23">
        <f t="shared" si="6"/>
        <v>26.951275701051689</v>
      </c>
      <c r="W13" s="23">
        <f t="shared" si="7"/>
        <v>26.951275701051689</v>
      </c>
      <c r="X13" s="23">
        <f t="shared" si="8"/>
        <v>26.951275701051689</v>
      </c>
      <c r="Y13" s="23">
        <f t="shared" si="9"/>
        <v>26.951275701051689</v>
      </c>
      <c r="Z13" s="23">
        <f t="shared" si="10"/>
        <v>26.951275701051689</v>
      </c>
      <c r="AA13" s="23">
        <f t="shared" si="11"/>
        <v>26.951275701051689</v>
      </c>
      <c r="AB13" s="23">
        <f t="shared" si="12"/>
        <v>26.951275701051689</v>
      </c>
      <c r="AC13" s="23">
        <f t="shared" si="13"/>
        <v>26.951275701051689</v>
      </c>
      <c r="AD13" s="23">
        <f t="shared" si="14"/>
        <v>26.951275701051689</v>
      </c>
      <c r="AE13" s="23">
        <f t="shared" si="15"/>
        <v>26.951275701051689</v>
      </c>
      <c r="AF13" s="23">
        <f t="shared" si="16"/>
        <v>26.951275701051689</v>
      </c>
      <c r="AG13" s="23">
        <f t="shared" si="17"/>
        <v>26.951275701051689</v>
      </c>
      <c r="AH13" s="23">
        <f t="shared" si="18"/>
        <v>26.951275701051689</v>
      </c>
      <c r="AI13" s="23">
        <f t="shared" si="19"/>
        <v>26.951275701051689</v>
      </c>
      <c r="AJ13" s="23">
        <f t="shared" si="20"/>
        <v>26.951275701051689</v>
      </c>
      <c r="AK13" s="23">
        <f t="shared" si="21"/>
        <v>26.951275701051689</v>
      </c>
      <c r="AL13" s="23">
        <f t="shared" si="22"/>
        <v>26.951275701051689</v>
      </c>
      <c r="AM13" s="23">
        <f t="shared" si="23"/>
        <v>26.951275701051689</v>
      </c>
      <c r="AN13" s="23">
        <f t="shared" si="24"/>
        <v>26.951275701051689</v>
      </c>
      <c r="AO13" s="23">
        <f t="shared" si="25"/>
        <v>26.951275701051689</v>
      </c>
      <c r="AP13" s="23">
        <f t="shared" si="26"/>
        <v>26.951275701051689</v>
      </c>
      <c r="AQ13" s="23">
        <f t="shared" si="27"/>
        <v>26.951275701051689</v>
      </c>
      <c r="AR13" s="23">
        <f t="shared" si="28"/>
        <v>26.951275701051689</v>
      </c>
      <c r="AS13" s="23">
        <f t="shared" si="29"/>
        <v>26.951275701051689</v>
      </c>
      <c r="AT13" s="24"/>
      <c r="AU13" s="388">
        <v>7</v>
      </c>
      <c r="AV13" s="29" t="s">
        <v>120</v>
      </c>
      <c r="AW13" s="391">
        <v>12</v>
      </c>
      <c r="AX13" s="19"/>
      <c r="AY13" s="1110">
        <v>2019</v>
      </c>
      <c r="AZ13" s="1111">
        <v>8.9999999999999993E-3</v>
      </c>
      <c r="BB13" s="20" t="s">
        <v>26805</v>
      </c>
      <c r="BC13" s="568"/>
      <c r="BD13" s="568"/>
      <c r="BE13" s="568"/>
      <c r="BF13" s="568"/>
      <c r="BG13" s="568"/>
      <c r="BH13" s="568"/>
      <c r="BI13" s="568">
        <f>+PRODUCT($BC7:BI7)</f>
        <v>1.0737845516645825</v>
      </c>
      <c r="BJ13" s="568">
        <f>+PRODUCT($BD7:BJ7)</f>
        <v>1.0529954428230899</v>
      </c>
      <c r="BK13" s="568">
        <f>+PRODUCT($BE7:BK7)</f>
        <v>1.0323686956571132</v>
      </c>
      <c r="BL13" s="568">
        <f>+PRODUCT($BF7:BL7)</f>
        <v>1.0282638499487355</v>
      </c>
      <c r="BM13" s="568">
        <f>+PRODUCT($BG7:BM7)</f>
        <v>1.0756113345309593</v>
      </c>
      <c r="BN13" s="568">
        <f>+PRODUCT($BH7:BN7)</f>
        <v>1.171436568538222</v>
      </c>
      <c r="BO13" s="568">
        <f>+PRODUCT(BI$7:BO$7)</f>
        <v>1.1865593842194508</v>
      </c>
      <c r="BP13" s="568">
        <f>+PRODUCT(BJ$7:BP$7)</f>
        <v>1.1900873110308068</v>
      </c>
      <c r="BQ13" s="568">
        <f>+PRODUCT(BK$7:BQ$7)</f>
        <v>1.1771387844023808</v>
      </c>
      <c r="BR13" s="568">
        <f>+PRODUCT(BL$7:BR$7)</f>
        <v>1.1759628215808</v>
      </c>
      <c r="BS13" s="568">
        <f>+PRODUCT(BM$7:BS$7)</f>
        <v>1.1736155903999999</v>
      </c>
    </row>
    <row r="14" spans="1:71" ht="12.75">
      <c r="A14" s="407">
        <v>1968</v>
      </c>
      <c r="B14" s="408">
        <v>23.283000000000001</v>
      </c>
      <c r="C14" s="408">
        <v>23.911999999999999</v>
      </c>
      <c r="D14" s="22">
        <v>24.199000000000002</v>
      </c>
      <c r="E14" s="22">
        <v>24.174745056000003</v>
      </c>
      <c r="F14" s="23">
        <v>24.271444036224004</v>
      </c>
      <c r="G14" s="23">
        <f t="shared" si="30"/>
        <v>24.344258368332675</v>
      </c>
      <c r="H14" s="23">
        <f t="shared" si="30"/>
        <v>24.29556985159601</v>
      </c>
      <c r="I14" s="23">
        <f t="shared" si="30"/>
        <v>24.392752131002393</v>
      </c>
      <c r="J14" s="23">
        <f t="shared" si="31"/>
        <v>24.563501395919406</v>
      </c>
      <c r="K14" s="23">
        <f t="shared" si="32"/>
        <v>24.686318902899</v>
      </c>
      <c r="L14" s="23">
        <f t="shared" si="32"/>
        <v>24.785064178510595</v>
      </c>
      <c r="M14" s="23">
        <f t="shared" si="32"/>
        <v>25.627756360579955</v>
      </c>
      <c r="N14" s="23">
        <f t="shared" si="33"/>
        <v>26.345333538676194</v>
      </c>
      <c r="O14" s="23">
        <f t="shared" si="34"/>
        <v>26.318988205137519</v>
      </c>
      <c r="P14" s="23">
        <f t="shared" si="34"/>
        <v>26.345307193342652</v>
      </c>
      <c r="Q14" s="23">
        <f t="shared" si="1"/>
        <v>26.345307193342652</v>
      </c>
      <c r="R14" s="23">
        <f t="shared" si="2"/>
        <v>26.345307193342652</v>
      </c>
      <c r="S14" s="23">
        <f t="shared" si="3"/>
        <v>26.345307193342652</v>
      </c>
      <c r="T14" s="23">
        <f t="shared" si="4"/>
        <v>26.345307193342652</v>
      </c>
      <c r="U14" s="23">
        <f t="shared" si="5"/>
        <v>26.345307193342652</v>
      </c>
      <c r="V14" s="23">
        <f t="shared" si="6"/>
        <v>26.345307193342652</v>
      </c>
      <c r="W14" s="23">
        <f t="shared" si="7"/>
        <v>26.345307193342652</v>
      </c>
      <c r="X14" s="23">
        <f t="shared" si="8"/>
        <v>26.345307193342652</v>
      </c>
      <c r="Y14" s="23">
        <f t="shared" si="9"/>
        <v>26.345307193342652</v>
      </c>
      <c r="Z14" s="23">
        <f t="shared" si="10"/>
        <v>26.345307193342652</v>
      </c>
      <c r="AA14" s="23">
        <f t="shared" si="11"/>
        <v>26.345307193342652</v>
      </c>
      <c r="AB14" s="23">
        <f t="shared" si="12"/>
        <v>26.345307193342652</v>
      </c>
      <c r="AC14" s="23">
        <f t="shared" si="13"/>
        <v>26.345307193342652</v>
      </c>
      <c r="AD14" s="23">
        <f t="shared" si="14"/>
        <v>26.345307193342652</v>
      </c>
      <c r="AE14" s="23">
        <f t="shared" si="15"/>
        <v>26.345307193342652</v>
      </c>
      <c r="AF14" s="23">
        <f t="shared" si="16"/>
        <v>26.345307193342652</v>
      </c>
      <c r="AG14" s="23">
        <f t="shared" si="17"/>
        <v>26.345307193342652</v>
      </c>
      <c r="AH14" s="23">
        <f t="shared" si="18"/>
        <v>26.345307193342652</v>
      </c>
      <c r="AI14" s="23">
        <f t="shared" si="19"/>
        <v>26.345307193342652</v>
      </c>
      <c r="AJ14" s="23">
        <f t="shared" si="20"/>
        <v>26.345307193342652</v>
      </c>
      <c r="AK14" s="23">
        <f t="shared" si="21"/>
        <v>26.345307193342652</v>
      </c>
      <c r="AL14" s="23">
        <f t="shared" si="22"/>
        <v>26.345307193342652</v>
      </c>
      <c r="AM14" s="23">
        <f t="shared" si="23"/>
        <v>26.345307193342652</v>
      </c>
      <c r="AN14" s="23">
        <f t="shared" si="24"/>
        <v>26.345307193342652</v>
      </c>
      <c r="AO14" s="23">
        <f t="shared" si="25"/>
        <v>26.345307193342652</v>
      </c>
      <c r="AP14" s="23">
        <f t="shared" si="26"/>
        <v>26.345307193342652</v>
      </c>
      <c r="AQ14" s="23">
        <f t="shared" si="27"/>
        <v>26.345307193342652</v>
      </c>
      <c r="AR14" s="23">
        <f t="shared" si="28"/>
        <v>26.345307193342652</v>
      </c>
      <c r="AS14" s="23">
        <f t="shared" si="29"/>
        <v>26.345307193342652</v>
      </c>
      <c r="AT14" s="24"/>
      <c r="AU14" s="388">
        <v>8</v>
      </c>
      <c r="AV14" s="29" t="s">
        <v>121</v>
      </c>
      <c r="AW14" s="391">
        <v>8</v>
      </c>
      <c r="AX14" s="19"/>
      <c r="AY14" s="1110">
        <v>2020</v>
      </c>
      <c r="AZ14" s="1111">
        <v>1.0999999999999999E-2</v>
      </c>
      <c r="BB14" s="20" t="s">
        <v>26806</v>
      </c>
      <c r="BC14" s="568"/>
      <c r="BD14" s="568"/>
      <c r="BE14" s="568"/>
      <c r="BF14" s="568"/>
      <c r="BG14" s="568"/>
      <c r="BH14" s="568"/>
      <c r="BI14" s="568"/>
      <c r="BJ14" s="568">
        <f>+PRODUCT($BC7:BJ7)</f>
        <v>1.0855961817328927</v>
      </c>
      <c r="BK14" s="568">
        <f>+PRODUCT($BD7:BK7)</f>
        <v>1.0540484382659128</v>
      </c>
      <c r="BL14" s="568">
        <f>+PRODUCT($BE7:BL7)</f>
        <v>1.0344334330484275</v>
      </c>
      <c r="BM14" s="568">
        <f>+PRODUCT($BF7:BM7)</f>
        <v>1.0745357231964285</v>
      </c>
      <c r="BN14" s="568">
        <f>+PRODUCT($BG7:BN7)</f>
        <v>1.1702651319696837</v>
      </c>
      <c r="BO14" s="568">
        <f>+PRODUCT(BH$7:BO$7)</f>
        <v>1.1948652999089864</v>
      </c>
      <c r="BP14" s="568">
        <f>+PRODUCT(BI$7:BP$7)</f>
        <v>1.2007980968300842</v>
      </c>
      <c r="BQ14" s="568">
        <f>+PRODUCT(BJ$7:BQ$7)</f>
        <v>1.1900873110308068</v>
      </c>
      <c r="BR14" s="568">
        <f>+PRODUCT(BK$7:BR$7)</f>
        <v>1.1771387844023808</v>
      </c>
      <c r="BS14" s="568">
        <f>+PRODUCT(BL$7:BS$7)</f>
        <v>1.1759628215808</v>
      </c>
    </row>
    <row r="15" spans="1:71" ht="12.75">
      <c r="A15" s="407">
        <v>1969</v>
      </c>
      <c r="B15" s="408">
        <v>21.986000000000001</v>
      </c>
      <c r="C15" s="408">
        <v>22.579000000000001</v>
      </c>
      <c r="D15" s="22">
        <v>22.85</v>
      </c>
      <c r="E15" s="22">
        <v>22.827098052</v>
      </c>
      <c r="F15" s="23">
        <v>22.918406444207999</v>
      </c>
      <c r="G15" s="23">
        <f t="shared" si="30"/>
        <v>22.987161663540622</v>
      </c>
      <c r="H15" s="23">
        <f t="shared" si="30"/>
        <v>22.941187340213542</v>
      </c>
      <c r="I15" s="23">
        <f t="shared" si="30"/>
        <v>23.032952089574398</v>
      </c>
      <c r="J15" s="23">
        <f t="shared" si="31"/>
        <v>23.194182754201417</v>
      </c>
      <c r="K15" s="23">
        <f t="shared" si="32"/>
        <v>23.310153667972422</v>
      </c>
      <c r="L15" s="23">
        <f t="shared" si="32"/>
        <v>23.40339428264431</v>
      </c>
      <c r="M15" s="23">
        <f t="shared" si="32"/>
        <v>24.199109688254218</v>
      </c>
      <c r="N15" s="23">
        <f t="shared" si="33"/>
        <v>24.876684759525336</v>
      </c>
      <c r="O15" s="23">
        <f t="shared" si="34"/>
        <v>24.85180807476581</v>
      </c>
      <c r="P15" s="23">
        <f t="shared" si="34"/>
        <v>24.876659882840574</v>
      </c>
      <c r="Q15" s="23">
        <f t="shared" si="1"/>
        <v>24.876659882840574</v>
      </c>
      <c r="R15" s="23">
        <f t="shared" si="2"/>
        <v>24.876659882840574</v>
      </c>
      <c r="S15" s="23">
        <f t="shared" si="3"/>
        <v>24.876659882840574</v>
      </c>
      <c r="T15" s="23">
        <f t="shared" si="4"/>
        <v>24.876659882840574</v>
      </c>
      <c r="U15" s="23">
        <f t="shared" si="5"/>
        <v>24.876659882840574</v>
      </c>
      <c r="V15" s="23">
        <f t="shared" si="6"/>
        <v>24.876659882840574</v>
      </c>
      <c r="W15" s="23">
        <f t="shared" si="7"/>
        <v>24.876659882840574</v>
      </c>
      <c r="X15" s="23">
        <f t="shared" si="8"/>
        <v>24.876659882840574</v>
      </c>
      <c r="Y15" s="23">
        <f t="shared" si="9"/>
        <v>24.876659882840574</v>
      </c>
      <c r="Z15" s="23">
        <f t="shared" si="10"/>
        <v>24.876659882840574</v>
      </c>
      <c r="AA15" s="23">
        <f t="shared" si="11"/>
        <v>24.876659882840574</v>
      </c>
      <c r="AB15" s="23">
        <f t="shared" si="12"/>
        <v>24.876659882840574</v>
      </c>
      <c r="AC15" s="23">
        <f t="shared" si="13"/>
        <v>24.876659882840574</v>
      </c>
      <c r="AD15" s="23">
        <f t="shared" si="14"/>
        <v>24.876659882840574</v>
      </c>
      <c r="AE15" s="23">
        <f t="shared" si="15"/>
        <v>24.876659882840574</v>
      </c>
      <c r="AF15" s="23">
        <f t="shared" si="16"/>
        <v>24.876659882840574</v>
      </c>
      <c r="AG15" s="23">
        <f t="shared" si="17"/>
        <v>24.876659882840574</v>
      </c>
      <c r="AH15" s="23">
        <f t="shared" si="18"/>
        <v>24.876659882840574</v>
      </c>
      <c r="AI15" s="23">
        <f t="shared" si="19"/>
        <v>24.876659882840574</v>
      </c>
      <c r="AJ15" s="23">
        <f t="shared" si="20"/>
        <v>24.876659882840574</v>
      </c>
      <c r="AK15" s="23">
        <f t="shared" si="21"/>
        <v>24.876659882840574</v>
      </c>
      <c r="AL15" s="23">
        <f t="shared" si="22"/>
        <v>24.876659882840574</v>
      </c>
      <c r="AM15" s="23">
        <f t="shared" si="23"/>
        <v>24.876659882840574</v>
      </c>
      <c r="AN15" s="23">
        <f t="shared" si="24"/>
        <v>24.876659882840574</v>
      </c>
      <c r="AO15" s="23">
        <f t="shared" si="25"/>
        <v>24.876659882840574</v>
      </c>
      <c r="AP15" s="23">
        <f t="shared" si="26"/>
        <v>24.876659882840574</v>
      </c>
      <c r="AQ15" s="23">
        <f t="shared" si="27"/>
        <v>24.876659882840574</v>
      </c>
      <c r="AR15" s="23">
        <f t="shared" si="28"/>
        <v>24.876659882840574</v>
      </c>
      <c r="AS15" s="23">
        <f t="shared" si="29"/>
        <v>24.876659882840574</v>
      </c>
      <c r="AT15" s="24"/>
      <c r="AU15" s="388">
        <v>9</v>
      </c>
      <c r="AV15" s="26" t="s">
        <v>122</v>
      </c>
      <c r="AW15" s="391">
        <v>15</v>
      </c>
      <c r="AX15" s="19"/>
      <c r="AY15" s="1110">
        <v>2021</v>
      </c>
      <c r="AZ15" s="1111">
        <v>1E-3</v>
      </c>
      <c r="BB15" s="20" t="s">
        <v>26807</v>
      </c>
      <c r="BC15" s="568"/>
      <c r="BD15" s="568"/>
      <c r="BE15" s="568"/>
      <c r="BF15" s="568"/>
      <c r="BG15" s="568"/>
      <c r="BH15" s="568"/>
      <c r="BI15" s="568"/>
      <c r="BJ15" s="568"/>
      <c r="BK15" s="568">
        <f>+PRODUCT($BC7:BK7)</f>
        <v>1.0866817779146256</v>
      </c>
      <c r="BL15" s="568">
        <f>+PRODUCT($BD7:BL7)</f>
        <v>1.0561565351424447</v>
      </c>
      <c r="BM15" s="568">
        <f>+PRODUCT($BE7:BM7)</f>
        <v>1.0809829375356066</v>
      </c>
      <c r="BN15" s="568">
        <f>+PRODUCT($BF7:BN7)</f>
        <v>1.1690948668377144</v>
      </c>
      <c r="BO15" s="568">
        <f>+PRODUCT(BG$7:BO$7)</f>
        <v>1.1936704346090774</v>
      </c>
      <c r="BP15" s="568">
        <f>+PRODUCT(BH$7:BP$7)</f>
        <v>1.2092036835078943</v>
      </c>
      <c r="BQ15" s="568">
        <f>+PRODUCT(BI$7:BQ$7)</f>
        <v>1.2007980968300842</v>
      </c>
      <c r="BR15" s="568">
        <f>+PRODUCT(BJ$7:BR$7)</f>
        <v>1.1900873110308068</v>
      </c>
      <c r="BS15" s="568">
        <f>+PRODUCT(BK$7:BS$7)</f>
        <v>1.1771387844023808</v>
      </c>
    </row>
    <row r="16" spans="1:71" ht="12.75">
      <c r="A16" s="407">
        <v>1970</v>
      </c>
      <c r="B16" s="408">
        <v>19.349</v>
      </c>
      <c r="C16" s="408">
        <v>19.872</v>
      </c>
      <c r="D16" s="22">
        <v>20.11</v>
      </c>
      <c r="E16" s="22">
        <v>20.090353536000002</v>
      </c>
      <c r="F16" s="23">
        <v>20.170714950144003</v>
      </c>
      <c r="G16" s="23">
        <f t="shared" si="30"/>
        <v>20.231227094994434</v>
      </c>
      <c r="H16" s="23">
        <f t="shared" si="30"/>
        <v>20.190764640804446</v>
      </c>
      <c r="I16" s="23">
        <f t="shared" si="30"/>
        <v>20.271527699367663</v>
      </c>
      <c r="J16" s="23">
        <f t="shared" si="31"/>
        <v>20.413428393263235</v>
      </c>
      <c r="K16" s="23">
        <f t="shared" si="32"/>
        <v>20.515495535229547</v>
      </c>
      <c r="L16" s="23">
        <f t="shared" si="32"/>
        <v>20.597557517370465</v>
      </c>
      <c r="M16" s="23">
        <f t="shared" si="32"/>
        <v>21.297874472961063</v>
      </c>
      <c r="N16" s="23">
        <f t="shared" si="33"/>
        <v>21.894214958203971</v>
      </c>
      <c r="O16" s="23">
        <f t="shared" si="34"/>
        <v>21.872320743245766</v>
      </c>
      <c r="P16" s="23">
        <f t="shared" si="34"/>
        <v>21.894193063989007</v>
      </c>
      <c r="Q16" s="23">
        <f t="shared" si="1"/>
        <v>21.894193063989007</v>
      </c>
      <c r="R16" s="23">
        <f t="shared" si="2"/>
        <v>21.894193063989007</v>
      </c>
      <c r="S16" s="23">
        <f t="shared" si="3"/>
        <v>21.894193063989007</v>
      </c>
      <c r="T16" s="23">
        <f t="shared" si="4"/>
        <v>21.894193063989007</v>
      </c>
      <c r="U16" s="23">
        <f t="shared" si="5"/>
        <v>21.894193063989007</v>
      </c>
      <c r="V16" s="23">
        <f t="shared" si="6"/>
        <v>21.894193063989007</v>
      </c>
      <c r="W16" s="23">
        <f t="shared" si="7"/>
        <v>21.894193063989007</v>
      </c>
      <c r="X16" s="23">
        <f t="shared" si="8"/>
        <v>21.894193063989007</v>
      </c>
      <c r="Y16" s="23">
        <f t="shared" si="9"/>
        <v>21.894193063989007</v>
      </c>
      <c r="Z16" s="23">
        <f t="shared" si="10"/>
        <v>21.894193063989007</v>
      </c>
      <c r="AA16" s="23">
        <f t="shared" si="11"/>
        <v>21.894193063989007</v>
      </c>
      <c r="AB16" s="23">
        <f t="shared" si="12"/>
        <v>21.894193063989007</v>
      </c>
      <c r="AC16" s="23">
        <f t="shared" si="13"/>
        <v>21.894193063989007</v>
      </c>
      <c r="AD16" s="23">
        <f t="shared" si="14"/>
        <v>21.894193063989007</v>
      </c>
      <c r="AE16" s="23">
        <f t="shared" si="15"/>
        <v>21.894193063989007</v>
      </c>
      <c r="AF16" s="23">
        <f t="shared" si="16"/>
        <v>21.894193063989007</v>
      </c>
      <c r="AG16" s="23">
        <f t="shared" si="17"/>
        <v>21.894193063989007</v>
      </c>
      <c r="AH16" s="23">
        <f t="shared" si="18"/>
        <v>21.894193063989007</v>
      </c>
      <c r="AI16" s="23">
        <f t="shared" si="19"/>
        <v>21.894193063989007</v>
      </c>
      <c r="AJ16" s="23">
        <f t="shared" si="20"/>
        <v>21.894193063989007</v>
      </c>
      <c r="AK16" s="23">
        <f t="shared" si="21"/>
        <v>21.894193063989007</v>
      </c>
      <c r="AL16" s="23">
        <f t="shared" si="22"/>
        <v>21.894193063989007</v>
      </c>
      <c r="AM16" s="23">
        <f t="shared" si="23"/>
        <v>21.894193063989007</v>
      </c>
      <c r="AN16" s="23">
        <f t="shared" si="24"/>
        <v>21.894193063989007</v>
      </c>
      <c r="AO16" s="23">
        <f t="shared" si="25"/>
        <v>21.894193063989007</v>
      </c>
      <c r="AP16" s="23">
        <f t="shared" si="26"/>
        <v>21.894193063989007</v>
      </c>
      <c r="AQ16" s="23">
        <f t="shared" si="27"/>
        <v>21.894193063989007</v>
      </c>
      <c r="AR16" s="23">
        <f t="shared" si="28"/>
        <v>21.894193063989007</v>
      </c>
      <c r="AS16" s="23">
        <f t="shared" si="29"/>
        <v>21.894193063989007</v>
      </c>
      <c r="AT16" s="24"/>
      <c r="AU16" s="388">
        <v>10</v>
      </c>
      <c r="AV16" s="26" t="s">
        <v>123</v>
      </c>
      <c r="AW16" s="391">
        <v>15</v>
      </c>
      <c r="AX16" s="19"/>
      <c r="AY16" s="1110">
        <v>2022</v>
      </c>
      <c r="AZ16" s="1111">
        <v>2E-3</v>
      </c>
      <c r="BB16" s="20" t="s">
        <v>26808</v>
      </c>
      <c r="BC16" s="568"/>
      <c r="BD16" s="568"/>
      <c r="BE16" s="568"/>
      <c r="BF16" s="568"/>
      <c r="BG16" s="568"/>
      <c r="BH16" s="568"/>
      <c r="BI16" s="568"/>
      <c r="BJ16" s="568"/>
      <c r="BK16" s="568"/>
      <c r="BL16" s="568">
        <f>+PRODUCT($BC7:BL7)</f>
        <v>1.0888551414704548</v>
      </c>
      <c r="BM16" s="568">
        <f>+PRODUCT($BD7:BM7)</f>
        <v>1.1036835792238546</v>
      </c>
      <c r="BN16" s="568">
        <f>+PRODUCT($BE7:BN7)</f>
        <v>1.1761094360387401</v>
      </c>
      <c r="BO16" s="568">
        <f>+PRODUCT(BF$7:BO$7)</f>
        <v>1.1924767641744687</v>
      </c>
      <c r="BP16" s="568">
        <f>+PRODUCT(BG$7:BP$7)</f>
        <v>1.2079944798243862</v>
      </c>
      <c r="BQ16" s="568">
        <f>+PRODUCT(BH$7:BQ$7)</f>
        <v>1.2092036835078943</v>
      </c>
      <c r="BR16" s="568">
        <f>+PRODUCT(BI$7:BR$7)</f>
        <v>1.2007980968300842</v>
      </c>
      <c r="BS16" s="568">
        <f>+PRODUCT(BJ$7:BS$7)</f>
        <v>1.1900873110308068</v>
      </c>
    </row>
    <row r="17" spans="1:71" ht="12.75">
      <c r="A17" s="407">
        <v>1971</v>
      </c>
      <c r="B17" s="408">
        <v>18.373999999999999</v>
      </c>
      <c r="C17" s="408">
        <v>18.87</v>
      </c>
      <c r="D17" s="22">
        <v>19.096</v>
      </c>
      <c r="E17" s="22">
        <v>19.077343560000003</v>
      </c>
      <c r="F17" s="23">
        <v>19.153652934240004</v>
      </c>
      <c r="G17" s="23">
        <f t="shared" si="30"/>
        <v>19.211113893042722</v>
      </c>
      <c r="H17" s="23">
        <f t="shared" si="30"/>
        <v>19.172691665256636</v>
      </c>
      <c r="I17" s="23">
        <f t="shared" si="30"/>
        <v>19.249382431917663</v>
      </c>
      <c r="J17" s="23">
        <f t="shared" si="31"/>
        <v>19.384128108941084</v>
      </c>
      <c r="K17" s="23">
        <f t="shared" si="32"/>
        <v>19.481048749485787</v>
      </c>
      <c r="L17" s="23">
        <f t="shared" si="32"/>
        <v>19.558972944483731</v>
      </c>
      <c r="M17" s="23">
        <f t="shared" si="32"/>
        <v>20.223978024596178</v>
      </c>
      <c r="N17" s="23">
        <f t="shared" si="33"/>
        <v>20.790249409284872</v>
      </c>
      <c r="O17" s="23">
        <f t="shared" si="34"/>
        <v>20.769459159875588</v>
      </c>
      <c r="P17" s="23">
        <f t="shared" si="34"/>
        <v>20.79022861903546</v>
      </c>
      <c r="Q17" s="23">
        <f t="shared" si="1"/>
        <v>20.79022861903546</v>
      </c>
      <c r="R17" s="23">
        <f t="shared" si="2"/>
        <v>20.79022861903546</v>
      </c>
      <c r="S17" s="23">
        <f t="shared" si="3"/>
        <v>20.79022861903546</v>
      </c>
      <c r="T17" s="23">
        <f t="shared" si="4"/>
        <v>20.79022861903546</v>
      </c>
      <c r="U17" s="23">
        <f t="shared" si="5"/>
        <v>20.79022861903546</v>
      </c>
      <c r="V17" s="23">
        <f t="shared" si="6"/>
        <v>20.79022861903546</v>
      </c>
      <c r="W17" s="23">
        <f t="shared" si="7"/>
        <v>20.79022861903546</v>
      </c>
      <c r="X17" s="23">
        <f t="shared" si="8"/>
        <v>20.79022861903546</v>
      </c>
      <c r="Y17" s="23">
        <f t="shared" si="9"/>
        <v>20.79022861903546</v>
      </c>
      <c r="Z17" s="23">
        <f t="shared" si="10"/>
        <v>20.79022861903546</v>
      </c>
      <c r="AA17" s="23">
        <f t="shared" si="11"/>
        <v>20.79022861903546</v>
      </c>
      <c r="AB17" s="23">
        <f t="shared" si="12"/>
        <v>20.79022861903546</v>
      </c>
      <c r="AC17" s="23">
        <f t="shared" si="13"/>
        <v>20.79022861903546</v>
      </c>
      <c r="AD17" s="23">
        <f t="shared" si="14"/>
        <v>20.79022861903546</v>
      </c>
      <c r="AE17" s="23">
        <f t="shared" si="15"/>
        <v>20.79022861903546</v>
      </c>
      <c r="AF17" s="23">
        <f t="shared" si="16"/>
        <v>20.79022861903546</v>
      </c>
      <c r="AG17" s="23">
        <f t="shared" si="17"/>
        <v>20.79022861903546</v>
      </c>
      <c r="AH17" s="23">
        <f t="shared" si="18"/>
        <v>20.79022861903546</v>
      </c>
      <c r="AI17" s="23">
        <f t="shared" si="19"/>
        <v>20.79022861903546</v>
      </c>
      <c r="AJ17" s="23">
        <f t="shared" si="20"/>
        <v>20.79022861903546</v>
      </c>
      <c r="AK17" s="23">
        <f t="shared" si="21"/>
        <v>20.79022861903546</v>
      </c>
      <c r="AL17" s="23">
        <f t="shared" si="22"/>
        <v>20.79022861903546</v>
      </c>
      <c r="AM17" s="23">
        <f t="shared" si="23"/>
        <v>20.79022861903546</v>
      </c>
      <c r="AN17" s="23">
        <f t="shared" si="24"/>
        <v>20.79022861903546</v>
      </c>
      <c r="AO17" s="23">
        <f t="shared" si="25"/>
        <v>20.79022861903546</v>
      </c>
      <c r="AP17" s="23">
        <f t="shared" si="26"/>
        <v>20.79022861903546</v>
      </c>
      <c r="AQ17" s="23">
        <f t="shared" si="27"/>
        <v>20.79022861903546</v>
      </c>
      <c r="AR17" s="23">
        <f t="shared" si="28"/>
        <v>20.79022861903546</v>
      </c>
      <c r="AS17" s="23">
        <f t="shared" si="29"/>
        <v>20.79022861903546</v>
      </c>
      <c r="AT17" s="24"/>
      <c r="AU17" s="388">
        <v>11</v>
      </c>
      <c r="AV17" s="26" t="s">
        <v>124</v>
      </c>
      <c r="AW17" s="391">
        <v>20</v>
      </c>
      <c r="AX17" s="19"/>
      <c r="AY17" s="1110">
        <v>2023</v>
      </c>
      <c r="AZ17" s="1111">
        <v>4.4999999999999998E-2</v>
      </c>
      <c r="BB17" s="20" t="s">
        <v>30468</v>
      </c>
      <c r="BC17" s="1137"/>
      <c r="BD17" s="1137"/>
      <c r="BE17" s="1137"/>
      <c r="BF17" s="1137"/>
      <c r="BG17" s="1137"/>
      <c r="BH17" s="1137"/>
      <c r="BI17" s="1137"/>
      <c r="BJ17" s="1137"/>
      <c r="BK17" s="1137"/>
      <c r="BL17" s="1137"/>
      <c r="BM17" s="1137"/>
      <c r="BN17" s="568">
        <f t="shared" ref="BN17:BS17" si="35">+PRODUCT(BD7:BN7)</f>
        <v>1.2008077341955539</v>
      </c>
      <c r="BO17" s="568">
        <f t="shared" si="35"/>
        <v>1.1996316247595149</v>
      </c>
      <c r="BP17" s="568">
        <f t="shared" si="35"/>
        <v>1.2067864853445622</v>
      </c>
      <c r="BQ17" s="568">
        <f t="shared" si="35"/>
        <v>1.2079944798243862</v>
      </c>
      <c r="BR17" s="568">
        <f t="shared" si="35"/>
        <v>1.2092036835078943</v>
      </c>
      <c r="BS17" s="568">
        <f t="shared" si="35"/>
        <v>1.2007980968300842</v>
      </c>
    </row>
    <row r="18" spans="1:71" ht="12.75">
      <c r="A18" s="407">
        <v>1972</v>
      </c>
      <c r="B18" s="408">
        <v>17.789000000000001</v>
      </c>
      <c r="C18" s="408">
        <v>18.27</v>
      </c>
      <c r="D18" s="22">
        <v>18.489000000000001</v>
      </c>
      <c r="E18" s="22">
        <v>18.470750759999998</v>
      </c>
      <c r="F18" s="23">
        <v>18.544633763039997</v>
      </c>
      <c r="G18" s="23">
        <f t="shared" si="30"/>
        <v>18.600267664329113</v>
      </c>
      <c r="H18" s="23">
        <f t="shared" si="30"/>
        <v>18.563067129000455</v>
      </c>
      <c r="I18" s="23">
        <f t="shared" si="30"/>
        <v>18.637319397516457</v>
      </c>
      <c r="J18" s="23">
        <f t="shared" si="31"/>
        <v>18.767780633299068</v>
      </c>
      <c r="K18" s="23">
        <f t="shared" si="32"/>
        <v>18.861619536465561</v>
      </c>
      <c r="L18" s="23">
        <f t="shared" si="32"/>
        <v>18.937066014611425</v>
      </c>
      <c r="M18" s="23">
        <f t="shared" si="32"/>
        <v>19.580926259108214</v>
      </c>
      <c r="N18" s="23">
        <f t="shared" si="33"/>
        <v>20.129192194363245</v>
      </c>
      <c r="O18" s="23">
        <f t="shared" si="34"/>
        <v>20.109063002168881</v>
      </c>
      <c r="P18" s="23">
        <f t="shared" si="34"/>
        <v>20.129172065171048</v>
      </c>
      <c r="Q18" s="23">
        <f t="shared" si="1"/>
        <v>20.129172065171048</v>
      </c>
      <c r="R18" s="23">
        <f t="shared" si="2"/>
        <v>20.129172065171048</v>
      </c>
      <c r="S18" s="23">
        <f t="shared" si="3"/>
        <v>20.129172065171048</v>
      </c>
      <c r="T18" s="23">
        <f t="shared" si="4"/>
        <v>20.129172065171048</v>
      </c>
      <c r="U18" s="23">
        <f t="shared" si="5"/>
        <v>20.129172065171048</v>
      </c>
      <c r="V18" s="23">
        <f t="shared" si="6"/>
        <v>20.129172065171048</v>
      </c>
      <c r="W18" s="23">
        <f t="shared" si="7"/>
        <v>20.129172065171048</v>
      </c>
      <c r="X18" s="23">
        <f t="shared" si="8"/>
        <v>20.129172065171048</v>
      </c>
      <c r="Y18" s="23">
        <f t="shared" si="9"/>
        <v>20.129172065171048</v>
      </c>
      <c r="Z18" s="23">
        <f t="shared" si="10"/>
        <v>20.129172065171048</v>
      </c>
      <c r="AA18" s="23">
        <f t="shared" si="11"/>
        <v>20.129172065171048</v>
      </c>
      <c r="AB18" s="23">
        <f t="shared" si="12"/>
        <v>20.129172065171048</v>
      </c>
      <c r="AC18" s="23">
        <f t="shared" si="13"/>
        <v>20.129172065171048</v>
      </c>
      <c r="AD18" s="23">
        <f t="shared" si="14"/>
        <v>20.129172065171048</v>
      </c>
      <c r="AE18" s="23">
        <f t="shared" si="15"/>
        <v>20.129172065171048</v>
      </c>
      <c r="AF18" s="23">
        <f t="shared" si="16"/>
        <v>20.129172065171048</v>
      </c>
      <c r="AG18" s="23">
        <f t="shared" si="17"/>
        <v>20.129172065171048</v>
      </c>
      <c r="AH18" s="23">
        <f t="shared" si="18"/>
        <v>20.129172065171048</v>
      </c>
      <c r="AI18" s="23">
        <f t="shared" si="19"/>
        <v>20.129172065171048</v>
      </c>
      <c r="AJ18" s="23">
        <f t="shared" si="20"/>
        <v>20.129172065171048</v>
      </c>
      <c r="AK18" s="23">
        <f t="shared" si="21"/>
        <v>20.129172065171048</v>
      </c>
      <c r="AL18" s="23">
        <f t="shared" si="22"/>
        <v>20.129172065171048</v>
      </c>
      <c r="AM18" s="23">
        <f t="shared" si="23"/>
        <v>20.129172065171048</v>
      </c>
      <c r="AN18" s="23">
        <f t="shared" si="24"/>
        <v>20.129172065171048</v>
      </c>
      <c r="AO18" s="23">
        <f t="shared" si="25"/>
        <v>20.129172065171048</v>
      </c>
      <c r="AP18" s="23">
        <f t="shared" si="26"/>
        <v>20.129172065171048</v>
      </c>
      <c r="AQ18" s="23">
        <f t="shared" si="27"/>
        <v>20.129172065171048</v>
      </c>
      <c r="AR18" s="23">
        <f t="shared" si="28"/>
        <v>20.129172065171048</v>
      </c>
      <c r="AS18" s="23">
        <f t="shared" si="29"/>
        <v>20.129172065171048</v>
      </c>
      <c r="AT18" s="24"/>
      <c r="AU18" s="388">
        <v>12</v>
      </c>
      <c r="AV18" s="26" t="s">
        <v>125</v>
      </c>
      <c r="AW18" s="391">
        <v>10</v>
      </c>
      <c r="AX18" s="19"/>
      <c r="AY18" s="1110">
        <v>2024</v>
      </c>
      <c r="AZ18" s="1111">
        <v>8.7999999999999995E-2</v>
      </c>
      <c r="BB18" s="20" t="s">
        <v>30469</v>
      </c>
      <c r="BC18" s="1137"/>
      <c r="BD18" s="1137"/>
      <c r="BE18" s="1137"/>
      <c r="BF18" s="1137"/>
      <c r="BG18" s="1137"/>
      <c r="BH18" s="1137"/>
      <c r="BI18" s="1137"/>
      <c r="BJ18" s="1137"/>
      <c r="BK18" s="1137"/>
      <c r="BL18" s="1137"/>
      <c r="BM18" s="1137"/>
      <c r="BN18" s="1137"/>
      <c r="BO18" s="568">
        <f>+PRODUCT(BD7:BO7)</f>
        <v>1.2248238888794649</v>
      </c>
      <c r="BP18" s="568">
        <f>+PRODUCT(BE7:BP7)</f>
        <v>1.2140272042566291</v>
      </c>
      <c r="BQ18" s="568">
        <f>+PRODUCT(BF7:BQ7)</f>
        <v>1.2067864853445622</v>
      </c>
      <c r="BR18" s="568">
        <f>+PRODUCT(BG7:BR7)</f>
        <v>1.2079944798243862</v>
      </c>
      <c r="BS18" s="568">
        <f>+PRODUCT(BH7:BS7)</f>
        <v>1.2092036835078943</v>
      </c>
    </row>
    <row r="19" spans="1:71" ht="12.75">
      <c r="A19" s="407">
        <v>1973</v>
      </c>
      <c r="B19" s="408">
        <v>14.843999999999999</v>
      </c>
      <c r="C19" s="408">
        <v>15.244</v>
      </c>
      <c r="D19" s="22">
        <v>15.427</v>
      </c>
      <c r="E19" s="22">
        <v>15.411501072</v>
      </c>
      <c r="F19" s="23">
        <v>15.473147076288001</v>
      </c>
      <c r="G19" s="23">
        <f t="shared" si="30"/>
        <v>15.519566517516862</v>
      </c>
      <c r="H19" s="23">
        <f t="shared" si="30"/>
        <v>15.488527384481829</v>
      </c>
      <c r="I19" s="23">
        <f t="shared" si="30"/>
        <v>15.550481494019756</v>
      </c>
      <c r="J19" s="23">
        <f t="shared" si="31"/>
        <v>15.659334864477893</v>
      </c>
      <c r="K19" s="23">
        <f t="shared" si="32"/>
        <v>15.737631538800281</v>
      </c>
      <c r="L19" s="23">
        <f t="shared" si="32"/>
        <v>15.800582064955483</v>
      </c>
      <c r="M19" s="23">
        <f t="shared" si="32"/>
        <v>16.337801855163971</v>
      </c>
      <c r="N19" s="23">
        <f t="shared" si="33"/>
        <v>16.795260307108563</v>
      </c>
      <c r="O19" s="23">
        <f t="shared" si="34"/>
        <v>16.778465046801454</v>
      </c>
      <c r="P19" s="23">
        <f t="shared" si="34"/>
        <v>16.795243511848252</v>
      </c>
      <c r="Q19" s="23">
        <f t="shared" si="1"/>
        <v>16.795243511848252</v>
      </c>
      <c r="R19" s="23">
        <f t="shared" si="2"/>
        <v>16.795243511848252</v>
      </c>
      <c r="S19" s="23">
        <f t="shared" si="3"/>
        <v>16.795243511848252</v>
      </c>
      <c r="T19" s="23">
        <f t="shared" si="4"/>
        <v>16.795243511848252</v>
      </c>
      <c r="U19" s="23">
        <f t="shared" si="5"/>
        <v>16.795243511848252</v>
      </c>
      <c r="V19" s="23">
        <f t="shared" si="6"/>
        <v>16.795243511848252</v>
      </c>
      <c r="W19" s="23">
        <f t="shared" si="7"/>
        <v>16.795243511848252</v>
      </c>
      <c r="X19" s="23">
        <f t="shared" si="8"/>
        <v>16.795243511848252</v>
      </c>
      <c r="Y19" s="23">
        <f t="shared" si="9"/>
        <v>16.795243511848252</v>
      </c>
      <c r="Z19" s="23">
        <f t="shared" si="10"/>
        <v>16.795243511848252</v>
      </c>
      <c r="AA19" s="23">
        <f t="shared" si="11"/>
        <v>16.795243511848252</v>
      </c>
      <c r="AB19" s="23">
        <f t="shared" si="12"/>
        <v>16.795243511848252</v>
      </c>
      <c r="AC19" s="23">
        <f t="shared" si="13"/>
        <v>16.795243511848252</v>
      </c>
      <c r="AD19" s="23">
        <f t="shared" si="14"/>
        <v>16.795243511848252</v>
      </c>
      <c r="AE19" s="23">
        <f t="shared" si="15"/>
        <v>16.795243511848252</v>
      </c>
      <c r="AF19" s="23">
        <f t="shared" si="16"/>
        <v>16.795243511848252</v>
      </c>
      <c r="AG19" s="23">
        <f t="shared" si="17"/>
        <v>16.795243511848252</v>
      </c>
      <c r="AH19" s="23">
        <f t="shared" si="18"/>
        <v>16.795243511848252</v>
      </c>
      <c r="AI19" s="23">
        <f t="shared" si="19"/>
        <v>16.795243511848252</v>
      </c>
      <c r="AJ19" s="23">
        <f t="shared" si="20"/>
        <v>16.795243511848252</v>
      </c>
      <c r="AK19" s="23">
        <f t="shared" si="21"/>
        <v>16.795243511848252</v>
      </c>
      <c r="AL19" s="23">
        <f t="shared" si="22"/>
        <v>16.795243511848252</v>
      </c>
      <c r="AM19" s="23">
        <f t="shared" si="23"/>
        <v>16.795243511848252</v>
      </c>
      <c r="AN19" s="23">
        <f t="shared" si="24"/>
        <v>16.795243511848252</v>
      </c>
      <c r="AO19" s="23">
        <f t="shared" si="25"/>
        <v>16.795243511848252</v>
      </c>
      <c r="AP19" s="23">
        <f t="shared" si="26"/>
        <v>16.795243511848252</v>
      </c>
      <c r="AQ19" s="23">
        <f t="shared" si="27"/>
        <v>16.795243511848252</v>
      </c>
      <c r="AR19" s="23">
        <f t="shared" si="28"/>
        <v>16.795243511848252</v>
      </c>
      <c r="AS19" s="23">
        <f t="shared" si="29"/>
        <v>16.795243511848252</v>
      </c>
      <c r="AT19" s="24"/>
      <c r="AU19" s="418">
        <v>13</v>
      </c>
      <c r="AV19" s="29" t="s">
        <v>126</v>
      </c>
      <c r="AW19" s="414">
        <v>8</v>
      </c>
      <c r="AX19" s="19"/>
      <c r="AY19" s="2786">
        <v>2025</v>
      </c>
      <c r="AZ19" s="1111">
        <v>0.02</v>
      </c>
      <c r="BB19" s="20" t="s">
        <v>30470</v>
      </c>
      <c r="BC19" s="1137"/>
      <c r="BD19" s="1137"/>
      <c r="BE19" s="1137"/>
      <c r="BF19" s="1137"/>
      <c r="BG19" s="1137"/>
      <c r="BH19" s="1137"/>
      <c r="BI19" s="1137"/>
      <c r="BJ19" s="1137"/>
      <c r="BK19" s="1137"/>
      <c r="BL19" s="1137"/>
      <c r="BM19" s="1137"/>
      <c r="BN19" s="1137"/>
      <c r="BO19" s="1137"/>
      <c r="BP19" s="568">
        <f>+PRODUCT(BD7:BP7)</f>
        <v>1.2395217755460186</v>
      </c>
      <c r="BQ19" s="568">
        <f>+PRODUCT(BE7:BQ7)</f>
        <v>1.2140272042566291</v>
      </c>
      <c r="BR19" s="568">
        <f>+PRODUCT(BF7:BR7)</f>
        <v>1.2067864853445622</v>
      </c>
      <c r="BS19" s="568">
        <f>+PRODUCT(BG7:BS7)</f>
        <v>1.2079944798243862</v>
      </c>
    </row>
    <row r="20" spans="1:71" ht="12.75">
      <c r="A20" s="407">
        <v>1974</v>
      </c>
      <c r="B20" s="408">
        <v>11.452999999999999</v>
      </c>
      <c r="C20" s="408">
        <v>11.763</v>
      </c>
      <c r="D20" s="22">
        <v>11.904</v>
      </c>
      <c r="E20" s="22">
        <v>11.892251844</v>
      </c>
      <c r="F20" s="23">
        <v>11.939820851376</v>
      </c>
      <c r="G20" s="23">
        <f t="shared" si="30"/>
        <v>11.975640313930127</v>
      </c>
      <c r="H20" s="23">
        <f t="shared" si="30"/>
        <v>11.951689033302266</v>
      </c>
      <c r="I20" s="23">
        <f t="shared" si="30"/>
        <v>11.999495789435475</v>
      </c>
      <c r="J20" s="23">
        <f t="shared" si="31"/>
        <v>12.083492259961522</v>
      </c>
      <c r="K20" s="23">
        <f t="shared" si="32"/>
        <v>12.143909721261329</v>
      </c>
      <c r="L20" s="23">
        <f t="shared" si="32"/>
        <v>12.192485360146375</v>
      </c>
      <c r="M20" s="23">
        <f t="shared" si="32"/>
        <v>12.607029862391352</v>
      </c>
      <c r="N20" s="23">
        <f t="shared" si="33"/>
        <v>12.960026698538311</v>
      </c>
      <c r="O20" s="23">
        <f t="shared" si="34"/>
        <v>12.947066671839773</v>
      </c>
      <c r="P20" s="23">
        <f t="shared" si="34"/>
        <v>12.960013738511611</v>
      </c>
      <c r="Q20" s="23">
        <f t="shared" si="1"/>
        <v>12.960013738511611</v>
      </c>
      <c r="R20" s="23">
        <f t="shared" si="2"/>
        <v>12.960013738511611</v>
      </c>
      <c r="S20" s="23">
        <f t="shared" si="3"/>
        <v>12.960013738511611</v>
      </c>
      <c r="T20" s="23">
        <f t="shared" si="4"/>
        <v>12.960013738511611</v>
      </c>
      <c r="U20" s="23">
        <f t="shared" si="5"/>
        <v>12.960013738511611</v>
      </c>
      <c r="V20" s="23">
        <f t="shared" si="6"/>
        <v>12.960013738511611</v>
      </c>
      <c r="W20" s="23">
        <f t="shared" si="7"/>
        <v>12.960013738511611</v>
      </c>
      <c r="X20" s="23">
        <f t="shared" si="8"/>
        <v>12.960013738511611</v>
      </c>
      <c r="Y20" s="23">
        <f t="shared" si="9"/>
        <v>12.960013738511611</v>
      </c>
      <c r="Z20" s="23">
        <f t="shared" si="10"/>
        <v>12.960013738511611</v>
      </c>
      <c r="AA20" s="23">
        <f t="shared" si="11"/>
        <v>12.960013738511611</v>
      </c>
      <c r="AB20" s="23">
        <f t="shared" si="12"/>
        <v>12.960013738511611</v>
      </c>
      <c r="AC20" s="23">
        <f t="shared" si="13"/>
        <v>12.960013738511611</v>
      </c>
      <c r="AD20" s="23">
        <f t="shared" si="14"/>
        <v>12.960013738511611</v>
      </c>
      <c r="AE20" s="23">
        <f t="shared" si="15"/>
        <v>12.960013738511611</v>
      </c>
      <c r="AF20" s="23">
        <f t="shared" si="16"/>
        <v>12.960013738511611</v>
      </c>
      <c r="AG20" s="23">
        <f t="shared" si="17"/>
        <v>12.960013738511611</v>
      </c>
      <c r="AH20" s="23">
        <f t="shared" si="18"/>
        <v>12.960013738511611</v>
      </c>
      <c r="AI20" s="23">
        <f t="shared" si="19"/>
        <v>12.960013738511611</v>
      </c>
      <c r="AJ20" s="23">
        <f t="shared" si="20"/>
        <v>12.960013738511611</v>
      </c>
      <c r="AK20" s="23">
        <f t="shared" si="21"/>
        <v>12.960013738511611</v>
      </c>
      <c r="AL20" s="23">
        <f t="shared" si="22"/>
        <v>12.960013738511611</v>
      </c>
      <c r="AM20" s="23">
        <f t="shared" si="23"/>
        <v>12.960013738511611</v>
      </c>
      <c r="AN20" s="23">
        <f t="shared" si="24"/>
        <v>12.960013738511611</v>
      </c>
      <c r="AO20" s="23">
        <f t="shared" si="25"/>
        <v>12.960013738511611</v>
      </c>
      <c r="AP20" s="23">
        <f t="shared" si="26"/>
        <v>12.960013738511611</v>
      </c>
      <c r="AQ20" s="23">
        <f t="shared" si="27"/>
        <v>12.960013738511611</v>
      </c>
      <c r="AR20" s="23">
        <f t="shared" si="28"/>
        <v>12.960013738511611</v>
      </c>
      <c r="AS20" s="23">
        <f t="shared" si="29"/>
        <v>12.960013738511611</v>
      </c>
      <c r="AT20" s="24"/>
      <c r="AU20" s="419">
        <v>14</v>
      </c>
      <c r="AV20" s="26" t="s">
        <v>127</v>
      </c>
      <c r="AW20" s="391">
        <v>5</v>
      </c>
      <c r="AX20" s="19"/>
      <c r="AY20" s="2786">
        <v>2026</v>
      </c>
      <c r="AZ20" s="1111">
        <v>1.2E-2</v>
      </c>
      <c r="BB20" s="20" t="s">
        <v>30471</v>
      </c>
      <c r="BC20" s="1137"/>
      <c r="BD20" s="1137"/>
      <c r="BE20" s="1137"/>
      <c r="BF20" s="1137"/>
      <c r="BG20" s="1137"/>
      <c r="BH20" s="1137"/>
      <c r="BI20" s="1137"/>
      <c r="BJ20" s="1137"/>
      <c r="BK20" s="1137"/>
      <c r="BL20" s="1137"/>
      <c r="BM20" s="1137"/>
      <c r="BN20" s="1137"/>
      <c r="BO20" s="1137"/>
      <c r="BP20" s="1137"/>
      <c r="BQ20" s="568">
        <f>+PRODUCT(BD7:BQ7)</f>
        <v>1.2395217755460186</v>
      </c>
      <c r="BR20" s="568">
        <f>+PRODUCT(BE7:BR7)</f>
        <v>1.2140272042566291</v>
      </c>
      <c r="BS20" s="568">
        <f>+PRODUCT(BF7:BS7)</f>
        <v>1.2067864853445622</v>
      </c>
    </row>
    <row r="21" spans="1:71" ht="12.75">
      <c r="A21" s="407">
        <v>1975</v>
      </c>
      <c r="B21" s="408">
        <v>9.77</v>
      </c>
      <c r="C21" s="408">
        <v>10.034000000000001</v>
      </c>
      <c r="D21" s="22">
        <v>10.154</v>
      </c>
      <c r="E21" s="22">
        <v>10.144253592</v>
      </c>
      <c r="F21" s="23">
        <v>10.184830606368001</v>
      </c>
      <c r="G21" s="23">
        <f t="shared" si="30"/>
        <v>10.215385098187104</v>
      </c>
      <c r="H21" s="23">
        <f t="shared" si="30"/>
        <v>10.194954327990731</v>
      </c>
      <c r="I21" s="23">
        <f t="shared" si="30"/>
        <v>10.235734145302693</v>
      </c>
      <c r="J21" s="23">
        <f t="shared" si="31"/>
        <v>10.307384284319811</v>
      </c>
      <c r="K21" s="23">
        <f t="shared" si="32"/>
        <v>10.358921205741408</v>
      </c>
      <c r="L21" s="23">
        <f t="shared" si="32"/>
        <v>10.400356890564375</v>
      </c>
      <c r="M21" s="23">
        <f t="shared" si="32"/>
        <v>10.753969024843563</v>
      </c>
      <c r="N21" s="23">
        <f t="shared" si="33"/>
        <v>11.055080157539184</v>
      </c>
      <c r="O21" s="23">
        <f t="shared" si="34"/>
        <v>11.044025077381644</v>
      </c>
      <c r="P21" s="23">
        <f t="shared" si="34"/>
        <v>11.055069102459024</v>
      </c>
      <c r="Q21" s="23">
        <f t="shared" si="1"/>
        <v>11.055069102459024</v>
      </c>
      <c r="R21" s="23">
        <f t="shared" si="2"/>
        <v>11.055069102459024</v>
      </c>
      <c r="S21" s="23">
        <f t="shared" si="3"/>
        <v>11.055069102459024</v>
      </c>
      <c r="T21" s="23">
        <f t="shared" si="4"/>
        <v>11.055069102459024</v>
      </c>
      <c r="U21" s="23">
        <f t="shared" si="5"/>
        <v>11.055069102459024</v>
      </c>
      <c r="V21" s="23">
        <f t="shared" si="6"/>
        <v>11.055069102459024</v>
      </c>
      <c r="W21" s="23">
        <f t="shared" si="7"/>
        <v>11.055069102459024</v>
      </c>
      <c r="X21" s="23">
        <f t="shared" si="8"/>
        <v>11.055069102459024</v>
      </c>
      <c r="Y21" s="23">
        <f t="shared" si="9"/>
        <v>11.055069102459024</v>
      </c>
      <c r="Z21" s="23">
        <f t="shared" si="10"/>
        <v>11.055069102459024</v>
      </c>
      <c r="AA21" s="23">
        <f t="shared" si="11"/>
        <v>11.055069102459024</v>
      </c>
      <c r="AB21" s="23">
        <f t="shared" si="12"/>
        <v>11.055069102459024</v>
      </c>
      <c r="AC21" s="23">
        <f t="shared" si="13"/>
        <v>11.055069102459024</v>
      </c>
      <c r="AD21" s="23">
        <f t="shared" si="14"/>
        <v>11.055069102459024</v>
      </c>
      <c r="AE21" s="23">
        <f t="shared" si="15"/>
        <v>11.055069102459024</v>
      </c>
      <c r="AF21" s="23">
        <f t="shared" si="16"/>
        <v>11.055069102459024</v>
      </c>
      <c r="AG21" s="23">
        <f t="shared" si="17"/>
        <v>11.055069102459024</v>
      </c>
      <c r="AH21" s="23">
        <f t="shared" si="18"/>
        <v>11.055069102459024</v>
      </c>
      <c r="AI21" s="23">
        <f t="shared" si="19"/>
        <v>11.055069102459024</v>
      </c>
      <c r="AJ21" s="23">
        <f t="shared" si="20"/>
        <v>11.055069102459024</v>
      </c>
      <c r="AK21" s="23">
        <f t="shared" si="21"/>
        <v>11.055069102459024</v>
      </c>
      <c r="AL21" s="23">
        <f t="shared" si="22"/>
        <v>11.055069102459024</v>
      </c>
      <c r="AM21" s="23">
        <f t="shared" si="23"/>
        <v>11.055069102459024</v>
      </c>
      <c r="AN21" s="23">
        <f t="shared" si="24"/>
        <v>11.055069102459024</v>
      </c>
      <c r="AO21" s="23">
        <f t="shared" si="25"/>
        <v>11.055069102459024</v>
      </c>
      <c r="AP21" s="23">
        <f t="shared" si="26"/>
        <v>11.055069102459024</v>
      </c>
      <c r="AQ21" s="23">
        <f t="shared" si="27"/>
        <v>11.055069102459024</v>
      </c>
      <c r="AR21" s="23">
        <f t="shared" si="28"/>
        <v>11.055069102459024</v>
      </c>
      <c r="AS21" s="23">
        <f t="shared" si="29"/>
        <v>11.055069102459024</v>
      </c>
      <c r="AT21" s="24"/>
      <c r="AU21" s="388">
        <v>15</v>
      </c>
      <c r="AV21" s="29" t="s">
        <v>128</v>
      </c>
      <c r="AW21" s="391">
        <v>5</v>
      </c>
      <c r="AX21" s="19"/>
      <c r="BB21" s="20" t="s">
        <v>30472</v>
      </c>
      <c r="BC21" s="1137"/>
      <c r="BD21" s="1137"/>
      <c r="BE21" s="1137"/>
      <c r="BF21" s="1137"/>
      <c r="BG21" s="1137"/>
      <c r="BH21" s="1137"/>
      <c r="BI21" s="1137"/>
      <c r="BJ21" s="1137"/>
      <c r="BK21" s="1137"/>
      <c r="BL21" s="1137"/>
      <c r="BM21" s="1137"/>
      <c r="BN21" s="1137"/>
      <c r="BO21" s="1137"/>
      <c r="BP21" s="1137"/>
      <c r="BQ21" s="1137"/>
      <c r="BR21" s="568">
        <f>+PRODUCT(BD7:BR7)</f>
        <v>1.2395217755460186</v>
      </c>
      <c r="BS21" s="568">
        <f>+PRODUCT(BE7:BS7)</f>
        <v>1.2140272042566291</v>
      </c>
    </row>
    <row r="22" spans="1:71" ht="12.75">
      <c r="A22" s="407">
        <v>1976</v>
      </c>
      <c r="B22" s="408">
        <v>8.1649999999999991</v>
      </c>
      <c r="C22" s="408">
        <v>8.3859999999999992</v>
      </c>
      <c r="D22" s="22">
        <v>8.4870000000000001</v>
      </c>
      <c r="E22" s="22">
        <v>8.4781453679999998</v>
      </c>
      <c r="F22" s="23">
        <v>8.5120579494720001</v>
      </c>
      <c r="G22" s="23">
        <f t="shared" si="30"/>
        <v>8.5375941233204156</v>
      </c>
      <c r="H22" s="23">
        <f t="shared" si="30"/>
        <v>8.520518935073774</v>
      </c>
      <c r="I22" s="23">
        <f t="shared" si="30"/>
        <v>8.5546010108140695</v>
      </c>
      <c r="J22" s="23">
        <f t="shared" si="31"/>
        <v>8.6144832178897666</v>
      </c>
      <c r="K22" s="23">
        <f t="shared" si="32"/>
        <v>8.6575556339792143</v>
      </c>
      <c r="L22" s="23">
        <f t="shared" si="32"/>
        <v>8.6921858565151311</v>
      </c>
      <c r="M22" s="23">
        <f t="shared" si="32"/>
        <v>8.987720175636646</v>
      </c>
      <c r="N22" s="23">
        <f t="shared" si="33"/>
        <v>9.2393763405544718</v>
      </c>
      <c r="O22" s="23">
        <f t="shared" si="34"/>
        <v>9.2301369642139175</v>
      </c>
      <c r="P22" s="23">
        <f t="shared" si="34"/>
        <v>9.2393671011781304</v>
      </c>
      <c r="Q22" s="23">
        <f t="shared" si="1"/>
        <v>9.2393671011781304</v>
      </c>
      <c r="R22" s="23">
        <f t="shared" si="2"/>
        <v>9.2393671011781304</v>
      </c>
      <c r="S22" s="23">
        <f t="shared" si="3"/>
        <v>9.2393671011781304</v>
      </c>
      <c r="T22" s="23">
        <f t="shared" si="4"/>
        <v>9.2393671011781304</v>
      </c>
      <c r="U22" s="23">
        <f t="shared" si="5"/>
        <v>9.2393671011781304</v>
      </c>
      <c r="V22" s="23">
        <f t="shared" si="6"/>
        <v>9.2393671011781304</v>
      </c>
      <c r="W22" s="23">
        <f t="shared" si="7"/>
        <v>9.2393671011781304</v>
      </c>
      <c r="X22" s="23">
        <f t="shared" si="8"/>
        <v>9.2393671011781304</v>
      </c>
      <c r="Y22" s="23">
        <f t="shared" si="9"/>
        <v>9.2393671011781304</v>
      </c>
      <c r="Z22" s="23">
        <f t="shared" si="10"/>
        <v>9.2393671011781304</v>
      </c>
      <c r="AA22" s="23">
        <f t="shared" si="11"/>
        <v>9.2393671011781304</v>
      </c>
      <c r="AB22" s="23">
        <f t="shared" si="12"/>
        <v>9.2393671011781304</v>
      </c>
      <c r="AC22" s="23">
        <f t="shared" si="13"/>
        <v>9.2393671011781304</v>
      </c>
      <c r="AD22" s="23">
        <f t="shared" si="14"/>
        <v>9.2393671011781304</v>
      </c>
      <c r="AE22" s="23">
        <f t="shared" si="15"/>
        <v>9.2393671011781304</v>
      </c>
      <c r="AF22" s="23">
        <f t="shared" si="16"/>
        <v>9.2393671011781304</v>
      </c>
      <c r="AG22" s="23">
        <f t="shared" si="17"/>
        <v>9.2393671011781304</v>
      </c>
      <c r="AH22" s="23">
        <f t="shared" si="18"/>
        <v>9.2393671011781304</v>
      </c>
      <c r="AI22" s="23">
        <f t="shared" si="19"/>
        <v>9.2393671011781304</v>
      </c>
      <c r="AJ22" s="23">
        <f t="shared" si="20"/>
        <v>9.2393671011781304</v>
      </c>
      <c r="AK22" s="23">
        <f t="shared" si="21"/>
        <v>9.2393671011781304</v>
      </c>
      <c r="AL22" s="23">
        <f t="shared" si="22"/>
        <v>9.2393671011781304</v>
      </c>
      <c r="AM22" s="23">
        <f t="shared" si="23"/>
        <v>9.2393671011781304</v>
      </c>
      <c r="AN22" s="23">
        <f t="shared" si="24"/>
        <v>9.2393671011781304</v>
      </c>
      <c r="AO22" s="23">
        <f t="shared" si="25"/>
        <v>9.2393671011781304</v>
      </c>
      <c r="AP22" s="23">
        <f t="shared" si="26"/>
        <v>9.2393671011781304</v>
      </c>
      <c r="AQ22" s="23">
        <f t="shared" si="27"/>
        <v>9.2393671011781304</v>
      </c>
      <c r="AR22" s="23">
        <f t="shared" si="28"/>
        <v>9.2393671011781304</v>
      </c>
      <c r="AS22" s="23">
        <f t="shared" si="29"/>
        <v>9.2393671011781304</v>
      </c>
      <c r="AT22" s="24"/>
      <c r="AU22" s="388">
        <v>16</v>
      </c>
      <c r="AV22" s="29" t="s">
        <v>129</v>
      </c>
      <c r="AW22" s="391">
        <v>7</v>
      </c>
      <c r="AX22" s="19"/>
      <c r="BB22" s="20" t="s">
        <v>30473</v>
      </c>
      <c r="BC22" s="1137"/>
      <c r="BD22" s="1137"/>
      <c r="BE22" s="1137"/>
      <c r="BF22" s="1137"/>
      <c r="BG22" s="1137"/>
      <c r="BH22" s="1137"/>
      <c r="BI22" s="1137"/>
      <c r="BJ22" s="1137"/>
      <c r="BK22" s="1137"/>
      <c r="BL22" s="1137"/>
      <c r="BM22" s="1137"/>
      <c r="BN22" s="1137"/>
      <c r="BO22" s="1137"/>
      <c r="BP22" s="1137"/>
      <c r="BQ22" s="1137"/>
      <c r="BR22" s="1137"/>
      <c r="BS22" s="568">
        <f>+PRODUCT(BD7:BS7)</f>
        <v>1.2395217755460186</v>
      </c>
    </row>
    <row r="23" spans="1:71">
      <c r="A23" s="407">
        <v>1977</v>
      </c>
      <c r="B23" s="408">
        <v>6.9539999999999997</v>
      </c>
      <c r="C23" s="408">
        <v>7.1420000000000003</v>
      </c>
      <c r="D23" s="22">
        <v>7.2279999999999998</v>
      </c>
      <c r="E23" s="22">
        <v>7.2204762960000002</v>
      </c>
      <c r="F23" s="23">
        <v>7.2493582011840001</v>
      </c>
      <c r="G23" s="23">
        <f t="shared" si="30"/>
        <v>7.2711062757875515</v>
      </c>
      <c r="H23" s="23">
        <f t="shared" si="30"/>
        <v>7.2565640632359765</v>
      </c>
      <c r="I23" s="23">
        <f t="shared" si="30"/>
        <v>7.2855903194889207</v>
      </c>
      <c r="J23" s="23">
        <f t="shared" si="31"/>
        <v>7.3365894517253425</v>
      </c>
      <c r="K23" s="23">
        <f t="shared" si="32"/>
        <v>7.3732723989839686</v>
      </c>
      <c r="L23" s="23">
        <f t="shared" si="32"/>
        <v>7.4027654885799041</v>
      </c>
      <c r="M23" s="23">
        <f t="shared" si="32"/>
        <v>7.654459515191621</v>
      </c>
      <c r="N23" s="23">
        <f t="shared" si="32"/>
        <v>7.8687843816169867</v>
      </c>
      <c r="O23" s="23">
        <f t="shared" si="34"/>
        <v>7.8609155972353699</v>
      </c>
      <c r="P23" s="23">
        <f t="shared" si="34"/>
        <v>7.8687765128326044</v>
      </c>
      <c r="Q23" s="23">
        <f t="shared" si="1"/>
        <v>7.8687765128326044</v>
      </c>
      <c r="R23" s="23">
        <f t="shared" si="2"/>
        <v>7.8687765128326044</v>
      </c>
      <c r="S23" s="23">
        <f t="shared" si="3"/>
        <v>7.8687765128326044</v>
      </c>
      <c r="T23" s="23">
        <f t="shared" si="4"/>
        <v>7.8687765128326044</v>
      </c>
      <c r="U23" s="23">
        <f t="shared" si="5"/>
        <v>7.8687765128326044</v>
      </c>
      <c r="V23" s="23">
        <f t="shared" si="6"/>
        <v>7.8687765128326044</v>
      </c>
      <c r="W23" s="23">
        <f t="shared" si="7"/>
        <v>7.8687765128326044</v>
      </c>
      <c r="X23" s="23">
        <f t="shared" si="8"/>
        <v>7.8687765128326044</v>
      </c>
      <c r="Y23" s="23">
        <f t="shared" si="9"/>
        <v>7.8687765128326044</v>
      </c>
      <c r="Z23" s="23">
        <f t="shared" si="10"/>
        <v>7.8687765128326044</v>
      </c>
      <c r="AA23" s="23">
        <f t="shared" si="11"/>
        <v>7.8687765128326044</v>
      </c>
      <c r="AB23" s="23">
        <f t="shared" si="12"/>
        <v>7.8687765128326044</v>
      </c>
      <c r="AC23" s="23">
        <f t="shared" si="13"/>
        <v>7.8687765128326044</v>
      </c>
      <c r="AD23" s="23">
        <f t="shared" si="14"/>
        <v>7.8687765128326044</v>
      </c>
      <c r="AE23" s="23">
        <f t="shared" si="15"/>
        <v>7.8687765128326044</v>
      </c>
      <c r="AF23" s="23">
        <f t="shared" si="16"/>
        <v>7.8687765128326044</v>
      </c>
      <c r="AG23" s="23">
        <f t="shared" si="17"/>
        <v>7.8687765128326044</v>
      </c>
      <c r="AH23" s="23">
        <f t="shared" si="18"/>
        <v>7.8687765128326044</v>
      </c>
      <c r="AI23" s="23">
        <f t="shared" si="19"/>
        <v>7.8687765128326044</v>
      </c>
      <c r="AJ23" s="23">
        <f t="shared" si="20"/>
        <v>7.8687765128326044</v>
      </c>
      <c r="AK23" s="23">
        <f t="shared" si="21"/>
        <v>7.8687765128326044</v>
      </c>
      <c r="AL23" s="23">
        <f t="shared" si="22"/>
        <v>7.8687765128326044</v>
      </c>
      <c r="AM23" s="23">
        <f t="shared" si="23"/>
        <v>7.8687765128326044</v>
      </c>
      <c r="AN23" s="23">
        <f t="shared" si="24"/>
        <v>7.8687765128326044</v>
      </c>
      <c r="AO23" s="23">
        <f t="shared" si="25"/>
        <v>7.8687765128326044</v>
      </c>
      <c r="AP23" s="23">
        <f t="shared" si="26"/>
        <v>7.8687765128326044</v>
      </c>
      <c r="AQ23" s="23">
        <f t="shared" si="27"/>
        <v>7.8687765128326044</v>
      </c>
      <c r="AR23" s="23">
        <f t="shared" si="28"/>
        <v>7.8687765128326044</v>
      </c>
      <c r="AS23" s="23">
        <f t="shared" si="29"/>
        <v>7.8687765128326044</v>
      </c>
      <c r="AT23" s="24"/>
      <c r="AU23" s="388">
        <v>17</v>
      </c>
      <c r="AV23" s="29" t="s">
        <v>130</v>
      </c>
      <c r="AW23" s="391">
        <v>0</v>
      </c>
      <c r="AX23" s="19"/>
      <c r="BB23"/>
      <c r="BC23" s="1137"/>
      <c r="BD23" s="1137"/>
      <c r="BE23" s="1137"/>
      <c r="BF23" s="1137"/>
      <c r="BG23" s="1137"/>
      <c r="BH23" s="1137"/>
      <c r="BI23" s="1137"/>
      <c r="BJ23" s="1137"/>
      <c r="BK23" s="1137"/>
      <c r="BL23" s="1137"/>
      <c r="BM23" s="1137"/>
    </row>
    <row r="24" spans="1:71">
      <c r="A24" s="407">
        <v>1978</v>
      </c>
      <c r="B24" s="408">
        <v>6.141</v>
      </c>
      <c r="C24" s="408">
        <v>6.3070000000000004</v>
      </c>
      <c r="D24" s="22">
        <v>6.383</v>
      </c>
      <c r="E24" s="22">
        <v>6.3763013160000002</v>
      </c>
      <c r="F24" s="23">
        <v>6.4018065212640005</v>
      </c>
      <c r="G24" s="23">
        <f t="shared" si="30"/>
        <v>6.4210119408277917</v>
      </c>
      <c r="H24" s="23">
        <f t="shared" si="30"/>
        <v>6.4081699169461359</v>
      </c>
      <c r="I24" s="23">
        <f t="shared" si="30"/>
        <v>6.4338025966139201</v>
      </c>
      <c r="J24" s="23">
        <f t="shared" si="31"/>
        <v>6.4788392147902165</v>
      </c>
      <c r="K24" s="23">
        <f t="shared" si="32"/>
        <v>6.5112334108641665</v>
      </c>
      <c r="L24" s="23">
        <f t="shared" si="32"/>
        <v>6.537278344507623</v>
      </c>
      <c r="M24" s="23">
        <f t="shared" si="32"/>
        <v>6.7595458082208824</v>
      </c>
      <c r="N24" s="23">
        <f t="shared" si="32"/>
        <v>6.9488130908510675</v>
      </c>
      <c r="O24" s="23">
        <f t="shared" si="34"/>
        <v>6.9418642777602164</v>
      </c>
      <c r="P24" s="23">
        <f t="shared" si="34"/>
        <v>6.9488061420379763</v>
      </c>
      <c r="Q24" s="23">
        <f t="shared" si="1"/>
        <v>6.9488061420379763</v>
      </c>
      <c r="R24" s="23">
        <f t="shared" si="2"/>
        <v>6.9488061420379763</v>
      </c>
      <c r="S24" s="23">
        <f t="shared" si="3"/>
        <v>6.9488061420379763</v>
      </c>
      <c r="T24" s="23">
        <f t="shared" si="4"/>
        <v>6.9488061420379763</v>
      </c>
      <c r="U24" s="23">
        <f t="shared" si="5"/>
        <v>6.9488061420379763</v>
      </c>
      <c r="V24" s="23">
        <f t="shared" si="6"/>
        <v>6.9488061420379763</v>
      </c>
      <c r="W24" s="23">
        <f t="shared" si="7"/>
        <v>6.9488061420379763</v>
      </c>
      <c r="X24" s="23">
        <f t="shared" si="8"/>
        <v>6.9488061420379763</v>
      </c>
      <c r="Y24" s="23">
        <f t="shared" si="9"/>
        <v>6.9488061420379763</v>
      </c>
      <c r="Z24" s="23">
        <f t="shared" si="10"/>
        <v>6.9488061420379763</v>
      </c>
      <c r="AA24" s="23">
        <f t="shared" si="11"/>
        <v>6.9488061420379763</v>
      </c>
      <c r="AB24" s="23">
        <f t="shared" si="12"/>
        <v>6.9488061420379763</v>
      </c>
      <c r="AC24" s="23">
        <f t="shared" si="13"/>
        <v>6.9488061420379763</v>
      </c>
      <c r="AD24" s="23">
        <f t="shared" si="14"/>
        <v>6.9488061420379763</v>
      </c>
      <c r="AE24" s="23">
        <f t="shared" si="15"/>
        <v>6.9488061420379763</v>
      </c>
      <c r="AF24" s="23">
        <f t="shared" si="16"/>
        <v>6.9488061420379763</v>
      </c>
      <c r="AG24" s="23">
        <f t="shared" si="17"/>
        <v>6.9488061420379763</v>
      </c>
      <c r="AH24" s="23">
        <f t="shared" si="18"/>
        <v>6.9488061420379763</v>
      </c>
      <c r="AI24" s="23">
        <f t="shared" si="19"/>
        <v>6.9488061420379763</v>
      </c>
      <c r="AJ24" s="23">
        <f t="shared" si="20"/>
        <v>6.9488061420379763</v>
      </c>
      <c r="AK24" s="23">
        <f t="shared" si="21"/>
        <v>6.9488061420379763</v>
      </c>
      <c r="AL24" s="23">
        <f t="shared" si="22"/>
        <v>6.9488061420379763</v>
      </c>
      <c r="AM24" s="23">
        <f t="shared" si="23"/>
        <v>6.9488061420379763</v>
      </c>
      <c r="AN24" s="23">
        <f t="shared" si="24"/>
        <v>6.9488061420379763</v>
      </c>
      <c r="AO24" s="23">
        <f t="shared" si="25"/>
        <v>6.9488061420379763</v>
      </c>
      <c r="AP24" s="23">
        <f t="shared" si="26"/>
        <v>6.9488061420379763</v>
      </c>
      <c r="AQ24" s="23">
        <f t="shared" si="27"/>
        <v>6.9488061420379763</v>
      </c>
      <c r="AR24" s="23">
        <f t="shared" si="28"/>
        <v>6.9488061420379763</v>
      </c>
      <c r="AS24" s="23">
        <f t="shared" si="29"/>
        <v>6.9488061420379763</v>
      </c>
      <c r="AT24" s="24"/>
      <c r="AU24" s="388">
        <v>38</v>
      </c>
      <c r="AV24" s="29" t="s">
        <v>30133</v>
      </c>
      <c r="AW24" s="391">
        <v>60</v>
      </c>
      <c r="AX24" s="19"/>
      <c r="BB24"/>
      <c r="BC24" s="1137"/>
      <c r="BD24" s="1137"/>
      <c r="BE24" s="1137"/>
      <c r="BF24" s="1137"/>
      <c r="BG24" s="1137"/>
      <c r="BH24" s="1137"/>
      <c r="BI24" s="1137"/>
      <c r="BJ24" s="1137"/>
      <c r="BK24" s="1137"/>
      <c r="BL24" s="1137"/>
      <c r="BM24" s="1137"/>
    </row>
    <row r="25" spans="1:71">
      <c r="A25" s="407">
        <v>1979</v>
      </c>
      <c r="B25" s="408">
        <v>5.3390000000000004</v>
      </c>
      <c r="C25" s="408">
        <v>5.484</v>
      </c>
      <c r="D25" s="22">
        <v>5.55</v>
      </c>
      <c r="E25" s="22">
        <v>5.544258192</v>
      </c>
      <c r="F25" s="23">
        <v>5.566435224768</v>
      </c>
      <c r="G25" s="23">
        <f t="shared" si="30"/>
        <v>5.5831345304423037</v>
      </c>
      <c r="H25" s="23">
        <f t="shared" si="30"/>
        <v>5.5719682613814188</v>
      </c>
      <c r="I25" s="23">
        <f t="shared" si="30"/>
        <v>5.5942561344269448</v>
      </c>
      <c r="J25" s="23">
        <f t="shared" si="31"/>
        <v>5.633415927367933</v>
      </c>
      <c r="K25" s="23">
        <f t="shared" si="32"/>
        <v>5.6615830070047721</v>
      </c>
      <c r="L25" s="23">
        <f t="shared" si="32"/>
        <v>5.6842293390327914</v>
      </c>
      <c r="M25" s="23">
        <f t="shared" si="32"/>
        <v>5.8774931365599068</v>
      </c>
      <c r="N25" s="23">
        <f t="shared" si="32"/>
        <v>6.0420629443835843</v>
      </c>
      <c r="O25" s="23">
        <f t="shared" si="34"/>
        <v>6.0360208814392005</v>
      </c>
      <c r="P25" s="23">
        <f t="shared" si="34"/>
        <v>6.0420569023206392</v>
      </c>
      <c r="Q25" s="23">
        <f t="shared" si="1"/>
        <v>6.0420569023206392</v>
      </c>
      <c r="R25" s="23">
        <f t="shared" si="2"/>
        <v>6.0420569023206392</v>
      </c>
      <c r="S25" s="23">
        <f t="shared" si="3"/>
        <v>6.0420569023206392</v>
      </c>
      <c r="T25" s="23">
        <f t="shared" si="4"/>
        <v>6.0420569023206392</v>
      </c>
      <c r="U25" s="23">
        <f t="shared" si="5"/>
        <v>6.0420569023206392</v>
      </c>
      <c r="V25" s="23">
        <f t="shared" si="6"/>
        <v>6.0420569023206392</v>
      </c>
      <c r="W25" s="23">
        <f t="shared" si="7"/>
        <v>6.0420569023206392</v>
      </c>
      <c r="X25" s="23">
        <f t="shared" si="8"/>
        <v>6.0420569023206392</v>
      </c>
      <c r="Y25" s="23">
        <f t="shared" si="9"/>
        <v>6.0420569023206392</v>
      </c>
      <c r="Z25" s="23">
        <f t="shared" si="10"/>
        <v>6.0420569023206392</v>
      </c>
      <c r="AA25" s="23">
        <f t="shared" si="11"/>
        <v>6.0420569023206392</v>
      </c>
      <c r="AB25" s="23">
        <f t="shared" si="12"/>
        <v>6.0420569023206392</v>
      </c>
      <c r="AC25" s="23">
        <f t="shared" si="13"/>
        <v>6.0420569023206392</v>
      </c>
      <c r="AD25" s="23">
        <f t="shared" si="14"/>
        <v>6.0420569023206392</v>
      </c>
      <c r="AE25" s="23">
        <f t="shared" si="15"/>
        <v>6.0420569023206392</v>
      </c>
      <c r="AF25" s="23">
        <f t="shared" si="16"/>
        <v>6.0420569023206392</v>
      </c>
      <c r="AG25" s="23">
        <f t="shared" si="17"/>
        <v>6.0420569023206392</v>
      </c>
      <c r="AH25" s="23">
        <f t="shared" si="18"/>
        <v>6.0420569023206392</v>
      </c>
      <c r="AI25" s="23">
        <f t="shared" si="19"/>
        <v>6.0420569023206392</v>
      </c>
      <c r="AJ25" s="23">
        <f t="shared" si="20"/>
        <v>6.0420569023206392</v>
      </c>
      <c r="AK25" s="23">
        <f t="shared" si="21"/>
        <v>6.0420569023206392</v>
      </c>
      <c r="AL25" s="23">
        <f t="shared" si="22"/>
        <v>6.0420569023206392</v>
      </c>
      <c r="AM25" s="23">
        <f t="shared" si="23"/>
        <v>6.0420569023206392</v>
      </c>
      <c r="AN25" s="23">
        <f t="shared" si="24"/>
        <v>6.0420569023206392</v>
      </c>
      <c r="AO25" s="23">
        <f t="shared" si="25"/>
        <v>6.0420569023206392</v>
      </c>
      <c r="AP25" s="23">
        <f t="shared" si="26"/>
        <v>6.0420569023206392</v>
      </c>
      <c r="AQ25" s="23">
        <f t="shared" si="27"/>
        <v>6.0420569023206392</v>
      </c>
      <c r="AR25" s="23">
        <f t="shared" si="28"/>
        <v>6.0420569023206392</v>
      </c>
      <c r="AS25" s="23">
        <f t="shared" si="29"/>
        <v>6.0420569023206392</v>
      </c>
      <c r="AT25" s="24"/>
      <c r="AU25" s="388">
        <v>39</v>
      </c>
      <c r="AV25" s="29" t="s">
        <v>30134</v>
      </c>
      <c r="AW25" s="391">
        <v>30</v>
      </c>
      <c r="AX25" s="19"/>
      <c r="BB25" s="75" t="s">
        <v>28857</v>
      </c>
      <c r="BE25" s="75" t="s">
        <v>28856</v>
      </c>
      <c r="BG25" s="1137"/>
      <c r="BH25" s="1137"/>
      <c r="BI25" s="1137"/>
      <c r="BJ25" s="1137"/>
      <c r="BK25" s="1137"/>
      <c r="BL25" s="1137"/>
      <c r="BM25" s="1137"/>
    </row>
    <row r="26" spans="1:71">
      <c r="A26" s="407">
        <v>1980</v>
      </c>
      <c r="B26" s="408">
        <v>4.3099999999999996</v>
      </c>
      <c r="C26" s="408">
        <v>4.4260000000000002</v>
      </c>
      <c r="D26" s="22">
        <v>4.4790000000000001</v>
      </c>
      <c r="E26" s="22">
        <v>4.4746328880000004</v>
      </c>
      <c r="F26" s="23">
        <v>4.4925314195520007</v>
      </c>
      <c r="G26" s="23">
        <f t="shared" si="30"/>
        <v>4.5060090138106563</v>
      </c>
      <c r="H26" s="23">
        <f t="shared" si="30"/>
        <v>4.4969969957830349</v>
      </c>
      <c r="I26" s="23">
        <f t="shared" si="30"/>
        <v>4.5149849837661673</v>
      </c>
      <c r="J26" s="23">
        <f t="shared" si="31"/>
        <v>4.5465898786525303</v>
      </c>
      <c r="K26" s="23">
        <f t="shared" si="32"/>
        <v>4.5693228280457925</v>
      </c>
      <c r="L26" s="23">
        <f t="shared" si="32"/>
        <v>4.5876001193579761</v>
      </c>
      <c r="M26" s="23">
        <f t="shared" si="32"/>
        <v>4.7435785234161472</v>
      </c>
      <c r="N26" s="23">
        <f t="shared" si="32"/>
        <v>4.8763987220717997</v>
      </c>
      <c r="O26" s="23">
        <f t="shared" si="34"/>
        <v>4.871522323349728</v>
      </c>
      <c r="P26" s="23">
        <f t="shared" si="34"/>
        <v>4.8763938456730775</v>
      </c>
      <c r="Q26" s="23">
        <f t="shared" si="1"/>
        <v>4.8763938456730775</v>
      </c>
      <c r="R26" s="23">
        <f t="shared" si="2"/>
        <v>4.8763938456730775</v>
      </c>
      <c r="S26" s="23">
        <f t="shared" si="3"/>
        <v>4.8763938456730775</v>
      </c>
      <c r="T26" s="23">
        <f t="shared" si="4"/>
        <v>4.8763938456730775</v>
      </c>
      <c r="U26" s="23">
        <f t="shared" si="5"/>
        <v>4.8763938456730775</v>
      </c>
      <c r="V26" s="23">
        <f t="shared" si="6"/>
        <v>4.8763938456730775</v>
      </c>
      <c r="W26" s="23">
        <f t="shared" si="7"/>
        <v>4.8763938456730775</v>
      </c>
      <c r="X26" s="23">
        <f t="shared" si="8"/>
        <v>4.8763938456730775</v>
      </c>
      <c r="Y26" s="23">
        <f t="shared" si="9"/>
        <v>4.8763938456730775</v>
      </c>
      <c r="Z26" s="23">
        <f t="shared" si="10"/>
        <v>4.8763938456730775</v>
      </c>
      <c r="AA26" s="23">
        <f t="shared" si="11"/>
        <v>4.8763938456730775</v>
      </c>
      <c r="AB26" s="23">
        <f t="shared" si="12"/>
        <v>4.8763938456730775</v>
      </c>
      <c r="AC26" s="23">
        <f t="shared" si="13"/>
        <v>4.8763938456730775</v>
      </c>
      <c r="AD26" s="23">
        <f t="shared" si="14"/>
        <v>4.8763938456730775</v>
      </c>
      <c r="AE26" s="23">
        <f t="shared" si="15"/>
        <v>4.8763938456730775</v>
      </c>
      <c r="AF26" s="23">
        <f t="shared" si="16"/>
        <v>4.8763938456730775</v>
      </c>
      <c r="AG26" s="23">
        <f t="shared" si="17"/>
        <v>4.8763938456730775</v>
      </c>
      <c r="AH26" s="23">
        <f t="shared" si="18"/>
        <v>4.8763938456730775</v>
      </c>
      <c r="AI26" s="23">
        <f t="shared" si="19"/>
        <v>4.8763938456730775</v>
      </c>
      <c r="AJ26" s="23">
        <f t="shared" si="20"/>
        <v>4.8763938456730775</v>
      </c>
      <c r="AK26" s="23">
        <f t="shared" si="21"/>
        <v>4.8763938456730775</v>
      </c>
      <c r="AL26" s="23">
        <f t="shared" si="22"/>
        <v>4.8763938456730775</v>
      </c>
      <c r="AM26" s="23">
        <f t="shared" si="23"/>
        <v>4.8763938456730775</v>
      </c>
      <c r="AN26" s="23">
        <f t="shared" si="24"/>
        <v>4.8763938456730775</v>
      </c>
      <c r="AO26" s="23">
        <f t="shared" si="25"/>
        <v>4.8763938456730775</v>
      </c>
      <c r="AP26" s="23">
        <f t="shared" si="26"/>
        <v>4.8763938456730775</v>
      </c>
      <c r="AQ26" s="23">
        <f t="shared" si="27"/>
        <v>4.8763938456730775</v>
      </c>
      <c r="AR26" s="23">
        <f t="shared" si="28"/>
        <v>4.8763938456730775</v>
      </c>
      <c r="AS26" s="23">
        <f t="shared" si="29"/>
        <v>4.8763938456730775</v>
      </c>
      <c r="AT26" s="24"/>
      <c r="AU26" s="61"/>
      <c r="AV26" s="31"/>
      <c r="AW26" s="61"/>
      <c r="AX26" s="19"/>
      <c r="BB26" s="21" t="s">
        <v>210</v>
      </c>
      <c r="BC26" s="387" t="s">
        <v>30131</v>
      </c>
      <c r="BE26" s="1087" t="s">
        <v>210</v>
      </c>
      <c r="BF26" s="387" t="s">
        <v>30131</v>
      </c>
      <c r="BL26" s="1137"/>
      <c r="BN26" s="10"/>
      <c r="BO26" s="10"/>
    </row>
    <row r="27" spans="1:71">
      <c r="A27" s="407">
        <v>1981</v>
      </c>
      <c r="B27" s="408">
        <v>3.5249999999999999</v>
      </c>
      <c r="C27" s="408">
        <v>3.62</v>
      </c>
      <c r="D27" s="22">
        <v>3.6629999999999998</v>
      </c>
      <c r="E27" s="22">
        <v>3.6597765600000001</v>
      </c>
      <c r="F27" s="23">
        <v>3.6744156662400003</v>
      </c>
      <c r="G27" s="23">
        <f t="shared" si="30"/>
        <v>3.6854389132387197</v>
      </c>
      <c r="H27" s="23">
        <f t="shared" si="30"/>
        <v>3.6780680354122421</v>
      </c>
      <c r="I27" s="23">
        <f t="shared" si="30"/>
        <v>3.6927803075538912</v>
      </c>
      <c r="J27" s="23">
        <f t="shared" si="31"/>
        <v>3.7186297697067681</v>
      </c>
      <c r="K27" s="23">
        <f t="shared" si="32"/>
        <v>3.7372229185553016</v>
      </c>
      <c r="L27" s="23">
        <f t="shared" si="32"/>
        <v>3.7521718102295227</v>
      </c>
      <c r="M27" s="23">
        <f t="shared" si="32"/>
        <v>3.8797456517773266</v>
      </c>
      <c r="N27" s="23">
        <f t="shared" si="32"/>
        <v>3.988378530027092</v>
      </c>
      <c r="O27" s="23">
        <f t="shared" si="34"/>
        <v>3.984390151497065</v>
      </c>
      <c r="P27" s="23">
        <f t="shared" si="34"/>
        <v>3.9883745416485614</v>
      </c>
      <c r="Q27" s="23">
        <f t="shared" si="1"/>
        <v>3.9883745416485614</v>
      </c>
      <c r="R27" s="23">
        <f t="shared" si="2"/>
        <v>3.9883745416485614</v>
      </c>
      <c r="S27" s="23">
        <f t="shared" si="3"/>
        <v>3.9883745416485614</v>
      </c>
      <c r="T27" s="23">
        <f t="shared" si="4"/>
        <v>3.9883745416485614</v>
      </c>
      <c r="U27" s="23">
        <f t="shared" si="5"/>
        <v>3.9883745416485614</v>
      </c>
      <c r="V27" s="23">
        <f t="shared" si="6"/>
        <v>3.9883745416485614</v>
      </c>
      <c r="W27" s="23">
        <f t="shared" si="7"/>
        <v>3.9883745416485614</v>
      </c>
      <c r="X27" s="23">
        <f t="shared" si="8"/>
        <v>3.9883745416485614</v>
      </c>
      <c r="Y27" s="23">
        <f t="shared" si="9"/>
        <v>3.9883745416485614</v>
      </c>
      <c r="Z27" s="23">
        <f t="shared" si="10"/>
        <v>3.9883745416485614</v>
      </c>
      <c r="AA27" s="23">
        <f t="shared" si="11"/>
        <v>3.9883745416485614</v>
      </c>
      <c r="AB27" s="23">
        <f t="shared" si="12"/>
        <v>3.9883745416485614</v>
      </c>
      <c r="AC27" s="23">
        <f t="shared" si="13"/>
        <v>3.9883745416485614</v>
      </c>
      <c r="AD27" s="23">
        <f t="shared" si="14"/>
        <v>3.9883745416485614</v>
      </c>
      <c r="AE27" s="23">
        <f t="shared" si="15"/>
        <v>3.9883745416485614</v>
      </c>
      <c r="AF27" s="23">
        <f t="shared" si="16"/>
        <v>3.9883745416485614</v>
      </c>
      <c r="AG27" s="23">
        <f t="shared" si="17"/>
        <v>3.9883745416485614</v>
      </c>
      <c r="AH27" s="23">
        <f t="shared" si="18"/>
        <v>3.9883745416485614</v>
      </c>
      <c r="AI27" s="23">
        <f t="shared" si="19"/>
        <v>3.9883745416485614</v>
      </c>
      <c r="AJ27" s="23">
        <f t="shared" si="20"/>
        <v>3.9883745416485614</v>
      </c>
      <c r="AK27" s="23">
        <f t="shared" si="21"/>
        <v>3.9883745416485614</v>
      </c>
      <c r="AL27" s="23">
        <f t="shared" si="22"/>
        <v>3.9883745416485614</v>
      </c>
      <c r="AM27" s="23">
        <f t="shared" si="23"/>
        <v>3.9883745416485614</v>
      </c>
      <c r="AN27" s="23">
        <f t="shared" si="24"/>
        <v>3.9883745416485614</v>
      </c>
      <c r="AO27" s="23">
        <f t="shared" si="25"/>
        <v>3.9883745416485614</v>
      </c>
      <c r="AP27" s="23">
        <f t="shared" si="26"/>
        <v>3.9883745416485614</v>
      </c>
      <c r="AQ27" s="23">
        <f t="shared" si="27"/>
        <v>3.9883745416485614</v>
      </c>
      <c r="AR27" s="23">
        <f t="shared" si="28"/>
        <v>3.9883745416485614</v>
      </c>
      <c r="AS27" s="23">
        <f t="shared" si="29"/>
        <v>3.9883745416485614</v>
      </c>
      <c r="AT27" s="24"/>
      <c r="AU27" s="61"/>
      <c r="AV27" s="31"/>
      <c r="AW27" s="61"/>
      <c r="AX27" s="19"/>
      <c r="BB27" s="25" t="s">
        <v>22704</v>
      </c>
      <c r="BC27" s="910">
        <v>1</v>
      </c>
      <c r="BE27" s="1086" t="s">
        <v>22704</v>
      </c>
      <c r="BF27" s="1917">
        <f>+TT_parametri!$BC$27</f>
        <v>1</v>
      </c>
      <c r="BL27" s="1137"/>
      <c r="BN27" s="10"/>
      <c r="BO27" s="10"/>
    </row>
    <row r="28" spans="1:71">
      <c r="A28" s="407">
        <v>1982</v>
      </c>
      <c r="B28" s="408">
        <v>3.0630000000000002</v>
      </c>
      <c r="C28" s="408">
        <v>3.1459999999999999</v>
      </c>
      <c r="D28" s="22">
        <v>3.1840000000000002</v>
      </c>
      <c r="E28" s="22">
        <v>3.1805682480000002</v>
      </c>
      <c r="F28" s="23">
        <v>3.1932905209919999</v>
      </c>
      <c r="G28" s="23">
        <f t="shared" si="30"/>
        <v>3.2028703925549755</v>
      </c>
      <c r="H28" s="23">
        <f t="shared" si="30"/>
        <v>3.1964646517698654</v>
      </c>
      <c r="I28" s="23">
        <f t="shared" si="30"/>
        <v>3.2092505103769446</v>
      </c>
      <c r="J28" s="23">
        <f t="shared" si="31"/>
        <v>3.231715263949583</v>
      </c>
      <c r="K28" s="23">
        <f t="shared" si="32"/>
        <v>3.2478738402693303</v>
      </c>
      <c r="L28" s="23">
        <f t="shared" si="32"/>
        <v>3.2608653356304078</v>
      </c>
      <c r="M28" s="23">
        <f t="shared" si="32"/>
        <v>3.3717347570418417</v>
      </c>
      <c r="N28" s="23">
        <f t="shared" si="32"/>
        <v>3.4661433302390132</v>
      </c>
      <c r="O28" s="23">
        <f t="shared" si="34"/>
        <v>3.462677186908774</v>
      </c>
      <c r="P28" s="23">
        <f t="shared" si="34"/>
        <v>3.4661398640956822</v>
      </c>
      <c r="Q28" s="23">
        <f t="shared" si="1"/>
        <v>3.4661398640956822</v>
      </c>
      <c r="R28" s="23">
        <f t="shared" si="2"/>
        <v>3.4661398640956822</v>
      </c>
      <c r="S28" s="23">
        <f t="shared" si="3"/>
        <v>3.4661398640956822</v>
      </c>
      <c r="T28" s="23">
        <f t="shared" si="4"/>
        <v>3.4661398640956822</v>
      </c>
      <c r="U28" s="23">
        <f t="shared" si="5"/>
        <v>3.4661398640956822</v>
      </c>
      <c r="V28" s="23">
        <f t="shared" si="6"/>
        <v>3.4661398640956822</v>
      </c>
      <c r="W28" s="23">
        <f t="shared" si="7"/>
        <v>3.4661398640956822</v>
      </c>
      <c r="X28" s="23">
        <f t="shared" si="8"/>
        <v>3.4661398640956822</v>
      </c>
      <c r="Y28" s="23">
        <f t="shared" si="9"/>
        <v>3.4661398640956822</v>
      </c>
      <c r="Z28" s="23">
        <f t="shared" si="10"/>
        <v>3.4661398640956822</v>
      </c>
      <c r="AA28" s="23">
        <f t="shared" si="11"/>
        <v>3.4661398640956822</v>
      </c>
      <c r="AB28" s="23">
        <f t="shared" si="12"/>
        <v>3.4661398640956822</v>
      </c>
      <c r="AC28" s="23">
        <f t="shared" si="13"/>
        <v>3.4661398640956822</v>
      </c>
      <c r="AD28" s="23">
        <f t="shared" si="14"/>
        <v>3.4661398640956822</v>
      </c>
      <c r="AE28" s="23">
        <f t="shared" si="15"/>
        <v>3.4661398640956822</v>
      </c>
      <c r="AF28" s="23">
        <f t="shared" si="16"/>
        <v>3.4661398640956822</v>
      </c>
      <c r="AG28" s="23">
        <f t="shared" si="17"/>
        <v>3.4661398640956822</v>
      </c>
      <c r="AH28" s="23">
        <f t="shared" si="18"/>
        <v>3.4661398640956822</v>
      </c>
      <c r="AI28" s="23">
        <f t="shared" si="19"/>
        <v>3.4661398640956822</v>
      </c>
      <c r="AJ28" s="23">
        <f t="shared" si="20"/>
        <v>3.4661398640956822</v>
      </c>
      <c r="AK28" s="23">
        <f t="shared" si="21"/>
        <v>3.4661398640956822</v>
      </c>
      <c r="AL28" s="23">
        <f t="shared" si="22"/>
        <v>3.4661398640956822</v>
      </c>
      <c r="AM28" s="23">
        <f t="shared" si="23"/>
        <v>3.4661398640956822</v>
      </c>
      <c r="AN28" s="23">
        <f t="shared" si="24"/>
        <v>3.4661398640956822</v>
      </c>
      <c r="AO28" s="23">
        <f t="shared" si="25"/>
        <v>3.4661398640956822</v>
      </c>
      <c r="AP28" s="23">
        <f t="shared" si="26"/>
        <v>3.4661398640956822</v>
      </c>
      <c r="AQ28" s="23">
        <f t="shared" si="27"/>
        <v>3.4661398640956822</v>
      </c>
      <c r="AR28" s="23">
        <f t="shared" si="28"/>
        <v>3.4661398640956822</v>
      </c>
      <c r="AS28" s="23">
        <f t="shared" si="29"/>
        <v>3.4661398640956822</v>
      </c>
      <c r="AT28" s="24"/>
      <c r="AU28" s="61"/>
      <c r="AV28" s="32"/>
      <c r="AW28" s="61"/>
      <c r="AX28" s="19"/>
      <c r="BB28" s="25" t="s">
        <v>22726</v>
      </c>
      <c r="BC28" s="1913">
        <v>2.1299999999999999E-2</v>
      </c>
      <c r="BE28" s="1086" t="s">
        <v>22726</v>
      </c>
      <c r="BF28" s="1915">
        <f>+TT_parametri!$BC$28</f>
        <v>2.1299999999999999E-2</v>
      </c>
      <c r="BL28" s="1137"/>
    </row>
    <row r="29" spans="1:71" ht="15.75">
      <c r="A29" s="407">
        <v>1983</v>
      </c>
      <c r="B29" s="408">
        <v>2.746</v>
      </c>
      <c r="C29" s="408">
        <v>2.82</v>
      </c>
      <c r="D29" s="22">
        <v>2.8540000000000001</v>
      </c>
      <c r="E29" s="22">
        <v>2.8509861599999997</v>
      </c>
      <c r="F29" s="23">
        <v>2.8623901046399998</v>
      </c>
      <c r="G29" s="23">
        <f t="shared" si="30"/>
        <v>2.8709772749539195</v>
      </c>
      <c r="H29" s="23">
        <f t="shared" si="30"/>
        <v>2.8652353204040115</v>
      </c>
      <c r="I29" s="23">
        <f t="shared" si="30"/>
        <v>2.8766962616856278</v>
      </c>
      <c r="J29" s="23">
        <f t="shared" si="31"/>
        <v>2.896833135517427</v>
      </c>
      <c r="K29" s="23">
        <f t="shared" si="32"/>
        <v>2.9113173011950138</v>
      </c>
      <c r="L29" s="23">
        <f t="shared" si="32"/>
        <v>2.9229625703997937</v>
      </c>
      <c r="M29" s="23">
        <f t="shared" si="32"/>
        <v>3.0223432977933866</v>
      </c>
      <c r="N29" s="23">
        <f t="shared" si="32"/>
        <v>3.1069689101316014</v>
      </c>
      <c r="O29" s="23">
        <f t="shared" si="34"/>
        <v>3.1038619412214699</v>
      </c>
      <c r="P29" s="23">
        <f t="shared" si="34"/>
        <v>3.1069658031626908</v>
      </c>
      <c r="Q29" s="23">
        <f t="shared" si="1"/>
        <v>3.1069658031626908</v>
      </c>
      <c r="R29" s="23">
        <f t="shared" si="2"/>
        <v>3.1069658031626908</v>
      </c>
      <c r="S29" s="23">
        <f t="shared" si="3"/>
        <v>3.1069658031626908</v>
      </c>
      <c r="T29" s="23">
        <f t="shared" si="4"/>
        <v>3.1069658031626908</v>
      </c>
      <c r="U29" s="23">
        <f t="shared" si="5"/>
        <v>3.1069658031626908</v>
      </c>
      <c r="V29" s="23">
        <f t="shared" si="6"/>
        <v>3.1069658031626908</v>
      </c>
      <c r="W29" s="23">
        <f t="shared" si="7"/>
        <v>3.1069658031626908</v>
      </c>
      <c r="X29" s="23">
        <f t="shared" si="8"/>
        <v>3.1069658031626908</v>
      </c>
      <c r="Y29" s="23">
        <f t="shared" si="9"/>
        <v>3.1069658031626908</v>
      </c>
      <c r="Z29" s="23">
        <f t="shared" si="10"/>
        <v>3.1069658031626908</v>
      </c>
      <c r="AA29" s="23">
        <f t="shared" si="11"/>
        <v>3.1069658031626908</v>
      </c>
      <c r="AB29" s="23">
        <f t="shared" si="12"/>
        <v>3.1069658031626908</v>
      </c>
      <c r="AC29" s="23">
        <f t="shared" si="13"/>
        <v>3.1069658031626908</v>
      </c>
      <c r="AD29" s="23">
        <f t="shared" si="14"/>
        <v>3.1069658031626908</v>
      </c>
      <c r="AE29" s="23">
        <f t="shared" si="15"/>
        <v>3.1069658031626908</v>
      </c>
      <c r="AF29" s="23">
        <f t="shared" si="16"/>
        <v>3.1069658031626908</v>
      </c>
      <c r="AG29" s="23">
        <f t="shared" si="17"/>
        <v>3.1069658031626908</v>
      </c>
      <c r="AH29" s="23">
        <f t="shared" si="18"/>
        <v>3.1069658031626908</v>
      </c>
      <c r="AI29" s="23">
        <f t="shared" si="19"/>
        <v>3.1069658031626908</v>
      </c>
      <c r="AJ29" s="23">
        <f t="shared" si="20"/>
        <v>3.1069658031626908</v>
      </c>
      <c r="AK29" s="23">
        <f t="shared" si="21"/>
        <v>3.1069658031626908</v>
      </c>
      <c r="AL29" s="23">
        <f t="shared" si="22"/>
        <v>3.1069658031626908</v>
      </c>
      <c r="AM29" s="23">
        <f t="shared" si="23"/>
        <v>3.1069658031626908</v>
      </c>
      <c r="AN29" s="23">
        <f t="shared" si="24"/>
        <v>3.1069658031626908</v>
      </c>
      <c r="AO29" s="23">
        <f t="shared" si="25"/>
        <v>3.1069658031626908</v>
      </c>
      <c r="AP29" s="23">
        <f t="shared" si="26"/>
        <v>3.1069658031626908</v>
      </c>
      <c r="AQ29" s="23">
        <f t="shared" si="27"/>
        <v>3.1069658031626908</v>
      </c>
      <c r="AR29" s="23">
        <f t="shared" si="28"/>
        <v>3.1069658031626908</v>
      </c>
      <c r="AS29" s="23">
        <f t="shared" si="29"/>
        <v>3.1069658031626908</v>
      </c>
      <c r="AT29" s="24"/>
      <c r="AU29" s="387" t="s">
        <v>22695</v>
      </c>
      <c r="AV29" s="21" t="s">
        <v>22719</v>
      </c>
      <c r="AW29" s="387" t="s">
        <v>22696</v>
      </c>
      <c r="BB29" s="25" t="s">
        <v>22728</v>
      </c>
      <c r="BC29" s="1913">
        <v>0.03</v>
      </c>
      <c r="BD29" s="1788"/>
      <c r="BE29" s="1086" t="s">
        <v>22728</v>
      </c>
      <c r="BF29" s="1914">
        <f>+TT_parametri!$BC$29</f>
        <v>0.03</v>
      </c>
      <c r="BL29" s="1137"/>
    </row>
    <row r="30" spans="1:71">
      <c r="A30" s="407">
        <v>1984</v>
      </c>
      <c r="B30" s="408">
        <v>2.5150000000000001</v>
      </c>
      <c r="C30" s="408">
        <v>2.5830000000000002</v>
      </c>
      <c r="D30" s="22">
        <v>2.6139999999999999</v>
      </c>
      <c r="E30" s="22">
        <v>2.6113820040000002</v>
      </c>
      <c r="F30" s="23">
        <v>2.6218275320160003</v>
      </c>
      <c r="G30" s="23">
        <f t="shared" si="30"/>
        <v>2.6296930146120481</v>
      </c>
      <c r="H30" s="23">
        <f t="shared" si="30"/>
        <v>2.6244336285828238</v>
      </c>
      <c r="I30" s="23">
        <f t="shared" si="30"/>
        <v>2.6349313630971549</v>
      </c>
      <c r="J30" s="23">
        <f t="shared" si="31"/>
        <v>2.6533758826388349</v>
      </c>
      <c r="K30" s="23">
        <f t="shared" si="32"/>
        <v>2.666642762052029</v>
      </c>
      <c r="L30" s="23">
        <f t="shared" si="32"/>
        <v>2.6773093331002373</v>
      </c>
      <c r="M30" s="23">
        <f t="shared" si="32"/>
        <v>2.7683378504256453</v>
      </c>
      <c r="N30" s="23">
        <f t="shared" si="32"/>
        <v>2.8458513102375633</v>
      </c>
      <c r="O30" s="23">
        <f t="shared" si="34"/>
        <v>2.8430054589273257</v>
      </c>
      <c r="P30" s="23">
        <f t="shared" si="34"/>
        <v>2.8458484643862527</v>
      </c>
      <c r="Q30" s="23">
        <f t="shared" si="1"/>
        <v>2.8458484643862527</v>
      </c>
      <c r="R30" s="23">
        <f t="shared" si="2"/>
        <v>2.8458484643862527</v>
      </c>
      <c r="S30" s="23">
        <f t="shared" si="3"/>
        <v>2.8458484643862527</v>
      </c>
      <c r="T30" s="23">
        <f t="shared" si="4"/>
        <v>2.8458484643862527</v>
      </c>
      <c r="U30" s="23">
        <f t="shared" si="5"/>
        <v>2.8458484643862527</v>
      </c>
      <c r="V30" s="23">
        <f t="shared" si="6"/>
        <v>2.8458484643862527</v>
      </c>
      <c r="W30" s="23">
        <f t="shared" si="7"/>
        <v>2.8458484643862527</v>
      </c>
      <c r="X30" s="23">
        <f t="shared" si="8"/>
        <v>2.8458484643862527</v>
      </c>
      <c r="Y30" s="23">
        <f t="shared" si="9"/>
        <v>2.8458484643862527</v>
      </c>
      <c r="Z30" s="23">
        <f t="shared" si="10"/>
        <v>2.8458484643862527</v>
      </c>
      <c r="AA30" s="23">
        <f t="shared" si="11"/>
        <v>2.8458484643862527</v>
      </c>
      <c r="AB30" s="23">
        <f t="shared" si="12"/>
        <v>2.8458484643862527</v>
      </c>
      <c r="AC30" s="23">
        <f t="shared" si="13"/>
        <v>2.8458484643862527</v>
      </c>
      <c r="AD30" s="23">
        <f t="shared" si="14"/>
        <v>2.8458484643862527</v>
      </c>
      <c r="AE30" s="23">
        <f t="shared" si="15"/>
        <v>2.8458484643862527</v>
      </c>
      <c r="AF30" s="23">
        <f t="shared" si="16"/>
        <v>2.8458484643862527</v>
      </c>
      <c r="AG30" s="23">
        <f t="shared" si="17"/>
        <v>2.8458484643862527</v>
      </c>
      <c r="AH30" s="23">
        <f t="shared" si="18"/>
        <v>2.8458484643862527</v>
      </c>
      <c r="AI30" s="23">
        <f t="shared" si="19"/>
        <v>2.8458484643862527</v>
      </c>
      <c r="AJ30" s="23">
        <f t="shared" si="20"/>
        <v>2.8458484643862527</v>
      </c>
      <c r="AK30" s="23">
        <f t="shared" si="21"/>
        <v>2.8458484643862527</v>
      </c>
      <c r="AL30" s="23">
        <f t="shared" si="22"/>
        <v>2.8458484643862527</v>
      </c>
      <c r="AM30" s="23">
        <f t="shared" si="23"/>
        <v>2.8458484643862527</v>
      </c>
      <c r="AN30" s="23">
        <f t="shared" si="24"/>
        <v>2.8458484643862527</v>
      </c>
      <c r="AO30" s="23">
        <f t="shared" si="25"/>
        <v>2.8458484643862527</v>
      </c>
      <c r="AP30" s="23">
        <f t="shared" si="26"/>
        <v>2.8458484643862527</v>
      </c>
      <c r="AQ30" s="23">
        <f t="shared" si="27"/>
        <v>2.8458484643862527</v>
      </c>
      <c r="AR30" s="23">
        <f t="shared" si="28"/>
        <v>2.8458484643862527</v>
      </c>
      <c r="AS30" s="23">
        <f t="shared" si="29"/>
        <v>2.8458484643862527</v>
      </c>
      <c r="AT30" s="24"/>
      <c r="AU30" s="397">
        <v>2012</v>
      </c>
      <c r="AV30" s="567">
        <v>0.15164</v>
      </c>
      <c r="AW30" s="415" t="s">
        <v>264</v>
      </c>
      <c r="BB30" s="25" t="s">
        <v>22725</v>
      </c>
      <c r="BC30" s="1913">
        <v>1.7999999999999999E-2</v>
      </c>
      <c r="BD30" s="1788"/>
      <c r="BE30" s="1086" t="s">
        <v>22725</v>
      </c>
      <c r="BF30" s="1914">
        <f>+TT_parametri!$BC$30</f>
        <v>1.7999999999999999E-2</v>
      </c>
      <c r="BL30" s="1137"/>
      <c r="BM30"/>
      <c r="BN30" s="10"/>
      <c r="BO30" s="10"/>
    </row>
    <row r="31" spans="1:71">
      <c r="A31" s="407">
        <v>1985</v>
      </c>
      <c r="B31" s="408">
        <v>2.3069999999999999</v>
      </c>
      <c r="C31" s="408">
        <v>2.3690000000000002</v>
      </c>
      <c r="D31" s="22">
        <v>2.3969999999999998</v>
      </c>
      <c r="E31" s="22">
        <v>2.395030572</v>
      </c>
      <c r="F31" s="23">
        <v>2.4046106942879999</v>
      </c>
      <c r="G31" s="23">
        <f t="shared" si="30"/>
        <v>2.4118245263708635</v>
      </c>
      <c r="H31" s="23">
        <f t="shared" si="30"/>
        <v>2.4070008773181217</v>
      </c>
      <c r="I31" s="23">
        <f t="shared" si="30"/>
        <v>2.4166288808273944</v>
      </c>
      <c r="J31" s="23">
        <f t="shared" si="31"/>
        <v>2.4335452829931858</v>
      </c>
      <c r="K31" s="23">
        <f t="shared" si="32"/>
        <v>2.4457130094081516</v>
      </c>
      <c r="L31" s="23">
        <f t="shared" si="32"/>
        <v>2.455495861445784</v>
      </c>
      <c r="M31" s="23">
        <f t="shared" si="32"/>
        <v>2.5389827207349409</v>
      </c>
      <c r="N31" s="23">
        <f t="shared" si="32"/>
        <v>2.6100742369155192</v>
      </c>
      <c r="O31" s="23">
        <f t="shared" si="34"/>
        <v>2.6074641626786037</v>
      </c>
      <c r="P31" s="23">
        <f t="shared" si="34"/>
        <v>2.610071626841282</v>
      </c>
      <c r="Q31" s="23">
        <f t="shared" si="1"/>
        <v>2.610071626841282</v>
      </c>
      <c r="R31" s="23">
        <f t="shared" si="2"/>
        <v>2.610071626841282</v>
      </c>
      <c r="S31" s="23">
        <f t="shared" si="3"/>
        <v>2.610071626841282</v>
      </c>
      <c r="T31" s="23">
        <f t="shared" si="4"/>
        <v>2.610071626841282</v>
      </c>
      <c r="U31" s="23">
        <f t="shared" si="5"/>
        <v>2.610071626841282</v>
      </c>
      <c r="V31" s="23">
        <f t="shared" si="6"/>
        <v>2.610071626841282</v>
      </c>
      <c r="W31" s="23">
        <f t="shared" si="7"/>
        <v>2.610071626841282</v>
      </c>
      <c r="X31" s="23">
        <f t="shared" si="8"/>
        <v>2.610071626841282</v>
      </c>
      <c r="Y31" s="23">
        <f t="shared" si="9"/>
        <v>2.610071626841282</v>
      </c>
      <c r="Z31" s="23">
        <f t="shared" si="10"/>
        <v>2.610071626841282</v>
      </c>
      <c r="AA31" s="23">
        <f t="shared" si="11"/>
        <v>2.610071626841282</v>
      </c>
      <c r="AB31" s="23">
        <f t="shared" si="12"/>
        <v>2.610071626841282</v>
      </c>
      <c r="AC31" s="23">
        <f t="shared" si="13"/>
        <v>2.610071626841282</v>
      </c>
      <c r="AD31" s="23">
        <f t="shared" si="14"/>
        <v>2.610071626841282</v>
      </c>
      <c r="AE31" s="23">
        <f t="shared" si="15"/>
        <v>2.610071626841282</v>
      </c>
      <c r="AF31" s="23">
        <f t="shared" si="16"/>
        <v>2.610071626841282</v>
      </c>
      <c r="AG31" s="23">
        <f t="shared" si="17"/>
        <v>2.610071626841282</v>
      </c>
      <c r="AH31" s="23">
        <f t="shared" si="18"/>
        <v>2.610071626841282</v>
      </c>
      <c r="AI31" s="23">
        <f t="shared" si="19"/>
        <v>2.610071626841282</v>
      </c>
      <c r="AJ31" s="23">
        <f t="shared" si="20"/>
        <v>2.610071626841282</v>
      </c>
      <c r="AK31" s="23">
        <f t="shared" si="21"/>
        <v>2.610071626841282</v>
      </c>
      <c r="AL31" s="23">
        <f t="shared" si="22"/>
        <v>2.610071626841282</v>
      </c>
      <c r="AM31" s="23">
        <f t="shared" si="23"/>
        <v>2.610071626841282</v>
      </c>
      <c r="AN31" s="23">
        <f t="shared" si="24"/>
        <v>2.610071626841282</v>
      </c>
      <c r="AO31" s="23">
        <f t="shared" si="25"/>
        <v>2.610071626841282</v>
      </c>
      <c r="AP31" s="23">
        <f t="shared" si="26"/>
        <v>2.610071626841282</v>
      </c>
      <c r="AQ31" s="23">
        <f t="shared" si="27"/>
        <v>2.610071626841282</v>
      </c>
      <c r="AR31" s="23">
        <f t="shared" si="28"/>
        <v>2.610071626841282</v>
      </c>
      <c r="AS31" s="23">
        <f t="shared" si="29"/>
        <v>2.610071626841282</v>
      </c>
      <c r="AT31" s="24"/>
      <c r="AU31" s="397">
        <v>2013</v>
      </c>
      <c r="AV31" s="567">
        <v>0.15164</v>
      </c>
      <c r="AW31" s="415" t="s">
        <v>264</v>
      </c>
      <c r="BB31" s="25" t="s">
        <v>22706</v>
      </c>
      <c r="BC31" s="910">
        <v>0.79</v>
      </c>
      <c r="BE31" s="1086" t="s">
        <v>22706</v>
      </c>
      <c r="BF31" s="1916">
        <f>+TT_parametri!$BC$31</f>
        <v>0.79</v>
      </c>
      <c r="BL31"/>
      <c r="BM31"/>
      <c r="BN31" s="10"/>
      <c r="BO31" s="10"/>
    </row>
    <row r="32" spans="1:71">
      <c r="A32" s="407">
        <v>1986</v>
      </c>
      <c r="B32" s="408">
        <v>2.222</v>
      </c>
      <c r="C32" s="408">
        <v>2.2810000000000001</v>
      </c>
      <c r="D32" s="22">
        <v>2.3079999999999998</v>
      </c>
      <c r="E32" s="22">
        <v>2.3060636280000004</v>
      </c>
      <c r="F32" s="23">
        <v>2.3152878825120005</v>
      </c>
      <c r="G32" s="23">
        <f t="shared" si="30"/>
        <v>2.3222337461595361</v>
      </c>
      <c r="H32" s="23">
        <f t="shared" si="30"/>
        <v>2.3175892786672172</v>
      </c>
      <c r="I32" s="23">
        <f t="shared" si="30"/>
        <v>2.326859635781886</v>
      </c>
      <c r="J32" s="23">
        <f t="shared" si="31"/>
        <v>2.343147653232359</v>
      </c>
      <c r="K32" s="23">
        <f t="shared" si="32"/>
        <v>2.3548633914985206</v>
      </c>
      <c r="L32" s="23">
        <f t="shared" si="32"/>
        <v>2.3642828450645146</v>
      </c>
      <c r="M32" s="23">
        <f t="shared" si="32"/>
        <v>2.444668461796708</v>
      </c>
      <c r="N32" s="23">
        <f t="shared" si="32"/>
        <v>2.513119178727016</v>
      </c>
      <c r="O32" s="23">
        <f t="shared" si="34"/>
        <v>2.5106060595482891</v>
      </c>
      <c r="P32" s="23">
        <f t="shared" si="34"/>
        <v>2.513116665607837</v>
      </c>
      <c r="Q32" s="23">
        <f t="shared" si="1"/>
        <v>2.513116665607837</v>
      </c>
      <c r="R32" s="23">
        <f t="shared" si="2"/>
        <v>2.513116665607837</v>
      </c>
      <c r="S32" s="23">
        <f t="shared" si="3"/>
        <v>2.513116665607837</v>
      </c>
      <c r="T32" s="23">
        <f t="shared" si="4"/>
        <v>2.513116665607837</v>
      </c>
      <c r="U32" s="23">
        <f t="shared" si="5"/>
        <v>2.513116665607837</v>
      </c>
      <c r="V32" s="23">
        <f t="shared" si="6"/>
        <v>2.513116665607837</v>
      </c>
      <c r="W32" s="23">
        <f t="shared" si="7"/>
        <v>2.513116665607837</v>
      </c>
      <c r="X32" s="23">
        <f t="shared" si="8"/>
        <v>2.513116665607837</v>
      </c>
      <c r="Y32" s="23">
        <f t="shared" si="9"/>
        <v>2.513116665607837</v>
      </c>
      <c r="Z32" s="23">
        <f t="shared" si="10"/>
        <v>2.513116665607837</v>
      </c>
      <c r="AA32" s="23">
        <f t="shared" si="11"/>
        <v>2.513116665607837</v>
      </c>
      <c r="AB32" s="23">
        <f t="shared" si="12"/>
        <v>2.513116665607837</v>
      </c>
      <c r="AC32" s="23">
        <f t="shared" si="13"/>
        <v>2.513116665607837</v>
      </c>
      <c r="AD32" s="23">
        <f t="shared" si="14"/>
        <v>2.513116665607837</v>
      </c>
      <c r="AE32" s="23">
        <f t="shared" si="15"/>
        <v>2.513116665607837</v>
      </c>
      <c r="AF32" s="23">
        <f t="shared" si="16"/>
        <v>2.513116665607837</v>
      </c>
      <c r="AG32" s="23">
        <f t="shared" si="17"/>
        <v>2.513116665607837</v>
      </c>
      <c r="AH32" s="23">
        <f t="shared" si="18"/>
        <v>2.513116665607837</v>
      </c>
      <c r="AI32" s="23">
        <f t="shared" si="19"/>
        <v>2.513116665607837</v>
      </c>
      <c r="AJ32" s="23">
        <f t="shared" si="20"/>
        <v>2.513116665607837</v>
      </c>
      <c r="AK32" s="23">
        <f t="shared" si="21"/>
        <v>2.513116665607837</v>
      </c>
      <c r="AL32" s="23">
        <f t="shared" si="22"/>
        <v>2.513116665607837</v>
      </c>
      <c r="AM32" s="23">
        <f t="shared" si="23"/>
        <v>2.513116665607837</v>
      </c>
      <c r="AN32" s="23">
        <f t="shared" si="24"/>
        <v>2.513116665607837</v>
      </c>
      <c r="AO32" s="23">
        <f t="shared" si="25"/>
        <v>2.513116665607837</v>
      </c>
      <c r="AP32" s="23">
        <f t="shared" si="26"/>
        <v>2.513116665607837</v>
      </c>
      <c r="AQ32" s="23">
        <f t="shared" si="27"/>
        <v>2.513116665607837</v>
      </c>
      <c r="AR32" s="23">
        <f t="shared" si="28"/>
        <v>2.513116665607837</v>
      </c>
      <c r="AS32" s="23">
        <f t="shared" si="29"/>
        <v>2.513116665607837</v>
      </c>
      <c r="AT32" s="24"/>
      <c r="AU32" s="397">
        <v>2014</v>
      </c>
      <c r="AV32" s="567">
        <v>0.16739999999999999</v>
      </c>
      <c r="AW32" s="415" t="s">
        <v>264</v>
      </c>
      <c r="BB32" s="25" t="s">
        <v>22707</v>
      </c>
      <c r="BC32" s="1092">
        <v>3.1E-2</v>
      </c>
      <c r="BE32" s="1086" t="s">
        <v>22707</v>
      </c>
      <c r="BF32" s="1914">
        <f>+TT_parametri!$BC$32</f>
        <v>3.1E-2</v>
      </c>
      <c r="BK32"/>
      <c r="BL32"/>
      <c r="BM32"/>
      <c r="BN32" s="10"/>
      <c r="BO32" s="10"/>
    </row>
    <row r="33" spans="1:67">
      <c r="A33" s="407">
        <v>1987</v>
      </c>
      <c r="B33" s="408">
        <v>2.1280000000000001</v>
      </c>
      <c r="C33" s="408">
        <v>2.1859999999999999</v>
      </c>
      <c r="D33" s="22">
        <v>2.2120000000000002</v>
      </c>
      <c r="E33" s="22">
        <v>2.2100197679999996</v>
      </c>
      <c r="F33" s="23">
        <v>2.2188598470719993</v>
      </c>
      <c r="G33" s="23">
        <f t="shared" si="30"/>
        <v>2.2255164266132152</v>
      </c>
      <c r="H33" s="23">
        <f t="shared" si="30"/>
        <v>2.2210653937599889</v>
      </c>
      <c r="I33" s="23">
        <f t="shared" si="30"/>
        <v>2.2299496553350289</v>
      </c>
      <c r="J33" s="23">
        <f t="shared" si="31"/>
        <v>2.2455593029223739</v>
      </c>
      <c r="K33" s="23">
        <f t="shared" si="32"/>
        <v>2.2567870994369854</v>
      </c>
      <c r="L33" s="23">
        <f t="shared" si="32"/>
        <v>2.2658142478347334</v>
      </c>
      <c r="M33" s="23">
        <f t="shared" si="32"/>
        <v>2.3428519322611145</v>
      </c>
      <c r="N33" s="23">
        <f t="shared" si="32"/>
        <v>2.4084517863644259</v>
      </c>
      <c r="O33" s="23">
        <f t="shared" si="34"/>
        <v>2.4060433345780616</v>
      </c>
      <c r="P33" s="23">
        <f t="shared" si="34"/>
        <v>2.4084493779126395</v>
      </c>
      <c r="Q33" s="23">
        <f t="shared" si="1"/>
        <v>2.4084493779126395</v>
      </c>
      <c r="R33" s="23">
        <f t="shared" si="2"/>
        <v>2.4084493779126395</v>
      </c>
      <c r="S33" s="23">
        <f t="shared" si="3"/>
        <v>2.4084493779126395</v>
      </c>
      <c r="T33" s="23">
        <f t="shared" si="4"/>
        <v>2.4084493779126395</v>
      </c>
      <c r="U33" s="23">
        <f t="shared" si="5"/>
        <v>2.4084493779126395</v>
      </c>
      <c r="V33" s="23">
        <f t="shared" si="6"/>
        <v>2.4084493779126395</v>
      </c>
      <c r="W33" s="23">
        <f t="shared" si="7"/>
        <v>2.4084493779126395</v>
      </c>
      <c r="X33" s="23">
        <f t="shared" si="8"/>
        <v>2.4084493779126395</v>
      </c>
      <c r="Y33" s="23">
        <f t="shared" si="9"/>
        <v>2.4084493779126395</v>
      </c>
      <c r="Z33" s="23">
        <f t="shared" si="10"/>
        <v>2.4084493779126395</v>
      </c>
      <c r="AA33" s="23">
        <f t="shared" si="11"/>
        <v>2.4084493779126395</v>
      </c>
      <c r="AB33" s="23">
        <f t="shared" si="12"/>
        <v>2.4084493779126395</v>
      </c>
      <c r="AC33" s="23">
        <f t="shared" si="13"/>
        <v>2.4084493779126395</v>
      </c>
      <c r="AD33" s="23">
        <f t="shared" si="14"/>
        <v>2.4084493779126395</v>
      </c>
      <c r="AE33" s="23">
        <f t="shared" si="15"/>
        <v>2.4084493779126395</v>
      </c>
      <c r="AF33" s="23">
        <f t="shared" si="16"/>
        <v>2.4084493779126395</v>
      </c>
      <c r="AG33" s="23">
        <f t="shared" si="17"/>
        <v>2.4084493779126395</v>
      </c>
      <c r="AH33" s="23">
        <f t="shared" si="18"/>
        <v>2.4084493779126395</v>
      </c>
      <c r="AI33" s="23">
        <f t="shared" si="19"/>
        <v>2.4084493779126395</v>
      </c>
      <c r="AJ33" s="23">
        <f t="shared" si="20"/>
        <v>2.4084493779126395</v>
      </c>
      <c r="AK33" s="23">
        <f t="shared" si="21"/>
        <v>2.4084493779126395</v>
      </c>
      <c r="AL33" s="23">
        <f t="shared" si="22"/>
        <v>2.4084493779126395</v>
      </c>
      <c r="AM33" s="23">
        <f t="shared" si="23"/>
        <v>2.4084493779126395</v>
      </c>
      <c r="AN33" s="23">
        <f t="shared" si="24"/>
        <v>2.4084493779126395</v>
      </c>
      <c r="AO33" s="23">
        <f t="shared" si="25"/>
        <v>2.4084493779126395</v>
      </c>
      <c r="AP33" s="23">
        <f t="shared" si="26"/>
        <v>2.4084493779126395</v>
      </c>
      <c r="AQ33" s="23">
        <f t="shared" si="27"/>
        <v>2.4084493779126395</v>
      </c>
      <c r="AR33" s="23">
        <f t="shared" si="28"/>
        <v>2.4084493779126395</v>
      </c>
      <c r="AS33" s="23">
        <f t="shared" si="29"/>
        <v>2.4084493779126395</v>
      </c>
      <c r="AT33" s="24"/>
      <c r="AU33" s="397">
        <v>2015</v>
      </c>
      <c r="AV33" s="567">
        <v>0.16739999999999999</v>
      </c>
      <c r="AW33" s="415" t="s">
        <v>264</v>
      </c>
      <c r="BB33" s="25" t="s">
        <v>2</v>
      </c>
      <c r="BC33" s="1092">
        <f>+BC43</f>
        <v>1.9E-2</v>
      </c>
      <c r="BE33" s="1086" t="s">
        <v>2</v>
      </c>
      <c r="BF33" s="1914">
        <f>+TT_parametri!$BC$33</f>
        <v>1.9E-2</v>
      </c>
      <c r="BL33"/>
      <c r="BM33"/>
      <c r="BN33" s="10"/>
      <c r="BO33" s="10"/>
    </row>
    <row r="34" spans="1:67">
      <c r="A34" s="407">
        <v>1988</v>
      </c>
      <c r="B34" s="408">
        <v>2.016</v>
      </c>
      <c r="C34" s="408">
        <v>2.0710000000000002</v>
      </c>
      <c r="D34" s="22">
        <v>2.0960000000000001</v>
      </c>
      <c r="E34" s="22">
        <v>2.0937561480000002</v>
      </c>
      <c r="F34" s="23">
        <v>2.1021311725920002</v>
      </c>
      <c r="G34" s="23">
        <f t="shared" si="30"/>
        <v>2.1084375661097758</v>
      </c>
      <c r="H34" s="23">
        <f t="shared" si="30"/>
        <v>2.1042206909775563</v>
      </c>
      <c r="I34" s="23">
        <f t="shared" si="30"/>
        <v>2.1126375737414667</v>
      </c>
      <c r="J34" s="23">
        <f t="shared" si="31"/>
        <v>2.1274260367576567</v>
      </c>
      <c r="K34" s="23">
        <f t="shared" si="32"/>
        <v>2.1380631669414449</v>
      </c>
      <c r="L34" s="23">
        <f t="shared" si="32"/>
        <v>2.1466154196092107</v>
      </c>
      <c r="M34" s="23">
        <f t="shared" si="32"/>
        <v>2.219600343875924</v>
      </c>
      <c r="N34" s="23">
        <f t="shared" si="32"/>
        <v>2.2817491535044501</v>
      </c>
      <c r="O34" s="23">
        <f t="shared" si="34"/>
        <v>2.2794674043509455</v>
      </c>
      <c r="P34" s="23">
        <f t="shared" si="34"/>
        <v>2.281746871755296</v>
      </c>
      <c r="Q34" s="23">
        <f t="shared" si="1"/>
        <v>2.281746871755296</v>
      </c>
      <c r="R34" s="23">
        <f t="shared" si="2"/>
        <v>2.281746871755296</v>
      </c>
      <c r="S34" s="23">
        <f t="shared" si="3"/>
        <v>2.281746871755296</v>
      </c>
      <c r="T34" s="23">
        <f t="shared" si="4"/>
        <v>2.281746871755296</v>
      </c>
      <c r="U34" s="23">
        <f t="shared" si="5"/>
        <v>2.281746871755296</v>
      </c>
      <c r="V34" s="23">
        <f t="shared" si="6"/>
        <v>2.281746871755296</v>
      </c>
      <c r="W34" s="23">
        <f t="shared" si="7"/>
        <v>2.281746871755296</v>
      </c>
      <c r="X34" s="23">
        <f t="shared" si="8"/>
        <v>2.281746871755296</v>
      </c>
      <c r="Y34" s="23">
        <f t="shared" si="9"/>
        <v>2.281746871755296</v>
      </c>
      <c r="Z34" s="23">
        <f t="shared" si="10"/>
        <v>2.281746871755296</v>
      </c>
      <c r="AA34" s="23">
        <f t="shared" si="11"/>
        <v>2.281746871755296</v>
      </c>
      <c r="AB34" s="23">
        <f t="shared" si="12"/>
        <v>2.281746871755296</v>
      </c>
      <c r="AC34" s="23">
        <f t="shared" si="13"/>
        <v>2.281746871755296</v>
      </c>
      <c r="AD34" s="23">
        <f t="shared" si="14"/>
        <v>2.281746871755296</v>
      </c>
      <c r="AE34" s="23">
        <f t="shared" si="15"/>
        <v>2.281746871755296</v>
      </c>
      <c r="AF34" s="23">
        <f t="shared" si="16"/>
        <v>2.281746871755296</v>
      </c>
      <c r="AG34" s="23">
        <f t="shared" si="17"/>
        <v>2.281746871755296</v>
      </c>
      <c r="AH34" s="23">
        <f t="shared" si="18"/>
        <v>2.281746871755296</v>
      </c>
      <c r="AI34" s="23">
        <f t="shared" si="19"/>
        <v>2.281746871755296</v>
      </c>
      <c r="AJ34" s="23">
        <f t="shared" si="20"/>
        <v>2.281746871755296</v>
      </c>
      <c r="AK34" s="23">
        <f t="shared" si="21"/>
        <v>2.281746871755296</v>
      </c>
      <c r="AL34" s="23">
        <f t="shared" si="22"/>
        <v>2.281746871755296</v>
      </c>
      <c r="AM34" s="23">
        <f t="shared" si="23"/>
        <v>2.281746871755296</v>
      </c>
      <c r="AN34" s="23">
        <f t="shared" si="24"/>
        <v>2.281746871755296</v>
      </c>
      <c r="AO34" s="23">
        <f t="shared" si="25"/>
        <v>2.281746871755296</v>
      </c>
      <c r="AP34" s="23">
        <f t="shared" si="26"/>
        <v>2.281746871755296</v>
      </c>
      <c r="AQ34" s="23">
        <f t="shared" si="27"/>
        <v>2.281746871755296</v>
      </c>
      <c r="AR34" s="23">
        <f t="shared" si="28"/>
        <v>2.281746871755296</v>
      </c>
      <c r="AS34" s="23">
        <f t="shared" si="29"/>
        <v>2.281746871755296</v>
      </c>
      <c r="AT34" s="24"/>
      <c r="AU34" s="397">
        <v>2016</v>
      </c>
      <c r="AV34" s="1125">
        <v>0.1585</v>
      </c>
      <c r="AW34" s="415" t="s">
        <v>264</v>
      </c>
      <c r="BB34" s="25" t="s">
        <v>22708</v>
      </c>
      <c r="BC34" s="1091">
        <v>0.24</v>
      </c>
      <c r="BE34" s="1086" t="s">
        <v>22708</v>
      </c>
      <c r="BF34" s="1914">
        <f>+TT_parametri!$BC$34</f>
        <v>0.24</v>
      </c>
      <c r="BK34"/>
      <c r="BL34"/>
      <c r="BM34"/>
      <c r="BN34" s="10"/>
      <c r="BO34" s="10"/>
    </row>
    <row r="35" spans="1:67">
      <c r="A35" s="407">
        <v>1989</v>
      </c>
      <c r="B35" s="408">
        <v>1.913</v>
      </c>
      <c r="C35" s="408">
        <v>1.964</v>
      </c>
      <c r="D35" s="22">
        <v>1.988</v>
      </c>
      <c r="E35" s="22">
        <v>1.9855804319999999</v>
      </c>
      <c r="F35" s="23">
        <v>1.9935227537279998</v>
      </c>
      <c r="G35" s="23">
        <f t="shared" si="30"/>
        <v>1.9995033219891836</v>
      </c>
      <c r="H35" s="23">
        <f t="shared" si="30"/>
        <v>1.9955043153452052</v>
      </c>
      <c r="I35" s="23">
        <f t="shared" si="30"/>
        <v>2.0034863326065859</v>
      </c>
      <c r="J35" s="23">
        <f t="shared" si="31"/>
        <v>2.017510736934832</v>
      </c>
      <c r="K35" s="23">
        <f t="shared" si="32"/>
        <v>2.027598290619506</v>
      </c>
      <c r="L35" s="23">
        <f t="shared" si="32"/>
        <v>2.035708683781984</v>
      </c>
      <c r="M35" s="23">
        <f t="shared" si="32"/>
        <v>2.1049227790305713</v>
      </c>
      <c r="N35" s="23">
        <f t="shared" si="32"/>
        <v>2.1638606168434276</v>
      </c>
      <c r="O35" s="23">
        <f t="shared" si="34"/>
        <v>2.1616967562265841</v>
      </c>
      <c r="P35" s="23">
        <f t="shared" si="34"/>
        <v>2.1638584529828102</v>
      </c>
      <c r="Q35" s="23">
        <f t="shared" si="1"/>
        <v>2.1638584529828102</v>
      </c>
      <c r="R35" s="23">
        <f t="shared" si="2"/>
        <v>2.1638584529828102</v>
      </c>
      <c r="S35" s="23">
        <f t="shared" si="3"/>
        <v>2.1638584529828102</v>
      </c>
      <c r="T35" s="23">
        <f t="shared" si="4"/>
        <v>2.1638584529828102</v>
      </c>
      <c r="U35" s="23">
        <f t="shared" si="5"/>
        <v>2.1638584529828102</v>
      </c>
      <c r="V35" s="23">
        <f t="shared" si="6"/>
        <v>2.1638584529828102</v>
      </c>
      <c r="W35" s="23">
        <f t="shared" si="7"/>
        <v>2.1638584529828102</v>
      </c>
      <c r="X35" s="23">
        <f t="shared" si="8"/>
        <v>2.1638584529828102</v>
      </c>
      <c r="Y35" s="23">
        <f t="shared" si="9"/>
        <v>2.1638584529828102</v>
      </c>
      <c r="Z35" s="23">
        <f t="shared" si="10"/>
        <v>2.1638584529828102</v>
      </c>
      <c r="AA35" s="23">
        <f t="shared" si="11"/>
        <v>2.1638584529828102</v>
      </c>
      <c r="AB35" s="23">
        <f t="shared" si="12"/>
        <v>2.1638584529828102</v>
      </c>
      <c r="AC35" s="23">
        <f t="shared" si="13"/>
        <v>2.1638584529828102</v>
      </c>
      <c r="AD35" s="23">
        <f t="shared" si="14"/>
        <v>2.1638584529828102</v>
      </c>
      <c r="AE35" s="23">
        <f t="shared" si="15"/>
        <v>2.1638584529828102</v>
      </c>
      <c r="AF35" s="23">
        <f t="shared" si="16"/>
        <v>2.1638584529828102</v>
      </c>
      <c r="AG35" s="23">
        <f t="shared" si="17"/>
        <v>2.1638584529828102</v>
      </c>
      <c r="AH35" s="23">
        <f t="shared" si="18"/>
        <v>2.1638584529828102</v>
      </c>
      <c r="AI35" s="23">
        <f t="shared" si="19"/>
        <v>2.1638584529828102</v>
      </c>
      <c r="AJ35" s="23">
        <f t="shared" si="20"/>
        <v>2.1638584529828102</v>
      </c>
      <c r="AK35" s="23">
        <f t="shared" si="21"/>
        <v>2.1638584529828102</v>
      </c>
      <c r="AL35" s="23">
        <f t="shared" si="22"/>
        <v>2.1638584529828102</v>
      </c>
      <c r="AM35" s="23">
        <f t="shared" si="23"/>
        <v>2.1638584529828102</v>
      </c>
      <c r="AN35" s="23">
        <f t="shared" si="24"/>
        <v>2.1638584529828102</v>
      </c>
      <c r="AO35" s="23">
        <f t="shared" si="25"/>
        <v>2.1638584529828102</v>
      </c>
      <c r="AP35" s="23">
        <f t="shared" si="26"/>
        <v>2.1638584529828102</v>
      </c>
      <c r="AQ35" s="23">
        <f t="shared" si="27"/>
        <v>2.1638584529828102</v>
      </c>
      <c r="AR35" s="23">
        <f t="shared" si="28"/>
        <v>2.1638584529828102</v>
      </c>
      <c r="AS35" s="23">
        <f t="shared" si="29"/>
        <v>2.1638584529828102</v>
      </c>
      <c r="AT35" s="24"/>
      <c r="AU35" s="397">
        <v>2017</v>
      </c>
      <c r="AV35" s="1125">
        <v>0.1585</v>
      </c>
      <c r="AW35" s="415" t="s">
        <v>264</v>
      </c>
      <c r="BB35" s="25" t="s">
        <v>22709</v>
      </c>
      <c r="BC35" s="1092">
        <v>0.31900000000000001</v>
      </c>
      <c r="BE35" s="1086" t="s">
        <v>22709</v>
      </c>
      <c r="BF35" s="1914">
        <f>+TT_parametri!$BC$35</f>
        <v>0.31900000000000001</v>
      </c>
      <c r="BJ35" s="10"/>
      <c r="BK35"/>
      <c r="BL35"/>
      <c r="BM35"/>
      <c r="BN35" s="10"/>
      <c r="BO35" s="10"/>
    </row>
    <row r="36" spans="1:67" ht="15.75">
      <c r="A36" s="407">
        <v>1990</v>
      </c>
      <c r="B36" s="408">
        <v>1.794</v>
      </c>
      <c r="C36" s="408">
        <v>1.8420000000000001</v>
      </c>
      <c r="D36" s="22">
        <v>1.8640000000000001</v>
      </c>
      <c r="E36" s="22">
        <v>1.8622398960000002</v>
      </c>
      <c r="F36" s="23">
        <v>1.8696888555840001</v>
      </c>
      <c r="G36" s="23">
        <f t="shared" si="30"/>
        <v>1.875297922150752</v>
      </c>
      <c r="H36" s="23">
        <f t="shared" si="30"/>
        <v>1.8715473263064504</v>
      </c>
      <c r="I36" s="23">
        <f t="shared" si="30"/>
        <v>1.8790335156116762</v>
      </c>
      <c r="J36" s="23">
        <f t="shared" si="31"/>
        <v>1.8921867502209577</v>
      </c>
      <c r="K36" s="23">
        <f t="shared" si="32"/>
        <v>1.9016476839720624</v>
      </c>
      <c r="L36" s="23">
        <f t="shared" si="32"/>
        <v>1.9092542747079506</v>
      </c>
      <c r="M36" s="23">
        <f t="shared" si="32"/>
        <v>1.974168920048021</v>
      </c>
      <c r="N36" s="23">
        <f t="shared" si="32"/>
        <v>2.0294456498093658</v>
      </c>
      <c r="O36" s="23">
        <f t="shared" si="34"/>
        <v>2.0274162041595565</v>
      </c>
      <c r="P36" s="23">
        <f t="shared" si="34"/>
        <v>2.0294436203637156</v>
      </c>
      <c r="Q36" s="23">
        <f t="shared" si="1"/>
        <v>2.0294436203637156</v>
      </c>
      <c r="R36" s="23">
        <f t="shared" si="2"/>
        <v>2.0294436203637156</v>
      </c>
      <c r="S36" s="23">
        <f t="shared" si="3"/>
        <v>2.0294436203637156</v>
      </c>
      <c r="T36" s="23">
        <f t="shared" si="4"/>
        <v>2.0294436203637156</v>
      </c>
      <c r="U36" s="23">
        <f t="shared" si="5"/>
        <v>2.0294436203637156</v>
      </c>
      <c r="V36" s="23">
        <f t="shared" si="6"/>
        <v>2.0294436203637156</v>
      </c>
      <c r="W36" s="23">
        <f t="shared" si="7"/>
        <v>2.0294436203637156</v>
      </c>
      <c r="X36" s="23">
        <f t="shared" si="8"/>
        <v>2.0294436203637156</v>
      </c>
      <c r="Y36" s="23">
        <f t="shared" si="9"/>
        <v>2.0294436203637156</v>
      </c>
      <c r="Z36" s="23">
        <f t="shared" si="10"/>
        <v>2.0294436203637156</v>
      </c>
      <c r="AA36" s="23">
        <f t="shared" si="11"/>
        <v>2.0294436203637156</v>
      </c>
      <c r="AB36" s="23">
        <f t="shared" si="12"/>
        <v>2.0294436203637156</v>
      </c>
      <c r="AC36" s="23">
        <f t="shared" si="13"/>
        <v>2.0294436203637156</v>
      </c>
      <c r="AD36" s="23">
        <f t="shared" si="14"/>
        <v>2.0294436203637156</v>
      </c>
      <c r="AE36" s="23">
        <f t="shared" si="15"/>
        <v>2.0294436203637156</v>
      </c>
      <c r="AF36" s="23">
        <f t="shared" si="16"/>
        <v>2.0294436203637156</v>
      </c>
      <c r="AG36" s="23">
        <f t="shared" si="17"/>
        <v>2.0294436203637156</v>
      </c>
      <c r="AH36" s="23">
        <f t="shared" si="18"/>
        <v>2.0294436203637156</v>
      </c>
      <c r="AI36" s="23">
        <f t="shared" si="19"/>
        <v>2.0294436203637156</v>
      </c>
      <c r="AJ36" s="23">
        <f t="shared" si="20"/>
        <v>2.0294436203637156</v>
      </c>
      <c r="AK36" s="23">
        <f t="shared" si="21"/>
        <v>2.0294436203637156</v>
      </c>
      <c r="AL36" s="23">
        <f t="shared" si="22"/>
        <v>2.0294436203637156</v>
      </c>
      <c r="AM36" s="23">
        <f t="shared" si="23"/>
        <v>2.0294436203637156</v>
      </c>
      <c r="AN36" s="23">
        <f t="shared" si="24"/>
        <v>2.0294436203637156</v>
      </c>
      <c r="AO36" s="23">
        <f t="shared" si="25"/>
        <v>2.0294436203637156</v>
      </c>
      <c r="AP36" s="23">
        <f t="shared" si="26"/>
        <v>2.0294436203637156</v>
      </c>
      <c r="AQ36" s="23">
        <f t="shared" si="27"/>
        <v>2.0294436203637156</v>
      </c>
      <c r="AR36" s="23">
        <f t="shared" si="28"/>
        <v>2.0294436203637156</v>
      </c>
      <c r="AS36" s="23">
        <f t="shared" si="29"/>
        <v>2.0294436203637156</v>
      </c>
      <c r="AT36" s="24"/>
      <c r="AU36" s="397">
        <v>2018</v>
      </c>
      <c r="AV36" s="1125">
        <v>0.14729999999999999</v>
      </c>
      <c r="AW36" s="415" t="s">
        <v>264</v>
      </c>
      <c r="AX36" s="19"/>
      <c r="BB36" s="25" t="s">
        <v>22710</v>
      </c>
      <c r="BC36" s="1090">
        <v>0.01</v>
      </c>
      <c r="BE36" s="1086" t="s">
        <v>26756</v>
      </c>
      <c r="BF36" s="713">
        <f>+((1/(1+$BF$27))*($BF$28+$BF$30))+($BF$29*(1-$BF$34)*($BF$27/(1+$BF$27)))</f>
        <v>3.1050000000000001E-2</v>
      </c>
      <c r="BI36" s="10"/>
      <c r="BJ36" s="10"/>
      <c r="BK36"/>
      <c r="BL36"/>
      <c r="BM36"/>
      <c r="BN36" s="10"/>
      <c r="BO36" s="10"/>
    </row>
    <row r="37" spans="1:67">
      <c r="A37" s="407">
        <v>1991</v>
      </c>
      <c r="B37" s="408">
        <v>1.6950000000000001</v>
      </c>
      <c r="C37" s="408">
        <v>1.7410000000000001</v>
      </c>
      <c r="D37" s="22">
        <v>1.762</v>
      </c>
      <c r="E37" s="22">
        <v>1.760130108</v>
      </c>
      <c r="F37" s="23">
        <v>1.7671706284320001</v>
      </c>
      <c r="G37" s="23">
        <f t="shared" si="30"/>
        <v>1.7724721403172958</v>
      </c>
      <c r="H37" s="23">
        <f t="shared" si="30"/>
        <v>1.7689271960366613</v>
      </c>
      <c r="I37" s="23">
        <f t="shared" si="30"/>
        <v>1.7760029048208079</v>
      </c>
      <c r="J37" s="23">
        <f t="shared" si="31"/>
        <v>1.7884349251545535</v>
      </c>
      <c r="K37" s="23">
        <f t="shared" si="32"/>
        <v>1.797377099780326</v>
      </c>
      <c r="L37" s="23">
        <f t="shared" si="32"/>
        <v>1.8045666081794474</v>
      </c>
      <c r="M37" s="23">
        <f t="shared" si="32"/>
        <v>1.8659218728575486</v>
      </c>
      <c r="N37" s="23">
        <f t="shared" si="32"/>
        <v>1.91816768529756</v>
      </c>
      <c r="O37" s="23">
        <f t="shared" si="34"/>
        <v>1.9162495176122625</v>
      </c>
      <c r="P37" s="23">
        <f t="shared" si="34"/>
        <v>1.9181657671298746</v>
      </c>
      <c r="Q37" s="23">
        <f t="shared" si="1"/>
        <v>1.9181657671298746</v>
      </c>
      <c r="R37" s="23">
        <f t="shared" si="2"/>
        <v>1.9181657671298746</v>
      </c>
      <c r="S37" s="23">
        <f t="shared" si="3"/>
        <v>1.9181657671298746</v>
      </c>
      <c r="T37" s="23">
        <f t="shared" si="4"/>
        <v>1.9181657671298746</v>
      </c>
      <c r="U37" s="23">
        <f t="shared" si="5"/>
        <v>1.9181657671298746</v>
      </c>
      <c r="V37" s="23">
        <f t="shared" si="6"/>
        <v>1.9181657671298746</v>
      </c>
      <c r="W37" s="23">
        <f t="shared" si="7"/>
        <v>1.9181657671298746</v>
      </c>
      <c r="X37" s="23">
        <f t="shared" si="8"/>
        <v>1.9181657671298746</v>
      </c>
      <c r="Y37" s="23">
        <f t="shared" si="9"/>
        <v>1.9181657671298746</v>
      </c>
      <c r="Z37" s="23">
        <f t="shared" si="10"/>
        <v>1.9181657671298746</v>
      </c>
      <c r="AA37" s="23">
        <f t="shared" si="11"/>
        <v>1.9181657671298746</v>
      </c>
      <c r="AB37" s="23">
        <f t="shared" si="12"/>
        <v>1.9181657671298746</v>
      </c>
      <c r="AC37" s="23">
        <f t="shared" si="13"/>
        <v>1.9181657671298746</v>
      </c>
      <c r="AD37" s="23">
        <f t="shared" si="14"/>
        <v>1.9181657671298746</v>
      </c>
      <c r="AE37" s="23">
        <f t="shared" si="15"/>
        <v>1.9181657671298746</v>
      </c>
      <c r="AF37" s="23">
        <f t="shared" si="16"/>
        <v>1.9181657671298746</v>
      </c>
      <c r="AG37" s="23">
        <f t="shared" si="17"/>
        <v>1.9181657671298746</v>
      </c>
      <c r="AH37" s="23">
        <f t="shared" si="18"/>
        <v>1.9181657671298746</v>
      </c>
      <c r="AI37" s="23">
        <f t="shared" si="19"/>
        <v>1.9181657671298746</v>
      </c>
      <c r="AJ37" s="23">
        <f t="shared" si="20"/>
        <v>1.9181657671298746</v>
      </c>
      <c r="AK37" s="23">
        <f t="shared" si="21"/>
        <v>1.9181657671298746</v>
      </c>
      <c r="AL37" s="23">
        <f t="shared" si="22"/>
        <v>1.9181657671298746</v>
      </c>
      <c r="AM37" s="23">
        <f t="shared" si="23"/>
        <v>1.9181657671298746</v>
      </c>
      <c r="AN37" s="23">
        <f t="shared" si="24"/>
        <v>1.9181657671298746</v>
      </c>
      <c r="AO37" s="23">
        <f t="shared" si="25"/>
        <v>1.9181657671298746</v>
      </c>
      <c r="AP37" s="23">
        <f t="shared" si="26"/>
        <v>1.9181657671298746</v>
      </c>
      <c r="AQ37" s="23">
        <f t="shared" si="27"/>
        <v>1.9181657671298746</v>
      </c>
      <c r="AR37" s="23">
        <f t="shared" si="28"/>
        <v>1.9181657671298746</v>
      </c>
      <c r="AS37" s="23">
        <f t="shared" si="29"/>
        <v>1.9181657671298746</v>
      </c>
      <c r="AT37" s="24"/>
      <c r="AU37" s="397">
        <v>2019</v>
      </c>
      <c r="AV37" s="1125">
        <v>0.15970000000000001</v>
      </c>
      <c r="AW37" s="415" t="s">
        <v>264</v>
      </c>
      <c r="AX37" s="19"/>
      <c r="BE37" s="1086" t="s">
        <v>22705</v>
      </c>
      <c r="BF37" s="713">
        <f>+$BF$31*$BF$32*(1/(1+$BF$27))</f>
        <v>1.2245000000000001E-2</v>
      </c>
      <c r="BI37" s="10"/>
      <c r="BJ37" s="10"/>
      <c r="BK37"/>
      <c r="BL37"/>
      <c r="BM37"/>
      <c r="BN37" s="10"/>
      <c r="BO37" s="10"/>
    </row>
    <row r="38" spans="1:67">
      <c r="A38" s="407">
        <v>1992</v>
      </c>
      <c r="B38" s="408">
        <v>1.63</v>
      </c>
      <c r="C38" s="408">
        <v>1.6739999999999999</v>
      </c>
      <c r="D38" s="22">
        <v>1.694</v>
      </c>
      <c r="E38" s="22">
        <v>1.692393912</v>
      </c>
      <c r="F38" s="23">
        <v>1.699163487648</v>
      </c>
      <c r="G38" s="23">
        <f t="shared" si="30"/>
        <v>1.7042609781109437</v>
      </c>
      <c r="H38" s="23">
        <f t="shared" si="30"/>
        <v>1.7008524561547218</v>
      </c>
      <c r="I38" s="23">
        <f t="shared" si="30"/>
        <v>1.7076558659793406</v>
      </c>
      <c r="J38" s="23">
        <f t="shared" si="31"/>
        <v>1.7196094570411957</v>
      </c>
      <c r="K38" s="23">
        <f t="shared" si="32"/>
        <v>1.7282075043264016</v>
      </c>
      <c r="L38" s="23">
        <f t="shared" si="32"/>
        <v>1.7351203343437072</v>
      </c>
      <c r="M38" s="23">
        <f t="shared" si="32"/>
        <v>1.7941144257113932</v>
      </c>
      <c r="N38" s="23">
        <f t="shared" si="32"/>
        <v>1.8443496296313122</v>
      </c>
      <c r="O38" s="23">
        <f t="shared" si="34"/>
        <v>1.842505280001681</v>
      </c>
      <c r="P38" s="23">
        <f t="shared" si="34"/>
        <v>1.8443477852816825</v>
      </c>
      <c r="Q38" s="23">
        <f t="shared" si="1"/>
        <v>1.8443477852816825</v>
      </c>
      <c r="R38" s="23">
        <f t="shared" si="2"/>
        <v>1.8443477852816825</v>
      </c>
      <c r="S38" s="23">
        <f t="shared" si="3"/>
        <v>1.8443477852816825</v>
      </c>
      <c r="T38" s="23">
        <f t="shared" si="4"/>
        <v>1.8443477852816825</v>
      </c>
      <c r="U38" s="23">
        <f t="shared" si="5"/>
        <v>1.8443477852816825</v>
      </c>
      <c r="V38" s="23">
        <f t="shared" si="6"/>
        <v>1.8443477852816825</v>
      </c>
      <c r="W38" s="23">
        <f t="shared" si="7"/>
        <v>1.8443477852816825</v>
      </c>
      <c r="X38" s="23">
        <f t="shared" si="8"/>
        <v>1.8443477852816825</v>
      </c>
      <c r="Y38" s="23">
        <f t="shared" si="9"/>
        <v>1.8443477852816825</v>
      </c>
      <c r="Z38" s="23">
        <f t="shared" si="10"/>
        <v>1.8443477852816825</v>
      </c>
      <c r="AA38" s="23">
        <f t="shared" si="11"/>
        <v>1.8443477852816825</v>
      </c>
      <c r="AB38" s="23">
        <f t="shared" si="12"/>
        <v>1.8443477852816825</v>
      </c>
      <c r="AC38" s="23">
        <f t="shared" si="13"/>
        <v>1.8443477852816825</v>
      </c>
      <c r="AD38" s="23">
        <f t="shared" si="14"/>
        <v>1.8443477852816825</v>
      </c>
      <c r="AE38" s="23">
        <f t="shared" si="15"/>
        <v>1.8443477852816825</v>
      </c>
      <c r="AF38" s="23">
        <f t="shared" si="16"/>
        <v>1.8443477852816825</v>
      </c>
      <c r="AG38" s="23">
        <f t="shared" si="17"/>
        <v>1.8443477852816825</v>
      </c>
      <c r="AH38" s="23">
        <f t="shared" si="18"/>
        <v>1.8443477852816825</v>
      </c>
      <c r="AI38" s="23">
        <f t="shared" si="19"/>
        <v>1.8443477852816825</v>
      </c>
      <c r="AJ38" s="23">
        <f t="shared" si="20"/>
        <v>1.8443477852816825</v>
      </c>
      <c r="AK38" s="23">
        <f t="shared" si="21"/>
        <v>1.8443477852816825</v>
      </c>
      <c r="AL38" s="23">
        <f t="shared" si="22"/>
        <v>1.8443477852816825</v>
      </c>
      <c r="AM38" s="23">
        <f t="shared" si="23"/>
        <v>1.8443477852816825</v>
      </c>
      <c r="AN38" s="23">
        <f t="shared" si="24"/>
        <v>1.8443477852816825</v>
      </c>
      <c r="AO38" s="23">
        <f t="shared" si="25"/>
        <v>1.8443477852816825</v>
      </c>
      <c r="AP38" s="23">
        <f t="shared" si="26"/>
        <v>1.8443477852816825</v>
      </c>
      <c r="AQ38" s="23">
        <f t="shared" si="27"/>
        <v>1.8443477852816825</v>
      </c>
      <c r="AR38" s="23">
        <f t="shared" si="28"/>
        <v>1.8443477852816825</v>
      </c>
      <c r="AS38" s="23">
        <f t="shared" si="29"/>
        <v>1.8443477852816825</v>
      </c>
      <c r="AT38" s="24"/>
      <c r="AU38" s="397">
        <v>2020</v>
      </c>
      <c r="AV38" s="1125">
        <v>0.15429999999999999</v>
      </c>
      <c r="AW38" s="415" t="s">
        <v>264</v>
      </c>
      <c r="AX38" s="19"/>
      <c r="BC38" s="1098"/>
      <c r="BI38" s="10"/>
      <c r="BJ38" s="10"/>
      <c r="BK38"/>
      <c r="BL38"/>
      <c r="BM38"/>
      <c r="BN38" s="10"/>
      <c r="BO38" s="10"/>
    </row>
    <row r="39" spans="1:67">
      <c r="A39" s="407">
        <v>1993</v>
      </c>
      <c r="B39" s="408">
        <v>1.57</v>
      </c>
      <c r="C39" s="408">
        <v>1.6120000000000001</v>
      </c>
      <c r="D39" s="22">
        <v>1.631</v>
      </c>
      <c r="E39" s="22">
        <v>1.6297126560000001</v>
      </c>
      <c r="F39" s="23">
        <v>1.6362315066240001</v>
      </c>
      <c r="G39" s="23">
        <f t="shared" si="30"/>
        <v>1.6411402011438718</v>
      </c>
      <c r="H39" s="23">
        <f t="shared" si="30"/>
        <v>1.637857920741584</v>
      </c>
      <c r="I39" s="23">
        <f t="shared" si="30"/>
        <v>1.6444093524245502</v>
      </c>
      <c r="J39" s="23">
        <f t="shared" si="31"/>
        <v>1.655920217891522</v>
      </c>
      <c r="K39" s="23">
        <f t="shared" si="32"/>
        <v>1.6641998189809795</v>
      </c>
      <c r="L39" s="23">
        <f t="shared" si="32"/>
        <v>1.6708566182569033</v>
      </c>
      <c r="M39" s="23">
        <f t="shared" si="32"/>
        <v>1.7276657432776381</v>
      </c>
      <c r="N39" s="23">
        <f t="shared" si="32"/>
        <v>1.7760403840894121</v>
      </c>
      <c r="O39" s="23">
        <f t="shared" si="34"/>
        <v>1.7742643437053227</v>
      </c>
      <c r="P39" s="23">
        <f t="shared" si="34"/>
        <v>1.7760386080490278</v>
      </c>
      <c r="Q39" s="23">
        <f t="shared" si="1"/>
        <v>1.7760386080490278</v>
      </c>
      <c r="R39" s="23">
        <f t="shared" si="2"/>
        <v>1.7760386080490278</v>
      </c>
      <c r="S39" s="23">
        <f t="shared" si="3"/>
        <v>1.7760386080490278</v>
      </c>
      <c r="T39" s="23">
        <f t="shared" si="4"/>
        <v>1.7760386080490278</v>
      </c>
      <c r="U39" s="23">
        <f t="shared" si="5"/>
        <v>1.7760386080490278</v>
      </c>
      <c r="V39" s="23">
        <f t="shared" si="6"/>
        <v>1.7760386080490278</v>
      </c>
      <c r="W39" s="23">
        <f t="shared" si="7"/>
        <v>1.7760386080490278</v>
      </c>
      <c r="X39" s="23">
        <f t="shared" si="8"/>
        <v>1.7760386080490278</v>
      </c>
      <c r="Y39" s="23">
        <f t="shared" si="9"/>
        <v>1.7760386080490278</v>
      </c>
      <c r="Z39" s="23">
        <f t="shared" si="10"/>
        <v>1.7760386080490278</v>
      </c>
      <c r="AA39" s="23">
        <f t="shared" si="11"/>
        <v>1.7760386080490278</v>
      </c>
      <c r="AB39" s="23">
        <f t="shared" si="12"/>
        <v>1.7760386080490278</v>
      </c>
      <c r="AC39" s="23">
        <f t="shared" si="13"/>
        <v>1.7760386080490278</v>
      </c>
      <c r="AD39" s="23">
        <f t="shared" si="14"/>
        <v>1.7760386080490278</v>
      </c>
      <c r="AE39" s="23">
        <f t="shared" si="15"/>
        <v>1.7760386080490278</v>
      </c>
      <c r="AF39" s="23">
        <f t="shared" si="16"/>
        <v>1.7760386080490278</v>
      </c>
      <c r="AG39" s="23">
        <f t="shared" si="17"/>
        <v>1.7760386080490278</v>
      </c>
      <c r="AH39" s="23">
        <f t="shared" si="18"/>
        <v>1.7760386080490278</v>
      </c>
      <c r="AI39" s="23">
        <f t="shared" si="19"/>
        <v>1.7760386080490278</v>
      </c>
      <c r="AJ39" s="23">
        <f t="shared" si="20"/>
        <v>1.7760386080490278</v>
      </c>
      <c r="AK39" s="23">
        <f t="shared" si="21"/>
        <v>1.7760386080490278</v>
      </c>
      <c r="AL39" s="23">
        <f t="shared" si="22"/>
        <v>1.7760386080490278</v>
      </c>
      <c r="AM39" s="23">
        <f t="shared" si="23"/>
        <v>1.7760386080490278</v>
      </c>
      <c r="AN39" s="23">
        <f t="shared" si="24"/>
        <v>1.7760386080490278</v>
      </c>
      <c r="AO39" s="23">
        <f t="shared" si="25"/>
        <v>1.7760386080490278</v>
      </c>
      <c r="AP39" s="23">
        <f t="shared" si="26"/>
        <v>1.7760386080490278</v>
      </c>
      <c r="AQ39" s="23">
        <f t="shared" si="27"/>
        <v>1.7760386080490278</v>
      </c>
      <c r="AR39" s="23">
        <f t="shared" si="28"/>
        <v>1.7760386080490278</v>
      </c>
      <c r="AS39" s="23">
        <f t="shared" si="29"/>
        <v>1.7760386080490278</v>
      </c>
      <c r="AT39" s="24"/>
      <c r="AU39" s="397">
        <v>2021</v>
      </c>
      <c r="AV39" s="1125">
        <v>0.1618</v>
      </c>
      <c r="AW39" s="415" t="s">
        <v>264</v>
      </c>
      <c r="AX39" s="19"/>
      <c r="BI39" s="10"/>
      <c r="BJ39" s="10"/>
      <c r="BK39"/>
      <c r="BL39"/>
      <c r="BM39"/>
      <c r="BN39" s="10"/>
      <c r="BO39" s="10"/>
    </row>
    <row r="40" spans="1:67">
      <c r="A40" s="407">
        <v>1994</v>
      </c>
      <c r="B40" s="408">
        <v>1.518</v>
      </c>
      <c r="C40" s="408">
        <v>1.5589999999999999</v>
      </c>
      <c r="D40" s="22">
        <v>1.5780000000000001</v>
      </c>
      <c r="E40" s="22">
        <v>1.576130292</v>
      </c>
      <c r="F40" s="23">
        <v>1.5824348131679999</v>
      </c>
      <c r="G40" s="23">
        <f t="shared" si="30"/>
        <v>1.5871821176075038</v>
      </c>
      <c r="H40" s="23">
        <f t="shared" si="30"/>
        <v>1.5840077533722887</v>
      </c>
      <c r="I40" s="23">
        <f t="shared" si="30"/>
        <v>1.5903437843857779</v>
      </c>
      <c r="J40" s="23">
        <f t="shared" si="31"/>
        <v>1.6014761908764783</v>
      </c>
      <c r="K40" s="23">
        <f t="shared" si="32"/>
        <v>1.6094835718308604</v>
      </c>
      <c r="L40" s="23">
        <f t="shared" si="32"/>
        <v>1.615921506118184</v>
      </c>
      <c r="M40" s="23">
        <f t="shared" si="32"/>
        <v>1.6708628373262022</v>
      </c>
      <c r="N40" s="23">
        <f t="shared" si="32"/>
        <v>1.7176469967713359</v>
      </c>
      <c r="O40" s="23">
        <f t="shared" si="34"/>
        <v>1.7159293497745647</v>
      </c>
      <c r="P40" s="23">
        <f t="shared" si="34"/>
        <v>1.7176452791243391</v>
      </c>
      <c r="Q40" s="23">
        <f t="shared" si="1"/>
        <v>1.7176452791243391</v>
      </c>
      <c r="R40" s="23">
        <f t="shared" si="2"/>
        <v>1.7176452791243391</v>
      </c>
      <c r="S40" s="23">
        <f t="shared" si="3"/>
        <v>1.7176452791243391</v>
      </c>
      <c r="T40" s="23">
        <f t="shared" si="4"/>
        <v>1.7176452791243391</v>
      </c>
      <c r="U40" s="23">
        <f t="shared" si="5"/>
        <v>1.7176452791243391</v>
      </c>
      <c r="V40" s="23">
        <f t="shared" si="6"/>
        <v>1.7176452791243391</v>
      </c>
      <c r="W40" s="23">
        <f t="shared" si="7"/>
        <v>1.7176452791243391</v>
      </c>
      <c r="X40" s="23">
        <f t="shared" si="8"/>
        <v>1.7176452791243391</v>
      </c>
      <c r="Y40" s="23">
        <f t="shared" si="9"/>
        <v>1.7176452791243391</v>
      </c>
      <c r="Z40" s="23">
        <f t="shared" si="10"/>
        <v>1.7176452791243391</v>
      </c>
      <c r="AA40" s="23">
        <f t="shared" si="11"/>
        <v>1.7176452791243391</v>
      </c>
      <c r="AB40" s="23">
        <f t="shared" si="12"/>
        <v>1.7176452791243391</v>
      </c>
      <c r="AC40" s="23">
        <f t="shared" si="13"/>
        <v>1.7176452791243391</v>
      </c>
      <c r="AD40" s="23">
        <f t="shared" si="14"/>
        <v>1.7176452791243391</v>
      </c>
      <c r="AE40" s="23">
        <f t="shared" si="15"/>
        <v>1.7176452791243391</v>
      </c>
      <c r="AF40" s="23">
        <f t="shared" si="16"/>
        <v>1.7176452791243391</v>
      </c>
      <c r="AG40" s="23">
        <f t="shared" si="17"/>
        <v>1.7176452791243391</v>
      </c>
      <c r="AH40" s="23">
        <f t="shared" si="18"/>
        <v>1.7176452791243391</v>
      </c>
      <c r="AI40" s="23">
        <f t="shared" si="19"/>
        <v>1.7176452791243391</v>
      </c>
      <c r="AJ40" s="23">
        <f t="shared" si="20"/>
        <v>1.7176452791243391</v>
      </c>
      <c r="AK40" s="23">
        <f t="shared" si="21"/>
        <v>1.7176452791243391</v>
      </c>
      <c r="AL40" s="23">
        <f t="shared" si="22"/>
        <v>1.7176452791243391</v>
      </c>
      <c r="AM40" s="23">
        <f t="shared" si="23"/>
        <v>1.7176452791243391</v>
      </c>
      <c r="AN40" s="23">
        <f t="shared" si="24"/>
        <v>1.7176452791243391</v>
      </c>
      <c r="AO40" s="23">
        <f t="shared" si="25"/>
        <v>1.7176452791243391</v>
      </c>
      <c r="AP40" s="23">
        <f t="shared" si="26"/>
        <v>1.7176452791243391</v>
      </c>
      <c r="AQ40" s="23">
        <f t="shared" si="27"/>
        <v>1.7176452791243391</v>
      </c>
      <c r="AR40" s="23">
        <f t="shared" si="28"/>
        <v>1.7176452791243391</v>
      </c>
      <c r="AS40" s="23">
        <f t="shared" si="29"/>
        <v>1.7176452791243391</v>
      </c>
      <c r="AT40" s="24"/>
      <c r="AU40" s="2423">
        <v>2022</v>
      </c>
      <c r="AV40" s="1125">
        <v>0.28549999999999998</v>
      </c>
      <c r="AW40" s="2424" t="s">
        <v>264</v>
      </c>
      <c r="BE40"/>
      <c r="BF40"/>
      <c r="BI40" s="10"/>
      <c r="BJ40" s="10"/>
      <c r="BK40"/>
      <c r="BL40"/>
      <c r="BM40"/>
      <c r="BN40" s="10"/>
      <c r="BO40" s="10"/>
    </row>
    <row r="41" spans="1:67">
      <c r="A41" s="407">
        <v>1995</v>
      </c>
      <c r="B41" s="408">
        <v>1.4590000000000001</v>
      </c>
      <c r="C41" s="408">
        <v>1.4990000000000001</v>
      </c>
      <c r="D41" s="22">
        <v>1.5169999999999999</v>
      </c>
      <c r="E41" s="22">
        <v>1.5154710120000001</v>
      </c>
      <c r="F41" s="23">
        <v>1.5215328960480001</v>
      </c>
      <c r="G41" s="23">
        <f t="shared" si="30"/>
        <v>1.5260974947361439</v>
      </c>
      <c r="H41" s="23">
        <f t="shared" si="30"/>
        <v>1.5230452997466715</v>
      </c>
      <c r="I41" s="23">
        <f t="shared" si="30"/>
        <v>1.5291374809456582</v>
      </c>
      <c r="J41" s="23">
        <f t="shared" si="31"/>
        <v>1.5398414433122776</v>
      </c>
      <c r="K41" s="23">
        <f t="shared" si="32"/>
        <v>1.5475406505288387</v>
      </c>
      <c r="L41" s="23">
        <f t="shared" si="32"/>
        <v>1.5537308131309542</v>
      </c>
      <c r="M41" s="23">
        <f t="shared" si="32"/>
        <v>1.6065576607774066</v>
      </c>
      <c r="N41" s="23">
        <f t="shared" si="32"/>
        <v>1.651541275279174</v>
      </c>
      <c r="O41" s="23">
        <f t="shared" si="34"/>
        <v>1.6498897340038949</v>
      </c>
      <c r="P41" s="23">
        <f t="shared" si="34"/>
        <v>1.6515396237378988</v>
      </c>
      <c r="Q41" s="23">
        <f t="shared" si="1"/>
        <v>1.6515396237378988</v>
      </c>
      <c r="R41" s="23">
        <f t="shared" si="2"/>
        <v>1.6515396237378988</v>
      </c>
      <c r="S41" s="23">
        <f t="shared" si="3"/>
        <v>1.6515396237378988</v>
      </c>
      <c r="T41" s="23">
        <f t="shared" si="4"/>
        <v>1.6515396237378988</v>
      </c>
      <c r="U41" s="23">
        <f t="shared" si="5"/>
        <v>1.6515396237378988</v>
      </c>
      <c r="V41" s="23">
        <f t="shared" si="6"/>
        <v>1.6515396237378988</v>
      </c>
      <c r="W41" s="23">
        <f t="shared" si="7"/>
        <v>1.6515396237378988</v>
      </c>
      <c r="X41" s="23">
        <f t="shared" si="8"/>
        <v>1.6515396237378988</v>
      </c>
      <c r="Y41" s="23">
        <f t="shared" si="9"/>
        <v>1.6515396237378988</v>
      </c>
      <c r="Z41" s="23">
        <f t="shared" si="10"/>
        <v>1.6515396237378988</v>
      </c>
      <c r="AA41" s="23">
        <f t="shared" si="11"/>
        <v>1.6515396237378988</v>
      </c>
      <c r="AB41" s="23">
        <f t="shared" si="12"/>
        <v>1.6515396237378988</v>
      </c>
      <c r="AC41" s="23">
        <f t="shared" si="13"/>
        <v>1.6515396237378988</v>
      </c>
      <c r="AD41" s="23">
        <f t="shared" si="14"/>
        <v>1.6515396237378988</v>
      </c>
      <c r="AE41" s="23">
        <f t="shared" si="15"/>
        <v>1.6515396237378988</v>
      </c>
      <c r="AF41" s="23">
        <f t="shared" si="16"/>
        <v>1.6515396237378988</v>
      </c>
      <c r="AG41" s="23">
        <f t="shared" si="17"/>
        <v>1.6515396237378988</v>
      </c>
      <c r="AH41" s="23">
        <f t="shared" si="18"/>
        <v>1.6515396237378988</v>
      </c>
      <c r="AI41" s="23">
        <f t="shared" si="19"/>
        <v>1.6515396237378988</v>
      </c>
      <c r="AJ41" s="23">
        <f t="shared" si="20"/>
        <v>1.6515396237378988</v>
      </c>
      <c r="AK41" s="23">
        <f t="shared" si="21"/>
        <v>1.6515396237378988</v>
      </c>
      <c r="AL41" s="23">
        <f t="shared" si="22"/>
        <v>1.6515396237378988</v>
      </c>
      <c r="AM41" s="23">
        <f t="shared" si="23"/>
        <v>1.6515396237378988</v>
      </c>
      <c r="AN41" s="23">
        <f t="shared" si="24"/>
        <v>1.6515396237378988</v>
      </c>
      <c r="AO41" s="23">
        <f t="shared" si="25"/>
        <v>1.6515396237378988</v>
      </c>
      <c r="AP41" s="23">
        <f t="shared" si="26"/>
        <v>1.6515396237378988</v>
      </c>
      <c r="AQ41" s="23">
        <f t="shared" si="27"/>
        <v>1.6515396237378988</v>
      </c>
      <c r="AR41" s="23">
        <f t="shared" si="28"/>
        <v>1.6515396237378988</v>
      </c>
      <c r="AS41" s="23">
        <f t="shared" si="29"/>
        <v>1.6515396237378988</v>
      </c>
      <c r="AT41" s="24"/>
      <c r="AU41" s="2423">
        <v>2023</v>
      </c>
      <c r="AV41" s="1125">
        <v>0.24360000000000001</v>
      </c>
      <c r="AW41" s="2424" t="s">
        <v>264</v>
      </c>
      <c r="AX41" s="1788"/>
      <c r="BB41" s="21" t="s">
        <v>210</v>
      </c>
      <c r="BC41" s="387" t="s">
        <v>30131</v>
      </c>
      <c r="BE41"/>
      <c r="BF41"/>
      <c r="BI41" s="10"/>
      <c r="BJ41" s="10"/>
      <c r="BK41"/>
      <c r="BL41"/>
      <c r="BM41"/>
      <c r="BN41" s="10"/>
      <c r="BO41" s="10"/>
    </row>
    <row r="42" spans="1:67" ht="15.75">
      <c r="A42" s="407">
        <v>1996</v>
      </c>
      <c r="B42" s="408">
        <v>1.4179999999999999</v>
      </c>
      <c r="C42" s="408">
        <v>1.4570000000000001</v>
      </c>
      <c r="D42" s="22">
        <v>1.474</v>
      </c>
      <c r="E42" s="22">
        <v>1.4730095160000001</v>
      </c>
      <c r="F42" s="23">
        <v>1.478901554064</v>
      </c>
      <c r="G42" s="23">
        <f t="shared" si="30"/>
        <v>1.4833382587261918</v>
      </c>
      <c r="H42" s="23">
        <f t="shared" si="30"/>
        <v>1.4803715822087395</v>
      </c>
      <c r="I42" s="23">
        <f t="shared" si="30"/>
        <v>1.4862930685375746</v>
      </c>
      <c r="J42" s="23">
        <f t="shared" si="31"/>
        <v>1.4966971200173376</v>
      </c>
      <c r="K42" s="23">
        <f t="shared" si="32"/>
        <v>1.5041806056174241</v>
      </c>
      <c r="L42" s="23">
        <f t="shared" si="32"/>
        <v>1.5101973280398937</v>
      </c>
      <c r="M42" s="23">
        <f t="shared" si="32"/>
        <v>1.5615440371932501</v>
      </c>
      <c r="N42" s="23">
        <f t="shared" si="32"/>
        <v>1.6052672702346611</v>
      </c>
      <c r="O42" s="23">
        <f t="shared" si="34"/>
        <v>1.6036620029644264</v>
      </c>
      <c r="P42" s="23">
        <f t="shared" si="34"/>
        <v>1.6052656649673906</v>
      </c>
      <c r="Q42" s="23">
        <f t="shared" si="1"/>
        <v>1.6052656649673906</v>
      </c>
      <c r="R42" s="23">
        <f t="shared" si="2"/>
        <v>1.6052656649673906</v>
      </c>
      <c r="S42" s="23">
        <f t="shared" si="3"/>
        <v>1.6052656649673906</v>
      </c>
      <c r="T42" s="23">
        <f t="shared" si="4"/>
        <v>1.6052656649673906</v>
      </c>
      <c r="U42" s="23">
        <f t="shared" si="5"/>
        <v>1.6052656649673906</v>
      </c>
      <c r="V42" s="23">
        <f t="shared" si="6"/>
        <v>1.6052656649673906</v>
      </c>
      <c r="W42" s="23">
        <f t="shared" si="7"/>
        <v>1.6052656649673906</v>
      </c>
      <c r="X42" s="23">
        <f t="shared" si="8"/>
        <v>1.6052656649673906</v>
      </c>
      <c r="Y42" s="23">
        <f t="shared" si="9"/>
        <v>1.6052656649673906</v>
      </c>
      <c r="Z42" s="23">
        <f t="shared" si="10"/>
        <v>1.6052656649673906</v>
      </c>
      <c r="AA42" s="23">
        <f t="shared" si="11"/>
        <v>1.6052656649673906</v>
      </c>
      <c r="AB42" s="23">
        <f t="shared" si="12"/>
        <v>1.6052656649673906</v>
      </c>
      <c r="AC42" s="23">
        <f t="shared" si="13"/>
        <v>1.6052656649673906</v>
      </c>
      <c r="AD42" s="23">
        <f t="shared" si="14"/>
        <v>1.6052656649673906</v>
      </c>
      <c r="AE42" s="23">
        <f t="shared" si="15"/>
        <v>1.6052656649673906</v>
      </c>
      <c r="AF42" s="23">
        <f t="shared" si="16"/>
        <v>1.6052656649673906</v>
      </c>
      <c r="AG42" s="23">
        <f t="shared" si="17"/>
        <v>1.6052656649673906</v>
      </c>
      <c r="AH42" s="23">
        <f t="shared" si="18"/>
        <v>1.6052656649673906</v>
      </c>
      <c r="AI42" s="23">
        <f t="shared" si="19"/>
        <v>1.6052656649673906</v>
      </c>
      <c r="AJ42" s="23">
        <f t="shared" si="20"/>
        <v>1.6052656649673906</v>
      </c>
      <c r="AK42" s="23">
        <f t="shared" si="21"/>
        <v>1.6052656649673906</v>
      </c>
      <c r="AL42" s="23">
        <f t="shared" si="22"/>
        <v>1.6052656649673906</v>
      </c>
      <c r="AM42" s="23">
        <f t="shared" si="23"/>
        <v>1.6052656649673906</v>
      </c>
      <c r="AN42" s="23">
        <f t="shared" si="24"/>
        <v>1.6052656649673906</v>
      </c>
      <c r="AO42" s="23">
        <f t="shared" si="25"/>
        <v>1.6052656649673906</v>
      </c>
      <c r="AP42" s="23">
        <f t="shared" si="26"/>
        <v>1.6052656649673906</v>
      </c>
      <c r="AQ42" s="23">
        <f t="shared" si="27"/>
        <v>1.6052656649673906</v>
      </c>
      <c r="AR42" s="23">
        <f t="shared" si="28"/>
        <v>1.6052656649673906</v>
      </c>
      <c r="AS42" s="23">
        <f t="shared" si="29"/>
        <v>1.6052656649673906</v>
      </c>
      <c r="AT42" s="24"/>
      <c r="AU42" s="387" t="s">
        <v>22695</v>
      </c>
      <c r="AV42" s="21" t="s">
        <v>30474</v>
      </c>
      <c r="AW42" s="387" t="s">
        <v>22696</v>
      </c>
      <c r="BB42" s="25" t="s">
        <v>1</v>
      </c>
      <c r="BC42" s="910">
        <v>0.5</v>
      </c>
      <c r="BE42"/>
      <c r="BF42"/>
      <c r="BI42" s="10"/>
      <c r="BJ42" s="10"/>
      <c r="BK42"/>
      <c r="BL42"/>
      <c r="BM42"/>
      <c r="BN42" s="10"/>
      <c r="BO42" s="10"/>
    </row>
    <row r="43" spans="1:67">
      <c r="A43" s="407">
        <v>1997</v>
      </c>
      <c r="B43" s="408">
        <v>1.381</v>
      </c>
      <c r="C43" s="408">
        <v>1.4179999999999999</v>
      </c>
      <c r="D43" s="22">
        <v>1.4350000000000001</v>
      </c>
      <c r="E43" s="22">
        <v>1.4335809839999998</v>
      </c>
      <c r="F43" s="23">
        <v>1.4393153079359997</v>
      </c>
      <c r="G43" s="23">
        <f t="shared" si="30"/>
        <v>1.4436332538598076</v>
      </c>
      <c r="H43" s="23">
        <f t="shared" si="30"/>
        <v>1.440745987352088</v>
      </c>
      <c r="I43" s="23">
        <f t="shared" si="30"/>
        <v>1.4465089713014965</v>
      </c>
      <c r="J43" s="23">
        <f t="shared" si="31"/>
        <v>1.4566345341006068</v>
      </c>
      <c r="K43" s="23">
        <f t="shared" si="32"/>
        <v>1.4639177067711098</v>
      </c>
      <c r="L43" s="23">
        <f t="shared" si="32"/>
        <v>1.4697733775981943</v>
      </c>
      <c r="M43" s="23">
        <f t="shared" si="32"/>
        <v>1.519745672436533</v>
      </c>
      <c r="N43" s="23">
        <f t="shared" si="32"/>
        <v>1.562298551264756</v>
      </c>
      <c r="O43" s="23">
        <f t="shared" si="34"/>
        <v>1.5607362527134914</v>
      </c>
      <c r="P43" s="23">
        <f t="shared" si="34"/>
        <v>1.5622969889662046</v>
      </c>
      <c r="Q43" s="23">
        <f t="shared" si="1"/>
        <v>1.5622969889662046</v>
      </c>
      <c r="R43" s="23">
        <f t="shared" si="2"/>
        <v>1.5622969889662046</v>
      </c>
      <c r="S43" s="23">
        <f t="shared" si="3"/>
        <v>1.5622969889662046</v>
      </c>
      <c r="T43" s="23">
        <f t="shared" si="4"/>
        <v>1.5622969889662046</v>
      </c>
      <c r="U43" s="23">
        <f t="shared" si="5"/>
        <v>1.5622969889662046</v>
      </c>
      <c r="V43" s="23">
        <f t="shared" si="6"/>
        <v>1.5622969889662046</v>
      </c>
      <c r="W43" s="23">
        <f t="shared" si="7"/>
        <v>1.5622969889662046</v>
      </c>
      <c r="X43" s="23">
        <f t="shared" si="8"/>
        <v>1.5622969889662046</v>
      </c>
      <c r="Y43" s="23">
        <f t="shared" si="9"/>
        <v>1.5622969889662046</v>
      </c>
      <c r="Z43" s="23">
        <f t="shared" si="10"/>
        <v>1.5622969889662046</v>
      </c>
      <c r="AA43" s="23">
        <f t="shared" si="11"/>
        <v>1.5622969889662046</v>
      </c>
      <c r="AB43" s="23">
        <f t="shared" si="12"/>
        <v>1.5622969889662046</v>
      </c>
      <c r="AC43" s="23">
        <f t="shared" si="13"/>
        <v>1.5622969889662046</v>
      </c>
      <c r="AD43" s="23">
        <f t="shared" si="14"/>
        <v>1.5622969889662046</v>
      </c>
      <c r="AE43" s="23">
        <f t="shared" si="15"/>
        <v>1.5622969889662046</v>
      </c>
      <c r="AF43" s="23">
        <f t="shared" si="16"/>
        <v>1.5622969889662046</v>
      </c>
      <c r="AG43" s="23">
        <f t="shared" si="17"/>
        <v>1.5622969889662046</v>
      </c>
      <c r="AH43" s="23">
        <f t="shared" si="18"/>
        <v>1.5622969889662046</v>
      </c>
      <c r="AI43" s="23">
        <f t="shared" si="19"/>
        <v>1.5622969889662046</v>
      </c>
      <c r="AJ43" s="23">
        <f t="shared" si="20"/>
        <v>1.5622969889662046</v>
      </c>
      <c r="AK43" s="23">
        <f t="shared" si="21"/>
        <v>1.5622969889662046</v>
      </c>
      <c r="AL43" s="23">
        <f t="shared" si="22"/>
        <v>1.5622969889662046</v>
      </c>
      <c r="AM43" s="23">
        <f t="shared" si="23"/>
        <v>1.5622969889662046</v>
      </c>
      <c r="AN43" s="23">
        <f t="shared" si="24"/>
        <v>1.5622969889662046</v>
      </c>
      <c r="AO43" s="23">
        <f t="shared" si="25"/>
        <v>1.5622969889662046</v>
      </c>
      <c r="AP43" s="23">
        <f t="shared" si="26"/>
        <v>1.5622969889662046</v>
      </c>
      <c r="AQ43" s="23">
        <f t="shared" si="27"/>
        <v>1.5622969889662046</v>
      </c>
      <c r="AR43" s="23">
        <f t="shared" si="28"/>
        <v>1.5622969889662046</v>
      </c>
      <c r="AS43" s="23">
        <f t="shared" si="29"/>
        <v>1.5622969889662046</v>
      </c>
      <c r="AT43" s="24"/>
      <c r="AU43" s="2423">
        <v>2024</v>
      </c>
      <c r="AV43" s="2785">
        <v>0.215</v>
      </c>
      <c r="AW43" s="2424" t="s">
        <v>264</v>
      </c>
      <c r="AX43" s="1788"/>
      <c r="BB43" s="25" t="s">
        <v>2</v>
      </c>
      <c r="BC43" s="1092">
        <v>1.9E-2</v>
      </c>
      <c r="BE43"/>
      <c r="BF43"/>
      <c r="BI43" s="10"/>
      <c r="BJ43" s="10"/>
      <c r="BK43"/>
      <c r="BL43"/>
      <c r="BM43"/>
      <c r="BN43" s="10"/>
      <c r="BO43" s="10"/>
    </row>
    <row r="44" spans="1:67">
      <c r="A44" s="407">
        <v>1998</v>
      </c>
      <c r="B44" s="408">
        <v>1.3560000000000001</v>
      </c>
      <c r="C44" s="408">
        <v>1.3919999999999999</v>
      </c>
      <c r="D44" s="22">
        <v>1.409</v>
      </c>
      <c r="E44" s="22">
        <v>1.407295296</v>
      </c>
      <c r="F44" s="23">
        <v>1.4129244771839999</v>
      </c>
      <c r="G44" s="23">
        <f t="shared" si="30"/>
        <v>1.4171632506155518</v>
      </c>
      <c r="H44" s="23">
        <f t="shared" si="30"/>
        <v>1.4143289241143207</v>
      </c>
      <c r="I44" s="23">
        <f t="shared" si="30"/>
        <v>1.4199862398107779</v>
      </c>
      <c r="J44" s="23">
        <f t="shared" si="31"/>
        <v>1.4299261434894532</v>
      </c>
      <c r="K44" s="23">
        <f t="shared" si="32"/>
        <v>1.4370757742069002</v>
      </c>
      <c r="L44" s="23">
        <f t="shared" si="32"/>
        <v>1.4428240773037277</v>
      </c>
      <c r="M44" s="23">
        <f t="shared" si="32"/>
        <v>1.4918800959320546</v>
      </c>
      <c r="N44" s="23">
        <f t="shared" si="32"/>
        <v>1.5336527386181522</v>
      </c>
      <c r="O44" s="23">
        <f t="shared" si="34"/>
        <v>1.5321190858795342</v>
      </c>
      <c r="P44" s="23">
        <f t="shared" si="34"/>
        <v>1.5336512049654136</v>
      </c>
      <c r="Q44" s="23">
        <f t="shared" si="1"/>
        <v>1.5336512049654136</v>
      </c>
      <c r="R44" s="23">
        <f t="shared" si="2"/>
        <v>1.5336512049654136</v>
      </c>
      <c r="S44" s="23">
        <f t="shared" si="3"/>
        <v>1.5336512049654136</v>
      </c>
      <c r="T44" s="23">
        <f t="shared" si="4"/>
        <v>1.5336512049654136</v>
      </c>
      <c r="U44" s="23">
        <f t="shared" si="5"/>
        <v>1.5336512049654136</v>
      </c>
      <c r="V44" s="23">
        <f t="shared" si="6"/>
        <v>1.5336512049654136</v>
      </c>
      <c r="W44" s="23">
        <f t="shared" si="7"/>
        <v>1.5336512049654136</v>
      </c>
      <c r="X44" s="23">
        <f t="shared" si="8"/>
        <v>1.5336512049654136</v>
      </c>
      <c r="Y44" s="23">
        <f t="shared" si="9"/>
        <v>1.5336512049654136</v>
      </c>
      <c r="Z44" s="23">
        <f t="shared" si="10"/>
        <v>1.5336512049654136</v>
      </c>
      <c r="AA44" s="23">
        <f t="shared" si="11"/>
        <v>1.5336512049654136</v>
      </c>
      <c r="AB44" s="23">
        <f t="shared" si="12"/>
        <v>1.5336512049654136</v>
      </c>
      <c r="AC44" s="23">
        <f t="shared" si="13"/>
        <v>1.5336512049654136</v>
      </c>
      <c r="AD44" s="23">
        <f t="shared" si="14"/>
        <v>1.5336512049654136</v>
      </c>
      <c r="AE44" s="23">
        <f t="shared" si="15"/>
        <v>1.5336512049654136</v>
      </c>
      <c r="AF44" s="23">
        <f t="shared" si="16"/>
        <v>1.5336512049654136</v>
      </c>
      <c r="AG44" s="23">
        <f t="shared" si="17"/>
        <v>1.5336512049654136</v>
      </c>
      <c r="AH44" s="23">
        <f t="shared" si="18"/>
        <v>1.5336512049654136</v>
      </c>
      <c r="AI44" s="23">
        <f t="shared" si="19"/>
        <v>1.5336512049654136</v>
      </c>
      <c r="AJ44" s="23">
        <f t="shared" si="20"/>
        <v>1.5336512049654136</v>
      </c>
      <c r="AK44" s="23">
        <f t="shared" si="21"/>
        <v>1.5336512049654136</v>
      </c>
      <c r="AL44" s="23">
        <f t="shared" si="22"/>
        <v>1.5336512049654136</v>
      </c>
      <c r="AM44" s="23">
        <f t="shared" si="23"/>
        <v>1.5336512049654136</v>
      </c>
      <c r="AN44" s="23">
        <f t="shared" si="24"/>
        <v>1.5336512049654136</v>
      </c>
      <c r="AO44" s="23">
        <f t="shared" si="25"/>
        <v>1.5336512049654136</v>
      </c>
      <c r="AP44" s="23">
        <f t="shared" si="26"/>
        <v>1.5336512049654136</v>
      </c>
      <c r="AQ44" s="23">
        <f t="shared" si="27"/>
        <v>1.5336512049654136</v>
      </c>
      <c r="AR44" s="23">
        <f t="shared" si="28"/>
        <v>1.5336512049654136</v>
      </c>
      <c r="AS44" s="23">
        <f t="shared" si="29"/>
        <v>1.5336512049654136</v>
      </c>
      <c r="AT44" s="24"/>
      <c r="AU44" s="2423">
        <v>2025</v>
      </c>
      <c r="AV44" s="2785">
        <v>0.221</v>
      </c>
      <c r="AW44" s="2424" t="s">
        <v>264</v>
      </c>
      <c r="AX44" s="1788"/>
      <c r="BB44" s="25" t="s">
        <v>31391</v>
      </c>
      <c r="BC44" s="1091">
        <v>0.05</v>
      </c>
      <c r="BE44"/>
      <c r="BF44"/>
      <c r="BI44" s="10"/>
      <c r="BJ44" s="10"/>
      <c r="BK44"/>
      <c r="BL44"/>
      <c r="BM44"/>
      <c r="BN44" s="10"/>
      <c r="BO44" s="10"/>
    </row>
    <row r="45" spans="1:67">
      <c r="A45" s="407">
        <v>1999</v>
      </c>
      <c r="B45" s="408">
        <v>1.34</v>
      </c>
      <c r="C45" s="408">
        <v>1.3759999999999999</v>
      </c>
      <c r="D45" s="22">
        <v>1.393</v>
      </c>
      <c r="E45" s="22">
        <v>1.391119488</v>
      </c>
      <c r="F45" s="23">
        <v>1.3966839659520001</v>
      </c>
      <c r="G45" s="23">
        <f t="shared" si="30"/>
        <v>1.400874017849856</v>
      </c>
      <c r="H45" s="23">
        <f t="shared" si="30"/>
        <v>1.3980722698141563</v>
      </c>
      <c r="I45" s="23">
        <f t="shared" si="30"/>
        <v>1.4036645588934129</v>
      </c>
      <c r="J45" s="23">
        <f t="shared" si="31"/>
        <v>1.4134902108056666</v>
      </c>
      <c r="K45" s="23">
        <f t="shared" si="32"/>
        <v>1.4205576618596949</v>
      </c>
      <c r="L45" s="23">
        <f t="shared" si="32"/>
        <v>1.4262398925071338</v>
      </c>
      <c r="M45" s="23">
        <f t="shared" si="32"/>
        <v>1.4747320488523763</v>
      </c>
      <c r="N45" s="23">
        <f t="shared" si="32"/>
        <v>1.5160245462202429</v>
      </c>
      <c r="O45" s="23">
        <f t="shared" si="34"/>
        <v>1.5145085216740226</v>
      </c>
      <c r="P45" s="23">
        <f t="shared" si="34"/>
        <v>1.5160230301956965</v>
      </c>
      <c r="Q45" s="23">
        <f t="shared" si="1"/>
        <v>1.5160230301956965</v>
      </c>
      <c r="R45" s="23">
        <f t="shared" si="2"/>
        <v>1.5160230301956965</v>
      </c>
      <c r="S45" s="23">
        <f t="shared" si="3"/>
        <v>1.5160230301956965</v>
      </c>
      <c r="T45" s="23">
        <f t="shared" si="4"/>
        <v>1.5160230301956965</v>
      </c>
      <c r="U45" s="23">
        <f t="shared" si="5"/>
        <v>1.5160230301956965</v>
      </c>
      <c r="V45" s="23">
        <f t="shared" si="6"/>
        <v>1.5160230301956965</v>
      </c>
      <c r="W45" s="23">
        <f t="shared" si="7"/>
        <v>1.5160230301956965</v>
      </c>
      <c r="X45" s="23">
        <f t="shared" si="8"/>
        <v>1.5160230301956965</v>
      </c>
      <c r="Y45" s="23">
        <f t="shared" si="9"/>
        <v>1.5160230301956965</v>
      </c>
      <c r="Z45" s="23">
        <f t="shared" si="10"/>
        <v>1.5160230301956965</v>
      </c>
      <c r="AA45" s="23">
        <f t="shared" si="11"/>
        <v>1.5160230301956965</v>
      </c>
      <c r="AB45" s="23">
        <f t="shared" si="12"/>
        <v>1.5160230301956965</v>
      </c>
      <c r="AC45" s="23">
        <f t="shared" si="13"/>
        <v>1.5160230301956965</v>
      </c>
      <c r="AD45" s="23">
        <f t="shared" si="14"/>
        <v>1.5160230301956965</v>
      </c>
      <c r="AE45" s="23">
        <f t="shared" si="15"/>
        <v>1.5160230301956965</v>
      </c>
      <c r="AF45" s="23">
        <f t="shared" si="16"/>
        <v>1.5160230301956965</v>
      </c>
      <c r="AG45" s="23">
        <f t="shared" si="17"/>
        <v>1.5160230301956965</v>
      </c>
      <c r="AH45" s="23">
        <f t="shared" si="18"/>
        <v>1.5160230301956965</v>
      </c>
      <c r="AI45" s="23">
        <f t="shared" si="19"/>
        <v>1.5160230301956965</v>
      </c>
      <c r="AJ45" s="23">
        <f t="shared" si="20"/>
        <v>1.5160230301956965</v>
      </c>
      <c r="AK45" s="23">
        <f t="shared" si="21"/>
        <v>1.5160230301956965</v>
      </c>
      <c r="AL45" s="23">
        <f t="shared" si="22"/>
        <v>1.5160230301956965</v>
      </c>
      <c r="AM45" s="23">
        <f t="shared" si="23"/>
        <v>1.5160230301956965</v>
      </c>
      <c r="AN45" s="23">
        <f t="shared" si="24"/>
        <v>1.5160230301956965</v>
      </c>
      <c r="AO45" s="23">
        <f t="shared" si="25"/>
        <v>1.5160230301956965</v>
      </c>
      <c r="AP45" s="23">
        <f t="shared" si="26"/>
        <v>1.5160230301956965</v>
      </c>
      <c r="AQ45" s="23">
        <f t="shared" si="27"/>
        <v>1.5160230301956965</v>
      </c>
      <c r="AR45" s="23">
        <f t="shared" si="28"/>
        <v>1.5160230301956965</v>
      </c>
      <c r="AS45" s="23">
        <f t="shared" si="29"/>
        <v>1.5160230301956965</v>
      </c>
      <c r="AT45" s="24"/>
      <c r="AU45" s="2423">
        <v>2026</v>
      </c>
      <c r="AV45" s="1125" t="s">
        <v>31274</v>
      </c>
      <c r="AW45" s="2424" t="s">
        <v>264</v>
      </c>
      <c r="AX45" s="1788"/>
      <c r="BB45" s="25" t="s">
        <v>31392</v>
      </c>
      <c r="BC45" s="1092">
        <v>1.4999999999999999E-2</v>
      </c>
      <c r="BE45"/>
      <c r="BF45"/>
      <c r="BI45" s="10"/>
      <c r="BJ45" s="10"/>
      <c r="BK45"/>
      <c r="BL45"/>
      <c r="BM45"/>
      <c r="BN45" s="10"/>
      <c r="BO45" s="10"/>
    </row>
    <row r="46" spans="1:67" ht="15.75">
      <c r="A46" s="407">
        <v>2000</v>
      </c>
      <c r="B46" s="408">
        <v>1.302</v>
      </c>
      <c r="C46" s="408">
        <v>1.337</v>
      </c>
      <c r="D46" s="22">
        <v>1.353</v>
      </c>
      <c r="E46" s="22">
        <v>1.3516909559999999</v>
      </c>
      <c r="F46" s="23">
        <v>1.357097719824</v>
      </c>
      <c r="G46" s="23">
        <f t="shared" si="30"/>
        <v>1.3611690129834717</v>
      </c>
      <c r="H46" s="23">
        <f t="shared" si="30"/>
        <v>1.3584466749575048</v>
      </c>
      <c r="I46" s="23">
        <f t="shared" si="30"/>
        <v>1.3638804616573348</v>
      </c>
      <c r="J46" s="23">
        <f t="shared" si="31"/>
        <v>1.3734276248889359</v>
      </c>
      <c r="K46" s="23">
        <f t="shared" si="32"/>
        <v>1.3802947630133804</v>
      </c>
      <c r="L46" s="23">
        <f t="shared" si="32"/>
        <v>1.3858159420654339</v>
      </c>
      <c r="M46" s="23">
        <f t="shared" si="32"/>
        <v>1.4329336840956588</v>
      </c>
      <c r="N46" s="23">
        <f t="shared" si="32"/>
        <v>1.4730558272503373</v>
      </c>
      <c r="O46" s="23">
        <f t="shared" si="34"/>
        <v>1.4715827714230869</v>
      </c>
      <c r="P46" s="23">
        <f t="shared" si="34"/>
        <v>1.4730543541945098</v>
      </c>
      <c r="Q46" s="23">
        <f t="shared" si="1"/>
        <v>1.4730543541945098</v>
      </c>
      <c r="R46" s="23">
        <f t="shared" si="2"/>
        <v>1.4730543541945098</v>
      </c>
      <c r="S46" s="23">
        <f t="shared" si="3"/>
        <v>1.4730543541945098</v>
      </c>
      <c r="T46" s="23">
        <f t="shared" si="4"/>
        <v>1.4730543541945098</v>
      </c>
      <c r="U46" s="23">
        <f t="shared" si="5"/>
        <v>1.4730543541945098</v>
      </c>
      <c r="V46" s="23">
        <f t="shared" si="6"/>
        <v>1.4730543541945098</v>
      </c>
      <c r="W46" s="23">
        <f t="shared" si="7"/>
        <v>1.4730543541945098</v>
      </c>
      <c r="X46" s="23">
        <f t="shared" si="8"/>
        <v>1.4730543541945098</v>
      </c>
      <c r="Y46" s="23">
        <f t="shared" si="9"/>
        <v>1.4730543541945098</v>
      </c>
      <c r="Z46" s="23">
        <f t="shared" si="10"/>
        <v>1.4730543541945098</v>
      </c>
      <c r="AA46" s="23">
        <f t="shared" si="11"/>
        <v>1.4730543541945098</v>
      </c>
      <c r="AB46" s="23">
        <f t="shared" si="12"/>
        <v>1.4730543541945098</v>
      </c>
      <c r="AC46" s="23">
        <f t="shared" si="13"/>
        <v>1.4730543541945098</v>
      </c>
      <c r="AD46" s="23">
        <f t="shared" si="14"/>
        <v>1.4730543541945098</v>
      </c>
      <c r="AE46" s="23">
        <f t="shared" si="15"/>
        <v>1.4730543541945098</v>
      </c>
      <c r="AF46" s="23">
        <f t="shared" si="16"/>
        <v>1.4730543541945098</v>
      </c>
      <c r="AG46" s="23">
        <f t="shared" si="17"/>
        <v>1.4730543541945098</v>
      </c>
      <c r="AH46" s="23">
        <f t="shared" si="18"/>
        <v>1.4730543541945098</v>
      </c>
      <c r="AI46" s="23">
        <f t="shared" si="19"/>
        <v>1.4730543541945098</v>
      </c>
      <c r="AJ46" s="23">
        <f t="shared" si="20"/>
        <v>1.4730543541945098</v>
      </c>
      <c r="AK46" s="23">
        <f t="shared" si="21"/>
        <v>1.4730543541945098</v>
      </c>
      <c r="AL46" s="23">
        <f t="shared" si="22"/>
        <v>1.4730543541945098</v>
      </c>
      <c r="AM46" s="23">
        <f t="shared" si="23"/>
        <v>1.4730543541945098</v>
      </c>
      <c r="AN46" s="23">
        <f t="shared" si="24"/>
        <v>1.4730543541945098</v>
      </c>
      <c r="AO46" s="23">
        <f t="shared" si="25"/>
        <v>1.4730543541945098</v>
      </c>
      <c r="AP46" s="23">
        <f t="shared" si="26"/>
        <v>1.4730543541945098</v>
      </c>
      <c r="AQ46" s="23">
        <f t="shared" si="27"/>
        <v>1.4730543541945098</v>
      </c>
      <c r="AR46" s="23">
        <f t="shared" si="28"/>
        <v>1.4730543541945098</v>
      </c>
      <c r="AS46" s="23">
        <f t="shared" si="29"/>
        <v>1.4730543541945098</v>
      </c>
      <c r="AT46" s="24"/>
      <c r="AU46" s="2423">
        <v>2027</v>
      </c>
      <c r="AV46" s="1125" t="s">
        <v>31274</v>
      </c>
      <c r="AW46" s="2424" t="s">
        <v>264</v>
      </c>
      <c r="AX46" s="1788"/>
      <c r="BB46" s="30" t="s">
        <v>27020</v>
      </c>
      <c r="BC46" s="1918">
        <v>159</v>
      </c>
      <c r="BE46"/>
      <c r="BF46"/>
      <c r="BI46" s="10"/>
      <c r="BJ46" s="10"/>
      <c r="BK46"/>
      <c r="BL46"/>
      <c r="BM46"/>
      <c r="BN46" s="10"/>
      <c r="BO46" s="10"/>
    </row>
    <row r="47" spans="1:67">
      <c r="A47" s="407">
        <v>2001</v>
      </c>
      <c r="B47" s="408">
        <v>1.2749999999999999</v>
      </c>
      <c r="C47" s="408">
        <v>1.31</v>
      </c>
      <c r="D47" s="22">
        <v>1.3260000000000001</v>
      </c>
      <c r="E47" s="22">
        <v>1.3243942799999999</v>
      </c>
      <c r="F47" s="23">
        <v>1.3296918571199998</v>
      </c>
      <c r="G47" s="23">
        <f t="shared" si="30"/>
        <v>1.3336809326913597</v>
      </c>
      <c r="H47" s="23">
        <f t="shared" si="30"/>
        <v>1.3310135708259769</v>
      </c>
      <c r="I47" s="23">
        <f t="shared" si="30"/>
        <v>1.3363376251092809</v>
      </c>
      <c r="J47" s="23">
        <f t="shared" si="31"/>
        <v>1.3456919884850458</v>
      </c>
      <c r="K47" s="23">
        <f t="shared" si="32"/>
        <v>1.3524204484274709</v>
      </c>
      <c r="L47" s="23">
        <f t="shared" si="32"/>
        <v>1.3578301302211808</v>
      </c>
      <c r="M47" s="23">
        <f t="shared" si="32"/>
        <v>1.4039963546487011</v>
      </c>
      <c r="N47" s="23">
        <f t="shared" si="32"/>
        <v>1.4433082525788647</v>
      </c>
      <c r="O47" s="23">
        <f t="shared" si="34"/>
        <v>1.4418649443262859</v>
      </c>
      <c r="P47" s="23">
        <f t="shared" si="34"/>
        <v>1.4433068092706121</v>
      </c>
      <c r="Q47" s="23">
        <f t="shared" si="1"/>
        <v>1.4433068092706121</v>
      </c>
      <c r="R47" s="23">
        <f t="shared" si="2"/>
        <v>1.4433068092706121</v>
      </c>
      <c r="S47" s="23">
        <f t="shared" si="3"/>
        <v>1.4433068092706121</v>
      </c>
      <c r="T47" s="23">
        <f t="shared" si="4"/>
        <v>1.4433068092706121</v>
      </c>
      <c r="U47" s="23">
        <f t="shared" si="5"/>
        <v>1.4433068092706121</v>
      </c>
      <c r="V47" s="23">
        <f t="shared" si="6"/>
        <v>1.4433068092706121</v>
      </c>
      <c r="W47" s="23">
        <f t="shared" si="7"/>
        <v>1.4433068092706121</v>
      </c>
      <c r="X47" s="23">
        <f t="shared" si="8"/>
        <v>1.4433068092706121</v>
      </c>
      <c r="Y47" s="23">
        <f t="shared" si="9"/>
        <v>1.4433068092706121</v>
      </c>
      <c r="Z47" s="23">
        <f t="shared" si="10"/>
        <v>1.4433068092706121</v>
      </c>
      <c r="AA47" s="23">
        <f t="shared" si="11"/>
        <v>1.4433068092706121</v>
      </c>
      <c r="AB47" s="23">
        <f t="shared" si="12"/>
        <v>1.4433068092706121</v>
      </c>
      <c r="AC47" s="23">
        <f t="shared" si="13"/>
        <v>1.4433068092706121</v>
      </c>
      <c r="AD47" s="23">
        <f t="shared" si="14"/>
        <v>1.4433068092706121</v>
      </c>
      <c r="AE47" s="23">
        <f t="shared" si="15"/>
        <v>1.4433068092706121</v>
      </c>
      <c r="AF47" s="23">
        <f t="shared" si="16"/>
        <v>1.4433068092706121</v>
      </c>
      <c r="AG47" s="23">
        <f t="shared" si="17"/>
        <v>1.4433068092706121</v>
      </c>
      <c r="AH47" s="23">
        <f t="shared" si="18"/>
        <v>1.4433068092706121</v>
      </c>
      <c r="AI47" s="23">
        <f t="shared" si="19"/>
        <v>1.4433068092706121</v>
      </c>
      <c r="AJ47" s="23">
        <f t="shared" si="20"/>
        <v>1.4433068092706121</v>
      </c>
      <c r="AK47" s="23">
        <f t="shared" si="21"/>
        <v>1.4433068092706121</v>
      </c>
      <c r="AL47" s="23">
        <f t="shared" si="22"/>
        <v>1.4433068092706121</v>
      </c>
      <c r="AM47" s="23">
        <f t="shared" si="23"/>
        <v>1.4433068092706121</v>
      </c>
      <c r="AN47" s="23">
        <f t="shared" si="24"/>
        <v>1.4433068092706121</v>
      </c>
      <c r="AO47" s="23">
        <f t="shared" si="25"/>
        <v>1.4433068092706121</v>
      </c>
      <c r="AP47" s="23">
        <f t="shared" si="26"/>
        <v>1.4433068092706121</v>
      </c>
      <c r="AQ47" s="23">
        <f t="shared" si="27"/>
        <v>1.4433068092706121</v>
      </c>
      <c r="AR47" s="23">
        <f t="shared" si="28"/>
        <v>1.4433068092706121</v>
      </c>
      <c r="AS47" s="23">
        <f t="shared" si="29"/>
        <v>1.4433068092706121</v>
      </c>
      <c r="AT47" s="24"/>
      <c r="AU47" s="61"/>
      <c r="AV47" s="31"/>
      <c r="AW47" s="61"/>
      <c r="AX47" s="19"/>
      <c r="BB47" s="25" t="s">
        <v>25118</v>
      </c>
      <c r="BC47" s="910">
        <v>0.4</v>
      </c>
      <c r="BE47"/>
      <c r="BF47"/>
      <c r="BI47" s="10"/>
      <c r="BJ47" s="10"/>
      <c r="BK47"/>
      <c r="BL47"/>
      <c r="BM47"/>
      <c r="BN47" s="10"/>
      <c r="BO47" s="10"/>
    </row>
    <row r="48" spans="1:67" ht="15.75">
      <c r="A48" s="407">
        <v>2002</v>
      </c>
      <c r="B48" s="408">
        <v>1.2390000000000001</v>
      </c>
      <c r="C48" s="408">
        <v>1.2729999999999999</v>
      </c>
      <c r="D48" s="22">
        <v>1.288</v>
      </c>
      <c r="E48" s="22">
        <v>1.2869877240000001</v>
      </c>
      <c r="F48" s="23">
        <v>1.292135674896</v>
      </c>
      <c r="G48" s="23">
        <f t="shared" si="30"/>
        <v>1.296012081920688</v>
      </c>
      <c r="H48" s="23">
        <f t="shared" si="30"/>
        <v>1.2934200577568467</v>
      </c>
      <c r="I48" s="23">
        <f t="shared" si="30"/>
        <v>1.298593737987874</v>
      </c>
      <c r="J48" s="23">
        <f t="shared" si="31"/>
        <v>1.3076838941537889</v>
      </c>
      <c r="K48" s="23">
        <f t="shared" si="32"/>
        <v>1.3142223136245577</v>
      </c>
      <c r="L48" s="23">
        <f t="shared" si="32"/>
        <v>1.3194792028790558</v>
      </c>
      <c r="M48" s="23">
        <f t="shared" si="32"/>
        <v>1.3643414957769437</v>
      </c>
      <c r="N48" s="23">
        <f t="shared" si="32"/>
        <v>1.4025430576586981</v>
      </c>
      <c r="O48" s="23">
        <f t="shared" si="34"/>
        <v>1.4011405146010394</v>
      </c>
      <c r="P48" s="23">
        <f t="shared" si="34"/>
        <v>1.4025416551156402</v>
      </c>
      <c r="Q48" s="23">
        <f t="shared" si="1"/>
        <v>1.4025416551156402</v>
      </c>
      <c r="R48" s="23">
        <f t="shared" si="2"/>
        <v>1.4025416551156402</v>
      </c>
      <c r="S48" s="23">
        <f t="shared" si="3"/>
        <v>1.4025416551156402</v>
      </c>
      <c r="T48" s="23">
        <f t="shared" si="4"/>
        <v>1.4025416551156402</v>
      </c>
      <c r="U48" s="23">
        <f t="shared" si="5"/>
        <v>1.4025416551156402</v>
      </c>
      <c r="V48" s="23">
        <f t="shared" si="6"/>
        <v>1.4025416551156402</v>
      </c>
      <c r="W48" s="23">
        <f t="shared" si="7"/>
        <v>1.4025416551156402</v>
      </c>
      <c r="X48" s="23">
        <f t="shared" si="8"/>
        <v>1.4025416551156402</v>
      </c>
      <c r="Y48" s="23">
        <f t="shared" si="9"/>
        <v>1.4025416551156402</v>
      </c>
      <c r="Z48" s="23">
        <f t="shared" si="10"/>
        <v>1.4025416551156402</v>
      </c>
      <c r="AA48" s="23">
        <f t="shared" si="11"/>
        <v>1.4025416551156402</v>
      </c>
      <c r="AB48" s="23">
        <f t="shared" si="12"/>
        <v>1.4025416551156402</v>
      </c>
      <c r="AC48" s="23">
        <f t="shared" si="13"/>
        <v>1.4025416551156402</v>
      </c>
      <c r="AD48" s="23">
        <f t="shared" si="14"/>
        <v>1.4025416551156402</v>
      </c>
      <c r="AE48" s="23">
        <f t="shared" si="15"/>
        <v>1.4025416551156402</v>
      </c>
      <c r="AF48" s="23">
        <f t="shared" si="16"/>
        <v>1.4025416551156402</v>
      </c>
      <c r="AG48" s="23">
        <f t="shared" si="17"/>
        <v>1.4025416551156402</v>
      </c>
      <c r="AH48" s="23">
        <f t="shared" si="18"/>
        <v>1.4025416551156402</v>
      </c>
      <c r="AI48" s="23">
        <f t="shared" si="19"/>
        <v>1.4025416551156402</v>
      </c>
      <c r="AJ48" s="23">
        <f t="shared" si="20"/>
        <v>1.4025416551156402</v>
      </c>
      <c r="AK48" s="23">
        <f t="shared" si="21"/>
        <v>1.4025416551156402</v>
      </c>
      <c r="AL48" s="23">
        <f t="shared" si="22"/>
        <v>1.4025416551156402</v>
      </c>
      <c r="AM48" s="23">
        <f t="shared" si="23"/>
        <v>1.4025416551156402</v>
      </c>
      <c r="AN48" s="23">
        <f t="shared" si="24"/>
        <v>1.4025416551156402</v>
      </c>
      <c r="AO48" s="23">
        <f t="shared" si="25"/>
        <v>1.4025416551156402</v>
      </c>
      <c r="AP48" s="23">
        <f t="shared" si="26"/>
        <v>1.4025416551156402</v>
      </c>
      <c r="AQ48" s="23">
        <f t="shared" si="27"/>
        <v>1.4025416551156402</v>
      </c>
      <c r="AR48" s="23">
        <f t="shared" si="28"/>
        <v>1.4025416551156402</v>
      </c>
      <c r="AS48" s="23">
        <f t="shared" si="29"/>
        <v>1.4025416551156402</v>
      </c>
      <c r="AT48" s="24"/>
      <c r="AU48" s="387" t="s">
        <v>22695</v>
      </c>
      <c r="AV48" s="21" t="s">
        <v>22720</v>
      </c>
      <c r="AW48" s="387" t="s">
        <v>22696</v>
      </c>
      <c r="AX48" s="19"/>
      <c r="BB48" s="25" t="s">
        <v>25119</v>
      </c>
      <c r="BC48" s="910">
        <v>0.8</v>
      </c>
      <c r="BE48"/>
      <c r="BF48"/>
      <c r="BI48" s="10"/>
      <c r="BJ48" s="10"/>
      <c r="BK48"/>
      <c r="BL48"/>
      <c r="BM48"/>
      <c r="BN48" s="10"/>
      <c r="BO48" s="10"/>
    </row>
    <row r="49" spans="1:67">
      <c r="A49" s="407">
        <v>2003</v>
      </c>
      <c r="B49" s="408">
        <v>1.22</v>
      </c>
      <c r="C49" s="408">
        <v>1.2529999999999999</v>
      </c>
      <c r="D49" s="22">
        <v>1.268</v>
      </c>
      <c r="E49" s="22">
        <v>1.266767964</v>
      </c>
      <c r="F49" s="23">
        <v>1.271835035856</v>
      </c>
      <c r="G49" s="23">
        <f t="shared" si="30"/>
        <v>1.2756505409635679</v>
      </c>
      <c r="H49" s="23">
        <f t="shared" si="30"/>
        <v>1.2730992398816408</v>
      </c>
      <c r="I49" s="23">
        <f t="shared" si="30"/>
        <v>1.2781916368411672</v>
      </c>
      <c r="J49" s="23">
        <f t="shared" si="31"/>
        <v>1.2871389782990552</v>
      </c>
      <c r="K49" s="23">
        <f t="shared" si="32"/>
        <v>1.2935746731905504</v>
      </c>
      <c r="L49" s="23">
        <f t="shared" si="32"/>
        <v>1.2987489718833127</v>
      </c>
      <c r="M49" s="23">
        <f t="shared" si="32"/>
        <v>1.3429064369273453</v>
      </c>
      <c r="N49" s="23">
        <f t="shared" si="32"/>
        <v>1.380507817161311</v>
      </c>
      <c r="O49" s="23">
        <f t="shared" si="34"/>
        <v>1.3791273093441496</v>
      </c>
      <c r="P49" s="23">
        <f t="shared" si="34"/>
        <v>1.3805064366534936</v>
      </c>
      <c r="Q49" s="23">
        <f t="shared" si="1"/>
        <v>1.3805064366534936</v>
      </c>
      <c r="R49" s="23">
        <f t="shared" si="2"/>
        <v>1.3805064366534936</v>
      </c>
      <c r="S49" s="23">
        <f t="shared" si="3"/>
        <v>1.3805064366534936</v>
      </c>
      <c r="T49" s="23">
        <f t="shared" si="4"/>
        <v>1.3805064366534936</v>
      </c>
      <c r="U49" s="23">
        <f t="shared" si="5"/>
        <v>1.3805064366534936</v>
      </c>
      <c r="V49" s="23">
        <f t="shared" si="6"/>
        <v>1.3805064366534936</v>
      </c>
      <c r="W49" s="23">
        <f t="shared" si="7"/>
        <v>1.3805064366534936</v>
      </c>
      <c r="X49" s="23">
        <f t="shared" si="8"/>
        <v>1.3805064366534936</v>
      </c>
      <c r="Y49" s="23">
        <f t="shared" si="9"/>
        <v>1.3805064366534936</v>
      </c>
      <c r="Z49" s="23">
        <f t="shared" si="10"/>
        <v>1.3805064366534936</v>
      </c>
      <c r="AA49" s="23">
        <f t="shared" si="11"/>
        <v>1.3805064366534936</v>
      </c>
      <c r="AB49" s="23">
        <f t="shared" si="12"/>
        <v>1.3805064366534936</v>
      </c>
      <c r="AC49" s="23">
        <f t="shared" si="13"/>
        <v>1.3805064366534936</v>
      </c>
      <c r="AD49" s="23">
        <f t="shared" si="14"/>
        <v>1.3805064366534936</v>
      </c>
      <c r="AE49" s="23">
        <f t="shared" si="15"/>
        <v>1.3805064366534936</v>
      </c>
      <c r="AF49" s="23">
        <f t="shared" si="16"/>
        <v>1.3805064366534936</v>
      </c>
      <c r="AG49" s="23">
        <f t="shared" si="17"/>
        <v>1.3805064366534936</v>
      </c>
      <c r="AH49" s="23">
        <f t="shared" si="18"/>
        <v>1.3805064366534936</v>
      </c>
      <c r="AI49" s="23">
        <f t="shared" si="19"/>
        <v>1.3805064366534936</v>
      </c>
      <c r="AJ49" s="23">
        <f t="shared" si="20"/>
        <v>1.3805064366534936</v>
      </c>
      <c r="AK49" s="23">
        <f t="shared" si="21"/>
        <v>1.3805064366534936</v>
      </c>
      <c r="AL49" s="23">
        <f t="shared" si="22"/>
        <v>1.3805064366534936</v>
      </c>
      <c r="AM49" s="23">
        <f t="shared" si="23"/>
        <v>1.3805064366534936</v>
      </c>
      <c r="AN49" s="23">
        <f t="shared" si="24"/>
        <v>1.3805064366534936</v>
      </c>
      <c r="AO49" s="23">
        <f t="shared" si="25"/>
        <v>1.3805064366534936</v>
      </c>
      <c r="AP49" s="23">
        <f t="shared" si="26"/>
        <v>1.3805064366534936</v>
      </c>
      <c r="AQ49" s="23">
        <f t="shared" si="27"/>
        <v>1.3805064366534936</v>
      </c>
      <c r="AR49" s="23">
        <f t="shared" si="28"/>
        <v>1.3805064366534936</v>
      </c>
      <c r="AS49" s="23">
        <f t="shared" si="29"/>
        <v>1.3805064366534936</v>
      </c>
      <c r="AT49" s="24"/>
      <c r="AU49" s="397">
        <v>2012</v>
      </c>
      <c r="AV49" s="566">
        <v>1.01</v>
      </c>
      <c r="AW49" s="415" t="s">
        <v>272</v>
      </c>
      <c r="AX49" s="19"/>
      <c r="BE49"/>
      <c r="BF49"/>
      <c r="BI49" s="10"/>
      <c r="BJ49" s="10"/>
      <c r="BK49"/>
      <c r="BL49"/>
      <c r="BM49"/>
      <c r="BN49" s="10"/>
      <c r="BO49" s="10"/>
    </row>
    <row r="50" spans="1:67">
      <c r="A50" s="407">
        <v>2004</v>
      </c>
      <c r="B50" s="408">
        <v>1.1879999999999999</v>
      </c>
      <c r="C50" s="408">
        <v>1.22</v>
      </c>
      <c r="D50" s="22">
        <v>1.2350000000000001</v>
      </c>
      <c r="E50" s="22">
        <v>1.2334053599999999</v>
      </c>
      <c r="F50" s="23">
        <v>1.2383389814399999</v>
      </c>
      <c r="G50" s="23">
        <f t="shared" si="30"/>
        <v>1.2420539983843197</v>
      </c>
      <c r="H50" s="23">
        <f t="shared" si="30"/>
        <v>1.2395698903875512</v>
      </c>
      <c r="I50" s="23">
        <f t="shared" si="30"/>
        <v>1.2445281699491013</v>
      </c>
      <c r="J50" s="23">
        <f t="shared" si="31"/>
        <v>1.2532398671387448</v>
      </c>
      <c r="K50" s="23">
        <f t="shared" si="32"/>
        <v>1.2595060664744384</v>
      </c>
      <c r="L50" s="23">
        <f t="shared" si="32"/>
        <v>1.2645440907403362</v>
      </c>
      <c r="M50" s="23">
        <f t="shared" si="32"/>
        <v>1.3075385898255076</v>
      </c>
      <c r="N50" s="23">
        <f t="shared" si="32"/>
        <v>1.3441496703406219</v>
      </c>
      <c r="O50" s="23">
        <f t="shared" si="34"/>
        <v>1.3428055206702814</v>
      </c>
      <c r="P50" s="23">
        <f t="shared" si="34"/>
        <v>1.3441483261909515</v>
      </c>
      <c r="Q50" s="23">
        <f t="shared" si="1"/>
        <v>1.3441483261909515</v>
      </c>
      <c r="R50" s="23">
        <f t="shared" si="2"/>
        <v>1.3441483261909515</v>
      </c>
      <c r="S50" s="23">
        <f t="shared" si="3"/>
        <v>1.3441483261909515</v>
      </c>
      <c r="T50" s="23">
        <f t="shared" si="4"/>
        <v>1.3441483261909515</v>
      </c>
      <c r="U50" s="23">
        <f t="shared" si="5"/>
        <v>1.3441483261909515</v>
      </c>
      <c r="V50" s="23">
        <f t="shared" si="6"/>
        <v>1.3441483261909515</v>
      </c>
      <c r="W50" s="23">
        <f t="shared" si="7"/>
        <v>1.3441483261909515</v>
      </c>
      <c r="X50" s="23">
        <f t="shared" si="8"/>
        <v>1.3441483261909515</v>
      </c>
      <c r="Y50" s="23">
        <f t="shared" si="9"/>
        <v>1.3441483261909515</v>
      </c>
      <c r="Z50" s="23">
        <f t="shared" si="10"/>
        <v>1.3441483261909515</v>
      </c>
      <c r="AA50" s="23">
        <f t="shared" si="11"/>
        <v>1.3441483261909515</v>
      </c>
      <c r="AB50" s="23">
        <f t="shared" si="12"/>
        <v>1.3441483261909515</v>
      </c>
      <c r="AC50" s="23">
        <f t="shared" si="13"/>
        <v>1.3441483261909515</v>
      </c>
      <c r="AD50" s="23">
        <f t="shared" si="14"/>
        <v>1.3441483261909515</v>
      </c>
      <c r="AE50" s="23">
        <f t="shared" si="15"/>
        <v>1.3441483261909515</v>
      </c>
      <c r="AF50" s="23">
        <f t="shared" si="16"/>
        <v>1.3441483261909515</v>
      </c>
      <c r="AG50" s="23">
        <f t="shared" si="17"/>
        <v>1.3441483261909515</v>
      </c>
      <c r="AH50" s="23">
        <f t="shared" si="18"/>
        <v>1.3441483261909515</v>
      </c>
      <c r="AI50" s="23">
        <f t="shared" si="19"/>
        <v>1.3441483261909515</v>
      </c>
      <c r="AJ50" s="23">
        <f t="shared" si="20"/>
        <v>1.3441483261909515</v>
      </c>
      <c r="AK50" s="23">
        <f t="shared" si="21"/>
        <v>1.3441483261909515</v>
      </c>
      <c r="AL50" s="23">
        <f t="shared" si="22"/>
        <v>1.3441483261909515</v>
      </c>
      <c r="AM50" s="23">
        <f t="shared" si="23"/>
        <v>1.3441483261909515</v>
      </c>
      <c r="AN50" s="23">
        <f t="shared" si="24"/>
        <v>1.3441483261909515</v>
      </c>
      <c r="AO50" s="23">
        <f t="shared" si="25"/>
        <v>1.3441483261909515</v>
      </c>
      <c r="AP50" s="23">
        <f t="shared" si="26"/>
        <v>1.3441483261909515</v>
      </c>
      <c r="AQ50" s="23">
        <f t="shared" si="27"/>
        <v>1.3441483261909515</v>
      </c>
      <c r="AR50" s="23">
        <f t="shared" si="28"/>
        <v>1.3441483261909515</v>
      </c>
      <c r="AS50" s="23">
        <f t="shared" si="29"/>
        <v>1.3441483261909515</v>
      </c>
      <c r="AT50" s="24"/>
      <c r="AU50" s="397">
        <v>2013</v>
      </c>
      <c r="AV50" s="566">
        <f>+AV49</f>
        <v>1.01</v>
      </c>
      <c r="AW50" s="415" t="s">
        <v>272</v>
      </c>
      <c r="BE50"/>
      <c r="BF50"/>
      <c r="BI50" s="10"/>
      <c r="BJ50" s="10"/>
      <c r="BK50"/>
      <c r="BL50"/>
      <c r="BM50"/>
      <c r="BN50" s="10"/>
      <c r="BO50" s="10"/>
    </row>
    <row r="51" spans="1:67">
      <c r="A51" s="407">
        <v>2005</v>
      </c>
      <c r="B51" s="408">
        <v>1.1539999999999999</v>
      </c>
      <c r="C51" s="408">
        <v>1.1850000000000001</v>
      </c>
      <c r="D51" s="22">
        <v>1.1990000000000001</v>
      </c>
      <c r="E51" s="22">
        <v>1.1980207800000002</v>
      </c>
      <c r="F51" s="23">
        <v>1.2028128631200001</v>
      </c>
      <c r="G51" s="23">
        <f t="shared" si="30"/>
        <v>1.2064213017093599</v>
      </c>
      <c r="H51" s="23">
        <f t="shared" si="30"/>
        <v>1.2040084591059412</v>
      </c>
      <c r="I51" s="23">
        <f t="shared" si="30"/>
        <v>1.208824492942365</v>
      </c>
      <c r="J51" s="23">
        <f t="shared" si="31"/>
        <v>1.2172862643929614</v>
      </c>
      <c r="K51" s="23">
        <f t="shared" si="32"/>
        <v>1.223372695714926</v>
      </c>
      <c r="L51" s="23">
        <f t="shared" si="32"/>
        <v>1.2282661864977857</v>
      </c>
      <c r="M51" s="23">
        <f t="shared" si="32"/>
        <v>1.2700272368387104</v>
      </c>
      <c r="N51" s="23">
        <f t="shared" si="32"/>
        <v>1.3055879994701944</v>
      </c>
      <c r="O51" s="23">
        <f t="shared" si="34"/>
        <v>1.3042824114707243</v>
      </c>
      <c r="P51" s="23">
        <f t="shared" si="34"/>
        <v>1.3055866938821949</v>
      </c>
      <c r="Q51" s="23">
        <f t="shared" si="1"/>
        <v>1.3055866938821949</v>
      </c>
      <c r="R51" s="23">
        <f t="shared" si="2"/>
        <v>1.3055866938821949</v>
      </c>
      <c r="S51" s="23">
        <f t="shared" si="3"/>
        <v>1.3055866938821949</v>
      </c>
      <c r="T51" s="23">
        <f t="shared" si="4"/>
        <v>1.3055866938821949</v>
      </c>
      <c r="U51" s="23">
        <f t="shared" si="5"/>
        <v>1.3055866938821949</v>
      </c>
      <c r="V51" s="23">
        <f t="shared" si="6"/>
        <v>1.3055866938821949</v>
      </c>
      <c r="W51" s="23">
        <f t="shared" si="7"/>
        <v>1.3055866938821949</v>
      </c>
      <c r="X51" s="23">
        <f t="shared" si="8"/>
        <v>1.3055866938821949</v>
      </c>
      <c r="Y51" s="23">
        <f t="shared" si="9"/>
        <v>1.3055866938821949</v>
      </c>
      <c r="Z51" s="23">
        <f t="shared" si="10"/>
        <v>1.3055866938821949</v>
      </c>
      <c r="AA51" s="23">
        <f t="shared" si="11"/>
        <v>1.3055866938821949</v>
      </c>
      <c r="AB51" s="23">
        <f t="shared" si="12"/>
        <v>1.3055866938821949</v>
      </c>
      <c r="AC51" s="23">
        <f t="shared" si="13"/>
        <v>1.3055866938821949</v>
      </c>
      <c r="AD51" s="23">
        <f t="shared" si="14"/>
        <v>1.3055866938821949</v>
      </c>
      <c r="AE51" s="23">
        <f t="shared" si="15"/>
        <v>1.3055866938821949</v>
      </c>
      <c r="AF51" s="23">
        <f t="shared" si="16"/>
        <v>1.3055866938821949</v>
      </c>
      <c r="AG51" s="23">
        <f t="shared" si="17"/>
        <v>1.3055866938821949</v>
      </c>
      <c r="AH51" s="23">
        <f t="shared" si="18"/>
        <v>1.3055866938821949</v>
      </c>
      <c r="AI51" s="23">
        <f t="shared" si="19"/>
        <v>1.3055866938821949</v>
      </c>
      <c r="AJ51" s="23">
        <f t="shared" si="20"/>
        <v>1.3055866938821949</v>
      </c>
      <c r="AK51" s="23">
        <f t="shared" si="21"/>
        <v>1.3055866938821949</v>
      </c>
      <c r="AL51" s="23">
        <f t="shared" si="22"/>
        <v>1.3055866938821949</v>
      </c>
      <c r="AM51" s="23">
        <f t="shared" si="23"/>
        <v>1.3055866938821949</v>
      </c>
      <c r="AN51" s="23">
        <f t="shared" si="24"/>
        <v>1.3055866938821949</v>
      </c>
      <c r="AO51" s="23">
        <f t="shared" si="25"/>
        <v>1.3055866938821949</v>
      </c>
      <c r="AP51" s="23">
        <f t="shared" si="26"/>
        <v>1.3055866938821949</v>
      </c>
      <c r="AQ51" s="23">
        <f t="shared" si="27"/>
        <v>1.3055866938821949</v>
      </c>
      <c r="AR51" s="23">
        <f t="shared" si="28"/>
        <v>1.3055866938821949</v>
      </c>
      <c r="AS51" s="23">
        <f t="shared" si="29"/>
        <v>1.3055866938821949</v>
      </c>
      <c r="AT51" s="24"/>
      <c r="AU51" s="61"/>
      <c r="AV51" s="31"/>
      <c r="AW51" s="61"/>
      <c r="BB51" s="101" t="s">
        <v>26527</v>
      </c>
      <c r="BC51" s="412"/>
      <c r="BE51"/>
      <c r="BF51"/>
      <c r="BI51" s="10"/>
      <c r="BJ51" s="10"/>
      <c r="BK51"/>
      <c r="BL51"/>
      <c r="BM51"/>
      <c r="BN51" s="10"/>
      <c r="BO51" s="10"/>
    </row>
    <row r="52" spans="1:67">
      <c r="A52" s="407">
        <v>2006</v>
      </c>
      <c r="B52" s="408">
        <v>1.123</v>
      </c>
      <c r="C52" s="408">
        <v>1.153</v>
      </c>
      <c r="D52" s="22">
        <v>1.167</v>
      </c>
      <c r="E52" s="22">
        <v>1.1656691640000001</v>
      </c>
      <c r="F52" s="23">
        <v>1.1703318406560002</v>
      </c>
      <c r="G52" s="23">
        <f t="shared" si="30"/>
        <v>1.173842836177968</v>
      </c>
      <c r="H52" s="23">
        <f t="shared" si="30"/>
        <v>1.1714951505056121</v>
      </c>
      <c r="I52" s="23">
        <f t="shared" si="30"/>
        <v>1.1761811311076347</v>
      </c>
      <c r="J52" s="23">
        <f t="shared" si="31"/>
        <v>1.1844143990253879</v>
      </c>
      <c r="K52" s="23">
        <f t="shared" si="32"/>
        <v>1.1903364710205147</v>
      </c>
      <c r="L52" s="23">
        <f t="shared" si="32"/>
        <v>1.1950978169045967</v>
      </c>
      <c r="M52" s="23">
        <f t="shared" si="32"/>
        <v>1.2357311426793531</v>
      </c>
      <c r="N52" s="23">
        <f t="shared" si="32"/>
        <v>1.2703316146743751</v>
      </c>
      <c r="O52" s="23">
        <f t="shared" si="34"/>
        <v>1.2690612830597008</v>
      </c>
      <c r="P52" s="23">
        <f t="shared" si="34"/>
        <v>1.2703303443427603</v>
      </c>
      <c r="Q52" s="23">
        <f t="shared" si="1"/>
        <v>1.2703303443427603</v>
      </c>
      <c r="R52" s="23">
        <f t="shared" si="2"/>
        <v>1.2703303443427603</v>
      </c>
      <c r="S52" s="23">
        <f t="shared" si="3"/>
        <v>1.2703303443427603</v>
      </c>
      <c r="T52" s="23">
        <f t="shared" si="4"/>
        <v>1.2703303443427603</v>
      </c>
      <c r="U52" s="23">
        <f t="shared" si="5"/>
        <v>1.2703303443427603</v>
      </c>
      <c r="V52" s="23">
        <f t="shared" si="6"/>
        <v>1.2703303443427603</v>
      </c>
      <c r="W52" s="23">
        <f t="shared" si="7"/>
        <v>1.2703303443427603</v>
      </c>
      <c r="X52" s="23">
        <f t="shared" si="8"/>
        <v>1.2703303443427603</v>
      </c>
      <c r="Y52" s="23">
        <f t="shared" si="9"/>
        <v>1.2703303443427603</v>
      </c>
      <c r="Z52" s="23">
        <f t="shared" si="10"/>
        <v>1.2703303443427603</v>
      </c>
      <c r="AA52" s="23">
        <f t="shared" si="11"/>
        <v>1.2703303443427603</v>
      </c>
      <c r="AB52" s="23">
        <f t="shared" si="12"/>
        <v>1.2703303443427603</v>
      </c>
      <c r="AC52" s="23">
        <f t="shared" si="13"/>
        <v>1.2703303443427603</v>
      </c>
      <c r="AD52" s="23">
        <f t="shared" si="14"/>
        <v>1.2703303443427603</v>
      </c>
      <c r="AE52" s="23">
        <f t="shared" si="15"/>
        <v>1.2703303443427603</v>
      </c>
      <c r="AF52" s="23">
        <f t="shared" si="16"/>
        <v>1.2703303443427603</v>
      </c>
      <c r="AG52" s="23">
        <f t="shared" si="17"/>
        <v>1.2703303443427603</v>
      </c>
      <c r="AH52" s="23">
        <f t="shared" si="18"/>
        <v>1.2703303443427603</v>
      </c>
      <c r="AI52" s="23">
        <f t="shared" si="19"/>
        <v>1.2703303443427603</v>
      </c>
      <c r="AJ52" s="23">
        <f t="shared" si="20"/>
        <v>1.2703303443427603</v>
      </c>
      <c r="AK52" s="23">
        <f t="shared" si="21"/>
        <v>1.2703303443427603</v>
      </c>
      <c r="AL52" s="23">
        <f t="shared" si="22"/>
        <v>1.2703303443427603</v>
      </c>
      <c r="AM52" s="23">
        <f t="shared" si="23"/>
        <v>1.2703303443427603</v>
      </c>
      <c r="AN52" s="23">
        <f t="shared" si="24"/>
        <v>1.2703303443427603</v>
      </c>
      <c r="AO52" s="23">
        <f t="shared" si="25"/>
        <v>1.2703303443427603</v>
      </c>
      <c r="AP52" s="23">
        <f t="shared" si="26"/>
        <v>1.2703303443427603</v>
      </c>
      <c r="AQ52" s="23">
        <f t="shared" si="27"/>
        <v>1.2703303443427603</v>
      </c>
      <c r="AR52" s="23">
        <f t="shared" si="28"/>
        <v>1.2703303443427603</v>
      </c>
      <c r="AS52" s="23">
        <f t="shared" si="29"/>
        <v>1.2703303443427603</v>
      </c>
      <c r="AT52" s="24"/>
      <c r="AU52" s="61"/>
      <c r="AV52" s="31"/>
      <c r="AW52" s="61"/>
      <c r="BB52" s="397">
        <v>2014</v>
      </c>
      <c r="BC52" s="411">
        <f>0.25/1000</f>
        <v>2.5000000000000001E-4</v>
      </c>
      <c r="BE52"/>
      <c r="BF52"/>
      <c r="BI52" s="10"/>
      <c r="BJ52" s="10"/>
      <c r="BK52"/>
      <c r="BL52"/>
      <c r="BM52"/>
      <c r="BN52" s="10"/>
      <c r="BO52" s="10"/>
    </row>
    <row r="53" spans="1:67">
      <c r="A53" s="407">
        <v>2007</v>
      </c>
      <c r="B53" s="408">
        <v>1.091</v>
      </c>
      <c r="C53" s="408">
        <v>1.121</v>
      </c>
      <c r="D53" s="22">
        <v>1.1339999999999999</v>
      </c>
      <c r="E53" s="22">
        <v>1.133317548</v>
      </c>
      <c r="F53" s="23">
        <v>1.137850818192</v>
      </c>
      <c r="G53" s="23">
        <f t="shared" si="30"/>
        <v>1.1412643706465759</v>
      </c>
      <c r="H53" s="23">
        <f t="shared" si="30"/>
        <v>1.1389818419052828</v>
      </c>
      <c r="I53" s="23">
        <f t="shared" si="30"/>
        <v>1.1435377692729041</v>
      </c>
      <c r="J53" s="23">
        <f t="shared" si="31"/>
        <v>1.1515425336578142</v>
      </c>
      <c r="K53" s="23">
        <f t="shared" si="32"/>
        <v>1.1573002463261031</v>
      </c>
      <c r="L53" s="23">
        <f t="shared" si="32"/>
        <v>1.1619294473114075</v>
      </c>
      <c r="M53" s="23">
        <f t="shared" si="32"/>
        <v>1.2014350485199954</v>
      </c>
      <c r="N53" s="23">
        <f t="shared" si="32"/>
        <v>1.2350752298785552</v>
      </c>
      <c r="O53" s="23">
        <f t="shared" si="34"/>
        <v>1.2338401546486766</v>
      </c>
      <c r="P53" s="23">
        <f t="shared" si="34"/>
        <v>1.2350739948033251</v>
      </c>
      <c r="Q53" s="23">
        <f t="shared" si="1"/>
        <v>1.2350739948033251</v>
      </c>
      <c r="R53" s="23">
        <f t="shared" si="2"/>
        <v>1.2350739948033251</v>
      </c>
      <c r="S53" s="23">
        <f t="shared" si="3"/>
        <v>1.2350739948033251</v>
      </c>
      <c r="T53" s="23">
        <f t="shared" si="4"/>
        <v>1.2350739948033251</v>
      </c>
      <c r="U53" s="23">
        <f t="shared" si="5"/>
        <v>1.2350739948033251</v>
      </c>
      <c r="V53" s="23">
        <f t="shared" si="6"/>
        <v>1.2350739948033251</v>
      </c>
      <c r="W53" s="23">
        <f t="shared" si="7"/>
        <v>1.2350739948033251</v>
      </c>
      <c r="X53" s="23">
        <f t="shared" si="8"/>
        <v>1.2350739948033251</v>
      </c>
      <c r="Y53" s="23">
        <f t="shared" si="9"/>
        <v>1.2350739948033251</v>
      </c>
      <c r="Z53" s="23">
        <f t="shared" si="10"/>
        <v>1.2350739948033251</v>
      </c>
      <c r="AA53" s="23">
        <f t="shared" si="11"/>
        <v>1.2350739948033251</v>
      </c>
      <c r="AB53" s="23">
        <f t="shared" si="12"/>
        <v>1.2350739948033251</v>
      </c>
      <c r="AC53" s="23">
        <f t="shared" si="13"/>
        <v>1.2350739948033251</v>
      </c>
      <c r="AD53" s="23">
        <f t="shared" si="14"/>
        <v>1.2350739948033251</v>
      </c>
      <c r="AE53" s="23">
        <f t="shared" si="15"/>
        <v>1.2350739948033251</v>
      </c>
      <c r="AF53" s="23">
        <f t="shared" si="16"/>
        <v>1.2350739948033251</v>
      </c>
      <c r="AG53" s="23">
        <f t="shared" si="17"/>
        <v>1.2350739948033251</v>
      </c>
      <c r="AH53" s="23">
        <f t="shared" si="18"/>
        <v>1.2350739948033251</v>
      </c>
      <c r="AI53" s="23">
        <f t="shared" si="19"/>
        <v>1.2350739948033251</v>
      </c>
      <c r="AJ53" s="23">
        <f t="shared" si="20"/>
        <v>1.2350739948033251</v>
      </c>
      <c r="AK53" s="23">
        <f t="shared" si="21"/>
        <v>1.2350739948033251</v>
      </c>
      <c r="AL53" s="23">
        <f t="shared" si="22"/>
        <v>1.2350739948033251</v>
      </c>
      <c r="AM53" s="23">
        <f t="shared" si="23"/>
        <v>1.2350739948033251</v>
      </c>
      <c r="AN53" s="23">
        <f t="shared" si="24"/>
        <v>1.2350739948033251</v>
      </c>
      <c r="AO53" s="23">
        <f t="shared" si="25"/>
        <v>1.2350739948033251</v>
      </c>
      <c r="AP53" s="23">
        <f t="shared" si="26"/>
        <v>1.2350739948033251</v>
      </c>
      <c r="AQ53" s="23">
        <f t="shared" si="27"/>
        <v>1.2350739948033251</v>
      </c>
      <c r="AR53" s="23">
        <f t="shared" si="28"/>
        <v>1.2350739948033251</v>
      </c>
      <c r="AS53" s="23">
        <f t="shared" si="29"/>
        <v>1.2350739948033251</v>
      </c>
      <c r="AT53" s="24"/>
      <c r="AU53" s="61"/>
      <c r="AV53" s="31"/>
      <c r="AW53" s="61"/>
      <c r="BB53" s="397">
        <v>2015</v>
      </c>
      <c r="BC53" s="411">
        <f>0.25/1000</f>
        <v>2.5000000000000001E-4</v>
      </c>
      <c r="BE53"/>
      <c r="BF53"/>
      <c r="BI53" s="10"/>
      <c r="BJ53" s="10"/>
      <c r="BK53"/>
      <c r="BL53"/>
      <c r="BM53"/>
      <c r="BN53" s="10"/>
      <c r="BO53" s="10"/>
    </row>
    <row r="54" spans="1:67">
      <c r="A54" s="407">
        <v>2008</v>
      </c>
      <c r="B54" s="408">
        <v>1.0580000000000001</v>
      </c>
      <c r="C54" s="408">
        <v>1.0860000000000001</v>
      </c>
      <c r="D54" s="22">
        <v>1.099</v>
      </c>
      <c r="E54" s="22">
        <v>1.0979329680000001</v>
      </c>
      <c r="F54" s="23">
        <v>1.102324699872</v>
      </c>
      <c r="G54" s="23">
        <f t="shared" si="30"/>
        <v>1.1056316739716159</v>
      </c>
      <c r="H54" s="23">
        <f t="shared" si="30"/>
        <v>1.1034204106236727</v>
      </c>
      <c r="I54" s="23">
        <f t="shared" si="30"/>
        <v>1.1078340922661674</v>
      </c>
      <c r="J54" s="23">
        <f t="shared" si="31"/>
        <v>1.1155889309120304</v>
      </c>
      <c r="K54" s="23">
        <f t="shared" si="32"/>
        <v>1.1211668755665904</v>
      </c>
      <c r="L54" s="23">
        <f t="shared" si="32"/>
        <v>1.1256515430688567</v>
      </c>
      <c r="M54" s="23">
        <f t="shared" si="32"/>
        <v>1.163923695533198</v>
      </c>
      <c r="N54" s="23">
        <f t="shared" si="32"/>
        <v>1.1965135590081275</v>
      </c>
      <c r="O54" s="23">
        <f t="shared" si="34"/>
        <v>1.1953170454491193</v>
      </c>
      <c r="P54" s="23">
        <f t="shared" si="34"/>
        <v>1.1965123624945684</v>
      </c>
      <c r="Q54" s="23">
        <f t="shared" si="1"/>
        <v>1.1965123624945684</v>
      </c>
      <c r="R54" s="23">
        <f t="shared" si="2"/>
        <v>1.1965123624945684</v>
      </c>
      <c r="S54" s="23">
        <f t="shared" si="3"/>
        <v>1.1965123624945684</v>
      </c>
      <c r="T54" s="23">
        <f t="shared" si="4"/>
        <v>1.1965123624945684</v>
      </c>
      <c r="U54" s="23">
        <f t="shared" si="5"/>
        <v>1.1965123624945684</v>
      </c>
      <c r="V54" s="23">
        <f t="shared" si="6"/>
        <v>1.1965123624945684</v>
      </c>
      <c r="W54" s="23">
        <f t="shared" si="7"/>
        <v>1.1965123624945684</v>
      </c>
      <c r="X54" s="23">
        <f t="shared" si="8"/>
        <v>1.1965123624945684</v>
      </c>
      <c r="Y54" s="23">
        <f t="shared" si="9"/>
        <v>1.1965123624945684</v>
      </c>
      <c r="Z54" s="23">
        <f t="shared" si="10"/>
        <v>1.1965123624945684</v>
      </c>
      <c r="AA54" s="23">
        <f t="shared" si="11"/>
        <v>1.1965123624945684</v>
      </c>
      <c r="AB54" s="23">
        <f t="shared" si="12"/>
        <v>1.1965123624945684</v>
      </c>
      <c r="AC54" s="23">
        <f t="shared" si="13"/>
        <v>1.1965123624945684</v>
      </c>
      <c r="AD54" s="23">
        <f t="shared" si="14"/>
        <v>1.1965123624945684</v>
      </c>
      <c r="AE54" s="23">
        <f t="shared" si="15"/>
        <v>1.1965123624945684</v>
      </c>
      <c r="AF54" s="23">
        <f t="shared" si="16"/>
        <v>1.1965123624945684</v>
      </c>
      <c r="AG54" s="23">
        <f t="shared" si="17"/>
        <v>1.1965123624945684</v>
      </c>
      <c r="AH54" s="23">
        <f t="shared" si="18"/>
        <v>1.1965123624945684</v>
      </c>
      <c r="AI54" s="23">
        <f t="shared" si="19"/>
        <v>1.1965123624945684</v>
      </c>
      <c r="AJ54" s="23">
        <f t="shared" si="20"/>
        <v>1.1965123624945684</v>
      </c>
      <c r="AK54" s="23">
        <f t="shared" si="21"/>
        <v>1.1965123624945684</v>
      </c>
      <c r="AL54" s="23">
        <f t="shared" si="22"/>
        <v>1.1965123624945684</v>
      </c>
      <c r="AM54" s="23">
        <f t="shared" si="23"/>
        <v>1.1965123624945684</v>
      </c>
      <c r="AN54" s="23">
        <f t="shared" si="24"/>
        <v>1.1965123624945684</v>
      </c>
      <c r="AO54" s="23">
        <f t="shared" si="25"/>
        <v>1.1965123624945684</v>
      </c>
      <c r="AP54" s="23">
        <f t="shared" si="26"/>
        <v>1.1965123624945684</v>
      </c>
      <c r="AQ54" s="23">
        <f t="shared" si="27"/>
        <v>1.1965123624945684</v>
      </c>
      <c r="AR54" s="23">
        <f t="shared" si="28"/>
        <v>1.1965123624945684</v>
      </c>
      <c r="AS54" s="23">
        <f t="shared" si="29"/>
        <v>1.1965123624945684</v>
      </c>
      <c r="AT54" s="24"/>
      <c r="AU54" s="387" t="s">
        <v>22697</v>
      </c>
      <c r="AV54" s="21" t="s">
        <v>24726</v>
      </c>
      <c r="AW54"/>
      <c r="AX54" s="19"/>
      <c r="BB54" s="397">
        <v>2016</v>
      </c>
      <c r="BC54" s="411">
        <f>0.25/1000</f>
        <v>2.5000000000000001E-4</v>
      </c>
      <c r="BE54"/>
      <c r="BF54"/>
      <c r="BI54" s="10"/>
      <c r="BJ54" s="10"/>
      <c r="BK54"/>
      <c r="BL54"/>
      <c r="BM54"/>
      <c r="BN54" s="10"/>
      <c r="BO54" s="10"/>
    </row>
    <row r="55" spans="1:67">
      <c r="A55" s="407">
        <v>2009</v>
      </c>
      <c r="B55" s="408">
        <v>1.05</v>
      </c>
      <c r="C55" s="408">
        <v>1.0780000000000001</v>
      </c>
      <c r="D55" s="22">
        <v>1.091</v>
      </c>
      <c r="E55" s="22">
        <v>1.0898450640000001</v>
      </c>
      <c r="F55" s="23">
        <v>1.0942044442560002</v>
      </c>
      <c r="G55" s="23">
        <f t="shared" si="30"/>
        <v>1.0974870575887681</v>
      </c>
      <c r="H55" s="23">
        <f t="shared" si="30"/>
        <v>1.0952920834735906</v>
      </c>
      <c r="I55" s="23">
        <f t="shared" si="30"/>
        <v>1.099673251807485</v>
      </c>
      <c r="J55" s="23">
        <f t="shared" si="31"/>
        <v>1.1073709645701373</v>
      </c>
      <c r="K55" s="23">
        <f t="shared" si="32"/>
        <v>1.1129078193929878</v>
      </c>
      <c r="L55" s="23">
        <f t="shared" si="32"/>
        <v>1.1173594506705598</v>
      </c>
      <c r="M55" s="23">
        <f t="shared" si="32"/>
        <v>1.1553496719933589</v>
      </c>
      <c r="N55" s="23">
        <f t="shared" si="32"/>
        <v>1.187699462809173</v>
      </c>
      <c r="O55" s="23">
        <f t="shared" si="34"/>
        <v>1.1865117633463638</v>
      </c>
      <c r="P55" s="23">
        <f t="shared" si="34"/>
        <v>1.18769827510971</v>
      </c>
      <c r="Q55" s="23">
        <f t="shared" si="1"/>
        <v>1.18769827510971</v>
      </c>
      <c r="R55" s="23">
        <f t="shared" si="2"/>
        <v>1.18769827510971</v>
      </c>
      <c r="S55" s="23">
        <f t="shared" si="3"/>
        <v>1.18769827510971</v>
      </c>
      <c r="T55" s="23">
        <f t="shared" si="4"/>
        <v>1.18769827510971</v>
      </c>
      <c r="U55" s="23">
        <f t="shared" si="5"/>
        <v>1.18769827510971</v>
      </c>
      <c r="V55" s="23">
        <f t="shared" si="6"/>
        <v>1.18769827510971</v>
      </c>
      <c r="W55" s="23">
        <f t="shared" si="7"/>
        <v>1.18769827510971</v>
      </c>
      <c r="X55" s="23">
        <f t="shared" si="8"/>
        <v>1.18769827510971</v>
      </c>
      <c r="Y55" s="23">
        <f t="shared" si="9"/>
        <v>1.18769827510971</v>
      </c>
      <c r="Z55" s="23">
        <f t="shared" si="10"/>
        <v>1.18769827510971</v>
      </c>
      <c r="AA55" s="23">
        <f t="shared" si="11"/>
        <v>1.18769827510971</v>
      </c>
      <c r="AB55" s="23">
        <f t="shared" si="12"/>
        <v>1.18769827510971</v>
      </c>
      <c r="AC55" s="23">
        <f t="shared" si="13"/>
        <v>1.18769827510971</v>
      </c>
      <c r="AD55" s="23">
        <f t="shared" si="14"/>
        <v>1.18769827510971</v>
      </c>
      <c r="AE55" s="23">
        <f t="shared" si="15"/>
        <v>1.18769827510971</v>
      </c>
      <c r="AF55" s="23">
        <f t="shared" si="16"/>
        <v>1.18769827510971</v>
      </c>
      <c r="AG55" s="23">
        <f t="shared" si="17"/>
        <v>1.18769827510971</v>
      </c>
      <c r="AH55" s="23">
        <f t="shared" si="18"/>
        <v>1.18769827510971</v>
      </c>
      <c r="AI55" s="23">
        <f t="shared" si="19"/>
        <v>1.18769827510971</v>
      </c>
      <c r="AJ55" s="23">
        <f t="shared" si="20"/>
        <v>1.18769827510971</v>
      </c>
      <c r="AK55" s="23">
        <f t="shared" si="21"/>
        <v>1.18769827510971</v>
      </c>
      <c r="AL55" s="23">
        <f t="shared" si="22"/>
        <v>1.18769827510971</v>
      </c>
      <c r="AM55" s="23">
        <f t="shared" si="23"/>
        <v>1.18769827510971</v>
      </c>
      <c r="AN55" s="23">
        <f t="shared" si="24"/>
        <v>1.18769827510971</v>
      </c>
      <c r="AO55" s="23">
        <f t="shared" si="25"/>
        <v>1.18769827510971</v>
      </c>
      <c r="AP55" s="23">
        <f t="shared" si="26"/>
        <v>1.18769827510971</v>
      </c>
      <c r="AQ55" s="23">
        <f t="shared" si="27"/>
        <v>1.18769827510971</v>
      </c>
      <c r="AR55" s="23">
        <f t="shared" si="28"/>
        <v>1.18769827510971</v>
      </c>
      <c r="AS55" s="23">
        <f t="shared" si="29"/>
        <v>1.18769827510971</v>
      </c>
      <c r="AT55" s="24"/>
      <c r="AU55" s="397" t="s">
        <v>273</v>
      </c>
      <c r="AV55" s="3324">
        <v>2.4E-2</v>
      </c>
      <c r="AW55"/>
      <c r="AX55" s="19"/>
      <c r="BB55" s="397">
        <v>2017</v>
      </c>
      <c r="BC55" s="411">
        <f>0.27/1000</f>
        <v>2.7E-4</v>
      </c>
      <c r="BE55"/>
      <c r="BF55"/>
      <c r="BI55" s="10"/>
      <c r="BJ55" s="10"/>
      <c r="BK55"/>
      <c r="BL55"/>
      <c r="BM55"/>
      <c r="BN55" s="10"/>
      <c r="BO55" s="10"/>
    </row>
    <row r="56" spans="1:67">
      <c r="A56" s="409">
        <v>2010</v>
      </c>
      <c r="B56" s="408">
        <v>1.05</v>
      </c>
      <c r="C56" s="408">
        <v>1.0780000000000001</v>
      </c>
      <c r="D56" s="22">
        <v>1.091</v>
      </c>
      <c r="E56" s="22">
        <v>1.0898450640000001</v>
      </c>
      <c r="F56" s="23">
        <v>1.0942044442560002</v>
      </c>
      <c r="G56" s="23">
        <f t="shared" si="30"/>
        <v>1.0974870575887681</v>
      </c>
      <c r="H56" s="23">
        <f t="shared" si="30"/>
        <v>1.0952920834735906</v>
      </c>
      <c r="I56" s="23">
        <f t="shared" si="30"/>
        <v>1.099673251807485</v>
      </c>
      <c r="J56" s="23">
        <f t="shared" si="31"/>
        <v>1.1073709645701373</v>
      </c>
      <c r="K56" s="23">
        <f t="shared" si="32"/>
        <v>1.1129078193929878</v>
      </c>
      <c r="L56" s="23">
        <f t="shared" si="32"/>
        <v>1.1173594506705598</v>
      </c>
      <c r="M56" s="23">
        <f t="shared" si="32"/>
        <v>1.1553496719933589</v>
      </c>
      <c r="N56" s="23">
        <f t="shared" si="32"/>
        <v>1.187699462809173</v>
      </c>
      <c r="O56" s="23">
        <f t="shared" si="34"/>
        <v>1.1865117633463638</v>
      </c>
      <c r="P56" s="23">
        <f t="shared" si="34"/>
        <v>1.18769827510971</v>
      </c>
      <c r="Q56" s="23">
        <f t="shared" si="1"/>
        <v>1.18769827510971</v>
      </c>
      <c r="R56" s="23">
        <f t="shared" si="2"/>
        <v>1.18769827510971</v>
      </c>
      <c r="S56" s="23">
        <f t="shared" si="3"/>
        <v>1.18769827510971</v>
      </c>
      <c r="T56" s="23">
        <f t="shared" si="4"/>
        <v>1.18769827510971</v>
      </c>
      <c r="U56" s="23">
        <f t="shared" si="5"/>
        <v>1.18769827510971</v>
      </c>
      <c r="V56" s="23">
        <f t="shared" si="6"/>
        <v>1.18769827510971</v>
      </c>
      <c r="W56" s="23">
        <f t="shared" si="7"/>
        <v>1.18769827510971</v>
      </c>
      <c r="X56" s="23">
        <f t="shared" si="8"/>
        <v>1.18769827510971</v>
      </c>
      <c r="Y56" s="23">
        <f t="shared" si="9"/>
        <v>1.18769827510971</v>
      </c>
      <c r="Z56" s="23">
        <f t="shared" si="10"/>
        <v>1.18769827510971</v>
      </c>
      <c r="AA56" s="23">
        <f t="shared" si="11"/>
        <v>1.18769827510971</v>
      </c>
      <c r="AB56" s="23">
        <f t="shared" si="12"/>
        <v>1.18769827510971</v>
      </c>
      <c r="AC56" s="23">
        <f t="shared" si="13"/>
        <v>1.18769827510971</v>
      </c>
      <c r="AD56" s="23">
        <f t="shared" si="14"/>
        <v>1.18769827510971</v>
      </c>
      <c r="AE56" s="23">
        <f t="shared" si="15"/>
        <v>1.18769827510971</v>
      </c>
      <c r="AF56" s="23">
        <f t="shared" si="16"/>
        <v>1.18769827510971</v>
      </c>
      <c r="AG56" s="23">
        <f t="shared" si="17"/>
        <v>1.18769827510971</v>
      </c>
      <c r="AH56" s="23">
        <f t="shared" si="18"/>
        <v>1.18769827510971</v>
      </c>
      <c r="AI56" s="23">
        <f t="shared" si="19"/>
        <v>1.18769827510971</v>
      </c>
      <c r="AJ56" s="23">
        <f t="shared" si="20"/>
        <v>1.18769827510971</v>
      </c>
      <c r="AK56" s="23">
        <f t="shared" si="21"/>
        <v>1.18769827510971</v>
      </c>
      <c r="AL56" s="23">
        <f t="shared" si="22"/>
        <v>1.18769827510971</v>
      </c>
      <c r="AM56" s="23">
        <f t="shared" si="23"/>
        <v>1.18769827510971</v>
      </c>
      <c r="AN56" s="23">
        <f t="shared" si="24"/>
        <v>1.18769827510971</v>
      </c>
      <c r="AO56" s="23">
        <f t="shared" si="25"/>
        <v>1.18769827510971</v>
      </c>
      <c r="AP56" s="23">
        <f t="shared" si="26"/>
        <v>1.18769827510971</v>
      </c>
      <c r="AQ56" s="23">
        <f t="shared" si="27"/>
        <v>1.18769827510971</v>
      </c>
      <c r="AR56" s="23">
        <f t="shared" si="28"/>
        <v>1.18769827510971</v>
      </c>
      <c r="AS56" s="23">
        <f t="shared" si="29"/>
        <v>1.18769827510971</v>
      </c>
      <c r="AT56" s="24"/>
      <c r="AU56" s="397" t="s">
        <v>274</v>
      </c>
      <c r="AV56" s="3324">
        <v>3.5000000000000003E-2</v>
      </c>
      <c r="AW56"/>
      <c r="AX56" s="19"/>
      <c r="BB56" s="397">
        <v>2018</v>
      </c>
      <c r="BC56" s="411">
        <f>0.27/1000</f>
        <v>2.7E-4</v>
      </c>
      <c r="BE56"/>
      <c r="BF56"/>
      <c r="BI56" s="10"/>
      <c r="BJ56" s="10"/>
      <c r="BK56"/>
      <c r="BL56"/>
      <c r="BM56"/>
    </row>
    <row r="57" spans="1:67">
      <c r="A57" s="409">
        <v>2011</v>
      </c>
      <c r="B57" s="408">
        <v>1.034</v>
      </c>
      <c r="C57" s="408">
        <v>1.0620000000000001</v>
      </c>
      <c r="D57" s="22">
        <v>1.075</v>
      </c>
      <c r="E57" s="22">
        <v>1.0736692560000001</v>
      </c>
      <c r="F57" s="23">
        <v>1.0779639330240001</v>
      </c>
      <c r="G57" s="23">
        <f t="shared" si="30"/>
        <v>1.081197824823072</v>
      </c>
      <c r="H57" s="23">
        <f t="shared" si="30"/>
        <v>1.0790354291734259</v>
      </c>
      <c r="I57" s="23">
        <f t="shared" si="30"/>
        <v>1.0833515708901196</v>
      </c>
      <c r="J57" s="23">
        <f t="shared" si="31"/>
        <v>1.0909350318863502</v>
      </c>
      <c r="K57" s="23">
        <f t="shared" si="32"/>
        <v>1.0963897070457818</v>
      </c>
      <c r="L57" s="23">
        <f t="shared" si="32"/>
        <v>1.1007752658739649</v>
      </c>
      <c r="M57" s="23">
        <f t="shared" si="32"/>
        <v>1.1382016249136797</v>
      </c>
      <c r="N57" s="23">
        <f t="shared" si="32"/>
        <v>1.1700712704112628</v>
      </c>
      <c r="O57" s="23">
        <f t="shared" si="34"/>
        <v>1.1689011991408516</v>
      </c>
      <c r="P57" s="23">
        <f t="shared" si="34"/>
        <v>1.1700701003399923</v>
      </c>
      <c r="Q57" s="23">
        <f t="shared" si="1"/>
        <v>1.1700701003399923</v>
      </c>
      <c r="R57" s="23">
        <f t="shared" si="2"/>
        <v>1.1700701003399923</v>
      </c>
      <c r="S57" s="23">
        <f t="shared" si="3"/>
        <v>1.1700701003399923</v>
      </c>
      <c r="T57" s="23">
        <f t="shared" si="4"/>
        <v>1.1700701003399923</v>
      </c>
      <c r="U57" s="23">
        <f t="shared" si="5"/>
        <v>1.1700701003399923</v>
      </c>
      <c r="V57" s="23">
        <f t="shared" si="6"/>
        <v>1.1700701003399923</v>
      </c>
      <c r="W57" s="23">
        <f t="shared" si="7"/>
        <v>1.1700701003399923</v>
      </c>
      <c r="X57" s="23">
        <f t="shared" si="8"/>
        <v>1.1700701003399923</v>
      </c>
      <c r="Y57" s="23">
        <f t="shared" si="9"/>
        <v>1.1700701003399923</v>
      </c>
      <c r="Z57" s="23">
        <f t="shared" si="10"/>
        <v>1.1700701003399923</v>
      </c>
      <c r="AA57" s="23">
        <f t="shared" si="11"/>
        <v>1.1700701003399923</v>
      </c>
      <c r="AB57" s="23">
        <f t="shared" si="12"/>
        <v>1.1700701003399923</v>
      </c>
      <c r="AC57" s="23">
        <f t="shared" si="13"/>
        <v>1.1700701003399923</v>
      </c>
      <c r="AD57" s="23">
        <f t="shared" si="14"/>
        <v>1.1700701003399923</v>
      </c>
      <c r="AE57" s="23">
        <f t="shared" si="15"/>
        <v>1.1700701003399923</v>
      </c>
      <c r="AF57" s="23">
        <f t="shared" si="16"/>
        <v>1.1700701003399923</v>
      </c>
      <c r="AG57" s="23">
        <f t="shared" si="17"/>
        <v>1.1700701003399923</v>
      </c>
      <c r="AH57" s="23">
        <f t="shared" si="18"/>
        <v>1.1700701003399923</v>
      </c>
      <c r="AI57" s="23">
        <f t="shared" si="19"/>
        <v>1.1700701003399923</v>
      </c>
      <c r="AJ57" s="23">
        <f t="shared" si="20"/>
        <v>1.1700701003399923</v>
      </c>
      <c r="AK57" s="23">
        <f t="shared" si="21"/>
        <v>1.1700701003399923</v>
      </c>
      <c r="AL57" s="23">
        <f t="shared" si="22"/>
        <v>1.1700701003399923</v>
      </c>
      <c r="AM57" s="23">
        <f t="shared" si="23"/>
        <v>1.1700701003399923</v>
      </c>
      <c r="AN57" s="23">
        <f t="shared" si="24"/>
        <v>1.1700701003399923</v>
      </c>
      <c r="AO57" s="23">
        <f t="shared" si="25"/>
        <v>1.1700701003399923</v>
      </c>
      <c r="AP57" s="23">
        <f t="shared" si="26"/>
        <v>1.1700701003399923</v>
      </c>
      <c r="AQ57" s="23">
        <f t="shared" si="27"/>
        <v>1.1700701003399923</v>
      </c>
      <c r="AR57" s="23">
        <f t="shared" si="28"/>
        <v>1.1700701003399923</v>
      </c>
      <c r="AS57" s="23">
        <f t="shared" si="29"/>
        <v>1.1700701003399923</v>
      </c>
      <c r="AT57" s="24"/>
      <c r="AU57" s="397" t="s">
        <v>275</v>
      </c>
      <c r="AV57" s="3324">
        <v>7.9000000000000001E-2</v>
      </c>
      <c r="AW57"/>
      <c r="AX57" s="19"/>
      <c r="BB57" s="397">
        <v>2019</v>
      </c>
      <c r="BC57" s="2425">
        <f>0.27/1000</f>
        <v>2.7E-4</v>
      </c>
      <c r="BE57"/>
      <c r="BF57"/>
      <c r="BI57" s="10"/>
      <c r="BJ57" s="10"/>
      <c r="BK57"/>
      <c r="BL57"/>
      <c r="BM57"/>
    </row>
    <row r="58" spans="1:67">
      <c r="A58" s="409">
        <v>2012</v>
      </c>
      <c r="B58" s="410">
        <v>1</v>
      </c>
      <c r="C58" s="408">
        <v>1.0269999999999999</v>
      </c>
      <c r="D58" s="22">
        <v>1.0389999999999999</v>
      </c>
      <c r="E58" s="22">
        <v>1.038284676</v>
      </c>
      <c r="F58" s="23">
        <v>1.0424378147039999</v>
      </c>
      <c r="G58" s="23">
        <f t="shared" si="30"/>
        <v>1.0455651281481118</v>
      </c>
      <c r="H58" s="23">
        <f t="shared" si="30"/>
        <v>1.0434739978918155</v>
      </c>
      <c r="I58" s="23">
        <f t="shared" si="30"/>
        <v>1.0476478938833829</v>
      </c>
      <c r="J58" s="23">
        <f t="shared" si="31"/>
        <v>1.0549814291405664</v>
      </c>
      <c r="K58" s="23">
        <f t="shared" si="32"/>
        <v>1.0602563362862691</v>
      </c>
      <c r="L58" s="23">
        <f t="shared" si="32"/>
        <v>1.0644973616314142</v>
      </c>
      <c r="M58" s="23">
        <f t="shared" si="32"/>
        <v>1.1006902719268823</v>
      </c>
      <c r="N58" s="23">
        <f t="shared" si="32"/>
        <v>1.1315095995408351</v>
      </c>
      <c r="O58" s="23">
        <f t="shared" si="34"/>
        <v>1.1303780899412943</v>
      </c>
      <c r="P58" s="23">
        <f t="shared" si="34"/>
        <v>1.1315084680312355</v>
      </c>
      <c r="Q58" s="23">
        <f t="shared" si="1"/>
        <v>1.1315084680312355</v>
      </c>
      <c r="R58" s="23">
        <f t="shared" si="2"/>
        <v>1.1315084680312355</v>
      </c>
      <c r="S58" s="23">
        <f t="shared" si="3"/>
        <v>1.1315084680312355</v>
      </c>
      <c r="T58" s="23">
        <f t="shared" si="4"/>
        <v>1.1315084680312355</v>
      </c>
      <c r="U58" s="23">
        <f t="shared" si="5"/>
        <v>1.1315084680312355</v>
      </c>
      <c r="V58" s="23">
        <f t="shared" si="6"/>
        <v>1.1315084680312355</v>
      </c>
      <c r="W58" s="23">
        <f t="shared" si="7"/>
        <v>1.1315084680312355</v>
      </c>
      <c r="X58" s="23">
        <f t="shared" si="8"/>
        <v>1.1315084680312355</v>
      </c>
      <c r="Y58" s="23">
        <f t="shared" si="9"/>
        <v>1.1315084680312355</v>
      </c>
      <c r="Z58" s="23">
        <f t="shared" si="10"/>
        <v>1.1315084680312355</v>
      </c>
      <c r="AA58" s="23">
        <f t="shared" si="11"/>
        <v>1.1315084680312355</v>
      </c>
      <c r="AB58" s="23">
        <f t="shared" si="12"/>
        <v>1.1315084680312355</v>
      </c>
      <c r="AC58" s="23">
        <f t="shared" si="13"/>
        <v>1.1315084680312355</v>
      </c>
      <c r="AD58" s="23">
        <f t="shared" si="14"/>
        <v>1.1315084680312355</v>
      </c>
      <c r="AE58" s="23">
        <f t="shared" si="15"/>
        <v>1.1315084680312355</v>
      </c>
      <c r="AF58" s="23">
        <f t="shared" si="16"/>
        <v>1.1315084680312355</v>
      </c>
      <c r="AG58" s="23">
        <f t="shared" si="17"/>
        <v>1.1315084680312355</v>
      </c>
      <c r="AH58" s="23">
        <f t="shared" si="18"/>
        <v>1.1315084680312355</v>
      </c>
      <c r="AI58" s="23">
        <f t="shared" si="19"/>
        <v>1.1315084680312355</v>
      </c>
      <c r="AJ58" s="23">
        <f t="shared" si="20"/>
        <v>1.1315084680312355</v>
      </c>
      <c r="AK58" s="23">
        <f t="shared" si="21"/>
        <v>1.1315084680312355</v>
      </c>
      <c r="AL58" s="23">
        <f t="shared" si="22"/>
        <v>1.1315084680312355</v>
      </c>
      <c r="AM58" s="23">
        <f t="shared" si="23"/>
        <v>1.1315084680312355</v>
      </c>
      <c r="AN58" s="23">
        <f t="shared" si="24"/>
        <v>1.1315084680312355</v>
      </c>
      <c r="AO58" s="23">
        <f t="shared" si="25"/>
        <v>1.1315084680312355</v>
      </c>
      <c r="AP58" s="23">
        <f t="shared" si="26"/>
        <v>1.1315084680312355</v>
      </c>
      <c r="AQ58" s="23">
        <f t="shared" si="27"/>
        <v>1.1315084680312355</v>
      </c>
      <c r="AR58" s="23">
        <f t="shared" si="28"/>
        <v>1.1315084680312355</v>
      </c>
      <c r="AS58" s="23">
        <f t="shared" si="29"/>
        <v>1.1315084680312355</v>
      </c>
      <c r="AT58" s="24"/>
      <c r="AU58" s="61"/>
      <c r="AV58" s="31"/>
      <c r="AW58" s="61"/>
      <c r="AX58" s="19"/>
      <c r="BB58" s="397">
        <v>2020</v>
      </c>
      <c r="BC58" s="2425">
        <v>2.7E-4</v>
      </c>
      <c r="BE58"/>
    </row>
    <row r="59" spans="1:67">
      <c r="A59" s="409">
        <v>2013</v>
      </c>
      <c r="C59" s="410">
        <v>1</v>
      </c>
      <c r="D59" s="22">
        <v>1.012</v>
      </c>
      <c r="E59" s="22">
        <v>1.010988</v>
      </c>
      <c r="F59" s="23">
        <v>1.015031952</v>
      </c>
      <c r="G59" s="23">
        <f t="shared" si="30"/>
        <v>1.018077047856</v>
      </c>
      <c r="H59" s="23">
        <f t="shared" si="30"/>
        <v>1.0160408937602881</v>
      </c>
      <c r="I59" s="23">
        <f t="shared" si="30"/>
        <v>1.0201050573353292</v>
      </c>
      <c r="J59" s="23">
        <f t="shared" si="31"/>
        <v>1.0272457927366765</v>
      </c>
      <c r="K59" s="23">
        <f t="shared" si="32"/>
        <v>1.0323820217003599</v>
      </c>
      <c r="L59" s="23">
        <f t="shared" si="32"/>
        <v>1.0365115497871613</v>
      </c>
      <c r="M59" s="23">
        <f t="shared" si="32"/>
        <v>1.0717529424799248</v>
      </c>
      <c r="N59" s="23">
        <f t="shared" si="32"/>
        <v>1.1017620248693627</v>
      </c>
      <c r="O59" s="23">
        <f t="shared" si="34"/>
        <v>1.1006602628444933</v>
      </c>
      <c r="P59" s="23">
        <f t="shared" si="34"/>
        <v>1.1017609231073375</v>
      </c>
      <c r="Q59" s="23">
        <f t="shared" si="1"/>
        <v>1.1017609231073375</v>
      </c>
      <c r="R59" s="23">
        <f t="shared" si="2"/>
        <v>1.1017609231073375</v>
      </c>
      <c r="S59" s="23">
        <f t="shared" si="3"/>
        <v>1.1017609231073375</v>
      </c>
      <c r="T59" s="23">
        <f t="shared" si="4"/>
        <v>1.1017609231073375</v>
      </c>
      <c r="U59" s="23">
        <f t="shared" si="5"/>
        <v>1.1017609231073375</v>
      </c>
      <c r="V59" s="23">
        <f t="shared" si="6"/>
        <v>1.1017609231073375</v>
      </c>
      <c r="W59" s="23">
        <f t="shared" si="7"/>
        <v>1.1017609231073375</v>
      </c>
      <c r="X59" s="23">
        <f t="shared" si="8"/>
        <v>1.1017609231073375</v>
      </c>
      <c r="Y59" s="23">
        <f t="shared" si="9"/>
        <v>1.1017609231073375</v>
      </c>
      <c r="Z59" s="23">
        <f t="shared" si="10"/>
        <v>1.1017609231073375</v>
      </c>
      <c r="AA59" s="23">
        <f t="shared" si="11"/>
        <v>1.1017609231073375</v>
      </c>
      <c r="AB59" s="23">
        <f t="shared" si="12"/>
        <v>1.1017609231073375</v>
      </c>
      <c r="AC59" s="23">
        <f t="shared" si="13"/>
        <v>1.1017609231073375</v>
      </c>
      <c r="AD59" s="23">
        <f t="shared" si="14"/>
        <v>1.1017609231073375</v>
      </c>
      <c r="AE59" s="23">
        <f t="shared" si="15"/>
        <v>1.1017609231073375</v>
      </c>
      <c r="AF59" s="23">
        <f t="shared" si="16"/>
        <v>1.1017609231073375</v>
      </c>
      <c r="AG59" s="23">
        <f t="shared" si="17"/>
        <v>1.1017609231073375</v>
      </c>
      <c r="AH59" s="23">
        <f t="shared" si="18"/>
        <v>1.1017609231073375</v>
      </c>
      <c r="AI59" s="23">
        <f t="shared" si="19"/>
        <v>1.1017609231073375</v>
      </c>
      <c r="AJ59" s="23">
        <f t="shared" si="20"/>
        <v>1.1017609231073375</v>
      </c>
      <c r="AK59" s="23">
        <f t="shared" si="21"/>
        <v>1.1017609231073375</v>
      </c>
      <c r="AL59" s="23">
        <f t="shared" si="22"/>
        <v>1.1017609231073375</v>
      </c>
      <c r="AM59" s="23">
        <f t="shared" si="23"/>
        <v>1.1017609231073375</v>
      </c>
      <c r="AN59" s="23">
        <f t="shared" si="24"/>
        <v>1.1017609231073375</v>
      </c>
      <c r="AO59" s="23">
        <f t="shared" si="25"/>
        <v>1.1017609231073375</v>
      </c>
      <c r="AP59" s="23">
        <f t="shared" si="26"/>
        <v>1.1017609231073375</v>
      </c>
      <c r="AQ59" s="23">
        <f t="shared" si="27"/>
        <v>1.1017609231073375</v>
      </c>
      <c r="AR59" s="23">
        <f t="shared" si="28"/>
        <v>1.1017609231073375</v>
      </c>
      <c r="AS59" s="23">
        <f t="shared" si="29"/>
        <v>1.1017609231073375</v>
      </c>
      <c r="AT59" s="24"/>
      <c r="AU59" s="61"/>
      <c r="AV59" s="31"/>
      <c r="AW59" s="61"/>
      <c r="AX59" s="19"/>
      <c r="BB59" s="397">
        <v>2021</v>
      </c>
      <c r="BC59" s="2425">
        <v>2.7E-4</v>
      </c>
      <c r="BE59"/>
    </row>
    <row r="60" spans="1:67">
      <c r="A60" s="409">
        <v>2014</v>
      </c>
      <c r="D60" s="34">
        <v>1</v>
      </c>
      <c r="E60" s="22">
        <v>0.999</v>
      </c>
      <c r="F60" s="23">
        <v>1.002996</v>
      </c>
      <c r="G60" s="23">
        <f t="shared" si="30"/>
        <v>1.0060049879999999</v>
      </c>
      <c r="H60" s="23">
        <f t="shared" si="30"/>
        <v>1.003992978024</v>
      </c>
      <c r="I60" s="23">
        <f t="shared" si="30"/>
        <v>1.008008949936096</v>
      </c>
      <c r="J60" s="23">
        <f t="shared" si="31"/>
        <v>1.0150650125856486</v>
      </c>
      <c r="K60" s="23">
        <f t="shared" si="32"/>
        <v>1.0201403376485767</v>
      </c>
      <c r="L60" s="23">
        <f t="shared" si="32"/>
        <v>1.024220898999171</v>
      </c>
      <c r="M60" s="23">
        <f t="shared" si="32"/>
        <v>1.0590444095651428</v>
      </c>
      <c r="N60" s="23">
        <f t="shared" si="32"/>
        <v>1.0886976530329668</v>
      </c>
      <c r="O60" s="23">
        <f t="shared" si="34"/>
        <v>1.087608955379934</v>
      </c>
      <c r="P60" s="23">
        <f t="shared" si="34"/>
        <v>1.0886965643353137</v>
      </c>
      <c r="Q60" s="23">
        <f t="shared" si="1"/>
        <v>1.0886965643353137</v>
      </c>
      <c r="R60" s="23">
        <f t="shared" si="2"/>
        <v>1.0886965643353137</v>
      </c>
      <c r="S60" s="23">
        <f t="shared" si="3"/>
        <v>1.0886965643353137</v>
      </c>
      <c r="T60" s="23">
        <f t="shared" si="4"/>
        <v>1.0886965643353137</v>
      </c>
      <c r="U60" s="23">
        <f t="shared" si="5"/>
        <v>1.0886965643353137</v>
      </c>
      <c r="V60" s="23">
        <f t="shared" si="6"/>
        <v>1.0886965643353137</v>
      </c>
      <c r="W60" s="23">
        <f t="shared" si="7"/>
        <v>1.0886965643353137</v>
      </c>
      <c r="X60" s="23">
        <f t="shared" si="8"/>
        <v>1.0886965643353137</v>
      </c>
      <c r="Y60" s="23">
        <f t="shared" si="9"/>
        <v>1.0886965643353137</v>
      </c>
      <c r="Z60" s="23">
        <f t="shared" si="10"/>
        <v>1.0886965643353137</v>
      </c>
      <c r="AA60" s="23">
        <f t="shared" si="11"/>
        <v>1.0886965643353137</v>
      </c>
      <c r="AB60" s="23">
        <f t="shared" si="12"/>
        <v>1.0886965643353137</v>
      </c>
      <c r="AC60" s="23">
        <f t="shared" si="13"/>
        <v>1.0886965643353137</v>
      </c>
      <c r="AD60" s="23">
        <f t="shared" si="14"/>
        <v>1.0886965643353137</v>
      </c>
      <c r="AE60" s="23">
        <f t="shared" si="15"/>
        <v>1.0886965643353137</v>
      </c>
      <c r="AF60" s="23">
        <f t="shared" si="16"/>
        <v>1.0886965643353137</v>
      </c>
      <c r="AG60" s="23">
        <f t="shared" si="17"/>
        <v>1.0886965643353137</v>
      </c>
      <c r="AH60" s="23">
        <f t="shared" si="18"/>
        <v>1.0886965643353137</v>
      </c>
      <c r="AI60" s="23">
        <f t="shared" si="19"/>
        <v>1.0886965643353137</v>
      </c>
      <c r="AJ60" s="23">
        <f t="shared" si="20"/>
        <v>1.0886965643353137</v>
      </c>
      <c r="AK60" s="23">
        <f t="shared" si="21"/>
        <v>1.0886965643353137</v>
      </c>
      <c r="AL60" s="23">
        <f t="shared" si="22"/>
        <v>1.0886965643353137</v>
      </c>
      <c r="AM60" s="23">
        <f t="shared" si="23"/>
        <v>1.0886965643353137</v>
      </c>
      <c r="AN60" s="23">
        <f t="shared" si="24"/>
        <v>1.0886965643353137</v>
      </c>
      <c r="AO60" s="23">
        <f t="shared" si="25"/>
        <v>1.0886965643353137</v>
      </c>
      <c r="AP60" s="23">
        <f t="shared" si="26"/>
        <v>1.0886965643353137</v>
      </c>
      <c r="AQ60" s="23">
        <f t="shared" si="27"/>
        <v>1.0886965643353137</v>
      </c>
      <c r="AR60" s="23">
        <f t="shared" si="28"/>
        <v>1.0886965643353137</v>
      </c>
      <c r="AS60" s="23">
        <f t="shared" si="29"/>
        <v>1.0886965643353137</v>
      </c>
      <c r="AT60" s="24"/>
      <c r="AU60" s="387" t="s">
        <v>22697</v>
      </c>
      <c r="AV60" s="21" t="s">
        <v>31400</v>
      </c>
      <c r="AW60" s="61"/>
      <c r="AX60" s="19"/>
      <c r="BB60" s="397">
        <v>2022</v>
      </c>
      <c r="BC60" s="2425">
        <v>2.7E-4</v>
      </c>
      <c r="BE60"/>
    </row>
    <row r="61" spans="1:67">
      <c r="A61" s="409">
        <v>2015</v>
      </c>
      <c r="D61" s="19"/>
      <c r="E61" s="34">
        <v>1</v>
      </c>
      <c r="F61" s="23">
        <v>1.004</v>
      </c>
      <c r="G61" s="23">
        <f t="shared" si="30"/>
        <v>1.0070119999999998</v>
      </c>
      <c r="H61" s="23">
        <f t="shared" si="30"/>
        <v>1.0049979759999998</v>
      </c>
      <c r="I61" s="23">
        <f t="shared" si="30"/>
        <v>1.0090179679039999</v>
      </c>
      <c r="J61" s="23">
        <f t="shared" si="31"/>
        <v>1.0160810936793279</v>
      </c>
      <c r="K61" s="23">
        <f t="shared" si="32"/>
        <v>1.0211614991477245</v>
      </c>
      <c r="L61" s="23">
        <f t="shared" si="32"/>
        <v>1.0252461451443153</v>
      </c>
      <c r="M61" s="23">
        <f t="shared" si="32"/>
        <v>1.060104514079222</v>
      </c>
      <c r="N61" s="23">
        <f t="shared" si="32"/>
        <v>1.0897874404734402</v>
      </c>
      <c r="O61" s="23">
        <f t="shared" si="34"/>
        <v>1.0886976530329668</v>
      </c>
      <c r="P61" s="23">
        <f t="shared" si="34"/>
        <v>1.0897863506859997</v>
      </c>
      <c r="Q61" s="23">
        <f t="shared" si="1"/>
        <v>1.0897863506859997</v>
      </c>
      <c r="R61" s="23">
        <f t="shared" si="2"/>
        <v>1.0897863506859997</v>
      </c>
      <c r="S61" s="23">
        <f t="shared" si="3"/>
        <v>1.0897863506859997</v>
      </c>
      <c r="T61" s="23">
        <f t="shared" si="4"/>
        <v>1.0897863506859997</v>
      </c>
      <c r="U61" s="23">
        <f t="shared" si="5"/>
        <v>1.0897863506859997</v>
      </c>
      <c r="V61" s="23">
        <f t="shared" si="6"/>
        <v>1.0897863506859997</v>
      </c>
      <c r="W61" s="23">
        <f t="shared" si="7"/>
        <v>1.0897863506859997</v>
      </c>
      <c r="X61" s="23">
        <f t="shared" si="8"/>
        <v>1.0897863506859997</v>
      </c>
      <c r="Y61" s="23">
        <f t="shared" si="9"/>
        <v>1.0897863506859997</v>
      </c>
      <c r="Z61" s="23">
        <f t="shared" si="10"/>
        <v>1.0897863506859997</v>
      </c>
      <c r="AA61" s="23">
        <f t="shared" si="11"/>
        <v>1.0897863506859997</v>
      </c>
      <c r="AB61" s="23">
        <f t="shared" si="12"/>
        <v>1.0897863506859997</v>
      </c>
      <c r="AC61" s="23">
        <f t="shared" si="13"/>
        <v>1.0897863506859997</v>
      </c>
      <c r="AD61" s="23">
        <f t="shared" si="14"/>
        <v>1.0897863506859997</v>
      </c>
      <c r="AE61" s="23">
        <f t="shared" si="15"/>
        <v>1.0897863506859997</v>
      </c>
      <c r="AF61" s="23">
        <f t="shared" si="16"/>
        <v>1.0897863506859997</v>
      </c>
      <c r="AG61" s="23">
        <f t="shared" si="17"/>
        <v>1.0897863506859997</v>
      </c>
      <c r="AH61" s="23">
        <f t="shared" si="18"/>
        <v>1.0897863506859997</v>
      </c>
      <c r="AI61" s="23">
        <f t="shared" si="19"/>
        <v>1.0897863506859997</v>
      </c>
      <c r="AJ61" s="23">
        <f t="shared" si="20"/>
        <v>1.0897863506859997</v>
      </c>
      <c r="AK61" s="23">
        <f t="shared" si="21"/>
        <v>1.0897863506859997</v>
      </c>
      <c r="AL61" s="23">
        <f t="shared" si="22"/>
        <v>1.0897863506859997</v>
      </c>
      <c r="AM61" s="23">
        <f t="shared" si="23"/>
        <v>1.0897863506859997</v>
      </c>
      <c r="AN61" s="23">
        <f t="shared" si="24"/>
        <v>1.0897863506859997</v>
      </c>
      <c r="AO61" s="23">
        <f t="shared" si="25"/>
        <v>1.0897863506859997</v>
      </c>
      <c r="AP61" s="23">
        <f t="shared" si="26"/>
        <v>1.0897863506859997</v>
      </c>
      <c r="AQ61" s="23">
        <f t="shared" si="27"/>
        <v>1.0897863506859997</v>
      </c>
      <c r="AR61" s="23">
        <f t="shared" si="28"/>
        <v>1.0897863506859997</v>
      </c>
      <c r="AS61" s="23">
        <f t="shared" si="29"/>
        <v>1.0897863506859997</v>
      </c>
      <c r="AT61" s="24"/>
      <c r="AU61" s="397" t="s">
        <v>273</v>
      </c>
      <c r="AV61" s="2700">
        <v>4.3999999999999997E-2</v>
      </c>
      <c r="AW61" s="61"/>
      <c r="AX61" s="19"/>
      <c r="BB61" s="397">
        <v>2023</v>
      </c>
      <c r="BC61" s="2425">
        <v>2.7E-4</v>
      </c>
    </row>
    <row r="62" spans="1:67">
      <c r="A62" s="409">
        <v>2016</v>
      </c>
      <c r="F62" s="35">
        <v>1</v>
      </c>
      <c r="G62" s="23">
        <f t="shared" si="30"/>
        <v>1.0029999999999999</v>
      </c>
      <c r="H62" s="23">
        <f t="shared" si="30"/>
        <v>1.0009939999999999</v>
      </c>
      <c r="I62" s="23">
        <f t="shared" si="30"/>
        <v>1.0049979759999998</v>
      </c>
      <c r="J62" s="23">
        <f t="shared" si="31"/>
        <v>1.0120329618319996</v>
      </c>
      <c r="K62" s="23">
        <f t="shared" si="32"/>
        <v>1.0170931266411596</v>
      </c>
      <c r="L62" s="23">
        <f t="shared" si="32"/>
        <v>1.0211614991477242</v>
      </c>
      <c r="M62" s="23">
        <f t="shared" si="32"/>
        <v>1.0558809901187469</v>
      </c>
      <c r="N62" s="23">
        <f t="shared" si="32"/>
        <v>1.0854456578420719</v>
      </c>
      <c r="O62" s="23">
        <f t="shared" si="34"/>
        <v>1.08436021218423</v>
      </c>
      <c r="P62" s="23">
        <f t="shared" si="34"/>
        <v>1.0854445723964141</v>
      </c>
      <c r="Q62" s="23">
        <f t="shared" si="1"/>
        <v>1.0854445723964141</v>
      </c>
      <c r="R62" s="23">
        <f t="shared" si="2"/>
        <v>1.0854445723964141</v>
      </c>
      <c r="S62" s="23">
        <f t="shared" si="3"/>
        <v>1.0854445723964141</v>
      </c>
      <c r="T62" s="23">
        <f t="shared" si="4"/>
        <v>1.0854445723964141</v>
      </c>
      <c r="U62" s="23">
        <f t="shared" si="5"/>
        <v>1.0854445723964141</v>
      </c>
      <c r="V62" s="23">
        <f t="shared" si="6"/>
        <v>1.0854445723964141</v>
      </c>
      <c r="W62" s="23">
        <f t="shared" si="7"/>
        <v>1.0854445723964141</v>
      </c>
      <c r="X62" s="23">
        <f t="shared" si="8"/>
        <v>1.0854445723964141</v>
      </c>
      <c r="Y62" s="23">
        <f t="shared" si="9"/>
        <v>1.0854445723964141</v>
      </c>
      <c r="Z62" s="23">
        <f t="shared" si="10"/>
        <v>1.0854445723964141</v>
      </c>
      <c r="AA62" s="23">
        <f t="shared" si="11"/>
        <v>1.0854445723964141</v>
      </c>
      <c r="AB62" s="23">
        <f t="shared" si="12"/>
        <v>1.0854445723964141</v>
      </c>
      <c r="AC62" s="23">
        <f t="shared" si="13"/>
        <v>1.0854445723964141</v>
      </c>
      <c r="AD62" s="23">
        <f t="shared" si="14"/>
        <v>1.0854445723964141</v>
      </c>
      <c r="AE62" s="23">
        <f t="shared" si="15"/>
        <v>1.0854445723964141</v>
      </c>
      <c r="AF62" s="23">
        <f t="shared" si="16"/>
        <v>1.0854445723964141</v>
      </c>
      <c r="AG62" s="23">
        <f t="shared" si="17"/>
        <v>1.0854445723964141</v>
      </c>
      <c r="AH62" s="23">
        <f t="shared" si="18"/>
        <v>1.0854445723964141</v>
      </c>
      <c r="AI62" s="23">
        <f t="shared" si="19"/>
        <v>1.0854445723964141</v>
      </c>
      <c r="AJ62" s="23">
        <f t="shared" si="20"/>
        <v>1.0854445723964141</v>
      </c>
      <c r="AK62" s="23">
        <f t="shared" si="21"/>
        <v>1.0854445723964141</v>
      </c>
      <c r="AL62" s="23">
        <f t="shared" si="22"/>
        <v>1.0854445723964141</v>
      </c>
      <c r="AM62" s="23">
        <f t="shared" si="23"/>
        <v>1.0854445723964141</v>
      </c>
      <c r="AN62" s="23">
        <f t="shared" si="24"/>
        <v>1.0854445723964141</v>
      </c>
      <c r="AO62" s="23">
        <f t="shared" si="25"/>
        <v>1.0854445723964141</v>
      </c>
      <c r="AP62" s="23">
        <f t="shared" si="26"/>
        <v>1.0854445723964141</v>
      </c>
      <c r="AQ62" s="23">
        <f t="shared" si="27"/>
        <v>1.0854445723964141</v>
      </c>
      <c r="AR62" s="23">
        <f t="shared" si="28"/>
        <v>1.0854445723964141</v>
      </c>
      <c r="AS62" s="23">
        <f t="shared" si="29"/>
        <v>1.0854445723964141</v>
      </c>
      <c r="AT62" s="24"/>
      <c r="AU62" s="397" t="s">
        <v>274</v>
      </c>
      <c r="AV62" s="2700">
        <v>5.5E-2</v>
      </c>
      <c r="AW62" s="61"/>
      <c r="AX62" s="19"/>
      <c r="BB62" s="397">
        <v>2024</v>
      </c>
      <c r="BC62" s="2425">
        <v>2.7E-4</v>
      </c>
    </row>
    <row r="63" spans="1:67">
      <c r="A63" s="409">
        <v>2017</v>
      </c>
      <c r="G63" s="35">
        <v>1</v>
      </c>
      <c r="H63" s="23">
        <f>+G63*(H$4)</f>
        <v>0.998</v>
      </c>
      <c r="I63" s="23">
        <f>+H63*(I$4)</f>
        <v>1.001992</v>
      </c>
      <c r="J63" s="23">
        <f t="shared" si="31"/>
        <v>1.0090059439999999</v>
      </c>
      <c r="K63" s="23">
        <f t="shared" si="32"/>
        <v>1.0140509737199999</v>
      </c>
      <c r="L63" s="23">
        <f t="shared" si="32"/>
        <v>1.0181071776148798</v>
      </c>
      <c r="M63" s="23">
        <f t="shared" si="32"/>
        <v>1.0527228216537858</v>
      </c>
      <c r="N63" s="27">
        <f t="shared" si="32"/>
        <v>1.082199060660092</v>
      </c>
      <c r="O63" s="27">
        <f t="shared" si="34"/>
        <v>1.081116861599432</v>
      </c>
      <c r="P63" s="27">
        <f t="shared" si="34"/>
        <v>1.0821979784610314</v>
      </c>
      <c r="Q63" s="27">
        <f t="shared" si="1"/>
        <v>1.0821979784610314</v>
      </c>
      <c r="R63" s="27">
        <f t="shared" si="2"/>
        <v>1.0821979784610314</v>
      </c>
      <c r="S63" s="27">
        <f t="shared" si="3"/>
        <v>1.0821979784610314</v>
      </c>
      <c r="T63" s="27">
        <f t="shared" si="4"/>
        <v>1.0821979784610314</v>
      </c>
      <c r="U63" s="27">
        <f t="shared" si="5"/>
        <v>1.0821979784610314</v>
      </c>
      <c r="V63" s="27">
        <f t="shared" si="6"/>
        <v>1.0821979784610314</v>
      </c>
      <c r="W63" s="27">
        <f t="shared" si="7"/>
        <v>1.0821979784610314</v>
      </c>
      <c r="X63" s="27">
        <f t="shared" si="8"/>
        <v>1.0821979784610314</v>
      </c>
      <c r="Y63" s="27">
        <f t="shared" si="9"/>
        <v>1.0821979784610314</v>
      </c>
      <c r="Z63" s="27">
        <f t="shared" si="10"/>
        <v>1.0821979784610314</v>
      </c>
      <c r="AA63" s="27">
        <f t="shared" si="11"/>
        <v>1.0821979784610314</v>
      </c>
      <c r="AB63" s="27">
        <f t="shared" si="12"/>
        <v>1.0821979784610314</v>
      </c>
      <c r="AC63" s="27">
        <f t="shared" si="13"/>
        <v>1.0821979784610314</v>
      </c>
      <c r="AD63" s="27">
        <f t="shared" si="14"/>
        <v>1.0821979784610314</v>
      </c>
      <c r="AE63" s="27">
        <f t="shared" si="15"/>
        <v>1.0821979784610314</v>
      </c>
      <c r="AF63" s="27">
        <f t="shared" si="16"/>
        <v>1.0821979784610314</v>
      </c>
      <c r="AG63" s="27">
        <f t="shared" si="17"/>
        <v>1.0821979784610314</v>
      </c>
      <c r="AH63" s="27">
        <f t="shared" si="18"/>
        <v>1.0821979784610314</v>
      </c>
      <c r="AI63" s="27">
        <f t="shared" si="19"/>
        <v>1.0821979784610314</v>
      </c>
      <c r="AJ63" s="27">
        <f t="shared" si="20"/>
        <v>1.0821979784610314</v>
      </c>
      <c r="AK63" s="27">
        <f t="shared" si="21"/>
        <v>1.0821979784610314</v>
      </c>
      <c r="AL63" s="27">
        <f t="shared" si="22"/>
        <v>1.0821979784610314</v>
      </c>
      <c r="AM63" s="27">
        <f t="shared" si="23"/>
        <v>1.0821979784610314</v>
      </c>
      <c r="AN63" s="27">
        <f t="shared" si="24"/>
        <v>1.0821979784610314</v>
      </c>
      <c r="AO63" s="27">
        <f t="shared" si="25"/>
        <v>1.0821979784610314</v>
      </c>
      <c r="AP63" s="27">
        <f t="shared" si="26"/>
        <v>1.0821979784610314</v>
      </c>
      <c r="AQ63" s="27">
        <f t="shared" si="27"/>
        <v>1.0821979784610314</v>
      </c>
      <c r="AR63" s="27">
        <f t="shared" si="28"/>
        <v>1.0821979784610314</v>
      </c>
      <c r="AS63" s="27">
        <f t="shared" si="29"/>
        <v>1.0821979784610314</v>
      </c>
      <c r="AT63" s="24"/>
      <c r="AU63" s="397" t="s">
        <v>275</v>
      </c>
      <c r="AV63" s="2700">
        <v>9.1499999999999998E-2</v>
      </c>
      <c r="AW63" s="61"/>
      <c r="AX63" s="19"/>
      <c r="BB63" s="397">
        <v>2025</v>
      </c>
      <c r="BC63" s="2425">
        <v>2.7E-4</v>
      </c>
    </row>
    <row r="64" spans="1:67">
      <c r="A64" s="409">
        <v>2018</v>
      </c>
      <c r="H64" s="35">
        <v>1</v>
      </c>
      <c r="I64" s="23">
        <f>+H64*(I$4)</f>
        <v>1.004</v>
      </c>
      <c r="J64" s="23">
        <f t="shared" si="31"/>
        <v>1.0110279999999998</v>
      </c>
      <c r="K64" s="23">
        <f t="shared" si="32"/>
        <v>1.0160831399999997</v>
      </c>
      <c r="L64" s="23">
        <f t="shared" si="32"/>
        <v>1.0201474725599997</v>
      </c>
      <c r="M64" s="23">
        <f t="shared" si="32"/>
        <v>1.0548324866270398</v>
      </c>
      <c r="N64" s="27">
        <f t="shared" si="32"/>
        <v>1.0843677962525968</v>
      </c>
      <c r="O64" s="27">
        <f t="shared" si="34"/>
        <v>1.0832834284563442</v>
      </c>
      <c r="P64" s="27">
        <f t="shared" si="34"/>
        <v>1.0843667118848004</v>
      </c>
      <c r="Q64" s="27">
        <f t="shared" si="1"/>
        <v>1.0843667118848004</v>
      </c>
      <c r="R64" s="27">
        <f t="shared" si="2"/>
        <v>1.0843667118848004</v>
      </c>
      <c r="S64" s="27">
        <f t="shared" si="3"/>
        <v>1.0843667118848004</v>
      </c>
      <c r="T64" s="27">
        <f t="shared" si="4"/>
        <v>1.0843667118848004</v>
      </c>
      <c r="U64" s="27">
        <f t="shared" si="5"/>
        <v>1.0843667118848004</v>
      </c>
      <c r="V64" s="27">
        <f t="shared" si="6"/>
        <v>1.0843667118848004</v>
      </c>
      <c r="W64" s="27">
        <f t="shared" si="7"/>
        <v>1.0843667118848004</v>
      </c>
      <c r="X64" s="27">
        <f t="shared" si="8"/>
        <v>1.0843667118848004</v>
      </c>
      <c r="Y64" s="27">
        <f t="shared" si="9"/>
        <v>1.0843667118848004</v>
      </c>
      <c r="Z64" s="27">
        <f t="shared" si="10"/>
        <v>1.0843667118848004</v>
      </c>
      <c r="AA64" s="27">
        <f t="shared" si="11"/>
        <v>1.0843667118848004</v>
      </c>
      <c r="AB64" s="27">
        <f t="shared" si="12"/>
        <v>1.0843667118848004</v>
      </c>
      <c r="AC64" s="27">
        <f t="shared" si="13"/>
        <v>1.0843667118848004</v>
      </c>
      <c r="AD64" s="27">
        <f t="shared" si="14"/>
        <v>1.0843667118848004</v>
      </c>
      <c r="AE64" s="27">
        <f t="shared" si="15"/>
        <v>1.0843667118848004</v>
      </c>
      <c r="AF64" s="27">
        <f t="shared" si="16"/>
        <v>1.0843667118848004</v>
      </c>
      <c r="AG64" s="27">
        <f t="shared" si="17"/>
        <v>1.0843667118848004</v>
      </c>
      <c r="AH64" s="27">
        <f t="shared" si="18"/>
        <v>1.0843667118848004</v>
      </c>
      <c r="AI64" s="27">
        <f t="shared" si="19"/>
        <v>1.0843667118848004</v>
      </c>
      <c r="AJ64" s="27">
        <f t="shared" si="20"/>
        <v>1.0843667118848004</v>
      </c>
      <c r="AK64" s="27">
        <f t="shared" si="21"/>
        <v>1.0843667118848004</v>
      </c>
      <c r="AL64" s="27">
        <f t="shared" si="22"/>
        <v>1.0843667118848004</v>
      </c>
      <c r="AM64" s="27">
        <f t="shared" si="23"/>
        <v>1.0843667118848004</v>
      </c>
      <c r="AN64" s="27">
        <f t="shared" si="24"/>
        <v>1.0843667118848004</v>
      </c>
      <c r="AO64" s="27">
        <f t="shared" si="25"/>
        <v>1.0843667118848004</v>
      </c>
      <c r="AP64" s="27">
        <f t="shared" si="26"/>
        <v>1.0843667118848004</v>
      </c>
      <c r="AQ64" s="27">
        <f t="shared" si="27"/>
        <v>1.0843667118848004</v>
      </c>
      <c r="AR64" s="27">
        <f t="shared" si="28"/>
        <v>1.0843667118848004</v>
      </c>
      <c r="AS64" s="27">
        <f t="shared" si="29"/>
        <v>1.0843667118848004</v>
      </c>
      <c r="AT64" s="24"/>
      <c r="AU64" s="61"/>
      <c r="AV64" s="31"/>
      <c r="AW64" s="61"/>
      <c r="AX64" s="19"/>
    </row>
    <row r="65" spans="1:54">
      <c r="A65" s="409">
        <v>2019</v>
      </c>
      <c r="I65" s="35">
        <v>1</v>
      </c>
      <c r="J65" s="23">
        <f t="shared" si="31"/>
        <v>1.0069999999999999</v>
      </c>
      <c r="K65" s="23">
        <f t="shared" si="32"/>
        <v>1.0120349999999998</v>
      </c>
      <c r="L65" s="23">
        <f t="shared" si="32"/>
        <v>1.0160831399999999</v>
      </c>
      <c r="M65" s="23">
        <f t="shared" si="32"/>
        <v>1.0506299667599999</v>
      </c>
      <c r="N65" s="27">
        <f t="shared" si="32"/>
        <v>1.0800476058292798</v>
      </c>
      <c r="O65" s="27">
        <f t="shared" si="34"/>
        <v>1.0789675582234506</v>
      </c>
      <c r="P65" s="27">
        <f t="shared" si="34"/>
        <v>1.0800465257816738</v>
      </c>
      <c r="Q65" s="27">
        <f t="shared" si="1"/>
        <v>1.0800465257816738</v>
      </c>
      <c r="R65" s="27">
        <f t="shared" si="2"/>
        <v>1.0800465257816738</v>
      </c>
      <c r="S65" s="27">
        <f t="shared" si="3"/>
        <v>1.0800465257816738</v>
      </c>
      <c r="T65" s="27">
        <f t="shared" si="4"/>
        <v>1.0800465257816738</v>
      </c>
      <c r="U65" s="27">
        <f t="shared" si="5"/>
        <v>1.0800465257816738</v>
      </c>
      <c r="V65" s="27">
        <f t="shared" si="6"/>
        <v>1.0800465257816738</v>
      </c>
      <c r="W65" s="27">
        <f t="shared" si="7"/>
        <v>1.0800465257816738</v>
      </c>
      <c r="X65" s="27">
        <f t="shared" si="8"/>
        <v>1.0800465257816738</v>
      </c>
      <c r="Y65" s="27">
        <f t="shared" si="9"/>
        <v>1.0800465257816738</v>
      </c>
      <c r="Z65" s="27">
        <f t="shared" si="10"/>
        <v>1.0800465257816738</v>
      </c>
      <c r="AA65" s="27">
        <f t="shared" si="11"/>
        <v>1.0800465257816738</v>
      </c>
      <c r="AB65" s="27">
        <f t="shared" si="12"/>
        <v>1.0800465257816738</v>
      </c>
      <c r="AC65" s="27">
        <f t="shared" si="13"/>
        <v>1.0800465257816738</v>
      </c>
      <c r="AD65" s="27">
        <f t="shared" si="14"/>
        <v>1.0800465257816738</v>
      </c>
      <c r="AE65" s="27">
        <f t="shared" si="15"/>
        <v>1.0800465257816738</v>
      </c>
      <c r="AF65" s="27">
        <f t="shared" si="16"/>
        <v>1.0800465257816738</v>
      </c>
      <c r="AG65" s="27">
        <f t="shared" si="17"/>
        <v>1.0800465257816738</v>
      </c>
      <c r="AH65" s="27">
        <f t="shared" si="18"/>
        <v>1.0800465257816738</v>
      </c>
      <c r="AI65" s="27">
        <f t="shared" si="19"/>
        <v>1.0800465257816738</v>
      </c>
      <c r="AJ65" s="27">
        <f t="shared" si="20"/>
        <v>1.0800465257816738</v>
      </c>
      <c r="AK65" s="27">
        <f t="shared" si="21"/>
        <v>1.0800465257816738</v>
      </c>
      <c r="AL65" s="27">
        <f t="shared" si="22"/>
        <v>1.0800465257816738</v>
      </c>
      <c r="AM65" s="27">
        <f t="shared" si="23"/>
        <v>1.0800465257816738</v>
      </c>
      <c r="AN65" s="27">
        <f t="shared" si="24"/>
        <v>1.0800465257816738</v>
      </c>
      <c r="AO65" s="27">
        <f t="shared" si="25"/>
        <v>1.0800465257816738</v>
      </c>
      <c r="AP65" s="27">
        <f t="shared" si="26"/>
        <v>1.0800465257816738</v>
      </c>
      <c r="AQ65" s="27">
        <f t="shared" si="27"/>
        <v>1.0800465257816738</v>
      </c>
      <c r="AR65" s="27">
        <f t="shared" si="28"/>
        <v>1.0800465257816738</v>
      </c>
      <c r="AS65" s="27">
        <f t="shared" si="29"/>
        <v>1.0800465257816738</v>
      </c>
      <c r="AT65" s="24"/>
      <c r="AU65" s="61"/>
      <c r="AV65" s="31"/>
      <c r="AW65" s="61"/>
      <c r="AX65" s="19"/>
    </row>
    <row r="66" spans="1:54">
      <c r="A66" s="409">
        <v>2020</v>
      </c>
      <c r="J66" s="35">
        <v>1</v>
      </c>
      <c r="K66" s="23">
        <f t="shared" si="32"/>
        <v>1.0049999999999999</v>
      </c>
      <c r="L66" s="23">
        <f t="shared" si="32"/>
        <v>1.0090199999999998</v>
      </c>
      <c r="M66" s="23">
        <f t="shared" si="32"/>
        <v>1.0433266799999998</v>
      </c>
      <c r="N66" s="27">
        <f t="shared" si="32"/>
        <v>1.0725398270399999</v>
      </c>
      <c r="O66" s="27">
        <f t="shared" si="34"/>
        <v>1.07146728721296</v>
      </c>
      <c r="P66" s="27">
        <f t="shared" si="34"/>
        <v>1.0725387545001728</v>
      </c>
      <c r="Q66" s="27">
        <f t="shared" si="1"/>
        <v>1.0725387545001728</v>
      </c>
      <c r="R66" s="27">
        <f t="shared" si="2"/>
        <v>1.0725387545001728</v>
      </c>
      <c r="S66" s="27">
        <f t="shared" si="3"/>
        <v>1.0725387545001728</v>
      </c>
      <c r="T66" s="27">
        <f t="shared" si="4"/>
        <v>1.0725387545001728</v>
      </c>
      <c r="U66" s="27">
        <f t="shared" si="5"/>
        <v>1.0725387545001728</v>
      </c>
      <c r="V66" s="27">
        <f t="shared" si="6"/>
        <v>1.0725387545001728</v>
      </c>
      <c r="W66" s="27">
        <f t="shared" si="7"/>
        <v>1.0725387545001728</v>
      </c>
      <c r="X66" s="27">
        <f t="shared" si="8"/>
        <v>1.0725387545001728</v>
      </c>
      <c r="Y66" s="27">
        <f t="shared" si="9"/>
        <v>1.0725387545001728</v>
      </c>
      <c r="Z66" s="27">
        <f t="shared" si="10"/>
        <v>1.0725387545001728</v>
      </c>
      <c r="AA66" s="27">
        <f t="shared" si="11"/>
        <v>1.0725387545001728</v>
      </c>
      <c r="AB66" s="27">
        <f t="shared" si="12"/>
        <v>1.0725387545001728</v>
      </c>
      <c r="AC66" s="27">
        <f t="shared" si="13"/>
        <v>1.0725387545001728</v>
      </c>
      <c r="AD66" s="27">
        <f t="shared" si="14"/>
        <v>1.0725387545001728</v>
      </c>
      <c r="AE66" s="27">
        <f t="shared" si="15"/>
        <v>1.0725387545001728</v>
      </c>
      <c r="AF66" s="27">
        <f t="shared" si="16"/>
        <v>1.0725387545001728</v>
      </c>
      <c r="AG66" s="27">
        <f t="shared" si="17"/>
        <v>1.0725387545001728</v>
      </c>
      <c r="AH66" s="27">
        <f t="shared" si="18"/>
        <v>1.0725387545001728</v>
      </c>
      <c r="AI66" s="27">
        <f t="shared" si="19"/>
        <v>1.0725387545001728</v>
      </c>
      <c r="AJ66" s="27">
        <f t="shared" si="20"/>
        <v>1.0725387545001728</v>
      </c>
      <c r="AK66" s="27">
        <f t="shared" si="21"/>
        <v>1.0725387545001728</v>
      </c>
      <c r="AL66" s="27">
        <f t="shared" si="22"/>
        <v>1.0725387545001728</v>
      </c>
      <c r="AM66" s="27">
        <f t="shared" si="23"/>
        <v>1.0725387545001728</v>
      </c>
      <c r="AN66" s="27">
        <f t="shared" si="24"/>
        <v>1.0725387545001728</v>
      </c>
      <c r="AO66" s="27">
        <f t="shared" si="25"/>
        <v>1.0725387545001728</v>
      </c>
      <c r="AP66" s="27">
        <f t="shared" si="26"/>
        <v>1.0725387545001728</v>
      </c>
      <c r="AQ66" s="27">
        <f t="shared" si="27"/>
        <v>1.0725387545001728</v>
      </c>
      <c r="AR66" s="27">
        <f t="shared" si="28"/>
        <v>1.0725387545001728</v>
      </c>
      <c r="AS66" s="27">
        <f t="shared" si="29"/>
        <v>1.0725387545001728</v>
      </c>
      <c r="AT66" s="19"/>
      <c r="AU66" s="61"/>
      <c r="AV66" s="31"/>
      <c r="AW66" s="61"/>
      <c r="AX66" s="19"/>
      <c r="BB66" s="21" t="s">
        <v>30129</v>
      </c>
    </row>
    <row r="67" spans="1:54">
      <c r="A67" s="409">
        <v>2021</v>
      </c>
      <c r="K67" s="35">
        <v>1</v>
      </c>
      <c r="L67" s="23">
        <f>+K67*(L$4)</f>
        <v>1.004</v>
      </c>
      <c r="M67" s="23">
        <f>+L67*(M$4)</f>
        <v>1.0381359999999999</v>
      </c>
      <c r="N67" s="27">
        <f>+M67*(N$4)</f>
        <v>1.0672038079999999</v>
      </c>
      <c r="O67" s="27">
        <f t="shared" si="34"/>
        <v>1.066136604192</v>
      </c>
      <c r="P67" s="27">
        <f t="shared" si="34"/>
        <v>1.0672027407961919</v>
      </c>
      <c r="Q67" s="27">
        <f t="shared" si="1"/>
        <v>1.0672027407961919</v>
      </c>
      <c r="R67" s="27">
        <f t="shared" si="2"/>
        <v>1.0672027407961919</v>
      </c>
      <c r="S67" s="27">
        <f t="shared" si="3"/>
        <v>1.0672027407961919</v>
      </c>
      <c r="T67" s="27">
        <f t="shared" si="4"/>
        <v>1.0672027407961919</v>
      </c>
      <c r="U67" s="27">
        <f t="shared" si="5"/>
        <v>1.0672027407961919</v>
      </c>
      <c r="V67" s="27">
        <f t="shared" si="6"/>
        <v>1.0672027407961919</v>
      </c>
      <c r="W67" s="27">
        <f t="shared" si="7"/>
        <v>1.0672027407961919</v>
      </c>
      <c r="X67" s="27">
        <f t="shared" si="8"/>
        <v>1.0672027407961919</v>
      </c>
      <c r="Y67" s="27">
        <f t="shared" si="9"/>
        <v>1.0672027407961919</v>
      </c>
      <c r="Z67" s="27">
        <f t="shared" si="10"/>
        <v>1.0672027407961919</v>
      </c>
      <c r="AA67" s="27">
        <f t="shared" si="11"/>
        <v>1.0672027407961919</v>
      </c>
      <c r="AB67" s="27">
        <f t="shared" si="12"/>
        <v>1.0672027407961919</v>
      </c>
      <c r="AC67" s="27">
        <f t="shared" si="13"/>
        <v>1.0672027407961919</v>
      </c>
      <c r="AD67" s="27">
        <f t="shared" si="14"/>
        <v>1.0672027407961919</v>
      </c>
      <c r="AE67" s="27">
        <f t="shared" si="15"/>
        <v>1.0672027407961919</v>
      </c>
      <c r="AF67" s="27">
        <f t="shared" si="16"/>
        <v>1.0672027407961919</v>
      </c>
      <c r="AG67" s="27">
        <f t="shared" si="17"/>
        <v>1.0672027407961919</v>
      </c>
      <c r="AH67" s="27">
        <f t="shared" si="18"/>
        <v>1.0672027407961919</v>
      </c>
      <c r="AI67" s="27">
        <f t="shared" si="19"/>
        <v>1.0672027407961919</v>
      </c>
      <c r="AJ67" s="27">
        <f t="shared" si="20"/>
        <v>1.0672027407961919</v>
      </c>
      <c r="AK67" s="27">
        <f t="shared" si="21"/>
        <v>1.0672027407961919</v>
      </c>
      <c r="AL67" s="27">
        <f t="shared" si="22"/>
        <v>1.0672027407961919</v>
      </c>
      <c r="AM67" s="27">
        <f t="shared" si="23"/>
        <v>1.0672027407961919</v>
      </c>
      <c r="AN67" s="27">
        <f t="shared" si="24"/>
        <v>1.0672027407961919</v>
      </c>
      <c r="AO67" s="27">
        <f t="shared" si="25"/>
        <v>1.0672027407961919</v>
      </c>
      <c r="AP67" s="27">
        <f t="shared" si="26"/>
        <v>1.0672027407961919</v>
      </c>
      <c r="AQ67" s="27">
        <f t="shared" si="27"/>
        <v>1.0672027407961919</v>
      </c>
      <c r="AR67" s="27">
        <f t="shared" si="28"/>
        <v>1.0672027407961919</v>
      </c>
      <c r="AS67" s="27">
        <f t="shared" si="29"/>
        <v>1.0672027407961919</v>
      </c>
      <c r="AU67" s="61"/>
      <c r="AV67" s="31"/>
      <c r="AW67" s="61"/>
      <c r="BB67" s="25"/>
    </row>
    <row r="68" spans="1:54">
      <c r="A68" s="409">
        <v>2022</v>
      </c>
      <c r="L68" s="35">
        <v>1</v>
      </c>
      <c r="M68" s="23">
        <f>+L68*(M$4)</f>
        <v>1.034</v>
      </c>
      <c r="N68" s="27">
        <f>+M68*(N$4)</f>
        <v>1.0629520000000001</v>
      </c>
      <c r="O68" s="27">
        <f t="shared" si="34"/>
        <v>1.0618890480000001</v>
      </c>
      <c r="P68" s="27">
        <f t="shared" si="34"/>
        <v>1.0629509370479999</v>
      </c>
      <c r="Q68" s="27">
        <f t="shared" si="1"/>
        <v>1.0629509370479999</v>
      </c>
      <c r="R68" s="27">
        <f t="shared" si="2"/>
        <v>1.0629509370479999</v>
      </c>
      <c r="S68" s="27">
        <f t="shared" si="3"/>
        <v>1.0629509370479999</v>
      </c>
      <c r="T68" s="27">
        <f t="shared" si="4"/>
        <v>1.0629509370479999</v>
      </c>
      <c r="U68" s="27">
        <f t="shared" si="5"/>
        <v>1.0629509370479999</v>
      </c>
      <c r="V68" s="27">
        <f t="shared" si="6"/>
        <v>1.0629509370479999</v>
      </c>
      <c r="W68" s="27">
        <f t="shared" si="7"/>
        <v>1.0629509370479999</v>
      </c>
      <c r="X68" s="27">
        <f t="shared" si="8"/>
        <v>1.0629509370479999</v>
      </c>
      <c r="Y68" s="27">
        <f t="shared" si="9"/>
        <v>1.0629509370479999</v>
      </c>
      <c r="Z68" s="27">
        <f t="shared" si="10"/>
        <v>1.0629509370479999</v>
      </c>
      <c r="AA68" s="27">
        <f t="shared" si="11"/>
        <v>1.0629509370479999</v>
      </c>
      <c r="AB68" s="27">
        <f t="shared" si="12"/>
        <v>1.0629509370479999</v>
      </c>
      <c r="AC68" s="27">
        <f t="shared" si="13"/>
        <v>1.0629509370479999</v>
      </c>
      <c r="AD68" s="27">
        <f t="shared" si="14"/>
        <v>1.0629509370479999</v>
      </c>
      <c r="AE68" s="27">
        <f t="shared" si="15"/>
        <v>1.0629509370479999</v>
      </c>
      <c r="AF68" s="27">
        <f t="shared" si="16"/>
        <v>1.0629509370479999</v>
      </c>
      <c r="AG68" s="27">
        <f t="shared" si="17"/>
        <v>1.0629509370479999</v>
      </c>
      <c r="AH68" s="27">
        <f t="shared" si="18"/>
        <v>1.0629509370479999</v>
      </c>
      <c r="AI68" s="27">
        <f t="shared" si="19"/>
        <v>1.0629509370479999</v>
      </c>
      <c r="AJ68" s="27">
        <f t="shared" si="20"/>
        <v>1.0629509370479999</v>
      </c>
      <c r="AK68" s="27">
        <f t="shared" si="21"/>
        <v>1.0629509370479999</v>
      </c>
      <c r="AL68" s="27">
        <f t="shared" si="22"/>
        <v>1.0629509370479999</v>
      </c>
      <c r="AM68" s="27">
        <f t="shared" si="23"/>
        <v>1.0629509370479999</v>
      </c>
      <c r="AN68" s="27">
        <f t="shared" si="24"/>
        <v>1.0629509370479999</v>
      </c>
      <c r="AO68" s="27">
        <f t="shared" si="25"/>
        <v>1.0629509370479999</v>
      </c>
      <c r="AP68" s="27">
        <f t="shared" si="26"/>
        <v>1.0629509370479999</v>
      </c>
      <c r="AQ68" s="27">
        <f t="shared" si="27"/>
        <v>1.0629509370479999</v>
      </c>
      <c r="AR68" s="27">
        <f t="shared" si="28"/>
        <v>1.0629509370479999</v>
      </c>
      <c r="AS68" s="27">
        <f t="shared" si="29"/>
        <v>1.0629509370479999</v>
      </c>
      <c r="AV68" s="19"/>
      <c r="BB68" s="993" t="s">
        <v>3</v>
      </c>
    </row>
    <row r="69" spans="1:54">
      <c r="A69" s="409">
        <v>2023</v>
      </c>
      <c r="M69" s="35">
        <v>1</v>
      </c>
      <c r="N69" s="27">
        <f>+M69*(N$4)</f>
        <v>1.028</v>
      </c>
      <c r="O69" s="27">
        <f t="shared" si="34"/>
        <v>1.026972</v>
      </c>
      <c r="P69" s="27">
        <f t="shared" si="34"/>
        <v>1.0279989719999998</v>
      </c>
      <c r="Q69" s="27">
        <f t="shared" si="1"/>
        <v>1.0279989719999998</v>
      </c>
      <c r="R69" s="27">
        <f t="shared" si="2"/>
        <v>1.0279989719999998</v>
      </c>
      <c r="S69" s="27">
        <f t="shared" si="3"/>
        <v>1.0279989719999998</v>
      </c>
      <c r="T69" s="27">
        <f t="shared" si="4"/>
        <v>1.0279989719999998</v>
      </c>
      <c r="U69" s="27">
        <f t="shared" si="5"/>
        <v>1.0279989719999998</v>
      </c>
      <c r="V69" s="27">
        <f t="shared" si="6"/>
        <v>1.0279989719999998</v>
      </c>
      <c r="W69" s="27">
        <f t="shared" si="7"/>
        <v>1.0279989719999998</v>
      </c>
      <c r="X69" s="27">
        <f t="shared" si="8"/>
        <v>1.0279989719999998</v>
      </c>
      <c r="Y69" s="27">
        <f t="shared" si="9"/>
        <v>1.0279989719999998</v>
      </c>
      <c r="Z69" s="27">
        <f t="shared" si="10"/>
        <v>1.0279989719999998</v>
      </c>
      <c r="AA69" s="27">
        <f t="shared" si="11"/>
        <v>1.0279989719999998</v>
      </c>
      <c r="AB69" s="27">
        <f t="shared" si="12"/>
        <v>1.0279989719999998</v>
      </c>
      <c r="AC69" s="27">
        <f t="shared" si="13"/>
        <v>1.0279989719999998</v>
      </c>
      <c r="AD69" s="27">
        <f t="shared" si="14"/>
        <v>1.0279989719999998</v>
      </c>
      <c r="AE69" s="27">
        <f t="shared" si="15"/>
        <v>1.0279989719999998</v>
      </c>
      <c r="AF69" s="27">
        <f t="shared" si="16"/>
        <v>1.0279989719999998</v>
      </c>
      <c r="AG69" s="27">
        <f t="shared" si="17"/>
        <v>1.0279989719999998</v>
      </c>
      <c r="AH69" s="27">
        <f t="shared" si="18"/>
        <v>1.0279989719999998</v>
      </c>
      <c r="AI69" s="27">
        <f t="shared" si="19"/>
        <v>1.0279989719999998</v>
      </c>
      <c r="AJ69" s="27">
        <f t="shared" si="20"/>
        <v>1.0279989719999998</v>
      </c>
      <c r="AK69" s="27">
        <f t="shared" si="21"/>
        <v>1.0279989719999998</v>
      </c>
      <c r="AL69" s="27">
        <f t="shared" si="22"/>
        <v>1.0279989719999998</v>
      </c>
      <c r="AM69" s="27">
        <f t="shared" si="23"/>
        <v>1.0279989719999998</v>
      </c>
      <c r="AN69" s="27">
        <f t="shared" si="24"/>
        <v>1.0279989719999998</v>
      </c>
      <c r="AO69" s="27">
        <f t="shared" si="25"/>
        <v>1.0279989719999998</v>
      </c>
      <c r="AP69" s="27">
        <f t="shared" si="26"/>
        <v>1.0279989719999998</v>
      </c>
      <c r="AQ69" s="27">
        <f t="shared" si="27"/>
        <v>1.0279989719999998</v>
      </c>
      <c r="AR69" s="27">
        <f t="shared" si="28"/>
        <v>1.0279989719999998</v>
      </c>
      <c r="AS69" s="27">
        <f t="shared" si="29"/>
        <v>1.0279989719999998</v>
      </c>
      <c r="AV69" s="19"/>
    </row>
    <row r="70" spans="1:54">
      <c r="A70" s="409">
        <v>2024</v>
      </c>
      <c r="N70" s="35">
        <v>1</v>
      </c>
      <c r="O70" s="27">
        <f t="shared" si="34"/>
        <v>0.999</v>
      </c>
      <c r="P70" s="27">
        <f t="shared" si="34"/>
        <v>0.99999899999999986</v>
      </c>
      <c r="Q70" s="27">
        <f t="shared" si="1"/>
        <v>0.99999899999999986</v>
      </c>
      <c r="R70" s="27">
        <f t="shared" si="2"/>
        <v>0.99999899999999986</v>
      </c>
      <c r="S70" s="27">
        <f t="shared" si="3"/>
        <v>0.99999899999999986</v>
      </c>
      <c r="T70" s="27">
        <f t="shared" si="4"/>
        <v>0.99999899999999986</v>
      </c>
      <c r="U70" s="27">
        <f t="shared" si="5"/>
        <v>0.99999899999999986</v>
      </c>
      <c r="V70" s="27">
        <f t="shared" si="6"/>
        <v>0.99999899999999986</v>
      </c>
      <c r="W70" s="27">
        <f t="shared" si="7"/>
        <v>0.99999899999999986</v>
      </c>
      <c r="X70" s="27">
        <f t="shared" si="8"/>
        <v>0.99999899999999986</v>
      </c>
      <c r="Y70" s="27">
        <f t="shared" si="9"/>
        <v>0.99999899999999986</v>
      </c>
      <c r="Z70" s="27">
        <f t="shared" si="10"/>
        <v>0.99999899999999986</v>
      </c>
      <c r="AA70" s="27">
        <f t="shared" si="11"/>
        <v>0.99999899999999986</v>
      </c>
      <c r="AB70" s="27">
        <f t="shared" si="12"/>
        <v>0.99999899999999986</v>
      </c>
      <c r="AC70" s="27">
        <f t="shared" si="13"/>
        <v>0.99999899999999986</v>
      </c>
      <c r="AD70" s="27">
        <f t="shared" si="14"/>
        <v>0.99999899999999986</v>
      </c>
      <c r="AE70" s="27">
        <f t="shared" si="15"/>
        <v>0.99999899999999986</v>
      </c>
      <c r="AF70" s="27">
        <f t="shared" si="16"/>
        <v>0.99999899999999986</v>
      </c>
      <c r="AG70" s="27">
        <f t="shared" si="17"/>
        <v>0.99999899999999986</v>
      </c>
      <c r="AH70" s="27">
        <f t="shared" si="18"/>
        <v>0.99999899999999986</v>
      </c>
      <c r="AI70" s="27">
        <f t="shared" si="19"/>
        <v>0.99999899999999986</v>
      </c>
      <c r="AJ70" s="27">
        <f t="shared" si="20"/>
        <v>0.99999899999999986</v>
      </c>
      <c r="AK70" s="27">
        <f t="shared" si="21"/>
        <v>0.99999899999999986</v>
      </c>
      <c r="AL70" s="27">
        <f t="shared" si="22"/>
        <v>0.99999899999999986</v>
      </c>
      <c r="AM70" s="27">
        <f t="shared" si="23"/>
        <v>0.99999899999999986</v>
      </c>
      <c r="AN70" s="27">
        <f t="shared" si="24"/>
        <v>0.99999899999999986</v>
      </c>
      <c r="AO70" s="27">
        <f t="shared" si="25"/>
        <v>0.99999899999999986</v>
      </c>
      <c r="AP70" s="27">
        <f t="shared" si="26"/>
        <v>0.99999899999999986</v>
      </c>
      <c r="AQ70" s="27">
        <f t="shared" si="27"/>
        <v>0.99999899999999986</v>
      </c>
      <c r="AR70" s="27">
        <f t="shared" si="28"/>
        <v>0.99999899999999986</v>
      </c>
      <c r="AS70" s="27">
        <f t="shared" si="29"/>
        <v>0.99999899999999986</v>
      </c>
      <c r="AV70" s="19"/>
    </row>
    <row r="71" spans="1:54">
      <c r="A71" s="409">
        <v>2025</v>
      </c>
      <c r="O71" s="35">
        <v>1</v>
      </c>
      <c r="P71" s="27">
        <f t="shared" ref="P71" si="36">+O71*(P$4)</f>
        <v>1.0009999999999999</v>
      </c>
      <c r="Q71" s="27">
        <f t="shared" ref="Q71:T72" si="37">+P71*(1+Q$4)</f>
        <v>1.0009999999999999</v>
      </c>
      <c r="R71" s="27">
        <f t="shared" si="37"/>
        <v>1.0009999999999999</v>
      </c>
      <c r="S71" s="27">
        <f t="shared" si="37"/>
        <v>1.0009999999999999</v>
      </c>
      <c r="T71" s="27">
        <f t="shared" si="37"/>
        <v>1.0009999999999999</v>
      </c>
      <c r="U71" s="27">
        <f t="shared" ref="U71:U76" si="38">+T71*(1+U$4)</f>
        <v>1.0009999999999999</v>
      </c>
      <c r="V71" s="27">
        <f>+U71*(1+V$4)</f>
        <v>1.0009999999999999</v>
      </c>
      <c r="W71" s="27">
        <f>+V71*(1+W$4)</f>
        <v>1.0009999999999999</v>
      </c>
      <c r="X71" s="27">
        <f t="shared" ref="X71:X79" si="39">+W71*(1+X$4)</f>
        <v>1.0009999999999999</v>
      </c>
      <c r="Y71" s="27">
        <f t="shared" ref="Y71:Y78" si="40">+X71*(1+Y$4)</f>
        <v>1.0009999999999999</v>
      </c>
      <c r="Z71" s="27">
        <f t="shared" ref="Z71:Z81" si="41">+Y71*(1+Z$4)</f>
        <v>1.0009999999999999</v>
      </c>
      <c r="AA71" s="27">
        <f t="shared" ref="AA71:AA82" si="42">+Z71*(1+AA$4)</f>
        <v>1.0009999999999999</v>
      </c>
      <c r="AB71" s="27">
        <f t="shared" ref="AB71:AB83" si="43">+AA71*(1+AB$4)</f>
        <v>1.0009999999999999</v>
      </c>
      <c r="AC71" s="27">
        <f t="shared" ref="AC71:AC84" si="44">+AB71*(1+AC$4)</f>
        <v>1.0009999999999999</v>
      </c>
      <c r="AD71" s="27">
        <f t="shared" ref="AD71:AD85" si="45">+AC71*(1+AD$4)</f>
        <v>1.0009999999999999</v>
      </c>
      <c r="AE71" s="27">
        <f t="shared" ref="AE71:AE86" si="46">+AD71*(1+AE$4)</f>
        <v>1.0009999999999999</v>
      </c>
      <c r="AF71" s="27">
        <f t="shared" ref="AF71:AF86" si="47">+AE71*(1+AF$4)</f>
        <v>1.0009999999999999</v>
      </c>
      <c r="AG71" s="27">
        <f t="shared" ref="AG71:AG86" si="48">+AF71*(1+AG$4)</f>
        <v>1.0009999999999999</v>
      </c>
      <c r="AH71" s="27">
        <f t="shared" ref="AH71:AH86" si="49">+AG71*(1+AH$4)</f>
        <v>1.0009999999999999</v>
      </c>
      <c r="AI71" s="27">
        <f t="shared" ref="AI71:AI86" si="50">+AH71*(1+AI$4)</f>
        <v>1.0009999999999999</v>
      </c>
      <c r="AJ71" s="27">
        <f t="shared" ref="AJ71:AJ86" si="51">+AI71*(1+AJ$4)</f>
        <v>1.0009999999999999</v>
      </c>
      <c r="AK71" s="27">
        <f t="shared" ref="AK71:AK86" si="52">+AJ71*(1+AK$4)</f>
        <v>1.0009999999999999</v>
      </c>
      <c r="AL71" s="27">
        <f t="shared" ref="AL71:AL86" si="53">+AK71*(1+AL$4)</f>
        <v>1.0009999999999999</v>
      </c>
      <c r="AM71" s="27">
        <f t="shared" ref="AM71:AM86" si="54">+AL71*(1+AM$4)</f>
        <v>1.0009999999999999</v>
      </c>
      <c r="AN71" s="27">
        <f t="shared" ref="AN71:AN86" si="55">+AM71*(1+AN$4)</f>
        <v>1.0009999999999999</v>
      </c>
      <c r="AO71" s="27">
        <f t="shared" ref="AO71:AO86" si="56">+AN71*(1+AO$4)</f>
        <v>1.0009999999999999</v>
      </c>
      <c r="AP71" s="27">
        <f t="shared" ref="AP71:AP86" si="57">+AO71*(1+AP$4)</f>
        <v>1.0009999999999999</v>
      </c>
      <c r="AQ71" s="27">
        <f t="shared" ref="AQ71:AQ86" si="58">+AP71*(1+AQ$4)</f>
        <v>1.0009999999999999</v>
      </c>
      <c r="AR71" s="27">
        <f t="shared" ref="AR71:AR86" si="59">+AQ71*(1+AR$4)</f>
        <v>1.0009999999999999</v>
      </c>
      <c r="AS71" s="27">
        <f t="shared" ref="AS71:AS100" si="60">+AR71*(1+AS$4)</f>
        <v>1.0009999999999999</v>
      </c>
    </row>
    <row r="72" spans="1:54">
      <c r="A72" s="409">
        <v>2026</v>
      </c>
      <c r="P72" s="35">
        <v>1</v>
      </c>
      <c r="Q72" s="27">
        <f t="shared" si="37"/>
        <v>1</v>
      </c>
      <c r="R72" s="27">
        <f t="shared" si="37"/>
        <v>1</v>
      </c>
      <c r="S72" s="27">
        <f t="shared" si="37"/>
        <v>1</v>
      </c>
      <c r="T72" s="27">
        <f t="shared" si="37"/>
        <v>1</v>
      </c>
      <c r="U72" s="27">
        <f t="shared" si="38"/>
        <v>1</v>
      </c>
      <c r="V72" s="27">
        <f>+U72*(1+V$4)</f>
        <v>1</v>
      </c>
      <c r="W72" s="27">
        <f>+V72*(1+W$4)</f>
        <v>1</v>
      </c>
      <c r="X72" s="27">
        <f t="shared" si="39"/>
        <v>1</v>
      </c>
      <c r="Y72" s="27">
        <f t="shared" si="40"/>
        <v>1</v>
      </c>
      <c r="Z72" s="27">
        <f t="shared" si="41"/>
        <v>1</v>
      </c>
      <c r="AA72" s="27">
        <f t="shared" si="42"/>
        <v>1</v>
      </c>
      <c r="AB72" s="27">
        <f t="shared" si="43"/>
        <v>1</v>
      </c>
      <c r="AC72" s="27">
        <f t="shared" si="44"/>
        <v>1</v>
      </c>
      <c r="AD72" s="27">
        <f t="shared" si="45"/>
        <v>1</v>
      </c>
      <c r="AE72" s="27">
        <f t="shared" si="46"/>
        <v>1</v>
      </c>
      <c r="AF72" s="27">
        <f t="shared" si="47"/>
        <v>1</v>
      </c>
      <c r="AG72" s="27">
        <f t="shared" si="48"/>
        <v>1</v>
      </c>
      <c r="AH72" s="27">
        <f t="shared" si="49"/>
        <v>1</v>
      </c>
      <c r="AI72" s="27">
        <f t="shared" si="50"/>
        <v>1</v>
      </c>
      <c r="AJ72" s="27">
        <f t="shared" si="51"/>
        <v>1</v>
      </c>
      <c r="AK72" s="27">
        <f t="shared" si="52"/>
        <v>1</v>
      </c>
      <c r="AL72" s="27">
        <f t="shared" si="53"/>
        <v>1</v>
      </c>
      <c r="AM72" s="27">
        <f t="shared" si="54"/>
        <v>1</v>
      </c>
      <c r="AN72" s="27">
        <f t="shared" si="55"/>
        <v>1</v>
      </c>
      <c r="AO72" s="27">
        <f t="shared" si="56"/>
        <v>1</v>
      </c>
      <c r="AP72" s="27">
        <f t="shared" si="57"/>
        <v>1</v>
      </c>
      <c r="AQ72" s="27">
        <f t="shared" si="58"/>
        <v>1</v>
      </c>
      <c r="AR72" s="27">
        <f t="shared" si="59"/>
        <v>1</v>
      </c>
      <c r="AS72" s="27">
        <f t="shared" si="60"/>
        <v>1</v>
      </c>
    </row>
    <row r="73" spans="1:54">
      <c r="A73" s="409">
        <v>2027</v>
      </c>
      <c r="Q73" s="35">
        <v>1</v>
      </c>
      <c r="R73" s="27">
        <f>+Q73*(1+R$4)</f>
        <v>1</v>
      </c>
      <c r="S73" s="27">
        <f>+R73*(1+S$4)</f>
        <v>1</v>
      </c>
      <c r="T73" s="27">
        <f>+S73*(1+T$4)</f>
        <v>1</v>
      </c>
      <c r="U73" s="27">
        <f t="shared" si="38"/>
        <v>1</v>
      </c>
      <c r="V73" s="27">
        <f>+U73*(1+V$4)</f>
        <v>1</v>
      </c>
      <c r="W73" s="27">
        <f t="shared" ref="W73:W78" si="61">+V73*(1+W$4)</f>
        <v>1</v>
      </c>
      <c r="X73" s="27">
        <f t="shared" si="39"/>
        <v>1</v>
      </c>
      <c r="Y73" s="27">
        <f t="shared" si="40"/>
        <v>1</v>
      </c>
      <c r="Z73" s="27">
        <f t="shared" si="41"/>
        <v>1</v>
      </c>
      <c r="AA73" s="27">
        <f t="shared" si="42"/>
        <v>1</v>
      </c>
      <c r="AB73" s="27">
        <f t="shared" si="43"/>
        <v>1</v>
      </c>
      <c r="AC73" s="27">
        <f t="shared" si="44"/>
        <v>1</v>
      </c>
      <c r="AD73" s="27">
        <f t="shared" si="45"/>
        <v>1</v>
      </c>
      <c r="AE73" s="27">
        <f t="shared" si="46"/>
        <v>1</v>
      </c>
      <c r="AF73" s="27">
        <f t="shared" si="47"/>
        <v>1</v>
      </c>
      <c r="AG73" s="27">
        <f t="shared" si="48"/>
        <v>1</v>
      </c>
      <c r="AH73" s="27">
        <f t="shared" si="49"/>
        <v>1</v>
      </c>
      <c r="AI73" s="27">
        <f t="shared" si="50"/>
        <v>1</v>
      </c>
      <c r="AJ73" s="27">
        <f t="shared" si="51"/>
        <v>1</v>
      </c>
      <c r="AK73" s="27">
        <f t="shared" si="52"/>
        <v>1</v>
      </c>
      <c r="AL73" s="27">
        <f t="shared" si="53"/>
        <v>1</v>
      </c>
      <c r="AM73" s="27">
        <f t="shared" si="54"/>
        <v>1</v>
      </c>
      <c r="AN73" s="27">
        <f t="shared" si="55"/>
        <v>1</v>
      </c>
      <c r="AO73" s="27">
        <f t="shared" si="56"/>
        <v>1</v>
      </c>
      <c r="AP73" s="27">
        <f t="shared" si="57"/>
        <v>1</v>
      </c>
      <c r="AQ73" s="27">
        <f t="shared" si="58"/>
        <v>1</v>
      </c>
      <c r="AR73" s="27">
        <f t="shared" si="59"/>
        <v>1</v>
      </c>
      <c r="AS73" s="27">
        <f t="shared" si="60"/>
        <v>1</v>
      </c>
    </row>
    <row r="74" spans="1:54">
      <c r="A74" s="409">
        <v>2028</v>
      </c>
      <c r="R74" s="35">
        <v>1</v>
      </c>
      <c r="S74" s="27">
        <f>+R74*(1+S$4)</f>
        <v>1</v>
      </c>
      <c r="T74" s="27">
        <f>+S74*(1+T$4)</f>
        <v>1</v>
      </c>
      <c r="U74" s="27">
        <f t="shared" si="38"/>
        <v>1</v>
      </c>
      <c r="V74" s="27">
        <f>+U74*(1+V$4)</f>
        <v>1</v>
      </c>
      <c r="W74" s="27">
        <f t="shared" si="61"/>
        <v>1</v>
      </c>
      <c r="X74" s="27">
        <f t="shared" si="39"/>
        <v>1</v>
      </c>
      <c r="Y74" s="27">
        <f t="shared" si="40"/>
        <v>1</v>
      </c>
      <c r="Z74" s="27">
        <f t="shared" si="41"/>
        <v>1</v>
      </c>
      <c r="AA74" s="27">
        <f t="shared" si="42"/>
        <v>1</v>
      </c>
      <c r="AB74" s="27">
        <f t="shared" si="43"/>
        <v>1</v>
      </c>
      <c r="AC74" s="27">
        <f t="shared" si="44"/>
        <v>1</v>
      </c>
      <c r="AD74" s="27">
        <f t="shared" si="45"/>
        <v>1</v>
      </c>
      <c r="AE74" s="27">
        <f t="shared" si="46"/>
        <v>1</v>
      </c>
      <c r="AF74" s="27">
        <f t="shared" si="47"/>
        <v>1</v>
      </c>
      <c r="AG74" s="27">
        <f t="shared" si="48"/>
        <v>1</v>
      </c>
      <c r="AH74" s="27">
        <f t="shared" si="49"/>
        <v>1</v>
      </c>
      <c r="AI74" s="27">
        <f t="shared" si="50"/>
        <v>1</v>
      </c>
      <c r="AJ74" s="27">
        <f t="shared" si="51"/>
        <v>1</v>
      </c>
      <c r="AK74" s="27">
        <f t="shared" si="52"/>
        <v>1</v>
      </c>
      <c r="AL74" s="27">
        <f t="shared" si="53"/>
        <v>1</v>
      </c>
      <c r="AM74" s="27">
        <f t="shared" si="54"/>
        <v>1</v>
      </c>
      <c r="AN74" s="27">
        <f t="shared" si="55"/>
        <v>1</v>
      </c>
      <c r="AO74" s="27">
        <f t="shared" si="56"/>
        <v>1</v>
      </c>
      <c r="AP74" s="27">
        <f t="shared" si="57"/>
        <v>1</v>
      </c>
      <c r="AQ74" s="27">
        <f t="shared" si="58"/>
        <v>1</v>
      </c>
      <c r="AR74" s="27">
        <f t="shared" si="59"/>
        <v>1</v>
      </c>
      <c r="AS74" s="27">
        <f t="shared" si="60"/>
        <v>1</v>
      </c>
    </row>
    <row r="75" spans="1:54">
      <c r="A75" s="409">
        <v>2029</v>
      </c>
      <c r="S75" s="35">
        <v>1</v>
      </c>
      <c r="T75" s="27">
        <f>+S75*(1+T$4)</f>
        <v>1</v>
      </c>
      <c r="U75" s="27">
        <f t="shared" si="38"/>
        <v>1</v>
      </c>
      <c r="V75" s="27">
        <f>+U75*(1+V$4)</f>
        <v>1</v>
      </c>
      <c r="W75" s="27">
        <f t="shared" si="61"/>
        <v>1</v>
      </c>
      <c r="X75" s="27">
        <f t="shared" si="39"/>
        <v>1</v>
      </c>
      <c r="Y75" s="27">
        <f t="shared" si="40"/>
        <v>1</v>
      </c>
      <c r="Z75" s="27">
        <f t="shared" si="41"/>
        <v>1</v>
      </c>
      <c r="AA75" s="27">
        <f t="shared" si="42"/>
        <v>1</v>
      </c>
      <c r="AB75" s="27">
        <f t="shared" si="43"/>
        <v>1</v>
      </c>
      <c r="AC75" s="27">
        <f t="shared" si="44"/>
        <v>1</v>
      </c>
      <c r="AD75" s="27">
        <f t="shared" si="45"/>
        <v>1</v>
      </c>
      <c r="AE75" s="27">
        <f t="shared" si="46"/>
        <v>1</v>
      </c>
      <c r="AF75" s="27">
        <f t="shared" si="47"/>
        <v>1</v>
      </c>
      <c r="AG75" s="27">
        <f t="shared" si="48"/>
        <v>1</v>
      </c>
      <c r="AH75" s="27">
        <f t="shared" si="49"/>
        <v>1</v>
      </c>
      <c r="AI75" s="27">
        <f t="shared" si="50"/>
        <v>1</v>
      </c>
      <c r="AJ75" s="27">
        <f t="shared" si="51"/>
        <v>1</v>
      </c>
      <c r="AK75" s="27">
        <f t="shared" si="52"/>
        <v>1</v>
      </c>
      <c r="AL75" s="27">
        <f t="shared" si="53"/>
        <v>1</v>
      </c>
      <c r="AM75" s="27">
        <f t="shared" si="54"/>
        <v>1</v>
      </c>
      <c r="AN75" s="27">
        <f t="shared" si="55"/>
        <v>1</v>
      </c>
      <c r="AO75" s="27">
        <f t="shared" si="56"/>
        <v>1</v>
      </c>
      <c r="AP75" s="27">
        <f t="shared" si="57"/>
        <v>1</v>
      </c>
      <c r="AQ75" s="27">
        <f t="shared" si="58"/>
        <v>1</v>
      </c>
      <c r="AR75" s="27">
        <f t="shared" si="59"/>
        <v>1</v>
      </c>
      <c r="AS75" s="27">
        <f t="shared" si="60"/>
        <v>1</v>
      </c>
    </row>
    <row r="76" spans="1:54" hidden="1" outlineLevel="1">
      <c r="A76" s="409">
        <v>2030</v>
      </c>
      <c r="T76" s="35">
        <v>1</v>
      </c>
      <c r="U76" s="27">
        <f t="shared" si="38"/>
        <v>1</v>
      </c>
      <c r="V76" s="27">
        <f>+U76*(1+V$4)</f>
        <v>1</v>
      </c>
      <c r="W76" s="27">
        <f t="shared" si="61"/>
        <v>1</v>
      </c>
      <c r="X76" s="27">
        <f t="shared" si="39"/>
        <v>1</v>
      </c>
      <c r="Y76" s="27">
        <f t="shared" si="40"/>
        <v>1</v>
      </c>
      <c r="Z76" s="27">
        <f t="shared" si="41"/>
        <v>1</v>
      </c>
      <c r="AA76" s="27">
        <f t="shared" si="42"/>
        <v>1</v>
      </c>
      <c r="AB76" s="27">
        <f t="shared" si="43"/>
        <v>1</v>
      </c>
      <c r="AC76" s="27">
        <f t="shared" si="44"/>
        <v>1</v>
      </c>
      <c r="AD76" s="27">
        <f t="shared" si="45"/>
        <v>1</v>
      </c>
      <c r="AE76" s="27">
        <f t="shared" si="46"/>
        <v>1</v>
      </c>
      <c r="AF76" s="27">
        <f t="shared" si="47"/>
        <v>1</v>
      </c>
      <c r="AG76" s="27">
        <f t="shared" si="48"/>
        <v>1</v>
      </c>
      <c r="AH76" s="27">
        <f t="shared" si="49"/>
        <v>1</v>
      </c>
      <c r="AI76" s="27">
        <f t="shared" si="50"/>
        <v>1</v>
      </c>
      <c r="AJ76" s="27">
        <f t="shared" si="51"/>
        <v>1</v>
      </c>
      <c r="AK76" s="27">
        <f t="shared" si="52"/>
        <v>1</v>
      </c>
      <c r="AL76" s="27">
        <f t="shared" si="53"/>
        <v>1</v>
      </c>
      <c r="AM76" s="27">
        <f t="shared" si="54"/>
        <v>1</v>
      </c>
      <c r="AN76" s="27">
        <f t="shared" si="55"/>
        <v>1</v>
      </c>
      <c r="AO76" s="27">
        <f t="shared" si="56"/>
        <v>1</v>
      </c>
      <c r="AP76" s="27">
        <f t="shared" si="57"/>
        <v>1</v>
      </c>
      <c r="AQ76" s="27">
        <f t="shared" si="58"/>
        <v>1</v>
      </c>
      <c r="AR76" s="27">
        <f t="shared" si="59"/>
        <v>1</v>
      </c>
      <c r="AS76" s="27">
        <f t="shared" si="60"/>
        <v>1</v>
      </c>
    </row>
    <row r="77" spans="1:54" hidden="1" outlineLevel="1">
      <c r="A77" s="409">
        <v>2031</v>
      </c>
      <c r="U77" s="35">
        <v>1</v>
      </c>
      <c r="V77" s="27">
        <f>+U77*(1+V$4)</f>
        <v>1</v>
      </c>
      <c r="W77" s="27">
        <f t="shared" si="61"/>
        <v>1</v>
      </c>
      <c r="X77" s="27">
        <f t="shared" si="39"/>
        <v>1</v>
      </c>
      <c r="Y77" s="27">
        <f t="shared" si="40"/>
        <v>1</v>
      </c>
      <c r="Z77" s="27">
        <f t="shared" si="41"/>
        <v>1</v>
      </c>
      <c r="AA77" s="27">
        <f t="shared" si="42"/>
        <v>1</v>
      </c>
      <c r="AB77" s="27">
        <f t="shared" si="43"/>
        <v>1</v>
      </c>
      <c r="AC77" s="27">
        <f t="shared" si="44"/>
        <v>1</v>
      </c>
      <c r="AD77" s="27">
        <f t="shared" si="45"/>
        <v>1</v>
      </c>
      <c r="AE77" s="27">
        <f t="shared" si="46"/>
        <v>1</v>
      </c>
      <c r="AF77" s="27">
        <f t="shared" si="47"/>
        <v>1</v>
      </c>
      <c r="AG77" s="27">
        <f t="shared" si="48"/>
        <v>1</v>
      </c>
      <c r="AH77" s="27">
        <f t="shared" si="49"/>
        <v>1</v>
      </c>
      <c r="AI77" s="27">
        <f t="shared" si="50"/>
        <v>1</v>
      </c>
      <c r="AJ77" s="27">
        <f t="shared" si="51"/>
        <v>1</v>
      </c>
      <c r="AK77" s="27">
        <f t="shared" si="52"/>
        <v>1</v>
      </c>
      <c r="AL77" s="27">
        <f t="shared" si="53"/>
        <v>1</v>
      </c>
      <c r="AM77" s="27">
        <f t="shared" si="54"/>
        <v>1</v>
      </c>
      <c r="AN77" s="27">
        <f t="shared" si="55"/>
        <v>1</v>
      </c>
      <c r="AO77" s="27">
        <f t="shared" si="56"/>
        <v>1</v>
      </c>
      <c r="AP77" s="27">
        <f t="shared" si="57"/>
        <v>1</v>
      </c>
      <c r="AQ77" s="27">
        <f t="shared" si="58"/>
        <v>1</v>
      </c>
      <c r="AR77" s="27">
        <f t="shared" si="59"/>
        <v>1</v>
      </c>
      <c r="AS77" s="27">
        <f t="shared" si="60"/>
        <v>1</v>
      </c>
    </row>
    <row r="78" spans="1:54" hidden="1" outlineLevel="1">
      <c r="A78" s="409">
        <v>2032</v>
      </c>
      <c r="V78" s="35">
        <v>1</v>
      </c>
      <c r="W78" s="27">
        <f t="shared" si="61"/>
        <v>1</v>
      </c>
      <c r="X78" s="27">
        <f t="shared" si="39"/>
        <v>1</v>
      </c>
      <c r="Y78" s="27">
        <f t="shared" si="40"/>
        <v>1</v>
      </c>
      <c r="Z78" s="27">
        <f t="shared" si="41"/>
        <v>1</v>
      </c>
      <c r="AA78" s="27">
        <f t="shared" si="42"/>
        <v>1</v>
      </c>
      <c r="AB78" s="27">
        <f t="shared" si="43"/>
        <v>1</v>
      </c>
      <c r="AC78" s="27">
        <f t="shared" si="44"/>
        <v>1</v>
      </c>
      <c r="AD78" s="27">
        <f t="shared" si="45"/>
        <v>1</v>
      </c>
      <c r="AE78" s="27">
        <f t="shared" si="46"/>
        <v>1</v>
      </c>
      <c r="AF78" s="27">
        <f t="shared" si="47"/>
        <v>1</v>
      </c>
      <c r="AG78" s="27">
        <f t="shared" si="48"/>
        <v>1</v>
      </c>
      <c r="AH78" s="27">
        <f t="shared" si="49"/>
        <v>1</v>
      </c>
      <c r="AI78" s="27">
        <f t="shared" si="50"/>
        <v>1</v>
      </c>
      <c r="AJ78" s="27">
        <f t="shared" si="51"/>
        <v>1</v>
      </c>
      <c r="AK78" s="27">
        <f t="shared" si="52"/>
        <v>1</v>
      </c>
      <c r="AL78" s="27">
        <f t="shared" si="53"/>
        <v>1</v>
      </c>
      <c r="AM78" s="27">
        <f t="shared" si="54"/>
        <v>1</v>
      </c>
      <c r="AN78" s="27">
        <f t="shared" si="55"/>
        <v>1</v>
      </c>
      <c r="AO78" s="27">
        <f t="shared" si="56"/>
        <v>1</v>
      </c>
      <c r="AP78" s="27">
        <f t="shared" si="57"/>
        <v>1</v>
      </c>
      <c r="AQ78" s="27">
        <f t="shared" si="58"/>
        <v>1</v>
      </c>
      <c r="AR78" s="27">
        <f t="shared" si="59"/>
        <v>1</v>
      </c>
      <c r="AS78" s="27">
        <f t="shared" si="60"/>
        <v>1</v>
      </c>
    </row>
    <row r="79" spans="1:54" hidden="1" outlineLevel="1">
      <c r="A79" s="409">
        <v>2033</v>
      </c>
      <c r="W79" s="35">
        <v>1</v>
      </c>
      <c r="X79" s="27">
        <f t="shared" si="39"/>
        <v>1</v>
      </c>
      <c r="Y79" s="27">
        <f>+X79*(1+Y$4)</f>
        <v>1</v>
      </c>
      <c r="Z79" s="27">
        <f t="shared" si="41"/>
        <v>1</v>
      </c>
      <c r="AA79" s="27">
        <f t="shared" si="42"/>
        <v>1</v>
      </c>
      <c r="AB79" s="27">
        <f t="shared" si="43"/>
        <v>1</v>
      </c>
      <c r="AC79" s="27">
        <f t="shared" si="44"/>
        <v>1</v>
      </c>
      <c r="AD79" s="27">
        <f t="shared" si="45"/>
        <v>1</v>
      </c>
      <c r="AE79" s="27">
        <f t="shared" si="46"/>
        <v>1</v>
      </c>
      <c r="AF79" s="27">
        <f t="shared" si="47"/>
        <v>1</v>
      </c>
      <c r="AG79" s="27">
        <f t="shared" si="48"/>
        <v>1</v>
      </c>
      <c r="AH79" s="27">
        <f t="shared" si="49"/>
        <v>1</v>
      </c>
      <c r="AI79" s="27">
        <f t="shared" si="50"/>
        <v>1</v>
      </c>
      <c r="AJ79" s="27">
        <f t="shared" si="51"/>
        <v>1</v>
      </c>
      <c r="AK79" s="27">
        <f t="shared" si="52"/>
        <v>1</v>
      </c>
      <c r="AL79" s="27">
        <f t="shared" si="53"/>
        <v>1</v>
      </c>
      <c r="AM79" s="27">
        <f t="shared" si="54"/>
        <v>1</v>
      </c>
      <c r="AN79" s="27">
        <f t="shared" si="55"/>
        <v>1</v>
      </c>
      <c r="AO79" s="27">
        <f t="shared" si="56"/>
        <v>1</v>
      </c>
      <c r="AP79" s="27">
        <f t="shared" si="57"/>
        <v>1</v>
      </c>
      <c r="AQ79" s="27">
        <f t="shared" si="58"/>
        <v>1</v>
      </c>
      <c r="AR79" s="27">
        <f t="shared" si="59"/>
        <v>1</v>
      </c>
      <c r="AS79" s="27">
        <f t="shared" si="60"/>
        <v>1</v>
      </c>
    </row>
    <row r="80" spans="1:54" hidden="1" outlineLevel="1">
      <c r="A80" s="409">
        <v>2034</v>
      </c>
      <c r="X80" s="35">
        <v>1</v>
      </c>
      <c r="Y80" s="27">
        <f>+X80*(1+Y$4)</f>
        <v>1</v>
      </c>
      <c r="Z80" s="27">
        <f t="shared" si="41"/>
        <v>1</v>
      </c>
      <c r="AA80" s="27">
        <f t="shared" si="42"/>
        <v>1</v>
      </c>
      <c r="AB80" s="27">
        <f t="shared" si="43"/>
        <v>1</v>
      </c>
      <c r="AC80" s="27">
        <f t="shared" si="44"/>
        <v>1</v>
      </c>
      <c r="AD80" s="27">
        <f t="shared" si="45"/>
        <v>1</v>
      </c>
      <c r="AE80" s="27">
        <f t="shared" si="46"/>
        <v>1</v>
      </c>
      <c r="AF80" s="27">
        <f t="shared" si="47"/>
        <v>1</v>
      </c>
      <c r="AG80" s="27">
        <f t="shared" si="48"/>
        <v>1</v>
      </c>
      <c r="AH80" s="27">
        <f t="shared" si="49"/>
        <v>1</v>
      </c>
      <c r="AI80" s="27">
        <f t="shared" si="50"/>
        <v>1</v>
      </c>
      <c r="AJ80" s="27">
        <f t="shared" si="51"/>
        <v>1</v>
      </c>
      <c r="AK80" s="27">
        <f t="shared" si="52"/>
        <v>1</v>
      </c>
      <c r="AL80" s="27">
        <f t="shared" si="53"/>
        <v>1</v>
      </c>
      <c r="AM80" s="27">
        <f t="shared" si="54"/>
        <v>1</v>
      </c>
      <c r="AN80" s="27">
        <f t="shared" si="55"/>
        <v>1</v>
      </c>
      <c r="AO80" s="27">
        <f t="shared" si="56"/>
        <v>1</v>
      </c>
      <c r="AP80" s="27">
        <f t="shared" si="57"/>
        <v>1</v>
      </c>
      <c r="AQ80" s="27">
        <f t="shared" si="58"/>
        <v>1</v>
      </c>
      <c r="AR80" s="27">
        <f t="shared" si="59"/>
        <v>1</v>
      </c>
      <c r="AS80" s="27">
        <f t="shared" si="60"/>
        <v>1</v>
      </c>
    </row>
    <row r="81" spans="1:45" hidden="1" outlineLevel="1">
      <c r="A81" s="409">
        <v>2035</v>
      </c>
      <c r="Y81" s="35">
        <v>1</v>
      </c>
      <c r="Z81" s="27">
        <f t="shared" si="41"/>
        <v>1</v>
      </c>
      <c r="AA81" s="27">
        <f t="shared" si="42"/>
        <v>1</v>
      </c>
      <c r="AB81" s="27">
        <f t="shared" si="43"/>
        <v>1</v>
      </c>
      <c r="AC81" s="27">
        <f t="shared" si="44"/>
        <v>1</v>
      </c>
      <c r="AD81" s="27">
        <f t="shared" si="45"/>
        <v>1</v>
      </c>
      <c r="AE81" s="27">
        <f t="shared" si="46"/>
        <v>1</v>
      </c>
      <c r="AF81" s="27">
        <f t="shared" si="47"/>
        <v>1</v>
      </c>
      <c r="AG81" s="27">
        <f t="shared" si="48"/>
        <v>1</v>
      </c>
      <c r="AH81" s="27">
        <f t="shared" si="49"/>
        <v>1</v>
      </c>
      <c r="AI81" s="27">
        <f t="shared" si="50"/>
        <v>1</v>
      </c>
      <c r="AJ81" s="27">
        <f t="shared" si="51"/>
        <v>1</v>
      </c>
      <c r="AK81" s="27">
        <f t="shared" si="52"/>
        <v>1</v>
      </c>
      <c r="AL81" s="27">
        <f t="shared" si="53"/>
        <v>1</v>
      </c>
      <c r="AM81" s="27">
        <f t="shared" si="54"/>
        <v>1</v>
      </c>
      <c r="AN81" s="27">
        <f t="shared" si="55"/>
        <v>1</v>
      </c>
      <c r="AO81" s="27">
        <f t="shared" si="56"/>
        <v>1</v>
      </c>
      <c r="AP81" s="27">
        <f t="shared" si="57"/>
        <v>1</v>
      </c>
      <c r="AQ81" s="27">
        <f t="shared" si="58"/>
        <v>1</v>
      </c>
      <c r="AR81" s="27">
        <f t="shared" si="59"/>
        <v>1</v>
      </c>
      <c r="AS81" s="27">
        <f t="shared" si="60"/>
        <v>1</v>
      </c>
    </row>
    <row r="82" spans="1:45" hidden="1" outlineLevel="1">
      <c r="A82" s="409">
        <v>2036</v>
      </c>
      <c r="Z82" s="35">
        <v>1</v>
      </c>
      <c r="AA82" s="27">
        <f t="shared" si="42"/>
        <v>1</v>
      </c>
      <c r="AB82" s="27">
        <f t="shared" si="43"/>
        <v>1</v>
      </c>
      <c r="AC82" s="27">
        <f t="shared" si="44"/>
        <v>1</v>
      </c>
      <c r="AD82" s="27">
        <f t="shared" si="45"/>
        <v>1</v>
      </c>
      <c r="AE82" s="27">
        <f t="shared" si="46"/>
        <v>1</v>
      </c>
      <c r="AF82" s="27">
        <f t="shared" si="47"/>
        <v>1</v>
      </c>
      <c r="AG82" s="27">
        <f t="shared" si="48"/>
        <v>1</v>
      </c>
      <c r="AH82" s="27">
        <f t="shared" si="49"/>
        <v>1</v>
      </c>
      <c r="AI82" s="27">
        <f t="shared" si="50"/>
        <v>1</v>
      </c>
      <c r="AJ82" s="27">
        <f t="shared" si="51"/>
        <v>1</v>
      </c>
      <c r="AK82" s="27">
        <f t="shared" si="52"/>
        <v>1</v>
      </c>
      <c r="AL82" s="27">
        <f t="shared" si="53"/>
        <v>1</v>
      </c>
      <c r="AM82" s="27">
        <f t="shared" si="54"/>
        <v>1</v>
      </c>
      <c r="AN82" s="27">
        <f t="shared" si="55"/>
        <v>1</v>
      </c>
      <c r="AO82" s="27">
        <f t="shared" si="56"/>
        <v>1</v>
      </c>
      <c r="AP82" s="27">
        <f t="shared" si="57"/>
        <v>1</v>
      </c>
      <c r="AQ82" s="27">
        <f t="shared" si="58"/>
        <v>1</v>
      </c>
      <c r="AR82" s="27">
        <f t="shared" si="59"/>
        <v>1</v>
      </c>
      <c r="AS82" s="27">
        <f t="shared" si="60"/>
        <v>1</v>
      </c>
    </row>
    <row r="83" spans="1:45" hidden="1" outlineLevel="1">
      <c r="A83" s="409">
        <v>2037</v>
      </c>
      <c r="AA83" s="35">
        <v>1</v>
      </c>
      <c r="AB83" s="27">
        <f t="shared" si="43"/>
        <v>1</v>
      </c>
      <c r="AC83" s="27">
        <f t="shared" si="44"/>
        <v>1</v>
      </c>
      <c r="AD83" s="27">
        <f t="shared" si="45"/>
        <v>1</v>
      </c>
      <c r="AE83" s="27">
        <f t="shared" si="46"/>
        <v>1</v>
      </c>
      <c r="AF83" s="27">
        <f t="shared" si="47"/>
        <v>1</v>
      </c>
      <c r="AG83" s="27">
        <f t="shared" si="48"/>
        <v>1</v>
      </c>
      <c r="AH83" s="27">
        <f t="shared" si="49"/>
        <v>1</v>
      </c>
      <c r="AI83" s="27">
        <f t="shared" si="50"/>
        <v>1</v>
      </c>
      <c r="AJ83" s="27">
        <f t="shared" si="51"/>
        <v>1</v>
      </c>
      <c r="AK83" s="27">
        <f t="shared" si="52"/>
        <v>1</v>
      </c>
      <c r="AL83" s="27">
        <f t="shared" si="53"/>
        <v>1</v>
      </c>
      <c r="AM83" s="27">
        <f t="shared" si="54"/>
        <v>1</v>
      </c>
      <c r="AN83" s="27">
        <f t="shared" si="55"/>
        <v>1</v>
      </c>
      <c r="AO83" s="27">
        <f t="shared" si="56"/>
        <v>1</v>
      </c>
      <c r="AP83" s="27">
        <f t="shared" si="57"/>
        <v>1</v>
      </c>
      <c r="AQ83" s="27">
        <f t="shared" si="58"/>
        <v>1</v>
      </c>
      <c r="AR83" s="27">
        <f t="shared" si="59"/>
        <v>1</v>
      </c>
      <c r="AS83" s="27">
        <f t="shared" si="60"/>
        <v>1</v>
      </c>
    </row>
    <row r="84" spans="1:45" hidden="1" outlineLevel="1">
      <c r="A84" s="409">
        <v>2038</v>
      </c>
      <c r="AB84" s="35">
        <v>1</v>
      </c>
      <c r="AC84" s="27">
        <f t="shared" si="44"/>
        <v>1</v>
      </c>
      <c r="AD84" s="27">
        <f t="shared" si="45"/>
        <v>1</v>
      </c>
      <c r="AE84" s="27">
        <f t="shared" si="46"/>
        <v>1</v>
      </c>
      <c r="AF84" s="27">
        <f t="shared" si="47"/>
        <v>1</v>
      </c>
      <c r="AG84" s="27">
        <f t="shared" si="48"/>
        <v>1</v>
      </c>
      <c r="AH84" s="27">
        <f t="shared" si="49"/>
        <v>1</v>
      </c>
      <c r="AI84" s="27">
        <f t="shared" si="50"/>
        <v>1</v>
      </c>
      <c r="AJ84" s="27">
        <f t="shared" si="51"/>
        <v>1</v>
      </c>
      <c r="AK84" s="27">
        <f t="shared" si="52"/>
        <v>1</v>
      </c>
      <c r="AL84" s="27">
        <f t="shared" si="53"/>
        <v>1</v>
      </c>
      <c r="AM84" s="27">
        <f t="shared" si="54"/>
        <v>1</v>
      </c>
      <c r="AN84" s="27">
        <f t="shared" si="55"/>
        <v>1</v>
      </c>
      <c r="AO84" s="27">
        <f t="shared" si="56"/>
        <v>1</v>
      </c>
      <c r="AP84" s="27">
        <f t="shared" si="57"/>
        <v>1</v>
      </c>
      <c r="AQ84" s="27">
        <f t="shared" si="58"/>
        <v>1</v>
      </c>
      <c r="AR84" s="27">
        <f t="shared" si="59"/>
        <v>1</v>
      </c>
      <c r="AS84" s="27">
        <f t="shared" si="60"/>
        <v>1</v>
      </c>
    </row>
    <row r="85" spans="1:45" hidden="1" outlineLevel="1">
      <c r="A85" s="409">
        <v>2039</v>
      </c>
      <c r="AC85" s="35">
        <v>1</v>
      </c>
      <c r="AD85" s="27">
        <f t="shared" si="45"/>
        <v>1</v>
      </c>
      <c r="AE85" s="27">
        <f t="shared" si="46"/>
        <v>1</v>
      </c>
      <c r="AF85" s="27">
        <f t="shared" si="47"/>
        <v>1</v>
      </c>
      <c r="AG85" s="27">
        <f t="shared" si="48"/>
        <v>1</v>
      </c>
      <c r="AH85" s="27">
        <f t="shared" si="49"/>
        <v>1</v>
      </c>
      <c r="AI85" s="27">
        <f t="shared" si="50"/>
        <v>1</v>
      </c>
      <c r="AJ85" s="27">
        <f t="shared" si="51"/>
        <v>1</v>
      </c>
      <c r="AK85" s="27">
        <f t="shared" si="52"/>
        <v>1</v>
      </c>
      <c r="AL85" s="27">
        <f t="shared" si="53"/>
        <v>1</v>
      </c>
      <c r="AM85" s="27">
        <f t="shared" si="54"/>
        <v>1</v>
      </c>
      <c r="AN85" s="27">
        <f t="shared" si="55"/>
        <v>1</v>
      </c>
      <c r="AO85" s="27">
        <f t="shared" si="56"/>
        <v>1</v>
      </c>
      <c r="AP85" s="27">
        <f t="shared" si="57"/>
        <v>1</v>
      </c>
      <c r="AQ85" s="27">
        <f t="shared" si="58"/>
        <v>1</v>
      </c>
      <c r="AR85" s="27">
        <f t="shared" si="59"/>
        <v>1</v>
      </c>
      <c r="AS85" s="27">
        <f t="shared" si="60"/>
        <v>1</v>
      </c>
    </row>
    <row r="86" spans="1:45" hidden="1" outlineLevel="1">
      <c r="A86" s="409">
        <v>2040</v>
      </c>
      <c r="AD86" s="35">
        <v>1</v>
      </c>
      <c r="AE86" s="27">
        <f t="shared" si="46"/>
        <v>1</v>
      </c>
      <c r="AF86" s="27">
        <f t="shared" si="47"/>
        <v>1</v>
      </c>
      <c r="AG86" s="27">
        <f t="shared" si="48"/>
        <v>1</v>
      </c>
      <c r="AH86" s="27">
        <f t="shared" si="49"/>
        <v>1</v>
      </c>
      <c r="AI86" s="27">
        <f t="shared" si="50"/>
        <v>1</v>
      </c>
      <c r="AJ86" s="27">
        <f t="shared" si="51"/>
        <v>1</v>
      </c>
      <c r="AK86" s="27">
        <f t="shared" si="52"/>
        <v>1</v>
      </c>
      <c r="AL86" s="27">
        <f t="shared" si="53"/>
        <v>1</v>
      </c>
      <c r="AM86" s="27">
        <f t="shared" si="54"/>
        <v>1</v>
      </c>
      <c r="AN86" s="27">
        <f t="shared" si="55"/>
        <v>1</v>
      </c>
      <c r="AO86" s="27">
        <f t="shared" si="56"/>
        <v>1</v>
      </c>
      <c r="AP86" s="27">
        <f t="shared" si="57"/>
        <v>1</v>
      </c>
      <c r="AQ86" s="27">
        <f t="shared" si="58"/>
        <v>1</v>
      </c>
      <c r="AR86" s="27">
        <f t="shared" si="59"/>
        <v>1</v>
      </c>
      <c r="AS86" s="27">
        <f t="shared" si="60"/>
        <v>1</v>
      </c>
    </row>
    <row r="87" spans="1:45" hidden="1" outlineLevel="1">
      <c r="A87" s="409">
        <v>2041</v>
      </c>
      <c r="AE87" s="35">
        <v>1</v>
      </c>
      <c r="AF87" s="27">
        <f>+AE87*(1+AF$4)</f>
        <v>1</v>
      </c>
      <c r="AG87" s="27">
        <f>+AF87*(1+AG$4)</f>
        <v>1</v>
      </c>
      <c r="AH87" s="27">
        <f>+AG87*(1+AH$4)</f>
        <v>1</v>
      </c>
      <c r="AI87" s="27">
        <f>+AH87*(1+AI$4)</f>
        <v>1</v>
      </c>
      <c r="AJ87" s="27">
        <f>+AI87*(1+AJ$4)</f>
        <v>1</v>
      </c>
      <c r="AK87" s="27">
        <f t="shared" ref="AK87:AK92" si="62">+AJ87*(1+AK$4)</f>
        <v>1</v>
      </c>
      <c r="AL87" s="27">
        <f t="shared" ref="AL87:AL93" si="63">+AK87*(1+AL$4)</f>
        <v>1</v>
      </c>
      <c r="AM87" s="27">
        <f t="shared" ref="AM87:AM94" si="64">+AL87*(1+AM$4)</f>
        <v>1</v>
      </c>
      <c r="AN87" s="27">
        <f t="shared" ref="AN87:AN95" si="65">+AM87*(1+AN$4)</f>
        <v>1</v>
      </c>
      <c r="AO87" s="27">
        <f t="shared" ref="AO87:AO96" si="66">+AN87*(1+AO$4)</f>
        <v>1</v>
      </c>
      <c r="AP87" s="27">
        <f t="shared" ref="AP87:AP97" si="67">+AO87*(1+AP$4)</f>
        <v>1</v>
      </c>
      <c r="AQ87" s="27">
        <f t="shared" ref="AQ87:AQ98" si="68">+AP87*(1+AQ$4)</f>
        <v>1</v>
      </c>
      <c r="AR87" s="27">
        <f t="shared" ref="AR87:AR99" si="69">+AQ87*(1+AR$4)</f>
        <v>1</v>
      </c>
      <c r="AS87" s="27">
        <f t="shared" si="60"/>
        <v>1</v>
      </c>
    </row>
    <row r="88" spans="1:45" hidden="1" outlineLevel="1">
      <c r="A88" s="409">
        <v>2042</v>
      </c>
      <c r="AF88" s="35">
        <v>1</v>
      </c>
      <c r="AG88" s="27">
        <f>+AF88*(1+AG$4)</f>
        <v>1</v>
      </c>
      <c r="AH88" s="27">
        <f>+AG88*(1+AH$4)</f>
        <v>1</v>
      </c>
      <c r="AI88" s="27">
        <f>+AH88*(1+AI$4)</f>
        <v>1</v>
      </c>
      <c r="AJ88" s="27">
        <f>+AI88*(1+AJ$4)</f>
        <v>1</v>
      </c>
      <c r="AK88" s="27">
        <f t="shared" si="62"/>
        <v>1</v>
      </c>
      <c r="AL88" s="27">
        <f t="shared" si="63"/>
        <v>1</v>
      </c>
      <c r="AM88" s="27">
        <f t="shared" si="64"/>
        <v>1</v>
      </c>
      <c r="AN88" s="27">
        <f t="shared" si="65"/>
        <v>1</v>
      </c>
      <c r="AO88" s="27">
        <f t="shared" si="66"/>
        <v>1</v>
      </c>
      <c r="AP88" s="27">
        <f t="shared" si="67"/>
        <v>1</v>
      </c>
      <c r="AQ88" s="27">
        <f t="shared" si="68"/>
        <v>1</v>
      </c>
      <c r="AR88" s="27">
        <f t="shared" si="69"/>
        <v>1</v>
      </c>
      <c r="AS88" s="27">
        <f t="shared" si="60"/>
        <v>1</v>
      </c>
    </row>
    <row r="89" spans="1:45" hidden="1" outlineLevel="1">
      <c r="A89" s="409">
        <v>2043</v>
      </c>
      <c r="AG89" s="35">
        <v>1</v>
      </c>
      <c r="AH89" s="27">
        <f>+AG89*(1+AH$4)</f>
        <v>1</v>
      </c>
      <c r="AI89" s="27">
        <f>+AH89*(1+AI$4)</f>
        <v>1</v>
      </c>
      <c r="AJ89" s="27">
        <f>+AI89*(1+AJ$4)</f>
        <v>1</v>
      </c>
      <c r="AK89" s="27">
        <f t="shared" si="62"/>
        <v>1</v>
      </c>
      <c r="AL89" s="27">
        <f t="shared" si="63"/>
        <v>1</v>
      </c>
      <c r="AM89" s="27">
        <f t="shared" si="64"/>
        <v>1</v>
      </c>
      <c r="AN89" s="27">
        <f t="shared" si="65"/>
        <v>1</v>
      </c>
      <c r="AO89" s="27">
        <f t="shared" si="66"/>
        <v>1</v>
      </c>
      <c r="AP89" s="27">
        <f t="shared" si="67"/>
        <v>1</v>
      </c>
      <c r="AQ89" s="27">
        <f t="shared" si="68"/>
        <v>1</v>
      </c>
      <c r="AR89" s="27">
        <f t="shared" si="69"/>
        <v>1</v>
      </c>
      <c r="AS89" s="27">
        <f t="shared" si="60"/>
        <v>1</v>
      </c>
    </row>
    <row r="90" spans="1:45" hidden="1" outlineLevel="1">
      <c r="A90" s="409">
        <v>2044</v>
      </c>
      <c r="AH90" s="35">
        <v>1</v>
      </c>
      <c r="AI90" s="27">
        <f>+AH90*(1+AI$4)</f>
        <v>1</v>
      </c>
      <c r="AJ90" s="27">
        <f>+AI90*(1+AJ$4)</f>
        <v>1</v>
      </c>
      <c r="AK90" s="27">
        <f t="shared" si="62"/>
        <v>1</v>
      </c>
      <c r="AL90" s="27">
        <f t="shared" si="63"/>
        <v>1</v>
      </c>
      <c r="AM90" s="27">
        <f t="shared" si="64"/>
        <v>1</v>
      </c>
      <c r="AN90" s="27">
        <f t="shared" si="65"/>
        <v>1</v>
      </c>
      <c r="AO90" s="27">
        <f t="shared" si="66"/>
        <v>1</v>
      </c>
      <c r="AP90" s="27">
        <f t="shared" si="67"/>
        <v>1</v>
      </c>
      <c r="AQ90" s="27">
        <f t="shared" si="68"/>
        <v>1</v>
      </c>
      <c r="AR90" s="27">
        <f t="shared" si="69"/>
        <v>1</v>
      </c>
      <c r="AS90" s="27">
        <f t="shared" si="60"/>
        <v>1</v>
      </c>
    </row>
    <row r="91" spans="1:45" hidden="1" outlineLevel="1">
      <c r="A91" s="409">
        <v>2045</v>
      </c>
      <c r="AI91" s="35">
        <v>1</v>
      </c>
      <c r="AJ91" s="27">
        <f>+AI91*(1+AJ$4)</f>
        <v>1</v>
      </c>
      <c r="AK91" s="27">
        <f t="shared" si="62"/>
        <v>1</v>
      </c>
      <c r="AL91" s="27">
        <f t="shared" si="63"/>
        <v>1</v>
      </c>
      <c r="AM91" s="27">
        <f t="shared" si="64"/>
        <v>1</v>
      </c>
      <c r="AN91" s="27">
        <f t="shared" si="65"/>
        <v>1</v>
      </c>
      <c r="AO91" s="27">
        <f t="shared" si="66"/>
        <v>1</v>
      </c>
      <c r="AP91" s="27">
        <f t="shared" si="67"/>
        <v>1</v>
      </c>
      <c r="AQ91" s="27">
        <f t="shared" si="68"/>
        <v>1</v>
      </c>
      <c r="AR91" s="27">
        <f t="shared" si="69"/>
        <v>1</v>
      </c>
      <c r="AS91" s="27">
        <f t="shared" si="60"/>
        <v>1</v>
      </c>
    </row>
    <row r="92" spans="1:45" hidden="1" outlineLevel="1">
      <c r="A92" s="409">
        <v>2046</v>
      </c>
      <c r="AJ92" s="35">
        <v>1</v>
      </c>
      <c r="AK92" s="27">
        <f t="shared" si="62"/>
        <v>1</v>
      </c>
      <c r="AL92" s="27">
        <f t="shared" si="63"/>
        <v>1</v>
      </c>
      <c r="AM92" s="27">
        <f t="shared" si="64"/>
        <v>1</v>
      </c>
      <c r="AN92" s="27">
        <f t="shared" si="65"/>
        <v>1</v>
      </c>
      <c r="AO92" s="27">
        <f t="shared" si="66"/>
        <v>1</v>
      </c>
      <c r="AP92" s="27">
        <f t="shared" si="67"/>
        <v>1</v>
      </c>
      <c r="AQ92" s="27">
        <f t="shared" si="68"/>
        <v>1</v>
      </c>
      <c r="AR92" s="27">
        <f t="shared" si="69"/>
        <v>1</v>
      </c>
      <c r="AS92" s="27">
        <f t="shared" si="60"/>
        <v>1</v>
      </c>
    </row>
    <row r="93" spans="1:45" hidden="1" outlineLevel="1">
      <c r="A93" s="409">
        <v>2047</v>
      </c>
      <c r="AK93" s="35">
        <v>1</v>
      </c>
      <c r="AL93" s="27">
        <f t="shared" si="63"/>
        <v>1</v>
      </c>
      <c r="AM93" s="27">
        <f t="shared" si="64"/>
        <v>1</v>
      </c>
      <c r="AN93" s="27">
        <f t="shared" si="65"/>
        <v>1</v>
      </c>
      <c r="AO93" s="27">
        <f t="shared" si="66"/>
        <v>1</v>
      </c>
      <c r="AP93" s="27">
        <f t="shared" si="67"/>
        <v>1</v>
      </c>
      <c r="AQ93" s="27">
        <f t="shared" si="68"/>
        <v>1</v>
      </c>
      <c r="AR93" s="27">
        <f t="shared" si="69"/>
        <v>1</v>
      </c>
      <c r="AS93" s="27">
        <f t="shared" si="60"/>
        <v>1</v>
      </c>
    </row>
    <row r="94" spans="1:45" hidden="1" outlineLevel="1">
      <c r="A94" s="409">
        <v>2048</v>
      </c>
      <c r="AL94" s="35">
        <v>1</v>
      </c>
      <c r="AM94" s="27">
        <f t="shared" si="64"/>
        <v>1</v>
      </c>
      <c r="AN94" s="27">
        <f t="shared" si="65"/>
        <v>1</v>
      </c>
      <c r="AO94" s="27">
        <f t="shared" si="66"/>
        <v>1</v>
      </c>
      <c r="AP94" s="27">
        <f t="shared" si="67"/>
        <v>1</v>
      </c>
      <c r="AQ94" s="27">
        <f t="shared" si="68"/>
        <v>1</v>
      </c>
      <c r="AR94" s="27">
        <f t="shared" si="69"/>
        <v>1</v>
      </c>
      <c r="AS94" s="27">
        <f t="shared" si="60"/>
        <v>1</v>
      </c>
    </row>
    <row r="95" spans="1:45" hidden="1" outlineLevel="1">
      <c r="A95" s="409">
        <v>2049</v>
      </c>
      <c r="AM95" s="35">
        <v>1</v>
      </c>
      <c r="AN95" s="27">
        <f t="shared" si="65"/>
        <v>1</v>
      </c>
      <c r="AO95" s="27">
        <f t="shared" si="66"/>
        <v>1</v>
      </c>
      <c r="AP95" s="27">
        <f t="shared" si="67"/>
        <v>1</v>
      </c>
      <c r="AQ95" s="27">
        <f t="shared" si="68"/>
        <v>1</v>
      </c>
      <c r="AR95" s="27">
        <f t="shared" si="69"/>
        <v>1</v>
      </c>
      <c r="AS95" s="27">
        <f t="shared" si="60"/>
        <v>1</v>
      </c>
    </row>
    <row r="96" spans="1:45" hidden="1" outlineLevel="1">
      <c r="A96" s="409">
        <v>2050</v>
      </c>
      <c r="AN96" s="35">
        <v>1</v>
      </c>
      <c r="AO96" s="27">
        <f t="shared" si="66"/>
        <v>1</v>
      </c>
      <c r="AP96" s="27">
        <f t="shared" si="67"/>
        <v>1</v>
      </c>
      <c r="AQ96" s="27">
        <f t="shared" si="68"/>
        <v>1</v>
      </c>
      <c r="AR96" s="27">
        <f t="shared" si="69"/>
        <v>1</v>
      </c>
      <c r="AS96" s="27">
        <f t="shared" si="60"/>
        <v>1</v>
      </c>
    </row>
    <row r="97" spans="1:59" hidden="1" outlineLevel="1">
      <c r="A97" s="409">
        <v>2051</v>
      </c>
      <c r="AO97" s="35">
        <v>1</v>
      </c>
      <c r="AP97" s="27">
        <f t="shared" si="67"/>
        <v>1</v>
      </c>
      <c r="AQ97" s="27">
        <f t="shared" si="68"/>
        <v>1</v>
      </c>
      <c r="AR97" s="27">
        <f t="shared" si="69"/>
        <v>1</v>
      </c>
      <c r="AS97" s="27">
        <f t="shared" si="60"/>
        <v>1</v>
      </c>
    </row>
    <row r="98" spans="1:59" hidden="1" outlineLevel="1">
      <c r="A98" s="409">
        <v>2052</v>
      </c>
      <c r="AP98" s="35">
        <v>1</v>
      </c>
      <c r="AQ98" s="27">
        <f t="shared" si="68"/>
        <v>1</v>
      </c>
      <c r="AR98" s="27">
        <f t="shared" si="69"/>
        <v>1</v>
      </c>
      <c r="AS98" s="27">
        <f t="shared" si="60"/>
        <v>1</v>
      </c>
    </row>
    <row r="99" spans="1:59" hidden="1" outlineLevel="1">
      <c r="A99" s="409">
        <v>2053</v>
      </c>
      <c r="AQ99" s="35">
        <v>1</v>
      </c>
      <c r="AR99" s="27">
        <f t="shared" si="69"/>
        <v>1</v>
      </c>
      <c r="AS99" s="27">
        <f t="shared" si="60"/>
        <v>1</v>
      </c>
    </row>
    <row r="100" spans="1:59" hidden="1" outlineLevel="1">
      <c r="A100" s="409">
        <v>2054</v>
      </c>
      <c r="AR100" s="35">
        <v>1</v>
      </c>
      <c r="AS100" s="27">
        <f t="shared" si="60"/>
        <v>1</v>
      </c>
    </row>
    <row r="101" spans="1:59" hidden="1" outlineLevel="1">
      <c r="A101" s="409">
        <v>2055</v>
      </c>
      <c r="AS101" s="35">
        <v>1</v>
      </c>
    </row>
    <row r="102" spans="1:59" collapsed="1"/>
    <row r="104" spans="1:59">
      <c r="BB104" s="3679" t="s">
        <v>29519</v>
      </c>
      <c r="BC104" s="3678" t="s">
        <v>31884</v>
      </c>
      <c r="BD104" s="3678" t="s">
        <v>26953</v>
      </c>
      <c r="BE104" s="3678"/>
      <c r="BF104" s="3678" t="s">
        <v>26955</v>
      </c>
      <c r="BG104" s="3678"/>
    </row>
    <row r="105" spans="1:59" ht="25.5">
      <c r="BB105" s="3679"/>
      <c r="BC105" s="3678"/>
      <c r="BD105" s="3263" t="s">
        <v>31888</v>
      </c>
      <c r="BE105" s="3263" t="s">
        <v>31892</v>
      </c>
      <c r="BF105" s="3263" t="s">
        <v>31888</v>
      </c>
      <c r="BG105" s="3263" t="s">
        <v>31892</v>
      </c>
    </row>
    <row r="106" spans="1:59">
      <c r="BB106" s="3264" t="s">
        <v>31876</v>
      </c>
      <c r="BC106" s="3264" t="s">
        <v>31879</v>
      </c>
      <c r="BD106" s="3264" t="str">
        <f>+BC106</f>
        <v>mantenimento</v>
      </c>
      <c r="BE106" s="3264" t="str">
        <f>+BC106</f>
        <v>mantenimento</v>
      </c>
      <c r="BF106" s="3264" t="str">
        <f>+BC106</f>
        <v>mantenimento</v>
      </c>
      <c r="BG106" s="3264" t="str">
        <f>+BC106</f>
        <v>mantenimento</v>
      </c>
    </row>
    <row r="107" spans="1:59">
      <c r="BB107" s="3264" t="s">
        <v>31877</v>
      </c>
      <c r="BC107" s="3265" t="s">
        <v>31882</v>
      </c>
      <c r="BD107" s="3266">
        <v>0.98001000000000005</v>
      </c>
      <c r="BE107" s="3267" t="s">
        <v>31885</v>
      </c>
      <c r="BF107" s="3266">
        <v>0.96001000000000003</v>
      </c>
      <c r="BG107" s="3267" t="s">
        <v>31889</v>
      </c>
    </row>
    <row r="108" spans="1:59">
      <c r="BB108" s="3264" t="s">
        <v>274</v>
      </c>
      <c r="BC108" s="3265" t="s">
        <v>31881</v>
      </c>
      <c r="BD108" s="3266">
        <v>0.95001000000000002</v>
      </c>
      <c r="BE108" s="3267" t="s">
        <v>31886</v>
      </c>
      <c r="BF108" s="3266">
        <v>0.94001000000000001</v>
      </c>
      <c r="BG108" s="3267" t="s">
        <v>31890</v>
      </c>
    </row>
    <row r="109" spans="1:59">
      <c r="BB109" s="3264" t="s">
        <v>31878</v>
      </c>
      <c r="BC109" s="3265" t="s">
        <v>31883</v>
      </c>
      <c r="BD109" s="3266">
        <v>0.92000999999999999</v>
      </c>
      <c r="BE109" s="3267" t="s">
        <v>31887</v>
      </c>
      <c r="BF109" s="3266">
        <v>0.92000999999999999</v>
      </c>
      <c r="BG109" s="3267" t="s">
        <v>31891</v>
      </c>
    </row>
  </sheetData>
  <sheetProtection algorithmName="SHA-512" hashValue="+2/hyxBXwJ3Vy/Y/MiR++ApqoztNyKoba1Fg7GJaA+/mXon4aFjR8s9+byizrhe0taHGkUojPJsWMOyJvNJO8Q==" saltValue="WRUS0wfGfa3fpHxGEjvmlA==" spinCount="100000" sheet="1" objects="1" scenarios="1"/>
  <customSheetViews>
    <customSheetView guid="{849F61E1-F6D3-48F4-A6FF-68F8FE186D80}" scale="85" showGridLines="0" hiddenRows="1" hiddenColumns="1" state="hidden">
      <pane ySplit="6" topLeftCell="A7" activePane="bottomLeft" state="frozen"/>
      <selection pane="bottomLeft"/>
      <pageMargins left="0.7" right="0.7" top="0.75" bottom="0.75" header="0.3" footer="0.3"/>
      <pageSetup paperSize="9" orientation="portrait" r:id="rId1"/>
    </customSheetView>
    <customSheetView guid="{1E1889AA-9C00-49BF-A07E-295053EABBEF}" scale="85" showGridLines="0">
      <pageMargins left="0.7" right="0.7" top="0.75" bottom="0.75" header="0.3" footer="0.3"/>
      <pageSetup paperSize="9" orientation="portrait" r:id="rId2"/>
    </customSheetView>
    <customSheetView guid="{83029BA9-344F-4783-B8F2-6704FB40A582}" scale="85" showGridLines="0" hiddenRows="1" hiddenColumns="1">
      <pane ySplit="6" topLeftCell="A7" activePane="bottomLeft" state="frozen"/>
      <selection pane="bottomLeft"/>
      <pageMargins left="0.7" right="0.7" top="0.75" bottom="0.75" header="0.3" footer="0.3"/>
      <pageSetup paperSize="9" orientation="portrait" r:id="rId3"/>
    </customSheetView>
  </customSheetViews>
  <mergeCells count="4">
    <mergeCell ref="BF104:BG104"/>
    <mergeCell ref="BD104:BE104"/>
    <mergeCell ref="BB104:BB105"/>
    <mergeCell ref="BC104:BC105"/>
  </mergeCells>
  <pageMargins left="0.7" right="0.7" top="0.75" bottom="0.75" header="0.3" footer="0.3"/>
  <pageSetup paperSize="9" orientation="portrait"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Foglio20">
    <tabColor rgb="FFE4DFEC"/>
  </sheetPr>
  <dimension ref="D1:RV141"/>
  <sheetViews>
    <sheetView showGridLines="0" zoomScale="85" zoomScaleNormal="85" workbookViewId="0"/>
  </sheetViews>
  <sheetFormatPr defaultRowHeight="15"/>
  <cols>
    <col min="4" max="4" width="12.5703125" style="124" bestFit="1" customWidth="1"/>
    <col min="5" max="10" width="14.42578125" style="124" customWidth="1"/>
    <col min="11" max="12" width="9.42578125" style="124"/>
    <col min="13" max="13" width="15" style="124" customWidth="1"/>
    <col min="14" max="32" width="12.5703125" style="124" customWidth="1"/>
    <col min="33" max="50" width="12.5703125" style="124" hidden="1" customWidth="1"/>
    <col min="51" max="66" width="12.5703125" style="124" customWidth="1"/>
    <col min="67" max="85" width="12.5703125" style="124" hidden="1" customWidth="1"/>
    <col min="86" max="100" width="12.5703125" style="124" customWidth="1"/>
    <col min="101" max="119" width="12.5703125" style="124" hidden="1" customWidth="1"/>
    <col min="120" max="133" width="12.5703125" style="124" customWidth="1"/>
    <col min="134" max="152" width="12.5703125" style="124" hidden="1" customWidth="1"/>
    <col min="153" max="165" width="12.5703125" style="124" customWidth="1"/>
    <col min="166" max="184" width="12.5703125" style="124" hidden="1" customWidth="1"/>
    <col min="185" max="196" width="12.5703125" style="124" customWidth="1"/>
    <col min="197" max="215" width="12.5703125" style="124" hidden="1" customWidth="1"/>
    <col min="216" max="226" width="12.5703125" style="124" customWidth="1"/>
    <col min="227" max="245" width="12.5703125" style="124" hidden="1" customWidth="1"/>
    <col min="246" max="246" width="12.5703125" style="124" customWidth="1"/>
    <col min="247" max="255" width="9.42578125" customWidth="1"/>
    <col min="256" max="263" width="9.42578125" hidden="1" customWidth="1"/>
    <col min="264" max="267" width="11.42578125" hidden="1" customWidth="1"/>
    <col min="268" max="274" width="9.42578125" hidden="1" customWidth="1"/>
    <col min="278" max="355" width="9.42578125" customWidth="1"/>
    <col min="361" max="380" width="8.5703125" customWidth="1"/>
    <col min="386" max="404" width="8.5703125" customWidth="1"/>
    <col min="409" max="427" width="8.5703125" customWidth="1"/>
    <col min="431" max="449" width="8.5703125" customWidth="1"/>
    <col min="452" max="470" width="8.5703125" customWidth="1"/>
    <col min="472" max="490" width="8.7109375" customWidth="1"/>
  </cols>
  <sheetData>
    <row r="1" spans="4:490">
      <c r="D1"/>
      <c r="E1"/>
      <c r="F1"/>
      <c r="G1"/>
      <c r="H1"/>
      <c r="I1"/>
      <c r="J1"/>
      <c r="L1" s="125"/>
      <c r="M1" s="125"/>
      <c r="N1" s="125"/>
      <c r="O1" s="125"/>
      <c r="P1" s="125"/>
      <c r="Q1" s="125"/>
      <c r="R1" s="125"/>
      <c r="S1" s="125"/>
      <c r="T1" s="125"/>
      <c r="U1" s="125"/>
      <c r="V1" s="125"/>
      <c r="W1" s="125"/>
      <c r="X1" s="125"/>
      <c r="Y1" s="125"/>
      <c r="Z1" s="125"/>
      <c r="AA1" s="125"/>
      <c r="AB1" s="125"/>
      <c r="AC1" s="125"/>
      <c r="AD1" s="125"/>
      <c r="AE1" s="125"/>
      <c r="AF1" s="125"/>
      <c r="AG1" s="125"/>
      <c r="AH1" s="125"/>
      <c r="AI1" s="125"/>
      <c r="AJ1" s="125"/>
      <c r="AK1" s="125"/>
      <c r="AL1" s="125"/>
      <c r="AM1" s="125"/>
      <c r="AN1" s="125"/>
      <c r="AO1" s="125"/>
      <c r="AP1" s="125"/>
      <c r="AQ1" s="125"/>
      <c r="AR1" s="125"/>
      <c r="AS1" s="125"/>
      <c r="AT1" s="125"/>
      <c r="AU1" s="125"/>
      <c r="AV1" s="125"/>
      <c r="AW1" s="125"/>
      <c r="AX1" s="125"/>
      <c r="AY1" s="125"/>
      <c r="AZ1" s="125"/>
      <c r="BA1" s="125"/>
      <c r="BB1" s="125"/>
      <c r="BC1" s="125"/>
      <c r="BD1" s="125"/>
      <c r="BE1" s="125"/>
      <c r="BF1" s="125"/>
      <c r="BG1" s="125"/>
      <c r="BH1" s="125"/>
      <c r="BI1" s="125"/>
      <c r="BJ1" s="125"/>
      <c r="BK1" s="125"/>
      <c r="BL1" s="125"/>
      <c r="BM1" s="125"/>
      <c r="BN1" s="125"/>
      <c r="BO1" s="125"/>
      <c r="BP1" s="125"/>
      <c r="BQ1" s="125"/>
      <c r="BR1" s="125"/>
      <c r="BS1" s="125"/>
      <c r="BT1" s="125"/>
      <c r="BU1" s="125"/>
      <c r="BV1" s="125"/>
      <c r="BW1" s="125"/>
      <c r="BX1" s="125"/>
      <c r="BY1" s="125"/>
      <c r="BZ1" s="125"/>
      <c r="CA1" s="125"/>
      <c r="CB1" s="125"/>
      <c r="CC1" s="125"/>
      <c r="CD1" s="125"/>
      <c r="CE1" s="125"/>
      <c r="CF1" s="125"/>
      <c r="CG1" s="125"/>
      <c r="JC1" s="8"/>
      <c r="JD1" s="9"/>
      <c r="JE1" s="9"/>
      <c r="JF1" s="9"/>
      <c r="JG1" s="9"/>
      <c r="JH1" s="9"/>
      <c r="JI1" s="9"/>
      <c r="JJ1" s="9"/>
      <c r="JK1" s="9"/>
      <c r="JL1" s="9"/>
      <c r="JM1" s="9"/>
      <c r="JN1" s="9"/>
      <c r="JO1" s="9"/>
      <c r="JP1" s="8"/>
      <c r="JQ1" s="8"/>
      <c r="JR1" s="8"/>
      <c r="JS1" s="8"/>
    </row>
    <row r="2" spans="4:490">
      <c r="D2"/>
      <c r="E2"/>
      <c r="F2"/>
      <c r="G2"/>
      <c r="H2"/>
      <c r="I2"/>
      <c r="J2"/>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c r="BZ2" s="10"/>
      <c r="CA2" s="10"/>
      <c r="CB2" s="10"/>
      <c r="CC2" s="10"/>
      <c r="CD2" s="10"/>
      <c r="CE2" s="10"/>
      <c r="CF2" s="10"/>
      <c r="CG2" s="10"/>
      <c r="CH2" s="10"/>
      <c r="CI2" s="10"/>
      <c r="CJ2" s="10"/>
      <c r="CK2" s="10"/>
      <c r="CL2" s="10"/>
      <c r="CM2" s="10"/>
      <c r="CN2" s="10"/>
      <c r="CO2" s="10"/>
      <c r="CP2" s="10"/>
      <c r="CQ2" s="10"/>
      <c r="CR2" s="10"/>
      <c r="CS2" s="10"/>
      <c r="CT2" s="10"/>
      <c r="CU2" s="10"/>
      <c r="CV2" s="10"/>
      <c r="CW2" s="10"/>
      <c r="CX2" s="10"/>
      <c r="CY2" s="10"/>
      <c r="CZ2" s="10"/>
      <c r="DA2" s="10"/>
      <c r="DB2" s="10"/>
      <c r="DC2" s="10"/>
      <c r="DD2" s="10"/>
      <c r="DE2" s="10"/>
      <c r="DF2" s="10"/>
      <c r="DG2" s="10"/>
      <c r="DH2" s="10"/>
      <c r="DI2" s="10"/>
      <c r="DJ2" s="10"/>
      <c r="DK2" s="10"/>
      <c r="DL2" s="10"/>
      <c r="DM2" s="10"/>
      <c r="DN2" s="10"/>
      <c r="DO2" s="10"/>
      <c r="DP2" s="10"/>
      <c r="DQ2" s="10"/>
      <c r="DR2" s="10"/>
      <c r="DS2" s="10"/>
      <c r="DT2" s="10"/>
      <c r="DU2" s="10"/>
      <c r="DV2" s="10"/>
      <c r="DW2" s="10"/>
      <c r="DX2" s="10"/>
      <c r="DY2" s="10"/>
      <c r="DZ2" s="10"/>
      <c r="EA2" s="10"/>
      <c r="EB2" s="10"/>
      <c r="EC2" s="10"/>
      <c r="ED2" s="10"/>
      <c r="EE2" s="10"/>
      <c r="EF2" s="10"/>
      <c r="EG2" s="10"/>
      <c r="EH2" s="10"/>
      <c r="EI2" s="10"/>
      <c r="EJ2" s="10"/>
      <c r="EK2" s="10"/>
      <c r="EL2" s="10"/>
      <c r="EM2" s="10"/>
      <c r="EN2" s="10"/>
      <c r="EO2" s="10"/>
      <c r="EP2" s="10"/>
      <c r="EQ2" s="10"/>
      <c r="ER2" s="10"/>
      <c r="ES2" s="10"/>
      <c r="ET2" s="10"/>
      <c r="EU2" s="10"/>
      <c r="EV2" s="10"/>
      <c r="EW2" s="10"/>
      <c r="EX2" s="10"/>
      <c r="EY2" s="10"/>
      <c r="EZ2" s="10"/>
      <c r="FA2" s="10"/>
      <c r="FB2" s="10"/>
      <c r="FC2" s="10"/>
      <c r="FD2" s="10"/>
      <c r="FE2" s="10"/>
      <c r="FF2" s="10"/>
      <c r="FG2" s="10"/>
      <c r="FH2" s="10"/>
      <c r="FI2" s="10"/>
      <c r="FJ2" s="10"/>
      <c r="FK2" s="10"/>
      <c r="FL2" s="10"/>
      <c r="FM2" s="10"/>
      <c r="FN2" s="10"/>
      <c r="FO2" s="10"/>
      <c r="FP2" s="10"/>
      <c r="FQ2" s="10"/>
      <c r="FR2" s="10"/>
      <c r="FS2" s="10"/>
      <c r="FT2" s="10"/>
      <c r="FU2" s="10"/>
      <c r="FV2" s="10"/>
      <c r="FW2" s="10"/>
      <c r="FX2" s="10"/>
      <c r="FY2" s="10"/>
      <c r="FZ2" s="10"/>
      <c r="GA2" s="10"/>
      <c r="GB2" s="10"/>
      <c r="GC2" s="10"/>
      <c r="GD2" s="10"/>
      <c r="GE2" s="10"/>
      <c r="GF2" s="10"/>
      <c r="GG2" s="10"/>
      <c r="GH2" s="10"/>
      <c r="GI2" s="10"/>
      <c r="GJ2" s="10"/>
      <c r="GK2" s="10"/>
      <c r="GL2" s="10"/>
      <c r="GM2" s="10"/>
      <c r="GN2" s="10"/>
      <c r="GO2" s="10"/>
      <c r="GP2" s="10"/>
      <c r="GQ2" s="10"/>
      <c r="GR2" s="10"/>
      <c r="GS2" s="10"/>
      <c r="GT2" s="10"/>
      <c r="GU2" s="10"/>
      <c r="GV2" s="10"/>
      <c r="GW2" s="10"/>
      <c r="GX2" s="10"/>
      <c r="GY2" s="10"/>
      <c r="GZ2" s="10"/>
      <c r="HA2" s="10"/>
      <c r="HB2" s="10"/>
      <c r="HC2" s="10"/>
      <c r="HD2" s="10"/>
      <c r="HE2" s="10"/>
      <c r="HF2" s="10"/>
      <c r="HG2" s="10"/>
      <c r="HH2" s="10"/>
      <c r="HI2" s="10"/>
      <c r="HJ2" s="10"/>
      <c r="HK2" s="10"/>
      <c r="HL2" s="10"/>
      <c r="HM2" s="10"/>
      <c r="HN2" s="10"/>
      <c r="HO2" s="10"/>
      <c r="HP2" s="10"/>
      <c r="HQ2" s="10"/>
      <c r="HR2" s="10"/>
      <c r="HS2" s="10"/>
      <c r="HT2" s="10"/>
      <c r="HU2" s="10"/>
      <c r="HV2" s="10"/>
      <c r="HW2" s="10"/>
      <c r="HX2" s="10"/>
      <c r="HY2" s="10"/>
      <c r="HZ2" s="10"/>
      <c r="IA2" s="10"/>
      <c r="IB2" s="10"/>
      <c r="IC2" s="10"/>
      <c r="ID2" s="10"/>
      <c r="IE2" s="10"/>
      <c r="IF2" s="10"/>
      <c r="IG2" s="10"/>
      <c r="IH2" s="10"/>
      <c r="II2" s="10"/>
      <c r="IJ2" s="10"/>
      <c r="IK2" s="10"/>
      <c r="IL2" s="10"/>
      <c r="JC2" s="5"/>
      <c r="JD2" s="5"/>
      <c r="JE2" s="5"/>
      <c r="JF2" s="5"/>
      <c r="JG2" s="5"/>
      <c r="JH2" s="5"/>
      <c r="JI2" s="5"/>
      <c r="JJ2" s="5"/>
      <c r="JK2" s="5"/>
      <c r="JL2" s="5"/>
      <c r="JM2" s="5"/>
      <c r="JN2" s="5"/>
      <c r="JO2" s="5"/>
      <c r="JP2" s="5"/>
      <c r="JQ2" s="5"/>
      <c r="JR2" s="5"/>
      <c r="JS2" s="5"/>
    </row>
    <row r="3" spans="4:490">
      <c r="D3" s="10"/>
      <c r="E3" s="10"/>
      <c r="F3" s="10"/>
      <c r="G3" s="10"/>
      <c r="H3" s="10"/>
      <c r="I3" s="10"/>
      <c r="J3" s="10"/>
      <c r="K3" s="10"/>
      <c r="L3" s="10"/>
      <c r="M3" s="906" t="s">
        <v>25446</v>
      </c>
      <c r="N3" s="907"/>
      <c r="O3" s="907"/>
      <c r="P3" s="907"/>
      <c r="Q3" s="907"/>
      <c r="R3" s="907"/>
      <c r="S3" s="907"/>
      <c r="T3" s="907"/>
      <c r="U3" s="907"/>
      <c r="V3" s="125"/>
      <c r="W3" s="125"/>
      <c r="X3" s="125"/>
      <c r="Y3" s="125"/>
      <c r="Z3" s="125"/>
      <c r="AA3" s="125"/>
      <c r="AB3" s="125"/>
      <c r="AC3" s="125"/>
      <c r="AD3" s="125"/>
      <c r="AE3" s="125"/>
      <c r="AF3" s="125"/>
      <c r="AG3" s="125"/>
      <c r="AH3" s="125"/>
      <c r="AI3" s="125"/>
      <c r="AJ3" s="125"/>
      <c r="AK3" s="125"/>
      <c r="AL3" s="125"/>
      <c r="AM3" s="125"/>
      <c r="AN3" s="125"/>
      <c r="AO3" s="125"/>
      <c r="AP3" s="125"/>
      <c r="AQ3" s="125"/>
      <c r="AR3" s="125"/>
      <c r="AS3" s="125"/>
      <c r="AT3" s="125"/>
      <c r="AU3" s="125"/>
      <c r="AV3" s="125"/>
      <c r="AW3" s="125"/>
      <c r="AX3" s="125"/>
      <c r="AY3" s="125"/>
      <c r="AZ3" s="125"/>
      <c r="BA3" s="125"/>
      <c r="BB3" s="125"/>
      <c r="BC3" s="125"/>
      <c r="BD3" s="125"/>
      <c r="BE3" s="125"/>
      <c r="BF3" s="125"/>
      <c r="BG3" s="125"/>
      <c r="BH3" s="125"/>
      <c r="BI3" s="125"/>
      <c r="BJ3" s="125"/>
      <c r="BK3" s="125"/>
      <c r="BL3" s="125"/>
      <c r="BM3" s="125"/>
      <c r="BN3" s="125"/>
      <c r="BO3" s="125"/>
      <c r="BP3" s="125"/>
      <c r="BQ3" s="125"/>
      <c r="BR3" s="125"/>
      <c r="BS3" s="125"/>
      <c r="BT3" s="125"/>
      <c r="BU3" s="125"/>
      <c r="BV3" s="125"/>
      <c r="BW3" s="125"/>
      <c r="BX3" s="125"/>
      <c r="BY3" s="125"/>
      <c r="BZ3" s="125"/>
      <c r="CA3" s="125"/>
      <c r="CB3" s="125"/>
      <c r="CC3" s="125"/>
      <c r="CD3" s="125"/>
      <c r="CE3" s="125"/>
      <c r="CF3" s="125"/>
      <c r="CG3" s="125"/>
      <c r="DP3" s="340">
        <v>2014</v>
      </c>
      <c r="EW3" s="340">
        <v>2015</v>
      </c>
      <c r="GC3" s="340">
        <v>2016</v>
      </c>
      <c r="HH3" s="340">
        <v>2017</v>
      </c>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v>2018</v>
      </c>
      <c r="JO3" s="340">
        <v>2019</v>
      </c>
    </row>
    <row r="4" spans="4:490">
      <c r="D4" s="126" t="s">
        <v>26767</v>
      </c>
      <c r="E4" s="10"/>
      <c r="F4" s="10"/>
      <c r="G4" s="10"/>
      <c r="H4" s="10"/>
      <c r="I4" s="10"/>
      <c r="J4" s="10"/>
      <c r="K4" s="10"/>
      <c r="L4" s="125"/>
      <c r="M4" s="126"/>
      <c r="N4" s="127"/>
      <c r="O4" s="127"/>
      <c r="P4" s="127"/>
      <c r="Q4" s="127"/>
      <c r="R4" s="127"/>
      <c r="S4" s="127"/>
      <c r="T4" s="127"/>
      <c r="U4" s="127"/>
      <c r="V4" s="127"/>
      <c r="W4" s="127"/>
      <c r="X4" s="127"/>
      <c r="Y4" s="127"/>
      <c r="Z4" s="127"/>
      <c r="AA4" s="127"/>
      <c r="AB4" s="127"/>
      <c r="AC4" s="127"/>
      <c r="AD4" s="127"/>
      <c r="AE4" s="127"/>
      <c r="AF4" s="127"/>
      <c r="AG4" s="127"/>
      <c r="AH4" s="127"/>
      <c r="AI4" s="127"/>
      <c r="AJ4" s="127"/>
      <c r="AK4" s="127"/>
      <c r="AL4" s="127"/>
      <c r="AM4" s="127"/>
      <c r="AN4" s="127"/>
      <c r="AO4" s="127"/>
      <c r="AP4" s="127"/>
      <c r="AQ4" s="127"/>
      <c r="AR4" s="127"/>
      <c r="AS4" s="127"/>
      <c r="AT4" s="127"/>
      <c r="AU4" s="127"/>
      <c r="AV4" s="127"/>
      <c r="AW4" s="127"/>
      <c r="AX4" s="127"/>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c r="BX4" s="128"/>
      <c r="BY4" s="128"/>
      <c r="BZ4" s="128"/>
      <c r="CA4" s="128"/>
      <c r="CB4" s="128"/>
      <c r="CC4" s="128"/>
      <c r="CD4" s="128"/>
      <c r="CE4" s="128"/>
      <c r="CF4" s="128"/>
      <c r="CG4" s="128"/>
      <c r="CH4" s="129"/>
      <c r="CI4" s="129"/>
      <c r="CJ4" s="129"/>
      <c r="CK4" s="129"/>
      <c r="CL4" s="129"/>
      <c r="CM4" s="129"/>
      <c r="CN4" s="129"/>
      <c r="CO4" s="129"/>
      <c r="CP4" s="129"/>
      <c r="CQ4" s="129"/>
      <c r="CR4" s="129"/>
      <c r="CS4" s="129"/>
      <c r="CT4" s="129"/>
      <c r="CU4" s="129"/>
      <c r="CV4" s="129"/>
      <c r="CW4" s="129"/>
      <c r="CX4" s="129"/>
      <c r="CY4" s="129"/>
      <c r="CZ4" s="129"/>
      <c r="DA4" s="129"/>
      <c r="DB4" s="129"/>
      <c r="DC4" s="129"/>
      <c r="DD4" s="129"/>
      <c r="DE4" s="129"/>
      <c r="DF4" s="129"/>
      <c r="DG4" s="129"/>
      <c r="DH4" s="129"/>
      <c r="DI4" s="129"/>
      <c r="DJ4" s="129"/>
      <c r="DK4" s="129"/>
      <c r="DL4" s="129"/>
      <c r="DM4" s="129"/>
      <c r="DN4" s="129"/>
      <c r="DO4" s="129"/>
      <c r="DP4" s="129"/>
      <c r="DQ4" s="129"/>
      <c r="DR4" s="129"/>
      <c r="DS4" s="129"/>
      <c r="DT4" s="129"/>
      <c r="DU4" s="129"/>
      <c r="DV4" s="129"/>
      <c r="DW4" s="129"/>
      <c r="DX4" s="129"/>
      <c r="DY4" s="129"/>
      <c r="DZ4" s="129"/>
      <c r="EA4" s="129"/>
      <c r="EB4" s="129"/>
      <c r="EC4" s="129"/>
      <c r="ED4" s="129"/>
      <c r="EE4" s="129"/>
      <c r="EF4" s="129"/>
      <c r="EG4" s="129"/>
      <c r="EH4" s="129"/>
      <c r="EI4" s="129"/>
      <c r="EJ4" s="129"/>
      <c r="EK4" s="129"/>
      <c r="EL4" s="129"/>
      <c r="EM4" s="129"/>
      <c r="EN4" s="129"/>
      <c r="EO4" s="129"/>
      <c r="EP4" s="129"/>
      <c r="EQ4" s="129"/>
      <c r="ER4" s="129"/>
      <c r="ES4" s="129"/>
      <c r="ET4" s="129"/>
      <c r="EU4" s="129"/>
      <c r="EV4" s="129"/>
      <c r="EW4" s="129"/>
      <c r="EX4" s="129"/>
      <c r="EY4" s="129"/>
      <c r="EZ4" s="129"/>
      <c r="FA4" s="129"/>
      <c r="FB4" s="129"/>
      <c r="FC4" s="129"/>
      <c r="FD4" s="129"/>
      <c r="FE4" s="129"/>
      <c r="FF4" s="129"/>
      <c r="FG4" s="129"/>
      <c r="FH4" s="129"/>
      <c r="FI4" s="129"/>
      <c r="FJ4" s="129"/>
      <c r="FK4" s="129"/>
      <c r="FL4" s="129"/>
      <c r="FM4" s="129"/>
      <c r="FN4" s="129"/>
      <c r="FO4" s="129"/>
      <c r="FP4" s="129"/>
      <c r="FQ4" s="129"/>
      <c r="FR4" s="129"/>
      <c r="FS4" s="129"/>
      <c r="FT4" s="129"/>
      <c r="FU4" s="129"/>
      <c r="FV4" s="129"/>
      <c r="FW4" s="129"/>
      <c r="FX4" s="129"/>
      <c r="FY4" s="129"/>
      <c r="FZ4" s="129"/>
      <c r="GA4" s="129"/>
      <c r="GB4" s="129"/>
      <c r="GC4" s="129"/>
      <c r="GD4" s="129"/>
      <c r="GE4" s="129"/>
      <c r="GF4" s="129"/>
      <c r="GG4" s="129"/>
      <c r="GH4" s="129"/>
      <c r="GI4" s="129"/>
      <c r="GJ4" s="129"/>
      <c r="GK4" s="129"/>
      <c r="GL4" s="129"/>
      <c r="GM4" s="129"/>
      <c r="GN4" s="129"/>
      <c r="GO4" s="129"/>
      <c r="GP4" s="129"/>
      <c r="GQ4" s="129"/>
      <c r="GR4" s="129"/>
      <c r="GS4" s="129"/>
      <c r="GT4" s="129"/>
      <c r="GU4" s="129"/>
      <c r="GV4" s="129"/>
      <c r="GW4" s="129"/>
      <c r="GX4" s="129"/>
      <c r="GY4" s="129"/>
      <c r="GZ4" s="129"/>
      <c r="HA4" s="129"/>
      <c r="HB4" s="129"/>
      <c r="HC4" s="129"/>
      <c r="HD4" s="129"/>
      <c r="HE4" s="129"/>
      <c r="HF4" s="129"/>
      <c r="HG4" s="129"/>
      <c r="HH4" s="129"/>
      <c r="HI4" s="129"/>
      <c r="HJ4" s="129"/>
      <c r="HK4" s="129"/>
      <c r="HL4" s="129"/>
      <c r="HM4" s="129"/>
      <c r="HN4" s="129"/>
      <c r="HO4" s="129"/>
      <c r="HP4" s="129"/>
      <c r="HQ4" s="129"/>
      <c r="HR4" s="129"/>
      <c r="HS4" s="129"/>
      <c r="HT4" s="129"/>
      <c r="HU4" s="129"/>
      <c r="HV4" s="129"/>
      <c r="HW4" s="129"/>
      <c r="HX4" s="129"/>
      <c r="HY4" s="129"/>
      <c r="HZ4" s="129"/>
      <c r="IA4" s="129"/>
      <c r="IB4" s="129"/>
      <c r="IC4" s="129"/>
      <c r="ID4" s="129"/>
      <c r="IE4" s="129"/>
      <c r="IF4" s="129"/>
      <c r="IG4" s="129"/>
      <c r="IH4" s="129"/>
      <c r="II4" s="129"/>
      <c r="IJ4" s="129"/>
      <c r="IK4" s="129"/>
      <c r="IL4" s="129"/>
    </row>
    <row r="5" spans="4:490">
      <c r="D5" s="131"/>
      <c r="E5" s="1774">
        <v>2024</v>
      </c>
      <c r="F5" s="1774">
        <v>2025</v>
      </c>
      <c r="G5" s="1771">
        <v>2026</v>
      </c>
      <c r="H5" s="1772">
        <v>2027</v>
      </c>
      <c r="I5" s="1774">
        <v>2028</v>
      </c>
      <c r="J5" s="1774">
        <v>2029</v>
      </c>
      <c r="K5" s="130"/>
      <c r="L5" s="132"/>
    </row>
    <row r="6" spans="4:490">
      <c r="D6" s="135" t="s">
        <v>199</v>
      </c>
      <c r="E6" s="719">
        <f>+SUM(IMN_gestore!$P:$P)</f>
        <v>0</v>
      </c>
      <c r="F6" s="719">
        <f>+SUM(IMN_gestore!$AA:$AA)</f>
        <v>0</v>
      </c>
      <c r="G6" s="719">
        <f>+SUM(IMN_gestore!$AL:$AL)</f>
        <v>0</v>
      </c>
      <c r="H6" s="719">
        <f>+SUM(IMN_gestore!$AW:$AW)</f>
        <v>0</v>
      </c>
      <c r="I6" s="719">
        <f>+SUM(IMN_gestore!$BH:$BH)</f>
        <v>0</v>
      </c>
      <c r="J6" s="719">
        <f>+SUM(IMN_gestore!$BS:$BS)</f>
        <v>0</v>
      </c>
      <c r="K6" s="10"/>
      <c r="L6" s="125"/>
      <c r="M6" s="632" t="s">
        <v>110</v>
      </c>
      <c r="N6" s="623" t="s">
        <v>25134</v>
      </c>
      <c r="O6" s="623" t="s">
        <v>25135</v>
      </c>
      <c r="P6" s="623" t="s">
        <v>25136</v>
      </c>
      <c r="Q6" s="623" t="s">
        <v>25137</v>
      </c>
      <c r="R6" s="623" t="s">
        <v>25138</v>
      </c>
      <c r="S6" s="623" t="s">
        <v>25139</v>
      </c>
      <c r="T6" s="623" t="s">
        <v>25140</v>
      </c>
      <c r="U6" s="623" t="s">
        <v>25141</v>
      </c>
      <c r="V6" s="623" t="s">
        <v>25198</v>
      </c>
      <c r="W6" s="623" t="s">
        <v>25199</v>
      </c>
      <c r="X6" s="623" t="s">
        <v>25200</v>
      </c>
      <c r="Y6" s="623" t="s">
        <v>25201</v>
      </c>
      <c r="Z6" s="623" t="s">
        <v>25202</v>
      </c>
      <c r="AA6" s="623" t="s">
        <v>25203</v>
      </c>
      <c r="AB6" s="623" t="s">
        <v>25204</v>
      </c>
      <c r="AC6" s="623" t="s">
        <v>25205</v>
      </c>
      <c r="AD6" s="623" t="s">
        <v>25206</v>
      </c>
      <c r="AE6" s="623" t="s">
        <v>25207</v>
      </c>
      <c r="AF6" s="623" t="s">
        <v>25208</v>
      </c>
      <c r="AG6" s="623" t="s">
        <v>25209</v>
      </c>
      <c r="AH6" s="623" t="s">
        <v>25210</v>
      </c>
      <c r="AI6" s="623" t="s">
        <v>25211</v>
      </c>
      <c r="AJ6" s="623" t="s">
        <v>25212</v>
      </c>
      <c r="AK6" s="623" t="s">
        <v>25213</v>
      </c>
      <c r="AL6" s="623" t="s">
        <v>25214</v>
      </c>
      <c r="AM6" s="623" t="s">
        <v>25215</v>
      </c>
      <c r="AN6" s="623" t="s">
        <v>25216</v>
      </c>
      <c r="AO6" s="623" t="s">
        <v>25217</v>
      </c>
      <c r="AP6" s="623" t="s">
        <v>25218</v>
      </c>
      <c r="AQ6" s="623" t="s">
        <v>25219</v>
      </c>
      <c r="AR6" s="623" t="s">
        <v>25220</v>
      </c>
      <c r="AS6" s="623" t="s">
        <v>25221</v>
      </c>
      <c r="AT6" s="623" t="s">
        <v>25222</v>
      </c>
      <c r="AU6" s="623" t="s">
        <v>25223</v>
      </c>
      <c r="AV6" s="623" t="s">
        <v>25224</v>
      </c>
      <c r="AW6" s="623" t="s">
        <v>25225</v>
      </c>
      <c r="AX6" s="623" t="s">
        <v>25226</v>
      </c>
      <c r="AY6" s="623" t="s">
        <v>25142</v>
      </c>
      <c r="AZ6" s="623" t="s">
        <v>25143</v>
      </c>
      <c r="BA6" s="623" t="s">
        <v>25144</v>
      </c>
      <c r="BB6" s="623" t="s">
        <v>25145</v>
      </c>
      <c r="BC6" s="623" t="s">
        <v>25146</v>
      </c>
      <c r="BD6" s="623" t="s">
        <v>25147</v>
      </c>
      <c r="BE6" s="623" t="s">
        <v>25227</v>
      </c>
      <c r="BF6" s="623" t="s">
        <v>25228</v>
      </c>
      <c r="BG6" s="623" t="s">
        <v>25229</v>
      </c>
      <c r="BH6" s="623" t="s">
        <v>25230</v>
      </c>
      <c r="BI6" s="623" t="s">
        <v>25231</v>
      </c>
      <c r="BJ6" s="623" t="s">
        <v>25232</v>
      </c>
      <c r="BK6" s="623" t="s">
        <v>25233</v>
      </c>
      <c r="BL6" s="623" t="s">
        <v>25234</v>
      </c>
      <c r="BM6" s="623" t="s">
        <v>25235</v>
      </c>
      <c r="BN6" s="623" t="s">
        <v>25236</v>
      </c>
      <c r="BO6" s="623" t="s">
        <v>25237</v>
      </c>
      <c r="BP6" s="623" t="s">
        <v>25238</v>
      </c>
      <c r="BQ6" s="623" t="s">
        <v>25239</v>
      </c>
      <c r="BR6" s="623" t="s">
        <v>25240</v>
      </c>
      <c r="BS6" s="623" t="s">
        <v>25241</v>
      </c>
      <c r="BT6" s="623" t="s">
        <v>25242</v>
      </c>
      <c r="BU6" s="623" t="s">
        <v>25243</v>
      </c>
      <c r="BV6" s="623" t="s">
        <v>25244</v>
      </c>
      <c r="BW6" s="623" t="s">
        <v>25245</v>
      </c>
      <c r="BX6" s="623" t="s">
        <v>25246</v>
      </c>
      <c r="BY6" s="623" t="s">
        <v>25247</v>
      </c>
      <c r="BZ6" s="623" t="s">
        <v>25248</v>
      </c>
      <c r="CA6" s="623" t="s">
        <v>25249</v>
      </c>
      <c r="CB6" s="623" t="s">
        <v>25250</v>
      </c>
      <c r="CC6" s="623" t="s">
        <v>25251</v>
      </c>
      <c r="CD6" s="623" t="s">
        <v>25252</v>
      </c>
      <c r="CE6" s="623" t="s">
        <v>25253</v>
      </c>
      <c r="CF6" s="623" t="s">
        <v>25254</v>
      </c>
      <c r="CG6" s="623" t="s">
        <v>25255</v>
      </c>
      <c r="CH6" s="623" t="s">
        <v>25148</v>
      </c>
      <c r="CI6" s="623" t="s">
        <v>25149</v>
      </c>
      <c r="CJ6" s="623" t="s">
        <v>25150</v>
      </c>
      <c r="CK6" s="623" t="s">
        <v>25151</v>
      </c>
      <c r="CL6" s="623" t="s">
        <v>25152</v>
      </c>
      <c r="CM6" s="623" t="s">
        <v>25256</v>
      </c>
      <c r="CN6" s="623" t="s">
        <v>25257</v>
      </c>
      <c r="CO6" s="623" t="s">
        <v>25258</v>
      </c>
      <c r="CP6" s="623" t="s">
        <v>25259</v>
      </c>
      <c r="CQ6" s="623" t="s">
        <v>25260</v>
      </c>
      <c r="CR6" s="623" t="s">
        <v>25261</v>
      </c>
      <c r="CS6" s="623" t="s">
        <v>25262</v>
      </c>
      <c r="CT6" s="623" t="s">
        <v>25263</v>
      </c>
      <c r="CU6" s="623" t="s">
        <v>25264</v>
      </c>
      <c r="CV6" s="623" t="s">
        <v>25265</v>
      </c>
      <c r="CW6" s="623" t="s">
        <v>25266</v>
      </c>
      <c r="CX6" s="623" t="s">
        <v>25267</v>
      </c>
      <c r="CY6" s="623" t="s">
        <v>25268</v>
      </c>
      <c r="CZ6" s="623" t="s">
        <v>25269</v>
      </c>
      <c r="DA6" s="623" t="s">
        <v>25270</v>
      </c>
      <c r="DB6" s="623" t="s">
        <v>25271</v>
      </c>
      <c r="DC6" s="623" t="s">
        <v>25272</v>
      </c>
      <c r="DD6" s="623" t="s">
        <v>25273</v>
      </c>
      <c r="DE6" s="623" t="s">
        <v>25274</v>
      </c>
      <c r="DF6" s="623" t="s">
        <v>25275</v>
      </c>
      <c r="DG6" s="623" t="s">
        <v>25276</v>
      </c>
      <c r="DH6" s="623" t="s">
        <v>25277</v>
      </c>
      <c r="DI6" s="623" t="s">
        <v>25278</v>
      </c>
      <c r="DJ6" s="623" t="s">
        <v>25279</v>
      </c>
      <c r="DK6" s="623" t="s">
        <v>25280</v>
      </c>
      <c r="DL6" s="623" t="s">
        <v>25281</v>
      </c>
      <c r="DM6" s="623" t="s">
        <v>25282</v>
      </c>
      <c r="DN6" s="623" t="s">
        <v>25283</v>
      </c>
      <c r="DO6" s="623" t="s">
        <v>25284</v>
      </c>
      <c r="DP6" s="623" t="s">
        <v>25153</v>
      </c>
      <c r="DQ6" s="623" t="s">
        <v>25154</v>
      </c>
      <c r="DR6" s="623" t="s">
        <v>25155</v>
      </c>
      <c r="DS6" s="623" t="s">
        <v>25156</v>
      </c>
      <c r="DT6" s="623" t="s">
        <v>25285</v>
      </c>
      <c r="DU6" s="623" t="s">
        <v>25286</v>
      </c>
      <c r="DV6" s="623" t="s">
        <v>25287</v>
      </c>
      <c r="DW6" s="623" t="s">
        <v>25288</v>
      </c>
      <c r="DX6" s="623" t="s">
        <v>25289</v>
      </c>
      <c r="DY6" s="623" t="s">
        <v>25290</v>
      </c>
      <c r="DZ6" s="623" t="s">
        <v>25291</v>
      </c>
      <c r="EA6" s="623" t="s">
        <v>25292</v>
      </c>
      <c r="EB6" s="623" t="s">
        <v>25293</v>
      </c>
      <c r="EC6" s="623" t="s">
        <v>25294</v>
      </c>
      <c r="ED6" s="623" t="s">
        <v>25295</v>
      </c>
      <c r="EE6" s="623" t="s">
        <v>25296</v>
      </c>
      <c r="EF6" s="623" t="s">
        <v>25297</v>
      </c>
      <c r="EG6" s="623" t="s">
        <v>25298</v>
      </c>
      <c r="EH6" s="623" t="s">
        <v>25299</v>
      </c>
      <c r="EI6" s="623" t="s">
        <v>25300</v>
      </c>
      <c r="EJ6" s="623" t="s">
        <v>25301</v>
      </c>
      <c r="EK6" s="623" t="s">
        <v>25302</v>
      </c>
      <c r="EL6" s="623" t="s">
        <v>25303</v>
      </c>
      <c r="EM6" s="623" t="s">
        <v>25304</v>
      </c>
      <c r="EN6" s="623" t="s">
        <v>25305</v>
      </c>
      <c r="EO6" s="623" t="s">
        <v>25306</v>
      </c>
      <c r="EP6" s="623" t="s">
        <v>25307</v>
      </c>
      <c r="EQ6" s="623" t="s">
        <v>25308</v>
      </c>
      <c r="ER6" s="623" t="s">
        <v>25309</v>
      </c>
      <c r="ES6" s="623" t="s">
        <v>25310</v>
      </c>
      <c r="ET6" s="623" t="s">
        <v>25311</v>
      </c>
      <c r="EU6" s="623" t="s">
        <v>25312</v>
      </c>
      <c r="EV6" s="623" t="s">
        <v>25313</v>
      </c>
      <c r="EW6" s="623" t="s">
        <v>25157</v>
      </c>
      <c r="EX6" s="623" t="s">
        <v>25158</v>
      </c>
      <c r="EY6" s="623" t="s">
        <v>25159</v>
      </c>
      <c r="EZ6" s="623" t="s">
        <v>25314</v>
      </c>
      <c r="FA6" s="623" t="s">
        <v>25315</v>
      </c>
      <c r="FB6" s="623" t="s">
        <v>25316</v>
      </c>
      <c r="FC6" s="623" t="s">
        <v>25317</v>
      </c>
      <c r="FD6" s="623" t="s">
        <v>25318</v>
      </c>
      <c r="FE6" s="623" t="s">
        <v>25319</v>
      </c>
      <c r="FF6" s="623" t="s">
        <v>25320</v>
      </c>
      <c r="FG6" s="623" t="s">
        <v>25321</v>
      </c>
      <c r="FH6" s="623" t="s">
        <v>25322</v>
      </c>
      <c r="FI6" s="623" t="s">
        <v>25323</v>
      </c>
      <c r="FJ6" s="623" t="s">
        <v>25324</v>
      </c>
      <c r="FK6" s="623" t="s">
        <v>25325</v>
      </c>
      <c r="FL6" s="623" t="s">
        <v>25326</v>
      </c>
      <c r="FM6" s="623" t="s">
        <v>25327</v>
      </c>
      <c r="FN6" s="623" t="s">
        <v>25328</v>
      </c>
      <c r="FO6" s="623" t="s">
        <v>25329</v>
      </c>
      <c r="FP6" s="623" t="s">
        <v>25330</v>
      </c>
      <c r="FQ6" s="623" t="s">
        <v>25331</v>
      </c>
      <c r="FR6" s="623" t="s">
        <v>25332</v>
      </c>
      <c r="FS6" s="623" t="s">
        <v>25333</v>
      </c>
      <c r="FT6" s="623" t="s">
        <v>25334</v>
      </c>
      <c r="FU6" s="623" t="s">
        <v>25335</v>
      </c>
      <c r="FV6" s="623" t="s">
        <v>25336</v>
      </c>
      <c r="FW6" s="623" t="s">
        <v>25337</v>
      </c>
      <c r="FX6" s="623" t="s">
        <v>25338</v>
      </c>
      <c r="FY6" s="623" t="s">
        <v>25339</v>
      </c>
      <c r="FZ6" s="623" t="s">
        <v>25340</v>
      </c>
      <c r="GA6" s="623" t="s">
        <v>25341</v>
      </c>
      <c r="GB6" s="623" t="s">
        <v>25342</v>
      </c>
      <c r="GC6" s="623" t="s">
        <v>25160</v>
      </c>
      <c r="GD6" s="623" t="s">
        <v>25132</v>
      </c>
      <c r="GE6" s="623" t="s">
        <v>25343</v>
      </c>
      <c r="GF6" s="623" t="s">
        <v>25344</v>
      </c>
      <c r="GG6" s="623" t="s">
        <v>25345</v>
      </c>
      <c r="GH6" s="623" t="s">
        <v>25346</v>
      </c>
      <c r="GI6" s="623" t="s">
        <v>25347</v>
      </c>
      <c r="GJ6" s="623" t="s">
        <v>25348</v>
      </c>
      <c r="GK6" s="623" t="s">
        <v>25349</v>
      </c>
      <c r="GL6" s="623" t="s">
        <v>25350</v>
      </c>
      <c r="GM6" s="623" t="s">
        <v>25351</v>
      </c>
      <c r="GN6" s="623" t="s">
        <v>25352</v>
      </c>
      <c r="GO6" s="623" t="s">
        <v>25353</v>
      </c>
      <c r="GP6" s="623" t="s">
        <v>25354</v>
      </c>
      <c r="GQ6" s="623" t="s">
        <v>25355</v>
      </c>
      <c r="GR6" s="623" t="s">
        <v>25356</v>
      </c>
      <c r="GS6" s="623" t="s">
        <v>25357</v>
      </c>
      <c r="GT6" s="623" t="s">
        <v>25358</v>
      </c>
      <c r="GU6" s="623" t="s">
        <v>25359</v>
      </c>
      <c r="GV6" s="623" t="s">
        <v>25360</v>
      </c>
      <c r="GW6" s="623" t="s">
        <v>25361</v>
      </c>
      <c r="GX6" s="623" t="s">
        <v>25362</v>
      </c>
      <c r="GY6" s="623" t="s">
        <v>25363</v>
      </c>
      <c r="GZ6" s="623" t="s">
        <v>25364</v>
      </c>
      <c r="HA6" s="623" t="s">
        <v>25365</v>
      </c>
      <c r="HB6" s="623" t="s">
        <v>25366</v>
      </c>
      <c r="HC6" s="623" t="s">
        <v>25367</v>
      </c>
      <c r="HD6" s="623" t="s">
        <v>25368</v>
      </c>
      <c r="HE6" s="623" t="s">
        <v>25369</v>
      </c>
      <c r="HF6" s="623" t="s">
        <v>25370</v>
      </c>
      <c r="HG6" s="623" t="s">
        <v>25371</v>
      </c>
      <c r="HH6" s="623" t="s">
        <v>25161</v>
      </c>
      <c r="HI6" s="623" t="s">
        <v>25372</v>
      </c>
      <c r="HJ6" s="623" t="s">
        <v>25373</v>
      </c>
      <c r="HK6" s="623" t="s">
        <v>25374</v>
      </c>
      <c r="HL6" s="623" t="s">
        <v>25375</v>
      </c>
      <c r="HM6" s="623" t="s">
        <v>25376</v>
      </c>
      <c r="HN6" s="623" t="s">
        <v>25377</v>
      </c>
      <c r="HO6" s="623" t="s">
        <v>25378</v>
      </c>
      <c r="HP6" s="623" t="s">
        <v>25379</v>
      </c>
      <c r="HQ6" s="623" t="s">
        <v>25380</v>
      </c>
      <c r="HR6" s="623" t="s">
        <v>25381</v>
      </c>
      <c r="HS6" s="623" t="s">
        <v>25382</v>
      </c>
      <c r="HT6" s="623" t="s">
        <v>25383</v>
      </c>
      <c r="HU6" s="623" t="s">
        <v>25384</v>
      </c>
      <c r="HV6" s="623" t="s">
        <v>25385</v>
      </c>
      <c r="HW6" s="623" t="s">
        <v>25386</v>
      </c>
      <c r="HX6" s="623" t="s">
        <v>25387</v>
      </c>
      <c r="HY6" s="623" t="s">
        <v>25388</v>
      </c>
      <c r="HZ6" s="623" t="s">
        <v>25389</v>
      </c>
      <c r="IA6" s="623" t="s">
        <v>25390</v>
      </c>
      <c r="IB6" s="623" t="s">
        <v>25391</v>
      </c>
      <c r="IC6" s="623" t="s">
        <v>25392</v>
      </c>
      <c r="ID6" s="623" t="s">
        <v>25393</v>
      </c>
      <c r="IE6" s="623" t="s">
        <v>25394</v>
      </c>
      <c r="IF6" s="623" t="s">
        <v>25395</v>
      </c>
      <c r="IG6" s="623" t="s">
        <v>25396</v>
      </c>
      <c r="IH6" s="623" t="s">
        <v>25397</v>
      </c>
      <c r="II6" s="623" t="s">
        <v>25398</v>
      </c>
      <c r="IJ6" s="623" t="s">
        <v>25399</v>
      </c>
      <c r="IK6" s="623" t="s">
        <v>25400</v>
      </c>
      <c r="IL6" s="623" t="s">
        <v>26646</v>
      </c>
      <c r="IM6" s="623" t="s">
        <v>26647</v>
      </c>
      <c r="IN6" s="623" t="s">
        <v>26648</v>
      </c>
      <c r="IO6" s="623" t="s">
        <v>26649</v>
      </c>
      <c r="IP6" s="623" t="s">
        <v>26650</v>
      </c>
      <c r="IQ6" s="623" t="s">
        <v>26651</v>
      </c>
      <c r="IR6" s="623" t="s">
        <v>26652</v>
      </c>
      <c r="IS6" s="623" t="s">
        <v>26653</v>
      </c>
      <c r="IT6" s="623" t="s">
        <v>26654</v>
      </c>
      <c r="IU6" s="623" t="s">
        <v>26655</v>
      </c>
      <c r="IV6" s="623" t="s">
        <v>26656</v>
      </c>
      <c r="IW6" s="623" t="s">
        <v>26657</v>
      </c>
      <c r="IX6" s="623" t="s">
        <v>26658</v>
      </c>
      <c r="IY6" s="623" t="s">
        <v>26659</v>
      </c>
      <c r="IZ6" s="623" t="s">
        <v>26660</v>
      </c>
      <c r="JA6" s="623" t="s">
        <v>26661</v>
      </c>
      <c r="JB6" s="623" t="s">
        <v>26662</v>
      </c>
      <c r="JC6" s="623" t="s">
        <v>26663</v>
      </c>
      <c r="JD6" s="623" t="s">
        <v>26664</v>
      </c>
      <c r="JE6" s="623" t="s">
        <v>26665</v>
      </c>
      <c r="JF6" s="623" t="s">
        <v>26666</v>
      </c>
      <c r="JG6" s="623" t="s">
        <v>26667</v>
      </c>
      <c r="JH6" s="623" t="s">
        <v>26668</v>
      </c>
      <c r="JI6" s="623" t="s">
        <v>26669</v>
      </c>
      <c r="JJ6" s="623" t="s">
        <v>26670</v>
      </c>
      <c r="JK6" s="623" t="s">
        <v>26671</v>
      </c>
      <c r="JL6" s="623" t="s">
        <v>26672</v>
      </c>
      <c r="JM6" s="623" t="s">
        <v>26673</v>
      </c>
      <c r="JN6" s="623" t="s">
        <v>26674</v>
      </c>
      <c r="JO6" s="623" t="s">
        <v>26675</v>
      </c>
      <c r="JP6" s="623" t="s">
        <v>26676</v>
      </c>
      <c r="JQ6" s="623" t="s">
        <v>26677</v>
      </c>
      <c r="JR6" s="623" t="s">
        <v>26678</v>
      </c>
      <c r="JS6" s="623" t="s">
        <v>26679</v>
      </c>
      <c r="JT6" s="623" t="s">
        <v>26680</v>
      </c>
      <c r="JU6" s="623" t="s">
        <v>26681</v>
      </c>
      <c r="JV6" s="623" t="s">
        <v>26682</v>
      </c>
      <c r="JW6" s="623" t="s">
        <v>26683</v>
      </c>
      <c r="JX6" s="623" t="s">
        <v>26684</v>
      </c>
      <c r="JY6" s="623" t="s">
        <v>26685</v>
      </c>
      <c r="JZ6" s="623" t="s">
        <v>26686</v>
      </c>
      <c r="KA6" s="623" t="s">
        <v>26687</v>
      </c>
      <c r="KB6" s="623" t="s">
        <v>26688</v>
      </c>
      <c r="KC6" s="623" t="s">
        <v>26689</v>
      </c>
      <c r="KD6" s="623" t="s">
        <v>26690</v>
      </c>
      <c r="KE6" s="623" t="s">
        <v>26691</v>
      </c>
      <c r="KF6" s="623" t="s">
        <v>26692</v>
      </c>
      <c r="KG6" s="623" t="s">
        <v>26693</v>
      </c>
      <c r="KH6" s="623" t="s">
        <v>26694</v>
      </c>
      <c r="KI6" s="623" t="s">
        <v>26695</v>
      </c>
      <c r="KJ6" s="623" t="s">
        <v>26696</v>
      </c>
      <c r="KK6" s="623" t="s">
        <v>26697</v>
      </c>
      <c r="KL6" s="623" t="s">
        <v>26698</v>
      </c>
      <c r="KM6" s="623" t="s">
        <v>26699</v>
      </c>
      <c r="KN6" s="623" t="s">
        <v>26700</v>
      </c>
      <c r="KO6" s="623" t="s">
        <v>26701</v>
      </c>
      <c r="KP6" s="623" t="s">
        <v>26702</v>
      </c>
      <c r="KQ6" s="623" t="s">
        <v>26703</v>
      </c>
      <c r="KR6" s="623" t="s">
        <v>26704</v>
      </c>
      <c r="KS6" s="623" t="s">
        <v>26705</v>
      </c>
      <c r="KT6" s="623" t="s">
        <v>26706</v>
      </c>
      <c r="KU6" s="623" t="s">
        <v>26707</v>
      </c>
      <c r="KV6" s="623" t="s">
        <v>26708</v>
      </c>
      <c r="KW6" s="623" t="s">
        <v>26709</v>
      </c>
      <c r="KX6" s="623" t="s">
        <v>26710</v>
      </c>
      <c r="KY6" s="623" t="s">
        <v>26711</v>
      </c>
      <c r="KZ6" s="623" t="s">
        <v>26712</v>
      </c>
      <c r="LA6" s="623" t="s">
        <v>26713</v>
      </c>
      <c r="LB6" s="623" t="s">
        <v>26714</v>
      </c>
      <c r="LC6" s="623" t="s">
        <v>26715</v>
      </c>
      <c r="LD6" s="623" t="s">
        <v>26716</v>
      </c>
      <c r="LE6" s="623" t="s">
        <v>26717</v>
      </c>
      <c r="LF6" s="623" t="s">
        <v>26718</v>
      </c>
      <c r="LG6" s="623" t="s">
        <v>26719</v>
      </c>
      <c r="LH6" s="623" t="s">
        <v>26720</v>
      </c>
      <c r="LI6" s="623" t="s">
        <v>26721</v>
      </c>
      <c r="LJ6" s="623" t="s">
        <v>26722</v>
      </c>
      <c r="LK6" s="623" t="s">
        <v>26723</v>
      </c>
      <c r="LL6" s="623" t="s">
        <v>26724</v>
      </c>
      <c r="LM6" s="623" t="s">
        <v>26725</v>
      </c>
      <c r="LN6" s="623" t="s">
        <v>26726</v>
      </c>
      <c r="LO6" s="623" t="s">
        <v>26727</v>
      </c>
      <c r="LP6" s="623" t="s">
        <v>26728</v>
      </c>
      <c r="LQ6" s="623" t="s">
        <v>26729</v>
      </c>
      <c r="LR6" s="623" t="s">
        <v>26730</v>
      </c>
      <c r="LS6" s="623" t="s">
        <v>26731</v>
      </c>
      <c r="LT6" s="623" t="s">
        <v>26732</v>
      </c>
      <c r="LU6" s="623" t="s">
        <v>26733</v>
      </c>
      <c r="LV6" s="623" t="s">
        <v>26734</v>
      </c>
      <c r="LW6" s="623" t="s">
        <v>26735</v>
      </c>
      <c r="LX6" s="623" t="s">
        <v>26736</v>
      </c>
      <c r="LY6" s="623" t="s">
        <v>26737</v>
      </c>
      <c r="LZ6" s="623" t="s">
        <v>26738</v>
      </c>
      <c r="MA6" s="623" t="s">
        <v>26739</v>
      </c>
      <c r="MB6" s="623" t="s">
        <v>26740</v>
      </c>
      <c r="MC6" s="623" t="s">
        <v>26741</v>
      </c>
      <c r="MD6" s="623" t="s">
        <v>26742</v>
      </c>
      <c r="ME6" s="623" t="s">
        <v>26743</v>
      </c>
      <c r="MF6" s="623" t="s">
        <v>26744</v>
      </c>
      <c r="MG6" s="623" t="s">
        <v>26745</v>
      </c>
      <c r="MH6" s="623" t="s">
        <v>26746</v>
      </c>
      <c r="MI6" s="623" t="s">
        <v>26747</v>
      </c>
      <c r="MJ6" s="623" t="s">
        <v>26748</v>
      </c>
      <c r="MK6" s="623" t="s">
        <v>26749</v>
      </c>
      <c r="ML6" s="623" t="s">
        <v>26750</v>
      </c>
      <c r="MM6" s="623" t="s">
        <v>26751</v>
      </c>
      <c r="MN6" s="623" t="s">
        <v>26752</v>
      </c>
      <c r="MO6" s="623" t="s">
        <v>26753</v>
      </c>
      <c r="MP6" s="623" t="s">
        <v>26754</v>
      </c>
      <c r="MQ6" s="623" t="s">
        <v>26755</v>
      </c>
      <c r="MR6" s="623" t="s">
        <v>30136</v>
      </c>
      <c r="MS6" s="623" t="s">
        <v>30137</v>
      </c>
      <c r="MT6" s="623" t="s">
        <v>30138</v>
      </c>
      <c r="MU6" s="623" t="s">
        <v>30139</v>
      </c>
      <c r="MV6" s="623" t="s">
        <v>30140</v>
      </c>
      <c r="MW6" s="623" t="s">
        <v>30141</v>
      </c>
      <c r="MX6" s="623" t="s">
        <v>30142</v>
      </c>
      <c r="MY6" s="623" t="s">
        <v>30143</v>
      </c>
      <c r="MZ6" s="623" t="s">
        <v>30144</v>
      </c>
      <c r="NA6" s="623" t="s">
        <v>30145</v>
      </c>
      <c r="NB6" s="623" t="s">
        <v>30146</v>
      </c>
      <c r="NC6" s="623" t="s">
        <v>30147</v>
      </c>
      <c r="ND6" s="623" t="s">
        <v>30148</v>
      </c>
      <c r="NE6" s="623" t="s">
        <v>30149</v>
      </c>
      <c r="NF6" s="623" t="s">
        <v>30150</v>
      </c>
      <c r="NG6" s="623" t="s">
        <v>30151</v>
      </c>
      <c r="NH6" s="623" t="s">
        <v>30152</v>
      </c>
      <c r="NI6" s="623" t="s">
        <v>30153</v>
      </c>
      <c r="NJ6" s="623" t="s">
        <v>30154</v>
      </c>
      <c r="NK6" s="623" t="s">
        <v>30155</v>
      </c>
      <c r="NL6" s="623" t="s">
        <v>30156</v>
      </c>
      <c r="NM6" s="623" t="s">
        <v>30157</v>
      </c>
      <c r="NN6" s="623" t="s">
        <v>30158</v>
      </c>
      <c r="NO6" s="623" t="s">
        <v>30159</v>
      </c>
      <c r="NP6" s="623" t="s">
        <v>30135</v>
      </c>
      <c r="NQ6" s="623" t="s">
        <v>30160</v>
      </c>
      <c r="NR6" s="623" t="s">
        <v>30161</v>
      </c>
      <c r="NS6" s="623" t="s">
        <v>30162</v>
      </c>
      <c r="NT6" s="623" t="s">
        <v>30163</v>
      </c>
      <c r="NU6" s="623" t="s">
        <v>30164</v>
      </c>
      <c r="NV6" s="623" t="s">
        <v>30165</v>
      </c>
      <c r="NW6" s="623" t="s">
        <v>30166</v>
      </c>
      <c r="NX6" s="623" t="s">
        <v>30167</v>
      </c>
      <c r="NY6" s="623" t="s">
        <v>30168</v>
      </c>
      <c r="NZ6" s="623" t="s">
        <v>30169</v>
      </c>
      <c r="OA6" s="623" t="s">
        <v>30170</v>
      </c>
      <c r="OB6" s="623" t="s">
        <v>30171</v>
      </c>
      <c r="OC6" s="623" t="s">
        <v>30172</v>
      </c>
      <c r="OD6" s="623" t="s">
        <v>30173</v>
      </c>
      <c r="OE6" s="623" t="s">
        <v>30174</v>
      </c>
      <c r="OF6" s="623" t="s">
        <v>30175</v>
      </c>
      <c r="OG6" s="623" t="s">
        <v>30176</v>
      </c>
      <c r="OH6" s="623" t="s">
        <v>30177</v>
      </c>
      <c r="OI6" s="623" t="s">
        <v>30178</v>
      </c>
      <c r="OJ6" s="623" t="s">
        <v>30179</v>
      </c>
      <c r="OK6" s="623" t="s">
        <v>30180</v>
      </c>
      <c r="OL6" s="623" t="s">
        <v>30181</v>
      </c>
      <c r="OM6" s="623" t="s">
        <v>30182</v>
      </c>
      <c r="ON6" s="623" t="s">
        <v>30183</v>
      </c>
      <c r="OO6" s="623" t="s">
        <v>30184</v>
      </c>
      <c r="OP6" s="623" t="s">
        <v>30185</v>
      </c>
      <c r="OQ6" s="623" t="s">
        <v>30186</v>
      </c>
      <c r="OR6" s="623" t="s">
        <v>30187</v>
      </c>
      <c r="OS6" s="623" t="s">
        <v>30188</v>
      </c>
      <c r="OT6" s="623" t="s">
        <v>30189</v>
      </c>
      <c r="OU6" s="623" t="s">
        <v>30190</v>
      </c>
      <c r="OV6" s="623" t="s">
        <v>30191</v>
      </c>
      <c r="OW6" s="623" t="s">
        <v>30192</v>
      </c>
      <c r="OX6" s="623" t="s">
        <v>30193</v>
      </c>
      <c r="OY6" s="623" t="s">
        <v>30194</v>
      </c>
      <c r="OZ6" s="623" t="s">
        <v>30195</v>
      </c>
      <c r="PA6" s="623" t="s">
        <v>30196</v>
      </c>
      <c r="PB6" s="623" t="s">
        <v>30197</v>
      </c>
      <c r="PC6" s="623" t="s">
        <v>30198</v>
      </c>
      <c r="PD6" s="623" t="s">
        <v>30199</v>
      </c>
      <c r="PE6" s="623" t="s">
        <v>30200</v>
      </c>
      <c r="PF6" s="623" t="s">
        <v>30201</v>
      </c>
      <c r="PG6" s="623" t="s">
        <v>30202</v>
      </c>
      <c r="PH6" s="623" t="s">
        <v>30203</v>
      </c>
      <c r="PI6" s="623" t="s">
        <v>30204</v>
      </c>
      <c r="PJ6" s="623" t="s">
        <v>30205</v>
      </c>
      <c r="PK6" s="623" t="s">
        <v>30206</v>
      </c>
      <c r="PL6" s="623" t="s">
        <v>30207</v>
      </c>
      <c r="PM6" s="623" t="s">
        <v>30208</v>
      </c>
      <c r="PN6" s="623" t="s">
        <v>30209</v>
      </c>
      <c r="PO6" s="623" t="s">
        <v>30210</v>
      </c>
      <c r="PP6" s="623" t="s">
        <v>30211</v>
      </c>
      <c r="PQ6" s="623" t="s">
        <v>30212</v>
      </c>
      <c r="PR6" s="623" t="s">
        <v>30213</v>
      </c>
      <c r="PS6" s="623" t="s">
        <v>30214</v>
      </c>
      <c r="PT6" s="623" t="s">
        <v>30215</v>
      </c>
      <c r="PU6" s="623" t="s">
        <v>30216</v>
      </c>
      <c r="PV6" s="623" t="s">
        <v>30217</v>
      </c>
      <c r="PW6" s="623" t="s">
        <v>30218</v>
      </c>
      <c r="PX6" s="623" t="s">
        <v>30219</v>
      </c>
      <c r="PY6" s="623" t="s">
        <v>30220</v>
      </c>
      <c r="PZ6" s="623" t="s">
        <v>30221</v>
      </c>
      <c r="QA6" s="623" t="s">
        <v>30222</v>
      </c>
      <c r="QB6" s="623" t="s">
        <v>30223</v>
      </c>
      <c r="QC6" s="623" t="s">
        <v>30224</v>
      </c>
      <c r="QD6" s="623" t="s">
        <v>30225</v>
      </c>
      <c r="QE6" s="623" t="s">
        <v>30226</v>
      </c>
      <c r="QF6" s="623" t="s">
        <v>30227</v>
      </c>
      <c r="QG6" s="623" t="s">
        <v>30228</v>
      </c>
      <c r="QH6" s="623" t="s">
        <v>30229</v>
      </c>
      <c r="QI6" s="623" t="s">
        <v>30230</v>
      </c>
      <c r="QJ6" s="623" t="s">
        <v>30231</v>
      </c>
      <c r="QK6" s="623" t="s">
        <v>30232</v>
      </c>
      <c r="QL6" s="623" t="s">
        <v>30233</v>
      </c>
      <c r="QM6" s="623" t="s">
        <v>30234</v>
      </c>
      <c r="QN6" s="623" t="s">
        <v>30235</v>
      </c>
      <c r="QO6" s="623" t="s">
        <v>30236</v>
      </c>
      <c r="QP6" s="623" t="s">
        <v>30237</v>
      </c>
      <c r="QQ6" s="623" t="s">
        <v>30238</v>
      </c>
      <c r="QR6" s="623" t="s">
        <v>30239</v>
      </c>
      <c r="QS6" s="623" t="s">
        <v>30240</v>
      </c>
      <c r="QT6" s="623" t="s">
        <v>30241</v>
      </c>
      <c r="QU6" s="623" t="s">
        <v>30242</v>
      </c>
      <c r="QV6" s="623" t="s">
        <v>30243</v>
      </c>
      <c r="QW6" s="623" t="s">
        <v>30244</v>
      </c>
      <c r="QX6" s="623" t="s">
        <v>30245</v>
      </c>
      <c r="QY6" s="623" t="s">
        <v>30246</v>
      </c>
      <c r="QZ6" s="623" t="s">
        <v>30247</v>
      </c>
      <c r="RA6" s="623" t="s">
        <v>30248</v>
      </c>
      <c r="RB6" s="623" t="s">
        <v>30249</v>
      </c>
      <c r="RC6" s="623" t="s">
        <v>30250</v>
      </c>
      <c r="RD6" s="623" t="s">
        <v>30251</v>
      </c>
      <c r="RE6" s="623" t="s">
        <v>30252</v>
      </c>
      <c r="RF6" s="623" t="s">
        <v>30253</v>
      </c>
      <c r="RG6" s="623" t="s">
        <v>30254</v>
      </c>
      <c r="RH6" s="623" t="s">
        <v>30255</v>
      </c>
      <c r="RI6" s="623" t="s">
        <v>30256</v>
      </c>
      <c r="RJ6" s="623" t="s">
        <v>30257</v>
      </c>
      <c r="RK6" s="623" t="s">
        <v>30258</v>
      </c>
      <c r="RL6" s="623" t="s">
        <v>30259</v>
      </c>
      <c r="RM6" s="623" t="s">
        <v>30260</v>
      </c>
      <c r="RN6" s="623" t="s">
        <v>30261</v>
      </c>
      <c r="RO6" s="623" t="s">
        <v>30262</v>
      </c>
      <c r="RP6" s="623" t="s">
        <v>30263</v>
      </c>
      <c r="RQ6" s="623" t="s">
        <v>30264</v>
      </c>
      <c r="RR6" s="623" t="s">
        <v>30265</v>
      </c>
      <c r="RS6" s="623" t="s">
        <v>30266</v>
      </c>
      <c r="RT6" s="623" t="s">
        <v>30267</v>
      </c>
      <c r="RU6" s="623" t="s">
        <v>30268</v>
      </c>
      <c r="RV6" s="623" t="s">
        <v>30269</v>
      </c>
    </row>
    <row r="7" spans="4:490">
      <c r="D7" s="135" t="s">
        <v>224</v>
      </c>
      <c r="E7" s="1264">
        <f>+SUM(IMN_gestore!$Q:$Q)</f>
        <v>0</v>
      </c>
      <c r="F7" s="1264">
        <f>+SUM(IMN_gestore!$AB:$AB)</f>
        <v>0</v>
      </c>
      <c r="G7" s="1264">
        <f>+SUM(IMN_gestore!$AM:$AM)</f>
        <v>0</v>
      </c>
      <c r="H7" s="1264">
        <f>+SUM(IMN_gestore!$AX:$AX)</f>
        <v>0</v>
      </c>
      <c r="I7" s="1264">
        <f>+SUM(IMN_gestore!$BI:$BI)</f>
        <v>0</v>
      </c>
      <c r="J7" s="1264">
        <f>+SUM(IMN_gestore!$BT:$BT)</f>
        <v>0</v>
      </c>
      <c r="K7" s="10"/>
      <c r="L7" s="125"/>
      <c r="M7" s="420">
        <v>1</v>
      </c>
      <c r="N7" s="421">
        <v>0</v>
      </c>
      <c r="O7" s="624">
        <v>0</v>
      </c>
      <c r="P7" s="624">
        <v>0</v>
      </c>
      <c r="Q7" s="624">
        <v>0</v>
      </c>
      <c r="R7" s="624">
        <v>0</v>
      </c>
      <c r="S7" s="624">
        <v>0</v>
      </c>
      <c r="T7" s="624">
        <v>0</v>
      </c>
      <c r="U7" s="624">
        <v>0</v>
      </c>
      <c r="V7" s="624">
        <v>0</v>
      </c>
      <c r="W7" s="624">
        <v>0</v>
      </c>
      <c r="X7" s="624">
        <v>0</v>
      </c>
      <c r="Y7" s="624">
        <v>0</v>
      </c>
      <c r="Z7" s="624">
        <v>0</v>
      </c>
      <c r="AA7" s="624">
        <v>0</v>
      </c>
      <c r="AB7" s="624">
        <v>0</v>
      </c>
      <c r="AC7" s="624">
        <v>0</v>
      </c>
      <c r="AD7" s="624">
        <v>0</v>
      </c>
      <c r="AE7" s="624">
        <v>0</v>
      </c>
      <c r="AF7" s="624">
        <v>0</v>
      </c>
      <c r="AG7" s="624">
        <v>0</v>
      </c>
      <c r="AH7" s="624">
        <v>0</v>
      </c>
      <c r="AI7" s="624">
        <v>0</v>
      </c>
      <c r="AJ7" s="624">
        <v>0</v>
      </c>
      <c r="AK7" s="624">
        <v>0</v>
      </c>
      <c r="AL7" s="624">
        <v>0</v>
      </c>
      <c r="AM7" s="624">
        <v>0</v>
      </c>
      <c r="AN7" s="624">
        <v>0</v>
      </c>
      <c r="AO7" s="624">
        <v>0</v>
      </c>
      <c r="AP7" s="624">
        <v>0</v>
      </c>
      <c r="AQ7" s="624">
        <v>0</v>
      </c>
      <c r="AR7" s="624">
        <v>0</v>
      </c>
      <c r="AS7" s="624">
        <v>0</v>
      </c>
      <c r="AT7" s="624">
        <v>0</v>
      </c>
      <c r="AU7" s="624">
        <v>0</v>
      </c>
      <c r="AV7" s="624">
        <v>0</v>
      </c>
      <c r="AW7" s="624">
        <v>0</v>
      </c>
      <c r="AX7" s="624">
        <v>0</v>
      </c>
      <c r="AY7" s="421">
        <v>0</v>
      </c>
      <c r="AZ7" s="624">
        <v>0</v>
      </c>
      <c r="BA7" s="624">
        <v>0</v>
      </c>
      <c r="BB7" s="624">
        <v>0</v>
      </c>
      <c r="BC7" s="624">
        <v>0</v>
      </c>
      <c r="BD7" s="624">
        <v>0</v>
      </c>
      <c r="BE7" s="624">
        <v>0</v>
      </c>
      <c r="BF7" s="624">
        <v>0</v>
      </c>
      <c r="BG7" s="624">
        <v>0</v>
      </c>
      <c r="BH7" s="624">
        <v>0</v>
      </c>
      <c r="BI7" s="624">
        <v>0</v>
      </c>
      <c r="BJ7" s="624">
        <v>0</v>
      </c>
      <c r="BK7" s="624">
        <v>0</v>
      </c>
      <c r="BL7" s="624">
        <v>0</v>
      </c>
      <c r="BM7" s="624">
        <v>0</v>
      </c>
      <c r="BN7" s="624">
        <v>0</v>
      </c>
      <c r="BO7" s="624">
        <v>0</v>
      </c>
      <c r="BP7" s="624">
        <v>0</v>
      </c>
      <c r="BQ7" s="624">
        <v>0</v>
      </c>
      <c r="BR7" s="624">
        <v>0</v>
      </c>
      <c r="BS7" s="624">
        <v>0</v>
      </c>
      <c r="BT7" s="624">
        <v>0</v>
      </c>
      <c r="BU7" s="624">
        <v>0</v>
      </c>
      <c r="BV7" s="624">
        <v>0</v>
      </c>
      <c r="BW7" s="624">
        <v>0</v>
      </c>
      <c r="BX7" s="624">
        <v>0</v>
      </c>
      <c r="BY7" s="624">
        <v>0</v>
      </c>
      <c r="BZ7" s="624">
        <v>0</v>
      </c>
      <c r="CA7" s="624">
        <v>0</v>
      </c>
      <c r="CB7" s="624">
        <v>0</v>
      </c>
      <c r="CC7" s="624">
        <v>0</v>
      </c>
      <c r="CD7" s="624">
        <v>0</v>
      </c>
      <c r="CE7" s="624">
        <v>0</v>
      </c>
      <c r="CF7" s="624">
        <v>0</v>
      </c>
      <c r="CG7" s="624">
        <v>0</v>
      </c>
      <c r="CH7" s="421">
        <v>0</v>
      </c>
      <c r="CI7" s="624">
        <v>0</v>
      </c>
      <c r="CJ7" s="624">
        <v>0</v>
      </c>
      <c r="CK7" s="624">
        <v>0</v>
      </c>
      <c r="CL7" s="624">
        <v>0</v>
      </c>
      <c r="CM7" s="624">
        <v>0</v>
      </c>
      <c r="CN7" s="624">
        <v>0</v>
      </c>
      <c r="CO7" s="624">
        <v>0</v>
      </c>
      <c r="CP7" s="624">
        <v>0</v>
      </c>
      <c r="CQ7" s="624">
        <v>0</v>
      </c>
      <c r="CR7" s="624">
        <v>0</v>
      </c>
      <c r="CS7" s="624">
        <v>0</v>
      </c>
      <c r="CT7" s="624">
        <v>0</v>
      </c>
      <c r="CU7" s="624">
        <v>0</v>
      </c>
      <c r="CV7" s="624">
        <v>0</v>
      </c>
      <c r="CW7" s="624">
        <v>0</v>
      </c>
      <c r="CX7" s="624">
        <v>0</v>
      </c>
      <c r="CY7" s="624">
        <v>0</v>
      </c>
      <c r="CZ7" s="624">
        <v>0</v>
      </c>
      <c r="DA7" s="624">
        <v>0</v>
      </c>
      <c r="DB7" s="624">
        <v>0</v>
      </c>
      <c r="DC7" s="624">
        <v>0</v>
      </c>
      <c r="DD7" s="624">
        <v>0</v>
      </c>
      <c r="DE7" s="624">
        <v>0</v>
      </c>
      <c r="DF7" s="624">
        <v>0</v>
      </c>
      <c r="DG7" s="624">
        <v>0</v>
      </c>
      <c r="DH7" s="624">
        <v>0</v>
      </c>
      <c r="DI7" s="624">
        <v>0</v>
      </c>
      <c r="DJ7" s="624">
        <v>0</v>
      </c>
      <c r="DK7" s="624">
        <v>0</v>
      </c>
      <c r="DL7" s="624">
        <v>0</v>
      </c>
      <c r="DM7" s="624">
        <v>0</v>
      </c>
      <c r="DN7" s="624">
        <v>0</v>
      </c>
      <c r="DO7" s="624">
        <v>0</v>
      </c>
      <c r="DP7" s="421">
        <v>0</v>
      </c>
      <c r="DQ7" s="624">
        <v>0</v>
      </c>
      <c r="DR7" s="624">
        <v>0</v>
      </c>
      <c r="DS7" s="624">
        <v>0</v>
      </c>
      <c r="DT7" s="624">
        <v>0</v>
      </c>
      <c r="DU7" s="624">
        <v>0</v>
      </c>
      <c r="DV7" s="1741">
        <v>0</v>
      </c>
      <c r="DW7" s="1741">
        <v>0</v>
      </c>
      <c r="DX7" s="624">
        <v>0</v>
      </c>
      <c r="DY7" s="624">
        <v>0</v>
      </c>
      <c r="DZ7" s="624">
        <v>0</v>
      </c>
      <c r="EA7" s="624">
        <v>0</v>
      </c>
      <c r="EB7" s="624">
        <v>0</v>
      </c>
      <c r="EC7" s="624">
        <v>0</v>
      </c>
      <c r="ED7" s="624">
        <v>0</v>
      </c>
      <c r="EE7" s="624">
        <v>0</v>
      </c>
      <c r="EF7" s="624">
        <v>0</v>
      </c>
      <c r="EG7" s="624">
        <v>0</v>
      </c>
      <c r="EH7" s="624">
        <v>0</v>
      </c>
      <c r="EI7" s="624">
        <v>0</v>
      </c>
      <c r="EJ7" s="624">
        <v>0</v>
      </c>
      <c r="EK7" s="624">
        <v>0</v>
      </c>
      <c r="EL7" s="624">
        <v>0</v>
      </c>
      <c r="EM7" s="624">
        <v>0</v>
      </c>
      <c r="EN7" s="624">
        <v>0</v>
      </c>
      <c r="EO7" s="624">
        <v>0</v>
      </c>
      <c r="EP7" s="624">
        <v>0</v>
      </c>
      <c r="EQ7" s="624">
        <v>0</v>
      </c>
      <c r="ER7" s="624">
        <v>0</v>
      </c>
      <c r="ES7" s="624">
        <v>0</v>
      </c>
      <c r="ET7" s="624">
        <v>0</v>
      </c>
      <c r="EU7" s="624">
        <v>0</v>
      </c>
      <c r="EV7" s="624">
        <v>0</v>
      </c>
      <c r="EW7" s="624">
        <v>0</v>
      </c>
      <c r="EX7" s="624">
        <v>0</v>
      </c>
      <c r="EY7" s="624">
        <v>0</v>
      </c>
      <c r="EZ7" s="624">
        <v>0</v>
      </c>
      <c r="FA7" s="624">
        <v>0</v>
      </c>
      <c r="FB7" s="1741">
        <v>0</v>
      </c>
      <c r="FC7" s="1741">
        <v>0</v>
      </c>
      <c r="FD7" s="624">
        <v>0</v>
      </c>
      <c r="FE7" s="624">
        <v>0</v>
      </c>
      <c r="FF7" s="624">
        <v>0</v>
      </c>
      <c r="FG7" s="624">
        <v>0</v>
      </c>
      <c r="FH7" s="624">
        <v>0</v>
      </c>
      <c r="FI7" s="624">
        <v>0</v>
      </c>
      <c r="FJ7" s="624">
        <v>0</v>
      </c>
      <c r="FK7" s="624">
        <v>0</v>
      </c>
      <c r="FL7" s="624">
        <v>0</v>
      </c>
      <c r="FM7" s="624">
        <v>0</v>
      </c>
      <c r="FN7" s="624">
        <v>0</v>
      </c>
      <c r="FO7" s="624">
        <v>0</v>
      </c>
      <c r="FP7" s="624">
        <v>0</v>
      </c>
      <c r="FQ7" s="624">
        <v>0</v>
      </c>
      <c r="FR7" s="624">
        <v>0</v>
      </c>
      <c r="FS7" s="624">
        <v>0</v>
      </c>
      <c r="FT7" s="624">
        <v>0</v>
      </c>
      <c r="FU7" s="624">
        <v>0</v>
      </c>
      <c r="FV7" s="624">
        <v>0</v>
      </c>
      <c r="FW7" s="624">
        <v>0</v>
      </c>
      <c r="FX7" s="624">
        <v>0</v>
      </c>
      <c r="FY7" s="624">
        <v>0</v>
      </c>
      <c r="FZ7" s="624">
        <v>0</v>
      </c>
      <c r="GA7" s="624">
        <v>0</v>
      </c>
      <c r="GB7" s="624">
        <v>0</v>
      </c>
      <c r="GC7" s="421">
        <v>0</v>
      </c>
      <c r="GD7" s="624">
        <v>0</v>
      </c>
      <c r="GE7" s="624">
        <v>0</v>
      </c>
      <c r="GF7" s="624">
        <v>0</v>
      </c>
      <c r="GG7" s="1741">
        <v>0</v>
      </c>
      <c r="GH7" s="1741">
        <v>0</v>
      </c>
      <c r="GI7" s="624">
        <v>0</v>
      </c>
      <c r="GJ7" s="624">
        <v>0</v>
      </c>
      <c r="GK7" s="624">
        <v>0</v>
      </c>
      <c r="GL7" s="624">
        <v>0</v>
      </c>
      <c r="GM7" s="624">
        <v>0</v>
      </c>
      <c r="GN7" s="624">
        <v>0</v>
      </c>
      <c r="GO7" s="624">
        <v>0</v>
      </c>
      <c r="GP7" s="624">
        <v>0</v>
      </c>
      <c r="GQ7" s="624">
        <v>0</v>
      </c>
      <c r="GR7" s="624">
        <v>0</v>
      </c>
      <c r="GS7" s="624">
        <v>0</v>
      </c>
      <c r="GT7" s="624">
        <v>0</v>
      </c>
      <c r="GU7" s="624">
        <v>0</v>
      </c>
      <c r="GV7" s="624">
        <v>0</v>
      </c>
      <c r="GW7" s="624">
        <v>0</v>
      </c>
      <c r="GX7" s="624">
        <v>0</v>
      </c>
      <c r="GY7" s="624">
        <v>0</v>
      </c>
      <c r="GZ7" s="624">
        <v>0</v>
      </c>
      <c r="HA7" s="624">
        <v>0</v>
      </c>
      <c r="HB7" s="624">
        <v>0</v>
      </c>
      <c r="HC7" s="624">
        <v>0</v>
      </c>
      <c r="HD7" s="624">
        <v>0</v>
      </c>
      <c r="HE7" s="624">
        <v>0</v>
      </c>
      <c r="HF7" s="624">
        <v>0</v>
      </c>
      <c r="HG7" s="624">
        <v>0</v>
      </c>
      <c r="HH7" s="421">
        <v>0</v>
      </c>
      <c r="HI7" s="421">
        <v>0</v>
      </c>
      <c r="HJ7" s="421">
        <v>0</v>
      </c>
      <c r="HK7" s="1745">
        <v>0</v>
      </c>
      <c r="HL7" s="1745">
        <v>0</v>
      </c>
      <c r="HM7" s="421">
        <v>0</v>
      </c>
      <c r="HN7" s="421">
        <v>0</v>
      </c>
      <c r="HO7" s="421">
        <v>0</v>
      </c>
      <c r="HP7" s="421">
        <v>0</v>
      </c>
      <c r="HQ7" s="421">
        <v>0</v>
      </c>
      <c r="HR7" s="421">
        <v>0</v>
      </c>
      <c r="HS7" s="421">
        <v>0</v>
      </c>
      <c r="HT7" s="421">
        <v>0</v>
      </c>
      <c r="HU7" s="421">
        <v>0</v>
      </c>
      <c r="HV7" s="421">
        <v>0</v>
      </c>
      <c r="HW7" s="421">
        <v>0</v>
      </c>
      <c r="HX7" s="421">
        <v>0</v>
      </c>
      <c r="HY7" s="421">
        <v>0</v>
      </c>
      <c r="HZ7" s="421">
        <v>0</v>
      </c>
      <c r="IA7" s="421">
        <v>0</v>
      </c>
      <c r="IB7" s="421">
        <v>0</v>
      </c>
      <c r="IC7" s="421">
        <v>0</v>
      </c>
      <c r="ID7" s="421">
        <v>0</v>
      </c>
      <c r="IE7" s="421">
        <v>0</v>
      </c>
      <c r="IF7" s="421">
        <v>0</v>
      </c>
      <c r="IG7" s="421">
        <v>0</v>
      </c>
      <c r="IH7" s="421">
        <v>0</v>
      </c>
      <c r="II7" s="421">
        <v>0</v>
      </c>
      <c r="IJ7" s="421">
        <v>0</v>
      </c>
      <c r="IK7" s="421">
        <v>0</v>
      </c>
      <c r="IL7" s="421">
        <v>0</v>
      </c>
      <c r="IM7" s="421">
        <v>0</v>
      </c>
      <c r="IN7" s="1745">
        <v>0</v>
      </c>
      <c r="IO7" s="1745">
        <v>0</v>
      </c>
      <c r="IP7" s="421">
        <v>0</v>
      </c>
      <c r="IQ7" s="421">
        <v>0</v>
      </c>
      <c r="IR7" s="421">
        <v>0</v>
      </c>
      <c r="IS7" s="421">
        <v>0</v>
      </c>
      <c r="IT7" s="421">
        <v>0</v>
      </c>
      <c r="IU7" s="421">
        <v>0</v>
      </c>
      <c r="IV7" s="421">
        <v>0</v>
      </c>
      <c r="IW7" s="421">
        <v>0</v>
      </c>
      <c r="IX7" s="421">
        <v>0</v>
      </c>
      <c r="IY7" s="421">
        <v>0</v>
      </c>
      <c r="IZ7" s="421">
        <v>0</v>
      </c>
      <c r="JA7" s="421">
        <v>0</v>
      </c>
      <c r="JB7" s="421">
        <v>0</v>
      </c>
      <c r="JC7" s="421">
        <v>0</v>
      </c>
      <c r="JD7" s="421">
        <v>0</v>
      </c>
      <c r="JE7" s="421">
        <v>0</v>
      </c>
      <c r="JF7" s="421">
        <v>0</v>
      </c>
      <c r="JG7" s="421">
        <v>0</v>
      </c>
      <c r="JH7" s="421">
        <v>0</v>
      </c>
      <c r="JI7" s="421">
        <v>0</v>
      </c>
      <c r="JJ7" s="421">
        <v>0</v>
      </c>
      <c r="JK7" s="421">
        <v>0</v>
      </c>
      <c r="JL7" s="421">
        <v>0</v>
      </c>
      <c r="JM7" s="421">
        <v>0</v>
      </c>
      <c r="JN7" s="421">
        <v>0</v>
      </c>
      <c r="JO7" s="421">
        <v>0</v>
      </c>
      <c r="JP7" s="1745">
        <v>0</v>
      </c>
      <c r="JQ7" s="1745">
        <v>0</v>
      </c>
      <c r="JR7" s="421">
        <v>0</v>
      </c>
      <c r="JS7" s="421">
        <v>0</v>
      </c>
      <c r="JT7" s="421">
        <v>0</v>
      </c>
      <c r="JU7" s="421">
        <v>0</v>
      </c>
      <c r="JV7" s="421">
        <v>0</v>
      </c>
      <c r="JW7" s="421">
        <v>0</v>
      </c>
      <c r="JX7" s="421">
        <v>0</v>
      </c>
      <c r="JY7" s="421">
        <v>0</v>
      </c>
      <c r="JZ7" s="421">
        <v>0</v>
      </c>
      <c r="KA7" s="421">
        <v>0</v>
      </c>
      <c r="KB7" s="421">
        <v>0</v>
      </c>
      <c r="KC7" s="421">
        <v>0</v>
      </c>
      <c r="KD7" s="421">
        <v>0</v>
      </c>
      <c r="KE7" s="421">
        <v>0</v>
      </c>
      <c r="KF7" s="421">
        <v>0</v>
      </c>
      <c r="KG7" s="421">
        <v>0</v>
      </c>
      <c r="KH7" s="421">
        <v>0</v>
      </c>
      <c r="KI7" s="421">
        <v>0</v>
      </c>
      <c r="KJ7" s="421">
        <v>0</v>
      </c>
      <c r="KK7" s="421">
        <v>0</v>
      </c>
      <c r="KL7" s="421">
        <v>0</v>
      </c>
      <c r="KM7" s="421">
        <v>0</v>
      </c>
      <c r="KN7" s="421">
        <v>0</v>
      </c>
      <c r="KO7" s="421">
        <v>0</v>
      </c>
      <c r="KP7" s="421">
        <v>0</v>
      </c>
      <c r="KQ7" s="1745">
        <v>0</v>
      </c>
      <c r="KR7" s="1745">
        <v>0</v>
      </c>
      <c r="KS7" s="421">
        <v>0</v>
      </c>
      <c r="KT7" s="421">
        <v>0</v>
      </c>
      <c r="KU7" s="421">
        <v>0</v>
      </c>
      <c r="KV7" s="421">
        <v>0</v>
      </c>
      <c r="KW7" s="421">
        <v>0</v>
      </c>
      <c r="KX7" s="421">
        <v>0</v>
      </c>
      <c r="KY7" s="421">
        <v>0</v>
      </c>
      <c r="KZ7" s="421">
        <v>0</v>
      </c>
      <c r="LA7" s="421">
        <v>0</v>
      </c>
      <c r="LB7" s="421">
        <v>0</v>
      </c>
      <c r="LC7" s="421">
        <v>0</v>
      </c>
      <c r="LD7" s="421">
        <v>0</v>
      </c>
      <c r="LE7" s="421">
        <v>0</v>
      </c>
      <c r="LF7" s="421">
        <v>0</v>
      </c>
      <c r="LG7" s="421">
        <v>0</v>
      </c>
      <c r="LH7" s="421">
        <v>0</v>
      </c>
      <c r="LI7" s="421">
        <v>0</v>
      </c>
      <c r="LJ7" s="421">
        <v>0</v>
      </c>
      <c r="LK7" s="421">
        <v>0</v>
      </c>
      <c r="LL7" s="421">
        <v>0</v>
      </c>
      <c r="LM7" s="421">
        <v>0</v>
      </c>
      <c r="LN7" s="421">
        <v>0</v>
      </c>
      <c r="LO7" s="421">
        <v>0</v>
      </c>
      <c r="LP7" s="421">
        <v>0</v>
      </c>
      <c r="LQ7" s="421">
        <v>0</v>
      </c>
      <c r="LR7" s="1745">
        <v>0</v>
      </c>
      <c r="LS7" s="421">
        <v>0</v>
      </c>
      <c r="LT7" s="421">
        <v>0</v>
      </c>
      <c r="LU7" s="421">
        <v>0</v>
      </c>
      <c r="LV7" s="421">
        <v>0</v>
      </c>
      <c r="LW7" s="421">
        <v>0</v>
      </c>
      <c r="LX7" s="421">
        <v>0</v>
      </c>
      <c r="LY7" s="421">
        <v>0</v>
      </c>
      <c r="LZ7" s="421">
        <v>0</v>
      </c>
      <c r="MA7" s="421">
        <v>0</v>
      </c>
      <c r="MB7" s="421">
        <v>0</v>
      </c>
      <c r="MC7" s="421">
        <v>0</v>
      </c>
      <c r="MD7" s="421">
        <v>0</v>
      </c>
      <c r="ME7" s="421">
        <v>0</v>
      </c>
      <c r="MF7" s="421">
        <v>0</v>
      </c>
      <c r="MG7" s="421">
        <v>0</v>
      </c>
      <c r="MH7" s="421">
        <v>0</v>
      </c>
      <c r="MI7" s="421">
        <v>0</v>
      </c>
      <c r="MJ7" s="421">
        <v>0</v>
      </c>
      <c r="MK7" s="421">
        <v>0</v>
      </c>
      <c r="ML7" s="421">
        <v>0</v>
      </c>
      <c r="MM7" s="421">
        <v>0</v>
      </c>
      <c r="MN7" s="421">
        <v>0</v>
      </c>
      <c r="MO7" s="421">
        <v>0</v>
      </c>
      <c r="MP7" s="421">
        <v>0</v>
      </c>
      <c r="MQ7" s="421">
        <v>0</v>
      </c>
      <c r="MR7" s="421">
        <v>0</v>
      </c>
      <c r="MS7" s="421">
        <v>0</v>
      </c>
      <c r="MT7" s="421">
        <v>0</v>
      </c>
      <c r="MU7" s="421">
        <v>0</v>
      </c>
      <c r="MV7" s="421">
        <v>0</v>
      </c>
      <c r="MW7" s="421">
        <v>0</v>
      </c>
      <c r="MX7" s="421">
        <v>0</v>
      </c>
      <c r="MY7" s="421">
        <v>0</v>
      </c>
      <c r="MZ7" s="421">
        <v>0</v>
      </c>
      <c r="NA7" s="421">
        <v>0</v>
      </c>
      <c r="NB7" s="421">
        <v>0</v>
      </c>
      <c r="NC7" s="421">
        <v>0</v>
      </c>
      <c r="ND7" s="421">
        <v>0</v>
      </c>
      <c r="NE7" s="421">
        <v>0</v>
      </c>
      <c r="NF7" s="421">
        <v>0</v>
      </c>
      <c r="NG7" s="421">
        <v>0</v>
      </c>
      <c r="NH7" s="421">
        <v>0</v>
      </c>
      <c r="NI7" s="421">
        <v>0</v>
      </c>
      <c r="NJ7" s="421">
        <v>0</v>
      </c>
      <c r="NK7" s="421">
        <v>0</v>
      </c>
      <c r="NL7" s="421">
        <v>0</v>
      </c>
      <c r="NM7" s="421">
        <v>0</v>
      </c>
      <c r="NN7" s="421">
        <v>0</v>
      </c>
      <c r="NO7" s="421">
        <v>0</v>
      </c>
      <c r="NP7" s="421">
        <v>0</v>
      </c>
      <c r="NQ7" s="421">
        <v>0</v>
      </c>
      <c r="NR7" s="421">
        <v>0</v>
      </c>
      <c r="NS7" s="421">
        <v>0</v>
      </c>
      <c r="NT7" s="421">
        <v>0</v>
      </c>
      <c r="NU7" s="421">
        <v>0</v>
      </c>
      <c r="NV7" s="421">
        <v>0</v>
      </c>
      <c r="NW7" s="421">
        <v>0</v>
      </c>
      <c r="NX7" s="421">
        <v>0</v>
      </c>
      <c r="NY7" s="421">
        <v>0</v>
      </c>
      <c r="NZ7" s="421">
        <v>0</v>
      </c>
      <c r="OA7" s="421">
        <v>0</v>
      </c>
      <c r="OB7" s="421">
        <v>0</v>
      </c>
      <c r="OC7" s="421">
        <v>0</v>
      </c>
      <c r="OD7" s="421">
        <v>0</v>
      </c>
      <c r="OE7" s="421">
        <v>0</v>
      </c>
      <c r="OF7" s="421">
        <v>0</v>
      </c>
      <c r="OG7" s="421">
        <v>0</v>
      </c>
      <c r="OH7" s="421">
        <v>0</v>
      </c>
      <c r="OI7" s="421">
        <v>0</v>
      </c>
      <c r="OJ7" s="421">
        <v>0</v>
      </c>
      <c r="OK7" s="421">
        <v>0</v>
      </c>
      <c r="OL7" s="421">
        <v>0</v>
      </c>
      <c r="OM7" s="421">
        <v>0</v>
      </c>
      <c r="ON7" s="421">
        <v>0</v>
      </c>
      <c r="OO7" s="421">
        <v>0</v>
      </c>
      <c r="OP7" s="421">
        <v>0</v>
      </c>
      <c r="OQ7" s="421">
        <v>0</v>
      </c>
      <c r="OR7" s="421">
        <v>0</v>
      </c>
      <c r="OS7" s="421">
        <v>0</v>
      </c>
      <c r="OT7" s="421">
        <v>0</v>
      </c>
      <c r="OU7" s="421">
        <v>0</v>
      </c>
      <c r="OV7" s="421">
        <v>0</v>
      </c>
      <c r="OW7" s="421">
        <v>0</v>
      </c>
      <c r="OX7" s="421">
        <v>0</v>
      </c>
      <c r="OY7" s="421">
        <v>0</v>
      </c>
      <c r="OZ7" s="421">
        <v>0</v>
      </c>
      <c r="PA7" s="421">
        <v>0</v>
      </c>
      <c r="PB7" s="421">
        <v>0</v>
      </c>
      <c r="PC7" s="421">
        <v>0</v>
      </c>
      <c r="PD7" s="421">
        <v>0</v>
      </c>
      <c r="PE7" s="421">
        <v>0</v>
      </c>
      <c r="PF7" s="421">
        <v>0</v>
      </c>
      <c r="PG7" s="421">
        <v>0</v>
      </c>
      <c r="PH7" s="421">
        <v>0</v>
      </c>
      <c r="PI7" s="421">
        <v>0</v>
      </c>
      <c r="PJ7" s="421">
        <v>0</v>
      </c>
      <c r="PK7" s="421">
        <v>0</v>
      </c>
      <c r="PL7" s="421">
        <v>0</v>
      </c>
      <c r="PM7" s="421">
        <v>0</v>
      </c>
      <c r="PN7" s="421">
        <v>0</v>
      </c>
      <c r="PO7" s="421">
        <v>0</v>
      </c>
      <c r="PP7" s="421">
        <v>0</v>
      </c>
      <c r="PQ7" s="421">
        <v>0</v>
      </c>
      <c r="PR7" s="421">
        <v>0</v>
      </c>
      <c r="PS7" s="421">
        <v>0</v>
      </c>
      <c r="PT7" s="421">
        <v>0</v>
      </c>
      <c r="PU7" s="421">
        <v>0</v>
      </c>
      <c r="PV7" s="421">
        <v>0</v>
      </c>
      <c r="PW7" s="421">
        <v>0</v>
      </c>
      <c r="PX7" s="421">
        <v>0</v>
      </c>
      <c r="PY7" s="421">
        <v>0</v>
      </c>
      <c r="PZ7" s="421">
        <v>0</v>
      </c>
      <c r="QA7" s="421">
        <v>0</v>
      </c>
      <c r="QB7" s="421">
        <v>0</v>
      </c>
      <c r="QC7" s="421">
        <v>0</v>
      </c>
      <c r="QD7" s="421">
        <v>0</v>
      </c>
      <c r="QE7" s="421">
        <v>0</v>
      </c>
      <c r="QF7" s="421">
        <v>0</v>
      </c>
      <c r="QG7" s="421">
        <v>0</v>
      </c>
      <c r="QH7" s="421">
        <v>0</v>
      </c>
      <c r="QI7" s="421">
        <v>0</v>
      </c>
      <c r="QJ7" s="421">
        <v>0</v>
      </c>
      <c r="QK7" s="421">
        <v>0</v>
      </c>
      <c r="QL7" s="421">
        <v>0</v>
      </c>
      <c r="QM7" s="421">
        <v>0</v>
      </c>
      <c r="QN7" s="421">
        <v>0</v>
      </c>
      <c r="QO7" s="421">
        <v>0</v>
      </c>
      <c r="QP7" s="421">
        <v>0</v>
      </c>
      <c r="QQ7" s="421">
        <v>0</v>
      </c>
      <c r="QR7" s="421">
        <v>0</v>
      </c>
      <c r="QS7" s="421">
        <v>0</v>
      </c>
      <c r="QT7" s="421">
        <v>0</v>
      </c>
      <c r="QU7" s="421">
        <v>0</v>
      </c>
      <c r="QV7" s="421">
        <v>0</v>
      </c>
      <c r="QW7" s="421">
        <v>0</v>
      </c>
      <c r="QX7" s="421">
        <v>0</v>
      </c>
      <c r="QY7" s="421">
        <v>0</v>
      </c>
      <c r="QZ7" s="421">
        <v>0</v>
      </c>
      <c r="RA7" s="421">
        <v>0</v>
      </c>
      <c r="RB7" s="421">
        <v>0</v>
      </c>
      <c r="RC7" s="421">
        <v>0</v>
      </c>
      <c r="RD7" s="421">
        <v>0</v>
      </c>
      <c r="RE7" s="421">
        <v>0</v>
      </c>
      <c r="RF7" s="421">
        <v>0</v>
      </c>
      <c r="RG7" s="421">
        <v>0</v>
      </c>
      <c r="RH7" s="421">
        <v>0</v>
      </c>
      <c r="RI7" s="421">
        <v>0</v>
      </c>
      <c r="RJ7" s="421">
        <v>0</v>
      </c>
      <c r="RK7" s="421">
        <v>0</v>
      </c>
      <c r="RL7" s="421">
        <v>0</v>
      </c>
      <c r="RM7" s="421">
        <v>0</v>
      </c>
      <c r="RN7" s="421">
        <v>0</v>
      </c>
      <c r="RO7" s="421">
        <v>0</v>
      </c>
      <c r="RP7" s="421">
        <v>0</v>
      </c>
      <c r="RQ7" s="421">
        <v>0</v>
      </c>
      <c r="RR7" s="421">
        <v>0</v>
      </c>
      <c r="RS7" s="421">
        <v>0</v>
      </c>
      <c r="RT7" s="421">
        <v>0</v>
      </c>
      <c r="RU7" s="421">
        <v>0</v>
      </c>
      <c r="RV7" s="421">
        <v>0</v>
      </c>
    </row>
    <row r="8" spans="4:490">
      <c r="D8" s="135" t="s">
        <v>200</v>
      </c>
      <c r="E8" s="719">
        <f>+SUM(IMN_gestore!$R:$R)</f>
        <v>0</v>
      </c>
      <c r="F8" s="719">
        <f>+SUM(IMN_gestore!$AC:$AC)</f>
        <v>0</v>
      </c>
      <c r="G8" s="719">
        <f>+SUM(IMN_gestore!$AN:$AN)</f>
        <v>0</v>
      </c>
      <c r="H8" s="719">
        <f>+SUM(IMN_gestore!$AY:$AY)</f>
        <v>0</v>
      </c>
      <c r="I8" s="719">
        <f>+SUM(IMN_gestore!BJ:BJ)</f>
        <v>0</v>
      </c>
      <c r="J8" s="719">
        <f>+SUM(IMN_gestore!$BU:$BU)</f>
        <v>0</v>
      </c>
      <c r="K8" s="10"/>
      <c r="L8" s="125"/>
      <c r="M8" s="420">
        <v>2</v>
      </c>
      <c r="N8" s="904">
        <f>+IFERROR(VLOOKUP(N$6&amp;"-"&amp;$M8&amp;"_old",Ammortamento_Finanziario!$H:$L,5,FALSE),VLOOKUP($M8,TT_Tabelle_Riferimento!$H$31:$I$50,2,FALSE))</f>
        <v>40</v>
      </c>
      <c r="O8" s="904">
        <f>+IFERROR(VLOOKUP(O$6&amp;"-"&amp;$M8&amp;"_old",Ammortamento_Finanziario!$H:$L,5,FALSE),VLOOKUP($M8,TT_Tabelle_Riferimento!$H$31:$I$50,2,FALSE))</f>
        <v>40</v>
      </c>
      <c r="P8" s="904">
        <f>+IFERROR(VLOOKUP(P$6&amp;"-"&amp;$M8&amp;"_old",Ammortamento_Finanziario!$H:$L,5,FALSE),VLOOKUP($M8,TT_Tabelle_Riferimento!$H$31:$I$50,2,FALSE))</f>
        <v>40</v>
      </c>
      <c r="Q8" s="904">
        <f>+IFERROR(VLOOKUP(Q$6&amp;"-"&amp;$M8&amp;"_old",Ammortamento_Finanziario!$H:$L,5,FALSE),VLOOKUP($M8,TT_Tabelle_Riferimento!$H$31:$I$50,2,FALSE))</f>
        <v>40</v>
      </c>
      <c r="R8" s="904">
        <f>+IFERROR(VLOOKUP(R$6&amp;"-"&amp;$M8&amp;"_old",Ammortamento_Finanziario!$H:$L,5,FALSE),VLOOKUP($M8,TT_Tabelle_Riferimento!$H$31:$I$50,2,FALSE))</f>
        <v>40</v>
      </c>
      <c r="S8" s="904">
        <f>+IFERROR(VLOOKUP(S$6&amp;"-"&amp;$M8&amp;"_old",Ammortamento_Finanziario!$H:$L,5,FALSE),VLOOKUP($M8,TT_Tabelle_Riferimento!$H$31:$I$50,2,FALSE))</f>
        <v>40</v>
      </c>
      <c r="T8" s="904">
        <f>+IFERROR(VLOOKUP(T$6&amp;"-"&amp;$M8&amp;"_old",Ammortamento_Finanziario!$H:$L,5,FALSE),VLOOKUP($M8,TT_Tabelle_Riferimento!$H$31:$I$50,2,FALSE))</f>
        <v>40</v>
      </c>
      <c r="U8" s="904">
        <f>+IFERROR(VLOOKUP(U$6&amp;"-"&amp;$M8&amp;"_old",Ammortamento_Finanziario!$H:$L,5,FALSE),VLOOKUP($M8,TT_Tabelle_Riferimento!$H$31:$I$50,2,FALSE))</f>
        <v>40</v>
      </c>
      <c r="V8" s="904">
        <f>+IFERROR(VLOOKUP(V$6&amp;"-"&amp;$M8&amp;"_old",Ammortamento_Finanziario!$H:$L,5,FALSE),VLOOKUP($M8,TT_Tabelle_Riferimento!$H$31:$I$50,2,FALSE))</f>
        <v>40</v>
      </c>
      <c r="W8" s="904">
        <f>+IFERROR(VLOOKUP(W$6&amp;"-"&amp;$M8&amp;"_old",Ammortamento_Finanziario!$H:$L,5,FALSE),VLOOKUP($M8,TT_Tabelle_Riferimento!$H$31:$I$50,2,FALSE))</f>
        <v>40</v>
      </c>
      <c r="X8" s="1739">
        <f>+IFERROR(VLOOKUP(X$6&amp;"-"&amp;$M8&amp;"_old",Ammortamento_Finanziario!$H:$L,5,FALSE),VLOOKUP($M8,TT_Tabelle_Riferimento!$H$31:$I$50,2,FALSE))</f>
        <v>40</v>
      </c>
      <c r="Y8" s="1739">
        <f>+IFERROR(VLOOKUP(Y$6&amp;"-"&amp;$M8&amp;"_old",Ammortamento_Finanziario!$H:$L,5,FALSE),VLOOKUP($M8,TT_Tabelle_Riferimento!$H$31:$I$50,2,FALSE))</f>
        <v>40</v>
      </c>
      <c r="Z8" s="1749">
        <f>+IFERROR(VLOOKUP(Z$6&amp;"-"&amp;$M8&amp;"_old",Ammortamento_Finanziario!$H:$L,5,FALSE),VLOOKUP($M8,TT_Tabelle_Riferimento!$H$31:$I$50,2,FALSE))</f>
        <v>40</v>
      </c>
      <c r="AA8" s="1749">
        <f>+IFERROR(VLOOKUP(AA$6&amp;"-"&amp;$M8&amp;"_old",Ammortamento_Finanziario!$H:$L,5,FALSE),VLOOKUP($M8,TT_Tabelle_Riferimento!$H$31:$I$50,2,FALSE))</f>
        <v>40</v>
      </c>
      <c r="AB8" s="1749">
        <f>+IFERROR(VLOOKUP(AB$6&amp;"-"&amp;$M8&amp;"_old",Ammortamento_Finanziario!$H:$L,5,FALSE),VLOOKUP($M8,TT_Tabelle_Riferimento!$H$31:$I$50,2,FALSE))</f>
        <v>40</v>
      </c>
      <c r="AC8" s="1749">
        <f>+IFERROR(VLOOKUP(AC$6&amp;"-"&amp;$M8&amp;"_old",Ammortamento_Finanziario!$H:$L,5,FALSE),VLOOKUP($M8,TT_Tabelle_Riferimento!$H$31:$I$50,2,FALSE))</f>
        <v>40</v>
      </c>
      <c r="AD8" s="1749">
        <f>+IFERROR(VLOOKUP(AD$6&amp;"-"&amp;$M8&amp;"_old",Ammortamento_Finanziario!$H:$L,5,FALSE),VLOOKUP($M8,TT_Tabelle_Riferimento!$H$31:$I$50,2,FALSE))</f>
        <v>40</v>
      </c>
      <c r="AE8" s="1749">
        <f>+IFERROR(VLOOKUP(AE$6&amp;"-"&amp;$M8&amp;"_old",Ammortamento_Finanziario!$H:$L,5,FALSE),VLOOKUP($M8,TT_Tabelle_Riferimento!$H$31:$I$50,2,FALSE))</f>
        <v>40</v>
      </c>
      <c r="AF8" s="625">
        <f>+IFERROR(VLOOKUP(AF$6&amp;"-"&amp;$M8&amp;"_old",Ammortamento_Finanziario!$H:$L,5,FALSE),VLOOKUP($M8,TT_Tabelle_Riferimento!$H$31:$I$50,2,FALSE))</f>
        <v>40</v>
      </c>
      <c r="AG8" s="625">
        <f>+IFERROR(VLOOKUP(AG$6&amp;"-"&amp;$M8&amp;"_old",Ammortamento_Finanziario!$H:$L,5,FALSE),VLOOKUP($M8,TT_Tabelle_Riferimento!$H$31:$I$50,2,FALSE))</f>
        <v>40</v>
      </c>
      <c r="AH8" s="625">
        <f>+IFERROR(VLOOKUP(AH$6&amp;"-"&amp;$M8&amp;"_old",Ammortamento_Finanziario!$H:$L,5,FALSE),VLOOKUP($M8,TT_Tabelle_Riferimento!$H$31:$I$50,2,FALSE))</f>
        <v>40</v>
      </c>
      <c r="AI8" s="625">
        <f>+IFERROR(VLOOKUP(AI$6&amp;"-"&amp;$M8&amp;"_old",Ammortamento_Finanziario!$H:$L,5,FALSE),VLOOKUP($M8,TT_Tabelle_Riferimento!$H$31:$I$50,2,FALSE))</f>
        <v>40</v>
      </c>
      <c r="AJ8" s="625">
        <f>+IFERROR(VLOOKUP(AJ$6&amp;"-"&amp;$M8&amp;"_old",Ammortamento_Finanziario!$H:$L,5,FALSE),VLOOKUP($M8,TT_Tabelle_Riferimento!$H$31:$I$50,2,FALSE))</f>
        <v>40</v>
      </c>
      <c r="AK8" s="625">
        <f>+IFERROR(VLOOKUP(AK$6&amp;"-"&amp;$M8&amp;"_old",Ammortamento_Finanziario!$H:$L,5,FALSE),VLOOKUP($M8,TT_Tabelle_Riferimento!$H$31:$I$50,2,FALSE))</f>
        <v>40</v>
      </c>
      <c r="AL8" s="625">
        <f>+IFERROR(VLOOKUP(AL$6&amp;"-"&amp;$M8&amp;"_old",Ammortamento_Finanziario!$H:$L,5,FALSE),VLOOKUP($M8,TT_Tabelle_Riferimento!$H$31:$I$50,2,FALSE))</f>
        <v>40</v>
      </c>
      <c r="AM8" s="625">
        <f>+IFERROR(VLOOKUP(AM$6&amp;"-"&amp;$M8&amp;"_old",Ammortamento_Finanziario!$H:$L,5,FALSE),VLOOKUP($M8,TT_Tabelle_Riferimento!$H$31:$I$50,2,FALSE))</f>
        <v>40</v>
      </c>
      <c r="AN8" s="625">
        <f>+IFERROR(VLOOKUP(AN$6&amp;"-"&amp;$M8&amp;"_old",Ammortamento_Finanziario!$H:$L,5,FALSE),VLOOKUP($M8,TT_Tabelle_Riferimento!$H$31:$I$50,2,FALSE))</f>
        <v>40</v>
      </c>
      <c r="AO8" s="625">
        <f>+IFERROR(VLOOKUP(AO$6&amp;"-"&amp;$M8&amp;"_old",Ammortamento_Finanziario!$H:$L,5,FALSE),VLOOKUP($M8,TT_Tabelle_Riferimento!$H$31:$I$50,2,FALSE))</f>
        <v>40</v>
      </c>
      <c r="AP8" s="625">
        <f>+IFERROR(VLOOKUP(AP$6&amp;"-"&amp;$M8&amp;"_old",Ammortamento_Finanziario!$H:$L,5,FALSE),VLOOKUP($M8,TT_Tabelle_Riferimento!$H$31:$I$50,2,FALSE))</f>
        <v>40</v>
      </c>
      <c r="AQ8" s="625">
        <f>+IFERROR(VLOOKUP(AQ$6&amp;"-"&amp;$M8&amp;"_old",Ammortamento_Finanziario!$H:$L,5,FALSE),VLOOKUP($M8,TT_Tabelle_Riferimento!$H$31:$I$50,2,FALSE))</f>
        <v>40</v>
      </c>
      <c r="AR8" s="625">
        <f>+IFERROR(VLOOKUP(AR$6&amp;"-"&amp;$M8&amp;"_old",Ammortamento_Finanziario!$H:$L,5,FALSE),VLOOKUP($M8,TT_Tabelle_Riferimento!$H$31:$I$50,2,FALSE))</f>
        <v>40</v>
      </c>
      <c r="AS8" s="625">
        <f>+IFERROR(VLOOKUP(AS$6&amp;"-"&amp;$M8&amp;"_old",Ammortamento_Finanziario!$H:$L,5,FALSE),VLOOKUP($M8,TT_Tabelle_Riferimento!$H$31:$I$50,2,FALSE))</f>
        <v>40</v>
      </c>
      <c r="AT8" s="625">
        <f>+IFERROR(VLOOKUP(AT$6&amp;"-"&amp;$M8&amp;"_old",Ammortamento_Finanziario!$H:$L,5,FALSE),VLOOKUP($M8,TT_Tabelle_Riferimento!$H$31:$I$50,2,FALSE))</f>
        <v>40</v>
      </c>
      <c r="AU8" s="625">
        <f>+IFERROR(VLOOKUP(AU$6&amp;"-"&amp;$M8&amp;"_old",Ammortamento_Finanziario!$H:$L,5,FALSE),VLOOKUP($M8,TT_Tabelle_Riferimento!$H$31:$I$50,2,FALSE))</f>
        <v>40</v>
      </c>
      <c r="AV8" s="625">
        <f>+IFERROR(VLOOKUP(AV$6&amp;"-"&amp;$M8&amp;"_old",Ammortamento_Finanziario!$H:$L,5,FALSE),VLOOKUP($M8,TT_Tabelle_Riferimento!$H$31:$I$50,2,FALSE))</f>
        <v>40</v>
      </c>
      <c r="AW8" s="625">
        <f>+IFERROR(VLOOKUP(AW$6&amp;"-"&amp;$M8&amp;"_old",Ammortamento_Finanziario!$H:$L,5,FALSE),VLOOKUP($M8,TT_Tabelle_Riferimento!$H$31:$I$50,2,FALSE))</f>
        <v>40</v>
      </c>
      <c r="AX8" s="625">
        <f>+IFERROR(VLOOKUP(AX$6&amp;"-"&amp;$M8&amp;"_old",Ammortamento_Finanziario!$H:$L,5,FALSE),VLOOKUP($M8,TT_Tabelle_Riferimento!$H$31:$I$50,2,FALSE))</f>
        <v>40</v>
      </c>
      <c r="AY8" s="905">
        <f>+IFERROR(VLOOKUP(AY$6&amp;"-"&amp;$M8&amp;"_old",Ammortamento_Finanziario!$H:$L,5,FALSE),VLOOKUP($M8,TT_Tabelle_Riferimento!$H$31:$I$50,2,FALSE))</f>
        <v>40</v>
      </c>
      <c r="AZ8" s="905">
        <f>+IFERROR(VLOOKUP(AZ$6&amp;"-"&amp;$M8&amp;"_old",Ammortamento_Finanziario!$H:$L,5,FALSE),VLOOKUP($M8,TT_Tabelle_Riferimento!$H$31:$I$50,2,FALSE))</f>
        <v>40</v>
      </c>
      <c r="BA8" s="905">
        <f>+IFERROR(VLOOKUP(BA$6&amp;"-"&amp;$M8&amp;"_old",Ammortamento_Finanziario!$H:$L,5,FALSE),VLOOKUP($M8,TT_Tabelle_Riferimento!$H$31:$I$50,2,FALSE))</f>
        <v>40</v>
      </c>
      <c r="BB8" s="905">
        <f>+IFERROR(VLOOKUP(BB$6&amp;"-"&amp;$M8&amp;"_old",Ammortamento_Finanziario!$H:$L,5,FALSE),VLOOKUP($M8,TT_Tabelle_Riferimento!$H$31:$I$50,2,FALSE))</f>
        <v>40</v>
      </c>
      <c r="BC8" s="905">
        <f>+IFERROR(VLOOKUP(BC$6&amp;"-"&amp;$M8&amp;"_old",Ammortamento_Finanziario!$H:$L,5,FALSE),VLOOKUP($M8,TT_Tabelle_Riferimento!$H$31:$I$50,2,FALSE))</f>
        <v>40</v>
      </c>
      <c r="BD8" s="905">
        <f>+IFERROR(VLOOKUP(BD$6&amp;"-"&amp;$M8&amp;"_old",Ammortamento_Finanziario!$H:$L,5,FALSE),VLOOKUP($M8,TT_Tabelle_Riferimento!$H$31:$I$50,2,FALSE))</f>
        <v>40</v>
      </c>
      <c r="BE8" s="905">
        <f>+IFERROR(VLOOKUP(BE$6&amp;"-"&amp;$M8&amp;"_old",Ammortamento_Finanziario!$H:$L,5,FALSE),VLOOKUP($M8,TT_Tabelle_Riferimento!$H$31:$I$50,2,FALSE))</f>
        <v>40</v>
      </c>
      <c r="BF8" s="905">
        <f>+IFERROR(VLOOKUP(BF$6&amp;"-"&amp;$M8&amp;"_old",Ammortamento_Finanziario!$H:$L,5,FALSE),VLOOKUP($M8,TT_Tabelle_Riferimento!$H$31:$I$50,2,FALSE))</f>
        <v>40</v>
      </c>
      <c r="BG8" s="1740">
        <f>+IFERROR(VLOOKUP(BG$6&amp;"-"&amp;$M8&amp;"_old",Ammortamento_Finanziario!$H:$L,5,FALSE),VLOOKUP($M8,TT_Tabelle_Riferimento!$H$31:$I$50,2,FALSE))</f>
        <v>40</v>
      </c>
      <c r="BH8" s="1740">
        <f>+IFERROR(VLOOKUP(BH$6&amp;"-"&amp;$M8&amp;"_old",Ammortamento_Finanziario!$H:$L,5,FALSE),VLOOKUP($M8,TT_Tabelle_Riferimento!$H$31:$I$50,2,FALSE))</f>
        <v>40</v>
      </c>
      <c r="BI8" s="1749">
        <f>+IFERROR(VLOOKUP(BI$6&amp;"-"&amp;$M8&amp;"_old",Ammortamento_Finanziario!$H:$L,5,FALSE),VLOOKUP($M8,TT_Tabelle_Riferimento!$H$31:$I$50,2,FALSE))</f>
        <v>40</v>
      </c>
      <c r="BJ8" s="1749">
        <f>+IFERROR(VLOOKUP(BJ$6&amp;"-"&amp;$M8&amp;"_old",Ammortamento_Finanziario!$H:$L,5,FALSE),VLOOKUP($M8,TT_Tabelle_Riferimento!$H$31:$I$50,2,FALSE))</f>
        <v>40</v>
      </c>
      <c r="BK8" s="1749">
        <f>+IFERROR(VLOOKUP(BK$6&amp;"-"&amp;$M8&amp;"_old",Ammortamento_Finanziario!$H:$L,5,FALSE),VLOOKUP($M8,TT_Tabelle_Riferimento!$H$31:$I$50,2,FALSE))</f>
        <v>40</v>
      </c>
      <c r="BL8" s="1749">
        <f>+IFERROR(VLOOKUP(BL$6&amp;"-"&amp;$M8&amp;"_old",Ammortamento_Finanziario!$H:$L,5,FALSE),VLOOKUP($M8,TT_Tabelle_Riferimento!$H$31:$I$50,2,FALSE))</f>
        <v>40</v>
      </c>
      <c r="BM8" s="1749">
        <f>+IFERROR(VLOOKUP(BM$6&amp;"-"&amp;$M8&amp;"_old",Ammortamento_Finanziario!$H:$L,5,FALSE),VLOOKUP($M8,TT_Tabelle_Riferimento!$H$31:$I$50,2,FALSE))</f>
        <v>40</v>
      </c>
      <c r="BN8" s="1749">
        <f>+IFERROR(VLOOKUP(BN$6&amp;"-"&amp;$M8&amp;"_old",Ammortamento_Finanziario!$H:$L,5,FALSE),VLOOKUP($M8,TT_Tabelle_Riferimento!$H$31:$I$50,2,FALSE))</f>
        <v>40</v>
      </c>
      <c r="BO8" s="625">
        <f>+IFERROR(VLOOKUP(BO$6&amp;"-"&amp;$M8&amp;"_old",Ammortamento_Finanziario!$H:$L,5,FALSE),VLOOKUP($M8,TT_Tabelle_Riferimento!$H$31:$I$50,2,FALSE))</f>
        <v>40</v>
      </c>
      <c r="BP8" s="625">
        <f>+IFERROR(VLOOKUP(BP$6&amp;"-"&amp;$M8&amp;"_old",Ammortamento_Finanziario!$H:$L,5,FALSE),VLOOKUP($M8,TT_Tabelle_Riferimento!$H$31:$I$50,2,FALSE))</f>
        <v>40</v>
      </c>
      <c r="BQ8" s="625">
        <f>+IFERROR(VLOOKUP(BQ$6&amp;"-"&amp;$M8&amp;"_old",Ammortamento_Finanziario!$H:$L,5,FALSE),VLOOKUP($M8,TT_Tabelle_Riferimento!$H$31:$I$50,2,FALSE))</f>
        <v>40</v>
      </c>
      <c r="BR8" s="625">
        <f>+IFERROR(VLOOKUP(BR$6&amp;"-"&amp;$M8&amp;"_old",Ammortamento_Finanziario!$H:$L,5,FALSE),VLOOKUP($M8,TT_Tabelle_Riferimento!$H$31:$I$50,2,FALSE))</f>
        <v>40</v>
      </c>
      <c r="BS8" s="625">
        <f>+IFERROR(VLOOKUP(BS$6&amp;"-"&amp;$M8&amp;"_old",Ammortamento_Finanziario!$H:$L,5,FALSE),VLOOKUP($M8,TT_Tabelle_Riferimento!$H$31:$I$50,2,FALSE))</f>
        <v>40</v>
      </c>
      <c r="BT8" s="625">
        <f>+IFERROR(VLOOKUP(BT$6&amp;"-"&amp;$M8&amp;"_old",Ammortamento_Finanziario!$H:$L,5,FALSE),VLOOKUP($M8,TT_Tabelle_Riferimento!$H$31:$I$50,2,FALSE))</f>
        <v>40</v>
      </c>
      <c r="BU8" s="625">
        <f>+IFERROR(VLOOKUP(BU$6&amp;"-"&amp;$M8&amp;"_old",Ammortamento_Finanziario!$H:$L,5,FALSE),VLOOKUP($M8,TT_Tabelle_Riferimento!$H$31:$I$50,2,FALSE))</f>
        <v>40</v>
      </c>
      <c r="BV8" s="625">
        <f>+IFERROR(VLOOKUP(BV$6&amp;"-"&amp;$M8&amp;"_old",Ammortamento_Finanziario!$H:$L,5,FALSE),VLOOKUP($M8,TT_Tabelle_Riferimento!$H$31:$I$50,2,FALSE))</f>
        <v>40</v>
      </c>
      <c r="BW8" s="625">
        <f>+IFERROR(VLOOKUP(BW$6&amp;"-"&amp;$M8&amp;"_old",Ammortamento_Finanziario!$H:$L,5,FALSE),VLOOKUP($M8,TT_Tabelle_Riferimento!$H$31:$I$50,2,FALSE))</f>
        <v>40</v>
      </c>
      <c r="BX8" s="625">
        <f>+IFERROR(VLOOKUP(BX$6&amp;"-"&amp;$M8&amp;"_old",Ammortamento_Finanziario!$H:$L,5,FALSE),VLOOKUP($M8,TT_Tabelle_Riferimento!$H$31:$I$50,2,FALSE))</f>
        <v>40</v>
      </c>
      <c r="BY8" s="625">
        <f>+IFERROR(VLOOKUP(BY$6&amp;"-"&amp;$M8&amp;"_old",Ammortamento_Finanziario!$H:$L,5,FALSE),VLOOKUP($M8,TT_Tabelle_Riferimento!$H$31:$I$50,2,FALSE))</f>
        <v>40</v>
      </c>
      <c r="BZ8" s="625">
        <f>+IFERROR(VLOOKUP(BZ$6&amp;"-"&amp;$M8&amp;"_old",Ammortamento_Finanziario!$H:$L,5,FALSE),VLOOKUP($M8,TT_Tabelle_Riferimento!$H$31:$I$50,2,FALSE))</f>
        <v>40</v>
      </c>
      <c r="CA8" s="625">
        <f>+IFERROR(VLOOKUP(CA$6&amp;"-"&amp;$M8&amp;"_old",Ammortamento_Finanziario!$H:$L,5,FALSE),VLOOKUP($M8,TT_Tabelle_Riferimento!$H$31:$I$50,2,FALSE))</f>
        <v>40</v>
      </c>
      <c r="CB8" s="625">
        <f>+IFERROR(VLOOKUP(CB$6&amp;"-"&amp;$M8&amp;"_old",Ammortamento_Finanziario!$H:$L,5,FALSE),VLOOKUP($M8,TT_Tabelle_Riferimento!$H$31:$I$50,2,FALSE))</f>
        <v>40</v>
      </c>
      <c r="CC8" s="625">
        <f>+IFERROR(VLOOKUP(CC$6&amp;"-"&amp;$M8&amp;"_old",Ammortamento_Finanziario!$H:$L,5,FALSE),VLOOKUP($M8,TT_Tabelle_Riferimento!$H$31:$I$50,2,FALSE))</f>
        <v>40</v>
      </c>
      <c r="CD8" s="625">
        <f>+IFERROR(VLOOKUP(CD$6&amp;"-"&amp;$M8&amp;"_old",Ammortamento_Finanziario!$H:$L,5,FALSE),VLOOKUP($M8,TT_Tabelle_Riferimento!$H$31:$I$50,2,FALSE))</f>
        <v>40</v>
      </c>
      <c r="CE8" s="625">
        <f>+IFERROR(VLOOKUP(CE$6&amp;"-"&amp;$M8&amp;"_old",Ammortamento_Finanziario!$H:$L,5,FALSE),VLOOKUP($M8,TT_Tabelle_Riferimento!$H$31:$I$50,2,FALSE))</f>
        <v>40</v>
      </c>
      <c r="CF8" s="625">
        <f>+IFERROR(VLOOKUP(CF$6&amp;"-"&amp;$M8&amp;"_old",Ammortamento_Finanziario!$H:$L,5,FALSE),VLOOKUP($M8,TT_Tabelle_Riferimento!$H$31:$I$50,2,FALSE))</f>
        <v>40</v>
      </c>
      <c r="CG8" s="625">
        <f>+IFERROR(VLOOKUP(CG$6&amp;"-"&amp;$M8&amp;"_old",Ammortamento_Finanziario!$H:$L,5,FALSE),VLOOKUP($M8,TT_Tabelle_Riferimento!$H$31:$I$50,2,FALSE))</f>
        <v>40</v>
      </c>
      <c r="CH8" s="905">
        <f>+IFERROR(VLOOKUP(CH$6&amp;"-"&amp;$M8&amp;"_old",Ammortamento_Finanziario!$H:$L,5,FALSE),VLOOKUP($M8,TT_Tabelle_Riferimento!$H$31:$I$50,2,FALSE))</f>
        <v>40</v>
      </c>
      <c r="CI8" s="905">
        <f>+IFERROR(VLOOKUP(CI$6&amp;"-"&amp;$M8&amp;"_old",Ammortamento_Finanziario!$H:$L,5,FALSE),VLOOKUP($M8,TT_Tabelle_Riferimento!$H$31:$I$50,2,FALSE))</f>
        <v>40</v>
      </c>
      <c r="CJ8" s="905">
        <f>+IFERROR(VLOOKUP(CJ$6&amp;"-"&amp;$M8&amp;"_old",Ammortamento_Finanziario!$H:$L,5,FALSE),VLOOKUP($M8,TT_Tabelle_Riferimento!$H$31:$I$50,2,FALSE))</f>
        <v>40</v>
      </c>
      <c r="CK8" s="905">
        <f>+IFERROR(VLOOKUP(CK$6&amp;"-"&amp;$M8&amp;"_old",Ammortamento_Finanziario!$H:$L,5,FALSE),VLOOKUP($M8,TT_Tabelle_Riferimento!$H$31:$I$50,2,FALSE))</f>
        <v>40</v>
      </c>
      <c r="CL8" s="905">
        <f>+IFERROR(VLOOKUP(CL$6&amp;"-"&amp;$M8&amp;"_old",Ammortamento_Finanziario!$H:$L,5,FALSE),VLOOKUP($M8,TT_Tabelle_Riferimento!$H$31:$I$50,2,FALSE))</f>
        <v>40</v>
      </c>
      <c r="CM8" s="905">
        <f>+IFERROR(VLOOKUP(CM$6&amp;"-"&amp;$M8&amp;"_old",Ammortamento_Finanziario!$H:$L,5,FALSE),VLOOKUP($M8,TT_Tabelle_Riferimento!$H$31:$I$50,2,FALSE))</f>
        <v>40</v>
      </c>
      <c r="CN8" s="905">
        <f>+IFERROR(VLOOKUP(CN$6&amp;"-"&amp;$M8&amp;"_old",Ammortamento_Finanziario!$H:$L,5,FALSE),VLOOKUP($M8,TT_Tabelle_Riferimento!$H$31:$I$50,2,FALSE))</f>
        <v>40</v>
      </c>
      <c r="CO8" s="1740">
        <f>+IFERROR(VLOOKUP(CO$6&amp;"-"&amp;$M8&amp;"_old",Ammortamento_Finanziario!$H:$L,5,FALSE),VLOOKUP($M8,TT_Tabelle_Riferimento!$H$31:$I$50,2,FALSE))</f>
        <v>40</v>
      </c>
      <c r="CP8" s="1740">
        <f>+IFERROR(VLOOKUP(CP$6&amp;"-"&amp;$M8&amp;"_old",Ammortamento_Finanziario!$H:$L,5,FALSE),VLOOKUP($M8,TT_Tabelle_Riferimento!$H$31:$I$50,2,FALSE))</f>
        <v>40</v>
      </c>
      <c r="CQ8" s="1749">
        <f>+IFERROR(VLOOKUP(CQ$6&amp;"-"&amp;$M8&amp;"_old",Ammortamento_Finanziario!$H:$L,5,FALSE),VLOOKUP($M8,TT_Tabelle_Riferimento!$H$31:$I$50,2,FALSE))</f>
        <v>40</v>
      </c>
      <c r="CR8" s="1749">
        <f>+IFERROR(VLOOKUP(CR$6&amp;"-"&amp;$M8&amp;"_old",Ammortamento_Finanziario!$H:$L,5,FALSE),VLOOKUP($M8,TT_Tabelle_Riferimento!$H$31:$I$50,2,FALSE))</f>
        <v>40</v>
      </c>
      <c r="CS8" s="1749">
        <f>+IFERROR(VLOOKUP(CS$6&amp;"-"&amp;$M8&amp;"_old",Ammortamento_Finanziario!$H:$L,5,FALSE),VLOOKUP($M8,TT_Tabelle_Riferimento!$H$31:$I$50,2,FALSE))</f>
        <v>40</v>
      </c>
      <c r="CT8" s="1749">
        <f>+IFERROR(VLOOKUP(CT$6&amp;"-"&amp;$M8&amp;"_old",Ammortamento_Finanziario!$H:$L,5,FALSE),VLOOKUP($M8,TT_Tabelle_Riferimento!$H$31:$I$50,2,FALSE))</f>
        <v>40</v>
      </c>
      <c r="CU8" s="1749">
        <f>+IFERROR(VLOOKUP(CU$6&amp;"-"&amp;$M8&amp;"_old",Ammortamento_Finanziario!$H:$L,5,FALSE),VLOOKUP($M8,TT_Tabelle_Riferimento!$H$31:$I$50,2,FALSE))</f>
        <v>40</v>
      </c>
      <c r="CV8" s="1749">
        <f>+IFERROR(VLOOKUP(CV$6&amp;"-"&amp;$M8&amp;"_old",Ammortamento_Finanziario!$H:$L,5,FALSE),VLOOKUP($M8,TT_Tabelle_Riferimento!$H$31:$I$50,2,FALSE))</f>
        <v>40</v>
      </c>
      <c r="CW8" s="625">
        <f>+IFERROR(VLOOKUP(CW$6&amp;"-"&amp;$M8&amp;"_old",Ammortamento_Finanziario!$H:$L,5,FALSE),VLOOKUP($M8,TT_Tabelle_Riferimento!$H$31:$I$50,2,FALSE))</f>
        <v>40</v>
      </c>
      <c r="CX8" s="625">
        <f>+IFERROR(VLOOKUP(CX$6&amp;"-"&amp;$M8&amp;"_old",Ammortamento_Finanziario!$H:$L,5,FALSE),VLOOKUP($M8,TT_Tabelle_Riferimento!$H$31:$I$50,2,FALSE))</f>
        <v>40</v>
      </c>
      <c r="CY8" s="625">
        <f>+IFERROR(VLOOKUP(CY$6&amp;"-"&amp;$M8&amp;"_old",Ammortamento_Finanziario!$H:$L,5,FALSE),VLOOKUP($M8,TT_Tabelle_Riferimento!$H$31:$I$50,2,FALSE))</f>
        <v>40</v>
      </c>
      <c r="CZ8" s="625">
        <f>+IFERROR(VLOOKUP(CZ$6&amp;"-"&amp;$M8&amp;"_old",Ammortamento_Finanziario!$H:$L,5,FALSE),VLOOKUP($M8,TT_Tabelle_Riferimento!$H$31:$I$50,2,FALSE))</f>
        <v>40</v>
      </c>
      <c r="DA8" s="625">
        <f>+IFERROR(VLOOKUP(DA$6&amp;"-"&amp;$M8&amp;"_old",Ammortamento_Finanziario!$H:$L,5,FALSE),VLOOKUP($M8,TT_Tabelle_Riferimento!$H$31:$I$50,2,FALSE))</f>
        <v>40</v>
      </c>
      <c r="DB8" s="625">
        <f>+IFERROR(VLOOKUP(DB$6&amp;"-"&amp;$M8&amp;"_old",Ammortamento_Finanziario!$H:$L,5,FALSE),VLOOKUP($M8,TT_Tabelle_Riferimento!$H$31:$I$50,2,FALSE))</f>
        <v>40</v>
      </c>
      <c r="DC8" s="625">
        <f>+IFERROR(VLOOKUP(DC$6&amp;"-"&amp;$M8&amp;"_old",Ammortamento_Finanziario!$H:$L,5,FALSE),VLOOKUP($M8,TT_Tabelle_Riferimento!$H$31:$I$50,2,FALSE))</f>
        <v>40</v>
      </c>
      <c r="DD8" s="625">
        <f>+IFERROR(VLOOKUP(DD$6&amp;"-"&amp;$M8&amp;"_old",Ammortamento_Finanziario!$H:$L,5,FALSE),VLOOKUP($M8,TT_Tabelle_Riferimento!$H$31:$I$50,2,FALSE))</f>
        <v>40</v>
      </c>
      <c r="DE8" s="625">
        <f>+IFERROR(VLOOKUP(DE$6&amp;"-"&amp;$M8&amp;"_old",Ammortamento_Finanziario!$H:$L,5,FALSE),VLOOKUP($M8,TT_Tabelle_Riferimento!$H$31:$I$50,2,FALSE))</f>
        <v>40</v>
      </c>
      <c r="DF8" s="625">
        <f>+IFERROR(VLOOKUP(DF$6&amp;"-"&amp;$M8&amp;"_old",Ammortamento_Finanziario!$H:$L,5,FALSE),VLOOKUP($M8,TT_Tabelle_Riferimento!$H$31:$I$50,2,FALSE))</f>
        <v>40</v>
      </c>
      <c r="DG8" s="625">
        <f>+IFERROR(VLOOKUP(DG$6&amp;"-"&amp;$M8&amp;"_old",Ammortamento_Finanziario!$H:$L,5,FALSE),VLOOKUP($M8,TT_Tabelle_Riferimento!$H$31:$I$50,2,FALSE))</f>
        <v>40</v>
      </c>
      <c r="DH8" s="625">
        <f>+IFERROR(VLOOKUP(DH$6&amp;"-"&amp;$M8&amp;"_old",Ammortamento_Finanziario!$H:$L,5,FALSE),VLOOKUP($M8,TT_Tabelle_Riferimento!$H$31:$I$50,2,FALSE))</f>
        <v>40</v>
      </c>
      <c r="DI8" s="625">
        <f>+IFERROR(VLOOKUP(DI$6&amp;"-"&amp;$M8&amp;"_old",Ammortamento_Finanziario!$H:$L,5,FALSE),VLOOKUP($M8,TT_Tabelle_Riferimento!$H$31:$I$50,2,FALSE))</f>
        <v>40</v>
      </c>
      <c r="DJ8" s="625">
        <f>+IFERROR(VLOOKUP(DJ$6&amp;"-"&amp;$M8&amp;"_old",Ammortamento_Finanziario!$H:$L,5,FALSE),VLOOKUP($M8,TT_Tabelle_Riferimento!$H$31:$I$50,2,FALSE))</f>
        <v>40</v>
      </c>
      <c r="DK8" s="625">
        <f>+IFERROR(VLOOKUP(DK$6&amp;"-"&amp;$M8&amp;"_old",Ammortamento_Finanziario!$H:$L,5,FALSE),VLOOKUP($M8,TT_Tabelle_Riferimento!$H$31:$I$50,2,FALSE))</f>
        <v>40</v>
      </c>
      <c r="DL8" s="625">
        <f>+IFERROR(VLOOKUP(DL$6&amp;"-"&amp;$M8&amp;"_old",Ammortamento_Finanziario!$H:$L,5,FALSE),VLOOKUP($M8,TT_Tabelle_Riferimento!$H$31:$I$50,2,FALSE))</f>
        <v>40</v>
      </c>
      <c r="DM8" s="625">
        <f>+IFERROR(VLOOKUP(DM$6&amp;"-"&amp;$M8&amp;"_old",Ammortamento_Finanziario!$H:$L,5,FALSE),VLOOKUP($M8,TT_Tabelle_Riferimento!$H$31:$I$50,2,FALSE))</f>
        <v>40</v>
      </c>
      <c r="DN8" s="625">
        <f>+IFERROR(VLOOKUP(DN$6&amp;"-"&amp;$M8&amp;"_old",Ammortamento_Finanziario!$H:$L,5,FALSE),VLOOKUP($M8,TT_Tabelle_Riferimento!$H$31:$I$50,2,FALSE))</f>
        <v>40</v>
      </c>
      <c r="DO8" s="625">
        <f>+IFERROR(VLOOKUP(DO$6&amp;"-"&amp;$M8&amp;"_old",Ammortamento_Finanziario!$H:$L,5,FALSE),VLOOKUP($M8,TT_Tabelle_Riferimento!$H$31:$I$50,2,FALSE))</f>
        <v>40</v>
      </c>
      <c r="DP8" s="636">
        <f>+IFERROR(VLOOKUP(DP$6&amp;"-"&amp;$M8&amp;"_old",Ammortamento_Finanziario!$H:$L,5,FALSE),VLOOKUP($M8,TT_Tabelle_Riferimento!$H$31:$I$50,2,FALSE))</f>
        <v>40</v>
      </c>
      <c r="DQ8" s="636">
        <f>+IFERROR(VLOOKUP(DQ$6&amp;"-"&amp;$M8&amp;"_old",Ammortamento_Finanziario!$H:$L,5,FALSE),VLOOKUP($M8,TT_Tabelle_Riferimento!$H$31:$I$50,2,FALSE))</f>
        <v>40</v>
      </c>
      <c r="DR8" s="636">
        <f>+IFERROR(VLOOKUP(DR$6&amp;"-"&amp;$M8&amp;"_old",Ammortamento_Finanziario!$H:$L,5,FALSE),VLOOKUP($M8,TT_Tabelle_Riferimento!$H$31:$I$50,2,FALSE))</f>
        <v>40</v>
      </c>
      <c r="DS8" s="636">
        <f>+IFERROR(VLOOKUP(DS$6&amp;"-"&amp;$M8&amp;"_old",Ammortamento_Finanziario!$H:$L,5,FALSE),VLOOKUP($M8,TT_Tabelle_Riferimento!$H$31:$I$50,2,FALSE))</f>
        <v>40</v>
      </c>
      <c r="DT8" s="636">
        <f>+IFERROR(VLOOKUP(DT$6&amp;"-"&amp;$M8&amp;"_old",Ammortamento_Finanziario!$H:$L,5,FALSE),VLOOKUP($M8,TT_Tabelle_Riferimento!$H$31:$I$50,2,FALSE))</f>
        <v>40</v>
      </c>
      <c r="DU8" s="636">
        <f>+IFERROR(VLOOKUP(DU$6&amp;"-"&amp;$M8&amp;"_old",Ammortamento_Finanziario!$H:$L,5,FALSE),VLOOKUP($M8,TT_Tabelle_Riferimento!$H$31:$I$50,2,FALSE))</f>
        <v>40</v>
      </c>
      <c r="DV8" s="1742">
        <f>+IFERROR(VLOOKUP(DV$6&amp;"-"&amp;$M8&amp;"_old",Ammortamento_Finanziario!$H:$L,5,FALSE),VLOOKUP($M8,TT_Tabelle_Riferimento!$H$31:$I$50,2,FALSE))</f>
        <v>40</v>
      </c>
      <c r="DW8" s="1742">
        <f>+IFERROR(VLOOKUP(DW$6&amp;"-"&amp;$M8&amp;"_old",Ammortamento_Finanziario!$H:$L,5,FALSE),VLOOKUP($M8,TT_Tabelle_Riferimento!$H$31:$I$50,2,FALSE))</f>
        <v>40</v>
      </c>
      <c r="DX8" s="1750">
        <f>+IFERROR(VLOOKUP(DX$6&amp;"-"&amp;$M8&amp;"_old",Ammortamento_Finanziario!$H:$L,5,FALSE),VLOOKUP($M8,TT_Tabelle_Riferimento!$H$31:$I$50,2,FALSE))</f>
        <v>40</v>
      </c>
      <c r="DY8" s="1750">
        <f>+IFERROR(VLOOKUP(DY$6&amp;"-"&amp;$M8&amp;"_old",Ammortamento_Finanziario!$H:$L,5,FALSE),VLOOKUP($M8,TT_Tabelle_Riferimento!$H$31:$I$50,2,FALSE))</f>
        <v>40</v>
      </c>
      <c r="DZ8" s="1750">
        <f>+IFERROR(VLOOKUP(DZ$6&amp;"-"&amp;$M8&amp;"_old",Ammortamento_Finanziario!$H:$L,5,FALSE),VLOOKUP($M8,TT_Tabelle_Riferimento!$H$31:$I$50,2,FALSE))</f>
        <v>40</v>
      </c>
      <c r="EA8" s="1750">
        <f>+IFERROR(VLOOKUP(EA$6&amp;"-"&amp;$M8&amp;"_old",Ammortamento_Finanziario!$H:$L,5,FALSE),VLOOKUP($M8,TT_Tabelle_Riferimento!$H$31:$I$50,2,FALSE))</f>
        <v>40</v>
      </c>
      <c r="EB8" s="1750">
        <f>+IFERROR(VLOOKUP(EB$6&amp;"-"&amp;$M8&amp;"_old",Ammortamento_Finanziario!$H:$L,5,FALSE),VLOOKUP($M8,TT_Tabelle_Riferimento!$H$31:$I$50,2,FALSE))</f>
        <v>40</v>
      </c>
      <c r="EC8" s="1750">
        <f>+IFERROR(VLOOKUP(EC$6&amp;"-"&amp;$M8&amp;"_old",Ammortamento_Finanziario!$H:$L,5,FALSE),VLOOKUP($M8,TT_Tabelle_Riferimento!$H$31:$I$50,2,FALSE))</f>
        <v>40</v>
      </c>
      <c r="ED8" s="636">
        <f>+IFERROR(VLOOKUP(ED$6&amp;"-"&amp;$M8&amp;"_old",Ammortamento_Finanziario!$H:$L,5,FALSE),VLOOKUP($M8,TT_Tabelle_Riferimento!$H$31:$I$50,2,FALSE))</f>
        <v>40</v>
      </c>
      <c r="EE8" s="636">
        <f>+IFERROR(VLOOKUP(EE$6&amp;"-"&amp;$M8&amp;"_old",Ammortamento_Finanziario!$H:$L,5,FALSE),VLOOKUP($M8,TT_Tabelle_Riferimento!$H$31:$I$50,2,FALSE))</f>
        <v>40</v>
      </c>
      <c r="EF8" s="636">
        <f>+IFERROR(VLOOKUP(EF$6&amp;"-"&amp;$M8&amp;"_old",Ammortamento_Finanziario!$H:$L,5,FALSE),VLOOKUP($M8,TT_Tabelle_Riferimento!$H$31:$I$50,2,FALSE))</f>
        <v>40</v>
      </c>
      <c r="EG8" s="636">
        <f>+IFERROR(VLOOKUP(EG$6&amp;"-"&amp;$M8&amp;"_old",Ammortamento_Finanziario!$H:$L,5,FALSE),VLOOKUP($M8,TT_Tabelle_Riferimento!$H$31:$I$50,2,FALSE))</f>
        <v>40</v>
      </c>
      <c r="EH8" s="636">
        <f>+IFERROR(VLOOKUP(EH$6&amp;"-"&amp;$M8&amp;"_old",Ammortamento_Finanziario!$H:$L,5,FALSE),VLOOKUP($M8,TT_Tabelle_Riferimento!$H$31:$I$50,2,FALSE))</f>
        <v>40</v>
      </c>
      <c r="EI8" s="636">
        <f>+IFERROR(VLOOKUP(EI$6&amp;"-"&amp;$M8&amp;"_old",Ammortamento_Finanziario!$H:$L,5,FALSE),VLOOKUP($M8,TT_Tabelle_Riferimento!$H$31:$I$50,2,FALSE))</f>
        <v>40</v>
      </c>
      <c r="EJ8" s="636">
        <f>+IFERROR(VLOOKUP(EJ$6&amp;"-"&amp;$M8&amp;"_old",Ammortamento_Finanziario!$H:$L,5,FALSE),VLOOKUP($M8,TT_Tabelle_Riferimento!$H$31:$I$50,2,FALSE))</f>
        <v>40</v>
      </c>
      <c r="EK8" s="636">
        <f>+IFERROR(VLOOKUP(EK$6&amp;"-"&amp;$M8&amp;"_old",Ammortamento_Finanziario!$H:$L,5,FALSE),VLOOKUP($M8,TT_Tabelle_Riferimento!$H$31:$I$50,2,FALSE))</f>
        <v>40</v>
      </c>
      <c r="EL8" s="636">
        <f>+IFERROR(VLOOKUP(EL$6&amp;"-"&amp;$M8&amp;"_old",Ammortamento_Finanziario!$H:$L,5,FALSE),VLOOKUP($M8,TT_Tabelle_Riferimento!$H$31:$I$50,2,FALSE))</f>
        <v>40</v>
      </c>
      <c r="EM8" s="636">
        <f>+IFERROR(VLOOKUP(EM$6&amp;"-"&amp;$M8&amp;"_old",Ammortamento_Finanziario!$H:$L,5,FALSE),VLOOKUP($M8,TT_Tabelle_Riferimento!$H$31:$I$50,2,FALSE))</f>
        <v>40</v>
      </c>
      <c r="EN8" s="636">
        <f>+IFERROR(VLOOKUP(EN$6&amp;"-"&amp;$M8&amp;"_old",Ammortamento_Finanziario!$H:$L,5,FALSE),VLOOKUP($M8,TT_Tabelle_Riferimento!$H$31:$I$50,2,FALSE))</f>
        <v>40</v>
      </c>
      <c r="EO8" s="636">
        <f>+IFERROR(VLOOKUP(EO$6&amp;"-"&amp;$M8&amp;"_old",Ammortamento_Finanziario!$H:$L,5,FALSE),VLOOKUP($M8,TT_Tabelle_Riferimento!$H$31:$I$50,2,FALSE))</f>
        <v>40</v>
      </c>
      <c r="EP8" s="636">
        <f>+IFERROR(VLOOKUP(EP$6&amp;"-"&amp;$M8&amp;"_old",Ammortamento_Finanziario!$H:$L,5,FALSE),VLOOKUP($M8,TT_Tabelle_Riferimento!$H$31:$I$50,2,FALSE))</f>
        <v>40</v>
      </c>
      <c r="EQ8" s="636">
        <f>+IFERROR(VLOOKUP(EQ$6&amp;"-"&amp;$M8&amp;"_old",Ammortamento_Finanziario!$H:$L,5,FALSE),VLOOKUP($M8,TT_Tabelle_Riferimento!$H$31:$I$50,2,FALSE))</f>
        <v>40</v>
      </c>
      <c r="ER8" s="636">
        <f>+IFERROR(VLOOKUP(ER$6&amp;"-"&amp;$M8&amp;"_old",Ammortamento_Finanziario!$H:$L,5,FALSE),VLOOKUP($M8,TT_Tabelle_Riferimento!$H$31:$I$50,2,FALSE))</f>
        <v>40</v>
      </c>
      <c r="ES8" s="636">
        <f>+IFERROR(VLOOKUP(ES$6&amp;"-"&amp;$M8&amp;"_old",Ammortamento_Finanziario!$H:$L,5,FALSE),VLOOKUP($M8,TT_Tabelle_Riferimento!$H$31:$I$50,2,FALSE))</f>
        <v>40</v>
      </c>
      <c r="ET8" s="636">
        <f>+IFERROR(VLOOKUP(ET$6&amp;"-"&amp;$M8&amp;"_old",Ammortamento_Finanziario!$H:$L,5,FALSE),VLOOKUP($M8,TT_Tabelle_Riferimento!$H$31:$I$50,2,FALSE))</f>
        <v>40</v>
      </c>
      <c r="EU8" s="636">
        <f>+IFERROR(VLOOKUP(EU$6&amp;"-"&amp;$M8&amp;"_old",Ammortamento_Finanziario!$H:$L,5,FALSE),VLOOKUP($M8,TT_Tabelle_Riferimento!$H$31:$I$50,2,FALSE))</f>
        <v>40</v>
      </c>
      <c r="EV8" s="636">
        <f>+IFERROR(VLOOKUP(EV$6&amp;"-"&amp;$M8&amp;"_old",Ammortamento_Finanziario!$H:$L,5,FALSE),VLOOKUP($M8,TT_Tabelle_Riferimento!$H$31:$I$50,2,FALSE))</f>
        <v>40</v>
      </c>
      <c r="EW8" s="1048">
        <f>+IFERROR(VLOOKUP(EW$6&amp;"-"&amp;$M8&amp;"_old",Ammortamento_Finanziario!$H:$L,5,FALSE),VLOOKUP($M8,TT_Tabelle_Riferimento!$H$31:$I$50,2,FALSE))</f>
        <v>40</v>
      </c>
      <c r="EX8" s="1048">
        <f>+IFERROR(VLOOKUP(EX$6&amp;"-"&amp;$M8&amp;"_old",Ammortamento_Finanziario!$H:$L,5,FALSE),VLOOKUP($M8,TT_Tabelle_Riferimento!$H$31:$I$50,2,FALSE))</f>
        <v>40</v>
      </c>
      <c r="EY8" s="1048">
        <f>+IFERROR(VLOOKUP(EY$6&amp;"-"&amp;$M8&amp;"_old",Ammortamento_Finanziario!$H:$L,5,FALSE),VLOOKUP($M8,TT_Tabelle_Riferimento!$H$31:$I$50,2,FALSE))</f>
        <v>40</v>
      </c>
      <c r="EZ8" s="1048">
        <f>+IFERROR(VLOOKUP(EZ$6&amp;"-"&amp;$M8&amp;"_old",Ammortamento_Finanziario!$H:$L,5,FALSE),VLOOKUP($M8,TT_Tabelle_Riferimento!$H$31:$I$50,2,FALSE))</f>
        <v>40</v>
      </c>
      <c r="FA8" s="1048">
        <f>+IFERROR(VLOOKUP(FA$6&amp;"-"&amp;$M8&amp;"_old",Ammortamento_Finanziario!$H:$L,5,FALSE),VLOOKUP($M8,TT_Tabelle_Riferimento!$H$31:$I$50,2,FALSE))</f>
        <v>40</v>
      </c>
      <c r="FB8" s="1743">
        <f>+IFERROR(VLOOKUP(FB$6&amp;"-"&amp;$M8&amp;"_old",Ammortamento_Finanziario!$H:$L,5,FALSE),VLOOKUP($M8,TT_Tabelle_Riferimento!$H$31:$I$50,2,FALSE))</f>
        <v>40</v>
      </c>
      <c r="FC8" s="1743">
        <f>+IFERROR(VLOOKUP(FC$6&amp;"-"&amp;$M8&amp;"_old",Ammortamento_Finanziario!$H:$L,5,FALSE),VLOOKUP($M8,TT_Tabelle_Riferimento!$H$31:$I$50,2,FALSE))</f>
        <v>40</v>
      </c>
      <c r="FD8" s="1751">
        <f>+IFERROR(VLOOKUP(FD$6&amp;"-"&amp;$M8&amp;"_old",Ammortamento_Finanziario!$H:$L,5,FALSE),VLOOKUP($M8,TT_Tabelle_Riferimento!$H$31:$I$50,2,FALSE))</f>
        <v>40</v>
      </c>
      <c r="FE8" s="1751">
        <f>+IFERROR(VLOOKUP(FE$6&amp;"-"&amp;$M8&amp;"_old",Ammortamento_Finanziario!$H:$L,5,FALSE),VLOOKUP($M8,TT_Tabelle_Riferimento!$H$31:$I$50,2,FALSE))</f>
        <v>40</v>
      </c>
      <c r="FF8" s="1751">
        <f>+IFERROR(VLOOKUP(FF$6&amp;"-"&amp;$M8&amp;"_old",Ammortamento_Finanziario!$H:$L,5,FALSE),VLOOKUP($M8,TT_Tabelle_Riferimento!$H$31:$I$50,2,FALSE))</f>
        <v>40</v>
      </c>
      <c r="FG8" s="1751">
        <f>+IFERROR(VLOOKUP(FG$6&amp;"-"&amp;$M8&amp;"_old",Ammortamento_Finanziario!$H:$L,5,FALSE),VLOOKUP($M8,TT_Tabelle_Riferimento!$H$31:$I$50,2,FALSE))</f>
        <v>40</v>
      </c>
      <c r="FH8" s="1751">
        <f>+IFERROR(VLOOKUP(FH$6&amp;"-"&amp;$M8&amp;"_old",Ammortamento_Finanziario!$H:$L,5,FALSE),VLOOKUP($M8,TT_Tabelle_Riferimento!$H$31:$I$50,2,FALSE))</f>
        <v>40</v>
      </c>
      <c r="FI8" s="1751">
        <f>+IFERROR(VLOOKUP(FI$6&amp;"-"&amp;$M8&amp;"_old",Ammortamento_Finanziario!$H:$L,5,FALSE),VLOOKUP($M8,TT_Tabelle_Riferimento!$H$31:$I$50,2,FALSE))</f>
        <v>40</v>
      </c>
      <c r="FJ8" s="629">
        <f>+IFERROR(VLOOKUP(FJ$6&amp;"-"&amp;$M8&amp;"_old",Ammortamento_Finanziario!$H:$L,5,FALSE),VLOOKUP($M8,TT_Tabelle_Riferimento!$H$31:$I$50,2,FALSE))</f>
        <v>40</v>
      </c>
      <c r="FK8" s="629">
        <f>+IFERROR(VLOOKUP(FK$6&amp;"-"&amp;$M8&amp;"_old",Ammortamento_Finanziario!$H:$L,5,FALSE),VLOOKUP($M8,TT_Tabelle_Riferimento!$H$31:$I$50,2,FALSE))</f>
        <v>40</v>
      </c>
      <c r="FL8" s="629">
        <f>+IFERROR(VLOOKUP(FL$6&amp;"-"&amp;$M8&amp;"_old",Ammortamento_Finanziario!$H:$L,5,FALSE),VLOOKUP($M8,TT_Tabelle_Riferimento!$H$31:$I$50,2,FALSE))</f>
        <v>40</v>
      </c>
      <c r="FM8" s="629">
        <f>+IFERROR(VLOOKUP(FM$6&amp;"-"&amp;$M8&amp;"_old",Ammortamento_Finanziario!$H:$L,5,FALSE),VLOOKUP($M8,TT_Tabelle_Riferimento!$H$31:$I$50,2,FALSE))</f>
        <v>40</v>
      </c>
      <c r="FN8" s="629">
        <f>+IFERROR(VLOOKUP(FN$6&amp;"-"&amp;$M8&amp;"_old",Ammortamento_Finanziario!$H:$L,5,FALSE),VLOOKUP($M8,TT_Tabelle_Riferimento!$H$31:$I$50,2,FALSE))</f>
        <v>40</v>
      </c>
      <c r="FO8" s="629">
        <f>+IFERROR(VLOOKUP(FO$6&amp;"-"&amp;$M8&amp;"_old",Ammortamento_Finanziario!$H:$L,5,FALSE),VLOOKUP($M8,TT_Tabelle_Riferimento!$H$31:$I$50,2,FALSE))</f>
        <v>40</v>
      </c>
      <c r="FP8" s="629">
        <f>+IFERROR(VLOOKUP(FP$6&amp;"-"&amp;$M8&amp;"_old",Ammortamento_Finanziario!$H:$L,5,FALSE),VLOOKUP($M8,TT_Tabelle_Riferimento!$H$31:$I$50,2,FALSE))</f>
        <v>40</v>
      </c>
      <c r="FQ8" s="629">
        <f>+IFERROR(VLOOKUP(FQ$6&amp;"-"&amp;$M8&amp;"_old",Ammortamento_Finanziario!$H:$L,5,FALSE),VLOOKUP($M8,TT_Tabelle_Riferimento!$H$31:$I$50,2,FALSE))</f>
        <v>40</v>
      </c>
      <c r="FR8" s="629">
        <f>+IFERROR(VLOOKUP(FR$6&amp;"-"&amp;$M8&amp;"_old",Ammortamento_Finanziario!$H:$L,5,FALSE),VLOOKUP($M8,TT_Tabelle_Riferimento!$H$31:$I$50,2,FALSE))</f>
        <v>40</v>
      </c>
      <c r="FS8" s="629">
        <f>+IFERROR(VLOOKUP(FS$6&amp;"-"&amp;$M8&amp;"_old",Ammortamento_Finanziario!$H:$L,5,FALSE),VLOOKUP($M8,TT_Tabelle_Riferimento!$H$31:$I$50,2,FALSE))</f>
        <v>40</v>
      </c>
      <c r="FT8" s="629">
        <f>+IFERROR(VLOOKUP(FT$6&amp;"-"&amp;$M8&amp;"_old",Ammortamento_Finanziario!$H:$L,5,FALSE),VLOOKUP($M8,TT_Tabelle_Riferimento!$H$31:$I$50,2,FALSE))</f>
        <v>40</v>
      </c>
      <c r="FU8" s="629">
        <f>+IFERROR(VLOOKUP(FU$6&amp;"-"&amp;$M8&amp;"_old",Ammortamento_Finanziario!$H:$L,5,FALSE),VLOOKUP($M8,TT_Tabelle_Riferimento!$H$31:$I$50,2,FALSE))</f>
        <v>40</v>
      </c>
      <c r="FV8" s="629">
        <f>+IFERROR(VLOOKUP(FV$6&amp;"-"&amp;$M8&amp;"_old",Ammortamento_Finanziario!$H:$L,5,FALSE),VLOOKUP($M8,TT_Tabelle_Riferimento!$H$31:$I$50,2,FALSE))</f>
        <v>40</v>
      </c>
      <c r="FW8" s="629">
        <f>+IFERROR(VLOOKUP(FW$6&amp;"-"&amp;$M8&amp;"_old",Ammortamento_Finanziario!$H:$L,5,FALSE),VLOOKUP($M8,TT_Tabelle_Riferimento!$H$31:$I$50,2,FALSE))</f>
        <v>40</v>
      </c>
      <c r="FX8" s="629">
        <f>+IFERROR(VLOOKUP(FX$6&amp;"-"&amp;$M8&amp;"_old",Ammortamento_Finanziario!$H:$L,5,FALSE),VLOOKUP($M8,TT_Tabelle_Riferimento!$H$31:$I$50,2,FALSE))</f>
        <v>40</v>
      </c>
      <c r="FY8" s="629">
        <f>+IFERROR(VLOOKUP(FY$6&amp;"-"&amp;$M8&amp;"_old",Ammortamento_Finanziario!$H:$L,5,FALSE),VLOOKUP($M8,TT_Tabelle_Riferimento!$H$31:$I$50,2,FALSE))</f>
        <v>40</v>
      </c>
      <c r="FZ8" s="629">
        <f>+IFERROR(VLOOKUP(FZ$6&amp;"-"&amp;$M8&amp;"_old",Ammortamento_Finanziario!$H:$L,5,FALSE),VLOOKUP($M8,TT_Tabelle_Riferimento!$H$31:$I$50,2,FALSE))</f>
        <v>40</v>
      </c>
      <c r="GA8" s="629">
        <f>+IFERROR(VLOOKUP(GA$6&amp;"-"&amp;$M8&amp;"_old",Ammortamento_Finanziario!$H:$L,5,FALSE),VLOOKUP($M8,TT_Tabelle_Riferimento!$H$31:$I$50,2,FALSE))</f>
        <v>40</v>
      </c>
      <c r="GB8" s="629">
        <f>+IFERROR(VLOOKUP(GB$6&amp;"-"&amp;$M8&amp;"_old",Ammortamento_Finanziario!$H:$L,5,FALSE),VLOOKUP($M8,TT_Tabelle_Riferimento!$H$31:$I$50,2,FALSE))</f>
        <v>40</v>
      </c>
      <c r="GC8" s="635">
        <f>+IFERROR(VLOOKUP(GC$6&amp;"-"&amp;$M8&amp;"_old",Ammortamento_Finanziario!$H:$L,5,FALSE),VLOOKUP($M8,TT_Tabelle_Riferimento!$H$31:$I$50,2,FALSE))</f>
        <v>40</v>
      </c>
      <c r="GD8" s="635">
        <f>+IFERROR(VLOOKUP(GD$6&amp;"-"&amp;$M8&amp;"_old",Ammortamento_Finanziario!$H:$L,5,FALSE),VLOOKUP($M8,TT_Tabelle_Riferimento!$H$31:$I$50,2,FALSE))</f>
        <v>40</v>
      </c>
      <c r="GE8" s="635">
        <f>+IFERROR(VLOOKUP(GE$6&amp;"-"&amp;$M8&amp;"_old",Ammortamento_Finanziario!$H:$L,5,FALSE),VLOOKUP($M8,TT_Tabelle_Riferimento!$H$31:$I$50,2,FALSE))</f>
        <v>40</v>
      </c>
      <c r="GF8" s="635">
        <f>+IFERROR(VLOOKUP(GF$6&amp;"-"&amp;$M8&amp;"_old",Ammortamento_Finanziario!$H:$L,5,FALSE),VLOOKUP($M8,TT_Tabelle_Riferimento!$H$31:$I$50,2,FALSE))</f>
        <v>40</v>
      </c>
      <c r="GG8" s="1744">
        <f>+IFERROR(VLOOKUP(GG$6&amp;"-"&amp;$M8&amp;"_old",Ammortamento_Finanziario!$H:$L,5,FALSE),VLOOKUP($M8,TT_Tabelle_Riferimento!$H$31:$I$50,2,FALSE))</f>
        <v>40</v>
      </c>
      <c r="GH8" s="1744">
        <f>+IFERROR(VLOOKUP(GH$6&amp;"-"&amp;$M8&amp;"_old",Ammortamento_Finanziario!$H:$L,5,FALSE),VLOOKUP($M8,TT_Tabelle_Riferimento!$H$31:$I$50,2,FALSE))</f>
        <v>40</v>
      </c>
      <c r="GI8" s="1752">
        <f>+IFERROR(VLOOKUP(GI$6&amp;"-"&amp;$M8&amp;"_old",Ammortamento_Finanziario!$H:$L,5,FALSE),VLOOKUP($M8,TT_Tabelle_Riferimento!$H$31:$I$50,2,FALSE))</f>
        <v>40</v>
      </c>
      <c r="GJ8" s="1752">
        <f>+IFERROR(VLOOKUP(GJ$6&amp;"-"&amp;$M8&amp;"_old",Ammortamento_Finanziario!$H:$L,5,FALSE),VLOOKUP($M8,TT_Tabelle_Riferimento!$H$31:$I$50,2,FALSE))</f>
        <v>40</v>
      </c>
      <c r="GK8" s="1752">
        <f>+IFERROR(VLOOKUP(GK$6&amp;"-"&amp;$M8&amp;"_old",Ammortamento_Finanziario!$H:$L,5,FALSE),VLOOKUP($M8,TT_Tabelle_Riferimento!$H$31:$I$50,2,FALSE))</f>
        <v>40</v>
      </c>
      <c r="GL8" s="1752">
        <f>+IFERROR(VLOOKUP(GL$6&amp;"-"&amp;$M8&amp;"_old",Ammortamento_Finanziario!$H:$L,5,FALSE),VLOOKUP($M8,TT_Tabelle_Riferimento!$H$31:$I$50,2,FALSE))</f>
        <v>40</v>
      </c>
      <c r="GM8" s="1752">
        <f>+IFERROR(VLOOKUP(GM$6&amp;"-"&amp;$M8&amp;"_old",Ammortamento_Finanziario!$H:$L,5,FALSE),VLOOKUP($M8,TT_Tabelle_Riferimento!$H$31:$I$50,2,FALSE))</f>
        <v>40</v>
      </c>
      <c r="GN8" s="1752">
        <f>+IFERROR(VLOOKUP(GN$6&amp;"-"&amp;$M8&amp;"_old",Ammortamento_Finanziario!$H:$L,5,FALSE),VLOOKUP($M8,TT_Tabelle_Riferimento!$H$31:$I$50,2,FALSE))</f>
        <v>40</v>
      </c>
      <c r="GO8" s="628">
        <f>+IFERROR(VLOOKUP(GO$6&amp;"-"&amp;$M8&amp;"_old",Ammortamento_Finanziario!$H:$L,5,FALSE),VLOOKUP($M8,TT_Tabelle_Riferimento!$H$31:$I$50,2,FALSE))</f>
        <v>40</v>
      </c>
      <c r="GP8" s="628">
        <f>+IFERROR(VLOOKUP(GP$6&amp;"-"&amp;$M8&amp;"_old",Ammortamento_Finanziario!$H:$L,5,FALSE),VLOOKUP($M8,TT_Tabelle_Riferimento!$H$31:$I$50,2,FALSE))</f>
        <v>40</v>
      </c>
      <c r="GQ8" s="628">
        <f>+IFERROR(VLOOKUP(GQ$6&amp;"-"&amp;$M8&amp;"_old",Ammortamento_Finanziario!$H:$L,5,FALSE),VLOOKUP($M8,TT_Tabelle_Riferimento!$H$31:$I$50,2,FALSE))</f>
        <v>40</v>
      </c>
      <c r="GR8" s="628">
        <f>+IFERROR(VLOOKUP(GR$6&amp;"-"&amp;$M8&amp;"_old",Ammortamento_Finanziario!$H:$L,5,FALSE),VLOOKUP($M8,TT_Tabelle_Riferimento!$H$31:$I$50,2,FALSE))</f>
        <v>40</v>
      </c>
      <c r="GS8" s="628">
        <f>+IFERROR(VLOOKUP(GS$6&amp;"-"&amp;$M8&amp;"_old",Ammortamento_Finanziario!$H:$L,5,FALSE),VLOOKUP($M8,TT_Tabelle_Riferimento!$H$31:$I$50,2,FALSE))</f>
        <v>40</v>
      </c>
      <c r="GT8" s="628">
        <f>+IFERROR(VLOOKUP(GT$6&amp;"-"&amp;$M8&amp;"_old",Ammortamento_Finanziario!$H:$L,5,FALSE),VLOOKUP($M8,TT_Tabelle_Riferimento!$H$31:$I$50,2,FALSE))</f>
        <v>40</v>
      </c>
      <c r="GU8" s="628">
        <f>+IFERROR(VLOOKUP(GU$6&amp;"-"&amp;$M8&amp;"_old",Ammortamento_Finanziario!$H:$L,5,FALSE),VLOOKUP($M8,TT_Tabelle_Riferimento!$H$31:$I$50,2,FALSE))</f>
        <v>40</v>
      </c>
      <c r="GV8" s="628">
        <f>+IFERROR(VLOOKUP(GV$6&amp;"-"&amp;$M8&amp;"_old",Ammortamento_Finanziario!$H:$L,5,FALSE),VLOOKUP($M8,TT_Tabelle_Riferimento!$H$31:$I$50,2,FALSE))</f>
        <v>40</v>
      </c>
      <c r="GW8" s="628">
        <f>+IFERROR(VLOOKUP(GW$6&amp;"-"&amp;$M8&amp;"_old",Ammortamento_Finanziario!$H:$L,5,FALSE),VLOOKUP($M8,TT_Tabelle_Riferimento!$H$31:$I$50,2,FALSE))</f>
        <v>40</v>
      </c>
      <c r="GX8" s="628">
        <f>+IFERROR(VLOOKUP(GX$6&amp;"-"&amp;$M8&amp;"_old",Ammortamento_Finanziario!$H:$L,5,FALSE),VLOOKUP($M8,TT_Tabelle_Riferimento!$H$31:$I$50,2,FALSE))</f>
        <v>40</v>
      </c>
      <c r="GY8" s="628">
        <f>+IFERROR(VLOOKUP(GY$6&amp;"-"&amp;$M8&amp;"_old",Ammortamento_Finanziario!$H:$L,5,FALSE),VLOOKUP($M8,TT_Tabelle_Riferimento!$H$31:$I$50,2,FALSE))</f>
        <v>40</v>
      </c>
      <c r="GZ8" s="628">
        <f>+IFERROR(VLOOKUP(GZ$6&amp;"-"&amp;$M8&amp;"_old",Ammortamento_Finanziario!$H:$L,5,FALSE),VLOOKUP($M8,TT_Tabelle_Riferimento!$H$31:$I$50,2,FALSE))</f>
        <v>40</v>
      </c>
      <c r="HA8" s="628">
        <f>+IFERROR(VLOOKUP(HA$6&amp;"-"&amp;$M8&amp;"_old",Ammortamento_Finanziario!$H:$L,5,FALSE),VLOOKUP($M8,TT_Tabelle_Riferimento!$H$31:$I$50,2,FALSE))</f>
        <v>40</v>
      </c>
      <c r="HB8" s="628">
        <f>+IFERROR(VLOOKUP(HB$6&amp;"-"&amp;$M8&amp;"_old",Ammortamento_Finanziario!$H:$L,5,FALSE),VLOOKUP($M8,TT_Tabelle_Riferimento!$H$31:$I$50,2,FALSE))</f>
        <v>40</v>
      </c>
      <c r="HC8" s="628">
        <f>+IFERROR(VLOOKUP(HC$6&amp;"-"&amp;$M8&amp;"_old",Ammortamento_Finanziario!$H:$L,5,FALSE),VLOOKUP($M8,TT_Tabelle_Riferimento!$H$31:$I$50,2,FALSE))</f>
        <v>40</v>
      </c>
      <c r="HD8" s="628">
        <f>+IFERROR(VLOOKUP(HD$6&amp;"-"&amp;$M8&amp;"_old",Ammortamento_Finanziario!$H:$L,5,FALSE),VLOOKUP($M8,TT_Tabelle_Riferimento!$H$31:$I$50,2,FALSE))</f>
        <v>40</v>
      </c>
      <c r="HE8" s="628">
        <f>+IFERROR(VLOOKUP(HE$6&amp;"-"&amp;$M8&amp;"_old",Ammortamento_Finanziario!$H:$L,5,FALSE),VLOOKUP($M8,TT_Tabelle_Riferimento!$H$31:$I$50,2,FALSE))</f>
        <v>40</v>
      </c>
      <c r="HF8" s="628">
        <f>+IFERROR(VLOOKUP(HF$6&amp;"-"&amp;$M8&amp;"_old",Ammortamento_Finanziario!$H:$L,5,FALSE),VLOOKUP($M8,TT_Tabelle_Riferimento!$H$31:$I$50,2,FALSE))</f>
        <v>40</v>
      </c>
      <c r="HG8" s="628">
        <f>+IFERROR(VLOOKUP(HG$6&amp;"-"&amp;$M8&amp;"_old",Ammortamento_Finanziario!$H:$L,5,FALSE),VLOOKUP($M8,TT_Tabelle_Riferimento!$H$31:$I$50,2,FALSE))</f>
        <v>40</v>
      </c>
      <c r="HH8" s="422">
        <f>+IFERROR(VLOOKUP(HH$6&amp;"-"&amp;$M8&amp;"_old",Ammortamento_Finanziario!$H:$L,5,FALSE),VLOOKUP($M8,TT_Tabelle_Riferimento!$H$31:$I$50,2,FALSE))</f>
        <v>40</v>
      </c>
      <c r="HI8" s="422">
        <f>+IFERROR(VLOOKUP(HI$6&amp;"-"&amp;$M8&amp;"_old",Ammortamento_Finanziario!$H:$L,5,FALSE),VLOOKUP($M8,TT_Tabelle_Riferimento!$H$31:$I$50,2,FALSE))</f>
        <v>40</v>
      </c>
      <c r="HJ8" s="422">
        <f>+IFERROR(VLOOKUP(HJ$6&amp;"-"&amp;$M8&amp;"_old",Ammortamento_Finanziario!$H:$L,5,FALSE),VLOOKUP($M8,TT_Tabelle_Riferimento!$H$31:$I$50,2,FALSE))</f>
        <v>40</v>
      </c>
      <c r="HK8" s="1746">
        <f>+IFERROR(VLOOKUP(HK$6&amp;"-"&amp;$M8&amp;"_old",Ammortamento_Finanziario!$H:$L,5,FALSE),VLOOKUP($M8,TT_Tabelle_Riferimento!$H$31:$I$50,2,FALSE))</f>
        <v>40</v>
      </c>
      <c r="HL8" s="1746">
        <f>+IFERROR(VLOOKUP(HL$6&amp;"-"&amp;$M8&amp;"_old",Ammortamento_Finanziario!$H:$L,5,FALSE),VLOOKUP($M8,TT_Tabelle_Riferimento!$H$31:$I$50,2,FALSE))</f>
        <v>40</v>
      </c>
      <c r="HM8" s="1753">
        <f>+IFERROR(VLOOKUP(HM$6&amp;"-"&amp;$M8&amp;"_old",Ammortamento_Finanziario!$H:$L,5,FALSE),VLOOKUP($M8,TT_Tabelle_Riferimento!$H$31:$I$50,2,FALSE))</f>
        <v>40</v>
      </c>
      <c r="HN8" s="1753">
        <f>+IFERROR(VLOOKUP(HN$6&amp;"-"&amp;$M8&amp;"_old",Ammortamento_Finanziario!$H:$L,5,FALSE),VLOOKUP($M8,TT_Tabelle_Riferimento!$H$31:$I$50,2,FALSE))</f>
        <v>40</v>
      </c>
      <c r="HO8" s="1753">
        <f>+IFERROR(VLOOKUP(HO$6&amp;"-"&amp;$M8&amp;"_old",Ammortamento_Finanziario!$H:$L,5,FALSE),VLOOKUP($M8,TT_Tabelle_Riferimento!$H$31:$I$50,2,FALSE))</f>
        <v>40</v>
      </c>
      <c r="HP8" s="1753">
        <f>+IFERROR(VLOOKUP(HP$6&amp;"-"&amp;$M8&amp;"_old",Ammortamento_Finanziario!$H:$L,5,FALSE),VLOOKUP($M8,TT_Tabelle_Riferimento!$H$31:$I$50,2,FALSE))</f>
        <v>40</v>
      </c>
      <c r="HQ8" s="1753">
        <f>+IFERROR(VLOOKUP(HQ$6&amp;"-"&amp;$M8&amp;"_old",Ammortamento_Finanziario!$H:$L,5,FALSE),VLOOKUP($M8,TT_Tabelle_Riferimento!$H$31:$I$50,2,FALSE))</f>
        <v>40</v>
      </c>
      <c r="HR8" s="1753">
        <f>+IFERROR(VLOOKUP(HR$6&amp;"-"&amp;$M8&amp;"_old",Ammortamento_Finanziario!$H:$L,5,FALSE),VLOOKUP($M8,TT_Tabelle_Riferimento!$H$31:$I$50,2,FALSE))</f>
        <v>40</v>
      </c>
      <c r="HS8" s="422">
        <f>+IFERROR(VLOOKUP(HS$6&amp;"-"&amp;$M8&amp;"_old",Ammortamento_Finanziario!$H:$L,5,FALSE),VLOOKUP($M8,TT_Tabelle_Riferimento!$H$31:$I$50,2,FALSE))</f>
        <v>40</v>
      </c>
      <c r="HT8" s="422">
        <f>+IFERROR(VLOOKUP(HT$6&amp;"-"&amp;$M8&amp;"_old",Ammortamento_Finanziario!$H:$L,5,FALSE),VLOOKUP($M8,TT_Tabelle_Riferimento!$H$31:$I$50,2,FALSE))</f>
        <v>40</v>
      </c>
      <c r="HU8" s="422">
        <f>+IFERROR(VLOOKUP(HU$6&amp;"-"&amp;$M8&amp;"_old",Ammortamento_Finanziario!$H:$L,5,FALSE),VLOOKUP($M8,TT_Tabelle_Riferimento!$H$31:$I$50,2,FALSE))</f>
        <v>40</v>
      </c>
      <c r="HV8" s="422">
        <f>+IFERROR(VLOOKUP(HV$6&amp;"-"&amp;$M8&amp;"_old",Ammortamento_Finanziario!$H:$L,5,FALSE),VLOOKUP($M8,TT_Tabelle_Riferimento!$H$31:$I$50,2,FALSE))</f>
        <v>40</v>
      </c>
      <c r="HW8" s="422">
        <f>+IFERROR(VLOOKUP(HW$6&amp;"-"&amp;$M8&amp;"_old",Ammortamento_Finanziario!$H:$L,5,FALSE),VLOOKUP($M8,TT_Tabelle_Riferimento!$H$31:$I$50,2,FALSE))</f>
        <v>40</v>
      </c>
      <c r="HX8" s="422">
        <f>+IFERROR(VLOOKUP(HX$6&amp;"-"&amp;$M8&amp;"_old",Ammortamento_Finanziario!$H:$L,5,FALSE),VLOOKUP($M8,TT_Tabelle_Riferimento!$H$31:$I$50,2,FALSE))</f>
        <v>40</v>
      </c>
      <c r="HY8" s="422">
        <f>+IFERROR(VLOOKUP(HY$6&amp;"-"&amp;$M8&amp;"_old",Ammortamento_Finanziario!$H:$L,5,FALSE),VLOOKUP($M8,TT_Tabelle_Riferimento!$H$31:$I$50,2,FALSE))</f>
        <v>40</v>
      </c>
      <c r="HZ8" s="422">
        <f>+IFERROR(VLOOKUP(HZ$6&amp;"-"&amp;$M8&amp;"_old",Ammortamento_Finanziario!$H:$L,5,FALSE),VLOOKUP($M8,TT_Tabelle_Riferimento!$H$31:$I$50,2,FALSE))</f>
        <v>40</v>
      </c>
      <c r="IA8" s="422">
        <f>+IFERROR(VLOOKUP(IA$6&amp;"-"&amp;$M8&amp;"_old",Ammortamento_Finanziario!$H:$L,5,FALSE),VLOOKUP($M8,TT_Tabelle_Riferimento!$H$31:$I$50,2,FALSE))</f>
        <v>40</v>
      </c>
      <c r="IB8" s="422">
        <f>+IFERROR(VLOOKUP(IB$6&amp;"-"&amp;$M8&amp;"_old",Ammortamento_Finanziario!$H:$L,5,FALSE),VLOOKUP($M8,TT_Tabelle_Riferimento!$H$31:$I$50,2,FALSE))</f>
        <v>40</v>
      </c>
      <c r="IC8" s="422">
        <f>+IFERROR(VLOOKUP(IC$6&amp;"-"&amp;$M8&amp;"_old",Ammortamento_Finanziario!$H:$L,5,FALSE),VLOOKUP($M8,TT_Tabelle_Riferimento!$H$31:$I$50,2,FALSE))</f>
        <v>40</v>
      </c>
      <c r="ID8" s="422">
        <f>+IFERROR(VLOOKUP(ID$6&amp;"-"&amp;$M8&amp;"_old",Ammortamento_Finanziario!$H:$L,5,FALSE),VLOOKUP($M8,TT_Tabelle_Riferimento!$H$31:$I$50,2,FALSE))</f>
        <v>40</v>
      </c>
      <c r="IE8" s="422">
        <f>+IFERROR(VLOOKUP(IE$6&amp;"-"&amp;$M8&amp;"_old",Ammortamento_Finanziario!$H:$L,5,FALSE),VLOOKUP($M8,TT_Tabelle_Riferimento!$H$31:$I$50,2,FALSE))</f>
        <v>40</v>
      </c>
      <c r="IF8" s="422">
        <f>+IFERROR(VLOOKUP(IF$6&amp;"-"&amp;$M8&amp;"_old",Ammortamento_Finanziario!$H:$L,5,FALSE),VLOOKUP($M8,TT_Tabelle_Riferimento!$H$31:$I$50,2,FALSE))</f>
        <v>40</v>
      </c>
      <c r="IG8" s="422">
        <f>+IFERROR(VLOOKUP(IG$6&amp;"-"&amp;$M8&amp;"_old",Ammortamento_Finanziario!$H:$L,5,FALSE),VLOOKUP($M8,TT_Tabelle_Riferimento!$H$31:$I$50,2,FALSE))</f>
        <v>40</v>
      </c>
      <c r="IH8" s="422">
        <f>+IFERROR(VLOOKUP(IH$6&amp;"-"&amp;$M8&amp;"_old",Ammortamento_Finanziario!$H:$L,5,FALSE),VLOOKUP($M8,TT_Tabelle_Riferimento!$H$31:$I$50,2,FALSE))</f>
        <v>40</v>
      </c>
      <c r="II8" s="422">
        <f>+IFERROR(VLOOKUP(II$6&amp;"-"&amp;$M8&amp;"_old",Ammortamento_Finanziario!$H:$L,5,FALSE),VLOOKUP($M8,TT_Tabelle_Riferimento!$H$31:$I$50,2,FALSE))</f>
        <v>40</v>
      </c>
      <c r="IJ8" s="422">
        <f>+IFERROR(VLOOKUP(IJ$6&amp;"-"&amp;$M8&amp;"_old",Ammortamento_Finanziario!$H:$L,5,FALSE),VLOOKUP($M8,TT_Tabelle_Riferimento!$H$31:$I$50,2,FALSE))</f>
        <v>40</v>
      </c>
      <c r="IK8" s="422">
        <f>+IFERROR(VLOOKUP(IK$6&amp;"-"&amp;$M8&amp;"_old",Ammortamento_Finanziario!$H:$L,5,FALSE),VLOOKUP($M8,TT_Tabelle_Riferimento!$H$31:$I$50,2,FALSE))</f>
        <v>40</v>
      </c>
      <c r="IL8" s="1077">
        <f>+IFERROR(VLOOKUP(IL$6&amp;"-"&amp;$M8&amp;"_old",Ammortamento_Finanziario!$H:$L,5,FALSE),VLOOKUP($M8,TT_Tabelle_Riferimento!$H$31:$I$50,2,FALSE))</f>
        <v>40</v>
      </c>
      <c r="IM8" s="1077">
        <f>+IFERROR(VLOOKUP(IM$6&amp;"-"&amp;$M8&amp;"_old",Ammortamento_Finanziario!$H:$L,5,FALSE),VLOOKUP($M8,TT_Tabelle_Riferimento!$H$31:$I$50,2,FALSE))</f>
        <v>40</v>
      </c>
      <c r="IN8" s="1747">
        <f>+IFERROR(VLOOKUP(IN$6&amp;"-"&amp;$M8&amp;"_old",Ammortamento_Finanziario!$H:$L,5,FALSE),VLOOKUP($M8,TT_Tabelle_Riferimento!$H$31:$I$50,2,FALSE))</f>
        <v>40</v>
      </c>
      <c r="IO8" s="1747">
        <f>+IFERROR(VLOOKUP(IO$6&amp;"-"&amp;$M8&amp;"_old",Ammortamento_Finanziario!$H:$L,5,FALSE),VLOOKUP($M8,TT_Tabelle_Riferimento!$H$31:$I$50,2,FALSE))</f>
        <v>40</v>
      </c>
      <c r="IP8" s="1754">
        <f>+IFERROR(VLOOKUP(IP$6&amp;"-"&amp;$M8&amp;"_old",Ammortamento_Finanziario!$H:$L,5,FALSE),VLOOKUP($M8,TT_Tabelle_Riferimento!$H$31:$I$50,2,FALSE))</f>
        <v>40</v>
      </c>
      <c r="IQ8" s="1754">
        <f>+IFERROR(VLOOKUP(IQ$6&amp;"-"&amp;$M8&amp;"_old",Ammortamento_Finanziario!$H:$L,5,FALSE),VLOOKUP($M8,TT_Tabelle_Riferimento!$H$31:$I$50,2,FALSE))</f>
        <v>40</v>
      </c>
      <c r="IR8" s="1754">
        <f>+IFERROR(VLOOKUP(IR$6&amp;"-"&amp;$M8&amp;"_old",Ammortamento_Finanziario!$H:$L,5,FALSE),VLOOKUP($M8,TT_Tabelle_Riferimento!$H$31:$I$50,2,FALSE))</f>
        <v>40</v>
      </c>
      <c r="IS8" s="1754">
        <f>+IFERROR(VLOOKUP(IS$6&amp;"-"&amp;$M8&amp;"_old",Ammortamento_Finanziario!$H:$L,5,FALSE),VLOOKUP($M8,TT_Tabelle_Riferimento!$H$31:$I$50,2,FALSE))</f>
        <v>40</v>
      </c>
      <c r="IT8" s="1754">
        <f>+IFERROR(VLOOKUP(IT$6&amp;"-"&amp;$M8&amp;"_old",Ammortamento_Finanziario!$H:$L,5,FALSE),VLOOKUP($M8,TT_Tabelle_Riferimento!$H$31:$I$50,2,FALSE))</f>
        <v>40</v>
      </c>
      <c r="IU8" s="1754">
        <f>+IFERROR(VLOOKUP(IU$6&amp;"-"&amp;$M8&amp;"_old",Ammortamento_Finanziario!$H:$L,5,FALSE),VLOOKUP($M8,TT_Tabelle_Riferimento!$H$31:$I$50,2,FALSE))</f>
        <v>40</v>
      </c>
      <c r="IV8" s="1077">
        <f>+IFERROR(VLOOKUP(IV$6&amp;"-"&amp;$M8&amp;"_old",Ammortamento_Finanziario!$H:$L,5,FALSE),VLOOKUP($M8,TT_Tabelle_Riferimento!$H$31:$I$50,2,FALSE))</f>
        <v>40</v>
      </c>
      <c r="IW8" s="1077">
        <f>+IFERROR(VLOOKUP(IW$6&amp;"-"&amp;$M8&amp;"_old",Ammortamento_Finanziario!$H:$L,5,FALSE),VLOOKUP($M8,TT_Tabelle_Riferimento!$H$31:$I$50,2,FALSE))</f>
        <v>40</v>
      </c>
      <c r="IX8" s="1077">
        <f>+IFERROR(VLOOKUP(IX$6&amp;"-"&amp;$M8&amp;"_old",Ammortamento_Finanziario!$H:$L,5,FALSE),VLOOKUP($M8,TT_Tabelle_Riferimento!$H$31:$I$50,2,FALSE))</f>
        <v>40</v>
      </c>
      <c r="IY8" s="1077">
        <f>+IFERROR(VLOOKUP(IY$6&amp;"-"&amp;$M8&amp;"_old",Ammortamento_Finanziario!$H:$L,5,FALSE),VLOOKUP($M8,TT_Tabelle_Riferimento!$H$31:$I$50,2,FALSE))</f>
        <v>40</v>
      </c>
      <c r="IZ8" s="1077">
        <f>+IFERROR(VLOOKUP(IZ$6&amp;"-"&amp;$M8&amp;"_old",Ammortamento_Finanziario!$H:$L,5,FALSE),VLOOKUP($M8,TT_Tabelle_Riferimento!$H$31:$I$50,2,FALSE))</f>
        <v>40</v>
      </c>
      <c r="JA8" s="1077">
        <f>+IFERROR(VLOOKUP(JA$6&amp;"-"&amp;$M8&amp;"_old",Ammortamento_Finanziario!$H:$L,5,FALSE),VLOOKUP($M8,TT_Tabelle_Riferimento!$H$31:$I$50,2,FALSE))</f>
        <v>40</v>
      </c>
      <c r="JB8" s="1077">
        <f>+IFERROR(VLOOKUP(JB$6&amp;"-"&amp;$M8&amp;"_old",Ammortamento_Finanziario!$H:$L,5,FALSE),VLOOKUP($M8,TT_Tabelle_Riferimento!$H$31:$I$50,2,FALSE))</f>
        <v>40</v>
      </c>
      <c r="JC8" s="1077">
        <f>+IFERROR(VLOOKUP(JC$6&amp;"-"&amp;$M8&amp;"_old",Ammortamento_Finanziario!$H:$L,5,FALSE),VLOOKUP($M8,TT_Tabelle_Riferimento!$H$31:$I$50,2,FALSE))</f>
        <v>40</v>
      </c>
      <c r="JD8" s="1077">
        <f>+IFERROR(VLOOKUP(JD$6&amp;"-"&amp;$M8&amp;"_old",Ammortamento_Finanziario!$H:$L,5,FALSE),VLOOKUP($M8,TT_Tabelle_Riferimento!$H$31:$I$50,2,FALSE))</f>
        <v>40</v>
      </c>
      <c r="JE8" s="1077">
        <f>+IFERROR(VLOOKUP(JE$6&amp;"-"&amp;$M8&amp;"_old",Ammortamento_Finanziario!$H:$L,5,FALSE),VLOOKUP($M8,TT_Tabelle_Riferimento!$H$31:$I$50,2,FALSE))</f>
        <v>40</v>
      </c>
      <c r="JF8" s="1077">
        <f>+IFERROR(VLOOKUP(JF$6&amp;"-"&amp;$M8&amp;"_old",Ammortamento_Finanziario!$H:$L,5,FALSE),VLOOKUP($M8,TT_Tabelle_Riferimento!$H$31:$I$50,2,FALSE))</f>
        <v>40</v>
      </c>
      <c r="JG8" s="1077">
        <f>+IFERROR(VLOOKUP(JG$6&amp;"-"&amp;$M8&amp;"_old",Ammortamento_Finanziario!$H:$L,5,FALSE),VLOOKUP($M8,TT_Tabelle_Riferimento!$H$31:$I$50,2,FALSE))</f>
        <v>40</v>
      </c>
      <c r="JH8" s="1077">
        <f>+IFERROR(VLOOKUP(JH$6&amp;"-"&amp;$M8&amp;"_old",Ammortamento_Finanziario!$H:$L,5,FALSE),VLOOKUP($M8,TT_Tabelle_Riferimento!$H$31:$I$50,2,FALSE))</f>
        <v>40</v>
      </c>
      <c r="JI8" s="1077">
        <f>+IFERROR(VLOOKUP(JI$6&amp;"-"&amp;$M8&amp;"_old",Ammortamento_Finanziario!$H:$L,5,FALSE),VLOOKUP($M8,TT_Tabelle_Riferimento!$H$31:$I$50,2,FALSE))</f>
        <v>40</v>
      </c>
      <c r="JJ8" s="1077">
        <f>+IFERROR(VLOOKUP(JJ$6&amp;"-"&amp;$M8&amp;"_old",Ammortamento_Finanziario!$H:$L,5,FALSE),VLOOKUP($M8,TT_Tabelle_Riferimento!$H$31:$I$50,2,FALSE))</f>
        <v>40</v>
      </c>
      <c r="JK8" s="1077">
        <f>+IFERROR(VLOOKUP(JK$6&amp;"-"&amp;$M8&amp;"_old",Ammortamento_Finanziario!$H:$L,5,FALSE),VLOOKUP($M8,TT_Tabelle_Riferimento!$H$31:$I$50,2,FALSE))</f>
        <v>40</v>
      </c>
      <c r="JL8" s="1077">
        <f>+IFERROR(VLOOKUP(JL$6&amp;"-"&amp;$M8&amp;"_old",Ammortamento_Finanziario!$H:$L,5,FALSE),VLOOKUP($M8,TT_Tabelle_Riferimento!$H$31:$I$50,2,FALSE))</f>
        <v>40</v>
      </c>
      <c r="JM8" s="1077">
        <f>+IFERROR(VLOOKUP(JM$6&amp;"-"&amp;$M8&amp;"_old",Ammortamento_Finanziario!$H:$L,5,FALSE),VLOOKUP($M8,TT_Tabelle_Riferimento!$H$31:$I$50,2,FALSE))</f>
        <v>40</v>
      </c>
      <c r="JN8" s="1077">
        <f>+IFERROR(VLOOKUP(JN$6&amp;"-"&amp;$M8&amp;"_old",Ammortamento_Finanziario!$H:$L,5,FALSE),VLOOKUP($M8,TT_Tabelle_Riferimento!$H$31:$I$50,2,FALSE))</f>
        <v>40</v>
      </c>
      <c r="JO8" s="1078">
        <f>+IFERROR(VLOOKUP(JO$6&amp;"-"&amp;$M8&amp;"_old",Ammortamento_Finanziario!$H:$L,5,FALSE),VLOOKUP($M8,TT_Tabelle_Riferimento!$H$31:$I$50,2,FALSE))</f>
        <v>40</v>
      </c>
      <c r="JP8" s="1748">
        <f>+IFERROR(VLOOKUP(JP$6&amp;"-"&amp;$M8&amp;"_old",Ammortamento_Finanziario!$H:$L,5,FALSE),VLOOKUP($M8,TT_Tabelle_Riferimento!$H$31:$I$50,2,FALSE))</f>
        <v>40</v>
      </c>
      <c r="JQ8" s="1748">
        <f>+IFERROR(VLOOKUP(JQ$6&amp;"-"&amp;$M8&amp;"_old",Ammortamento_Finanziario!$H:$L,5,FALSE),VLOOKUP($M8,TT_Tabelle_Riferimento!$H$31:$I$50,2,FALSE))</f>
        <v>40</v>
      </c>
      <c r="JR8" s="1755">
        <f>+IFERROR(VLOOKUP(JR$6&amp;"-"&amp;$M8&amp;"_old",Ammortamento_Finanziario!$H:$L,5,FALSE),VLOOKUP($M8,TT_Tabelle_Riferimento!$H$31:$I$50,2,FALSE))</f>
        <v>40</v>
      </c>
      <c r="JS8" s="1755">
        <f>+IFERROR(VLOOKUP(JS$6&amp;"-"&amp;$M8&amp;"_old",Ammortamento_Finanziario!$H:$L,5,FALSE),VLOOKUP($M8,TT_Tabelle_Riferimento!$H$31:$I$50,2,FALSE))</f>
        <v>40</v>
      </c>
      <c r="JT8" s="1755">
        <f>+IFERROR(VLOOKUP(JT$6&amp;"-"&amp;$M8&amp;"_old",Ammortamento_Finanziario!$H:$L,5,FALSE),VLOOKUP($M8,TT_Tabelle_Riferimento!$H$31:$I$50,2,FALSE))</f>
        <v>40</v>
      </c>
      <c r="JU8" s="1755">
        <f>+IFERROR(VLOOKUP(JU$6&amp;"-"&amp;$M8&amp;"_old",Ammortamento_Finanziario!$H:$L,5,FALSE),VLOOKUP($M8,TT_Tabelle_Riferimento!$H$31:$I$50,2,FALSE))</f>
        <v>40</v>
      </c>
      <c r="JV8" s="1755">
        <f>+IFERROR(VLOOKUP(JV$6&amp;"-"&amp;$M8&amp;"_old",Ammortamento_Finanziario!$H:$L,5,FALSE),VLOOKUP($M8,TT_Tabelle_Riferimento!$H$31:$I$50,2,FALSE))</f>
        <v>40</v>
      </c>
      <c r="JW8" s="1755">
        <f>+IFERROR(VLOOKUP(JW$6&amp;"-"&amp;$M8&amp;"_old",Ammortamento_Finanziario!$H:$L,5,FALSE),VLOOKUP($M8,TT_Tabelle_Riferimento!$H$31:$I$50,2,FALSE))</f>
        <v>40</v>
      </c>
      <c r="JX8" s="1078">
        <f>+IFERROR(VLOOKUP(JX$6&amp;"-"&amp;$M8&amp;"_old",Ammortamento_Finanziario!$H:$L,5,FALSE),VLOOKUP($M8,TT_Tabelle_Riferimento!$H$31:$I$50,2,FALSE))</f>
        <v>40</v>
      </c>
      <c r="JY8" s="1078">
        <f>+IFERROR(VLOOKUP(JY$6&amp;"-"&amp;$M8&amp;"_old",Ammortamento_Finanziario!$H:$L,5,FALSE),VLOOKUP($M8,TT_Tabelle_Riferimento!$H$31:$I$50,2,FALSE))</f>
        <v>40</v>
      </c>
      <c r="JZ8" s="1078">
        <f>+IFERROR(VLOOKUP(JZ$6&amp;"-"&amp;$M8&amp;"_old",Ammortamento_Finanziario!$H:$L,5,FALSE),VLOOKUP($M8,TT_Tabelle_Riferimento!$H$31:$I$50,2,FALSE))</f>
        <v>40</v>
      </c>
      <c r="KA8" s="1078">
        <f>+IFERROR(VLOOKUP(KA$6&amp;"-"&amp;$M8&amp;"_old",Ammortamento_Finanziario!$H:$L,5,FALSE),VLOOKUP($M8,TT_Tabelle_Riferimento!$H$31:$I$50,2,FALSE))</f>
        <v>40</v>
      </c>
      <c r="KB8" s="1078">
        <f>+IFERROR(VLOOKUP(KB$6&amp;"-"&amp;$M8&amp;"_old",Ammortamento_Finanziario!$H:$L,5,FALSE),VLOOKUP($M8,TT_Tabelle_Riferimento!$H$31:$I$50,2,FALSE))</f>
        <v>40</v>
      </c>
      <c r="KC8" s="1078">
        <f>+IFERROR(VLOOKUP(KC$6&amp;"-"&amp;$M8&amp;"_old",Ammortamento_Finanziario!$H:$L,5,FALSE),VLOOKUP($M8,TT_Tabelle_Riferimento!$H$31:$I$50,2,FALSE))</f>
        <v>40</v>
      </c>
      <c r="KD8" s="1078">
        <f>+IFERROR(VLOOKUP(KD$6&amp;"-"&amp;$M8&amp;"_old",Ammortamento_Finanziario!$H:$L,5,FALSE),VLOOKUP($M8,TT_Tabelle_Riferimento!$H$31:$I$50,2,FALSE))</f>
        <v>40</v>
      </c>
      <c r="KE8" s="1078">
        <f>+IFERROR(VLOOKUP(KE$6&amp;"-"&amp;$M8&amp;"_old",Ammortamento_Finanziario!$H:$L,5,FALSE),VLOOKUP($M8,TT_Tabelle_Riferimento!$H$31:$I$50,2,FALSE))</f>
        <v>40</v>
      </c>
      <c r="KF8" s="1078">
        <f>+IFERROR(VLOOKUP(KF$6&amp;"-"&amp;$M8&amp;"_old",Ammortamento_Finanziario!$H:$L,5,FALSE),VLOOKUP($M8,TT_Tabelle_Riferimento!$H$31:$I$50,2,FALSE))</f>
        <v>40</v>
      </c>
      <c r="KG8" s="1078">
        <f>+IFERROR(VLOOKUP(KG$6&amp;"-"&amp;$M8&amp;"_old",Ammortamento_Finanziario!$H:$L,5,FALSE),VLOOKUP($M8,TT_Tabelle_Riferimento!$H$31:$I$50,2,FALSE))</f>
        <v>40</v>
      </c>
      <c r="KH8" s="1078">
        <f>+IFERROR(VLOOKUP(KH$6&amp;"-"&amp;$M8&amp;"_old",Ammortamento_Finanziario!$H:$L,5,FALSE),VLOOKUP($M8,TT_Tabelle_Riferimento!$H$31:$I$50,2,FALSE))</f>
        <v>40</v>
      </c>
      <c r="KI8" s="1078">
        <f>+IFERROR(VLOOKUP(KI$6&amp;"-"&amp;$M8&amp;"_old",Ammortamento_Finanziario!$H:$L,5,FALSE),VLOOKUP($M8,TT_Tabelle_Riferimento!$H$31:$I$50,2,FALSE))</f>
        <v>40</v>
      </c>
      <c r="KJ8" s="1078">
        <f>+IFERROR(VLOOKUP(KJ$6&amp;"-"&amp;$M8&amp;"_old",Ammortamento_Finanziario!$H:$L,5,FALSE),VLOOKUP($M8,TT_Tabelle_Riferimento!$H$31:$I$50,2,FALSE))</f>
        <v>40</v>
      </c>
      <c r="KK8" s="1078">
        <f>+IFERROR(VLOOKUP(KK$6&amp;"-"&amp;$M8&amp;"_old",Ammortamento_Finanziario!$H:$L,5,FALSE),VLOOKUP($M8,TT_Tabelle_Riferimento!$H$31:$I$50,2,FALSE))</f>
        <v>40</v>
      </c>
      <c r="KL8" s="1078">
        <f>+IFERROR(VLOOKUP(KL$6&amp;"-"&amp;$M8&amp;"_old",Ammortamento_Finanziario!$H:$L,5,FALSE),VLOOKUP($M8,TT_Tabelle_Riferimento!$H$31:$I$50,2,FALSE))</f>
        <v>40</v>
      </c>
      <c r="KM8" s="1078">
        <f>+IFERROR(VLOOKUP(KM$6&amp;"-"&amp;$M8&amp;"_old",Ammortamento_Finanziario!$H:$L,5,FALSE),VLOOKUP($M8,TT_Tabelle_Riferimento!$H$31:$I$50,2,FALSE))</f>
        <v>40</v>
      </c>
      <c r="KN8" s="1078">
        <f>+IFERROR(VLOOKUP(KN$6&amp;"-"&amp;$M8&amp;"_old",Ammortamento_Finanziario!$H:$L,5,FALSE),VLOOKUP($M8,TT_Tabelle_Riferimento!$H$31:$I$50,2,FALSE))</f>
        <v>40</v>
      </c>
      <c r="KO8" s="1078">
        <f>+IFERROR(VLOOKUP(KO$6&amp;"-"&amp;$M8&amp;"_old",Ammortamento_Finanziario!$H:$L,5,FALSE),VLOOKUP($M8,TT_Tabelle_Riferimento!$H$31:$I$50,2,FALSE))</f>
        <v>40</v>
      </c>
      <c r="KP8" s="1078">
        <f>+IFERROR(VLOOKUP(KP$6&amp;"-"&amp;$M8&amp;"_old",Ammortamento_Finanziario!$H:$L,5,FALSE),VLOOKUP($M8,TT_Tabelle_Riferimento!$H$31:$I$50,2,FALSE))</f>
        <v>40</v>
      </c>
      <c r="KQ8" s="1748">
        <f>+IFERROR(VLOOKUP(KQ$6&amp;"-"&amp;$M8&amp;"_old",Ammortamento_Finanziario!$H:$L,5,FALSE),VLOOKUP($M8,TT_Tabelle_Riferimento!$H$31:$I$50,2,FALSE))</f>
        <v>40</v>
      </c>
      <c r="KR8" s="1748">
        <f>+IFERROR(VLOOKUP(KR$6&amp;"-"&amp;$M8&amp;"_old",Ammortamento_Finanziario!$H:$L,5,FALSE),VLOOKUP($M8,TT_Tabelle_Riferimento!$H$31:$I$50,2,FALSE))</f>
        <v>40</v>
      </c>
      <c r="KS8" s="1755">
        <f>+IFERROR(VLOOKUP(KS$6&amp;"-"&amp;$M8&amp;"_old",Ammortamento_Finanziario!$H:$L,5,FALSE),VLOOKUP($M8,TT_Tabelle_Riferimento!$H$31:$I$50,2,FALSE))</f>
        <v>40</v>
      </c>
      <c r="KT8" s="1755">
        <f>+IFERROR(VLOOKUP(KT$6&amp;"-"&amp;$M8&amp;"_old",Ammortamento_Finanziario!$H:$L,5,FALSE),VLOOKUP($M8,TT_Tabelle_Riferimento!$H$31:$I$50,2,FALSE))</f>
        <v>40</v>
      </c>
      <c r="KU8" s="1755">
        <f>+IFERROR(VLOOKUP(KU$6&amp;"-"&amp;$M8&amp;"_old",Ammortamento_Finanziario!$H:$L,5,FALSE),VLOOKUP($M8,TT_Tabelle_Riferimento!$H$31:$I$50,2,FALSE))</f>
        <v>40</v>
      </c>
      <c r="KV8" s="1755">
        <f>+IFERROR(VLOOKUP(KV$6&amp;"-"&amp;$M8&amp;"_old",Ammortamento_Finanziario!$H:$L,5,FALSE),VLOOKUP($M8,TT_Tabelle_Riferimento!$H$31:$I$50,2,FALSE))</f>
        <v>40</v>
      </c>
      <c r="KW8" s="1755">
        <f>+IFERROR(VLOOKUP(KW$6&amp;"-"&amp;$M8&amp;"_old",Ammortamento_Finanziario!$H:$L,5,FALSE),VLOOKUP($M8,TT_Tabelle_Riferimento!$H$31:$I$50,2,FALSE))</f>
        <v>40</v>
      </c>
      <c r="KX8" s="1755">
        <f>+IFERROR(VLOOKUP(KX$6&amp;"-"&amp;$M8&amp;"_old",Ammortamento_Finanziario!$H:$L,5,FALSE),VLOOKUP($M8,TT_Tabelle_Riferimento!$H$31:$I$50,2,FALSE))</f>
        <v>40</v>
      </c>
      <c r="KY8" s="1078">
        <f>+IFERROR(VLOOKUP(KY$6&amp;"-"&amp;$M8&amp;"_old",Ammortamento_Finanziario!$H:$L,5,FALSE),VLOOKUP($M8,TT_Tabelle_Riferimento!$H$31:$I$50,2,FALSE))</f>
        <v>40</v>
      </c>
      <c r="KZ8" s="1078">
        <f>+IFERROR(VLOOKUP(KZ$6&amp;"-"&amp;$M8&amp;"_old",Ammortamento_Finanziario!$H:$L,5,FALSE),VLOOKUP($M8,TT_Tabelle_Riferimento!$H$31:$I$50,2,FALSE))</f>
        <v>40</v>
      </c>
      <c r="LA8" s="1078">
        <f>+IFERROR(VLOOKUP(LA$6&amp;"-"&amp;$M8&amp;"_old",Ammortamento_Finanziario!$H:$L,5,FALSE),VLOOKUP($M8,TT_Tabelle_Riferimento!$H$31:$I$50,2,FALSE))</f>
        <v>40</v>
      </c>
      <c r="LB8" s="1078">
        <f>+IFERROR(VLOOKUP(LB$6&amp;"-"&amp;$M8&amp;"_old",Ammortamento_Finanziario!$H:$L,5,FALSE),VLOOKUP($M8,TT_Tabelle_Riferimento!$H$31:$I$50,2,FALSE))</f>
        <v>40</v>
      </c>
      <c r="LC8" s="1078">
        <f>+IFERROR(VLOOKUP(LC$6&amp;"-"&amp;$M8&amp;"_old",Ammortamento_Finanziario!$H:$L,5,FALSE),VLOOKUP($M8,TT_Tabelle_Riferimento!$H$31:$I$50,2,FALSE))</f>
        <v>40</v>
      </c>
      <c r="LD8" s="1078">
        <f>+IFERROR(VLOOKUP(LD$6&amp;"-"&amp;$M8&amp;"_old",Ammortamento_Finanziario!$H:$L,5,FALSE),VLOOKUP($M8,TT_Tabelle_Riferimento!$H$31:$I$50,2,FALSE))</f>
        <v>40</v>
      </c>
      <c r="LE8" s="1078">
        <f>+IFERROR(VLOOKUP(LE$6&amp;"-"&amp;$M8&amp;"_old",Ammortamento_Finanziario!$H:$L,5,FALSE),VLOOKUP($M8,TT_Tabelle_Riferimento!$H$31:$I$50,2,FALSE))</f>
        <v>40</v>
      </c>
      <c r="LF8" s="1078">
        <f>+IFERROR(VLOOKUP(LF$6&amp;"-"&amp;$M8&amp;"_old",Ammortamento_Finanziario!$H:$L,5,FALSE),VLOOKUP($M8,TT_Tabelle_Riferimento!$H$31:$I$50,2,FALSE))</f>
        <v>40</v>
      </c>
      <c r="LG8" s="1078">
        <f>+IFERROR(VLOOKUP(LG$6&amp;"-"&amp;$M8&amp;"_old",Ammortamento_Finanziario!$H:$L,5,FALSE),VLOOKUP($M8,TT_Tabelle_Riferimento!$H$31:$I$50,2,FALSE))</f>
        <v>40</v>
      </c>
      <c r="LH8" s="1078">
        <f>+IFERROR(VLOOKUP(LH$6&amp;"-"&amp;$M8&amp;"_old",Ammortamento_Finanziario!$H:$L,5,FALSE),VLOOKUP($M8,TT_Tabelle_Riferimento!$H$31:$I$50,2,FALSE))</f>
        <v>40</v>
      </c>
      <c r="LI8" s="1078">
        <f>+IFERROR(VLOOKUP(LI$6&amp;"-"&amp;$M8&amp;"_old",Ammortamento_Finanziario!$H:$L,5,FALSE),VLOOKUP($M8,TT_Tabelle_Riferimento!$H$31:$I$50,2,FALSE))</f>
        <v>40</v>
      </c>
      <c r="LJ8" s="1078">
        <f>+IFERROR(VLOOKUP(LJ$6&amp;"-"&amp;$M8&amp;"_old",Ammortamento_Finanziario!$H:$L,5,FALSE),VLOOKUP($M8,TT_Tabelle_Riferimento!$H$31:$I$50,2,FALSE))</f>
        <v>40</v>
      </c>
      <c r="LK8" s="1078">
        <f>+IFERROR(VLOOKUP(LK$6&amp;"-"&amp;$M8&amp;"_old",Ammortamento_Finanziario!$H:$L,5,FALSE),VLOOKUP($M8,TT_Tabelle_Riferimento!$H$31:$I$50,2,FALSE))</f>
        <v>40</v>
      </c>
      <c r="LL8" s="1078">
        <f>+IFERROR(VLOOKUP(LL$6&amp;"-"&amp;$M8&amp;"_old",Ammortamento_Finanziario!$H:$L,5,FALSE),VLOOKUP($M8,TT_Tabelle_Riferimento!$H$31:$I$50,2,FALSE))</f>
        <v>40</v>
      </c>
      <c r="LM8" s="1078">
        <f>+IFERROR(VLOOKUP(LM$6&amp;"-"&amp;$M8&amp;"_old",Ammortamento_Finanziario!$H:$L,5,FALSE),VLOOKUP($M8,TT_Tabelle_Riferimento!$H$31:$I$50,2,FALSE))</f>
        <v>40</v>
      </c>
      <c r="LN8" s="1078">
        <f>+IFERROR(VLOOKUP(LN$6&amp;"-"&amp;$M8&amp;"_old",Ammortamento_Finanziario!$H:$L,5,FALSE),VLOOKUP($M8,TT_Tabelle_Riferimento!$H$31:$I$50,2,FALSE))</f>
        <v>40</v>
      </c>
      <c r="LO8" s="1078">
        <f>+IFERROR(VLOOKUP(LO$6&amp;"-"&amp;$M8&amp;"_old",Ammortamento_Finanziario!$H:$L,5,FALSE),VLOOKUP($M8,TT_Tabelle_Riferimento!$H$31:$I$50,2,FALSE))</f>
        <v>40</v>
      </c>
      <c r="LP8" s="1078">
        <f>+IFERROR(VLOOKUP(LP$6&amp;"-"&amp;$M8&amp;"_old",Ammortamento_Finanziario!$H:$L,5,FALSE),VLOOKUP($M8,TT_Tabelle_Riferimento!$H$31:$I$50,2,FALSE))</f>
        <v>40</v>
      </c>
      <c r="LQ8" s="1078">
        <f>+IFERROR(VLOOKUP(LQ$6&amp;"-"&amp;$M8&amp;"_old",Ammortamento_Finanziario!$H:$L,5,FALSE),VLOOKUP($M8,TT_Tabelle_Riferimento!$H$31:$I$50,2,FALSE))</f>
        <v>40</v>
      </c>
      <c r="LR8" s="1748">
        <f>+IFERROR(VLOOKUP(LR$6&amp;"-"&amp;$M8&amp;"_old",Ammortamento_Finanziario!$H:$L,5,FALSE),VLOOKUP($M8,TT_Tabelle_Riferimento!$H$31:$I$50,2,FALSE))</f>
        <v>40</v>
      </c>
      <c r="LS8" s="1755">
        <f>+IFERROR(VLOOKUP(LS$6&amp;"-"&amp;$M8&amp;"_old",Ammortamento_Finanziario!$H:$L,5,FALSE),VLOOKUP($M8,TT_Tabelle_Riferimento!$H$31:$I$50,2,FALSE))</f>
        <v>40</v>
      </c>
      <c r="LT8" s="1755">
        <f>+IFERROR(VLOOKUP(LT$6&amp;"-"&amp;$M8&amp;"_old",Ammortamento_Finanziario!$H:$L,5,FALSE),VLOOKUP($M8,TT_Tabelle_Riferimento!$H$31:$I$50,2,FALSE))</f>
        <v>40</v>
      </c>
      <c r="LU8" s="1755">
        <f>+IFERROR(VLOOKUP(LU$6&amp;"-"&amp;$M8&amp;"_old",Ammortamento_Finanziario!$H:$L,5,FALSE),VLOOKUP($M8,TT_Tabelle_Riferimento!$H$31:$I$50,2,FALSE))</f>
        <v>40</v>
      </c>
      <c r="LV8" s="1755">
        <f>+IFERROR(VLOOKUP(LV$6&amp;"-"&amp;$M8&amp;"_old",Ammortamento_Finanziario!$H:$L,5,FALSE),VLOOKUP($M8,TT_Tabelle_Riferimento!$H$31:$I$50,2,FALSE))</f>
        <v>40</v>
      </c>
      <c r="LW8" s="1755">
        <f>+IFERROR(VLOOKUP(LW$6&amp;"-"&amp;$M8&amp;"_old",Ammortamento_Finanziario!$H:$L,5,FALSE),VLOOKUP($M8,TT_Tabelle_Riferimento!$H$31:$I$50,2,FALSE))</f>
        <v>40</v>
      </c>
      <c r="LX8" s="1755">
        <f>+IFERROR(VLOOKUP(LX$6&amp;"-"&amp;$M8&amp;"_old",Ammortamento_Finanziario!$H:$L,5,FALSE),VLOOKUP($M8,TT_Tabelle_Riferimento!$H$31:$I$50,2,FALSE))</f>
        <v>40</v>
      </c>
      <c r="LY8" s="1078">
        <f>+IFERROR(VLOOKUP(LY$6&amp;"-"&amp;$M8&amp;"_old",Ammortamento_Finanziario!$H:$L,5,FALSE),VLOOKUP($M8,TT_Tabelle_Riferimento!$H$31:$I$50,2,FALSE))</f>
        <v>40</v>
      </c>
      <c r="LZ8" s="1078">
        <f>+IFERROR(VLOOKUP(LZ$6&amp;"-"&amp;$M8&amp;"_old",Ammortamento_Finanziario!$H:$L,5,FALSE),VLOOKUP($M8,TT_Tabelle_Riferimento!$H$31:$I$50,2,FALSE))</f>
        <v>40</v>
      </c>
      <c r="MA8" s="1078">
        <f>+IFERROR(VLOOKUP(MA$6&amp;"-"&amp;$M8&amp;"_old",Ammortamento_Finanziario!$H:$L,5,FALSE),VLOOKUP($M8,TT_Tabelle_Riferimento!$H$31:$I$50,2,FALSE))</f>
        <v>40</v>
      </c>
      <c r="MB8" s="1078">
        <f>+IFERROR(VLOOKUP(MB$6&amp;"-"&amp;$M8&amp;"_old",Ammortamento_Finanziario!$H:$L,5,FALSE),VLOOKUP($M8,TT_Tabelle_Riferimento!$H$31:$I$50,2,FALSE))</f>
        <v>40</v>
      </c>
      <c r="MC8" s="1078">
        <f>+IFERROR(VLOOKUP(MC$6&amp;"-"&amp;$M8&amp;"_old",Ammortamento_Finanziario!$H:$L,5,FALSE),VLOOKUP($M8,TT_Tabelle_Riferimento!$H$31:$I$50,2,FALSE))</f>
        <v>40</v>
      </c>
      <c r="MD8" s="1078">
        <f>+IFERROR(VLOOKUP(MD$6&amp;"-"&amp;$M8&amp;"_old",Ammortamento_Finanziario!$H:$L,5,FALSE),VLOOKUP($M8,TT_Tabelle_Riferimento!$H$31:$I$50,2,FALSE))</f>
        <v>40</v>
      </c>
      <c r="ME8" s="1078">
        <f>+IFERROR(VLOOKUP(ME$6&amp;"-"&amp;$M8&amp;"_old",Ammortamento_Finanziario!$H:$L,5,FALSE),VLOOKUP($M8,TT_Tabelle_Riferimento!$H$31:$I$50,2,FALSE))</f>
        <v>40</v>
      </c>
      <c r="MF8" s="1078">
        <f>+IFERROR(VLOOKUP(MF$6&amp;"-"&amp;$M8&amp;"_old",Ammortamento_Finanziario!$H:$L,5,FALSE),VLOOKUP($M8,TT_Tabelle_Riferimento!$H$31:$I$50,2,FALSE))</f>
        <v>40</v>
      </c>
      <c r="MG8" s="1078">
        <f>+IFERROR(VLOOKUP(MG$6&amp;"-"&amp;$M8&amp;"_old",Ammortamento_Finanziario!$H:$L,5,FALSE),VLOOKUP($M8,TT_Tabelle_Riferimento!$H$31:$I$50,2,FALSE))</f>
        <v>40</v>
      </c>
      <c r="MH8" s="1078">
        <f>+IFERROR(VLOOKUP(MH$6&amp;"-"&amp;$M8&amp;"_old",Ammortamento_Finanziario!$H:$L,5,FALSE),VLOOKUP($M8,TT_Tabelle_Riferimento!$H$31:$I$50,2,FALSE))</f>
        <v>40</v>
      </c>
      <c r="MI8" s="1078">
        <f>+IFERROR(VLOOKUP(MI$6&amp;"-"&amp;$M8&amp;"_old",Ammortamento_Finanziario!$H:$L,5,FALSE),VLOOKUP($M8,TT_Tabelle_Riferimento!$H$31:$I$50,2,FALSE))</f>
        <v>40</v>
      </c>
      <c r="MJ8" s="1078">
        <f>+IFERROR(VLOOKUP(MJ$6&amp;"-"&amp;$M8&amp;"_old",Ammortamento_Finanziario!$H:$L,5,FALSE),VLOOKUP($M8,TT_Tabelle_Riferimento!$H$31:$I$50,2,FALSE))</f>
        <v>40</v>
      </c>
      <c r="MK8" s="1078">
        <f>+IFERROR(VLOOKUP(MK$6&amp;"-"&amp;$M8&amp;"_old",Ammortamento_Finanziario!$H:$L,5,FALSE),VLOOKUP($M8,TT_Tabelle_Riferimento!$H$31:$I$50,2,FALSE))</f>
        <v>40</v>
      </c>
      <c r="ML8" s="1078">
        <f>+IFERROR(VLOOKUP(ML$6&amp;"-"&amp;$M8&amp;"_old",Ammortamento_Finanziario!$H:$L,5,FALSE),VLOOKUP($M8,TT_Tabelle_Riferimento!$H$31:$I$50,2,FALSE))</f>
        <v>40</v>
      </c>
      <c r="MM8" s="1078">
        <f>+IFERROR(VLOOKUP(MM$6&amp;"-"&amp;$M8&amp;"_old",Ammortamento_Finanziario!$H:$L,5,FALSE),VLOOKUP($M8,TT_Tabelle_Riferimento!$H$31:$I$50,2,FALSE))</f>
        <v>40</v>
      </c>
      <c r="MN8" s="1078">
        <f>+IFERROR(VLOOKUP(MN$6&amp;"-"&amp;$M8&amp;"_old",Ammortamento_Finanziario!$H:$L,5,FALSE),VLOOKUP($M8,TT_Tabelle_Riferimento!$H$31:$I$50,2,FALSE))</f>
        <v>40</v>
      </c>
      <c r="MO8" s="1078">
        <f>+IFERROR(VLOOKUP(MO$6&amp;"-"&amp;$M8&amp;"_old",Ammortamento_Finanziario!$H:$L,5,FALSE),VLOOKUP($M8,TT_Tabelle_Riferimento!$H$31:$I$50,2,FALSE))</f>
        <v>40</v>
      </c>
      <c r="MP8" s="1078">
        <f>+IFERROR(VLOOKUP(MP$6&amp;"-"&amp;$M8&amp;"_old",Ammortamento_Finanziario!$H:$L,5,FALSE),VLOOKUP($M8,TT_Tabelle_Riferimento!$H$31:$I$50,2,FALSE))</f>
        <v>40</v>
      </c>
      <c r="MQ8" s="1078">
        <f>+IFERROR(VLOOKUP(MQ$6&amp;"-"&amp;$M8&amp;"_old",Ammortamento_Finanziario!$H:$L,5,FALSE),VLOOKUP($M8,TT_Tabelle_Riferimento!$H$31:$I$50,2,FALSE))</f>
        <v>40</v>
      </c>
      <c r="MR8" s="1755">
        <f>+IFERROR(VLOOKUP(MR$6&amp;"-"&amp;$M8&amp;"_old",Ammortamento_Finanziario!$H:$L,5,FALSE),VLOOKUP($M8,TT_Tabelle_Riferimento!$H$31:$I$50,2,FALSE))</f>
        <v>40</v>
      </c>
      <c r="MS8" s="1755">
        <f>+IFERROR(VLOOKUP(MS$6&amp;"-"&amp;$M8&amp;"_old",Ammortamento_Finanziario!$H:$L,5,FALSE),VLOOKUP($M8,TT_Tabelle_Riferimento!$H$31:$I$50,2,FALSE))</f>
        <v>40</v>
      </c>
      <c r="MT8" s="1755">
        <f>+IFERROR(VLOOKUP(MT$6&amp;"-"&amp;$M8&amp;"_old",Ammortamento_Finanziario!$H:$L,5,FALSE),VLOOKUP($M8,TT_Tabelle_Riferimento!$H$31:$I$50,2,FALSE))</f>
        <v>40</v>
      </c>
      <c r="MU8" s="1755">
        <f>+IFERROR(VLOOKUP(MU$6&amp;"-"&amp;$M8&amp;"_old",Ammortamento_Finanziario!$H:$L,5,FALSE),VLOOKUP($M8,TT_Tabelle_Riferimento!$H$31:$I$50,2,FALSE))</f>
        <v>40</v>
      </c>
      <c r="MV8" s="1755">
        <f>+IFERROR(VLOOKUP(MV$6&amp;"-"&amp;$M8&amp;"_old",Ammortamento_Finanziario!$H:$L,5,FALSE),VLOOKUP($M8,TT_Tabelle_Riferimento!$H$31:$I$50,2,FALSE))</f>
        <v>40</v>
      </c>
      <c r="MW8" s="1755">
        <f>+IFERROR(VLOOKUP(MW$6&amp;"-"&amp;$M8&amp;"_old",Ammortamento_Finanziario!$H:$L,5,FALSE),VLOOKUP($M8,TT_Tabelle_Riferimento!$H$31:$I$50,2,FALSE))</f>
        <v>40</v>
      </c>
      <c r="MX8" s="1078">
        <f>+IFERROR(VLOOKUP(MX$6&amp;"-"&amp;$M8&amp;"_old",Ammortamento_Finanziario!$H:$L,5,FALSE),VLOOKUP($M8,TT_Tabelle_Riferimento!$H$31:$I$50,2,FALSE))</f>
        <v>40</v>
      </c>
      <c r="MY8" s="1078">
        <f>+IFERROR(VLOOKUP(MY$6&amp;"-"&amp;$M8&amp;"_old",Ammortamento_Finanziario!$H:$L,5,FALSE),VLOOKUP($M8,TT_Tabelle_Riferimento!$H$31:$I$50,2,FALSE))</f>
        <v>40</v>
      </c>
      <c r="MZ8" s="1078">
        <f>+IFERROR(VLOOKUP(MZ$6&amp;"-"&amp;$M8&amp;"_old",Ammortamento_Finanziario!$H:$L,5,FALSE),VLOOKUP($M8,TT_Tabelle_Riferimento!$H$31:$I$50,2,FALSE))</f>
        <v>40</v>
      </c>
      <c r="NA8" s="1078">
        <f>+IFERROR(VLOOKUP(NA$6&amp;"-"&amp;$M8&amp;"_old",Ammortamento_Finanziario!$H:$L,5,FALSE),VLOOKUP($M8,TT_Tabelle_Riferimento!$H$31:$I$50,2,FALSE))</f>
        <v>40</v>
      </c>
      <c r="NB8" s="1078">
        <f>+IFERROR(VLOOKUP(NB$6&amp;"-"&amp;$M8&amp;"_old",Ammortamento_Finanziario!$H:$L,5,FALSE),VLOOKUP($M8,TT_Tabelle_Riferimento!$H$31:$I$50,2,FALSE))</f>
        <v>40</v>
      </c>
      <c r="NC8" s="1078">
        <f>+IFERROR(VLOOKUP(NC$6&amp;"-"&amp;$M8&amp;"_old",Ammortamento_Finanziario!$H:$L,5,FALSE),VLOOKUP($M8,TT_Tabelle_Riferimento!$H$31:$I$50,2,FALSE))</f>
        <v>40</v>
      </c>
      <c r="ND8" s="1078">
        <f>+IFERROR(VLOOKUP(ND$6&amp;"-"&amp;$M8&amp;"_old",Ammortamento_Finanziario!$H:$L,5,FALSE),VLOOKUP($M8,TT_Tabelle_Riferimento!$H$31:$I$50,2,FALSE))</f>
        <v>40</v>
      </c>
      <c r="NE8" s="1078">
        <f>+IFERROR(VLOOKUP(NE$6&amp;"-"&amp;$M8&amp;"_old",Ammortamento_Finanziario!$H:$L,5,FALSE),VLOOKUP($M8,TT_Tabelle_Riferimento!$H$31:$I$50,2,FALSE))</f>
        <v>40</v>
      </c>
      <c r="NF8" s="1078">
        <f>+IFERROR(VLOOKUP(NF$6&amp;"-"&amp;$M8&amp;"_old",Ammortamento_Finanziario!$H:$L,5,FALSE),VLOOKUP($M8,TT_Tabelle_Riferimento!$H$31:$I$50,2,FALSE))</f>
        <v>40</v>
      </c>
      <c r="NG8" s="1078">
        <f>+IFERROR(VLOOKUP(NG$6&amp;"-"&amp;$M8&amp;"_old",Ammortamento_Finanziario!$H:$L,5,FALSE),VLOOKUP($M8,TT_Tabelle_Riferimento!$H$31:$I$50,2,FALSE))</f>
        <v>40</v>
      </c>
      <c r="NH8" s="1078">
        <f>+IFERROR(VLOOKUP(NH$6&amp;"-"&amp;$M8&amp;"_old",Ammortamento_Finanziario!$H:$L,5,FALSE),VLOOKUP($M8,TT_Tabelle_Riferimento!$H$31:$I$50,2,FALSE))</f>
        <v>40</v>
      </c>
      <c r="NI8" s="1078">
        <f>+IFERROR(VLOOKUP(NI$6&amp;"-"&amp;$M8&amp;"_old",Ammortamento_Finanziario!$H:$L,5,FALSE),VLOOKUP($M8,TT_Tabelle_Riferimento!$H$31:$I$50,2,FALSE))</f>
        <v>40</v>
      </c>
      <c r="NJ8" s="1078">
        <f>+IFERROR(VLOOKUP(NJ$6&amp;"-"&amp;$M8&amp;"_old",Ammortamento_Finanziario!$H:$L,5,FALSE),VLOOKUP($M8,TT_Tabelle_Riferimento!$H$31:$I$50,2,FALSE))</f>
        <v>40</v>
      </c>
      <c r="NK8" s="1078">
        <f>+IFERROR(VLOOKUP(NK$6&amp;"-"&amp;$M8&amp;"_old",Ammortamento_Finanziario!$H:$L,5,FALSE),VLOOKUP($M8,TT_Tabelle_Riferimento!$H$31:$I$50,2,FALSE))</f>
        <v>40</v>
      </c>
      <c r="NL8" s="1078">
        <f>+IFERROR(VLOOKUP(NL$6&amp;"-"&amp;$M8&amp;"_old",Ammortamento_Finanziario!$H:$L,5,FALSE),VLOOKUP($M8,TT_Tabelle_Riferimento!$H$31:$I$50,2,FALSE))</f>
        <v>40</v>
      </c>
      <c r="NM8" s="1078">
        <f>+IFERROR(VLOOKUP(NM$6&amp;"-"&amp;$M8&amp;"_old",Ammortamento_Finanziario!$H:$L,5,FALSE),VLOOKUP($M8,TT_Tabelle_Riferimento!$H$31:$I$50,2,FALSE))</f>
        <v>40</v>
      </c>
      <c r="NN8" s="1078">
        <f>+IFERROR(VLOOKUP(NN$6&amp;"-"&amp;$M8&amp;"_old",Ammortamento_Finanziario!$H:$L,5,FALSE),VLOOKUP($M8,TT_Tabelle_Riferimento!$H$31:$I$50,2,FALSE))</f>
        <v>40</v>
      </c>
      <c r="NO8" s="1078">
        <f>+IFERROR(VLOOKUP(NO$6&amp;"-"&amp;$M8&amp;"_old",Ammortamento_Finanziario!$H:$L,5,FALSE),VLOOKUP($M8,TT_Tabelle_Riferimento!$H$31:$I$50,2,FALSE))</f>
        <v>40</v>
      </c>
      <c r="NP8" s="1078">
        <f>+IFERROR(VLOOKUP(NP$6&amp;"-"&amp;$M8&amp;"_old",Ammortamento_Finanziario!$H:$L,5,FALSE),VLOOKUP($M8,TT_Tabelle_Riferimento!$H$31:$I$50,2,FALSE))</f>
        <v>40</v>
      </c>
      <c r="NQ8" s="1755">
        <f>+IFERROR(VLOOKUP(NQ$6&amp;"-"&amp;$M8&amp;"_old",Ammortamento_Finanziario!$H:$L,5,FALSE),VLOOKUP($M8,TT_Tabelle_Riferimento!$H$31:$I$50,2,FALSE))</f>
        <v>40</v>
      </c>
      <c r="NR8" s="1755">
        <f>+IFERROR(VLOOKUP(NR$6&amp;"-"&amp;$M8&amp;"_old",Ammortamento_Finanziario!$H:$L,5,FALSE),VLOOKUP($M8,TT_Tabelle_Riferimento!$H$31:$I$50,2,FALSE))</f>
        <v>40</v>
      </c>
      <c r="NS8" s="1755">
        <f>+IFERROR(VLOOKUP(NS$6&amp;"-"&amp;$M8&amp;"_old",Ammortamento_Finanziario!$H:$L,5,FALSE),VLOOKUP($M8,TT_Tabelle_Riferimento!$H$31:$I$50,2,FALSE))</f>
        <v>40</v>
      </c>
      <c r="NT8" s="1755">
        <f>+IFERROR(VLOOKUP(NT$6&amp;"-"&amp;$M8&amp;"_old",Ammortamento_Finanziario!$H:$L,5,FALSE),VLOOKUP($M8,TT_Tabelle_Riferimento!$H$31:$I$50,2,FALSE))</f>
        <v>40</v>
      </c>
      <c r="NU8" s="1755">
        <f>+IFERROR(VLOOKUP(NU$6&amp;"-"&amp;$M8&amp;"_old",Ammortamento_Finanziario!$H:$L,5,FALSE),VLOOKUP($M8,TT_Tabelle_Riferimento!$H$31:$I$50,2,FALSE))</f>
        <v>40</v>
      </c>
      <c r="NV8" s="1078">
        <f>+IFERROR(VLOOKUP(NV$6&amp;"-"&amp;$M8&amp;"_old",Ammortamento_Finanziario!$H:$L,5,FALSE),VLOOKUP($M8,TT_Tabelle_Riferimento!$H$31:$I$50,2,FALSE))</f>
        <v>40</v>
      </c>
      <c r="NW8" s="1078">
        <f>+IFERROR(VLOOKUP(NW$6&amp;"-"&amp;$M8&amp;"_old",Ammortamento_Finanziario!$H:$L,5,FALSE),VLOOKUP($M8,TT_Tabelle_Riferimento!$H$31:$I$50,2,FALSE))</f>
        <v>40</v>
      </c>
      <c r="NX8" s="1078">
        <f>+IFERROR(VLOOKUP(NX$6&amp;"-"&amp;$M8&amp;"_old",Ammortamento_Finanziario!$H:$L,5,FALSE),VLOOKUP($M8,TT_Tabelle_Riferimento!$H$31:$I$50,2,FALSE))</f>
        <v>40</v>
      </c>
      <c r="NY8" s="1078">
        <f>+IFERROR(VLOOKUP(NY$6&amp;"-"&amp;$M8&amp;"_old",Ammortamento_Finanziario!$H:$L,5,FALSE),VLOOKUP($M8,TT_Tabelle_Riferimento!$H$31:$I$50,2,FALSE))</f>
        <v>40</v>
      </c>
      <c r="NZ8" s="1078">
        <f>+IFERROR(VLOOKUP(NZ$6&amp;"-"&amp;$M8&amp;"_old",Ammortamento_Finanziario!$H:$L,5,FALSE),VLOOKUP($M8,TT_Tabelle_Riferimento!$H$31:$I$50,2,FALSE))</f>
        <v>40</v>
      </c>
      <c r="OA8" s="1078">
        <f>+IFERROR(VLOOKUP(OA$6&amp;"-"&amp;$M8&amp;"_old",Ammortamento_Finanziario!$H:$L,5,FALSE),VLOOKUP($M8,TT_Tabelle_Riferimento!$H$31:$I$50,2,FALSE))</f>
        <v>40</v>
      </c>
      <c r="OB8" s="1078">
        <f>+IFERROR(VLOOKUP(OB$6&amp;"-"&amp;$M8&amp;"_old",Ammortamento_Finanziario!$H:$L,5,FALSE),VLOOKUP($M8,TT_Tabelle_Riferimento!$H$31:$I$50,2,FALSE))</f>
        <v>40</v>
      </c>
      <c r="OC8" s="1078">
        <f>+IFERROR(VLOOKUP(OC$6&amp;"-"&amp;$M8&amp;"_old",Ammortamento_Finanziario!$H:$L,5,FALSE),VLOOKUP($M8,TT_Tabelle_Riferimento!$H$31:$I$50,2,FALSE))</f>
        <v>40</v>
      </c>
      <c r="OD8" s="1078">
        <f>+IFERROR(VLOOKUP(OD$6&amp;"-"&amp;$M8&amp;"_old",Ammortamento_Finanziario!$H:$L,5,FALSE),VLOOKUP($M8,TT_Tabelle_Riferimento!$H$31:$I$50,2,FALSE))</f>
        <v>40</v>
      </c>
      <c r="OE8" s="1078">
        <f>+IFERROR(VLOOKUP(OE$6&amp;"-"&amp;$M8&amp;"_old",Ammortamento_Finanziario!$H:$L,5,FALSE),VLOOKUP($M8,TT_Tabelle_Riferimento!$H$31:$I$50,2,FALSE))</f>
        <v>40</v>
      </c>
      <c r="OF8" s="1078">
        <f>+IFERROR(VLOOKUP(OF$6&amp;"-"&amp;$M8&amp;"_old",Ammortamento_Finanziario!$H:$L,5,FALSE),VLOOKUP($M8,TT_Tabelle_Riferimento!$H$31:$I$50,2,FALSE))</f>
        <v>40</v>
      </c>
      <c r="OG8" s="1078">
        <f>+IFERROR(VLOOKUP(OG$6&amp;"-"&amp;$M8&amp;"_old",Ammortamento_Finanziario!$H:$L,5,FALSE),VLOOKUP($M8,TT_Tabelle_Riferimento!$H$31:$I$50,2,FALSE))</f>
        <v>40</v>
      </c>
      <c r="OH8" s="1078">
        <f>+IFERROR(VLOOKUP(OH$6&amp;"-"&amp;$M8&amp;"_old",Ammortamento_Finanziario!$H:$L,5,FALSE),VLOOKUP($M8,TT_Tabelle_Riferimento!$H$31:$I$50,2,FALSE))</f>
        <v>40</v>
      </c>
      <c r="OI8" s="1078">
        <f>+IFERROR(VLOOKUP(OI$6&amp;"-"&amp;$M8&amp;"_old",Ammortamento_Finanziario!$H:$L,5,FALSE),VLOOKUP($M8,TT_Tabelle_Riferimento!$H$31:$I$50,2,FALSE))</f>
        <v>40</v>
      </c>
      <c r="OJ8" s="1078">
        <f>+IFERROR(VLOOKUP(OJ$6&amp;"-"&amp;$M8&amp;"_old",Ammortamento_Finanziario!$H:$L,5,FALSE),VLOOKUP($M8,TT_Tabelle_Riferimento!$H$31:$I$50,2,FALSE))</f>
        <v>40</v>
      </c>
      <c r="OK8" s="1078">
        <f>+IFERROR(VLOOKUP(OK$6&amp;"-"&amp;$M8&amp;"_old",Ammortamento_Finanziario!$H:$L,5,FALSE),VLOOKUP($M8,TT_Tabelle_Riferimento!$H$31:$I$50,2,FALSE))</f>
        <v>40</v>
      </c>
      <c r="OL8" s="1078">
        <f>+IFERROR(VLOOKUP(OL$6&amp;"-"&amp;$M8&amp;"_old",Ammortamento_Finanziario!$H:$L,5,FALSE),VLOOKUP($M8,TT_Tabelle_Riferimento!$H$31:$I$50,2,FALSE))</f>
        <v>40</v>
      </c>
      <c r="OM8" s="1078">
        <f>+IFERROR(VLOOKUP(OM$6&amp;"-"&amp;$M8&amp;"_old",Ammortamento_Finanziario!$H:$L,5,FALSE),VLOOKUP($M8,TT_Tabelle_Riferimento!$H$31:$I$50,2,FALSE))</f>
        <v>40</v>
      </c>
      <c r="ON8" s="1078">
        <f>+IFERROR(VLOOKUP(ON$6&amp;"-"&amp;$M8&amp;"_old",Ammortamento_Finanziario!$H:$L,5,FALSE),VLOOKUP($M8,TT_Tabelle_Riferimento!$H$31:$I$50,2,FALSE))</f>
        <v>40</v>
      </c>
      <c r="OO8" s="1755">
        <f>+IFERROR(VLOOKUP(OO$6&amp;"-"&amp;$M8&amp;"_old",Ammortamento_Finanziario!$H:$L,5,FALSE),VLOOKUP($M8,TT_Tabelle_Riferimento!$H$31:$I$50,2,FALSE))</f>
        <v>40</v>
      </c>
      <c r="OP8" s="1755">
        <f>+IFERROR(VLOOKUP(OP$6&amp;"-"&amp;$M8&amp;"_old",Ammortamento_Finanziario!$H:$L,5,FALSE),VLOOKUP($M8,TT_Tabelle_Riferimento!$H$31:$I$50,2,FALSE))</f>
        <v>40</v>
      </c>
      <c r="OQ8" s="1755">
        <f>+IFERROR(VLOOKUP(OQ$6&amp;"-"&amp;$M8&amp;"_old",Ammortamento_Finanziario!$H:$L,5,FALSE),VLOOKUP($M8,TT_Tabelle_Riferimento!$H$31:$I$50,2,FALSE))</f>
        <v>40</v>
      </c>
      <c r="OR8" s="1755">
        <f>+IFERROR(VLOOKUP(OR$6&amp;"-"&amp;$M8&amp;"_old",Ammortamento_Finanziario!$H:$L,5,FALSE),VLOOKUP($M8,TT_Tabelle_Riferimento!$H$31:$I$50,2,FALSE))</f>
        <v>40</v>
      </c>
      <c r="OS8" s="1078">
        <f>+IFERROR(VLOOKUP(OS$6&amp;"-"&amp;$M8&amp;"_old",Ammortamento_Finanziario!$H:$L,5,FALSE),VLOOKUP($M8,TT_Tabelle_Riferimento!$H$31:$I$50,2,FALSE))</f>
        <v>40</v>
      </c>
      <c r="OT8" s="1078">
        <f>+IFERROR(VLOOKUP(OT$6&amp;"-"&amp;$M8&amp;"_old",Ammortamento_Finanziario!$H:$L,5,FALSE),VLOOKUP($M8,TT_Tabelle_Riferimento!$H$31:$I$50,2,FALSE))</f>
        <v>40</v>
      </c>
      <c r="OU8" s="1078">
        <f>+IFERROR(VLOOKUP(OU$6&amp;"-"&amp;$M8&amp;"_old",Ammortamento_Finanziario!$H:$L,5,FALSE),VLOOKUP($M8,TT_Tabelle_Riferimento!$H$31:$I$50,2,FALSE))</f>
        <v>40</v>
      </c>
      <c r="OV8" s="1078">
        <f>+IFERROR(VLOOKUP(OV$6&amp;"-"&amp;$M8&amp;"_old",Ammortamento_Finanziario!$H:$L,5,FALSE),VLOOKUP($M8,TT_Tabelle_Riferimento!$H$31:$I$50,2,FALSE))</f>
        <v>40</v>
      </c>
      <c r="OW8" s="1078">
        <f>+IFERROR(VLOOKUP(OW$6&amp;"-"&amp;$M8&amp;"_old",Ammortamento_Finanziario!$H:$L,5,FALSE),VLOOKUP($M8,TT_Tabelle_Riferimento!$H$31:$I$50,2,FALSE))</f>
        <v>40</v>
      </c>
      <c r="OX8" s="1078">
        <f>+IFERROR(VLOOKUP(OX$6&amp;"-"&amp;$M8&amp;"_old",Ammortamento_Finanziario!$H:$L,5,FALSE),VLOOKUP($M8,TT_Tabelle_Riferimento!$H$31:$I$50,2,FALSE))</f>
        <v>40</v>
      </c>
      <c r="OY8" s="1078">
        <f>+IFERROR(VLOOKUP(OY$6&amp;"-"&amp;$M8&amp;"_old",Ammortamento_Finanziario!$H:$L,5,FALSE),VLOOKUP($M8,TT_Tabelle_Riferimento!$H$31:$I$50,2,FALSE))</f>
        <v>40</v>
      </c>
      <c r="OZ8" s="1078">
        <f>+IFERROR(VLOOKUP(OZ$6&amp;"-"&amp;$M8&amp;"_old",Ammortamento_Finanziario!$H:$L,5,FALSE),VLOOKUP($M8,TT_Tabelle_Riferimento!$H$31:$I$50,2,FALSE))</f>
        <v>40</v>
      </c>
      <c r="PA8" s="1078">
        <f>+IFERROR(VLOOKUP(PA$6&amp;"-"&amp;$M8&amp;"_old",Ammortamento_Finanziario!$H:$L,5,FALSE),VLOOKUP($M8,TT_Tabelle_Riferimento!$H$31:$I$50,2,FALSE))</f>
        <v>40</v>
      </c>
      <c r="PB8" s="1078">
        <f>+IFERROR(VLOOKUP(PB$6&amp;"-"&amp;$M8&amp;"_old",Ammortamento_Finanziario!$H:$L,5,FALSE),VLOOKUP($M8,TT_Tabelle_Riferimento!$H$31:$I$50,2,FALSE))</f>
        <v>40</v>
      </c>
      <c r="PC8" s="1078">
        <f>+IFERROR(VLOOKUP(PC$6&amp;"-"&amp;$M8&amp;"_old",Ammortamento_Finanziario!$H:$L,5,FALSE),VLOOKUP($M8,TT_Tabelle_Riferimento!$H$31:$I$50,2,FALSE))</f>
        <v>40</v>
      </c>
      <c r="PD8" s="1078">
        <f>+IFERROR(VLOOKUP(PD$6&amp;"-"&amp;$M8&amp;"_old",Ammortamento_Finanziario!$H:$L,5,FALSE),VLOOKUP($M8,TT_Tabelle_Riferimento!$H$31:$I$50,2,FALSE))</f>
        <v>40</v>
      </c>
      <c r="PE8" s="1078">
        <f>+IFERROR(VLOOKUP(PE$6&amp;"-"&amp;$M8&amp;"_old",Ammortamento_Finanziario!$H:$L,5,FALSE),VLOOKUP($M8,TT_Tabelle_Riferimento!$H$31:$I$50,2,FALSE))</f>
        <v>40</v>
      </c>
      <c r="PF8" s="1078">
        <f>+IFERROR(VLOOKUP(PF$6&amp;"-"&amp;$M8&amp;"_old",Ammortamento_Finanziario!$H:$L,5,FALSE),VLOOKUP($M8,TT_Tabelle_Riferimento!$H$31:$I$50,2,FALSE))</f>
        <v>40</v>
      </c>
      <c r="PG8" s="1078">
        <f>+IFERROR(VLOOKUP(PG$6&amp;"-"&amp;$M8&amp;"_old",Ammortamento_Finanziario!$H:$L,5,FALSE),VLOOKUP($M8,TT_Tabelle_Riferimento!$H$31:$I$50,2,FALSE))</f>
        <v>40</v>
      </c>
      <c r="PH8" s="1078">
        <f>+IFERROR(VLOOKUP(PH$6&amp;"-"&amp;$M8&amp;"_old",Ammortamento_Finanziario!$H:$L,5,FALSE),VLOOKUP($M8,TT_Tabelle_Riferimento!$H$31:$I$50,2,FALSE))</f>
        <v>40</v>
      </c>
      <c r="PI8" s="1078">
        <f>+IFERROR(VLOOKUP(PI$6&amp;"-"&amp;$M8&amp;"_old",Ammortamento_Finanziario!$H:$L,5,FALSE),VLOOKUP($M8,TT_Tabelle_Riferimento!$H$31:$I$50,2,FALSE))</f>
        <v>40</v>
      </c>
      <c r="PJ8" s="1078">
        <f>+IFERROR(VLOOKUP(PJ$6&amp;"-"&amp;$M8&amp;"_old",Ammortamento_Finanziario!$H:$L,5,FALSE),VLOOKUP($M8,TT_Tabelle_Riferimento!$H$31:$I$50,2,FALSE))</f>
        <v>40</v>
      </c>
      <c r="PK8" s="1078">
        <f>+IFERROR(VLOOKUP(PK$6&amp;"-"&amp;$M8&amp;"_old",Ammortamento_Finanziario!$H:$L,5,FALSE),VLOOKUP($M8,TT_Tabelle_Riferimento!$H$31:$I$50,2,FALSE))</f>
        <v>40</v>
      </c>
      <c r="PL8" s="1755">
        <f>+IFERROR(VLOOKUP(PL$6&amp;"-"&amp;$M8&amp;"_old",Ammortamento_Finanziario!$H:$L,5,FALSE),VLOOKUP($M8,TT_Tabelle_Riferimento!$H$31:$I$50,2,FALSE))</f>
        <v>40</v>
      </c>
      <c r="PM8" s="1755">
        <f>+IFERROR(VLOOKUP(PM$6&amp;"-"&amp;$M8&amp;"_old",Ammortamento_Finanziario!$H:$L,5,FALSE),VLOOKUP($M8,TT_Tabelle_Riferimento!$H$31:$I$50,2,FALSE))</f>
        <v>40</v>
      </c>
      <c r="PN8" s="1755">
        <f>+IFERROR(VLOOKUP(PN$6&amp;"-"&amp;$M8&amp;"_old",Ammortamento_Finanziario!$H:$L,5,FALSE),VLOOKUP($M8,TT_Tabelle_Riferimento!$H$31:$I$50,2,FALSE))</f>
        <v>40</v>
      </c>
      <c r="PO8" s="1078">
        <f>+IFERROR(VLOOKUP(PO$6&amp;"-"&amp;$M8&amp;"_old",Ammortamento_Finanziario!$H:$L,5,FALSE),VLOOKUP($M8,TT_Tabelle_Riferimento!$H$31:$I$50,2,FALSE))</f>
        <v>40</v>
      </c>
      <c r="PP8" s="1078">
        <f>+IFERROR(VLOOKUP(PP$6&amp;"-"&amp;$M8&amp;"_old",Ammortamento_Finanziario!$H:$L,5,FALSE),VLOOKUP($M8,TT_Tabelle_Riferimento!$H$31:$I$50,2,FALSE))</f>
        <v>40</v>
      </c>
      <c r="PQ8" s="1078">
        <f>+IFERROR(VLOOKUP(PQ$6&amp;"-"&amp;$M8&amp;"_old",Ammortamento_Finanziario!$H:$L,5,FALSE),VLOOKUP($M8,TT_Tabelle_Riferimento!$H$31:$I$50,2,FALSE))</f>
        <v>40</v>
      </c>
      <c r="PR8" s="1078">
        <f>+IFERROR(VLOOKUP(PR$6&amp;"-"&amp;$M8&amp;"_old",Ammortamento_Finanziario!$H:$L,5,FALSE),VLOOKUP($M8,TT_Tabelle_Riferimento!$H$31:$I$50,2,FALSE))</f>
        <v>40</v>
      </c>
      <c r="PS8" s="1078">
        <f>+IFERROR(VLOOKUP(PS$6&amp;"-"&amp;$M8&amp;"_old",Ammortamento_Finanziario!$H:$L,5,FALSE),VLOOKUP($M8,TT_Tabelle_Riferimento!$H$31:$I$50,2,FALSE))</f>
        <v>40</v>
      </c>
      <c r="PT8" s="1078">
        <f>+IFERROR(VLOOKUP(PT$6&amp;"-"&amp;$M8&amp;"_old",Ammortamento_Finanziario!$H:$L,5,FALSE),VLOOKUP($M8,TT_Tabelle_Riferimento!$H$31:$I$50,2,FALSE))</f>
        <v>40</v>
      </c>
      <c r="PU8" s="1078">
        <f>+IFERROR(VLOOKUP(PU$6&amp;"-"&amp;$M8&amp;"_old",Ammortamento_Finanziario!$H:$L,5,FALSE),VLOOKUP($M8,TT_Tabelle_Riferimento!$H$31:$I$50,2,FALSE))</f>
        <v>40</v>
      </c>
      <c r="PV8" s="1078">
        <f>+IFERROR(VLOOKUP(PV$6&amp;"-"&amp;$M8&amp;"_old",Ammortamento_Finanziario!$H:$L,5,FALSE),VLOOKUP($M8,TT_Tabelle_Riferimento!$H$31:$I$50,2,FALSE))</f>
        <v>40</v>
      </c>
      <c r="PW8" s="1078">
        <f>+IFERROR(VLOOKUP(PW$6&amp;"-"&amp;$M8&amp;"_old",Ammortamento_Finanziario!$H:$L,5,FALSE),VLOOKUP($M8,TT_Tabelle_Riferimento!$H$31:$I$50,2,FALSE))</f>
        <v>40</v>
      </c>
      <c r="PX8" s="1078">
        <f>+IFERROR(VLOOKUP(PX$6&amp;"-"&amp;$M8&amp;"_old",Ammortamento_Finanziario!$H:$L,5,FALSE),VLOOKUP($M8,TT_Tabelle_Riferimento!$H$31:$I$50,2,FALSE))</f>
        <v>40</v>
      </c>
      <c r="PY8" s="1078">
        <f>+IFERROR(VLOOKUP(PY$6&amp;"-"&amp;$M8&amp;"_old",Ammortamento_Finanziario!$H:$L,5,FALSE),VLOOKUP($M8,TT_Tabelle_Riferimento!$H$31:$I$50,2,FALSE))</f>
        <v>40</v>
      </c>
      <c r="PZ8" s="1078">
        <f>+IFERROR(VLOOKUP(PZ$6&amp;"-"&amp;$M8&amp;"_old",Ammortamento_Finanziario!$H:$L,5,FALSE),VLOOKUP($M8,TT_Tabelle_Riferimento!$H$31:$I$50,2,FALSE))</f>
        <v>40</v>
      </c>
      <c r="QA8" s="1078">
        <f>+IFERROR(VLOOKUP(QA$6&amp;"-"&amp;$M8&amp;"_old",Ammortamento_Finanziario!$H:$L,5,FALSE),VLOOKUP($M8,TT_Tabelle_Riferimento!$H$31:$I$50,2,FALSE))</f>
        <v>40</v>
      </c>
      <c r="QB8" s="1078">
        <f>+IFERROR(VLOOKUP(QB$6&amp;"-"&amp;$M8&amp;"_old",Ammortamento_Finanziario!$H:$L,5,FALSE),VLOOKUP($M8,TT_Tabelle_Riferimento!$H$31:$I$50,2,FALSE))</f>
        <v>40</v>
      </c>
      <c r="QC8" s="1078">
        <f>+IFERROR(VLOOKUP(QC$6&amp;"-"&amp;$M8&amp;"_old",Ammortamento_Finanziario!$H:$L,5,FALSE),VLOOKUP($M8,TT_Tabelle_Riferimento!$H$31:$I$50,2,FALSE))</f>
        <v>40</v>
      </c>
      <c r="QD8" s="1078">
        <f>+IFERROR(VLOOKUP(QD$6&amp;"-"&amp;$M8&amp;"_old",Ammortamento_Finanziario!$H:$L,5,FALSE),VLOOKUP($M8,TT_Tabelle_Riferimento!$H$31:$I$50,2,FALSE))</f>
        <v>40</v>
      </c>
      <c r="QE8" s="1078">
        <f>+IFERROR(VLOOKUP(QE$6&amp;"-"&amp;$M8&amp;"_old",Ammortamento_Finanziario!$H:$L,5,FALSE),VLOOKUP($M8,TT_Tabelle_Riferimento!$H$31:$I$50,2,FALSE))</f>
        <v>40</v>
      </c>
      <c r="QF8" s="1078">
        <f>+IFERROR(VLOOKUP(QF$6&amp;"-"&amp;$M8&amp;"_old",Ammortamento_Finanziario!$H:$L,5,FALSE),VLOOKUP($M8,TT_Tabelle_Riferimento!$H$31:$I$50,2,FALSE))</f>
        <v>40</v>
      </c>
      <c r="QG8" s="1078">
        <f>+IFERROR(VLOOKUP(QG$6&amp;"-"&amp;$M8&amp;"_old",Ammortamento_Finanziario!$H:$L,5,FALSE),VLOOKUP($M8,TT_Tabelle_Riferimento!$H$31:$I$50,2,FALSE))</f>
        <v>40</v>
      </c>
      <c r="QH8" s="1755">
        <f>+IFERROR(VLOOKUP(QH$6&amp;"-"&amp;$M8&amp;"_old",Ammortamento_Finanziario!$H:$L,5,FALSE),VLOOKUP($M8,TT_Tabelle_Riferimento!$H$31:$I$50,2,FALSE))</f>
        <v>40</v>
      </c>
      <c r="QI8" s="1755">
        <f>+IFERROR(VLOOKUP(QI$6&amp;"-"&amp;$M8&amp;"_old",Ammortamento_Finanziario!$H:$L,5,FALSE),VLOOKUP($M8,TT_Tabelle_Riferimento!$H$31:$I$50,2,FALSE))</f>
        <v>40</v>
      </c>
      <c r="QJ8" s="1078">
        <f>+IFERROR(VLOOKUP(QJ$6&amp;"-"&amp;$M8&amp;"_old",Ammortamento_Finanziario!$H:$L,5,FALSE),VLOOKUP($M8,TT_Tabelle_Riferimento!$H$31:$I$50,2,FALSE))</f>
        <v>40</v>
      </c>
      <c r="QK8" s="1078">
        <f>+IFERROR(VLOOKUP(QK$6&amp;"-"&amp;$M8&amp;"_old",Ammortamento_Finanziario!$H:$L,5,FALSE),VLOOKUP($M8,TT_Tabelle_Riferimento!$H$31:$I$50,2,FALSE))</f>
        <v>40</v>
      </c>
      <c r="QL8" s="1078">
        <f>+IFERROR(VLOOKUP(QL$6&amp;"-"&amp;$M8&amp;"_old",Ammortamento_Finanziario!$H:$L,5,FALSE),VLOOKUP($M8,TT_Tabelle_Riferimento!$H$31:$I$50,2,FALSE))</f>
        <v>40</v>
      </c>
      <c r="QM8" s="1078">
        <f>+IFERROR(VLOOKUP(QM$6&amp;"-"&amp;$M8&amp;"_old",Ammortamento_Finanziario!$H:$L,5,FALSE),VLOOKUP($M8,TT_Tabelle_Riferimento!$H$31:$I$50,2,FALSE))</f>
        <v>40</v>
      </c>
      <c r="QN8" s="1078">
        <f>+IFERROR(VLOOKUP(QN$6&amp;"-"&amp;$M8&amp;"_old",Ammortamento_Finanziario!$H:$L,5,FALSE),VLOOKUP($M8,TT_Tabelle_Riferimento!$H$31:$I$50,2,FALSE))</f>
        <v>40</v>
      </c>
      <c r="QO8" s="1078">
        <f>+IFERROR(VLOOKUP(QO$6&amp;"-"&amp;$M8&amp;"_old",Ammortamento_Finanziario!$H:$L,5,FALSE),VLOOKUP($M8,TT_Tabelle_Riferimento!$H$31:$I$50,2,FALSE))</f>
        <v>40</v>
      </c>
      <c r="QP8" s="1078">
        <f>+IFERROR(VLOOKUP(QP$6&amp;"-"&amp;$M8&amp;"_old",Ammortamento_Finanziario!$H:$L,5,FALSE),VLOOKUP($M8,TT_Tabelle_Riferimento!$H$31:$I$50,2,FALSE))</f>
        <v>40</v>
      </c>
      <c r="QQ8" s="1078">
        <f>+IFERROR(VLOOKUP(QQ$6&amp;"-"&amp;$M8&amp;"_old",Ammortamento_Finanziario!$H:$L,5,FALSE),VLOOKUP($M8,TT_Tabelle_Riferimento!$H$31:$I$50,2,FALSE))</f>
        <v>40</v>
      </c>
      <c r="QR8" s="1078">
        <f>+IFERROR(VLOOKUP(QR$6&amp;"-"&amp;$M8&amp;"_old",Ammortamento_Finanziario!$H:$L,5,FALSE),VLOOKUP($M8,TT_Tabelle_Riferimento!$H$31:$I$50,2,FALSE))</f>
        <v>40</v>
      </c>
      <c r="QS8" s="1078">
        <f>+IFERROR(VLOOKUP(QS$6&amp;"-"&amp;$M8&amp;"_old",Ammortamento_Finanziario!$H:$L,5,FALSE),VLOOKUP($M8,TT_Tabelle_Riferimento!$H$31:$I$50,2,FALSE))</f>
        <v>40</v>
      </c>
      <c r="QT8" s="1078">
        <f>+IFERROR(VLOOKUP(QT$6&amp;"-"&amp;$M8&amp;"_old",Ammortamento_Finanziario!$H:$L,5,FALSE),VLOOKUP($M8,TT_Tabelle_Riferimento!$H$31:$I$50,2,FALSE))</f>
        <v>40</v>
      </c>
      <c r="QU8" s="1078">
        <f>+IFERROR(VLOOKUP(QU$6&amp;"-"&amp;$M8&amp;"_old",Ammortamento_Finanziario!$H:$L,5,FALSE),VLOOKUP($M8,TT_Tabelle_Riferimento!$H$31:$I$50,2,FALSE))</f>
        <v>40</v>
      </c>
      <c r="QV8" s="1078">
        <f>+IFERROR(VLOOKUP(QV$6&amp;"-"&amp;$M8&amp;"_old",Ammortamento_Finanziario!$H:$L,5,FALSE),VLOOKUP($M8,TT_Tabelle_Riferimento!$H$31:$I$50,2,FALSE))</f>
        <v>40</v>
      </c>
      <c r="QW8" s="1078">
        <f>+IFERROR(VLOOKUP(QW$6&amp;"-"&amp;$M8&amp;"_old",Ammortamento_Finanziario!$H:$L,5,FALSE),VLOOKUP($M8,TT_Tabelle_Riferimento!$H$31:$I$50,2,FALSE))</f>
        <v>40</v>
      </c>
      <c r="QX8" s="1078">
        <f>+IFERROR(VLOOKUP(QX$6&amp;"-"&amp;$M8&amp;"_old",Ammortamento_Finanziario!$H:$L,5,FALSE),VLOOKUP($M8,TT_Tabelle_Riferimento!$H$31:$I$50,2,FALSE))</f>
        <v>40</v>
      </c>
      <c r="QY8" s="1078">
        <f>+IFERROR(VLOOKUP(QY$6&amp;"-"&amp;$M8&amp;"_old",Ammortamento_Finanziario!$H:$L,5,FALSE),VLOOKUP($M8,TT_Tabelle_Riferimento!$H$31:$I$50,2,FALSE))</f>
        <v>40</v>
      </c>
      <c r="QZ8" s="1078">
        <f>+IFERROR(VLOOKUP(QZ$6&amp;"-"&amp;$M8&amp;"_old",Ammortamento_Finanziario!$H:$L,5,FALSE),VLOOKUP($M8,TT_Tabelle_Riferimento!$H$31:$I$50,2,FALSE))</f>
        <v>40</v>
      </c>
      <c r="RA8" s="1078">
        <f>+IFERROR(VLOOKUP(RA$6&amp;"-"&amp;$M8&amp;"_old",Ammortamento_Finanziario!$H:$L,5,FALSE),VLOOKUP($M8,TT_Tabelle_Riferimento!$H$31:$I$50,2,FALSE))</f>
        <v>40</v>
      </c>
      <c r="RB8" s="1078">
        <f>+IFERROR(VLOOKUP(RB$6&amp;"-"&amp;$M8&amp;"_old",Ammortamento_Finanziario!$H:$L,5,FALSE),VLOOKUP($M8,TT_Tabelle_Riferimento!$H$31:$I$50,2,FALSE))</f>
        <v>40</v>
      </c>
      <c r="RC8" s="1755">
        <f>+IFERROR(VLOOKUP(RC$6&amp;"-"&amp;$M8&amp;"_old",Ammortamento_Finanziario!$H:$L,5,FALSE),VLOOKUP($M8,TT_Tabelle_Riferimento!$H$31:$I$50,2,FALSE))</f>
        <v>40</v>
      </c>
      <c r="RD8" s="1078">
        <f>+IFERROR(VLOOKUP(RD$6&amp;"-"&amp;$M8&amp;"_old",Ammortamento_Finanziario!$H:$L,5,FALSE),VLOOKUP($M8,TT_Tabelle_Riferimento!$H$31:$I$50,2,FALSE))</f>
        <v>40</v>
      </c>
      <c r="RE8" s="1078">
        <f>+IFERROR(VLOOKUP(RE$6&amp;"-"&amp;$M8&amp;"_old",Ammortamento_Finanziario!$H:$L,5,FALSE),VLOOKUP($M8,TT_Tabelle_Riferimento!$H$31:$I$50,2,FALSE))</f>
        <v>40</v>
      </c>
      <c r="RF8" s="1078">
        <f>+IFERROR(VLOOKUP(RF$6&amp;"-"&amp;$M8&amp;"_old",Ammortamento_Finanziario!$H:$L,5,FALSE),VLOOKUP($M8,TT_Tabelle_Riferimento!$H$31:$I$50,2,FALSE))</f>
        <v>40</v>
      </c>
      <c r="RG8" s="1078">
        <f>+IFERROR(VLOOKUP(RG$6&amp;"-"&amp;$M8&amp;"_old",Ammortamento_Finanziario!$H:$L,5,FALSE),VLOOKUP($M8,TT_Tabelle_Riferimento!$H$31:$I$50,2,FALSE))</f>
        <v>40</v>
      </c>
      <c r="RH8" s="1078">
        <f>+IFERROR(VLOOKUP(RH$6&amp;"-"&amp;$M8&amp;"_old",Ammortamento_Finanziario!$H:$L,5,FALSE),VLOOKUP($M8,TT_Tabelle_Riferimento!$H$31:$I$50,2,FALSE))</f>
        <v>40</v>
      </c>
      <c r="RI8" s="1078">
        <f>+IFERROR(VLOOKUP(RI$6&amp;"-"&amp;$M8&amp;"_old",Ammortamento_Finanziario!$H:$L,5,FALSE),VLOOKUP($M8,TT_Tabelle_Riferimento!$H$31:$I$50,2,FALSE))</f>
        <v>40</v>
      </c>
      <c r="RJ8" s="1078">
        <f>+IFERROR(VLOOKUP(RJ$6&amp;"-"&amp;$M8&amp;"_old",Ammortamento_Finanziario!$H:$L,5,FALSE),VLOOKUP($M8,TT_Tabelle_Riferimento!$H$31:$I$50,2,FALSE))</f>
        <v>40</v>
      </c>
      <c r="RK8" s="1078">
        <f>+IFERROR(VLOOKUP(RK$6&amp;"-"&amp;$M8&amp;"_old",Ammortamento_Finanziario!$H:$L,5,FALSE),VLOOKUP($M8,TT_Tabelle_Riferimento!$H$31:$I$50,2,FALSE))</f>
        <v>40</v>
      </c>
      <c r="RL8" s="1078">
        <f>+IFERROR(VLOOKUP(RL$6&amp;"-"&amp;$M8&amp;"_old",Ammortamento_Finanziario!$H:$L,5,FALSE),VLOOKUP($M8,TT_Tabelle_Riferimento!$H$31:$I$50,2,FALSE))</f>
        <v>40</v>
      </c>
      <c r="RM8" s="1078">
        <f>+IFERROR(VLOOKUP(RM$6&amp;"-"&amp;$M8&amp;"_old",Ammortamento_Finanziario!$H:$L,5,FALSE),VLOOKUP($M8,TT_Tabelle_Riferimento!$H$31:$I$50,2,FALSE))</f>
        <v>40</v>
      </c>
      <c r="RN8" s="1078">
        <f>+IFERROR(VLOOKUP(RN$6&amp;"-"&amp;$M8&amp;"_old",Ammortamento_Finanziario!$H:$L,5,FALSE),VLOOKUP($M8,TT_Tabelle_Riferimento!$H$31:$I$50,2,FALSE))</f>
        <v>40</v>
      </c>
      <c r="RO8" s="1078">
        <f>+IFERROR(VLOOKUP(RO$6&amp;"-"&amp;$M8&amp;"_old",Ammortamento_Finanziario!$H:$L,5,FALSE),VLOOKUP($M8,TT_Tabelle_Riferimento!$H$31:$I$50,2,FALSE))</f>
        <v>40</v>
      </c>
      <c r="RP8" s="1078">
        <f>+IFERROR(VLOOKUP(RP$6&amp;"-"&amp;$M8&amp;"_old",Ammortamento_Finanziario!$H:$L,5,FALSE),VLOOKUP($M8,TT_Tabelle_Riferimento!$H$31:$I$50,2,FALSE))</f>
        <v>40</v>
      </c>
      <c r="RQ8" s="1078">
        <f>+IFERROR(VLOOKUP(RQ$6&amp;"-"&amp;$M8&amp;"_old",Ammortamento_Finanziario!$H:$L,5,FALSE),VLOOKUP($M8,TT_Tabelle_Riferimento!$H$31:$I$50,2,FALSE))</f>
        <v>40</v>
      </c>
      <c r="RR8" s="1078">
        <f>+IFERROR(VLOOKUP(RR$6&amp;"-"&amp;$M8&amp;"_old",Ammortamento_Finanziario!$H:$L,5,FALSE),VLOOKUP($M8,TT_Tabelle_Riferimento!$H$31:$I$50,2,FALSE))</f>
        <v>40</v>
      </c>
      <c r="RS8" s="1078">
        <f>+IFERROR(VLOOKUP(RS$6&amp;"-"&amp;$M8&amp;"_old",Ammortamento_Finanziario!$H:$L,5,FALSE),VLOOKUP($M8,TT_Tabelle_Riferimento!$H$31:$I$50,2,FALSE))</f>
        <v>40</v>
      </c>
      <c r="RT8" s="1078">
        <f>+IFERROR(VLOOKUP(RT$6&amp;"-"&amp;$M8&amp;"_old",Ammortamento_Finanziario!$H:$L,5,FALSE),VLOOKUP($M8,TT_Tabelle_Riferimento!$H$31:$I$50,2,FALSE))</f>
        <v>40</v>
      </c>
      <c r="RU8" s="1078">
        <f>+IFERROR(VLOOKUP(RU$6&amp;"-"&amp;$M8&amp;"_old",Ammortamento_Finanziario!$H:$L,5,FALSE),VLOOKUP($M8,TT_Tabelle_Riferimento!$H$31:$I$50,2,FALSE))</f>
        <v>40</v>
      </c>
      <c r="RV8" s="1078">
        <f>+IFERROR(VLOOKUP(RV$6&amp;"-"&amp;$M8&amp;"_old",Ammortamento_Finanziario!$H:$L,5,FALSE),VLOOKUP($M8,TT_Tabelle_Riferimento!$H$31:$I$50,2,FALSE))</f>
        <v>40</v>
      </c>
    </row>
    <row r="9" spans="4:490">
      <c r="D9" s="135" t="s">
        <v>201</v>
      </c>
      <c r="E9" s="1264">
        <f>+SUM(IMN_gestore!$T:$T)</f>
        <v>0</v>
      </c>
      <c r="F9" s="1264">
        <f>+SUM(IMN_gestore!$AE:$AE)</f>
        <v>0</v>
      </c>
      <c r="G9" s="1264">
        <f>+SUM(IMN_gestore!$AP:$AP)</f>
        <v>0</v>
      </c>
      <c r="H9" s="1264">
        <f>+SUM(IMN_gestore!$BA:$BA)</f>
        <v>0</v>
      </c>
      <c r="I9" s="1264">
        <f>+SUM(IMN_gestore!BL:BL)</f>
        <v>0</v>
      </c>
      <c r="J9" s="1264">
        <f>+SUM(IMN_gestore!$BW:$BW)</f>
        <v>0</v>
      </c>
      <c r="K9" s="136"/>
      <c r="L9" s="125"/>
      <c r="M9" s="420">
        <v>3</v>
      </c>
      <c r="N9" s="904">
        <f>+IFERROR(VLOOKUP(N$6&amp;"-"&amp;$M9&amp;"_old",Ammortamento_Finanziario!$H:$L,5,FALSE),VLOOKUP($M9,TT_Tabelle_Riferimento!$H$31:$I$50,2,FALSE))</f>
        <v>40</v>
      </c>
      <c r="O9" s="904">
        <f>+IFERROR(VLOOKUP(O$6&amp;"-"&amp;$M9&amp;"_old",Ammortamento_Finanziario!$H:$L,5,FALSE),VLOOKUP($M9,TT_Tabelle_Riferimento!$H$31:$I$50,2,FALSE))</f>
        <v>40</v>
      </c>
      <c r="P9" s="904">
        <f>+IFERROR(VLOOKUP(P$6&amp;"-"&amp;$M9&amp;"_old",Ammortamento_Finanziario!$H:$L,5,FALSE),VLOOKUP($M9,TT_Tabelle_Riferimento!$H$31:$I$50,2,FALSE))</f>
        <v>40</v>
      </c>
      <c r="Q9" s="904">
        <f>+IFERROR(VLOOKUP(Q$6&amp;"-"&amp;$M9&amp;"_old",Ammortamento_Finanziario!$H:$L,5,FALSE),VLOOKUP($M9,TT_Tabelle_Riferimento!$H$31:$I$50,2,FALSE))</f>
        <v>40</v>
      </c>
      <c r="R9" s="904">
        <f>+IFERROR(VLOOKUP(R$6&amp;"-"&amp;$M9&amp;"_old",Ammortamento_Finanziario!$H:$L,5,FALSE),VLOOKUP($M9,TT_Tabelle_Riferimento!$H$31:$I$50,2,FALSE))</f>
        <v>40</v>
      </c>
      <c r="S9" s="904">
        <f>+IFERROR(VLOOKUP(S$6&amp;"-"&amp;$M9&amp;"_old",Ammortamento_Finanziario!$H:$L,5,FALSE),VLOOKUP($M9,TT_Tabelle_Riferimento!$H$31:$I$50,2,FALSE))</f>
        <v>40</v>
      </c>
      <c r="T9" s="904">
        <f>+IFERROR(VLOOKUP(T$6&amp;"-"&amp;$M9&amp;"_old",Ammortamento_Finanziario!$H:$L,5,FALSE),VLOOKUP($M9,TT_Tabelle_Riferimento!$H$31:$I$50,2,FALSE))</f>
        <v>40</v>
      </c>
      <c r="U9" s="904">
        <f>+IFERROR(VLOOKUP(U$6&amp;"-"&amp;$M9&amp;"_old",Ammortamento_Finanziario!$H:$L,5,FALSE),VLOOKUP($M9,TT_Tabelle_Riferimento!$H$31:$I$50,2,FALSE))</f>
        <v>40</v>
      </c>
      <c r="V9" s="904">
        <f>+IFERROR(VLOOKUP(V$6&amp;"-"&amp;$M9&amp;"_old",Ammortamento_Finanziario!$H:$L,5,FALSE),VLOOKUP($M9,TT_Tabelle_Riferimento!$H$31:$I$50,2,FALSE))</f>
        <v>40</v>
      </c>
      <c r="W9" s="904">
        <f>+IFERROR(VLOOKUP(W$6&amp;"-"&amp;$M9&amp;"_old",Ammortamento_Finanziario!$H:$L,5,FALSE),VLOOKUP($M9,TT_Tabelle_Riferimento!$H$31:$I$50,2,FALSE))</f>
        <v>40</v>
      </c>
      <c r="X9" s="1739">
        <f>+IFERROR(VLOOKUP(X$6&amp;"-"&amp;$M9&amp;"_old",Ammortamento_Finanziario!$H:$L,5,FALSE),VLOOKUP($M9,TT_Tabelle_Riferimento!$H$31:$I$50,2,FALSE))</f>
        <v>40</v>
      </c>
      <c r="Y9" s="1739">
        <f>+IFERROR(VLOOKUP(Y$6&amp;"-"&amp;$M9&amp;"_old",Ammortamento_Finanziario!$H:$L,5,FALSE),VLOOKUP($M9,TT_Tabelle_Riferimento!$H$31:$I$50,2,FALSE))</f>
        <v>40</v>
      </c>
      <c r="Z9" s="1749">
        <f>+IFERROR(VLOOKUP(Z$6&amp;"-"&amp;$M9&amp;"_old",Ammortamento_Finanziario!$H:$L,5,FALSE),VLOOKUP($M9,TT_Tabelle_Riferimento!$H$31:$I$50,2,FALSE))</f>
        <v>40</v>
      </c>
      <c r="AA9" s="1749">
        <f>+IFERROR(VLOOKUP(AA$6&amp;"-"&amp;$M9&amp;"_old",Ammortamento_Finanziario!$H:$L,5,FALSE),VLOOKUP($M9,TT_Tabelle_Riferimento!$H$31:$I$50,2,FALSE))</f>
        <v>40</v>
      </c>
      <c r="AB9" s="1749">
        <f>+IFERROR(VLOOKUP(AB$6&amp;"-"&amp;$M9&amp;"_old",Ammortamento_Finanziario!$H:$L,5,FALSE),VLOOKUP($M9,TT_Tabelle_Riferimento!$H$31:$I$50,2,FALSE))</f>
        <v>40</v>
      </c>
      <c r="AC9" s="1749">
        <f>+IFERROR(VLOOKUP(AC$6&amp;"-"&amp;$M9&amp;"_old",Ammortamento_Finanziario!$H:$L,5,FALSE),VLOOKUP($M9,TT_Tabelle_Riferimento!$H$31:$I$50,2,FALSE))</f>
        <v>40</v>
      </c>
      <c r="AD9" s="1749">
        <f>+IFERROR(VLOOKUP(AD$6&amp;"-"&amp;$M9&amp;"_old",Ammortamento_Finanziario!$H:$L,5,FALSE),VLOOKUP($M9,TT_Tabelle_Riferimento!$H$31:$I$50,2,FALSE))</f>
        <v>40</v>
      </c>
      <c r="AE9" s="1749">
        <f>+IFERROR(VLOOKUP(AE$6&amp;"-"&amp;$M9&amp;"_old",Ammortamento_Finanziario!$H:$L,5,FALSE),VLOOKUP($M9,TT_Tabelle_Riferimento!$H$31:$I$50,2,FALSE))</f>
        <v>40</v>
      </c>
      <c r="AF9" s="625">
        <f>+IFERROR(VLOOKUP(AF$6&amp;"-"&amp;$M9&amp;"_old",Ammortamento_Finanziario!$H:$L,5,FALSE),VLOOKUP($M9,TT_Tabelle_Riferimento!$H$31:$I$50,2,FALSE))</f>
        <v>40</v>
      </c>
      <c r="AG9" s="625">
        <f>+IFERROR(VLOOKUP(AG$6&amp;"-"&amp;$M9&amp;"_old",Ammortamento_Finanziario!$H:$L,5,FALSE),VLOOKUP($M9,TT_Tabelle_Riferimento!$H$31:$I$50,2,FALSE))</f>
        <v>40</v>
      </c>
      <c r="AH9" s="625">
        <f>+IFERROR(VLOOKUP(AH$6&amp;"-"&amp;$M9&amp;"_old",Ammortamento_Finanziario!$H:$L,5,FALSE),VLOOKUP($M9,TT_Tabelle_Riferimento!$H$31:$I$50,2,FALSE))</f>
        <v>40</v>
      </c>
      <c r="AI9" s="625">
        <f>+IFERROR(VLOOKUP(AI$6&amp;"-"&amp;$M9&amp;"_old",Ammortamento_Finanziario!$H:$L,5,FALSE),VLOOKUP($M9,TT_Tabelle_Riferimento!$H$31:$I$50,2,FALSE))</f>
        <v>40</v>
      </c>
      <c r="AJ9" s="625">
        <f>+IFERROR(VLOOKUP(AJ$6&amp;"-"&amp;$M9&amp;"_old",Ammortamento_Finanziario!$H:$L,5,FALSE),VLOOKUP($M9,TT_Tabelle_Riferimento!$H$31:$I$50,2,FALSE))</f>
        <v>40</v>
      </c>
      <c r="AK9" s="625">
        <f>+IFERROR(VLOOKUP(AK$6&amp;"-"&amp;$M9&amp;"_old",Ammortamento_Finanziario!$H:$L,5,FALSE),VLOOKUP($M9,TT_Tabelle_Riferimento!$H$31:$I$50,2,FALSE))</f>
        <v>40</v>
      </c>
      <c r="AL9" s="625">
        <f>+IFERROR(VLOOKUP(AL$6&amp;"-"&amp;$M9&amp;"_old",Ammortamento_Finanziario!$H:$L,5,FALSE),VLOOKUP($M9,TT_Tabelle_Riferimento!$H$31:$I$50,2,FALSE))</f>
        <v>40</v>
      </c>
      <c r="AM9" s="625">
        <f>+IFERROR(VLOOKUP(AM$6&amp;"-"&amp;$M9&amp;"_old",Ammortamento_Finanziario!$H:$L,5,FALSE),VLOOKUP($M9,TT_Tabelle_Riferimento!$H$31:$I$50,2,FALSE))</f>
        <v>40</v>
      </c>
      <c r="AN9" s="625">
        <f>+IFERROR(VLOOKUP(AN$6&amp;"-"&amp;$M9&amp;"_old",Ammortamento_Finanziario!$H:$L,5,FALSE),VLOOKUP($M9,TT_Tabelle_Riferimento!$H$31:$I$50,2,FALSE))</f>
        <v>40</v>
      </c>
      <c r="AO9" s="625">
        <f>+IFERROR(VLOOKUP(AO$6&amp;"-"&amp;$M9&amp;"_old",Ammortamento_Finanziario!$H:$L,5,FALSE),VLOOKUP($M9,TT_Tabelle_Riferimento!$H$31:$I$50,2,FALSE))</f>
        <v>40</v>
      </c>
      <c r="AP9" s="625">
        <f>+IFERROR(VLOOKUP(AP$6&amp;"-"&amp;$M9&amp;"_old",Ammortamento_Finanziario!$H:$L,5,FALSE),VLOOKUP($M9,TT_Tabelle_Riferimento!$H$31:$I$50,2,FALSE))</f>
        <v>40</v>
      </c>
      <c r="AQ9" s="625">
        <f>+IFERROR(VLOOKUP(AQ$6&amp;"-"&amp;$M9&amp;"_old",Ammortamento_Finanziario!$H:$L,5,FALSE),VLOOKUP($M9,TT_Tabelle_Riferimento!$H$31:$I$50,2,FALSE))</f>
        <v>40</v>
      </c>
      <c r="AR9" s="625">
        <f>+IFERROR(VLOOKUP(AR$6&amp;"-"&amp;$M9&amp;"_old",Ammortamento_Finanziario!$H:$L,5,FALSE),VLOOKUP($M9,TT_Tabelle_Riferimento!$H$31:$I$50,2,FALSE))</f>
        <v>40</v>
      </c>
      <c r="AS9" s="625">
        <f>+IFERROR(VLOOKUP(AS$6&amp;"-"&amp;$M9&amp;"_old",Ammortamento_Finanziario!$H:$L,5,FALSE),VLOOKUP($M9,TT_Tabelle_Riferimento!$H$31:$I$50,2,FALSE))</f>
        <v>40</v>
      </c>
      <c r="AT9" s="625">
        <f>+IFERROR(VLOOKUP(AT$6&amp;"-"&amp;$M9&amp;"_old",Ammortamento_Finanziario!$H:$L,5,FALSE),VLOOKUP($M9,TT_Tabelle_Riferimento!$H$31:$I$50,2,FALSE))</f>
        <v>40</v>
      </c>
      <c r="AU9" s="625">
        <f>+IFERROR(VLOOKUP(AU$6&amp;"-"&amp;$M9&amp;"_old",Ammortamento_Finanziario!$H:$L,5,FALSE),VLOOKUP($M9,TT_Tabelle_Riferimento!$H$31:$I$50,2,FALSE))</f>
        <v>40</v>
      </c>
      <c r="AV9" s="625">
        <f>+IFERROR(VLOOKUP(AV$6&amp;"-"&amp;$M9&amp;"_old",Ammortamento_Finanziario!$H:$L,5,FALSE),VLOOKUP($M9,TT_Tabelle_Riferimento!$H$31:$I$50,2,FALSE))</f>
        <v>40</v>
      </c>
      <c r="AW9" s="625">
        <f>+IFERROR(VLOOKUP(AW$6&amp;"-"&amp;$M9&amp;"_old",Ammortamento_Finanziario!$H:$L,5,FALSE),VLOOKUP($M9,TT_Tabelle_Riferimento!$H$31:$I$50,2,FALSE))</f>
        <v>40</v>
      </c>
      <c r="AX9" s="625">
        <f>+IFERROR(VLOOKUP(AX$6&amp;"-"&amp;$M9&amp;"_old",Ammortamento_Finanziario!$H:$L,5,FALSE),VLOOKUP($M9,TT_Tabelle_Riferimento!$H$31:$I$50,2,FALSE))</f>
        <v>40</v>
      </c>
      <c r="AY9" s="905">
        <f>+IFERROR(VLOOKUP(AY$6&amp;"-"&amp;$M9&amp;"_old",Ammortamento_Finanziario!$H:$L,5,FALSE),VLOOKUP($M9,TT_Tabelle_Riferimento!$H$31:$I$50,2,FALSE))</f>
        <v>40</v>
      </c>
      <c r="AZ9" s="905">
        <f>+IFERROR(VLOOKUP(AZ$6&amp;"-"&amp;$M9&amp;"_old",Ammortamento_Finanziario!$H:$L,5,FALSE),VLOOKUP($M9,TT_Tabelle_Riferimento!$H$31:$I$50,2,FALSE))</f>
        <v>40</v>
      </c>
      <c r="BA9" s="905">
        <f>+IFERROR(VLOOKUP(BA$6&amp;"-"&amp;$M9&amp;"_old",Ammortamento_Finanziario!$H:$L,5,FALSE),VLOOKUP($M9,TT_Tabelle_Riferimento!$H$31:$I$50,2,FALSE))</f>
        <v>40</v>
      </c>
      <c r="BB9" s="905">
        <f>+IFERROR(VLOOKUP(BB$6&amp;"-"&amp;$M9&amp;"_old",Ammortamento_Finanziario!$H:$L,5,FALSE),VLOOKUP($M9,TT_Tabelle_Riferimento!$H$31:$I$50,2,FALSE))</f>
        <v>40</v>
      </c>
      <c r="BC9" s="905">
        <f>+IFERROR(VLOOKUP(BC$6&amp;"-"&amp;$M9&amp;"_old",Ammortamento_Finanziario!$H:$L,5,FALSE),VLOOKUP($M9,TT_Tabelle_Riferimento!$H$31:$I$50,2,FALSE))</f>
        <v>40</v>
      </c>
      <c r="BD9" s="905">
        <f>+IFERROR(VLOOKUP(BD$6&amp;"-"&amp;$M9&amp;"_old",Ammortamento_Finanziario!$H:$L,5,FALSE),VLOOKUP($M9,TT_Tabelle_Riferimento!$H$31:$I$50,2,FALSE))</f>
        <v>40</v>
      </c>
      <c r="BE9" s="905">
        <f>+IFERROR(VLOOKUP(BE$6&amp;"-"&amp;$M9&amp;"_old",Ammortamento_Finanziario!$H:$L,5,FALSE),VLOOKUP($M9,TT_Tabelle_Riferimento!$H$31:$I$50,2,FALSE))</f>
        <v>40</v>
      </c>
      <c r="BF9" s="905">
        <f>+IFERROR(VLOOKUP(BF$6&amp;"-"&amp;$M9&amp;"_old",Ammortamento_Finanziario!$H:$L,5,FALSE),VLOOKUP($M9,TT_Tabelle_Riferimento!$H$31:$I$50,2,FALSE))</f>
        <v>40</v>
      </c>
      <c r="BG9" s="1740">
        <f>+IFERROR(VLOOKUP(BG$6&amp;"-"&amp;$M9&amp;"_old",Ammortamento_Finanziario!$H:$L,5,FALSE),VLOOKUP($M9,TT_Tabelle_Riferimento!$H$31:$I$50,2,FALSE))</f>
        <v>40</v>
      </c>
      <c r="BH9" s="1740">
        <f>+IFERROR(VLOOKUP(BH$6&amp;"-"&amp;$M9&amp;"_old",Ammortamento_Finanziario!$H:$L,5,FALSE),VLOOKUP($M9,TT_Tabelle_Riferimento!$H$31:$I$50,2,FALSE))</f>
        <v>40</v>
      </c>
      <c r="BI9" s="1749">
        <f>+IFERROR(VLOOKUP(BI$6&amp;"-"&amp;$M9&amp;"_old",Ammortamento_Finanziario!$H:$L,5,FALSE),VLOOKUP($M9,TT_Tabelle_Riferimento!$H$31:$I$50,2,FALSE))</f>
        <v>40</v>
      </c>
      <c r="BJ9" s="1749">
        <f>+IFERROR(VLOOKUP(BJ$6&amp;"-"&amp;$M9&amp;"_old",Ammortamento_Finanziario!$H:$L,5,FALSE),VLOOKUP($M9,TT_Tabelle_Riferimento!$H$31:$I$50,2,FALSE))</f>
        <v>40</v>
      </c>
      <c r="BK9" s="1749">
        <f>+IFERROR(VLOOKUP(BK$6&amp;"-"&amp;$M9&amp;"_old",Ammortamento_Finanziario!$H:$L,5,FALSE),VLOOKUP($M9,TT_Tabelle_Riferimento!$H$31:$I$50,2,FALSE))</f>
        <v>40</v>
      </c>
      <c r="BL9" s="1749">
        <f>+IFERROR(VLOOKUP(BL$6&amp;"-"&amp;$M9&amp;"_old",Ammortamento_Finanziario!$H:$L,5,FALSE),VLOOKUP($M9,TT_Tabelle_Riferimento!$H$31:$I$50,2,FALSE))</f>
        <v>40</v>
      </c>
      <c r="BM9" s="1749">
        <f>+IFERROR(VLOOKUP(BM$6&amp;"-"&amp;$M9&amp;"_old",Ammortamento_Finanziario!$H:$L,5,FALSE),VLOOKUP($M9,TT_Tabelle_Riferimento!$H$31:$I$50,2,FALSE))</f>
        <v>40</v>
      </c>
      <c r="BN9" s="1749">
        <f>+IFERROR(VLOOKUP(BN$6&amp;"-"&amp;$M9&amp;"_old",Ammortamento_Finanziario!$H:$L,5,FALSE),VLOOKUP($M9,TT_Tabelle_Riferimento!$H$31:$I$50,2,FALSE))</f>
        <v>40</v>
      </c>
      <c r="BO9" s="625">
        <f>+IFERROR(VLOOKUP(BO$6&amp;"-"&amp;$M9&amp;"_old",Ammortamento_Finanziario!$H:$L,5,FALSE),VLOOKUP($M9,TT_Tabelle_Riferimento!$H$31:$I$50,2,FALSE))</f>
        <v>40</v>
      </c>
      <c r="BP9" s="625">
        <f>+IFERROR(VLOOKUP(BP$6&amp;"-"&amp;$M9&amp;"_old",Ammortamento_Finanziario!$H:$L,5,FALSE),VLOOKUP($M9,TT_Tabelle_Riferimento!$H$31:$I$50,2,FALSE))</f>
        <v>40</v>
      </c>
      <c r="BQ9" s="625">
        <f>+IFERROR(VLOOKUP(BQ$6&amp;"-"&amp;$M9&amp;"_old",Ammortamento_Finanziario!$H:$L,5,FALSE),VLOOKUP($M9,TT_Tabelle_Riferimento!$H$31:$I$50,2,FALSE))</f>
        <v>40</v>
      </c>
      <c r="BR9" s="625">
        <f>+IFERROR(VLOOKUP(BR$6&amp;"-"&amp;$M9&amp;"_old",Ammortamento_Finanziario!$H:$L,5,FALSE),VLOOKUP($M9,TT_Tabelle_Riferimento!$H$31:$I$50,2,FALSE))</f>
        <v>40</v>
      </c>
      <c r="BS9" s="625">
        <f>+IFERROR(VLOOKUP(BS$6&amp;"-"&amp;$M9&amp;"_old",Ammortamento_Finanziario!$H:$L,5,FALSE),VLOOKUP($M9,TT_Tabelle_Riferimento!$H$31:$I$50,2,FALSE))</f>
        <v>40</v>
      </c>
      <c r="BT9" s="625">
        <f>+IFERROR(VLOOKUP(BT$6&amp;"-"&amp;$M9&amp;"_old",Ammortamento_Finanziario!$H:$L,5,FALSE),VLOOKUP($M9,TT_Tabelle_Riferimento!$H$31:$I$50,2,FALSE))</f>
        <v>40</v>
      </c>
      <c r="BU9" s="625">
        <f>+IFERROR(VLOOKUP(BU$6&amp;"-"&amp;$M9&amp;"_old",Ammortamento_Finanziario!$H:$L,5,FALSE),VLOOKUP($M9,TT_Tabelle_Riferimento!$H$31:$I$50,2,FALSE))</f>
        <v>40</v>
      </c>
      <c r="BV9" s="625">
        <f>+IFERROR(VLOOKUP(BV$6&amp;"-"&amp;$M9&amp;"_old",Ammortamento_Finanziario!$H:$L,5,FALSE),VLOOKUP($M9,TT_Tabelle_Riferimento!$H$31:$I$50,2,FALSE))</f>
        <v>40</v>
      </c>
      <c r="BW9" s="625">
        <f>+IFERROR(VLOOKUP(BW$6&amp;"-"&amp;$M9&amp;"_old",Ammortamento_Finanziario!$H:$L,5,FALSE),VLOOKUP($M9,TT_Tabelle_Riferimento!$H$31:$I$50,2,FALSE))</f>
        <v>40</v>
      </c>
      <c r="BX9" s="625">
        <f>+IFERROR(VLOOKUP(BX$6&amp;"-"&amp;$M9&amp;"_old",Ammortamento_Finanziario!$H:$L,5,FALSE),VLOOKUP($M9,TT_Tabelle_Riferimento!$H$31:$I$50,2,FALSE))</f>
        <v>40</v>
      </c>
      <c r="BY9" s="625">
        <f>+IFERROR(VLOOKUP(BY$6&amp;"-"&amp;$M9&amp;"_old",Ammortamento_Finanziario!$H:$L,5,FALSE),VLOOKUP($M9,TT_Tabelle_Riferimento!$H$31:$I$50,2,FALSE))</f>
        <v>40</v>
      </c>
      <c r="BZ9" s="625">
        <f>+IFERROR(VLOOKUP(BZ$6&amp;"-"&amp;$M9&amp;"_old",Ammortamento_Finanziario!$H:$L,5,FALSE),VLOOKUP($M9,TT_Tabelle_Riferimento!$H$31:$I$50,2,FALSE))</f>
        <v>40</v>
      </c>
      <c r="CA9" s="625">
        <f>+IFERROR(VLOOKUP(CA$6&amp;"-"&amp;$M9&amp;"_old",Ammortamento_Finanziario!$H:$L,5,FALSE),VLOOKUP($M9,TT_Tabelle_Riferimento!$H$31:$I$50,2,FALSE))</f>
        <v>40</v>
      </c>
      <c r="CB9" s="625">
        <f>+IFERROR(VLOOKUP(CB$6&amp;"-"&amp;$M9&amp;"_old",Ammortamento_Finanziario!$H:$L,5,FALSE),VLOOKUP($M9,TT_Tabelle_Riferimento!$H$31:$I$50,2,FALSE))</f>
        <v>40</v>
      </c>
      <c r="CC9" s="625">
        <f>+IFERROR(VLOOKUP(CC$6&amp;"-"&amp;$M9&amp;"_old",Ammortamento_Finanziario!$H:$L,5,FALSE),VLOOKUP($M9,TT_Tabelle_Riferimento!$H$31:$I$50,2,FALSE))</f>
        <v>40</v>
      </c>
      <c r="CD9" s="625">
        <f>+IFERROR(VLOOKUP(CD$6&amp;"-"&amp;$M9&amp;"_old",Ammortamento_Finanziario!$H:$L,5,FALSE),VLOOKUP($M9,TT_Tabelle_Riferimento!$H$31:$I$50,2,FALSE))</f>
        <v>40</v>
      </c>
      <c r="CE9" s="625">
        <f>+IFERROR(VLOOKUP(CE$6&amp;"-"&amp;$M9&amp;"_old",Ammortamento_Finanziario!$H:$L,5,FALSE),VLOOKUP($M9,TT_Tabelle_Riferimento!$H$31:$I$50,2,FALSE))</f>
        <v>40</v>
      </c>
      <c r="CF9" s="625">
        <f>+IFERROR(VLOOKUP(CF$6&amp;"-"&amp;$M9&amp;"_old",Ammortamento_Finanziario!$H:$L,5,FALSE),VLOOKUP($M9,TT_Tabelle_Riferimento!$H$31:$I$50,2,FALSE))</f>
        <v>40</v>
      </c>
      <c r="CG9" s="625">
        <f>+IFERROR(VLOOKUP(CG$6&amp;"-"&amp;$M9&amp;"_old",Ammortamento_Finanziario!$H:$L,5,FALSE),VLOOKUP($M9,TT_Tabelle_Riferimento!$H$31:$I$50,2,FALSE))</f>
        <v>40</v>
      </c>
      <c r="CH9" s="905">
        <f>+IFERROR(VLOOKUP(CH$6&amp;"-"&amp;$M9&amp;"_old",Ammortamento_Finanziario!$H:$L,5,FALSE),VLOOKUP($M9,TT_Tabelle_Riferimento!$H$31:$I$50,2,FALSE))</f>
        <v>40</v>
      </c>
      <c r="CI9" s="905">
        <f>+IFERROR(VLOOKUP(CI$6&amp;"-"&amp;$M9&amp;"_old",Ammortamento_Finanziario!$H:$L,5,FALSE),VLOOKUP($M9,TT_Tabelle_Riferimento!$H$31:$I$50,2,FALSE))</f>
        <v>40</v>
      </c>
      <c r="CJ9" s="905">
        <f>+IFERROR(VLOOKUP(CJ$6&amp;"-"&amp;$M9&amp;"_old",Ammortamento_Finanziario!$H:$L,5,FALSE),VLOOKUP($M9,TT_Tabelle_Riferimento!$H$31:$I$50,2,FALSE))</f>
        <v>40</v>
      </c>
      <c r="CK9" s="905">
        <f>+IFERROR(VLOOKUP(CK$6&amp;"-"&amp;$M9&amp;"_old",Ammortamento_Finanziario!$H:$L,5,FALSE),VLOOKUP($M9,TT_Tabelle_Riferimento!$H$31:$I$50,2,FALSE))</f>
        <v>40</v>
      </c>
      <c r="CL9" s="905">
        <f>+IFERROR(VLOOKUP(CL$6&amp;"-"&amp;$M9&amp;"_old",Ammortamento_Finanziario!$H:$L,5,FALSE),VLOOKUP($M9,TT_Tabelle_Riferimento!$H$31:$I$50,2,FALSE))</f>
        <v>40</v>
      </c>
      <c r="CM9" s="905">
        <f>+IFERROR(VLOOKUP(CM$6&amp;"-"&amp;$M9&amp;"_old",Ammortamento_Finanziario!$H:$L,5,FALSE),VLOOKUP($M9,TT_Tabelle_Riferimento!$H$31:$I$50,2,FALSE))</f>
        <v>40</v>
      </c>
      <c r="CN9" s="905">
        <f>+IFERROR(VLOOKUP(CN$6&amp;"-"&amp;$M9&amp;"_old",Ammortamento_Finanziario!$H:$L,5,FALSE),VLOOKUP($M9,TT_Tabelle_Riferimento!$H$31:$I$50,2,FALSE))</f>
        <v>40</v>
      </c>
      <c r="CO9" s="1740">
        <f>+IFERROR(VLOOKUP(CO$6&amp;"-"&amp;$M9&amp;"_old",Ammortamento_Finanziario!$H:$L,5,FALSE),VLOOKUP($M9,TT_Tabelle_Riferimento!$H$31:$I$50,2,FALSE))</f>
        <v>40</v>
      </c>
      <c r="CP9" s="1740">
        <f>+IFERROR(VLOOKUP(CP$6&amp;"-"&amp;$M9&amp;"_old",Ammortamento_Finanziario!$H:$L,5,FALSE),VLOOKUP($M9,TT_Tabelle_Riferimento!$H$31:$I$50,2,FALSE))</f>
        <v>40</v>
      </c>
      <c r="CQ9" s="1749">
        <f>+IFERROR(VLOOKUP(CQ$6&amp;"-"&amp;$M9&amp;"_old",Ammortamento_Finanziario!$H:$L,5,FALSE),VLOOKUP($M9,TT_Tabelle_Riferimento!$H$31:$I$50,2,FALSE))</f>
        <v>40</v>
      </c>
      <c r="CR9" s="1749">
        <f>+IFERROR(VLOOKUP(CR$6&amp;"-"&amp;$M9&amp;"_old",Ammortamento_Finanziario!$H:$L,5,FALSE),VLOOKUP($M9,TT_Tabelle_Riferimento!$H$31:$I$50,2,FALSE))</f>
        <v>40</v>
      </c>
      <c r="CS9" s="1749">
        <f>+IFERROR(VLOOKUP(CS$6&amp;"-"&amp;$M9&amp;"_old",Ammortamento_Finanziario!$H:$L,5,FALSE),VLOOKUP($M9,TT_Tabelle_Riferimento!$H$31:$I$50,2,FALSE))</f>
        <v>40</v>
      </c>
      <c r="CT9" s="1749">
        <f>+IFERROR(VLOOKUP(CT$6&amp;"-"&amp;$M9&amp;"_old",Ammortamento_Finanziario!$H:$L,5,FALSE),VLOOKUP($M9,TT_Tabelle_Riferimento!$H$31:$I$50,2,FALSE))</f>
        <v>40</v>
      </c>
      <c r="CU9" s="1749">
        <f>+IFERROR(VLOOKUP(CU$6&amp;"-"&amp;$M9&amp;"_old",Ammortamento_Finanziario!$H:$L,5,FALSE),VLOOKUP($M9,TT_Tabelle_Riferimento!$H$31:$I$50,2,FALSE))</f>
        <v>40</v>
      </c>
      <c r="CV9" s="1749">
        <f>+IFERROR(VLOOKUP(CV$6&amp;"-"&amp;$M9&amp;"_old",Ammortamento_Finanziario!$H:$L,5,FALSE),VLOOKUP($M9,TT_Tabelle_Riferimento!$H$31:$I$50,2,FALSE))</f>
        <v>40</v>
      </c>
      <c r="CW9" s="625">
        <f>+IFERROR(VLOOKUP(CW$6&amp;"-"&amp;$M9&amp;"_old",Ammortamento_Finanziario!$H:$L,5,FALSE),VLOOKUP($M9,TT_Tabelle_Riferimento!$H$31:$I$50,2,FALSE))</f>
        <v>40</v>
      </c>
      <c r="CX9" s="625">
        <f>+IFERROR(VLOOKUP(CX$6&amp;"-"&amp;$M9&amp;"_old",Ammortamento_Finanziario!$H:$L,5,FALSE),VLOOKUP($M9,TT_Tabelle_Riferimento!$H$31:$I$50,2,FALSE))</f>
        <v>40</v>
      </c>
      <c r="CY9" s="625">
        <f>+IFERROR(VLOOKUP(CY$6&amp;"-"&amp;$M9&amp;"_old",Ammortamento_Finanziario!$H:$L,5,FALSE),VLOOKUP($M9,TT_Tabelle_Riferimento!$H$31:$I$50,2,FALSE))</f>
        <v>40</v>
      </c>
      <c r="CZ9" s="625">
        <f>+IFERROR(VLOOKUP(CZ$6&amp;"-"&amp;$M9&amp;"_old",Ammortamento_Finanziario!$H:$L,5,FALSE),VLOOKUP($M9,TT_Tabelle_Riferimento!$H$31:$I$50,2,FALSE))</f>
        <v>40</v>
      </c>
      <c r="DA9" s="625">
        <f>+IFERROR(VLOOKUP(DA$6&amp;"-"&amp;$M9&amp;"_old",Ammortamento_Finanziario!$H:$L,5,FALSE),VLOOKUP($M9,TT_Tabelle_Riferimento!$H$31:$I$50,2,FALSE))</f>
        <v>40</v>
      </c>
      <c r="DB9" s="625">
        <f>+IFERROR(VLOOKUP(DB$6&amp;"-"&amp;$M9&amp;"_old",Ammortamento_Finanziario!$H:$L,5,FALSE),VLOOKUP($M9,TT_Tabelle_Riferimento!$H$31:$I$50,2,FALSE))</f>
        <v>40</v>
      </c>
      <c r="DC9" s="625">
        <f>+IFERROR(VLOOKUP(DC$6&amp;"-"&amp;$M9&amp;"_old",Ammortamento_Finanziario!$H:$L,5,FALSE),VLOOKUP($M9,TT_Tabelle_Riferimento!$H$31:$I$50,2,FALSE))</f>
        <v>40</v>
      </c>
      <c r="DD9" s="625">
        <f>+IFERROR(VLOOKUP(DD$6&amp;"-"&amp;$M9&amp;"_old",Ammortamento_Finanziario!$H:$L,5,FALSE),VLOOKUP($M9,TT_Tabelle_Riferimento!$H$31:$I$50,2,FALSE))</f>
        <v>40</v>
      </c>
      <c r="DE9" s="625">
        <f>+IFERROR(VLOOKUP(DE$6&amp;"-"&amp;$M9&amp;"_old",Ammortamento_Finanziario!$H:$L,5,FALSE),VLOOKUP($M9,TT_Tabelle_Riferimento!$H$31:$I$50,2,FALSE))</f>
        <v>40</v>
      </c>
      <c r="DF9" s="625">
        <f>+IFERROR(VLOOKUP(DF$6&amp;"-"&amp;$M9&amp;"_old",Ammortamento_Finanziario!$H:$L,5,FALSE),VLOOKUP($M9,TT_Tabelle_Riferimento!$H$31:$I$50,2,FALSE))</f>
        <v>40</v>
      </c>
      <c r="DG9" s="625">
        <f>+IFERROR(VLOOKUP(DG$6&amp;"-"&amp;$M9&amp;"_old",Ammortamento_Finanziario!$H:$L,5,FALSE),VLOOKUP($M9,TT_Tabelle_Riferimento!$H$31:$I$50,2,FALSE))</f>
        <v>40</v>
      </c>
      <c r="DH9" s="625">
        <f>+IFERROR(VLOOKUP(DH$6&amp;"-"&amp;$M9&amp;"_old",Ammortamento_Finanziario!$H:$L,5,FALSE),VLOOKUP($M9,TT_Tabelle_Riferimento!$H$31:$I$50,2,FALSE))</f>
        <v>40</v>
      </c>
      <c r="DI9" s="625">
        <f>+IFERROR(VLOOKUP(DI$6&amp;"-"&amp;$M9&amp;"_old",Ammortamento_Finanziario!$H:$L,5,FALSE),VLOOKUP($M9,TT_Tabelle_Riferimento!$H$31:$I$50,2,FALSE))</f>
        <v>40</v>
      </c>
      <c r="DJ9" s="625">
        <f>+IFERROR(VLOOKUP(DJ$6&amp;"-"&amp;$M9&amp;"_old",Ammortamento_Finanziario!$H:$L,5,FALSE),VLOOKUP($M9,TT_Tabelle_Riferimento!$H$31:$I$50,2,FALSE))</f>
        <v>40</v>
      </c>
      <c r="DK9" s="625">
        <f>+IFERROR(VLOOKUP(DK$6&amp;"-"&amp;$M9&amp;"_old",Ammortamento_Finanziario!$H:$L,5,FALSE),VLOOKUP($M9,TT_Tabelle_Riferimento!$H$31:$I$50,2,FALSE))</f>
        <v>40</v>
      </c>
      <c r="DL9" s="625">
        <f>+IFERROR(VLOOKUP(DL$6&amp;"-"&amp;$M9&amp;"_old",Ammortamento_Finanziario!$H:$L,5,FALSE),VLOOKUP($M9,TT_Tabelle_Riferimento!$H$31:$I$50,2,FALSE))</f>
        <v>40</v>
      </c>
      <c r="DM9" s="625">
        <f>+IFERROR(VLOOKUP(DM$6&amp;"-"&amp;$M9&amp;"_old",Ammortamento_Finanziario!$H:$L,5,FALSE),VLOOKUP($M9,TT_Tabelle_Riferimento!$H$31:$I$50,2,FALSE))</f>
        <v>40</v>
      </c>
      <c r="DN9" s="625">
        <f>+IFERROR(VLOOKUP(DN$6&amp;"-"&amp;$M9&amp;"_old",Ammortamento_Finanziario!$H:$L,5,FALSE),VLOOKUP($M9,TT_Tabelle_Riferimento!$H$31:$I$50,2,FALSE))</f>
        <v>40</v>
      </c>
      <c r="DO9" s="625">
        <f>+IFERROR(VLOOKUP(DO$6&amp;"-"&amp;$M9&amp;"_old",Ammortamento_Finanziario!$H:$L,5,FALSE),VLOOKUP($M9,TT_Tabelle_Riferimento!$H$31:$I$50,2,FALSE))</f>
        <v>40</v>
      </c>
      <c r="DP9" s="636">
        <f>+IFERROR(VLOOKUP(DP$6&amp;"-"&amp;$M9&amp;"_old",Ammortamento_Finanziario!$H:$L,5,FALSE),VLOOKUP($M9,TT_Tabelle_Riferimento!$H$31:$I$50,2,FALSE))</f>
        <v>40</v>
      </c>
      <c r="DQ9" s="636">
        <f>+IFERROR(VLOOKUP(DQ$6&amp;"-"&amp;$M9&amp;"_old",Ammortamento_Finanziario!$H:$L,5,FALSE),VLOOKUP($M9,TT_Tabelle_Riferimento!$H$31:$I$50,2,FALSE))</f>
        <v>40</v>
      </c>
      <c r="DR9" s="636">
        <f>+IFERROR(VLOOKUP(DR$6&amp;"-"&amp;$M9&amp;"_old",Ammortamento_Finanziario!$H:$L,5,FALSE),VLOOKUP($M9,TT_Tabelle_Riferimento!$H$31:$I$50,2,FALSE))</f>
        <v>40</v>
      </c>
      <c r="DS9" s="636">
        <f>+IFERROR(VLOOKUP(DS$6&amp;"-"&amp;$M9&amp;"_old",Ammortamento_Finanziario!$H:$L,5,FALSE),VLOOKUP($M9,TT_Tabelle_Riferimento!$H$31:$I$50,2,FALSE))</f>
        <v>40</v>
      </c>
      <c r="DT9" s="636">
        <f>+IFERROR(VLOOKUP(DT$6&amp;"-"&amp;$M9&amp;"_old",Ammortamento_Finanziario!$H:$L,5,FALSE),VLOOKUP($M9,TT_Tabelle_Riferimento!$H$31:$I$50,2,FALSE))</f>
        <v>40</v>
      </c>
      <c r="DU9" s="636">
        <f>+IFERROR(VLOOKUP(DU$6&amp;"-"&amp;$M9&amp;"_old",Ammortamento_Finanziario!$H:$L,5,FALSE),VLOOKUP($M9,TT_Tabelle_Riferimento!$H$31:$I$50,2,FALSE))</f>
        <v>40</v>
      </c>
      <c r="DV9" s="1742">
        <f>+IFERROR(VLOOKUP(DV$6&amp;"-"&amp;$M9&amp;"_old",Ammortamento_Finanziario!$H:$L,5,FALSE),VLOOKUP($M9,TT_Tabelle_Riferimento!$H$31:$I$50,2,FALSE))</f>
        <v>40</v>
      </c>
      <c r="DW9" s="1742">
        <f>+IFERROR(VLOOKUP(DW$6&amp;"-"&amp;$M9&amp;"_old",Ammortamento_Finanziario!$H:$L,5,FALSE),VLOOKUP($M9,TT_Tabelle_Riferimento!$H$31:$I$50,2,FALSE))</f>
        <v>40</v>
      </c>
      <c r="DX9" s="1750">
        <f>+IFERROR(VLOOKUP(DX$6&amp;"-"&amp;$M9&amp;"_old",Ammortamento_Finanziario!$H:$L,5,FALSE),VLOOKUP($M9,TT_Tabelle_Riferimento!$H$31:$I$50,2,FALSE))</f>
        <v>40</v>
      </c>
      <c r="DY9" s="1750">
        <f>+IFERROR(VLOOKUP(DY$6&amp;"-"&amp;$M9&amp;"_old",Ammortamento_Finanziario!$H:$L,5,FALSE),VLOOKUP($M9,TT_Tabelle_Riferimento!$H$31:$I$50,2,FALSE))</f>
        <v>40</v>
      </c>
      <c r="DZ9" s="1750">
        <f>+IFERROR(VLOOKUP(DZ$6&amp;"-"&amp;$M9&amp;"_old",Ammortamento_Finanziario!$H:$L,5,FALSE),VLOOKUP($M9,TT_Tabelle_Riferimento!$H$31:$I$50,2,FALSE))</f>
        <v>40</v>
      </c>
      <c r="EA9" s="1750">
        <f>+IFERROR(VLOOKUP(EA$6&amp;"-"&amp;$M9&amp;"_old",Ammortamento_Finanziario!$H:$L,5,FALSE),VLOOKUP($M9,TT_Tabelle_Riferimento!$H$31:$I$50,2,FALSE))</f>
        <v>40</v>
      </c>
      <c r="EB9" s="1750">
        <f>+IFERROR(VLOOKUP(EB$6&amp;"-"&amp;$M9&amp;"_old",Ammortamento_Finanziario!$H:$L,5,FALSE),VLOOKUP($M9,TT_Tabelle_Riferimento!$H$31:$I$50,2,FALSE))</f>
        <v>40</v>
      </c>
      <c r="EC9" s="1750">
        <f>+IFERROR(VLOOKUP(EC$6&amp;"-"&amp;$M9&amp;"_old",Ammortamento_Finanziario!$H:$L,5,FALSE),VLOOKUP($M9,TT_Tabelle_Riferimento!$H$31:$I$50,2,FALSE))</f>
        <v>40</v>
      </c>
      <c r="ED9" s="636">
        <f>+IFERROR(VLOOKUP(ED$6&amp;"-"&amp;$M9&amp;"_old",Ammortamento_Finanziario!$H:$L,5,FALSE),VLOOKUP($M9,TT_Tabelle_Riferimento!$H$31:$I$50,2,FALSE))</f>
        <v>40</v>
      </c>
      <c r="EE9" s="636">
        <f>+IFERROR(VLOOKUP(EE$6&amp;"-"&amp;$M9&amp;"_old",Ammortamento_Finanziario!$H:$L,5,FALSE),VLOOKUP($M9,TT_Tabelle_Riferimento!$H$31:$I$50,2,FALSE))</f>
        <v>40</v>
      </c>
      <c r="EF9" s="636">
        <f>+IFERROR(VLOOKUP(EF$6&amp;"-"&amp;$M9&amp;"_old",Ammortamento_Finanziario!$H:$L,5,FALSE),VLOOKUP($M9,TT_Tabelle_Riferimento!$H$31:$I$50,2,FALSE))</f>
        <v>40</v>
      </c>
      <c r="EG9" s="636">
        <f>+IFERROR(VLOOKUP(EG$6&amp;"-"&amp;$M9&amp;"_old",Ammortamento_Finanziario!$H:$L,5,FALSE),VLOOKUP($M9,TT_Tabelle_Riferimento!$H$31:$I$50,2,FALSE))</f>
        <v>40</v>
      </c>
      <c r="EH9" s="636">
        <f>+IFERROR(VLOOKUP(EH$6&amp;"-"&amp;$M9&amp;"_old",Ammortamento_Finanziario!$H:$L,5,FALSE),VLOOKUP($M9,TT_Tabelle_Riferimento!$H$31:$I$50,2,FALSE))</f>
        <v>40</v>
      </c>
      <c r="EI9" s="636">
        <f>+IFERROR(VLOOKUP(EI$6&amp;"-"&amp;$M9&amp;"_old",Ammortamento_Finanziario!$H:$L,5,FALSE),VLOOKUP($M9,TT_Tabelle_Riferimento!$H$31:$I$50,2,FALSE))</f>
        <v>40</v>
      </c>
      <c r="EJ9" s="636">
        <f>+IFERROR(VLOOKUP(EJ$6&amp;"-"&amp;$M9&amp;"_old",Ammortamento_Finanziario!$H:$L,5,FALSE),VLOOKUP($M9,TT_Tabelle_Riferimento!$H$31:$I$50,2,FALSE))</f>
        <v>40</v>
      </c>
      <c r="EK9" s="636">
        <f>+IFERROR(VLOOKUP(EK$6&amp;"-"&amp;$M9&amp;"_old",Ammortamento_Finanziario!$H:$L,5,FALSE),VLOOKUP($M9,TT_Tabelle_Riferimento!$H$31:$I$50,2,FALSE))</f>
        <v>40</v>
      </c>
      <c r="EL9" s="636">
        <f>+IFERROR(VLOOKUP(EL$6&amp;"-"&amp;$M9&amp;"_old",Ammortamento_Finanziario!$H:$L,5,FALSE),VLOOKUP($M9,TT_Tabelle_Riferimento!$H$31:$I$50,2,FALSE))</f>
        <v>40</v>
      </c>
      <c r="EM9" s="636">
        <f>+IFERROR(VLOOKUP(EM$6&amp;"-"&amp;$M9&amp;"_old",Ammortamento_Finanziario!$H:$L,5,FALSE),VLOOKUP($M9,TT_Tabelle_Riferimento!$H$31:$I$50,2,FALSE))</f>
        <v>40</v>
      </c>
      <c r="EN9" s="636">
        <f>+IFERROR(VLOOKUP(EN$6&amp;"-"&amp;$M9&amp;"_old",Ammortamento_Finanziario!$H:$L,5,FALSE),VLOOKUP($M9,TT_Tabelle_Riferimento!$H$31:$I$50,2,FALSE))</f>
        <v>40</v>
      </c>
      <c r="EO9" s="636">
        <f>+IFERROR(VLOOKUP(EO$6&amp;"-"&amp;$M9&amp;"_old",Ammortamento_Finanziario!$H:$L,5,FALSE),VLOOKUP($M9,TT_Tabelle_Riferimento!$H$31:$I$50,2,FALSE))</f>
        <v>40</v>
      </c>
      <c r="EP9" s="636">
        <f>+IFERROR(VLOOKUP(EP$6&amp;"-"&amp;$M9&amp;"_old",Ammortamento_Finanziario!$H:$L,5,FALSE),VLOOKUP($M9,TT_Tabelle_Riferimento!$H$31:$I$50,2,FALSE))</f>
        <v>40</v>
      </c>
      <c r="EQ9" s="636">
        <f>+IFERROR(VLOOKUP(EQ$6&amp;"-"&amp;$M9&amp;"_old",Ammortamento_Finanziario!$H:$L,5,FALSE),VLOOKUP($M9,TT_Tabelle_Riferimento!$H$31:$I$50,2,FALSE))</f>
        <v>40</v>
      </c>
      <c r="ER9" s="636">
        <f>+IFERROR(VLOOKUP(ER$6&amp;"-"&amp;$M9&amp;"_old",Ammortamento_Finanziario!$H:$L,5,FALSE),VLOOKUP($M9,TT_Tabelle_Riferimento!$H$31:$I$50,2,FALSE))</f>
        <v>40</v>
      </c>
      <c r="ES9" s="636">
        <f>+IFERROR(VLOOKUP(ES$6&amp;"-"&amp;$M9&amp;"_old",Ammortamento_Finanziario!$H:$L,5,FALSE),VLOOKUP($M9,TT_Tabelle_Riferimento!$H$31:$I$50,2,FALSE))</f>
        <v>40</v>
      </c>
      <c r="ET9" s="636">
        <f>+IFERROR(VLOOKUP(ET$6&amp;"-"&amp;$M9&amp;"_old",Ammortamento_Finanziario!$H:$L,5,FALSE),VLOOKUP($M9,TT_Tabelle_Riferimento!$H$31:$I$50,2,FALSE))</f>
        <v>40</v>
      </c>
      <c r="EU9" s="636">
        <f>+IFERROR(VLOOKUP(EU$6&amp;"-"&amp;$M9&amp;"_old",Ammortamento_Finanziario!$H:$L,5,FALSE),VLOOKUP($M9,TT_Tabelle_Riferimento!$H$31:$I$50,2,FALSE))</f>
        <v>40</v>
      </c>
      <c r="EV9" s="636">
        <f>+IFERROR(VLOOKUP(EV$6&amp;"-"&amp;$M9&amp;"_old",Ammortamento_Finanziario!$H:$L,5,FALSE),VLOOKUP($M9,TT_Tabelle_Riferimento!$H$31:$I$50,2,FALSE))</f>
        <v>40</v>
      </c>
      <c r="EW9" s="1048">
        <f>+IFERROR(VLOOKUP(EW$6&amp;"-"&amp;$M9&amp;"_old",Ammortamento_Finanziario!$H:$L,5,FALSE),VLOOKUP($M9,TT_Tabelle_Riferimento!$H$31:$I$50,2,FALSE))</f>
        <v>40</v>
      </c>
      <c r="EX9" s="1048">
        <f>+IFERROR(VLOOKUP(EX$6&amp;"-"&amp;$M9&amp;"_old",Ammortamento_Finanziario!$H:$L,5,FALSE),VLOOKUP($M9,TT_Tabelle_Riferimento!$H$31:$I$50,2,FALSE))</f>
        <v>40</v>
      </c>
      <c r="EY9" s="1048">
        <f>+IFERROR(VLOOKUP(EY$6&amp;"-"&amp;$M9&amp;"_old",Ammortamento_Finanziario!$H:$L,5,FALSE),VLOOKUP($M9,TT_Tabelle_Riferimento!$H$31:$I$50,2,FALSE))</f>
        <v>40</v>
      </c>
      <c r="EZ9" s="1048">
        <f>+IFERROR(VLOOKUP(EZ$6&amp;"-"&amp;$M9&amp;"_old",Ammortamento_Finanziario!$H:$L,5,FALSE),VLOOKUP($M9,TT_Tabelle_Riferimento!$H$31:$I$50,2,FALSE))</f>
        <v>40</v>
      </c>
      <c r="FA9" s="1048">
        <f>+IFERROR(VLOOKUP(FA$6&amp;"-"&amp;$M9&amp;"_old",Ammortamento_Finanziario!$H:$L,5,FALSE),VLOOKUP($M9,TT_Tabelle_Riferimento!$H$31:$I$50,2,FALSE))</f>
        <v>40</v>
      </c>
      <c r="FB9" s="1743">
        <f>+IFERROR(VLOOKUP(FB$6&amp;"-"&amp;$M9&amp;"_old",Ammortamento_Finanziario!$H:$L,5,FALSE),VLOOKUP($M9,TT_Tabelle_Riferimento!$H$31:$I$50,2,FALSE))</f>
        <v>40</v>
      </c>
      <c r="FC9" s="1743">
        <f>+IFERROR(VLOOKUP(FC$6&amp;"-"&amp;$M9&amp;"_old",Ammortamento_Finanziario!$H:$L,5,FALSE),VLOOKUP($M9,TT_Tabelle_Riferimento!$H$31:$I$50,2,FALSE))</f>
        <v>40</v>
      </c>
      <c r="FD9" s="1751">
        <f>+IFERROR(VLOOKUP(FD$6&amp;"-"&amp;$M9&amp;"_old",Ammortamento_Finanziario!$H:$L,5,FALSE),VLOOKUP($M9,TT_Tabelle_Riferimento!$H$31:$I$50,2,FALSE))</f>
        <v>40</v>
      </c>
      <c r="FE9" s="1751">
        <f>+IFERROR(VLOOKUP(FE$6&amp;"-"&amp;$M9&amp;"_old",Ammortamento_Finanziario!$H:$L,5,FALSE),VLOOKUP($M9,TT_Tabelle_Riferimento!$H$31:$I$50,2,FALSE))</f>
        <v>40</v>
      </c>
      <c r="FF9" s="1751">
        <f>+IFERROR(VLOOKUP(FF$6&amp;"-"&amp;$M9&amp;"_old",Ammortamento_Finanziario!$H:$L,5,FALSE),VLOOKUP($M9,TT_Tabelle_Riferimento!$H$31:$I$50,2,FALSE))</f>
        <v>40</v>
      </c>
      <c r="FG9" s="1751">
        <f>+IFERROR(VLOOKUP(FG$6&amp;"-"&amp;$M9&amp;"_old",Ammortamento_Finanziario!$H:$L,5,FALSE),VLOOKUP($M9,TT_Tabelle_Riferimento!$H$31:$I$50,2,FALSE))</f>
        <v>40</v>
      </c>
      <c r="FH9" s="1751">
        <f>+IFERROR(VLOOKUP(FH$6&amp;"-"&amp;$M9&amp;"_old",Ammortamento_Finanziario!$H:$L,5,FALSE),VLOOKUP($M9,TT_Tabelle_Riferimento!$H$31:$I$50,2,FALSE))</f>
        <v>40</v>
      </c>
      <c r="FI9" s="1751">
        <f>+IFERROR(VLOOKUP(FI$6&amp;"-"&amp;$M9&amp;"_old",Ammortamento_Finanziario!$H:$L,5,FALSE),VLOOKUP($M9,TT_Tabelle_Riferimento!$H$31:$I$50,2,FALSE))</f>
        <v>40</v>
      </c>
      <c r="FJ9" s="629">
        <f>+IFERROR(VLOOKUP(FJ$6&amp;"-"&amp;$M9&amp;"_old",Ammortamento_Finanziario!$H:$L,5,FALSE),VLOOKUP($M9,TT_Tabelle_Riferimento!$H$31:$I$50,2,FALSE))</f>
        <v>40</v>
      </c>
      <c r="FK9" s="629">
        <f>+IFERROR(VLOOKUP(FK$6&amp;"-"&amp;$M9&amp;"_old",Ammortamento_Finanziario!$H:$L,5,FALSE),VLOOKUP($M9,TT_Tabelle_Riferimento!$H$31:$I$50,2,FALSE))</f>
        <v>40</v>
      </c>
      <c r="FL9" s="629">
        <f>+IFERROR(VLOOKUP(FL$6&amp;"-"&amp;$M9&amp;"_old",Ammortamento_Finanziario!$H:$L,5,FALSE),VLOOKUP($M9,TT_Tabelle_Riferimento!$H$31:$I$50,2,FALSE))</f>
        <v>40</v>
      </c>
      <c r="FM9" s="629">
        <f>+IFERROR(VLOOKUP(FM$6&amp;"-"&amp;$M9&amp;"_old",Ammortamento_Finanziario!$H:$L,5,FALSE),VLOOKUP($M9,TT_Tabelle_Riferimento!$H$31:$I$50,2,FALSE))</f>
        <v>40</v>
      </c>
      <c r="FN9" s="629">
        <f>+IFERROR(VLOOKUP(FN$6&amp;"-"&amp;$M9&amp;"_old",Ammortamento_Finanziario!$H:$L,5,FALSE),VLOOKUP($M9,TT_Tabelle_Riferimento!$H$31:$I$50,2,FALSE))</f>
        <v>40</v>
      </c>
      <c r="FO9" s="629">
        <f>+IFERROR(VLOOKUP(FO$6&amp;"-"&amp;$M9&amp;"_old",Ammortamento_Finanziario!$H:$L,5,FALSE),VLOOKUP($M9,TT_Tabelle_Riferimento!$H$31:$I$50,2,FALSE))</f>
        <v>40</v>
      </c>
      <c r="FP9" s="629">
        <f>+IFERROR(VLOOKUP(FP$6&amp;"-"&amp;$M9&amp;"_old",Ammortamento_Finanziario!$H:$L,5,FALSE),VLOOKUP($M9,TT_Tabelle_Riferimento!$H$31:$I$50,2,FALSE))</f>
        <v>40</v>
      </c>
      <c r="FQ9" s="629">
        <f>+IFERROR(VLOOKUP(FQ$6&amp;"-"&amp;$M9&amp;"_old",Ammortamento_Finanziario!$H:$L,5,FALSE),VLOOKUP($M9,TT_Tabelle_Riferimento!$H$31:$I$50,2,FALSE))</f>
        <v>40</v>
      </c>
      <c r="FR9" s="629">
        <f>+IFERROR(VLOOKUP(FR$6&amp;"-"&amp;$M9&amp;"_old",Ammortamento_Finanziario!$H:$L,5,FALSE),VLOOKUP($M9,TT_Tabelle_Riferimento!$H$31:$I$50,2,FALSE))</f>
        <v>40</v>
      </c>
      <c r="FS9" s="629">
        <f>+IFERROR(VLOOKUP(FS$6&amp;"-"&amp;$M9&amp;"_old",Ammortamento_Finanziario!$H:$L,5,FALSE),VLOOKUP($M9,TT_Tabelle_Riferimento!$H$31:$I$50,2,FALSE))</f>
        <v>40</v>
      </c>
      <c r="FT9" s="629">
        <f>+IFERROR(VLOOKUP(FT$6&amp;"-"&amp;$M9&amp;"_old",Ammortamento_Finanziario!$H:$L,5,FALSE),VLOOKUP($M9,TT_Tabelle_Riferimento!$H$31:$I$50,2,FALSE))</f>
        <v>40</v>
      </c>
      <c r="FU9" s="629">
        <f>+IFERROR(VLOOKUP(FU$6&amp;"-"&amp;$M9&amp;"_old",Ammortamento_Finanziario!$H:$L,5,FALSE),VLOOKUP($M9,TT_Tabelle_Riferimento!$H$31:$I$50,2,FALSE))</f>
        <v>40</v>
      </c>
      <c r="FV9" s="629">
        <f>+IFERROR(VLOOKUP(FV$6&amp;"-"&amp;$M9&amp;"_old",Ammortamento_Finanziario!$H:$L,5,FALSE),VLOOKUP($M9,TT_Tabelle_Riferimento!$H$31:$I$50,2,FALSE))</f>
        <v>40</v>
      </c>
      <c r="FW9" s="629">
        <f>+IFERROR(VLOOKUP(FW$6&amp;"-"&amp;$M9&amp;"_old",Ammortamento_Finanziario!$H:$L,5,FALSE),VLOOKUP($M9,TT_Tabelle_Riferimento!$H$31:$I$50,2,FALSE))</f>
        <v>40</v>
      </c>
      <c r="FX9" s="629">
        <f>+IFERROR(VLOOKUP(FX$6&amp;"-"&amp;$M9&amp;"_old",Ammortamento_Finanziario!$H:$L,5,FALSE),VLOOKUP($M9,TT_Tabelle_Riferimento!$H$31:$I$50,2,FALSE))</f>
        <v>40</v>
      </c>
      <c r="FY9" s="629">
        <f>+IFERROR(VLOOKUP(FY$6&amp;"-"&amp;$M9&amp;"_old",Ammortamento_Finanziario!$H:$L,5,FALSE),VLOOKUP($M9,TT_Tabelle_Riferimento!$H$31:$I$50,2,FALSE))</f>
        <v>40</v>
      </c>
      <c r="FZ9" s="629">
        <f>+IFERROR(VLOOKUP(FZ$6&amp;"-"&amp;$M9&amp;"_old",Ammortamento_Finanziario!$H:$L,5,FALSE),VLOOKUP($M9,TT_Tabelle_Riferimento!$H$31:$I$50,2,FALSE))</f>
        <v>40</v>
      </c>
      <c r="GA9" s="629">
        <f>+IFERROR(VLOOKUP(GA$6&amp;"-"&amp;$M9&amp;"_old",Ammortamento_Finanziario!$H:$L,5,FALSE),VLOOKUP($M9,TT_Tabelle_Riferimento!$H$31:$I$50,2,FALSE))</f>
        <v>40</v>
      </c>
      <c r="GB9" s="629">
        <f>+IFERROR(VLOOKUP(GB$6&amp;"-"&amp;$M9&amp;"_old",Ammortamento_Finanziario!$H:$L,5,FALSE),VLOOKUP($M9,TT_Tabelle_Riferimento!$H$31:$I$50,2,FALSE))</f>
        <v>40</v>
      </c>
      <c r="GC9" s="635">
        <f>+IFERROR(VLOOKUP(GC$6&amp;"-"&amp;$M9&amp;"_old",Ammortamento_Finanziario!$H:$L,5,FALSE),VLOOKUP($M9,TT_Tabelle_Riferimento!$H$31:$I$50,2,FALSE))</f>
        <v>40</v>
      </c>
      <c r="GD9" s="635">
        <f>+IFERROR(VLOOKUP(GD$6&amp;"-"&amp;$M9&amp;"_old",Ammortamento_Finanziario!$H:$L,5,FALSE),VLOOKUP($M9,TT_Tabelle_Riferimento!$H$31:$I$50,2,FALSE))</f>
        <v>40</v>
      </c>
      <c r="GE9" s="635">
        <f>+IFERROR(VLOOKUP(GE$6&amp;"-"&amp;$M9&amp;"_old",Ammortamento_Finanziario!$H:$L,5,FALSE),VLOOKUP($M9,TT_Tabelle_Riferimento!$H$31:$I$50,2,FALSE))</f>
        <v>40</v>
      </c>
      <c r="GF9" s="635">
        <f>+IFERROR(VLOOKUP(GF$6&amp;"-"&amp;$M9&amp;"_old",Ammortamento_Finanziario!$H:$L,5,FALSE),VLOOKUP($M9,TT_Tabelle_Riferimento!$H$31:$I$50,2,FALSE))</f>
        <v>40</v>
      </c>
      <c r="GG9" s="1744">
        <f>+IFERROR(VLOOKUP(GG$6&amp;"-"&amp;$M9&amp;"_old",Ammortamento_Finanziario!$H:$L,5,FALSE),VLOOKUP($M9,TT_Tabelle_Riferimento!$H$31:$I$50,2,FALSE))</f>
        <v>40</v>
      </c>
      <c r="GH9" s="1744">
        <f>+IFERROR(VLOOKUP(GH$6&amp;"-"&amp;$M9&amp;"_old",Ammortamento_Finanziario!$H:$L,5,FALSE),VLOOKUP($M9,TT_Tabelle_Riferimento!$H$31:$I$50,2,FALSE))</f>
        <v>40</v>
      </c>
      <c r="GI9" s="1752">
        <f>+IFERROR(VLOOKUP(GI$6&amp;"-"&amp;$M9&amp;"_old",Ammortamento_Finanziario!$H:$L,5,FALSE),VLOOKUP($M9,TT_Tabelle_Riferimento!$H$31:$I$50,2,FALSE))</f>
        <v>40</v>
      </c>
      <c r="GJ9" s="1752">
        <f>+IFERROR(VLOOKUP(GJ$6&amp;"-"&amp;$M9&amp;"_old",Ammortamento_Finanziario!$H:$L,5,FALSE),VLOOKUP($M9,TT_Tabelle_Riferimento!$H$31:$I$50,2,FALSE))</f>
        <v>40</v>
      </c>
      <c r="GK9" s="1752">
        <f>+IFERROR(VLOOKUP(GK$6&amp;"-"&amp;$M9&amp;"_old",Ammortamento_Finanziario!$H:$L,5,FALSE),VLOOKUP($M9,TT_Tabelle_Riferimento!$H$31:$I$50,2,FALSE))</f>
        <v>40</v>
      </c>
      <c r="GL9" s="1752">
        <f>+IFERROR(VLOOKUP(GL$6&amp;"-"&amp;$M9&amp;"_old",Ammortamento_Finanziario!$H:$L,5,FALSE),VLOOKUP($M9,TT_Tabelle_Riferimento!$H$31:$I$50,2,FALSE))</f>
        <v>40</v>
      </c>
      <c r="GM9" s="1752">
        <f>+IFERROR(VLOOKUP(GM$6&amp;"-"&amp;$M9&amp;"_old",Ammortamento_Finanziario!$H:$L,5,FALSE),VLOOKUP($M9,TT_Tabelle_Riferimento!$H$31:$I$50,2,FALSE))</f>
        <v>40</v>
      </c>
      <c r="GN9" s="1752">
        <f>+IFERROR(VLOOKUP(GN$6&amp;"-"&amp;$M9&amp;"_old",Ammortamento_Finanziario!$H:$L,5,FALSE),VLOOKUP($M9,TT_Tabelle_Riferimento!$H$31:$I$50,2,FALSE))</f>
        <v>40</v>
      </c>
      <c r="GO9" s="628">
        <f>+IFERROR(VLOOKUP(GO$6&amp;"-"&amp;$M9&amp;"_old",Ammortamento_Finanziario!$H:$L,5,FALSE),VLOOKUP($M9,TT_Tabelle_Riferimento!$H$31:$I$50,2,FALSE))</f>
        <v>40</v>
      </c>
      <c r="GP9" s="628">
        <f>+IFERROR(VLOOKUP(GP$6&amp;"-"&amp;$M9&amp;"_old",Ammortamento_Finanziario!$H:$L,5,FALSE),VLOOKUP($M9,TT_Tabelle_Riferimento!$H$31:$I$50,2,FALSE))</f>
        <v>40</v>
      </c>
      <c r="GQ9" s="628">
        <f>+IFERROR(VLOOKUP(GQ$6&amp;"-"&amp;$M9&amp;"_old",Ammortamento_Finanziario!$H:$L,5,FALSE),VLOOKUP($M9,TT_Tabelle_Riferimento!$H$31:$I$50,2,FALSE))</f>
        <v>40</v>
      </c>
      <c r="GR9" s="628">
        <f>+IFERROR(VLOOKUP(GR$6&amp;"-"&amp;$M9&amp;"_old",Ammortamento_Finanziario!$H:$L,5,FALSE),VLOOKUP($M9,TT_Tabelle_Riferimento!$H$31:$I$50,2,FALSE))</f>
        <v>40</v>
      </c>
      <c r="GS9" s="628">
        <f>+IFERROR(VLOOKUP(GS$6&amp;"-"&amp;$M9&amp;"_old",Ammortamento_Finanziario!$H:$L,5,FALSE),VLOOKUP($M9,TT_Tabelle_Riferimento!$H$31:$I$50,2,FALSE))</f>
        <v>40</v>
      </c>
      <c r="GT9" s="628">
        <f>+IFERROR(VLOOKUP(GT$6&amp;"-"&amp;$M9&amp;"_old",Ammortamento_Finanziario!$H:$L,5,FALSE),VLOOKUP($M9,TT_Tabelle_Riferimento!$H$31:$I$50,2,FALSE))</f>
        <v>40</v>
      </c>
      <c r="GU9" s="628">
        <f>+IFERROR(VLOOKUP(GU$6&amp;"-"&amp;$M9&amp;"_old",Ammortamento_Finanziario!$H:$L,5,FALSE),VLOOKUP($M9,TT_Tabelle_Riferimento!$H$31:$I$50,2,FALSE))</f>
        <v>40</v>
      </c>
      <c r="GV9" s="628">
        <f>+IFERROR(VLOOKUP(GV$6&amp;"-"&amp;$M9&amp;"_old",Ammortamento_Finanziario!$H:$L,5,FALSE),VLOOKUP($M9,TT_Tabelle_Riferimento!$H$31:$I$50,2,FALSE))</f>
        <v>40</v>
      </c>
      <c r="GW9" s="628">
        <f>+IFERROR(VLOOKUP(GW$6&amp;"-"&amp;$M9&amp;"_old",Ammortamento_Finanziario!$H:$L,5,FALSE),VLOOKUP($M9,TT_Tabelle_Riferimento!$H$31:$I$50,2,FALSE))</f>
        <v>40</v>
      </c>
      <c r="GX9" s="628">
        <f>+IFERROR(VLOOKUP(GX$6&amp;"-"&amp;$M9&amp;"_old",Ammortamento_Finanziario!$H:$L,5,FALSE),VLOOKUP($M9,TT_Tabelle_Riferimento!$H$31:$I$50,2,FALSE))</f>
        <v>40</v>
      </c>
      <c r="GY9" s="628">
        <f>+IFERROR(VLOOKUP(GY$6&amp;"-"&amp;$M9&amp;"_old",Ammortamento_Finanziario!$H:$L,5,FALSE),VLOOKUP($M9,TT_Tabelle_Riferimento!$H$31:$I$50,2,FALSE))</f>
        <v>40</v>
      </c>
      <c r="GZ9" s="628">
        <f>+IFERROR(VLOOKUP(GZ$6&amp;"-"&amp;$M9&amp;"_old",Ammortamento_Finanziario!$H:$L,5,FALSE),VLOOKUP($M9,TT_Tabelle_Riferimento!$H$31:$I$50,2,FALSE))</f>
        <v>40</v>
      </c>
      <c r="HA9" s="628">
        <f>+IFERROR(VLOOKUP(HA$6&amp;"-"&amp;$M9&amp;"_old",Ammortamento_Finanziario!$H:$L,5,FALSE),VLOOKUP($M9,TT_Tabelle_Riferimento!$H$31:$I$50,2,FALSE))</f>
        <v>40</v>
      </c>
      <c r="HB9" s="628">
        <f>+IFERROR(VLOOKUP(HB$6&amp;"-"&amp;$M9&amp;"_old",Ammortamento_Finanziario!$H:$L,5,FALSE),VLOOKUP($M9,TT_Tabelle_Riferimento!$H$31:$I$50,2,FALSE))</f>
        <v>40</v>
      </c>
      <c r="HC9" s="628">
        <f>+IFERROR(VLOOKUP(HC$6&amp;"-"&amp;$M9&amp;"_old",Ammortamento_Finanziario!$H:$L,5,FALSE),VLOOKUP($M9,TT_Tabelle_Riferimento!$H$31:$I$50,2,FALSE))</f>
        <v>40</v>
      </c>
      <c r="HD9" s="628">
        <f>+IFERROR(VLOOKUP(HD$6&amp;"-"&amp;$M9&amp;"_old",Ammortamento_Finanziario!$H:$L,5,FALSE),VLOOKUP($M9,TT_Tabelle_Riferimento!$H$31:$I$50,2,FALSE))</f>
        <v>40</v>
      </c>
      <c r="HE9" s="628">
        <f>+IFERROR(VLOOKUP(HE$6&amp;"-"&amp;$M9&amp;"_old",Ammortamento_Finanziario!$H:$L,5,FALSE),VLOOKUP($M9,TT_Tabelle_Riferimento!$H$31:$I$50,2,FALSE))</f>
        <v>40</v>
      </c>
      <c r="HF9" s="628">
        <f>+IFERROR(VLOOKUP(HF$6&amp;"-"&amp;$M9&amp;"_old",Ammortamento_Finanziario!$H:$L,5,FALSE),VLOOKUP($M9,TT_Tabelle_Riferimento!$H$31:$I$50,2,FALSE))</f>
        <v>40</v>
      </c>
      <c r="HG9" s="628">
        <f>+IFERROR(VLOOKUP(HG$6&amp;"-"&amp;$M9&amp;"_old",Ammortamento_Finanziario!$H:$L,5,FALSE),VLOOKUP($M9,TT_Tabelle_Riferimento!$H$31:$I$50,2,FALSE))</f>
        <v>40</v>
      </c>
      <c r="HH9" s="422">
        <f>+IFERROR(VLOOKUP(HH$6&amp;"-"&amp;$M9&amp;"_old",Ammortamento_Finanziario!$H:$L,5,FALSE),VLOOKUP($M9,TT_Tabelle_Riferimento!$H$31:$I$50,2,FALSE))</f>
        <v>40</v>
      </c>
      <c r="HI9" s="422">
        <f>+IFERROR(VLOOKUP(HI$6&amp;"-"&amp;$M9&amp;"_old",Ammortamento_Finanziario!$H:$L,5,FALSE),VLOOKUP($M9,TT_Tabelle_Riferimento!$H$31:$I$50,2,FALSE))</f>
        <v>40</v>
      </c>
      <c r="HJ9" s="422">
        <f>+IFERROR(VLOOKUP(HJ$6&amp;"-"&amp;$M9&amp;"_old",Ammortamento_Finanziario!$H:$L,5,FALSE),VLOOKUP($M9,TT_Tabelle_Riferimento!$H$31:$I$50,2,FALSE))</f>
        <v>40</v>
      </c>
      <c r="HK9" s="1746">
        <f>+IFERROR(VLOOKUP(HK$6&amp;"-"&amp;$M9&amp;"_old",Ammortamento_Finanziario!$H:$L,5,FALSE),VLOOKUP($M9,TT_Tabelle_Riferimento!$H$31:$I$50,2,FALSE))</f>
        <v>40</v>
      </c>
      <c r="HL9" s="1746">
        <f>+IFERROR(VLOOKUP(HL$6&amp;"-"&amp;$M9&amp;"_old",Ammortamento_Finanziario!$H:$L,5,FALSE),VLOOKUP($M9,TT_Tabelle_Riferimento!$H$31:$I$50,2,FALSE))</f>
        <v>40</v>
      </c>
      <c r="HM9" s="1753">
        <f>+IFERROR(VLOOKUP(HM$6&amp;"-"&amp;$M9&amp;"_old",Ammortamento_Finanziario!$H:$L,5,FALSE),VLOOKUP($M9,TT_Tabelle_Riferimento!$H$31:$I$50,2,FALSE))</f>
        <v>40</v>
      </c>
      <c r="HN9" s="1753">
        <f>+IFERROR(VLOOKUP(HN$6&amp;"-"&amp;$M9&amp;"_old",Ammortamento_Finanziario!$H:$L,5,FALSE),VLOOKUP($M9,TT_Tabelle_Riferimento!$H$31:$I$50,2,FALSE))</f>
        <v>40</v>
      </c>
      <c r="HO9" s="1753">
        <f>+IFERROR(VLOOKUP(HO$6&amp;"-"&amp;$M9&amp;"_old",Ammortamento_Finanziario!$H:$L,5,FALSE),VLOOKUP($M9,TT_Tabelle_Riferimento!$H$31:$I$50,2,FALSE))</f>
        <v>40</v>
      </c>
      <c r="HP9" s="1753">
        <f>+IFERROR(VLOOKUP(HP$6&amp;"-"&amp;$M9&amp;"_old",Ammortamento_Finanziario!$H:$L,5,FALSE),VLOOKUP($M9,TT_Tabelle_Riferimento!$H$31:$I$50,2,FALSE))</f>
        <v>40</v>
      </c>
      <c r="HQ9" s="1753">
        <f>+IFERROR(VLOOKUP(HQ$6&amp;"-"&amp;$M9&amp;"_old",Ammortamento_Finanziario!$H:$L,5,FALSE),VLOOKUP($M9,TT_Tabelle_Riferimento!$H$31:$I$50,2,FALSE))</f>
        <v>40</v>
      </c>
      <c r="HR9" s="1753">
        <f>+IFERROR(VLOOKUP(HR$6&amp;"-"&amp;$M9&amp;"_old",Ammortamento_Finanziario!$H:$L,5,FALSE),VLOOKUP($M9,TT_Tabelle_Riferimento!$H$31:$I$50,2,FALSE))</f>
        <v>40</v>
      </c>
      <c r="HS9" s="422">
        <f>+IFERROR(VLOOKUP(HS$6&amp;"-"&amp;$M9&amp;"_old",Ammortamento_Finanziario!$H:$L,5,FALSE),VLOOKUP($M9,TT_Tabelle_Riferimento!$H$31:$I$50,2,FALSE))</f>
        <v>40</v>
      </c>
      <c r="HT9" s="422">
        <f>+IFERROR(VLOOKUP(HT$6&amp;"-"&amp;$M9&amp;"_old",Ammortamento_Finanziario!$H:$L,5,FALSE),VLOOKUP($M9,TT_Tabelle_Riferimento!$H$31:$I$50,2,FALSE))</f>
        <v>40</v>
      </c>
      <c r="HU9" s="422">
        <f>+IFERROR(VLOOKUP(HU$6&amp;"-"&amp;$M9&amp;"_old",Ammortamento_Finanziario!$H:$L,5,FALSE),VLOOKUP($M9,TT_Tabelle_Riferimento!$H$31:$I$50,2,FALSE))</f>
        <v>40</v>
      </c>
      <c r="HV9" s="422">
        <f>+IFERROR(VLOOKUP(HV$6&amp;"-"&amp;$M9&amp;"_old",Ammortamento_Finanziario!$H:$L,5,FALSE),VLOOKUP($M9,TT_Tabelle_Riferimento!$H$31:$I$50,2,FALSE))</f>
        <v>40</v>
      </c>
      <c r="HW9" s="422">
        <f>+IFERROR(VLOOKUP(HW$6&amp;"-"&amp;$M9&amp;"_old",Ammortamento_Finanziario!$H:$L,5,FALSE),VLOOKUP($M9,TT_Tabelle_Riferimento!$H$31:$I$50,2,FALSE))</f>
        <v>40</v>
      </c>
      <c r="HX9" s="422">
        <f>+IFERROR(VLOOKUP(HX$6&amp;"-"&amp;$M9&amp;"_old",Ammortamento_Finanziario!$H:$L,5,FALSE),VLOOKUP($M9,TT_Tabelle_Riferimento!$H$31:$I$50,2,FALSE))</f>
        <v>40</v>
      </c>
      <c r="HY9" s="422">
        <f>+IFERROR(VLOOKUP(HY$6&amp;"-"&amp;$M9&amp;"_old",Ammortamento_Finanziario!$H:$L,5,FALSE),VLOOKUP($M9,TT_Tabelle_Riferimento!$H$31:$I$50,2,FALSE))</f>
        <v>40</v>
      </c>
      <c r="HZ9" s="422">
        <f>+IFERROR(VLOOKUP(HZ$6&amp;"-"&amp;$M9&amp;"_old",Ammortamento_Finanziario!$H:$L,5,FALSE),VLOOKUP($M9,TT_Tabelle_Riferimento!$H$31:$I$50,2,FALSE))</f>
        <v>40</v>
      </c>
      <c r="IA9" s="422">
        <f>+IFERROR(VLOOKUP(IA$6&amp;"-"&amp;$M9&amp;"_old",Ammortamento_Finanziario!$H:$L,5,FALSE),VLOOKUP($M9,TT_Tabelle_Riferimento!$H$31:$I$50,2,FALSE))</f>
        <v>40</v>
      </c>
      <c r="IB9" s="422">
        <f>+IFERROR(VLOOKUP(IB$6&amp;"-"&amp;$M9&amp;"_old",Ammortamento_Finanziario!$H:$L,5,FALSE),VLOOKUP($M9,TT_Tabelle_Riferimento!$H$31:$I$50,2,FALSE))</f>
        <v>40</v>
      </c>
      <c r="IC9" s="422">
        <f>+IFERROR(VLOOKUP(IC$6&amp;"-"&amp;$M9&amp;"_old",Ammortamento_Finanziario!$H:$L,5,FALSE),VLOOKUP($M9,TT_Tabelle_Riferimento!$H$31:$I$50,2,FALSE))</f>
        <v>40</v>
      </c>
      <c r="ID9" s="422">
        <f>+IFERROR(VLOOKUP(ID$6&amp;"-"&amp;$M9&amp;"_old",Ammortamento_Finanziario!$H:$L,5,FALSE),VLOOKUP($M9,TT_Tabelle_Riferimento!$H$31:$I$50,2,FALSE))</f>
        <v>40</v>
      </c>
      <c r="IE9" s="422">
        <f>+IFERROR(VLOOKUP(IE$6&amp;"-"&amp;$M9&amp;"_old",Ammortamento_Finanziario!$H:$L,5,FALSE),VLOOKUP($M9,TT_Tabelle_Riferimento!$H$31:$I$50,2,FALSE))</f>
        <v>40</v>
      </c>
      <c r="IF9" s="422">
        <f>+IFERROR(VLOOKUP(IF$6&amp;"-"&amp;$M9&amp;"_old",Ammortamento_Finanziario!$H:$L,5,FALSE),VLOOKUP($M9,TT_Tabelle_Riferimento!$H$31:$I$50,2,FALSE))</f>
        <v>40</v>
      </c>
      <c r="IG9" s="422">
        <f>+IFERROR(VLOOKUP(IG$6&amp;"-"&amp;$M9&amp;"_old",Ammortamento_Finanziario!$H:$L,5,FALSE),VLOOKUP($M9,TT_Tabelle_Riferimento!$H$31:$I$50,2,FALSE))</f>
        <v>40</v>
      </c>
      <c r="IH9" s="422">
        <f>+IFERROR(VLOOKUP(IH$6&amp;"-"&amp;$M9&amp;"_old",Ammortamento_Finanziario!$H:$L,5,FALSE),VLOOKUP($M9,TT_Tabelle_Riferimento!$H$31:$I$50,2,FALSE))</f>
        <v>40</v>
      </c>
      <c r="II9" s="422">
        <f>+IFERROR(VLOOKUP(II$6&amp;"-"&amp;$M9&amp;"_old",Ammortamento_Finanziario!$H:$L,5,FALSE),VLOOKUP($M9,TT_Tabelle_Riferimento!$H$31:$I$50,2,FALSE))</f>
        <v>40</v>
      </c>
      <c r="IJ9" s="422">
        <f>+IFERROR(VLOOKUP(IJ$6&amp;"-"&amp;$M9&amp;"_old",Ammortamento_Finanziario!$H:$L,5,FALSE),VLOOKUP($M9,TT_Tabelle_Riferimento!$H$31:$I$50,2,FALSE))</f>
        <v>40</v>
      </c>
      <c r="IK9" s="422">
        <f>+IFERROR(VLOOKUP(IK$6&amp;"-"&amp;$M9&amp;"_old",Ammortamento_Finanziario!$H:$L,5,FALSE),VLOOKUP($M9,TT_Tabelle_Riferimento!$H$31:$I$50,2,FALSE))</f>
        <v>40</v>
      </c>
      <c r="IL9" s="1077">
        <f>+IFERROR(VLOOKUP(IL$6&amp;"-"&amp;$M9&amp;"_old",Ammortamento_Finanziario!$H:$L,5,FALSE),VLOOKUP($M9,TT_Tabelle_Riferimento!$H$31:$I$50,2,FALSE))</f>
        <v>40</v>
      </c>
      <c r="IM9" s="1077">
        <f>+IFERROR(VLOOKUP(IM$6&amp;"-"&amp;$M9&amp;"_old",Ammortamento_Finanziario!$H:$L,5,FALSE),VLOOKUP($M9,TT_Tabelle_Riferimento!$H$31:$I$50,2,FALSE))</f>
        <v>40</v>
      </c>
      <c r="IN9" s="1747">
        <f>+IFERROR(VLOOKUP(IN$6&amp;"-"&amp;$M9&amp;"_old",Ammortamento_Finanziario!$H:$L,5,FALSE),VLOOKUP($M9,TT_Tabelle_Riferimento!$H$31:$I$50,2,FALSE))</f>
        <v>40</v>
      </c>
      <c r="IO9" s="1747">
        <f>+IFERROR(VLOOKUP(IO$6&amp;"-"&amp;$M9&amp;"_old",Ammortamento_Finanziario!$H:$L,5,FALSE),VLOOKUP($M9,TT_Tabelle_Riferimento!$H$31:$I$50,2,FALSE))</f>
        <v>40</v>
      </c>
      <c r="IP9" s="1754">
        <f>+IFERROR(VLOOKUP(IP$6&amp;"-"&amp;$M9&amp;"_old",Ammortamento_Finanziario!$H:$L,5,FALSE),VLOOKUP($M9,TT_Tabelle_Riferimento!$H$31:$I$50,2,FALSE))</f>
        <v>40</v>
      </c>
      <c r="IQ9" s="1754">
        <f>+IFERROR(VLOOKUP(IQ$6&amp;"-"&amp;$M9&amp;"_old",Ammortamento_Finanziario!$H:$L,5,FALSE),VLOOKUP($M9,TT_Tabelle_Riferimento!$H$31:$I$50,2,FALSE))</f>
        <v>40</v>
      </c>
      <c r="IR9" s="1754">
        <f>+IFERROR(VLOOKUP(IR$6&amp;"-"&amp;$M9&amp;"_old",Ammortamento_Finanziario!$H:$L,5,FALSE),VLOOKUP($M9,TT_Tabelle_Riferimento!$H$31:$I$50,2,FALSE))</f>
        <v>40</v>
      </c>
      <c r="IS9" s="1754">
        <f>+IFERROR(VLOOKUP(IS$6&amp;"-"&amp;$M9&amp;"_old",Ammortamento_Finanziario!$H:$L,5,FALSE),VLOOKUP($M9,TT_Tabelle_Riferimento!$H$31:$I$50,2,FALSE))</f>
        <v>40</v>
      </c>
      <c r="IT9" s="1754">
        <f>+IFERROR(VLOOKUP(IT$6&amp;"-"&amp;$M9&amp;"_old",Ammortamento_Finanziario!$H:$L,5,FALSE),VLOOKUP($M9,TT_Tabelle_Riferimento!$H$31:$I$50,2,FALSE))</f>
        <v>40</v>
      </c>
      <c r="IU9" s="1754">
        <f>+IFERROR(VLOOKUP(IU$6&amp;"-"&amp;$M9&amp;"_old",Ammortamento_Finanziario!$H:$L,5,FALSE),VLOOKUP($M9,TT_Tabelle_Riferimento!$H$31:$I$50,2,FALSE))</f>
        <v>40</v>
      </c>
      <c r="IV9" s="1077">
        <f>+IFERROR(VLOOKUP(IV$6&amp;"-"&amp;$M9&amp;"_old",Ammortamento_Finanziario!$H:$L,5,FALSE),VLOOKUP($M9,TT_Tabelle_Riferimento!$H$31:$I$50,2,FALSE))</f>
        <v>40</v>
      </c>
      <c r="IW9" s="1077">
        <f>+IFERROR(VLOOKUP(IW$6&amp;"-"&amp;$M9&amp;"_old",Ammortamento_Finanziario!$H:$L,5,FALSE),VLOOKUP($M9,TT_Tabelle_Riferimento!$H$31:$I$50,2,FALSE))</f>
        <v>40</v>
      </c>
      <c r="IX9" s="1077">
        <f>+IFERROR(VLOOKUP(IX$6&amp;"-"&amp;$M9&amp;"_old",Ammortamento_Finanziario!$H:$L,5,FALSE),VLOOKUP($M9,TT_Tabelle_Riferimento!$H$31:$I$50,2,FALSE))</f>
        <v>40</v>
      </c>
      <c r="IY9" s="1077">
        <f>+IFERROR(VLOOKUP(IY$6&amp;"-"&amp;$M9&amp;"_old",Ammortamento_Finanziario!$H:$L,5,FALSE),VLOOKUP($M9,TT_Tabelle_Riferimento!$H$31:$I$50,2,FALSE))</f>
        <v>40</v>
      </c>
      <c r="IZ9" s="1077">
        <f>+IFERROR(VLOOKUP(IZ$6&amp;"-"&amp;$M9&amp;"_old",Ammortamento_Finanziario!$H:$L,5,FALSE),VLOOKUP($M9,TT_Tabelle_Riferimento!$H$31:$I$50,2,FALSE))</f>
        <v>40</v>
      </c>
      <c r="JA9" s="1077">
        <f>+IFERROR(VLOOKUP(JA$6&amp;"-"&amp;$M9&amp;"_old",Ammortamento_Finanziario!$H:$L,5,FALSE),VLOOKUP($M9,TT_Tabelle_Riferimento!$H$31:$I$50,2,FALSE))</f>
        <v>40</v>
      </c>
      <c r="JB9" s="1077">
        <f>+IFERROR(VLOOKUP(JB$6&amp;"-"&amp;$M9&amp;"_old",Ammortamento_Finanziario!$H:$L,5,FALSE),VLOOKUP($M9,TT_Tabelle_Riferimento!$H$31:$I$50,2,FALSE))</f>
        <v>40</v>
      </c>
      <c r="JC9" s="1077">
        <f>+IFERROR(VLOOKUP(JC$6&amp;"-"&amp;$M9&amp;"_old",Ammortamento_Finanziario!$H:$L,5,FALSE),VLOOKUP($M9,TT_Tabelle_Riferimento!$H$31:$I$50,2,FALSE))</f>
        <v>40</v>
      </c>
      <c r="JD9" s="1077">
        <f>+IFERROR(VLOOKUP(JD$6&amp;"-"&amp;$M9&amp;"_old",Ammortamento_Finanziario!$H:$L,5,FALSE),VLOOKUP($M9,TT_Tabelle_Riferimento!$H$31:$I$50,2,FALSE))</f>
        <v>40</v>
      </c>
      <c r="JE9" s="1077">
        <f>+IFERROR(VLOOKUP(JE$6&amp;"-"&amp;$M9&amp;"_old",Ammortamento_Finanziario!$H:$L,5,FALSE),VLOOKUP($M9,TT_Tabelle_Riferimento!$H$31:$I$50,2,FALSE))</f>
        <v>40</v>
      </c>
      <c r="JF9" s="1077">
        <f>+IFERROR(VLOOKUP(JF$6&amp;"-"&amp;$M9&amp;"_old",Ammortamento_Finanziario!$H:$L,5,FALSE),VLOOKUP($M9,TT_Tabelle_Riferimento!$H$31:$I$50,2,FALSE))</f>
        <v>40</v>
      </c>
      <c r="JG9" s="1077">
        <f>+IFERROR(VLOOKUP(JG$6&amp;"-"&amp;$M9&amp;"_old",Ammortamento_Finanziario!$H:$L,5,FALSE),VLOOKUP($M9,TT_Tabelle_Riferimento!$H$31:$I$50,2,FALSE))</f>
        <v>40</v>
      </c>
      <c r="JH9" s="1077">
        <f>+IFERROR(VLOOKUP(JH$6&amp;"-"&amp;$M9&amp;"_old",Ammortamento_Finanziario!$H:$L,5,FALSE),VLOOKUP($M9,TT_Tabelle_Riferimento!$H$31:$I$50,2,FALSE))</f>
        <v>40</v>
      </c>
      <c r="JI9" s="1077">
        <f>+IFERROR(VLOOKUP(JI$6&amp;"-"&amp;$M9&amp;"_old",Ammortamento_Finanziario!$H:$L,5,FALSE),VLOOKUP($M9,TT_Tabelle_Riferimento!$H$31:$I$50,2,FALSE))</f>
        <v>40</v>
      </c>
      <c r="JJ9" s="1077">
        <f>+IFERROR(VLOOKUP(JJ$6&amp;"-"&amp;$M9&amp;"_old",Ammortamento_Finanziario!$H:$L,5,FALSE),VLOOKUP($M9,TT_Tabelle_Riferimento!$H$31:$I$50,2,FALSE))</f>
        <v>40</v>
      </c>
      <c r="JK9" s="1077">
        <f>+IFERROR(VLOOKUP(JK$6&amp;"-"&amp;$M9&amp;"_old",Ammortamento_Finanziario!$H:$L,5,FALSE),VLOOKUP($M9,TT_Tabelle_Riferimento!$H$31:$I$50,2,FALSE))</f>
        <v>40</v>
      </c>
      <c r="JL9" s="1077">
        <f>+IFERROR(VLOOKUP(JL$6&amp;"-"&amp;$M9&amp;"_old",Ammortamento_Finanziario!$H:$L,5,FALSE),VLOOKUP($M9,TT_Tabelle_Riferimento!$H$31:$I$50,2,FALSE))</f>
        <v>40</v>
      </c>
      <c r="JM9" s="1077">
        <f>+IFERROR(VLOOKUP(JM$6&amp;"-"&amp;$M9&amp;"_old",Ammortamento_Finanziario!$H:$L,5,FALSE),VLOOKUP($M9,TT_Tabelle_Riferimento!$H$31:$I$50,2,FALSE))</f>
        <v>40</v>
      </c>
      <c r="JN9" s="1077">
        <f>+IFERROR(VLOOKUP(JN$6&amp;"-"&amp;$M9&amp;"_old",Ammortamento_Finanziario!$H:$L,5,FALSE),VLOOKUP($M9,TT_Tabelle_Riferimento!$H$31:$I$50,2,FALSE))</f>
        <v>40</v>
      </c>
      <c r="JO9" s="1078">
        <f>+IFERROR(VLOOKUP(JO$6&amp;"-"&amp;$M9&amp;"_old",Ammortamento_Finanziario!$H:$L,5,FALSE),VLOOKUP($M9,TT_Tabelle_Riferimento!$H$31:$I$50,2,FALSE))</f>
        <v>40</v>
      </c>
      <c r="JP9" s="1748">
        <f>+IFERROR(VLOOKUP(JP$6&amp;"-"&amp;$M9&amp;"_old",Ammortamento_Finanziario!$H:$L,5,FALSE),VLOOKUP($M9,TT_Tabelle_Riferimento!$H$31:$I$50,2,FALSE))</f>
        <v>40</v>
      </c>
      <c r="JQ9" s="1748">
        <f>+IFERROR(VLOOKUP(JQ$6&amp;"-"&amp;$M9&amp;"_old",Ammortamento_Finanziario!$H:$L,5,FALSE),VLOOKUP($M9,TT_Tabelle_Riferimento!$H$31:$I$50,2,FALSE))</f>
        <v>40</v>
      </c>
      <c r="JR9" s="1755">
        <f>+IFERROR(VLOOKUP(JR$6&amp;"-"&amp;$M9&amp;"_old",Ammortamento_Finanziario!$H:$L,5,FALSE),VLOOKUP($M9,TT_Tabelle_Riferimento!$H$31:$I$50,2,FALSE))</f>
        <v>40</v>
      </c>
      <c r="JS9" s="1755">
        <f>+IFERROR(VLOOKUP(JS$6&amp;"-"&amp;$M9&amp;"_old",Ammortamento_Finanziario!$H:$L,5,FALSE),VLOOKUP($M9,TT_Tabelle_Riferimento!$H$31:$I$50,2,FALSE))</f>
        <v>40</v>
      </c>
      <c r="JT9" s="1755">
        <f>+IFERROR(VLOOKUP(JT$6&amp;"-"&amp;$M9&amp;"_old",Ammortamento_Finanziario!$H:$L,5,FALSE),VLOOKUP($M9,TT_Tabelle_Riferimento!$H$31:$I$50,2,FALSE))</f>
        <v>40</v>
      </c>
      <c r="JU9" s="1755">
        <f>+IFERROR(VLOOKUP(JU$6&amp;"-"&amp;$M9&amp;"_old",Ammortamento_Finanziario!$H:$L,5,FALSE),VLOOKUP($M9,TT_Tabelle_Riferimento!$H$31:$I$50,2,FALSE))</f>
        <v>40</v>
      </c>
      <c r="JV9" s="1755">
        <f>+IFERROR(VLOOKUP(JV$6&amp;"-"&amp;$M9&amp;"_old",Ammortamento_Finanziario!$H:$L,5,FALSE),VLOOKUP($M9,TT_Tabelle_Riferimento!$H$31:$I$50,2,FALSE))</f>
        <v>40</v>
      </c>
      <c r="JW9" s="1755">
        <f>+IFERROR(VLOOKUP(JW$6&amp;"-"&amp;$M9&amp;"_old",Ammortamento_Finanziario!$H:$L,5,FALSE),VLOOKUP($M9,TT_Tabelle_Riferimento!$H$31:$I$50,2,FALSE))</f>
        <v>40</v>
      </c>
      <c r="JX9" s="1078">
        <f>+IFERROR(VLOOKUP(JX$6&amp;"-"&amp;$M9&amp;"_old",Ammortamento_Finanziario!$H:$L,5,FALSE),VLOOKUP($M9,TT_Tabelle_Riferimento!$H$31:$I$50,2,FALSE))</f>
        <v>40</v>
      </c>
      <c r="JY9" s="1078">
        <f>+IFERROR(VLOOKUP(JY$6&amp;"-"&amp;$M9&amp;"_old",Ammortamento_Finanziario!$H:$L,5,FALSE),VLOOKUP($M9,TT_Tabelle_Riferimento!$H$31:$I$50,2,FALSE))</f>
        <v>40</v>
      </c>
      <c r="JZ9" s="1078">
        <f>+IFERROR(VLOOKUP(JZ$6&amp;"-"&amp;$M9&amp;"_old",Ammortamento_Finanziario!$H:$L,5,FALSE),VLOOKUP($M9,TT_Tabelle_Riferimento!$H$31:$I$50,2,FALSE))</f>
        <v>40</v>
      </c>
      <c r="KA9" s="1078">
        <f>+IFERROR(VLOOKUP(KA$6&amp;"-"&amp;$M9&amp;"_old",Ammortamento_Finanziario!$H:$L,5,FALSE),VLOOKUP($M9,TT_Tabelle_Riferimento!$H$31:$I$50,2,FALSE))</f>
        <v>40</v>
      </c>
      <c r="KB9" s="1078">
        <f>+IFERROR(VLOOKUP(KB$6&amp;"-"&amp;$M9&amp;"_old",Ammortamento_Finanziario!$H:$L,5,FALSE),VLOOKUP($M9,TT_Tabelle_Riferimento!$H$31:$I$50,2,FALSE))</f>
        <v>40</v>
      </c>
      <c r="KC9" s="1078">
        <f>+IFERROR(VLOOKUP(KC$6&amp;"-"&amp;$M9&amp;"_old",Ammortamento_Finanziario!$H:$L,5,FALSE),VLOOKUP($M9,TT_Tabelle_Riferimento!$H$31:$I$50,2,FALSE))</f>
        <v>40</v>
      </c>
      <c r="KD9" s="1078">
        <f>+IFERROR(VLOOKUP(KD$6&amp;"-"&amp;$M9&amp;"_old",Ammortamento_Finanziario!$H:$L,5,FALSE),VLOOKUP($M9,TT_Tabelle_Riferimento!$H$31:$I$50,2,FALSE))</f>
        <v>40</v>
      </c>
      <c r="KE9" s="1078">
        <f>+IFERROR(VLOOKUP(KE$6&amp;"-"&amp;$M9&amp;"_old",Ammortamento_Finanziario!$H:$L,5,FALSE),VLOOKUP($M9,TT_Tabelle_Riferimento!$H$31:$I$50,2,FALSE))</f>
        <v>40</v>
      </c>
      <c r="KF9" s="1078">
        <f>+IFERROR(VLOOKUP(KF$6&amp;"-"&amp;$M9&amp;"_old",Ammortamento_Finanziario!$H:$L,5,FALSE),VLOOKUP($M9,TT_Tabelle_Riferimento!$H$31:$I$50,2,FALSE))</f>
        <v>40</v>
      </c>
      <c r="KG9" s="1078">
        <f>+IFERROR(VLOOKUP(KG$6&amp;"-"&amp;$M9&amp;"_old",Ammortamento_Finanziario!$H:$L,5,FALSE),VLOOKUP($M9,TT_Tabelle_Riferimento!$H$31:$I$50,2,FALSE))</f>
        <v>40</v>
      </c>
      <c r="KH9" s="1078">
        <f>+IFERROR(VLOOKUP(KH$6&amp;"-"&amp;$M9&amp;"_old",Ammortamento_Finanziario!$H:$L,5,FALSE),VLOOKUP($M9,TT_Tabelle_Riferimento!$H$31:$I$50,2,FALSE))</f>
        <v>40</v>
      </c>
      <c r="KI9" s="1078">
        <f>+IFERROR(VLOOKUP(KI$6&amp;"-"&amp;$M9&amp;"_old",Ammortamento_Finanziario!$H:$L,5,FALSE),VLOOKUP($M9,TT_Tabelle_Riferimento!$H$31:$I$50,2,FALSE))</f>
        <v>40</v>
      </c>
      <c r="KJ9" s="1078">
        <f>+IFERROR(VLOOKUP(KJ$6&amp;"-"&amp;$M9&amp;"_old",Ammortamento_Finanziario!$H:$L,5,FALSE),VLOOKUP($M9,TT_Tabelle_Riferimento!$H$31:$I$50,2,FALSE))</f>
        <v>40</v>
      </c>
      <c r="KK9" s="1078">
        <f>+IFERROR(VLOOKUP(KK$6&amp;"-"&amp;$M9&amp;"_old",Ammortamento_Finanziario!$H:$L,5,FALSE),VLOOKUP($M9,TT_Tabelle_Riferimento!$H$31:$I$50,2,FALSE))</f>
        <v>40</v>
      </c>
      <c r="KL9" s="1078">
        <f>+IFERROR(VLOOKUP(KL$6&amp;"-"&amp;$M9&amp;"_old",Ammortamento_Finanziario!$H:$L,5,FALSE),VLOOKUP($M9,TT_Tabelle_Riferimento!$H$31:$I$50,2,FALSE))</f>
        <v>40</v>
      </c>
      <c r="KM9" s="1078">
        <f>+IFERROR(VLOOKUP(KM$6&amp;"-"&amp;$M9&amp;"_old",Ammortamento_Finanziario!$H:$L,5,FALSE),VLOOKUP($M9,TT_Tabelle_Riferimento!$H$31:$I$50,2,FALSE))</f>
        <v>40</v>
      </c>
      <c r="KN9" s="1078">
        <f>+IFERROR(VLOOKUP(KN$6&amp;"-"&amp;$M9&amp;"_old",Ammortamento_Finanziario!$H:$L,5,FALSE),VLOOKUP($M9,TT_Tabelle_Riferimento!$H$31:$I$50,2,FALSE))</f>
        <v>40</v>
      </c>
      <c r="KO9" s="1078">
        <f>+IFERROR(VLOOKUP(KO$6&amp;"-"&amp;$M9&amp;"_old",Ammortamento_Finanziario!$H:$L,5,FALSE),VLOOKUP($M9,TT_Tabelle_Riferimento!$H$31:$I$50,2,FALSE))</f>
        <v>40</v>
      </c>
      <c r="KP9" s="1078">
        <f>+IFERROR(VLOOKUP(KP$6&amp;"-"&amp;$M9&amp;"_old",Ammortamento_Finanziario!$H:$L,5,FALSE),VLOOKUP($M9,TT_Tabelle_Riferimento!$H$31:$I$50,2,FALSE))</f>
        <v>40</v>
      </c>
      <c r="KQ9" s="1748">
        <f>+IFERROR(VLOOKUP(KQ$6&amp;"-"&amp;$M9&amp;"_old",Ammortamento_Finanziario!$H:$L,5,FALSE),VLOOKUP($M9,TT_Tabelle_Riferimento!$H$31:$I$50,2,FALSE))</f>
        <v>40</v>
      </c>
      <c r="KR9" s="1748">
        <f>+IFERROR(VLOOKUP(KR$6&amp;"-"&amp;$M9&amp;"_old",Ammortamento_Finanziario!$H:$L,5,FALSE),VLOOKUP($M9,TT_Tabelle_Riferimento!$H$31:$I$50,2,FALSE))</f>
        <v>40</v>
      </c>
      <c r="KS9" s="1755">
        <f>+IFERROR(VLOOKUP(KS$6&amp;"-"&amp;$M9&amp;"_old",Ammortamento_Finanziario!$H:$L,5,FALSE),VLOOKUP($M9,TT_Tabelle_Riferimento!$H$31:$I$50,2,FALSE))</f>
        <v>40</v>
      </c>
      <c r="KT9" s="1755">
        <f>+IFERROR(VLOOKUP(KT$6&amp;"-"&amp;$M9&amp;"_old",Ammortamento_Finanziario!$H:$L,5,FALSE),VLOOKUP($M9,TT_Tabelle_Riferimento!$H$31:$I$50,2,FALSE))</f>
        <v>40</v>
      </c>
      <c r="KU9" s="1755">
        <f>+IFERROR(VLOOKUP(KU$6&amp;"-"&amp;$M9&amp;"_old",Ammortamento_Finanziario!$H:$L,5,FALSE),VLOOKUP($M9,TT_Tabelle_Riferimento!$H$31:$I$50,2,FALSE))</f>
        <v>40</v>
      </c>
      <c r="KV9" s="1755">
        <f>+IFERROR(VLOOKUP(KV$6&amp;"-"&amp;$M9&amp;"_old",Ammortamento_Finanziario!$H:$L,5,FALSE),VLOOKUP($M9,TT_Tabelle_Riferimento!$H$31:$I$50,2,FALSE))</f>
        <v>40</v>
      </c>
      <c r="KW9" s="1755">
        <f>+IFERROR(VLOOKUP(KW$6&amp;"-"&amp;$M9&amp;"_old",Ammortamento_Finanziario!$H:$L,5,FALSE),VLOOKUP($M9,TT_Tabelle_Riferimento!$H$31:$I$50,2,FALSE))</f>
        <v>40</v>
      </c>
      <c r="KX9" s="1755">
        <f>+IFERROR(VLOOKUP(KX$6&amp;"-"&amp;$M9&amp;"_old",Ammortamento_Finanziario!$H:$L,5,FALSE),VLOOKUP($M9,TT_Tabelle_Riferimento!$H$31:$I$50,2,FALSE))</f>
        <v>40</v>
      </c>
      <c r="KY9" s="1078">
        <f>+IFERROR(VLOOKUP(KY$6&amp;"-"&amp;$M9&amp;"_old",Ammortamento_Finanziario!$H:$L,5,FALSE),VLOOKUP($M9,TT_Tabelle_Riferimento!$H$31:$I$50,2,FALSE))</f>
        <v>40</v>
      </c>
      <c r="KZ9" s="1078">
        <f>+IFERROR(VLOOKUP(KZ$6&amp;"-"&amp;$M9&amp;"_old",Ammortamento_Finanziario!$H:$L,5,FALSE),VLOOKUP($M9,TT_Tabelle_Riferimento!$H$31:$I$50,2,FALSE))</f>
        <v>40</v>
      </c>
      <c r="LA9" s="1078">
        <f>+IFERROR(VLOOKUP(LA$6&amp;"-"&amp;$M9&amp;"_old",Ammortamento_Finanziario!$H:$L,5,FALSE),VLOOKUP($M9,TT_Tabelle_Riferimento!$H$31:$I$50,2,FALSE))</f>
        <v>40</v>
      </c>
      <c r="LB9" s="1078">
        <f>+IFERROR(VLOOKUP(LB$6&amp;"-"&amp;$M9&amp;"_old",Ammortamento_Finanziario!$H:$L,5,FALSE),VLOOKUP($M9,TT_Tabelle_Riferimento!$H$31:$I$50,2,FALSE))</f>
        <v>40</v>
      </c>
      <c r="LC9" s="1078">
        <f>+IFERROR(VLOOKUP(LC$6&amp;"-"&amp;$M9&amp;"_old",Ammortamento_Finanziario!$H:$L,5,FALSE),VLOOKUP($M9,TT_Tabelle_Riferimento!$H$31:$I$50,2,FALSE))</f>
        <v>40</v>
      </c>
      <c r="LD9" s="1078">
        <f>+IFERROR(VLOOKUP(LD$6&amp;"-"&amp;$M9&amp;"_old",Ammortamento_Finanziario!$H:$L,5,FALSE),VLOOKUP($M9,TT_Tabelle_Riferimento!$H$31:$I$50,2,FALSE))</f>
        <v>40</v>
      </c>
      <c r="LE9" s="1078">
        <f>+IFERROR(VLOOKUP(LE$6&amp;"-"&amp;$M9&amp;"_old",Ammortamento_Finanziario!$H:$L,5,FALSE),VLOOKUP($M9,TT_Tabelle_Riferimento!$H$31:$I$50,2,FALSE))</f>
        <v>40</v>
      </c>
      <c r="LF9" s="1078">
        <f>+IFERROR(VLOOKUP(LF$6&amp;"-"&amp;$M9&amp;"_old",Ammortamento_Finanziario!$H:$L,5,FALSE),VLOOKUP($M9,TT_Tabelle_Riferimento!$H$31:$I$50,2,FALSE))</f>
        <v>40</v>
      </c>
      <c r="LG9" s="1078">
        <f>+IFERROR(VLOOKUP(LG$6&amp;"-"&amp;$M9&amp;"_old",Ammortamento_Finanziario!$H:$L,5,FALSE),VLOOKUP($M9,TT_Tabelle_Riferimento!$H$31:$I$50,2,FALSE))</f>
        <v>40</v>
      </c>
      <c r="LH9" s="1078">
        <f>+IFERROR(VLOOKUP(LH$6&amp;"-"&amp;$M9&amp;"_old",Ammortamento_Finanziario!$H:$L,5,FALSE),VLOOKUP($M9,TT_Tabelle_Riferimento!$H$31:$I$50,2,FALSE))</f>
        <v>40</v>
      </c>
      <c r="LI9" s="1078">
        <f>+IFERROR(VLOOKUP(LI$6&amp;"-"&amp;$M9&amp;"_old",Ammortamento_Finanziario!$H:$L,5,FALSE),VLOOKUP($M9,TT_Tabelle_Riferimento!$H$31:$I$50,2,FALSE))</f>
        <v>40</v>
      </c>
      <c r="LJ9" s="1078">
        <f>+IFERROR(VLOOKUP(LJ$6&amp;"-"&amp;$M9&amp;"_old",Ammortamento_Finanziario!$H:$L,5,FALSE),VLOOKUP($M9,TT_Tabelle_Riferimento!$H$31:$I$50,2,FALSE))</f>
        <v>40</v>
      </c>
      <c r="LK9" s="1078">
        <f>+IFERROR(VLOOKUP(LK$6&amp;"-"&amp;$M9&amp;"_old",Ammortamento_Finanziario!$H:$L,5,FALSE),VLOOKUP($M9,TT_Tabelle_Riferimento!$H$31:$I$50,2,FALSE))</f>
        <v>40</v>
      </c>
      <c r="LL9" s="1078">
        <f>+IFERROR(VLOOKUP(LL$6&amp;"-"&amp;$M9&amp;"_old",Ammortamento_Finanziario!$H:$L,5,FALSE),VLOOKUP($M9,TT_Tabelle_Riferimento!$H$31:$I$50,2,FALSE))</f>
        <v>40</v>
      </c>
      <c r="LM9" s="1078">
        <f>+IFERROR(VLOOKUP(LM$6&amp;"-"&amp;$M9&amp;"_old",Ammortamento_Finanziario!$H:$L,5,FALSE),VLOOKUP($M9,TT_Tabelle_Riferimento!$H$31:$I$50,2,FALSE))</f>
        <v>40</v>
      </c>
      <c r="LN9" s="1078">
        <f>+IFERROR(VLOOKUP(LN$6&amp;"-"&amp;$M9&amp;"_old",Ammortamento_Finanziario!$H:$L,5,FALSE),VLOOKUP($M9,TT_Tabelle_Riferimento!$H$31:$I$50,2,FALSE))</f>
        <v>40</v>
      </c>
      <c r="LO9" s="1078">
        <f>+IFERROR(VLOOKUP(LO$6&amp;"-"&amp;$M9&amp;"_old",Ammortamento_Finanziario!$H:$L,5,FALSE),VLOOKUP($M9,TT_Tabelle_Riferimento!$H$31:$I$50,2,FALSE))</f>
        <v>40</v>
      </c>
      <c r="LP9" s="1078">
        <f>+IFERROR(VLOOKUP(LP$6&amp;"-"&amp;$M9&amp;"_old",Ammortamento_Finanziario!$H:$L,5,FALSE),VLOOKUP($M9,TT_Tabelle_Riferimento!$H$31:$I$50,2,FALSE))</f>
        <v>40</v>
      </c>
      <c r="LQ9" s="1078">
        <f>+IFERROR(VLOOKUP(LQ$6&amp;"-"&amp;$M9&amp;"_old",Ammortamento_Finanziario!$H:$L,5,FALSE),VLOOKUP($M9,TT_Tabelle_Riferimento!$H$31:$I$50,2,FALSE))</f>
        <v>40</v>
      </c>
      <c r="LR9" s="1748">
        <f>+IFERROR(VLOOKUP(LR$6&amp;"-"&amp;$M9&amp;"_old",Ammortamento_Finanziario!$H:$L,5,FALSE),VLOOKUP($M9,TT_Tabelle_Riferimento!$H$31:$I$50,2,FALSE))</f>
        <v>40</v>
      </c>
      <c r="LS9" s="1755">
        <f>+IFERROR(VLOOKUP(LS$6&amp;"-"&amp;$M9&amp;"_old",Ammortamento_Finanziario!$H:$L,5,FALSE),VLOOKUP($M9,TT_Tabelle_Riferimento!$H$31:$I$50,2,FALSE))</f>
        <v>40</v>
      </c>
      <c r="LT9" s="1755">
        <f>+IFERROR(VLOOKUP(LT$6&amp;"-"&amp;$M9&amp;"_old",Ammortamento_Finanziario!$H:$L,5,FALSE),VLOOKUP($M9,TT_Tabelle_Riferimento!$H$31:$I$50,2,FALSE))</f>
        <v>40</v>
      </c>
      <c r="LU9" s="1755">
        <f>+IFERROR(VLOOKUP(LU$6&amp;"-"&amp;$M9&amp;"_old",Ammortamento_Finanziario!$H:$L,5,FALSE),VLOOKUP($M9,TT_Tabelle_Riferimento!$H$31:$I$50,2,FALSE))</f>
        <v>40</v>
      </c>
      <c r="LV9" s="1755">
        <f>+IFERROR(VLOOKUP(LV$6&amp;"-"&amp;$M9&amp;"_old",Ammortamento_Finanziario!$H:$L,5,FALSE),VLOOKUP($M9,TT_Tabelle_Riferimento!$H$31:$I$50,2,FALSE))</f>
        <v>40</v>
      </c>
      <c r="LW9" s="1755">
        <f>+IFERROR(VLOOKUP(LW$6&amp;"-"&amp;$M9&amp;"_old",Ammortamento_Finanziario!$H:$L,5,FALSE),VLOOKUP($M9,TT_Tabelle_Riferimento!$H$31:$I$50,2,FALSE))</f>
        <v>40</v>
      </c>
      <c r="LX9" s="1755">
        <f>+IFERROR(VLOOKUP(LX$6&amp;"-"&amp;$M9&amp;"_old",Ammortamento_Finanziario!$H:$L,5,FALSE),VLOOKUP($M9,TT_Tabelle_Riferimento!$H$31:$I$50,2,FALSE))</f>
        <v>40</v>
      </c>
      <c r="LY9" s="1078">
        <f>+IFERROR(VLOOKUP(LY$6&amp;"-"&amp;$M9&amp;"_old",Ammortamento_Finanziario!$H:$L,5,FALSE),VLOOKUP($M9,TT_Tabelle_Riferimento!$H$31:$I$50,2,FALSE))</f>
        <v>40</v>
      </c>
      <c r="LZ9" s="1078">
        <f>+IFERROR(VLOOKUP(LZ$6&amp;"-"&amp;$M9&amp;"_old",Ammortamento_Finanziario!$H:$L,5,FALSE),VLOOKUP($M9,TT_Tabelle_Riferimento!$H$31:$I$50,2,FALSE))</f>
        <v>40</v>
      </c>
      <c r="MA9" s="1078">
        <f>+IFERROR(VLOOKUP(MA$6&amp;"-"&amp;$M9&amp;"_old",Ammortamento_Finanziario!$H:$L,5,FALSE),VLOOKUP($M9,TT_Tabelle_Riferimento!$H$31:$I$50,2,FALSE))</f>
        <v>40</v>
      </c>
      <c r="MB9" s="1078">
        <f>+IFERROR(VLOOKUP(MB$6&amp;"-"&amp;$M9&amp;"_old",Ammortamento_Finanziario!$H:$L,5,FALSE),VLOOKUP($M9,TT_Tabelle_Riferimento!$H$31:$I$50,2,FALSE))</f>
        <v>40</v>
      </c>
      <c r="MC9" s="1078">
        <f>+IFERROR(VLOOKUP(MC$6&amp;"-"&amp;$M9&amp;"_old",Ammortamento_Finanziario!$H:$L,5,FALSE),VLOOKUP($M9,TT_Tabelle_Riferimento!$H$31:$I$50,2,FALSE))</f>
        <v>40</v>
      </c>
      <c r="MD9" s="1078">
        <f>+IFERROR(VLOOKUP(MD$6&amp;"-"&amp;$M9&amp;"_old",Ammortamento_Finanziario!$H:$L,5,FALSE),VLOOKUP($M9,TT_Tabelle_Riferimento!$H$31:$I$50,2,FALSE))</f>
        <v>40</v>
      </c>
      <c r="ME9" s="1078">
        <f>+IFERROR(VLOOKUP(ME$6&amp;"-"&amp;$M9&amp;"_old",Ammortamento_Finanziario!$H:$L,5,FALSE),VLOOKUP($M9,TT_Tabelle_Riferimento!$H$31:$I$50,2,FALSE))</f>
        <v>40</v>
      </c>
      <c r="MF9" s="1078">
        <f>+IFERROR(VLOOKUP(MF$6&amp;"-"&amp;$M9&amp;"_old",Ammortamento_Finanziario!$H:$L,5,FALSE),VLOOKUP($M9,TT_Tabelle_Riferimento!$H$31:$I$50,2,FALSE))</f>
        <v>40</v>
      </c>
      <c r="MG9" s="1078">
        <f>+IFERROR(VLOOKUP(MG$6&amp;"-"&amp;$M9&amp;"_old",Ammortamento_Finanziario!$H:$L,5,FALSE),VLOOKUP($M9,TT_Tabelle_Riferimento!$H$31:$I$50,2,FALSE))</f>
        <v>40</v>
      </c>
      <c r="MH9" s="1078">
        <f>+IFERROR(VLOOKUP(MH$6&amp;"-"&amp;$M9&amp;"_old",Ammortamento_Finanziario!$H:$L,5,FALSE),VLOOKUP($M9,TT_Tabelle_Riferimento!$H$31:$I$50,2,FALSE))</f>
        <v>40</v>
      </c>
      <c r="MI9" s="1078">
        <f>+IFERROR(VLOOKUP(MI$6&amp;"-"&amp;$M9&amp;"_old",Ammortamento_Finanziario!$H:$L,5,FALSE),VLOOKUP($M9,TT_Tabelle_Riferimento!$H$31:$I$50,2,FALSE))</f>
        <v>40</v>
      </c>
      <c r="MJ9" s="1078">
        <f>+IFERROR(VLOOKUP(MJ$6&amp;"-"&amp;$M9&amp;"_old",Ammortamento_Finanziario!$H:$L,5,FALSE),VLOOKUP($M9,TT_Tabelle_Riferimento!$H$31:$I$50,2,FALSE))</f>
        <v>40</v>
      </c>
      <c r="MK9" s="1078">
        <f>+IFERROR(VLOOKUP(MK$6&amp;"-"&amp;$M9&amp;"_old",Ammortamento_Finanziario!$H:$L,5,FALSE),VLOOKUP($M9,TT_Tabelle_Riferimento!$H$31:$I$50,2,FALSE))</f>
        <v>40</v>
      </c>
      <c r="ML9" s="1078">
        <f>+IFERROR(VLOOKUP(ML$6&amp;"-"&amp;$M9&amp;"_old",Ammortamento_Finanziario!$H:$L,5,FALSE),VLOOKUP($M9,TT_Tabelle_Riferimento!$H$31:$I$50,2,FALSE))</f>
        <v>40</v>
      </c>
      <c r="MM9" s="1078">
        <f>+IFERROR(VLOOKUP(MM$6&amp;"-"&amp;$M9&amp;"_old",Ammortamento_Finanziario!$H:$L,5,FALSE),VLOOKUP($M9,TT_Tabelle_Riferimento!$H$31:$I$50,2,FALSE))</f>
        <v>40</v>
      </c>
      <c r="MN9" s="1078">
        <f>+IFERROR(VLOOKUP(MN$6&amp;"-"&amp;$M9&amp;"_old",Ammortamento_Finanziario!$H:$L,5,FALSE),VLOOKUP($M9,TT_Tabelle_Riferimento!$H$31:$I$50,2,FALSE))</f>
        <v>40</v>
      </c>
      <c r="MO9" s="1078">
        <f>+IFERROR(VLOOKUP(MO$6&amp;"-"&amp;$M9&amp;"_old",Ammortamento_Finanziario!$H:$L,5,FALSE),VLOOKUP($M9,TT_Tabelle_Riferimento!$H$31:$I$50,2,FALSE))</f>
        <v>40</v>
      </c>
      <c r="MP9" s="1078">
        <f>+IFERROR(VLOOKUP(MP$6&amp;"-"&amp;$M9&amp;"_old",Ammortamento_Finanziario!$H:$L,5,FALSE),VLOOKUP($M9,TT_Tabelle_Riferimento!$H$31:$I$50,2,FALSE))</f>
        <v>40</v>
      </c>
      <c r="MQ9" s="1078">
        <f>+IFERROR(VLOOKUP(MQ$6&amp;"-"&amp;$M9&amp;"_old",Ammortamento_Finanziario!$H:$L,5,FALSE),VLOOKUP($M9,TT_Tabelle_Riferimento!$H$31:$I$50,2,FALSE))</f>
        <v>40</v>
      </c>
      <c r="MR9" s="1755">
        <f>+IFERROR(VLOOKUP(MR$6&amp;"-"&amp;$M9&amp;"_old",Ammortamento_Finanziario!$H:$L,5,FALSE),VLOOKUP($M9,TT_Tabelle_Riferimento!$H$31:$I$50,2,FALSE))</f>
        <v>40</v>
      </c>
      <c r="MS9" s="1755">
        <f>+IFERROR(VLOOKUP(MS$6&amp;"-"&amp;$M9&amp;"_old",Ammortamento_Finanziario!$H:$L,5,FALSE),VLOOKUP($M9,TT_Tabelle_Riferimento!$H$31:$I$50,2,FALSE))</f>
        <v>40</v>
      </c>
      <c r="MT9" s="1755">
        <f>+IFERROR(VLOOKUP(MT$6&amp;"-"&amp;$M9&amp;"_old",Ammortamento_Finanziario!$H:$L,5,FALSE),VLOOKUP($M9,TT_Tabelle_Riferimento!$H$31:$I$50,2,FALSE))</f>
        <v>40</v>
      </c>
      <c r="MU9" s="1755">
        <f>+IFERROR(VLOOKUP(MU$6&amp;"-"&amp;$M9&amp;"_old",Ammortamento_Finanziario!$H:$L,5,FALSE),VLOOKUP($M9,TT_Tabelle_Riferimento!$H$31:$I$50,2,FALSE))</f>
        <v>40</v>
      </c>
      <c r="MV9" s="1755">
        <f>+IFERROR(VLOOKUP(MV$6&amp;"-"&amp;$M9&amp;"_old",Ammortamento_Finanziario!$H:$L,5,FALSE),VLOOKUP($M9,TT_Tabelle_Riferimento!$H$31:$I$50,2,FALSE))</f>
        <v>40</v>
      </c>
      <c r="MW9" s="1755">
        <f>+IFERROR(VLOOKUP(MW$6&amp;"-"&amp;$M9&amp;"_old",Ammortamento_Finanziario!$H:$L,5,FALSE),VLOOKUP($M9,TT_Tabelle_Riferimento!$H$31:$I$50,2,FALSE))</f>
        <v>40</v>
      </c>
      <c r="MX9" s="1078">
        <f>+IFERROR(VLOOKUP(MX$6&amp;"-"&amp;$M9&amp;"_old",Ammortamento_Finanziario!$H:$L,5,FALSE),VLOOKUP($M9,TT_Tabelle_Riferimento!$H$31:$I$50,2,FALSE))</f>
        <v>40</v>
      </c>
      <c r="MY9" s="1078">
        <f>+IFERROR(VLOOKUP(MY$6&amp;"-"&amp;$M9&amp;"_old",Ammortamento_Finanziario!$H:$L,5,FALSE),VLOOKUP($M9,TT_Tabelle_Riferimento!$H$31:$I$50,2,FALSE))</f>
        <v>40</v>
      </c>
      <c r="MZ9" s="1078">
        <f>+IFERROR(VLOOKUP(MZ$6&amp;"-"&amp;$M9&amp;"_old",Ammortamento_Finanziario!$H:$L,5,FALSE),VLOOKUP($M9,TT_Tabelle_Riferimento!$H$31:$I$50,2,FALSE))</f>
        <v>40</v>
      </c>
      <c r="NA9" s="1078">
        <f>+IFERROR(VLOOKUP(NA$6&amp;"-"&amp;$M9&amp;"_old",Ammortamento_Finanziario!$H:$L,5,FALSE),VLOOKUP($M9,TT_Tabelle_Riferimento!$H$31:$I$50,2,FALSE))</f>
        <v>40</v>
      </c>
      <c r="NB9" s="1078">
        <f>+IFERROR(VLOOKUP(NB$6&amp;"-"&amp;$M9&amp;"_old",Ammortamento_Finanziario!$H:$L,5,FALSE),VLOOKUP($M9,TT_Tabelle_Riferimento!$H$31:$I$50,2,FALSE))</f>
        <v>40</v>
      </c>
      <c r="NC9" s="1078">
        <f>+IFERROR(VLOOKUP(NC$6&amp;"-"&amp;$M9&amp;"_old",Ammortamento_Finanziario!$H:$L,5,FALSE),VLOOKUP($M9,TT_Tabelle_Riferimento!$H$31:$I$50,2,FALSE))</f>
        <v>40</v>
      </c>
      <c r="ND9" s="1078">
        <f>+IFERROR(VLOOKUP(ND$6&amp;"-"&amp;$M9&amp;"_old",Ammortamento_Finanziario!$H:$L,5,FALSE),VLOOKUP($M9,TT_Tabelle_Riferimento!$H$31:$I$50,2,FALSE))</f>
        <v>40</v>
      </c>
      <c r="NE9" s="1078">
        <f>+IFERROR(VLOOKUP(NE$6&amp;"-"&amp;$M9&amp;"_old",Ammortamento_Finanziario!$H:$L,5,FALSE),VLOOKUP($M9,TT_Tabelle_Riferimento!$H$31:$I$50,2,FALSE))</f>
        <v>40</v>
      </c>
      <c r="NF9" s="1078">
        <f>+IFERROR(VLOOKUP(NF$6&amp;"-"&amp;$M9&amp;"_old",Ammortamento_Finanziario!$H:$L,5,FALSE),VLOOKUP($M9,TT_Tabelle_Riferimento!$H$31:$I$50,2,FALSE))</f>
        <v>40</v>
      </c>
      <c r="NG9" s="1078">
        <f>+IFERROR(VLOOKUP(NG$6&amp;"-"&amp;$M9&amp;"_old",Ammortamento_Finanziario!$H:$L,5,FALSE),VLOOKUP($M9,TT_Tabelle_Riferimento!$H$31:$I$50,2,FALSE))</f>
        <v>40</v>
      </c>
      <c r="NH9" s="1078">
        <f>+IFERROR(VLOOKUP(NH$6&amp;"-"&amp;$M9&amp;"_old",Ammortamento_Finanziario!$H:$L,5,FALSE),VLOOKUP($M9,TT_Tabelle_Riferimento!$H$31:$I$50,2,FALSE))</f>
        <v>40</v>
      </c>
      <c r="NI9" s="1078">
        <f>+IFERROR(VLOOKUP(NI$6&amp;"-"&amp;$M9&amp;"_old",Ammortamento_Finanziario!$H:$L,5,FALSE),VLOOKUP($M9,TT_Tabelle_Riferimento!$H$31:$I$50,2,FALSE))</f>
        <v>40</v>
      </c>
      <c r="NJ9" s="1078">
        <f>+IFERROR(VLOOKUP(NJ$6&amp;"-"&amp;$M9&amp;"_old",Ammortamento_Finanziario!$H:$L,5,FALSE),VLOOKUP($M9,TT_Tabelle_Riferimento!$H$31:$I$50,2,FALSE))</f>
        <v>40</v>
      </c>
      <c r="NK9" s="1078">
        <f>+IFERROR(VLOOKUP(NK$6&amp;"-"&amp;$M9&amp;"_old",Ammortamento_Finanziario!$H:$L,5,FALSE),VLOOKUP($M9,TT_Tabelle_Riferimento!$H$31:$I$50,2,FALSE))</f>
        <v>40</v>
      </c>
      <c r="NL9" s="1078">
        <f>+IFERROR(VLOOKUP(NL$6&amp;"-"&amp;$M9&amp;"_old",Ammortamento_Finanziario!$H:$L,5,FALSE),VLOOKUP($M9,TT_Tabelle_Riferimento!$H$31:$I$50,2,FALSE))</f>
        <v>40</v>
      </c>
      <c r="NM9" s="1078">
        <f>+IFERROR(VLOOKUP(NM$6&amp;"-"&amp;$M9&amp;"_old",Ammortamento_Finanziario!$H:$L,5,FALSE),VLOOKUP($M9,TT_Tabelle_Riferimento!$H$31:$I$50,2,FALSE))</f>
        <v>40</v>
      </c>
      <c r="NN9" s="1078">
        <f>+IFERROR(VLOOKUP(NN$6&amp;"-"&amp;$M9&amp;"_old",Ammortamento_Finanziario!$H:$L,5,FALSE),VLOOKUP($M9,TT_Tabelle_Riferimento!$H$31:$I$50,2,FALSE))</f>
        <v>40</v>
      </c>
      <c r="NO9" s="1078">
        <f>+IFERROR(VLOOKUP(NO$6&amp;"-"&amp;$M9&amp;"_old",Ammortamento_Finanziario!$H:$L,5,FALSE),VLOOKUP($M9,TT_Tabelle_Riferimento!$H$31:$I$50,2,FALSE))</f>
        <v>40</v>
      </c>
      <c r="NP9" s="1078">
        <f>+IFERROR(VLOOKUP(NP$6&amp;"-"&amp;$M9&amp;"_old",Ammortamento_Finanziario!$H:$L,5,FALSE),VLOOKUP($M9,TT_Tabelle_Riferimento!$H$31:$I$50,2,FALSE))</f>
        <v>40</v>
      </c>
      <c r="NQ9" s="1755">
        <f>+IFERROR(VLOOKUP(NQ$6&amp;"-"&amp;$M9&amp;"_old",Ammortamento_Finanziario!$H:$L,5,FALSE),VLOOKUP($M9,TT_Tabelle_Riferimento!$H$31:$I$50,2,FALSE))</f>
        <v>40</v>
      </c>
      <c r="NR9" s="1755">
        <f>+IFERROR(VLOOKUP(NR$6&amp;"-"&amp;$M9&amp;"_old",Ammortamento_Finanziario!$H:$L,5,FALSE),VLOOKUP($M9,TT_Tabelle_Riferimento!$H$31:$I$50,2,FALSE))</f>
        <v>40</v>
      </c>
      <c r="NS9" s="1755">
        <f>+IFERROR(VLOOKUP(NS$6&amp;"-"&amp;$M9&amp;"_old",Ammortamento_Finanziario!$H:$L,5,FALSE),VLOOKUP($M9,TT_Tabelle_Riferimento!$H$31:$I$50,2,FALSE))</f>
        <v>40</v>
      </c>
      <c r="NT9" s="1755">
        <f>+IFERROR(VLOOKUP(NT$6&amp;"-"&amp;$M9&amp;"_old",Ammortamento_Finanziario!$H:$L,5,FALSE),VLOOKUP($M9,TT_Tabelle_Riferimento!$H$31:$I$50,2,FALSE))</f>
        <v>40</v>
      </c>
      <c r="NU9" s="1755">
        <f>+IFERROR(VLOOKUP(NU$6&amp;"-"&amp;$M9&amp;"_old",Ammortamento_Finanziario!$H:$L,5,FALSE),VLOOKUP($M9,TT_Tabelle_Riferimento!$H$31:$I$50,2,FALSE))</f>
        <v>40</v>
      </c>
      <c r="NV9" s="1078">
        <f>+IFERROR(VLOOKUP(NV$6&amp;"-"&amp;$M9&amp;"_old",Ammortamento_Finanziario!$H:$L,5,FALSE),VLOOKUP($M9,TT_Tabelle_Riferimento!$H$31:$I$50,2,FALSE))</f>
        <v>40</v>
      </c>
      <c r="NW9" s="1078">
        <f>+IFERROR(VLOOKUP(NW$6&amp;"-"&amp;$M9&amp;"_old",Ammortamento_Finanziario!$H:$L,5,FALSE),VLOOKUP($M9,TT_Tabelle_Riferimento!$H$31:$I$50,2,FALSE))</f>
        <v>40</v>
      </c>
      <c r="NX9" s="1078">
        <f>+IFERROR(VLOOKUP(NX$6&amp;"-"&amp;$M9&amp;"_old",Ammortamento_Finanziario!$H:$L,5,FALSE),VLOOKUP($M9,TT_Tabelle_Riferimento!$H$31:$I$50,2,FALSE))</f>
        <v>40</v>
      </c>
      <c r="NY9" s="1078">
        <f>+IFERROR(VLOOKUP(NY$6&amp;"-"&amp;$M9&amp;"_old",Ammortamento_Finanziario!$H:$L,5,FALSE),VLOOKUP($M9,TT_Tabelle_Riferimento!$H$31:$I$50,2,FALSE))</f>
        <v>40</v>
      </c>
      <c r="NZ9" s="1078">
        <f>+IFERROR(VLOOKUP(NZ$6&amp;"-"&amp;$M9&amp;"_old",Ammortamento_Finanziario!$H:$L,5,FALSE),VLOOKUP($M9,TT_Tabelle_Riferimento!$H$31:$I$50,2,FALSE))</f>
        <v>40</v>
      </c>
      <c r="OA9" s="1078">
        <f>+IFERROR(VLOOKUP(OA$6&amp;"-"&amp;$M9&amp;"_old",Ammortamento_Finanziario!$H:$L,5,FALSE),VLOOKUP($M9,TT_Tabelle_Riferimento!$H$31:$I$50,2,FALSE))</f>
        <v>40</v>
      </c>
      <c r="OB9" s="1078">
        <f>+IFERROR(VLOOKUP(OB$6&amp;"-"&amp;$M9&amp;"_old",Ammortamento_Finanziario!$H:$L,5,FALSE),VLOOKUP($M9,TT_Tabelle_Riferimento!$H$31:$I$50,2,FALSE))</f>
        <v>40</v>
      </c>
      <c r="OC9" s="1078">
        <f>+IFERROR(VLOOKUP(OC$6&amp;"-"&amp;$M9&amp;"_old",Ammortamento_Finanziario!$H:$L,5,FALSE),VLOOKUP($M9,TT_Tabelle_Riferimento!$H$31:$I$50,2,FALSE))</f>
        <v>40</v>
      </c>
      <c r="OD9" s="1078">
        <f>+IFERROR(VLOOKUP(OD$6&amp;"-"&amp;$M9&amp;"_old",Ammortamento_Finanziario!$H:$L,5,FALSE),VLOOKUP($M9,TT_Tabelle_Riferimento!$H$31:$I$50,2,FALSE))</f>
        <v>40</v>
      </c>
      <c r="OE9" s="1078">
        <f>+IFERROR(VLOOKUP(OE$6&amp;"-"&amp;$M9&amp;"_old",Ammortamento_Finanziario!$H:$L,5,FALSE),VLOOKUP($M9,TT_Tabelle_Riferimento!$H$31:$I$50,2,FALSE))</f>
        <v>40</v>
      </c>
      <c r="OF9" s="1078">
        <f>+IFERROR(VLOOKUP(OF$6&amp;"-"&amp;$M9&amp;"_old",Ammortamento_Finanziario!$H:$L,5,FALSE),VLOOKUP($M9,TT_Tabelle_Riferimento!$H$31:$I$50,2,FALSE))</f>
        <v>40</v>
      </c>
      <c r="OG9" s="1078">
        <f>+IFERROR(VLOOKUP(OG$6&amp;"-"&amp;$M9&amp;"_old",Ammortamento_Finanziario!$H:$L,5,FALSE),VLOOKUP($M9,TT_Tabelle_Riferimento!$H$31:$I$50,2,FALSE))</f>
        <v>40</v>
      </c>
      <c r="OH9" s="1078">
        <f>+IFERROR(VLOOKUP(OH$6&amp;"-"&amp;$M9&amp;"_old",Ammortamento_Finanziario!$H:$L,5,FALSE),VLOOKUP($M9,TT_Tabelle_Riferimento!$H$31:$I$50,2,FALSE))</f>
        <v>40</v>
      </c>
      <c r="OI9" s="1078">
        <f>+IFERROR(VLOOKUP(OI$6&amp;"-"&amp;$M9&amp;"_old",Ammortamento_Finanziario!$H:$L,5,FALSE),VLOOKUP($M9,TT_Tabelle_Riferimento!$H$31:$I$50,2,FALSE))</f>
        <v>40</v>
      </c>
      <c r="OJ9" s="1078">
        <f>+IFERROR(VLOOKUP(OJ$6&amp;"-"&amp;$M9&amp;"_old",Ammortamento_Finanziario!$H:$L,5,FALSE),VLOOKUP($M9,TT_Tabelle_Riferimento!$H$31:$I$50,2,FALSE))</f>
        <v>40</v>
      </c>
      <c r="OK9" s="1078">
        <f>+IFERROR(VLOOKUP(OK$6&amp;"-"&amp;$M9&amp;"_old",Ammortamento_Finanziario!$H:$L,5,FALSE),VLOOKUP($M9,TT_Tabelle_Riferimento!$H$31:$I$50,2,FALSE))</f>
        <v>40</v>
      </c>
      <c r="OL9" s="1078">
        <f>+IFERROR(VLOOKUP(OL$6&amp;"-"&amp;$M9&amp;"_old",Ammortamento_Finanziario!$H:$L,5,FALSE),VLOOKUP($M9,TT_Tabelle_Riferimento!$H$31:$I$50,2,FALSE))</f>
        <v>40</v>
      </c>
      <c r="OM9" s="1078">
        <f>+IFERROR(VLOOKUP(OM$6&amp;"-"&amp;$M9&amp;"_old",Ammortamento_Finanziario!$H:$L,5,FALSE),VLOOKUP($M9,TT_Tabelle_Riferimento!$H$31:$I$50,2,FALSE))</f>
        <v>40</v>
      </c>
      <c r="ON9" s="1078">
        <f>+IFERROR(VLOOKUP(ON$6&amp;"-"&amp;$M9&amp;"_old",Ammortamento_Finanziario!$H:$L,5,FALSE),VLOOKUP($M9,TT_Tabelle_Riferimento!$H$31:$I$50,2,FALSE))</f>
        <v>40</v>
      </c>
      <c r="OO9" s="1755">
        <f>+IFERROR(VLOOKUP(OO$6&amp;"-"&amp;$M9&amp;"_old",Ammortamento_Finanziario!$H:$L,5,FALSE),VLOOKUP($M9,TT_Tabelle_Riferimento!$H$31:$I$50,2,FALSE))</f>
        <v>40</v>
      </c>
      <c r="OP9" s="1755">
        <f>+IFERROR(VLOOKUP(OP$6&amp;"-"&amp;$M9&amp;"_old",Ammortamento_Finanziario!$H:$L,5,FALSE),VLOOKUP($M9,TT_Tabelle_Riferimento!$H$31:$I$50,2,FALSE))</f>
        <v>40</v>
      </c>
      <c r="OQ9" s="1755">
        <f>+IFERROR(VLOOKUP(OQ$6&amp;"-"&amp;$M9&amp;"_old",Ammortamento_Finanziario!$H:$L,5,FALSE),VLOOKUP($M9,TT_Tabelle_Riferimento!$H$31:$I$50,2,FALSE))</f>
        <v>40</v>
      </c>
      <c r="OR9" s="1755">
        <f>+IFERROR(VLOOKUP(OR$6&amp;"-"&amp;$M9&amp;"_old",Ammortamento_Finanziario!$H:$L,5,FALSE),VLOOKUP($M9,TT_Tabelle_Riferimento!$H$31:$I$50,2,FALSE))</f>
        <v>40</v>
      </c>
      <c r="OS9" s="1078">
        <f>+IFERROR(VLOOKUP(OS$6&amp;"-"&amp;$M9&amp;"_old",Ammortamento_Finanziario!$H:$L,5,FALSE),VLOOKUP($M9,TT_Tabelle_Riferimento!$H$31:$I$50,2,FALSE))</f>
        <v>40</v>
      </c>
      <c r="OT9" s="1078">
        <f>+IFERROR(VLOOKUP(OT$6&amp;"-"&amp;$M9&amp;"_old",Ammortamento_Finanziario!$H:$L,5,FALSE),VLOOKUP($M9,TT_Tabelle_Riferimento!$H$31:$I$50,2,FALSE))</f>
        <v>40</v>
      </c>
      <c r="OU9" s="1078">
        <f>+IFERROR(VLOOKUP(OU$6&amp;"-"&amp;$M9&amp;"_old",Ammortamento_Finanziario!$H:$L,5,FALSE),VLOOKUP($M9,TT_Tabelle_Riferimento!$H$31:$I$50,2,FALSE))</f>
        <v>40</v>
      </c>
      <c r="OV9" s="1078">
        <f>+IFERROR(VLOOKUP(OV$6&amp;"-"&amp;$M9&amp;"_old",Ammortamento_Finanziario!$H:$L,5,FALSE),VLOOKUP($M9,TT_Tabelle_Riferimento!$H$31:$I$50,2,FALSE))</f>
        <v>40</v>
      </c>
      <c r="OW9" s="1078">
        <f>+IFERROR(VLOOKUP(OW$6&amp;"-"&amp;$M9&amp;"_old",Ammortamento_Finanziario!$H:$L,5,FALSE),VLOOKUP($M9,TT_Tabelle_Riferimento!$H$31:$I$50,2,FALSE))</f>
        <v>40</v>
      </c>
      <c r="OX9" s="1078">
        <f>+IFERROR(VLOOKUP(OX$6&amp;"-"&amp;$M9&amp;"_old",Ammortamento_Finanziario!$H:$L,5,FALSE),VLOOKUP($M9,TT_Tabelle_Riferimento!$H$31:$I$50,2,FALSE))</f>
        <v>40</v>
      </c>
      <c r="OY9" s="1078">
        <f>+IFERROR(VLOOKUP(OY$6&amp;"-"&amp;$M9&amp;"_old",Ammortamento_Finanziario!$H:$L,5,FALSE),VLOOKUP($M9,TT_Tabelle_Riferimento!$H$31:$I$50,2,FALSE))</f>
        <v>40</v>
      </c>
      <c r="OZ9" s="1078">
        <f>+IFERROR(VLOOKUP(OZ$6&amp;"-"&amp;$M9&amp;"_old",Ammortamento_Finanziario!$H:$L,5,FALSE),VLOOKUP($M9,TT_Tabelle_Riferimento!$H$31:$I$50,2,FALSE))</f>
        <v>40</v>
      </c>
      <c r="PA9" s="1078">
        <f>+IFERROR(VLOOKUP(PA$6&amp;"-"&amp;$M9&amp;"_old",Ammortamento_Finanziario!$H:$L,5,FALSE),VLOOKUP($M9,TT_Tabelle_Riferimento!$H$31:$I$50,2,FALSE))</f>
        <v>40</v>
      </c>
      <c r="PB9" s="1078">
        <f>+IFERROR(VLOOKUP(PB$6&amp;"-"&amp;$M9&amp;"_old",Ammortamento_Finanziario!$H:$L,5,FALSE),VLOOKUP($M9,TT_Tabelle_Riferimento!$H$31:$I$50,2,FALSE))</f>
        <v>40</v>
      </c>
      <c r="PC9" s="1078">
        <f>+IFERROR(VLOOKUP(PC$6&amp;"-"&amp;$M9&amp;"_old",Ammortamento_Finanziario!$H:$L,5,FALSE),VLOOKUP($M9,TT_Tabelle_Riferimento!$H$31:$I$50,2,FALSE))</f>
        <v>40</v>
      </c>
      <c r="PD9" s="1078">
        <f>+IFERROR(VLOOKUP(PD$6&amp;"-"&amp;$M9&amp;"_old",Ammortamento_Finanziario!$H:$L,5,FALSE),VLOOKUP($M9,TT_Tabelle_Riferimento!$H$31:$I$50,2,FALSE))</f>
        <v>40</v>
      </c>
      <c r="PE9" s="1078">
        <f>+IFERROR(VLOOKUP(PE$6&amp;"-"&amp;$M9&amp;"_old",Ammortamento_Finanziario!$H:$L,5,FALSE),VLOOKUP($M9,TT_Tabelle_Riferimento!$H$31:$I$50,2,FALSE))</f>
        <v>40</v>
      </c>
      <c r="PF9" s="1078">
        <f>+IFERROR(VLOOKUP(PF$6&amp;"-"&amp;$M9&amp;"_old",Ammortamento_Finanziario!$H:$L,5,FALSE),VLOOKUP($M9,TT_Tabelle_Riferimento!$H$31:$I$50,2,FALSE))</f>
        <v>40</v>
      </c>
      <c r="PG9" s="1078">
        <f>+IFERROR(VLOOKUP(PG$6&amp;"-"&amp;$M9&amp;"_old",Ammortamento_Finanziario!$H:$L,5,FALSE),VLOOKUP($M9,TT_Tabelle_Riferimento!$H$31:$I$50,2,FALSE))</f>
        <v>40</v>
      </c>
      <c r="PH9" s="1078">
        <f>+IFERROR(VLOOKUP(PH$6&amp;"-"&amp;$M9&amp;"_old",Ammortamento_Finanziario!$H:$L,5,FALSE),VLOOKUP($M9,TT_Tabelle_Riferimento!$H$31:$I$50,2,FALSE))</f>
        <v>40</v>
      </c>
      <c r="PI9" s="1078">
        <f>+IFERROR(VLOOKUP(PI$6&amp;"-"&amp;$M9&amp;"_old",Ammortamento_Finanziario!$H:$L,5,FALSE),VLOOKUP($M9,TT_Tabelle_Riferimento!$H$31:$I$50,2,FALSE))</f>
        <v>40</v>
      </c>
      <c r="PJ9" s="1078">
        <f>+IFERROR(VLOOKUP(PJ$6&amp;"-"&amp;$M9&amp;"_old",Ammortamento_Finanziario!$H:$L,5,FALSE),VLOOKUP($M9,TT_Tabelle_Riferimento!$H$31:$I$50,2,FALSE))</f>
        <v>40</v>
      </c>
      <c r="PK9" s="1078">
        <f>+IFERROR(VLOOKUP(PK$6&amp;"-"&amp;$M9&amp;"_old",Ammortamento_Finanziario!$H:$L,5,FALSE),VLOOKUP($M9,TT_Tabelle_Riferimento!$H$31:$I$50,2,FALSE))</f>
        <v>40</v>
      </c>
      <c r="PL9" s="1755">
        <f>+IFERROR(VLOOKUP(PL$6&amp;"-"&amp;$M9&amp;"_old",Ammortamento_Finanziario!$H:$L,5,FALSE),VLOOKUP($M9,TT_Tabelle_Riferimento!$H$31:$I$50,2,FALSE))</f>
        <v>40</v>
      </c>
      <c r="PM9" s="1755">
        <f>+IFERROR(VLOOKUP(PM$6&amp;"-"&amp;$M9&amp;"_old",Ammortamento_Finanziario!$H:$L,5,FALSE),VLOOKUP($M9,TT_Tabelle_Riferimento!$H$31:$I$50,2,FALSE))</f>
        <v>40</v>
      </c>
      <c r="PN9" s="1755">
        <f>+IFERROR(VLOOKUP(PN$6&amp;"-"&amp;$M9&amp;"_old",Ammortamento_Finanziario!$H:$L,5,FALSE),VLOOKUP($M9,TT_Tabelle_Riferimento!$H$31:$I$50,2,FALSE))</f>
        <v>40</v>
      </c>
      <c r="PO9" s="1078">
        <f>+IFERROR(VLOOKUP(PO$6&amp;"-"&amp;$M9&amp;"_old",Ammortamento_Finanziario!$H:$L,5,FALSE),VLOOKUP($M9,TT_Tabelle_Riferimento!$H$31:$I$50,2,FALSE))</f>
        <v>40</v>
      </c>
      <c r="PP9" s="1078">
        <f>+IFERROR(VLOOKUP(PP$6&amp;"-"&amp;$M9&amp;"_old",Ammortamento_Finanziario!$H:$L,5,FALSE),VLOOKUP($M9,TT_Tabelle_Riferimento!$H$31:$I$50,2,FALSE))</f>
        <v>40</v>
      </c>
      <c r="PQ9" s="1078">
        <f>+IFERROR(VLOOKUP(PQ$6&amp;"-"&amp;$M9&amp;"_old",Ammortamento_Finanziario!$H:$L,5,FALSE),VLOOKUP($M9,TT_Tabelle_Riferimento!$H$31:$I$50,2,FALSE))</f>
        <v>40</v>
      </c>
      <c r="PR9" s="1078">
        <f>+IFERROR(VLOOKUP(PR$6&amp;"-"&amp;$M9&amp;"_old",Ammortamento_Finanziario!$H:$L,5,FALSE),VLOOKUP($M9,TT_Tabelle_Riferimento!$H$31:$I$50,2,FALSE))</f>
        <v>40</v>
      </c>
      <c r="PS9" s="1078">
        <f>+IFERROR(VLOOKUP(PS$6&amp;"-"&amp;$M9&amp;"_old",Ammortamento_Finanziario!$H:$L,5,FALSE),VLOOKUP($M9,TT_Tabelle_Riferimento!$H$31:$I$50,2,FALSE))</f>
        <v>40</v>
      </c>
      <c r="PT9" s="1078">
        <f>+IFERROR(VLOOKUP(PT$6&amp;"-"&amp;$M9&amp;"_old",Ammortamento_Finanziario!$H:$L,5,FALSE),VLOOKUP($M9,TT_Tabelle_Riferimento!$H$31:$I$50,2,FALSE))</f>
        <v>40</v>
      </c>
      <c r="PU9" s="1078">
        <f>+IFERROR(VLOOKUP(PU$6&amp;"-"&amp;$M9&amp;"_old",Ammortamento_Finanziario!$H:$L,5,FALSE),VLOOKUP($M9,TT_Tabelle_Riferimento!$H$31:$I$50,2,FALSE))</f>
        <v>40</v>
      </c>
      <c r="PV9" s="1078">
        <f>+IFERROR(VLOOKUP(PV$6&amp;"-"&amp;$M9&amp;"_old",Ammortamento_Finanziario!$H:$L,5,FALSE),VLOOKUP($M9,TT_Tabelle_Riferimento!$H$31:$I$50,2,FALSE))</f>
        <v>40</v>
      </c>
      <c r="PW9" s="1078">
        <f>+IFERROR(VLOOKUP(PW$6&amp;"-"&amp;$M9&amp;"_old",Ammortamento_Finanziario!$H:$L,5,FALSE),VLOOKUP($M9,TT_Tabelle_Riferimento!$H$31:$I$50,2,FALSE))</f>
        <v>40</v>
      </c>
      <c r="PX9" s="1078">
        <f>+IFERROR(VLOOKUP(PX$6&amp;"-"&amp;$M9&amp;"_old",Ammortamento_Finanziario!$H:$L,5,FALSE),VLOOKUP($M9,TT_Tabelle_Riferimento!$H$31:$I$50,2,FALSE))</f>
        <v>40</v>
      </c>
      <c r="PY9" s="1078">
        <f>+IFERROR(VLOOKUP(PY$6&amp;"-"&amp;$M9&amp;"_old",Ammortamento_Finanziario!$H:$L,5,FALSE),VLOOKUP($M9,TT_Tabelle_Riferimento!$H$31:$I$50,2,FALSE))</f>
        <v>40</v>
      </c>
      <c r="PZ9" s="1078">
        <f>+IFERROR(VLOOKUP(PZ$6&amp;"-"&amp;$M9&amp;"_old",Ammortamento_Finanziario!$H:$L,5,FALSE),VLOOKUP($M9,TT_Tabelle_Riferimento!$H$31:$I$50,2,FALSE))</f>
        <v>40</v>
      </c>
      <c r="QA9" s="1078">
        <f>+IFERROR(VLOOKUP(QA$6&amp;"-"&amp;$M9&amp;"_old",Ammortamento_Finanziario!$H:$L,5,FALSE),VLOOKUP($M9,TT_Tabelle_Riferimento!$H$31:$I$50,2,FALSE))</f>
        <v>40</v>
      </c>
      <c r="QB9" s="1078">
        <f>+IFERROR(VLOOKUP(QB$6&amp;"-"&amp;$M9&amp;"_old",Ammortamento_Finanziario!$H:$L,5,FALSE),VLOOKUP($M9,TT_Tabelle_Riferimento!$H$31:$I$50,2,FALSE))</f>
        <v>40</v>
      </c>
      <c r="QC9" s="1078">
        <f>+IFERROR(VLOOKUP(QC$6&amp;"-"&amp;$M9&amp;"_old",Ammortamento_Finanziario!$H:$L,5,FALSE),VLOOKUP($M9,TT_Tabelle_Riferimento!$H$31:$I$50,2,FALSE))</f>
        <v>40</v>
      </c>
      <c r="QD9" s="1078">
        <f>+IFERROR(VLOOKUP(QD$6&amp;"-"&amp;$M9&amp;"_old",Ammortamento_Finanziario!$H:$L,5,FALSE),VLOOKUP($M9,TT_Tabelle_Riferimento!$H$31:$I$50,2,FALSE))</f>
        <v>40</v>
      </c>
      <c r="QE9" s="1078">
        <f>+IFERROR(VLOOKUP(QE$6&amp;"-"&amp;$M9&amp;"_old",Ammortamento_Finanziario!$H:$L,5,FALSE),VLOOKUP($M9,TT_Tabelle_Riferimento!$H$31:$I$50,2,FALSE))</f>
        <v>40</v>
      </c>
      <c r="QF9" s="1078">
        <f>+IFERROR(VLOOKUP(QF$6&amp;"-"&amp;$M9&amp;"_old",Ammortamento_Finanziario!$H:$L,5,FALSE),VLOOKUP($M9,TT_Tabelle_Riferimento!$H$31:$I$50,2,FALSE))</f>
        <v>40</v>
      </c>
      <c r="QG9" s="1078">
        <f>+IFERROR(VLOOKUP(QG$6&amp;"-"&amp;$M9&amp;"_old",Ammortamento_Finanziario!$H:$L,5,FALSE),VLOOKUP($M9,TT_Tabelle_Riferimento!$H$31:$I$50,2,FALSE))</f>
        <v>40</v>
      </c>
      <c r="QH9" s="1755">
        <f>+IFERROR(VLOOKUP(QH$6&amp;"-"&amp;$M9&amp;"_old",Ammortamento_Finanziario!$H:$L,5,FALSE),VLOOKUP($M9,TT_Tabelle_Riferimento!$H$31:$I$50,2,FALSE))</f>
        <v>40</v>
      </c>
      <c r="QI9" s="1755">
        <f>+IFERROR(VLOOKUP(QI$6&amp;"-"&amp;$M9&amp;"_old",Ammortamento_Finanziario!$H:$L,5,FALSE),VLOOKUP($M9,TT_Tabelle_Riferimento!$H$31:$I$50,2,FALSE))</f>
        <v>40</v>
      </c>
      <c r="QJ9" s="1078">
        <f>+IFERROR(VLOOKUP(QJ$6&amp;"-"&amp;$M9&amp;"_old",Ammortamento_Finanziario!$H:$L,5,FALSE),VLOOKUP($M9,TT_Tabelle_Riferimento!$H$31:$I$50,2,FALSE))</f>
        <v>40</v>
      </c>
      <c r="QK9" s="1078">
        <f>+IFERROR(VLOOKUP(QK$6&amp;"-"&amp;$M9&amp;"_old",Ammortamento_Finanziario!$H:$L,5,FALSE),VLOOKUP($M9,TT_Tabelle_Riferimento!$H$31:$I$50,2,FALSE))</f>
        <v>40</v>
      </c>
      <c r="QL9" s="1078">
        <f>+IFERROR(VLOOKUP(QL$6&amp;"-"&amp;$M9&amp;"_old",Ammortamento_Finanziario!$H:$L,5,FALSE),VLOOKUP($M9,TT_Tabelle_Riferimento!$H$31:$I$50,2,FALSE))</f>
        <v>40</v>
      </c>
      <c r="QM9" s="1078">
        <f>+IFERROR(VLOOKUP(QM$6&amp;"-"&amp;$M9&amp;"_old",Ammortamento_Finanziario!$H:$L,5,FALSE),VLOOKUP($M9,TT_Tabelle_Riferimento!$H$31:$I$50,2,FALSE))</f>
        <v>40</v>
      </c>
      <c r="QN9" s="1078">
        <f>+IFERROR(VLOOKUP(QN$6&amp;"-"&amp;$M9&amp;"_old",Ammortamento_Finanziario!$H:$L,5,FALSE),VLOOKUP($M9,TT_Tabelle_Riferimento!$H$31:$I$50,2,FALSE))</f>
        <v>40</v>
      </c>
      <c r="QO9" s="1078">
        <f>+IFERROR(VLOOKUP(QO$6&amp;"-"&amp;$M9&amp;"_old",Ammortamento_Finanziario!$H:$L,5,FALSE),VLOOKUP($M9,TT_Tabelle_Riferimento!$H$31:$I$50,2,FALSE))</f>
        <v>40</v>
      </c>
      <c r="QP9" s="1078">
        <f>+IFERROR(VLOOKUP(QP$6&amp;"-"&amp;$M9&amp;"_old",Ammortamento_Finanziario!$H:$L,5,FALSE),VLOOKUP($M9,TT_Tabelle_Riferimento!$H$31:$I$50,2,FALSE))</f>
        <v>40</v>
      </c>
      <c r="QQ9" s="1078">
        <f>+IFERROR(VLOOKUP(QQ$6&amp;"-"&amp;$M9&amp;"_old",Ammortamento_Finanziario!$H:$L,5,FALSE),VLOOKUP($M9,TT_Tabelle_Riferimento!$H$31:$I$50,2,FALSE))</f>
        <v>40</v>
      </c>
      <c r="QR9" s="1078">
        <f>+IFERROR(VLOOKUP(QR$6&amp;"-"&amp;$M9&amp;"_old",Ammortamento_Finanziario!$H:$L,5,FALSE),VLOOKUP($M9,TT_Tabelle_Riferimento!$H$31:$I$50,2,FALSE))</f>
        <v>40</v>
      </c>
      <c r="QS9" s="1078">
        <f>+IFERROR(VLOOKUP(QS$6&amp;"-"&amp;$M9&amp;"_old",Ammortamento_Finanziario!$H:$L,5,FALSE),VLOOKUP($M9,TT_Tabelle_Riferimento!$H$31:$I$50,2,FALSE))</f>
        <v>40</v>
      </c>
      <c r="QT9" s="1078">
        <f>+IFERROR(VLOOKUP(QT$6&amp;"-"&amp;$M9&amp;"_old",Ammortamento_Finanziario!$H:$L,5,FALSE),VLOOKUP($M9,TT_Tabelle_Riferimento!$H$31:$I$50,2,FALSE))</f>
        <v>40</v>
      </c>
      <c r="QU9" s="1078">
        <f>+IFERROR(VLOOKUP(QU$6&amp;"-"&amp;$M9&amp;"_old",Ammortamento_Finanziario!$H:$L,5,FALSE),VLOOKUP($M9,TT_Tabelle_Riferimento!$H$31:$I$50,2,FALSE))</f>
        <v>40</v>
      </c>
      <c r="QV9" s="1078">
        <f>+IFERROR(VLOOKUP(QV$6&amp;"-"&amp;$M9&amp;"_old",Ammortamento_Finanziario!$H:$L,5,FALSE),VLOOKUP($M9,TT_Tabelle_Riferimento!$H$31:$I$50,2,FALSE))</f>
        <v>40</v>
      </c>
      <c r="QW9" s="1078">
        <f>+IFERROR(VLOOKUP(QW$6&amp;"-"&amp;$M9&amp;"_old",Ammortamento_Finanziario!$H:$L,5,FALSE),VLOOKUP($M9,TT_Tabelle_Riferimento!$H$31:$I$50,2,FALSE))</f>
        <v>40</v>
      </c>
      <c r="QX9" s="1078">
        <f>+IFERROR(VLOOKUP(QX$6&amp;"-"&amp;$M9&amp;"_old",Ammortamento_Finanziario!$H:$L,5,FALSE),VLOOKUP($M9,TT_Tabelle_Riferimento!$H$31:$I$50,2,FALSE))</f>
        <v>40</v>
      </c>
      <c r="QY9" s="1078">
        <f>+IFERROR(VLOOKUP(QY$6&amp;"-"&amp;$M9&amp;"_old",Ammortamento_Finanziario!$H:$L,5,FALSE),VLOOKUP($M9,TT_Tabelle_Riferimento!$H$31:$I$50,2,FALSE))</f>
        <v>40</v>
      </c>
      <c r="QZ9" s="1078">
        <f>+IFERROR(VLOOKUP(QZ$6&amp;"-"&amp;$M9&amp;"_old",Ammortamento_Finanziario!$H:$L,5,FALSE),VLOOKUP($M9,TT_Tabelle_Riferimento!$H$31:$I$50,2,FALSE))</f>
        <v>40</v>
      </c>
      <c r="RA9" s="1078">
        <f>+IFERROR(VLOOKUP(RA$6&amp;"-"&amp;$M9&amp;"_old",Ammortamento_Finanziario!$H:$L,5,FALSE),VLOOKUP($M9,TT_Tabelle_Riferimento!$H$31:$I$50,2,FALSE))</f>
        <v>40</v>
      </c>
      <c r="RB9" s="1078">
        <f>+IFERROR(VLOOKUP(RB$6&amp;"-"&amp;$M9&amp;"_old",Ammortamento_Finanziario!$H:$L,5,FALSE),VLOOKUP($M9,TT_Tabelle_Riferimento!$H$31:$I$50,2,FALSE))</f>
        <v>40</v>
      </c>
      <c r="RC9" s="1755">
        <f>+IFERROR(VLOOKUP(RC$6&amp;"-"&amp;$M9&amp;"_old",Ammortamento_Finanziario!$H:$L,5,FALSE),VLOOKUP($M9,TT_Tabelle_Riferimento!$H$31:$I$50,2,FALSE))</f>
        <v>40</v>
      </c>
      <c r="RD9" s="1078">
        <f>+IFERROR(VLOOKUP(RD$6&amp;"-"&amp;$M9&amp;"_old",Ammortamento_Finanziario!$H:$L,5,FALSE),VLOOKUP($M9,TT_Tabelle_Riferimento!$H$31:$I$50,2,FALSE))</f>
        <v>40</v>
      </c>
      <c r="RE9" s="1078">
        <f>+IFERROR(VLOOKUP(RE$6&amp;"-"&amp;$M9&amp;"_old",Ammortamento_Finanziario!$H:$L,5,FALSE),VLOOKUP($M9,TT_Tabelle_Riferimento!$H$31:$I$50,2,FALSE))</f>
        <v>40</v>
      </c>
      <c r="RF9" s="1078">
        <f>+IFERROR(VLOOKUP(RF$6&amp;"-"&amp;$M9&amp;"_old",Ammortamento_Finanziario!$H:$L,5,FALSE),VLOOKUP($M9,TT_Tabelle_Riferimento!$H$31:$I$50,2,FALSE))</f>
        <v>40</v>
      </c>
      <c r="RG9" s="1078">
        <f>+IFERROR(VLOOKUP(RG$6&amp;"-"&amp;$M9&amp;"_old",Ammortamento_Finanziario!$H:$L,5,FALSE),VLOOKUP($M9,TT_Tabelle_Riferimento!$H$31:$I$50,2,FALSE))</f>
        <v>40</v>
      </c>
      <c r="RH9" s="1078">
        <f>+IFERROR(VLOOKUP(RH$6&amp;"-"&amp;$M9&amp;"_old",Ammortamento_Finanziario!$H:$L,5,FALSE),VLOOKUP($M9,TT_Tabelle_Riferimento!$H$31:$I$50,2,FALSE))</f>
        <v>40</v>
      </c>
      <c r="RI9" s="1078">
        <f>+IFERROR(VLOOKUP(RI$6&amp;"-"&amp;$M9&amp;"_old",Ammortamento_Finanziario!$H:$L,5,FALSE),VLOOKUP($M9,TT_Tabelle_Riferimento!$H$31:$I$50,2,FALSE))</f>
        <v>40</v>
      </c>
      <c r="RJ9" s="1078">
        <f>+IFERROR(VLOOKUP(RJ$6&amp;"-"&amp;$M9&amp;"_old",Ammortamento_Finanziario!$H:$L,5,FALSE),VLOOKUP($M9,TT_Tabelle_Riferimento!$H$31:$I$50,2,FALSE))</f>
        <v>40</v>
      </c>
      <c r="RK9" s="1078">
        <f>+IFERROR(VLOOKUP(RK$6&amp;"-"&amp;$M9&amp;"_old",Ammortamento_Finanziario!$H:$L,5,FALSE),VLOOKUP($M9,TT_Tabelle_Riferimento!$H$31:$I$50,2,FALSE))</f>
        <v>40</v>
      </c>
      <c r="RL9" s="1078">
        <f>+IFERROR(VLOOKUP(RL$6&amp;"-"&amp;$M9&amp;"_old",Ammortamento_Finanziario!$H:$L,5,FALSE),VLOOKUP($M9,TT_Tabelle_Riferimento!$H$31:$I$50,2,FALSE))</f>
        <v>40</v>
      </c>
      <c r="RM9" s="1078">
        <f>+IFERROR(VLOOKUP(RM$6&amp;"-"&amp;$M9&amp;"_old",Ammortamento_Finanziario!$H:$L,5,FALSE),VLOOKUP($M9,TT_Tabelle_Riferimento!$H$31:$I$50,2,FALSE))</f>
        <v>40</v>
      </c>
      <c r="RN9" s="1078">
        <f>+IFERROR(VLOOKUP(RN$6&amp;"-"&amp;$M9&amp;"_old",Ammortamento_Finanziario!$H:$L,5,FALSE),VLOOKUP($M9,TT_Tabelle_Riferimento!$H$31:$I$50,2,FALSE))</f>
        <v>40</v>
      </c>
      <c r="RO9" s="1078">
        <f>+IFERROR(VLOOKUP(RO$6&amp;"-"&amp;$M9&amp;"_old",Ammortamento_Finanziario!$H:$L,5,FALSE),VLOOKUP($M9,TT_Tabelle_Riferimento!$H$31:$I$50,2,FALSE))</f>
        <v>40</v>
      </c>
      <c r="RP9" s="1078">
        <f>+IFERROR(VLOOKUP(RP$6&amp;"-"&amp;$M9&amp;"_old",Ammortamento_Finanziario!$H:$L,5,FALSE),VLOOKUP($M9,TT_Tabelle_Riferimento!$H$31:$I$50,2,FALSE))</f>
        <v>40</v>
      </c>
      <c r="RQ9" s="1078">
        <f>+IFERROR(VLOOKUP(RQ$6&amp;"-"&amp;$M9&amp;"_old",Ammortamento_Finanziario!$H:$L,5,FALSE),VLOOKUP($M9,TT_Tabelle_Riferimento!$H$31:$I$50,2,FALSE))</f>
        <v>40</v>
      </c>
      <c r="RR9" s="1078">
        <f>+IFERROR(VLOOKUP(RR$6&amp;"-"&amp;$M9&amp;"_old",Ammortamento_Finanziario!$H:$L,5,FALSE),VLOOKUP($M9,TT_Tabelle_Riferimento!$H$31:$I$50,2,FALSE))</f>
        <v>40</v>
      </c>
      <c r="RS9" s="1078">
        <f>+IFERROR(VLOOKUP(RS$6&amp;"-"&amp;$M9&amp;"_old",Ammortamento_Finanziario!$H:$L,5,FALSE),VLOOKUP($M9,TT_Tabelle_Riferimento!$H$31:$I$50,2,FALSE))</f>
        <v>40</v>
      </c>
      <c r="RT9" s="1078">
        <f>+IFERROR(VLOOKUP(RT$6&amp;"-"&amp;$M9&amp;"_old",Ammortamento_Finanziario!$H:$L,5,FALSE),VLOOKUP($M9,TT_Tabelle_Riferimento!$H$31:$I$50,2,FALSE))</f>
        <v>40</v>
      </c>
      <c r="RU9" s="1078">
        <f>+IFERROR(VLOOKUP(RU$6&amp;"-"&amp;$M9&amp;"_old",Ammortamento_Finanziario!$H:$L,5,FALSE),VLOOKUP($M9,TT_Tabelle_Riferimento!$H$31:$I$50,2,FALSE))</f>
        <v>40</v>
      </c>
      <c r="RV9" s="1078">
        <f>+IFERROR(VLOOKUP(RV$6&amp;"-"&amp;$M9&amp;"_old",Ammortamento_Finanziario!$H:$L,5,FALSE),VLOOKUP($M9,TT_Tabelle_Riferimento!$H$31:$I$50,2,FALSE))</f>
        <v>40</v>
      </c>
    </row>
    <row r="10" spans="4:490">
      <c r="D10" s="135" t="s">
        <v>22700</v>
      </c>
      <c r="E10" s="719">
        <f>+SUM(IMN_gestore!$U:$U)</f>
        <v>0</v>
      </c>
      <c r="F10" s="719">
        <f>+SUM(IMN_gestore!$AF:$AF)</f>
        <v>0</v>
      </c>
      <c r="G10" s="719">
        <f>+SUM(IMN_gestore!$AQ:$AQ)</f>
        <v>0</v>
      </c>
      <c r="H10" s="719">
        <f>+SUM(IMN_gestore!$BB:$BB)</f>
        <v>0</v>
      </c>
      <c r="I10" s="719">
        <f>+SUM(IMN_gestore!BM:BM)</f>
        <v>0</v>
      </c>
      <c r="J10" s="719">
        <f>+SUM(IMN_gestore!$BX:$BX)</f>
        <v>0</v>
      </c>
      <c r="K10" s="136"/>
      <c r="L10" s="125"/>
      <c r="M10" s="420">
        <v>4</v>
      </c>
      <c r="N10" s="904">
        <f>+IFERROR(VLOOKUP(N$6&amp;"-"&amp;$M10&amp;"_old",Ammortamento_Finanziario!$H:$L,5,FALSE),VLOOKUP($M10,TT_Tabelle_Riferimento!$H$31:$I$50,2,FALSE))</f>
        <v>40</v>
      </c>
      <c r="O10" s="904">
        <f>+IFERROR(VLOOKUP(O$6&amp;"-"&amp;$M10&amp;"_old",Ammortamento_Finanziario!$H:$L,5,FALSE),VLOOKUP($M10,TT_Tabelle_Riferimento!$H$31:$I$50,2,FALSE))</f>
        <v>40</v>
      </c>
      <c r="P10" s="904">
        <f>+IFERROR(VLOOKUP(P$6&amp;"-"&amp;$M10&amp;"_old",Ammortamento_Finanziario!$H:$L,5,FALSE),VLOOKUP($M10,TT_Tabelle_Riferimento!$H$31:$I$50,2,FALSE))</f>
        <v>40</v>
      </c>
      <c r="Q10" s="904">
        <f>+IFERROR(VLOOKUP(Q$6&amp;"-"&amp;$M10&amp;"_old",Ammortamento_Finanziario!$H:$L,5,FALSE),VLOOKUP($M10,TT_Tabelle_Riferimento!$H$31:$I$50,2,FALSE))</f>
        <v>40</v>
      </c>
      <c r="R10" s="904">
        <f>+IFERROR(VLOOKUP(R$6&amp;"-"&amp;$M10&amp;"_old",Ammortamento_Finanziario!$H:$L,5,FALSE),VLOOKUP($M10,TT_Tabelle_Riferimento!$H$31:$I$50,2,FALSE))</f>
        <v>40</v>
      </c>
      <c r="S10" s="904">
        <f>+IFERROR(VLOOKUP(S$6&amp;"-"&amp;$M10&amp;"_old",Ammortamento_Finanziario!$H:$L,5,FALSE),VLOOKUP($M10,TT_Tabelle_Riferimento!$H$31:$I$50,2,FALSE))</f>
        <v>40</v>
      </c>
      <c r="T10" s="904">
        <f>+IFERROR(VLOOKUP(T$6&amp;"-"&amp;$M10&amp;"_old",Ammortamento_Finanziario!$H:$L,5,FALSE),VLOOKUP($M10,TT_Tabelle_Riferimento!$H$31:$I$50,2,FALSE))</f>
        <v>40</v>
      </c>
      <c r="U10" s="904">
        <f>+IFERROR(VLOOKUP(U$6&amp;"-"&amp;$M10&amp;"_old",Ammortamento_Finanziario!$H:$L,5,FALSE),VLOOKUP($M10,TT_Tabelle_Riferimento!$H$31:$I$50,2,FALSE))</f>
        <v>40</v>
      </c>
      <c r="V10" s="904">
        <f>+IFERROR(VLOOKUP(V$6&amp;"-"&amp;$M10&amp;"_old",Ammortamento_Finanziario!$H:$L,5,FALSE),VLOOKUP($M10,TT_Tabelle_Riferimento!$H$31:$I$50,2,FALSE))</f>
        <v>40</v>
      </c>
      <c r="W10" s="904">
        <f>+IFERROR(VLOOKUP(W$6&amp;"-"&amp;$M10&amp;"_old",Ammortamento_Finanziario!$H:$L,5,FALSE),VLOOKUP($M10,TT_Tabelle_Riferimento!$H$31:$I$50,2,FALSE))</f>
        <v>40</v>
      </c>
      <c r="X10" s="1739">
        <f>+IFERROR(VLOOKUP(X$6&amp;"-"&amp;$M10&amp;"_old",Ammortamento_Finanziario!$H:$L,5,FALSE),VLOOKUP($M10,TT_Tabelle_Riferimento!$H$31:$I$50,2,FALSE))</f>
        <v>40</v>
      </c>
      <c r="Y10" s="1739">
        <f>+IFERROR(VLOOKUP(Y$6&amp;"-"&amp;$M10&amp;"_old",Ammortamento_Finanziario!$H:$L,5,FALSE),VLOOKUP($M10,TT_Tabelle_Riferimento!$H$31:$I$50,2,FALSE))</f>
        <v>40</v>
      </c>
      <c r="Z10" s="1749">
        <f>+IFERROR(VLOOKUP(Z$6&amp;"-"&amp;$M10&amp;"_old",Ammortamento_Finanziario!$H:$L,5,FALSE),VLOOKUP($M10,TT_Tabelle_Riferimento!$H$31:$I$50,2,FALSE))</f>
        <v>40</v>
      </c>
      <c r="AA10" s="1749">
        <f>+IFERROR(VLOOKUP(AA$6&amp;"-"&amp;$M10&amp;"_old",Ammortamento_Finanziario!$H:$L,5,FALSE),VLOOKUP($M10,TT_Tabelle_Riferimento!$H$31:$I$50,2,FALSE))</f>
        <v>40</v>
      </c>
      <c r="AB10" s="1749">
        <f>+IFERROR(VLOOKUP(AB$6&amp;"-"&amp;$M10&amp;"_old",Ammortamento_Finanziario!$H:$L,5,FALSE),VLOOKUP($M10,TT_Tabelle_Riferimento!$H$31:$I$50,2,FALSE))</f>
        <v>40</v>
      </c>
      <c r="AC10" s="1749">
        <f>+IFERROR(VLOOKUP(AC$6&amp;"-"&amp;$M10&amp;"_old",Ammortamento_Finanziario!$H:$L,5,FALSE),VLOOKUP($M10,TT_Tabelle_Riferimento!$H$31:$I$50,2,FALSE))</f>
        <v>40</v>
      </c>
      <c r="AD10" s="1749">
        <f>+IFERROR(VLOOKUP(AD$6&amp;"-"&amp;$M10&amp;"_old",Ammortamento_Finanziario!$H:$L,5,FALSE),VLOOKUP($M10,TT_Tabelle_Riferimento!$H$31:$I$50,2,FALSE))</f>
        <v>40</v>
      </c>
      <c r="AE10" s="1749">
        <f>+IFERROR(VLOOKUP(AE$6&amp;"-"&amp;$M10&amp;"_old",Ammortamento_Finanziario!$H:$L,5,FALSE),VLOOKUP($M10,TT_Tabelle_Riferimento!$H$31:$I$50,2,FALSE))</f>
        <v>40</v>
      </c>
      <c r="AF10" s="625">
        <f>+IFERROR(VLOOKUP(AF$6&amp;"-"&amp;$M10&amp;"_old",Ammortamento_Finanziario!$H:$L,5,FALSE),VLOOKUP($M10,TT_Tabelle_Riferimento!$H$31:$I$50,2,FALSE))</f>
        <v>40</v>
      </c>
      <c r="AG10" s="625">
        <f>+IFERROR(VLOOKUP(AG$6&amp;"-"&amp;$M10&amp;"_old",Ammortamento_Finanziario!$H:$L,5,FALSE),VLOOKUP($M10,TT_Tabelle_Riferimento!$H$31:$I$50,2,FALSE))</f>
        <v>40</v>
      </c>
      <c r="AH10" s="625">
        <f>+IFERROR(VLOOKUP(AH$6&amp;"-"&amp;$M10&amp;"_old",Ammortamento_Finanziario!$H:$L,5,FALSE),VLOOKUP($M10,TT_Tabelle_Riferimento!$H$31:$I$50,2,FALSE))</f>
        <v>40</v>
      </c>
      <c r="AI10" s="625">
        <f>+IFERROR(VLOOKUP(AI$6&amp;"-"&amp;$M10&amp;"_old",Ammortamento_Finanziario!$H:$L,5,FALSE),VLOOKUP($M10,TT_Tabelle_Riferimento!$H$31:$I$50,2,FALSE))</f>
        <v>40</v>
      </c>
      <c r="AJ10" s="625">
        <f>+IFERROR(VLOOKUP(AJ$6&amp;"-"&amp;$M10&amp;"_old",Ammortamento_Finanziario!$H:$L,5,FALSE),VLOOKUP($M10,TT_Tabelle_Riferimento!$H$31:$I$50,2,FALSE))</f>
        <v>40</v>
      </c>
      <c r="AK10" s="625">
        <f>+IFERROR(VLOOKUP(AK$6&amp;"-"&amp;$M10&amp;"_old",Ammortamento_Finanziario!$H:$L,5,FALSE),VLOOKUP($M10,TT_Tabelle_Riferimento!$H$31:$I$50,2,FALSE))</f>
        <v>40</v>
      </c>
      <c r="AL10" s="625">
        <f>+IFERROR(VLOOKUP(AL$6&amp;"-"&amp;$M10&amp;"_old",Ammortamento_Finanziario!$H:$L,5,FALSE),VLOOKUP($M10,TT_Tabelle_Riferimento!$H$31:$I$50,2,FALSE))</f>
        <v>40</v>
      </c>
      <c r="AM10" s="625">
        <f>+IFERROR(VLOOKUP(AM$6&amp;"-"&amp;$M10&amp;"_old",Ammortamento_Finanziario!$H:$L,5,FALSE),VLOOKUP($M10,TT_Tabelle_Riferimento!$H$31:$I$50,2,FALSE))</f>
        <v>40</v>
      </c>
      <c r="AN10" s="625">
        <f>+IFERROR(VLOOKUP(AN$6&amp;"-"&amp;$M10&amp;"_old",Ammortamento_Finanziario!$H:$L,5,FALSE),VLOOKUP($M10,TT_Tabelle_Riferimento!$H$31:$I$50,2,FALSE))</f>
        <v>40</v>
      </c>
      <c r="AO10" s="625">
        <f>+IFERROR(VLOOKUP(AO$6&amp;"-"&amp;$M10&amp;"_old",Ammortamento_Finanziario!$H:$L,5,FALSE),VLOOKUP($M10,TT_Tabelle_Riferimento!$H$31:$I$50,2,FALSE))</f>
        <v>40</v>
      </c>
      <c r="AP10" s="625">
        <f>+IFERROR(VLOOKUP(AP$6&amp;"-"&amp;$M10&amp;"_old",Ammortamento_Finanziario!$H:$L,5,FALSE),VLOOKUP($M10,TT_Tabelle_Riferimento!$H$31:$I$50,2,FALSE))</f>
        <v>40</v>
      </c>
      <c r="AQ10" s="625">
        <f>+IFERROR(VLOOKUP(AQ$6&amp;"-"&amp;$M10&amp;"_old",Ammortamento_Finanziario!$H:$L,5,FALSE),VLOOKUP($M10,TT_Tabelle_Riferimento!$H$31:$I$50,2,FALSE))</f>
        <v>40</v>
      </c>
      <c r="AR10" s="625">
        <f>+IFERROR(VLOOKUP(AR$6&amp;"-"&amp;$M10&amp;"_old",Ammortamento_Finanziario!$H:$L,5,FALSE),VLOOKUP($M10,TT_Tabelle_Riferimento!$H$31:$I$50,2,FALSE))</f>
        <v>40</v>
      </c>
      <c r="AS10" s="625">
        <f>+IFERROR(VLOOKUP(AS$6&amp;"-"&amp;$M10&amp;"_old",Ammortamento_Finanziario!$H:$L,5,FALSE),VLOOKUP($M10,TT_Tabelle_Riferimento!$H$31:$I$50,2,FALSE))</f>
        <v>40</v>
      </c>
      <c r="AT10" s="625">
        <f>+IFERROR(VLOOKUP(AT$6&amp;"-"&amp;$M10&amp;"_old",Ammortamento_Finanziario!$H:$L,5,FALSE),VLOOKUP($M10,TT_Tabelle_Riferimento!$H$31:$I$50,2,FALSE))</f>
        <v>40</v>
      </c>
      <c r="AU10" s="625">
        <f>+IFERROR(VLOOKUP(AU$6&amp;"-"&amp;$M10&amp;"_old",Ammortamento_Finanziario!$H:$L,5,FALSE),VLOOKUP($M10,TT_Tabelle_Riferimento!$H$31:$I$50,2,FALSE))</f>
        <v>40</v>
      </c>
      <c r="AV10" s="625">
        <f>+IFERROR(VLOOKUP(AV$6&amp;"-"&amp;$M10&amp;"_old",Ammortamento_Finanziario!$H:$L,5,FALSE),VLOOKUP($M10,TT_Tabelle_Riferimento!$H$31:$I$50,2,FALSE))</f>
        <v>40</v>
      </c>
      <c r="AW10" s="625">
        <f>+IFERROR(VLOOKUP(AW$6&amp;"-"&amp;$M10&amp;"_old",Ammortamento_Finanziario!$H:$L,5,FALSE),VLOOKUP($M10,TT_Tabelle_Riferimento!$H$31:$I$50,2,FALSE))</f>
        <v>40</v>
      </c>
      <c r="AX10" s="625">
        <f>+IFERROR(VLOOKUP(AX$6&amp;"-"&amp;$M10&amp;"_old",Ammortamento_Finanziario!$H:$L,5,FALSE),VLOOKUP($M10,TT_Tabelle_Riferimento!$H$31:$I$50,2,FALSE))</f>
        <v>40</v>
      </c>
      <c r="AY10" s="905">
        <f>+IFERROR(VLOOKUP(AY$6&amp;"-"&amp;$M10&amp;"_old",Ammortamento_Finanziario!$H:$L,5,FALSE),VLOOKUP($M10,TT_Tabelle_Riferimento!$H$31:$I$50,2,FALSE))</f>
        <v>40</v>
      </c>
      <c r="AZ10" s="905">
        <f>+IFERROR(VLOOKUP(AZ$6&amp;"-"&amp;$M10&amp;"_old",Ammortamento_Finanziario!$H:$L,5,FALSE),VLOOKUP($M10,TT_Tabelle_Riferimento!$H$31:$I$50,2,FALSE))</f>
        <v>40</v>
      </c>
      <c r="BA10" s="905">
        <f>+IFERROR(VLOOKUP(BA$6&amp;"-"&amp;$M10&amp;"_old",Ammortamento_Finanziario!$H:$L,5,FALSE),VLOOKUP($M10,TT_Tabelle_Riferimento!$H$31:$I$50,2,FALSE))</f>
        <v>40</v>
      </c>
      <c r="BB10" s="905">
        <f>+IFERROR(VLOOKUP(BB$6&amp;"-"&amp;$M10&amp;"_old",Ammortamento_Finanziario!$H:$L,5,FALSE),VLOOKUP($M10,TT_Tabelle_Riferimento!$H$31:$I$50,2,FALSE))</f>
        <v>40</v>
      </c>
      <c r="BC10" s="905">
        <f>+IFERROR(VLOOKUP(BC$6&amp;"-"&amp;$M10&amp;"_old",Ammortamento_Finanziario!$H:$L,5,FALSE),VLOOKUP($M10,TT_Tabelle_Riferimento!$H$31:$I$50,2,FALSE))</f>
        <v>40</v>
      </c>
      <c r="BD10" s="905">
        <f>+IFERROR(VLOOKUP(BD$6&amp;"-"&amp;$M10&amp;"_old",Ammortamento_Finanziario!$H:$L,5,FALSE),VLOOKUP($M10,TT_Tabelle_Riferimento!$H$31:$I$50,2,FALSE))</f>
        <v>40</v>
      </c>
      <c r="BE10" s="905">
        <f>+IFERROR(VLOOKUP(BE$6&amp;"-"&amp;$M10&amp;"_old",Ammortamento_Finanziario!$H:$L,5,FALSE),VLOOKUP($M10,TT_Tabelle_Riferimento!$H$31:$I$50,2,FALSE))</f>
        <v>40</v>
      </c>
      <c r="BF10" s="905">
        <f>+IFERROR(VLOOKUP(BF$6&amp;"-"&amp;$M10&amp;"_old",Ammortamento_Finanziario!$H:$L,5,FALSE),VLOOKUP($M10,TT_Tabelle_Riferimento!$H$31:$I$50,2,FALSE))</f>
        <v>40</v>
      </c>
      <c r="BG10" s="1740">
        <f>+IFERROR(VLOOKUP(BG$6&amp;"-"&amp;$M10&amp;"_old",Ammortamento_Finanziario!$H:$L,5,FALSE),VLOOKUP($M10,TT_Tabelle_Riferimento!$H$31:$I$50,2,FALSE))</f>
        <v>40</v>
      </c>
      <c r="BH10" s="1740">
        <f>+IFERROR(VLOOKUP(BH$6&amp;"-"&amp;$M10&amp;"_old",Ammortamento_Finanziario!$H:$L,5,FALSE),VLOOKUP($M10,TT_Tabelle_Riferimento!$H$31:$I$50,2,FALSE))</f>
        <v>40</v>
      </c>
      <c r="BI10" s="1749">
        <f>+IFERROR(VLOOKUP(BI$6&amp;"-"&amp;$M10&amp;"_old",Ammortamento_Finanziario!$H:$L,5,FALSE),VLOOKUP($M10,TT_Tabelle_Riferimento!$H$31:$I$50,2,FALSE))</f>
        <v>40</v>
      </c>
      <c r="BJ10" s="1749">
        <f>+IFERROR(VLOOKUP(BJ$6&amp;"-"&amp;$M10&amp;"_old",Ammortamento_Finanziario!$H:$L,5,FALSE),VLOOKUP($M10,TT_Tabelle_Riferimento!$H$31:$I$50,2,FALSE))</f>
        <v>40</v>
      </c>
      <c r="BK10" s="1749">
        <f>+IFERROR(VLOOKUP(BK$6&amp;"-"&amp;$M10&amp;"_old",Ammortamento_Finanziario!$H:$L,5,FALSE),VLOOKUP($M10,TT_Tabelle_Riferimento!$H$31:$I$50,2,FALSE))</f>
        <v>40</v>
      </c>
      <c r="BL10" s="1749">
        <f>+IFERROR(VLOOKUP(BL$6&amp;"-"&amp;$M10&amp;"_old",Ammortamento_Finanziario!$H:$L,5,FALSE),VLOOKUP($M10,TT_Tabelle_Riferimento!$H$31:$I$50,2,FALSE))</f>
        <v>40</v>
      </c>
      <c r="BM10" s="1749">
        <f>+IFERROR(VLOOKUP(BM$6&amp;"-"&amp;$M10&amp;"_old",Ammortamento_Finanziario!$H:$L,5,FALSE),VLOOKUP($M10,TT_Tabelle_Riferimento!$H$31:$I$50,2,FALSE))</f>
        <v>40</v>
      </c>
      <c r="BN10" s="1749">
        <f>+IFERROR(VLOOKUP(BN$6&amp;"-"&amp;$M10&amp;"_old",Ammortamento_Finanziario!$H:$L,5,FALSE),VLOOKUP($M10,TT_Tabelle_Riferimento!$H$31:$I$50,2,FALSE))</f>
        <v>40</v>
      </c>
      <c r="BO10" s="625">
        <f>+IFERROR(VLOOKUP(BO$6&amp;"-"&amp;$M10&amp;"_old",Ammortamento_Finanziario!$H:$L,5,FALSE),VLOOKUP($M10,TT_Tabelle_Riferimento!$H$31:$I$50,2,FALSE))</f>
        <v>40</v>
      </c>
      <c r="BP10" s="625">
        <f>+IFERROR(VLOOKUP(BP$6&amp;"-"&amp;$M10&amp;"_old",Ammortamento_Finanziario!$H:$L,5,FALSE),VLOOKUP($M10,TT_Tabelle_Riferimento!$H$31:$I$50,2,FALSE))</f>
        <v>40</v>
      </c>
      <c r="BQ10" s="625">
        <f>+IFERROR(VLOOKUP(BQ$6&amp;"-"&amp;$M10&amp;"_old",Ammortamento_Finanziario!$H:$L,5,FALSE),VLOOKUP($M10,TT_Tabelle_Riferimento!$H$31:$I$50,2,FALSE))</f>
        <v>40</v>
      </c>
      <c r="BR10" s="625">
        <f>+IFERROR(VLOOKUP(BR$6&amp;"-"&amp;$M10&amp;"_old",Ammortamento_Finanziario!$H:$L,5,FALSE),VLOOKUP($M10,TT_Tabelle_Riferimento!$H$31:$I$50,2,FALSE))</f>
        <v>40</v>
      </c>
      <c r="BS10" s="625">
        <f>+IFERROR(VLOOKUP(BS$6&amp;"-"&amp;$M10&amp;"_old",Ammortamento_Finanziario!$H:$L,5,FALSE),VLOOKUP($M10,TT_Tabelle_Riferimento!$H$31:$I$50,2,FALSE))</f>
        <v>40</v>
      </c>
      <c r="BT10" s="625">
        <f>+IFERROR(VLOOKUP(BT$6&amp;"-"&amp;$M10&amp;"_old",Ammortamento_Finanziario!$H:$L,5,FALSE),VLOOKUP($M10,TT_Tabelle_Riferimento!$H$31:$I$50,2,FALSE))</f>
        <v>40</v>
      </c>
      <c r="BU10" s="625">
        <f>+IFERROR(VLOOKUP(BU$6&amp;"-"&amp;$M10&amp;"_old",Ammortamento_Finanziario!$H:$L,5,FALSE),VLOOKUP($M10,TT_Tabelle_Riferimento!$H$31:$I$50,2,FALSE))</f>
        <v>40</v>
      </c>
      <c r="BV10" s="625">
        <f>+IFERROR(VLOOKUP(BV$6&amp;"-"&amp;$M10&amp;"_old",Ammortamento_Finanziario!$H:$L,5,FALSE),VLOOKUP($M10,TT_Tabelle_Riferimento!$H$31:$I$50,2,FALSE))</f>
        <v>40</v>
      </c>
      <c r="BW10" s="625">
        <f>+IFERROR(VLOOKUP(BW$6&amp;"-"&amp;$M10&amp;"_old",Ammortamento_Finanziario!$H:$L,5,FALSE),VLOOKUP($M10,TT_Tabelle_Riferimento!$H$31:$I$50,2,FALSE))</f>
        <v>40</v>
      </c>
      <c r="BX10" s="625">
        <f>+IFERROR(VLOOKUP(BX$6&amp;"-"&amp;$M10&amp;"_old",Ammortamento_Finanziario!$H:$L,5,FALSE),VLOOKUP($M10,TT_Tabelle_Riferimento!$H$31:$I$50,2,FALSE))</f>
        <v>40</v>
      </c>
      <c r="BY10" s="625">
        <f>+IFERROR(VLOOKUP(BY$6&amp;"-"&amp;$M10&amp;"_old",Ammortamento_Finanziario!$H:$L,5,FALSE),VLOOKUP($M10,TT_Tabelle_Riferimento!$H$31:$I$50,2,FALSE))</f>
        <v>40</v>
      </c>
      <c r="BZ10" s="625">
        <f>+IFERROR(VLOOKUP(BZ$6&amp;"-"&amp;$M10&amp;"_old",Ammortamento_Finanziario!$H:$L,5,FALSE),VLOOKUP($M10,TT_Tabelle_Riferimento!$H$31:$I$50,2,FALSE))</f>
        <v>40</v>
      </c>
      <c r="CA10" s="625">
        <f>+IFERROR(VLOOKUP(CA$6&amp;"-"&amp;$M10&amp;"_old",Ammortamento_Finanziario!$H:$L,5,FALSE),VLOOKUP($M10,TT_Tabelle_Riferimento!$H$31:$I$50,2,FALSE))</f>
        <v>40</v>
      </c>
      <c r="CB10" s="625">
        <f>+IFERROR(VLOOKUP(CB$6&amp;"-"&amp;$M10&amp;"_old",Ammortamento_Finanziario!$H:$L,5,FALSE),VLOOKUP($M10,TT_Tabelle_Riferimento!$H$31:$I$50,2,FALSE))</f>
        <v>40</v>
      </c>
      <c r="CC10" s="625">
        <f>+IFERROR(VLOOKUP(CC$6&amp;"-"&amp;$M10&amp;"_old",Ammortamento_Finanziario!$H:$L,5,FALSE),VLOOKUP($M10,TT_Tabelle_Riferimento!$H$31:$I$50,2,FALSE))</f>
        <v>40</v>
      </c>
      <c r="CD10" s="625">
        <f>+IFERROR(VLOOKUP(CD$6&amp;"-"&amp;$M10&amp;"_old",Ammortamento_Finanziario!$H:$L,5,FALSE),VLOOKUP($M10,TT_Tabelle_Riferimento!$H$31:$I$50,2,FALSE))</f>
        <v>40</v>
      </c>
      <c r="CE10" s="625">
        <f>+IFERROR(VLOOKUP(CE$6&amp;"-"&amp;$M10&amp;"_old",Ammortamento_Finanziario!$H:$L,5,FALSE),VLOOKUP($M10,TT_Tabelle_Riferimento!$H$31:$I$50,2,FALSE))</f>
        <v>40</v>
      </c>
      <c r="CF10" s="625">
        <f>+IFERROR(VLOOKUP(CF$6&amp;"-"&amp;$M10&amp;"_old",Ammortamento_Finanziario!$H:$L,5,FALSE),VLOOKUP($M10,TT_Tabelle_Riferimento!$H$31:$I$50,2,FALSE))</f>
        <v>40</v>
      </c>
      <c r="CG10" s="625">
        <f>+IFERROR(VLOOKUP(CG$6&amp;"-"&amp;$M10&amp;"_old",Ammortamento_Finanziario!$H:$L,5,FALSE),VLOOKUP($M10,TT_Tabelle_Riferimento!$H$31:$I$50,2,FALSE))</f>
        <v>40</v>
      </c>
      <c r="CH10" s="905">
        <f>+IFERROR(VLOOKUP(CH$6&amp;"-"&amp;$M10&amp;"_old",Ammortamento_Finanziario!$H:$L,5,FALSE),VLOOKUP($M10,TT_Tabelle_Riferimento!$H$31:$I$50,2,FALSE))</f>
        <v>40</v>
      </c>
      <c r="CI10" s="905">
        <f>+IFERROR(VLOOKUP(CI$6&amp;"-"&amp;$M10&amp;"_old",Ammortamento_Finanziario!$H:$L,5,FALSE),VLOOKUP($M10,TT_Tabelle_Riferimento!$H$31:$I$50,2,FALSE))</f>
        <v>40</v>
      </c>
      <c r="CJ10" s="905">
        <f>+IFERROR(VLOOKUP(CJ$6&amp;"-"&amp;$M10&amp;"_old",Ammortamento_Finanziario!$H:$L,5,FALSE),VLOOKUP($M10,TT_Tabelle_Riferimento!$H$31:$I$50,2,FALSE))</f>
        <v>40</v>
      </c>
      <c r="CK10" s="905">
        <f>+IFERROR(VLOOKUP(CK$6&amp;"-"&amp;$M10&amp;"_old",Ammortamento_Finanziario!$H:$L,5,FALSE),VLOOKUP($M10,TT_Tabelle_Riferimento!$H$31:$I$50,2,FALSE))</f>
        <v>40</v>
      </c>
      <c r="CL10" s="905">
        <f>+IFERROR(VLOOKUP(CL$6&amp;"-"&amp;$M10&amp;"_old",Ammortamento_Finanziario!$H:$L,5,FALSE),VLOOKUP($M10,TT_Tabelle_Riferimento!$H$31:$I$50,2,FALSE))</f>
        <v>40</v>
      </c>
      <c r="CM10" s="905">
        <f>+IFERROR(VLOOKUP(CM$6&amp;"-"&amp;$M10&amp;"_old",Ammortamento_Finanziario!$H:$L,5,FALSE),VLOOKUP($M10,TT_Tabelle_Riferimento!$H$31:$I$50,2,FALSE))</f>
        <v>40</v>
      </c>
      <c r="CN10" s="905">
        <f>+IFERROR(VLOOKUP(CN$6&amp;"-"&amp;$M10&amp;"_old",Ammortamento_Finanziario!$H:$L,5,FALSE),VLOOKUP($M10,TT_Tabelle_Riferimento!$H$31:$I$50,2,FALSE))</f>
        <v>40</v>
      </c>
      <c r="CO10" s="1740">
        <f>+IFERROR(VLOOKUP(CO$6&amp;"-"&amp;$M10&amp;"_old",Ammortamento_Finanziario!$H:$L,5,FALSE),VLOOKUP($M10,TT_Tabelle_Riferimento!$H$31:$I$50,2,FALSE))</f>
        <v>40</v>
      </c>
      <c r="CP10" s="1740">
        <f>+IFERROR(VLOOKUP(CP$6&amp;"-"&amp;$M10&amp;"_old",Ammortamento_Finanziario!$H:$L,5,FALSE),VLOOKUP($M10,TT_Tabelle_Riferimento!$H$31:$I$50,2,FALSE))</f>
        <v>40</v>
      </c>
      <c r="CQ10" s="1749">
        <f>+IFERROR(VLOOKUP(CQ$6&amp;"-"&amp;$M10&amp;"_old",Ammortamento_Finanziario!$H:$L,5,FALSE),VLOOKUP($M10,TT_Tabelle_Riferimento!$H$31:$I$50,2,FALSE))</f>
        <v>40</v>
      </c>
      <c r="CR10" s="1749">
        <f>+IFERROR(VLOOKUP(CR$6&amp;"-"&amp;$M10&amp;"_old",Ammortamento_Finanziario!$H:$L,5,FALSE),VLOOKUP($M10,TT_Tabelle_Riferimento!$H$31:$I$50,2,FALSE))</f>
        <v>40</v>
      </c>
      <c r="CS10" s="1749">
        <f>+IFERROR(VLOOKUP(CS$6&amp;"-"&amp;$M10&amp;"_old",Ammortamento_Finanziario!$H:$L,5,FALSE),VLOOKUP($M10,TT_Tabelle_Riferimento!$H$31:$I$50,2,FALSE))</f>
        <v>40</v>
      </c>
      <c r="CT10" s="1749">
        <f>+IFERROR(VLOOKUP(CT$6&amp;"-"&amp;$M10&amp;"_old",Ammortamento_Finanziario!$H:$L,5,FALSE),VLOOKUP($M10,TT_Tabelle_Riferimento!$H$31:$I$50,2,FALSE))</f>
        <v>40</v>
      </c>
      <c r="CU10" s="1749">
        <f>+IFERROR(VLOOKUP(CU$6&amp;"-"&amp;$M10&amp;"_old",Ammortamento_Finanziario!$H:$L,5,FALSE),VLOOKUP($M10,TT_Tabelle_Riferimento!$H$31:$I$50,2,FALSE))</f>
        <v>40</v>
      </c>
      <c r="CV10" s="1749">
        <f>+IFERROR(VLOOKUP(CV$6&amp;"-"&amp;$M10&amp;"_old",Ammortamento_Finanziario!$H:$L,5,FALSE),VLOOKUP($M10,TT_Tabelle_Riferimento!$H$31:$I$50,2,FALSE))</f>
        <v>40</v>
      </c>
      <c r="CW10" s="625">
        <f>+IFERROR(VLOOKUP(CW$6&amp;"-"&amp;$M10&amp;"_old",Ammortamento_Finanziario!$H:$L,5,FALSE),VLOOKUP($M10,TT_Tabelle_Riferimento!$H$31:$I$50,2,FALSE))</f>
        <v>40</v>
      </c>
      <c r="CX10" s="625">
        <f>+IFERROR(VLOOKUP(CX$6&amp;"-"&amp;$M10&amp;"_old",Ammortamento_Finanziario!$H:$L,5,FALSE),VLOOKUP($M10,TT_Tabelle_Riferimento!$H$31:$I$50,2,FALSE))</f>
        <v>40</v>
      </c>
      <c r="CY10" s="625">
        <f>+IFERROR(VLOOKUP(CY$6&amp;"-"&amp;$M10&amp;"_old",Ammortamento_Finanziario!$H:$L,5,FALSE),VLOOKUP($M10,TT_Tabelle_Riferimento!$H$31:$I$50,2,FALSE))</f>
        <v>40</v>
      </c>
      <c r="CZ10" s="625">
        <f>+IFERROR(VLOOKUP(CZ$6&amp;"-"&amp;$M10&amp;"_old",Ammortamento_Finanziario!$H:$L,5,FALSE),VLOOKUP($M10,TT_Tabelle_Riferimento!$H$31:$I$50,2,FALSE))</f>
        <v>40</v>
      </c>
      <c r="DA10" s="625">
        <f>+IFERROR(VLOOKUP(DA$6&amp;"-"&amp;$M10&amp;"_old",Ammortamento_Finanziario!$H:$L,5,FALSE),VLOOKUP($M10,TT_Tabelle_Riferimento!$H$31:$I$50,2,FALSE))</f>
        <v>40</v>
      </c>
      <c r="DB10" s="625">
        <f>+IFERROR(VLOOKUP(DB$6&amp;"-"&amp;$M10&amp;"_old",Ammortamento_Finanziario!$H:$L,5,FALSE),VLOOKUP($M10,TT_Tabelle_Riferimento!$H$31:$I$50,2,FALSE))</f>
        <v>40</v>
      </c>
      <c r="DC10" s="625">
        <f>+IFERROR(VLOOKUP(DC$6&amp;"-"&amp;$M10&amp;"_old",Ammortamento_Finanziario!$H:$L,5,FALSE),VLOOKUP($M10,TT_Tabelle_Riferimento!$H$31:$I$50,2,FALSE))</f>
        <v>40</v>
      </c>
      <c r="DD10" s="625">
        <f>+IFERROR(VLOOKUP(DD$6&amp;"-"&amp;$M10&amp;"_old",Ammortamento_Finanziario!$H:$L,5,FALSE),VLOOKUP($M10,TT_Tabelle_Riferimento!$H$31:$I$50,2,FALSE))</f>
        <v>40</v>
      </c>
      <c r="DE10" s="625">
        <f>+IFERROR(VLOOKUP(DE$6&amp;"-"&amp;$M10&amp;"_old",Ammortamento_Finanziario!$H:$L,5,FALSE),VLOOKUP($M10,TT_Tabelle_Riferimento!$H$31:$I$50,2,FALSE))</f>
        <v>40</v>
      </c>
      <c r="DF10" s="625">
        <f>+IFERROR(VLOOKUP(DF$6&amp;"-"&amp;$M10&amp;"_old",Ammortamento_Finanziario!$H:$L,5,FALSE),VLOOKUP($M10,TT_Tabelle_Riferimento!$H$31:$I$50,2,FALSE))</f>
        <v>40</v>
      </c>
      <c r="DG10" s="625">
        <f>+IFERROR(VLOOKUP(DG$6&amp;"-"&amp;$M10&amp;"_old",Ammortamento_Finanziario!$H:$L,5,FALSE),VLOOKUP($M10,TT_Tabelle_Riferimento!$H$31:$I$50,2,FALSE))</f>
        <v>40</v>
      </c>
      <c r="DH10" s="625">
        <f>+IFERROR(VLOOKUP(DH$6&amp;"-"&amp;$M10&amp;"_old",Ammortamento_Finanziario!$H:$L,5,FALSE),VLOOKUP($M10,TT_Tabelle_Riferimento!$H$31:$I$50,2,FALSE))</f>
        <v>40</v>
      </c>
      <c r="DI10" s="625">
        <f>+IFERROR(VLOOKUP(DI$6&amp;"-"&amp;$M10&amp;"_old",Ammortamento_Finanziario!$H:$L,5,FALSE),VLOOKUP($M10,TT_Tabelle_Riferimento!$H$31:$I$50,2,FALSE))</f>
        <v>40</v>
      </c>
      <c r="DJ10" s="625">
        <f>+IFERROR(VLOOKUP(DJ$6&amp;"-"&amp;$M10&amp;"_old",Ammortamento_Finanziario!$H:$L,5,FALSE),VLOOKUP($M10,TT_Tabelle_Riferimento!$H$31:$I$50,2,FALSE))</f>
        <v>40</v>
      </c>
      <c r="DK10" s="625">
        <f>+IFERROR(VLOOKUP(DK$6&amp;"-"&amp;$M10&amp;"_old",Ammortamento_Finanziario!$H:$L,5,FALSE),VLOOKUP($M10,TT_Tabelle_Riferimento!$H$31:$I$50,2,FALSE))</f>
        <v>40</v>
      </c>
      <c r="DL10" s="625">
        <f>+IFERROR(VLOOKUP(DL$6&amp;"-"&amp;$M10&amp;"_old",Ammortamento_Finanziario!$H:$L,5,FALSE),VLOOKUP($M10,TT_Tabelle_Riferimento!$H$31:$I$50,2,FALSE))</f>
        <v>40</v>
      </c>
      <c r="DM10" s="625">
        <f>+IFERROR(VLOOKUP(DM$6&amp;"-"&amp;$M10&amp;"_old",Ammortamento_Finanziario!$H:$L,5,FALSE),VLOOKUP($M10,TT_Tabelle_Riferimento!$H$31:$I$50,2,FALSE))</f>
        <v>40</v>
      </c>
      <c r="DN10" s="625">
        <f>+IFERROR(VLOOKUP(DN$6&amp;"-"&amp;$M10&amp;"_old",Ammortamento_Finanziario!$H:$L,5,FALSE),VLOOKUP($M10,TT_Tabelle_Riferimento!$H$31:$I$50,2,FALSE))</f>
        <v>40</v>
      </c>
      <c r="DO10" s="625">
        <f>+IFERROR(VLOOKUP(DO$6&amp;"-"&amp;$M10&amp;"_old",Ammortamento_Finanziario!$H:$L,5,FALSE),VLOOKUP($M10,TT_Tabelle_Riferimento!$H$31:$I$50,2,FALSE))</f>
        <v>40</v>
      </c>
      <c r="DP10" s="636">
        <f>+IFERROR(VLOOKUP(DP$6&amp;"-"&amp;$M10&amp;"_old",Ammortamento_Finanziario!$H:$L,5,FALSE),VLOOKUP($M10,TT_Tabelle_Riferimento!$H$31:$I$50,2,FALSE))</f>
        <v>40</v>
      </c>
      <c r="DQ10" s="636">
        <f>+IFERROR(VLOOKUP(DQ$6&amp;"-"&amp;$M10&amp;"_old",Ammortamento_Finanziario!$H:$L,5,FALSE),VLOOKUP($M10,TT_Tabelle_Riferimento!$H$31:$I$50,2,FALSE))</f>
        <v>40</v>
      </c>
      <c r="DR10" s="636">
        <f>+IFERROR(VLOOKUP(DR$6&amp;"-"&amp;$M10&amp;"_old",Ammortamento_Finanziario!$H:$L,5,FALSE),VLOOKUP($M10,TT_Tabelle_Riferimento!$H$31:$I$50,2,FALSE))</f>
        <v>40</v>
      </c>
      <c r="DS10" s="636">
        <f>+IFERROR(VLOOKUP(DS$6&amp;"-"&amp;$M10&amp;"_old",Ammortamento_Finanziario!$H:$L,5,FALSE),VLOOKUP($M10,TT_Tabelle_Riferimento!$H$31:$I$50,2,FALSE))</f>
        <v>40</v>
      </c>
      <c r="DT10" s="636">
        <f>+IFERROR(VLOOKUP(DT$6&amp;"-"&amp;$M10&amp;"_old",Ammortamento_Finanziario!$H:$L,5,FALSE),VLOOKUP($M10,TT_Tabelle_Riferimento!$H$31:$I$50,2,FALSE))</f>
        <v>40</v>
      </c>
      <c r="DU10" s="636">
        <f>+IFERROR(VLOOKUP(DU$6&amp;"-"&amp;$M10&amp;"_old",Ammortamento_Finanziario!$H:$L,5,FALSE),VLOOKUP($M10,TT_Tabelle_Riferimento!$H$31:$I$50,2,FALSE))</f>
        <v>40</v>
      </c>
      <c r="DV10" s="1742">
        <f>+IFERROR(VLOOKUP(DV$6&amp;"-"&amp;$M10&amp;"_old",Ammortamento_Finanziario!$H:$L,5,FALSE),VLOOKUP($M10,TT_Tabelle_Riferimento!$H$31:$I$50,2,FALSE))</f>
        <v>40</v>
      </c>
      <c r="DW10" s="1742">
        <f>+IFERROR(VLOOKUP(DW$6&amp;"-"&amp;$M10&amp;"_old",Ammortamento_Finanziario!$H:$L,5,FALSE),VLOOKUP($M10,TT_Tabelle_Riferimento!$H$31:$I$50,2,FALSE))</f>
        <v>40</v>
      </c>
      <c r="DX10" s="1750">
        <f>+IFERROR(VLOOKUP(DX$6&amp;"-"&amp;$M10&amp;"_old",Ammortamento_Finanziario!$H:$L,5,FALSE),VLOOKUP($M10,TT_Tabelle_Riferimento!$H$31:$I$50,2,FALSE))</f>
        <v>40</v>
      </c>
      <c r="DY10" s="1750">
        <f>+IFERROR(VLOOKUP(DY$6&amp;"-"&amp;$M10&amp;"_old",Ammortamento_Finanziario!$H:$L,5,FALSE),VLOOKUP($M10,TT_Tabelle_Riferimento!$H$31:$I$50,2,FALSE))</f>
        <v>40</v>
      </c>
      <c r="DZ10" s="1750">
        <f>+IFERROR(VLOOKUP(DZ$6&amp;"-"&amp;$M10&amp;"_old",Ammortamento_Finanziario!$H:$L,5,FALSE),VLOOKUP($M10,TT_Tabelle_Riferimento!$H$31:$I$50,2,FALSE))</f>
        <v>40</v>
      </c>
      <c r="EA10" s="1750">
        <f>+IFERROR(VLOOKUP(EA$6&amp;"-"&amp;$M10&amp;"_old",Ammortamento_Finanziario!$H:$L,5,FALSE),VLOOKUP($M10,TT_Tabelle_Riferimento!$H$31:$I$50,2,FALSE))</f>
        <v>40</v>
      </c>
      <c r="EB10" s="1750">
        <f>+IFERROR(VLOOKUP(EB$6&amp;"-"&amp;$M10&amp;"_old",Ammortamento_Finanziario!$H:$L,5,FALSE),VLOOKUP($M10,TT_Tabelle_Riferimento!$H$31:$I$50,2,FALSE))</f>
        <v>40</v>
      </c>
      <c r="EC10" s="1750">
        <f>+IFERROR(VLOOKUP(EC$6&amp;"-"&amp;$M10&amp;"_old",Ammortamento_Finanziario!$H:$L,5,FALSE),VLOOKUP($M10,TT_Tabelle_Riferimento!$H$31:$I$50,2,FALSE))</f>
        <v>40</v>
      </c>
      <c r="ED10" s="636">
        <f>+IFERROR(VLOOKUP(ED$6&amp;"-"&amp;$M10&amp;"_old",Ammortamento_Finanziario!$H:$L,5,FALSE),VLOOKUP($M10,TT_Tabelle_Riferimento!$H$31:$I$50,2,FALSE))</f>
        <v>40</v>
      </c>
      <c r="EE10" s="636">
        <f>+IFERROR(VLOOKUP(EE$6&amp;"-"&amp;$M10&amp;"_old",Ammortamento_Finanziario!$H:$L,5,FALSE),VLOOKUP($M10,TT_Tabelle_Riferimento!$H$31:$I$50,2,FALSE))</f>
        <v>40</v>
      </c>
      <c r="EF10" s="636">
        <f>+IFERROR(VLOOKUP(EF$6&amp;"-"&amp;$M10&amp;"_old",Ammortamento_Finanziario!$H:$L,5,FALSE),VLOOKUP($M10,TT_Tabelle_Riferimento!$H$31:$I$50,2,FALSE))</f>
        <v>40</v>
      </c>
      <c r="EG10" s="636">
        <f>+IFERROR(VLOOKUP(EG$6&amp;"-"&amp;$M10&amp;"_old",Ammortamento_Finanziario!$H:$L,5,FALSE),VLOOKUP($M10,TT_Tabelle_Riferimento!$H$31:$I$50,2,FALSE))</f>
        <v>40</v>
      </c>
      <c r="EH10" s="636">
        <f>+IFERROR(VLOOKUP(EH$6&amp;"-"&amp;$M10&amp;"_old",Ammortamento_Finanziario!$H:$L,5,FALSE),VLOOKUP($M10,TT_Tabelle_Riferimento!$H$31:$I$50,2,FALSE))</f>
        <v>40</v>
      </c>
      <c r="EI10" s="636">
        <f>+IFERROR(VLOOKUP(EI$6&amp;"-"&amp;$M10&amp;"_old",Ammortamento_Finanziario!$H:$L,5,FALSE),VLOOKUP($M10,TT_Tabelle_Riferimento!$H$31:$I$50,2,FALSE))</f>
        <v>40</v>
      </c>
      <c r="EJ10" s="636">
        <f>+IFERROR(VLOOKUP(EJ$6&amp;"-"&amp;$M10&amp;"_old",Ammortamento_Finanziario!$H:$L,5,FALSE),VLOOKUP($M10,TT_Tabelle_Riferimento!$H$31:$I$50,2,FALSE))</f>
        <v>40</v>
      </c>
      <c r="EK10" s="636">
        <f>+IFERROR(VLOOKUP(EK$6&amp;"-"&amp;$M10&amp;"_old",Ammortamento_Finanziario!$H:$L,5,FALSE),VLOOKUP($M10,TT_Tabelle_Riferimento!$H$31:$I$50,2,FALSE))</f>
        <v>40</v>
      </c>
      <c r="EL10" s="636">
        <f>+IFERROR(VLOOKUP(EL$6&amp;"-"&amp;$M10&amp;"_old",Ammortamento_Finanziario!$H:$L,5,FALSE),VLOOKUP($M10,TT_Tabelle_Riferimento!$H$31:$I$50,2,FALSE))</f>
        <v>40</v>
      </c>
      <c r="EM10" s="636">
        <f>+IFERROR(VLOOKUP(EM$6&amp;"-"&amp;$M10&amp;"_old",Ammortamento_Finanziario!$H:$L,5,FALSE),VLOOKUP($M10,TT_Tabelle_Riferimento!$H$31:$I$50,2,FALSE))</f>
        <v>40</v>
      </c>
      <c r="EN10" s="636">
        <f>+IFERROR(VLOOKUP(EN$6&amp;"-"&amp;$M10&amp;"_old",Ammortamento_Finanziario!$H:$L,5,FALSE),VLOOKUP($M10,TT_Tabelle_Riferimento!$H$31:$I$50,2,FALSE))</f>
        <v>40</v>
      </c>
      <c r="EO10" s="636">
        <f>+IFERROR(VLOOKUP(EO$6&amp;"-"&amp;$M10&amp;"_old",Ammortamento_Finanziario!$H:$L,5,FALSE),VLOOKUP($M10,TT_Tabelle_Riferimento!$H$31:$I$50,2,FALSE))</f>
        <v>40</v>
      </c>
      <c r="EP10" s="636">
        <f>+IFERROR(VLOOKUP(EP$6&amp;"-"&amp;$M10&amp;"_old",Ammortamento_Finanziario!$H:$L,5,FALSE),VLOOKUP($M10,TT_Tabelle_Riferimento!$H$31:$I$50,2,FALSE))</f>
        <v>40</v>
      </c>
      <c r="EQ10" s="636">
        <f>+IFERROR(VLOOKUP(EQ$6&amp;"-"&amp;$M10&amp;"_old",Ammortamento_Finanziario!$H:$L,5,FALSE),VLOOKUP($M10,TT_Tabelle_Riferimento!$H$31:$I$50,2,FALSE))</f>
        <v>40</v>
      </c>
      <c r="ER10" s="636">
        <f>+IFERROR(VLOOKUP(ER$6&amp;"-"&amp;$M10&amp;"_old",Ammortamento_Finanziario!$H:$L,5,FALSE),VLOOKUP($M10,TT_Tabelle_Riferimento!$H$31:$I$50,2,FALSE))</f>
        <v>40</v>
      </c>
      <c r="ES10" s="636">
        <f>+IFERROR(VLOOKUP(ES$6&amp;"-"&amp;$M10&amp;"_old",Ammortamento_Finanziario!$H:$L,5,FALSE),VLOOKUP($M10,TT_Tabelle_Riferimento!$H$31:$I$50,2,FALSE))</f>
        <v>40</v>
      </c>
      <c r="ET10" s="636">
        <f>+IFERROR(VLOOKUP(ET$6&amp;"-"&amp;$M10&amp;"_old",Ammortamento_Finanziario!$H:$L,5,FALSE),VLOOKUP($M10,TT_Tabelle_Riferimento!$H$31:$I$50,2,FALSE))</f>
        <v>40</v>
      </c>
      <c r="EU10" s="636">
        <f>+IFERROR(VLOOKUP(EU$6&amp;"-"&amp;$M10&amp;"_old",Ammortamento_Finanziario!$H:$L,5,FALSE),VLOOKUP($M10,TT_Tabelle_Riferimento!$H$31:$I$50,2,FALSE))</f>
        <v>40</v>
      </c>
      <c r="EV10" s="636">
        <f>+IFERROR(VLOOKUP(EV$6&amp;"-"&amp;$M10&amp;"_old",Ammortamento_Finanziario!$H:$L,5,FALSE),VLOOKUP($M10,TT_Tabelle_Riferimento!$H$31:$I$50,2,FALSE))</f>
        <v>40</v>
      </c>
      <c r="EW10" s="1048">
        <f>+IFERROR(VLOOKUP(EW$6&amp;"-"&amp;$M10&amp;"_old",Ammortamento_Finanziario!$H:$L,5,FALSE),VLOOKUP($M10,TT_Tabelle_Riferimento!$H$31:$I$50,2,FALSE))</f>
        <v>40</v>
      </c>
      <c r="EX10" s="1048">
        <f>+IFERROR(VLOOKUP(EX$6&amp;"-"&amp;$M10&amp;"_old",Ammortamento_Finanziario!$H:$L,5,FALSE),VLOOKUP($M10,TT_Tabelle_Riferimento!$H$31:$I$50,2,FALSE))</f>
        <v>40</v>
      </c>
      <c r="EY10" s="1048">
        <f>+IFERROR(VLOOKUP(EY$6&amp;"-"&amp;$M10&amp;"_old",Ammortamento_Finanziario!$H:$L,5,FALSE),VLOOKUP($M10,TT_Tabelle_Riferimento!$H$31:$I$50,2,FALSE))</f>
        <v>40</v>
      </c>
      <c r="EZ10" s="1048">
        <f>+IFERROR(VLOOKUP(EZ$6&amp;"-"&amp;$M10&amp;"_old",Ammortamento_Finanziario!$H:$L,5,FALSE),VLOOKUP($M10,TT_Tabelle_Riferimento!$H$31:$I$50,2,FALSE))</f>
        <v>40</v>
      </c>
      <c r="FA10" s="1048">
        <f>+IFERROR(VLOOKUP(FA$6&amp;"-"&amp;$M10&amp;"_old",Ammortamento_Finanziario!$H:$L,5,FALSE),VLOOKUP($M10,TT_Tabelle_Riferimento!$H$31:$I$50,2,FALSE))</f>
        <v>40</v>
      </c>
      <c r="FB10" s="1743">
        <f>+IFERROR(VLOOKUP(FB$6&amp;"-"&amp;$M10&amp;"_old",Ammortamento_Finanziario!$H:$L,5,FALSE),VLOOKUP($M10,TT_Tabelle_Riferimento!$H$31:$I$50,2,FALSE))</f>
        <v>40</v>
      </c>
      <c r="FC10" s="1743">
        <f>+IFERROR(VLOOKUP(FC$6&amp;"-"&amp;$M10&amp;"_old",Ammortamento_Finanziario!$H:$L,5,FALSE),VLOOKUP($M10,TT_Tabelle_Riferimento!$H$31:$I$50,2,FALSE))</f>
        <v>40</v>
      </c>
      <c r="FD10" s="1751">
        <f>+IFERROR(VLOOKUP(FD$6&amp;"-"&amp;$M10&amp;"_old",Ammortamento_Finanziario!$H:$L,5,FALSE),VLOOKUP($M10,TT_Tabelle_Riferimento!$H$31:$I$50,2,FALSE))</f>
        <v>40</v>
      </c>
      <c r="FE10" s="1751">
        <f>+IFERROR(VLOOKUP(FE$6&amp;"-"&amp;$M10&amp;"_old",Ammortamento_Finanziario!$H:$L,5,FALSE),VLOOKUP($M10,TT_Tabelle_Riferimento!$H$31:$I$50,2,FALSE))</f>
        <v>40</v>
      </c>
      <c r="FF10" s="1751">
        <f>+IFERROR(VLOOKUP(FF$6&amp;"-"&amp;$M10&amp;"_old",Ammortamento_Finanziario!$H:$L,5,FALSE),VLOOKUP($M10,TT_Tabelle_Riferimento!$H$31:$I$50,2,FALSE))</f>
        <v>40</v>
      </c>
      <c r="FG10" s="1751">
        <f>+IFERROR(VLOOKUP(FG$6&amp;"-"&amp;$M10&amp;"_old",Ammortamento_Finanziario!$H:$L,5,FALSE),VLOOKUP($M10,TT_Tabelle_Riferimento!$H$31:$I$50,2,FALSE))</f>
        <v>40</v>
      </c>
      <c r="FH10" s="1751">
        <f>+IFERROR(VLOOKUP(FH$6&amp;"-"&amp;$M10&amp;"_old",Ammortamento_Finanziario!$H:$L,5,FALSE),VLOOKUP($M10,TT_Tabelle_Riferimento!$H$31:$I$50,2,FALSE))</f>
        <v>40</v>
      </c>
      <c r="FI10" s="1751">
        <f>+IFERROR(VLOOKUP(FI$6&amp;"-"&amp;$M10&amp;"_old",Ammortamento_Finanziario!$H:$L,5,FALSE),VLOOKUP($M10,TT_Tabelle_Riferimento!$H$31:$I$50,2,FALSE))</f>
        <v>40</v>
      </c>
      <c r="FJ10" s="629">
        <f>+IFERROR(VLOOKUP(FJ$6&amp;"-"&amp;$M10&amp;"_old",Ammortamento_Finanziario!$H:$L,5,FALSE),VLOOKUP($M10,TT_Tabelle_Riferimento!$H$31:$I$50,2,FALSE))</f>
        <v>40</v>
      </c>
      <c r="FK10" s="629">
        <f>+IFERROR(VLOOKUP(FK$6&amp;"-"&amp;$M10&amp;"_old",Ammortamento_Finanziario!$H:$L,5,FALSE),VLOOKUP($M10,TT_Tabelle_Riferimento!$H$31:$I$50,2,FALSE))</f>
        <v>40</v>
      </c>
      <c r="FL10" s="629">
        <f>+IFERROR(VLOOKUP(FL$6&amp;"-"&amp;$M10&amp;"_old",Ammortamento_Finanziario!$H:$L,5,FALSE),VLOOKUP($M10,TT_Tabelle_Riferimento!$H$31:$I$50,2,FALSE))</f>
        <v>40</v>
      </c>
      <c r="FM10" s="629">
        <f>+IFERROR(VLOOKUP(FM$6&amp;"-"&amp;$M10&amp;"_old",Ammortamento_Finanziario!$H:$L,5,FALSE),VLOOKUP($M10,TT_Tabelle_Riferimento!$H$31:$I$50,2,FALSE))</f>
        <v>40</v>
      </c>
      <c r="FN10" s="629">
        <f>+IFERROR(VLOOKUP(FN$6&amp;"-"&amp;$M10&amp;"_old",Ammortamento_Finanziario!$H:$L,5,FALSE),VLOOKUP($M10,TT_Tabelle_Riferimento!$H$31:$I$50,2,FALSE))</f>
        <v>40</v>
      </c>
      <c r="FO10" s="629">
        <f>+IFERROR(VLOOKUP(FO$6&amp;"-"&amp;$M10&amp;"_old",Ammortamento_Finanziario!$H:$L,5,FALSE),VLOOKUP($M10,TT_Tabelle_Riferimento!$H$31:$I$50,2,FALSE))</f>
        <v>40</v>
      </c>
      <c r="FP10" s="629">
        <f>+IFERROR(VLOOKUP(FP$6&amp;"-"&amp;$M10&amp;"_old",Ammortamento_Finanziario!$H:$L,5,FALSE),VLOOKUP($M10,TT_Tabelle_Riferimento!$H$31:$I$50,2,FALSE))</f>
        <v>40</v>
      </c>
      <c r="FQ10" s="629">
        <f>+IFERROR(VLOOKUP(FQ$6&amp;"-"&amp;$M10&amp;"_old",Ammortamento_Finanziario!$H:$L,5,FALSE),VLOOKUP($M10,TT_Tabelle_Riferimento!$H$31:$I$50,2,FALSE))</f>
        <v>40</v>
      </c>
      <c r="FR10" s="629">
        <f>+IFERROR(VLOOKUP(FR$6&amp;"-"&amp;$M10&amp;"_old",Ammortamento_Finanziario!$H:$L,5,FALSE),VLOOKUP($M10,TT_Tabelle_Riferimento!$H$31:$I$50,2,FALSE))</f>
        <v>40</v>
      </c>
      <c r="FS10" s="629">
        <f>+IFERROR(VLOOKUP(FS$6&amp;"-"&amp;$M10&amp;"_old",Ammortamento_Finanziario!$H:$L,5,FALSE),VLOOKUP($M10,TT_Tabelle_Riferimento!$H$31:$I$50,2,FALSE))</f>
        <v>40</v>
      </c>
      <c r="FT10" s="629">
        <f>+IFERROR(VLOOKUP(FT$6&amp;"-"&amp;$M10&amp;"_old",Ammortamento_Finanziario!$H:$L,5,FALSE),VLOOKUP($M10,TT_Tabelle_Riferimento!$H$31:$I$50,2,FALSE))</f>
        <v>40</v>
      </c>
      <c r="FU10" s="629">
        <f>+IFERROR(VLOOKUP(FU$6&amp;"-"&amp;$M10&amp;"_old",Ammortamento_Finanziario!$H:$L,5,FALSE),VLOOKUP($M10,TT_Tabelle_Riferimento!$H$31:$I$50,2,FALSE))</f>
        <v>40</v>
      </c>
      <c r="FV10" s="629">
        <f>+IFERROR(VLOOKUP(FV$6&amp;"-"&amp;$M10&amp;"_old",Ammortamento_Finanziario!$H:$L,5,FALSE),VLOOKUP($M10,TT_Tabelle_Riferimento!$H$31:$I$50,2,FALSE))</f>
        <v>40</v>
      </c>
      <c r="FW10" s="629">
        <f>+IFERROR(VLOOKUP(FW$6&amp;"-"&amp;$M10&amp;"_old",Ammortamento_Finanziario!$H:$L,5,FALSE),VLOOKUP($M10,TT_Tabelle_Riferimento!$H$31:$I$50,2,FALSE))</f>
        <v>40</v>
      </c>
      <c r="FX10" s="629">
        <f>+IFERROR(VLOOKUP(FX$6&amp;"-"&amp;$M10&amp;"_old",Ammortamento_Finanziario!$H:$L,5,FALSE),VLOOKUP($M10,TT_Tabelle_Riferimento!$H$31:$I$50,2,FALSE))</f>
        <v>40</v>
      </c>
      <c r="FY10" s="629">
        <f>+IFERROR(VLOOKUP(FY$6&amp;"-"&amp;$M10&amp;"_old",Ammortamento_Finanziario!$H:$L,5,FALSE),VLOOKUP($M10,TT_Tabelle_Riferimento!$H$31:$I$50,2,FALSE))</f>
        <v>40</v>
      </c>
      <c r="FZ10" s="629">
        <f>+IFERROR(VLOOKUP(FZ$6&amp;"-"&amp;$M10&amp;"_old",Ammortamento_Finanziario!$H:$L,5,FALSE),VLOOKUP($M10,TT_Tabelle_Riferimento!$H$31:$I$50,2,FALSE))</f>
        <v>40</v>
      </c>
      <c r="GA10" s="629">
        <f>+IFERROR(VLOOKUP(GA$6&amp;"-"&amp;$M10&amp;"_old",Ammortamento_Finanziario!$H:$L,5,FALSE),VLOOKUP($M10,TT_Tabelle_Riferimento!$H$31:$I$50,2,FALSE))</f>
        <v>40</v>
      </c>
      <c r="GB10" s="629">
        <f>+IFERROR(VLOOKUP(GB$6&amp;"-"&amp;$M10&amp;"_old",Ammortamento_Finanziario!$H:$L,5,FALSE),VLOOKUP($M10,TT_Tabelle_Riferimento!$H$31:$I$50,2,FALSE))</f>
        <v>40</v>
      </c>
      <c r="GC10" s="635">
        <f>+IFERROR(VLOOKUP(GC$6&amp;"-"&amp;$M10&amp;"_old",Ammortamento_Finanziario!$H:$L,5,FALSE),VLOOKUP($M10,TT_Tabelle_Riferimento!$H$31:$I$50,2,FALSE))</f>
        <v>40</v>
      </c>
      <c r="GD10" s="635">
        <f>+IFERROR(VLOOKUP(GD$6&amp;"-"&amp;$M10&amp;"_old",Ammortamento_Finanziario!$H:$L,5,FALSE),VLOOKUP($M10,TT_Tabelle_Riferimento!$H$31:$I$50,2,FALSE))</f>
        <v>40</v>
      </c>
      <c r="GE10" s="635">
        <f>+IFERROR(VLOOKUP(GE$6&amp;"-"&amp;$M10&amp;"_old",Ammortamento_Finanziario!$H:$L,5,FALSE),VLOOKUP($M10,TT_Tabelle_Riferimento!$H$31:$I$50,2,FALSE))</f>
        <v>40</v>
      </c>
      <c r="GF10" s="635">
        <f>+IFERROR(VLOOKUP(GF$6&amp;"-"&amp;$M10&amp;"_old",Ammortamento_Finanziario!$H:$L,5,FALSE),VLOOKUP($M10,TT_Tabelle_Riferimento!$H$31:$I$50,2,FALSE))</f>
        <v>40</v>
      </c>
      <c r="GG10" s="1744">
        <f>+IFERROR(VLOOKUP(GG$6&amp;"-"&amp;$M10&amp;"_old",Ammortamento_Finanziario!$H:$L,5,FALSE),VLOOKUP($M10,TT_Tabelle_Riferimento!$H$31:$I$50,2,FALSE))</f>
        <v>40</v>
      </c>
      <c r="GH10" s="1744">
        <f>+IFERROR(VLOOKUP(GH$6&amp;"-"&amp;$M10&amp;"_old",Ammortamento_Finanziario!$H:$L,5,FALSE),VLOOKUP($M10,TT_Tabelle_Riferimento!$H$31:$I$50,2,FALSE))</f>
        <v>40</v>
      </c>
      <c r="GI10" s="1752">
        <f>+IFERROR(VLOOKUP(GI$6&amp;"-"&amp;$M10&amp;"_old",Ammortamento_Finanziario!$H:$L,5,FALSE),VLOOKUP($M10,TT_Tabelle_Riferimento!$H$31:$I$50,2,FALSE))</f>
        <v>40</v>
      </c>
      <c r="GJ10" s="1752">
        <f>+IFERROR(VLOOKUP(GJ$6&amp;"-"&amp;$M10&amp;"_old",Ammortamento_Finanziario!$H:$L,5,FALSE),VLOOKUP($M10,TT_Tabelle_Riferimento!$H$31:$I$50,2,FALSE))</f>
        <v>40</v>
      </c>
      <c r="GK10" s="1752">
        <f>+IFERROR(VLOOKUP(GK$6&amp;"-"&amp;$M10&amp;"_old",Ammortamento_Finanziario!$H:$L,5,FALSE),VLOOKUP($M10,TT_Tabelle_Riferimento!$H$31:$I$50,2,FALSE))</f>
        <v>40</v>
      </c>
      <c r="GL10" s="1752">
        <f>+IFERROR(VLOOKUP(GL$6&amp;"-"&amp;$M10&amp;"_old",Ammortamento_Finanziario!$H:$L,5,FALSE),VLOOKUP($M10,TT_Tabelle_Riferimento!$H$31:$I$50,2,FALSE))</f>
        <v>40</v>
      </c>
      <c r="GM10" s="1752">
        <f>+IFERROR(VLOOKUP(GM$6&amp;"-"&amp;$M10&amp;"_old",Ammortamento_Finanziario!$H:$L,5,FALSE),VLOOKUP($M10,TT_Tabelle_Riferimento!$H$31:$I$50,2,FALSE))</f>
        <v>40</v>
      </c>
      <c r="GN10" s="1752">
        <f>+IFERROR(VLOOKUP(GN$6&amp;"-"&amp;$M10&amp;"_old",Ammortamento_Finanziario!$H:$L,5,FALSE),VLOOKUP($M10,TT_Tabelle_Riferimento!$H$31:$I$50,2,FALSE))</f>
        <v>40</v>
      </c>
      <c r="GO10" s="628">
        <f>+IFERROR(VLOOKUP(GO$6&amp;"-"&amp;$M10&amp;"_old",Ammortamento_Finanziario!$H:$L,5,FALSE),VLOOKUP($M10,TT_Tabelle_Riferimento!$H$31:$I$50,2,FALSE))</f>
        <v>40</v>
      </c>
      <c r="GP10" s="628">
        <f>+IFERROR(VLOOKUP(GP$6&amp;"-"&amp;$M10&amp;"_old",Ammortamento_Finanziario!$H:$L,5,FALSE),VLOOKUP($M10,TT_Tabelle_Riferimento!$H$31:$I$50,2,FALSE))</f>
        <v>40</v>
      </c>
      <c r="GQ10" s="628">
        <f>+IFERROR(VLOOKUP(GQ$6&amp;"-"&amp;$M10&amp;"_old",Ammortamento_Finanziario!$H:$L,5,FALSE),VLOOKUP($M10,TT_Tabelle_Riferimento!$H$31:$I$50,2,FALSE))</f>
        <v>40</v>
      </c>
      <c r="GR10" s="628">
        <f>+IFERROR(VLOOKUP(GR$6&amp;"-"&amp;$M10&amp;"_old",Ammortamento_Finanziario!$H:$L,5,FALSE),VLOOKUP($M10,TT_Tabelle_Riferimento!$H$31:$I$50,2,FALSE))</f>
        <v>40</v>
      </c>
      <c r="GS10" s="628">
        <f>+IFERROR(VLOOKUP(GS$6&amp;"-"&amp;$M10&amp;"_old",Ammortamento_Finanziario!$H:$L,5,FALSE),VLOOKUP($M10,TT_Tabelle_Riferimento!$H$31:$I$50,2,FALSE))</f>
        <v>40</v>
      </c>
      <c r="GT10" s="628">
        <f>+IFERROR(VLOOKUP(GT$6&amp;"-"&amp;$M10&amp;"_old",Ammortamento_Finanziario!$H:$L,5,FALSE),VLOOKUP($M10,TT_Tabelle_Riferimento!$H$31:$I$50,2,FALSE))</f>
        <v>40</v>
      </c>
      <c r="GU10" s="628">
        <f>+IFERROR(VLOOKUP(GU$6&amp;"-"&amp;$M10&amp;"_old",Ammortamento_Finanziario!$H:$L,5,FALSE),VLOOKUP($M10,TT_Tabelle_Riferimento!$H$31:$I$50,2,FALSE))</f>
        <v>40</v>
      </c>
      <c r="GV10" s="628">
        <f>+IFERROR(VLOOKUP(GV$6&amp;"-"&amp;$M10&amp;"_old",Ammortamento_Finanziario!$H:$L,5,FALSE),VLOOKUP($M10,TT_Tabelle_Riferimento!$H$31:$I$50,2,FALSE))</f>
        <v>40</v>
      </c>
      <c r="GW10" s="628">
        <f>+IFERROR(VLOOKUP(GW$6&amp;"-"&amp;$M10&amp;"_old",Ammortamento_Finanziario!$H:$L,5,FALSE),VLOOKUP($M10,TT_Tabelle_Riferimento!$H$31:$I$50,2,FALSE))</f>
        <v>40</v>
      </c>
      <c r="GX10" s="628">
        <f>+IFERROR(VLOOKUP(GX$6&amp;"-"&amp;$M10&amp;"_old",Ammortamento_Finanziario!$H:$L,5,FALSE),VLOOKUP($M10,TT_Tabelle_Riferimento!$H$31:$I$50,2,FALSE))</f>
        <v>40</v>
      </c>
      <c r="GY10" s="628">
        <f>+IFERROR(VLOOKUP(GY$6&amp;"-"&amp;$M10&amp;"_old",Ammortamento_Finanziario!$H:$L,5,FALSE),VLOOKUP($M10,TT_Tabelle_Riferimento!$H$31:$I$50,2,FALSE))</f>
        <v>40</v>
      </c>
      <c r="GZ10" s="628">
        <f>+IFERROR(VLOOKUP(GZ$6&amp;"-"&amp;$M10&amp;"_old",Ammortamento_Finanziario!$H:$L,5,FALSE),VLOOKUP($M10,TT_Tabelle_Riferimento!$H$31:$I$50,2,FALSE))</f>
        <v>40</v>
      </c>
      <c r="HA10" s="628">
        <f>+IFERROR(VLOOKUP(HA$6&amp;"-"&amp;$M10&amp;"_old",Ammortamento_Finanziario!$H:$L,5,FALSE),VLOOKUP($M10,TT_Tabelle_Riferimento!$H$31:$I$50,2,FALSE))</f>
        <v>40</v>
      </c>
      <c r="HB10" s="628">
        <f>+IFERROR(VLOOKUP(HB$6&amp;"-"&amp;$M10&amp;"_old",Ammortamento_Finanziario!$H:$L,5,FALSE),VLOOKUP($M10,TT_Tabelle_Riferimento!$H$31:$I$50,2,FALSE))</f>
        <v>40</v>
      </c>
      <c r="HC10" s="628">
        <f>+IFERROR(VLOOKUP(HC$6&amp;"-"&amp;$M10&amp;"_old",Ammortamento_Finanziario!$H:$L,5,FALSE),VLOOKUP($M10,TT_Tabelle_Riferimento!$H$31:$I$50,2,FALSE))</f>
        <v>40</v>
      </c>
      <c r="HD10" s="628">
        <f>+IFERROR(VLOOKUP(HD$6&amp;"-"&amp;$M10&amp;"_old",Ammortamento_Finanziario!$H:$L,5,FALSE),VLOOKUP($M10,TT_Tabelle_Riferimento!$H$31:$I$50,2,FALSE))</f>
        <v>40</v>
      </c>
      <c r="HE10" s="628">
        <f>+IFERROR(VLOOKUP(HE$6&amp;"-"&amp;$M10&amp;"_old",Ammortamento_Finanziario!$H:$L,5,FALSE),VLOOKUP($M10,TT_Tabelle_Riferimento!$H$31:$I$50,2,FALSE))</f>
        <v>40</v>
      </c>
      <c r="HF10" s="628">
        <f>+IFERROR(VLOOKUP(HF$6&amp;"-"&amp;$M10&amp;"_old",Ammortamento_Finanziario!$H:$L,5,FALSE),VLOOKUP($M10,TT_Tabelle_Riferimento!$H$31:$I$50,2,FALSE))</f>
        <v>40</v>
      </c>
      <c r="HG10" s="628">
        <f>+IFERROR(VLOOKUP(HG$6&amp;"-"&amp;$M10&amp;"_old",Ammortamento_Finanziario!$H:$L,5,FALSE),VLOOKUP($M10,TT_Tabelle_Riferimento!$H$31:$I$50,2,FALSE))</f>
        <v>40</v>
      </c>
      <c r="HH10" s="422">
        <f>+IFERROR(VLOOKUP(HH$6&amp;"-"&amp;$M10&amp;"_old",Ammortamento_Finanziario!$H:$L,5,FALSE),VLOOKUP($M10,TT_Tabelle_Riferimento!$H$31:$I$50,2,FALSE))</f>
        <v>40</v>
      </c>
      <c r="HI10" s="422">
        <f>+IFERROR(VLOOKUP(HI$6&amp;"-"&amp;$M10&amp;"_old",Ammortamento_Finanziario!$H:$L,5,FALSE),VLOOKUP($M10,TT_Tabelle_Riferimento!$H$31:$I$50,2,FALSE))</f>
        <v>40</v>
      </c>
      <c r="HJ10" s="422">
        <f>+IFERROR(VLOOKUP(HJ$6&amp;"-"&amp;$M10&amp;"_old",Ammortamento_Finanziario!$H:$L,5,FALSE),VLOOKUP($M10,TT_Tabelle_Riferimento!$H$31:$I$50,2,FALSE))</f>
        <v>40</v>
      </c>
      <c r="HK10" s="1746">
        <f>+IFERROR(VLOOKUP(HK$6&amp;"-"&amp;$M10&amp;"_old",Ammortamento_Finanziario!$H:$L,5,FALSE),VLOOKUP($M10,TT_Tabelle_Riferimento!$H$31:$I$50,2,FALSE))</f>
        <v>40</v>
      </c>
      <c r="HL10" s="1746">
        <f>+IFERROR(VLOOKUP(HL$6&amp;"-"&amp;$M10&amp;"_old",Ammortamento_Finanziario!$H:$L,5,FALSE),VLOOKUP($M10,TT_Tabelle_Riferimento!$H$31:$I$50,2,FALSE))</f>
        <v>40</v>
      </c>
      <c r="HM10" s="1753">
        <f>+IFERROR(VLOOKUP(HM$6&amp;"-"&amp;$M10&amp;"_old",Ammortamento_Finanziario!$H:$L,5,FALSE),VLOOKUP($M10,TT_Tabelle_Riferimento!$H$31:$I$50,2,FALSE))</f>
        <v>40</v>
      </c>
      <c r="HN10" s="1753">
        <f>+IFERROR(VLOOKUP(HN$6&amp;"-"&amp;$M10&amp;"_old",Ammortamento_Finanziario!$H:$L,5,FALSE),VLOOKUP($M10,TT_Tabelle_Riferimento!$H$31:$I$50,2,FALSE))</f>
        <v>40</v>
      </c>
      <c r="HO10" s="1753">
        <f>+IFERROR(VLOOKUP(HO$6&amp;"-"&amp;$M10&amp;"_old",Ammortamento_Finanziario!$H:$L,5,FALSE),VLOOKUP($M10,TT_Tabelle_Riferimento!$H$31:$I$50,2,FALSE))</f>
        <v>40</v>
      </c>
      <c r="HP10" s="1753">
        <f>+IFERROR(VLOOKUP(HP$6&amp;"-"&amp;$M10&amp;"_old",Ammortamento_Finanziario!$H:$L,5,FALSE),VLOOKUP($M10,TT_Tabelle_Riferimento!$H$31:$I$50,2,FALSE))</f>
        <v>40</v>
      </c>
      <c r="HQ10" s="1753">
        <f>+IFERROR(VLOOKUP(HQ$6&amp;"-"&amp;$M10&amp;"_old",Ammortamento_Finanziario!$H:$L,5,FALSE),VLOOKUP($M10,TT_Tabelle_Riferimento!$H$31:$I$50,2,FALSE))</f>
        <v>40</v>
      </c>
      <c r="HR10" s="1753">
        <f>+IFERROR(VLOOKUP(HR$6&amp;"-"&amp;$M10&amp;"_old",Ammortamento_Finanziario!$H:$L,5,FALSE),VLOOKUP($M10,TT_Tabelle_Riferimento!$H$31:$I$50,2,FALSE))</f>
        <v>40</v>
      </c>
      <c r="HS10" s="422">
        <f>+IFERROR(VLOOKUP(HS$6&amp;"-"&amp;$M10&amp;"_old",Ammortamento_Finanziario!$H:$L,5,FALSE),VLOOKUP($M10,TT_Tabelle_Riferimento!$H$31:$I$50,2,FALSE))</f>
        <v>40</v>
      </c>
      <c r="HT10" s="422">
        <f>+IFERROR(VLOOKUP(HT$6&amp;"-"&amp;$M10&amp;"_old",Ammortamento_Finanziario!$H:$L,5,FALSE),VLOOKUP($M10,TT_Tabelle_Riferimento!$H$31:$I$50,2,FALSE))</f>
        <v>40</v>
      </c>
      <c r="HU10" s="422">
        <f>+IFERROR(VLOOKUP(HU$6&amp;"-"&amp;$M10&amp;"_old",Ammortamento_Finanziario!$H:$L,5,FALSE),VLOOKUP($M10,TT_Tabelle_Riferimento!$H$31:$I$50,2,FALSE))</f>
        <v>40</v>
      </c>
      <c r="HV10" s="422">
        <f>+IFERROR(VLOOKUP(HV$6&amp;"-"&amp;$M10&amp;"_old",Ammortamento_Finanziario!$H:$L,5,FALSE),VLOOKUP($M10,TT_Tabelle_Riferimento!$H$31:$I$50,2,FALSE))</f>
        <v>40</v>
      </c>
      <c r="HW10" s="422">
        <f>+IFERROR(VLOOKUP(HW$6&amp;"-"&amp;$M10&amp;"_old",Ammortamento_Finanziario!$H:$L,5,FALSE),VLOOKUP($M10,TT_Tabelle_Riferimento!$H$31:$I$50,2,FALSE))</f>
        <v>40</v>
      </c>
      <c r="HX10" s="422">
        <f>+IFERROR(VLOOKUP(HX$6&amp;"-"&amp;$M10&amp;"_old",Ammortamento_Finanziario!$H:$L,5,FALSE),VLOOKUP($M10,TT_Tabelle_Riferimento!$H$31:$I$50,2,FALSE))</f>
        <v>40</v>
      </c>
      <c r="HY10" s="422">
        <f>+IFERROR(VLOOKUP(HY$6&amp;"-"&amp;$M10&amp;"_old",Ammortamento_Finanziario!$H:$L,5,FALSE),VLOOKUP($M10,TT_Tabelle_Riferimento!$H$31:$I$50,2,FALSE))</f>
        <v>40</v>
      </c>
      <c r="HZ10" s="422">
        <f>+IFERROR(VLOOKUP(HZ$6&amp;"-"&amp;$M10&amp;"_old",Ammortamento_Finanziario!$H:$L,5,FALSE),VLOOKUP($M10,TT_Tabelle_Riferimento!$H$31:$I$50,2,FALSE))</f>
        <v>40</v>
      </c>
      <c r="IA10" s="422">
        <f>+IFERROR(VLOOKUP(IA$6&amp;"-"&amp;$M10&amp;"_old",Ammortamento_Finanziario!$H:$L,5,FALSE),VLOOKUP($M10,TT_Tabelle_Riferimento!$H$31:$I$50,2,FALSE))</f>
        <v>40</v>
      </c>
      <c r="IB10" s="422">
        <f>+IFERROR(VLOOKUP(IB$6&amp;"-"&amp;$M10&amp;"_old",Ammortamento_Finanziario!$H:$L,5,FALSE),VLOOKUP($M10,TT_Tabelle_Riferimento!$H$31:$I$50,2,FALSE))</f>
        <v>40</v>
      </c>
      <c r="IC10" s="422">
        <f>+IFERROR(VLOOKUP(IC$6&amp;"-"&amp;$M10&amp;"_old",Ammortamento_Finanziario!$H:$L,5,FALSE),VLOOKUP($M10,TT_Tabelle_Riferimento!$H$31:$I$50,2,FALSE))</f>
        <v>40</v>
      </c>
      <c r="ID10" s="422">
        <f>+IFERROR(VLOOKUP(ID$6&amp;"-"&amp;$M10&amp;"_old",Ammortamento_Finanziario!$H:$L,5,FALSE),VLOOKUP($M10,TT_Tabelle_Riferimento!$H$31:$I$50,2,FALSE))</f>
        <v>40</v>
      </c>
      <c r="IE10" s="422">
        <f>+IFERROR(VLOOKUP(IE$6&amp;"-"&amp;$M10&amp;"_old",Ammortamento_Finanziario!$H:$L,5,FALSE),VLOOKUP($M10,TT_Tabelle_Riferimento!$H$31:$I$50,2,FALSE))</f>
        <v>40</v>
      </c>
      <c r="IF10" s="422">
        <f>+IFERROR(VLOOKUP(IF$6&amp;"-"&amp;$M10&amp;"_old",Ammortamento_Finanziario!$H:$L,5,FALSE),VLOOKUP($M10,TT_Tabelle_Riferimento!$H$31:$I$50,2,FALSE))</f>
        <v>40</v>
      </c>
      <c r="IG10" s="422">
        <f>+IFERROR(VLOOKUP(IG$6&amp;"-"&amp;$M10&amp;"_old",Ammortamento_Finanziario!$H:$L,5,FALSE),VLOOKUP($M10,TT_Tabelle_Riferimento!$H$31:$I$50,2,FALSE))</f>
        <v>40</v>
      </c>
      <c r="IH10" s="422">
        <f>+IFERROR(VLOOKUP(IH$6&amp;"-"&amp;$M10&amp;"_old",Ammortamento_Finanziario!$H:$L,5,FALSE),VLOOKUP($M10,TT_Tabelle_Riferimento!$H$31:$I$50,2,FALSE))</f>
        <v>40</v>
      </c>
      <c r="II10" s="422">
        <f>+IFERROR(VLOOKUP(II$6&amp;"-"&amp;$M10&amp;"_old",Ammortamento_Finanziario!$H:$L,5,FALSE),VLOOKUP($M10,TT_Tabelle_Riferimento!$H$31:$I$50,2,FALSE))</f>
        <v>40</v>
      </c>
      <c r="IJ10" s="422">
        <f>+IFERROR(VLOOKUP(IJ$6&amp;"-"&amp;$M10&amp;"_old",Ammortamento_Finanziario!$H:$L,5,FALSE),VLOOKUP($M10,TT_Tabelle_Riferimento!$H$31:$I$50,2,FALSE))</f>
        <v>40</v>
      </c>
      <c r="IK10" s="422">
        <f>+IFERROR(VLOOKUP(IK$6&amp;"-"&amp;$M10&amp;"_old",Ammortamento_Finanziario!$H:$L,5,FALSE),VLOOKUP($M10,TT_Tabelle_Riferimento!$H$31:$I$50,2,FALSE))</f>
        <v>40</v>
      </c>
      <c r="IL10" s="1077">
        <f>+IFERROR(VLOOKUP(IL$6&amp;"-"&amp;$M10&amp;"_old",Ammortamento_Finanziario!$H:$L,5,FALSE),VLOOKUP($M10,TT_Tabelle_Riferimento!$H$31:$I$50,2,FALSE))</f>
        <v>40</v>
      </c>
      <c r="IM10" s="1077">
        <f>+IFERROR(VLOOKUP(IM$6&amp;"-"&amp;$M10&amp;"_old",Ammortamento_Finanziario!$H:$L,5,FALSE),VLOOKUP($M10,TT_Tabelle_Riferimento!$H$31:$I$50,2,FALSE))</f>
        <v>40</v>
      </c>
      <c r="IN10" s="1747">
        <f>+IFERROR(VLOOKUP(IN$6&amp;"-"&amp;$M10&amp;"_old",Ammortamento_Finanziario!$H:$L,5,FALSE),VLOOKUP($M10,TT_Tabelle_Riferimento!$H$31:$I$50,2,FALSE))</f>
        <v>40</v>
      </c>
      <c r="IO10" s="1747">
        <f>+IFERROR(VLOOKUP(IO$6&amp;"-"&amp;$M10&amp;"_old",Ammortamento_Finanziario!$H:$L,5,FALSE),VLOOKUP($M10,TT_Tabelle_Riferimento!$H$31:$I$50,2,FALSE))</f>
        <v>40</v>
      </c>
      <c r="IP10" s="1754">
        <f>+IFERROR(VLOOKUP(IP$6&amp;"-"&amp;$M10&amp;"_old",Ammortamento_Finanziario!$H:$L,5,FALSE),VLOOKUP($M10,TT_Tabelle_Riferimento!$H$31:$I$50,2,FALSE))</f>
        <v>40</v>
      </c>
      <c r="IQ10" s="1754">
        <f>+IFERROR(VLOOKUP(IQ$6&amp;"-"&amp;$M10&amp;"_old",Ammortamento_Finanziario!$H:$L,5,FALSE),VLOOKUP($M10,TT_Tabelle_Riferimento!$H$31:$I$50,2,FALSE))</f>
        <v>40</v>
      </c>
      <c r="IR10" s="1754">
        <f>+IFERROR(VLOOKUP(IR$6&amp;"-"&amp;$M10&amp;"_old",Ammortamento_Finanziario!$H:$L,5,FALSE),VLOOKUP($M10,TT_Tabelle_Riferimento!$H$31:$I$50,2,FALSE))</f>
        <v>40</v>
      </c>
      <c r="IS10" s="1754">
        <f>+IFERROR(VLOOKUP(IS$6&amp;"-"&amp;$M10&amp;"_old",Ammortamento_Finanziario!$H:$L,5,FALSE),VLOOKUP($M10,TT_Tabelle_Riferimento!$H$31:$I$50,2,FALSE))</f>
        <v>40</v>
      </c>
      <c r="IT10" s="1754">
        <f>+IFERROR(VLOOKUP(IT$6&amp;"-"&amp;$M10&amp;"_old",Ammortamento_Finanziario!$H:$L,5,FALSE),VLOOKUP($M10,TT_Tabelle_Riferimento!$H$31:$I$50,2,FALSE))</f>
        <v>40</v>
      </c>
      <c r="IU10" s="1754">
        <f>+IFERROR(VLOOKUP(IU$6&amp;"-"&amp;$M10&amp;"_old",Ammortamento_Finanziario!$H:$L,5,FALSE),VLOOKUP($M10,TT_Tabelle_Riferimento!$H$31:$I$50,2,FALSE))</f>
        <v>40</v>
      </c>
      <c r="IV10" s="1077">
        <f>+IFERROR(VLOOKUP(IV$6&amp;"-"&amp;$M10&amp;"_old",Ammortamento_Finanziario!$H:$L,5,FALSE),VLOOKUP($M10,TT_Tabelle_Riferimento!$H$31:$I$50,2,FALSE))</f>
        <v>40</v>
      </c>
      <c r="IW10" s="1077">
        <f>+IFERROR(VLOOKUP(IW$6&amp;"-"&amp;$M10&amp;"_old",Ammortamento_Finanziario!$H:$L,5,FALSE),VLOOKUP($M10,TT_Tabelle_Riferimento!$H$31:$I$50,2,FALSE))</f>
        <v>40</v>
      </c>
      <c r="IX10" s="1077">
        <f>+IFERROR(VLOOKUP(IX$6&amp;"-"&amp;$M10&amp;"_old",Ammortamento_Finanziario!$H:$L,5,FALSE),VLOOKUP($M10,TT_Tabelle_Riferimento!$H$31:$I$50,2,FALSE))</f>
        <v>40</v>
      </c>
      <c r="IY10" s="1077">
        <f>+IFERROR(VLOOKUP(IY$6&amp;"-"&amp;$M10&amp;"_old",Ammortamento_Finanziario!$H:$L,5,FALSE),VLOOKUP($M10,TT_Tabelle_Riferimento!$H$31:$I$50,2,FALSE))</f>
        <v>40</v>
      </c>
      <c r="IZ10" s="1077">
        <f>+IFERROR(VLOOKUP(IZ$6&amp;"-"&amp;$M10&amp;"_old",Ammortamento_Finanziario!$H:$L,5,FALSE),VLOOKUP($M10,TT_Tabelle_Riferimento!$H$31:$I$50,2,FALSE))</f>
        <v>40</v>
      </c>
      <c r="JA10" s="1077">
        <f>+IFERROR(VLOOKUP(JA$6&amp;"-"&amp;$M10&amp;"_old",Ammortamento_Finanziario!$H:$L,5,FALSE),VLOOKUP($M10,TT_Tabelle_Riferimento!$H$31:$I$50,2,FALSE))</f>
        <v>40</v>
      </c>
      <c r="JB10" s="1077">
        <f>+IFERROR(VLOOKUP(JB$6&amp;"-"&amp;$M10&amp;"_old",Ammortamento_Finanziario!$H:$L,5,FALSE),VLOOKUP($M10,TT_Tabelle_Riferimento!$H$31:$I$50,2,FALSE))</f>
        <v>40</v>
      </c>
      <c r="JC10" s="1077">
        <f>+IFERROR(VLOOKUP(JC$6&amp;"-"&amp;$M10&amp;"_old",Ammortamento_Finanziario!$H:$L,5,FALSE),VLOOKUP($M10,TT_Tabelle_Riferimento!$H$31:$I$50,2,FALSE))</f>
        <v>40</v>
      </c>
      <c r="JD10" s="1077">
        <f>+IFERROR(VLOOKUP(JD$6&amp;"-"&amp;$M10&amp;"_old",Ammortamento_Finanziario!$H:$L,5,FALSE),VLOOKUP($M10,TT_Tabelle_Riferimento!$H$31:$I$50,2,FALSE))</f>
        <v>40</v>
      </c>
      <c r="JE10" s="1077">
        <f>+IFERROR(VLOOKUP(JE$6&amp;"-"&amp;$M10&amp;"_old",Ammortamento_Finanziario!$H:$L,5,FALSE),VLOOKUP($M10,TT_Tabelle_Riferimento!$H$31:$I$50,2,FALSE))</f>
        <v>40</v>
      </c>
      <c r="JF10" s="1077">
        <f>+IFERROR(VLOOKUP(JF$6&amp;"-"&amp;$M10&amp;"_old",Ammortamento_Finanziario!$H:$L,5,FALSE),VLOOKUP($M10,TT_Tabelle_Riferimento!$H$31:$I$50,2,FALSE))</f>
        <v>40</v>
      </c>
      <c r="JG10" s="1077">
        <f>+IFERROR(VLOOKUP(JG$6&amp;"-"&amp;$M10&amp;"_old",Ammortamento_Finanziario!$H:$L,5,FALSE),VLOOKUP($M10,TT_Tabelle_Riferimento!$H$31:$I$50,2,FALSE))</f>
        <v>40</v>
      </c>
      <c r="JH10" s="1077">
        <f>+IFERROR(VLOOKUP(JH$6&amp;"-"&amp;$M10&amp;"_old",Ammortamento_Finanziario!$H:$L,5,FALSE),VLOOKUP($M10,TT_Tabelle_Riferimento!$H$31:$I$50,2,FALSE))</f>
        <v>40</v>
      </c>
      <c r="JI10" s="1077">
        <f>+IFERROR(VLOOKUP(JI$6&amp;"-"&amp;$M10&amp;"_old",Ammortamento_Finanziario!$H:$L,5,FALSE),VLOOKUP($M10,TT_Tabelle_Riferimento!$H$31:$I$50,2,FALSE))</f>
        <v>40</v>
      </c>
      <c r="JJ10" s="1077">
        <f>+IFERROR(VLOOKUP(JJ$6&amp;"-"&amp;$M10&amp;"_old",Ammortamento_Finanziario!$H:$L,5,FALSE),VLOOKUP($M10,TT_Tabelle_Riferimento!$H$31:$I$50,2,FALSE))</f>
        <v>40</v>
      </c>
      <c r="JK10" s="1077">
        <f>+IFERROR(VLOOKUP(JK$6&amp;"-"&amp;$M10&amp;"_old",Ammortamento_Finanziario!$H:$L,5,FALSE),VLOOKUP($M10,TT_Tabelle_Riferimento!$H$31:$I$50,2,FALSE))</f>
        <v>40</v>
      </c>
      <c r="JL10" s="1077">
        <f>+IFERROR(VLOOKUP(JL$6&amp;"-"&amp;$M10&amp;"_old",Ammortamento_Finanziario!$H:$L,5,FALSE),VLOOKUP($M10,TT_Tabelle_Riferimento!$H$31:$I$50,2,FALSE))</f>
        <v>40</v>
      </c>
      <c r="JM10" s="1077">
        <f>+IFERROR(VLOOKUP(JM$6&amp;"-"&amp;$M10&amp;"_old",Ammortamento_Finanziario!$H:$L,5,FALSE),VLOOKUP($M10,TT_Tabelle_Riferimento!$H$31:$I$50,2,FALSE))</f>
        <v>40</v>
      </c>
      <c r="JN10" s="1077">
        <f>+IFERROR(VLOOKUP(JN$6&amp;"-"&amp;$M10&amp;"_old",Ammortamento_Finanziario!$H:$L,5,FALSE),VLOOKUP($M10,TT_Tabelle_Riferimento!$H$31:$I$50,2,FALSE))</f>
        <v>40</v>
      </c>
      <c r="JO10" s="1078">
        <f>+IFERROR(VLOOKUP(JO$6&amp;"-"&amp;$M10&amp;"_old",Ammortamento_Finanziario!$H:$L,5,FALSE),VLOOKUP($M10,TT_Tabelle_Riferimento!$H$31:$I$50,2,FALSE))</f>
        <v>40</v>
      </c>
      <c r="JP10" s="1748">
        <f>+IFERROR(VLOOKUP(JP$6&amp;"-"&amp;$M10&amp;"_old",Ammortamento_Finanziario!$H:$L,5,FALSE),VLOOKUP($M10,TT_Tabelle_Riferimento!$H$31:$I$50,2,FALSE))</f>
        <v>40</v>
      </c>
      <c r="JQ10" s="1748">
        <f>+IFERROR(VLOOKUP(JQ$6&amp;"-"&amp;$M10&amp;"_old",Ammortamento_Finanziario!$H:$L,5,FALSE),VLOOKUP($M10,TT_Tabelle_Riferimento!$H$31:$I$50,2,FALSE))</f>
        <v>40</v>
      </c>
      <c r="JR10" s="1755">
        <f>+IFERROR(VLOOKUP(JR$6&amp;"-"&amp;$M10&amp;"_old",Ammortamento_Finanziario!$H:$L,5,FALSE),VLOOKUP($M10,TT_Tabelle_Riferimento!$H$31:$I$50,2,FALSE))</f>
        <v>40</v>
      </c>
      <c r="JS10" s="1755">
        <f>+IFERROR(VLOOKUP(JS$6&amp;"-"&amp;$M10&amp;"_old",Ammortamento_Finanziario!$H:$L,5,FALSE),VLOOKUP($M10,TT_Tabelle_Riferimento!$H$31:$I$50,2,FALSE))</f>
        <v>40</v>
      </c>
      <c r="JT10" s="1755">
        <f>+IFERROR(VLOOKUP(JT$6&amp;"-"&amp;$M10&amp;"_old",Ammortamento_Finanziario!$H:$L,5,FALSE),VLOOKUP($M10,TT_Tabelle_Riferimento!$H$31:$I$50,2,FALSE))</f>
        <v>40</v>
      </c>
      <c r="JU10" s="1755">
        <f>+IFERROR(VLOOKUP(JU$6&amp;"-"&amp;$M10&amp;"_old",Ammortamento_Finanziario!$H:$L,5,FALSE),VLOOKUP($M10,TT_Tabelle_Riferimento!$H$31:$I$50,2,FALSE))</f>
        <v>40</v>
      </c>
      <c r="JV10" s="1755">
        <f>+IFERROR(VLOOKUP(JV$6&amp;"-"&amp;$M10&amp;"_old",Ammortamento_Finanziario!$H:$L,5,FALSE),VLOOKUP($M10,TT_Tabelle_Riferimento!$H$31:$I$50,2,FALSE))</f>
        <v>40</v>
      </c>
      <c r="JW10" s="1755">
        <f>+IFERROR(VLOOKUP(JW$6&amp;"-"&amp;$M10&amp;"_old",Ammortamento_Finanziario!$H:$L,5,FALSE),VLOOKUP($M10,TT_Tabelle_Riferimento!$H$31:$I$50,2,FALSE))</f>
        <v>40</v>
      </c>
      <c r="JX10" s="1078">
        <f>+IFERROR(VLOOKUP(JX$6&amp;"-"&amp;$M10&amp;"_old",Ammortamento_Finanziario!$H:$L,5,FALSE),VLOOKUP($M10,TT_Tabelle_Riferimento!$H$31:$I$50,2,FALSE))</f>
        <v>40</v>
      </c>
      <c r="JY10" s="1078">
        <f>+IFERROR(VLOOKUP(JY$6&amp;"-"&amp;$M10&amp;"_old",Ammortamento_Finanziario!$H:$L,5,FALSE),VLOOKUP($M10,TT_Tabelle_Riferimento!$H$31:$I$50,2,FALSE))</f>
        <v>40</v>
      </c>
      <c r="JZ10" s="1078">
        <f>+IFERROR(VLOOKUP(JZ$6&amp;"-"&amp;$M10&amp;"_old",Ammortamento_Finanziario!$H:$L,5,FALSE),VLOOKUP($M10,TT_Tabelle_Riferimento!$H$31:$I$50,2,FALSE))</f>
        <v>40</v>
      </c>
      <c r="KA10" s="1078">
        <f>+IFERROR(VLOOKUP(KA$6&amp;"-"&amp;$M10&amp;"_old",Ammortamento_Finanziario!$H:$L,5,FALSE),VLOOKUP($M10,TT_Tabelle_Riferimento!$H$31:$I$50,2,FALSE))</f>
        <v>40</v>
      </c>
      <c r="KB10" s="1078">
        <f>+IFERROR(VLOOKUP(KB$6&amp;"-"&amp;$M10&amp;"_old",Ammortamento_Finanziario!$H:$L,5,FALSE),VLOOKUP($M10,TT_Tabelle_Riferimento!$H$31:$I$50,2,FALSE))</f>
        <v>40</v>
      </c>
      <c r="KC10" s="1078">
        <f>+IFERROR(VLOOKUP(KC$6&amp;"-"&amp;$M10&amp;"_old",Ammortamento_Finanziario!$H:$L,5,FALSE),VLOOKUP($M10,TT_Tabelle_Riferimento!$H$31:$I$50,2,FALSE))</f>
        <v>40</v>
      </c>
      <c r="KD10" s="1078">
        <f>+IFERROR(VLOOKUP(KD$6&amp;"-"&amp;$M10&amp;"_old",Ammortamento_Finanziario!$H:$L,5,FALSE),VLOOKUP($M10,TT_Tabelle_Riferimento!$H$31:$I$50,2,FALSE))</f>
        <v>40</v>
      </c>
      <c r="KE10" s="1078">
        <f>+IFERROR(VLOOKUP(KE$6&amp;"-"&amp;$M10&amp;"_old",Ammortamento_Finanziario!$H:$L,5,FALSE),VLOOKUP($M10,TT_Tabelle_Riferimento!$H$31:$I$50,2,FALSE))</f>
        <v>40</v>
      </c>
      <c r="KF10" s="1078">
        <f>+IFERROR(VLOOKUP(KF$6&amp;"-"&amp;$M10&amp;"_old",Ammortamento_Finanziario!$H:$L,5,FALSE),VLOOKUP($M10,TT_Tabelle_Riferimento!$H$31:$I$50,2,FALSE))</f>
        <v>40</v>
      </c>
      <c r="KG10" s="1078">
        <f>+IFERROR(VLOOKUP(KG$6&amp;"-"&amp;$M10&amp;"_old",Ammortamento_Finanziario!$H:$L,5,FALSE),VLOOKUP($M10,TT_Tabelle_Riferimento!$H$31:$I$50,2,FALSE))</f>
        <v>40</v>
      </c>
      <c r="KH10" s="1078">
        <f>+IFERROR(VLOOKUP(KH$6&amp;"-"&amp;$M10&amp;"_old",Ammortamento_Finanziario!$H:$L,5,FALSE),VLOOKUP($M10,TT_Tabelle_Riferimento!$H$31:$I$50,2,FALSE))</f>
        <v>40</v>
      </c>
      <c r="KI10" s="1078">
        <f>+IFERROR(VLOOKUP(KI$6&amp;"-"&amp;$M10&amp;"_old",Ammortamento_Finanziario!$H:$L,5,FALSE),VLOOKUP($M10,TT_Tabelle_Riferimento!$H$31:$I$50,2,FALSE))</f>
        <v>40</v>
      </c>
      <c r="KJ10" s="1078">
        <f>+IFERROR(VLOOKUP(KJ$6&amp;"-"&amp;$M10&amp;"_old",Ammortamento_Finanziario!$H:$L,5,FALSE),VLOOKUP($M10,TT_Tabelle_Riferimento!$H$31:$I$50,2,FALSE))</f>
        <v>40</v>
      </c>
      <c r="KK10" s="1078">
        <f>+IFERROR(VLOOKUP(KK$6&amp;"-"&amp;$M10&amp;"_old",Ammortamento_Finanziario!$H:$L,5,FALSE),VLOOKUP($M10,TT_Tabelle_Riferimento!$H$31:$I$50,2,FALSE))</f>
        <v>40</v>
      </c>
      <c r="KL10" s="1078">
        <f>+IFERROR(VLOOKUP(KL$6&amp;"-"&amp;$M10&amp;"_old",Ammortamento_Finanziario!$H:$L,5,FALSE),VLOOKUP($M10,TT_Tabelle_Riferimento!$H$31:$I$50,2,FALSE))</f>
        <v>40</v>
      </c>
      <c r="KM10" s="1078">
        <f>+IFERROR(VLOOKUP(KM$6&amp;"-"&amp;$M10&amp;"_old",Ammortamento_Finanziario!$H:$L,5,FALSE),VLOOKUP($M10,TT_Tabelle_Riferimento!$H$31:$I$50,2,FALSE))</f>
        <v>40</v>
      </c>
      <c r="KN10" s="1078">
        <f>+IFERROR(VLOOKUP(KN$6&amp;"-"&amp;$M10&amp;"_old",Ammortamento_Finanziario!$H:$L,5,FALSE),VLOOKUP($M10,TT_Tabelle_Riferimento!$H$31:$I$50,2,FALSE))</f>
        <v>40</v>
      </c>
      <c r="KO10" s="1078">
        <f>+IFERROR(VLOOKUP(KO$6&amp;"-"&amp;$M10&amp;"_old",Ammortamento_Finanziario!$H:$L,5,FALSE),VLOOKUP($M10,TT_Tabelle_Riferimento!$H$31:$I$50,2,FALSE))</f>
        <v>40</v>
      </c>
      <c r="KP10" s="1078">
        <f>+IFERROR(VLOOKUP(KP$6&amp;"-"&amp;$M10&amp;"_old",Ammortamento_Finanziario!$H:$L,5,FALSE),VLOOKUP($M10,TT_Tabelle_Riferimento!$H$31:$I$50,2,FALSE))</f>
        <v>40</v>
      </c>
      <c r="KQ10" s="1748">
        <f>+IFERROR(VLOOKUP(KQ$6&amp;"-"&amp;$M10&amp;"_old",Ammortamento_Finanziario!$H:$L,5,FALSE),VLOOKUP($M10,TT_Tabelle_Riferimento!$H$31:$I$50,2,FALSE))</f>
        <v>40</v>
      </c>
      <c r="KR10" s="1748">
        <f>+IFERROR(VLOOKUP(KR$6&amp;"-"&amp;$M10&amp;"_old",Ammortamento_Finanziario!$H:$L,5,FALSE),VLOOKUP($M10,TT_Tabelle_Riferimento!$H$31:$I$50,2,FALSE))</f>
        <v>40</v>
      </c>
      <c r="KS10" s="1755">
        <f>+IFERROR(VLOOKUP(KS$6&amp;"-"&amp;$M10&amp;"_old",Ammortamento_Finanziario!$H:$L,5,FALSE),VLOOKUP($M10,TT_Tabelle_Riferimento!$H$31:$I$50,2,FALSE))</f>
        <v>40</v>
      </c>
      <c r="KT10" s="1755">
        <f>+IFERROR(VLOOKUP(KT$6&amp;"-"&amp;$M10&amp;"_old",Ammortamento_Finanziario!$H:$L,5,FALSE),VLOOKUP($M10,TT_Tabelle_Riferimento!$H$31:$I$50,2,FALSE))</f>
        <v>40</v>
      </c>
      <c r="KU10" s="1755">
        <f>+IFERROR(VLOOKUP(KU$6&amp;"-"&amp;$M10&amp;"_old",Ammortamento_Finanziario!$H:$L,5,FALSE),VLOOKUP($M10,TT_Tabelle_Riferimento!$H$31:$I$50,2,FALSE))</f>
        <v>40</v>
      </c>
      <c r="KV10" s="1755">
        <f>+IFERROR(VLOOKUP(KV$6&amp;"-"&amp;$M10&amp;"_old",Ammortamento_Finanziario!$H:$L,5,FALSE),VLOOKUP($M10,TT_Tabelle_Riferimento!$H$31:$I$50,2,FALSE))</f>
        <v>40</v>
      </c>
      <c r="KW10" s="1755">
        <f>+IFERROR(VLOOKUP(KW$6&amp;"-"&amp;$M10&amp;"_old",Ammortamento_Finanziario!$H:$L,5,FALSE),VLOOKUP($M10,TT_Tabelle_Riferimento!$H$31:$I$50,2,FALSE))</f>
        <v>40</v>
      </c>
      <c r="KX10" s="1755">
        <f>+IFERROR(VLOOKUP(KX$6&amp;"-"&amp;$M10&amp;"_old",Ammortamento_Finanziario!$H:$L,5,FALSE),VLOOKUP($M10,TT_Tabelle_Riferimento!$H$31:$I$50,2,FALSE))</f>
        <v>40</v>
      </c>
      <c r="KY10" s="1078">
        <f>+IFERROR(VLOOKUP(KY$6&amp;"-"&amp;$M10&amp;"_old",Ammortamento_Finanziario!$H:$L,5,FALSE),VLOOKUP($M10,TT_Tabelle_Riferimento!$H$31:$I$50,2,FALSE))</f>
        <v>40</v>
      </c>
      <c r="KZ10" s="1078">
        <f>+IFERROR(VLOOKUP(KZ$6&amp;"-"&amp;$M10&amp;"_old",Ammortamento_Finanziario!$H:$L,5,FALSE),VLOOKUP($M10,TT_Tabelle_Riferimento!$H$31:$I$50,2,FALSE))</f>
        <v>40</v>
      </c>
      <c r="LA10" s="1078">
        <f>+IFERROR(VLOOKUP(LA$6&amp;"-"&amp;$M10&amp;"_old",Ammortamento_Finanziario!$H:$L,5,FALSE),VLOOKUP($M10,TT_Tabelle_Riferimento!$H$31:$I$50,2,FALSE))</f>
        <v>40</v>
      </c>
      <c r="LB10" s="1078">
        <f>+IFERROR(VLOOKUP(LB$6&amp;"-"&amp;$M10&amp;"_old",Ammortamento_Finanziario!$H:$L,5,FALSE),VLOOKUP($M10,TT_Tabelle_Riferimento!$H$31:$I$50,2,FALSE))</f>
        <v>40</v>
      </c>
      <c r="LC10" s="1078">
        <f>+IFERROR(VLOOKUP(LC$6&amp;"-"&amp;$M10&amp;"_old",Ammortamento_Finanziario!$H:$L,5,FALSE),VLOOKUP($M10,TT_Tabelle_Riferimento!$H$31:$I$50,2,FALSE))</f>
        <v>40</v>
      </c>
      <c r="LD10" s="1078">
        <f>+IFERROR(VLOOKUP(LD$6&amp;"-"&amp;$M10&amp;"_old",Ammortamento_Finanziario!$H:$L,5,FALSE),VLOOKUP($M10,TT_Tabelle_Riferimento!$H$31:$I$50,2,FALSE))</f>
        <v>40</v>
      </c>
      <c r="LE10" s="1078">
        <f>+IFERROR(VLOOKUP(LE$6&amp;"-"&amp;$M10&amp;"_old",Ammortamento_Finanziario!$H:$L,5,FALSE),VLOOKUP($M10,TT_Tabelle_Riferimento!$H$31:$I$50,2,FALSE))</f>
        <v>40</v>
      </c>
      <c r="LF10" s="1078">
        <f>+IFERROR(VLOOKUP(LF$6&amp;"-"&amp;$M10&amp;"_old",Ammortamento_Finanziario!$H:$L,5,FALSE),VLOOKUP($M10,TT_Tabelle_Riferimento!$H$31:$I$50,2,FALSE))</f>
        <v>40</v>
      </c>
      <c r="LG10" s="1078">
        <f>+IFERROR(VLOOKUP(LG$6&amp;"-"&amp;$M10&amp;"_old",Ammortamento_Finanziario!$H:$L,5,FALSE),VLOOKUP($M10,TT_Tabelle_Riferimento!$H$31:$I$50,2,FALSE))</f>
        <v>40</v>
      </c>
      <c r="LH10" s="1078">
        <f>+IFERROR(VLOOKUP(LH$6&amp;"-"&amp;$M10&amp;"_old",Ammortamento_Finanziario!$H:$L,5,FALSE),VLOOKUP($M10,TT_Tabelle_Riferimento!$H$31:$I$50,2,FALSE))</f>
        <v>40</v>
      </c>
      <c r="LI10" s="1078">
        <f>+IFERROR(VLOOKUP(LI$6&amp;"-"&amp;$M10&amp;"_old",Ammortamento_Finanziario!$H:$L,5,FALSE),VLOOKUP($M10,TT_Tabelle_Riferimento!$H$31:$I$50,2,FALSE))</f>
        <v>40</v>
      </c>
      <c r="LJ10" s="1078">
        <f>+IFERROR(VLOOKUP(LJ$6&amp;"-"&amp;$M10&amp;"_old",Ammortamento_Finanziario!$H:$L,5,FALSE),VLOOKUP($M10,TT_Tabelle_Riferimento!$H$31:$I$50,2,FALSE))</f>
        <v>40</v>
      </c>
      <c r="LK10" s="1078">
        <f>+IFERROR(VLOOKUP(LK$6&amp;"-"&amp;$M10&amp;"_old",Ammortamento_Finanziario!$H:$L,5,FALSE),VLOOKUP($M10,TT_Tabelle_Riferimento!$H$31:$I$50,2,FALSE))</f>
        <v>40</v>
      </c>
      <c r="LL10" s="1078">
        <f>+IFERROR(VLOOKUP(LL$6&amp;"-"&amp;$M10&amp;"_old",Ammortamento_Finanziario!$H:$L,5,FALSE),VLOOKUP($M10,TT_Tabelle_Riferimento!$H$31:$I$50,2,FALSE))</f>
        <v>40</v>
      </c>
      <c r="LM10" s="1078">
        <f>+IFERROR(VLOOKUP(LM$6&amp;"-"&amp;$M10&amp;"_old",Ammortamento_Finanziario!$H:$L,5,FALSE),VLOOKUP($M10,TT_Tabelle_Riferimento!$H$31:$I$50,2,FALSE))</f>
        <v>40</v>
      </c>
      <c r="LN10" s="1078">
        <f>+IFERROR(VLOOKUP(LN$6&amp;"-"&amp;$M10&amp;"_old",Ammortamento_Finanziario!$H:$L,5,FALSE),VLOOKUP($M10,TT_Tabelle_Riferimento!$H$31:$I$50,2,FALSE))</f>
        <v>40</v>
      </c>
      <c r="LO10" s="1078">
        <f>+IFERROR(VLOOKUP(LO$6&amp;"-"&amp;$M10&amp;"_old",Ammortamento_Finanziario!$H:$L,5,FALSE),VLOOKUP($M10,TT_Tabelle_Riferimento!$H$31:$I$50,2,FALSE))</f>
        <v>40</v>
      </c>
      <c r="LP10" s="1078">
        <f>+IFERROR(VLOOKUP(LP$6&amp;"-"&amp;$M10&amp;"_old",Ammortamento_Finanziario!$H:$L,5,FALSE),VLOOKUP($M10,TT_Tabelle_Riferimento!$H$31:$I$50,2,FALSE))</f>
        <v>40</v>
      </c>
      <c r="LQ10" s="1078">
        <f>+IFERROR(VLOOKUP(LQ$6&amp;"-"&amp;$M10&amp;"_old",Ammortamento_Finanziario!$H:$L,5,FALSE),VLOOKUP($M10,TT_Tabelle_Riferimento!$H$31:$I$50,2,FALSE))</f>
        <v>40</v>
      </c>
      <c r="LR10" s="1748">
        <f>+IFERROR(VLOOKUP(LR$6&amp;"-"&amp;$M10&amp;"_old",Ammortamento_Finanziario!$H:$L,5,FALSE),VLOOKUP($M10,TT_Tabelle_Riferimento!$H$31:$I$50,2,FALSE))</f>
        <v>40</v>
      </c>
      <c r="LS10" s="1755">
        <f>+IFERROR(VLOOKUP(LS$6&amp;"-"&amp;$M10&amp;"_old",Ammortamento_Finanziario!$H:$L,5,FALSE),VLOOKUP($M10,TT_Tabelle_Riferimento!$H$31:$I$50,2,FALSE))</f>
        <v>40</v>
      </c>
      <c r="LT10" s="1755">
        <f>+IFERROR(VLOOKUP(LT$6&amp;"-"&amp;$M10&amp;"_old",Ammortamento_Finanziario!$H:$L,5,FALSE),VLOOKUP($M10,TT_Tabelle_Riferimento!$H$31:$I$50,2,FALSE))</f>
        <v>40</v>
      </c>
      <c r="LU10" s="1755">
        <f>+IFERROR(VLOOKUP(LU$6&amp;"-"&amp;$M10&amp;"_old",Ammortamento_Finanziario!$H:$L,5,FALSE),VLOOKUP($M10,TT_Tabelle_Riferimento!$H$31:$I$50,2,FALSE))</f>
        <v>40</v>
      </c>
      <c r="LV10" s="1755">
        <f>+IFERROR(VLOOKUP(LV$6&amp;"-"&amp;$M10&amp;"_old",Ammortamento_Finanziario!$H:$L,5,FALSE),VLOOKUP($M10,TT_Tabelle_Riferimento!$H$31:$I$50,2,FALSE))</f>
        <v>40</v>
      </c>
      <c r="LW10" s="1755">
        <f>+IFERROR(VLOOKUP(LW$6&amp;"-"&amp;$M10&amp;"_old",Ammortamento_Finanziario!$H:$L,5,FALSE),VLOOKUP($M10,TT_Tabelle_Riferimento!$H$31:$I$50,2,FALSE))</f>
        <v>40</v>
      </c>
      <c r="LX10" s="1755">
        <f>+IFERROR(VLOOKUP(LX$6&amp;"-"&amp;$M10&amp;"_old",Ammortamento_Finanziario!$H:$L,5,FALSE),VLOOKUP($M10,TT_Tabelle_Riferimento!$H$31:$I$50,2,FALSE))</f>
        <v>40</v>
      </c>
      <c r="LY10" s="1078">
        <f>+IFERROR(VLOOKUP(LY$6&amp;"-"&amp;$M10&amp;"_old",Ammortamento_Finanziario!$H:$L,5,FALSE),VLOOKUP($M10,TT_Tabelle_Riferimento!$H$31:$I$50,2,FALSE))</f>
        <v>40</v>
      </c>
      <c r="LZ10" s="1078">
        <f>+IFERROR(VLOOKUP(LZ$6&amp;"-"&amp;$M10&amp;"_old",Ammortamento_Finanziario!$H:$L,5,FALSE),VLOOKUP($M10,TT_Tabelle_Riferimento!$H$31:$I$50,2,FALSE))</f>
        <v>40</v>
      </c>
      <c r="MA10" s="1078">
        <f>+IFERROR(VLOOKUP(MA$6&amp;"-"&amp;$M10&amp;"_old",Ammortamento_Finanziario!$H:$L,5,FALSE),VLOOKUP($M10,TT_Tabelle_Riferimento!$H$31:$I$50,2,FALSE))</f>
        <v>40</v>
      </c>
      <c r="MB10" s="1078">
        <f>+IFERROR(VLOOKUP(MB$6&amp;"-"&amp;$M10&amp;"_old",Ammortamento_Finanziario!$H:$L,5,FALSE),VLOOKUP($M10,TT_Tabelle_Riferimento!$H$31:$I$50,2,FALSE))</f>
        <v>40</v>
      </c>
      <c r="MC10" s="1078">
        <f>+IFERROR(VLOOKUP(MC$6&amp;"-"&amp;$M10&amp;"_old",Ammortamento_Finanziario!$H:$L,5,FALSE),VLOOKUP($M10,TT_Tabelle_Riferimento!$H$31:$I$50,2,FALSE))</f>
        <v>40</v>
      </c>
      <c r="MD10" s="1078">
        <f>+IFERROR(VLOOKUP(MD$6&amp;"-"&amp;$M10&amp;"_old",Ammortamento_Finanziario!$H:$L,5,FALSE),VLOOKUP($M10,TT_Tabelle_Riferimento!$H$31:$I$50,2,FALSE))</f>
        <v>40</v>
      </c>
      <c r="ME10" s="1078">
        <f>+IFERROR(VLOOKUP(ME$6&amp;"-"&amp;$M10&amp;"_old",Ammortamento_Finanziario!$H:$L,5,FALSE),VLOOKUP($M10,TT_Tabelle_Riferimento!$H$31:$I$50,2,FALSE))</f>
        <v>40</v>
      </c>
      <c r="MF10" s="1078">
        <f>+IFERROR(VLOOKUP(MF$6&amp;"-"&amp;$M10&amp;"_old",Ammortamento_Finanziario!$H:$L,5,FALSE),VLOOKUP($M10,TT_Tabelle_Riferimento!$H$31:$I$50,2,FALSE))</f>
        <v>40</v>
      </c>
      <c r="MG10" s="1078">
        <f>+IFERROR(VLOOKUP(MG$6&amp;"-"&amp;$M10&amp;"_old",Ammortamento_Finanziario!$H:$L,5,FALSE),VLOOKUP($M10,TT_Tabelle_Riferimento!$H$31:$I$50,2,FALSE))</f>
        <v>40</v>
      </c>
      <c r="MH10" s="1078">
        <f>+IFERROR(VLOOKUP(MH$6&amp;"-"&amp;$M10&amp;"_old",Ammortamento_Finanziario!$H:$L,5,FALSE),VLOOKUP($M10,TT_Tabelle_Riferimento!$H$31:$I$50,2,FALSE))</f>
        <v>40</v>
      </c>
      <c r="MI10" s="1078">
        <f>+IFERROR(VLOOKUP(MI$6&amp;"-"&amp;$M10&amp;"_old",Ammortamento_Finanziario!$H:$L,5,FALSE),VLOOKUP($M10,TT_Tabelle_Riferimento!$H$31:$I$50,2,FALSE))</f>
        <v>40</v>
      </c>
      <c r="MJ10" s="1078">
        <f>+IFERROR(VLOOKUP(MJ$6&amp;"-"&amp;$M10&amp;"_old",Ammortamento_Finanziario!$H:$L,5,FALSE),VLOOKUP($M10,TT_Tabelle_Riferimento!$H$31:$I$50,2,FALSE))</f>
        <v>40</v>
      </c>
      <c r="MK10" s="1078">
        <f>+IFERROR(VLOOKUP(MK$6&amp;"-"&amp;$M10&amp;"_old",Ammortamento_Finanziario!$H:$L,5,FALSE),VLOOKUP($M10,TT_Tabelle_Riferimento!$H$31:$I$50,2,FALSE))</f>
        <v>40</v>
      </c>
      <c r="ML10" s="1078">
        <f>+IFERROR(VLOOKUP(ML$6&amp;"-"&amp;$M10&amp;"_old",Ammortamento_Finanziario!$H:$L,5,FALSE),VLOOKUP($M10,TT_Tabelle_Riferimento!$H$31:$I$50,2,FALSE))</f>
        <v>40</v>
      </c>
      <c r="MM10" s="1078">
        <f>+IFERROR(VLOOKUP(MM$6&amp;"-"&amp;$M10&amp;"_old",Ammortamento_Finanziario!$H:$L,5,FALSE),VLOOKUP($M10,TT_Tabelle_Riferimento!$H$31:$I$50,2,FALSE))</f>
        <v>40</v>
      </c>
      <c r="MN10" s="1078">
        <f>+IFERROR(VLOOKUP(MN$6&amp;"-"&amp;$M10&amp;"_old",Ammortamento_Finanziario!$H:$L,5,FALSE),VLOOKUP($M10,TT_Tabelle_Riferimento!$H$31:$I$50,2,FALSE))</f>
        <v>40</v>
      </c>
      <c r="MO10" s="1078">
        <f>+IFERROR(VLOOKUP(MO$6&amp;"-"&amp;$M10&amp;"_old",Ammortamento_Finanziario!$H:$L,5,FALSE),VLOOKUP($M10,TT_Tabelle_Riferimento!$H$31:$I$50,2,FALSE))</f>
        <v>40</v>
      </c>
      <c r="MP10" s="1078">
        <f>+IFERROR(VLOOKUP(MP$6&amp;"-"&amp;$M10&amp;"_old",Ammortamento_Finanziario!$H:$L,5,FALSE),VLOOKUP($M10,TT_Tabelle_Riferimento!$H$31:$I$50,2,FALSE))</f>
        <v>40</v>
      </c>
      <c r="MQ10" s="1078">
        <f>+IFERROR(VLOOKUP(MQ$6&amp;"-"&amp;$M10&amp;"_old",Ammortamento_Finanziario!$H:$L,5,FALSE),VLOOKUP($M10,TT_Tabelle_Riferimento!$H$31:$I$50,2,FALSE))</f>
        <v>40</v>
      </c>
      <c r="MR10" s="1755">
        <f>+IFERROR(VLOOKUP(MR$6&amp;"-"&amp;$M10&amp;"_old",Ammortamento_Finanziario!$H:$L,5,FALSE),VLOOKUP($M10,TT_Tabelle_Riferimento!$H$31:$I$50,2,FALSE))</f>
        <v>40</v>
      </c>
      <c r="MS10" s="1755">
        <f>+IFERROR(VLOOKUP(MS$6&amp;"-"&amp;$M10&amp;"_old",Ammortamento_Finanziario!$H:$L,5,FALSE),VLOOKUP($M10,TT_Tabelle_Riferimento!$H$31:$I$50,2,FALSE))</f>
        <v>40</v>
      </c>
      <c r="MT10" s="1755">
        <f>+IFERROR(VLOOKUP(MT$6&amp;"-"&amp;$M10&amp;"_old",Ammortamento_Finanziario!$H:$L,5,FALSE),VLOOKUP($M10,TT_Tabelle_Riferimento!$H$31:$I$50,2,FALSE))</f>
        <v>40</v>
      </c>
      <c r="MU10" s="1755">
        <f>+IFERROR(VLOOKUP(MU$6&amp;"-"&amp;$M10&amp;"_old",Ammortamento_Finanziario!$H:$L,5,FALSE),VLOOKUP($M10,TT_Tabelle_Riferimento!$H$31:$I$50,2,FALSE))</f>
        <v>40</v>
      </c>
      <c r="MV10" s="1755">
        <f>+IFERROR(VLOOKUP(MV$6&amp;"-"&amp;$M10&amp;"_old",Ammortamento_Finanziario!$H:$L,5,FALSE),VLOOKUP($M10,TT_Tabelle_Riferimento!$H$31:$I$50,2,FALSE))</f>
        <v>40</v>
      </c>
      <c r="MW10" s="1755">
        <f>+IFERROR(VLOOKUP(MW$6&amp;"-"&amp;$M10&amp;"_old",Ammortamento_Finanziario!$H:$L,5,FALSE),VLOOKUP($M10,TT_Tabelle_Riferimento!$H$31:$I$50,2,FALSE))</f>
        <v>40</v>
      </c>
      <c r="MX10" s="1078">
        <f>+IFERROR(VLOOKUP(MX$6&amp;"-"&amp;$M10&amp;"_old",Ammortamento_Finanziario!$H:$L,5,FALSE),VLOOKUP($M10,TT_Tabelle_Riferimento!$H$31:$I$50,2,FALSE))</f>
        <v>40</v>
      </c>
      <c r="MY10" s="1078">
        <f>+IFERROR(VLOOKUP(MY$6&amp;"-"&amp;$M10&amp;"_old",Ammortamento_Finanziario!$H:$L,5,FALSE),VLOOKUP($M10,TT_Tabelle_Riferimento!$H$31:$I$50,2,FALSE))</f>
        <v>40</v>
      </c>
      <c r="MZ10" s="1078">
        <f>+IFERROR(VLOOKUP(MZ$6&amp;"-"&amp;$M10&amp;"_old",Ammortamento_Finanziario!$H:$L,5,FALSE),VLOOKUP($M10,TT_Tabelle_Riferimento!$H$31:$I$50,2,FALSE))</f>
        <v>40</v>
      </c>
      <c r="NA10" s="1078">
        <f>+IFERROR(VLOOKUP(NA$6&amp;"-"&amp;$M10&amp;"_old",Ammortamento_Finanziario!$H:$L,5,FALSE),VLOOKUP($M10,TT_Tabelle_Riferimento!$H$31:$I$50,2,FALSE))</f>
        <v>40</v>
      </c>
      <c r="NB10" s="1078">
        <f>+IFERROR(VLOOKUP(NB$6&amp;"-"&amp;$M10&amp;"_old",Ammortamento_Finanziario!$H:$L,5,FALSE),VLOOKUP($M10,TT_Tabelle_Riferimento!$H$31:$I$50,2,FALSE))</f>
        <v>40</v>
      </c>
      <c r="NC10" s="1078">
        <f>+IFERROR(VLOOKUP(NC$6&amp;"-"&amp;$M10&amp;"_old",Ammortamento_Finanziario!$H:$L,5,FALSE),VLOOKUP($M10,TT_Tabelle_Riferimento!$H$31:$I$50,2,FALSE))</f>
        <v>40</v>
      </c>
      <c r="ND10" s="1078">
        <f>+IFERROR(VLOOKUP(ND$6&amp;"-"&amp;$M10&amp;"_old",Ammortamento_Finanziario!$H:$L,5,FALSE),VLOOKUP($M10,TT_Tabelle_Riferimento!$H$31:$I$50,2,FALSE))</f>
        <v>40</v>
      </c>
      <c r="NE10" s="1078">
        <f>+IFERROR(VLOOKUP(NE$6&amp;"-"&amp;$M10&amp;"_old",Ammortamento_Finanziario!$H:$L,5,FALSE),VLOOKUP($M10,TT_Tabelle_Riferimento!$H$31:$I$50,2,FALSE))</f>
        <v>40</v>
      </c>
      <c r="NF10" s="1078">
        <f>+IFERROR(VLOOKUP(NF$6&amp;"-"&amp;$M10&amp;"_old",Ammortamento_Finanziario!$H:$L,5,FALSE),VLOOKUP($M10,TT_Tabelle_Riferimento!$H$31:$I$50,2,FALSE))</f>
        <v>40</v>
      </c>
      <c r="NG10" s="1078">
        <f>+IFERROR(VLOOKUP(NG$6&amp;"-"&amp;$M10&amp;"_old",Ammortamento_Finanziario!$H:$L,5,FALSE),VLOOKUP($M10,TT_Tabelle_Riferimento!$H$31:$I$50,2,FALSE))</f>
        <v>40</v>
      </c>
      <c r="NH10" s="1078">
        <f>+IFERROR(VLOOKUP(NH$6&amp;"-"&amp;$M10&amp;"_old",Ammortamento_Finanziario!$H:$L,5,FALSE),VLOOKUP($M10,TT_Tabelle_Riferimento!$H$31:$I$50,2,FALSE))</f>
        <v>40</v>
      </c>
      <c r="NI10" s="1078">
        <f>+IFERROR(VLOOKUP(NI$6&amp;"-"&amp;$M10&amp;"_old",Ammortamento_Finanziario!$H:$L,5,FALSE),VLOOKUP($M10,TT_Tabelle_Riferimento!$H$31:$I$50,2,FALSE))</f>
        <v>40</v>
      </c>
      <c r="NJ10" s="1078">
        <f>+IFERROR(VLOOKUP(NJ$6&amp;"-"&amp;$M10&amp;"_old",Ammortamento_Finanziario!$H:$L,5,FALSE),VLOOKUP($M10,TT_Tabelle_Riferimento!$H$31:$I$50,2,FALSE))</f>
        <v>40</v>
      </c>
      <c r="NK10" s="1078">
        <f>+IFERROR(VLOOKUP(NK$6&amp;"-"&amp;$M10&amp;"_old",Ammortamento_Finanziario!$H:$L,5,FALSE),VLOOKUP($M10,TT_Tabelle_Riferimento!$H$31:$I$50,2,FALSE))</f>
        <v>40</v>
      </c>
      <c r="NL10" s="1078">
        <f>+IFERROR(VLOOKUP(NL$6&amp;"-"&amp;$M10&amp;"_old",Ammortamento_Finanziario!$H:$L,5,FALSE),VLOOKUP($M10,TT_Tabelle_Riferimento!$H$31:$I$50,2,FALSE))</f>
        <v>40</v>
      </c>
      <c r="NM10" s="1078">
        <f>+IFERROR(VLOOKUP(NM$6&amp;"-"&amp;$M10&amp;"_old",Ammortamento_Finanziario!$H:$L,5,FALSE),VLOOKUP($M10,TT_Tabelle_Riferimento!$H$31:$I$50,2,FALSE))</f>
        <v>40</v>
      </c>
      <c r="NN10" s="1078">
        <f>+IFERROR(VLOOKUP(NN$6&amp;"-"&amp;$M10&amp;"_old",Ammortamento_Finanziario!$H:$L,5,FALSE),VLOOKUP($M10,TT_Tabelle_Riferimento!$H$31:$I$50,2,FALSE))</f>
        <v>40</v>
      </c>
      <c r="NO10" s="1078">
        <f>+IFERROR(VLOOKUP(NO$6&amp;"-"&amp;$M10&amp;"_old",Ammortamento_Finanziario!$H:$L,5,FALSE),VLOOKUP($M10,TT_Tabelle_Riferimento!$H$31:$I$50,2,FALSE))</f>
        <v>40</v>
      </c>
      <c r="NP10" s="1078">
        <f>+IFERROR(VLOOKUP(NP$6&amp;"-"&amp;$M10&amp;"_old",Ammortamento_Finanziario!$H:$L,5,FALSE),VLOOKUP($M10,TT_Tabelle_Riferimento!$H$31:$I$50,2,FALSE))</f>
        <v>40</v>
      </c>
      <c r="NQ10" s="1755">
        <f>+IFERROR(VLOOKUP(NQ$6&amp;"-"&amp;$M10&amp;"_old",Ammortamento_Finanziario!$H:$L,5,FALSE),VLOOKUP($M10,TT_Tabelle_Riferimento!$H$31:$I$50,2,FALSE))</f>
        <v>40</v>
      </c>
      <c r="NR10" s="1755">
        <f>+IFERROR(VLOOKUP(NR$6&amp;"-"&amp;$M10&amp;"_old",Ammortamento_Finanziario!$H:$L,5,FALSE),VLOOKUP($M10,TT_Tabelle_Riferimento!$H$31:$I$50,2,FALSE))</f>
        <v>40</v>
      </c>
      <c r="NS10" s="1755">
        <f>+IFERROR(VLOOKUP(NS$6&amp;"-"&amp;$M10&amp;"_old",Ammortamento_Finanziario!$H:$L,5,FALSE),VLOOKUP($M10,TT_Tabelle_Riferimento!$H$31:$I$50,2,FALSE))</f>
        <v>40</v>
      </c>
      <c r="NT10" s="1755">
        <f>+IFERROR(VLOOKUP(NT$6&amp;"-"&amp;$M10&amp;"_old",Ammortamento_Finanziario!$H:$L,5,FALSE),VLOOKUP($M10,TT_Tabelle_Riferimento!$H$31:$I$50,2,FALSE))</f>
        <v>40</v>
      </c>
      <c r="NU10" s="1755">
        <f>+IFERROR(VLOOKUP(NU$6&amp;"-"&amp;$M10&amp;"_old",Ammortamento_Finanziario!$H:$L,5,FALSE),VLOOKUP($M10,TT_Tabelle_Riferimento!$H$31:$I$50,2,FALSE))</f>
        <v>40</v>
      </c>
      <c r="NV10" s="1078">
        <f>+IFERROR(VLOOKUP(NV$6&amp;"-"&amp;$M10&amp;"_old",Ammortamento_Finanziario!$H:$L,5,FALSE),VLOOKUP($M10,TT_Tabelle_Riferimento!$H$31:$I$50,2,FALSE))</f>
        <v>40</v>
      </c>
      <c r="NW10" s="1078">
        <f>+IFERROR(VLOOKUP(NW$6&amp;"-"&amp;$M10&amp;"_old",Ammortamento_Finanziario!$H:$L,5,FALSE),VLOOKUP($M10,TT_Tabelle_Riferimento!$H$31:$I$50,2,FALSE))</f>
        <v>40</v>
      </c>
      <c r="NX10" s="1078">
        <f>+IFERROR(VLOOKUP(NX$6&amp;"-"&amp;$M10&amp;"_old",Ammortamento_Finanziario!$H:$L,5,FALSE),VLOOKUP($M10,TT_Tabelle_Riferimento!$H$31:$I$50,2,FALSE))</f>
        <v>40</v>
      </c>
      <c r="NY10" s="1078">
        <f>+IFERROR(VLOOKUP(NY$6&amp;"-"&amp;$M10&amp;"_old",Ammortamento_Finanziario!$H:$L,5,FALSE),VLOOKUP($M10,TT_Tabelle_Riferimento!$H$31:$I$50,2,FALSE))</f>
        <v>40</v>
      </c>
      <c r="NZ10" s="1078">
        <f>+IFERROR(VLOOKUP(NZ$6&amp;"-"&amp;$M10&amp;"_old",Ammortamento_Finanziario!$H:$L,5,FALSE),VLOOKUP($M10,TT_Tabelle_Riferimento!$H$31:$I$50,2,FALSE))</f>
        <v>40</v>
      </c>
      <c r="OA10" s="1078">
        <f>+IFERROR(VLOOKUP(OA$6&amp;"-"&amp;$M10&amp;"_old",Ammortamento_Finanziario!$H:$L,5,FALSE),VLOOKUP($M10,TT_Tabelle_Riferimento!$H$31:$I$50,2,FALSE))</f>
        <v>40</v>
      </c>
      <c r="OB10" s="1078">
        <f>+IFERROR(VLOOKUP(OB$6&amp;"-"&amp;$M10&amp;"_old",Ammortamento_Finanziario!$H:$L,5,FALSE),VLOOKUP($M10,TT_Tabelle_Riferimento!$H$31:$I$50,2,FALSE))</f>
        <v>40</v>
      </c>
      <c r="OC10" s="1078">
        <f>+IFERROR(VLOOKUP(OC$6&amp;"-"&amp;$M10&amp;"_old",Ammortamento_Finanziario!$H:$L,5,FALSE),VLOOKUP($M10,TT_Tabelle_Riferimento!$H$31:$I$50,2,FALSE))</f>
        <v>40</v>
      </c>
      <c r="OD10" s="1078">
        <f>+IFERROR(VLOOKUP(OD$6&amp;"-"&amp;$M10&amp;"_old",Ammortamento_Finanziario!$H:$L,5,FALSE),VLOOKUP($M10,TT_Tabelle_Riferimento!$H$31:$I$50,2,FALSE))</f>
        <v>40</v>
      </c>
      <c r="OE10" s="1078">
        <f>+IFERROR(VLOOKUP(OE$6&amp;"-"&amp;$M10&amp;"_old",Ammortamento_Finanziario!$H:$L,5,FALSE),VLOOKUP($M10,TT_Tabelle_Riferimento!$H$31:$I$50,2,FALSE))</f>
        <v>40</v>
      </c>
      <c r="OF10" s="1078">
        <f>+IFERROR(VLOOKUP(OF$6&amp;"-"&amp;$M10&amp;"_old",Ammortamento_Finanziario!$H:$L,5,FALSE),VLOOKUP($M10,TT_Tabelle_Riferimento!$H$31:$I$50,2,FALSE))</f>
        <v>40</v>
      </c>
      <c r="OG10" s="1078">
        <f>+IFERROR(VLOOKUP(OG$6&amp;"-"&amp;$M10&amp;"_old",Ammortamento_Finanziario!$H:$L,5,FALSE),VLOOKUP($M10,TT_Tabelle_Riferimento!$H$31:$I$50,2,FALSE))</f>
        <v>40</v>
      </c>
      <c r="OH10" s="1078">
        <f>+IFERROR(VLOOKUP(OH$6&amp;"-"&amp;$M10&amp;"_old",Ammortamento_Finanziario!$H:$L,5,FALSE),VLOOKUP($M10,TT_Tabelle_Riferimento!$H$31:$I$50,2,FALSE))</f>
        <v>40</v>
      </c>
      <c r="OI10" s="1078">
        <f>+IFERROR(VLOOKUP(OI$6&amp;"-"&amp;$M10&amp;"_old",Ammortamento_Finanziario!$H:$L,5,FALSE),VLOOKUP($M10,TT_Tabelle_Riferimento!$H$31:$I$50,2,FALSE))</f>
        <v>40</v>
      </c>
      <c r="OJ10" s="1078">
        <f>+IFERROR(VLOOKUP(OJ$6&amp;"-"&amp;$M10&amp;"_old",Ammortamento_Finanziario!$H:$L,5,FALSE),VLOOKUP($M10,TT_Tabelle_Riferimento!$H$31:$I$50,2,FALSE))</f>
        <v>40</v>
      </c>
      <c r="OK10" s="1078">
        <f>+IFERROR(VLOOKUP(OK$6&amp;"-"&amp;$M10&amp;"_old",Ammortamento_Finanziario!$H:$L,5,FALSE),VLOOKUP($M10,TT_Tabelle_Riferimento!$H$31:$I$50,2,FALSE))</f>
        <v>40</v>
      </c>
      <c r="OL10" s="1078">
        <f>+IFERROR(VLOOKUP(OL$6&amp;"-"&amp;$M10&amp;"_old",Ammortamento_Finanziario!$H:$L,5,FALSE),VLOOKUP($M10,TT_Tabelle_Riferimento!$H$31:$I$50,2,FALSE))</f>
        <v>40</v>
      </c>
      <c r="OM10" s="1078">
        <f>+IFERROR(VLOOKUP(OM$6&amp;"-"&amp;$M10&amp;"_old",Ammortamento_Finanziario!$H:$L,5,FALSE),VLOOKUP($M10,TT_Tabelle_Riferimento!$H$31:$I$50,2,FALSE))</f>
        <v>40</v>
      </c>
      <c r="ON10" s="1078">
        <f>+IFERROR(VLOOKUP(ON$6&amp;"-"&amp;$M10&amp;"_old",Ammortamento_Finanziario!$H:$L,5,FALSE),VLOOKUP($M10,TT_Tabelle_Riferimento!$H$31:$I$50,2,FALSE))</f>
        <v>40</v>
      </c>
      <c r="OO10" s="1755">
        <f>+IFERROR(VLOOKUP(OO$6&amp;"-"&amp;$M10&amp;"_old",Ammortamento_Finanziario!$H:$L,5,FALSE),VLOOKUP($M10,TT_Tabelle_Riferimento!$H$31:$I$50,2,FALSE))</f>
        <v>40</v>
      </c>
      <c r="OP10" s="1755">
        <f>+IFERROR(VLOOKUP(OP$6&amp;"-"&amp;$M10&amp;"_old",Ammortamento_Finanziario!$H:$L,5,FALSE),VLOOKUP($M10,TT_Tabelle_Riferimento!$H$31:$I$50,2,FALSE))</f>
        <v>40</v>
      </c>
      <c r="OQ10" s="1755">
        <f>+IFERROR(VLOOKUP(OQ$6&amp;"-"&amp;$M10&amp;"_old",Ammortamento_Finanziario!$H:$L,5,FALSE),VLOOKUP($M10,TT_Tabelle_Riferimento!$H$31:$I$50,2,FALSE))</f>
        <v>40</v>
      </c>
      <c r="OR10" s="1755">
        <f>+IFERROR(VLOOKUP(OR$6&amp;"-"&amp;$M10&amp;"_old",Ammortamento_Finanziario!$H:$L,5,FALSE),VLOOKUP($M10,TT_Tabelle_Riferimento!$H$31:$I$50,2,FALSE))</f>
        <v>40</v>
      </c>
      <c r="OS10" s="1078">
        <f>+IFERROR(VLOOKUP(OS$6&amp;"-"&amp;$M10&amp;"_old",Ammortamento_Finanziario!$H:$L,5,FALSE),VLOOKUP($M10,TT_Tabelle_Riferimento!$H$31:$I$50,2,FALSE))</f>
        <v>40</v>
      </c>
      <c r="OT10" s="1078">
        <f>+IFERROR(VLOOKUP(OT$6&amp;"-"&amp;$M10&amp;"_old",Ammortamento_Finanziario!$H:$L,5,FALSE),VLOOKUP($M10,TT_Tabelle_Riferimento!$H$31:$I$50,2,FALSE))</f>
        <v>40</v>
      </c>
      <c r="OU10" s="1078">
        <f>+IFERROR(VLOOKUP(OU$6&amp;"-"&amp;$M10&amp;"_old",Ammortamento_Finanziario!$H:$L,5,FALSE),VLOOKUP($M10,TT_Tabelle_Riferimento!$H$31:$I$50,2,FALSE))</f>
        <v>40</v>
      </c>
      <c r="OV10" s="1078">
        <f>+IFERROR(VLOOKUP(OV$6&amp;"-"&amp;$M10&amp;"_old",Ammortamento_Finanziario!$H:$L,5,FALSE),VLOOKUP($M10,TT_Tabelle_Riferimento!$H$31:$I$50,2,FALSE))</f>
        <v>40</v>
      </c>
      <c r="OW10" s="1078">
        <f>+IFERROR(VLOOKUP(OW$6&amp;"-"&amp;$M10&amp;"_old",Ammortamento_Finanziario!$H:$L,5,FALSE),VLOOKUP($M10,TT_Tabelle_Riferimento!$H$31:$I$50,2,FALSE))</f>
        <v>40</v>
      </c>
      <c r="OX10" s="1078">
        <f>+IFERROR(VLOOKUP(OX$6&amp;"-"&amp;$M10&amp;"_old",Ammortamento_Finanziario!$H:$L,5,FALSE),VLOOKUP($M10,TT_Tabelle_Riferimento!$H$31:$I$50,2,FALSE))</f>
        <v>40</v>
      </c>
      <c r="OY10" s="1078">
        <f>+IFERROR(VLOOKUP(OY$6&amp;"-"&amp;$M10&amp;"_old",Ammortamento_Finanziario!$H:$L,5,FALSE),VLOOKUP($M10,TT_Tabelle_Riferimento!$H$31:$I$50,2,FALSE))</f>
        <v>40</v>
      </c>
      <c r="OZ10" s="1078">
        <f>+IFERROR(VLOOKUP(OZ$6&amp;"-"&amp;$M10&amp;"_old",Ammortamento_Finanziario!$H:$L,5,FALSE),VLOOKUP($M10,TT_Tabelle_Riferimento!$H$31:$I$50,2,FALSE))</f>
        <v>40</v>
      </c>
      <c r="PA10" s="1078">
        <f>+IFERROR(VLOOKUP(PA$6&amp;"-"&amp;$M10&amp;"_old",Ammortamento_Finanziario!$H:$L,5,FALSE),VLOOKUP($M10,TT_Tabelle_Riferimento!$H$31:$I$50,2,FALSE))</f>
        <v>40</v>
      </c>
      <c r="PB10" s="1078">
        <f>+IFERROR(VLOOKUP(PB$6&amp;"-"&amp;$M10&amp;"_old",Ammortamento_Finanziario!$H:$L,5,FALSE),VLOOKUP($M10,TT_Tabelle_Riferimento!$H$31:$I$50,2,FALSE))</f>
        <v>40</v>
      </c>
      <c r="PC10" s="1078">
        <f>+IFERROR(VLOOKUP(PC$6&amp;"-"&amp;$M10&amp;"_old",Ammortamento_Finanziario!$H:$L,5,FALSE),VLOOKUP($M10,TT_Tabelle_Riferimento!$H$31:$I$50,2,FALSE))</f>
        <v>40</v>
      </c>
      <c r="PD10" s="1078">
        <f>+IFERROR(VLOOKUP(PD$6&amp;"-"&amp;$M10&amp;"_old",Ammortamento_Finanziario!$H:$L,5,FALSE),VLOOKUP($M10,TT_Tabelle_Riferimento!$H$31:$I$50,2,FALSE))</f>
        <v>40</v>
      </c>
      <c r="PE10" s="1078">
        <f>+IFERROR(VLOOKUP(PE$6&amp;"-"&amp;$M10&amp;"_old",Ammortamento_Finanziario!$H:$L,5,FALSE),VLOOKUP($M10,TT_Tabelle_Riferimento!$H$31:$I$50,2,FALSE))</f>
        <v>40</v>
      </c>
      <c r="PF10" s="1078">
        <f>+IFERROR(VLOOKUP(PF$6&amp;"-"&amp;$M10&amp;"_old",Ammortamento_Finanziario!$H:$L,5,FALSE),VLOOKUP($M10,TT_Tabelle_Riferimento!$H$31:$I$50,2,FALSE))</f>
        <v>40</v>
      </c>
      <c r="PG10" s="1078">
        <f>+IFERROR(VLOOKUP(PG$6&amp;"-"&amp;$M10&amp;"_old",Ammortamento_Finanziario!$H:$L,5,FALSE),VLOOKUP($M10,TT_Tabelle_Riferimento!$H$31:$I$50,2,FALSE))</f>
        <v>40</v>
      </c>
      <c r="PH10" s="1078">
        <f>+IFERROR(VLOOKUP(PH$6&amp;"-"&amp;$M10&amp;"_old",Ammortamento_Finanziario!$H:$L,5,FALSE),VLOOKUP($M10,TT_Tabelle_Riferimento!$H$31:$I$50,2,FALSE))</f>
        <v>40</v>
      </c>
      <c r="PI10" s="1078">
        <f>+IFERROR(VLOOKUP(PI$6&amp;"-"&amp;$M10&amp;"_old",Ammortamento_Finanziario!$H:$L,5,FALSE),VLOOKUP($M10,TT_Tabelle_Riferimento!$H$31:$I$50,2,FALSE))</f>
        <v>40</v>
      </c>
      <c r="PJ10" s="1078">
        <f>+IFERROR(VLOOKUP(PJ$6&amp;"-"&amp;$M10&amp;"_old",Ammortamento_Finanziario!$H:$L,5,FALSE),VLOOKUP($M10,TT_Tabelle_Riferimento!$H$31:$I$50,2,FALSE))</f>
        <v>40</v>
      </c>
      <c r="PK10" s="1078">
        <f>+IFERROR(VLOOKUP(PK$6&amp;"-"&amp;$M10&amp;"_old",Ammortamento_Finanziario!$H:$L,5,FALSE),VLOOKUP($M10,TT_Tabelle_Riferimento!$H$31:$I$50,2,FALSE))</f>
        <v>40</v>
      </c>
      <c r="PL10" s="1755">
        <f>+IFERROR(VLOOKUP(PL$6&amp;"-"&amp;$M10&amp;"_old",Ammortamento_Finanziario!$H:$L,5,FALSE),VLOOKUP($M10,TT_Tabelle_Riferimento!$H$31:$I$50,2,FALSE))</f>
        <v>40</v>
      </c>
      <c r="PM10" s="1755">
        <f>+IFERROR(VLOOKUP(PM$6&amp;"-"&amp;$M10&amp;"_old",Ammortamento_Finanziario!$H:$L,5,FALSE),VLOOKUP($M10,TT_Tabelle_Riferimento!$H$31:$I$50,2,FALSE))</f>
        <v>40</v>
      </c>
      <c r="PN10" s="1755">
        <f>+IFERROR(VLOOKUP(PN$6&amp;"-"&amp;$M10&amp;"_old",Ammortamento_Finanziario!$H:$L,5,FALSE),VLOOKUP($M10,TT_Tabelle_Riferimento!$H$31:$I$50,2,FALSE))</f>
        <v>40</v>
      </c>
      <c r="PO10" s="1078">
        <f>+IFERROR(VLOOKUP(PO$6&amp;"-"&amp;$M10&amp;"_old",Ammortamento_Finanziario!$H:$L,5,FALSE),VLOOKUP($M10,TT_Tabelle_Riferimento!$H$31:$I$50,2,FALSE))</f>
        <v>40</v>
      </c>
      <c r="PP10" s="1078">
        <f>+IFERROR(VLOOKUP(PP$6&amp;"-"&amp;$M10&amp;"_old",Ammortamento_Finanziario!$H:$L,5,FALSE),VLOOKUP($M10,TT_Tabelle_Riferimento!$H$31:$I$50,2,FALSE))</f>
        <v>40</v>
      </c>
      <c r="PQ10" s="1078">
        <f>+IFERROR(VLOOKUP(PQ$6&amp;"-"&amp;$M10&amp;"_old",Ammortamento_Finanziario!$H:$L,5,FALSE),VLOOKUP($M10,TT_Tabelle_Riferimento!$H$31:$I$50,2,FALSE))</f>
        <v>40</v>
      </c>
      <c r="PR10" s="1078">
        <f>+IFERROR(VLOOKUP(PR$6&amp;"-"&amp;$M10&amp;"_old",Ammortamento_Finanziario!$H:$L,5,FALSE),VLOOKUP($M10,TT_Tabelle_Riferimento!$H$31:$I$50,2,FALSE))</f>
        <v>40</v>
      </c>
      <c r="PS10" s="1078">
        <f>+IFERROR(VLOOKUP(PS$6&amp;"-"&amp;$M10&amp;"_old",Ammortamento_Finanziario!$H:$L,5,FALSE),VLOOKUP($M10,TT_Tabelle_Riferimento!$H$31:$I$50,2,FALSE))</f>
        <v>40</v>
      </c>
      <c r="PT10" s="1078">
        <f>+IFERROR(VLOOKUP(PT$6&amp;"-"&amp;$M10&amp;"_old",Ammortamento_Finanziario!$H:$L,5,FALSE),VLOOKUP($M10,TT_Tabelle_Riferimento!$H$31:$I$50,2,FALSE))</f>
        <v>40</v>
      </c>
      <c r="PU10" s="1078">
        <f>+IFERROR(VLOOKUP(PU$6&amp;"-"&amp;$M10&amp;"_old",Ammortamento_Finanziario!$H:$L,5,FALSE),VLOOKUP($M10,TT_Tabelle_Riferimento!$H$31:$I$50,2,FALSE))</f>
        <v>40</v>
      </c>
      <c r="PV10" s="1078">
        <f>+IFERROR(VLOOKUP(PV$6&amp;"-"&amp;$M10&amp;"_old",Ammortamento_Finanziario!$H:$L,5,FALSE),VLOOKUP($M10,TT_Tabelle_Riferimento!$H$31:$I$50,2,FALSE))</f>
        <v>40</v>
      </c>
      <c r="PW10" s="1078">
        <f>+IFERROR(VLOOKUP(PW$6&amp;"-"&amp;$M10&amp;"_old",Ammortamento_Finanziario!$H:$L,5,FALSE),VLOOKUP($M10,TT_Tabelle_Riferimento!$H$31:$I$50,2,FALSE))</f>
        <v>40</v>
      </c>
      <c r="PX10" s="1078">
        <f>+IFERROR(VLOOKUP(PX$6&amp;"-"&amp;$M10&amp;"_old",Ammortamento_Finanziario!$H:$L,5,FALSE),VLOOKUP($M10,TT_Tabelle_Riferimento!$H$31:$I$50,2,FALSE))</f>
        <v>40</v>
      </c>
      <c r="PY10" s="1078">
        <f>+IFERROR(VLOOKUP(PY$6&amp;"-"&amp;$M10&amp;"_old",Ammortamento_Finanziario!$H:$L,5,FALSE),VLOOKUP($M10,TT_Tabelle_Riferimento!$H$31:$I$50,2,FALSE))</f>
        <v>40</v>
      </c>
      <c r="PZ10" s="1078">
        <f>+IFERROR(VLOOKUP(PZ$6&amp;"-"&amp;$M10&amp;"_old",Ammortamento_Finanziario!$H:$L,5,FALSE),VLOOKUP($M10,TT_Tabelle_Riferimento!$H$31:$I$50,2,FALSE))</f>
        <v>40</v>
      </c>
      <c r="QA10" s="1078">
        <f>+IFERROR(VLOOKUP(QA$6&amp;"-"&amp;$M10&amp;"_old",Ammortamento_Finanziario!$H:$L,5,FALSE),VLOOKUP($M10,TT_Tabelle_Riferimento!$H$31:$I$50,2,FALSE))</f>
        <v>40</v>
      </c>
      <c r="QB10" s="1078">
        <f>+IFERROR(VLOOKUP(QB$6&amp;"-"&amp;$M10&amp;"_old",Ammortamento_Finanziario!$H:$L,5,FALSE),VLOOKUP($M10,TT_Tabelle_Riferimento!$H$31:$I$50,2,FALSE))</f>
        <v>40</v>
      </c>
      <c r="QC10" s="1078">
        <f>+IFERROR(VLOOKUP(QC$6&amp;"-"&amp;$M10&amp;"_old",Ammortamento_Finanziario!$H:$L,5,FALSE),VLOOKUP($M10,TT_Tabelle_Riferimento!$H$31:$I$50,2,FALSE))</f>
        <v>40</v>
      </c>
      <c r="QD10" s="1078">
        <f>+IFERROR(VLOOKUP(QD$6&amp;"-"&amp;$M10&amp;"_old",Ammortamento_Finanziario!$H:$L,5,FALSE),VLOOKUP($M10,TT_Tabelle_Riferimento!$H$31:$I$50,2,FALSE))</f>
        <v>40</v>
      </c>
      <c r="QE10" s="1078">
        <f>+IFERROR(VLOOKUP(QE$6&amp;"-"&amp;$M10&amp;"_old",Ammortamento_Finanziario!$H:$L,5,FALSE),VLOOKUP($M10,TT_Tabelle_Riferimento!$H$31:$I$50,2,FALSE))</f>
        <v>40</v>
      </c>
      <c r="QF10" s="1078">
        <f>+IFERROR(VLOOKUP(QF$6&amp;"-"&amp;$M10&amp;"_old",Ammortamento_Finanziario!$H:$L,5,FALSE),VLOOKUP($M10,TT_Tabelle_Riferimento!$H$31:$I$50,2,FALSE))</f>
        <v>40</v>
      </c>
      <c r="QG10" s="1078">
        <f>+IFERROR(VLOOKUP(QG$6&amp;"-"&amp;$M10&amp;"_old",Ammortamento_Finanziario!$H:$L,5,FALSE),VLOOKUP($M10,TT_Tabelle_Riferimento!$H$31:$I$50,2,FALSE))</f>
        <v>40</v>
      </c>
      <c r="QH10" s="1755">
        <f>+IFERROR(VLOOKUP(QH$6&amp;"-"&amp;$M10&amp;"_old",Ammortamento_Finanziario!$H:$L,5,FALSE),VLOOKUP($M10,TT_Tabelle_Riferimento!$H$31:$I$50,2,FALSE))</f>
        <v>40</v>
      </c>
      <c r="QI10" s="1755">
        <f>+IFERROR(VLOOKUP(QI$6&amp;"-"&amp;$M10&amp;"_old",Ammortamento_Finanziario!$H:$L,5,FALSE),VLOOKUP($M10,TT_Tabelle_Riferimento!$H$31:$I$50,2,FALSE))</f>
        <v>40</v>
      </c>
      <c r="QJ10" s="1078">
        <f>+IFERROR(VLOOKUP(QJ$6&amp;"-"&amp;$M10&amp;"_old",Ammortamento_Finanziario!$H:$L,5,FALSE),VLOOKUP($M10,TT_Tabelle_Riferimento!$H$31:$I$50,2,FALSE))</f>
        <v>40</v>
      </c>
      <c r="QK10" s="1078">
        <f>+IFERROR(VLOOKUP(QK$6&amp;"-"&amp;$M10&amp;"_old",Ammortamento_Finanziario!$H:$L,5,FALSE),VLOOKUP($M10,TT_Tabelle_Riferimento!$H$31:$I$50,2,FALSE))</f>
        <v>40</v>
      </c>
      <c r="QL10" s="1078">
        <f>+IFERROR(VLOOKUP(QL$6&amp;"-"&amp;$M10&amp;"_old",Ammortamento_Finanziario!$H:$L,5,FALSE),VLOOKUP($M10,TT_Tabelle_Riferimento!$H$31:$I$50,2,FALSE))</f>
        <v>40</v>
      </c>
      <c r="QM10" s="1078">
        <f>+IFERROR(VLOOKUP(QM$6&amp;"-"&amp;$M10&amp;"_old",Ammortamento_Finanziario!$H:$L,5,FALSE),VLOOKUP($M10,TT_Tabelle_Riferimento!$H$31:$I$50,2,FALSE))</f>
        <v>40</v>
      </c>
      <c r="QN10" s="1078">
        <f>+IFERROR(VLOOKUP(QN$6&amp;"-"&amp;$M10&amp;"_old",Ammortamento_Finanziario!$H:$L,5,FALSE),VLOOKUP($M10,TT_Tabelle_Riferimento!$H$31:$I$50,2,FALSE))</f>
        <v>40</v>
      </c>
      <c r="QO10" s="1078">
        <f>+IFERROR(VLOOKUP(QO$6&amp;"-"&amp;$M10&amp;"_old",Ammortamento_Finanziario!$H:$L,5,FALSE),VLOOKUP($M10,TT_Tabelle_Riferimento!$H$31:$I$50,2,FALSE))</f>
        <v>40</v>
      </c>
      <c r="QP10" s="1078">
        <f>+IFERROR(VLOOKUP(QP$6&amp;"-"&amp;$M10&amp;"_old",Ammortamento_Finanziario!$H:$L,5,FALSE),VLOOKUP($M10,TT_Tabelle_Riferimento!$H$31:$I$50,2,FALSE))</f>
        <v>40</v>
      </c>
      <c r="QQ10" s="1078">
        <f>+IFERROR(VLOOKUP(QQ$6&amp;"-"&amp;$M10&amp;"_old",Ammortamento_Finanziario!$H:$L,5,FALSE),VLOOKUP($M10,TT_Tabelle_Riferimento!$H$31:$I$50,2,FALSE))</f>
        <v>40</v>
      </c>
      <c r="QR10" s="1078">
        <f>+IFERROR(VLOOKUP(QR$6&amp;"-"&amp;$M10&amp;"_old",Ammortamento_Finanziario!$H:$L,5,FALSE),VLOOKUP($M10,TT_Tabelle_Riferimento!$H$31:$I$50,2,FALSE))</f>
        <v>40</v>
      </c>
      <c r="QS10" s="1078">
        <f>+IFERROR(VLOOKUP(QS$6&amp;"-"&amp;$M10&amp;"_old",Ammortamento_Finanziario!$H:$L,5,FALSE),VLOOKUP($M10,TT_Tabelle_Riferimento!$H$31:$I$50,2,FALSE))</f>
        <v>40</v>
      </c>
      <c r="QT10" s="1078">
        <f>+IFERROR(VLOOKUP(QT$6&amp;"-"&amp;$M10&amp;"_old",Ammortamento_Finanziario!$H:$L,5,FALSE),VLOOKUP($M10,TT_Tabelle_Riferimento!$H$31:$I$50,2,FALSE))</f>
        <v>40</v>
      </c>
      <c r="QU10" s="1078">
        <f>+IFERROR(VLOOKUP(QU$6&amp;"-"&amp;$M10&amp;"_old",Ammortamento_Finanziario!$H:$L,5,FALSE),VLOOKUP($M10,TT_Tabelle_Riferimento!$H$31:$I$50,2,FALSE))</f>
        <v>40</v>
      </c>
      <c r="QV10" s="1078">
        <f>+IFERROR(VLOOKUP(QV$6&amp;"-"&amp;$M10&amp;"_old",Ammortamento_Finanziario!$H:$L,5,FALSE),VLOOKUP($M10,TT_Tabelle_Riferimento!$H$31:$I$50,2,FALSE))</f>
        <v>40</v>
      </c>
      <c r="QW10" s="1078">
        <f>+IFERROR(VLOOKUP(QW$6&amp;"-"&amp;$M10&amp;"_old",Ammortamento_Finanziario!$H:$L,5,FALSE),VLOOKUP($M10,TT_Tabelle_Riferimento!$H$31:$I$50,2,FALSE))</f>
        <v>40</v>
      </c>
      <c r="QX10" s="1078">
        <f>+IFERROR(VLOOKUP(QX$6&amp;"-"&amp;$M10&amp;"_old",Ammortamento_Finanziario!$H:$L,5,FALSE),VLOOKUP($M10,TT_Tabelle_Riferimento!$H$31:$I$50,2,FALSE))</f>
        <v>40</v>
      </c>
      <c r="QY10" s="1078">
        <f>+IFERROR(VLOOKUP(QY$6&amp;"-"&amp;$M10&amp;"_old",Ammortamento_Finanziario!$H:$L,5,FALSE),VLOOKUP($M10,TT_Tabelle_Riferimento!$H$31:$I$50,2,FALSE))</f>
        <v>40</v>
      </c>
      <c r="QZ10" s="1078">
        <f>+IFERROR(VLOOKUP(QZ$6&amp;"-"&amp;$M10&amp;"_old",Ammortamento_Finanziario!$H:$L,5,FALSE),VLOOKUP($M10,TT_Tabelle_Riferimento!$H$31:$I$50,2,FALSE))</f>
        <v>40</v>
      </c>
      <c r="RA10" s="1078">
        <f>+IFERROR(VLOOKUP(RA$6&amp;"-"&amp;$M10&amp;"_old",Ammortamento_Finanziario!$H:$L,5,FALSE),VLOOKUP($M10,TT_Tabelle_Riferimento!$H$31:$I$50,2,FALSE))</f>
        <v>40</v>
      </c>
      <c r="RB10" s="1078">
        <f>+IFERROR(VLOOKUP(RB$6&amp;"-"&amp;$M10&amp;"_old",Ammortamento_Finanziario!$H:$L,5,FALSE),VLOOKUP($M10,TT_Tabelle_Riferimento!$H$31:$I$50,2,FALSE))</f>
        <v>40</v>
      </c>
      <c r="RC10" s="1755">
        <f>+IFERROR(VLOOKUP(RC$6&amp;"-"&amp;$M10&amp;"_old",Ammortamento_Finanziario!$H:$L,5,FALSE),VLOOKUP($M10,TT_Tabelle_Riferimento!$H$31:$I$50,2,FALSE))</f>
        <v>40</v>
      </c>
      <c r="RD10" s="1078">
        <f>+IFERROR(VLOOKUP(RD$6&amp;"-"&amp;$M10&amp;"_old",Ammortamento_Finanziario!$H:$L,5,FALSE),VLOOKUP($M10,TT_Tabelle_Riferimento!$H$31:$I$50,2,FALSE))</f>
        <v>40</v>
      </c>
      <c r="RE10" s="1078">
        <f>+IFERROR(VLOOKUP(RE$6&amp;"-"&amp;$M10&amp;"_old",Ammortamento_Finanziario!$H:$L,5,FALSE),VLOOKUP($M10,TT_Tabelle_Riferimento!$H$31:$I$50,2,FALSE))</f>
        <v>40</v>
      </c>
      <c r="RF10" s="1078">
        <f>+IFERROR(VLOOKUP(RF$6&amp;"-"&amp;$M10&amp;"_old",Ammortamento_Finanziario!$H:$L,5,FALSE),VLOOKUP($M10,TT_Tabelle_Riferimento!$H$31:$I$50,2,FALSE))</f>
        <v>40</v>
      </c>
      <c r="RG10" s="1078">
        <f>+IFERROR(VLOOKUP(RG$6&amp;"-"&amp;$M10&amp;"_old",Ammortamento_Finanziario!$H:$L,5,FALSE),VLOOKUP($M10,TT_Tabelle_Riferimento!$H$31:$I$50,2,FALSE))</f>
        <v>40</v>
      </c>
      <c r="RH10" s="1078">
        <f>+IFERROR(VLOOKUP(RH$6&amp;"-"&amp;$M10&amp;"_old",Ammortamento_Finanziario!$H:$L,5,FALSE),VLOOKUP($M10,TT_Tabelle_Riferimento!$H$31:$I$50,2,FALSE))</f>
        <v>40</v>
      </c>
      <c r="RI10" s="1078">
        <f>+IFERROR(VLOOKUP(RI$6&amp;"-"&amp;$M10&amp;"_old",Ammortamento_Finanziario!$H:$L,5,FALSE),VLOOKUP($M10,TT_Tabelle_Riferimento!$H$31:$I$50,2,FALSE))</f>
        <v>40</v>
      </c>
      <c r="RJ10" s="1078">
        <f>+IFERROR(VLOOKUP(RJ$6&amp;"-"&amp;$M10&amp;"_old",Ammortamento_Finanziario!$H:$L,5,FALSE),VLOOKUP($M10,TT_Tabelle_Riferimento!$H$31:$I$50,2,FALSE))</f>
        <v>40</v>
      </c>
      <c r="RK10" s="1078">
        <f>+IFERROR(VLOOKUP(RK$6&amp;"-"&amp;$M10&amp;"_old",Ammortamento_Finanziario!$H:$L,5,FALSE),VLOOKUP($M10,TT_Tabelle_Riferimento!$H$31:$I$50,2,FALSE))</f>
        <v>40</v>
      </c>
      <c r="RL10" s="1078">
        <f>+IFERROR(VLOOKUP(RL$6&amp;"-"&amp;$M10&amp;"_old",Ammortamento_Finanziario!$H:$L,5,FALSE),VLOOKUP($M10,TT_Tabelle_Riferimento!$H$31:$I$50,2,FALSE))</f>
        <v>40</v>
      </c>
      <c r="RM10" s="1078">
        <f>+IFERROR(VLOOKUP(RM$6&amp;"-"&amp;$M10&amp;"_old",Ammortamento_Finanziario!$H:$L,5,FALSE),VLOOKUP($M10,TT_Tabelle_Riferimento!$H$31:$I$50,2,FALSE))</f>
        <v>40</v>
      </c>
      <c r="RN10" s="1078">
        <f>+IFERROR(VLOOKUP(RN$6&amp;"-"&amp;$M10&amp;"_old",Ammortamento_Finanziario!$H:$L,5,FALSE),VLOOKUP($M10,TT_Tabelle_Riferimento!$H$31:$I$50,2,FALSE))</f>
        <v>40</v>
      </c>
      <c r="RO10" s="1078">
        <f>+IFERROR(VLOOKUP(RO$6&amp;"-"&amp;$M10&amp;"_old",Ammortamento_Finanziario!$H:$L,5,FALSE),VLOOKUP($M10,TT_Tabelle_Riferimento!$H$31:$I$50,2,FALSE))</f>
        <v>40</v>
      </c>
      <c r="RP10" s="1078">
        <f>+IFERROR(VLOOKUP(RP$6&amp;"-"&amp;$M10&amp;"_old",Ammortamento_Finanziario!$H:$L,5,FALSE),VLOOKUP($M10,TT_Tabelle_Riferimento!$H$31:$I$50,2,FALSE))</f>
        <v>40</v>
      </c>
      <c r="RQ10" s="1078">
        <f>+IFERROR(VLOOKUP(RQ$6&amp;"-"&amp;$M10&amp;"_old",Ammortamento_Finanziario!$H:$L,5,FALSE),VLOOKUP($M10,TT_Tabelle_Riferimento!$H$31:$I$50,2,FALSE))</f>
        <v>40</v>
      </c>
      <c r="RR10" s="1078">
        <f>+IFERROR(VLOOKUP(RR$6&amp;"-"&amp;$M10&amp;"_old",Ammortamento_Finanziario!$H:$L,5,FALSE),VLOOKUP($M10,TT_Tabelle_Riferimento!$H$31:$I$50,2,FALSE))</f>
        <v>40</v>
      </c>
      <c r="RS10" s="1078">
        <f>+IFERROR(VLOOKUP(RS$6&amp;"-"&amp;$M10&amp;"_old",Ammortamento_Finanziario!$H:$L,5,FALSE),VLOOKUP($M10,TT_Tabelle_Riferimento!$H$31:$I$50,2,FALSE))</f>
        <v>40</v>
      </c>
      <c r="RT10" s="1078">
        <f>+IFERROR(VLOOKUP(RT$6&amp;"-"&amp;$M10&amp;"_old",Ammortamento_Finanziario!$H:$L,5,FALSE),VLOOKUP($M10,TT_Tabelle_Riferimento!$H$31:$I$50,2,FALSE))</f>
        <v>40</v>
      </c>
      <c r="RU10" s="1078">
        <f>+IFERROR(VLOOKUP(RU$6&amp;"-"&amp;$M10&amp;"_old",Ammortamento_Finanziario!$H:$L,5,FALSE),VLOOKUP($M10,TT_Tabelle_Riferimento!$H$31:$I$50,2,FALSE))</f>
        <v>40</v>
      </c>
      <c r="RV10" s="1078">
        <f>+IFERROR(VLOOKUP(RV$6&amp;"-"&amp;$M10&amp;"_old",Ammortamento_Finanziario!$H:$L,5,FALSE),VLOOKUP($M10,TT_Tabelle_Riferimento!$H$31:$I$50,2,FALSE))</f>
        <v>40</v>
      </c>
    </row>
    <row r="11" spans="4:490">
      <c r="D11" s="135" t="s">
        <v>22734</v>
      </c>
      <c r="E11" s="1264">
        <f>+SUM(IMN_gestore!$V:$V)</f>
        <v>0</v>
      </c>
      <c r="F11" s="1264">
        <f>+SUM(IMN_gestore!$AG:$AG)</f>
        <v>0</v>
      </c>
      <c r="G11" s="1264">
        <f>+SUM(IMN_gestore!$AR:$AR)</f>
        <v>0</v>
      </c>
      <c r="H11" s="1264">
        <f>+SUM(IMN_gestore!$BC:$BC)</f>
        <v>0</v>
      </c>
      <c r="I11" s="1264">
        <f>+SUM(IMN_gestore!BN:BN)</f>
        <v>0</v>
      </c>
      <c r="J11" s="1264">
        <f>+SUM(IMN_gestore!$BY:$BY)</f>
        <v>0</v>
      </c>
      <c r="K11" s="136"/>
      <c r="L11" s="125"/>
      <c r="M11" s="420">
        <v>5</v>
      </c>
      <c r="N11" s="904">
        <f>+IFERROR(VLOOKUP(N$6&amp;"-"&amp;$M11&amp;"_old",Ammortamento_Finanziario!$H:$L,5,FALSE),VLOOKUP($M11,TT_Tabelle_Riferimento!$H$31:$I$50,2,FALSE))</f>
        <v>40</v>
      </c>
      <c r="O11" s="904">
        <f>+IFERROR(VLOOKUP(O$6&amp;"-"&amp;$M11&amp;"_old",Ammortamento_Finanziario!$H:$L,5,FALSE),VLOOKUP($M11,TT_Tabelle_Riferimento!$H$31:$I$50,2,FALSE))</f>
        <v>40</v>
      </c>
      <c r="P11" s="904">
        <f>+IFERROR(VLOOKUP(P$6&amp;"-"&amp;$M11&amp;"_old",Ammortamento_Finanziario!$H:$L,5,FALSE),VLOOKUP($M11,TT_Tabelle_Riferimento!$H$31:$I$50,2,FALSE))</f>
        <v>40</v>
      </c>
      <c r="Q11" s="904">
        <f>+IFERROR(VLOOKUP(Q$6&amp;"-"&amp;$M11&amp;"_old",Ammortamento_Finanziario!$H:$L,5,FALSE),VLOOKUP($M11,TT_Tabelle_Riferimento!$H$31:$I$50,2,FALSE))</f>
        <v>40</v>
      </c>
      <c r="R11" s="904">
        <f>+IFERROR(VLOOKUP(R$6&amp;"-"&amp;$M11&amp;"_old",Ammortamento_Finanziario!$H:$L,5,FALSE),VLOOKUP($M11,TT_Tabelle_Riferimento!$H$31:$I$50,2,FALSE))</f>
        <v>40</v>
      </c>
      <c r="S11" s="904">
        <f>+IFERROR(VLOOKUP(S$6&amp;"-"&amp;$M11&amp;"_old",Ammortamento_Finanziario!$H:$L,5,FALSE),VLOOKUP($M11,TT_Tabelle_Riferimento!$H$31:$I$50,2,FALSE))</f>
        <v>40</v>
      </c>
      <c r="T11" s="904">
        <f>+IFERROR(VLOOKUP(T$6&amp;"-"&amp;$M11&amp;"_old",Ammortamento_Finanziario!$H:$L,5,FALSE),VLOOKUP($M11,TT_Tabelle_Riferimento!$H$31:$I$50,2,FALSE))</f>
        <v>40</v>
      </c>
      <c r="U11" s="904">
        <f>+IFERROR(VLOOKUP(U$6&amp;"-"&amp;$M11&amp;"_old",Ammortamento_Finanziario!$H:$L,5,FALSE),VLOOKUP($M11,TT_Tabelle_Riferimento!$H$31:$I$50,2,FALSE))</f>
        <v>40</v>
      </c>
      <c r="V11" s="904">
        <f>+IFERROR(VLOOKUP(V$6&amp;"-"&amp;$M11&amp;"_old",Ammortamento_Finanziario!$H:$L,5,FALSE),VLOOKUP($M11,TT_Tabelle_Riferimento!$H$31:$I$50,2,FALSE))</f>
        <v>40</v>
      </c>
      <c r="W11" s="904">
        <f>+IFERROR(VLOOKUP(W$6&amp;"-"&amp;$M11&amp;"_old",Ammortamento_Finanziario!$H:$L,5,FALSE),VLOOKUP($M11,TT_Tabelle_Riferimento!$H$31:$I$50,2,FALSE))</f>
        <v>40</v>
      </c>
      <c r="X11" s="1739">
        <f>+IFERROR(VLOOKUP(X$6&amp;"-"&amp;$M11&amp;"_old",Ammortamento_Finanziario!$H:$L,5,FALSE),VLOOKUP($M11,TT_Tabelle_Riferimento!$H$31:$I$50,2,FALSE))</f>
        <v>40</v>
      </c>
      <c r="Y11" s="1739">
        <f>+IFERROR(VLOOKUP(Y$6&amp;"-"&amp;$M11&amp;"_old",Ammortamento_Finanziario!$H:$L,5,FALSE),VLOOKUP($M11,TT_Tabelle_Riferimento!$H$31:$I$50,2,FALSE))</f>
        <v>40</v>
      </c>
      <c r="Z11" s="1749">
        <f>+IFERROR(VLOOKUP(Z$6&amp;"-"&amp;$M11&amp;"_old",Ammortamento_Finanziario!$H:$L,5,FALSE),VLOOKUP($M11,TT_Tabelle_Riferimento!$H$31:$I$50,2,FALSE))</f>
        <v>40</v>
      </c>
      <c r="AA11" s="1749">
        <f>+IFERROR(VLOOKUP(AA$6&amp;"-"&amp;$M11&amp;"_old",Ammortamento_Finanziario!$H:$L,5,FALSE),VLOOKUP($M11,TT_Tabelle_Riferimento!$H$31:$I$50,2,FALSE))</f>
        <v>40</v>
      </c>
      <c r="AB11" s="1749">
        <f>+IFERROR(VLOOKUP(AB$6&amp;"-"&amp;$M11&amp;"_old",Ammortamento_Finanziario!$H:$L,5,FALSE),VLOOKUP($M11,TT_Tabelle_Riferimento!$H$31:$I$50,2,FALSE))</f>
        <v>40</v>
      </c>
      <c r="AC11" s="1749">
        <f>+IFERROR(VLOOKUP(AC$6&amp;"-"&amp;$M11&amp;"_old",Ammortamento_Finanziario!$H:$L,5,FALSE),VLOOKUP($M11,TT_Tabelle_Riferimento!$H$31:$I$50,2,FALSE))</f>
        <v>40</v>
      </c>
      <c r="AD11" s="1749">
        <f>+IFERROR(VLOOKUP(AD$6&amp;"-"&amp;$M11&amp;"_old",Ammortamento_Finanziario!$H:$L,5,FALSE),VLOOKUP($M11,TT_Tabelle_Riferimento!$H$31:$I$50,2,FALSE))</f>
        <v>40</v>
      </c>
      <c r="AE11" s="1749">
        <f>+IFERROR(VLOOKUP(AE$6&amp;"-"&amp;$M11&amp;"_old",Ammortamento_Finanziario!$H:$L,5,FALSE),VLOOKUP($M11,TT_Tabelle_Riferimento!$H$31:$I$50,2,FALSE))</f>
        <v>40</v>
      </c>
      <c r="AF11" s="625">
        <f>+IFERROR(VLOOKUP(AF$6&amp;"-"&amp;$M11&amp;"_old",Ammortamento_Finanziario!$H:$L,5,FALSE),VLOOKUP($M11,TT_Tabelle_Riferimento!$H$31:$I$50,2,FALSE))</f>
        <v>40</v>
      </c>
      <c r="AG11" s="625">
        <f>+IFERROR(VLOOKUP(AG$6&amp;"-"&amp;$M11&amp;"_old",Ammortamento_Finanziario!$H:$L,5,FALSE),VLOOKUP($M11,TT_Tabelle_Riferimento!$H$31:$I$50,2,FALSE))</f>
        <v>40</v>
      </c>
      <c r="AH11" s="625">
        <f>+IFERROR(VLOOKUP(AH$6&amp;"-"&amp;$M11&amp;"_old",Ammortamento_Finanziario!$H:$L,5,FALSE),VLOOKUP($M11,TT_Tabelle_Riferimento!$H$31:$I$50,2,FALSE))</f>
        <v>40</v>
      </c>
      <c r="AI11" s="625">
        <f>+IFERROR(VLOOKUP(AI$6&amp;"-"&amp;$M11&amp;"_old",Ammortamento_Finanziario!$H:$L,5,FALSE),VLOOKUP($M11,TT_Tabelle_Riferimento!$H$31:$I$50,2,FALSE))</f>
        <v>40</v>
      </c>
      <c r="AJ11" s="625">
        <f>+IFERROR(VLOOKUP(AJ$6&amp;"-"&amp;$M11&amp;"_old",Ammortamento_Finanziario!$H:$L,5,FALSE),VLOOKUP($M11,TT_Tabelle_Riferimento!$H$31:$I$50,2,FALSE))</f>
        <v>40</v>
      </c>
      <c r="AK11" s="625">
        <f>+IFERROR(VLOOKUP(AK$6&amp;"-"&amp;$M11&amp;"_old",Ammortamento_Finanziario!$H:$L,5,FALSE),VLOOKUP($M11,TT_Tabelle_Riferimento!$H$31:$I$50,2,FALSE))</f>
        <v>40</v>
      </c>
      <c r="AL11" s="625">
        <f>+IFERROR(VLOOKUP(AL$6&amp;"-"&amp;$M11&amp;"_old",Ammortamento_Finanziario!$H:$L,5,FALSE),VLOOKUP($M11,TT_Tabelle_Riferimento!$H$31:$I$50,2,FALSE))</f>
        <v>40</v>
      </c>
      <c r="AM11" s="625">
        <f>+IFERROR(VLOOKUP(AM$6&amp;"-"&amp;$M11&amp;"_old",Ammortamento_Finanziario!$H:$L,5,FALSE),VLOOKUP($M11,TT_Tabelle_Riferimento!$H$31:$I$50,2,FALSE))</f>
        <v>40</v>
      </c>
      <c r="AN11" s="625">
        <f>+IFERROR(VLOOKUP(AN$6&amp;"-"&amp;$M11&amp;"_old",Ammortamento_Finanziario!$H:$L,5,FALSE),VLOOKUP($M11,TT_Tabelle_Riferimento!$H$31:$I$50,2,FALSE))</f>
        <v>40</v>
      </c>
      <c r="AO11" s="625">
        <f>+IFERROR(VLOOKUP(AO$6&amp;"-"&amp;$M11&amp;"_old",Ammortamento_Finanziario!$H:$L,5,FALSE),VLOOKUP($M11,TT_Tabelle_Riferimento!$H$31:$I$50,2,FALSE))</f>
        <v>40</v>
      </c>
      <c r="AP11" s="625">
        <f>+IFERROR(VLOOKUP(AP$6&amp;"-"&amp;$M11&amp;"_old",Ammortamento_Finanziario!$H:$L,5,FALSE),VLOOKUP($M11,TT_Tabelle_Riferimento!$H$31:$I$50,2,FALSE))</f>
        <v>40</v>
      </c>
      <c r="AQ11" s="625">
        <f>+IFERROR(VLOOKUP(AQ$6&amp;"-"&amp;$M11&amp;"_old",Ammortamento_Finanziario!$H:$L,5,FALSE),VLOOKUP($M11,TT_Tabelle_Riferimento!$H$31:$I$50,2,FALSE))</f>
        <v>40</v>
      </c>
      <c r="AR11" s="625">
        <f>+IFERROR(VLOOKUP(AR$6&amp;"-"&amp;$M11&amp;"_old",Ammortamento_Finanziario!$H:$L,5,FALSE),VLOOKUP($M11,TT_Tabelle_Riferimento!$H$31:$I$50,2,FALSE))</f>
        <v>40</v>
      </c>
      <c r="AS11" s="625">
        <f>+IFERROR(VLOOKUP(AS$6&amp;"-"&amp;$M11&amp;"_old",Ammortamento_Finanziario!$H:$L,5,FALSE),VLOOKUP($M11,TT_Tabelle_Riferimento!$H$31:$I$50,2,FALSE))</f>
        <v>40</v>
      </c>
      <c r="AT11" s="625">
        <f>+IFERROR(VLOOKUP(AT$6&amp;"-"&amp;$M11&amp;"_old",Ammortamento_Finanziario!$H:$L,5,FALSE),VLOOKUP($M11,TT_Tabelle_Riferimento!$H$31:$I$50,2,FALSE))</f>
        <v>40</v>
      </c>
      <c r="AU11" s="625">
        <f>+IFERROR(VLOOKUP(AU$6&amp;"-"&amp;$M11&amp;"_old",Ammortamento_Finanziario!$H:$L,5,FALSE),VLOOKUP($M11,TT_Tabelle_Riferimento!$H$31:$I$50,2,FALSE))</f>
        <v>40</v>
      </c>
      <c r="AV11" s="625">
        <f>+IFERROR(VLOOKUP(AV$6&amp;"-"&amp;$M11&amp;"_old",Ammortamento_Finanziario!$H:$L,5,FALSE),VLOOKUP($M11,TT_Tabelle_Riferimento!$H$31:$I$50,2,FALSE))</f>
        <v>40</v>
      </c>
      <c r="AW11" s="625">
        <f>+IFERROR(VLOOKUP(AW$6&amp;"-"&amp;$M11&amp;"_old",Ammortamento_Finanziario!$H:$L,5,FALSE),VLOOKUP($M11,TT_Tabelle_Riferimento!$H$31:$I$50,2,FALSE))</f>
        <v>40</v>
      </c>
      <c r="AX11" s="625">
        <f>+IFERROR(VLOOKUP(AX$6&amp;"-"&amp;$M11&amp;"_old",Ammortamento_Finanziario!$H:$L,5,FALSE),VLOOKUP($M11,TT_Tabelle_Riferimento!$H$31:$I$50,2,FALSE))</f>
        <v>40</v>
      </c>
      <c r="AY11" s="905">
        <f>+IFERROR(VLOOKUP(AY$6&amp;"-"&amp;$M11&amp;"_old",Ammortamento_Finanziario!$H:$L,5,FALSE),VLOOKUP($M11,TT_Tabelle_Riferimento!$H$31:$I$50,2,FALSE))</f>
        <v>40</v>
      </c>
      <c r="AZ11" s="905">
        <f>+IFERROR(VLOOKUP(AZ$6&amp;"-"&amp;$M11&amp;"_old",Ammortamento_Finanziario!$H:$L,5,FALSE),VLOOKUP($M11,TT_Tabelle_Riferimento!$H$31:$I$50,2,FALSE))</f>
        <v>40</v>
      </c>
      <c r="BA11" s="905">
        <f>+IFERROR(VLOOKUP(BA$6&amp;"-"&amp;$M11&amp;"_old",Ammortamento_Finanziario!$H:$L,5,FALSE),VLOOKUP($M11,TT_Tabelle_Riferimento!$H$31:$I$50,2,FALSE))</f>
        <v>40</v>
      </c>
      <c r="BB11" s="905">
        <f>+IFERROR(VLOOKUP(BB$6&amp;"-"&amp;$M11&amp;"_old",Ammortamento_Finanziario!$H:$L,5,FALSE),VLOOKUP($M11,TT_Tabelle_Riferimento!$H$31:$I$50,2,FALSE))</f>
        <v>40</v>
      </c>
      <c r="BC11" s="905">
        <f>+IFERROR(VLOOKUP(BC$6&amp;"-"&amp;$M11&amp;"_old",Ammortamento_Finanziario!$H:$L,5,FALSE),VLOOKUP($M11,TT_Tabelle_Riferimento!$H$31:$I$50,2,FALSE))</f>
        <v>40</v>
      </c>
      <c r="BD11" s="905">
        <f>+IFERROR(VLOOKUP(BD$6&amp;"-"&amp;$M11&amp;"_old",Ammortamento_Finanziario!$H:$L,5,FALSE),VLOOKUP($M11,TT_Tabelle_Riferimento!$H$31:$I$50,2,FALSE))</f>
        <v>40</v>
      </c>
      <c r="BE11" s="905">
        <f>+IFERROR(VLOOKUP(BE$6&amp;"-"&amp;$M11&amp;"_old",Ammortamento_Finanziario!$H:$L,5,FALSE),VLOOKUP($M11,TT_Tabelle_Riferimento!$H$31:$I$50,2,FALSE))</f>
        <v>40</v>
      </c>
      <c r="BF11" s="905">
        <f>+IFERROR(VLOOKUP(BF$6&amp;"-"&amp;$M11&amp;"_old",Ammortamento_Finanziario!$H:$L,5,FALSE),VLOOKUP($M11,TT_Tabelle_Riferimento!$H$31:$I$50,2,FALSE))</f>
        <v>40</v>
      </c>
      <c r="BG11" s="1740">
        <f>+IFERROR(VLOOKUP(BG$6&amp;"-"&amp;$M11&amp;"_old",Ammortamento_Finanziario!$H:$L,5,FALSE),VLOOKUP($M11,TT_Tabelle_Riferimento!$H$31:$I$50,2,FALSE))</f>
        <v>40</v>
      </c>
      <c r="BH11" s="1740">
        <f>+IFERROR(VLOOKUP(BH$6&amp;"-"&amp;$M11&amp;"_old",Ammortamento_Finanziario!$H:$L,5,FALSE),VLOOKUP($M11,TT_Tabelle_Riferimento!$H$31:$I$50,2,FALSE))</f>
        <v>40</v>
      </c>
      <c r="BI11" s="1749">
        <f>+IFERROR(VLOOKUP(BI$6&amp;"-"&amp;$M11&amp;"_old",Ammortamento_Finanziario!$H:$L,5,FALSE),VLOOKUP($M11,TT_Tabelle_Riferimento!$H$31:$I$50,2,FALSE))</f>
        <v>40</v>
      </c>
      <c r="BJ11" s="1749">
        <f>+IFERROR(VLOOKUP(BJ$6&amp;"-"&amp;$M11&amp;"_old",Ammortamento_Finanziario!$H:$L,5,FALSE),VLOOKUP($M11,TT_Tabelle_Riferimento!$H$31:$I$50,2,FALSE))</f>
        <v>40</v>
      </c>
      <c r="BK11" s="1749">
        <f>+IFERROR(VLOOKUP(BK$6&amp;"-"&amp;$M11&amp;"_old",Ammortamento_Finanziario!$H:$L,5,FALSE),VLOOKUP($M11,TT_Tabelle_Riferimento!$H$31:$I$50,2,FALSE))</f>
        <v>40</v>
      </c>
      <c r="BL11" s="1749">
        <f>+IFERROR(VLOOKUP(BL$6&amp;"-"&amp;$M11&amp;"_old",Ammortamento_Finanziario!$H:$L,5,FALSE),VLOOKUP($M11,TT_Tabelle_Riferimento!$H$31:$I$50,2,FALSE))</f>
        <v>40</v>
      </c>
      <c r="BM11" s="1749">
        <f>+IFERROR(VLOOKUP(BM$6&amp;"-"&amp;$M11&amp;"_old",Ammortamento_Finanziario!$H:$L,5,FALSE),VLOOKUP($M11,TT_Tabelle_Riferimento!$H$31:$I$50,2,FALSE))</f>
        <v>40</v>
      </c>
      <c r="BN11" s="1749">
        <f>+IFERROR(VLOOKUP(BN$6&amp;"-"&amp;$M11&amp;"_old",Ammortamento_Finanziario!$H:$L,5,FALSE),VLOOKUP($M11,TT_Tabelle_Riferimento!$H$31:$I$50,2,FALSE))</f>
        <v>40</v>
      </c>
      <c r="BO11" s="625">
        <f>+IFERROR(VLOOKUP(BO$6&amp;"-"&amp;$M11&amp;"_old",Ammortamento_Finanziario!$H:$L,5,FALSE),VLOOKUP($M11,TT_Tabelle_Riferimento!$H$31:$I$50,2,FALSE))</f>
        <v>40</v>
      </c>
      <c r="BP11" s="625">
        <f>+IFERROR(VLOOKUP(BP$6&amp;"-"&amp;$M11&amp;"_old",Ammortamento_Finanziario!$H:$L,5,FALSE),VLOOKUP($M11,TT_Tabelle_Riferimento!$H$31:$I$50,2,FALSE))</f>
        <v>40</v>
      </c>
      <c r="BQ11" s="625">
        <f>+IFERROR(VLOOKUP(BQ$6&amp;"-"&amp;$M11&amp;"_old",Ammortamento_Finanziario!$H:$L,5,FALSE),VLOOKUP($M11,TT_Tabelle_Riferimento!$H$31:$I$50,2,FALSE))</f>
        <v>40</v>
      </c>
      <c r="BR11" s="625">
        <f>+IFERROR(VLOOKUP(BR$6&amp;"-"&amp;$M11&amp;"_old",Ammortamento_Finanziario!$H:$L,5,FALSE),VLOOKUP($M11,TT_Tabelle_Riferimento!$H$31:$I$50,2,FALSE))</f>
        <v>40</v>
      </c>
      <c r="BS11" s="625">
        <f>+IFERROR(VLOOKUP(BS$6&amp;"-"&amp;$M11&amp;"_old",Ammortamento_Finanziario!$H:$L,5,FALSE),VLOOKUP($M11,TT_Tabelle_Riferimento!$H$31:$I$50,2,FALSE))</f>
        <v>40</v>
      </c>
      <c r="BT11" s="625">
        <f>+IFERROR(VLOOKUP(BT$6&amp;"-"&amp;$M11&amp;"_old",Ammortamento_Finanziario!$H:$L,5,FALSE),VLOOKUP($M11,TT_Tabelle_Riferimento!$H$31:$I$50,2,FALSE))</f>
        <v>40</v>
      </c>
      <c r="BU11" s="625">
        <f>+IFERROR(VLOOKUP(BU$6&amp;"-"&amp;$M11&amp;"_old",Ammortamento_Finanziario!$H:$L,5,FALSE),VLOOKUP($M11,TT_Tabelle_Riferimento!$H$31:$I$50,2,FALSE))</f>
        <v>40</v>
      </c>
      <c r="BV11" s="625">
        <f>+IFERROR(VLOOKUP(BV$6&amp;"-"&amp;$M11&amp;"_old",Ammortamento_Finanziario!$H:$L,5,FALSE),VLOOKUP($M11,TT_Tabelle_Riferimento!$H$31:$I$50,2,FALSE))</f>
        <v>40</v>
      </c>
      <c r="BW11" s="625">
        <f>+IFERROR(VLOOKUP(BW$6&amp;"-"&amp;$M11&amp;"_old",Ammortamento_Finanziario!$H:$L,5,FALSE),VLOOKUP($M11,TT_Tabelle_Riferimento!$H$31:$I$50,2,FALSE))</f>
        <v>40</v>
      </c>
      <c r="BX11" s="625">
        <f>+IFERROR(VLOOKUP(BX$6&amp;"-"&amp;$M11&amp;"_old",Ammortamento_Finanziario!$H:$L,5,FALSE),VLOOKUP($M11,TT_Tabelle_Riferimento!$H$31:$I$50,2,FALSE))</f>
        <v>40</v>
      </c>
      <c r="BY11" s="625">
        <f>+IFERROR(VLOOKUP(BY$6&amp;"-"&amp;$M11&amp;"_old",Ammortamento_Finanziario!$H:$L,5,FALSE),VLOOKUP($M11,TT_Tabelle_Riferimento!$H$31:$I$50,2,FALSE))</f>
        <v>40</v>
      </c>
      <c r="BZ11" s="625">
        <f>+IFERROR(VLOOKUP(BZ$6&amp;"-"&amp;$M11&amp;"_old",Ammortamento_Finanziario!$H:$L,5,FALSE),VLOOKUP($M11,TT_Tabelle_Riferimento!$H$31:$I$50,2,FALSE))</f>
        <v>40</v>
      </c>
      <c r="CA11" s="625">
        <f>+IFERROR(VLOOKUP(CA$6&amp;"-"&amp;$M11&amp;"_old",Ammortamento_Finanziario!$H:$L,5,FALSE),VLOOKUP($M11,TT_Tabelle_Riferimento!$H$31:$I$50,2,FALSE))</f>
        <v>40</v>
      </c>
      <c r="CB11" s="625">
        <f>+IFERROR(VLOOKUP(CB$6&amp;"-"&amp;$M11&amp;"_old",Ammortamento_Finanziario!$H:$L,5,FALSE),VLOOKUP($M11,TT_Tabelle_Riferimento!$H$31:$I$50,2,FALSE))</f>
        <v>40</v>
      </c>
      <c r="CC11" s="625">
        <f>+IFERROR(VLOOKUP(CC$6&amp;"-"&amp;$M11&amp;"_old",Ammortamento_Finanziario!$H:$L,5,FALSE),VLOOKUP($M11,TT_Tabelle_Riferimento!$H$31:$I$50,2,FALSE))</f>
        <v>40</v>
      </c>
      <c r="CD11" s="625">
        <f>+IFERROR(VLOOKUP(CD$6&amp;"-"&amp;$M11&amp;"_old",Ammortamento_Finanziario!$H:$L,5,FALSE),VLOOKUP($M11,TT_Tabelle_Riferimento!$H$31:$I$50,2,FALSE))</f>
        <v>40</v>
      </c>
      <c r="CE11" s="625">
        <f>+IFERROR(VLOOKUP(CE$6&amp;"-"&amp;$M11&amp;"_old",Ammortamento_Finanziario!$H:$L,5,FALSE),VLOOKUP($M11,TT_Tabelle_Riferimento!$H$31:$I$50,2,FALSE))</f>
        <v>40</v>
      </c>
      <c r="CF11" s="625">
        <f>+IFERROR(VLOOKUP(CF$6&amp;"-"&amp;$M11&amp;"_old",Ammortamento_Finanziario!$H:$L,5,FALSE),VLOOKUP($M11,TT_Tabelle_Riferimento!$H$31:$I$50,2,FALSE))</f>
        <v>40</v>
      </c>
      <c r="CG11" s="625">
        <f>+IFERROR(VLOOKUP(CG$6&amp;"-"&amp;$M11&amp;"_old",Ammortamento_Finanziario!$H:$L,5,FALSE),VLOOKUP($M11,TT_Tabelle_Riferimento!$H$31:$I$50,2,FALSE))</f>
        <v>40</v>
      </c>
      <c r="CH11" s="905">
        <f>+IFERROR(VLOOKUP(CH$6&amp;"-"&amp;$M11&amp;"_old",Ammortamento_Finanziario!$H:$L,5,FALSE),VLOOKUP($M11,TT_Tabelle_Riferimento!$H$31:$I$50,2,FALSE))</f>
        <v>40</v>
      </c>
      <c r="CI11" s="905">
        <f>+IFERROR(VLOOKUP(CI$6&amp;"-"&amp;$M11&amp;"_old",Ammortamento_Finanziario!$H:$L,5,FALSE),VLOOKUP($M11,TT_Tabelle_Riferimento!$H$31:$I$50,2,FALSE))</f>
        <v>40</v>
      </c>
      <c r="CJ11" s="905">
        <f>+IFERROR(VLOOKUP(CJ$6&amp;"-"&amp;$M11&amp;"_old",Ammortamento_Finanziario!$H:$L,5,FALSE),VLOOKUP($M11,TT_Tabelle_Riferimento!$H$31:$I$50,2,FALSE))</f>
        <v>40</v>
      </c>
      <c r="CK11" s="905">
        <f>+IFERROR(VLOOKUP(CK$6&amp;"-"&amp;$M11&amp;"_old",Ammortamento_Finanziario!$H:$L,5,FALSE),VLOOKUP($M11,TT_Tabelle_Riferimento!$H$31:$I$50,2,FALSE))</f>
        <v>40</v>
      </c>
      <c r="CL11" s="905">
        <f>+IFERROR(VLOOKUP(CL$6&amp;"-"&amp;$M11&amp;"_old",Ammortamento_Finanziario!$H:$L,5,FALSE),VLOOKUP($M11,TT_Tabelle_Riferimento!$H$31:$I$50,2,FALSE))</f>
        <v>40</v>
      </c>
      <c r="CM11" s="905">
        <f>+IFERROR(VLOOKUP(CM$6&amp;"-"&amp;$M11&amp;"_old",Ammortamento_Finanziario!$H:$L,5,FALSE),VLOOKUP($M11,TT_Tabelle_Riferimento!$H$31:$I$50,2,FALSE))</f>
        <v>40</v>
      </c>
      <c r="CN11" s="905">
        <f>+IFERROR(VLOOKUP(CN$6&amp;"-"&amp;$M11&amp;"_old",Ammortamento_Finanziario!$H:$L,5,FALSE),VLOOKUP($M11,TT_Tabelle_Riferimento!$H$31:$I$50,2,FALSE))</f>
        <v>40</v>
      </c>
      <c r="CO11" s="1740">
        <f>+IFERROR(VLOOKUP(CO$6&amp;"-"&amp;$M11&amp;"_old",Ammortamento_Finanziario!$H:$L,5,FALSE),VLOOKUP($M11,TT_Tabelle_Riferimento!$H$31:$I$50,2,FALSE))</f>
        <v>40</v>
      </c>
      <c r="CP11" s="1740">
        <f>+IFERROR(VLOOKUP(CP$6&amp;"-"&amp;$M11&amp;"_old",Ammortamento_Finanziario!$H:$L,5,FALSE),VLOOKUP($M11,TT_Tabelle_Riferimento!$H$31:$I$50,2,FALSE))</f>
        <v>40</v>
      </c>
      <c r="CQ11" s="1749">
        <f>+IFERROR(VLOOKUP(CQ$6&amp;"-"&amp;$M11&amp;"_old",Ammortamento_Finanziario!$H:$L,5,FALSE),VLOOKUP($M11,TT_Tabelle_Riferimento!$H$31:$I$50,2,FALSE))</f>
        <v>40</v>
      </c>
      <c r="CR11" s="1749">
        <f>+IFERROR(VLOOKUP(CR$6&amp;"-"&amp;$M11&amp;"_old",Ammortamento_Finanziario!$H:$L,5,FALSE),VLOOKUP($M11,TT_Tabelle_Riferimento!$H$31:$I$50,2,FALSE))</f>
        <v>40</v>
      </c>
      <c r="CS11" s="1749">
        <f>+IFERROR(VLOOKUP(CS$6&amp;"-"&amp;$M11&amp;"_old",Ammortamento_Finanziario!$H:$L,5,FALSE),VLOOKUP($M11,TT_Tabelle_Riferimento!$H$31:$I$50,2,FALSE))</f>
        <v>40</v>
      </c>
      <c r="CT11" s="1749">
        <f>+IFERROR(VLOOKUP(CT$6&amp;"-"&amp;$M11&amp;"_old",Ammortamento_Finanziario!$H:$L,5,FALSE),VLOOKUP($M11,TT_Tabelle_Riferimento!$H$31:$I$50,2,FALSE))</f>
        <v>40</v>
      </c>
      <c r="CU11" s="1749">
        <f>+IFERROR(VLOOKUP(CU$6&amp;"-"&amp;$M11&amp;"_old",Ammortamento_Finanziario!$H:$L,5,FALSE),VLOOKUP($M11,TT_Tabelle_Riferimento!$H$31:$I$50,2,FALSE))</f>
        <v>40</v>
      </c>
      <c r="CV11" s="1749">
        <f>+IFERROR(VLOOKUP(CV$6&amp;"-"&amp;$M11&amp;"_old",Ammortamento_Finanziario!$H:$L,5,FALSE),VLOOKUP($M11,TT_Tabelle_Riferimento!$H$31:$I$50,2,FALSE))</f>
        <v>40</v>
      </c>
      <c r="CW11" s="625">
        <f>+IFERROR(VLOOKUP(CW$6&amp;"-"&amp;$M11&amp;"_old",Ammortamento_Finanziario!$H:$L,5,FALSE),VLOOKUP($M11,TT_Tabelle_Riferimento!$H$31:$I$50,2,FALSE))</f>
        <v>40</v>
      </c>
      <c r="CX11" s="625">
        <f>+IFERROR(VLOOKUP(CX$6&amp;"-"&amp;$M11&amp;"_old",Ammortamento_Finanziario!$H:$L,5,FALSE),VLOOKUP($M11,TT_Tabelle_Riferimento!$H$31:$I$50,2,FALSE))</f>
        <v>40</v>
      </c>
      <c r="CY11" s="625">
        <f>+IFERROR(VLOOKUP(CY$6&amp;"-"&amp;$M11&amp;"_old",Ammortamento_Finanziario!$H:$L,5,FALSE),VLOOKUP($M11,TT_Tabelle_Riferimento!$H$31:$I$50,2,FALSE))</f>
        <v>40</v>
      </c>
      <c r="CZ11" s="625">
        <f>+IFERROR(VLOOKUP(CZ$6&amp;"-"&amp;$M11&amp;"_old",Ammortamento_Finanziario!$H:$L,5,FALSE),VLOOKUP($M11,TT_Tabelle_Riferimento!$H$31:$I$50,2,FALSE))</f>
        <v>40</v>
      </c>
      <c r="DA11" s="625">
        <f>+IFERROR(VLOOKUP(DA$6&amp;"-"&amp;$M11&amp;"_old",Ammortamento_Finanziario!$H:$L,5,FALSE),VLOOKUP($M11,TT_Tabelle_Riferimento!$H$31:$I$50,2,FALSE))</f>
        <v>40</v>
      </c>
      <c r="DB11" s="625">
        <f>+IFERROR(VLOOKUP(DB$6&amp;"-"&amp;$M11&amp;"_old",Ammortamento_Finanziario!$H:$L,5,FALSE),VLOOKUP($M11,TT_Tabelle_Riferimento!$H$31:$I$50,2,FALSE))</f>
        <v>40</v>
      </c>
      <c r="DC11" s="625">
        <f>+IFERROR(VLOOKUP(DC$6&amp;"-"&amp;$M11&amp;"_old",Ammortamento_Finanziario!$H:$L,5,FALSE),VLOOKUP($M11,TT_Tabelle_Riferimento!$H$31:$I$50,2,FALSE))</f>
        <v>40</v>
      </c>
      <c r="DD11" s="625">
        <f>+IFERROR(VLOOKUP(DD$6&amp;"-"&amp;$M11&amp;"_old",Ammortamento_Finanziario!$H:$L,5,FALSE),VLOOKUP($M11,TT_Tabelle_Riferimento!$H$31:$I$50,2,FALSE))</f>
        <v>40</v>
      </c>
      <c r="DE11" s="625">
        <f>+IFERROR(VLOOKUP(DE$6&amp;"-"&amp;$M11&amp;"_old",Ammortamento_Finanziario!$H:$L,5,FALSE),VLOOKUP($M11,TT_Tabelle_Riferimento!$H$31:$I$50,2,FALSE))</f>
        <v>40</v>
      </c>
      <c r="DF11" s="625">
        <f>+IFERROR(VLOOKUP(DF$6&amp;"-"&amp;$M11&amp;"_old",Ammortamento_Finanziario!$H:$L,5,FALSE),VLOOKUP($M11,TT_Tabelle_Riferimento!$H$31:$I$50,2,FALSE))</f>
        <v>40</v>
      </c>
      <c r="DG11" s="625">
        <f>+IFERROR(VLOOKUP(DG$6&amp;"-"&amp;$M11&amp;"_old",Ammortamento_Finanziario!$H:$L,5,FALSE),VLOOKUP($M11,TT_Tabelle_Riferimento!$H$31:$I$50,2,FALSE))</f>
        <v>40</v>
      </c>
      <c r="DH11" s="625">
        <f>+IFERROR(VLOOKUP(DH$6&amp;"-"&amp;$M11&amp;"_old",Ammortamento_Finanziario!$H:$L,5,FALSE),VLOOKUP($M11,TT_Tabelle_Riferimento!$H$31:$I$50,2,FALSE))</f>
        <v>40</v>
      </c>
      <c r="DI11" s="625">
        <f>+IFERROR(VLOOKUP(DI$6&amp;"-"&amp;$M11&amp;"_old",Ammortamento_Finanziario!$H:$L,5,FALSE),VLOOKUP($M11,TT_Tabelle_Riferimento!$H$31:$I$50,2,FALSE))</f>
        <v>40</v>
      </c>
      <c r="DJ11" s="625">
        <f>+IFERROR(VLOOKUP(DJ$6&amp;"-"&amp;$M11&amp;"_old",Ammortamento_Finanziario!$H:$L,5,FALSE),VLOOKUP($M11,TT_Tabelle_Riferimento!$H$31:$I$50,2,FALSE))</f>
        <v>40</v>
      </c>
      <c r="DK11" s="625">
        <f>+IFERROR(VLOOKUP(DK$6&amp;"-"&amp;$M11&amp;"_old",Ammortamento_Finanziario!$H:$L,5,FALSE),VLOOKUP($M11,TT_Tabelle_Riferimento!$H$31:$I$50,2,FALSE))</f>
        <v>40</v>
      </c>
      <c r="DL11" s="625">
        <f>+IFERROR(VLOOKUP(DL$6&amp;"-"&amp;$M11&amp;"_old",Ammortamento_Finanziario!$H:$L,5,FALSE),VLOOKUP($M11,TT_Tabelle_Riferimento!$H$31:$I$50,2,FALSE))</f>
        <v>40</v>
      </c>
      <c r="DM11" s="625">
        <f>+IFERROR(VLOOKUP(DM$6&amp;"-"&amp;$M11&amp;"_old",Ammortamento_Finanziario!$H:$L,5,FALSE),VLOOKUP($M11,TT_Tabelle_Riferimento!$H$31:$I$50,2,FALSE))</f>
        <v>40</v>
      </c>
      <c r="DN11" s="625">
        <f>+IFERROR(VLOOKUP(DN$6&amp;"-"&amp;$M11&amp;"_old",Ammortamento_Finanziario!$H:$L,5,FALSE),VLOOKUP($M11,TT_Tabelle_Riferimento!$H$31:$I$50,2,FALSE))</f>
        <v>40</v>
      </c>
      <c r="DO11" s="625">
        <f>+IFERROR(VLOOKUP(DO$6&amp;"-"&amp;$M11&amp;"_old",Ammortamento_Finanziario!$H:$L,5,FALSE),VLOOKUP($M11,TT_Tabelle_Riferimento!$H$31:$I$50,2,FALSE))</f>
        <v>40</v>
      </c>
      <c r="DP11" s="636">
        <f>+IFERROR(VLOOKUP(DP$6&amp;"-"&amp;$M11&amp;"_old",Ammortamento_Finanziario!$H:$L,5,FALSE),VLOOKUP($M11,TT_Tabelle_Riferimento!$H$31:$I$50,2,FALSE))</f>
        <v>40</v>
      </c>
      <c r="DQ11" s="636">
        <f>+IFERROR(VLOOKUP(DQ$6&amp;"-"&amp;$M11&amp;"_old",Ammortamento_Finanziario!$H:$L,5,FALSE),VLOOKUP($M11,TT_Tabelle_Riferimento!$H$31:$I$50,2,FALSE))</f>
        <v>40</v>
      </c>
      <c r="DR11" s="636">
        <f>+IFERROR(VLOOKUP(DR$6&amp;"-"&amp;$M11&amp;"_old",Ammortamento_Finanziario!$H:$L,5,FALSE),VLOOKUP($M11,TT_Tabelle_Riferimento!$H$31:$I$50,2,FALSE))</f>
        <v>40</v>
      </c>
      <c r="DS11" s="636">
        <f>+IFERROR(VLOOKUP(DS$6&amp;"-"&amp;$M11&amp;"_old",Ammortamento_Finanziario!$H:$L,5,FALSE),VLOOKUP($M11,TT_Tabelle_Riferimento!$H$31:$I$50,2,FALSE))</f>
        <v>40</v>
      </c>
      <c r="DT11" s="636">
        <f>+IFERROR(VLOOKUP(DT$6&amp;"-"&amp;$M11&amp;"_old",Ammortamento_Finanziario!$H:$L,5,FALSE),VLOOKUP($M11,TT_Tabelle_Riferimento!$H$31:$I$50,2,FALSE))</f>
        <v>40</v>
      </c>
      <c r="DU11" s="636">
        <f>+IFERROR(VLOOKUP(DU$6&amp;"-"&amp;$M11&amp;"_old",Ammortamento_Finanziario!$H:$L,5,FALSE),VLOOKUP($M11,TT_Tabelle_Riferimento!$H$31:$I$50,2,FALSE))</f>
        <v>40</v>
      </c>
      <c r="DV11" s="1742">
        <f>+IFERROR(VLOOKUP(DV$6&amp;"-"&amp;$M11&amp;"_old",Ammortamento_Finanziario!$H:$L,5,FALSE),VLOOKUP($M11,TT_Tabelle_Riferimento!$H$31:$I$50,2,FALSE))</f>
        <v>40</v>
      </c>
      <c r="DW11" s="1742">
        <f>+IFERROR(VLOOKUP(DW$6&amp;"-"&amp;$M11&amp;"_old",Ammortamento_Finanziario!$H:$L,5,FALSE),VLOOKUP($M11,TT_Tabelle_Riferimento!$H$31:$I$50,2,FALSE))</f>
        <v>40</v>
      </c>
      <c r="DX11" s="1750">
        <f>+IFERROR(VLOOKUP(DX$6&amp;"-"&amp;$M11&amp;"_old",Ammortamento_Finanziario!$H:$L,5,FALSE),VLOOKUP($M11,TT_Tabelle_Riferimento!$H$31:$I$50,2,FALSE))</f>
        <v>40</v>
      </c>
      <c r="DY11" s="1750">
        <f>+IFERROR(VLOOKUP(DY$6&amp;"-"&amp;$M11&amp;"_old",Ammortamento_Finanziario!$H:$L,5,FALSE),VLOOKUP($M11,TT_Tabelle_Riferimento!$H$31:$I$50,2,FALSE))</f>
        <v>40</v>
      </c>
      <c r="DZ11" s="1750">
        <f>+IFERROR(VLOOKUP(DZ$6&amp;"-"&amp;$M11&amp;"_old",Ammortamento_Finanziario!$H:$L,5,FALSE),VLOOKUP($M11,TT_Tabelle_Riferimento!$H$31:$I$50,2,FALSE))</f>
        <v>40</v>
      </c>
      <c r="EA11" s="1750">
        <f>+IFERROR(VLOOKUP(EA$6&amp;"-"&amp;$M11&amp;"_old",Ammortamento_Finanziario!$H:$L,5,FALSE),VLOOKUP($M11,TT_Tabelle_Riferimento!$H$31:$I$50,2,FALSE))</f>
        <v>40</v>
      </c>
      <c r="EB11" s="1750">
        <f>+IFERROR(VLOOKUP(EB$6&amp;"-"&amp;$M11&amp;"_old",Ammortamento_Finanziario!$H:$L,5,FALSE),VLOOKUP($M11,TT_Tabelle_Riferimento!$H$31:$I$50,2,FALSE))</f>
        <v>40</v>
      </c>
      <c r="EC11" s="1750">
        <f>+IFERROR(VLOOKUP(EC$6&amp;"-"&amp;$M11&amp;"_old",Ammortamento_Finanziario!$H:$L,5,FALSE),VLOOKUP($M11,TT_Tabelle_Riferimento!$H$31:$I$50,2,FALSE))</f>
        <v>40</v>
      </c>
      <c r="ED11" s="636">
        <f>+IFERROR(VLOOKUP(ED$6&amp;"-"&amp;$M11&amp;"_old",Ammortamento_Finanziario!$H:$L,5,FALSE),VLOOKUP($M11,TT_Tabelle_Riferimento!$H$31:$I$50,2,FALSE))</f>
        <v>40</v>
      </c>
      <c r="EE11" s="636">
        <f>+IFERROR(VLOOKUP(EE$6&amp;"-"&amp;$M11&amp;"_old",Ammortamento_Finanziario!$H:$L,5,FALSE),VLOOKUP($M11,TT_Tabelle_Riferimento!$H$31:$I$50,2,FALSE))</f>
        <v>40</v>
      </c>
      <c r="EF11" s="636">
        <f>+IFERROR(VLOOKUP(EF$6&amp;"-"&amp;$M11&amp;"_old",Ammortamento_Finanziario!$H:$L,5,FALSE),VLOOKUP($M11,TT_Tabelle_Riferimento!$H$31:$I$50,2,FALSE))</f>
        <v>40</v>
      </c>
      <c r="EG11" s="636">
        <f>+IFERROR(VLOOKUP(EG$6&amp;"-"&amp;$M11&amp;"_old",Ammortamento_Finanziario!$H:$L,5,FALSE),VLOOKUP($M11,TT_Tabelle_Riferimento!$H$31:$I$50,2,FALSE))</f>
        <v>40</v>
      </c>
      <c r="EH11" s="636">
        <f>+IFERROR(VLOOKUP(EH$6&amp;"-"&amp;$M11&amp;"_old",Ammortamento_Finanziario!$H:$L,5,FALSE),VLOOKUP($M11,TT_Tabelle_Riferimento!$H$31:$I$50,2,FALSE))</f>
        <v>40</v>
      </c>
      <c r="EI11" s="636">
        <f>+IFERROR(VLOOKUP(EI$6&amp;"-"&amp;$M11&amp;"_old",Ammortamento_Finanziario!$H:$L,5,FALSE),VLOOKUP($M11,TT_Tabelle_Riferimento!$H$31:$I$50,2,FALSE))</f>
        <v>40</v>
      </c>
      <c r="EJ11" s="636">
        <f>+IFERROR(VLOOKUP(EJ$6&amp;"-"&amp;$M11&amp;"_old",Ammortamento_Finanziario!$H:$L,5,FALSE),VLOOKUP($M11,TT_Tabelle_Riferimento!$H$31:$I$50,2,FALSE))</f>
        <v>40</v>
      </c>
      <c r="EK11" s="636">
        <f>+IFERROR(VLOOKUP(EK$6&amp;"-"&amp;$M11&amp;"_old",Ammortamento_Finanziario!$H:$L,5,FALSE),VLOOKUP($M11,TT_Tabelle_Riferimento!$H$31:$I$50,2,FALSE))</f>
        <v>40</v>
      </c>
      <c r="EL11" s="636">
        <f>+IFERROR(VLOOKUP(EL$6&amp;"-"&amp;$M11&amp;"_old",Ammortamento_Finanziario!$H:$L,5,FALSE),VLOOKUP($M11,TT_Tabelle_Riferimento!$H$31:$I$50,2,FALSE))</f>
        <v>40</v>
      </c>
      <c r="EM11" s="636">
        <f>+IFERROR(VLOOKUP(EM$6&amp;"-"&amp;$M11&amp;"_old",Ammortamento_Finanziario!$H:$L,5,FALSE),VLOOKUP($M11,TT_Tabelle_Riferimento!$H$31:$I$50,2,FALSE))</f>
        <v>40</v>
      </c>
      <c r="EN11" s="636">
        <f>+IFERROR(VLOOKUP(EN$6&amp;"-"&amp;$M11&amp;"_old",Ammortamento_Finanziario!$H:$L,5,FALSE),VLOOKUP($M11,TT_Tabelle_Riferimento!$H$31:$I$50,2,FALSE))</f>
        <v>40</v>
      </c>
      <c r="EO11" s="636">
        <f>+IFERROR(VLOOKUP(EO$6&amp;"-"&amp;$M11&amp;"_old",Ammortamento_Finanziario!$H:$L,5,FALSE),VLOOKUP($M11,TT_Tabelle_Riferimento!$H$31:$I$50,2,FALSE))</f>
        <v>40</v>
      </c>
      <c r="EP11" s="636">
        <f>+IFERROR(VLOOKUP(EP$6&amp;"-"&amp;$M11&amp;"_old",Ammortamento_Finanziario!$H:$L,5,FALSE),VLOOKUP($M11,TT_Tabelle_Riferimento!$H$31:$I$50,2,FALSE))</f>
        <v>40</v>
      </c>
      <c r="EQ11" s="636">
        <f>+IFERROR(VLOOKUP(EQ$6&amp;"-"&amp;$M11&amp;"_old",Ammortamento_Finanziario!$H:$L,5,FALSE),VLOOKUP($M11,TT_Tabelle_Riferimento!$H$31:$I$50,2,FALSE))</f>
        <v>40</v>
      </c>
      <c r="ER11" s="636">
        <f>+IFERROR(VLOOKUP(ER$6&amp;"-"&amp;$M11&amp;"_old",Ammortamento_Finanziario!$H:$L,5,FALSE),VLOOKUP($M11,TT_Tabelle_Riferimento!$H$31:$I$50,2,FALSE))</f>
        <v>40</v>
      </c>
      <c r="ES11" s="636">
        <f>+IFERROR(VLOOKUP(ES$6&amp;"-"&amp;$M11&amp;"_old",Ammortamento_Finanziario!$H:$L,5,FALSE),VLOOKUP($M11,TT_Tabelle_Riferimento!$H$31:$I$50,2,FALSE))</f>
        <v>40</v>
      </c>
      <c r="ET11" s="636">
        <f>+IFERROR(VLOOKUP(ET$6&amp;"-"&amp;$M11&amp;"_old",Ammortamento_Finanziario!$H:$L,5,FALSE),VLOOKUP($M11,TT_Tabelle_Riferimento!$H$31:$I$50,2,FALSE))</f>
        <v>40</v>
      </c>
      <c r="EU11" s="636">
        <f>+IFERROR(VLOOKUP(EU$6&amp;"-"&amp;$M11&amp;"_old",Ammortamento_Finanziario!$H:$L,5,FALSE),VLOOKUP($M11,TT_Tabelle_Riferimento!$H$31:$I$50,2,FALSE))</f>
        <v>40</v>
      </c>
      <c r="EV11" s="636">
        <f>+IFERROR(VLOOKUP(EV$6&amp;"-"&amp;$M11&amp;"_old",Ammortamento_Finanziario!$H:$L,5,FALSE),VLOOKUP($M11,TT_Tabelle_Riferimento!$H$31:$I$50,2,FALSE))</f>
        <v>40</v>
      </c>
      <c r="EW11" s="1048">
        <f>+IFERROR(VLOOKUP(EW$6&amp;"-"&amp;$M11&amp;"_old",Ammortamento_Finanziario!$H:$L,5,FALSE),VLOOKUP($M11,TT_Tabelle_Riferimento!$H$31:$I$50,2,FALSE))</f>
        <v>40</v>
      </c>
      <c r="EX11" s="1048">
        <f>+IFERROR(VLOOKUP(EX$6&amp;"-"&amp;$M11&amp;"_old",Ammortamento_Finanziario!$H:$L,5,FALSE),VLOOKUP($M11,TT_Tabelle_Riferimento!$H$31:$I$50,2,FALSE))</f>
        <v>40</v>
      </c>
      <c r="EY11" s="1048">
        <f>+IFERROR(VLOOKUP(EY$6&amp;"-"&amp;$M11&amp;"_old",Ammortamento_Finanziario!$H:$L,5,FALSE),VLOOKUP($M11,TT_Tabelle_Riferimento!$H$31:$I$50,2,FALSE))</f>
        <v>40</v>
      </c>
      <c r="EZ11" s="1048">
        <f>+IFERROR(VLOOKUP(EZ$6&amp;"-"&amp;$M11&amp;"_old",Ammortamento_Finanziario!$H:$L,5,FALSE),VLOOKUP($M11,TT_Tabelle_Riferimento!$H$31:$I$50,2,FALSE))</f>
        <v>40</v>
      </c>
      <c r="FA11" s="1048">
        <f>+IFERROR(VLOOKUP(FA$6&amp;"-"&amp;$M11&amp;"_old",Ammortamento_Finanziario!$H:$L,5,FALSE),VLOOKUP($M11,TT_Tabelle_Riferimento!$H$31:$I$50,2,FALSE))</f>
        <v>40</v>
      </c>
      <c r="FB11" s="1743">
        <f>+IFERROR(VLOOKUP(FB$6&amp;"-"&amp;$M11&amp;"_old",Ammortamento_Finanziario!$H:$L,5,FALSE),VLOOKUP($M11,TT_Tabelle_Riferimento!$H$31:$I$50,2,FALSE))</f>
        <v>40</v>
      </c>
      <c r="FC11" s="1743">
        <f>+IFERROR(VLOOKUP(FC$6&amp;"-"&amp;$M11&amp;"_old",Ammortamento_Finanziario!$H:$L,5,FALSE),VLOOKUP($M11,TT_Tabelle_Riferimento!$H$31:$I$50,2,FALSE))</f>
        <v>40</v>
      </c>
      <c r="FD11" s="1751">
        <f>+IFERROR(VLOOKUP(FD$6&amp;"-"&amp;$M11&amp;"_old",Ammortamento_Finanziario!$H:$L,5,FALSE),VLOOKUP($M11,TT_Tabelle_Riferimento!$H$31:$I$50,2,FALSE))</f>
        <v>40</v>
      </c>
      <c r="FE11" s="1751">
        <f>+IFERROR(VLOOKUP(FE$6&amp;"-"&amp;$M11&amp;"_old",Ammortamento_Finanziario!$H:$L,5,FALSE),VLOOKUP($M11,TT_Tabelle_Riferimento!$H$31:$I$50,2,FALSE))</f>
        <v>40</v>
      </c>
      <c r="FF11" s="1751">
        <f>+IFERROR(VLOOKUP(FF$6&amp;"-"&amp;$M11&amp;"_old",Ammortamento_Finanziario!$H:$L,5,FALSE),VLOOKUP($M11,TT_Tabelle_Riferimento!$H$31:$I$50,2,FALSE))</f>
        <v>40</v>
      </c>
      <c r="FG11" s="1751">
        <f>+IFERROR(VLOOKUP(FG$6&amp;"-"&amp;$M11&amp;"_old",Ammortamento_Finanziario!$H:$L,5,FALSE),VLOOKUP($M11,TT_Tabelle_Riferimento!$H$31:$I$50,2,FALSE))</f>
        <v>40</v>
      </c>
      <c r="FH11" s="1751">
        <f>+IFERROR(VLOOKUP(FH$6&amp;"-"&amp;$M11&amp;"_old",Ammortamento_Finanziario!$H:$L,5,FALSE),VLOOKUP($M11,TT_Tabelle_Riferimento!$H$31:$I$50,2,FALSE))</f>
        <v>40</v>
      </c>
      <c r="FI11" s="1751">
        <f>+IFERROR(VLOOKUP(FI$6&amp;"-"&amp;$M11&amp;"_old",Ammortamento_Finanziario!$H:$L,5,FALSE),VLOOKUP($M11,TT_Tabelle_Riferimento!$H$31:$I$50,2,FALSE))</f>
        <v>40</v>
      </c>
      <c r="FJ11" s="629">
        <f>+IFERROR(VLOOKUP(FJ$6&amp;"-"&amp;$M11&amp;"_old",Ammortamento_Finanziario!$H:$L,5,FALSE),VLOOKUP($M11,TT_Tabelle_Riferimento!$H$31:$I$50,2,FALSE))</f>
        <v>40</v>
      </c>
      <c r="FK11" s="629">
        <f>+IFERROR(VLOOKUP(FK$6&amp;"-"&amp;$M11&amp;"_old",Ammortamento_Finanziario!$H:$L,5,FALSE),VLOOKUP($M11,TT_Tabelle_Riferimento!$H$31:$I$50,2,FALSE))</f>
        <v>40</v>
      </c>
      <c r="FL11" s="629">
        <f>+IFERROR(VLOOKUP(FL$6&amp;"-"&amp;$M11&amp;"_old",Ammortamento_Finanziario!$H:$L,5,FALSE),VLOOKUP($M11,TT_Tabelle_Riferimento!$H$31:$I$50,2,FALSE))</f>
        <v>40</v>
      </c>
      <c r="FM11" s="629">
        <f>+IFERROR(VLOOKUP(FM$6&amp;"-"&amp;$M11&amp;"_old",Ammortamento_Finanziario!$H:$L,5,FALSE),VLOOKUP($M11,TT_Tabelle_Riferimento!$H$31:$I$50,2,FALSE))</f>
        <v>40</v>
      </c>
      <c r="FN11" s="629">
        <f>+IFERROR(VLOOKUP(FN$6&amp;"-"&amp;$M11&amp;"_old",Ammortamento_Finanziario!$H:$L,5,FALSE),VLOOKUP($M11,TT_Tabelle_Riferimento!$H$31:$I$50,2,FALSE))</f>
        <v>40</v>
      </c>
      <c r="FO11" s="629">
        <f>+IFERROR(VLOOKUP(FO$6&amp;"-"&amp;$M11&amp;"_old",Ammortamento_Finanziario!$H:$L,5,FALSE),VLOOKUP($M11,TT_Tabelle_Riferimento!$H$31:$I$50,2,FALSE))</f>
        <v>40</v>
      </c>
      <c r="FP11" s="629">
        <f>+IFERROR(VLOOKUP(FP$6&amp;"-"&amp;$M11&amp;"_old",Ammortamento_Finanziario!$H:$L,5,FALSE),VLOOKUP($M11,TT_Tabelle_Riferimento!$H$31:$I$50,2,FALSE))</f>
        <v>40</v>
      </c>
      <c r="FQ11" s="629">
        <f>+IFERROR(VLOOKUP(FQ$6&amp;"-"&amp;$M11&amp;"_old",Ammortamento_Finanziario!$H:$L,5,FALSE),VLOOKUP($M11,TT_Tabelle_Riferimento!$H$31:$I$50,2,FALSE))</f>
        <v>40</v>
      </c>
      <c r="FR11" s="629">
        <f>+IFERROR(VLOOKUP(FR$6&amp;"-"&amp;$M11&amp;"_old",Ammortamento_Finanziario!$H:$L,5,FALSE),VLOOKUP($M11,TT_Tabelle_Riferimento!$H$31:$I$50,2,FALSE))</f>
        <v>40</v>
      </c>
      <c r="FS11" s="629">
        <f>+IFERROR(VLOOKUP(FS$6&amp;"-"&amp;$M11&amp;"_old",Ammortamento_Finanziario!$H:$L,5,FALSE),VLOOKUP($M11,TT_Tabelle_Riferimento!$H$31:$I$50,2,FALSE))</f>
        <v>40</v>
      </c>
      <c r="FT11" s="629">
        <f>+IFERROR(VLOOKUP(FT$6&amp;"-"&amp;$M11&amp;"_old",Ammortamento_Finanziario!$H:$L,5,FALSE),VLOOKUP($M11,TT_Tabelle_Riferimento!$H$31:$I$50,2,FALSE))</f>
        <v>40</v>
      </c>
      <c r="FU11" s="629">
        <f>+IFERROR(VLOOKUP(FU$6&amp;"-"&amp;$M11&amp;"_old",Ammortamento_Finanziario!$H:$L,5,FALSE),VLOOKUP($M11,TT_Tabelle_Riferimento!$H$31:$I$50,2,FALSE))</f>
        <v>40</v>
      </c>
      <c r="FV11" s="629">
        <f>+IFERROR(VLOOKUP(FV$6&amp;"-"&amp;$M11&amp;"_old",Ammortamento_Finanziario!$H:$L,5,FALSE),VLOOKUP($M11,TT_Tabelle_Riferimento!$H$31:$I$50,2,FALSE))</f>
        <v>40</v>
      </c>
      <c r="FW11" s="629">
        <f>+IFERROR(VLOOKUP(FW$6&amp;"-"&amp;$M11&amp;"_old",Ammortamento_Finanziario!$H:$L,5,FALSE),VLOOKUP($M11,TT_Tabelle_Riferimento!$H$31:$I$50,2,FALSE))</f>
        <v>40</v>
      </c>
      <c r="FX11" s="629">
        <f>+IFERROR(VLOOKUP(FX$6&amp;"-"&amp;$M11&amp;"_old",Ammortamento_Finanziario!$H:$L,5,FALSE),VLOOKUP($M11,TT_Tabelle_Riferimento!$H$31:$I$50,2,FALSE))</f>
        <v>40</v>
      </c>
      <c r="FY11" s="629">
        <f>+IFERROR(VLOOKUP(FY$6&amp;"-"&amp;$M11&amp;"_old",Ammortamento_Finanziario!$H:$L,5,FALSE),VLOOKUP($M11,TT_Tabelle_Riferimento!$H$31:$I$50,2,FALSE))</f>
        <v>40</v>
      </c>
      <c r="FZ11" s="629">
        <f>+IFERROR(VLOOKUP(FZ$6&amp;"-"&amp;$M11&amp;"_old",Ammortamento_Finanziario!$H:$L,5,FALSE),VLOOKUP($M11,TT_Tabelle_Riferimento!$H$31:$I$50,2,FALSE))</f>
        <v>40</v>
      </c>
      <c r="GA11" s="629">
        <f>+IFERROR(VLOOKUP(GA$6&amp;"-"&amp;$M11&amp;"_old",Ammortamento_Finanziario!$H:$L,5,FALSE),VLOOKUP($M11,TT_Tabelle_Riferimento!$H$31:$I$50,2,FALSE))</f>
        <v>40</v>
      </c>
      <c r="GB11" s="629">
        <f>+IFERROR(VLOOKUP(GB$6&amp;"-"&amp;$M11&amp;"_old",Ammortamento_Finanziario!$H:$L,5,FALSE),VLOOKUP($M11,TT_Tabelle_Riferimento!$H$31:$I$50,2,FALSE))</f>
        <v>40</v>
      </c>
      <c r="GC11" s="635">
        <f>+IFERROR(VLOOKUP(GC$6&amp;"-"&amp;$M11&amp;"_old",Ammortamento_Finanziario!$H:$L,5,FALSE),VLOOKUP($M11,TT_Tabelle_Riferimento!$H$31:$I$50,2,FALSE))</f>
        <v>40</v>
      </c>
      <c r="GD11" s="635">
        <f>+IFERROR(VLOOKUP(GD$6&amp;"-"&amp;$M11&amp;"_old",Ammortamento_Finanziario!$H:$L,5,FALSE),VLOOKUP($M11,TT_Tabelle_Riferimento!$H$31:$I$50,2,FALSE))</f>
        <v>40</v>
      </c>
      <c r="GE11" s="635">
        <f>+IFERROR(VLOOKUP(GE$6&amp;"-"&amp;$M11&amp;"_old",Ammortamento_Finanziario!$H:$L,5,FALSE),VLOOKUP($M11,TT_Tabelle_Riferimento!$H$31:$I$50,2,FALSE))</f>
        <v>40</v>
      </c>
      <c r="GF11" s="635">
        <f>+IFERROR(VLOOKUP(GF$6&amp;"-"&amp;$M11&amp;"_old",Ammortamento_Finanziario!$H:$L,5,FALSE),VLOOKUP($M11,TT_Tabelle_Riferimento!$H$31:$I$50,2,FALSE))</f>
        <v>40</v>
      </c>
      <c r="GG11" s="1744">
        <f>+IFERROR(VLOOKUP(GG$6&amp;"-"&amp;$M11&amp;"_old",Ammortamento_Finanziario!$H:$L,5,FALSE),VLOOKUP($M11,TT_Tabelle_Riferimento!$H$31:$I$50,2,FALSE))</f>
        <v>40</v>
      </c>
      <c r="GH11" s="1744">
        <f>+IFERROR(VLOOKUP(GH$6&amp;"-"&amp;$M11&amp;"_old",Ammortamento_Finanziario!$H:$L,5,FALSE),VLOOKUP($M11,TT_Tabelle_Riferimento!$H$31:$I$50,2,FALSE))</f>
        <v>40</v>
      </c>
      <c r="GI11" s="1752">
        <f>+IFERROR(VLOOKUP(GI$6&amp;"-"&amp;$M11&amp;"_old",Ammortamento_Finanziario!$H:$L,5,FALSE),VLOOKUP($M11,TT_Tabelle_Riferimento!$H$31:$I$50,2,FALSE))</f>
        <v>40</v>
      </c>
      <c r="GJ11" s="1752">
        <f>+IFERROR(VLOOKUP(GJ$6&amp;"-"&amp;$M11&amp;"_old",Ammortamento_Finanziario!$H:$L,5,FALSE),VLOOKUP($M11,TT_Tabelle_Riferimento!$H$31:$I$50,2,FALSE))</f>
        <v>40</v>
      </c>
      <c r="GK11" s="1752">
        <f>+IFERROR(VLOOKUP(GK$6&amp;"-"&amp;$M11&amp;"_old",Ammortamento_Finanziario!$H:$L,5,FALSE),VLOOKUP($M11,TT_Tabelle_Riferimento!$H$31:$I$50,2,FALSE))</f>
        <v>40</v>
      </c>
      <c r="GL11" s="1752">
        <f>+IFERROR(VLOOKUP(GL$6&amp;"-"&amp;$M11&amp;"_old",Ammortamento_Finanziario!$H:$L,5,FALSE),VLOOKUP($M11,TT_Tabelle_Riferimento!$H$31:$I$50,2,FALSE))</f>
        <v>40</v>
      </c>
      <c r="GM11" s="1752">
        <f>+IFERROR(VLOOKUP(GM$6&amp;"-"&amp;$M11&amp;"_old",Ammortamento_Finanziario!$H:$L,5,FALSE),VLOOKUP($M11,TT_Tabelle_Riferimento!$H$31:$I$50,2,FALSE))</f>
        <v>40</v>
      </c>
      <c r="GN11" s="1752">
        <f>+IFERROR(VLOOKUP(GN$6&amp;"-"&amp;$M11&amp;"_old",Ammortamento_Finanziario!$H:$L,5,FALSE),VLOOKUP($M11,TT_Tabelle_Riferimento!$H$31:$I$50,2,FALSE))</f>
        <v>40</v>
      </c>
      <c r="GO11" s="628">
        <f>+IFERROR(VLOOKUP(GO$6&amp;"-"&amp;$M11&amp;"_old",Ammortamento_Finanziario!$H:$L,5,FALSE),VLOOKUP($M11,TT_Tabelle_Riferimento!$H$31:$I$50,2,FALSE))</f>
        <v>40</v>
      </c>
      <c r="GP11" s="628">
        <f>+IFERROR(VLOOKUP(GP$6&amp;"-"&amp;$M11&amp;"_old",Ammortamento_Finanziario!$H:$L,5,FALSE),VLOOKUP($M11,TT_Tabelle_Riferimento!$H$31:$I$50,2,FALSE))</f>
        <v>40</v>
      </c>
      <c r="GQ11" s="628">
        <f>+IFERROR(VLOOKUP(GQ$6&amp;"-"&amp;$M11&amp;"_old",Ammortamento_Finanziario!$H:$L,5,FALSE),VLOOKUP($M11,TT_Tabelle_Riferimento!$H$31:$I$50,2,FALSE))</f>
        <v>40</v>
      </c>
      <c r="GR11" s="628">
        <f>+IFERROR(VLOOKUP(GR$6&amp;"-"&amp;$M11&amp;"_old",Ammortamento_Finanziario!$H:$L,5,FALSE),VLOOKUP($M11,TT_Tabelle_Riferimento!$H$31:$I$50,2,FALSE))</f>
        <v>40</v>
      </c>
      <c r="GS11" s="628">
        <f>+IFERROR(VLOOKUP(GS$6&amp;"-"&amp;$M11&amp;"_old",Ammortamento_Finanziario!$H:$L,5,FALSE),VLOOKUP($M11,TT_Tabelle_Riferimento!$H$31:$I$50,2,FALSE))</f>
        <v>40</v>
      </c>
      <c r="GT11" s="628">
        <f>+IFERROR(VLOOKUP(GT$6&amp;"-"&amp;$M11&amp;"_old",Ammortamento_Finanziario!$H:$L,5,FALSE),VLOOKUP($M11,TT_Tabelle_Riferimento!$H$31:$I$50,2,FALSE))</f>
        <v>40</v>
      </c>
      <c r="GU11" s="628">
        <f>+IFERROR(VLOOKUP(GU$6&amp;"-"&amp;$M11&amp;"_old",Ammortamento_Finanziario!$H:$L,5,FALSE),VLOOKUP($M11,TT_Tabelle_Riferimento!$H$31:$I$50,2,FALSE))</f>
        <v>40</v>
      </c>
      <c r="GV11" s="628">
        <f>+IFERROR(VLOOKUP(GV$6&amp;"-"&amp;$M11&amp;"_old",Ammortamento_Finanziario!$H:$L,5,FALSE),VLOOKUP($M11,TT_Tabelle_Riferimento!$H$31:$I$50,2,FALSE))</f>
        <v>40</v>
      </c>
      <c r="GW11" s="628">
        <f>+IFERROR(VLOOKUP(GW$6&amp;"-"&amp;$M11&amp;"_old",Ammortamento_Finanziario!$H:$L,5,FALSE),VLOOKUP($M11,TT_Tabelle_Riferimento!$H$31:$I$50,2,FALSE))</f>
        <v>40</v>
      </c>
      <c r="GX11" s="628">
        <f>+IFERROR(VLOOKUP(GX$6&amp;"-"&amp;$M11&amp;"_old",Ammortamento_Finanziario!$H:$L,5,FALSE),VLOOKUP($M11,TT_Tabelle_Riferimento!$H$31:$I$50,2,FALSE))</f>
        <v>40</v>
      </c>
      <c r="GY11" s="628">
        <f>+IFERROR(VLOOKUP(GY$6&amp;"-"&amp;$M11&amp;"_old",Ammortamento_Finanziario!$H:$L,5,FALSE),VLOOKUP($M11,TT_Tabelle_Riferimento!$H$31:$I$50,2,FALSE))</f>
        <v>40</v>
      </c>
      <c r="GZ11" s="628">
        <f>+IFERROR(VLOOKUP(GZ$6&amp;"-"&amp;$M11&amp;"_old",Ammortamento_Finanziario!$H:$L,5,FALSE),VLOOKUP($M11,TT_Tabelle_Riferimento!$H$31:$I$50,2,FALSE))</f>
        <v>40</v>
      </c>
      <c r="HA11" s="628">
        <f>+IFERROR(VLOOKUP(HA$6&amp;"-"&amp;$M11&amp;"_old",Ammortamento_Finanziario!$H:$L,5,FALSE),VLOOKUP($M11,TT_Tabelle_Riferimento!$H$31:$I$50,2,FALSE))</f>
        <v>40</v>
      </c>
      <c r="HB11" s="628">
        <f>+IFERROR(VLOOKUP(HB$6&amp;"-"&amp;$M11&amp;"_old",Ammortamento_Finanziario!$H:$L,5,FALSE),VLOOKUP($M11,TT_Tabelle_Riferimento!$H$31:$I$50,2,FALSE))</f>
        <v>40</v>
      </c>
      <c r="HC11" s="628">
        <f>+IFERROR(VLOOKUP(HC$6&amp;"-"&amp;$M11&amp;"_old",Ammortamento_Finanziario!$H:$L,5,FALSE),VLOOKUP($M11,TT_Tabelle_Riferimento!$H$31:$I$50,2,FALSE))</f>
        <v>40</v>
      </c>
      <c r="HD11" s="628">
        <f>+IFERROR(VLOOKUP(HD$6&amp;"-"&amp;$M11&amp;"_old",Ammortamento_Finanziario!$H:$L,5,FALSE),VLOOKUP($M11,TT_Tabelle_Riferimento!$H$31:$I$50,2,FALSE))</f>
        <v>40</v>
      </c>
      <c r="HE11" s="628">
        <f>+IFERROR(VLOOKUP(HE$6&amp;"-"&amp;$M11&amp;"_old",Ammortamento_Finanziario!$H:$L,5,FALSE),VLOOKUP($M11,TT_Tabelle_Riferimento!$H$31:$I$50,2,FALSE))</f>
        <v>40</v>
      </c>
      <c r="HF11" s="628">
        <f>+IFERROR(VLOOKUP(HF$6&amp;"-"&amp;$M11&amp;"_old",Ammortamento_Finanziario!$H:$L,5,FALSE),VLOOKUP($M11,TT_Tabelle_Riferimento!$H$31:$I$50,2,FALSE))</f>
        <v>40</v>
      </c>
      <c r="HG11" s="628">
        <f>+IFERROR(VLOOKUP(HG$6&amp;"-"&amp;$M11&amp;"_old",Ammortamento_Finanziario!$H:$L,5,FALSE),VLOOKUP($M11,TT_Tabelle_Riferimento!$H$31:$I$50,2,FALSE))</f>
        <v>40</v>
      </c>
      <c r="HH11" s="422">
        <f>+IFERROR(VLOOKUP(HH$6&amp;"-"&amp;$M11&amp;"_old",Ammortamento_Finanziario!$H:$L,5,FALSE),VLOOKUP($M11,TT_Tabelle_Riferimento!$H$31:$I$50,2,FALSE))</f>
        <v>40</v>
      </c>
      <c r="HI11" s="422">
        <f>+IFERROR(VLOOKUP(HI$6&amp;"-"&amp;$M11&amp;"_old",Ammortamento_Finanziario!$H:$L,5,FALSE),VLOOKUP($M11,TT_Tabelle_Riferimento!$H$31:$I$50,2,FALSE))</f>
        <v>40</v>
      </c>
      <c r="HJ11" s="422">
        <f>+IFERROR(VLOOKUP(HJ$6&amp;"-"&amp;$M11&amp;"_old",Ammortamento_Finanziario!$H:$L,5,FALSE),VLOOKUP($M11,TT_Tabelle_Riferimento!$H$31:$I$50,2,FALSE))</f>
        <v>40</v>
      </c>
      <c r="HK11" s="1746">
        <f>+IFERROR(VLOOKUP(HK$6&amp;"-"&amp;$M11&amp;"_old",Ammortamento_Finanziario!$H:$L,5,FALSE),VLOOKUP($M11,TT_Tabelle_Riferimento!$H$31:$I$50,2,FALSE))</f>
        <v>40</v>
      </c>
      <c r="HL11" s="1746">
        <f>+IFERROR(VLOOKUP(HL$6&amp;"-"&amp;$M11&amp;"_old",Ammortamento_Finanziario!$H:$L,5,FALSE),VLOOKUP($M11,TT_Tabelle_Riferimento!$H$31:$I$50,2,FALSE))</f>
        <v>40</v>
      </c>
      <c r="HM11" s="1753">
        <f>+IFERROR(VLOOKUP(HM$6&amp;"-"&amp;$M11&amp;"_old",Ammortamento_Finanziario!$H:$L,5,FALSE),VLOOKUP($M11,TT_Tabelle_Riferimento!$H$31:$I$50,2,FALSE))</f>
        <v>40</v>
      </c>
      <c r="HN11" s="1753">
        <f>+IFERROR(VLOOKUP(HN$6&amp;"-"&amp;$M11&amp;"_old",Ammortamento_Finanziario!$H:$L,5,FALSE),VLOOKUP($M11,TT_Tabelle_Riferimento!$H$31:$I$50,2,FALSE))</f>
        <v>40</v>
      </c>
      <c r="HO11" s="1753">
        <f>+IFERROR(VLOOKUP(HO$6&amp;"-"&amp;$M11&amp;"_old",Ammortamento_Finanziario!$H:$L,5,FALSE),VLOOKUP($M11,TT_Tabelle_Riferimento!$H$31:$I$50,2,FALSE))</f>
        <v>40</v>
      </c>
      <c r="HP11" s="1753">
        <f>+IFERROR(VLOOKUP(HP$6&amp;"-"&amp;$M11&amp;"_old",Ammortamento_Finanziario!$H:$L,5,FALSE),VLOOKUP($M11,TT_Tabelle_Riferimento!$H$31:$I$50,2,FALSE))</f>
        <v>40</v>
      </c>
      <c r="HQ11" s="1753">
        <f>+IFERROR(VLOOKUP(HQ$6&amp;"-"&amp;$M11&amp;"_old",Ammortamento_Finanziario!$H:$L,5,FALSE),VLOOKUP($M11,TT_Tabelle_Riferimento!$H$31:$I$50,2,FALSE))</f>
        <v>40</v>
      </c>
      <c r="HR11" s="1753">
        <f>+IFERROR(VLOOKUP(HR$6&amp;"-"&amp;$M11&amp;"_old",Ammortamento_Finanziario!$H:$L,5,FALSE),VLOOKUP($M11,TT_Tabelle_Riferimento!$H$31:$I$50,2,FALSE))</f>
        <v>40</v>
      </c>
      <c r="HS11" s="422">
        <f>+IFERROR(VLOOKUP(HS$6&amp;"-"&amp;$M11&amp;"_old",Ammortamento_Finanziario!$H:$L,5,FALSE),VLOOKUP($M11,TT_Tabelle_Riferimento!$H$31:$I$50,2,FALSE))</f>
        <v>40</v>
      </c>
      <c r="HT11" s="422">
        <f>+IFERROR(VLOOKUP(HT$6&amp;"-"&amp;$M11&amp;"_old",Ammortamento_Finanziario!$H:$L,5,FALSE),VLOOKUP($M11,TT_Tabelle_Riferimento!$H$31:$I$50,2,FALSE))</f>
        <v>40</v>
      </c>
      <c r="HU11" s="422">
        <f>+IFERROR(VLOOKUP(HU$6&amp;"-"&amp;$M11&amp;"_old",Ammortamento_Finanziario!$H:$L,5,FALSE),VLOOKUP($M11,TT_Tabelle_Riferimento!$H$31:$I$50,2,FALSE))</f>
        <v>40</v>
      </c>
      <c r="HV11" s="422">
        <f>+IFERROR(VLOOKUP(HV$6&amp;"-"&amp;$M11&amp;"_old",Ammortamento_Finanziario!$H:$L,5,FALSE),VLOOKUP($M11,TT_Tabelle_Riferimento!$H$31:$I$50,2,FALSE))</f>
        <v>40</v>
      </c>
      <c r="HW11" s="422">
        <f>+IFERROR(VLOOKUP(HW$6&amp;"-"&amp;$M11&amp;"_old",Ammortamento_Finanziario!$H:$L,5,FALSE),VLOOKUP($M11,TT_Tabelle_Riferimento!$H$31:$I$50,2,FALSE))</f>
        <v>40</v>
      </c>
      <c r="HX11" s="422">
        <f>+IFERROR(VLOOKUP(HX$6&amp;"-"&amp;$M11&amp;"_old",Ammortamento_Finanziario!$H:$L,5,FALSE),VLOOKUP($M11,TT_Tabelle_Riferimento!$H$31:$I$50,2,FALSE))</f>
        <v>40</v>
      </c>
      <c r="HY11" s="422">
        <f>+IFERROR(VLOOKUP(HY$6&amp;"-"&amp;$M11&amp;"_old",Ammortamento_Finanziario!$H:$L,5,FALSE),VLOOKUP($M11,TT_Tabelle_Riferimento!$H$31:$I$50,2,FALSE))</f>
        <v>40</v>
      </c>
      <c r="HZ11" s="422">
        <f>+IFERROR(VLOOKUP(HZ$6&amp;"-"&amp;$M11&amp;"_old",Ammortamento_Finanziario!$H:$L,5,FALSE),VLOOKUP($M11,TT_Tabelle_Riferimento!$H$31:$I$50,2,FALSE))</f>
        <v>40</v>
      </c>
      <c r="IA11" s="422">
        <f>+IFERROR(VLOOKUP(IA$6&amp;"-"&amp;$M11&amp;"_old",Ammortamento_Finanziario!$H:$L,5,FALSE),VLOOKUP($M11,TT_Tabelle_Riferimento!$H$31:$I$50,2,FALSE))</f>
        <v>40</v>
      </c>
      <c r="IB11" s="422">
        <f>+IFERROR(VLOOKUP(IB$6&amp;"-"&amp;$M11&amp;"_old",Ammortamento_Finanziario!$H:$L,5,FALSE),VLOOKUP($M11,TT_Tabelle_Riferimento!$H$31:$I$50,2,FALSE))</f>
        <v>40</v>
      </c>
      <c r="IC11" s="422">
        <f>+IFERROR(VLOOKUP(IC$6&amp;"-"&amp;$M11&amp;"_old",Ammortamento_Finanziario!$H:$L,5,FALSE),VLOOKUP($M11,TT_Tabelle_Riferimento!$H$31:$I$50,2,FALSE))</f>
        <v>40</v>
      </c>
      <c r="ID11" s="422">
        <f>+IFERROR(VLOOKUP(ID$6&amp;"-"&amp;$M11&amp;"_old",Ammortamento_Finanziario!$H:$L,5,FALSE),VLOOKUP($M11,TT_Tabelle_Riferimento!$H$31:$I$50,2,FALSE))</f>
        <v>40</v>
      </c>
      <c r="IE11" s="422">
        <f>+IFERROR(VLOOKUP(IE$6&amp;"-"&amp;$M11&amp;"_old",Ammortamento_Finanziario!$H:$L,5,FALSE),VLOOKUP($M11,TT_Tabelle_Riferimento!$H$31:$I$50,2,FALSE))</f>
        <v>40</v>
      </c>
      <c r="IF11" s="422">
        <f>+IFERROR(VLOOKUP(IF$6&amp;"-"&amp;$M11&amp;"_old",Ammortamento_Finanziario!$H:$L,5,FALSE),VLOOKUP($M11,TT_Tabelle_Riferimento!$H$31:$I$50,2,FALSE))</f>
        <v>40</v>
      </c>
      <c r="IG11" s="422">
        <f>+IFERROR(VLOOKUP(IG$6&amp;"-"&amp;$M11&amp;"_old",Ammortamento_Finanziario!$H:$L,5,FALSE),VLOOKUP($M11,TT_Tabelle_Riferimento!$H$31:$I$50,2,FALSE))</f>
        <v>40</v>
      </c>
      <c r="IH11" s="422">
        <f>+IFERROR(VLOOKUP(IH$6&amp;"-"&amp;$M11&amp;"_old",Ammortamento_Finanziario!$H:$L,5,FALSE),VLOOKUP($M11,TT_Tabelle_Riferimento!$H$31:$I$50,2,FALSE))</f>
        <v>40</v>
      </c>
      <c r="II11" s="422">
        <f>+IFERROR(VLOOKUP(II$6&amp;"-"&amp;$M11&amp;"_old",Ammortamento_Finanziario!$H:$L,5,FALSE),VLOOKUP($M11,TT_Tabelle_Riferimento!$H$31:$I$50,2,FALSE))</f>
        <v>40</v>
      </c>
      <c r="IJ11" s="422">
        <f>+IFERROR(VLOOKUP(IJ$6&amp;"-"&amp;$M11&amp;"_old",Ammortamento_Finanziario!$H:$L,5,FALSE),VLOOKUP($M11,TT_Tabelle_Riferimento!$H$31:$I$50,2,FALSE))</f>
        <v>40</v>
      </c>
      <c r="IK11" s="422">
        <f>+IFERROR(VLOOKUP(IK$6&amp;"-"&amp;$M11&amp;"_old",Ammortamento_Finanziario!$H:$L,5,FALSE),VLOOKUP($M11,TT_Tabelle_Riferimento!$H$31:$I$50,2,FALSE))</f>
        <v>40</v>
      </c>
      <c r="IL11" s="1077">
        <f>+IFERROR(VLOOKUP(IL$6&amp;"-"&amp;$M11&amp;"_old",Ammortamento_Finanziario!$H:$L,5,FALSE),VLOOKUP($M11,TT_Tabelle_Riferimento!$H$31:$I$50,2,FALSE))</f>
        <v>40</v>
      </c>
      <c r="IM11" s="1077">
        <f>+IFERROR(VLOOKUP(IM$6&amp;"-"&amp;$M11&amp;"_old",Ammortamento_Finanziario!$H:$L,5,FALSE),VLOOKUP($M11,TT_Tabelle_Riferimento!$H$31:$I$50,2,FALSE))</f>
        <v>40</v>
      </c>
      <c r="IN11" s="1747">
        <f>+IFERROR(VLOOKUP(IN$6&amp;"-"&amp;$M11&amp;"_old",Ammortamento_Finanziario!$H:$L,5,FALSE),VLOOKUP($M11,TT_Tabelle_Riferimento!$H$31:$I$50,2,FALSE))</f>
        <v>40</v>
      </c>
      <c r="IO11" s="1747">
        <f>+IFERROR(VLOOKUP(IO$6&amp;"-"&amp;$M11&amp;"_old",Ammortamento_Finanziario!$H:$L,5,FALSE),VLOOKUP($M11,TT_Tabelle_Riferimento!$H$31:$I$50,2,FALSE))</f>
        <v>40</v>
      </c>
      <c r="IP11" s="1754">
        <f>+IFERROR(VLOOKUP(IP$6&amp;"-"&amp;$M11&amp;"_old",Ammortamento_Finanziario!$H:$L,5,FALSE),VLOOKUP($M11,TT_Tabelle_Riferimento!$H$31:$I$50,2,FALSE))</f>
        <v>40</v>
      </c>
      <c r="IQ11" s="1754">
        <f>+IFERROR(VLOOKUP(IQ$6&amp;"-"&amp;$M11&amp;"_old",Ammortamento_Finanziario!$H:$L,5,FALSE),VLOOKUP($M11,TT_Tabelle_Riferimento!$H$31:$I$50,2,FALSE))</f>
        <v>40</v>
      </c>
      <c r="IR11" s="1754">
        <f>+IFERROR(VLOOKUP(IR$6&amp;"-"&amp;$M11&amp;"_old",Ammortamento_Finanziario!$H:$L,5,FALSE),VLOOKUP($M11,TT_Tabelle_Riferimento!$H$31:$I$50,2,FALSE))</f>
        <v>40</v>
      </c>
      <c r="IS11" s="1754">
        <f>+IFERROR(VLOOKUP(IS$6&amp;"-"&amp;$M11&amp;"_old",Ammortamento_Finanziario!$H:$L,5,FALSE),VLOOKUP($M11,TT_Tabelle_Riferimento!$H$31:$I$50,2,FALSE))</f>
        <v>40</v>
      </c>
      <c r="IT11" s="1754">
        <f>+IFERROR(VLOOKUP(IT$6&amp;"-"&amp;$M11&amp;"_old",Ammortamento_Finanziario!$H:$L,5,FALSE),VLOOKUP($M11,TT_Tabelle_Riferimento!$H$31:$I$50,2,FALSE))</f>
        <v>40</v>
      </c>
      <c r="IU11" s="1754">
        <f>+IFERROR(VLOOKUP(IU$6&amp;"-"&amp;$M11&amp;"_old",Ammortamento_Finanziario!$H:$L,5,FALSE),VLOOKUP($M11,TT_Tabelle_Riferimento!$H$31:$I$50,2,FALSE))</f>
        <v>40</v>
      </c>
      <c r="IV11" s="1077">
        <f>+IFERROR(VLOOKUP(IV$6&amp;"-"&amp;$M11&amp;"_old",Ammortamento_Finanziario!$H:$L,5,FALSE),VLOOKUP($M11,TT_Tabelle_Riferimento!$H$31:$I$50,2,FALSE))</f>
        <v>40</v>
      </c>
      <c r="IW11" s="1077">
        <f>+IFERROR(VLOOKUP(IW$6&amp;"-"&amp;$M11&amp;"_old",Ammortamento_Finanziario!$H:$L,5,FALSE),VLOOKUP($M11,TT_Tabelle_Riferimento!$H$31:$I$50,2,FALSE))</f>
        <v>40</v>
      </c>
      <c r="IX11" s="1077">
        <f>+IFERROR(VLOOKUP(IX$6&amp;"-"&amp;$M11&amp;"_old",Ammortamento_Finanziario!$H:$L,5,FALSE),VLOOKUP($M11,TT_Tabelle_Riferimento!$H$31:$I$50,2,FALSE))</f>
        <v>40</v>
      </c>
      <c r="IY11" s="1077">
        <f>+IFERROR(VLOOKUP(IY$6&amp;"-"&amp;$M11&amp;"_old",Ammortamento_Finanziario!$H:$L,5,FALSE),VLOOKUP($M11,TT_Tabelle_Riferimento!$H$31:$I$50,2,FALSE))</f>
        <v>40</v>
      </c>
      <c r="IZ11" s="1077">
        <f>+IFERROR(VLOOKUP(IZ$6&amp;"-"&amp;$M11&amp;"_old",Ammortamento_Finanziario!$H:$L,5,FALSE),VLOOKUP($M11,TT_Tabelle_Riferimento!$H$31:$I$50,2,FALSE))</f>
        <v>40</v>
      </c>
      <c r="JA11" s="1077">
        <f>+IFERROR(VLOOKUP(JA$6&amp;"-"&amp;$M11&amp;"_old",Ammortamento_Finanziario!$H:$L,5,FALSE),VLOOKUP($M11,TT_Tabelle_Riferimento!$H$31:$I$50,2,FALSE))</f>
        <v>40</v>
      </c>
      <c r="JB11" s="1077">
        <f>+IFERROR(VLOOKUP(JB$6&amp;"-"&amp;$M11&amp;"_old",Ammortamento_Finanziario!$H:$L,5,FALSE),VLOOKUP($M11,TT_Tabelle_Riferimento!$H$31:$I$50,2,FALSE))</f>
        <v>40</v>
      </c>
      <c r="JC11" s="1077">
        <f>+IFERROR(VLOOKUP(JC$6&amp;"-"&amp;$M11&amp;"_old",Ammortamento_Finanziario!$H:$L,5,FALSE),VLOOKUP($M11,TT_Tabelle_Riferimento!$H$31:$I$50,2,FALSE))</f>
        <v>40</v>
      </c>
      <c r="JD11" s="1077">
        <f>+IFERROR(VLOOKUP(JD$6&amp;"-"&amp;$M11&amp;"_old",Ammortamento_Finanziario!$H:$L,5,FALSE),VLOOKUP($M11,TT_Tabelle_Riferimento!$H$31:$I$50,2,FALSE))</f>
        <v>40</v>
      </c>
      <c r="JE11" s="1077">
        <f>+IFERROR(VLOOKUP(JE$6&amp;"-"&amp;$M11&amp;"_old",Ammortamento_Finanziario!$H:$L,5,FALSE),VLOOKUP($M11,TT_Tabelle_Riferimento!$H$31:$I$50,2,FALSE))</f>
        <v>40</v>
      </c>
      <c r="JF11" s="1077">
        <f>+IFERROR(VLOOKUP(JF$6&amp;"-"&amp;$M11&amp;"_old",Ammortamento_Finanziario!$H:$L,5,FALSE),VLOOKUP($M11,TT_Tabelle_Riferimento!$H$31:$I$50,2,FALSE))</f>
        <v>40</v>
      </c>
      <c r="JG11" s="1077">
        <f>+IFERROR(VLOOKUP(JG$6&amp;"-"&amp;$M11&amp;"_old",Ammortamento_Finanziario!$H:$L,5,FALSE),VLOOKUP($M11,TT_Tabelle_Riferimento!$H$31:$I$50,2,FALSE))</f>
        <v>40</v>
      </c>
      <c r="JH11" s="1077">
        <f>+IFERROR(VLOOKUP(JH$6&amp;"-"&amp;$M11&amp;"_old",Ammortamento_Finanziario!$H:$L,5,FALSE),VLOOKUP($M11,TT_Tabelle_Riferimento!$H$31:$I$50,2,FALSE))</f>
        <v>40</v>
      </c>
      <c r="JI11" s="1077">
        <f>+IFERROR(VLOOKUP(JI$6&amp;"-"&amp;$M11&amp;"_old",Ammortamento_Finanziario!$H:$L,5,FALSE),VLOOKUP($M11,TT_Tabelle_Riferimento!$H$31:$I$50,2,FALSE))</f>
        <v>40</v>
      </c>
      <c r="JJ11" s="1077">
        <f>+IFERROR(VLOOKUP(JJ$6&amp;"-"&amp;$M11&amp;"_old",Ammortamento_Finanziario!$H:$L,5,FALSE),VLOOKUP($M11,TT_Tabelle_Riferimento!$H$31:$I$50,2,FALSE))</f>
        <v>40</v>
      </c>
      <c r="JK11" s="1077">
        <f>+IFERROR(VLOOKUP(JK$6&amp;"-"&amp;$M11&amp;"_old",Ammortamento_Finanziario!$H:$L,5,FALSE),VLOOKUP($M11,TT_Tabelle_Riferimento!$H$31:$I$50,2,FALSE))</f>
        <v>40</v>
      </c>
      <c r="JL11" s="1077">
        <f>+IFERROR(VLOOKUP(JL$6&amp;"-"&amp;$M11&amp;"_old",Ammortamento_Finanziario!$H:$L,5,FALSE),VLOOKUP($M11,TT_Tabelle_Riferimento!$H$31:$I$50,2,FALSE))</f>
        <v>40</v>
      </c>
      <c r="JM11" s="1077">
        <f>+IFERROR(VLOOKUP(JM$6&amp;"-"&amp;$M11&amp;"_old",Ammortamento_Finanziario!$H:$L,5,FALSE),VLOOKUP($M11,TT_Tabelle_Riferimento!$H$31:$I$50,2,FALSE))</f>
        <v>40</v>
      </c>
      <c r="JN11" s="1077">
        <f>+IFERROR(VLOOKUP(JN$6&amp;"-"&amp;$M11&amp;"_old",Ammortamento_Finanziario!$H:$L,5,FALSE),VLOOKUP($M11,TT_Tabelle_Riferimento!$H$31:$I$50,2,FALSE))</f>
        <v>40</v>
      </c>
      <c r="JO11" s="1078">
        <f>+IFERROR(VLOOKUP(JO$6&amp;"-"&amp;$M11&amp;"_old",Ammortamento_Finanziario!$H:$L,5,FALSE),VLOOKUP($M11,TT_Tabelle_Riferimento!$H$31:$I$50,2,FALSE))</f>
        <v>40</v>
      </c>
      <c r="JP11" s="1748">
        <f>+IFERROR(VLOOKUP(JP$6&amp;"-"&amp;$M11&amp;"_old",Ammortamento_Finanziario!$H:$L,5,FALSE),VLOOKUP($M11,TT_Tabelle_Riferimento!$H$31:$I$50,2,FALSE))</f>
        <v>40</v>
      </c>
      <c r="JQ11" s="1748">
        <f>+IFERROR(VLOOKUP(JQ$6&amp;"-"&amp;$M11&amp;"_old",Ammortamento_Finanziario!$H:$L,5,FALSE),VLOOKUP($M11,TT_Tabelle_Riferimento!$H$31:$I$50,2,FALSE))</f>
        <v>40</v>
      </c>
      <c r="JR11" s="1755">
        <f>+IFERROR(VLOOKUP(JR$6&amp;"-"&amp;$M11&amp;"_old",Ammortamento_Finanziario!$H:$L,5,FALSE),VLOOKUP($M11,TT_Tabelle_Riferimento!$H$31:$I$50,2,FALSE))</f>
        <v>40</v>
      </c>
      <c r="JS11" s="1755">
        <f>+IFERROR(VLOOKUP(JS$6&amp;"-"&amp;$M11&amp;"_old",Ammortamento_Finanziario!$H:$L,5,FALSE),VLOOKUP($M11,TT_Tabelle_Riferimento!$H$31:$I$50,2,FALSE))</f>
        <v>40</v>
      </c>
      <c r="JT11" s="1755">
        <f>+IFERROR(VLOOKUP(JT$6&amp;"-"&amp;$M11&amp;"_old",Ammortamento_Finanziario!$H:$L,5,FALSE),VLOOKUP($M11,TT_Tabelle_Riferimento!$H$31:$I$50,2,FALSE))</f>
        <v>40</v>
      </c>
      <c r="JU11" s="1755">
        <f>+IFERROR(VLOOKUP(JU$6&amp;"-"&amp;$M11&amp;"_old",Ammortamento_Finanziario!$H:$L,5,FALSE),VLOOKUP($M11,TT_Tabelle_Riferimento!$H$31:$I$50,2,FALSE))</f>
        <v>40</v>
      </c>
      <c r="JV11" s="1755">
        <f>+IFERROR(VLOOKUP(JV$6&amp;"-"&amp;$M11&amp;"_old",Ammortamento_Finanziario!$H:$L,5,FALSE),VLOOKUP($M11,TT_Tabelle_Riferimento!$H$31:$I$50,2,FALSE))</f>
        <v>40</v>
      </c>
      <c r="JW11" s="1755">
        <f>+IFERROR(VLOOKUP(JW$6&amp;"-"&amp;$M11&amp;"_old",Ammortamento_Finanziario!$H:$L,5,FALSE),VLOOKUP($M11,TT_Tabelle_Riferimento!$H$31:$I$50,2,FALSE))</f>
        <v>40</v>
      </c>
      <c r="JX11" s="1078">
        <f>+IFERROR(VLOOKUP(JX$6&amp;"-"&amp;$M11&amp;"_old",Ammortamento_Finanziario!$H:$L,5,FALSE),VLOOKUP($M11,TT_Tabelle_Riferimento!$H$31:$I$50,2,FALSE))</f>
        <v>40</v>
      </c>
      <c r="JY11" s="1078">
        <f>+IFERROR(VLOOKUP(JY$6&amp;"-"&amp;$M11&amp;"_old",Ammortamento_Finanziario!$H:$L,5,FALSE),VLOOKUP($M11,TT_Tabelle_Riferimento!$H$31:$I$50,2,FALSE))</f>
        <v>40</v>
      </c>
      <c r="JZ11" s="1078">
        <f>+IFERROR(VLOOKUP(JZ$6&amp;"-"&amp;$M11&amp;"_old",Ammortamento_Finanziario!$H:$L,5,FALSE),VLOOKUP($M11,TT_Tabelle_Riferimento!$H$31:$I$50,2,FALSE))</f>
        <v>40</v>
      </c>
      <c r="KA11" s="1078">
        <f>+IFERROR(VLOOKUP(KA$6&amp;"-"&amp;$M11&amp;"_old",Ammortamento_Finanziario!$H:$L,5,FALSE),VLOOKUP($M11,TT_Tabelle_Riferimento!$H$31:$I$50,2,FALSE))</f>
        <v>40</v>
      </c>
      <c r="KB11" s="1078">
        <f>+IFERROR(VLOOKUP(KB$6&amp;"-"&amp;$M11&amp;"_old",Ammortamento_Finanziario!$H:$L,5,FALSE),VLOOKUP($M11,TT_Tabelle_Riferimento!$H$31:$I$50,2,FALSE))</f>
        <v>40</v>
      </c>
      <c r="KC11" s="1078">
        <f>+IFERROR(VLOOKUP(KC$6&amp;"-"&amp;$M11&amp;"_old",Ammortamento_Finanziario!$H:$L,5,FALSE),VLOOKUP($M11,TT_Tabelle_Riferimento!$H$31:$I$50,2,FALSE))</f>
        <v>40</v>
      </c>
      <c r="KD11" s="1078">
        <f>+IFERROR(VLOOKUP(KD$6&amp;"-"&amp;$M11&amp;"_old",Ammortamento_Finanziario!$H:$L,5,FALSE),VLOOKUP($M11,TT_Tabelle_Riferimento!$H$31:$I$50,2,FALSE))</f>
        <v>40</v>
      </c>
      <c r="KE11" s="1078">
        <f>+IFERROR(VLOOKUP(KE$6&amp;"-"&amp;$M11&amp;"_old",Ammortamento_Finanziario!$H:$L,5,FALSE),VLOOKUP($M11,TT_Tabelle_Riferimento!$H$31:$I$50,2,FALSE))</f>
        <v>40</v>
      </c>
      <c r="KF11" s="1078">
        <f>+IFERROR(VLOOKUP(KF$6&amp;"-"&amp;$M11&amp;"_old",Ammortamento_Finanziario!$H:$L,5,FALSE),VLOOKUP($M11,TT_Tabelle_Riferimento!$H$31:$I$50,2,FALSE))</f>
        <v>40</v>
      </c>
      <c r="KG11" s="1078">
        <f>+IFERROR(VLOOKUP(KG$6&amp;"-"&amp;$M11&amp;"_old",Ammortamento_Finanziario!$H:$L,5,FALSE),VLOOKUP($M11,TT_Tabelle_Riferimento!$H$31:$I$50,2,FALSE))</f>
        <v>40</v>
      </c>
      <c r="KH11" s="1078">
        <f>+IFERROR(VLOOKUP(KH$6&amp;"-"&amp;$M11&amp;"_old",Ammortamento_Finanziario!$H:$L,5,FALSE),VLOOKUP($M11,TT_Tabelle_Riferimento!$H$31:$I$50,2,FALSE))</f>
        <v>40</v>
      </c>
      <c r="KI11" s="1078">
        <f>+IFERROR(VLOOKUP(KI$6&amp;"-"&amp;$M11&amp;"_old",Ammortamento_Finanziario!$H:$L,5,FALSE),VLOOKUP($M11,TT_Tabelle_Riferimento!$H$31:$I$50,2,FALSE))</f>
        <v>40</v>
      </c>
      <c r="KJ11" s="1078">
        <f>+IFERROR(VLOOKUP(KJ$6&amp;"-"&amp;$M11&amp;"_old",Ammortamento_Finanziario!$H:$L,5,FALSE),VLOOKUP($M11,TT_Tabelle_Riferimento!$H$31:$I$50,2,FALSE))</f>
        <v>40</v>
      </c>
      <c r="KK11" s="1078">
        <f>+IFERROR(VLOOKUP(KK$6&amp;"-"&amp;$M11&amp;"_old",Ammortamento_Finanziario!$H:$L,5,FALSE),VLOOKUP($M11,TT_Tabelle_Riferimento!$H$31:$I$50,2,FALSE))</f>
        <v>40</v>
      </c>
      <c r="KL11" s="1078">
        <f>+IFERROR(VLOOKUP(KL$6&amp;"-"&amp;$M11&amp;"_old",Ammortamento_Finanziario!$H:$L,5,FALSE),VLOOKUP($M11,TT_Tabelle_Riferimento!$H$31:$I$50,2,FALSE))</f>
        <v>40</v>
      </c>
      <c r="KM11" s="1078">
        <f>+IFERROR(VLOOKUP(KM$6&amp;"-"&amp;$M11&amp;"_old",Ammortamento_Finanziario!$H:$L,5,FALSE),VLOOKUP($M11,TT_Tabelle_Riferimento!$H$31:$I$50,2,FALSE))</f>
        <v>40</v>
      </c>
      <c r="KN11" s="1078">
        <f>+IFERROR(VLOOKUP(KN$6&amp;"-"&amp;$M11&amp;"_old",Ammortamento_Finanziario!$H:$L,5,FALSE),VLOOKUP($M11,TT_Tabelle_Riferimento!$H$31:$I$50,2,FALSE))</f>
        <v>40</v>
      </c>
      <c r="KO11" s="1078">
        <f>+IFERROR(VLOOKUP(KO$6&amp;"-"&amp;$M11&amp;"_old",Ammortamento_Finanziario!$H:$L,5,FALSE),VLOOKUP($M11,TT_Tabelle_Riferimento!$H$31:$I$50,2,FALSE))</f>
        <v>40</v>
      </c>
      <c r="KP11" s="1078">
        <f>+IFERROR(VLOOKUP(KP$6&amp;"-"&amp;$M11&amp;"_old",Ammortamento_Finanziario!$H:$L,5,FALSE),VLOOKUP($M11,TT_Tabelle_Riferimento!$H$31:$I$50,2,FALSE))</f>
        <v>40</v>
      </c>
      <c r="KQ11" s="1748">
        <f>+IFERROR(VLOOKUP(KQ$6&amp;"-"&amp;$M11&amp;"_old",Ammortamento_Finanziario!$H:$L,5,FALSE),VLOOKUP($M11,TT_Tabelle_Riferimento!$H$31:$I$50,2,FALSE))</f>
        <v>40</v>
      </c>
      <c r="KR11" s="1748">
        <f>+IFERROR(VLOOKUP(KR$6&amp;"-"&amp;$M11&amp;"_old",Ammortamento_Finanziario!$H:$L,5,FALSE),VLOOKUP($M11,TT_Tabelle_Riferimento!$H$31:$I$50,2,FALSE))</f>
        <v>40</v>
      </c>
      <c r="KS11" s="1755">
        <f>+IFERROR(VLOOKUP(KS$6&amp;"-"&amp;$M11&amp;"_old",Ammortamento_Finanziario!$H:$L,5,FALSE),VLOOKUP($M11,TT_Tabelle_Riferimento!$H$31:$I$50,2,FALSE))</f>
        <v>40</v>
      </c>
      <c r="KT11" s="1755">
        <f>+IFERROR(VLOOKUP(KT$6&amp;"-"&amp;$M11&amp;"_old",Ammortamento_Finanziario!$H:$L,5,FALSE),VLOOKUP($M11,TT_Tabelle_Riferimento!$H$31:$I$50,2,FALSE))</f>
        <v>40</v>
      </c>
      <c r="KU11" s="1755">
        <f>+IFERROR(VLOOKUP(KU$6&amp;"-"&amp;$M11&amp;"_old",Ammortamento_Finanziario!$H:$L,5,FALSE),VLOOKUP($M11,TT_Tabelle_Riferimento!$H$31:$I$50,2,FALSE))</f>
        <v>40</v>
      </c>
      <c r="KV11" s="1755">
        <f>+IFERROR(VLOOKUP(KV$6&amp;"-"&amp;$M11&amp;"_old",Ammortamento_Finanziario!$H:$L,5,FALSE),VLOOKUP($M11,TT_Tabelle_Riferimento!$H$31:$I$50,2,FALSE))</f>
        <v>40</v>
      </c>
      <c r="KW11" s="1755">
        <f>+IFERROR(VLOOKUP(KW$6&amp;"-"&amp;$M11&amp;"_old",Ammortamento_Finanziario!$H:$L,5,FALSE),VLOOKUP($M11,TT_Tabelle_Riferimento!$H$31:$I$50,2,FALSE))</f>
        <v>40</v>
      </c>
      <c r="KX11" s="1755">
        <f>+IFERROR(VLOOKUP(KX$6&amp;"-"&amp;$M11&amp;"_old",Ammortamento_Finanziario!$H:$L,5,FALSE),VLOOKUP($M11,TT_Tabelle_Riferimento!$H$31:$I$50,2,FALSE))</f>
        <v>40</v>
      </c>
      <c r="KY11" s="1078">
        <f>+IFERROR(VLOOKUP(KY$6&amp;"-"&amp;$M11&amp;"_old",Ammortamento_Finanziario!$H:$L,5,FALSE),VLOOKUP($M11,TT_Tabelle_Riferimento!$H$31:$I$50,2,FALSE))</f>
        <v>40</v>
      </c>
      <c r="KZ11" s="1078">
        <f>+IFERROR(VLOOKUP(KZ$6&amp;"-"&amp;$M11&amp;"_old",Ammortamento_Finanziario!$H:$L,5,FALSE),VLOOKUP($M11,TT_Tabelle_Riferimento!$H$31:$I$50,2,FALSE))</f>
        <v>40</v>
      </c>
      <c r="LA11" s="1078">
        <f>+IFERROR(VLOOKUP(LA$6&amp;"-"&amp;$M11&amp;"_old",Ammortamento_Finanziario!$H:$L,5,FALSE),VLOOKUP($M11,TT_Tabelle_Riferimento!$H$31:$I$50,2,FALSE))</f>
        <v>40</v>
      </c>
      <c r="LB11" s="1078">
        <f>+IFERROR(VLOOKUP(LB$6&amp;"-"&amp;$M11&amp;"_old",Ammortamento_Finanziario!$H:$L,5,FALSE),VLOOKUP($M11,TT_Tabelle_Riferimento!$H$31:$I$50,2,FALSE))</f>
        <v>40</v>
      </c>
      <c r="LC11" s="1078">
        <f>+IFERROR(VLOOKUP(LC$6&amp;"-"&amp;$M11&amp;"_old",Ammortamento_Finanziario!$H:$L,5,FALSE),VLOOKUP($M11,TT_Tabelle_Riferimento!$H$31:$I$50,2,FALSE))</f>
        <v>40</v>
      </c>
      <c r="LD11" s="1078">
        <f>+IFERROR(VLOOKUP(LD$6&amp;"-"&amp;$M11&amp;"_old",Ammortamento_Finanziario!$H:$L,5,FALSE),VLOOKUP($M11,TT_Tabelle_Riferimento!$H$31:$I$50,2,FALSE))</f>
        <v>40</v>
      </c>
      <c r="LE11" s="1078">
        <f>+IFERROR(VLOOKUP(LE$6&amp;"-"&amp;$M11&amp;"_old",Ammortamento_Finanziario!$H:$L,5,FALSE),VLOOKUP($M11,TT_Tabelle_Riferimento!$H$31:$I$50,2,FALSE))</f>
        <v>40</v>
      </c>
      <c r="LF11" s="1078">
        <f>+IFERROR(VLOOKUP(LF$6&amp;"-"&amp;$M11&amp;"_old",Ammortamento_Finanziario!$H:$L,5,FALSE),VLOOKUP($M11,TT_Tabelle_Riferimento!$H$31:$I$50,2,FALSE))</f>
        <v>40</v>
      </c>
      <c r="LG11" s="1078">
        <f>+IFERROR(VLOOKUP(LG$6&amp;"-"&amp;$M11&amp;"_old",Ammortamento_Finanziario!$H:$L,5,FALSE),VLOOKUP($M11,TT_Tabelle_Riferimento!$H$31:$I$50,2,FALSE))</f>
        <v>40</v>
      </c>
      <c r="LH11" s="1078">
        <f>+IFERROR(VLOOKUP(LH$6&amp;"-"&amp;$M11&amp;"_old",Ammortamento_Finanziario!$H:$L,5,FALSE),VLOOKUP($M11,TT_Tabelle_Riferimento!$H$31:$I$50,2,FALSE))</f>
        <v>40</v>
      </c>
      <c r="LI11" s="1078">
        <f>+IFERROR(VLOOKUP(LI$6&amp;"-"&amp;$M11&amp;"_old",Ammortamento_Finanziario!$H:$L,5,FALSE),VLOOKUP($M11,TT_Tabelle_Riferimento!$H$31:$I$50,2,FALSE))</f>
        <v>40</v>
      </c>
      <c r="LJ11" s="1078">
        <f>+IFERROR(VLOOKUP(LJ$6&amp;"-"&amp;$M11&amp;"_old",Ammortamento_Finanziario!$H:$L,5,FALSE),VLOOKUP($M11,TT_Tabelle_Riferimento!$H$31:$I$50,2,FALSE))</f>
        <v>40</v>
      </c>
      <c r="LK11" s="1078">
        <f>+IFERROR(VLOOKUP(LK$6&amp;"-"&amp;$M11&amp;"_old",Ammortamento_Finanziario!$H:$L,5,FALSE),VLOOKUP($M11,TT_Tabelle_Riferimento!$H$31:$I$50,2,FALSE))</f>
        <v>40</v>
      </c>
      <c r="LL11" s="1078">
        <f>+IFERROR(VLOOKUP(LL$6&amp;"-"&amp;$M11&amp;"_old",Ammortamento_Finanziario!$H:$L,5,FALSE),VLOOKUP($M11,TT_Tabelle_Riferimento!$H$31:$I$50,2,FALSE))</f>
        <v>40</v>
      </c>
      <c r="LM11" s="1078">
        <f>+IFERROR(VLOOKUP(LM$6&amp;"-"&amp;$M11&amp;"_old",Ammortamento_Finanziario!$H:$L,5,FALSE),VLOOKUP($M11,TT_Tabelle_Riferimento!$H$31:$I$50,2,FALSE))</f>
        <v>40</v>
      </c>
      <c r="LN11" s="1078">
        <f>+IFERROR(VLOOKUP(LN$6&amp;"-"&amp;$M11&amp;"_old",Ammortamento_Finanziario!$H:$L,5,FALSE),VLOOKUP($M11,TT_Tabelle_Riferimento!$H$31:$I$50,2,FALSE))</f>
        <v>40</v>
      </c>
      <c r="LO11" s="1078">
        <f>+IFERROR(VLOOKUP(LO$6&amp;"-"&amp;$M11&amp;"_old",Ammortamento_Finanziario!$H:$L,5,FALSE),VLOOKUP($M11,TT_Tabelle_Riferimento!$H$31:$I$50,2,FALSE))</f>
        <v>40</v>
      </c>
      <c r="LP11" s="1078">
        <f>+IFERROR(VLOOKUP(LP$6&amp;"-"&amp;$M11&amp;"_old",Ammortamento_Finanziario!$H:$L,5,FALSE),VLOOKUP($M11,TT_Tabelle_Riferimento!$H$31:$I$50,2,FALSE))</f>
        <v>40</v>
      </c>
      <c r="LQ11" s="1078">
        <f>+IFERROR(VLOOKUP(LQ$6&amp;"-"&amp;$M11&amp;"_old",Ammortamento_Finanziario!$H:$L,5,FALSE),VLOOKUP($M11,TT_Tabelle_Riferimento!$H$31:$I$50,2,FALSE))</f>
        <v>40</v>
      </c>
      <c r="LR11" s="1748">
        <f>+IFERROR(VLOOKUP(LR$6&amp;"-"&amp;$M11&amp;"_old",Ammortamento_Finanziario!$H:$L,5,FALSE),VLOOKUP($M11,TT_Tabelle_Riferimento!$H$31:$I$50,2,FALSE))</f>
        <v>40</v>
      </c>
      <c r="LS11" s="1755">
        <f>+IFERROR(VLOOKUP(LS$6&amp;"-"&amp;$M11&amp;"_old",Ammortamento_Finanziario!$H:$L,5,FALSE),VLOOKUP($M11,TT_Tabelle_Riferimento!$H$31:$I$50,2,FALSE))</f>
        <v>40</v>
      </c>
      <c r="LT11" s="1755">
        <f>+IFERROR(VLOOKUP(LT$6&amp;"-"&amp;$M11&amp;"_old",Ammortamento_Finanziario!$H:$L,5,FALSE),VLOOKUP($M11,TT_Tabelle_Riferimento!$H$31:$I$50,2,FALSE))</f>
        <v>40</v>
      </c>
      <c r="LU11" s="1755">
        <f>+IFERROR(VLOOKUP(LU$6&amp;"-"&amp;$M11&amp;"_old",Ammortamento_Finanziario!$H:$L,5,FALSE),VLOOKUP($M11,TT_Tabelle_Riferimento!$H$31:$I$50,2,FALSE))</f>
        <v>40</v>
      </c>
      <c r="LV11" s="1755">
        <f>+IFERROR(VLOOKUP(LV$6&amp;"-"&amp;$M11&amp;"_old",Ammortamento_Finanziario!$H:$L,5,FALSE),VLOOKUP($M11,TT_Tabelle_Riferimento!$H$31:$I$50,2,FALSE))</f>
        <v>40</v>
      </c>
      <c r="LW11" s="1755">
        <f>+IFERROR(VLOOKUP(LW$6&amp;"-"&amp;$M11&amp;"_old",Ammortamento_Finanziario!$H:$L,5,FALSE),VLOOKUP($M11,TT_Tabelle_Riferimento!$H$31:$I$50,2,FALSE))</f>
        <v>40</v>
      </c>
      <c r="LX11" s="1755">
        <f>+IFERROR(VLOOKUP(LX$6&amp;"-"&amp;$M11&amp;"_old",Ammortamento_Finanziario!$H:$L,5,FALSE),VLOOKUP($M11,TT_Tabelle_Riferimento!$H$31:$I$50,2,FALSE))</f>
        <v>40</v>
      </c>
      <c r="LY11" s="1078">
        <f>+IFERROR(VLOOKUP(LY$6&amp;"-"&amp;$M11&amp;"_old",Ammortamento_Finanziario!$H:$L,5,FALSE),VLOOKUP($M11,TT_Tabelle_Riferimento!$H$31:$I$50,2,FALSE))</f>
        <v>40</v>
      </c>
      <c r="LZ11" s="1078">
        <f>+IFERROR(VLOOKUP(LZ$6&amp;"-"&amp;$M11&amp;"_old",Ammortamento_Finanziario!$H:$L,5,FALSE),VLOOKUP($M11,TT_Tabelle_Riferimento!$H$31:$I$50,2,FALSE))</f>
        <v>40</v>
      </c>
      <c r="MA11" s="1078">
        <f>+IFERROR(VLOOKUP(MA$6&amp;"-"&amp;$M11&amp;"_old",Ammortamento_Finanziario!$H:$L,5,FALSE),VLOOKUP($M11,TT_Tabelle_Riferimento!$H$31:$I$50,2,FALSE))</f>
        <v>40</v>
      </c>
      <c r="MB11" s="1078">
        <f>+IFERROR(VLOOKUP(MB$6&amp;"-"&amp;$M11&amp;"_old",Ammortamento_Finanziario!$H:$L,5,FALSE),VLOOKUP($M11,TT_Tabelle_Riferimento!$H$31:$I$50,2,FALSE))</f>
        <v>40</v>
      </c>
      <c r="MC11" s="1078">
        <f>+IFERROR(VLOOKUP(MC$6&amp;"-"&amp;$M11&amp;"_old",Ammortamento_Finanziario!$H:$L,5,FALSE),VLOOKUP($M11,TT_Tabelle_Riferimento!$H$31:$I$50,2,FALSE))</f>
        <v>40</v>
      </c>
      <c r="MD11" s="1078">
        <f>+IFERROR(VLOOKUP(MD$6&amp;"-"&amp;$M11&amp;"_old",Ammortamento_Finanziario!$H:$L,5,FALSE),VLOOKUP($M11,TT_Tabelle_Riferimento!$H$31:$I$50,2,FALSE))</f>
        <v>40</v>
      </c>
      <c r="ME11" s="1078">
        <f>+IFERROR(VLOOKUP(ME$6&amp;"-"&amp;$M11&amp;"_old",Ammortamento_Finanziario!$H:$L,5,FALSE),VLOOKUP($M11,TT_Tabelle_Riferimento!$H$31:$I$50,2,FALSE))</f>
        <v>40</v>
      </c>
      <c r="MF11" s="1078">
        <f>+IFERROR(VLOOKUP(MF$6&amp;"-"&amp;$M11&amp;"_old",Ammortamento_Finanziario!$H:$L,5,FALSE),VLOOKUP($M11,TT_Tabelle_Riferimento!$H$31:$I$50,2,FALSE))</f>
        <v>40</v>
      </c>
      <c r="MG11" s="1078">
        <f>+IFERROR(VLOOKUP(MG$6&amp;"-"&amp;$M11&amp;"_old",Ammortamento_Finanziario!$H:$L,5,FALSE),VLOOKUP($M11,TT_Tabelle_Riferimento!$H$31:$I$50,2,FALSE))</f>
        <v>40</v>
      </c>
      <c r="MH11" s="1078">
        <f>+IFERROR(VLOOKUP(MH$6&amp;"-"&amp;$M11&amp;"_old",Ammortamento_Finanziario!$H:$L,5,FALSE),VLOOKUP($M11,TT_Tabelle_Riferimento!$H$31:$I$50,2,FALSE))</f>
        <v>40</v>
      </c>
      <c r="MI11" s="1078">
        <f>+IFERROR(VLOOKUP(MI$6&amp;"-"&amp;$M11&amp;"_old",Ammortamento_Finanziario!$H:$L,5,FALSE),VLOOKUP($M11,TT_Tabelle_Riferimento!$H$31:$I$50,2,FALSE))</f>
        <v>40</v>
      </c>
      <c r="MJ11" s="1078">
        <f>+IFERROR(VLOOKUP(MJ$6&amp;"-"&amp;$M11&amp;"_old",Ammortamento_Finanziario!$H:$L,5,FALSE),VLOOKUP($M11,TT_Tabelle_Riferimento!$H$31:$I$50,2,FALSE))</f>
        <v>40</v>
      </c>
      <c r="MK11" s="1078">
        <f>+IFERROR(VLOOKUP(MK$6&amp;"-"&amp;$M11&amp;"_old",Ammortamento_Finanziario!$H:$L,5,FALSE),VLOOKUP($M11,TT_Tabelle_Riferimento!$H$31:$I$50,2,FALSE))</f>
        <v>40</v>
      </c>
      <c r="ML11" s="1078">
        <f>+IFERROR(VLOOKUP(ML$6&amp;"-"&amp;$M11&amp;"_old",Ammortamento_Finanziario!$H:$L,5,FALSE),VLOOKUP($M11,TT_Tabelle_Riferimento!$H$31:$I$50,2,FALSE))</f>
        <v>40</v>
      </c>
      <c r="MM11" s="1078">
        <f>+IFERROR(VLOOKUP(MM$6&amp;"-"&amp;$M11&amp;"_old",Ammortamento_Finanziario!$H:$L,5,FALSE),VLOOKUP($M11,TT_Tabelle_Riferimento!$H$31:$I$50,2,FALSE))</f>
        <v>40</v>
      </c>
      <c r="MN11" s="1078">
        <f>+IFERROR(VLOOKUP(MN$6&amp;"-"&amp;$M11&amp;"_old",Ammortamento_Finanziario!$H:$L,5,FALSE),VLOOKUP($M11,TT_Tabelle_Riferimento!$H$31:$I$50,2,FALSE))</f>
        <v>40</v>
      </c>
      <c r="MO11" s="1078">
        <f>+IFERROR(VLOOKUP(MO$6&amp;"-"&amp;$M11&amp;"_old",Ammortamento_Finanziario!$H:$L,5,FALSE),VLOOKUP($M11,TT_Tabelle_Riferimento!$H$31:$I$50,2,FALSE))</f>
        <v>40</v>
      </c>
      <c r="MP11" s="1078">
        <f>+IFERROR(VLOOKUP(MP$6&amp;"-"&amp;$M11&amp;"_old",Ammortamento_Finanziario!$H:$L,5,FALSE),VLOOKUP($M11,TT_Tabelle_Riferimento!$H$31:$I$50,2,FALSE))</f>
        <v>40</v>
      </c>
      <c r="MQ11" s="1078">
        <f>+IFERROR(VLOOKUP(MQ$6&amp;"-"&amp;$M11&amp;"_old",Ammortamento_Finanziario!$H:$L,5,FALSE),VLOOKUP($M11,TT_Tabelle_Riferimento!$H$31:$I$50,2,FALSE))</f>
        <v>40</v>
      </c>
      <c r="MR11" s="1755">
        <f>+IFERROR(VLOOKUP(MR$6&amp;"-"&amp;$M11&amp;"_old",Ammortamento_Finanziario!$H:$L,5,FALSE),VLOOKUP($M11,TT_Tabelle_Riferimento!$H$31:$I$50,2,FALSE))</f>
        <v>40</v>
      </c>
      <c r="MS11" s="1755">
        <f>+IFERROR(VLOOKUP(MS$6&amp;"-"&amp;$M11&amp;"_old",Ammortamento_Finanziario!$H:$L,5,FALSE),VLOOKUP($M11,TT_Tabelle_Riferimento!$H$31:$I$50,2,FALSE))</f>
        <v>40</v>
      </c>
      <c r="MT11" s="1755">
        <f>+IFERROR(VLOOKUP(MT$6&amp;"-"&amp;$M11&amp;"_old",Ammortamento_Finanziario!$H:$L,5,FALSE),VLOOKUP($M11,TT_Tabelle_Riferimento!$H$31:$I$50,2,FALSE))</f>
        <v>40</v>
      </c>
      <c r="MU11" s="1755">
        <f>+IFERROR(VLOOKUP(MU$6&amp;"-"&amp;$M11&amp;"_old",Ammortamento_Finanziario!$H:$L,5,FALSE),VLOOKUP($M11,TT_Tabelle_Riferimento!$H$31:$I$50,2,FALSE))</f>
        <v>40</v>
      </c>
      <c r="MV11" s="1755">
        <f>+IFERROR(VLOOKUP(MV$6&amp;"-"&amp;$M11&amp;"_old",Ammortamento_Finanziario!$H:$L,5,FALSE),VLOOKUP($M11,TT_Tabelle_Riferimento!$H$31:$I$50,2,FALSE))</f>
        <v>40</v>
      </c>
      <c r="MW11" s="1755">
        <f>+IFERROR(VLOOKUP(MW$6&amp;"-"&amp;$M11&amp;"_old",Ammortamento_Finanziario!$H:$L,5,FALSE),VLOOKUP($M11,TT_Tabelle_Riferimento!$H$31:$I$50,2,FALSE))</f>
        <v>40</v>
      </c>
      <c r="MX11" s="1078">
        <f>+IFERROR(VLOOKUP(MX$6&amp;"-"&amp;$M11&amp;"_old",Ammortamento_Finanziario!$H:$L,5,FALSE),VLOOKUP($M11,TT_Tabelle_Riferimento!$H$31:$I$50,2,FALSE))</f>
        <v>40</v>
      </c>
      <c r="MY11" s="1078">
        <f>+IFERROR(VLOOKUP(MY$6&amp;"-"&amp;$M11&amp;"_old",Ammortamento_Finanziario!$H:$L,5,FALSE),VLOOKUP($M11,TT_Tabelle_Riferimento!$H$31:$I$50,2,FALSE))</f>
        <v>40</v>
      </c>
      <c r="MZ11" s="1078">
        <f>+IFERROR(VLOOKUP(MZ$6&amp;"-"&amp;$M11&amp;"_old",Ammortamento_Finanziario!$H:$L,5,FALSE),VLOOKUP($M11,TT_Tabelle_Riferimento!$H$31:$I$50,2,FALSE))</f>
        <v>40</v>
      </c>
      <c r="NA11" s="1078">
        <f>+IFERROR(VLOOKUP(NA$6&amp;"-"&amp;$M11&amp;"_old",Ammortamento_Finanziario!$H:$L,5,FALSE),VLOOKUP($M11,TT_Tabelle_Riferimento!$H$31:$I$50,2,FALSE))</f>
        <v>40</v>
      </c>
      <c r="NB11" s="1078">
        <f>+IFERROR(VLOOKUP(NB$6&amp;"-"&amp;$M11&amp;"_old",Ammortamento_Finanziario!$H:$L,5,FALSE),VLOOKUP($M11,TT_Tabelle_Riferimento!$H$31:$I$50,2,FALSE))</f>
        <v>40</v>
      </c>
      <c r="NC11" s="1078">
        <f>+IFERROR(VLOOKUP(NC$6&amp;"-"&amp;$M11&amp;"_old",Ammortamento_Finanziario!$H:$L,5,FALSE),VLOOKUP($M11,TT_Tabelle_Riferimento!$H$31:$I$50,2,FALSE))</f>
        <v>40</v>
      </c>
      <c r="ND11" s="1078">
        <f>+IFERROR(VLOOKUP(ND$6&amp;"-"&amp;$M11&amp;"_old",Ammortamento_Finanziario!$H:$L,5,FALSE),VLOOKUP($M11,TT_Tabelle_Riferimento!$H$31:$I$50,2,FALSE))</f>
        <v>40</v>
      </c>
      <c r="NE11" s="1078">
        <f>+IFERROR(VLOOKUP(NE$6&amp;"-"&amp;$M11&amp;"_old",Ammortamento_Finanziario!$H:$L,5,FALSE),VLOOKUP($M11,TT_Tabelle_Riferimento!$H$31:$I$50,2,FALSE))</f>
        <v>40</v>
      </c>
      <c r="NF11" s="1078">
        <f>+IFERROR(VLOOKUP(NF$6&amp;"-"&amp;$M11&amp;"_old",Ammortamento_Finanziario!$H:$L,5,FALSE),VLOOKUP($M11,TT_Tabelle_Riferimento!$H$31:$I$50,2,FALSE))</f>
        <v>40</v>
      </c>
      <c r="NG11" s="1078">
        <f>+IFERROR(VLOOKUP(NG$6&amp;"-"&amp;$M11&amp;"_old",Ammortamento_Finanziario!$H:$L,5,FALSE),VLOOKUP($M11,TT_Tabelle_Riferimento!$H$31:$I$50,2,FALSE))</f>
        <v>40</v>
      </c>
      <c r="NH11" s="1078">
        <f>+IFERROR(VLOOKUP(NH$6&amp;"-"&amp;$M11&amp;"_old",Ammortamento_Finanziario!$H:$L,5,FALSE),VLOOKUP($M11,TT_Tabelle_Riferimento!$H$31:$I$50,2,FALSE))</f>
        <v>40</v>
      </c>
      <c r="NI11" s="1078">
        <f>+IFERROR(VLOOKUP(NI$6&amp;"-"&amp;$M11&amp;"_old",Ammortamento_Finanziario!$H:$L,5,FALSE),VLOOKUP($M11,TT_Tabelle_Riferimento!$H$31:$I$50,2,FALSE))</f>
        <v>40</v>
      </c>
      <c r="NJ11" s="1078">
        <f>+IFERROR(VLOOKUP(NJ$6&amp;"-"&amp;$M11&amp;"_old",Ammortamento_Finanziario!$H:$L,5,FALSE),VLOOKUP($M11,TT_Tabelle_Riferimento!$H$31:$I$50,2,FALSE))</f>
        <v>40</v>
      </c>
      <c r="NK11" s="1078">
        <f>+IFERROR(VLOOKUP(NK$6&amp;"-"&amp;$M11&amp;"_old",Ammortamento_Finanziario!$H:$L,5,FALSE),VLOOKUP($M11,TT_Tabelle_Riferimento!$H$31:$I$50,2,FALSE))</f>
        <v>40</v>
      </c>
      <c r="NL11" s="1078">
        <f>+IFERROR(VLOOKUP(NL$6&amp;"-"&amp;$M11&amp;"_old",Ammortamento_Finanziario!$H:$L,5,FALSE),VLOOKUP($M11,TT_Tabelle_Riferimento!$H$31:$I$50,2,FALSE))</f>
        <v>40</v>
      </c>
      <c r="NM11" s="1078">
        <f>+IFERROR(VLOOKUP(NM$6&amp;"-"&amp;$M11&amp;"_old",Ammortamento_Finanziario!$H:$L,5,FALSE),VLOOKUP($M11,TT_Tabelle_Riferimento!$H$31:$I$50,2,FALSE))</f>
        <v>40</v>
      </c>
      <c r="NN11" s="1078">
        <f>+IFERROR(VLOOKUP(NN$6&amp;"-"&amp;$M11&amp;"_old",Ammortamento_Finanziario!$H:$L,5,FALSE),VLOOKUP($M11,TT_Tabelle_Riferimento!$H$31:$I$50,2,FALSE))</f>
        <v>40</v>
      </c>
      <c r="NO11" s="1078">
        <f>+IFERROR(VLOOKUP(NO$6&amp;"-"&amp;$M11&amp;"_old",Ammortamento_Finanziario!$H:$L,5,FALSE),VLOOKUP($M11,TT_Tabelle_Riferimento!$H$31:$I$50,2,FALSE))</f>
        <v>40</v>
      </c>
      <c r="NP11" s="1078">
        <f>+IFERROR(VLOOKUP(NP$6&amp;"-"&amp;$M11&amp;"_old",Ammortamento_Finanziario!$H:$L,5,FALSE),VLOOKUP($M11,TT_Tabelle_Riferimento!$H$31:$I$50,2,FALSE))</f>
        <v>40</v>
      </c>
      <c r="NQ11" s="1755">
        <f>+IFERROR(VLOOKUP(NQ$6&amp;"-"&amp;$M11&amp;"_old",Ammortamento_Finanziario!$H:$L,5,FALSE),VLOOKUP($M11,TT_Tabelle_Riferimento!$H$31:$I$50,2,FALSE))</f>
        <v>40</v>
      </c>
      <c r="NR11" s="1755">
        <f>+IFERROR(VLOOKUP(NR$6&amp;"-"&amp;$M11&amp;"_old",Ammortamento_Finanziario!$H:$L,5,FALSE),VLOOKUP($M11,TT_Tabelle_Riferimento!$H$31:$I$50,2,FALSE))</f>
        <v>40</v>
      </c>
      <c r="NS11" s="1755">
        <f>+IFERROR(VLOOKUP(NS$6&amp;"-"&amp;$M11&amp;"_old",Ammortamento_Finanziario!$H:$L,5,FALSE),VLOOKUP($M11,TT_Tabelle_Riferimento!$H$31:$I$50,2,FALSE))</f>
        <v>40</v>
      </c>
      <c r="NT11" s="1755">
        <f>+IFERROR(VLOOKUP(NT$6&amp;"-"&amp;$M11&amp;"_old",Ammortamento_Finanziario!$H:$L,5,FALSE),VLOOKUP($M11,TT_Tabelle_Riferimento!$H$31:$I$50,2,FALSE))</f>
        <v>40</v>
      </c>
      <c r="NU11" s="1755">
        <f>+IFERROR(VLOOKUP(NU$6&amp;"-"&amp;$M11&amp;"_old",Ammortamento_Finanziario!$H:$L,5,FALSE),VLOOKUP($M11,TT_Tabelle_Riferimento!$H$31:$I$50,2,FALSE))</f>
        <v>40</v>
      </c>
      <c r="NV11" s="1078">
        <f>+IFERROR(VLOOKUP(NV$6&amp;"-"&amp;$M11&amp;"_old",Ammortamento_Finanziario!$H:$L,5,FALSE),VLOOKUP($M11,TT_Tabelle_Riferimento!$H$31:$I$50,2,FALSE))</f>
        <v>40</v>
      </c>
      <c r="NW11" s="1078">
        <f>+IFERROR(VLOOKUP(NW$6&amp;"-"&amp;$M11&amp;"_old",Ammortamento_Finanziario!$H:$L,5,FALSE),VLOOKUP($M11,TT_Tabelle_Riferimento!$H$31:$I$50,2,FALSE))</f>
        <v>40</v>
      </c>
      <c r="NX11" s="1078">
        <f>+IFERROR(VLOOKUP(NX$6&amp;"-"&amp;$M11&amp;"_old",Ammortamento_Finanziario!$H:$L,5,FALSE),VLOOKUP($M11,TT_Tabelle_Riferimento!$H$31:$I$50,2,FALSE))</f>
        <v>40</v>
      </c>
      <c r="NY11" s="1078">
        <f>+IFERROR(VLOOKUP(NY$6&amp;"-"&amp;$M11&amp;"_old",Ammortamento_Finanziario!$H:$L,5,FALSE),VLOOKUP($M11,TT_Tabelle_Riferimento!$H$31:$I$50,2,FALSE))</f>
        <v>40</v>
      </c>
      <c r="NZ11" s="1078">
        <f>+IFERROR(VLOOKUP(NZ$6&amp;"-"&amp;$M11&amp;"_old",Ammortamento_Finanziario!$H:$L,5,FALSE),VLOOKUP($M11,TT_Tabelle_Riferimento!$H$31:$I$50,2,FALSE))</f>
        <v>40</v>
      </c>
      <c r="OA11" s="1078">
        <f>+IFERROR(VLOOKUP(OA$6&amp;"-"&amp;$M11&amp;"_old",Ammortamento_Finanziario!$H:$L,5,FALSE),VLOOKUP($M11,TT_Tabelle_Riferimento!$H$31:$I$50,2,FALSE))</f>
        <v>40</v>
      </c>
      <c r="OB11" s="1078">
        <f>+IFERROR(VLOOKUP(OB$6&amp;"-"&amp;$M11&amp;"_old",Ammortamento_Finanziario!$H:$L,5,FALSE),VLOOKUP($M11,TT_Tabelle_Riferimento!$H$31:$I$50,2,FALSE))</f>
        <v>40</v>
      </c>
      <c r="OC11" s="1078">
        <f>+IFERROR(VLOOKUP(OC$6&amp;"-"&amp;$M11&amp;"_old",Ammortamento_Finanziario!$H:$L,5,FALSE),VLOOKUP($M11,TT_Tabelle_Riferimento!$H$31:$I$50,2,FALSE))</f>
        <v>40</v>
      </c>
      <c r="OD11" s="1078">
        <f>+IFERROR(VLOOKUP(OD$6&amp;"-"&amp;$M11&amp;"_old",Ammortamento_Finanziario!$H:$L,5,FALSE),VLOOKUP($M11,TT_Tabelle_Riferimento!$H$31:$I$50,2,FALSE))</f>
        <v>40</v>
      </c>
      <c r="OE11" s="1078">
        <f>+IFERROR(VLOOKUP(OE$6&amp;"-"&amp;$M11&amp;"_old",Ammortamento_Finanziario!$H:$L,5,FALSE),VLOOKUP($M11,TT_Tabelle_Riferimento!$H$31:$I$50,2,FALSE))</f>
        <v>40</v>
      </c>
      <c r="OF11" s="1078">
        <f>+IFERROR(VLOOKUP(OF$6&amp;"-"&amp;$M11&amp;"_old",Ammortamento_Finanziario!$H:$L,5,FALSE),VLOOKUP($M11,TT_Tabelle_Riferimento!$H$31:$I$50,2,FALSE))</f>
        <v>40</v>
      </c>
      <c r="OG11" s="1078">
        <f>+IFERROR(VLOOKUP(OG$6&amp;"-"&amp;$M11&amp;"_old",Ammortamento_Finanziario!$H:$L,5,FALSE),VLOOKUP($M11,TT_Tabelle_Riferimento!$H$31:$I$50,2,FALSE))</f>
        <v>40</v>
      </c>
      <c r="OH11" s="1078">
        <f>+IFERROR(VLOOKUP(OH$6&amp;"-"&amp;$M11&amp;"_old",Ammortamento_Finanziario!$H:$L,5,FALSE),VLOOKUP($M11,TT_Tabelle_Riferimento!$H$31:$I$50,2,FALSE))</f>
        <v>40</v>
      </c>
      <c r="OI11" s="1078">
        <f>+IFERROR(VLOOKUP(OI$6&amp;"-"&amp;$M11&amp;"_old",Ammortamento_Finanziario!$H:$L,5,FALSE),VLOOKUP($M11,TT_Tabelle_Riferimento!$H$31:$I$50,2,FALSE))</f>
        <v>40</v>
      </c>
      <c r="OJ11" s="1078">
        <f>+IFERROR(VLOOKUP(OJ$6&amp;"-"&amp;$M11&amp;"_old",Ammortamento_Finanziario!$H:$L,5,FALSE),VLOOKUP($M11,TT_Tabelle_Riferimento!$H$31:$I$50,2,FALSE))</f>
        <v>40</v>
      </c>
      <c r="OK11" s="1078">
        <f>+IFERROR(VLOOKUP(OK$6&amp;"-"&amp;$M11&amp;"_old",Ammortamento_Finanziario!$H:$L,5,FALSE),VLOOKUP($M11,TT_Tabelle_Riferimento!$H$31:$I$50,2,FALSE))</f>
        <v>40</v>
      </c>
      <c r="OL11" s="1078">
        <f>+IFERROR(VLOOKUP(OL$6&amp;"-"&amp;$M11&amp;"_old",Ammortamento_Finanziario!$H:$L,5,FALSE),VLOOKUP($M11,TT_Tabelle_Riferimento!$H$31:$I$50,2,FALSE))</f>
        <v>40</v>
      </c>
      <c r="OM11" s="1078">
        <f>+IFERROR(VLOOKUP(OM$6&amp;"-"&amp;$M11&amp;"_old",Ammortamento_Finanziario!$H:$L,5,FALSE),VLOOKUP($M11,TT_Tabelle_Riferimento!$H$31:$I$50,2,FALSE))</f>
        <v>40</v>
      </c>
      <c r="ON11" s="1078">
        <f>+IFERROR(VLOOKUP(ON$6&amp;"-"&amp;$M11&amp;"_old",Ammortamento_Finanziario!$H:$L,5,FALSE),VLOOKUP($M11,TT_Tabelle_Riferimento!$H$31:$I$50,2,FALSE))</f>
        <v>40</v>
      </c>
      <c r="OO11" s="1755">
        <f>+IFERROR(VLOOKUP(OO$6&amp;"-"&amp;$M11&amp;"_old",Ammortamento_Finanziario!$H:$L,5,FALSE),VLOOKUP($M11,TT_Tabelle_Riferimento!$H$31:$I$50,2,FALSE))</f>
        <v>40</v>
      </c>
      <c r="OP11" s="1755">
        <f>+IFERROR(VLOOKUP(OP$6&amp;"-"&amp;$M11&amp;"_old",Ammortamento_Finanziario!$H:$L,5,FALSE),VLOOKUP($M11,TT_Tabelle_Riferimento!$H$31:$I$50,2,FALSE))</f>
        <v>40</v>
      </c>
      <c r="OQ11" s="1755">
        <f>+IFERROR(VLOOKUP(OQ$6&amp;"-"&amp;$M11&amp;"_old",Ammortamento_Finanziario!$H:$L,5,FALSE),VLOOKUP($M11,TT_Tabelle_Riferimento!$H$31:$I$50,2,FALSE))</f>
        <v>40</v>
      </c>
      <c r="OR11" s="1755">
        <f>+IFERROR(VLOOKUP(OR$6&amp;"-"&amp;$M11&amp;"_old",Ammortamento_Finanziario!$H:$L,5,FALSE),VLOOKUP($M11,TT_Tabelle_Riferimento!$H$31:$I$50,2,FALSE))</f>
        <v>40</v>
      </c>
      <c r="OS11" s="1078">
        <f>+IFERROR(VLOOKUP(OS$6&amp;"-"&amp;$M11&amp;"_old",Ammortamento_Finanziario!$H:$L,5,FALSE),VLOOKUP($M11,TT_Tabelle_Riferimento!$H$31:$I$50,2,FALSE))</f>
        <v>40</v>
      </c>
      <c r="OT11" s="1078">
        <f>+IFERROR(VLOOKUP(OT$6&amp;"-"&amp;$M11&amp;"_old",Ammortamento_Finanziario!$H:$L,5,FALSE),VLOOKUP($M11,TT_Tabelle_Riferimento!$H$31:$I$50,2,FALSE))</f>
        <v>40</v>
      </c>
      <c r="OU11" s="1078">
        <f>+IFERROR(VLOOKUP(OU$6&amp;"-"&amp;$M11&amp;"_old",Ammortamento_Finanziario!$H:$L,5,FALSE),VLOOKUP($M11,TT_Tabelle_Riferimento!$H$31:$I$50,2,FALSE))</f>
        <v>40</v>
      </c>
      <c r="OV11" s="1078">
        <f>+IFERROR(VLOOKUP(OV$6&amp;"-"&amp;$M11&amp;"_old",Ammortamento_Finanziario!$H:$L,5,FALSE),VLOOKUP($M11,TT_Tabelle_Riferimento!$H$31:$I$50,2,FALSE))</f>
        <v>40</v>
      </c>
      <c r="OW11" s="1078">
        <f>+IFERROR(VLOOKUP(OW$6&amp;"-"&amp;$M11&amp;"_old",Ammortamento_Finanziario!$H:$L,5,FALSE),VLOOKUP($M11,TT_Tabelle_Riferimento!$H$31:$I$50,2,FALSE))</f>
        <v>40</v>
      </c>
      <c r="OX11" s="1078">
        <f>+IFERROR(VLOOKUP(OX$6&amp;"-"&amp;$M11&amp;"_old",Ammortamento_Finanziario!$H:$L,5,FALSE),VLOOKUP($M11,TT_Tabelle_Riferimento!$H$31:$I$50,2,FALSE))</f>
        <v>40</v>
      </c>
      <c r="OY11" s="1078">
        <f>+IFERROR(VLOOKUP(OY$6&amp;"-"&amp;$M11&amp;"_old",Ammortamento_Finanziario!$H:$L,5,FALSE),VLOOKUP($M11,TT_Tabelle_Riferimento!$H$31:$I$50,2,FALSE))</f>
        <v>40</v>
      </c>
      <c r="OZ11" s="1078">
        <f>+IFERROR(VLOOKUP(OZ$6&amp;"-"&amp;$M11&amp;"_old",Ammortamento_Finanziario!$H:$L,5,FALSE),VLOOKUP($M11,TT_Tabelle_Riferimento!$H$31:$I$50,2,FALSE))</f>
        <v>40</v>
      </c>
      <c r="PA11" s="1078">
        <f>+IFERROR(VLOOKUP(PA$6&amp;"-"&amp;$M11&amp;"_old",Ammortamento_Finanziario!$H:$L,5,FALSE),VLOOKUP($M11,TT_Tabelle_Riferimento!$H$31:$I$50,2,FALSE))</f>
        <v>40</v>
      </c>
      <c r="PB11" s="1078">
        <f>+IFERROR(VLOOKUP(PB$6&amp;"-"&amp;$M11&amp;"_old",Ammortamento_Finanziario!$H:$L,5,FALSE),VLOOKUP($M11,TT_Tabelle_Riferimento!$H$31:$I$50,2,FALSE))</f>
        <v>40</v>
      </c>
      <c r="PC11" s="1078">
        <f>+IFERROR(VLOOKUP(PC$6&amp;"-"&amp;$M11&amp;"_old",Ammortamento_Finanziario!$H:$L,5,FALSE),VLOOKUP($M11,TT_Tabelle_Riferimento!$H$31:$I$50,2,FALSE))</f>
        <v>40</v>
      </c>
      <c r="PD11" s="1078">
        <f>+IFERROR(VLOOKUP(PD$6&amp;"-"&amp;$M11&amp;"_old",Ammortamento_Finanziario!$H:$L,5,FALSE),VLOOKUP($M11,TT_Tabelle_Riferimento!$H$31:$I$50,2,FALSE))</f>
        <v>40</v>
      </c>
      <c r="PE11" s="1078">
        <f>+IFERROR(VLOOKUP(PE$6&amp;"-"&amp;$M11&amp;"_old",Ammortamento_Finanziario!$H:$L,5,FALSE),VLOOKUP($M11,TT_Tabelle_Riferimento!$H$31:$I$50,2,FALSE))</f>
        <v>40</v>
      </c>
      <c r="PF11" s="1078">
        <f>+IFERROR(VLOOKUP(PF$6&amp;"-"&amp;$M11&amp;"_old",Ammortamento_Finanziario!$H:$L,5,FALSE),VLOOKUP($M11,TT_Tabelle_Riferimento!$H$31:$I$50,2,FALSE))</f>
        <v>40</v>
      </c>
      <c r="PG11" s="1078">
        <f>+IFERROR(VLOOKUP(PG$6&amp;"-"&amp;$M11&amp;"_old",Ammortamento_Finanziario!$H:$L,5,FALSE),VLOOKUP($M11,TT_Tabelle_Riferimento!$H$31:$I$50,2,FALSE))</f>
        <v>40</v>
      </c>
      <c r="PH11" s="1078">
        <f>+IFERROR(VLOOKUP(PH$6&amp;"-"&amp;$M11&amp;"_old",Ammortamento_Finanziario!$H:$L,5,FALSE),VLOOKUP($M11,TT_Tabelle_Riferimento!$H$31:$I$50,2,FALSE))</f>
        <v>40</v>
      </c>
      <c r="PI11" s="1078">
        <f>+IFERROR(VLOOKUP(PI$6&amp;"-"&amp;$M11&amp;"_old",Ammortamento_Finanziario!$H:$L,5,FALSE),VLOOKUP($M11,TT_Tabelle_Riferimento!$H$31:$I$50,2,FALSE))</f>
        <v>40</v>
      </c>
      <c r="PJ11" s="1078">
        <f>+IFERROR(VLOOKUP(PJ$6&amp;"-"&amp;$M11&amp;"_old",Ammortamento_Finanziario!$H:$L,5,FALSE),VLOOKUP($M11,TT_Tabelle_Riferimento!$H$31:$I$50,2,FALSE))</f>
        <v>40</v>
      </c>
      <c r="PK11" s="1078">
        <f>+IFERROR(VLOOKUP(PK$6&amp;"-"&amp;$M11&amp;"_old",Ammortamento_Finanziario!$H:$L,5,FALSE),VLOOKUP($M11,TT_Tabelle_Riferimento!$H$31:$I$50,2,FALSE))</f>
        <v>40</v>
      </c>
      <c r="PL11" s="1755">
        <f>+IFERROR(VLOOKUP(PL$6&amp;"-"&amp;$M11&amp;"_old",Ammortamento_Finanziario!$H:$L,5,FALSE),VLOOKUP($M11,TT_Tabelle_Riferimento!$H$31:$I$50,2,FALSE))</f>
        <v>40</v>
      </c>
      <c r="PM11" s="1755">
        <f>+IFERROR(VLOOKUP(PM$6&amp;"-"&amp;$M11&amp;"_old",Ammortamento_Finanziario!$H:$L,5,FALSE),VLOOKUP($M11,TT_Tabelle_Riferimento!$H$31:$I$50,2,FALSE))</f>
        <v>40</v>
      </c>
      <c r="PN11" s="1755">
        <f>+IFERROR(VLOOKUP(PN$6&amp;"-"&amp;$M11&amp;"_old",Ammortamento_Finanziario!$H:$L,5,FALSE),VLOOKUP($M11,TT_Tabelle_Riferimento!$H$31:$I$50,2,FALSE))</f>
        <v>40</v>
      </c>
      <c r="PO11" s="1078">
        <f>+IFERROR(VLOOKUP(PO$6&amp;"-"&amp;$M11&amp;"_old",Ammortamento_Finanziario!$H:$L,5,FALSE),VLOOKUP($M11,TT_Tabelle_Riferimento!$H$31:$I$50,2,FALSE))</f>
        <v>40</v>
      </c>
      <c r="PP11" s="1078">
        <f>+IFERROR(VLOOKUP(PP$6&amp;"-"&amp;$M11&amp;"_old",Ammortamento_Finanziario!$H:$L,5,FALSE),VLOOKUP($M11,TT_Tabelle_Riferimento!$H$31:$I$50,2,FALSE))</f>
        <v>40</v>
      </c>
      <c r="PQ11" s="1078">
        <f>+IFERROR(VLOOKUP(PQ$6&amp;"-"&amp;$M11&amp;"_old",Ammortamento_Finanziario!$H:$L,5,FALSE),VLOOKUP($M11,TT_Tabelle_Riferimento!$H$31:$I$50,2,FALSE))</f>
        <v>40</v>
      </c>
      <c r="PR11" s="1078">
        <f>+IFERROR(VLOOKUP(PR$6&amp;"-"&amp;$M11&amp;"_old",Ammortamento_Finanziario!$H:$L,5,FALSE),VLOOKUP($M11,TT_Tabelle_Riferimento!$H$31:$I$50,2,FALSE))</f>
        <v>40</v>
      </c>
      <c r="PS11" s="1078">
        <f>+IFERROR(VLOOKUP(PS$6&amp;"-"&amp;$M11&amp;"_old",Ammortamento_Finanziario!$H:$L,5,FALSE),VLOOKUP($M11,TT_Tabelle_Riferimento!$H$31:$I$50,2,FALSE))</f>
        <v>40</v>
      </c>
      <c r="PT11" s="1078">
        <f>+IFERROR(VLOOKUP(PT$6&amp;"-"&amp;$M11&amp;"_old",Ammortamento_Finanziario!$H:$L,5,FALSE),VLOOKUP($M11,TT_Tabelle_Riferimento!$H$31:$I$50,2,FALSE))</f>
        <v>40</v>
      </c>
      <c r="PU11" s="1078">
        <f>+IFERROR(VLOOKUP(PU$6&amp;"-"&amp;$M11&amp;"_old",Ammortamento_Finanziario!$H:$L,5,FALSE),VLOOKUP($M11,TT_Tabelle_Riferimento!$H$31:$I$50,2,FALSE))</f>
        <v>40</v>
      </c>
      <c r="PV11" s="1078">
        <f>+IFERROR(VLOOKUP(PV$6&amp;"-"&amp;$M11&amp;"_old",Ammortamento_Finanziario!$H:$L,5,FALSE),VLOOKUP($M11,TT_Tabelle_Riferimento!$H$31:$I$50,2,FALSE))</f>
        <v>40</v>
      </c>
      <c r="PW11" s="1078">
        <f>+IFERROR(VLOOKUP(PW$6&amp;"-"&amp;$M11&amp;"_old",Ammortamento_Finanziario!$H:$L,5,FALSE),VLOOKUP($M11,TT_Tabelle_Riferimento!$H$31:$I$50,2,FALSE))</f>
        <v>40</v>
      </c>
      <c r="PX11" s="1078">
        <f>+IFERROR(VLOOKUP(PX$6&amp;"-"&amp;$M11&amp;"_old",Ammortamento_Finanziario!$H:$L,5,FALSE),VLOOKUP($M11,TT_Tabelle_Riferimento!$H$31:$I$50,2,FALSE))</f>
        <v>40</v>
      </c>
      <c r="PY11" s="1078">
        <f>+IFERROR(VLOOKUP(PY$6&amp;"-"&amp;$M11&amp;"_old",Ammortamento_Finanziario!$H:$L,5,FALSE),VLOOKUP($M11,TT_Tabelle_Riferimento!$H$31:$I$50,2,FALSE))</f>
        <v>40</v>
      </c>
      <c r="PZ11" s="1078">
        <f>+IFERROR(VLOOKUP(PZ$6&amp;"-"&amp;$M11&amp;"_old",Ammortamento_Finanziario!$H:$L,5,FALSE),VLOOKUP($M11,TT_Tabelle_Riferimento!$H$31:$I$50,2,FALSE))</f>
        <v>40</v>
      </c>
      <c r="QA11" s="1078">
        <f>+IFERROR(VLOOKUP(QA$6&amp;"-"&amp;$M11&amp;"_old",Ammortamento_Finanziario!$H:$L,5,FALSE),VLOOKUP($M11,TT_Tabelle_Riferimento!$H$31:$I$50,2,FALSE))</f>
        <v>40</v>
      </c>
      <c r="QB11" s="1078">
        <f>+IFERROR(VLOOKUP(QB$6&amp;"-"&amp;$M11&amp;"_old",Ammortamento_Finanziario!$H:$L,5,FALSE),VLOOKUP($M11,TT_Tabelle_Riferimento!$H$31:$I$50,2,FALSE))</f>
        <v>40</v>
      </c>
      <c r="QC11" s="1078">
        <f>+IFERROR(VLOOKUP(QC$6&amp;"-"&amp;$M11&amp;"_old",Ammortamento_Finanziario!$H:$L,5,FALSE),VLOOKUP($M11,TT_Tabelle_Riferimento!$H$31:$I$50,2,FALSE))</f>
        <v>40</v>
      </c>
      <c r="QD11" s="1078">
        <f>+IFERROR(VLOOKUP(QD$6&amp;"-"&amp;$M11&amp;"_old",Ammortamento_Finanziario!$H:$L,5,FALSE),VLOOKUP($M11,TT_Tabelle_Riferimento!$H$31:$I$50,2,FALSE))</f>
        <v>40</v>
      </c>
      <c r="QE11" s="1078">
        <f>+IFERROR(VLOOKUP(QE$6&amp;"-"&amp;$M11&amp;"_old",Ammortamento_Finanziario!$H:$L,5,FALSE),VLOOKUP($M11,TT_Tabelle_Riferimento!$H$31:$I$50,2,FALSE))</f>
        <v>40</v>
      </c>
      <c r="QF11" s="1078">
        <f>+IFERROR(VLOOKUP(QF$6&amp;"-"&amp;$M11&amp;"_old",Ammortamento_Finanziario!$H:$L,5,FALSE),VLOOKUP($M11,TT_Tabelle_Riferimento!$H$31:$I$50,2,FALSE))</f>
        <v>40</v>
      </c>
      <c r="QG11" s="1078">
        <f>+IFERROR(VLOOKUP(QG$6&amp;"-"&amp;$M11&amp;"_old",Ammortamento_Finanziario!$H:$L,5,FALSE),VLOOKUP($M11,TT_Tabelle_Riferimento!$H$31:$I$50,2,FALSE))</f>
        <v>40</v>
      </c>
      <c r="QH11" s="1755">
        <f>+IFERROR(VLOOKUP(QH$6&amp;"-"&amp;$M11&amp;"_old",Ammortamento_Finanziario!$H:$L,5,FALSE),VLOOKUP($M11,TT_Tabelle_Riferimento!$H$31:$I$50,2,FALSE))</f>
        <v>40</v>
      </c>
      <c r="QI11" s="1755">
        <f>+IFERROR(VLOOKUP(QI$6&amp;"-"&amp;$M11&amp;"_old",Ammortamento_Finanziario!$H:$L,5,FALSE),VLOOKUP($M11,TT_Tabelle_Riferimento!$H$31:$I$50,2,FALSE))</f>
        <v>40</v>
      </c>
      <c r="QJ11" s="1078">
        <f>+IFERROR(VLOOKUP(QJ$6&amp;"-"&amp;$M11&amp;"_old",Ammortamento_Finanziario!$H:$L,5,FALSE),VLOOKUP($M11,TT_Tabelle_Riferimento!$H$31:$I$50,2,FALSE))</f>
        <v>40</v>
      </c>
      <c r="QK11" s="1078">
        <f>+IFERROR(VLOOKUP(QK$6&amp;"-"&amp;$M11&amp;"_old",Ammortamento_Finanziario!$H:$L,5,FALSE),VLOOKUP($M11,TT_Tabelle_Riferimento!$H$31:$I$50,2,FALSE))</f>
        <v>40</v>
      </c>
      <c r="QL11" s="1078">
        <f>+IFERROR(VLOOKUP(QL$6&amp;"-"&amp;$M11&amp;"_old",Ammortamento_Finanziario!$H:$L,5,FALSE),VLOOKUP($M11,TT_Tabelle_Riferimento!$H$31:$I$50,2,FALSE))</f>
        <v>40</v>
      </c>
      <c r="QM11" s="1078">
        <f>+IFERROR(VLOOKUP(QM$6&amp;"-"&amp;$M11&amp;"_old",Ammortamento_Finanziario!$H:$L,5,FALSE),VLOOKUP($M11,TT_Tabelle_Riferimento!$H$31:$I$50,2,FALSE))</f>
        <v>40</v>
      </c>
      <c r="QN11" s="1078">
        <f>+IFERROR(VLOOKUP(QN$6&amp;"-"&amp;$M11&amp;"_old",Ammortamento_Finanziario!$H:$L,5,FALSE),VLOOKUP($M11,TT_Tabelle_Riferimento!$H$31:$I$50,2,FALSE))</f>
        <v>40</v>
      </c>
      <c r="QO11" s="1078">
        <f>+IFERROR(VLOOKUP(QO$6&amp;"-"&amp;$M11&amp;"_old",Ammortamento_Finanziario!$H:$L,5,FALSE),VLOOKUP($M11,TT_Tabelle_Riferimento!$H$31:$I$50,2,FALSE))</f>
        <v>40</v>
      </c>
      <c r="QP11" s="1078">
        <f>+IFERROR(VLOOKUP(QP$6&amp;"-"&amp;$M11&amp;"_old",Ammortamento_Finanziario!$H:$L,5,FALSE),VLOOKUP($M11,TT_Tabelle_Riferimento!$H$31:$I$50,2,FALSE))</f>
        <v>40</v>
      </c>
      <c r="QQ11" s="1078">
        <f>+IFERROR(VLOOKUP(QQ$6&amp;"-"&amp;$M11&amp;"_old",Ammortamento_Finanziario!$H:$L,5,FALSE),VLOOKUP($M11,TT_Tabelle_Riferimento!$H$31:$I$50,2,FALSE))</f>
        <v>40</v>
      </c>
      <c r="QR11" s="1078">
        <f>+IFERROR(VLOOKUP(QR$6&amp;"-"&amp;$M11&amp;"_old",Ammortamento_Finanziario!$H:$L,5,FALSE),VLOOKUP($M11,TT_Tabelle_Riferimento!$H$31:$I$50,2,FALSE))</f>
        <v>40</v>
      </c>
      <c r="QS11" s="1078">
        <f>+IFERROR(VLOOKUP(QS$6&amp;"-"&amp;$M11&amp;"_old",Ammortamento_Finanziario!$H:$L,5,FALSE),VLOOKUP($M11,TT_Tabelle_Riferimento!$H$31:$I$50,2,FALSE))</f>
        <v>40</v>
      </c>
      <c r="QT11" s="1078">
        <f>+IFERROR(VLOOKUP(QT$6&amp;"-"&amp;$M11&amp;"_old",Ammortamento_Finanziario!$H:$L,5,FALSE),VLOOKUP($M11,TT_Tabelle_Riferimento!$H$31:$I$50,2,FALSE))</f>
        <v>40</v>
      </c>
      <c r="QU11" s="1078">
        <f>+IFERROR(VLOOKUP(QU$6&amp;"-"&amp;$M11&amp;"_old",Ammortamento_Finanziario!$H:$L,5,FALSE),VLOOKUP($M11,TT_Tabelle_Riferimento!$H$31:$I$50,2,FALSE))</f>
        <v>40</v>
      </c>
      <c r="QV11" s="1078">
        <f>+IFERROR(VLOOKUP(QV$6&amp;"-"&amp;$M11&amp;"_old",Ammortamento_Finanziario!$H:$L,5,FALSE),VLOOKUP($M11,TT_Tabelle_Riferimento!$H$31:$I$50,2,FALSE))</f>
        <v>40</v>
      </c>
      <c r="QW11" s="1078">
        <f>+IFERROR(VLOOKUP(QW$6&amp;"-"&amp;$M11&amp;"_old",Ammortamento_Finanziario!$H:$L,5,FALSE),VLOOKUP($M11,TT_Tabelle_Riferimento!$H$31:$I$50,2,FALSE))</f>
        <v>40</v>
      </c>
      <c r="QX11" s="1078">
        <f>+IFERROR(VLOOKUP(QX$6&amp;"-"&amp;$M11&amp;"_old",Ammortamento_Finanziario!$H:$L,5,FALSE),VLOOKUP($M11,TT_Tabelle_Riferimento!$H$31:$I$50,2,FALSE))</f>
        <v>40</v>
      </c>
      <c r="QY11" s="1078">
        <f>+IFERROR(VLOOKUP(QY$6&amp;"-"&amp;$M11&amp;"_old",Ammortamento_Finanziario!$H:$L,5,FALSE),VLOOKUP($M11,TT_Tabelle_Riferimento!$H$31:$I$50,2,FALSE))</f>
        <v>40</v>
      </c>
      <c r="QZ11" s="1078">
        <f>+IFERROR(VLOOKUP(QZ$6&amp;"-"&amp;$M11&amp;"_old",Ammortamento_Finanziario!$H:$L,5,FALSE),VLOOKUP($M11,TT_Tabelle_Riferimento!$H$31:$I$50,2,FALSE))</f>
        <v>40</v>
      </c>
      <c r="RA11" s="1078">
        <f>+IFERROR(VLOOKUP(RA$6&amp;"-"&amp;$M11&amp;"_old",Ammortamento_Finanziario!$H:$L,5,FALSE),VLOOKUP($M11,TT_Tabelle_Riferimento!$H$31:$I$50,2,FALSE))</f>
        <v>40</v>
      </c>
      <c r="RB11" s="1078">
        <f>+IFERROR(VLOOKUP(RB$6&amp;"-"&amp;$M11&amp;"_old",Ammortamento_Finanziario!$H:$L,5,FALSE),VLOOKUP($M11,TT_Tabelle_Riferimento!$H$31:$I$50,2,FALSE))</f>
        <v>40</v>
      </c>
      <c r="RC11" s="1755">
        <f>+IFERROR(VLOOKUP(RC$6&amp;"-"&amp;$M11&amp;"_old",Ammortamento_Finanziario!$H:$L,5,FALSE),VLOOKUP($M11,TT_Tabelle_Riferimento!$H$31:$I$50,2,FALSE))</f>
        <v>40</v>
      </c>
      <c r="RD11" s="1078">
        <f>+IFERROR(VLOOKUP(RD$6&amp;"-"&amp;$M11&amp;"_old",Ammortamento_Finanziario!$H:$L,5,FALSE),VLOOKUP($M11,TT_Tabelle_Riferimento!$H$31:$I$50,2,FALSE))</f>
        <v>40</v>
      </c>
      <c r="RE11" s="1078">
        <f>+IFERROR(VLOOKUP(RE$6&amp;"-"&amp;$M11&amp;"_old",Ammortamento_Finanziario!$H:$L,5,FALSE),VLOOKUP($M11,TT_Tabelle_Riferimento!$H$31:$I$50,2,FALSE))</f>
        <v>40</v>
      </c>
      <c r="RF11" s="1078">
        <f>+IFERROR(VLOOKUP(RF$6&amp;"-"&amp;$M11&amp;"_old",Ammortamento_Finanziario!$H:$L,5,FALSE),VLOOKUP($M11,TT_Tabelle_Riferimento!$H$31:$I$50,2,FALSE))</f>
        <v>40</v>
      </c>
      <c r="RG11" s="1078">
        <f>+IFERROR(VLOOKUP(RG$6&amp;"-"&amp;$M11&amp;"_old",Ammortamento_Finanziario!$H:$L,5,FALSE),VLOOKUP($M11,TT_Tabelle_Riferimento!$H$31:$I$50,2,FALSE))</f>
        <v>40</v>
      </c>
      <c r="RH11" s="1078">
        <f>+IFERROR(VLOOKUP(RH$6&amp;"-"&amp;$M11&amp;"_old",Ammortamento_Finanziario!$H:$L,5,FALSE),VLOOKUP($M11,TT_Tabelle_Riferimento!$H$31:$I$50,2,FALSE))</f>
        <v>40</v>
      </c>
      <c r="RI11" s="1078">
        <f>+IFERROR(VLOOKUP(RI$6&amp;"-"&amp;$M11&amp;"_old",Ammortamento_Finanziario!$H:$L,5,FALSE),VLOOKUP($M11,TT_Tabelle_Riferimento!$H$31:$I$50,2,FALSE))</f>
        <v>40</v>
      </c>
      <c r="RJ11" s="1078">
        <f>+IFERROR(VLOOKUP(RJ$6&amp;"-"&amp;$M11&amp;"_old",Ammortamento_Finanziario!$H:$L,5,FALSE),VLOOKUP($M11,TT_Tabelle_Riferimento!$H$31:$I$50,2,FALSE))</f>
        <v>40</v>
      </c>
      <c r="RK11" s="1078">
        <f>+IFERROR(VLOOKUP(RK$6&amp;"-"&amp;$M11&amp;"_old",Ammortamento_Finanziario!$H:$L,5,FALSE),VLOOKUP($M11,TT_Tabelle_Riferimento!$H$31:$I$50,2,FALSE))</f>
        <v>40</v>
      </c>
      <c r="RL11" s="1078">
        <f>+IFERROR(VLOOKUP(RL$6&amp;"-"&amp;$M11&amp;"_old",Ammortamento_Finanziario!$H:$L,5,FALSE),VLOOKUP($M11,TT_Tabelle_Riferimento!$H$31:$I$50,2,FALSE))</f>
        <v>40</v>
      </c>
      <c r="RM11" s="1078">
        <f>+IFERROR(VLOOKUP(RM$6&amp;"-"&amp;$M11&amp;"_old",Ammortamento_Finanziario!$H:$L,5,FALSE),VLOOKUP($M11,TT_Tabelle_Riferimento!$H$31:$I$50,2,FALSE))</f>
        <v>40</v>
      </c>
      <c r="RN11" s="1078">
        <f>+IFERROR(VLOOKUP(RN$6&amp;"-"&amp;$M11&amp;"_old",Ammortamento_Finanziario!$H:$L,5,FALSE),VLOOKUP($M11,TT_Tabelle_Riferimento!$H$31:$I$50,2,FALSE))</f>
        <v>40</v>
      </c>
      <c r="RO11" s="1078">
        <f>+IFERROR(VLOOKUP(RO$6&amp;"-"&amp;$M11&amp;"_old",Ammortamento_Finanziario!$H:$L,5,FALSE),VLOOKUP($M11,TT_Tabelle_Riferimento!$H$31:$I$50,2,FALSE))</f>
        <v>40</v>
      </c>
      <c r="RP11" s="1078">
        <f>+IFERROR(VLOOKUP(RP$6&amp;"-"&amp;$M11&amp;"_old",Ammortamento_Finanziario!$H:$L,5,FALSE),VLOOKUP($M11,TT_Tabelle_Riferimento!$H$31:$I$50,2,FALSE))</f>
        <v>40</v>
      </c>
      <c r="RQ11" s="1078">
        <f>+IFERROR(VLOOKUP(RQ$6&amp;"-"&amp;$M11&amp;"_old",Ammortamento_Finanziario!$H:$L,5,FALSE),VLOOKUP($M11,TT_Tabelle_Riferimento!$H$31:$I$50,2,FALSE))</f>
        <v>40</v>
      </c>
      <c r="RR11" s="1078">
        <f>+IFERROR(VLOOKUP(RR$6&amp;"-"&amp;$M11&amp;"_old",Ammortamento_Finanziario!$H:$L,5,FALSE),VLOOKUP($M11,TT_Tabelle_Riferimento!$H$31:$I$50,2,FALSE))</f>
        <v>40</v>
      </c>
      <c r="RS11" s="1078">
        <f>+IFERROR(VLOOKUP(RS$6&amp;"-"&amp;$M11&amp;"_old",Ammortamento_Finanziario!$H:$L,5,FALSE),VLOOKUP($M11,TT_Tabelle_Riferimento!$H$31:$I$50,2,FALSE))</f>
        <v>40</v>
      </c>
      <c r="RT11" s="1078">
        <f>+IFERROR(VLOOKUP(RT$6&amp;"-"&amp;$M11&amp;"_old",Ammortamento_Finanziario!$H:$L,5,FALSE),VLOOKUP($M11,TT_Tabelle_Riferimento!$H$31:$I$50,2,FALSE))</f>
        <v>40</v>
      </c>
      <c r="RU11" s="1078">
        <f>+IFERROR(VLOOKUP(RU$6&amp;"-"&amp;$M11&amp;"_old",Ammortamento_Finanziario!$H:$L,5,FALSE),VLOOKUP($M11,TT_Tabelle_Riferimento!$H$31:$I$50,2,FALSE))</f>
        <v>40</v>
      </c>
      <c r="RV11" s="1078">
        <f>+IFERROR(VLOOKUP(RV$6&amp;"-"&amp;$M11&amp;"_old",Ammortamento_Finanziario!$H:$L,5,FALSE),VLOOKUP($M11,TT_Tabelle_Riferimento!$H$31:$I$50,2,FALSE))</f>
        <v>40</v>
      </c>
    </row>
    <row r="12" spans="4:490" ht="15.75">
      <c r="D12" s="135" t="s">
        <v>22702</v>
      </c>
      <c r="E12" s="719">
        <f>+SUM(IMN_gestore!$W:$W)</f>
        <v>0</v>
      </c>
      <c r="F12" s="719">
        <f>+SUM(IMN_gestore!$AH:$AH)</f>
        <v>0</v>
      </c>
      <c r="G12" s="719">
        <f>+SUM(IMN_gestore!$AS:$AS)</f>
        <v>0</v>
      </c>
      <c r="H12" s="719">
        <f>+SUM(IMN_gestore!$BD:$BD)</f>
        <v>0</v>
      </c>
      <c r="I12" s="719">
        <f>+SUM(IMN_gestore!BO:BO)</f>
        <v>0</v>
      </c>
      <c r="J12" s="719">
        <f>+SUM(IMN_gestore!$BZ:$BZ)</f>
        <v>0</v>
      </c>
      <c r="K12" s="136"/>
      <c r="L12" s="125"/>
      <c r="M12" s="420">
        <v>6</v>
      </c>
      <c r="N12" s="904">
        <f>+IFERROR(VLOOKUP(N$6&amp;"-"&amp;$M12&amp;"_old",Ammortamento_Finanziario!$H:$L,5,FALSE),VLOOKUP($M12,TT_Tabelle_Riferimento!$H$31:$I$50,2,FALSE))</f>
        <v>50</v>
      </c>
      <c r="O12" s="904">
        <f>+IFERROR(VLOOKUP(O$6&amp;"-"&amp;$M12&amp;"_old",Ammortamento_Finanziario!$H:$L,5,FALSE),VLOOKUP($M12,TT_Tabelle_Riferimento!$H$31:$I$50,2,FALSE))</f>
        <v>50</v>
      </c>
      <c r="P12" s="904">
        <f>+IFERROR(VLOOKUP(P$6&amp;"-"&amp;$M12&amp;"_old",Ammortamento_Finanziario!$H:$L,5,FALSE),VLOOKUP($M12,TT_Tabelle_Riferimento!$H$31:$I$50,2,FALSE))</f>
        <v>50</v>
      </c>
      <c r="Q12" s="904">
        <f>+IFERROR(VLOOKUP(Q$6&amp;"-"&amp;$M12&amp;"_old",Ammortamento_Finanziario!$H:$L,5,FALSE),VLOOKUP($M12,TT_Tabelle_Riferimento!$H$31:$I$50,2,FALSE))</f>
        <v>50</v>
      </c>
      <c r="R12" s="904">
        <f>+IFERROR(VLOOKUP(R$6&amp;"-"&amp;$M12&amp;"_old",Ammortamento_Finanziario!$H:$L,5,FALSE),VLOOKUP($M12,TT_Tabelle_Riferimento!$H$31:$I$50,2,FALSE))</f>
        <v>50</v>
      </c>
      <c r="S12" s="904">
        <f>+IFERROR(VLOOKUP(S$6&amp;"-"&amp;$M12&amp;"_old",Ammortamento_Finanziario!$H:$L,5,FALSE),VLOOKUP($M12,TT_Tabelle_Riferimento!$H$31:$I$50,2,FALSE))</f>
        <v>50</v>
      </c>
      <c r="T12" s="904">
        <f>+IFERROR(VLOOKUP(T$6&amp;"-"&amp;$M12&amp;"_old",Ammortamento_Finanziario!$H:$L,5,FALSE),VLOOKUP($M12,TT_Tabelle_Riferimento!$H$31:$I$50,2,FALSE))</f>
        <v>50</v>
      </c>
      <c r="U12" s="904">
        <f>+IFERROR(VLOOKUP(U$6&amp;"-"&amp;$M12&amp;"_old",Ammortamento_Finanziario!$H:$L,5,FALSE),VLOOKUP($M12,TT_Tabelle_Riferimento!$H$31:$I$50,2,FALSE))</f>
        <v>50</v>
      </c>
      <c r="V12" s="904">
        <f>+IFERROR(VLOOKUP(V$6&amp;"-"&amp;$M12&amp;"_old",Ammortamento_Finanziario!$H:$L,5,FALSE),VLOOKUP($M12,TT_Tabelle_Riferimento!$H$31:$I$50,2,FALSE))</f>
        <v>50</v>
      </c>
      <c r="W12" s="904">
        <f>+IFERROR(VLOOKUP(W$6&amp;"-"&amp;$M12&amp;"_old",Ammortamento_Finanziario!$H:$L,5,FALSE),VLOOKUP($M12,TT_Tabelle_Riferimento!$H$31:$I$50,2,FALSE))</f>
        <v>50</v>
      </c>
      <c r="X12" s="1739">
        <f>+IFERROR(VLOOKUP(X$6&amp;"-"&amp;$M12&amp;"_old",Ammortamento_Finanziario!$H:$L,5,FALSE),VLOOKUP($M12,TT_Tabelle_Riferimento!$H$31:$I$50,2,FALSE))</f>
        <v>50</v>
      </c>
      <c r="Y12" s="1739">
        <f>+IFERROR(VLOOKUP(Y$6&amp;"-"&amp;$M12&amp;"_old",Ammortamento_Finanziario!$H:$L,5,FALSE),VLOOKUP($M12,TT_Tabelle_Riferimento!$H$31:$I$50,2,FALSE))</f>
        <v>50</v>
      </c>
      <c r="Z12" s="1749">
        <f>+IFERROR(VLOOKUP(Z$6&amp;"-"&amp;$M12&amp;"_old",Ammortamento_Finanziario!$H:$L,5,FALSE),VLOOKUP($M12,TT_Tabelle_Riferimento!$H$31:$I$50,2,FALSE))</f>
        <v>50</v>
      </c>
      <c r="AA12" s="1749">
        <f>+IFERROR(VLOOKUP(AA$6&amp;"-"&amp;$M12&amp;"_old",Ammortamento_Finanziario!$H:$L,5,FALSE),VLOOKUP($M12,TT_Tabelle_Riferimento!$H$31:$I$50,2,FALSE))</f>
        <v>50</v>
      </c>
      <c r="AB12" s="1749">
        <f>+IFERROR(VLOOKUP(AB$6&amp;"-"&amp;$M12&amp;"_old",Ammortamento_Finanziario!$H:$L,5,FALSE),VLOOKUP($M12,TT_Tabelle_Riferimento!$H$31:$I$50,2,FALSE))</f>
        <v>50</v>
      </c>
      <c r="AC12" s="1749">
        <f>+IFERROR(VLOOKUP(AC$6&amp;"-"&amp;$M12&amp;"_old",Ammortamento_Finanziario!$H:$L,5,FALSE),VLOOKUP($M12,TT_Tabelle_Riferimento!$H$31:$I$50,2,FALSE))</f>
        <v>50</v>
      </c>
      <c r="AD12" s="1749">
        <f>+IFERROR(VLOOKUP(AD$6&amp;"-"&amp;$M12&amp;"_old",Ammortamento_Finanziario!$H:$L,5,FALSE),VLOOKUP($M12,TT_Tabelle_Riferimento!$H$31:$I$50,2,FALSE))</f>
        <v>50</v>
      </c>
      <c r="AE12" s="1749">
        <f>+IFERROR(VLOOKUP(AE$6&amp;"-"&amp;$M12&amp;"_old",Ammortamento_Finanziario!$H:$L,5,FALSE),VLOOKUP($M12,TT_Tabelle_Riferimento!$H$31:$I$50,2,FALSE))</f>
        <v>50</v>
      </c>
      <c r="AF12" s="625">
        <f>+IFERROR(VLOOKUP(AF$6&amp;"-"&amp;$M12&amp;"_old",Ammortamento_Finanziario!$H:$L,5,FALSE),VLOOKUP($M12,TT_Tabelle_Riferimento!$H$31:$I$50,2,FALSE))</f>
        <v>50</v>
      </c>
      <c r="AG12" s="625">
        <f>+IFERROR(VLOOKUP(AG$6&amp;"-"&amp;$M12&amp;"_old",Ammortamento_Finanziario!$H:$L,5,FALSE),VLOOKUP($M12,TT_Tabelle_Riferimento!$H$31:$I$50,2,FALSE))</f>
        <v>50</v>
      </c>
      <c r="AH12" s="625">
        <f>+IFERROR(VLOOKUP(AH$6&amp;"-"&amp;$M12&amp;"_old",Ammortamento_Finanziario!$H:$L,5,FALSE),VLOOKUP($M12,TT_Tabelle_Riferimento!$H$31:$I$50,2,FALSE))</f>
        <v>50</v>
      </c>
      <c r="AI12" s="625">
        <f>+IFERROR(VLOOKUP(AI$6&amp;"-"&amp;$M12&amp;"_old",Ammortamento_Finanziario!$H:$L,5,FALSE),VLOOKUP($M12,TT_Tabelle_Riferimento!$H$31:$I$50,2,FALSE))</f>
        <v>50</v>
      </c>
      <c r="AJ12" s="625">
        <f>+IFERROR(VLOOKUP(AJ$6&amp;"-"&amp;$M12&amp;"_old",Ammortamento_Finanziario!$H:$L,5,FALSE),VLOOKUP($M12,TT_Tabelle_Riferimento!$H$31:$I$50,2,FALSE))</f>
        <v>50</v>
      </c>
      <c r="AK12" s="625">
        <f>+IFERROR(VLOOKUP(AK$6&amp;"-"&amp;$M12&amp;"_old",Ammortamento_Finanziario!$H:$L,5,FALSE),VLOOKUP($M12,TT_Tabelle_Riferimento!$H$31:$I$50,2,FALSE))</f>
        <v>50</v>
      </c>
      <c r="AL12" s="625">
        <f>+IFERROR(VLOOKUP(AL$6&amp;"-"&amp;$M12&amp;"_old",Ammortamento_Finanziario!$H:$L,5,FALSE),VLOOKUP($M12,TT_Tabelle_Riferimento!$H$31:$I$50,2,FALSE))</f>
        <v>50</v>
      </c>
      <c r="AM12" s="625">
        <f>+IFERROR(VLOOKUP(AM$6&amp;"-"&amp;$M12&amp;"_old",Ammortamento_Finanziario!$H:$L,5,FALSE),VLOOKUP($M12,TT_Tabelle_Riferimento!$H$31:$I$50,2,FALSE))</f>
        <v>50</v>
      </c>
      <c r="AN12" s="625">
        <f>+IFERROR(VLOOKUP(AN$6&amp;"-"&amp;$M12&amp;"_old",Ammortamento_Finanziario!$H:$L,5,FALSE),VLOOKUP($M12,TT_Tabelle_Riferimento!$H$31:$I$50,2,FALSE))</f>
        <v>50</v>
      </c>
      <c r="AO12" s="625">
        <f>+IFERROR(VLOOKUP(AO$6&amp;"-"&amp;$M12&amp;"_old",Ammortamento_Finanziario!$H:$L,5,FALSE),VLOOKUP($M12,TT_Tabelle_Riferimento!$H$31:$I$50,2,FALSE))</f>
        <v>50</v>
      </c>
      <c r="AP12" s="625">
        <f>+IFERROR(VLOOKUP(AP$6&amp;"-"&amp;$M12&amp;"_old",Ammortamento_Finanziario!$H:$L,5,FALSE),VLOOKUP($M12,TT_Tabelle_Riferimento!$H$31:$I$50,2,FALSE))</f>
        <v>50</v>
      </c>
      <c r="AQ12" s="625">
        <f>+IFERROR(VLOOKUP(AQ$6&amp;"-"&amp;$M12&amp;"_old",Ammortamento_Finanziario!$H:$L,5,FALSE),VLOOKUP($M12,TT_Tabelle_Riferimento!$H$31:$I$50,2,FALSE))</f>
        <v>50</v>
      </c>
      <c r="AR12" s="625">
        <f>+IFERROR(VLOOKUP(AR$6&amp;"-"&amp;$M12&amp;"_old",Ammortamento_Finanziario!$H:$L,5,FALSE),VLOOKUP($M12,TT_Tabelle_Riferimento!$H$31:$I$50,2,FALSE))</f>
        <v>50</v>
      </c>
      <c r="AS12" s="625">
        <f>+IFERROR(VLOOKUP(AS$6&amp;"-"&amp;$M12&amp;"_old",Ammortamento_Finanziario!$H:$L,5,FALSE),VLOOKUP($M12,TT_Tabelle_Riferimento!$H$31:$I$50,2,FALSE))</f>
        <v>50</v>
      </c>
      <c r="AT12" s="625">
        <f>+IFERROR(VLOOKUP(AT$6&amp;"-"&amp;$M12&amp;"_old",Ammortamento_Finanziario!$H:$L,5,FALSE),VLOOKUP($M12,TT_Tabelle_Riferimento!$H$31:$I$50,2,FALSE))</f>
        <v>50</v>
      </c>
      <c r="AU12" s="625">
        <f>+IFERROR(VLOOKUP(AU$6&amp;"-"&amp;$M12&amp;"_old",Ammortamento_Finanziario!$H:$L,5,FALSE),VLOOKUP($M12,TT_Tabelle_Riferimento!$H$31:$I$50,2,FALSE))</f>
        <v>50</v>
      </c>
      <c r="AV12" s="625">
        <f>+IFERROR(VLOOKUP(AV$6&amp;"-"&amp;$M12&amp;"_old",Ammortamento_Finanziario!$H:$L,5,FALSE),VLOOKUP($M12,TT_Tabelle_Riferimento!$H$31:$I$50,2,FALSE))</f>
        <v>50</v>
      </c>
      <c r="AW12" s="625">
        <f>+IFERROR(VLOOKUP(AW$6&amp;"-"&amp;$M12&amp;"_old",Ammortamento_Finanziario!$H:$L,5,FALSE),VLOOKUP($M12,TT_Tabelle_Riferimento!$H$31:$I$50,2,FALSE))</f>
        <v>50</v>
      </c>
      <c r="AX12" s="625">
        <f>+IFERROR(VLOOKUP(AX$6&amp;"-"&amp;$M12&amp;"_old",Ammortamento_Finanziario!$H:$L,5,FALSE),VLOOKUP($M12,TT_Tabelle_Riferimento!$H$31:$I$50,2,FALSE))</f>
        <v>50</v>
      </c>
      <c r="AY12" s="905">
        <f>+IFERROR(VLOOKUP(AY$6&amp;"-"&amp;$M12&amp;"_old",Ammortamento_Finanziario!$H:$L,5,FALSE),VLOOKUP($M12,TT_Tabelle_Riferimento!$H$31:$I$50,2,FALSE))</f>
        <v>50</v>
      </c>
      <c r="AZ12" s="905">
        <f>+IFERROR(VLOOKUP(AZ$6&amp;"-"&amp;$M12&amp;"_old",Ammortamento_Finanziario!$H:$L,5,FALSE),VLOOKUP($M12,TT_Tabelle_Riferimento!$H$31:$I$50,2,FALSE))</f>
        <v>50</v>
      </c>
      <c r="BA12" s="905">
        <f>+IFERROR(VLOOKUP(BA$6&amp;"-"&amp;$M12&amp;"_old",Ammortamento_Finanziario!$H:$L,5,FALSE),VLOOKUP($M12,TT_Tabelle_Riferimento!$H$31:$I$50,2,FALSE))</f>
        <v>50</v>
      </c>
      <c r="BB12" s="905">
        <f>+IFERROR(VLOOKUP(BB$6&amp;"-"&amp;$M12&amp;"_old",Ammortamento_Finanziario!$H:$L,5,FALSE),VLOOKUP($M12,TT_Tabelle_Riferimento!$H$31:$I$50,2,FALSE))</f>
        <v>50</v>
      </c>
      <c r="BC12" s="905">
        <f>+IFERROR(VLOOKUP(BC$6&amp;"-"&amp;$M12&amp;"_old",Ammortamento_Finanziario!$H:$L,5,FALSE),VLOOKUP($M12,TT_Tabelle_Riferimento!$H$31:$I$50,2,FALSE))</f>
        <v>50</v>
      </c>
      <c r="BD12" s="905">
        <f>+IFERROR(VLOOKUP(BD$6&amp;"-"&amp;$M12&amp;"_old",Ammortamento_Finanziario!$H:$L,5,FALSE),VLOOKUP($M12,TT_Tabelle_Riferimento!$H$31:$I$50,2,FALSE))</f>
        <v>50</v>
      </c>
      <c r="BE12" s="905">
        <f>+IFERROR(VLOOKUP(BE$6&amp;"-"&amp;$M12&amp;"_old",Ammortamento_Finanziario!$H:$L,5,FALSE),VLOOKUP($M12,TT_Tabelle_Riferimento!$H$31:$I$50,2,FALSE))</f>
        <v>50</v>
      </c>
      <c r="BF12" s="905">
        <f>+IFERROR(VLOOKUP(BF$6&amp;"-"&amp;$M12&amp;"_old",Ammortamento_Finanziario!$H:$L,5,FALSE),VLOOKUP($M12,TT_Tabelle_Riferimento!$H$31:$I$50,2,FALSE))</f>
        <v>50</v>
      </c>
      <c r="BG12" s="1740">
        <f>+IFERROR(VLOOKUP(BG$6&amp;"-"&amp;$M12&amp;"_old",Ammortamento_Finanziario!$H:$L,5,FALSE),VLOOKUP($M12,TT_Tabelle_Riferimento!$H$31:$I$50,2,FALSE))</f>
        <v>50</v>
      </c>
      <c r="BH12" s="1740">
        <f>+IFERROR(VLOOKUP(BH$6&amp;"-"&amp;$M12&amp;"_old",Ammortamento_Finanziario!$H:$L,5,FALSE),VLOOKUP($M12,TT_Tabelle_Riferimento!$H$31:$I$50,2,FALSE))</f>
        <v>50</v>
      </c>
      <c r="BI12" s="1749">
        <f>+IFERROR(VLOOKUP(BI$6&amp;"-"&amp;$M12&amp;"_old",Ammortamento_Finanziario!$H:$L,5,FALSE),VLOOKUP($M12,TT_Tabelle_Riferimento!$H$31:$I$50,2,FALSE))</f>
        <v>50</v>
      </c>
      <c r="BJ12" s="1749">
        <f>+IFERROR(VLOOKUP(BJ$6&amp;"-"&amp;$M12&amp;"_old",Ammortamento_Finanziario!$H:$L,5,FALSE),VLOOKUP($M12,TT_Tabelle_Riferimento!$H$31:$I$50,2,FALSE))</f>
        <v>50</v>
      </c>
      <c r="BK12" s="1749">
        <f>+IFERROR(VLOOKUP(BK$6&amp;"-"&amp;$M12&amp;"_old",Ammortamento_Finanziario!$H:$L,5,FALSE),VLOOKUP($M12,TT_Tabelle_Riferimento!$H$31:$I$50,2,FALSE))</f>
        <v>50</v>
      </c>
      <c r="BL12" s="1749">
        <f>+IFERROR(VLOOKUP(BL$6&amp;"-"&amp;$M12&amp;"_old",Ammortamento_Finanziario!$H:$L,5,FALSE),VLOOKUP($M12,TT_Tabelle_Riferimento!$H$31:$I$50,2,FALSE))</f>
        <v>50</v>
      </c>
      <c r="BM12" s="1749">
        <f>+IFERROR(VLOOKUP(BM$6&amp;"-"&amp;$M12&amp;"_old",Ammortamento_Finanziario!$H:$L,5,FALSE),VLOOKUP($M12,TT_Tabelle_Riferimento!$H$31:$I$50,2,FALSE))</f>
        <v>50</v>
      </c>
      <c r="BN12" s="1749">
        <f>+IFERROR(VLOOKUP(BN$6&amp;"-"&amp;$M12&amp;"_old",Ammortamento_Finanziario!$H:$L,5,FALSE),VLOOKUP($M12,TT_Tabelle_Riferimento!$H$31:$I$50,2,FALSE))</f>
        <v>50</v>
      </c>
      <c r="BO12" s="625">
        <f>+IFERROR(VLOOKUP(BO$6&amp;"-"&amp;$M12&amp;"_old",Ammortamento_Finanziario!$H:$L,5,FALSE),VLOOKUP($M12,TT_Tabelle_Riferimento!$H$31:$I$50,2,FALSE))</f>
        <v>50</v>
      </c>
      <c r="BP12" s="625">
        <f>+IFERROR(VLOOKUP(BP$6&amp;"-"&amp;$M12&amp;"_old",Ammortamento_Finanziario!$H:$L,5,FALSE),VLOOKUP($M12,TT_Tabelle_Riferimento!$H$31:$I$50,2,FALSE))</f>
        <v>50</v>
      </c>
      <c r="BQ12" s="625">
        <f>+IFERROR(VLOOKUP(BQ$6&amp;"-"&amp;$M12&amp;"_old",Ammortamento_Finanziario!$H:$L,5,FALSE),VLOOKUP($M12,TT_Tabelle_Riferimento!$H$31:$I$50,2,FALSE))</f>
        <v>50</v>
      </c>
      <c r="BR12" s="625">
        <f>+IFERROR(VLOOKUP(BR$6&amp;"-"&amp;$M12&amp;"_old",Ammortamento_Finanziario!$H:$L,5,FALSE),VLOOKUP($M12,TT_Tabelle_Riferimento!$H$31:$I$50,2,FALSE))</f>
        <v>50</v>
      </c>
      <c r="BS12" s="625">
        <f>+IFERROR(VLOOKUP(BS$6&amp;"-"&amp;$M12&amp;"_old",Ammortamento_Finanziario!$H:$L,5,FALSE),VLOOKUP($M12,TT_Tabelle_Riferimento!$H$31:$I$50,2,FALSE))</f>
        <v>50</v>
      </c>
      <c r="BT12" s="625">
        <f>+IFERROR(VLOOKUP(BT$6&amp;"-"&amp;$M12&amp;"_old",Ammortamento_Finanziario!$H:$L,5,FALSE),VLOOKUP($M12,TT_Tabelle_Riferimento!$H$31:$I$50,2,FALSE))</f>
        <v>50</v>
      </c>
      <c r="BU12" s="625">
        <f>+IFERROR(VLOOKUP(BU$6&amp;"-"&amp;$M12&amp;"_old",Ammortamento_Finanziario!$H:$L,5,FALSE),VLOOKUP($M12,TT_Tabelle_Riferimento!$H$31:$I$50,2,FALSE))</f>
        <v>50</v>
      </c>
      <c r="BV12" s="625">
        <f>+IFERROR(VLOOKUP(BV$6&amp;"-"&amp;$M12&amp;"_old",Ammortamento_Finanziario!$H:$L,5,FALSE),VLOOKUP($M12,TT_Tabelle_Riferimento!$H$31:$I$50,2,FALSE))</f>
        <v>50</v>
      </c>
      <c r="BW12" s="625">
        <f>+IFERROR(VLOOKUP(BW$6&amp;"-"&amp;$M12&amp;"_old",Ammortamento_Finanziario!$H:$L,5,FALSE),VLOOKUP($M12,TT_Tabelle_Riferimento!$H$31:$I$50,2,FALSE))</f>
        <v>50</v>
      </c>
      <c r="BX12" s="625">
        <f>+IFERROR(VLOOKUP(BX$6&amp;"-"&amp;$M12&amp;"_old",Ammortamento_Finanziario!$H:$L,5,FALSE),VLOOKUP($M12,TT_Tabelle_Riferimento!$H$31:$I$50,2,FALSE))</f>
        <v>50</v>
      </c>
      <c r="BY12" s="625">
        <f>+IFERROR(VLOOKUP(BY$6&amp;"-"&amp;$M12&amp;"_old",Ammortamento_Finanziario!$H:$L,5,FALSE),VLOOKUP($M12,TT_Tabelle_Riferimento!$H$31:$I$50,2,FALSE))</f>
        <v>50</v>
      </c>
      <c r="BZ12" s="625">
        <f>+IFERROR(VLOOKUP(BZ$6&amp;"-"&amp;$M12&amp;"_old",Ammortamento_Finanziario!$H:$L,5,FALSE),VLOOKUP($M12,TT_Tabelle_Riferimento!$H$31:$I$50,2,FALSE))</f>
        <v>50</v>
      </c>
      <c r="CA12" s="625">
        <f>+IFERROR(VLOOKUP(CA$6&amp;"-"&amp;$M12&amp;"_old",Ammortamento_Finanziario!$H:$L,5,FALSE),VLOOKUP($M12,TT_Tabelle_Riferimento!$H$31:$I$50,2,FALSE))</f>
        <v>50</v>
      </c>
      <c r="CB12" s="625">
        <f>+IFERROR(VLOOKUP(CB$6&amp;"-"&amp;$M12&amp;"_old",Ammortamento_Finanziario!$H:$L,5,FALSE),VLOOKUP($M12,TT_Tabelle_Riferimento!$H$31:$I$50,2,FALSE))</f>
        <v>50</v>
      </c>
      <c r="CC12" s="625">
        <f>+IFERROR(VLOOKUP(CC$6&amp;"-"&amp;$M12&amp;"_old",Ammortamento_Finanziario!$H:$L,5,FALSE),VLOOKUP($M12,TT_Tabelle_Riferimento!$H$31:$I$50,2,FALSE))</f>
        <v>50</v>
      </c>
      <c r="CD12" s="625">
        <f>+IFERROR(VLOOKUP(CD$6&amp;"-"&amp;$M12&amp;"_old",Ammortamento_Finanziario!$H:$L,5,FALSE),VLOOKUP($M12,TT_Tabelle_Riferimento!$H$31:$I$50,2,FALSE))</f>
        <v>50</v>
      </c>
      <c r="CE12" s="625">
        <f>+IFERROR(VLOOKUP(CE$6&amp;"-"&amp;$M12&amp;"_old",Ammortamento_Finanziario!$H:$L,5,FALSE),VLOOKUP($M12,TT_Tabelle_Riferimento!$H$31:$I$50,2,FALSE))</f>
        <v>50</v>
      </c>
      <c r="CF12" s="625">
        <f>+IFERROR(VLOOKUP(CF$6&amp;"-"&amp;$M12&amp;"_old",Ammortamento_Finanziario!$H:$L,5,FALSE),VLOOKUP($M12,TT_Tabelle_Riferimento!$H$31:$I$50,2,FALSE))</f>
        <v>50</v>
      </c>
      <c r="CG12" s="625">
        <f>+IFERROR(VLOOKUP(CG$6&amp;"-"&amp;$M12&amp;"_old",Ammortamento_Finanziario!$H:$L,5,FALSE),VLOOKUP($M12,TT_Tabelle_Riferimento!$H$31:$I$50,2,FALSE))</f>
        <v>50</v>
      </c>
      <c r="CH12" s="905">
        <f>+IFERROR(VLOOKUP(CH$6&amp;"-"&amp;$M12&amp;"_old",Ammortamento_Finanziario!$H:$L,5,FALSE),VLOOKUP($M12,TT_Tabelle_Riferimento!$H$31:$I$50,2,FALSE))</f>
        <v>50</v>
      </c>
      <c r="CI12" s="905">
        <f>+IFERROR(VLOOKUP(CI$6&amp;"-"&amp;$M12&amp;"_old",Ammortamento_Finanziario!$H:$L,5,FALSE),VLOOKUP($M12,TT_Tabelle_Riferimento!$H$31:$I$50,2,FALSE))</f>
        <v>50</v>
      </c>
      <c r="CJ12" s="905">
        <f>+IFERROR(VLOOKUP(CJ$6&amp;"-"&amp;$M12&amp;"_old",Ammortamento_Finanziario!$H:$L,5,FALSE),VLOOKUP($M12,TT_Tabelle_Riferimento!$H$31:$I$50,2,FALSE))</f>
        <v>50</v>
      </c>
      <c r="CK12" s="905">
        <f>+IFERROR(VLOOKUP(CK$6&amp;"-"&amp;$M12&amp;"_old",Ammortamento_Finanziario!$H:$L,5,FALSE),VLOOKUP($M12,TT_Tabelle_Riferimento!$H$31:$I$50,2,FALSE))</f>
        <v>50</v>
      </c>
      <c r="CL12" s="905">
        <f>+IFERROR(VLOOKUP(CL$6&amp;"-"&amp;$M12&amp;"_old",Ammortamento_Finanziario!$H:$L,5,FALSE),VLOOKUP($M12,TT_Tabelle_Riferimento!$H$31:$I$50,2,FALSE))</f>
        <v>50</v>
      </c>
      <c r="CM12" s="905">
        <f>+IFERROR(VLOOKUP(CM$6&amp;"-"&amp;$M12&amp;"_old",Ammortamento_Finanziario!$H:$L,5,FALSE),VLOOKUP($M12,TT_Tabelle_Riferimento!$H$31:$I$50,2,FALSE))</f>
        <v>50</v>
      </c>
      <c r="CN12" s="905">
        <f>+IFERROR(VLOOKUP(CN$6&amp;"-"&amp;$M12&amp;"_old",Ammortamento_Finanziario!$H:$L,5,FALSE),VLOOKUP($M12,TT_Tabelle_Riferimento!$H$31:$I$50,2,FALSE))</f>
        <v>50</v>
      </c>
      <c r="CO12" s="1740">
        <f>+IFERROR(VLOOKUP(CO$6&amp;"-"&amp;$M12&amp;"_old",Ammortamento_Finanziario!$H:$L,5,FALSE),VLOOKUP($M12,TT_Tabelle_Riferimento!$H$31:$I$50,2,FALSE))</f>
        <v>50</v>
      </c>
      <c r="CP12" s="1740">
        <f>+IFERROR(VLOOKUP(CP$6&amp;"-"&amp;$M12&amp;"_old",Ammortamento_Finanziario!$H:$L,5,FALSE),VLOOKUP($M12,TT_Tabelle_Riferimento!$H$31:$I$50,2,FALSE))</f>
        <v>50</v>
      </c>
      <c r="CQ12" s="1749">
        <f>+IFERROR(VLOOKUP(CQ$6&amp;"-"&amp;$M12&amp;"_old",Ammortamento_Finanziario!$H:$L,5,FALSE),VLOOKUP($M12,TT_Tabelle_Riferimento!$H$31:$I$50,2,FALSE))</f>
        <v>50</v>
      </c>
      <c r="CR12" s="1749">
        <f>+IFERROR(VLOOKUP(CR$6&amp;"-"&amp;$M12&amp;"_old",Ammortamento_Finanziario!$H:$L,5,FALSE),VLOOKUP($M12,TT_Tabelle_Riferimento!$H$31:$I$50,2,FALSE))</f>
        <v>50</v>
      </c>
      <c r="CS12" s="1749">
        <f>+IFERROR(VLOOKUP(CS$6&amp;"-"&amp;$M12&amp;"_old",Ammortamento_Finanziario!$H:$L,5,FALSE),VLOOKUP($M12,TT_Tabelle_Riferimento!$H$31:$I$50,2,FALSE))</f>
        <v>50</v>
      </c>
      <c r="CT12" s="1749">
        <f>+IFERROR(VLOOKUP(CT$6&amp;"-"&amp;$M12&amp;"_old",Ammortamento_Finanziario!$H:$L,5,FALSE),VLOOKUP($M12,TT_Tabelle_Riferimento!$H$31:$I$50,2,FALSE))</f>
        <v>50</v>
      </c>
      <c r="CU12" s="1749">
        <f>+IFERROR(VLOOKUP(CU$6&amp;"-"&amp;$M12&amp;"_old",Ammortamento_Finanziario!$H:$L,5,FALSE),VLOOKUP($M12,TT_Tabelle_Riferimento!$H$31:$I$50,2,FALSE))</f>
        <v>50</v>
      </c>
      <c r="CV12" s="1749">
        <f>+IFERROR(VLOOKUP(CV$6&amp;"-"&amp;$M12&amp;"_old",Ammortamento_Finanziario!$H:$L,5,FALSE),VLOOKUP($M12,TT_Tabelle_Riferimento!$H$31:$I$50,2,FALSE))</f>
        <v>50</v>
      </c>
      <c r="CW12" s="625">
        <f>+IFERROR(VLOOKUP(CW$6&amp;"-"&amp;$M12&amp;"_old",Ammortamento_Finanziario!$H:$L,5,FALSE),VLOOKUP($M12,TT_Tabelle_Riferimento!$H$31:$I$50,2,FALSE))</f>
        <v>50</v>
      </c>
      <c r="CX12" s="625">
        <f>+IFERROR(VLOOKUP(CX$6&amp;"-"&amp;$M12&amp;"_old",Ammortamento_Finanziario!$H:$L,5,FALSE),VLOOKUP($M12,TT_Tabelle_Riferimento!$H$31:$I$50,2,FALSE))</f>
        <v>50</v>
      </c>
      <c r="CY12" s="625">
        <f>+IFERROR(VLOOKUP(CY$6&amp;"-"&amp;$M12&amp;"_old",Ammortamento_Finanziario!$H:$L,5,FALSE),VLOOKUP($M12,TT_Tabelle_Riferimento!$H$31:$I$50,2,FALSE))</f>
        <v>50</v>
      </c>
      <c r="CZ12" s="625">
        <f>+IFERROR(VLOOKUP(CZ$6&amp;"-"&amp;$M12&amp;"_old",Ammortamento_Finanziario!$H:$L,5,FALSE),VLOOKUP($M12,TT_Tabelle_Riferimento!$H$31:$I$50,2,FALSE))</f>
        <v>50</v>
      </c>
      <c r="DA12" s="625">
        <f>+IFERROR(VLOOKUP(DA$6&amp;"-"&amp;$M12&amp;"_old",Ammortamento_Finanziario!$H:$L,5,FALSE),VLOOKUP($M12,TT_Tabelle_Riferimento!$H$31:$I$50,2,FALSE))</f>
        <v>50</v>
      </c>
      <c r="DB12" s="625">
        <f>+IFERROR(VLOOKUP(DB$6&amp;"-"&amp;$M12&amp;"_old",Ammortamento_Finanziario!$H:$L,5,FALSE),VLOOKUP($M12,TT_Tabelle_Riferimento!$H$31:$I$50,2,FALSE))</f>
        <v>50</v>
      </c>
      <c r="DC12" s="625">
        <f>+IFERROR(VLOOKUP(DC$6&amp;"-"&amp;$M12&amp;"_old",Ammortamento_Finanziario!$H:$L,5,FALSE),VLOOKUP($M12,TT_Tabelle_Riferimento!$H$31:$I$50,2,FALSE))</f>
        <v>50</v>
      </c>
      <c r="DD12" s="625">
        <f>+IFERROR(VLOOKUP(DD$6&amp;"-"&amp;$M12&amp;"_old",Ammortamento_Finanziario!$H:$L,5,FALSE),VLOOKUP($M12,TT_Tabelle_Riferimento!$H$31:$I$50,2,FALSE))</f>
        <v>50</v>
      </c>
      <c r="DE12" s="625">
        <f>+IFERROR(VLOOKUP(DE$6&amp;"-"&amp;$M12&amp;"_old",Ammortamento_Finanziario!$H:$L,5,FALSE),VLOOKUP($M12,TT_Tabelle_Riferimento!$H$31:$I$50,2,FALSE))</f>
        <v>50</v>
      </c>
      <c r="DF12" s="625">
        <f>+IFERROR(VLOOKUP(DF$6&amp;"-"&amp;$M12&amp;"_old",Ammortamento_Finanziario!$H:$L,5,FALSE),VLOOKUP($M12,TT_Tabelle_Riferimento!$H$31:$I$50,2,FALSE))</f>
        <v>50</v>
      </c>
      <c r="DG12" s="625">
        <f>+IFERROR(VLOOKUP(DG$6&amp;"-"&amp;$M12&amp;"_old",Ammortamento_Finanziario!$H:$L,5,FALSE),VLOOKUP($M12,TT_Tabelle_Riferimento!$H$31:$I$50,2,FALSE))</f>
        <v>50</v>
      </c>
      <c r="DH12" s="625">
        <f>+IFERROR(VLOOKUP(DH$6&amp;"-"&amp;$M12&amp;"_old",Ammortamento_Finanziario!$H:$L,5,FALSE),VLOOKUP($M12,TT_Tabelle_Riferimento!$H$31:$I$50,2,FALSE))</f>
        <v>50</v>
      </c>
      <c r="DI12" s="625">
        <f>+IFERROR(VLOOKUP(DI$6&amp;"-"&amp;$M12&amp;"_old",Ammortamento_Finanziario!$H:$L,5,FALSE),VLOOKUP($M12,TT_Tabelle_Riferimento!$H$31:$I$50,2,FALSE))</f>
        <v>50</v>
      </c>
      <c r="DJ12" s="625">
        <f>+IFERROR(VLOOKUP(DJ$6&amp;"-"&amp;$M12&amp;"_old",Ammortamento_Finanziario!$H:$L,5,FALSE),VLOOKUP($M12,TT_Tabelle_Riferimento!$H$31:$I$50,2,FALSE))</f>
        <v>50</v>
      </c>
      <c r="DK12" s="625">
        <f>+IFERROR(VLOOKUP(DK$6&amp;"-"&amp;$M12&amp;"_old",Ammortamento_Finanziario!$H:$L,5,FALSE),VLOOKUP($M12,TT_Tabelle_Riferimento!$H$31:$I$50,2,FALSE))</f>
        <v>50</v>
      </c>
      <c r="DL12" s="625">
        <f>+IFERROR(VLOOKUP(DL$6&amp;"-"&amp;$M12&amp;"_old",Ammortamento_Finanziario!$H:$L,5,FALSE),VLOOKUP($M12,TT_Tabelle_Riferimento!$H$31:$I$50,2,FALSE))</f>
        <v>50</v>
      </c>
      <c r="DM12" s="625">
        <f>+IFERROR(VLOOKUP(DM$6&amp;"-"&amp;$M12&amp;"_old",Ammortamento_Finanziario!$H:$L,5,FALSE),VLOOKUP($M12,TT_Tabelle_Riferimento!$H$31:$I$50,2,FALSE))</f>
        <v>50</v>
      </c>
      <c r="DN12" s="625">
        <f>+IFERROR(VLOOKUP(DN$6&amp;"-"&amp;$M12&amp;"_old",Ammortamento_Finanziario!$H:$L,5,FALSE),VLOOKUP($M12,TT_Tabelle_Riferimento!$H$31:$I$50,2,FALSE))</f>
        <v>50</v>
      </c>
      <c r="DO12" s="625">
        <f>+IFERROR(VLOOKUP(DO$6&amp;"-"&amp;$M12&amp;"_old",Ammortamento_Finanziario!$H:$L,5,FALSE),VLOOKUP($M12,TT_Tabelle_Riferimento!$H$31:$I$50,2,FALSE))</f>
        <v>50</v>
      </c>
      <c r="DP12" s="636">
        <f>+IFERROR(VLOOKUP(DP$6&amp;"-"&amp;$M12&amp;"_old",Ammortamento_Finanziario!$H:$L,5,FALSE),VLOOKUP($M12,TT_Tabelle_Riferimento!$H$31:$I$50,2,FALSE))</f>
        <v>50</v>
      </c>
      <c r="DQ12" s="636">
        <f>+IFERROR(VLOOKUP(DQ$6&amp;"-"&amp;$M12&amp;"_old",Ammortamento_Finanziario!$H:$L,5,FALSE),VLOOKUP($M12,TT_Tabelle_Riferimento!$H$31:$I$50,2,FALSE))</f>
        <v>50</v>
      </c>
      <c r="DR12" s="636">
        <f>+IFERROR(VLOOKUP(DR$6&amp;"-"&amp;$M12&amp;"_old",Ammortamento_Finanziario!$H:$L,5,FALSE),VLOOKUP($M12,TT_Tabelle_Riferimento!$H$31:$I$50,2,FALSE))</f>
        <v>50</v>
      </c>
      <c r="DS12" s="636">
        <f>+IFERROR(VLOOKUP(DS$6&amp;"-"&amp;$M12&amp;"_old",Ammortamento_Finanziario!$H:$L,5,FALSE),VLOOKUP($M12,TT_Tabelle_Riferimento!$H$31:$I$50,2,FALSE))</f>
        <v>50</v>
      </c>
      <c r="DT12" s="636">
        <f>+IFERROR(VLOOKUP(DT$6&amp;"-"&amp;$M12&amp;"_old",Ammortamento_Finanziario!$H:$L,5,FALSE),VLOOKUP($M12,TT_Tabelle_Riferimento!$H$31:$I$50,2,FALSE))</f>
        <v>50</v>
      </c>
      <c r="DU12" s="636">
        <f>+IFERROR(VLOOKUP(DU$6&amp;"-"&amp;$M12&amp;"_old",Ammortamento_Finanziario!$H:$L,5,FALSE),VLOOKUP($M12,TT_Tabelle_Riferimento!$H$31:$I$50,2,FALSE))</f>
        <v>50</v>
      </c>
      <c r="DV12" s="1742">
        <f>+IFERROR(VLOOKUP(DV$6&amp;"-"&amp;$M12&amp;"_old",Ammortamento_Finanziario!$H:$L,5,FALSE),VLOOKUP($M12,TT_Tabelle_Riferimento!$H$31:$I$50,2,FALSE))</f>
        <v>50</v>
      </c>
      <c r="DW12" s="1742">
        <f>+IFERROR(VLOOKUP(DW$6&amp;"-"&amp;$M12&amp;"_old",Ammortamento_Finanziario!$H:$L,5,FALSE),VLOOKUP($M12,TT_Tabelle_Riferimento!$H$31:$I$50,2,FALSE))</f>
        <v>50</v>
      </c>
      <c r="DX12" s="1750">
        <f>+IFERROR(VLOOKUP(DX$6&amp;"-"&amp;$M12&amp;"_old",Ammortamento_Finanziario!$H:$L,5,FALSE),VLOOKUP($M12,TT_Tabelle_Riferimento!$H$31:$I$50,2,FALSE))</f>
        <v>50</v>
      </c>
      <c r="DY12" s="1750">
        <f>+IFERROR(VLOOKUP(DY$6&amp;"-"&amp;$M12&amp;"_old",Ammortamento_Finanziario!$H:$L,5,FALSE),VLOOKUP($M12,TT_Tabelle_Riferimento!$H$31:$I$50,2,FALSE))</f>
        <v>50</v>
      </c>
      <c r="DZ12" s="1750">
        <f>+IFERROR(VLOOKUP(DZ$6&amp;"-"&amp;$M12&amp;"_old",Ammortamento_Finanziario!$H:$L,5,FALSE),VLOOKUP($M12,TT_Tabelle_Riferimento!$H$31:$I$50,2,FALSE))</f>
        <v>50</v>
      </c>
      <c r="EA12" s="1750">
        <f>+IFERROR(VLOOKUP(EA$6&amp;"-"&amp;$M12&amp;"_old",Ammortamento_Finanziario!$H:$L,5,FALSE),VLOOKUP($M12,TT_Tabelle_Riferimento!$H$31:$I$50,2,FALSE))</f>
        <v>50</v>
      </c>
      <c r="EB12" s="1750">
        <f>+IFERROR(VLOOKUP(EB$6&amp;"-"&amp;$M12&amp;"_old",Ammortamento_Finanziario!$H:$L,5,FALSE),VLOOKUP($M12,TT_Tabelle_Riferimento!$H$31:$I$50,2,FALSE))</f>
        <v>50</v>
      </c>
      <c r="EC12" s="1750">
        <f>+IFERROR(VLOOKUP(EC$6&amp;"-"&amp;$M12&amp;"_old",Ammortamento_Finanziario!$H:$L,5,FALSE),VLOOKUP($M12,TT_Tabelle_Riferimento!$H$31:$I$50,2,FALSE))</f>
        <v>50</v>
      </c>
      <c r="ED12" s="636">
        <f>+IFERROR(VLOOKUP(ED$6&amp;"-"&amp;$M12&amp;"_old",Ammortamento_Finanziario!$H:$L,5,FALSE),VLOOKUP($M12,TT_Tabelle_Riferimento!$H$31:$I$50,2,FALSE))</f>
        <v>50</v>
      </c>
      <c r="EE12" s="636">
        <f>+IFERROR(VLOOKUP(EE$6&amp;"-"&amp;$M12&amp;"_old",Ammortamento_Finanziario!$H:$L,5,FALSE),VLOOKUP($M12,TT_Tabelle_Riferimento!$H$31:$I$50,2,FALSE))</f>
        <v>50</v>
      </c>
      <c r="EF12" s="636">
        <f>+IFERROR(VLOOKUP(EF$6&amp;"-"&amp;$M12&amp;"_old",Ammortamento_Finanziario!$H:$L,5,FALSE),VLOOKUP($M12,TT_Tabelle_Riferimento!$H$31:$I$50,2,FALSE))</f>
        <v>50</v>
      </c>
      <c r="EG12" s="636">
        <f>+IFERROR(VLOOKUP(EG$6&amp;"-"&amp;$M12&amp;"_old",Ammortamento_Finanziario!$H:$L,5,FALSE),VLOOKUP($M12,TT_Tabelle_Riferimento!$H$31:$I$50,2,FALSE))</f>
        <v>50</v>
      </c>
      <c r="EH12" s="636">
        <f>+IFERROR(VLOOKUP(EH$6&amp;"-"&amp;$M12&amp;"_old",Ammortamento_Finanziario!$H:$L,5,FALSE),VLOOKUP($M12,TT_Tabelle_Riferimento!$H$31:$I$50,2,FALSE))</f>
        <v>50</v>
      </c>
      <c r="EI12" s="636">
        <f>+IFERROR(VLOOKUP(EI$6&amp;"-"&amp;$M12&amp;"_old",Ammortamento_Finanziario!$H:$L,5,FALSE),VLOOKUP($M12,TT_Tabelle_Riferimento!$H$31:$I$50,2,FALSE))</f>
        <v>50</v>
      </c>
      <c r="EJ12" s="636">
        <f>+IFERROR(VLOOKUP(EJ$6&amp;"-"&amp;$M12&amp;"_old",Ammortamento_Finanziario!$H:$L,5,FALSE),VLOOKUP($M12,TT_Tabelle_Riferimento!$H$31:$I$50,2,FALSE))</f>
        <v>50</v>
      </c>
      <c r="EK12" s="636">
        <f>+IFERROR(VLOOKUP(EK$6&amp;"-"&amp;$M12&amp;"_old",Ammortamento_Finanziario!$H:$L,5,FALSE),VLOOKUP($M12,TT_Tabelle_Riferimento!$H$31:$I$50,2,FALSE))</f>
        <v>50</v>
      </c>
      <c r="EL12" s="636">
        <f>+IFERROR(VLOOKUP(EL$6&amp;"-"&amp;$M12&amp;"_old",Ammortamento_Finanziario!$H:$L,5,FALSE),VLOOKUP($M12,TT_Tabelle_Riferimento!$H$31:$I$50,2,FALSE))</f>
        <v>50</v>
      </c>
      <c r="EM12" s="636">
        <f>+IFERROR(VLOOKUP(EM$6&amp;"-"&amp;$M12&amp;"_old",Ammortamento_Finanziario!$H:$L,5,FALSE),VLOOKUP($M12,TT_Tabelle_Riferimento!$H$31:$I$50,2,FALSE))</f>
        <v>50</v>
      </c>
      <c r="EN12" s="636">
        <f>+IFERROR(VLOOKUP(EN$6&amp;"-"&amp;$M12&amp;"_old",Ammortamento_Finanziario!$H:$L,5,FALSE),VLOOKUP($M12,TT_Tabelle_Riferimento!$H$31:$I$50,2,FALSE))</f>
        <v>50</v>
      </c>
      <c r="EO12" s="636">
        <f>+IFERROR(VLOOKUP(EO$6&amp;"-"&amp;$M12&amp;"_old",Ammortamento_Finanziario!$H:$L,5,FALSE),VLOOKUP($M12,TT_Tabelle_Riferimento!$H$31:$I$50,2,FALSE))</f>
        <v>50</v>
      </c>
      <c r="EP12" s="636">
        <f>+IFERROR(VLOOKUP(EP$6&amp;"-"&amp;$M12&amp;"_old",Ammortamento_Finanziario!$H:$L,5,FALSE),VLOOKUP($M12,TT_Tabelle_Riferimento!$H$31:$I$50,2,FALSE))</f>
        <v>50</v>
      </c>
      <c r="EQ12" s="636">
        <f>+IFERROR(VLOOKUP(EQ$6&amp;"-"&amp;$M12&amp;"_old",Ammortamento_Finanziario!$H:$L,5,FALSE),VLOOKUP($M12,TT_Tabelle_Riferimento!$H$31:$I$50,2,FALSE))</f>
        <v>50</v>
      </c>
      <c r="ER12" s="636">
        <f>+IFERROR(VLOOKUP(ER$6&amp;"-"&amp;$M12&amp;"_old",Ammortamento_Finanziario!$H:$L,5,FALSE),VLOOKUP($M12,TT_Tabelle_Riferimento!$H$31:$I$50,2,FALSE))</f>
        <v>50</v>
      </c>
      <c r="ES12" s="636">
        <f>+IFERROR(VLOOKUP(ES$6&amp;"-"&amp;$M12&amp;"_old",Ammortamento_Finanziario!$H:$L,5,FALSE),VLOOKUP($M12,TT_Tabelle_Riferimento!$H$31:$I$50,2,FALSE))</f>
        <v>50</v>
      </c>
      <c r="ET12" s="636">
        <f>+IFERROR(VLOOKUP(ET$6&amp;"-"&amp;$M12&amp;"_old",Ammortamento_Finanziario!$H:$L,5,FALSE),VLOOKUP($M12,TT_Tabelle_Riferimento!$H$31:$I$50,2,FALSE))</f>
        <v>50</v>
      </c>
      <c r="EU12" s="636">
        <f>+IFERROR(VLOOKUP(EU$6&amp;"-"&amp;$M12&amp;"_old",Ammortamento_Finanziario!$H:$L,5,FALSE),VLOOKUP($M12,TT_Tabelle_Riferimento!$H$31:$I$50,2,FALSE))</f>
        <v>50</v>
      </c>
      <c r="EV12" s="636">
        <f>+IFERROR(VLOOKUP(EV$6&amp;"-"&amp;$M12&amp;"_old",Ammortamento_Finanziario!$H:$L,5,FALSE),VLOOKUP($M12,TT_Tabelle_Riferimento!$H$31:$I$50,2,FALSE))</f>
        <v>50</v>
      </c>
      <c r="EW12" s="1048">
        <f>+IFERROR(VLOOKUP(EW$6&amp;"-"&amp;$M12&amp;"_old",Ammortamento_Finanziario!$H:$L,5,FALSE),VLOOKUP($M12,TT_Tabelle_Riferimento!$H$31:$I$50,2,FALSE))</f>
        <v>50</v>
      </c>
      <c r="EX12" s="1048">
        <f>+IFERROR(VLOOKUP(EX$6&amp;"-"&amp;$M12&amp;"_old",Ammortamento_Finanziario!$H:$L,5,FALSE),VLOOKUP($M12,TT_Tabelle_Riferimento!$H$31:$I$50,2,FALSE))</f>
        <v>50</v>
      </c>
      <c r="EY12" s="1048">
        <f>+IFERROR(VLOOKUP(EY$6&amp;"-"&amp;$M12&amp;"_old",Ammortamento_Finanziario!$H:$L,5,FALSE),VLOOKUP($M12,TT_Tabelle_Riferimento!$H$31:$I$50,2,FALSE))</f>
        <v>50</v>
      </c>
      <c r="EZ12" s="1048">
        <f>+IFERROR(VLOOKUP(EZ$6&amp;"-"&amp;$M12&amp;"_old",Ammortamento_Finanziario!$H:$L,5,FALSE),VLOOKUP($M12,TT_Tabelle_Riferimento!$H$31:$I$50,2,FALSE))</f>
        <v>50</v>
      </c>
      <c r="FA12" s="1048">
        <f>+IFERROR(VLOOKUP(FA$6&amp;"-"&amp;$M12&amp;"_old",Ammortamento_Finanziario!$H:$L,5,FALSE),VLOOKUP($M12,TT_Tabelle_Riferimento!$H$31:$I$50,2,FALSE))</f>
        <v>50</v>
      </c>
      <c r="FB12" s="1743">
        <f>+IFERROR(VLOOKUP(FB$6&amp;"-"&amp;$M12&amp;"_old",Ammortamento_Finanziario!$H:$L,5,FALSE),VLOOKUP($M12,TT_Tabelle_Riferimento!$H$31:$I$50,2,FALSE))</f>
        <v>50</v>
      </c>
      <c r="FC12" s="1743">
        <f>+IFERROR(VLOOKUP(FC$6&amp;"-"&amp;$M12&amp;"_old",Ammortamento_Finanziario!$H:$L,5,FALSE),VLOOKUP($M12,TT_Tabelle_Riferimento!$H$31:$I$50,2,FALSE))</f>
        <v>50</v>
      </c>
      <c r="FD12" s="1751">
        <f>+IFERROR(VLOOKUP(FD$6&amp;"-"&amp;$M12&amp;"_old",Ammortamento_Finanziario!$H:$L,5,FALSE),VLOOKUP($M12,TT_Tabelle_Riferimento!$H$31:$I$50,2,FALSE))</f>
        <v>50</v>
      </c>
      <c r="FE12" s="1751">
        <f>+IFERROR(VLOOKUP(FE$6&amp;"-"&amp;$M12&amp;"_old",Ammortamento_Finanziario!$H:$L,5,FALSE),VLOOKUP($M12,TT_Tabelle_Riferimento!$H$31:$I$50,2,FALSE))</f>
        <v>50</v>
      </c>
      <c r="FF12" s="1751">
        <f>+IFERROR(VLOOKUP(FF$6&amp;"-"&amp;$M12&amp;"_old",Ammortamento_Finanziario!$H:$L,5,FALSE),VLOOKUP($M12,TT_Tabelle_Riferimento!$H$31:$I$50,2,FALSE))</f>
        <v>50</v>
      </c>
      <c r="FG12" s="1751">
        <f>+IFERROR(VLOOKUP(FG$6&amp;"-"&amp;$M12&amp;"_old",Ammortamento_Finanziario!$H:$L,5,FALSE),VLOOKUP($M12,TT_Tabelle_Riferimento!$H$31:$I$50,2,FALSE))</f>
        <v>50</v>
      </c>
      <c r="FH12" s="1751">
        <f>+IFERROR(VLOOKUP(FH$6&amp;"-"&amp;$M12&amp;"_old",Ammortamento_Finanziario!$H:$L,5,FALSE),VLOOKUP($M12,TT_Tabelle_Riferimento!$H$31:$I$50,2,FALSE))</f>
        <v>50</v>
      </c>
      <c r="FI12" s="1751">
        <f>+IFERROR(VLOOKUP(FI$6&amp;"-"&amp;$M12&amp;"_old",Ammortamento_Finanziario!$H:$L,5,FALSE),VLOOKUP($M12,TT_Tabelle_Riferimento!$H$31:$I$50,2,FALSE))</f>
        <v>50</v>
      </c>
      <c r="FJ12" s="629">
        <f>+IFERROR(VLOOKUP(FJ$6&amp;"-"&amp;$M12&amp;"_old",Ammortamento_Finanziario!$H:$L,5,FALSE),VLOOKUP($M12,TT_Tabelle_Riferimento!$H$31:$I$50,2,FALSE))</f>
        <v>50</v>
      </c>
      <c r="FK12" s="629">
        <f>+IFERROR(VLOOKUP(FK$6&amp;"-"&amp;$M12&amp;"_old",Ammortamento_Finanziario!$H:$L,5,FALSE),VLOOKUP($M12,TT_Tabelle_Riferimento!$H$31:$I$50,2,FALSE))</f>
        <v>50</v>
      </c>
      <c r="FL12" s="629">
        <f>+IFERROR(VLOOKUP(FL$6&amp;"-"&amp;$M12&amp;"_old",Ammortamento_Finanziario!$H:$L,5,FALSE),VLOOKUP($M12,TT_Tabelle_Riferimento!$H$31:$I$50,2,FALSE))</f>
        <v>50</v>
      </c>
      <c r="FM12" s="629">
        <f>+IFERROR(VLOOKUP(FM$6&amp;"-"&amp;$M12&amp;"_old",Ammortamento_Finanziario!$H:$L,5,FALSE),VLOOKUP($M12,TT_Tabelle_Riferimento!$H$31:$I$50,2,FALSE))</f>
        <v>50</v>
      </c>
      <c r="FN12" s="629">
        <f>+IFERROR(VLOOKUP(FN$6&amp;"-"&amp;$M12&amp;"_old",Ammortamento_Finanziario!$H:$L,5,FALSE),VLOOKUP($M12,TT_Tabelle_Riferimento!$H$31:$I$50,2,FALSE))</f>
        <v>50</v>
      </c>
      <c r="FO12" s="629">
        <f>+IFERROR(VLOOKUP(FO$6&amp;"-"&amp;$M12&amp;"_old",Ammortamento_Finanziario!$H:$L,5,FALSE),VLOOKUP($M12,TT_Tabelle_Riferimento!$H$31:$I$50,2,FALSE))</f>
        <v>50</v>
      </c>
      <c r="FP12" s="629">
        <f>+IFERROR(VLOOKUP(FP$6&amp;"-"&amp;$M12&amp;"_old",Ammortamento_Finanziario!$H:$L,5,FALSE),VLOOKUP($M12,TT_Tabelle_Riferimento!$H$31:$I$50,2,FALSE))</f>
        <v>50</v>
      </c>
      <c r="FQ12" s="629">
        <f>+IFERROR(VLOOKUP(FQ$6&amp;"-"&amp;$M12&amp;"_old",Ammortamento_Finanziario!$H:$L,5,FALSE),VLOOKUP($M12,TT_Tabelle_Riferimento!$H$31:$I$50,2,FALSE))</f>
        <v>50</v>
      </c>
      <c r="FR12" s="629">
        <f>+IFERROR(VLOOKUP(FR$6&amp;"-"&amp;$M12&amp;"_old",Ammortamento_Finanziario!$H:$L,5,FALSE),VLOOKUP($M12,TT_Tabelle_Riferimento!$H$31:$I$50,2,FALSE))</f>
        <v>50</v>
      </c>
      <c r="FS12" s="629">
        <f>+IFERROR(VLOOKUP(FS$6&amp;"-"&amp;$M12&amp;"_old",Ammortamento_Finanziario!$H:$L,5,FALSE),VLOOKUP($M12,TT_Tabelle_Riferimento!$H$31:$I$50,2,FALSE))</f>
        <v>50</v>
      </c>
      <c r="FT12" s="629">
        <f>+IFERROR(VLOOKUP(FT$6&amp;"-"&amp;$M12&amp;"_old",Ammortamento_Finanziario!$H:$L,5,FALSE),VLOOKUP($M12,TT_Tabelle_Riferimento!$H$31:$I$50,2,FALSE))</f>
        <v>50</v>
      </c>
      <c r="FU12" s="629">
        <f>+IFERROR(VLOOKUP(FU$6&amp;"-"&amp;$M12&amp;"_old",Ammortamento_Finanziario!$H:$L,5,FALSE),VLOOKUP($M12,TT_Tabelle_Riferimento!$H$31:$I$50,2,FALSE))</f>
        <v>50</v>
      </c>
      <c r="FV12" s="629">
        <f>+IFERROR(VLOOKUP(FV$6&amp;"-"&amp;$M12&amp;"_old",Ammortamento_Finanziario!$H:$L,5,FALSE),VLOOKUP($M12,TT_Tabelle_Riferimento!$H$31:$I$50,2,FALSE))</f>
        <v>50</v>
      </c>
      <c r="FW12" s="629">
        <f>+IFERROR(VLOOKUP(FW$6&amp;"-"&amp;$M12&amp;"_old",Ammortamento_Finanziario!$H:$L,5,FALSE),VLOOKUP($M12,TT_Tabelle_Riferimento!$H$31:$I$50,2,FALSE))</f>
        <v>50</v>
      </c>
      <c r="FX12" s="629">
        <f>+IFERROR(VLOOKUP(FX$6&amp;"-"&amp;$M12&amp;"_old",Ammortamento_Finanziario!$H:$L,5,FALSE),VLOOKUP($M12,TT_Tabelle_Riferimento!$H$31:$I$50,2,FALSE))</f>
        <v>50</v>
      </c>
      <c r="FY12" s="629">
        <f>+IFERROR(VLOOKUP(FY$6&amp;"-"&amp;$M12&amp;"_old",Ammortamento_Finanziario!$H:$L,5,FALSE),VLOOKUP($M12,TT_Tabelle_Riferimento!$H$31:$I$50,2,FALSE))</f>
        <v>50</v>
      </c>
      <c r="FZ12" s="629">
        <f>+IFERROR(VLOOKUP(FZ$6&amp;"-"&amp;$M12&amp;"_old",Ammortamento_Finanziario!$H:$L,5,FALSE),VLOOKUP($M12,TT_Tabelle_Riferimento!$H$31:$I$50,2,FALSE))</f>
        <v>50</v>
      </c>
      <c r="GA12" s="629">
        <f>+IFERROR(VLOOKUP(GA$6&amp;"-"&amp;$M12&amp;"_old",Ammortamento_Finanziario!$H:$L,5,FALSE),VLOOKUP($M12,TT_Tabelle_Riferimento!$H$31:$I$50,2,FALSE))</f>
        <v>50</v>
      </c>
      <c r="GB12" s="629">
        <f>+IFERROR(VLOOKUP(GB$6&amp;"-"&amp;$M12&amp;"_old",Ammortamento_Finanziario!$H:$L,5,FALSE),VLOOKUP($M12,TT_Tabelle_Riferimento!$H$31:$I$50,2,FALSE))</f>
        <v>50</v>
      </c>
      <c r="GC12" s="635">
        <f>+IFERROR(VLOOKUP(GC$6&amp;"-"&amp;$M12&amp;"_old",Ammortamento_Finanziario!$H:$L,5,FALSE),VLOOKUP($M12,TT_Tabelle_Riferimento!$H$31:$I$50,2,FALSE))</f>
        <v>50</v>
      </c>
      <c r="GD12" s="635">
        <f>+IFERROR(VLOOKUP(GD$6&amp;"-"&amp;$M12&amp;"_old",Ammortamento_Finanziario!$H:$L,5,FALSE),VLOOKUP($M12,TT_Tabelle_Riferimento!$H$31:$I$50,2,FALSE))</f>
        <v>50</v>
      </c>
      <c r="GE12" s="635">
        <f>+IFERROR(VLOOKUP(GE$6&amp;"-"&amp;$M12&amp;"_old",Ammortamento_Finanziario!$H:$L,5,FALSE),VLOOKUP($M12,TT_Tabelle_Riferimento!$H$31:$I$50,2,FALSE))</f>
        <v>50</v>
      </c>
      <c r="GF12" s="635">
        <f>+IFERROR(VLOOKUP(GF$6&amp;"-"&amp;$M12&amp;"_old",Ammortamento_Finanziario!$H:$L,5,FALSE),VLOOKUP($M12,TT_Tabelle_Riferimento!$H$31:$I$50,2,FALSE))</f>
        <v>50</v>
      </c>
      <c r="GG12" s="1744">
        <f>+IFERROR(VLOOKUP(GG$6&amp;"-"&amp;$M12&amp;"_old",Ammortamento_Finanziario!$H:$L,5,FALSE),VLOOKUP($M12,TT_Tabelle_Riferimento!$H$31:$I$50,2,FALSE))</f>
        <v>50</v>
      </c>
      <c r="GH12" s="1744">
        <f>+IFERROR(VLOOKUP(GH$6&amp;"-"&amp;$M12&amp;"_old",Ammortamento_Finanziario!$H:$L,5,FALSE),VLOOKUP($M12,TT_Tabelle_Riferimento!$H$31:$I$50,2,FALSE))</f>
        <v>50</v>
      </c>
      <c r="GI12" s="1752">
        <f>+IFERROR(VLOOKUP(GI$6&amp;"-"&amp;$M12&amp;"_old",Ammortamento_Finanziario!$H:$L,5,FALSE),VLOOKUP($M12,TT_Tabelle_Riferimento!$H$31:$I$50,2,FALSE))</f>
        <v>50</v>
      </c>
      <c r="GJ12" s="1752">
        <f>+IFERROR(VLOOKUP(GJ$6&amp;"-"&amp;$M12&amp;"_old",Ammortamento_Finanziario!$H:$L,5,FALSE),VLOOKUP($M12,TT_Tabelle_Riferimento!$H$31:$I$50,2,FALSE))</f>
        <v>50</v>
      </c>
      <c r="GK12" s="1752">
        <f>+IFERROR(VLOOKUP(GK$6&amp;"-"&amp;$M12&amp;"_old",Ammortamento_Finanziario!$H:$L,5,FALSE),VLOOKUP($M12,TT_Tabelle_Riferimento!$H$31:$I$50,2,FALSE))</f>
        <v>50</v>
      </c>
      <c r="GL12" s="1752">
        <f>+IFERROR(VLOOKUP(GL$6&amp;"-"&amp;$M12&amp;"_old",Ammortamento_Finanziario!$H:$L,5,FALSE),VLOOKUP($M12,TT_Tabelle_Riferimento!$H$31:$I$50,2,FALSE))</f>
        <v>50</v>
      </c>
      <c r="GM12" s="1752">
        <f>+IFERROR(VLOOKUP(GM$6&amp;"-"&amp;$M12&amp;"_old",Ammortamento_Finanziario!$H:$L,5,FALSE),VLOOKUP($M12,TT_Tabelle_Riferimento!$H$31:$I$50,2,FALSE))</f>
        <v>50</v>
      </c>
      <c r="GN12" s="1752">
        <f>+IFERROR(VLOOKUP(GN$6&amp;"-"&amp;$M12&amp;"_old",Ammortamento_Finanziario!$H:$L,5,FALSE),VLOOKUP($M12,TT_Tabelle_Riferimento!$H$31:$I$50,2,FALSE))</f>
        <v>50</v>
      </c>
      <c r="GO12" s="628">
        <f>+IFERROR(VLOOKUP(GO$6&amp;"-"&amp;$M12&amp;"_old",Ammortamento_Finanziario!$H:$L,5,FALSE),VLOOKUP($M12,TT_Tabelle_Riferimento!$H$31:$I$50,2,FALSE))</f>
        <v>50</v>
      </c>
      <c r="GP12" s="628">
        <f>+IFERROR(VLOOKUP(GP$6&amp;"-"&amp;$M12&amp;"_old",Ammortamento_Finanziario!$H:$L,5,FALSE),VLOOKUP($M12,TT_Tabelle_Riferimento!$H$31:$I$50,2,FALSE))</f>
        <v>50</v>
      </c>
      <c r="GQ12" s="628">
        <f>+IFERROR(VLOOKUP(GQ$6&amp;"-"&amp;$M12&amp;"_old",Ammortamento_Finanziario!$H:$L,5,FALSE),VLOOKUP($M12,TT_Tabelle_Riferimento!$H$31:$I$50,2,FALSE))</f>
        <v>50</v>
      </c>
      <c r="GR12" s="628">
        <f>+IFERROR(VLOOKUP(GR$6&amp;"-"&amp;$M12&amp;"_old",Ammortamento_Finanziario!$H:$L,5,FALSE),VLOOKUP($M12,TT_Tabelle_Riferimento!$H$31:$I$50,2,FALSE))</f>
        <v>50</v>
      </c>
      <c r="GS12" s="628">
        <f>+IFERROR(VLOOKUP(GS$6&amp;"-"&amp;$M12&amp;"_old",Ammortamento_Finanziario!$H:$L,5,FALSE),VLOOKUP($M12,TT_Tabelle_Riferimento!$H$31:$I$50,2,FALSE))</f>
        <v>50</v>
      </c>
      <c r="GT12" s="628">
        <f>+IFERROR(VLOOKUP(GT$6&amp;"-"&amp;$M12&amp;"_old",Ammortamento_Finanziario!$H:$L,5,FALSE),VLOOKUP($M12,TT_Tabelle_Riferimento!$H$31:$I$50,2,FALSE))</f>
        <v>50</v>
      </c>
      <c r="GU12" s="628">
        <f>+IFERROR(VLOOKUP(GU$6&amp;"-"&amp;$M12&amp;"_old",Ammortamento_Finanziario!$H:$L,5,FALSE),VLOOKUP($M12,TT_Tabelle_Riferimento!$H$31:$I$50,2,FALSE))</f>
        <v>50</v>
      </c>
      <c r="GV12" s="628">
        <f>+IFERROR(VLOOKUP(GV$6&amp;"-"&amp;$M12&amp;"_old",Ammortamento_Finanziario!$H:$L,5,FALSE),VLOOKUP($M12,TT_Tabelle_Riferimento!$H$31:$I$50,2,FALSE))</f>
        <v>50</v>
      </c>
      <c r="GW12" s="628">
        <f>+IFERROR(VLOOKUP(GW$6&amp;"-"&amp;$M12&amp;"_old",Ammortamento_Finanziario!$H:$L,5,FALSE),VLOOKUP($M12,TT_Tabelle_Riferimento!$H$31:$I$50,2,FALSE))</f>
        <v>50</v>
      </c>
      <c r="GX12" s="628">
        <f>+IFERROR(VLOOKUP(GX$6&amp;"-"&amp;$M12&amp;"_old",Ammortamento_Finanziario!$H:$L,5,FALSE),VLOOKUP($M12,TT_Tabelle_Riferimento!$H$31:$I$50,2,FALSE))</f>
        <v>50</v>
      </c>
      <c r="GY12" s="628">
        <f>+IFERROR(VLOOKUP(GY$6&amp;"-"&amp;$M12&amp;"_old",Ammortamento_Finanziario!$H:$L,5,FALSE),VLOOKUP($M12,TT_Tabelle_Riferimento!$H$31:$I$50,2,FALSE))</f>
        <v>50</v>
      </c>
      <c r="GZ12" s="628">
        <f>+IFERROR(VLOOKUP(GZ$6&amp;"-"&amp;$M12&amp;"_old",Ammortamento_Finanziario!$H:$L,5,FALSE),VLOOKUP($M12,TT_Tabelle_Riferimento!$H$31:$I$50,2,FALSE))</f>
        <v>50</v>
      </c>
      <c r="HA12" s="628">
        <f>+IFERROR(VLOOKUP(HA$6&amp;"-"&amp;$M12&amp;"_old",Ammortamento_Finanziario!$H:$L,5,FALSE),VLOOKUP($M12,TT_Tabelle_Riferimento!$H$31:$I$50,2,FALSE))</f>
        <v>50</v>
      </c>
      <c r="HB12" s="628">
        <f>+IFERROR(VLOOKUP(HB$6&amp;"-"&amp;$M12&amp;"_old",Ammortamento_Finanziario!$H:$L,5,FALSE),VLOOKUP($M12,TT_Tabelle_Riferimento!$H$31:$I$50,2,FALSE))</f>
        <v>50</v>
      </c>
      <c r="HC12" s="628">
        <f>+IFERROR(VLOOKUP(HC$6&amp;"-"&amp;$M12&amp;"_old",Ammortamento_Finanziario!$H:$L,5,FALSE),VLOOKUP($M12,TT_Tabelle_Riferimento!$H$31:$I$50,2,FALSE))</f>
        <v>50</v>
      </c>
      <c r="HD12" s="628">
        <f>+IFERROR(VLOOKUP(HD$6&amp;"-"&amp;$M12&amp;"_old",Ammortamento_Finanziario!$H:$L,5,FALSE),VLOOKUP($M12,TT_Tabelle_Riferimento!$H$31:$I$50,2,FALSE))</f>
        <v>50</v>
      </c>
      <c r="HE12" s="628">
        <f>+IFERROR(VLOOKUP(HE$6&amp;"-"&amp;$M12&amp;"_old",Ammortamento_Finanziario!$H:$L,5,FALSE),VLOOKUP($M12,TT_Tabelle_Riferimento!$H$31:$I$50,2,FALSE))</f>
        <v>50</v>
      </c>
      <c r="HF12" s="628">
        <f>+IFERROR(VLOOKUP(HF$6&amp;"-"&amp;$M12&amp;"_old",Ammortamento_Finanziario!$H:$L,5,FALSE),VLOOKUP($M12,TT_Tabelle_Riferimento!$H$31:$I$50,2,FALSE))</f>
        <v>50</v>
      </c>
      <c r="HG12" s="628">
        <f>+IFERROR(VLOOKUP(HG$6&amp;"-"&amp;$M12&amp;"_old",Ammortamento_Finanziario!$H:$L,5,FALSE),VLOOKUP($M12,TT_Tabelle_Riferimento!$H$31:$I$50,2,FALSE))</f>
        <v>50</v>
      </c>
      <c r="HH12" s="422">
        <f>+IFERROR(VLOOKUP(HH$6&amp;"-"&amp;$M12&amp;"_old",Ammortamento_Finanziario!$H:$L,5,FALSE),VLOOKUP($M12,TT_Tabelle_Riferimento!$H$31:$I$50,2,FALSE))</f>
        <v>50</v>
      </c>
      <c r="HI12" s="422">
        <f>+IFERROR(VLOOKUP(HI$6&amp;"-"&amp;$M12&amp;"_old",Ammortamento_Finanziario!$H:$L,5,FALSE),VLOOKUP($M12,TT_Tabelle_Riferimento!$H$31:$I$50,2,FALSE))</f>
        <v>50</v>
      </c>
      <c r="HJ12" s="422">
        <f>+IFERROR(VLOOKUP(HJ$6&amp;"-"&amp;$M12&amp;"_old",Ammortamento_Finanziario!$H:$L,5,FALSE),VLOOKUP($M12,TT_Tabelle_Riferimento!$H$31:$I$50,2,FALSE))</f>
        <v>50</v>
      </c>
      <c r="HK12" s="1746">
        <f>+IFERROR(VLOOKUP(HK$6&amp;"-"&amp;$M12&amp;"_old",Ammortamento_Finanziario!$H:$L,5,FALSE),VLOOKUP($M12,TT_Tabelle_Riferimento!$H$31:$I$50,2,FALSE))</f>
        <v>50</v>
      </c>
      <c r="HL12" s="1746">
        <f>+IFERROR(VLOOKUP(HL$6&amp;"-"&amp;$M12&amp;"_old",Ammortamento_Finanziario!$H:$L,5,FALSE),VLOOKUP($M12,TT_Tabelle_Riferimento!$H$31:$I$50,2,FALSE))</f>
        <v>50</v>
      </c>
      <c r="HM12" s="1753">
        <f>+IFERROR(VLOOKUP(HM$6&amp;"-"&amp;$M12&amp;"_old",Ammortamento_Finanziario!$H:$L,5,FALSE),VLOOKUP($M12,TT_Tabelle_Riferimento!$H$31:$I$50,2,FALSE))</f>
        <v>50</v>
      </c>
      <c r="HN12" s="1753">
        <f>+IFERROR(VLOOKUP(HN$6&amp;"-"&amp;$M12&amp;"_old",Ammortamento_Finanziario!$H:$L,5,FALSE),VLOOKUP($M12,TT_Tabelle_Riferimento!$H$31:$I$50,2,FALSE))</f>
        <v>50</v>
      </c>
      <c r="HO12" s="1753">
        <f>+IFERROR(VLOOKUP(HO$6&amp;"-"&amp;$M12&amp;"_old",Ammortamento_Finanziario!$H:$L,5,FALSE),VLOOKUP($M12,TT_Tabelle_Riferimento!$H$31:$I$50,2,FALSE))</f>
        <v>50</v>
      </c>
      <c r="HP12" s="1753">
        <f>+IFERROR(VLOOKUP(HP$6&amp;"-"&amp;$M12&amp;"_old",Ammortamento_Finanziario!$H:$L,5,FALSE),VLOOKUP($M12,TT_Tabelle_Riferimento!$H$31:$I$50,2,FALSE))</f>
        <v>50</v>
      </c>
      <c r="HQ12" s="1753">
        <f>+IFERROR(VLOOKUP(HQ$6&amp;"-"&amp;$M12&amp;"_old",Ammortamento_Finanziario!$H:$L,5,FALSE),VLOOKUP($M12,TT_Tabelle_Riferimento!$H$31:$I$50,2,FALSE))</f>
        <v>50</v>
      </c>
      <c r="HR12" s="1753">
        <f>+IFERROR(VLOOKUP(HR$6&amp;"-"&amp;$M12&amp;"_old",Ammortamento_Finanziario!$H:$L,5,FALSE),VLOOKUP($M12,TT_Tabelle_Riferimento!$H$31:$I$50,2,FALSE))</f>
        <v>50</v>
      </c>
      <c r="HS12" s="422">
        <f>+IFERROR(VLOOKUP(HS$6&amp;"-"&amp;$M12&amp;"_old",Ammortamento_Finanziario!$H:$L,5,FALSE),VLOOKUP($M12,TT_Tabelle_Riferimento!$H$31:$I$50,2,FALSE))</f>
        <v>50</v>
      </c>
      <c r="HT12" s="422">
        <f>+IFERROR(VLOOKUP(HT$6&amp;"-"&amp;$M12&amp;"_old",Ammortamento_Finanziario!$H:$L,5,FALSE),VLOOKUP($M12,TT_Tabelle_Riferimento!$H$31:$I$50,2,FALSE))</f>
        <v>50</v>
      </c>
      <c r="HU12" s="422">
        <f>+IFERROR(VLOOKUP(HU$6&amp;"-"&amp;$M12&amp;"_old",Ammortamento_Finanziario!$H:$L,5,FALSE),VLOOKUP($M12,TT_Tabelle_Riferimento!$H$31:$I$50,2,FALSE))</f>
        <v>50</v>
      </c>
      <c r="HV12" s="422">
        <f>+IFERROR(VLOOKUP(HV$6&amp;"-"&amp;$M12&amp;"_old",Ammortamento_Finanziario!$H:$L,5,FALSE),VLOOKUP($M12,TT_Tabelle_Riferimento!$H$31:$I$50,2,FALSE))</f>
        <v>50</v>
      </c>
      <c r="HW12" s="422">
        <f>+IFERROR(VLOOKUP(HW$6&amp;"-"&amp;$M12&amp;"_old",Ammortamento_Finanziario!$H:$L,5,FALSE),VLOOKUP($M12,TT_Tabelle_Riferimento!$H$31:$I$50,2,FALSE))</f>
        <v>50</v>
      </c>
      <c r="HX12" s="422">
        <f>+IFERROR(VLOOKUP(HX$6&amp;"-"&amp;$M12&amp;"_old",Ammortamento_Finanziario!$H:$L,5,FALSE),VLOOKUP($M12,TT_Tabelle_Riferimento!$H$31:$I$50,2,FALSE))</f>
        <v>50</v>
      </c>
      <c r="HY12" s="422">
        <f>+IFERROR(VLOOKUP(HY$6&amp;"-"&amp;$M12&amp;"_old",Ammortamento_Finanziario!$H:$L,5,FALSE),VLOOKUP($M12,TT_Tabelle_Riferimento!$H$31:$I$50,2,FALSE))</f>
        <v>50</v>
      </c>
      <c r="HZ12" s="422">
        <f>+IFERROR(VLOOKUP(HZ$6&amp;"-"&amp;$M12&amp;"_old",Ammortamento_Finanziario!$H:$L,5,FALSE),VLOOKUP($M12,TT_Tabelle_Riferimento!$H$31:$I$50,2,FALSE))</f>
        <v>50</v>
      </c>
      <c r="IA12" s="422">
        <f>+IFERROR(VLOOKUP(IA$6&amp;"-"&amp;$M12&amp;"_old",Ammortamento_Finanziario!$H:$L,5,FALSE),VLOOKUP($M12,TT_Tabelle_Riferimento!$H$31:$I$50,2,FALSE))</f>
        <v>50</v>
      </c>
      <c r="IB12" s="422">
        <f>+IFERROR(VLOOKUP(IB$6&amp;"-"&amp;$M12&amp;"_old",Ammortamento_Finanziario!$H:$L,5,FALSE),VLOOKUP($M12,TT_Tabelle_Riferimento!$H$31:$I$50,2,FALSE))</f>
        <v>50</v>
      </c>
      <c r="IC12" s="422">
        <f>+IFERROR(VLOOKUP(IC$6&amp;"-"&amp;$M12&amp;"_old",Ammortamento_Finanziario!$H:$L,5,FALSE),VLOOKUP($M12,TT_Tabelle_Riferimento!$H$31:$I$50,2,FALSE))</f>
        <v>50</v>
      </c>
      <c r="ID12" s="422">
        <f>+IFERROR(VLOOKUP(ID$6&amp;"-"&amp;$M12&amp;"_old",Ammortamento_Finanziario!$H:$L,5,FALSE),VLOOKUP($M12,TT_Tabelle_Riferimento!$H$31:$I$50,2,FALSE))</f>
        <v>50</v>
      </c>
      <c r="IE12" s="422">
        <f>+IFERROR(VLOOKUP(IE$6&amp;"-"&amp;$M12&amp;"_old",Ammortamento_Finanziario!$H:$L,5,FALSE),VLOOKUP($M12,TT_Tabelle_Riferimento!$H$31:$I$50,2,FALSE))</f>
        <v>50</v>
      </c>
      <c r="IF12" s="422">
        <f>+IFERROR(VLOOKUP(IF$6&amp;"-"&amp;$M12&amp;"_old",Ammortamento_Finanziario!$H:$L,5,FALSE),VLOOKUP($M12,TT_Tabelle_Riferimento!$H$31:$I$50,2,FALSE))</f>
        <v>50</v>
      </c>
      <c r="IG12" s="422">
        <f>+IFERROR(VLOOKUP(IG$6&amp;"-"&amp;$M12&amp;"_old",Ammortamento_Finanziario!$H:$L,5,FALSE),VLOOKUP($M12,TT_Tabelle_Riferimento!$H$31:$I$50,2,FALSE))</f>
        <v>50</v>
      </c>
      <c r="IH12" s="422">
        <f>+IFERROR(VLOOKUP(IH$6&amp;"-"&amp;$M12&amp;"_old",Ammortamento_Finanziario!$H:$L,5,FALSE),VLOOKUP($M12,TT_Tabelle_Riferimento!$H$31:$I$50,2,FALSE))</f>
        <v>50</v>
      </c>
      <c r="II12" s="422">
        <f>+IFERROR(VLOOKUP(II$6&amp;"-"&amp;$M12&amp;"_old",Ammortamento_Finanziario!$H:$L,5,FALSE),VLOOKUP($M12,TT_Tabelle_Riferimento!$H$31:$I$50,2,FALSE))</f>
        <v>50</v>
      </c>
      <c r="IJ12" s="422">
        <f>+IFERROR(VLOOKUP(IJ$6&amp;"-"&amp;$M12&amp;"_old",Ammortamento_Finanziario!$H:$L,5,FALSE),VLOOKUP($M12,TT_Tabelle_Riferimento!$H$31:$I$50,2,FALSE))</f>
        <v>50</v>
      </c>
      <c r="IK12" s="422">
        <f>+IFERROR(VLOOKUP(IK$6&amp;"-"&amp;$M12&amp;"_old",Ammortamento_Finanziario!$H:$L,5,FALSE),VLOOKUP($M12,TT_Tabelle_Riferimento!$H$31:$I$50,2,FALSE))</f>
        <v>50</v>
      </c>
      <c r="IL12" s="1077">
        <f>+IFERROR(VLOOKUP(IL$6&amp;"-"&amp;$M12&amp;"_old",Ammortamento_Finanziario!$H:$L,5,FALSE),VLOOKUP($M12,TT_Tabelle_Riferimento!$H$31:$I$50,2,FALSE))</f>
        <v>50</v>
      </c>
      <c r="IM12" s="1077">
        <f>+IFERROR(VLOOKUP(IM$6&amp;"-"&amp;$M12&amp;"_old",Ammortamento_Finanziario!$H:$L,5,FALSE),VLOOKUP($M12,TT_Tabelle_Riferimento!$H$31:$I$50,2,FALSE))</f>
        <v>50</v>
      </c>
      <c r="IN12" s="1747">
        <f>+IFERROR(VLOOKUP(IN$6&amp;"-"&amp;$M12&amp;"_old",Ammortamento_Finanziario!$H:$L,5,FALSE),VLOOKUP($M12,TT_Tabelle_Riferimento!$H$31:$I$50,2,FALSE))</f>
        <v>50</v>
      </c>
      <c r="IO12" s="1747">
        <f>+IFERROR(VLOOKUP(IO$6&amp;"-"&amp;$M12&amp;"_old",Ammortamento_Finanziario!$H:$L,5,FALSE),VLOOKUP($M12,TT_Tabelle_Riferimento!$H$31:$I$50,2,FALSE))</f>
        <v>50</v>
      </c>
      <c r="IP12" s="1754">
        <f>+IFERROR(VLOOKUP(IP$6&amp;"-"&amp;$M12&amp;"_old",Ammortamento_Finanziario!$H:$L,5,FALSE),VLOOKUP($M12,TT_Tabelle_Riferimento!$H$31:$I$50,2,FALSE))</f>
        <v>50</v>
      </c>
      <c r="IQ12" s="1754">
        <f>+IFERROR(VLOOKUP(IQ$6&amp;"-"&amp;$M12&amp;"_old",Ammortamento_Finanziario!$H:$L,5,FALSE),VLOOKUP($M12,TT_Tabelle_Riferimento!$H$31:$I$50,2,FALSE))</f>
        <v>50</v>
      </c>
      <c r="IR12" s="1754">
        <f>+IFERROR(VLOOKUP(IR$6&amp;"-"&amp;$M12&amp;"_old",Ammortamento_Finanziario!$H:$L,5,FALSE),VLOOKUP($M12,TT_Tabelle_Riferimento!$H$31:$I$50,2,FALSE))</f>
        <v>50</v>
      </c>
      <c r="IS12" s="1754">
        <f>+IFERROR(VLOOKUP(IS$6&amp;"-"&amp;$M12&amp;"_old",Ammortamento_Finanziario!$H:$L,5,FALSE),VLOOKUP($M12,TT_Tabelle_Riferimento!$H$31:$I$50,2,FALSE))</f>
        <v>50</v>
      </c>
      <c r="IT12" s="1754">
        <f>+IFERROR(VLOOKUP(IT$6&amp;"-"&amp;$M12&amp;"_old",Ammortamento_Finanziario!$H:$L,5,FALSE),VLOOKUP($M12,TT_Tabelle_Riferimento!$H$31:$I$50,2,FALSE))</f>
        <v>50</v>
      </c>
      <c r="IU12" s="1754">
        <f>+IFERROR(VLOOKUP(IU$6&amp;"-"&amp;$M12&amp;"_old",Ammortamento_Finanziario!$H:$L,5,FALSE),VLOOKUP($M12,TT_Tabelle_Riferimento!$H$31:$I$50,2,FALSE))</f>
        <v>50</v>
      </c>
      <c r="IV12" s="1077">
        <f>+IFERROR(VLOOKUP(IV$6&amp;"-"&amp;$M12&amp;"_old",Ammortamento_Finanziario!$H:$L,5,FALSE),VLOOKUP($M12,TT_Tabelle_Riferimento!$H$31:$I$50,2,FALSE))</f>
        <v>50</v>
      </c>
      <c r="IW12" s="1077">
        <f>+IFERROR(VLOOKUP(IW$6&amp;"-"&amp;$M12&amp;"_old",Ammortamento_Finanziario!$H:$L,5,FALSE),VLOOKUP($M12,TT_Tabelle_Riferimento!$H$31:$I$50,2,FALSE))</f>
        <v>50</v>
      </c>
      <c r="IX12" s="1077">
        <f>+IFERROR(VLOOKUP(IX$6&amp;"-"&amp;$M12&amp;"_old",Ammortamento_Finanziario!$H:$L,5,FALSE),VLOOKUP($M12,TT_Tabelle_Riferimento!$H$31:$I$50,2,FALSE))</f>
        <v>50</v>
      </c>
      <c r="IY12" s="1077">
        <f>+IFERROR(VLOOKUP(IY$6&amp;"-"&amp;$M12&amp;"_old",Ammortamento_Finanziario!$H:$L,5,FALSE),VLOOKUP($M12,TT_Tabelle_Riferimento!$H$31:$I$50,2,FALSE))</f>
        <v>50</v>
      </c>
      <c r="IZ12" s="1077">
        <f>+IFERROR(VLOOKUP(IZ$6&amp;"-"&amp;$M12&amp;"_old",Ammortamento_Finanziario!$H:$L,5,FALSE),VLOOKUP($M12,TT_Tabelle_Riferimento!$H$31:$I$50,2,FALSE))</f>
        <v>50</v>
      </c>
      <c r="JA12" s="1077">
        <f>+IFERROR(VLOOKUP(JA$6&amp;"-"&amp;$M12&amp;"_old",Ammortamento_Finanziario!$H:$L,5,FALSE),VLOOKUP($M12,TT_Tabelle_Riferimento!$H$31:$I$50,2,FALSE))</f>
        <v>50</v>
      </c>
      <c r="JB12" s="1077">
        <f>+IFERROR(VLOOKUP(JB$6&amp;"-"&amp;$M12&amp;"_old",Ammortamento_Finanziario!$H:$L,5,FALSE),VLOOKUP($M12,TT_Tabelle_Riferimento!$H$31:$I$50,2,FALSE))</f>
        <v>50</v>
      </c>
      <c r="JC12" s="1077">
        <f>+IFERROR(VLOOKUP(JC$6&amp;"-"&amp;$M12&amp;"_old",Ammortamento_Finanziario!$H:$L,5,FALSE),VLOOKUP($M12,TT_Tabelle_Riferimento!$H$31:$I$50,2,FALSE))</f>
        <v>50</v>
      </c>
      <c r="JD12" s="1077">
        <f>+IFERROR(VLOOKUP(JD$6&amp;"-"&amp;$M12&amp;"_old",Ammortamento_Finanziario!$H:$L,5,FALSE),VLOOKUP($M12,TT_Tabelle_Riferimento!$H$31:$I$50,2,FALSE))</f>
        <v>50</v>
      </c>
      <c r="JE12" s="1077">
        <f>+IFERROR(VLOOKUP(JE$6&amp;"-"&amp;$M12&amp;"_old",Ammortamento_Finanziario!$H:$L,5,FALSE),VLOOKUP($M12,TT_Tabelle_Riferimento!$H$31:$I$50,2,FALSE))</f>
        <v>50</v>
      </c>
      <c r="JF12" s="1077">
        <f>+IFERROR(VLOOKUP(JF$6&amp;"-"&amp;$M12&amp;"_old",Ammortamento_Finanziario!$H:$L,5,FALSE),VLOOKUP($M12,TT_Tabelle_Riferimento!$H$31:$I$50,2,FALSE))</f>
        <v>50</v>
      </c>
      <c r="JG12" s="1077">
        <f>+IFERROR(VLOOKUP(JG$6&amp;"-"&amp;$M12&amp;"_old",Ammortamento_Finanziario!$H:$L,5,FALSE),VLOOKUP($M12,TT_Tabelle_Riferimento!$H$31:$I$50,2,FALSE))</f>
        <v>50</v>
      </c>
      <c r="JH12" s="1077">
        <f>+IFERROR(VLOOKUP(JH$6&amp;"-"&amp;$M12&amp;"_old",Ammortamento_Finanziario!$H:$L,5,FALSE),VLOOKUP($M12,TT_Tabelle_Riferimento!$H$31:$I$50,2,FALSE))</f>
        <v>50</v>
      </c>
      <c r="JI12" s="1077">
        <f>+IFERROR(VLOOKUP(JI$6&amp;"-"&amp;$M12&amp;"_old",Ammortamento_Finanziario!$H:$L,5,FALSE),VLOOKUP($M12,TT_Tabelle_Riferimento!$H$31:$I$50,2,FALSE))</f>
        <v>50</v>
      </c>
      <c r="JJ12" s="1077">
        <f>+IFERROR(VLOOKUP(JJ$6&amp;"-"&amp;$M12&amp;"_old",Ammortamento_Finanziario!$H:$L,5,FALSE),VLOOKUP($M12,TT_Tabelle_Riferimento!$H$31:$I$50,2,FALSE))</f>
        <v>50</v>
      </c>
      <c r="JK12" s="1077">
        <f>+IFERROR(VLOOKUP(JK$6&amp;"-"&amp;$M12&amp;"_old",Ammortamento_Finanziario!$H:$L,5,FALSE),VLOOKUP($M12,TT_Tabelle_Riferimento!$H$31:$I$50,2,FALSE))</f>
        <v>50</v>
      </c>
      <c r="JL12" s="1077">
        <f>+IFERROR(VLOOKUP(JL$6&amp;"-"&amp;$M12&amp;"_old",Ammortamento_Finanziario!$H:$L,5,FALSE),VLOOKUP($M12,TT_Tabelle_Riferimento!$H$31:$I$50,2,FALSE))</f>
        <v>50</v>
      </c>
      <c r="JM12" s="1077">
        <f>+IFERROR(VLOOKUP(JM$6&amp;"-"&amp;$M12&amp;"_old",Ammortamento_Finanziario!$H:$L,5,FALSE),VLOOKUP($M12,TT_Tabelle_Riferimento!$H$31:$I$50,2,FALSE))</f>
        <v>50</v>
      </c>
      <c r="JN12" s="1077">
        <f>+IFERROR(VLOOKUP(JN$6&amp;"-"&amp;$M12&amp;"_old",Ammortamento_Finanziario!$H:$L,5,FALSE),VLOOKUP($M12,TT_Tabelle_Riferimento!$H$31:$I$50,2,FALSE))</f>
        <v>50</v>
      </c>
      <c r="JO12" s="1078">
        <f>+IFERROR(VLOOKUP(JO$6&amp;"-"&amp;$M12&amp;"_old",Ammortamento_Finanziario!$H:$L,5,FALSE),VLOOKUP($M12,TT_Tabelle_Riferimento!$H$31:$I$50,2,FALSE))</f>
        <v>50</v>
      </c>
      <c r="JP12" s="1748">
        <f>+IFERROR(VLOOKUP(JP$6&amp;"-"&amp;$M12&amp;"_old",Ammortamento_Finanziario!$H:$L,5,FALSE),VLOOKUP($M12,TT_Tabelle_Riferimento!$H$31:$I$50,2,FALSE))</f>
        <v>50</v>
      </c>
      <c r="JQ12" s="1748">
        <f>+IFERROR(VLOOKUP(JQ$6&amp;"-"&amp;$M12&amp;"_old",Ammortamento_Finanziario!$H:$L,5,FALSE),VLOOKUP($M12,TT_Tabelle_Riferimento!$H$31:$I$50,2,FALSE))</f>
        <v>50</v>
      </c>
      <c r="JR12" s="1755">
        <f>+IFERROR(VLOOKUP(JR$6&amp;"-"&amp;$M12&amp;"_old",Ammortamento_Finanziario!$H:$L,5,FALSE),VLOOKUP($M12,TT_Tabelle_Riferimento!$H$31:$I$50,2,FALSE))</f>
        <v>50</v>
      </c>
      <c r="JS12" s="1755">
        <f>+IFERROR(VLOOKUP(JS$6&amp;"-"&amp;$M12&amp;"_old",Ammortamento_Finanziario!$H:$L,5,FALSE),VLOOKUP($M12,TT_Tabelle_Riferimento!$H$31:$I$50,2,FALSE))</f>
        <v>50</v>
      </c>
      <c r="JT12" s="1755">
        <f>+IFERROR(VLOOKUP(JT$6&amp;"-"&amp;$M12&amp;"_old",Ammortamento_Finanziario!$H:$L,5,FALSE),VLOOKUP($M12,TT_Tabelle_Riferimento!$H$31:$I$50,2,FALSE))</f>
        <v>50</v>
      </c>
      <c r="JU12" s="1755">
        <f>+IFERROR(VLOOKUP(JU$6&amp;"-"&amp;$M12&amp;"_old",Ammortamento_Finanziario!$H:$L,5,FALSE),VLOOKUP($M12,TT_Tabelle_Riferimento!$H$31:$I$50,2,FALSE))</f>
        <v>50</v>
      </c>
      <c r="JV12" s="1755">
        <f>+IFERROR(VLOOKUP(JV$6&amp;"-"&amp;$M12&amp;"_old",Ammortamento_Finanziario!$H:$L,5,FALSE),VLOOKUP($M12,TT_Tabelle_Riferimento!$H$31:$I$50,2,FALSE))</f>
        <v>50</v>
      </c>
      <c r="JW12" s="1755">
        <f>+IFERROR(VLOOKUP(JW$6&amp;"-"&amp;$M12&amp;"_old",Ammortamento_Finanziario!$H:$L,5,FALSE),VLOOKUP($M12,TT_Tabelle_Riferimento!$H$31:$I$50,2,FALSE))</f>
        <v>50</v>
      </c>
      <c r="JX12" s="1078">
        <f>+IFERROR(VLOOKUP(JX$6&amp;"-"&amp;$M12&amp;"_old",Ammortamento_Finanziario!$H:$L,5,FALSE),VLOOKUP($M12,TT_Tabelle_Riferimento!$H$31:$I$50,2,FALSE))</f>
        <v>50</v>
      </c>
      <c r="JY12" s="1078">
        <f>+IFERROR(VLOOKUP(JY$6&amp;"-"&amp;$M12&amp;"_old",Ammortamento_Finanziario!$H:$L,5,FALSE),VLOOKUP($M12,TT_Tabelle_Riferimento!$H$31:$I$50,2,FALSE))</f>
        <v>50</v>
      </c>
      <c r="JZ12" s="1078">
        <f>+IFERROR(VLOOKUP(JZ$6&amp;"-"&amp;$M12&amp;"_old",Ammortamento_Finanziario!$H:$L,5,FALSE),VLOOKUP($M12,TT_Tabelle_Riferimento!$H$31:$I$50,2,FALSE))</f>
        <v>50</v>
      </c>
      <c r="KA12" s="1078">
        <f>+IFERROR(VLOOKUP(KA$6&amp;"-"&amp;$M12&amp;"_old",Ammortamento_Finanziario!$H:$L,5,FALSE),VLOOKUP($M12,TT_Tabelle_Riferimento!$H$31:$I$50,2,FALSE))</f>
        <v>50</v>
      </c>
      <c r="KB12" s="1078">
        <f>+IFERROR(VLOOKUP(KB$6&amp;"-"&amp;$M12&amp;"_old",Ammortamento_Finanziario!$H:$L,5,FALSE),VLOOKUP($M12,TT_Tabelle_Riferimento!$H$31:$I$50,2,FALSE))</f>
        <v>50</v>
      </c>
      <c r="KC12" s="1078">
        <f>+IFERROR(VLOOKUP(KC$6&amp;"-"&amp;$M12&amp;"_old",Ammortamento_Finanziario!$H:$L,5,FALSE),VLOOKUP($M12,TT_Tabelle_Riferimento!$H$31:$I$50,2,FALSE))</f>
        <v>50</v>
      </c>
      <c r="KD12" s="1078">
        <f>+IFERROR(VLOOKUP(KD$6&amp;"-"&amp;$M12&amp;"_old",Ammortamento_Finanziario!$H:$L,5,FALSE),VLOOKUP($M12,TT_Tabelle_Riferimento!$H$31:$I$50,2,FALSE))</f>
        <v>50</v>
      </c>
      <c r="KE12" s="1078">
        <f>+IFERROR(VLOOKUP(KE$6&amp;"-"&amp;$M12&amp;"_old",Ammortamento_Finanziario!$H:$L,5,FALSE),VLOOKUP($M12,TT_Tabelle_Riferimento!$H$31:$I$50,2,FALSE))</f>
        <v>50</v>
      </c>
      <c r="KF12" s="1078">
        <f>+IFERROR(VLOOKUP(KF$6&amp;"-"&amp;$M12&amp;"_old",Ammortamento_Finanziario!$H:$L,5,FALSE),VLOOKUP($M12,TT_Tabelle_Riferimento!$H$31:$I$50,2,FALSE))</f>
        <v>50</v>
      </c>
      <c r="KG12" s="1078">
        <f>+IFERROR(VLOOKUP(KG$6&amp;"-"&amp;$M12&amp;"_old",Ammortamento_Finanziario!$H:$L,5,FALSE),VLOOKUP($M12,TT_Tabelle_Riferimento!$H$31:$I$50,2,FALSE))</f>
        <v>50</v>
      </c>
      <c r="KH12" s="1078">
        <f>+IFERROR(VLOOKUP(KH$6&amp;"-"&amp;$M12&amp;"_old",Ammortamento_Finanziario!$H:$L,5,FALSE),VLOOKUP($M12,TT_Tabelle_Riferimento!$H$31:$I$50,2,FALSE))</f>
        <v>50</v>
      </c>
      <c r="KI12" s="1078">
        <f>+IFERROR(VLOOKUP(KI$6&amp;"-"&amp;$M12&amp;"_old",Ammortamento_Finanziario!$H:$L,5,FALSE),VLOOKUP($M12,TT_Tabelle_Riferimento!$H$31:$I$50,2,FALSE))</f>
        <v>50</v>
      </c>
      <c r="KJ12" s="1078">
        <f>+IFERROR(VLOOKUP(KJ$6&amp;"-"&amp;$M12&amp;"_old",Ammortamento_Finanziario!$H:$L,5,FALSE),VLOOKUP($M12,TT_Tabelle_Riferimento!$H$31:$I$50,2,FALSE))</f>
        <v>50</v>
      </c>
      <c r="KK12" s="1078">
        <f>+IFERROR(VLOOKUP(KK$6&amp;"-"&amp;$M12&amp;"_old",Ammortamento_Finanziario!$H:$L,5,FALSE),VLOOKUP($M12,TT_Tabelle_Riferimento!$H$31:$I$50,2,FALSE))</f>
        <v>50</v>
      </c>
      <c r="KL12" s="1078">
        <f>+IFERROR(VLOOKUP(KL$6&amp;"-"&amp;$M12&amp;"_old",Ammortamento_Finanziario!$H:$L,5,FALSE),VLOOKUP($M12,TT_Tabelle_Riferimento!$H$31:$I$50,2,FALSE))</f>
        <v>50</v>
      </c>
      <c r="KM12" s="1078">
        <f>+IFERROR(VLOOKUP(KM$6&amp;"-"&amp;$M12&amp;"_old",Ammortamento_Finanziario!$H:$L,5,FALSE),VLOOKUP($M12,TT_Tabelle_Riferimento!$H$31:$I$50,2,FALSE))</f>
        <v>50</v>
      </c>
      <c r="KN12" s="1078">
        <f>+IFERROR(VLOOKUP(KN$6&amp;"-"&amp;$M12&amp;"_old",Ammortamento_Finanziario!$H:$L,5,FALSE),VLOOKUP($M12,TT_Tabelle_Riferimento!$H$31:$I$50,2,FALSE))</f>
        <v>50</v>
      </c>
      <c r="KO12" s="1078">
        <f>+IFERROR(VLOOKUP(KO$6&amp;"-"&amp;$M12&amp;"_old",Ammortamento_Finanziario!$H:$L,5,FALSE),VLOOKUP($M12,TT_Tabelle_Riferimento!$H$31:$I$50,2,FALSE))</f>
        <v>50</v>
      </c>
      <c r="KP12" s="1078">
        <f>+IFERROR(VLOOKUP(KP$6&amp;"-"&amp;$M12&amp;"_old",Ammortamento_Finanziario!$H:$L,5,FALSE),VLOOKUP($M12,TT_Tabelle_Riferimento!$H$31:$I$50,2,FALSE))</f>
        <v>50</v>
      </c>
      <c r="KQ12" s="1748">
        <f>+IFERROR(VLOOKUP(KQ$6&amp;"-"&amp;$M12&amp;"_old",Ammortamento_Finanziario!$H:$L,5,FALSE),VLOOKUP($M12,TT_Tabelle_Riferimento!$H$31:$I$50,2,FALSE))</f>
        <v>50</v>
      </c>
      <c r="KR12" s="1748">
        <f>+IFERROR(VLOOKUP(KR$6&amp;"-"&amp;$M12&amp;"_old",Ammortamento_Finanziario!$H:$L,5,FALSE),VLOOKUP($M12,TT_Tabelle_Riferimento!$H$31:$I$50,2,FALSE))</f>
        <v>50</v>
      </c>
      <c r="KS12" s="1755">
        <f>+IFERROR(VLOOKUP(KS$6&amp;"-"&amp;$M12&amp;"_old",Ammortamento_Finanziario!$H:$L,5,FALSE),VLOOKUP($M12,TT_Tabelle_Riferimento!$H$31:$I$50,2,FALSE))</f>
        <v>50</v>
      </c>
      <c r="KT12" s="1755">
        <f>+IFERROR(VLOOKUP(KT$6&amp;"-"&amp;$M12&amp;"_old",Ammortamento_Finanziario!$H:$L,5,FALSE),VLOOKUP($M12,TT_Tabelle_Riferimento!$H$31:$I$50,2,FALSE))</f>
        <v>50</v>
      </c>
      <c r="KU12" s="1755">
        <f>+IFERROR(VLOOKUP(KU$6&amp;"-"&amp;$M12&amp;"_old",Ammortamento_Finanziario!$H:$L,5,FALSE),VLOOKUP($M12,TT_Tabelle_Riferimento!$H$31:$I$50,2,FALSE))</f>
        <v>50</v>
      </c>
      <c r="KV12" s="1755">
        <f>+IFERROR(VLOOKUP(KV$6&amp;"-"&amp;$M12&amp;"_old",Ammortamento_Finanziario!$H:$L,5,FALSE),VLOOKUP($M12,TT_Tabelle_Riferimento!$H$31:$I$50,2,FALSE))</f>
        <v>50</v>
      </c>
      <c r="KW12" s="1755">
        <f>+IFERROR(VLOOKUP(KW$6&amp;"-"&amp;$M12&amp;"_old",Ammortamento_Finanziario!$H:$L,5,FALSE),VLOOKUP($M12,TT_Tabelle_Riferimento!$H$31:$I$50,2,FALSE))</f>
        <v>50</v>
      </c>
      <c r="KX12" s="1755">
        <f>+IFERROR(VLOOKUP(KX$6&amp;"-"&amp;$M12&amp;"_old",Ammortamento_Finanziario!$H:$L,5,FALSE),VLOOKUP($M12,TT_Tabelle_Riferimento!$H$31:$I$50,2,FALSE))</f>
        <v>50</v>
      </c>
      <c r="KY12" s="1078">
        <f>+IFERROR(VLOOKUP(KY$6&amp;"-"&amp;$M12&amp;"_old",Ammortamento_Finanziario!$H:$L,5,FALSE),VLOOKUP($M12,TT_Tabelle_Riferimento!$H$31:$I$50,2,FALSE))</f>
        <v>50</v>
      </c>
      <c r="KZ12" s="1078">
        <f>+IFERROR(VLOOKUP(KZ$6&amp;"-"&amp;$M12&amp;"_old",Ammortamento_Finanziario!$H:$L,5,FALSE),VLOOKUP($M12,TT_Tabelle_Riferimento!$H$31:$I$50,2,FALSE))</f>
        <v>50</v>
      </c>
      <c r="LA12" s="1078">
        <f>+IFERROR(VLOOKUP(LA$6&amp;"-"&amp;$M12&amp;"_old",Ammortamento_Finanziario!$H:$L,5,FALSE),VLOOKUP($M12,TT_Tabelle_Riferimento!$H$31:$I$50,2,FALSE))</f>
        <v>50</v>
      </c>
      <c r="LB12" s="1078">
        <f>+IFERROR(VLOOKUP(LB$6&amp;"-"&amp;$M12&amp;"_old",Ammortamento_Finanziario!$H:$L,5,FALSE),VLOOKUP($M12,TT_Tabelle_Riferimento!$H$31:$I$50,2,FALSE))</f>
        <v>50</v>
      </c>
      <c r="LC12" s="1078">
        <f>+IFERROR(VLOOKUP(LC$6&amp;"-"&amp;$M12&amp;"_old",Ammortamento_Finanziario!$H:$L,5,FALSE),VLOOKUP($M12,TT_Tabelle_Riferimento!$H$31:$I$50,2,FALSE))</f>
        <v>50</v>
      </c>
      <c r="LD12" s="1078">
        <f>+IFERROR(VLOOKUP(LD$6&amp;"-"&amp;$M12&amp;"_old",Ammortamento_Finanziario!$H:$L,5,FALSE),VLOOKUP($M12,TT_Tabelle_Riferimento!$H$31:$I$50,2,FALSE))</f>
        <v>50</v>
      </c>
      <c r="LE12" s="1078">
        <f>+IFERROR(VLOOKUP(LE$6&amp;"-"&amp;$M12&amp;"_old",Ammortamento_Finanziario!$H:$L,5,FALSE),VLOOKUP($M12,TT_Tabelle_Riferimento!$H$31:$I$50,2,FALSE))</f>
        <v>50</v>
      </c>
      <c r="LF12" s="1078">
        <f>+IFERROR(VLOOKUP(LF$6&amp;"-"&amp;$M12&amp;"_old",Ammortamento_Finanziario!$H:$L,5,FALSE),VLOOKUP($M12,TT_Tabelle_Riferimento!$H$31:$I$50,2,FALSE))</f>
        <v>50</v>
      </c>
      <c r="LG12" s="1078">
        <f>+IFERROR(VLOOKUP(LG$6&amp;"-"&amp;$M12&amp;"_old",Ammortamento_Finanziario!$H:$L,5,FALSE),VLOOKUP($M12,TT_Tabelle_Riferimento!$H$31:$I$50,2,FALSE))</f>
        <v>50</v>
      </c>
      <c r="LH12" s="1078">
        <f>+IFERROR(VLOOKUP(LH$6&amp;"-"&amp;$M12&amp;"_old",Ammortamento_Finanziario!$H:$L,5,FALSE),VLOOKUP($M12,TT_Tabelle_Riferimento!$H$31:$I$50,2,FALSE))</f>
        <v>50</v>
      </c>
      <c r="LI12" s="1078">
        <f>+IFERROR(VLOOKUP(LI$6&amp;"-"&amp;$M12&amp;"_old",Ammortamento_Finanziario!$H:$L,5,FALSE),VLOOKUP($M12,TT_Tabelle_Riferimento!$H$31:$I$50,2,FALSE))</f>
        <v>50</v>
      </c>
      <c r="LJ12" s="1078">
        <f>+IFERROR(VLOOKUP(LJ$6&amp;"-"&amp;$M12&amp;"_old",Ammortamento_Finanziario!$H:$L,5,FALSE),VLOOKUP($M12,TT_Tabelle_Riferimento!$H$31:$I$50,2,FALSE))</f>
        <v>50</v>
      </c>
      <c r="LK12" s="1078">
        <f>+IFERROR(VLOOKUP(LK$6&amp;"-"&amp;$M12&amp;"_old",Ammortamento_Finanziario!$H:$L,5,FALSE),VLOOKUP($M12,TT_Tabelle_Riferimento!$H$31:$I$50,2,FALSE))</f>
        <v>50</v>
      </c>
      <c r="LL12" s="1078">
        <f>+IFERROR(VLOOKUP(LL$6&amp;"-"&amp;$M12&amp;"_old",Ammortamento_Finanziario!$H:$L,5,FALSE),VLOOKUP($M12,TT_Tabelle_Riferimento!$H$31:$I$50,2,FALSE))</f>
        <v>50</v>
      </c>
      <c r="LM12" s="1078">
        <f>+IFERROR(VLOOKUP(LM$6&amp;"-"&amp;$M12&amp;"_old",Ammortamento_Finanziario!$H:$L,5,FALSE),VLOOKUP($M12,TT_Tabelle_Riferimento!$H$31:$I$50,2,FALSE))</f>
        <v>50</v>
      </c>
      <c r="LN12" s="1078">
        <f>+IFERROR(VLOOKUP(LN$6&amp;"-"&amp;$M12&amp;"_old",Ammortamento_Finanziario!$H:$L,5,FALSE),VLOOKUP($M12,TT_Tabelle_Riferimento!$H$31:$I$50,2,FALSE))</f>
        <v>50</v>
      </c>
      <c r="LO12" s="1078">
        <f>+IFERROR(VLOOKUP(LO$6&amp;"-"&amp;$M12&amp;"_old",Ammortamento_Finanziario!$H:$L,5,FALSE),VLOOKUP($M12,TT_Tabelle_Riferimento!$H$31:$I$50,2,FALSE))</f>
        <v>50</v>
      </c>
      <c r="LP12" s="1078">
        <f>+IFERROR(VLOOKUP(LP$6&amp;"-"&amp;$M12&amp;"_old",Ammortamento_Finanziario!$H:$L,5,FALSE),VLOOKUP($M12,TT_Tabelle_Riferimento!$H$31:$I$50,2,FALSE))</f>
        <v>50</v>
      </c>
      <c r="LQ12" s="1078">
        <f>+IFERROR(VLOOKUP(LQ$6&amp;"-"&amp;$M12&amp;"_old",Ammortamento_Finanziario!$H:$L,5,FALSE),VLOOKUP($M12,TT_Tabelle_Riferimento!$H$31:$I$50,2,FALSE))</f>
        <v>50</v>
      </c>
      <c r="LR12" s="1748">
        <f>+IFERROR(VLOOKUP(LR$6&amp;"-"&amp;$M12&amp;"_old",Ammortamento_Finanziario!$H:$L,5,FALSE),VLOOKUP($M12,TT_Tabelle_Riferimento!$H$31:$I$50,2,FALSE))</f>
        <v>50</v>
      </c>
      <c r="LS12" s="1755">
        <f>+IFERROR(VLOOKUP(LS$6&amp;"-"&amp;$M12&amp;"_old",Ammortamento_Finanziario!$H:$L,5,FALSE),VLOOKUP($M12,TT_Tabelle_Riferimento!$H$31:$I$50,2,FALSE))</f>
        <v>50</v>
      </c>
      <c r="LT12" s="1755">
        <f>+IFERROR(VLOOKUP(LT$6&amp;"-"&amp;$M12&amp;"_old",Ammortamento_Finanziario!$H:$L,5,FALSE),VLOOKUP($M12,TT_Tabelle_Riferimento!$H$31:$I$50,2,FALSE))</f>
        <v>50</v>
      </c>
      <c r="LU12" s="1755">
        <f>+IFERROR(VLOOKUP(LU$6&amp;"-"&amp;$M12&amp;"_old",Ammortamento_Finanziario!$H:$L,5,FALSE),VLOOKUP($M12,TT_Tabelle_Riferimento!$H$31:$I$50,2,FALSE))</f>
        <v>50</v>
      </c>
      <c r="LV12" s="1755">
        <f>+IFERROR(VLOOKUP(LV$6&amp;"-"&amp;$M12&amp;"_old",Ammortamento_Finanziario!$H:$L,5,FALSE),VLOOKUP($M12,TT_Tabelle_Riferimento!$H$31:$I$50,2,FALSE))</f>
        <v>50</v>
      </c>
      <c r="LW12" s="1755">
        <f>+IFERROR(VLOOKUP(LW$6&amp;"-"&amp;$M12&amp;"_old",Ammortamento_Finanziario!$H:$L,5,FALSE),VLOOKUP($M12,TT_Tabelle_Riferimento!$H$31:$I$50,2,FALSE))</f>
        <v>50</v>
      </c>
      <c r="LX12" s="1755">
        <f>+IFERROR(VLOOKUP(LX$6&amp;"-"&amp;$M12&amp;"_old",Ammortamento_Finanziario!$H:$L,5,FALSE),VLOOKUP($M12,TT_Tabelle_Riferimento!$H$31:$I$50,2,FALSE))</f>
        <v>50</v>
      </c>
      <c r="LY12" s="1078">
        <f>+IFERROR(VLOOKUP(LY$6&amp;"-"&amp;$M12&amp;"_old",Ammortamento_Finanziario!$H:$L,5,FALSE),VLOOKUP($M12,TT_Tabelle_Riferimento!$H$31:$I$50,2,FALSE))</f>
        <v>50</v>
      </c>
      <c r="LZ12" s="1078">
        <f>+IFERROR(VLOOKUP(LZ$6&amp;"-"&amp;$M12&amp;"_old",Ammortamento_Finanziario!$H:$L,5,FALSE),VLOOKUP($M12,TT_Tabelle_Riferimento!$H$31:$I$50,2,FALSE))</f>
        <v>50</v>
      </c>
      <c r="MA12" s="1078">
        <f>+IFERROR(VLOOKUP(MA$6&amp;"-"&amp;$M12&amp;"_old",Ammortamento_Finanziario!$H:$L,5,FALSE),VLOOKUP($M12,TT_Tabelle_Riferimento!$H$31:$I$50,2,FALSE))</f>
        <v>50</v>
      </c>
      <c r="MB12" s="1078">
        <f>+IFERROR(VLOOKUP(MB$6&amp;"-"&amp;$M12&amp;"_old",Ammortamento_Finanziario!$H:$L,5,FALSE),VLOOKUP($M12,TT_Tabelle_Riferimento!$H$31:$I$50,2,FALSE))</f>
        <v>50</v>
      </c>
      <c r="MC12" s="1078">
        <f>+IFERROR(VLOOKUP(MC$6&amp;"-"&amp;$M12&amp;"_old",Ammortamento_Finanziario!$H:$L,5,FALSE),VLOOKUP($M12,TT_Tabelle_Riferimento!$H$31:$I$50,2,FALSE))</f>
        <v>50</v>
      </c>
      <c r="MD12" s="1078">
        <f>+IFERROR(VLOOKUP(MD$6&amp;"-"&amp;$M12&amp;"_old",Ammortamento_Finanziario!$H:$L,5,FALSE),VLOOKUP($M12,TT_Tabelle_Riferimento!$H$31:$I$50,2,FALSE))</f>
        <v>50</v>
      </c>
      <c r="ME12" s="1078">
        <f>+IFERROR(VLOOKUP(ME$6&amp;"-"&amp;$M12&amp;"_old",Ammortamento_Finanziario!$H:$L,5,FALSE),VLOOKUP($M12,TT_Tabelle_Riferimento!$H$31:$I$50,2,FALSE))</f>
        <v>50</v>
      </c>
      <c r="MF12" s="1078">
        <f>+IFERROR(VLOOKUP(MF$6&amp;"-"&amp;$M12&amp;"_old",Ammortamento_Finanziario!$H:$L,5,FALSE),VLOOKUP($M12,TT_Tabelle_Riferimento!$H$31:$I$50,2,FALSE))</f>
        <v>50</v>
      </c>
      <c r="MG12" s="1078">
        <f>+IFERROR(VLOOKUP(MG$6&amp;"-"&amp;$M12&amp;"_old",Ammortamento_Finanziario!$H:$L,5,FALSE),VLOOKUP($M12,TT_Tabelle_Riferimento!$H$31:$I$50,2,FALSE))</f>
        <v>50</v>
      </c>
      <c r="MH12" s="1078">
        <f>+IFERROR(VLOOKUP(MH$6&amp;"-"&amp;$M12&amp;"_old",Ammortamento_Finanziario!$H:$L,5,FALSE),VLOOKUP($M12,TT_Tabelle_Riferimento!$H$31:$I$50,2,FALSE))</f>
        <v>50</v>
      </c>
      <c r="MI12" s="1078">
        <f>+IFERROR(VLOOKUP(MI$6&amp;"-"&amp;$M12&amp;"_old",Ammortamento_Finanziario!$H:$L,5,FALSE),VLOOKUP($M12,TT_Tabelle_Riferimento!$H$31:$I$50,2,FALSE))</f>
        <v>50</v>
      </c>
      <c r="MJ12" s="1078">
        <f>+IFERROR(VLOOKUP(MJ$6&amp;"-"&amp;$M12&amp;"_old",Ammortamento_Finanziario!$H:$L,5,FALSE),VLOOKUP($M12,TT_Tabelle_Riferimento!$H$31:$I$50,2,FALSE))</f>
        <v>50</v>
      </c>
      <c r="MK12" s="1078">
        <f>+IFERROR(VLOOKUP(MK$6&amp;"-"&amp;$M12&amp;"_old",Ammortamento_Finanziario!$H:$L,5,FALSE),VLOOKUP($M12,TT_Tabelle_Riferimento!$H$31:$I$50,2,FALSE))</f>
        <v>50</v>
      </c>
      <c r="ML12" s="1078">
        <f>+IFERROR(VLOOKUP(ML$6&amp;"-"&amp;$M12&amp;"_old",Ammortamento_Finanziario!$H:$L,5,FALSE),VLOOKUP($M12,TT_Tabelle_Riferimento!$H$31:$I$50,2,FALSE))</f>
        <v>50</v>
      </c>
      <c r="MM12" s="1078">
        <f>+IFERROR(VLOOKUP(MM$6&amp;"-"&amp;$M12&amp;"_old",Ammortamento_Finanziario!$H:$L,5,FALSE),VLOOKUP($M12,TT_Tabelle_Riferimento!$H$31:$I$50,2,FALSE))</f>
        <v>50</v>
      </c>
      <c r="MN12" s="1078">
        <f>+IFERROR(VLOOKUP(MN$6&amp;"-"&amp;$M12&amp;"_old",Ammortamento_Finanziario!$H:$L,5,FALSE),VLOOKUP($M12,TT_Tabelle_Riferimento!$H$31:$I$50,2,FALSE))</f>
        <v>50</v>
      </c>
      <c r="MO12" s="1078">
        <f>+IFERROR(VLOOKUP(MO$6&amp;"-"&amp;$M12&amp;"_old",Ammortamento_Finanziario!$H:$L,5,FALSE),VLOOKUP($M12,TT_Tabelle_Riferimento!$H$31:$I$50,2,FALSE))</f>
        <v>50</v>
      </c>
      <c r="MP12" s="1078">
        <f>+IFERROR(VLOOKUP(MP$6&amp;"-"&amp;$M12&amp;"_old",Ammortamento_Finanziario!$H:$L,5,FALSE),VLOOKUP($M12,TT_Tabelle_Riferimento!$H$31:$I$50,2,FALSE))</f>
        <v>50</v>
      </c>
      <c r="MQ12" s="1078">
        <f>+IFERROR(VLOOKUP(MQ$6&amp;"-"&amp;$M12&amp;"_old",Ammortamento_Finanziario!$H:$L,5,FALSE),VLOOKUP($M12,TT_Tabelle_Riferimento!$H$31:$I$50,2,FALSE))</f>
        <v>50</v>
      </c>
      <c r="MR12" s="1755">
        <f>+IFERROR(VLOOKUP(MR$6&amp;"-"&amp;$M12&amp;"_old",Ammortamento_Finanziario!$H:$L,5,FALSE),VLOOKUP($M12,TT_Tabelle_Riferimento!$H$31:$I$50,2,FALSE))</f>
        <v>50</v>
      </c>
      <c r="MS12" s="1755">
        <f>+IFERROR(VLOOKUP(MS$6&amp;"-"&amp;$M12&amp;"_old",Ammortamento_Finanziario!$H:$L,5,FALSE),VLOOKUP($M12,TT_Tabelle_Riferimento!$H$31:$I$50,2,FALSE))</f>
        <v>50</v>
      </c>
      <c r="MT12" s="1755">
        <f>+IFERROR(VLOOKUP(MT$6&amp;"-"&amp;$M12&amp;"_old",Ammortamento_Finanziario!$H:$L,5,FALSE),VLOOKUP($M12,TT_Tabelle_Riferimento!$H$31:$I$50,2,FALSE))</f>
        <v>50</v>
      </c>
      <c r="MU12" s="1755">
        <f>+IFERROR(VLOOKUP(MU$6&amp;"-"&amp;$M12&amp;"_old",Ammortamento_Finanziario!$H:$L,5,FALSE),VLOOKUP($M12,TT_Tabelle_Riferimento!$H$31:$I$50,2,FALSE))</f>
        <v>50</v>
      </c>
      <c r="MV12" s="1755">
        <f>+IFERROR(VLOOKUP(MV$6&amp;"-"&amp;$M12&amp;"_old",Ammortamento_Finanziario!$H:$L,5,FALSE),VLOOKUP($M12,TT_Tabelle_Riferimento!$H$31:$I$50,2,FALSE))</f>
        <v>50</v>
      </c>
      <c r="MW12" s="1755">
        <f>+IFERROR(VLOOKUP(MW$6&amp;"-"&amp;$M12&amp;"_old",Ammortamento_Finanziario!$H:$L,5,FALSE),VLOOKUP($M12,TT_Tabelle_Riferimento!$H$31:$I$50,2,FALSE))</f>
        <v>50</v>
      </c>
      <c r="MX12" s="1078">
        <f>+IFERROR(VLOOKUP(MX$6&amp;"-"&amp;$M12&amp;"_old",Ammortamento_Finanziario!$H:$L,5,FALSE),VLOOKUP($M12,TT_Tabelle_Riferimento!$H$31:$I$50,2,FALSE))</f>
        <v>50</v>
      </c>
      <c r="MY12" s="1078">
        <f>+IFERROR(VLOOKUP(MY$6&amp;"-"&amp;$M12&amp;"_old",Ammortamento_Finanziario!$H:$L,5,FALSE),VLOOKUP($M12,TT_Tabelle_Riferimento!$H$31:$I$50,2,FALSE))</f>
        <v>50</v>
      </c>
      <c r="MZ12" s="1078">
        <f>+IFERROR(VLOOKUP(MZ$6&amp;"-"&amp;$M12&amp;"_old",Ammortamento_Finanziario!$H:$L,5,FALSE),VLOOKUP($M12,TT_Tabelle_Riferimento!$H$31:$I$50,2,FALSE))</f>
        <v>50</v>
      </c>
      <c r="NA12" s="1078">
        <f>+IFERROR(VLOOKUP(NA$6&amp;"-"&amp;$M12&amp;"_old",Ammortamento_Finanziario!$H:$L,5,FALSE),VLOOKUP($M12,TT_Tabelle_Riferimento!$H$31:$I$50,2,FALSE))</f>
        <v>50</v>
      </c>
      <c r="NB12" s="1078">
        <f>+IFERROR(VLOOKUP(NB$6&amp;"-"&amp;$M12&amp;"_old",Ammortamento_Finanziario!$H:$L,5,FALSE),VLOOKUP($M12,TT_Tabelle_Riferimento!$H$31:$I$50,2,FALSE))</f>
        <v>50</v>
      </c>
      <c r="NC12" s="1078">
        <f>+IFERROR(VLOOKUP(NC$6&amp;"-"&amp;$M12&amp;"_old",Ammortamento_Finanziario!$H:$L,5,FALSE),VLOOKUP($M12,TT_Tabelle_Riferimento!$H$31:$I$50,2,FALSE))</f>
        <v>50</v>
      </c>
      <c r="ND12" s="1078">
        <f>+IFERROR(VLOOKUP(ND$6&amp;"-"&amp;$M12&amp;"_old",Ammortamento_Finanziario!$H:$L,5,FALSE),VLOOKUP($M12,TT_Tabelle_Riferimento!$H$31:$I$50,2,FALSE))</f>
        <v>50</v>
      </c>
      <c r="NE12" s="1078">
        <f>+IFERROR(VLOOKUP(NE$6&amp;"-"&amp;$M12&amp;"_old",Ammortamento_Finanziario!$H:$L,5,FALSE),VLOOKUP($M12,TT_Tabelle_Riferimento!$H$31:$I$50,2,FALSE))</f>
        <v>50</v>
      </c>
      <c r="NF12" s="1078">
        <f>+IFERROR(VLOOKUP(NF$6&amp;"-"&amp;$M12&amp;"_old",Ammortamento_Finanziario!$H:$L,5,FALSE),VLOOKUP($M12,TT_Tabelle_Riferimento!$H$31:$I$50,2,FALSE))</f>
        <v>50</v>
      </c>
      <c r="NG12" s="1078">
        <f>+IFERROR(VLOOKUP(NG$6&amp;"-"&amp;$M12&amp;"_old",Ammortamento_Finanziario!$H:$L,5,FALSE),VLOOKUP($M12,TT_Tabelle_Riferimento!$H$31:$I$50,2,FALSE))</f>
        <v>50</v>
      </c>
      <c r="NH12" s="1078">
        <f>+IFERROR(VLOOKUP(NH$6&amp;"-"&amp;$M12&amp;"_old",Ammortamento_Finanziario!$H:$L,5,FALSE),VLOOKUP($M12,TT_Tabelle_Riferimento!$H$31:$I$50,2,FALSE))</f>
        <v>50</v>
      </c>
      <c r="NI12" s="1078">
        <f>+IFERROR(VLOOKUP(NI$6&amp;"-"&amp;$M12&amp;"_old",Ammortamento_Finanziario!$H:$L,5,FALSE),VLOOKUP($M12,TT_Tabelle_Riferimento!$H$31:$I$50,2,FALSE))</f>
        <v>50</v>
      </c>
      <c r="NJ12" s="1078">
        <f>+IFERROR(VLOOKUP(NJ$6&amp;"-"&amp;$M12&amp;"_old",Ammortamento_Finanziario!$H:$L,5,FALSE),VLOOKUP($M12,TT_Tabelle_Riferimento!$H$31:$I$50,2,FALSE))</f>
        <v>50</v>
      </c>
      <c r="NK12" s="1078">
        <f>+IFERROR(VLOOKUP(NK$6&amp;"-"&amp;$M12&amp;"_old",Ammortamento_Finanziario!$H:$L,5,FALSE),VLOOKUP($M12,TT_Tabelle_Riferimento!$H$31:$I$50,2,FALSE))</f>
        <v>50</v>
      </c>
      <c r="NL12" s="1078">
        <f>+IFERROR(VLOOKUP(NL$6&amp;"-"&amp;$M12&amp;"_old",Ammortamento_Finanziario!$H:$L,5,FALSE),VLOOKUP($M12,TT_Tabelle_Riferimento!$H$31:$I$50,2,FALSE))</f>
        <v>50</v>
      </c>
      <c r="NM12" s="1078">
        <f>+IFERROR(VLOOKUP(NM$6&amp;"-"&amp;$M12&amp;"_old",Ammortamento_Finanziario!$H:$L,5,FALSE),VLOOKUP($M12,TT_Tabelle_Riferimento!$H$31:$I$50,2,FALSE))</f>
        <v>50</v>
      </c>
      <c r="NN12" s="1078">
        <f>+IFERROR(VLOOKUP(NN$6&amp;"-"&amp;$M12&amp;"_old",Ammortamento_Finanziario!$H:$L,5,FALSE),VLOOKUP($M12,TT_Tabelle_Riferimento!$H$31:$I$50,2,FALSE))</f>
        <v>50</v>
      </c>
      <c r="NO12" s="1078">
        <f>+IFERROR(VLOOKUP(NO$6&amp;"-"&amp;$M12&amp;"_old",Ammortamento_Finanziario!$H:$L,5,FALSE),VLOOKUP($M12,TT_Tabelle_Riferimento!$H$31:$I$50,2,FALSE))</f>
        <v>50</v>
      </c>
      <c r="NP12" s="1078">
        <f>+IFERROR(VLOOKUP(NP$6&amp;"-"&amp;$M12&amp;"_old",Ammortamento_Finanziario!$H:$L,5,FALSE),VLOOKUP($M12,TT_Tabelle_Riferimento!$H$31:$I$50,2,FALSE))</f>
        <v>50</v>
      </c>
      <c r="NQ12" s="1755">
        <f>+IFERROR(VLOOKUP(NQ$6&amp;"-"&amp;$M12&amp;"_old",Ammortamento_Finanziario!$H:$L,5,FALSE),VLOOKUP($M12,TT_Tabelle_Riferimento!$H$31:$I$50,2,FALSE))</f>
        <v>50</v>
      </c>
      <c r="NR12" s="1755">
        <f>+IFERROR(VLOOKUP(NR$6&amp;"-"&amp;$M12&amp;"_old",Ammortamento_Finanziario!$H:$L,5,FALSE),VLOOKUP($M12,TT_Tabelle_Riferimento!$H$31:$I$50,2,FALSE))</f>
        <v>50</v>
      </c>
      <c r="NS12" s="1755">
        <f>+IFERROR(VLOOKUP(NS$6&amp;"-"&amp;$M12&amp;"_old",Ammortamento_Finanziario!$H:$L,5,FALSE),VLOOKUP($M12,TT_Tabelle_Riferimento!$H$31:$I$50,2,FALSE))</f>
        <v>50</v>
      </c>
      <c r="NT12" s="1755">
        <f>+IFERROR(VLOOKUP(NT$6&amp;"-"&amp;$M12&amp;"_old",Ammortamento_Finanziario!$H:$L,5,FALSE),VLOOKUP($M12,TT_Tabelle_Riferimento!$H$31:$I$50,2,FALSE))</f>
        <v>50</v>
      </c>
      <c r="NU12" s="1755">
        <f>+IFERROR(VLOOKUP(NU$6&amp;"-"&amp;$M12&amp;"_old",Ammortamento_Finanziario!$H:$L,5,FALSE),VLOOKUP($M12,TT_Tabelle_Riferimento!$H$31:$I$50,2,FALSE))</f>
        <v>50</v>
      </c>
      <c r="NV12" s="1078">
        <f>+IFERROR(VLOOKUP(NV$6&amp;"-"&amp;$M12&amp;"_old",Ammortamento_Finanziario!$H:$L,5,FALSE),VLOOKUP($M12,TT_Tabelle_Riferimento!$H$31:$I$50,2,FALSE))</f>
        <v>50</v>
      </c>
      <c r="NW12" s="1078">
        <f>+IFERROR(VLOOKUP(NW$6&amp;"-"&amp;$M12&amp;"_old",Ammortamento_Finanziario!$H:$L,5,FALSE),VLOOKUP($M12,TT_Tabelle_Riferimento!$H$31:$I$50,2,FALSE))</f>
        <v>50</v>
      </c>
      <c r="NX12" s="1078">
        <f>+IFERROR(VLOOKUP(NX$6&amp;"-"&amp;$M12&amp;"_old",Ammortamento_Finanziario!$H:$L,5,FALSE),VLOOKUP($M12,TT_Tabelle_Riferimento!$H$31:$I$50,2,FALSE))</f>
        <v>50</v>
      </c>
      <c r="NY12" s="1078">
        <f>+IFERROR(VLOOKUP(NY$6&amp;"-"&amp;$M12&amp;"_old",Ammortamento_Finanziario!$H:$L,5,FALSE),VLOOKUP($M12,TT_Tabelle_Riferimento!$H$31:$I$50,2,FALSE))</f>
        <v>50</v>
      </c>
      <c r="NZ12" s="1078">
        <f>+IFERROR(VLOOKUP(NZ$6&amp;"-"&amp;$M12&amp;"_old",Ammortamento_Finanziario!$H:$L,5,FALSE),VLOOKUP($M12,TT_Tabelle_Riferimento!$H$31:$I$50,2,FALSE))</f>
        <v>50</v>
      </c>
      <c r="OA12" s="1078">
        <f>+IFERROR(VLOOKUP(OA$6&amp;"-"&amp;$M12&amp;"_old",Ammortamento_Finanziario!$H:$L,5,FALSE),VLOOKUP($M12,TT_Tabelle_Riferimento!$H$31:$I$50,2,FALSE))</f>
        <v>50</v>
      </c>
      <c r="OB12" s="1078">
        <f>+IFERROR(VLOOKUP(OB$6&amp;"-"&amp;$M12&amp;"_old",Ammortamento_Finanziario!$H:$L,5,FALSE),VLOOKUP($M12,TT_Tabelle_Riferimento!$H$31:$I$50,2,FALSE))</f>
        <v>50</v>
      </c>
      <c r="OC12" s="1078">
        <f>+IFERROR(VLOOKUP(OC$6&amp;"-"&amp;$M12&amp;"_old",Ammortamento_Finanziario!$H:$L,5,FALSE),VLOOKUP($M12,TT_Tabelle_Riferimento!$H$31:$I$50,2,FALSE))</f>
        <v>50</v>
      </c>
      <c r="OD12" s="1078">
        <f>+IFERROR(VLOOKUP(OD$6&amp;"-"&amp;$M12&amp;"_old",Ammortamento_Finanziario!$H:$L,5,FALSE),VLOOKUP($M12,TT_Tabelle_Riferimento!$H$31:$I$50,2,FALSE))</f>
        <v>50</v>
      </c>
      <c r="OE12" s="1078">
        <f>+IFERROR(VLOOKUP(OE$6&amp;"-"&amp;$M12&amp;"_old",Ammortamento_Finanziario!$H:$L,5,FALSE),VLOOKUP($M12,TT_Tabelle_Riferimento!$H$31:$I$50,2,FALSE))</f>
        <v>50</v>
      </c>
      <c r="OF12" s="1078">
        <f>+IFERROR(VLOOKUP(OF$6&amp;"-"&amp;$M12&amp;"_old",Ammortamento_Finanziario!$H:$L,5,FALSE),VLOOKUP($M12,TT_Tabelle_Riferimento!$H$31:$I$50,2,FALSE))</f>
        <v>50</v>
      </c>
      <c r="OG12" s="1078">
        <f>+IFERROR(VLOOKUP(OG$6&amp;"-"&amp;$M12&amp;"_old",Ammortamento_Finanziario!$H:$L,5,FALSE),VLOOKUP($M12,TT_Tabelle_Riferimento!$H$31:$I$50,2,FALSE))</f>
        <v>50</v>
      </c>
      <c r="OH12" s="1078">
        <f>+IFERROR(VLOOKUP(OH$6&amp;"-"&amp;$M12&amp;"_old",Ammortamento_Finanziario!$H:$L,5,FALSE),VLOOKUP($M12,TT_Tabelle_Riferimento!$H$31:$I$50,2,FALSE))</f>
        <v>50</v>
      </c>
      <c r="OI12" s="1078">
        <f>+IFERROR(VLOOKUP(OI$6&amp;"-"&amp;$M12&amp;"_old",Ammortamento_Finanziario!$H:$L,5,FALSE),VLOOKUP($M12,TT_Tabelle_Riferimento!$H$31:$I$50,2,FALSE))</f>
        <v>50</v>
      </c>
      <c r="OJ12" s="1078">
        <f>+IFERROR(VLOOKUP(OJ$6&amp;"-"&amp;$M12&amp;"_old",Ammortamento_Finanziario!$H:$L,5,FALSE),VLOOKUP($M12,TT_Tabelle_Riferimento!$H$31:$I$50,2,FALSE))</f>
        <v>50</v>
      </c>
      <c r="OK12" s="1078">
        <f>+IFERROR(VLOOKUP(OK$6&amp;"-"&amp;$M12&amp;"_old",Ammortamento_Finanziario!$H:$L,5,FALSE),VLOOKUP($M12,TT_Tabelle_Riferimento!$H$31:$I$50,2,FALSE))</f>
        <v>50</v>
      </c>
      <c r="OL12" s="1078">
        <f>+IFERROR(VLOOKUP(OL$6&amp;"-"&amp;$M12&amp;"_old",Ammortamento_Finanziario!$H:$L,5,FALSE),VLOOKUP($M12,TT_Tabelle_Riferimento!$H$31:$I$50,2,FALSE))</f>
        <v>50</v>
      </c>
      <c r="OM12" s="1078">
        <f>+IFERROR(VLOOKUP(OM$6&amp;"-"&amp;$M12&amp;"_old",Ammortamento_Finanziario!$H:$L,5,FALSE),VLOOKUP($M12,TT_Tabelle_Riferimento!$H$31:$I$50,2,FALSE))</f>
        <v>50</v>
      </c>
      <c r="ON12" s="1078">
        <f>+IFERROR(VLOOKUP(ON$6&amp;"-"&amp;$M12&amp;"_old",Ammortamento_Finanziario!$H:$L,5,FALSE),VLOOKUP($M12,TT_Tabelle_Riferimento!$H$31:$I$50,2,FALSE))</f>
        <v>50</v>
      </c>
      <c r="OO12" s="1755">
        <f>+IFERROR(VLOOKUP(OO$6&amp;"-"&amp;$M12&amp;"_old",Ammortamento_Finanziario!$H:$L,5,FALSE),VLOOKUP($M12,TT_Tabelle_Riferimento!$H$31:$I$50,2,FALSE))</f>
        <v>50</v>
      </c>
      <c r="OP12" s="1755">
        <f>+IFERROR(VLOOKUP(OP$6&amp;"-"&amp;$M12&amp;"_old",Ammortamento_Finanziario!$H:$L,5,FALSE),VLOOKUP($M12,TT_Tabelle_Riferimento!$H$31:$I$50,2,FALSE))</f>
        <v>50</v>
      </c>
      <c r="OQ12" s="1755">
        <f>+IFERROR(VLOOKUP(OQ$6&amp;"-"&amp;$M12&amp;"_old",Ammortamento_Finanziario!$H:$L,5,FALSE),VLOOKUP($M12,TT_Tabelle_Riferimento!$H$31:$I$50,2,FALSE))</f>
        <v>50</v>
      </c>
      <c r="OR12" s="1755">
        <f>+IFERROR(VLOOKUP(OR$6&amp;"-"&amp;$M12&amp;"_old",Ammortamento_Finanziario!$H:$L,5,FALSE),VLOOKUP($M12,TT_Tabelle_Riferimento!$H$31:$I$50,2,FALSE))</f>
        <v>50</v>
      </c>
      <c r="OS12" s="1078">
        <f>+IFERROR(VLOOKUP(OS$6&amp;"-"&amp;$M12&amp;"_old",Ammortamento_Finanziario!$H:$L,5,FALSE),VLOOKUP($M12,TT_Tabelle_Riferimento!$H$31:$I$50,2,FALSE))</f>
        <v>50</v>
      </c>
      <c r="OT12" s="1078">
        <f>+IFERROR(VLOOKUP(OT$6&amp;"-"&amp;$M12&amp;"_old",Ammortamento_Finanziario!$H:$L,5,FALSE),VLOOKUP($M12,TT_Tabelle_Riferimento!$H$31:$I$50,2,FALSE))</f>
        <v>50</v>
      </c>
      <c r="OU12" s="1078">
        <f>+IFERROR(VLOOKUP(OU$6&amp;"-"&amp;$M12&amp;"_old",Ammortamento_Finanziario!$H:$L,5,FALSE),VLOOKUP($M12,TT_Tabelle_Riferimento!$H$31:$I$50,2,FALSE))</f>
        <v>50</v>
      </c>
      <c r="OV12" s="1078">
        <f>+IFERROR(VLOOKUP(OV$6&amp;"-"&amp;$M12&amp;"_old",Ammortamento_Finanziario!$H:$L,5,FALSE),VLOOKUP($M12,TT_Tabelle_Riferimento!$H$31:$I$50,2,FALSE))</f>
        <v>50</v>
      </c>
      <c r="OW12" s="1078">
        <f>+IFERROR(VLOOKUP(OW$6&amp;"-"&amp;$M12&amp;"_old",Ammortamento_Finanziario!$H:$L,5,FALSE),VLOOKUP($M12,TT_Tabelle_Riferimento!$H$31:$I$50,2,FALSE))</f>
        <v>50</v>
      </c>
      <c r="OX12" s="1078">
        <f>+IFERROR(VLOOKUP(OX$6&amp;"-"&amp;$M12&amp;"_old",Ammortamento_Finanziario!$H:$L,5,FALSE),VLOOKUP($M12,TT_Tabelle_Riferimento!$H$31:$I$50,2,FALSE))</f>
        <v>50</v>
      </c>
      <c r="OY12" s="1078">
        <f>+IFERROR(VLOOKUP(OY$6&amp;"-"&amp;$M12&amp;"_old",Ammortamento_Finanziario!$H:$L,5,FALSE),VLOOKUP($M12,TT_Tabelle_Riferimento!$H$31:$I$50,2,FALSE))</f>
        <v>50</v>
      </c>
      <c r="OZ12" s="1078">
        <f>+IFERROR(VLOOKUP(OZ$6&amp;"-"&amp;$M12&amp;"_old",Ammortamento_Finanziario!$H:$L,5,FALSE),VLOOKUP($M12,TT_Tabelle_Riferimento!$H$31:$I$50,2,FALSE))</f>
        <v>50</v>
      </c>
      <c r="PA12" s="1078">
        <f>+IFERROR(VLOOKUP(PA$6&amp;"-"&amp;$M12&amp;"_old",Ammortamento_Finanziario!$H:$L,5,FALSE),VLOOKUP($M12,TT_Tabelle_Riferimento!$H$31:$I$50,2,FALSE))</f>
        <v>50</v>
      </c>
      <c r="PB12" s="1078">
        <f>+IFERROR(VLOOKUP(PB$6&amp;"-"&amp;$M12&amp;"_old",Ammortamento_Finanziario!$H:$L,5,FALSE),VLOOKUP($M12,TT_Tabelle_Riferimento!$H$31:$I$50,2,FALSE))</f>
        <v>50</v>
      </c>
      <c r="PC12" s="1078">
        <f>+IFERROR(VLOOKUP(PC$6&amp;"-"&amp;$M12&amp;"_old",Ammortamento_Finanziario!$H:$L,5,FALSE),VLOOKUP($M12,TT_Tabelle_Riferimento!$H$31:$I$50,2,FALSE))</f>
        <v>50</v>
      </c>
      <c r="PD12" s="1078">
        <f>+IFERROR(VLOOKUP(PD$6&amp;"-"&amp;$M12&amp;"_old",Ammortamento_Finanziario!$H:$L,5,FALSE),VLOOKUP($M12,TT_Tabelle_Riferimento!$H$31:$I$50,2,FALSE))</f>
        <v>50</v>
      </c>
      <c r="PE12" s="1078">
        <f>+IFERROR(VLOOKUP(PE$6&amp;"-"&amp;$M12&amp;"_old",Ammortamento_Finanziario!$H:$L,5,FALSE),VLOOKUP($M12,TT_Tabelle_Riferimento!$H$31:$I$50,2,FALSE))</f>
        <v>50</v>
      </c>
      <c r="PF12" s="1078">
        <f>+IFERROR(VLOOKUP(PF$6&amp;"-"&amp;$M12&amp;"_old",Ammortamento_Finanziario!$H:$L,5,FALSE),VLOOKUP($M12,TT_Tabelle_Riferimento!$H$31:$I$50,2,FALSE))</f>
        <v>50</v>
      </c>
      <c r="PG12" s="1078">
        <f>+IFERROR(VLOOKUP(PG$6&amp;"-"&amp;$M12&amp;"_old",Ammortamento_Finanziario!$H:$L,5,FALSE),VLOOKUP($M12,TT_Tabelle_Riferimento!$H$31:$I$50,2,FALSE))</f>
        <v>50</v>
      </c>
      <c r="PH12" s="1078">
        <f>+IFERROR(VLOOKUP(PH$6&amp;"-"&amp;$M12&amp;"_old",Ammortamento_Finanziario!$H:$L,5,FALSE),VLOOKUP($M12,TT_Tabelle_Riferimento!$H$31:$I$50,2,FALSE))</f>
        <v>50</v>
      </c>
      <c r="PI12" s="1078">
        <f>+IFERROR(VLOOKUP(PI$6&amp;"-"&amp;$M12&amp;"_old",Ammortamento_Finanziario!$H:$L,5,FALSE),VLOOKUP($M12,TT_Tabelle_Riferimento!$H$31:$I$50,2,FALSE))</f>
        <v>50</v>
      </c>
      <c r="PJ12" s="1078">
        <f>+IFERROR(VLOOKUP(PJ$6&amp;"-"&amp;$M12&amp;"_old",Ammortamento_Finanziario!$H:$L,5,FALSE),VLOOKUP($M12,TT_Tabelle_Riferimento!$H$31:$I$50,2,FALSE))</f>
        <v>50</v>
      </c>
      <c r="PK12" s="1078">
        <f>+IFERROR(VLOOKUP(PK$6&amp;"-"&amp;$M12&amp;"_old",Ammortamento_Finanziario!$H:$L,5,FALSE),VLOOKUP($M12,TT_Tabelle_Riferimento!$H$31:$I$50,2,FALSE))</f>
        <v>50</v>
      </c>
      <c r="PL12" s="1755">
        <f>+IFERROR(VLOOKUP(PL$6&amp;"-"&amp;$M12&amp;"_old",Ammortamento_Finanziario!$H:$L,5,FALSE),VLOOKUP($M12,TT_Tabelle_Riferimento!$H$31:$I$50,2,FALSE))</f>
        <v>50</v>
      </c>
      <c r="PM12" s="1755">
        <f>+IFERROR(VLOOKUP(PM$6&amp;"-"&amp;$M12&amp;"_old",Ammortamento_Finanziario!$H:$L,5,FALSE),VLOOKUP($M12,TT_Tabelle_Riferimento!$H$31:$I$50,2,FALSE))</f>
        <v>50</v>
      </c>
      <c r="PN12" s="1755">
        <f>+IFERROR(VLOOKUP(PN$6&amp;"-"&amp;$M12&amp;"_old",Ammortamento_Finanziario!$H:$L,5,FALSE),VLOOKUP($M12,TT_Tabelle_Riferimento!$H$31:$I$50,2,FALSE))</f>
        <v>50</v>
      </c>
      <c r="PO12" s="1078">
        <f>+IFERROR(VLOOKUP(PO$6&amp;"-"&amp;$M12&amp;"_old",Ammortamento_Finanziario!$H:$L,5,FALSE),VLOOKUP($M12,TT_Tabelle_Riferimento!$H$31:$I$50,2,FALSE))</f>
        <v>50</v>
      </c>
      <c r="PP12" s="1078">
        <f>+IFERROR(VLOOKUP(PP$6&amp;"-"&amp;$M12&amp;"_old",Ammortamento_Finanziario!$H:$L,5,FALSE),VLOOKUP($M12,TT_Tabelle_Riferimento!$H$31:$I$50,2,FALSE))</f>
        <v>50</v>
      </c>
      <c r="PQ12" s="1078">
        <f>+IFERROR(VLOOKUP(PQ$6&amp;"-"&amp;$M12&amp;"_old",Ammortamento_Finanziario!$H:$L,5,FALSE),VLOOKUP($M12,TT_Tabelle_Riferimento!$H$31:$I$50,2,FALSE))</f>
        <v>50</v>
      </c>
      <c r="PR12" s="1078">
        <f>+IFERROR(VLOOKUP(PR$6&amp;"-"&amp;$M12&amp;"_old",Ammortamento_Finanziario!$H:$L,5,FALSE),VLOOKUP($M12,TT_Tabelle_Riferimento!$H$31:$I$50,2,FALSE))</f>
        <v>50</v>
      </c>
      <c r="PS12" s="1078">
        <f>+IFERROR(VLOOKUP(PS$6&amp;"-"&amp;$M12&amp;"_old",Ammortamento_Finanziario!$H:$L,5,FALSE),VLOOKUP($M12,TT_Tabelle_Riferimento!$H$31:$I$50,2,FALSE))</f>
        <v>50</v>
      </c>
      <c r="PT12" s="1078">
        <f>+IFERROR(VLOOKUP(PT$6&amp;"-"&amp;$M12&amp;"_old",Ammortamento_Finanziario!$H:$L,5,FALSE),VLOOKUP($M12,TT_Tabelle_Riferimento!$H$31:$I$50,2,FALSE))</f>
        <v>50</v>
      </c>
      <c r="PU12" s="1078">
        <f>+IFERROR(VLOOKUP(PU$6&amp;"-"&amp;$M12&amp;"_old",Ammortamento_Finanziario!$H:$L,5,FALSE),VLOOKUP($M12,TT_Tabelle_Riferimento!$H$31:$I$50,2,FALSE))</f>
        <v>50</v>
      </c>
      <c r="PV12" s="1078">
        <f>+IFERROR(VLOOKUP(PV$6&amp;"-"&amp;$M12&amp;"_old",Ammortamento_Finanziario!$H:$L,5,FALSE),VLOOKUP($M12,TT_Tabelle_Riferimento!$H$31:$I$50,2,FALSE))</f>
        <v>50</v>
      </c>
      <c r="PW12" s="1078">
        <f>+IFERROR(VLOOKUP(PW$6&amp;"-"&amp;$M12&amp;"_old",Ammortamento_Finanziario!$H:$L,5,FALSE),VLOOKUP($M12,TT_Tabelle_Riferimento!$H$31:$I$50,2,FALSE))</f>
        <v>50</v>
      </c>
      <c r="PX12" s="1078">
        <f>+IFERROR(VLOOKUP(PX$6&amp;"-"&amp;$M12&amp;"_old",Ammortamento_Finanziario!$H:$L,5,FALSE),VLOOKUP($M12,TT_Tabelle_Riferimento!$H$31:$I$50,2,FALSE))</f>
        <v>50</v>
      </c>
      <c r="PY12" s="1078">
        <f>+IFERROR(VLOOKUP(PY$6&amp;"-"&amp;$M12&amp;"_old",Ammortamento_Finanziario!$H:$L,5,FALSE),VLOOKUP($M12,TT_Tabelle_Riferimento!$H$31:$I$50,2,FALSE))</f>
        <v>50</v>
      </c>
      <c r="PZ12" s="1078">
        <f>+IFERROR(VLOOKUP(PZ$6&amp;"-"&amp;$M12&amp;"_old",Ammortamento_Finanziario!$H:$L,5,FALSE),VLOOKUP($M12,TT_Tabelle_Riferimento!$H$31:$I$50,2,FALSE))</f>
        <v>50</v>
      </c>
      <c r="QA12" s="1078">
        <f>+IFERROR(VLOOKUP(QA$6&amp;"-"&amp;$M12&amp;"_old",Ammortamento_Finanziario!$H:$L,5,FALSE),VLOOKUP($M12,TT_Tabelle_Riferimento!$H$31:$I$50,2,FALSE))</f>
        <v>50</v>
      </c>
      <c r="QB12" s="1078">
        <f>+IFERROR(VLOOKUP(QB$6&amp;"-"&amp;$M12&amp;"_old",Ammortamento_Finanziario!$H:$L,5,FALSE),VLOOKUP($M12,TT_Tabelle_Riferimento!$H$31:$I$50,2,FALSE))</f>
        <v>50</v>
      </c>
      <c r="QC12" s="1078">
        <f>+IFERROR(VLOOKUP(QC$6&amp;"-"&amp;$M12&amp;"_old",Ammortamento_Finanziario!$H:$L,5,FALSE),VLOOKUP($M12,TT_Tabelle_Riferimento!$H$31:$I$50,2,FALSE))</f>
        <v>50</v>
      </c>
      <c r="QD12" s="1078">
        <f>+IFERROR(VLOOKUP(QD$6&amp;"-"&amp;$M12&amp;"_old",Ammortamento_Finanziario!$H:$L,5,FALSE),VLOOKUP($M12,TT_Tabelle_Riferimento!$H$31:$I$50,2,FALSE))</f>
        <v>50</v>
      </c>
      <c r="QE12" s="1078">
        <f>+IFERROR(VLOOKUP(QE$6&amp;"-"&amp;$M12&amp;"_old",Ammortamento_Finanziario!$H:$L,5,FALSE),VLOOKUP($M12,TT_Tabelle_Riferimento!$H$31:$I$50,2,FALSE))</f>
        <v>50</v>
      </c>
      <c r="QF12" s="1078">
        <f>+IFERROR(VLOOKUP(QF$6&amp;"-"&amp;$M12&amp;"_old",Ammortamento_Finanziario!$H:$L,5,FALSE),VLOOKUP($M12,TT_Tabelle_Riferimento!$H$31:$I$50,2,FALSE))</f>
        <v>50</v>
      </c>
      <c r="QG12" s="1078">
        <f>+IFERROR(VLOOKUP(QG$6&amp;"-"&amp;$M12&amp;"_old",Ammortamento_Finanziario!$H:$L,5,FALSE),VLOOKUP($M12,TT_Tabelle_Riferimento!$H$31:$I$50,2,FALSE))</f>
        <v>50</v>
      </c>
      <c r="QH12" s="1755">
        <f>+IFERROR(VLOOKUP(QH$6&amp;"-"&amp;$M12&amp;"_old",Ammortamento_Finanziario!$H:$L,5,FALSE),VLOOKUP($M12,TT_Tabelle_Riferimento!$H$31:$I$50,2,FALSE))</f>
        <v>50</v>
      </c>
      <c r="QI12" s="1755">
        <f>+IFERROR(VLOOKUP(QI$6&amp;"-"&amp;$M12&amp;"_old",Ammortamento_Finanziario!$H:$L,5,FALSE),VLOOKUP($M12,TT_Tabelle_Riferimento!$H$31:$I$50,2,FALSE))</f>
        <v>50</v>
      </c>
      <c r="QJ12" s="1078">
        <f>+IFERROR(VLOOKUP(QJ$6&amp;"-"&amp;$M12&amp;"_old",Ammortamento_Finanziario!$H:$L,5,FALSE),VLOOKUP($M12,TT_Tabelle_Riferimento!$H$31:$I$50,2,FALSE))</f>
        <v>50</v>
      </c>
      <c r="QK12" s="1078">
        <f>+IFERROR(VLOOKUP(QK$6&amp;"-"&amp;$M12&amp;"_old",Ammortamento_Finanziario!$H:$L,5,FALSE),VLOOKUP($M12,TT_Tabelle_Riferimento!$H$31:$I$50,2,FALSE))</f>
        <v>50</v>
      </c>
      <c r="QL12" s="1078">
        <f>+IFERROR(VLOOKUP(QL$6&amp;"-"&amp;$M12&amp;"_old",Ammortamento_Finanziario!$H:$L,5,FALSE),VLOOKUP($M12,TT_Tabelle_Riferimento!$H$31:$I$50,2,FALSE))</f>
        <v>50</v>
      </c>
      <c r="QM12" s="1078">
        <f>+IFERROR(VLOOKUP(QM$6&amp;"-"&amp;$M12&amp;"_old",Ammortamento_Finanziario!$H:$L,5,FALSE),VLOOKUP($M12,TT_Tabelle_Riferimento!$H$31:$I$50,2,FALSE))</f>
        <v>50</v>
      </c>
      <c r="QN12" s="1078">
        <f>+IFERROR(VLOOKUP(QN$6&amp;"-"&amp;$M12&amp;"_old",Ammortamento_Finanziario!$H:$L,5,FALSE),VLOOKUP($M12,TT_Tabelle_Riferimento!$H$31:$I$50,2,FALSE))</f>
        <v>50</v>
      </c>
      <c r="QO12" s="1078">
        <f>+IFERROR(VLOOKUP(QO$6&amp;"-"&amp;$M12&amp;"_old",Ammortamento_Finanziario!$H:$L,5,FALSE),VLOOKUP($M12,TT_Tabelle_Riferimento!$H$31:$I$50,2,FALSE))</f>
        <v>50</v>
      </c>
      <c r="QP12" s="1078">
        <f>+IFERROR(VLOOKUP(QP$6&amp;"-"&amp;$M12&amp;"_old",Ammortamento_Finanziario!$H:$L,5,FALSE),VLOOKUP($M12,TT_Tabelle_Riferimento!$H$31:$I$50,2,FALSE))</f>
        <v>50</v>
      </c>
      <c r="QQ12" s="1078">
        <f>+IFERROR(VLOOKUP(QQ$6&amp;"-"&amp;$M12&amp;"_old",Ammortamento_Finanziario!$H:$L,5,FALSE),VLOOKUP($M12,TT_Tabelle_Riferimento!$H$31:$I$50,2,FALSE))</f>
        <v>50</v>
      </c>
      <c r="QR12" s="1078">
        <f>+IFERROR(VLOOKUP(QR$6&amp;"-"&amp;$M12&amp;"_old",Ammortamento_Finanziario!$H:$L,5,FALSE),VLOOKUP($M12,TT_Tabelle_Riferimento!$H$31:$I$50,2,FALSE))</f>
        <v>50</v>
      </c>
      <c r="QS12" s="1078">
        <f>+IFERROR(VLOOKUP(QS$6&amp;"-"&amp;$M12&amp;"_old",Ammortamento_Finanziario!$H:$L,5,FALSE),VLOOKUP($M12,TT_Tabelle_Riferimento!$H$31:$I$50,2,FALSE))</f>
        <v>50</v>
      </c>
      <c r="QT12" s="1078">
        <f>+IFERROR(VLOOKUP(QT$6&amp;"-"&amp;$M12&amp;"_old",Ammortamento_Finanziario!$H:$L,5,FALSE),VLOOKUP($M12,TT_Tabelle_Riferimento!$H$31:$I$50,2,FALSE))</f>
        <v>50</v>
      </c>
      <c r="QU12" s="1078">
        <f>+IFERROR(VLOOKUP(QU$6&amp;"-"&amp;$M12&amp;"_old",Ammortamento_Finanziario!$H:$L,5,FALSE),VLOOKUP($M12,TT_Tabelle_Riferimento!$H$31:$I$50,2,FALSE))</f>
        <v>50</v>
      </c>
      <c r="QV12" s="1078">
        <f>+IFERROR(VLOOKUP(QV$6&amp;"-"&amp;$M12&amp;"_old",Ammortamento_Finanziario!$H:$L,5,FALSE),VLOOKUP($M12,TT_Tabelle_Riferimento!$H$31:$I$50,2,FALSE))</f>
        <v>50</v>
      </c>
      <c r="QW12" s="1078">
        <f>+IFERROR(VLOOKUP(QW$6&amp;"-"&amp;$M12&amp;"_old",Ammortamento_Finanziario!$H:$L,5,FALSE),VLOOKUP($M12,TT_Tabelle_Riferimento!$H$31:$I$50,2,FALSE))</f>
        <v>50</v>
      </c>
      <c r="QX12" s="1078">
        <f>+IFERROR(VLOOKUP(QX$6&amp;"-"&amp;$M12&amp;"_old",Ammortamento_Finanziario!$H:$L,5,FALSE),VLOOKUP($M12,TT_Tabelle_Riferimento!$H$31:$I$50,2,FALSE))</f>
        <v>50</v>
      </c>
      <c r="QY12" s="1078">
        <f>+IFERROR(VLOOKUP(QY$6&amp;"-"&amp;$M12&amp;"_old",Ammortamento_Finanziario!$H:$L,5,FALSE),VLOOKUP($M12,TT_Tabelle_Riferimento!$H$31:$I$50,2,FALSE))</f>
        <v>50</v>
      </c>
      <c r="QZ12" s="1078">
        <f>+IFERROR(VLOOKUP(QZ$6&amp;"-"&amp;$M12&amp;"_old",Ammortamento_Finanziario!$H:$L,5,FALSE),VLOOKUP($M12,TT_Tabelle_Riferimento!$H$31:$I$50,2,FALSE))</f>
        <v>50</v>
      </c>
      <c r="RA12" s="1078">
        <f>+IFERROR(VLOOKUP(RA$6&amp;"-"&amp;$M12&amp;"_old",Ammortamento_Finanziario!$H:$L,5,FALSE),VLOOKUP($M12,TT_Tabelle_Riferimento!$H$31:$I$50,2,FALSE))</f>
        <v>50</v>
      </c>
      <c r="RB12" s="1078">
        <f>+IFERROR(VLOOKUP(RB$6&amp;"-"&amp;$M12&amp;"_old",Ammortamento_Finanziario!$H:$L,5,FALSE),VLOOKUP($M12,TT_Tabelle_Riferimento!$H$31:$I$50,2,FALSE))</f>
        <v>50</v>
      </c>
      <c r="RC12" s="1755">
        <f>+IFERROR(VLOOKUP(RC$6&amp;"-"&amp;$M12&amp;"_old",Ammortamento_Finanziario!$H:$L,5,FALSE),VLOOKUP($M12,TT_Tabelle_Riferimento!$H$31:$I$50,2,FALSE))</f>
        <v>50</v>
      </c>
      <c r="RD12" s="1078">
        <f>+IFERROR(VLOOKUP(RD$6&amp;"-"&amp;$M12&amp;"_old",Ammortamento_Finanziario!$H:$L,5,FALSE),VLOOKUP($M12,TT_Tabelle_Riferimento!$H$31:$I$50,2,FALSE))</f>
        <v>50</v>
      </c>
      <c r="RE12" s="1078">
        <f>+IFERROR(VLOOKUP(RE$6&amp;"-"&amp;$M12&amp;"_old",Ammortamento_Finanziario!$H:$L,5,FALSE),VLOOKUP($M12,TT_Tabelle_Riferimento!$H$31:$I$50,2,FALSE))</f>
        <v>50</v>
      </c>
      <c r="RF12" s="1078">
        <f>+IFERROR(VLOOKUP(RF$6&amp;"-"&amp;$M12&amp;"_old",Ammortamento_Finanziario!$H:$L,5,FALSE),VLOOKUP($M12,TT_Tabelle_Riferimento!$H$31:$I$50,2,FALSE))</f>
        <v>50</v>
      </c>
      <c r="RG12" s="1078">
        <f>+IFERROR(VLOOKUP(RG$6&amp;"-"&amp;$M12&amp;"_old",Ammortamento_Finanziario!$H:$L,5,FALSE),VLOOKUP($M12,TT_Tabelle_Riferimento!$H$31:$I$50,2,FALSE))</f>
        <v>50</v>
      </c>
      <c r="RH12" s="1078">
        <f>+IFERROR(VLOOKUP(RH$6&amp;"-"&amp;$M12&amp;"_old",Ammortamento_Finanziario!$H:$L,5,FALSE),VLOOKUP($M12,TT_Tabelle_Riferimento!$H$31:$I$50,2,FALSE))</f>
        <v>50</v>
      </c>
      <c r="RI12" s="1078">
        <f>+IFERROR(VLOOKUP(RI$6&amp;"-"&amp;$M12&amp;"_old",Ammortamento_Finanziario!$H:$L,5,FALSE),VLOOKUP($M12,TT_Tabelle_Riferimento!$H$31:$I$50,2,FALSE))</f>
        <v>50</v>
      </c>
      <c r="RJ12" s="1078">
        <f>+IFERROR(VLOOKUP(RJ$6&amp;"-"&amp;$M12&amp;"_old",Ammortamento_Finanziario!$H:$L,5,FALSE),VLOOKUP($M12,TT_Tabelle_Riferimento!$H$31:$I$50,2,FALSE))</f>
        <v>50</v>
      </c>
      <c r="RK12" s="1078">
        <f>+IFERROR(VLOOKUP(RK$6&amp;"-"&amp;$M12&amp;"_old",Ammortamento_Finanziario!$H:$L,5,FALSE),VLOOKUP($M12,TT_Tabelle_Riferimento!$H$31:$I$50,2,FALSE))</f>
        <v>50</v>
      </c>
      <c r="RL12" s="1078">
        <f>+IFERROR(VLOOKUP(RL$6&amp;"-"&amp;$M12&amp;"_old",Ammortamento_Finanziario!$H:$L,5,FALSE),VLOOKUP($M12,TT_Tabelle_Riferimento!$H$31:$I$50,2,FALSE))</f>
        <v>50</v>
      </c>
      <c r="RM12" s="1078">
        <f>+IFERROR(VLOOKUP(RM$6&amp;"-"&amp;$M12&amp;"_old",Ammortamento_Finanziario!$H:$L,5,FALSE),VLOOKUP($M12,TT_Tabelle_Riferimento!$H$31:$I$50,2,FALSE))</f>
        <v>50</v>
      </c>
      <c r="RN12" s="1078">
        <f>+IFERROR(VLOOKUP(RN$6&amp;"-"&amp;$M12&amp;"_old",Ammortamento_Finanziario!$H:$L,5,FALSE),VLOOKUP($M12,TT_Tabelle_Riferimento!$H$31:$I$50,2,FALSE))</f>
        <v>50</v>
      </c>
      <c r="RO12" s="1078">
        <f>+IFERROR(VLOOKUP(RO$6&amp;"-"&amp;$M12&amp;"_old",Ammortamento_Finanziario!$H:$L,5,FALSE),VLOOKUP($M12,TT_Tabelle_Riferimento!$H$31:$I$50,2,FALSE))</f>
        <v>50</v>
      </c>
      <c r="RP12" s="1078">
        <f>+IFERROR(VLOOKUP(RP$6&amp;"-"&amp;$M12&amp;"_old",Ammortamento_Finanziario!$H:$L,5,FALSE),VLOOKUP($M12,TT_Tabelle_Riferimento!$H$31:$I$50,2,FALSE))</f>
        <v>50</v>
      </c>
      <c r="RQ12" s="1078">
        <f>+IFERROR(VLOOKUP(RQ$6&amp;"-"&amp;$M12&amp;"_old",Ammortamento_Finanziario!$H:$L,5,FALSE),VLOOKUP($M12,TT_Tabelle_Riferimento!$H$31:$I$50,2,FALSE))</f>
        <v>50</v>
      </c>
      <c r="RR12" s="1078">
        <f>+IFERROR(VLOOKUP(RR$6&amp;"-"&amp;$M12&amp;"_old",Ammortamento_Finanziario!$H:$L,5,FALSE),VLOOKUP($M12,TT_Tabelle_Riferimento!$H$31:$I$50,2,FALSE))</f>
        <v>50</v>
      </c>
      <c r="RS12" s="1078">
        <f>+IFERROR(VLOOKUP(RS$6&amp;"-"&amp;$M12&amp;"_old",Ammortamento_Finanziario!$H:$L,5,FALSE),VLOOKUP($M12,TT_Tabelle_Riferimento!$H$31:$I$50,2,FALSE))</f>
        <v>50</v>
      </c>
      <c r="RT12" s="1078">
        <f>+IFERROR(VLOOKUP(RT$6&amp;"-"&amp;$M12&amp;"_old",Ammortamento_Finanziario!$H:$L,5,FALSE),VLOOKUP($M12,TT_Tabelle_Riferimento!$H$31:$I$50,2,FALSE))</f>
        <v>50</v>
      </c>
      <c r="RU12" s="1078">
        <f>+IFERROR(VLOOKUP(RU$6&amp;"-"&amp;$M12&amp;"_old",Ammortamento_Finanziario!$H:$L,5,FALSE),VLOOKUP($M12,TT_Tabelle_Riferimento!$H$31:$I$50,2,FALSE))</f>
        <v>50</v>
      </c>
      <c r="RV12" s="1078">
        <f>+IFERROR(VLOOKUP(RV$6&amp;"-"&amp;$M12&amp;"_old",Ammortamento_Finanziario!$H:$L,5,FALSE),VLOOKUP($M12,TT_Tabelle_Riferimento!$H$31:$I$50,2,FALSE))</f>
        <v>50</v>
      </c>
    </row>
    <row r="13" spans="4:490">
      <c r="D13" s="135" t="s">
        <v>202</v>
      </c>
      <c r="E13" s="1264">
        <f>+SUM(IMN_gestore!$X:$X)</f>
        <v>0</v>
      </c>
      <c r="F13" s="1264">
        <f>+SUM(IMN_gestore!$AI:$AI)</f>
        <v>0</v>
      </c>
      <c r="G13" s="1264">
        <f>+SUM(IMN_gestore!$AT:$AT)</f>
        <v>0</v>
      </c>
      <c r="H13" s="1264">
        <f>+SUM(IMN_gestore!$BE:$BE)</f>
        <v>0</v>
      </c>
      <c r="I13" s="1264">
        <f>+SUM(IMN_gestore!BP:BP)</f>
        <v>0</v>
      </c>
      <c r="J13" s="1264">
        <f>+SUM(IMN_gestore!$CA:$CA)</f>
        <v>0</v>
      </c>
      <c r="K13" s="136"/>
      <c r="L13" s="125"/>
      <c r="M13" s="420">
        <v>7</v>
      </c>
      <c r="N13" s="904">
        <f>+IFERROR(VLOOKUP(N$6&amp;"-"&amp;$M13&amp;"_old",Ammortamento_Finanziario!$H:$L,5,FALSE),VLOOKUP($M13,TT_Tabelle_Riferimento!$H$31:$I$50,2,FALSE))</f>
        <v>12</v>
      </c>
      <c r="O13" s="904">
        <f>+IFERROR(VLOOKUP(O$6&amp;"-"&amp;$M13&amp;"_old",Ammortamento_Finanziario!$H:$L,5,FALSE),VLOOKUP($M13,TT_Tabelle_Riferimento!$H$31:$I$50,2,FALSE))</f>
        <v>12</v>
      </c>
      <c r="P13" s="904">
        <f>+IFERROR(VLOOKUP(P$6&amp;"-"&amp;$M13&amp;"_old",Ammortamento_Finanziario!$H:$L,5,FALSE),VLOOKUP($M13,TT_Tabelle_Riferimento!$H$31:$I$50,2,FALSE))</f>
        <v>12</v>
      </c>
      <c r="Q13" s="904">
        <f>+IFERROR(VLOOKUP(Q$6&amp;"-"&amp;$M13&amp;"_old",Ammortamento_Finanziario!$H:$L,5,FALSE),VLOOKUP($M13,TT_Tabelle_Riferimento!$H$31:$I$50,2,FALSE))</f>
        <v>12</v>
      </c>
      <c r="R13" s="904">
        <f>+IFERROR(VLOOKUP(R$6&amp;"-"&amp;$M13&amp;"_old",Ammortamento_Finanziario!$H:$L,5,FALSE),VLOOKUP($M13,TT_Tabelle_Riferimento!$H$31:$I$50,2,FALSE))</f>
        <v>12</v>
      </c>
      <c r="S13" s="904">
        <f>+IFERROR(VLOOKUP(S$6&amp;"-"&amp;$M13&amp;"_old",Ammortamento_Finanziario!$H:$L,5,FALSE),VLOOKUP($M13,TT_Tabelle_Riferimento!$H$31:$I$50,2,FALSE))</f>
        <v>12</v>
      </c>
      <c r="T13" s="904">
        <f>+IFERROR(VLOOKUP(T$6&amp;"-"&amp;$M13&amp;"_old",Ammortamento_Finanziario!$H:$L,5,FALSE),VLOOKUP($M13,TT_Tabelle_Riferimento!$H$31:$I$50,2,FALSE))</f>
        <v>12</v>
      </c>
      <c r="U13" s="904">
        <f>+IFERROR(VLOOKUP(U$6&amp;"-"&amp;$M13&amp;"_old",Ammortamento_Finanziario!$H:$L,5,FALSE),VLOOKUP($M13,TT_Tabelle_Riferimento!$H$31:$I$50,2,FALSE))</f>
        <v>12</v>
      </c>
      <c r="V13" s="904">
        <f>+IFERROR(VLOOKUP(V$6&amp;"-"&amp;$M13&amp;"_old",Ammortamento_Finanziario!$H:$L,5,FALSE),VLOOKUP($M13,TT_Tabelle_Riferimento!$H$31:$I$50,2,FALSE))</f>
        <v>12</v>
      </c>
      <c r="W13" s="904">
        <f>+IFERROR(VLOOKUP(W$6&amp;"-"&amp;$M13&amp;"_old",Ammortamento_Finanziario!$H:$L,5,FALSE),VLOOKUP($M13,TT_Tabelle_Riferimento!$H$31:$I$50,2,FALSE))</f>
        <v>12</v>
      </c>
      <c r="X13" s="1739">
        <f>+IFERROR(VLOOKUP(X$6&amp;"-"&amp;$M13&amp;"_old",Ammortamento_Finanziario!$H:$L,5,FALSE),VLOOKUP($M13,TT_Tabelle_Riferimento!$H$31:$I$50,2,FALSE))</f>
        <v>12</v>
      </c>
      <c r="Y13" s="1739">
        <f>+IFERROR(VLOOKUP(Y$6&amp;"-"&amp;$M13&amp;"_old",Ammortamento_Finanziario!$H:$L,5,FALSE),VLOOKUP($M13,TT_Tabelle_Riferimento!$H$31:$I$50,2,FALSE))</f>
        <v>12</v>
      </c>
      <c r="Z13" s="1749">
        <f>+IFERROR(VLOOKUP(Z$6&amp;"-"&amp;$M13&amp;"_old",Ammortamento_Finanziario!$H:$L,5,FALSE),VLOOKUP($M13,TT_Tabelle_Riferimento!$H$31:$I$50,2,FALSE))</f>
        <v>12</v>
      </c>
      <c r="AA13" s="1749">
        <f>+IFERROR(VLOOKUP(AA$6&amp;"-"&amp;$M13&amp;"_old",Ammortamento_Finanziario!$H:$L,5,FALSE),VLOOKUP($M13,TT_Tabelle_Riferimento!$H$31:$I$50,2,FALSE))</f>
        <v>12</v>
      </c>
      <c r="AB13" s="1749">
        <f>+IFERROR(VLOOKUP(AB$6&amp;"-"&amp;$M13&amp;"_old",Ammortamento_Finanziario!$H:$L,5,FALSE),VLOOKUP($M13,TT_Tabelle_Riferimento!$H$31:$I$50,2,FALSE))</f>
        <v>12</v>
      </c>
      <c r="AC13" s="1749">
        <f>+IFERROR(VLOOKUP(AC$6&amp;"-"&amp;$M13&amp;"_old",Ammortamento_Finanziario!$H:$L,5,FALSE),VLOOKUP($M13,TT_Tabelle_Riferimento!$H$31:$I$50,2,FALSE))</f>
        <v>12</v>
      </c>
      <c r="AD13" s="1749">
        <f>+IFERROR(VLOOKUP(AD$6&amp;"-"&amp;$M13&amp;"_old",Ammortamento_Finanziario!$H:$L,5,FALSE),VLOOKUP($M13,TT_Tabelle_Riferimento!$H$31:$I$50,2,FALSE))</f>
        <v>12</v>
      </c>
      <c r="AE13" s="1749">
        <f>+IFERROR(VLOOKUP(AE$6&amp;"-"&amp;$M13&amp;"_old",Ammortamento_Finanziario!$H:$L,5,FALSE),VLOOKUP($M13,TT_Tabelle_Riferimento!$H$31:$I$50,2,FALSE))</f>
        <v>12</v>
      </c>
      <c r="AF13" s="625">
        <f>+IFERROR(VLOOKUP(AF$6&amp;"-"&amp;$M13&amp;"_old",Ammortamento_Finanziario!$H:$L,5,FALSE),VLOOKUP($M13,TT_Tabelle_Riferimento!$H$31:$I$50,2,FALSE))</f>
        <v>12</v>
      </c>
      <c r="AG13" s="625">
        <f>+IFERROR(VLOOKUP(AG$6&amp;"-"&amp;$M13&amp;"_old",Ammortamento_Finanziario!$H:$L,5,FALSE),VLOOKUP($M13,TT_Tabelle_Riferimento!$H$31:$I$50,2,FALSE))</f>
        <v>12</v>
      </c>
      <c r="AH13" s="625">
        <f>+IFERROR(VLOOKUP(AH$6&amp;"-"&amp;$M13&amp;"_old",Ammortamento_Finanziario!$H:$L,5,FALSE),VLOOKUP($M13,TT_Tabelle_Riferimento!$H$31:$I$50,2,FALSE))</f>
        <v>12</v>
      </c>
      <c r="AI13" s="625">
        <f>+IFERROR(VLOOKUP(AI$6&amp;"-"&amp;$M13&amp;"_old",Ammortamento_Finanziario!$H:$L,5,FALSE),VLOOKUP($M13,TT_Tabelle_Riferimento!$H$31:$I$50,2,FALSE))</f>
        <v>12</v>
      </c>
      <c r="AJ13" s="625">
        <f>+IFERROR(VLOOKUP(AJ$6&amp;"-"&amp;$M13&amp;"_old",Ammortamento_Finanziario!$H:$L,5,FALSE),VLOOKUP($M13,TT_Tabelle_Riferimento!$H$31:$I$50,2,FALSE))</f>
        <v>12</v>
      </c>
      <c r="AK13" s="625">
        <f>+IFERROR(VLOOKUP(AK$6&amp;"-"&amp;$M13&amp;"_old",Ammortamento_Finanziario!$H:$L,5,FALSE),VLOOKUP($M13,TT_Tabelle_Riferimento!$H$31:$I$50,2,FALSE))</f>
        <v>12</v>
      </c>
      <c r="AL13" s="625">
        <f>+IFERROR(VLOOKUP(AL$6&amp;"-"&amp;$M13&amp;"_old",Ammortamento_Finanziario!$H:$L,5,FALSE),VLOOKUP($M13,TT_Tabelle_Riferimento!$H$31:$I$50,2,FALSE))</f>
        <v>12</v>
      </c>
      <c r="AM13" s="625">
        <f>+IFERROR(VLOOKUP(AM$6&amp;"-"&amp;$M13&amp;"_old",Ammortamento_Finanziario!$H:$L,5,FALSE),VLOOKUP($M13,TT_Tabelle_Riferimento!$H$31:$I$50,2,FALSE))</f>
        <v>12</v>
      </c>
      <c r="AN13" s="625">
        <f>+IFERROR(VLOOKUP(AN$6&amp;"-"&amp;$M13&amp;"_old",Ammortamento_Finanziario!$H:$L,5,FALSE),VLOOKUP($M13,TT_Tabelle_Riferimento!$H$31:$I$50,2,FALSE))</f>
        <v>12</v>
      </c>
      <c r="AO13" s="625">
        <f>+IFERROR(VLOOKUP(AO$6&amp;"-"&amp;$M13&amp;"_old",Ammortamento_Finanziario!$H:$L,5,FALSE),VLOOKUP($M13,TT_Tabelle_Riferimento!$H$31:$I$50,2,FALSE))</f>
        <v>12</v>
      </c>
      <c r="AP13" s="625">
        <f>+IFERROR(VLOOKUP(AP$6&amp;"-"&amp;$M13&amp;"_old",Ammortamento_Finanziario!$H:$L,5,FALSE),VLOOKUP($M13,TT_Tabelle_Riferimento!$H$31:$I$50,2,FALSE))</f>
        <v>12</v>
      </c>
      <c r="AQ13" s="625">
        <f>+IFERROR(VLOOKUP(AQ$6&amp;"-"&amp;$M13&amp;"_old",Ammortamento_Finanziario!$H:$L,5,FALSE),VLOOKUP($M13,TT_Tabelle_Riferimento!$H$31:$I$50,2,FALSE))</f>
        <v>12</v>
      </c>
      <c r="AR13" s="625">
        <f>+IFERROR(VLOOKUP(AR$6&amp;"-"&amp;$M13&amp;"_old",Ammortamento_Finanziario!$H:$L,5,FALSE),VLOOKUP($M13,TT_Tabelle_Riferimento!$H$31:$I$50,2,FALSE))</f>
        <v>12</v>
      </c>
      <c r="AS13" s="625">
        <f>+IFERROR(VLOOKUP(AS$6&amp;"-"&amp;$M13&amp;"_old",Ammortamento_Finanziario!$H:$L,5,FALSE),VLOOKUP($M13,TT_Tabelle_Riferimento!$H$31:$I$50,2,FALSE))</f>
        <v>12</v>
      </c>
      <c r="AT13" s="625">
        <f>+IFERROR(VLOOKUP(AT$6&amp;"-"&amp;$M13&amp;"_old",Ammortamento_Finanziario!$H:$L,5,FALSE),VLOOKUP($M13,TT_Tabelle_Riferimento!$H$31:$I$50,2,FALSE))</f>
        <v>12</v>
      </c>
      <c r="AU13" s="625">
        <f>+IFERROR(VLOOKUP(AU$6&amp;"-"&amp;$M13&amp;"_old",Ammortamento_Finanziario!$H:$L,5,FALSE),VLOOKUP($M13,TT_Tabelle_Riferimento!$H$31:$I$50,2,FALSE))</f>
        <v>12</v>
      </c>
      <c r="AV13" s="625">
        <f>+IFERROR(VLOOKUP(AV$6&amp;"-"&amp;$M13&amp;"_old",Ammortamento_Finanziario!$H:$L,5,FALSE),VLOOKUP($M13,TT_Tabelle_Riferimento!$H$31:$I$50,2,FALSE))</f>
        <v>12</v>
      </c>
      <c r="AW13" s="625">
        <f>+IFERROR(VLOOKUP(AW$6&amp;"-"&amp;$M13&amp;"_old",Ammortamento_Finanziario!$H:$L,5,FALSE),VLOOKUP($M13,TT_Tabelle_Riferimento!$H$31:$I$50,2,FALSE))</f>
        <v>12</v>
      </c>
      <c r="AX13" s="625">
        <f>+IFERROR(VLOOKUP(AX$6&amp;"-"&amp;$M13&amp;"_old",Ammortamento_Finanziario!$H:$L,5,FALSE),VLOOKUP($M13,TT_Tabelle_Riferimento!$H$31:$I$50,2,FALSE))</f>
        <v>12</v>
      </c>
      <c r="AY13" s="905">
        <f>+IFERROR(VLOOKUP(AY$6&amp;"-"&amp;$M13&amp;"_old",Ammortamento_Finanziario!$H:$L,5,FALSE),VLOOKUP($M13,TT_Tabelle_Riferimento!$H$31:$I$50,2,FALSE))</f>
        <v>12</v>
      </c>
      <c r="AZ13" s="905">
        <f>+IFERROR(VLOOKUP(AZ$6&amp;"-"&amp;$M13&amp;"_old",Ammortamento_Finanziario!$H:$L,5,FALSE),VLOOKUP($M13,TT_Tabelle_Riferimento!$H$31:$I$50,2,FALSE))</f>
        <v>12</v>
      </c>
      <c r="BA13" s="905">
        <f>+IFERROR(VLOOKUP(BA$6&amp;"-"&amp;$M13&amp;"_old",Ammortamento_Finanziario!$H:$L,5,FALSE),VLOOKUP($M13,TT_Tabelle_Riferimento!$H$31:$I$50,2,FALSE))</f>
        <v>12</v>
      </c>
      <c r="BB13" s="905">
        <f>+IFERROR(VLOOKUP(BB$6&amp;"-"&amp;$M13&amp;"_old",Ammortamento_Finanziario!$H:$L,5,FALSE),VLOOKUP($M13,TT_Tabelle_Riferimento!$H$31:$I$50,2,FALSE))</f>
        <v>12</v>
      </c>
      <c r="BC13" s="905">
        <f>+IFERROR(VLOOKUP(BC$6&amp;"-"&amp;$M13&amp;"_old",Ammortamento_Finanziario!$H:$L,5,FALSE),VLOOKUP($M13,TT_Tabelle_Riferimento!$H$31:$I$50,2,FALSE))</f>
        <v>12</v>
      </c>
      <c r="BD13" s="905">
        <f>+IFERROR(VLOOKUP(BD$6&amp;"-"&amp;$M13&amp;"_old",Ammortamento_Finanziario!$H:$L,5,FALSE),VLOOKUP($M13,TT_Tabelle_Riferimento!$H$31:$I$50,2,FALSE))</f>
        <v>12</v>
      </c>
      <c r="BE13" s="905">
        <f>+IFERROR(VLOOKUP(BE$6&amp;"-"&amp;$M13&amp;"_old",Ammortamento_Finanziario!$H:$L,5,FALSE),VLOOKUP($M13,TT_Tabelle_Riferimento!$H$31:$I$50,2,FALSE))</f>
        <v>12</v>
      </c>
      <c r="BF13" s="905">
        <f>+IFERROR(VLOOKUP(BF$6&amp;"-"&amp;$M13&amp;"_old",Ammortamento_Finanziario!$H:$L,5,FALSE),VLOOKUP($M13,TT_Tabelle_Riferimento!$H$31:$I$50,2,FALSE))</f>
        <v>12</v>
      </c>
      <c r="BG13" s="1740">
        <f>+IFERROR(VLOOKUP(BG$6&amp;"-"&amp;$M13&amp;"_old",Ammortamento_Finanziario!$H:$L,5,FALSE),VLOOKUP($M13,TT_Tabelle_Riferimento!$H$31:$I$50,2,FALSE))</f>
        <v>12</v>
      </c>
      <c r="BH13" s="1740">
        <f>+IFERROR(VLOOKUP(BH$6&amp;"-"&amp;$M13&amp;"_old",Ammortamento_Finanziario!$H:$L,5,FALSE),VLOOKUP($M13,TT_Tabelle_Riferimento!$H$31:$I$50,2,FALSE))</f>
        <v>12</v>
      </c>
      <c r="BI13" s="1749">
        <f>+IFERROR(VLOOKUP(BI$6&amp;"-"&amp;$M13&amp;"_old",Ammortamento_Finanziario!$H:$L,5,FALSE),VLOOKUP($M13,TT_Tabelle_Riferimento!$H$31:$I$50,2,FALSE))</f>
        <v>12</v>
      </c>
      <c r="BJ13" s="1749">
        <f>+IFERROR(VLOOKUP(BJ$6&amp;"-"&amp;$M13&amp;"_old",Ammortamento_Finanziario!$H:$L,5,FALSE),VLOOKUP($M13,TT_Tabelle_Riferimento!$H$31:$I$50,2,FALSE))</f>
        <v>12</v>
      </c>
      <c r="BK13" s="1749">
        <f>+IFERROR(VLOOKUP(BK$6&amp;"-"&amp;$M13&amp;"_old",Ammortamento_Finanziario!$H:$L,5,FALSE),VLOOKUP($M13,TT_Tabelle_Riferimento!$H$31:$I$50,2,FALSE))</f>
        <v>12</v>
      </c>
      <c r="BL13" s="1749">
        <f>+IFERROR(VLOOKUP(BL$6&amp;"-"&amp;$M13&amp;"_old",Ammortamento_Finanziario!$H:$L,5,FALSE),VLOOKUP($M13,TT_Tabelle_Riferimento!$H$31:$I$50,2,FALSE))</f>
        <v>12</v>
      </c>
      <c r="BM13" s="1749">
        <f>+IFERROR(VLOOKUP(BM$6&amp;"-"&amp;$M13&amp;"_old",Ammortamento_Finanziario!$H:$L,5,FALSE),VLOOKUP($M13,TT_Tabelle_Riferimento!$H$31:$I$50,2,FALSE))</f>
        <v>12</v>
      </c>
      <c r="BN13" s="1749">
        <f>+IFERROR(VLOOKUP(BN$6&amp;"-"&amp;$M13&amp;"_old",Ammortamento_Finanziario!$H:$L,5,FALSE),VLOOKUP($M13,TT_Tabelle_Riferimento!$H$31:$I$50,2,FALSE))</f>
        <v>12</v>
      </c>
      <c r="BO13" s="625">
        <f>+IFERROR(VLOOKUP(BO$6&amp;"-"&amp;$M13&amp;"_old",Ammortamento_Finanziario!$H:$L,5,FALSE),VLOOKUP($M13,TT_Tabelle_Riferimento!$H$31:$I$50,2,FALSE))</f>
        <v>12</v>
      </c>
      <c r="BP13" s="625">
        <f>+IFERROR(VLOOKUP(BP$6&amp;"-"&amp;$M13&amp;"_old",Ammortamento_Finanziario!$H:$L,5,FALSE),VLOOKUP($M13,TT_Tabelle_Riferimento!$H$31:$I$50,2,FALSE))</f>
        <v>12</v>
      </c>
      <c r="BQ13" s="625">
        <f>+IFERROR(VLOOKUP(BQ$6&amp;"-"&amp;$M13&amp;"_old",Ammortamento_Finanziario!$H:$L,5,FALSE),VLOOKUP($M13,TT_Tabelle_Riferimento!$H$31:$I$50,2,FALSE))</f>
        <v>12</v>
      </c>
      <c r="BR13" s="625">
        <f>+IFERROR(VLOOKUP(BR$6&amp;"-"&amp;$M13&amp;"_old",Ammortamento_Finanziario!$H:$L,5,FALSE),VLOOKUP($M13,TT_Tabelle_Riferimento!$H$31:$I$50,2,FALSE))</f>
        <v>12</v>
      </c>
      <c r="BS13" s="625">
        <f>+IFERROR(VLOOKUP(BS$6&amp;"-"&amp;$M13&amp;"_old",Ammortamento_Finanziario!$H:$L,5,FALSE),VLOOKUP($M13,TT_Tabelle_Riferimento!$H$31:$I$50,2,FALSE))</f>
        <v>12</v>
      </c>
      <c r="BT13" s="625">
        <f>+IFERROR(VLOOKUP(BT$6&amp;"-"&amp;$M13&amp;"_old",Ammortamento_Finanziario!$H:$L,5,FALSE),VLOOKUP($M13,TT_Tabelle_Riferimento!$H$31:$I$50,2,FALSE))</f>
        <v>12</v>
      </c>
      <c r="BU13" s="625">
        <f>+IFERROR(VLOOKUP(BU$6&amp;"-"&amp;$M13&amp;"_old",Ammortamento_Finanziario!$H:$L,5,FALSE),VLOOKUP($M13,TT_Tabelle_Riferimento!$H$31:$I$50,2,FALSE))</f>
        <v>12</v>
      </c>
      <c r="BV13" s="625">
        <f>+IFERROR(VLOOKUP(BV$6&amp;"-"&amp;$M13&amp;"_old",Ammortamento_Finanziario!$H:$L,5,FALSE),VLOOKUP($M13,TT_Tabelle_Riferimento!$H$31:$I$50,2,FALSE))</f>
        <v>12</v>
      </c>
      <c r="BW13" s="625">
        <f>+IFERROR(VLOOKUP(BW$6&amp;"-"&amp;$M13&amp;"_old",Ammortamento_Finanziario!$H:$L,5,FALSE),VLOOKUP($M13,TT_Tabelle_Riferimento!$H$31:$I$50,2,FALSE))</f>
        <v>12</v>
      </c>
      <c r="BX13" s="625">
        <f>+IFERROR(VLOOKUP(BX$6&amp;"-"&amp;$M13&amp;"_old",Ammortamento_Finanziario!$H:$L,5,FALSE),VLOOKUP($M13,TT_Tabelle_Riferimento!$H$31:$I$50,2,FALSE))</f>
        <v>12</v>
      </c>
      <c r="BY13" s="625">
        <f>+IFERROR(VLOOKUP(BY$6&amp;"-"&amp;$M13&amp;"_old",Ammortamento_Finanziario!$H:$L,5,FALSE),VLOOKUP($M13,TT_Tabelle_Riferimento!$H$31:$I$50,2,FALSE))</f>
        <v>12</v>
      </c>
      <c r="BZ13" s="625">
        <f>+IFERROR(VLOOKUP(BZ$6&amp;"-"&amp;$M13&amp;"_old",Ammortamento_Finanziario!$H:$L,5,FALSE),VLOOKUP($M13,TT_Tabelle_Riferimento!$H$31:$I$50,2,FALSE))</f>
        <v>12</v>
      </c>
      <c r="CA13" s="625">
        <f>+IFERROR(VLOOKUP(CA$6&amp;"-"&amp;$M13&amp;"_old",Ammortamento_Finanziario!$H:$L,5,FALSE),VLOOKUP($M13,TT_Tabelle_Riferimento!$H$31:$I$50,2,FALSE))</f>
        <v>12</v>
      </c>
      <c r="CB13" s="625">
        <f>+IFERROR(VLOOKUP(CB$6&amp;"-"&amp;$M13&amp;"_old",Ammortamento_Finanziario!$H:$L,5,FALSE),VLOOKUP($M13,TT_Tabelle_Riferimento!$H$31:$I$50,2,FALSE))</f>
        <v>12</v>
      </c>
      <c r="CC13" s="625">
        <f>+IFERROR(VLOOKUP(CC$6&amp;"-"&amp;$M13&amp;"_old",Ammortamento_Finanziario!$H:$L,5,FALSE),VLOOKUP($M13,TT_Tabelle_Riferimento!$H$31:$I$50,2,FALSE))</f>
        <v>12</v>
      </c>
      <c r="CD13" s="625">
        <f>+IFERROR(VLOOKUP(CD$6&amp;"-"&amp;$M13&amp;"_old",Ammortamento_Finanziario!$H:$L,5,FALSE),VLOOKUP($M13,TT_Tabelle_Riferimento!$H$31:$I$50,2,FALSE))</f>
        <v>12</v>
      </c>
      <c r="CE13" s="625">
        <f>+IFERROR(VLOOKUP(CE$6&amp;"-"&amp;$M13&amp;"_old",Ammortamento_Finanziario!$H:$L,5,FALSE),VLOOKUP($M13,TT_Tabelle_Riferimento!$H$31:$I$50,2,FALSE))</f>
        <v>12</v>
      </c>
      <c r="CF13" s="625">
        <f>+IFERROR(VLOOKUP(CF$6&amp;"-"&amp;$M13&amp;"_old",Ammortamento_Finanziario!$H:$L,5,FALSE),VLOOKUP($M13,TT_Tabelle_Riferimento!$H$31:$I$50,2,FALSE))</f>
        <v>12</v>
      </c>
      <c r="CG13" s="625">
        <f>+IFERROR(VLOOKUP(CG$6&amp;"-"&amp;$M13&amp;"_old",Ammortamento_Finanziario!$H:$L,5,FALSE),VLOOKUP($M13,TT_Tabelle_Riferimento!$H$31:$I$50,2,FALSE))</f>
        <v>12</v>
      </c>
      <c r="CH13" s="905">
        <f>+IFERROR(VLOOKUP(CH$6&amp;"-"&amp;$M13&amp;"_old",Ammortamento_Finanziario!$H:$L,5,FALSE),VLOOKUP($M13,TT_Tabelle_Riferimento!$H$31:$I$50,2,FALSE))</f>
        <v>12</v>
      </c>
      <c r="CI13" s="905">
        <f>+IFERROR(VLOOKUP(CI$6&amp;"-"&amp;$M13&amp;"_old",Ammortamento_Finanziario!$H:$L,5,FALSE),VLOOKUP($M13,TT_Tabelle_Riferimento!$H$31:$I$50,2,FALSE))</f>
        <v>12</v>
      </c>
      <c r="CJ13" s="905">
        <f>+IFERROR(VLOOKUP(CJ$6&amp;"-"&amp;$M13&amp;"_old",Ammortamento_Finanziario!$H:$L,5,FALSE),VLOOKUP($M13,TT_Tabelle_Riferimento!$H$31:$I$50,2,FALSE))</f>
        <v>12</v>
      </c>
      <c r="CK13" s="905">
        <f>+IFERROR(VLOOKUP(CK$6&amp;"-"&amp;$M13&amp;"_old",Ammortamento_Finanziario!$H:$L,5,FALSE),VLOOKUP($M13,TT_Tabelle_Riferimento!$H$31:$I$50,2,FALSE))</f>
        <v>12</v>
      </c>
      <c r="CL13" s="905">
        <f>+IFERROR(VLOOKUP(CL$6&amp;"-"&amp;$M13&amp;"_old",Ammortamento_Finanziario!$H:$L,5,FALSE),VLOOKUP($M13,TT_Tabelle_Riferimento!$H$31:$I$50,2,FALSE))</f>
        <v>12</v>
      </c>
      <c r="CM13" s="905">
        <f>+IFERROR(VLOOKUP(CM$6&amp;"-"&amp;$M13&amp;"_old",Ammortamento_Finanziario!$H:$L,5,FALSE),VLOOKUP($M13,TT_Tabelle_Riferimento!$H$31:$I$50,2,FALSE))</f>
        <v>12</v>
      </c>
      <c r="CN13" s="905">
        <f>+IFERROR(VLOOKUP(CN$6&amp;"-"&amp;$M13&amp;"_old",Ammortamento_Finanziario!$H:$L,5,FALSE),VLOOKUP($M13,TT_Tabelle_Riferimento!$H$31:$I$50,2,FALSE))</f>
        <v>12</v>
      </c>
      <c r="CO13" s="1740">
        <f>+IFERROR(VLOOKUP(CO$6&amp;"-"&amp;$M13&amp;"_old",Ammortamento_Finanziario!$H:$L,5,FALSE),VLOOKUP($M13,TT_Tabelle_Riferimento!$H$31:$I$50,2,FALSE))</f>
        <v>12</v>
      </c>
      <c r="CP13" s="1740">
        <f>+IFERROR(VLOOKUP(CP$6&amp;"-"&amp;$M13&amp;"_old",Ammortamento_Finanziario!$H:$L,5,FALSE),VLOOKUP($M13,TT_Tabelle_Riferimento!$H$31:$I$50,2,FALSE))</f>
        <v>12</v>
      </c>
      <c r="CQ13" s="1749">
        <f>+IFERROR(VLOOKUP(CQ$6&amp;"-"&amp;$M13&amp;"_old",Ammortamento_Finanziario!$H:$L,5,FALSE),VLOOKUP($M13,TT_Tabelle_Riferimento!$H$31:$I$50,2,FALSE))</f>
        <v>12</v>
      </c>
      <c r="CR13" s="1749">
        <f>+IFERROR(VLOOKUP(CR$6&amp;"-"&amp;$M13&amp;"_old",Ammortamento_Finanziario!$H:$L,5,FALSE),VLOOKUP($M13,TT_Tabelle_Riferimento!$H$31:$I$50,2,FALSE))</f>
        <v>12</v>
      </c>
      <c r="CS13" s="1749">
        <f>+IFERROR(VLOOKUP(CS$6&amp;"-"&amp;$M13&amp;"_old",Ammortamento_Finanziario!$H:$L,5,FALSE),VLOOKUP($M13,TT_Tabelle_Riferimento!$H$31:$I$50,2,FALSE))</f>
        <v>12</v>
      </c>
      <c r="CT13" s="1749">
        <f>+IFERROR(VLOOKUP(CT$6&amp;"-"&amp;$M13&amp;"_old",Ammortamento_Finanziario!$H:$L,5,FALSE),VLOOKUP($M13,TT_Tabelle_Riferimento!$H$31:$I$50,2,FALSE))</f>
        <v>12</v>
      </c>
      <c r="CU13" s="1749">
        <f>+IFERROR(VLOOKUP(CU$6&amp;"-"&amp;$M13&amp;"_old",Ammortamento_Finanziario!$H:$L,5,FALSE),VLOOKUP($M13,TT_Tabelle_Riferimento!$H$31:$I$50,2,FALSE))</f>
        <v>12</v>
      </c>
      <c r="CV13" s="1749">
        <f>+IFERROR(VLOOKUP(CV$6&amp;"-"&amp;$M13&amp;"_old",Ammortamento_Finanziario!$H:$L,5,FALSE),VLOOKUP($M13,TT_Tabelle_Riferimento!$H$31:$I$50,2,FALSE))</f>
        <v>12</v>
      </c>
      <c r="CW13" s="625">
        <f>+IFERROR(VLOOKUP(CW$6&amp;"-"&amp;$M13&amp;"_old",Ammortamento_Finanziario!$H:$L,5,FALSE),VLOOKUP($M13,TT_Tabelle_Riferimento!$H$31:$I$50,2,FALSE))</f>
        <v>12</v>
      </c>
      <c r="CX13" s="625">
        <f>+IFERROR(VLOOKUP(CX$6&amp;"-"&amp;$M13&amp;"_old",Ammortamento_Finanziario!$H:$L,5,FALSE),VLOOKUP($M13,TT_Tabelle_Riferimento!$H$31:$I$50,2,FALSE))</f>
        <v>12</v>
      </c>
      <c r="CY13" s="625">
        <f>+IFERROR(VLOOKUP(CY$6&amp;"-"&amp;$M13&amp;"_old",Ammortamento_Finanziario!$H:$L,5,FALSE),VLOOKUP($M13,TT_Tabelle_Riferimento!$H$31:$I$50,2,FALSE))</f>
        <v>12</v>
      </c>
      <c r="CZ13" s="625">
        <f>+IFERROR(VLOOKUP(CZ$6&amp;"-"&amp;$M13&amp;"_old",Ammortamento_Finanziario!$H:$L,5,FALSE),VLOOKUP($M13,TT_Tabelle_Riferimento!$H$31:$I$50,2,FALSE))</f>
        <v>12</v>
      </c>
      <c r="DA13" s="625">
        <f>+IFERROR(VLOOKUP(DA$6&amp;"-"&amp;$M13&amp;"_old",Ammortamento_Finanziario!$H:$L,5,FALSE),VLOOKUP($M13,TT_Tabelle_Riferimento!$H$31:$I$50,2,FALSE))</f>
        <v>12</v>
      </c>
      <c r="DB13" s="625">
        <f>+IFERROR(VLOOKUP(DB$6&amp;"-"&amp;$M13&amp;"_old",Ammortamento_Finanziario!$H:$L,5,FALSE),VLOOKUP($M13,TT_Tabelle_Riferimento!$H$31:$I$50,2,FALSE))</f>
        <v>12</v>
      </c>
      <c r="DC13" s="625">
        <f>+IFERROR(VLOOKUP(DC$6&amp;"-"&amp;$M13&amp;"_old",Ammortamento_Finanziario!$H:$L,5,FALSE),VLOOKUP($M13,TT_Tabelle_Riferimento!$H$31:$I$50,2,FALSE))</f>
        <v>12</v>
      </c>
      <c r="DD13" s="625">
        <f>+IFERROR(VLOOKUP(DD$6&amp;"-"&amp;$M13&amp;"_old",Ammortamento_Finanziario!$H:$L,5,FALSE),VLOOKUP($M13,TT_Tabelle_Riferimento!$H$31:$I$50,2,FALSE))</f>
        <v>12</v>
      </c>
      <c r="DE13" s="625">
        <f>+IFERROR(VLOOKUP(DE$6&amp;"-"&amp;$M13&amp;"_old",Ammortamento_Finanziario!$H:$L,5,FALSE),VLOOKUP($M13,TT_Tabelle_Riferimento!$H$31:$I$50,2,FALSE))</f>
        <v>12</v>
      </c>
      <c r="DF13" s="625">
        <f>+IFERROR(VLOOKUP(DF$6&amp;"-"&amp;$M13&amp;"_old",Ammortamento_Finanziario!$H:$L,5,FALSE),VLOOKUP($M13,TT_Tabelle_Riferimento!$H$31:$I$50,2,FALSE))</f>
        <v>12</v>
      </c>
      <c r="DG13" s="625">
        <f>+IFERROR(VLOOKUP(DG$6&amp;"-"&amp;$M13&amp;"_old",Ammortamento_Finanziario!$H:$L,5,FALSE),VLOOKUP($M13,TT_Tabelle_Riferimento!$H$31:$I$50,2,FALSE))</f>
        <v>12</v>
      </c>
      <c r="DH13" s="625">
        <f>+IFERROR(VLOOKUP(DH$6&amp;"-"&amp;$M13&amp;"_old",Ammortamento_Finanziario!$H:$L,5,FALSE),VLOOKUP($M13,TT_Tabelle_Riferimento!$H$31:$I$50,2,FALSE))</f>
        <v>12</v>
      </c>
      <c r="DI13" s="625">
        <f>+IFERROR(VLOOKUP(DI$6&amp;"-"&amp;$M13&amp;"_old",Ammortamento_Finanziario!$H:$L,5,FALSE),VLOOKUP($M13,TT_Tabelle_Riferimento!$H$31:$I$50,2,FALSE))</f>
        <v>12</v>
      </c>
      <c r="DJ13" s="625">
        <f>+IFERROR(VLOOKUP(DJ$6&amp;"-"&amp;$M13&amp;"_old",Ammortamento_Finanziario!$H:$L,5,FALSE),VLOOKUP($M13,TT_Tabelle_Riferimento!$H$31:$I$50,2,FALSE))</f>
        <v>12</v>
      </c>
      <c r="DK13" s="625">
        <f>+IFERROR(VLOOKUP(DK$6&amp;"-"&amp;$M13&amp;"_old",Ammortamento_Finanziario!$H:$L,5,FALSE),VLOOKUP($M13,TT_Tabelle_Riferimento!$H$31:$I$50,2,FALSE))</f>
        <v>12</v>
      </c>
      <c r="DL13" s="625">
        <f>+IFERROR(VLOOKUP(DL$6&amp;"-"&amp;$M13&amp;"_old",Ammortamento_Finanziario!$H:$L,5,FALSE),VLOOKUP($M13,TT_Tabelle_Riferimento!$H$31:$I$50,2,FALSE))</f>
        <v>12</v>
      </c>
      <c r="DM13" s="625">
        <f>+IFERROR(VLOOKUP(DM$6&amp;"-"&amp;$M13&amp;"_old",Ammortamento_Finanziario!$H:$L,5,FALSE),VLOOKUP($M13,TT_Tabelle_Riferimento!$H$31:$I$50,2,FALSE))</f>
        <v>12</v>
      </c>
      <c r="DN13" s="625">
        <f>+IFERROR(VLOOKUP(DN$6&amp;"-"&amp;$M13&amp;"_old",Ammortamento_Finanziario!$H:$L,5,FALSE),VLOOKUP($M13,TT_Tabelle_Riferimento!$H$31:$I$50,2,FALSE))</f>
        <v>12</v>
      </c>
      <c r="DO13" s="625">
        <f>+IFERROR(VLOOKUP(DO$6&amp;"-"&amp;$M13&amp;"_old",Ammortamento_Finanziario!$H:$L,5,FALSE),VLOOKUP($M13,TT_Tabelle_Riferimento!$H$31:$I$50,2,FALSE))</f>
        <v>12</v>
      </c>
      <c r="DP13" s="636">
        <f>+IFERROR(VLOOKUP(DP$6&amp;"-"&amp;$M13&amp;"_old",Ammortamento_Finanziario!$H:$L,5,FALSE),VLOOKUP($M13,TT_Tabelle_Riferimento!$H$31:$I$50,2,FALSE))</f>
        <v>12</v>
      </c>
      <c r="DQ13" s="636">
        <f>+IFERROR(VLOOKUP(DQ$6&amp;"-"&amp;$M13&amp;"_old",Ammortamento_Finanziario!$H:$L,5,FALSE),VLOOKUP($M13,TT_Tabelle_Riferimento!$H$31:$I$50,2,FALSE))</f>
        <v>12</v>
      </c>
      <c r="DR13" s="636">
        <f>+IFERROR(VLOOKUP(DR$6&amp;"-"&amp;$M13&amp;"_old",Ammortamento_Finanziario!$H:$L,5,FALSE),VLOOKUP($M13,TT_Tabelle_Riferimento!$H$31:$I$50,2,FALSE))</f>
        <v>12</v>
      </c>
      <c r="DS13" s="636">
        <f>+IFERROR(VLOOKUP(DS$6&amp;"-"&amp;$M13&amp;"_old",Ammortamento_Finanziario!$H:$L,5,FALSE),VLOOKUP($M13,TT_Tabelle_Riferimento!$H$31:$I$50,2,FALSE))</f>
        <v>12</v>
      </c>
      <c r="DT13" s="636">
        <f>+IFERROR(VLOOKUP(DT$6&amp;"-"&amp;$M13&amp;"_old",Ammortamento_Finanziario!$H:$L,5,FALSE),VLOOKUP($M13,TT_Tabelle_Riferimento!$H$31:$I$50,2,FALSE))</f>
        <v>12</v>
      </c>
      <c r="DU13" s="636">
        <f>+IFERROR(VLOOKUP(DU$6&amp;"-"&amp;$M13&amp;"_old",Ammortamento_Finanziario!$H:$L,5,FALSE),VLOOKUP($M13,TT_Tabelle_Riferimento!$H$31:$I$50,2,FALSE))</f>
        <v>12</v>
      </c>
      <c r="DV13" s="1742">
        <f>+IFERROR(VLOOKUP(DV$6&amp;"-"&amp;$M13&amp;"_old",Ammortamento_Finanziario!$H:$L,5,FALSE),VLOOKUP($M13,TT_Tabelle_Riferimento!$H$31:$I$50,2,FALSE))</f>
        <v>12</v>
      </c>
      <c r="DW13" s="1742">
        <f>+IFERROR(VLOOKUP(DW$6&amp;"-"&amp;$M13&amp;"_old",Ammortamento_Finanziario!$H:$L,5,FALSE),VLOOKUP($M13,TT_Tabelle_Riferimento!$H$31:$I$50,2,FALSE))</f>
        <v>12</v>
      </c>
      <c r="DX13" s="1750">
        <f>+IFERROR(VLOOKUP(DX$6&amp;"-"&amp;$M13&amp;"_old",Ammortamento_Finanziario!$H:$L,5,FALSE),VLOOKUP($M13,TT_Tabelle_Riferimento!$H$31:$I$50,2,FALSE))</f>
        <v>12</v>
      </c>
      <c r="DY13" s="1750">
        <f>+IFERROR(VLOOKUP(DY$6&amp;"-"&amp;$M13&amp;"_old",Ammortamento_Finanziario!$H:$L,5,FALSE),VLOOKUP($M13,TT_Tabelle_Riferimento!$H$31:$I$50,2,FALSE))</f>
        <v>12</v>
      </c>
      <c r="DZ13" s="1750">
        <f>+IFERROR(VLOOKUP(DZ$6&amp;"-"&amp;$M13&amp;"_old",Ammortamento_Finanziario!$H:$L,5,FALSE),VLOOKUP($M13,TT_Tabelle_Riferimento!$H$31:$I$50,2,FALSE))</f>
        <v>12</v>
      </c>
      <c r="EA13" s="1750">
        <f>+IFERROR(VLOOKUP(EA$6&amp;"-"&amp;$M13&amp;"_old",Ammortamento_Finanziario!$H:$L,5,FALSE),VLOOKUP($M13,TT_Tabelle_Riferimento!$H$31:$I$50,2,FALSE))</f>
        <v>12</v>
      </c>
      <c r="EB13" s="1750">
        <f>+IFERROR(VLOOKUP(EB$6&amp;"-"&amp;$M13&amp;"_old",Ammortamento_Finanziario!$H:$L,5,FALSE),VLOOKUP($M13,TT_Tabelle_Riferimento!$H$31:$I$50,2,FALSE))</f>
        <v>12</v>
      </c>
      <c r="EC13" s="1750">
        <f>+IFERROR(VLOOKUP(EC$6&amp;"-"&amp;$M13&amp;"_old",Ammortamento_Finanziario!$H:$L,5,FALSE),VLOOKUP($M13,TT_Tabelle_Riferimento!$H$31:$I$50,2,FALSE))</f>
        <v>12</v>
      </c>
      <c r="ED13" s="636">
        <f>+IFERROR(VLOOKUP(ED$6&amp;"-"&amp;$M13&amp;"_old",Ammortamento_Finanziario!$H:$L,5,FALSE),VLOOKUP($M13,TT_Tabelle_Riferimento!$H$31:$I$50,2,FALSE))</f>
        <v>12</v>
      </c>
      <c r="EE13" s="636">
        <f>+IFERROR(VLOOKUP(EE$6&amp;"-"&amp;$M13&amp;"_old",Ammortamento_Finanziario!$H:$L,5,FALSE),VLOOKUP($M13,TT_Tabelle_Riferimento!$H$31:$I$50,2,FALSE))</f>
        <v>12</v>
      </c>
      <c r="EF13" s="636">
        <f>+IFERROR(VLOOKUP(EF$6&amp;"-"&amp;$M13&amp;"_old",Ammortamento_Finanziario!$H:$L,5,FALSE),VLOOKUP($M13,TT_Tabelle_Riferimento!$H$31:$I$50,2,FALSE))</f>
        <v>12</v>
      </c>
      <c r="EG13" s="636">
        <f>+IFERROR(VLOOKUP(EG$6&amp;"-"&amp;$M13&amp;"_old",Ammortamento_Finanziario!$H:$L,5,FALSE),VLOOKUP($M13,TT_Tabelle_Riferimento!$H$31:$I$50,2,FALSE))</f>
        <v>12</v>
      </c>
      <c r="EH13" s="636">
        <f>+IFERROR(VLOOKUP(EH$6&amp;"-"&amp;$M13&amp;"_old",Ammortamento_Finanziario!$H:$L,5,FALSE),VLOOKUP($M13,TT_Tabelle_Riferimento!$H$31:$I$50,2,FALSE))</f>
        <v>12</v>
      </c>
      <c r="EI13" s="636">
        <f>+IFERROR(VLOOKUP(EI$6&amp;"-"&amp;$M13&amp;"_old",Ammortamento_Finanziario!$H:$L,5,FALSE),VLOOKUP($M13,TT_Tabelle_Riferimento!$H$31:$I$50,2,FALSE))</f>
        <v>12</v>
      </c>
      <c r="EJ13" s="636">
        <f>+IFERROR(VLOOKUP(EJ$6&amp;"-"&amp;$M13&amp;"_old",Ammortamento_Finanziario!$H:$L,5,FALSE),VLOOKUP($M13,TT_Tabelle_Riferimento!$H$31:$I$50,2,FALSE))</f>
        <v>12</v>
      </c>
      <c r="EK13" s="636">
        <f>+IFERROR(VLOOKUP(EK$6&amp;"-"&amp;$M13&amp;"_old",Ammortamento_Finanziario!$H:$L,5,FALSE),VLOOKUP($M13,TT_Tabelle_Riferimento!$H$31:$I$50,2,FALSE))</f>
        <v>12</v>
      </c>
      <c r="EL13" s="636">
        <f>+IFERROR(VLOOKUP(EL$6&amp;"-"&amp;$M13&amp;"_old",Ammortamento_Finanziario!$H:$L,5,FALSE),VLOOKUP($M13,TT_Tabelle_Riferimento!$H$31:$I$50,2,FALSE))</f>
        <v>12</v>
      </c>
      <c r="EM13" s="636">
        <f>+IFERROR(VLOOKUP(EM$6&amp;"-"&amp;$M13&amp;"_old",Ammortamento_Finanziario!$H:$L,5,FALSE),VLOOKUP($M13,TT_Tabelle_Riferimento!$H$31:$I$50,2,FALSE))</f>
        <v>12</v>
      </c>
      <c r="EN13" s="636">
        <f>+IFERROR(VLOOKUP(EN$6&amp;"-"&amp;$M13&amp;"_old",Ammortamento_Finanziario!$H:$L,5,FALSE),VLOOKUP($M13,TT_Tabelle_Riferimento!$H$31:$I$50,2,FALSE))</f>
        <v>12</v>
      </c>
      <c r="EO13" s="636">
        <f>+IFERROR(VLOOKUP(EO$6&amp;"-"&amp;$M13&amp;"_old",Ammortamento_Finanziario!$H:$L,5,FALSE),VLOOKUP($M13,TT_Tabelle_Riferimento!$H$31:$I$50,2,FALSE))</f>
        <v>12</v>
      </c>
      <c r="EP13" s="636">
        <f>+IFERROR(VLOOKUP(EP$6&amp;"-"&amp;$M13&amp;"_old",Ammortamento_Finanziario!$H:$L,5,FALSE),VLOOKUP($M13,TT_Tabelle_Riferimento!$H$31:$I$50,2,FALSE))</f>
        <v>12</v>
      </c>
      <c r="EQ13" s="636">
        <f>+IFERROR(VLOOKUP(EQ$6&amp;"-"&amp;$M13&amp;"_old",Ammortamento_Finanziario!$H:$L,5,FALSE),VLOOKUP($M13,TT_Tabelle_Riferimento!$H$31:$I$50,2,FALSE))</f>
        <v>12</v>
      </c>
      <c r="ER13" s="636">
        <f>+IFERROR(VLOOKUP(ER$6&amp;"-"&amp;$M13&amp;"_old",Ammortamento_Finanziario!$H:$L,5,FALSE),VLOOKUP($M13,TT_Tabelle_Riferimento!$H$31:$I$50,2,FALSE))</f>
        <v>12</v>
      </c>
      <c r="ES13" s="636">
        <f>+IFERROR(VLOOKUP(ES$6&amp;"-"&amp;$M13&amp;"_old",Ammortamento_Finanziario!$H:$L,5,FALSE),VLOOKUP($M13,TT_Tabelle_Riferimento!$H$31:$I$50,2,FALSE))</f>
        <v>12</v>
      </c>
      <c r="ET13" s="636">
        <f>+IFERROR(VLOOKUP(ET$6&amp;"-"&amp;$M13&amp;"_old",Ammortamento_Finanziario!$H:$L,5,FALSE),VLOOKUP($M13,TT_Tabelle_Riferimento!$H$31:$I$50,2,FALSE))</f>
        <v>12</v>
      </c>
      <c r="EU13" s="636">
        <f>+IFERROR(VLOOKUP(EU$6&amp;"-"&amp;$M13&amp;"_old",Ammortamento_Finanziario!$H:$L,5,FALSE),VLOOKUP($M13,TT_Tabelle_Riferimento!$H$31:$I$50,2,FALSE))</f>
        <v>12</v>
      </c>
      <c r="EV13" s="636">
        <f>+IFERROR(VLOOKUP(EV$6&amp;"-"&amp;$M13&amp;"_old",Ammortamento_Finanziario!$H:$L,5,FALSE),VLOOKUP($M13,TT_Tabelle_Riferimento!$H$31:$I$50,2,FALSE))</f>
        <v>12</v>
      </c>
      <c r="EW13" s="1048">
        <f>+IFERROR(VLOOKUP(EW$6&amp;"-"&amp;$M13&amp;"_old",Ammortamento_Finanziario!$H:$L,5,FALSE),VLOOKUP($M13,TT_Tabelle_Riferimento!$H$31:$I$50,2,FALSE))</f>
        <v>12</v>
      </c>
      <c r="EX13" s="1048">
        <f>+IFERROR(VLOOKUP(EX$6&amp;"-"&amp;$M13&amp;"_old",Ammortamento_Finanziario!$H:$L,5,FALSE),VLOOKUP($M13,TT_Tabelle_Riferimento!$H$31:$I$50,2,FALSE))</f>
        <v>12</v>
      </c>
      <c r="EY13" s="1048">
        <f>+IFERROR(VLOOKUP(EY$6&amp;"-"&amp;$M13&amp;"_old",Ammortamento_Finanziario!$H:$L,5,FALSE),VLOOKUP($M13,TT_Tabelle_Riferimento!$H$31:$I$50,2,FALSE))</f>
        <v>12</v>
      </c>
      <c r="EZ13" s="1048">
        <f>+IFERROR(VLOOKUP(EZ$6&amp;"-"&amp;$M13&amp;"_old",Ammortamento_Finanziario!$H:$L,5,FALSE),VLOOKUP($M13,TT_Tabelle_Riferimento!$H$31:$I$50,2,FALSE))</f>
        <v>12</v>
      </c>
      <c r="FA13" s="1048">
        <f>+IFERROR(VLOOKUP(FA$6&amp;"-"&amp;$M13&amp;"_old",Ammortamento_Finanziario!$H:$L,5,FALSE),VLOOKUP($M13,TT_Tabelle_Riferimento!$H$31:$I$50,2,FALSE))</f>
        <v>12</v>
      </c>
      <c r="FB13" s="1743">
        <f>+IFERROR(VLOOKUP(FB$6&amp;"-"&amp;$M13&amp;"_old",Ammortamento_Finanziario!$H:$L,5,FALSE),VLOOKUP($M13,TT_Tabelle_Riferimento!$H$31:$I$50,2,FALSE))</f>
        <v>12</v>
      </c>
      <c r="FC13" s="1743">
        <f>+IFERROR(VLOOKUP(FC$6&amp;"-"&amp;$M13&amp;"_old",Ammortamento_Finanziario!$H:$L,5,FALSE),VLOOKUP($M13,TT_Tabelle_Riferimento!$H$31:$I$50,2,FALSE))</f>
        <v>12</v>
      </c>
      <c r="FD13" s="1751">
        <f>+IFERROR(VLOOKUP(FD$6&amp;"-"&amp;$M13&amp;"_old",Ammortamento_Finanziario!$H:$L,5,FALSE),VLOOKUP($M13,TT_Tabelle_Riferimento!$H$31:$I$50,2,FALSE))</f>
        <v>12</v>
      </c>
      <c r="FE13" s="1751">
        <f>+IFERROR(VLOOKUP(FE$6&amp;"-"&amp;$M13&amp;"_old",Ammortamento_Finanziario!$H:$L,5,FALSE),VLOOKUP($M13,TT_Tabelle_Riferimento!$H$31:$I$50,2,FALSE))</f>
        <v>12</v>
      </c>
      <c r="FF13" s="1751">
        <f>+IFERROR(VLOOKUP(FF$6&amp;"-"&amp;$M13&amp;"_old",Ammortamento_Finanziario!$H:$L,5,FALSE),VLOOKUP($M13,TT_Tabelle_Riferimento!$H$31:$I$50,2,FALSE))</f>
        <v>12</v>
      </c>
      <c r="FG13" s="1751">
        <f>+IFERROR(VLOOKUP(FG$6&amp;"-"&amp;$M13&amp;"_old",Ammortamento_Finanziario!$H:$L,5,FALSE),VLOOKUP($M13,TT_Tabelle_Riferimento!$H$31:$I$50,2,FALSE))</f>
        <v>12</v>
      </c>
      <c r="FH13" s="1751">
        <f>+IFERROR(VLOOKUP(FH$6&amp;"-"&amp;$M13&amp;"_old",Ammortamento_Finanziario!$H:$L,5,FALSE),VLOOKUP($M13,TT_Tabelle_Riferimento!$H$31:$I$50,2,FALSE))</f>
        <v>12</v>
      </c>
      <c r="FI13" s="1751">
        <f>+IFERROR(VLOOKUP(FI$6&amp;"-"&amp;$M13&amp;"_old",Ammortamento_Finanziario!$H:$L,5,FALSE),VLOOKUP($M13,TT_Tabelle_Riferimento!$H$31:$I$50,2,FALSE))</f>
        <v>12</v>
      </c>
      <c r="FJ13" s="629">
        <f>+IFERROR(VLOOKUP(FJ$6&amp;"-"&amp;$M13&amp;"_old",Ammortamento_Finanziario!$H:$L,5,FALSE),VLOOKUP($M13,TT_Tabelle_Riferimento!$H$31:$I$50,2,FALSE))</f>
        <v>12</v>
      </c>
      <c r="FK13" s="629">
        <f>+IFERROR(VLOOKUP(FK$6&amp;"-"&amp;$M13&amp;"_old",Ammortamento_Finanziario!$H:$L,5,FALSE),VLOOKUP($M13,TT_Tabelle_Riferimento!$H$31:$I$50,2,FALSE))</f>
        <v>12</v>
      </c>
      <c r="FL13" s="629">
        <f>+IFERROR(VLOOKUP(FL$6&amp;"-"&amp;$M13&amp;"_old",Ammortamento_Finanziario!$H:$L,5,FALSE),VLOOKUP($M13,TT_Tabelle_Riferimento!$H$31:$I$50,2,FALSE))</f>
        <v>12</v>
      </c>
      <c r="FM13" s="629">
        <f>+IFERROR(VLOOKUP(FM$6&amp;"-"&amp;$M13&amp;"_old",Ammortamento_Finanziario!$H:$L,5,FALSE),VLOOKUP($M13,TT_Tabelle_Riferimento!$H$31:$I$50,2,FALSE))</f>
        <v>12</v>
      </c>
      <c r="FN13" s="629">
        <f>+IFERROR(VLOOKUP(FN$6&amp;"-"&amp;$M13&amp;"_old",Ammortamento_Finanziario!$H:$L,5,FALSE),VLOOKUP($M13,TT_Tabelle_Riferimento!$H$31:$I$50,2,FALSE))</f>
        <v>12</v>
      </c>
      <c r="FO13" s="629">
        <f>+IFERROR(VLOOKUP(FO$6&amp;"-"&amp;$M13&amp;"_old",Ammortamento_Finanziario!$H:$L,5,FALSE),VLOOKUP($M13,TT_Tabelle_Riferimento!$H$31:$I$50,2,FALSE))</f>
        <v>12</v>
      </c>
      <c r="FP13" s="629">
        <f>+IFERROR(VLOOKUP(FP$6&amp;"-"&amp;$M13&amp;"_old",Ammortamento_Finanziario!$H:$L,5,FALSE),VLOOKUP($M13,TT_Tabelle_Riferimento!$H$31:$I$50,2,FALSE))</f>
        <v>12</v>
      </c>
      <c r="FQ13" s="629">
        <f>+IFERROR(VLOOKUP(FQ$6&amp;"-"&amp;$M13&amp;"_old",Ammortamento_Finanziario!$H:$L,5,FALSE),VLOOKUP($M13,TT_Tabelle_Riferimento!$H$31:$I$50,2,FALSE))</f>
        <v>12</v>
      </c>
      <c r="FR13" s="629">
        <f>+IFERROR(VLOOKUP(FR$6&amp;"-"&amp;$M13&amp;"_old",Ammortamento_Finanziario!$H:$L,5,FALSE),VLOOKUP($M13,TT_Tabelle_Riferimento!$H$31:$I$50,2,FALSE))</f>
        <v>12</v>
      </c>
      <c r="FS13" s="629">
        <f>+IFERROR(VLOOKUP(FS$6&amp;"-"&amp;$M13&amp;"_old",Ammortamento_Finanziario!$H:$L,5,FALSE),VLOOKUP($M13,TT_Tabelle_Riferimento!$H$31:$I$50,2,FALSE))</f>
        <v>12</v>
      </c>
      <c r="FT13" s="629">
        <f>+IFERROR(VLOOKUP(FT$6&amp;"-"&amp;$M13&amp;"_old",Ammortamento_Finanziario!$H:$L,5,FALSE),VLOOKUP($M13,TT_Tabelle_Riferimento!$H$31:$I$50,2,FALSE))</f>
        <v>12</v>
      </c>
      <c r="FU13" s="629">
        <f>+IFERROR(VLOOKUP(FU$6&amp;"-"&amp;$M13&amp;"_old",Ammortamento_Finanziario!$H:$L,5,FALSE),VLOOKUP($M13,TT_Tabelle_Riferimento!$H$31:$I$50,2,FALSE))</f>
        <v>12</v>
      </c>
      <c r="FV13" s="629">
        <f>+IFERROR(VLOOKUP(FV$6&amp;"-"&amp;$M13&amp;"_old",Ammortamento_Finanziario!$H:$L,5,FALSE),VLOOKUP($M13,TT_Tabelle_Riferimento!$H$31:$I$50,2,FALSE))</f>
        <v>12</v>
      </c>
      <c r="FW13" s="629">
        <f>+IFERROR(VLOOKUP(FW$6&amp;"-"&amp;$M13&amp;"_old",Ammortamento_Finanziario!$H:$L,5,FALSE),VLOOKUP($M13,TT_Tabelle_Riferimento!$H$31:$I$50,2,FALSE))</f>
        <v>12</v>
      </c>
      <c r="FX13" s="629">
        <f>+IFERROR(VLOOKUP(FX$6&amp;"-"&amp;$M13&amp;"_old",Ammortamento_Finanziario!$H:$L,5,FALSE),VLOOKUP($M13,TT_Tabelle_Riferimento!$H$31:$I$50,2,FALSE))</f>
        <v>12</v>
      </c>
      <c r="FY13" s="629">
        <f>+IFERROR(VLOOKUP(FY$6&amp;"-"&amp;$M13&amp;"_old",Ammortamento_Finanziario!$H:$L,5,FALSE),VLOOKUP($M13,TT_Tabelle_Riferimento!$H$31:$I$50,2,FALSE))</f>
        <v>12</v>
      </c>
      <c r="FZ13" s="629">
        <f>+IFERROR(VLOOKUP(FZ$6&amp;"-"&amp;$M13&amp;"_old",Ammortamento_Finanziario!$H:$L,5,FALSE),VLOOKUP($M13,TT_Tabelle_Riferimento!$H$31:$I$50,2,FALSE))</f>
        <v>12</v>
      </c>
      <c r="GA13" s="629">
        <f>+IFERROR(VLOOKUP(GA$6&amp;"-"&amp;$M13&amp;"_old",Ammortamento_Finanziario!$H:$L,5,FALSE),VLOOKUP($M13,TT_Tabelle_Riferimento!$H$31:$I$50,2,FALSE))</f>
        <v>12</v>
      </c>
      <c r="GB13" s="629">
        <f>+IFERROR(VLOOKUP(GB$6&amp;"-"&amp;$M13&amp;"_old",Ammortamento_Finanziario!$H:$L,5,FALSE),VLOOKUP($M13,TT_Tabelle_Riferimento!$H$31:$I$50,2,FALSE))</f>
        <v>12</v>
      </c>
      <c r="GC13" s="635">
        <f>+IFERROR(VLOOKUP(GC$6&amp;"-"&amp;$M13&amp;"_old",Ammortamento_Finanziario!$H:$L,5,FALSE),VLOOKUP($M13,TT_Tabelle_Riferimento!$H$31:$I$50,2,FALSE))</f>
        <v>12</v>
      </c>
      <c r="GD13" s="635">
        <f>+IFERROR(VLOOKUP(GD$6&amp;"-"&amp;$M13&amp;"_old",Ammortamento_Finanziario!$H:$L,5,FALSE),VLOOKUP($M13,TT_Tabelle_Riferimento!$H$31:$I$50,2,FALSE))</f>
        <v>12</v>
      </c>
      <c r="GE13" s="635">
        <f>+IFERROR(VLOOKUP(GE$6&amp;"-"&amp;$M13&amp;"_old",Ammortamento_Finanziario!$H:$L,5,FALSE),VLOOKUP($M13,TT_Tabelle_Riferimento!$H$31:$I$50,2,FALSE))</f>
        <v>12</v>
      </c>
      <c r="GF13" s="635">
        <f>+IFERROR(VLOOKUP(GF$6&amp;"-"&amp;$M13&amp;"_old",Ammortamento_Finanziario!$H:$L,5,FALSE),VLOOKUP($M13,TT_Tabelle_Riferimento!$H$31:$I$50,2,FALSE))</f>
        <v>12</v>
      </c>
      <c r="GG13" s="1744">
        <f>+IFERROR(VLOOKUP(GG$6&amp;"-"&amp;$M13&amp;"_old",Ammortamento_Finanziario!$H:$L,5,FALSE),VLOOKUP($M13,TT_Tabelle_Riferimento!$H$31:$I$50,2,FALSE))</f>
        <v>12</v>
      </c>
      <c r="GH13" s="1744">
        <f>+IFERROR(VLOOKUP(GH$6&amp;"-"&amp;$M13&amp;"_old",Ammortamento_Finanziario!$H:$L,5,FALSE),VLOOKUP($M13,TT_Tabelle_Riferimento!$H$31:$I$50,2,FALSE))</f>
        <v>12</v>
      </c>
      <c r="GI13" s="1752">
        <f>+IFERROR(VLOOKUP(GI$6&amp;"-"&amp;$M13&amp;"_old",Ammortamento_Finanziario!$H:$L,5,FALSE),VLOOKUP($M13,TT_Tabelle_Riferimento!$H$31:$I$50,2,FALSE))</f>
        <v>12</v>
      </c>
      <c r="GJ13" s="1752">
        <f>+IFERROR(VLOOKUP(GJ$6&amp;"-"&amp;$M13&amp;"_old",Ammortamento_Finanziario!$H:$L,5,FALSE),VLOOKUP($M13,TT_Tabelle_Riferimento!$H$31:$I$50,2,FALSE))</f>
        <v>12</v>
      </c>
      <c r="GK13" s="1752">
        <f>+IFERROR(VLOOKUP(GK$6&amp;"-"&amp;$M13&amp;"_old",Ammortamento_Finanziario!$H:$L,5,FALSE),VLOOKUP($M13,TT_Tabelle_Riferimento!$H$31:$I$50,2,FALSE))</f>
        <v>12</v>
      </c>
      <c r="GL13" s="1752">
        <f>+IFERROR(VLOOKUP(GL$6&amp;"-"&amp;$M13&amp;"_old",Ammortamento_Finanziario!$H:$L,5,FALSE),VLOOKUP($M13,TT_Tabelle_Riferimento!$H$31:$I$50,2,FALSE))</f>
        <v>12</v>
      </c>
      <c r="GM13" s="1752">
        <f>+IFERROR(VLOOKUP(GM$6&amp;"-"&amp;$M13&amp;"_old",Ammortamento_Finanziario!$H:$L,5,FALSE),VLOOKUP($M13,TT_Tabelle_Riferimento!$H$31:$I$50,2,FALSE))</f>
        <v>12</v>
      </c>
      <c r="GN13" s="1752">
        <f>+IFERROR(VLOOKUP(GN$6&amp;"-"&amp;$M13&amp;"_old",Ammortamento_Finanziario!$H:$L,5,FALSE),VLOOKUP($M13,TT_Tabelle_Riferimento!$H$31:$I$50,2,FALSE))</f>
        <v>12</v>
      </c>
      <c r="GO13" s="628">
        <f>+IFERROR(VLOOKUP(GO$6&amp;"-"&amp;$M13&amp;"_old",Ammortamento_Finanziario!$H:$L,5,FALSE),VLOOKUP($M13,TT_Tabelle_Riferimento!$H$31:$I$50,2,FALSE))</f>
        <v>12</v>
      </c>
      <c r="GP13" s="628">
        <f>+IFERROR(VLOOKUP(GP$6&amp;"-"&amp;$M13&amp;"_old",Ammortamento_Finanziario!$H:$L,5,FALSE),VLOOKUP($M13,TT_Tabelle_Riferimento!$H$31:$I$50,2,FALSE))</f>
        <v>12</v>
      </c>
      <c r="GQ13" s="628">
        <f>+IFERROR(VLOOKUP(GQ$6&amp;"-"&amp;$M13&amp;"_old",Ammortamento_Finanziario!$H:$L,5,FALSE),VLOOKUP($M13,TT_Tabelle_Riferimento!$H$31:$I$50,2,FALSE))</f>
        <v>12</v>
      </c>
      <c r="GR13" s="628">
        <f>+IFERROR(VLOOKUP(GR$6&amp;"-"&amp;$M13&amp;"_old",Ammortamento_Finanziario!$H:$L,5,FALSE),VLOOKUP($M13,TT_Tabelle_Riferimento!$H$31:$I$50,2,FALSE))</f>
        <v>12</v>
      </c>
      <c r="GS13" s="628">
        <f>+IFERROR(VLOOKUP(GS$6&amp;"-"&amp;$M13&amp;"_old",Ammortamento_Finanziario!$H:$L,5,FALSE),VLOOKUP($M13,TT_Tabelle_Riferimento!$H$31:$I$50,2,FALSE))</f>
        <v>12</v>
      </c>
      <c r="GT13" s="628">
        <f>+IFERROR(VLOOKUP(GT$6&amp;"-"&amp;$M13&amp;"_old",Ammortamento_Finanziario!$H:$L,5,FALSE),VLOOKUP($M13,TT_Tabelle_Riferimento!$H$31:$I$50,2,FALSE))</f>
        <v>12</v>
      </c>
      <c r="GU13" s="628">
        <f>+IFERROR(VLOOKUP(GU$6&amp;"-"&amp;$M13&amp;"_old",Ammortamento_Finanziario!$H:$L,5,FALSE),VLOOKUP($M13,TT_Tabelle_Riferimento!$H$31:$I$50,2,FALSE))</f>
        <v>12</v>
      </c>
      <c r="GV13" s="628">
        <f>+IFERROR(VLOOKUP(GV$6&amp;"-"&amp;$M13&amp;"_old",Ammortamento_Finanziario!$H:$L,5,FALSE),VLOOKUP($M13,TT_Tabelle_Riferimento!$H$31:$I$50,2,FALSE))</f>
        <v>12</v>
      </c>
      <c r="GW13" s="628">
        <f>+IFERROR(VLOOKUP(GW$6&amp;"-"&amp;$M13&amp;"_old",Ammortamento_Finanziario!$H:$L,5,FALSE),VLOOKUP($M13,TT_Tabelle_Riferimento!$H$31:$I$50,2,FALSE))</f>
        <v>12</v>
      </c>
      <c r="GX13" s="628">
        <f>+IFERROR(VLOOKUP(GX$6&amp;"-"&amp;$M13&amp;"_old",Ammortamento_Finanziario!$H:$L,5,FALSE),VLOOKUP($M13,TT_Tabelle_Riferimento!$H$31:$I$50,2,FALSE))</f>
        <v>12</v>
      </c>
      <c r="GY13" s="628">
        <f>+IFERROR(VLOOKUP(GY$6&amp;"-"&amp;$M13&amp;"_old",Ammortamento_Finanziario!$H:$L,5,FALSE),VLOOKUP($M13,TT_Tabelle_Riferimento!$H$31:$I$50,2,FALSE))</f>
        <v>12</v>
      </c>
      <c r="GZ13" s="628">
        <f>+IFERROR(VLOOKUP(GZ$6&amp;"-"&amp;$M13&amp;"_old",Ammortamento_Finanziario!$H:$L,5,FALSE),VLOOKUP($M13,TT_Tabelle_Riferimento!$H$31:$I$50,2,FALSE))</f>
        <v>12</v>
      </c>
      <c r="HA13" s="628">
        <f>+IFERROR(VLOOKUP(HA$6&amp;"-"&amp;$M13&amp;"_old",Ammortamento_Finanziario!$H:$L,5,FALSE),VLOOKUP($M13,TT_Tabelle_Riferimento!$H$31:$I$50,2,FALSE))</f>
        <v>12</v>
      </c>
      <c r="HB13" s="628">
        <f>+IFERROR(VLOOKUP(HB$6&amp;"-"&amp;$M13&amp;"_old",Ammortamento_Finanziario!$H:$L,5,FALSE),VLOOKUP($M13,TT_Tabelle_Riferimento!$H$31:$I$50,2,FALSE))</f>
        <v>12</v>
      </c>
      <c r="HC13" s="628">
        <f>+IFERROR(VLOOKUP(HC$6&amp;"-"&amp;$M13&amp;"_old",Ammortamento_Finanziario!$H:$L,5,FALSE),VLOOKUP($M13,TT_Tabelle_Riferimento!$H$31:$I$50,2,FALSE))</f>
        <v>12</v>
      </c>
      <c r="HD13" s="628">
        <f>+IFERROR(VLOOKUP(HD$6&amp;"-"&amp;$M13&amp;"_old",Ammortamento_Finanziario!$H:$L,5,FALSE),VLOOKUP($M13,TT_Tabelle_Riferimento!$H$31:$I$50,2,FALSE))</f>
        <v>12</v>
      </c>
      <c r="HE13" s="628">
        <f>+IFERROR(VLOOKUP(HE$6&amp;"-"&amp;$M13&amp;"_old",Ammortamento_Finanziario!$H:$L,5,FALSE),VLOOKUP($M13,TT_Tabelle_Riferimento!$H$31:$I$50,2,FALSE))</f>
        <v>12</v>
      </c>
      <c r="HF13" s="628">
        <f>+IFERROR(VLOOKUP(HF$6&amp;"-"&amp;$M13&amp;"_old",Ammortamento_Finanziario!$H:$L,5,FALSE),VLOOKUP($M13,TT_Tabelle_Riferimento!$H$31:$I$50,2,FALSE))</f>
        <v>12</v>
      </c>
      <c r="HG13" s="628">
        <f>+IFERROR(VLOOKUP(HG$6&amp;"-"&amp;$M13&amp;"_old",Ammortamento_Finanziario!$H:$L,5,FALSE),VLOOKUP($M13,TT_Tabelle_Riferimento!$H$31:$I$50,2,FALSE))</f>
        <v>12</v>
      </c>
      <c r="HH13" s="422">
        <f>+IFERROR(VLOOKUP(HH$6&amp;"-"&amp;$M13&amp;"_old",Ammortamento_Finanziario!$H:$L,5,FALSE),VLOOKUP($M13,TT_Tabelle_Riferimento!$H$31:$I$50,2,FALSE))</f>
        <v>12</v>
      </c>
      <c r="HI13" s="422">
        <f>+IFERROR(VLOOKUP(HI$6&amp;"-"&amp;$M13&amp;"_old",Ammortamento_Finanziario!$H:$L,5,FALSE),VLOOKUP($M13,TT_Tabelle_Riferimento!$H$31:$I$50,2,FALSE))</f>
        <v>12</v>
      </c>
      <c r="HJ13" s="422">
        <f>+IFERROR(VLOOKUP(HJ$6&amp;"-"&amp;$M13&amp;"_old",Ammortamento_Finanziario!$H:$L,5,FALSE),VLOOKUP($M13,TT_Tabelle_Riferimento!$H$31:$I$50,2,FALSE))</f>
        <v>12</v>
      </c>
      <c r="HK13" s="1746">
        <f>+IFERROR(VLOOKUP(HK$6&amp;"-"&amp;$M13&amp;"_old",Ammortamento_Finanziario!$H:$L,5,FALSE),VLOOKUP($M13,TT_Tabelle_Riferimento!$H$31:$I$50,2,FALSE))</f>
        <v>12</v>
      </c>
      <c r="HL13" s="1746">
        <f>+IFERROR(VLOOKUP(HL$6&amp;"-"&amp;$M13&amp;"_old",Ammortamento_Finanziario!$H:$L,5,FALSE),VLOOKUP($M13,TT_Tabelle_Riferimento!$H$31:$I$50,2,FALSE))</f>
        <v>12</v>
      </c>
      <c r="HM13" s="1753">
        <f>+IFERROR(VLOOKUP(HM$6&amp;"-"&amp;$M13&amp;"_old",Ammortamento_Finanziario!$H:$L,5,FALSE),VLOOKUP($M13,TT_Tabelle_Riferimento!$H$31:$I$50,2,FALSE))</f>
        <v>12</v>
      </c>
      <c r="HN13" s="1753">
        <f>+IFERROR(VLOOKUP(HN$6&amp;"-"&amp;$M13&amp;"_old",Ammortamento_Finanziario!$H:$L,5,FALSE),VLOOKUP($M13,TT_Tabelle_Riferimento!$H$31:$I$50,2,FALSE))</f>
        <v>12</v>
      </c>
      <c r="HO13" s="1753">
        <f>+IFERROR(VLOOKUP(HO$6&amp;"-"&amp;$M13&amp;"_old",Ammortamento_Finanziario!$H:$L,5,FALSE),VLOOKUP($M13,TT_Tabelle_Riferimento!$H$31:$I$50,2,FALSE))</f>
        <v>12</v>
      </c>
      <c r="HP13" s="1753">
        <f>+IFERROR(VLOOKUP(HP$6&amp;"-"&amp;$M13&amp;"_old",Ammortamento_Finanziario!$H:$L,5,FALSE),VLOOKUP($M13,TT_Tabelle_Riferimento!$H$31:$I$50,2,FALSE))</f>
        <v>12</v>
      </c>
      <c r="HQ13" s="1753">
        <f>+IFERROR(VLOOKUP(HQ$6&amp;"-"&amp;$M13&amp;"_old",Ammortamento_Finanziario!$H:$L,5,FALSE),VLOOKUP($M13,TT_Tabelle_Riferimento!$H$31:$I$50,2,FALSE))</f>
        <v>12</v>
      </c>
      <c r="HR13" s="1753">
        <f>+IFERROR(VLOOKUP(HR$6&amp;"-"&amp;$M13&amp;"_old",Ammortamento_Finanziario!$H:$L,5,FALSE),VLOOKUP($M13,TT_Tabelle_Riferimento!$H$31:$I$50,2,FALSE))</f>
        <v>12</v>
      </c>
      <c r="HS13" s="422">
        <f>+IFERROR(VLOOKUP(HS$6&amp;"-"&amp;$M13&amp;"_old",Ammortamento_Finanziario!$H:$L,5,FALSE),VLOOKUP($M13,TT_Tabelle_Riferimento!$H$31:$I$50,2,FALSE))</f>
        <v>12</v>
      </c>
      <c r="HT13" s="422">
        <f>+IFERROR(VLOOKUP(HT$6&amp;"-"&amp;$M13&amp;"_old",Ammortamento_Finanziario!$H:$L,5,FALSE),VLOOKUP($M13,TT_Tabelle_Riferimento!$H$31:$I$50,2,FALSE))</f>
        <v>12</v>
      </c>
      <c r="HU13" s="422">
        <f>+IFERROR(VLOOKUP(HU$6&amp;"-"&amp;$M13&amp;"_old",Ammortamento_Finanziario!$H:$L,5,FALSE),VLOOKUP($M13,TT_Tabelle_Riferimento!$H$31:$I$50,2,FALSE))</f>
        <v>12</v>
      </c>
      <c r="HV13" s="422">
        <f>+IFERROR(VLOOKUP(HV$6&amp;"-"&amp;$M13&amp;"_old",Ammortamento_Finanziario!$H:$L,5,FALSE),VLOOKUP($M13,TT_Tabelle_Riferimento!$H$31:$I$50,2,FALSE))</f>
        <v>12</v>
      </c>
      <c r="HW13" s="422">
        <f>+IFERROR(VLOOKUP(HW$6&amp;"-"&amp;$M13&amp;"_old",Ammortamento_Finanziario!$H:$L,5,FALSE),VLOOKUP($M13,TT_Tabelle_Riferimento!$H$31:$I$50,2,FALSE))</f>
        <v>12</v>
      </c>
      <c r="HX13" s="422">
        <f>+IFERROR(VLOOKUP(HX$6&amp;"-"&amp;$M13&amp;"_old",Ammortamento_Finanziario!$H:$L,5,FALSE),VLOOKUP($M13,TT_Tabelle_Riferimento!$H$31:$I$50,2,FALSE))</f>
        <v>12</v>
      </c>
      <c r="HY13" s="422">
        <f>+IFERROR(VLOOKUP(HY$6&amp;"-"&amp;$M13&amp;"_old",Ammortamento_Finanziario!$H:$L,5,FALSE),VLOOKUP($M13,TT_Tabelle_Riferimento!$H$31:$I$50,2,FALSE))</f>
        <v>12</v>
      </c>
      <c r="HZ13" s="422">
        <f>+IFERROR(VLOOKUP(HZ$6&amp;"-"&amp;$M13&amp;"_old",Ammortamento_Finanziario!$H:$L,5,FALSE),VLOOKUP($M13,TT_Tabelle_Riferimento!$H$31:$I$50,2,FALSE))</f>
        <v>12</v>
      </c>
      <c r="IA13" s="422">
        <f>+IFERROR(VLOOKUP(IA$6&amp;"-"&amp;$M13&amp;"_old",Ammortamento_Finanziario!$H:$L,5,FALSE),VLOOKUP($M13,TT_Tabelle_Riferimento!$H$31:$I$50,2,FALSE))</f>
        <v>12</v>
      </c>
      <c r="IB13" s="422">
        <f>+IFERROR(VLOOKUP(IB$6&amp;"-"&amp;$M13&amp;"_old",Ammortamento_Finanziario!$H:$L,5,FALSE),VLOOKUP($M13,TT_Tabelle_Riferimento!$H$31:$I$50,2,FALSE))</f>
        <v>12</v>
      </c>
      <c r="IC13" s="422">
        <f>+IFERROR(VLOOKUP(IC$6&amp;"-"&amp;$M13&amp;"_old",Ammortamento_Finanziario!$H:$L,5,FALSE),VLOOKUP($M13,TT_Tabelle_Riferimento!$H$31:$I$50,2,FALSE))</f>
        <v>12</v>
      </c>
      <c r="ID13" s="422">
        <f>+IFERROR(VLOOKUP(ID$6&amp;"-"&amp;$M13&amp;"_old",Ammortamento_Finanziario!$H:$L,5,FALSE),VLOOKUP($M13,TT_Tabelle_Riferimento!$H$31:$I$50,2,FALSE))</f>
        <v>12</v>
      </c>
      <c r="IE13" s="422">
        <f>+IFERROR(VLOOKUP(IE$6&amp;"-"&amp;$M13&amp;"_old",Ammortamento_Finanziario!$H:$L,5,FALSE),VLOOKUP($M13,TT_Tabelle_Riferimento!$H$31:$I$50,2,FALSE))</f>
        <v>12</v>
      </c>
      <c r="IF13" s="422">
        <f>+IFERROR(VLOOKUP(IF$6&amp;"-"&amp;$M13&amp;"_old",Ammortamento_Finanziario!$H:$L,5,FALSE),VLOOKUP($M13,TT_Tabelle_Riferimento!$H$31:$I$50,2,FALSE))</f>
        <v>12</v>
      </c>
      <c r="IG13" s="422">
        <f>+IFERROR(VLOOKUP(IG$6&amp;"-"&amp;$M13&amp;"_old",Ammortamento_Finanziario!$H:$L,5,FALSE),VLOOKUP($M13,TT_Tabelle_Riferimento!$H$31:$I$50,2,FALSE))</f>
        <v>12</v>
      </c>
      <c r="IH13" s="422">
        <f>+IFERROR(VLOOKUP(IH$6&amp;"-"&amp;$M13&amp;"_old",Ammortamento_Finanziario!$H:$L,5,FALSE),VLOOKUP($M13,TT_Tabelle_Riferimento!$H$31:$I$50,2,FALSE))</f>
        <v>12</v>
      </c>
      <c r="II13" s="422">
        <f>+IFERROR(VLOOKUP(II$6&amp;"-"&amp;$M13&amp;"_old",Ammortamento_Finanziario!$H:$L,5,FALSE),VLOOKUP($M13,TT_Tabelle_Riferimento!$H$31:$I$50,2,FALSE))</f>
        <v>12</v>
      </c>
      <c r="IJ13" s="422">
        <f>+IFERROR(VLOOKUP(IJ$6&amp;"-"&amp;$M13&amp;"_old",Ammortamento_Finanziario!$H:$L,5,FALSE),VLOOKUP($M13,TT_Tabelle_Riferimento!$H$31:$I$50,2,FALSE))</f>
        <v>12</v>
      </c>
      <c r="IK13" s="422">
        <f>+IFERROR(VLOOKUP(IK$6&amp;"-"&amp;$M13&amp;"_old",Ammortamento_Finanziario!$H:$L,5,FALSE),VLOOKUP($M13,TT_Tabelle_Riferimento!$H$31:$I$50,2,FALSE))</f>
        <v>12</v>
      </c>
      <c r="IL13" s="1077">
        <f>+IFERROR(VLOOKUP(IL$6&amp;"-"&amp;$M13&amp;"_old",Ammortamento_Finanziario!$H:$L,5,FALSE),VLOOKUP($M13,TT_Tabelle_Riferimento!$H$31:$I$50,2,FALSE))</f>
        <v>12</v>
      </c>
      <c r="IM13" s="1077">
        <f>+IFERROR(VLOOKUP(IM$6&amp;"-"&amp;$M13&amp;"_old",Ammortamento_Finanziario!$H:$L,5,FALSE),VLOOKUP($M13,TT_Tabelle_Riferimento!$H$31:$I$50,2,FALSE))</f>
        <v>12</v>
      </c>
      <c r="IN13" s="1747">
        <f>+IFERROR(VLOOKUP(IN$6&amp;"-"&amp;$M13&amp;"_old",Ammortamento_Finanziario!$H:$L,5,FALSE),VLOOKUP($M13,TT_Tabelle_Riferimento!$H$31:$I$50,2,FALSE))</f>
        <v>12</v>
      </c>
      <c r="IO13" s="1747">
        <f>+IFERROR(VLOOKUP(IO$6&amp;"-"&amp;$M13&amp;"_old",Ammortamento_Finanziario!$H:$L,5,FALSE),VLOOKUP($M13,TT_Tabelle_Riferimento!$H$31:$I$50,2,FALSE))</f>
        <v>12</v>
      </c>
      <c r="IP13" s="1754">
        <f>+IFERROR(VLOOKUP(IP$6&amp;"-"&amp;$M13&amp;"_old",Ammortamento_Finanziario!$H:$L,5,FALSE),VLOOKUP($M13,TT_Tabelle_Riferimento!$H$31:$I$50,2,FALSE))</f>
        <v>12</v>
      </c>
      <c r="IQ13" s="1754">
        <f>+IFERROR(VLOOKUP(IQ$6&amp;"-"&amp;$M13&amp;"_old",Ammortamento_Finanziario!$H:$L,5,FALSE),VLOOKUP($M13,TT_Tabelle_Riferimento!$H$31:$I$50,2,FALSE))</f>
        <v>12</v>
      </c>
      <c r="IR13" s="1754">
        <f>+IFERROR(VLOOKUP(IR$6&amp;"-"&amp;$M13&amp;"_old",Ammortamento_Finanziario!$H:$L,5,FALSE),VLOOKUP($M13,TT_Tabelle_Riferimento!$H$31:$I$50,2,FALSE))</f>
        <v>12</v>
      </c>
      <c r="IS13" s="1754">
        <f>+IFERROR(VLOOKUP(IS$6&amp;"-"&amp;$M13&amp;"_old",Ammortamento_Finanziario!$H:$L,5,FALSE),VLOOKUP($M13,TT_Tabelle_Riferimento!$H$31:$I$50,2,FALSE))</f>
        <v>12</v>
      </c>
      <c r="IT13" s="1754">
        <f>+IFERROR(VLOOKUP(IT$6&amp;"-"&amp;$M13&amp;"_old",Ammortamento_Finanziario!$H:$L,5,FALSE),VLOOKUP($M13,TT_Tabelle_Riferimento!$H$31:$I$50,2,FALSE))</f>
        <v>12</v>
      </c>
      <c r="IU13" s="1754">
        <f>+IFERROR(VLOOKUP(IU$6&amp;"-"&amp;$M13&amp;"_old",Ammortamento_Finanziario!$H:$L,5,FALSE),VLOOKUP($M13,TT_Tabelle_Riferimento!$H$31:$I$50,2,FALSE))</f>
        <v>12</v>
      </c>
      <c r="IV13" s="1077">
        <f>+IFERROR(VLOOKUP(IV$6&amp;"-"&amp;$M13&amp;"_old",Ammortamento_Finanziario!$H:$L,5,FALSE),VLOOKUP($M13,TT_Tabelle_Riferimento!$H$31:$I$50,2,FALSE))</f>
        <v>12</v>
      </c>
      <c r="IW13" s="1077">
        <f>+IFERROR(VLOOKUP(IW$6&amp;"-"&amp;$M13&amp;"_old",Ammortamento_Finanziario!$H:$L,5,FALSE),VLOOKUP($M13,TT_Tabelle_Riferimento!$H$31:$I$50,2,FALSE))</f>
        <v>12</v>
      </c>
      <c r="IX13" s="1077">
        <f>+IFERROR(VLOOKUP(IX$6&amp;"-"&amp;$M13&amp;"_old",Ammortamento_Finanziario!$H:$L,5,FALSE),VLOOKUP($M13,TT_Tabelle_Riferimento!$H$31:$I$50,2,FALSE))</f>
        <v>12</v>
      </c>
      <c r="IY13" s="1077">
        <f>+IFERROR(VLOOKUP(IY$6&amp;"-"&amp;$M13&amp;"_old",Ammortamento_Finanziario!$H:$L,5,FALSE),VLOOKUP($M13,TT_Tabelle_Riferimento!$H$31:$I$50,2,FALSE))</f>
        <v>12</v>
      </c>
      <c r="IZ13" s="1077">
        <f>+IFERROR(VLOOKUP(IZ$6&amp;"-"&amp;$M13&amp;"_old",Ammortamento_Finanziario!$H:$L,5,FALSE),VLOOKUP($M13,TT_Tabelle_Riferimento!$H$31:$I$50,2,FALSE))</f>
        <v>12</v>
      </c>
      <c r="JA13" s="1077">
        <f>+IFERROR(VLOOKUP(JA$6&amp;"-"&amp;$M13&amp;"_old",Ammortamento_Finanziario!$H:$L,5,FALSE),VLOOKUP($M13,TT_Tabelle_Riferimento!$H$31:$I$50,2,FALSE))</f>
        <v>12</v>
      </c>
      <c r="JB13" s="1077">
        <f>+IFERROR(VLOOKUP(JB$6&amp;"-"&amp;$M13&amp;"_old",Ammortamento_Finanziario!$H:$L,5,FALSE),VLOOKUP($M13,TT_Tabelle_Riferimento!$H$31:$I$50,2,FALSE))</f>
        <v>12</v>
      </c>
      <c r="JC13" s="1077">
        <f>+IFERROR(VLOOKUP(JC$6&amp;"-"&amp;$M13&amp;"_old",Ammortamento_Finanziario!$H:$L,5,FALSE),VLOOKUP($M13,TT_Tabelle_Riferimento!$H$31:$I$50,2,FALSE))</f>
        <v>12</v>
      </c>
      <c r="JD13" s="1077">
        <f>+IFERROR(VLOOKUP(JD$6&amp;"-"&amp;$M13&amp;"_old",Ammortamento_Finanziario!$H:$L,5,FALSE),VLOOKUP($M13,TT_Tabelle_Riferimento!$H$31:$I$50,2,FALSE))</f>
        <v>12</v>
      </c>
      <c r="JE13" s="1077">
        <f>+IFERROR(VLOOKUP(JE$6&amp;"-"&amp;$M13&amp;"_old",Ammortamento_Finanziario!$H:$L,5,FALSE),VLOOKUP($M13,TT_Tabelle_Riferimento!$H$31:$I$50,2,FALSE))</f>
        <v>12</v>
      </c>
      <c r="JF13" s="1077">
        <f>+IFERROR(VLOOKUP(JF$6&amp;"-"&amp;$M13&amp;"_old",Ammortamento_Finanziario!$H:$L,5,FALSE),VLOOKUP($M13,TT_Tabelle_Riferimento!$H$31:$I$50,2,FALSE))</f>
        <v>12</v>
      </c>
      <c r="JG13" s="1077">
        <f>+IFERROR(VLOOKUP(JG$6&amp;"-"&amp;$M13&amp;"_old",Ammortamento_Finanziario!$H:$L,5,FALSE),VLOOKUP($M13,TT_Tabelle_Riferimento!$H$31:$I$50,2,FALSE))</f>
        <v>12</v>
      </c>
      <c r="JH13" s="1077">
        <f>+IFERROR(VLOOKUP(JH$6&amp;"-"&amp;$M13&amp;"_old",Ammortamento_Finanziario!$H:$L,5,FALSE),VLOOKUP($M13,TT_Tabelle_Riferimento!$H$31:$I$50,2,FALSE))</f>
        <v>12</v>
      </c>
      <c r="JI13" s="1077">
        <f>+IFERROR(VLOOKUP(JI$6&amp;"-"&amp;$M13&amp;"_old",Ammortamento_Finanziario!$H:$L,5,FALSE),VLOOKUP($M13,TT_Tabelle_Riferimento!$H$31:$I$50,2,FALSE))</f>
        <v>12</v>
      </c>
      <c r="JJ13" s="1077">
        <f>+IFERROR(VLOOKUP(JJ$6&amp;"-"&amp;$M13&amp;"_old",Ammortamento_Finanziario!$H:$L,5,FALSE),VLOOKUP($M13,TT_Tabelle_Riferimento!$H$31:$I$50,2,FALSE))</f>
        <v>12</v>
      </c>
      <c r="JK13" s="1077">
        <f>+IFERROR(VLOOKUP(JK$6&amp;"-"&amp;$M13&amp;"_old",Ammortamento_Finanziario!$H:$L,5,FALSE),VLOOKUP($M13,TT_Tabelle_Riferimento!$H$31:$I$50,2,FALSE))</f>
        <v>12</v>
      </c>
      <c r="JL13" s="1077">
        <f>+IFERROR(VLOOKUP(JL$6&amp;"-"&amp;$M13&amp;"_old",Ammortamento_Finanziario!$H:$L,5,FALSE),VLOOKUP($M13,TT_Tabelle_Riferimento!$H$31:$I$50,2,FALSE))</f>
        <v>12</v>
      </c>
      <c r="JM13" s="1077">
        <f>+IFERROR(VLOOKUP(JM$6&amp;"-"&amp;$M13&amp;"_old",Ammortamento_Finanziario!$H:$L,5,FALSE),VLOOKUP($M13,TT_Tabelle_Riferimento!$H$31:$I$50,2,FALSE))</f>
        <v>12</v>
      </c>
      <c r="JN13" s="1077">
        <f>+IFERROR(VLOOKUP(JN$6&amp;"-"&amp;$M13&amp;"_old",Ammortamento_Finanziario!$H:$L,5,FALSE),VLOOKUP($M13,TT_Tabelle_Riferimento!$H$31:$I$50,2,FALSE))</f>
        <v>12</v>
      </c>
      <c r="JO13" s="1078">
        <f>+IFERROR(VLOOKUP(JO$6&amp;"-"&amp;$M13&amp;"_old",Ammortamento_Finanziario!$H:$L,5,FALSE),VLOOKUP($M13,TT_Tabelle_Riferimento!$H$31:$I$50,2,FALSE))</f>
        <v>12</v>
      </c>
      <c r="JP13" s="1748">
        <f>+IFERROR(VLOOKUP(JP$6&amp;"-"&amp;$M13&amp;"_old",Ammortamento_Finanziario!$H:$L,5,FALSE),VLOOKUP($M13,TT_Tabelle_Riferimento!$H$31:$I$50,2,FALSE))</f>
        <v>12</v>
      </c>
      <c r="JQ13" s="1748">
        <f>+IFERROR(VLOOKUP(JQ$6&amp;"-"&amp;$M13&amp;"_old",Ammortamento_Finanziario!$H:$L,5,FALSE),VLOOKUP($M13,TT_Tabelle_Riferimento!$H$31:$I$50,2,FALSE))</f>
        <v>12</v>
      </c>
      <c r="JR13" s="1755">
        <f>+IFERROR(VLOOKUP(JR$6&amp;"-"&amp;$M13&amp;"_old",Ammortamento_Finanziario!$H:$L,5,FALSE),VLOOKUP($M13,TT_Tabelle_Riferimento!$H$31:$I$50,2,FALSE))</f>
        <v>12</v>
      </c>
      <c r="JS13" s="1755">
        <f>+IFERROR(VLOOKUP(JS$6&amp;"-"&amp;$M13&amp;"_old",Ammortamento_Finanziario!$H:$L,5,FALSE),VLOOKUP($M13,TT_Tabelle_Riferimento!$H$31:$I$50,2,FALSE))</f>
        <v>12</v>
      </c>
      <c r="JT13" s="1755">
        <f>+IFERROR(VLOOKUP(JT$6&amp;"-"&amp;$M13&amp;"_old",Ammortamento_Finanziario!$H:$L,5,FALSE),VLOOKUP($M13,TT_Tabelle_Riferimento!$H$31:$I$50,2,FALSE))</f>
        <v>12</v>
      </c>
      <c r="JU13" s="1755">
        <f>+IFERROR(VLOOKUP(JU$6&amp;"-"&amp;$M13&amp;"_old",Ammortamento_Finanziario!$H:$L,5,FALSE),VLOOKUP($M13,TT_Tabelle_Riferimento!$H$31:$I$50,2,FALSE))</f>
        <v>12</v>
      </c>
      <c r="JV13" s="1755">
        <f>+IFERROR(VLOOKUP(JV$6&amp;"-"&amp;$M13&amp;"_old",Ammortamento_Finanziario!$H:$L,5,FALSE),VLOOKUP($M13,TT_Tabelle_Riferimento!$H$31:$I$50,2,FALSE))</f>
        <v>12</v>
      </c>
      <c r="JW13" s="1755">
        <f>+IFERROR(VLOOKUP(JW$6&amp;"-"&amp;$M13&amp;"_old",Ammortamento_Finanziario!$H:$L,5,FALSE),VLOOKUP($M13,TT_Tabelle_Riferimento!$H$31:$I$50,2,FALSE))</f>
        <v>12</v>
      </c>
      <c r="JX13" s="1078">
        <f>+IFERROR(VLOOKUP(JX$6&amp;"-"&amp;$M13&amp;"_old",Ammortamento_Finanziario!$H:$L,5,FALSE),VLOOKUP($M13,TT_Tabelle_Riferimento!$H$31:$I$50,2,FALSE))</f>
        <v>12</v>
      </c>
      <c r="JY13" s="1078">
        <f>+IFERROR(VLOOKUP(JY$6&amp;"-"&amp;$M13&amp;"_old",Ammortamento_Finanziario!$H:$L,5,FALSE),VLOOKUP($M13,TT_Tabelle_Riferimento!$H$31:$I$50,2,FALSE))</f>
        <v>12</v>
      </c>
      <c r="JZ13" s="1078">
        <f>+IFERROR(VLOOKUP(JZ$6&amp;"-"&amp;$M13&amp;"_old",Ammortamento_Finanziario!$H:$L,5,FALSE),VLOOKUP($M13,TT_Tabelle_Riferimento!$H$31:$I$50,2,FALSE))</f>
        <v>12</v>
      </c>
      <c r="KA13" s="1078">
        <f>+IFERROR(VLOOKUP(KA$6&amp;"-"&amp;$M13&amp;"_old",Ammortamento_Finanziario!$H:$L,5,FALSE),VLOOKUP($M13,TT_Tabelle_Riferimento!$H$31:$I$50,2,FALSE))</f>
        <v>12</v>
      </c>
      <c r="KB13" s="1078">
        <f>+IFERROR(VLOOKUP(KB$6&amp;"-"&amp;$M13&amp;"_old",Ammortamento_Finanziario!$H:$L,5,FALSE),VLOOKUP($M13,TT_Tabelle_Riferimento!$H$31:$I$50,2,FALSE))</f>
        <v>12</v>
      </c>
      <c r="KC13" s="1078">
        <f>+IFERROR(VLOOKUP(KC$6&amp;"-"&amp;$M13&amp;"_old",Ammortamento_Finanziario!$H:$L,5,FALSE),VLOOKUP($M13,TT_Tabelle_Riferimento!$H$31:$I$50,2,FALSE))</f>
        <v>12</v>
      </c>
      <c r="KD13" s="1078">
        <f>+IFERROR(VLOOKUP(KD$6&amp;"-"&amp;$M13&amp;"_old",Ammortamento_Finanziario!$H:$L,5,FALSE),VLOOKUP($M13,TT_Tabelle_Riferimento!$H$31:$I$50,2,FALSE))</f>
        <v>12</v>
      </c>
      <c r="KE13" s="1078">
        <f>+IFERROR(VLOOKUP(KE$6&amp;"-"&amp;$M13&amp;"_old",Ammortamento_Finanziario!$H:$L,5,FALSE),VLOOKUP($M13,TT_Tabelle_Riferimento!$H$31:$I$50,2,FALSE))</f>
        <v>12</v>
      </c>
      <c r="KF13" s="1078">
        <f>+IFERROR(VLOOKUP(KF$6&amp;"-"&amp;$M13&amp;"_old",Ammortamento_Finanziario!$H:$L,5,FALSE),VLOOKUP($M13,TT_Tabelle_Riferimento!$H$31:$I$50,2,FALSE))</f>
        <v>12</v>
      </c>
      <c r="KG13" s="1078">
        <f>+IFERROR(VLOOKUP(KG$6&amp;"-"&amp;$M13&amp;"_old",Ammortamento_Finanziario!$H:$L,5,FALSE),VLOOKUP($M13,TT_Tabelle_Riferimento!$H$31:$I$50,2,FALSE))</f>
        <v>12</v>
      </c>
      <c r="KH13" s="1078">
        <f>+IFERROR(VLOOKUP(KH$6&amp;"-"&amp;$M13&amp;"_old",Ammortamento_Finanziario!$H:$L,5,FALSE),VLOOKUP($M13,TT_Tabelle_Riferimento!$H$31:$I$50,2,FALSE))</f>
        <v>12</v>
      </c>
      <c r="KI13" s="1078">
        <f>+IFERROR(VLOOKUP(KI$6&amp;"-"&amp;$M13&amp;"_old",Ammortamento_Finanziario!$H:$L,5,FALSE),VLOOKUP($M13,TT_Tabelle_Riferimento!$H$31:$I$50,2,FALSE))</f>
        <v>12</v>
      </c>
      <c r="KJ13" s="1078">
        <f>+IFERROR(VLOOKUP(KJ$6&amp;"-"&amp;$M13&amp;"_old",Ammortamento_Finanziario!$H:$L,5,FALSE),VLOOKUP($M13,TT_Tabelle_Riferimento!$H$31:$I$50,2,FALSE))</f>
        <v>12</v>
      </c>
      <c r="KK13" s="1078">
        <f>+IFERROR(VLOOKUP(KK$6&amp;"-"&amp;$M13&amp;"_old",Ammortamento_Finanziario!$H:$L,5,FALSE),VLOOKUP($M13,TT_Tabelle_Riferimento!$H$31:$I$50,2,FALSE))</f>
        <v>12</v>
      </c>
      <c r="KL13" s="1078">
        <f>+IFERROR(VLOOKUP(KL$6&amp;"-"&amp;$M13&amp;"_old",Ammortamento_Finanziario!$H:$L,5,FALSE),VLOOKUP($M13,TT_Tabelle_Riferimento!$H$31:$I$50,2,FALSE))</f>
        <v>12</v>
      </c>
      <c r="KM13" s="1078">
        <f>+IFERROR(VLOOKUP(KM$6&amp;"-"&amp;$M13&amp;"_old",Ammortamento_Finanziario!$H:$L,5,FALSE),VLOOKUP($M13,TT_Tabelle_Riferimento!$H$31:$I$50,2,FALSE))</f>
        <v>12</v>
      </c>
      <c r="KN13" s="1078">
        <f>+IFERROR(VLOOKUP(KN$6&amp;"-"&amp;$M13&amp;"_old",Ammortamento_Finanziario!$H:$L,5,FALSE),VLOOKUP($M13,TT_Tabelle_Riferimento!$H$31:$I$50,2,FALSE))</f>
        <v>12</v>
      </c>
      <c r="KO13" s="1078">
        <f>+IFERROR(VLOOKUP(KO$6&amp;"-"&amp;$M13&amp;"_old",Ammortamento_Finanziario!$H:$L,5,FALSE),VLOOKUP($M13,TT_Tabelle_Riferimento!$H$31:$I$50,2,FALSE))</f>
        <v>12</v>
      </c>
      <c r="KP13" s="1078">
        <f>+IFERROR(VLOOKUP(KP$6&amp;"-"&amp;$M13&amp;"_old",Ammortamento_Finanziario!$H:$L,5,FALSE),VLOOKUP($M13,TT_Tabelle_Riferimento!$H$31:$I$50,2,FALSE))</f>
        <v>12</v>
      </c>
      <c r="KQ13" s="1748">
        <f>+IFERROR(VLOOKUP(KQ$6&amp;"-"&amp;$M13&amp;"_old",Ammortamento_Finanziario!$H:$L,5,FALSE),VLOOKUP($M13,TT_Tabelle_Riferimento!$H$31:$I$50,2,FALSE))</f>
        <v>12</v>
      </c>
      <c r="KR13" s="1748">
        <f>+IFERROR(VLOOKUP(KR$6&amp;"-"&amp;$M13&amp;"_old",Ammortamento_Finanziario!$H:$L,5,FALSE),VLOOKUP($M13,TT_Tabelle_Riferimento!$H$31:$I$50,2,FALSE))</f>
        <v>12</v>
      </c>
      <c r="KS13" s="1755">
        <f>+IFERROR(VLOOKUP(KS$6&amp;"-"&amp;$M13&amp;"_old",Ammortamento_Finanziario!$H:$L,5,FALSE),VLOOKUP($M13,TT_Tabelle_Riferimento!$H$31:$I$50,2,FALSE))</f>
        <v>12</v>
      </c>
      <c r="KT13" s="1755">
        <f>+IFERROR(VLOOKUP(KT$6&amp;"-"&amp;$M13&amp;"_old",Ammortamento_Finanziario!$H:$L,5,FALSE),VLOOKUP($M13,TT_Tabelle_Riferimento!$H$31:$I$50,2,FALSE))</f>
        <v>12</v>
      </c>
      <c r="KU13" s="1755">
        <f>+IFERROR(VLOOKUP(KU$6&amp;"-"&amp;$M13&amp;"_old",Ammortamento_Finanziario!$H:$L,5,FALSE),VLOOKUP($M13,TT_Tabelle_Riferimento!$H$31:$I$50,2,FALSE))</f>
        <v>12</v>
      </c>
      <c r="KV13" s="1755">
        <f>+IFERROR(VLOOKUP(KV$6&amp;"-"&amp;$M13&amp;"_old",Ammortamento_Finanziario!$H:$L,5,FALSE),VLOOKUP($M13,TT_Tabelle_Riferimento!$H$31:$I$50,2,FALSE))</f>
        <v>12</v>
      </c>
      <c r="KW13" s="1755">
        <f>+IFERROR(VLOOKUP(KW$6&amp;"-"&amp;$M13&amp;"_old",Ammortamento_Finanziario!$H:$L,5,FALSE),VLOOKUP($M13,TT_Tabelle_Riferimento!$H$31:$I$50,2,FALSE))</f>
        <v>12</v>
      </c>
      <c r="KX13" s="1755">
        <f>+IFERROR(VLOOKUP(KX$6&amp;"-"&amp;$M13&amp;"_old",Ammortamento_Finanziario!$H:$L,5,FALSE),VLOOKUP($M13,TT_Tabelle_Riferimento!$H$31:$I$50,2,FALSE))</f>
        <v>12</v>
      </c>
      <c r="KY13" s="1078">
        <f>+IFERROR(VLOOKUP(KY$6&amp;"-"&amp;$M13&amp;"_old",Ammortamento_Finanziario!$H:$L,5,FALSE),VLOOKUP($M13,TT_Tabelle_Riferimento!$H$31:$I$50,2,FALSE))</f>
        <v>12</v>
      </c>
      <c r="KZ13" s="1078">
        <f>+IFERROR(VLOOKUP(KZ$6&amp;"-"&amp;$M13&amp;"_old",Ammortamento_Finanziario!$H:$L,5,FALSE),VLOOKUP($M13,TT_Tabelle_Riferimento!$H$31:$I$50,2,FALSE))</f>
        <v>12</v>
      </c>
      <c r="LA13" s="1078">
        <f>+IFERROR(VLOOKUP(LA$6&amp;"-"&amp;$M13&amp;"_old",Ammortamento_Finanziario!$H:$L,5,FALSE),VLOOKUP($M13,TT_Tabelle_Riferimento!$H$31:$I$50,2,FALSE))</f>
        <v>12</v>
      </c>
      <c r="LB13" s="1078">
        <f>+IFERROR(VLOOKUP(LB$6&amp;"-"&amp;$M13&amp;"_old",Ammortamento_Finanziario!$H:$L,5,FALSE),VLOOKUP($M13,TT_Tabelle_Riferimento!$H$31:$I$50,2,FALSE))</f>
        <v>12</v>
      </c>
      <c r="LC13" s="1078">
        <f>+IFERROR(VLOOKUP(LC$6&amp;"-"&amp;$M13&amp;"_old",Ammortamento_Finanziario!$H:$L,5,FALSE),VLOOKUP($M13,TT_Tabelle_Riferimento!$H$31:$I$50,2,FALSE))</f>
        <v>12</v>
      </c>
      <c r="LD13" s="1078">
        <f>+IFERROR(VLOOKUP(LD$6&amp;"-"&amp;$M13&amp;"_old",Ammortamento_Finanziario!$H:$L,5,FALSE),VLOOKUP($M13,TT_Tabelle_Riferimento!$H$31:$I$50,2,FALSE))</f>
        <v>12</v>
      </c>
      <c r="LE13" s="1078">
        <f>+IFERROR(VLOOKUP(LE$6&amp;"-"&amp;$M13&amp;"_old",Ammortamento_Finanziario!$H:$L,5,FALSE),VLOOKUP($M13,TT_Tabelle_Riferimento!$H$31:$I$50,2,FALSE))</f>
        <v>12</v>
      </c>
      <c r="LF13" s="1078">
        <f>+IFERROR(VLOOKUP(LF$6&amp;"-"&amp;$M13&amp;"_old",Ammortamento_Finanziario!$H:$L,5,FALSE),VLOOKUP($M13,TT_Tabelle_Riferimento!$H$31:$I$50,2,FALSE))</f>
        <v>12</v>
      </c>
      <c r="LG13" s="1078">
        <f>+IFERROR(VLOOKUP(LG$6&amp;"-"&amp;$M13&amp;"_old",Ammortamento_Finanziario!$H:$L,5,FALSE),VLOOKUP($M13,TT_Tabelle_Riferimento!$H$31:$I$50,2,FALSE))</f>
        <v>12</v>
      </c>
      <c r="LH13" s="1078">
        <f>+IFERROR(VLOOKUP(LH$6&amp;"-"&amp;$M13&amp;"_old",Ammortamento_Finanziario!$H:$L,5,FALSE),VLOOKUP($M13,TT_Tabelle_Riferimento!$H$31:$I$50,2,FALSE))</f>
        <v>12</v>
      </c>
      <c r="LI13" s="1078">
        <f>+IFERROR(VLOOKUP(LI$6&amp;"-"&amp;$M13&amp;"_old",Ammortamento_Finanziario!$H:$L,5,FALSE),VLOOKUP($M13,TT_Tabelle_Riferimento!$H$31:$I$50,2,FALSE))</f>
        <v>12</v>
      </c>
      <c r="LJ13" s="1078">
        <f>+IFERROR(VLOOKUP(LJ$6&amp;"-"&amp;$M13&amp;"_old",Ammortamento_Finanziario!$H:$L,5,FALSE),VLOOKUP($M13,TT_Tabelle_Riferimento!$H$31:$I$50,2,FALSE))</f>
        <v>12</v>
      </c>
      <c r="LK13" s="1078">
        <f>+IFERROR(VLOOKUP(LK$6&amp;"-"&amp;$M13&amp;"_old",Ammortamento_Finanziario!$H:$L,5,FALSE),VLOOKUP($M13,TT_Tabelle_Riferimento!$H$31:$I$50,2,FALSE))</f>
        <v>12</v>
      </c>
      <c r="LL13" s="1078">
        <f>+IFERROR(VLOOKUP(LL$6&amp;"-"&amp;$M13&amp;"_old",Ammortamento_Finanziario!$H:$L,5,FALSE),VLOOKUP($M13,TT_Tabelle_Riferimento!$H$31:$I$50,2,FALSE))</f>
        <v>12</v>
      </c>
      <c r="LM13" s="1078">
        <f>+IFERROR(VLOOKUP(LM$6&amp;"-"&amp;$M13&amp;"_old",Ammortamento_Finanziario!$H:$L,5,FALSE),VLOOKUP($M13,TT_Tabelle_Riferimento!$H$31:$I$50,2,FALSE))</f>
        <v>12</v>
      </c>
      <c r="LN13" s="1078">
        <f>+IFERROR(VLOOKUP(LN$6&amp;"-"&amp;$M13&amp;"_old",Ammortamento_Finanziario!$H:$L,5,FALSE),VLOOKUP($M13,TT_Tabelle_Riferimento!$H$31:$I$50,2,FALSE))</f>
        <v>12</v>
      </c>
      <c r="LO13" s="1078">
        <f>+IFERROR(VLOOKUP(LO$6&amp;"-"&amp;$M13&amp;"_old",Ammortamento_Finanziario!$H:$L,5,FALSE),VLOOKUP($M13,TT_Tabelle_Riferimento!$H$31:$I$50,2,FALSE))</f>
        <v>12</v>
      </c>
      <c r="LP13" s="1078">
        <f>+IFERROR(VLOOKUP(LP$6&amp;"-"&amp;$M13&amp;"_old",Ammortamento_Finanziario!$H:$L,5,FALSE),VLOOKUP($M13,TT_Tabelle_Riferimento!$H$31:$I$50,2,FALSE))</f>
        <v>12</v>
      </c>
      <c r="LQ13" s="1078">
        <f>+IFERROR(VLOOKUP(LQ$6&amp;"-"&amp;$M13&amp;"_old",Ammortamento_Finanziario!$H:$L,5,FALSE),VLOOKUP($M13,TT_Tabelle_Riferimento!$H$31:$I$50,2,FALSE))</f>
        <v>12</v>
      </c>
      <c r="LR13" s="1748">
        <f>+IFERROR(VLOOKUP(LR$6&amp;"-"&amp;$M13&amp;"_old",Ammortamento_Finanziario!$H:$L,5,FALSE),VLOOKUP($M13,TT_Tabelle_Riferimento!$H$31:$I$50,2,FALSE))</f>
        <v>12</v>
      </c>
      <c r="LS13" s="1755">
        <f>+IFERROR(VLOOKUP(LS$6&amp;"-"&amp;$M13&amp;"_old",Ammortamento_Finanziario!$H:$L,5,FALSE),VLOOKUP($M13,TT_Tabelle_Riferimento!$H$31:$I$50,2,FALSE))</f>
        <v>12</v>
      </c>
      <c r="LT13" s="1755">
        <f>+IFERROR(VLOOKUP(LT$6&amp;"-"&amp;$M13&amp;"_old",Ammortamento_Finanziario!$H:$L,5,FALSE),VLOOKUP($M13,TT_Tabelle_Riferimento!$H$31:$I$50,2,FALSE))</f>
        <v>12</v>
      </c>
      <c r="LU13" s="1755">
        <f>+IFERROR(VLOOKUP(LU$6&amp;"-"&amp;$M13&amp;"_old",Ammortamento_Finanziario!$H:$L,5,FALSE),VLOOKUP($M13,TT_Tabelle_Riferimento!$H$31:$I$50,2,FALSE))</f>
        <v>12</v>
      </c>
      <c r="LV13" s="1755">
        <f>+IFERROR(VLOOKUP(LV$6&amp;"-"&amp;$M13&amp;"_old",Ammortamento_Finanziario!$H:$L,5,FALSE),VLOOKUP($M13,TT_Tabelle_Riferimento!$H$31:$I$50,2,FALSE))</f>
        <v>12</v>
      </c>
      <c r="LW13" s="1755">
        <f>+IFERROR(VLOOKUP(LW$6&amp;"-"&amp;$M13&amp;"_old",Ammortamento_Finanziario!$H:$L,5,FALSE),VLOOKUP($M13,TT_Tabelle_Riferimento!$H$31:$I$50,2,FALSE))</f>
        <v>12</v>
      </c>
      <c r="LX13" s="1755">
        <f>+IFERROR(VLOOKUP(LX$6&amp;"-"&amp;$M13&amp;"_old",Ammortamento_Finanziario!$H:$L,5,FALSE),VLOOKUP($M13,TT_Tabelle_Riferimento!$H$31:$I$50,2,FALSE))</f>
        <v>12</v>
      </c>
      <c r="LY13" s="1078">
        <f>+IFERROR(VLOOKUP(LY$6&amp;"-"&amp;$M13&amp;"_old",Ammortamento_Finanziario!$H:$L,5,FALSE),VLOOKUP($M13,TT_Tabelle_Riferimento!$H$31:$I$50,2,FALSE))</f>
        <v>12</v>
      </c>
      <c r="LZ13" s="1078">
        <f>+IFERROR(VLOOKUP(LZ$6&amp;"-"&amp;$M13&amp;"_old",Ammortamento_Finanziario!$H:$L,5,FALSE),VLOOKUP($M13,TT_Tabelle_Riferimento!$H$31:$I$50,2,FALSE))</f>
        <v>12</v>
      </c>
      <c r="MA13" s="1078">
        <f>+IFERROR(VLOOKUP(MA$6&amp;"-"&amp;$M13&amp;"_old",Ammortamento_Finanziario!$H:$L,5,FALSE),VLOOKUP($M13,TT_Tabelle_Riferimento!$H$31:$I$50,2,FALSE))</f>
        <v>12</v>
      </c>
      <c r="MB13" s="1078">
        <f>+IFERROR(VLOOKUP(MB$6&amp;"-"&amp;$M13&amp;"_old",Ammortamento_Finanziario!$H:$L,5,FALSE),VLOOKUP($M13,TT_Tabelle_Riferimento!$H$31:$I$50,2,FALSE))</f>
        <v>12</v>
      </c>
      <c r="MC13" s="1078">
        <f>+IFERROR(VLOOKUP(MC$6&amp;"-"&amp;$M13&amp;"_old",Ammortamento_Finanziario!$H:$L,5,FALSE),VLOOKUP($M13,TT_Tabelle_Riferimento!$H$31:$I$50,2,FALSE))</f>
        <v>12</v>
      </c>
      <c r="MD13" s="1078">
        <f>+IFERROR(VLOOKUP(MD$6&amp;"-"&amp;$M13&amp;"_old",Ammortamento_Finanziario!$H:$L,5,FALSE),VLOOKUP($M13,TT_Tabelle_Riferimento!$H$31:$I$50,2,FALSE))</f>
        <v>12</v>
      </c>
      <c r="ME13" s="1078">
        <f>+IFERROR(VLOOKUP(ME$6&amp;"-"&amp;$M13&amp;"_old",Ammortamento_Finanziario!$H:$L,5,FALSE),VLOOKUP($M13,TT_Tabelle_Riferimento!$H$31:$I$50,2,FALSE))</f>
        <v>12</v>
      </c>
      <c r="MF13" s="1078">
        <f>+IFERROR(VLOOKUP(MF$6&amp;"-"&amp;$M13&amp;"_old",Ammortamento_Finanziario!$H:$L,5,FALSE),VLOOKUP($M13,TT_Tabelle_Riferimento!$H$31:$I$50,2,FALSE))</f>
        <v>12</v>
      </c>
      <c r="MG13" s="1078">
        <f>+IFERROR(VLOOKUP(MG$6&amp;"-"&amp;$M13&amp;"_old",Ammortamento_Finanziario!$H:$L,5,FALSE),VLOOKUP($M13,TT_Tabelle_Riferimento!$H$31:$I$50,2,FALSE))</f>
        <v>12</v>
      </c>
      <c r="MH13" s="1078">
        <f>+IFERROR(VLOOKUP(MH$6&amp;"-"&amp;$M13&amp;"_old",Ammortamento_Finanziario!$H:$L,5,FALSE),VLOOKUP($M13,TT_Tabelle_Riferimento!$H$31:$I$50,2,FALSE))</f>
        <v>12</v>
      </c>
      <c r="MI13" s="1078">
        <f>+IFERROR(VLOOKUP(MI$6&amp;"-"&amp;$M13&amp;"_old",Ammortamento_Finanziario!$H:$L,5,FALSE),VLOOKUP($M13,TT_Tabelle_Riferimento!$H$31:$I$50,2,FALSE))</f>
        <v>12</v>
      </c>
      <c r="MJ13" s="1078">
        <f>+IFERROR(VLOOKUP(MJ$6&amp;"-"&amp;$M13&amp;"_old",Ammortamento_Finanziario!$H:$L,5,FALSE),VLOOKUP($M13,TT_Tabelle_Riferimento!$H$31:$I$50,2,FALSE))</f>
        <v>12</v>
      </c>
      <c r="MK13" s="1078">
        <f>+IFERROR(VLOOKUP(MK$6&amp;"-"&amp;$M13&amp;"_old",Ammortamento_Finanziario!$H:$L,5,FALSE),VLOOKUP($M13,TT_Tabelle_Riferimento!$H$31:$I$50,2,FALSE))</f>
        <v>12</v>
      </c>
      <c r="ML13" s="1078">
        <f>+IFERROR(VLOOKUP(ML$6&amp;"-"&amp;$M13&amp;"_old",Ammortamento_Finanziario!$H:$L,5,FALSE),VLOOKUP($M13,TT_Tabelle_Riferimento!$H$31:$I$50,2,FALSE))</f>
        <v>12</v>
      </c>
      <c r="MM13" s="1078">
        <f>+IFERROR(VLOOKUP(MM$6&amp;"-"&amp;$M13&amp;"_old",Ammortamento_Finanziario!$H:$L,5,FALSE),VLOOKUP($M13,TT_Tabelle_Riferimento!$H$31:$I$50,2,FALSE))</f>
        <v>12</v>
      </c>
      <c r="MN13" s="1078">
        <f>+IFERROR(VLOOKUP(MN$6&amp;"-"&amp;$M13&amp;"_old",Ammortamento_Finanziario!$H:$L,5,FALSE),VLOOKUP($M13,TT_Tabelle_Riferimento!$H$31:$I$50,2,FALSE))</f>
        <v>12</v>
      </c>
      <c r="MO13" s="1078">
        <f>+IFERROR(VLOOKUP(MO$6&amp;"-"&amp;$M13&amp;"_old",Ammortamento_Finanziario!$H:$L,5,FALSE),VLOOKUP($M13,TT_Tabelle_Riferimento!$H$31:$I$50,2,FALSE))</f>
        <v>12</v>
      </c>
      <c r="MP13" s="1078">
        <f>+IFERROR(VLOOKUP(MP$6&amp;"-"&amp;$M13&amp;"_old",Ammortamento_Finanziario!$H:$L,5,FALSE),VLOOKUP($M13,TT_Tabelle_Riferimento!$H$31:$I$50,2,FALSE))</f>
        <v>12</v>
      </c>
      <c r="MQ13" s="1078">
        <f>+IFERROR(VLOOKUP(MQ$6&amp;"-"&amp;$M13&amp;"_old",Ammortamento_Finanziario!$H:$L,5,FALSE),VLOOKUP($M13,TT_Tabelle_Riferimento!$H$31:$I$50,2,FALSE))</f>
        <v>12</v>
      </c>
      <c r="MR13" s="1755">
        <f>+IFERROR(VLOOKUP(MR$6&amp;"-"&amp;$M13&amp;"_old",Ammortamento_Finanziario!$H:$L,5,FALSE),VLOOKUP($M13,TT_Tabelle_Riferimento!$H$31:$I$50,2,FALSE))</f>
        <v>12</v>
      </c>
      <c r="MS13" s="1755">
        <f>+IFERROR(VLOOKUP(MS$6&amp;"-"&amp;$M13&amp;"_old",Ammortamento_Finanziario!$H:$L,5,FALSE),VLOOKUP($M13,TT_Tabelle_Riferimento!$H$31:$I$50,2,FALSE))</f>
        <v>12</v>
      </c>
      <c r="MT13" s="1755">
        <f>+IFERROR(VLOOKUP(MT$6&amp;"-"&amp;$M13&amp;"_old",Ammortamento_Finanziario!$H:$L,5,FALSE),VLOOKUP($M13,TT_Tabelle_Riferimento!$H$31:$I$50,2,FALSE))</f>
        <v>12</v>
      </c>
      <c r="MU13" s="1755">
        <f>+IFERROR(VLOOKUP(MU$6&amp;"-"&amp;$M13&amp;"_old",Ammortamento_Finanziario!$H:$L,5,FALSE),VLOOKUP($M13,TT_Tabelle_Riferimento!$H$31:$I$50,2,FALSE))</f>
        <v>12</v>
      </c>
      <c r="MV13" s="1755">
        <f>+IFERROR(VLOOKUP(MV$6&amp;"-"&amp;$M13&amp;"_old",Ammortamento_Finanziario!$H:$L,5,FALSE),VLOOKUP($M13,TT_Tabelle_Riferimento!$H$31:$I$50,2,FALSE))</f>
        <v>12</v>
      </c>
      <c r="MW13" s="1755">
        <f>+IFERROR(VLOOKUP(MW$6&amp;"-"&amp;$M13&amp;"_old",Ammortamento_Finanziario!$H:$L,5,FALSE),VLOOKUP($M13,TT_Tabelle_Riferimento!$H$31:$I$50,2,FALSE))</f>
        <v>12</v>
      </c>
      <c r="MX13" s="1078">
        <f>+IFERROR(VLOOKUP(MX$6&amp;"-"&amp;$M13&amp;"_old",Ammortamento_Finanziario!$H:$L,5,FALSE),VLOOKUP($M13,TT_Tabelle_Riferimento!$H$31:$I$50,2,FALSE))</f>
        <v>12</v>
      </c>
      <c r="MY13" s="1078">
        <f>+IFERROR(VLOOKUP(MY$6&amp;"-"&amp;$M13&amp;"_old",Ammortamento_Finanziario!$H:$L,5,FALSE),VLOOKUP($M13,TT_Tabelle_Riferimento!$H$31:$I$50,2,FALSE))</f>
        <v>12</v>
      </c>
      <c r="MZ13" s="1078">
        <f>+IFERROR(VLOOKUP(MZ$6&amp;"-"&amp;$M13&amp;"_old",Ammortamento_Finanziario!$H:$L,5,FALSE),VLOOKUP($M13,TT_Tabelle_Riferimento!$H$31:$I$50,2,FALSE))</f>
        <v>12</v>
      </c>
      <c r="NA13" s="1078">
        <f>+IFERROR(VLOOKUP(NA$6&amp;"-"&amp;$M13&amp;"_old",Ammortamento_Finanziario!$H:$L,5,FALSE),VLOOKUP($M13,TT_Tabelle_Riferimento!$H$31:$I$50,2,FALSE))</f>
        <v>12</v>
      </c>
      <c r="NB13" s="1078">
        <f>+IFERROR(VLOOKUP(NB$6&amp;"-"&amp;$M13&amp;"_old",Ammortamento_Finanziario!$H:$L,5,FALSE),VLOOKUP($M13,TT_Tabelle_Riferimento!$H$31:$I$50,2,FALSE))</f>
        <v>12</v>
      </c>
      <c r="NC13" s="1078">
        <f>+IFERROR(VLOOKUP(NC$6&amp;"-"&amp;$M13&amp;"_old",Ammortamento_Finanziario!$H:$L,5,FALSE),VLOOKUP($M13,TT_Tabelle_Riferimento!$H$31:$I$50,2,FALSE))</f>
        <v>12</v>
      </c>
      <c r="ND13" s="1078">
        <f>+IFERROR(VLOOKUP(ND$6&amp;"-"&amp;$M13&amp;"_old",Ammortamento_Finanziario!$H:$L,5,FALSE),VLOOKUP($M13,TT_Tabelle_Riferimento!$H$31:$I$50,2,FALSE))</f>
        <v>12</v>
      </c>
      <c r="NE13" s="1078">
        <f>+IFERROR(VLOOKUP(NE$6&amp;"-"&amp;$M13&amp;"_old",Ammortamento_Finanziario!$H:$L,5,FALSE),VLOOKUP($M13,TT_Tabelle_Riferimento!$H$31:$I$50,2,FALSE))</f>
        <v>12</v>
      </c>
      <c r="NF13" s="1078">
        <f>+IFERROR(VLOOKUP(NF$6&amp;"-"&amp;$M13&amp;"_old",Ammortamento_Finanziario!$H:$L,5,FALSE),VLOOKUP($M13,TT_Tabelle_Riferimento!$H$31:$I$50,2,FALSE))</f>
        <v>12</v>
      </c>
      <c r="NG13" s="1078">
        <f>+IFERROR(VLOOKUP(NG$6&amp;"-"&amp;$M13&amp;"_old",Ammortamento_Finanziario!$H:$L,5,FALSE),VLOOKUP($M13,TT_Tabelle_Riferimento!$H$31:$I$50,2,FALSE))</f>
        <v>12</v>
      </c>
      <c r="NH13" s="1078">
        <f>+IFERROR(VLOOKUP(NH$6&amp;"-"&amp;$M13&amp;"_old",Ammortamento_Finanziario!$H:$L,5,FALSE),VLOOKUP($M13,TT_Tabelle_Riferimento!$H$31:$I$50,2,FALSE))</f>
        <v>12</v>
      </c>
      <c r="NI13" s="1078">
        <f>+IFERROR(VLOOKUP(NI$6&amp;"-"&amp;$M13&amp;"_old",Ammortamento_Finanziario!$H:$L,5,FALSE),VLOOKUP($M13,TT_Tabelle_Riferimento!$H$31:$I$50,2,FALSE))</f>
        <v>12</v>
      </c>
      <c r="NJ13" s="1078">
        <f>+IFERROR(VLOOKUP(NJ$6&amp;"-"&amp;$M13&amp;"_old",Ammortamento_Finanziario!$H:$L,5,FALSE),VLOOKUP($M13,TT_Tabelle_Riferimento!$H$31:$I$50,2,FALSE))</f>
        <v>12</v>
      </c>
      <c r="NK13" s="1078">
        <f>+IFERROR(VLOOKUP(NK$6&amp;"-"&amp;$M13&amp;"_old",Ammortamento_Finanziario!$H:$L,5,FALSE),VLOOKUP($M13,TT_Tabelle_Riferimento!$H$31:$I$50,2,FALSE))</f>
        <v>12</v>
      </c>
      <c r="NL13" s="1078">
        <f>+IFERROR(VLOOKUP(NL$6&amp;"-"&amp;$M13&amp;"_old",Ammortamento_Finanziario!$H:$L,5,FALSE),VLOOKUP($M13,TT_Tabelle_Riferimento!$H$31:$I$50,2,FALSE))</f>
        <v>12</v>
      </c>
      <c r="NM13" s="1078">
        <f>+IFERROR(VLOOKUP(NM$6&amp;"-"&amp;$M13&amp;"_old",Ammortamento_Finanziario!$H:$L,5,FALSE),VLOOKUP($M13,TT_Tabelle_Riferimento!$H$31:$I$50,2,FALSE))</f>
        <v>12</v>
      </c>
      <c r="NN13" s="1078">
        <f>+IFERROR(VLOOKUP(NN$6&amp;"-"&amp;$M13&amp;"_old",Ammortamento_Finanziario!$H:$L,5,FALSE),VLOOKUP($M13,TT_Tabelle_Riferimento!$H$31:$I$50,2,FALSE))</f>
        <v>12</v>
      </c>
      <c r="NO13" s="1078">
        <f>+IFERROR(VLOOKUP(NO$6&amp;"-"&amp;$M13&amp;"_old",Ammortamento_Finanziario!$H:$L,5,FALSE),VLOOKUP($M13,TT_Tabelle_Riferimento!$H$31:$I$50,2,FALSE))</f>
        <v>12</v>
      </c>
      <c r="NP13" s="1078">
        <f>+IFERROR(VLOOKUP(NP$6&amp;"-"&amp;$M13&amp;"_old",Ammortamento_Finanziario!$H:$L,5,FALSE),VLOOKUP($M13,TT_Tabelle_Riferimento!$H$31:$I$50,2,FALSE))</f>
        <v>12</v>
      </c>
      <c r="NQ13" s="1755">
        <f>+IFERROR(VLOOKUP(NQ$6&amp;"-"&amp;$M13&amp;"_old",Ammortamento_Finanziario!$H:$L,5,FALSE),VLOOKUP($M13,TT_Tabelle_Riferimento!$H$31:$I$50,2,FALSE))</f>
        <v>12</v>
      </c>
      <c r="NR13" s="1755">
        <f>+IFERROR(VLOOKUP(NR$6&amp;"-"&amp;$M13&amp;"_old",Ammortamento_Finanziario!$H:$L,5,FALSE),VLOOKUP($M13,TT_Tabelle_Riferimento!$H$31:$I$50,2,FALSE))</f>
        <v>12</v>
      </c>
      <c r="NS13" s="1755">
        <f>+IFERROR(VLOOKUP(NS$6&amp;"-"&amp;$M13&amp;"_old",Ammortamento_Finanziario!$H:$L,5,FALSE),VLOOKUP($M13,TT_Tabelle_Riferimento!$H$31:$I$50,2,FALSE))</f>
        <v>12</v>
      </c>
      <c r="NT13" s="1755">
        <f>+IFERROR(VLOOKUP(NT$6&amp;"-"&amp;$M13&amp;"_old",Ammortamento_Finanziario!$H:$L,5,FALSE),VLOOKUP($M13,TT_Tabelle_Riferimento!$H$31:$I$50,2,FALSE))</f>
        <v>12</v>
      </c>
      <c r="NU13" s="1755">
        <f>+IFERROR(VLOOKUP(NU$6&amp;"-"&amp;$M13&amp;"_old",Ammortamento_Finanziario!$H:$L,5,FALSE),VLOOKUP($M13,TT_Tabelle_Riferimento!$H$31:$I$50,2,FALSE))</f>
        <v>12</v>
      </c>
      <c r="NV13" s="1078">
        <f>+IFERROR(VLOOKUP(NV$6&amp;"-"&amp;$M13&amp;"_old",Ammortamento_Finanziario!$H:$L,5,FALSE),VLOOKUP($M13,TT_Tabelle_Riferimento!$H$31:$I$50,2,FALSE))</f>
        <v>12</v>
      </c>
      <c r="NW13" s="1078">
        <f>+IFERROR(VLOOKUP(NW$6&amp;"-"&amp;$M13&amp;"_old",Ammortamento_Finanziario!$H:$L,5,FALSE),VLOOKUP($M13,TT_Tabelle_Riferimento!$H$31:$I$50,2,FALSE))</f>
        <v>12</v>
      </c>
      <c r="NX13" s="1078">
        <f>+IFERROR(VLOOKUP(NX$6&amp;"-"&amp;$M13&amp;"_old",Ammortamento_Finanziario!$H:$L,5,FALSE),VLOOKUP($M13,TT_Tabelle_Riferimento!$H$31:$I$50,2,FALSE))</f>
        <v>12</v>
      </c>
      <c r="NY13" s="1078">
        <f>+IFERROR(VLOOKUP(NY$6&amp;"-"&amp;$M13&amp;"_old",Ammortamento_Finanziario!$H:$L,5,FALSE),VLOOKUP($M13,TT_Tabelle_Riferimento!$H$31:$I$50,2,FALSE))</f>
        <v>12</v>
      </c>
      <c r="NZ13" s="1078">
        <f>+IFERROR(VLOOKUP(NZ$6&amp;"-"&amp;$M13&amp;"_old",Ammortamento_Finanziario!$H:$L,5,FALSE),VLOOKUP($M13,TT_Tabelle_Riferimento!$H$31:$I$50,2,FALSE))</f>
        <v>12</v>
      </c>
      <c r="OA13" s="1078">
        <f>+IFERROR(VLOOKUP(OA$6&amp;"-"&amp;$M13&amp;"_old",Ammortamento_Finanziario!$H:$L,5,FALSE),VLOOKUP($M13,TT_Tabelle_Riferimento!$H$31:$I$50,2,FALSE))</f>
        <v>12</v>
      </c>
      <c r="OB13" s="1078">
        <f>+IFERROR(VLOOKUP(OB$6&amp;"-"&amp;$M13&amp;"_old",Ammortamento_Finanziario!$H:$L,5,FALSE),VLOOKUP($M13,TT_Tabelle_Riferimento!$H$31:$I$50,2,FALSE))</f>
        <v>12</v>
      </c>
      <c r="OC13" s="1078">
        <f>+IFERROR(VLOOKUP(OC$6&amp;"-"&amp;$M13&amp;"_old",Ammortamento_Finanziario!$H:$L,5,FALSE),VLOOKUP($M13,TT_Tabelle_Riferimento!$H$31:$I$50,2,FALSE))</f>
        <v>12</v>
      </c>
      <c r="OD13" s="1078">
        <f>+IFERROR(VLOOKUP(OD$6&amp;"-"&amp;$M13&amp;"_old",Ammortamento_Finanziario!$H:$L,5,FALSE),VLOOKUP($M13,TT_Tabelle_Riferimento!$H$31:$I$50,2,FALSE))</f>
        <v>12</v>
      </c>
      <c r="OE13" s="1078">
        <f>+IFERROR(VLOOKUP(OE$6&amp;"-"&amp;$M13&amp;"_old",Ammortamento_Finanziario!$H:$L,5,FALSE),VLOOKUP($M13,TT_Tabelle_Riferimento!$H$31:$I$50,2,FALSE))</f>
        <v>12</v>
      </c>
      <c r="OF13" s="1078">
        <f>+IFERROR(VLOOKUP(OF$6&amp;"-"&amp;$M13&amp;"_old",Ammortamento_Finanziario!$H:$L,5,FALSE),VLOOKUP($M13,TT_Tabelle_Riferimento!$H$31:$I$50,2,FALSE))</f>
        <v>12</v>
      </c>
      <c r="OG13" s="1078">
        <f>+IFERROR(VLOOKUP(OG$6&amp;"-"&amp;$M13&amp;"_old",Ammortamento_Finanziario!$H:$L,5,FALSE),VLOOKUP($M13,TT_Tabelle_Riferimento!$H$31:$I$50,2,FALSE))</f>
        <v>12</v>
      </c>
      <c r="OH13" s="1078">
        <f>+IFERROR(VLOOKUP(OH$6&amp;"-"&amp;$M13&amp;"_old",Ammortamento_Finanziario!$H:$L,5,FALSE),VLOOKUP($M13,TT_Tabelle_Riferimento!$H$31:$I$50,2,FALSE))</f>
        <v>12</v>
      </c>
      <c r="OI13" s="1078">
        <f>+IFERROR(VLOOKUP(OI$6&amp;"-"&amp;$M13&amp;"_old",Ammortamento_Finanziario!$H:$L,5,FALSE),VLOOKUP($M13,TT_Tabelle_Riferimento!$H$31:$I$50,2,FALSE))</f>
        <v>12</v>
      </c>
      <c r="OJ13" s="1078">
        <f>+IFERROR(VLOOKUP(OJ$6&amp;"-"&amp;$M13&amp;"_old",Ammortamento_Finanziario!$H:$L,5,FALSE),VLOOKUP($M13,TT_Tabelle_Riferimento!$H$31:$I$50,2,FALSE))</f>
        <v>12</v>
      </c>
      <c r="OK13" s="1078">
        <f>+IFERROR(VLOOKUP(OK$6&amp;"-"&amp;$M13&amp;"_old",Ammortamento_Finanziario!$H:$L,5,FALSE),VLOOKUP($M13,TT_Tabelle_Riferimento!$H$31:$I$50,2,FALSE))</f>
        <v>12</v>
      </c>
      <c r="OL13" s="1078">
        <f>+IFERROR(VLOOKUP(OL$6&amp;"-"&amp;$M13&amp;"_old",Ammortamento_Finanziario!$H:$L,5,FALSE),VLOOKUP($M13,TT_Tabelle_Riferimento!$H$31:$I$50,2,FALSE))</f>
        <v>12</v>
      </c>
      <c r="OM13" s="1078">
        <f>+IFERROR(VLOOKUP(OM$6&amp;"-"&amp;$M13&amp;"_old",Ammortamento_Finanziario!$H:$L,5,FALSE),VLOOKUP($M13,TT_Tabelle_Riferimento!$H$31:$I$50,2,FALSE))</f>
        <v>12</v>
      </c>
      <c r="ON13" s="1078">
        <f>+IFERROR(VLOOKUP(ON$6&amp;"-"&amp;$M13&amp;"_old",Ammortamento_Finanziario!$H:$L,5,FALSE),VLOOKUP($M13,TT_Tabelle_Riferimento!$H$31:$I$50,2,FALSE))</f>
        <v>12</v>
      </c>
      <c r="OO13" s="1755">
        <f>+IFERROR(VLOOKUP(OO$6&amp;"-"&amp;$M13&amp;"_old",Ammortamento_Finanziario!$H:$L,5,FALSE),VLOOKUP($M13,TT_Tabelle_Riferimento!$H$31:$I$50,2,FALSE))</f>
        <v>12</v>
      </c>
      <c r="OP13" s="1755">
        <f>+IFERROR(VLOOKUP(OP$6&amp;"-"&amp;$M13&amp;"_old",Ammortamento_Finanziario!$H:$L,5,FALSE),VLOOKUP($M13,TT_Tabelle_Riferimento!$H$31:$I$50,2,FALSE))</f>
        <v>12</v>
      </c>
      <c r="OQ13" s="1755">
        <f>+IFERROR(VLOOKUP(OQ$6&amp;"-"&amp;$M13&amp;"_old",Ammortamento_Finanziario!$H:$L,5,FALSE),VLOOKUP($M13,TT_Tabelle_Riferimento!$H$31:$I$50,2,FALSE))</f>
        <v>12</v>
      </c>
      <c r="OR13" s="1755">
        <f>+IFERROR(VLOOKUP(OR$6&amp;"-"&amp;$M13&amp;"_old",Ammortamento_Finanziario!$H:$L,5,FALSE),VLOOKUP($M13,TT_Tabelle_Riferimento!$H$31:$I$50,2,FALSE))</f>
        <v>12</v>
      </c>
      <c r="OS13" s="1078">
        <f>+IFERROR(VLOOKUP(OS$6&amp;"-"&amp;$M13&amp;"_old",Ammortamento_Finanziario!$H:$L,5,FALSE),VLOOKUP($M13,TT_Tabelle_Riferimento!$H$31:$I$50,2,FALSE))</f>
        <v>12</v>
      </c>
      <c r="OT13" s="1078">
        <f>+IFERROR(VLOOKUP(OT$6&amp;"-"&amp;$M13&amp;"_old",Ammortamento_Finanziario!$H:$L,5,FALSE),VLOOKUP($M13,TT_Tabelle_Riferimento!$H$31:$I$50,2,FALSE))</f>
        <v>12</v>
      </c>
      <c r="OU13" s="1078">
        <f>+IFERROR(VLOOKUP(OU$6&amp;"-"&amp;$M13&amp;"_old",Ammortamento_Finanziario!$H:$L,5,FALSE),VLOOKUP($M13,TT_Tabelle_Riferimento!$H$31:$I$50,2,FALSE))</f>
        <v>12</v>
      </c>
      <c r="OV13" s="1078">
        <f>+IFERROR(VLOOKUP(OV$6&amp;"-"&amp;$M13&amp;"_old",Ammortamento_Finanziario!$H:$L,5,FALSE),VLOOKUP($M13,TT_Tabelle_Riferimento!$H$31:$I$50,2,FALSE))</f>
        <v>12</v>
      </c>
      <c r="OW13" s="1078">
        <f>+IFERROR(VLOOKUP(OW$6&amp;"-"&amp;$M13&amp;"_old",Ammortamento_Finanziario!$H:$L,5,FALSE),VLOOKUP($M13,TT_Tabelle_Riferimento!$H$31:$I$50,2,FALSE))</f>
        <v>12</v>
      </c>
      <c r="OX13" s="1078">
        <f>+IFERROR(VLOOKUP(OX$6&amp;"-"&amp;$M13&amp;"_old",Ammortamento_Finanziario!$H:$L,5,FALSE),VLOOKUP($M13,TT_Tabelle_Riferimento!$H$31:$I$50,2,FALSE))</f>
        <v>12</v>
      </c>
      <c r="OY13" s="1078">
        <f>+IFERROR(VLOOKUP(OY$6&amp;"-"&amp;$M13&amp;"_old",Ammortamento_Finanziario!$H:$L,5,FALSE),VLOOKUP($M13,TT_Tabelle_Riferimento!$H$31:$I$50,2,FALSE))</f>
        <v>12</v>
      </c>
      <c r="OZ13" s="1078">
        <f>+IFERROR(VLOOKUP(OZ$6&amp;"-"&amp;$M13&amp;"_old",Ammortamento_Finanziario!$H:$L,5,FALSE),VLOOKUP($M13,TT_Tabelle_Riferimento!$H$31:$I$50,2,FALSE))</f>
        <v>12</v>
      </c>
      <c r="PA13" s="1078">
        <f>+IFERROR(VLOOKUP(PA$6&amp;"-"&amp;$M13&amp;"_old",Ammortamento_Finanziario!$H:$L,5,FALSE),VLOOKUP($M13,TT_Tabelle_Riferimento!$H$31:$I$50,2,FALSE))</f>
        <v>12</v>
      </c>
      <c r="PB13" s="1078">
        <f>+IFERROR(VLOOKUP(PB$6&amp;"-"&amp;$M13&amp;"_old",Ammortamento_Finanziario!$H:$L,5,FALSE),VLOOKUP($M13,TT_Tabelle_Riferimento!$H$31:$I$50,2,FALSE))</f>
        <v>12</v>
      </c>
      <c r="PC13" s="1078">
        <f>+IFERROR(VLOOKUP(PC$6&amp;"-"&amp;$M13&amp;"_old",Ammortamento_Finanziario!$H:$L,5,FALSE),VLOOKUP($M13,TT_Tabelle_Riferimento!$H$31:$I$50,2,FALSE))</f>
        <v>12</v>
      </c>
      <c r="PD13" s="1078">
        <f>+IFERROR(VLOOKUP(PD$6&amp;"-"&amp;$M13&amp;"_old",Ammortamento_Finanziario!$H:$L,5,FALSE),VLOOKUP($M13,TT_Tabelle_Riferimento!$H$31:$I$50,2,FALSE))</f>
        <v>12</v>
      </c>
      <c r="PE13" s="1078">
        <f>+IFERROR(VLOOKUP(PE$6&amp;"-"&amp;$M13&amp;"_old",Ammortamento_Finanziario!$H:$L,5,FALSE),VLOOKUP($M13,TT_Tabelle_Riferimento!$H$31:$I$50,2,FALSE))</f>
        <v>12</v>
      </c>
      <c r="PF13" s="1078">
        <f>+IFERROR(VLOOKUP(PF$6&amp;"-"&amp;$M13&amp;"_old",Ammortamento_Finanziario!$H:$L,5,FALSE),VLOOKUP($M13,TT_Tabelle_Riferimento!$H$31:$I$50,2,FALSE))</f>
        <v>12</v>
      </c>
      <c r="PG13" s="1078">
        <f>+IFERROR(VLOOKUP(PG$6&amp;"-"&amp;$M13&amp;"_old",Ammortamento_Finanziario!$H:$L,5,FALSE),VLOOKUP($M13,TT_Tabelle_Riferimento!$H$31:$I$50,2,FALSE))</f>
        <v>12</v>
      </c>
      <c r="PH13" s="1078">
        <f>+IFERROR(VLOOKUP(PH$6&amp;"-"&amp;$M13&amp;"_old",Ammortamento_Finanziario!$H:$L,5,FALSE),VLOOKUP($M13,TT_Tabelle_Riferimento!$H$31:$I$50,2,FALSE))</f>
        <v>12</v>
      </c>
      <c r="PI13" s="1078">
        <f>+IFERROR(VLOOKUP(PI$6&amp;"-"&amp;$M13&amp;"_old",Ammortamento_Finanziario!$H:$L,5,FALSE),VLOOKUP($M13,TT_Tabelle_Riferimento!$H$31:$I$50,2,FALSE))</f>
        <v>12</v>
      </c>
      <c r="PJ13" s="1078">
        <f>+IFERROR(VLOOKUP(PJ$6&amp;"-"&amp;$M13&amp;"_old",Ammortamento_Finanziario!$H:$L,5,FALSE),VLOOKUP($M13,TT_Tabelle_Riferimento!$H$31:$I$50,2,FALSE))</f>
        <v>12</v>
      </c>
      <c r="PK13" s="1078">
        <f>+IFERROR(VLOOKUP(PK$6&amp;"-"&amp;$M13&amp;"_old",Ammortamento_Finanziario!$H:$L,5,FALSE),VLOOKUP($M13,TT_Tabelle_Riferimento!$H$31:$I$50,2,FALSE))</f>
        <v>12</v>
      </c>
      <c r="PL13" s="1755">
        <f>+IFERROR(VLOOKUP(PL$6&amp;"-"&amp;$M13&amp;"_old",Ammortamento_Finanziario!$H:$L,5,FALSE),VLOOKUP($M13,TT_Tabelle_Riferimento!$H$31:$I$50,2,FALSE))</f>
        <v>12</v>
      </c>
      <c r="PM13" s="1755">
        <f>+IFERROR(VLOOKUP(PM$6&amp;"-"&amp;$M13&amp;"_old",Ammortamento_Finanziario!$H:$L,5,FALSE),VLOOKUP($M13,TT_Tabelle_Riferimento!$H$31:$I$50,2,FALSE))</f>
        <v>12</v>
      </c>
      <c r="PN13" s="1755">
        <f>+IFERROR(VLOOKUP(PN$6&amp;"-"&amp;$M13&amp;"_old",Ammortamento_Finanziario!$H:$L,5,FALSE),VLOOKUP($M13,TT_Tabelle_Riferimento!$H$31:$I$50,2,FALSE))</f>
        <v>12</v>
      </c>
      <c r="PO13" s="1078">
        <f>+IFERROR(VLOOKUP(PO$6&amp;"-"&amp;$M13&amp;"_old",Ammortamento_Finanziario!$H:$L,5,FALSE),VLOOKUP($M13,TT_Tabelle_Riferimento!$H$31:$I$50,2,FALSE))</f>
        <v>12</v>
      </c>
      <c r="PP13" s="1078">
        <f>+IFERROR(VLOOKUP(PP$6&amp;"-"&amp;$M13&amp;"_old",Ammortamento_Finanziario!$H:$L,5,FALSE),VLOOKUP($M13,TT_Tabelle_Riferimento!$H$31:$I$50,2,FALSE))</f>
        <v>12</v>
      </c>
      <c r="PQ13" s="1078">
        <f>+IFERROR(VLOOKUP(PQ$6&amp;"-"&amp;$M13&amp;"_old",Ammortamento_Finanziario!$H:$L,5,FALSE),VLOOKUP($M13,TT_Tabelle_Riferimento!$H$31:$I$50,2,FALSE))</f>
        <v>12</v>
      </c>
      <c r="PR13" s="1078">
        <f>+IFERROR(VLOOKUP(PR$6&amp;"-"&amp;$M13&amp;"_old",Ammortamento_Finanziario!$H:$L,5,FALSE),VLOOKUP($M13,TT_Tabelle_Riferimento!$H$31:$I$50,2,FALSE))</f>
        <v>12</v>
      </c>
      <c r="PS13" s="1078">
        <f>+IFERROR(VLOOKUP(PS$6&amp;"-"&amp;$M13&amp;"_old",Ammortamento_Finanziario!$H:$L,5,FALSE),VLOOKUP($M13,TT_Tabelle_Riferimento!$H$31:$I$50,2,FALSE))</f>
        <v>12</v>
      </c>
      <c r="PT13" s="1078">
        <f>+IFERROR(VLOOKUP(PT$6&amp;"-"&amp;$M13&amp;"_old",Ammortamento_Finanziario!$H:$L,5,FALSE),VLOOKUP($M13,TT_Tabelle_Riferimento!$H$31:$I$50,2,FALSE))</f>
        <v>12</v>
      </c>
      <c r="PU13" s="1078">
        <f>+IFERROR(VLOOKUP(PU$6&amp;"-"&amp;$M13&amp;"_old",Ammortamento_Finanziario!$H:$L,5,FALSE),VLOOKUP($M13,TT_Tabelle_Riferimento!$H$31:$I$50,2,FALSE))</f>
        <v>12</v>
      </c>
      <c r="PV13" s="1078">
        <f>+IFERROR(VLOOKUP(PV$6&amp;"-"&amp;$M13&amp;"_old",Ammortamento_Finanziario!$H:$L,5,FALSE),VLOOKUP($M13,TT_Tabelle_Riferimento!$H$31:$I$50,2,FALSE))</f>
        <v>12</v>
      </c>
      <c r="PW13" s="1078">
        <f>+IFERROR(VLOOKUP(PW$6&amp;"-"&amp;$M13&amp;"_old",Ammortamento_Finanziario!$H:$L,5,FALSE),VLOOKUP($M13,TT_Tabelle_Riferimento!$H$31:$I$50,2,FALSE))</f>
        <v>12</v>
      </c>
      <c r="PX13" s="1078">
        <f>+IFERROR(VLOOKUP(PX$6&amp;"-"&amp;$M13&amp;"_old",Ammortamento_Finanziario!$H:$L,5,FALSE),VLOOKUP($M13,TT_Tabelle_Riferimento!$H$31:$I$50,2,FALSE))</f>
        <v>12</v>
      </c>
      <c r="PY13" s="1078">
        <f>+IFERROR(VLOOKUP(PY$6&amp;"-"&amp;$M13&amp;"_old",Ammortamento_Finanziario!$H:$L,5,FALSE),VLOOKUP($M13,TT_Tabelle_Riferimento!$H$31:$I$50,2,FALSE))</f>
        <v>12</v>
      </c>
      <c r="PZ13" s="1078">
        <f>+IFERROR(VLOOKUP(PZ$6&amp;"-"&amp;$M13&amp;"_old",Ammortamento_Finanziario!$H:$L,5,FALSE),VLOOKUP($M13,TT_Tabelle_Riferimento!$H$31:$I$50,2,FALSE))</f>
        <v>12</v>
      </c>
      <c r="QA13" s="1078">
        <f>+IFERROR(VLOOKUP(QA$6&amp;"-"&amp;$M13&amp;"_old",Ammortamento_Finanziario!$H:$L,5,FALSE),VLOOKUP($M13,TT_Tabelle_Riferimento!$H$31:$I$50,2,FALSE))</f>
        <v>12</v>
      </c>
      <c r="QB13" s="1078">
        <f>+IFERROR(VLOOKUP(QB$6&amp;"-"&amp;$M13&amp;"_old",Ammortamento_Finanziario!$H:$L,5,FALSE),VLOOKUP($M13,TT_Tabelle_Riferimento!$H$31:$I$50,2,FALSE))</f>
        <v>12</v>
      </c>
      <c r="QC13" s="1078">
        <f>+IFERROR(VLOOKUP(QC$6&amp;"-"&amp;$M13&amp;"_old",Ammortamento_Finanziario!$H:$L,5,FALSE),VLOOKUP($M13,TT_Tabelle_Riferimento!$H$31:$I$50,2,FALSE))</f>
        <v>12</v>
      </c>
      <c r="QD13" s="1078">
        <f>+IFERROR(VLOOKUP(QD$6&amp;"-"&amp;$M13&amp;"_old",Ammortamento_Finanziario!$H:$L,5,FALSE),VLOOKUP($M13,TT_Tabelle_Riferimento!$H$31:$I$50,2,FALSE))</f>
        <v>12</v>
      </c>
      <c r="QE13" s="1078">
        <f>+IFERROR(VLOOKUP(QE$6&amp;"-"&amp;$M13&amp;"_old",Ammortamento_Finanziario!$H:$L,5,FALSE),VLOOKUP($M13,TT_Tabelle_Riferimento!$H$31:$I$50,2,FALSE))</f>
        <v>12</v>
      </c>
      <c r="QF13" s="1078">
        <f>+IFERROR(VLOOKUP(QF$6&amp;"-"&amp;$M13&amp;"_old",Ammortamento_Finanziario!$H:$L,5,FALSE),VLOOKUP($M13,TT_Tabelle_Riferimento!$H$31:$I$50,2,FALSE))</f>
        <v>12</v>
      </c>
      <c r="QG13" s="1078">
        <f>+IFERROR(VLOOKUP(QG$6&amp;"-"&amp;$M13&amp;"_old",Ammortamento_Finanziario!$H:$L,5,FALSE),VLOOKUP($M13,TT_Tabelle_Riferimento!$H$31:$I$50,2,FALSE))</f>
        <v>12</v>
      </c>
      <c r="QH13" s="1755">
        <f>+IFERROR(VLOOKUP(QH$6&amp;"-"&amp;$M13&amp;"_old",Ammortamento_Finanziario!$H:$L,5,FALSE),VLOOKUP($M13,TT_Tabelle_Riferimento!$H$31:$I$50,2,FALSE))</f>
        <v>12</v>
      </c>
      <c r="QI13" s="1755">
        <f>+IFERROR(VLOOKUP(QI$6&amp;"-"&amp;$M13&amp;"_old",Ammortamento_Finanziario!$H:$L,5,FALSE),VLOOKUP($M13,TT_Tabelle_Riferimento!$H$31:$I$50,2,FALSE))</f>
        <v>12</v>
      </c>
      <c r="QJ13" s="1078">
        <f>+IFERROR(VLOOKUP(QJ$6&amp;"-"&amp;$M13&amp;"_old",Ammortamento_Finanziario!$H:$L,5,FALSE),VLOOKUP($M13,TT_Tabelle_Riferimento!$H$31:$I$50,2,FALSE))</f>
        <v>12</v>
      </c>
      <c r="QK13" s="1078">
        <f>+IFERROR(VLOOKUP(QK$6&amp;"-"&amp;$M13&amp;"_old",Ammortamento_Finanziario!$H:$L,5,FALSE),VLOOKUP($M13,TT_Tabelle_Riferimento!$H$31:$I$50,2,FALSE))</f>
        <v>12</v>
      </c>
      <c r="QL13" s="1078">
        <f>+IFERROR(VLOOKUP(QL$6&amp;"-"&amp;$M13&amp;"_old",Ammortamento_Finanziario!$H:$L,5,FALSE),VLOOKUP($M13,TT_Tabelle_Riferimento!$H$31:$I$50,2,FALSE))</f>
        <v>12</v>
      </c>
      <c r="QM13" s="1078">
        <f>+IFERROR(VLOOKUP(QM$6&amp;"-"&amp;$M13&amp;"_old",Ammortamento_Finanziario!$H:$L,5,FALSE),VLOOKUP($M13,TT_Tabelle_Riferimento!$H$31:$I$50,2,FALSE))</f>
        <v>12</v>
      </c>
      <c r="QN13" s="1078">
        <f>+IFERROR(VLOOKUP(QN$6&amp;"-"&amp;$M13&amp;"_old",Ammortamento_Finanziario!$H:$L,5,FALSE),VLOOKUP($M13,TT_Tabelle_Riferimento!$H$31:$I$50,2,FALSE))</f>
        <v>12</v>
      </c>
      <c r="QO13" s="1078">
        <f>+IFERROR(VLOOKUP(QO$6&amp;"-"&amp;$M13&amp;"_old",Ammortamento_Finanziario!$H:$L,5,FALSE),VLOOKUP($M13,TT_Tabelle_Riferimento!$H$31:$I$50,2,FALSE))</f>
        <v>12</v>
      </c>
      <c r="QP13" s="1078">
        <f>+IFERROR(VLOOKUP(QP$6&amp;"-"&amp;$M13&amp;"_old",Ammortamento_Finanziario!$H:$L,5,FALSE),VLOOKUP($M13,TT_Tabelle_Riferimento!$H$31:$I$50,2,FALSE))</f>
        <v>12</v>
      </c>
      <c r="QQ13" s="1078">
        <f>+IFERROR(VLOOKUP(QQ$6&amp;"-"&amp;$M13&amp;"_old",Ammortamento_Finanziario!$H:$L,5,FALSE),VLOOKUP($M13,TT_Tabelle_Riferimento!$H$31:$I$50,2,FALSE))</f>
        <v>12</v>
      </c>
      <c r="QR13" s="1078">
        <f>+IFERROR(VLOOKUP(QR$6&amp;"-"&amp;$M13&amp;"_old",Ammortamento_Finanziario!$H:$L,5,FALSE),VLOOKUP($M13,TT_Tabelle_Riferimento!$H$31:$I$50,2,FALSE))</f>
        <v>12</v>
      </c>
      <c r="QS13" s="1078">
        <f>+IFERROR(VLOOKUP(QS$6&amp;"-"&amp;$M13&amp;"_old",Ammortamento_Finanziario!$H:$L,5,FALSE),VLOOKUP($M13,TT_Tabelle_Riferimento!$H$31:$I$50,2,FALSE))</f>
        <v>12</v>
      </c>
      <c r="QT13" s="1078">
        <f>+IFERROR(VLOOKUP(QT$6&amp;"-"&amp;$M13&amp;"_old",Ammortamento_Finanziario!$H:$L,5,FALSE),VLOOKUP($M13,TT_Tabelle_Riferimento!$H$31:$I$50,2,FALSE))</f>
        <v>12</v>
      </c>
      <c r="QU13" s="1078">
        <f>+IFERROR(VLOOKUP(QU$6&amp;"-"&amp;$M13&amp;"_old",Ammortamento_Finanziario!$H:$L,5,FALSE),VLOOKUP($M13,TT_Tabelle_Riferimento!$H$31:$I$50,2,FALSE))</f>
        <v>12</v>
      </c>
      <c r="QV13" s="1078">
        <f>+IFERROR(VLOOKUP(QV$6&amp;"-"&amp;$M13&amp;"_old",Ammortamento_Finanziario!$H:$L,5,FALSE),VLOOKUP($M13,TT_Tabelle_Riferimento!$H$31:$I$50,2,FALSE))</f>
        <v>12</v>
      </c>
      <c r="QW13" s="1078">
        <f>+IFERROR(VLOOKUP(QW$6&amp;"-"&amp;$M13&amp;"_old",Ammortamento_Finanziario!$H:$L,5,FALSE),VLOOKUP($M13,TT_Tabelle_Riferimento!$H$31:$I$50,2,FALSE))</f>
        <v>12</v>
      </c>
      <c r="QX13" s="1078">
        <f>+IFERROR(VLOOKUP(QX$6&amp;"-"&amp;$M13&amp;"_old",Ammortamento_Finanziario!$H:$L,5,FALSE),VLOOKUP($M13,TT_Tabelle_Riferimento!$H$31:$I$50,2,FALSE))</f>
        <v>12</v>
      </c>
      <c r="QY13" s="1078">
        <f>+IFERROR(VLOOKUP(QY$6&amp;"-"&amp;$M13&amp;"_old",Ammortamento_Finanziario!$H:$L,5,FALSE),VLOOKUP($M13,TT_Tabelle_Riferimento!$H$31:$I$50,2,FALSE))</f>
        <v>12</v>
      </c>
      <c r="QZ13" s="1078">
        <f>+IFERROR(VLOOKUP(QZ$6&amp;"-"&amp;$M13&amp;"_old",Ammortamento_Finanziario!$H:$L,5,FALSE),VLOOKUP($M13,TT_Tabelle_Riferimento!$H$31:$I$50,2,FALSE))</f>
        <v>12</v>
      </c>
      <c r="RA13" s="1078">
        <f>+IFERROR(VLOOKUP(RA$6&amp;"-"&amp;$M13&amp;"_old",Ammortamento_Finanziario!$H:$L,5,FALSE),VLOOKUP($M13,TT_Tabelle_Riferimento!$H$31:$I$50,2,FALSE))</f>
        <v>12</v>
      </c>
      <c r="RB13" s="1078">
        <f>+IFERROR(VLOOKUP(RB$6&amp;"-"&amp;$M13&amp;"_old",Ammortamento_Finanziario!$H:$L,5,FALSE),VLOOKUP($M13,TT_Tabelle_Riferimento!$H$31:$I$50,2,FALSE))</f>
        <v>12</v>
      </c>
      <c r="RC13" s="1755">
        <f>+IFERROR(VLOOKUP(RC$6&amp;"-"&amp;$M13&amp;"_old",Ammortamento_Finanziario!$H:$L,5,FALSE),VLOOKUP($M13,TT_Tabelle_Riferimento!$H$31:$I$50,2,FALSE))</f>
        <v>12</v>
      </c>
      <c r="RD13" s="1078">
        <f>+IFERROR(VLOOKUP(RD$6&amp;"-"&amp;$M13&amp;"_old",Ammortamento_Finanziario!$H:$L,5,FALSE),VLOOKUP($M13,TT_Tabelle_Riferimento!$H$31:$I$50,2,FALSE))</f>
        <v>12</v>
      </c>
      <c r="RE13" s="1078">
        <f>+IFERROR(VLOOKUP(RE$6&amp;"-"&amp;$M13&amp;"_old",Ammortamento_Finanziario!$H:$L,5,FALSE),VLOOKUP($M13,TT_Tabelle_Riferimento!$H$31:$I$50,2,FALSE))</f>
        <v>12</v>
      </c>
      <c r="RF13" s="1078">
        <f>+IFERROR(VLOOKUP(RF$6&amp;"-"&amp;$M13&amp;"_old",Ammortamento_Finanziario!$H:$L,5,FALSE),VLOOKUP($M13,TT_Tabelle_Riferimento!$H$31:$I$50,2,FALSE))</f>
        <v>12</v>
      </c>
      <c r="RG13" s="1078">
        <f>+IFERROR(VLOOKUP(RG$6&amp;"-"&amp;$M13&amp;"_old",Ammortamento_Finanziario!$H:$L,5,FALSE),VLOOKUP($M13,TT_Tabelle_Riferimento!$H$31:$I$50,2,FALSE))</f>
        <v>12</v>
      </c>
      <c r="RH13" s="1078">
        <f>+IFERROR(VLOOKUP(RH$6&amp;"-"&amp;$M13&amp;"_old",Ammortamento_Finanziario!$H:$L,5,FALSE),VLOOKUP($M13,TT_Tabelle_Riferimento!$H$31:$I$50,2,FALSE))</f>
        <v>12</v>
      </c>
      <c r="RI13" s="1078">
        <f>+IFERROR(VLOOKUP(RI$6&amp;"-"&amp;$M13&amp;"_old",Ammortamento_Finanziario!$H:$L,5,FALSE),VLOOKUP($M13,TT_Tabelle_Riferimento!$H$31:$I$50,2,FALSE))</f>
        <v>12</v>
      </c>
      <c r="RJ13" s="1078">
        <f>+IFERROR(VLOOKUP(RJ$6&amp;"-"&amp;$M13&amp;"_old",Ammortamento_Finanziario!$H:$L,5,FALSE),VLOOKUP($M13,TT_Tabelle_Riferimento!$H$31:$I$50,2,FALSE))</f>
        <v>12</v>
      </c>
      <c r="RK13" s="1078">
        <f>+IFERROR(VLOOKUP(RK$6&amp;"-"&amp;$M13&amp;"_old",Ammortamento_Finanziario!$H:$L,5,FALSE),VLOOKUP($M13,TT_Tabelle_Riferimento!$H$31:$I$50,2,FALSE))</f>
        <v>12</v>
      </c>
      <c r="RL13" s="1078">
        <f>+IFERROR(VLOOKUP(RL$6&amp;"-"&amp;$M13&amp;"_old",Ammortamento_Finanziario!$H:$L,5,FALSE),VLOOKUP($M13,TT_Tabelle_Riferimento!$H$31:$I$50,2,FALSE))</f>
        <v>12</v>
      </c>
      <c r="RM13" s="1078">
        <f>+IFERROR(VLOOKUP(RM$6&amp;"-"&amp;$M13&amp;"_old",Ammortamento_Finanziario!$H:$L,5,FALSE),VLOOKUP($M13,TT_Tabelle_Riferimento!$H$31:$I$50,2,FALSE))</f>
        <v>12</v>
      </c>
      <c r="RN13" s="1078">
        <f>+IFERROR(VLOOKUP(RN$6&amp;"-"&amp;$M13&amp;"_old",Ammortamento_Finanziario!$H:$L,5,FALSE),VLOOKUP($M13,TT_Tabelle_Riferimento!$H$31:$I$50,2,FALSE))</f>
        <v>12</v>
      </c>
      <c r="RO13" s="1078">
        <f>+IFERROR(VLOOKUP(RO$6&amp;"-"&amp;$M13&amp;"_old",Ammortamento_Finanziario!$H:$L,5,FALSE),VLOOKUP($M13,TT_Tabelle_Riferimento!$H$31:$I$50,2,FALSE))</f>
        <v>12</v>
      </c>
      <c r="RP13" s="1078">
        <f>+IFERROR(VLOOKUP(RP$6&amp;"-"&amp;$M13&amp;"_old",Ammortamento_Finanziario!$H:$L,5,FALSE),VLOOKUP($M13,TT_Tabelle_Riferimento!$H$31:$I$50,2,FALSE))</f>
        <v>12</v>
      </c>
      <c r="RQ13" s="1078">
        <f>+IFERROR(VLOOKUP(RQ$6&amp;"-"&amp;$M13&amp;"_old",Ammortamento_Finanziario!$H:$L,5,FALSE),VLOOKUP($M13,TT_Tabelle_Riferimento!$H$31:$I$50,2,FALSE))</f>
        <v>12</v>
      </c>
      <c r="RR13" s="1078">
        <f>+IFERROR(VLOOKUP(RR$6&amp;"-"&amp;$M13&amp;"_old",Ammortamento_Finanziario!$H:$L,5,FALSE),VLOOKUP($M13,TT_Tabelle_Riferimento!$H$31:$I$50,2,FALSE))</f>
        <v>12</v>
      </c>
      <c r="RS13" s="1078">
        <f>+IFERROR(VLOOKUP(RS$6&amp;"-"&amp;$M13&amp;"_old",Ammortamento_Finanziario!$H:$L,5,FALSE),VLOOKUP($M13,TT_Tabelle_Riferimento!$H$31:$I$50,2,FALSE))</f>
        <v>12</v>
      </c>
      <c r="RT13" s="1078">
        <f>+IFERROR(VLOOKUP(RT$6&amp;"-"&amp;$M13&amp;"_old",Ammortamento_Finanziario!$H:$L,5,FALSE),VLOOKUP($M13,TT_Tabelle_Riferimento!$H$31:$I$50,2,FALSE))</f>
        <v>12</v>
      </c>
      <c r="RU13" s="1078">
        <f>+IFERROR(VLOOKUP(RU$6&amp;"-"&amp;$M13&amp;"_old",Ammortamento_Finanziario!$H:$L,5,FALSE),VLOOKUP($M13,TT_Tabelle_Riferimento!$H$31:$I$50,2,FALSE))</f>
        <v>12</v>
      </c>
      <c r="RV13" s="1078">
        <f>+IFERROR(VLOOKUP(RV$6&amp;"-"&amp;$M13&amp;"_old",Ammortamento_Finanziario!$H:$L,5,FALSE),VLOOKUP($M13,TT_Tabelle_Riferimento!$H$31:$I$50,2,FALSE))</f>
        <v>12</v>
      </c>
    </row>
    <row r="14" spans="4:490">
      <c r="D14" s="137"/>
      <c r="E14" s="136"/>
      <c r="F14" s="136"/>
      <c r="G14" s="136"/>
      <c r="H14" s="136"/>
      <c r="I14" s="136"/>
      <c r="J14" s="136"/>
      <c r="K14" s="136"/>
      <c r="L14" s="125"/>
      <c r="M14" s="420">
        <v>8</v>
      </c>
      <c r="N14" s="904">
        <f>+IFERROR(VLOOKUP(N$6&amp;"-"&amp;$M14&amp;"_old",Ammortamento_Finanziario!$H:$L,5,FALSE),VLOOKUP($M14,TT_Tabelle_Riferimento!$H$31:$I$50,2,FALSE))</f>
        <v>8</v>
      </c>
      <c r="O14" s="904">
        <f>+IFERROR(VLOOKUP(O$6&amp;"-"&amp;$M14&amp;"_old",Ammortamento_Finanziario!$H:$L,5,FALSE),VLOOKUP($M14,TT_Tabelle_Riferimento!$H$31:$I$50,2,FALSE))</f>
        <v>8</v>
      </c>
      <c r="P14" s="904">
        <f>+IFERROR(VLOOKUP(P$6&amp;"-"&amp;$M14&amp;"_old",Ammortamento_Finanziario!$H:$L,5,FALSE),VLOOKUP($M14,TT_Tabelle_Riferimento!$H$31:$I$50,2,FALSE))</f>
        <v>8</v>
      </c>
      <c r="Q14" s="904">
        <f>+IFERROR(VLOOKUP(Q$6&amp;"-"&amp;$M14&amp;"_old",Ammortamento_Finanziario!$H:$L,5,FALSE),VLOOKUP($M14,TT_Tabelle_Riferimento!$H$31:$I$50,2,FALSE))</f>
        <v>8</v>
      </c>
      <c r="R14" s="904">
        <f>+IFERROR(VLOOKUP(R$6&amp;"-"&amp;$M14&amp;"_old",Ammortamento_Finanziario!$H:$L,5,FALSE),VLOOKUP($M14,TT_Tabelle_Riferimento!$H$31:$I$50,2,FALSE))</f>
        <v>8</v>
      </c>
      <c r="S14" s="904">
        <f>+IFERROR(VLOOKUP(S$6&amp;"-"&amp;$M14&amp;"_old",Ammortamento_Finanziario!$H:$L,5,FALSE),VLOOKUP($M14,TT_Tabelle_Riferimento!$H$31:$I$50,2,FALSE))</f>
        <v>8</v>
      </c>
      <c r="T14" s="904">
        <f>+IFERROR(VLOOKUP(T$6&amp;"-"&amp;$M14&amp;"_old",Ammortamento_Finanziario!$H:$L,5,FALSE),VLOOKUP($M14,TT_Tabelle_Riferimento!$H$31:$I$50,2,FALSE))</f>
        <v>8</v>
      </c>
      <c r="U14" s="904">
        <f>+IFERROR(VLOOKUP(U$6&amp;"-"&amp;$M14&amp;"_old",Ammortamento_Finanziario!$H:$L,5,FALSE),VLOOKUP($M14,TT_Tabelle_Riferimento!$H$31:$I$50,2,FALSE))</f>
        <v>8</v>
      </c>
      <c r="V14" s="904">
        <f>+IFERROR(VLOOKUP(V$6&amp;"-"&amp;$M14&amp;"_old",Ammortamento_Finanziario!$H:$L,5,FALSE),VLOOKUP($M14,TT_Tabelle_Riferimento!$H$31:$I$50,2,FALSE))</f>
        <v>8</v>
      </c>
      <c r="W14" s="904">
        <f>+IFERROR(VLOOKUP(W$6&amp;"-"&amp;$M14&amp;"_old",Ammortamento_Finanziario!$H:$L,5,FALSE),VLOOKUP($M14,TT_Tabelle_Riferimento!$H$31:$I$50,2,FALSE))</f>
        <v>8</v>
      </c>
      <c r="X14" s="1739">
        <f>+IFERROR(VLOOKUP(X$6&amp;"-"&amp;$M14&amp;"_old",Ammortamento_Finanziario!$H:$L,5,FALSE),VLOOKUP($M14,TT_Tabelle_Riferimento!$H$31:$I$50,2,FALSE))</f>
        <v>8</v>
      </c>
      <c r="Y14" s="1739">
        <f>+IFERROR(VLOOKUP(Y$6&amp;"-"&amp;$M14&amp;"_old",Ammortamento_Finanziario!$H:$L,5,FALSE),VLOOKUP($M14,TT_Tabelle_Riferimento!$H$31:$I$50,2,FALSE))</f>
        <v>8</v>
      </c>
      <c r="Z14" s="1749">
        <f>+IFERROR(VLOOKUP(Z$6&amp;"-"&amp;$M14&amp;"_old",Ammortamento_Finanziario!$H:$L,5,FALSE),VLOOKUP($M14,TT_Tabelle_Riferimento!$H$31:$I$50,2,FALSE))</f>
        <v>8</v>
      </c>
      <c r="AA14" s="1749">
        <f>+IFERROR(VLOOKUP(AA$6&amp;"-"&amp;$M14&amp;"_old",Ammortamento_Finanziario!$H:$L,5,FALSE),VLOOKUP($M14,TT_Tabelle_Riferimento!$H$31:$I$50,2,FALSE))</f>
        <v>8</v>
      </c>
      <c r="AB14" s="1749">
        <f>+IFERROR(VLOOKUP(AB$6&amp;"-"&amp;$M14&amp;"_old",Ammortamento_Finanziario!$H:$L,5,FALSE),VLOOKUP($M14,TT_Tabelle_Riferimento!$H$31:$I$50,2,FALSE))</f>
        <v>8</v>
      </c>
      <c r="AC14" s="1749">
        <f>+IFERROR(VLOOKUP(AC$6&amp;"-"&amp;$M14&amp;"_old",Ammortamento_Finanziario!$H:$L,5,FALSE),VLOOKUP($M14,TT_Tabelle_Riferimento!$H$31:$I$50,2,FALSE))</f>
        <v>8</v>
      </c>
      <c r="AD14" s="1749">
        <f>+IFERROR(VLOOKUP(AD$6&amp;"-"&amp;$M14&amp;"_old",Ammortamento_Finanziario!$H:$L,5,FALSE),VLOOKUP($M14,TT_Tabelle_Riferimento!$H$31:$I$50,2,FALSE))</f>
        <v>8</v>
      </c>
      <c r="AE14" s="1749">
        <f>+IFERROR(VLOOKUP(AE$6&amp;"-"&amp;$M14&amp;"_old",Ammortamento_Finanziario!$H:$L,5,FALSE),VLOOKUP($M14,TT_Tabelle_Riferimento!$H$31:$I$50,2,FALSE))</f>
        <v>8</v>
      </c>
      <c r="AF14" s="625">
        <f>+IFERROR(VLOOKUP(AF$6&amp;"-"&amp;$M14&amp;"_old",Ammortamento_Finanziario!$H:$L,5,FALSE),VLOOKUP($M14,TT_Tabelle_Riferimento!$H$31:$I$50,2,FALSE))</f>
        <v>8</v>
      </c>
      <c r="AG14" s="625">
        <f>+IFERROR(VLOOKUP(AG$6&amp;"-"&amp;$M14&amp;"_old",Ammortamento_Finanziario!$H:$L,5,FALSE),VLOOKUP($M14,TT_Tabelle_Riferimento!$H$31:$I$50,2,FALSE))</f>
        <v>8</v>
      </c>
      <c r="AH14" s="625">
        <f>+IFERROR(VLOOKUP(AH$6&amp;"-"&amp;$M14&amp;"_old",Ammortamento_Finanziario!$H:$L,5,FALSE),VLOOKUP($M14,TT_Tabelle_Riferimento!$H$31:$I$50,2,FALSE))</f>
        <v>8</v>
      </c>
      <c r="AI14" s="625">
        <f>+IFERROR(VLOOKUP(AI$6&amp;"-"&amp;$M14&amp;"_old",Ammortamento_Finanziario!$H:$L,5,FALSE),VLOOKUP($M14,TT_Tabelle_Riferimento!$H$31:$I$50,2,FALSE))</f>
        <v>8</v>
      </c>
      <c r="AJ14" s="625">
        <f>+IFERROR(VLOOKUP(AJ$6&amp;"-"&amp;$M14&amp;"_old",Ammortamento_Finanziario!$H:$L,5,FALSE),VLOOKUP($M14,TT_Tabelle_Riferimento!$H$31:$I$50,2,FALSE))</f>
        <v>8</v>
      </c>
      <c r="AK14" s="625">
        <f>+IFERROR(VLOOKUP(AK$6&amp;"-"&amp;$M14&amp;"_old",Ammortamento_Finanziario!$H:$L,5,FALSE),VLOOKUP($M14,TT_Tabelle_Riferimento!$H$31:$I$50,2,FALSE))</f>
        <v>8</v>
      </c>
      <c r="AL14" s="625">
        <f>+IFERROR(VLOOKUP(AL$6&amp;"-"&amp;$M14&amp;"_old",Ammortamento_Finanziario!$H:$L,5,FALSE),VLOOKUP($M14,TT_Tabelle_Riferimento!$H$31:$I$50,2,FALSE))</f>
        <v>8</v>
      </c>
      <c r="AM14" s="625">
        <f>+IFERROR(VLOOKUP(AM$6&amp;"-"&amp;$M14&amp;"_old",Ammortamento_Finanziario!$H:$L,5,FALSE),VLOOKUP($M14,TT_Tabelle_Riferimento!$H$31:$I$50,2,FALSE))</f>
        <v>8</v>
      </c>
      <c r="AN14" s="625">
        <f>+IFERROR(VLOOKUP(AN$6&amp;"-"&amp;$M14&amp;"_old",Ammortamento_Finanziario!$H:$L,5,FALSE),VLOOKUP($M14,TT_Tabelle_Riferimento!$H$31:$I$50,2,FALSE))</f>
        <v>8</v>
      </c>
      <c r="AO14" s="625">
        <f>+IFERROR(VLOOKUP(AO$6&amp;"-"&amp;$M14&amp;"_old",Ammortamento_Finanziario!$H:$L,5,FALSE),VLOOKUP($M14,TT_Tabelle_Riferimento!$H$31:$I$50,2,FALSE))</f>
        <v>8</v>
      </c>
      <c r="AP14" s="625">
        <f>+IFERROR(VLOOKUP(AP$6&amp;"-"&amp;$M14&amp;"_old",Ammortamento_Finanziario!$H:$L,5,FALSE),VLOOKUP($M14,TT_Tabelle_Riferimento!$H$31:$I$50,2,FALSE))</f>
        <v>8</v>
      </c>
      <c r="AQ14" s="625">
        <f>+IFERROR(VLOOKUP(AQ$6&amp;"-"&amp;$M14&amp;"_old",Ammortamento_Finanziario!$H:$L,5,FALSE),VLOOKUP($M14,TT_Tabelle_Riferimento!$H$31:$I$50,2,FALSE))</f>
        <v>8</v>
      </c>
      <c r="AR14" s="625">
        <f>+IFERROR(VLOOKUP(AR$6&amp;"-"&amp;$M14&amp;"_old",Ammortamento_Finanziario!$H:$L,5,FALSE),VLOOKUP($M14,TT_Tabelle_Riferimento!$H$31:$I$50,2,FALSE))</f>
        <v>8</v>
      </c>
      <c r="AS14" s="625">
        <f>+IFERROR(VLOOKUP(AS$6&amp;"-"&amp;$M14&amp;"_old",Ammortamento_Finanziario!$H:$L,5,FALSE),VLOOKUP($M14,TT_Tabelle_Riferimento!$H$31:$I$50,2,FALSE))</f>
        <v>8</v>
      </c>
      <c r="AT14" s="625">
        <f>+IFERROR(VLOOKUP(AT$6&amp;"-"&amp;$M14&amp;"_old",Ammortamento_Finanziario!$H:$L,5,FALSE),VLOOKUP($M14,TT_Tabelle_Riferimento!$H$31:$I$50,2,FALSE))</f>
        <v>8</v>
      </c>
      <c r="AU14" s="625">
        <f>+IFERROR(VLOOKUP(AU$6&amp;"-"&amp;$M14&amp;"_old",Ammortamento_Finanziario!$H:$L,5,FALSE),VLOOKUP($M14,TT_Tabelle_Riferimento!$H$31:$I$50,2,FALSE))</f>
        <v>8</v>
      </c>
      <c r="AV14" s="625">
        <f>+IFERROR(VLOOKUP(AV$6&amp;"-"&amp;$M14&amp;"_old",Ammortamento_Finanziario!$H:$L,5,FALSE),VLOOKUP($M14,TT_Tabelle_Riferimento!$H$31:$I$50,2,FALSE))</f>
        <v>8</v>
      </c>
      <c r="AW14" s="625">
        <f>+IFERROR(VLOOKUP(AW$6&amp;"-"&amp;$M14&amp;"_old",Ammortamento_Finanziario!$H:$L,5,FALSE),VLOOKUP($M14,TT_Tabelle_Riferimento!$H$31:$I$50,2,FALSE))</f>
        <v>8</v>
      </c>
      <c r="AX14" s="625">
        <f>+IFERROR(VLOOKUP(AX$6&amp;"-"&amp;$M14&amp;"_old",Ammortamento_Finanziario!$H:$L,5,FALSE),VLOOKUP($M14,TT_Tabelle_Riferimento!$H$31:$I$50,2,FALSE))</f>
        <v>8</v>
      </c>
      <c r="AY14" s="905">
        <f>+IFERROR(VLOOKUP(AY$6&amp;"-"&amp;$M14&amp;"_old",Ammortamento_Finanziario!$H:$L,5,FALSE),VLOOKUP($M14,TT_Tabelle_Riferimento!$H$31:$I$50,2,FALSE))</f>
        <v>8</v>
      </c>
      <c r="AZ14" s="905">
        <f>+IFERROR(VLOOKUP(AZ$6&amp;"-"&amp;$M14&amp;"_old",Ammortamento_Finanziario!$H:$L,5,FALSE),VLOOKUP($M14,TT_Tabelle_Riferimento!$H$31:$I$50,2,FALSE))</f>
        <v>8</v>
      </c>
      <c r="BA14" s="905">
        <f>+IFERROR(VLOOKUP(BA$6&amp;"-"&amp;$M14&amp;"_old",Ammortamento_Finanziario!$H:$L,5,FALSE),VLOOKUP($M14,TT_Tabelle_Riferimento!$H$31:$I$50,2,FALSE))</f>
        <v>8</v>
      </c>
      <c r="BB14" s="905">
        <f>+IFERROR(VLOOKUP(BB$6&amp;"-"&amp;$M14&amp;"_old",Ammortamento_Finanziario!$H:$L,5,FALSE),VLOOKUP($M14,TT_Tabelle_Riferimento!$H$31:$I$50,2,FALSE))</f>
        <v>8</v>
      </c>
      <c r="BC14" s="905">
        <f>+IFERROR(VLOOKUP(BC$6&amp;"-"&amp;$M14&amp;"_old",Ammortamento_Finanziario!$H:$L,5,FALSE),VLOOKUP($M14,TT_Tabelle_Riferimento!$H$31:$I$50,2,FALSE))</f>
        <v>8</v>
      </c>
      <c r="BD14" s="905">
        <f>+IFERROR(VLOOKUP(BD$6&amp;"-"&amp;$M14&amp;"_old",Ammortamento_Finanziario!$H:$L,5,FALSE),VLOOKUP($M14,TT_Tabelle_Riferimento!$H$31:$I$50,2,FALSE))</f>
        <v>8</v>
      </c>
      <c r="BE14" s="905">
        <f>+IFERROR(VLOOKUP(BE$6&amp;"-"&amp;$M14&amp;"_old",Ammortamento_Finanziario!$H:$L,5,FALSE),VLOOKUP($M14,TT_Tabelle_Riferimento!$H$31:$I$50,2,FALSE))</f>
        <v>8</v>
      </c>
      <c r="BF14" s="905">
        <f>+IFERROR(VLOOKUP(BF$6&amp;"-"&amp;$M14&amp;"_old",Ammortamento_Finanziario!$H:$L,5,FALSE),VLOOKUP($M14,TT_Tabelle_Riferimento!$H$31:$I$50,2,FALSE))</f>
        <v>8</v>
      </c>
      <c r="BG14" s="1740">
        <f>+IFERROR(VLOOKUP(BG$6&amp;"-"&amp;$M14&amp;"_old",Ammortamento_Finanziario!$H:$L,5,FALSE),VLOOKUP($M14,TT_Tabelle_Riferimento!$H$31:$I$50,2,FALSE))</f>
        <v>8</v>
      </c>
      <c r="BH14" s="1740">
        <f>+IFERROR(VLOOKUP(BH$6&amp;"-"&amp;$M14&amp;"_old",Ammortamento_Finanziario!$H:$L,5,FALSE),VLOOKUP($M14,TT_Tabelle_Riferimento!$H$31:$I$50,2,FALSE))</f>
        <v>8</v>
      </c>
      <c r="BI14" s="1749">
        <f>+IFERROR(VLOOKUP(BI$6&amp;"-"&amp;$M14&amp;"_old",Ammortamento_Finanziario!$H:$L,5,FALSE),VLOOKUP($M14,TT_Tabelle_Riferimento!$H$31:$I$50,2,FALSE))</f>
        <v>8</v>
      </c>
      <c r="BJ14" s="1749">
        <f>+IFERROR(VLOOKUP(BJ$6&amp;"-"&amp;$M14&amp;"_old",Ammortamento_Finanziario!$H:$L,5,FALSE),VLOOKUP($M14,TT_Tabelle_Riferimento!$H$31:$I$50,2,FALSE))</f>
        <v>8</v>
      </c>
      <c r="BK14" s="1749">
        <f>+IFERROR(VLOOKUP(BK$6&amp;"-"&amp;$M14&amp;"_old",Ammortamento_Finanziario!$H:$L,5,FALSE),VLOOKUP($M14,TT_Tabelle_Riferimento!$H$31:$I$50,2,FALSE))</f>
        <v>8</v>
      </c>
      <c r="BL14" s="1749">
        <f>+IFERROR(VLOOKUP(BL$6&amp;"-"&amp;$M14&amp;"_old",Ammortamento_Finanziario!$H:$L,5,FALSE),VLOOKUP($M14,TT_Tabelle_Riferimento!$H$31:$I$50,2,FALSE))</f>
        <v>8</v>
      </c>
      <c r="BM14" s="1749">
        <f>+IFERROR(VLOOKUP(BM$6&amp;"-"&amp;$M14&amp;"_old",Ammortamento_Finanziario!$H:$L,5,FALSE),VLOOKUP($M14,TT_Tabelle_Riferimento!$H$31:$I$50,2,FALSE))</f>
        <v>8</v>
      </c>
      <c r="BN14" s="1749">
        <f>+IFERROR(VLOOKUP(BN$6&amp;"-"&amp;$M14&amp;"_old",Ammortamento_Finanziario!$H:$L,5,FALSE),VLOOKUP($M14,TT_Tabelle_Riferimento!$H$31:$I$50,2,FALSE))</f>
        <v>8</v>
      </c>
      <c r="BO14" s="625">
        <f>+IFERROR(VLOOKUP(BO$6&amp;"-"&amp;$M14&amp;"_old",Ammortamento_Finanziario!$H:$L,5,FALSE),VLOOKUP($M14,TT_Tabelle_Riferimento!$H$31:$I$50,2,FALSE))</f>
        <v>8</v>
      </c>
      <c r="BP14" s="625">
        <f>+IFERROR(VLOOKUP(BP$6&amp;"-"&amp;$M14&amp;"_old",Ammortamento_Finanziario!$H:$L,5,FALSE),VLOOKUP($M14,TT_Tabelle_Riferimento!$H$31:$I$50,2,FALSE))</f>
        <v>8</v>
      </c>
      <c r="BQ14" s="625">
        <f>+IFERROR(VLOOKUP(BQ$6&amp;"-"&amp;$M14&amp;"_old",Ammortamento_Finanziario!$H:$L,5,FALSE),VLOOKUP($M14,TT_Tabelle_Riferimento!$H$31:$I$50,2,FALSE))</f>
        <v>8</v>
      </c>
      <c r="BR14" s="625">
        <f>+IFERROR(VLOOKUP(BR$6&amp;"-"&amp;$M14&amp;"_old",Ammortamento_Finanziario!$H:$L,5,FALSE),VLOOKUP($M14,TT_Tabelle_Riferimento!$H$31:$I$50,2,FALSE))</f>
        <v>8</v>
      </c>
      <c r="BS14" s="625">
        <f>+IFERROR(VLOOKUP(BS$6&amp;"-"&amp;$M14&amp;"_old",Ammortamento_Finanziario!$H:$L,5,FALSE),VLOOKUP($M14,TT_Tabelle_Riferimento!$H$31:$I$50,2,FALSE))</f>
        <v>8</v>
      </c>
      <c r="BT14" s="625">
        <f>+IFERROR(VLOOKUP(BT$6&amp;"-"&amp;$M14&amp;"_old",Ammortamento_Finanziario!$H:$L,5,FALSE),VLOOKUP($M14,TT_Tabelle_Riferimento!$H$31:$I$50,2,FALSE))</f>
        <v>8</v>
      </c>
      <c r="BU14" s="625">
        <f>+IFERROR(VLOOKUP(BU$6&amp;"-"&amp;$M14&amp;"_old",Ammortamento_Finanziario!$H:$L,5,FALSE),VLOOKUP($M14,TT_Tabelle_Riferimento!$H$31:$I$50,2,FALSE))</f>
        <v>8</v>
      </c>
      <c r="BV14" s="625">
        <f>+IFERROR(VLOOKUP(BV$6&amp;"-"&amp;$M14&amp;"_old",Ammortamento_Finanziario!$H:$L,5,FALSE),VLOOKUP($M14,TT_Tabelle_Riferimento!$H$31:$I$50,2,FALSE))</f>
        <v>8</v>
      </c>
      <c r="BW14" s="625">
        <f>+IFERROR(VLOOKUP(BW$6&amp;"-"&amp;$M14&amp;"_old",Ammortamento_Finanziario!$H:$L,5,FALSE),VLOOKUP($M14,TT_Tabelle_Riferimento!$H$31:$I$50,2,FALSE))</f>
        <v>8</v>
      </c>
      <c r="BX14" s="625">
        <f>+IFERROR(VLOOKUP(BX$6&amp;"-"&amp;$M14&amp;"_old",Ammortamento_Finanziario!$H:$L,5,FALSE),VLOOKUP($M14,TT_Tabelle_Riferimento!$H$31:$I$50,2,FALSE))</f>
        <v>8</v>
      </c>
      <c r="BY14" s="625">
        <f>+IFERROR(VLOOKUP(BY$6&amp;"-"&amp;$M14&amp;"_old",Ammortamento_Finanziario!$H:$L,5,FALSE),VLOOKUP($M14,TT_Tabelle_Riferimento!$H$31:$I$50,2,FALSE))</f>
        <v>8</v>
      </c>
      <c r="BZ14" s="625">
        <f>+IFERROR(VLOOKUP(BZ$6&amp;"-"&amp;$M14&amp;"_old",Ammortamento_Finanziario!$H:$L,5,FALSE),VLOOKUP($M14,TT_Tabelle_Riferimento!$H$31:$I$50,2,FALSE))</f>
        <v>8</v>
      </c>
      <c r="CA14" s="625">
        <f>+IFERROR(VLOOKUP(CA$6&amp;"-"&amp;$M14&amp;"_old",Ammortamento_Finanziario!$H:$L,5,FALSE),VLOOKUP($M14,TT_Tabelle_Riferimento!$H$31:$I$50,2,FALSE))</f>
        <v>8</v>
      </c>
      <c r="CB14" s="625">
        <f>+IFERROR(VLOOKUP(CB$6&amp;"-"&amp;$M14&amp;"_old",Ammortamento_Finanziario!$H:$L,5,FALSE),VLOOKUP($M14,TT_Tabelle_Riferimento!$H$31:$I$50,2,FALSE))</f>
        <v>8</v>
      </c>
      <c r="CC14" s="625">
        <f>+IFERROR(VLOOKUP(CC$6&amp;"-"&amp;$M14&amp;"_old",Ammortamento_Finanziario!$H:$L,5,FALSE),VLOOKUP($M14,TT_Tabelle_Riferimento!$H$31:$I$50,2,FALSE))</f>
        <v>8</v>
      </c>
      <c r="CD14" s="625">
        <f>+IFERROR(VLOOKUP(CD$6&amp;"-"&amp;$M14&amp;"_old",Ammortamento_Finanziario!$H:$L,5,FALSE),VLOOKUP($M14,TT_Tabelle_Riferimento!$H$31:$I$50,2,FALSE))</f>
        <v>8</v>
      </c>
      <c r="CE14" s="625">
        <f>+IFERROR(VLOOKUP(CE$6&amp;"-"&amp;$M14&amp;"_old",Ammortamento_Finanziario!$H:$L,5,FALSE),VLOOKUP($M14,TT_Tabelle_Riferimento!$H$31:$I$50,2,FALSE))</f>
        <v>8</v>
      </c>
      <c r="CF14" s="625">
        <f>+IFERROR(VLOOKUP(CF$6&amp;"-"&amp;$M14&amp;"_old",Ammortamento_Finanziario!$H:$L,5,FALSE),VLOOKUP($M14,TT_Tabelle_Riferimento!$H$31:$I$50,2,FALSE))</f>
        <v>8</v>
      </c>
      <c r="CG14" s="625">
        <f>+IFERROR(VLOOKUP(CG$6&amp;"-"&amp;$M14&amp;"_old",Ammortamento_Finanziario!$H:$L,5,FALSE),VLOOKUP($M14,TT_Tabelle_Riferimento!$H$31:$I$50,2,FALSE))</f>
        <v>8</v>
      </c>
      <c r="CH14" s="905">
        <f>+IFERROR(VLOOKUP(CH$6&amp;"-"&amp;$M14&amp;"_old",Ammortamento_Finanziario!$H:$L,5,FALSE),VLOOKUP($M14,TT_Tabelle_Riferimento!$H$31:$I$50,2,FALSE))</f>
        <v>8</v>
      </c>
      <c r="CI14" s="905">
        <f>+IFERROR(VLOOKUP(CI$6&amp;"-"&amp;$M14&amp;"_old",Ammortamento_Finanziario!$H:$L,5,FALSE),VLOOKUP($M14,TT_Tabelle_Riferimento!$H$31:$I$50,2,FALSE))</f>
        <v>8</v>
      </c>
      <c r="CJ14" s="905">
        <f>+IFERROR(VLOOKUP(CJ$6&amp;"-"&amp;$M14&amp;"_old",Ammortamento_Finanziario!$H:$L,5,FALSE),VLOOKUP($M14,TT_Tabelle_Riferimento!$H$31:$I$50,2,FALSE))</f>
        <v>8</v>
      </c>
      <c r="CK14" s="905">
        <f>+IFERROR(VLOOKUP(CK$6&amp;"-"&amp;$M14&amp;"_old",Ammortamento_Finanziario!$H:$L,5,FALSE),VLOOKUP($M14,TT_Tabelle_Riferimento!$H$31:$I$50,2,FALSE))</f>
        <v>8</v>
      </c>
      <c r="CL14" s="905">
        <f>+IFERROR(VLOOKUP(CL$6&amp;"-"&amp;$M14&amp;"_old",Ammortamento_Finanziario!$H:$L,5,FALSE),VLOOKUP($M14,TT_Tabelle_Riferimento!$H$31:$I$50,2,FALSE))</f>
        <v>8</v>
      </c>
      <c r="CM14" s="905">
        <f>+IFERROR(VLOOKUP(CM$6&amp;"-"&amp;$M14&amp;"_old",Ammortamento_Finanziario!$H:$L,5,FALSE),VLOOKUP($M14,TT_Tabelle_Riferimento!$H$31:$I$50,2,FALSE))</f>
        <v>8</v>
      </c>
      <c r="CN14" s="905">
        <f>+IFERROR(VLOOKUP(CN$6&amp;"-"&amp;$M14&amp;"_old",Ammortamento_Finanziario!$H:$L,5,FALSE),VLOOKUP($M14,TT_Tabelle_Riferimento!$H$31:$I$50,2,FALSE))</f>
        <v>8</v>
      </c>
      <c r="CO14" s="1740">
        <f>+IFERROR(VLOOKUP(CO$6&amp;"-"&amp;$M14&amp;"_old",Ammortamento_Finanziario!$H:$L,5,FALSE),VLOOKUP($M14,TT_Tabelle_Riferimento!$H$31:$I$50,2,FALSE))</f>
        <v>8</v>
      </c>
      <c r="CP14" s="1740">
        <f>+IFERROR(VLOOKUP(CP$6&amp;"-"&amp;$M14&amp;"_old",Ammortamento_Finanziario!$H:$L,5,FALSE),VLOOKUP($M14,TT_Tabelle_Riferimento!$H$31:$I$50,2,FALSE))</f>
        <v>8</v>
      </c>
      <c r="CQ14" s="1749">
        <f>+IFERROR(VLOOKUP(CQ$6&amp;"-"&amp;$M14&amp;"_old",Ammortamento_Finanziario!$H:$L,5,FALSE),VLOOKUP($M14,TT_Tabelle_Riferimento!$H$31:$I$50,2,FALSE))</f>
        <v>8</v>
      </c>
      <c r="CR14" s="1749">
        <f>+IFERROR(VLOOKUP(CR$6&amp;"-"&amp;$M14&amp;"_old",Ammortamento_Finanziario!$H:$L,5,FALSE),VLOOKUP($M14,TT_Tabelle_Riferimento!$H$31:$I$50,2,FALSE))</f>
        <v>8</v>
      </c>
      <c r="CS14" s="1749">
        <f>+IFERROR(VLOOKUP(CS$6&amp;"-"&amp;$M14&amp;"_old",Ammortamento_Finanziario!$H:$L,5,FALSE),VLOOKUP($M14,TT_Tabelle_Riferimento!$H$31:$I$50,2,FALSE))</f>
        <v>8</v>
      </c>
      <c r="CT14" s="1749">
        <f>+IFERROR(VLOOKUP(CT$6&amp;"-"&amp;$M14&amp;"_old",Ammortamento_Finanziario!$H:$L,5,FALSE),VLOOKUP($M14,TT_Tabelle_Riferimento!$H$31:$I$50,2,FALSE))</f>
        <v>8</v>
      </c>
      <c r="CU14" s="1749">
        <f>+IFERROR(VLOOKUP(CU$6&amp;"-"&amp;$M14&amp;"_old",Ammortamento_Finanziario!$H:$L,5,FALSE),VLOOKUP($M14,TT_Tabelle_Riferimento!$H$31:$I$50,2,FALSE))</f>
        <v>8</v>
      </c>
      <c r="CV14" s="1749">
        <f>+IFERROR(VLOOKUP(CV$6&amp;"-"&amp;$M14&amp;"_old",Ammortamento_Finanziario!$H:$L,5,FALSE),VLOOKUP($M14,TT_Tabelle_Riferimento!$H$31:$I$50,2,FALSE))</f>
        <v>8</v>
      </c>
      <c r="CW14" s="625">
        <f>+IFERROR(VLOOKUP(CW$6&amp;"-"&amp;$M14&amp;"_old",Ammortamento_Finanziario!$H:$L,5,FALSE),VLOOKUP($M14,TT_Tabelle_Riferimento!$H$31:$I$50,2,FALSE))</f>
        <v>8</v>
      </c>
      <c r="CX14" s="625">
        <f>+IFERROR(VLOOKUP(CX$6&amp;"-"&amp;$M14&amp;"_old",Ammortamento_Finanziario!$H:$L,5,FALSE),VLOOKUP($M14,TT_Tabelle_Riferimento!$H$31:$I$50,2,FALSE))</f>
        <v>8</v>
      </c>
      <c r="CY14" s="625">
        <f>+IFERROR(VLOOKUP(CY$6&amp;"-"&amp;$M14&amp;"_old",Ammortamento_Finanziario!$H:$L,5,FALSE),VLOOKUP($M14,TT_Tabelle_Riferimento!$H$31:$I$50,2,FALSE))</f>
        <v>8</v>
      </c>
      <c r="CZ14" s="625">
        <f>+IFERROR(VLOOKUP(CZ$6&amp;"-"&amp;$M14&amp;"_old",Ammortamento_Finanziario!$H:$L,5,FALSE),VLOOKUP($M14,TT_Tabelle_Riferimento!$H$31:$I$50,2,FALSE))</f>
        <v>8</v>
      </c>
      <c r="DA14" s="625">
        <f>+IFERROR(VLOOKUP(DA$6&amp;"-"&amp;$M14&amp;"_old",Ammortamento_Finanziario!$H:$L,5,FALSE),VLOOKUP($M14,TT_Tabelle_Riferimento!$H$31:$I$50,2,FALSE))</f>
        <v>8</v>
      </c>
      <c r="DB14" s="625">
        <f>+IFERROR(VLOOKUP(DB$6&amp;"-"&amp;$M14&amp;"_old",Ammortamento_Finanziario!$H:$L,5,FALSE),VLOOKUP($M14,TT_Tabelle_Riferimento!$H$31:$I$50,2,FALSE))</f>
        <v>8</v>
      </c>
      <c r="DC14" s="625">
        <f>+IFERROR(VLOOKUP(DC$6&amp;"-"&amp;$M14&amp;"_old",Ammortamento_Finanziario!$H:$L,5,FALSE),VLOOKUP($M14,TT_Tabelle_Riferimento!$H$31:$I$50,2,FALSE))</f>
        <v>8</v>
      </c>
      <c r="DD14" s="625">
        <f>+IFERROR(VLOOKUP(DD$6&amp;"-"&amp;$M14&amp;"_old",Ammortamento_Finanziario!$H:$L,5,FALSE),VLOOKUP($M14,TT_Tabelle_Riferimento!$H$31:$I$50,2,FALSE))</f>
        <v>8</v>
      </c>
      <c r="DE14" s="625">
        <f>+IFERROR(VLOOKUP(DE$6&amp;"-"&amp;$M14&amp;"_old",Ammortamento_Finanziario!$H:$L,5,FALSE),VLOOKUP($M14,TT_Tabelle_Riferimento!$H$31:$I$50,2,FALSE))</f>
        <v>8</v>
      </c>
      <c r="DF14" s="625">
        <f>+IFERROR(VLOOKUP(DF$6&amp;"-"&amp;$M14&amp;"_old",Ammortamento_Finanziario!$H:$L,5,FALSE),VLOOKUP($M14,TT_Tabelle_Riferimento!$H$31:$I$50,2,FALSE))</f>
        <v>8</v>
      </c>
      <c r="DG14" s="625">
        <f>+IFERROR(VLOOKUP(DG$6&amp;"-"&amp;$M14&amp;"_old",Ammortamento_Finanziario!$H:$L,5,FALSE),VLOOKUP($M14,TT_Tabelle_Riferimento!$H$31:$I$50,2,FALSE))</f>
        <v>8</v>
      </c>
      <c r="DH14" s="625">
        <f>+IFERROR(VLOOKUP(DH$6&amp;"-"&amp;$M14&amp;"_old",Ammortamento_Finanziario!$H:$L,5,FALSE),VLOOKUP($M14,TT_Tabelle_Riferimento!$H$31:$I$50,2,FALSE))</f>
        <v>8</v>
      </c>
      <c r="DI14" s="625">
        <f>+IFERROR(VLOOKUP(DI$6&amp;"-"&amp;$M14&amp;"_old",Ammortamento_Finanziario!$H:$L,5,FALSE),VLOOKUP($M14,TT_Tabelle_Riferimento!$H$31:$I$50,2,FALSE))</f>
        <v>8</v>
      </c>
      <c r="DJ14" s="625">
        <f>+IFERROR(VLOOKUP(DJ$6&amp;"-"&amp;$M14&amp;"_old",Ammortamento_Finanziario!$H:$L,5,FALSE),VLOOKUP($M14,TT_Tabelle_Riferimento!$H$31:$I$50,2,FALSE))</f>
        <v>8</v>
      </c>
      <c r="DK14" s="625">
        <f>+IFERROR(VLOOKUP(DK$6&amp;"-"&amp;$M14&amp;"_old",Ammortamento_Finanziario!$H:$L,5,FALSE),VLOOKUP($M14,TT_Tabelle_Riferimento!$H$31:$I$50,2,FALSE))</f>
        <v>8</v>
      </c>
      <c r="DL14" s="625">
        <f>+IFERROR(VLOOKUP(DL$6&amp;"-"&amp;$M14&amp;"_old",Ammortamento_Finanziario!$H:$L,5,FALSE),VLOOKUP($M14,TT_Tabelle_Riferimento!$H$31:$I$50,2,FALSE))</f>
        <v>8</v>
      </c>
      <c r="DM14" s="625">
        <f>+IFERROR(VLOOKUP(DM$6&amp;"-"&amp;$M14&amp;"_old",Ammortamento_Finanziario!$H:$L,5,FALSE),VLOOKUP($M14,TT_Tabelle_Riferimento!$H$31:$I$50,2,FALSE))</f>
        <v>8</v>
      </c>
      <c r="DN14" s="625">
        <f>+IFERROR(VLOOKUP(DN$6&amp;"-"&amp;$M14&amp;"_old",Ammortamento_Finanziario!$H:$L,5,FALSE),VLOOKUP($M14,TT_Tabelle_Riferimento!$H$31:$I$50,2,FALSE))</f>
        <v>8</v>
      </c>
      <c r="DO14" s="625">
        <f>+IFERROR(VLOOKUP(DO$6&amp;"-"&amp;$M14&amp;"_old",Ammortamento_Finanziario!$H:$L,5,FALSE),VLOOKUP($M14,TT_Tabelle_Riferimento!$H$31:$I$50,2,FALSE))</f>
        <v>8</v>
      </c>
      <c r="DP14" s="636">
        <f>+IFERROR(VLOOKUP(DP$6&amp;"-"&amp;$M14&amp;"_old",Ammortamento_Finanziario!$H:$L,5,FALSE),VLOOKUP($M14,TT_Tabelle_Riferimento!$H$31:$I$50,2,FALSE))</f>
        <v>8</v>
      </c>
      <c r="DQ14" s="636">
        <f>+IFERROR(VLOOKUP(DQ$6&amp;"-"&amp;$M14&amp;"_old",Ammortamento_Finanziario!$H:$L,5,FALSE),VLOOKUP($M14,TT_Tabelle_Riferimento!$H$31:$I$50,2,FALSE))</f>
        <v>8</v>
      </c>
      <c r="DR14" s="636">
        <f>+IFERROR(VLOOKUP(DR$6&amp;"-"&amp;$M14&amp;"_old",Ammortamento_Finanziario!$H:$L,5,FALSE),VLOOKUP($M14,TT_Tabelle_Riferimento!$H$31:$I$50,2,FALSE))</f>
        <v>8</v>
      </c>
      <c r="DS14" s="636">
        <f>+IFERROR(VLOOKUP(DS$6&amp;"-"&amp;$M14&amp;"_old",Ammortamento_Finanziario!$H:$L,5,FALSE),VLOOKUP($M14,TT_Tabelle_Riferimento!$H$31:$I$50,2,FALSE))</f>
        <v>8</v>
      </c>
      <c r="DT14" s="636">
        <f>+IFERROR(VLOOKUP(DT$6&amp;"-"&amp;$M14&amp;"_old",Ammortamento_Finanziario!$H:$L,5,FALSE),VLOOKUP($M14,TT_Tabelle_Riferimento!$H$31:$I$50,2,FALSE))</f>
        <v>8</v>
      </c>
      <c r="DU14" s="636">
        <f>+IFERROR(VLOOKUP(DU$6&amp;"-"&amp;$M14&amp;"_old",Ammortamento_Finanziario!$H:$L,5,FALSE),VLOOKUP($M14,TT_Tabelle_Riferimento!$H$31:$I$50,2,FALSE))</f>
        <v>8</v>
      </c>
      <c r="DV14" s="1742">
        <f>+IFERROR(VLOOKUP(DV$6&amp;"-"&amp;$M14&amp;"_old",Ammortamento_Finanziario!$H:$L,5,FALSE),VLOOKUP($M14,TT_Tabelle_Riferimento!$H$31:$I$50,2,FALSE))</f>
        <v>8</v>
      </c>
      <c r="DW14" s="1742">
        <f>+IFERROR(VLOOKUP(DW$6&amp;"-"&amp;$M14&amp;"_old",Ammortamento_Finanziario!$H:$L,5,FALSE),VLOOKUP($M14,TT_Tabelle_Riferimento!$H$31:$I$50,2,FALSE))</f>
        <v>8</v>
      </c>
      <c r="DX14" s="1750">
        <f>+IFERROR(VLOOKUP(DX$6&amp;"-"&amp;$M14&amp;"_old",Ammortamento_Finanziario!$H:$L,5,FALSE),VLOOKUP($M14,TT_Tabelle_Riferimento!$H$31:$I$50,2,FALSE))</f>
        <v>8</v>
      </c>
      <c r="DY14" s="1750">
        <f>+IFERROR(VLOOKUP(DY$6&amp;"-"&amp;$M14&amp;"_old",Ammortamento_Finanziario!$H:$L,5,FALSE),VLOOKUP($M14,TT_Tabelle_Riferimento!$H$31:$I$50,2,FALSE))</f>
        <v>8</v>
      </c>
      <c r="DZ14" s="1750">
        <f>+IFERROR(VLOOKUP(DZ$6&amp;"-"&amp;$M14&amp;"_old",Ammortamento_Finanziario!$H:$L,5,FALSE),VLOOKUP($M14,TT_Tabelle_Riferimento!$H$31:$I$50,2,FALSE))</f>
        <v>8</v>
      </c>
      <c r="EA14" s="1750">
        <f>+IFERROR(VLOOKUP(EA$6&amp;"-"&amp;$M14&amp;"_old",Ammortamento_Finanziario!$H:$L,5,FALSE),VLOOKUP($M14,TT_Tabelle_Riferimento!$H$31:$I$50,2,FALSE))</f>
        <v>8</v>
      </c>
      <c r="EB14" s="1750">
        <f>+IFERROR(VLOOKUP(EB$6&amp;"-"&amp;$M14&amp;"_old",Ammortamento_Finanziario!$H:$L,5,FALSE),VLOOKUP($M14,TT_Tabelle_Riferimento!$H$31:$I$50,2,FALSE))</f>
        <v>8</v>
      </c>
      <c r="EC14" s="1750">
        <f>+IFERROR(VLOOKUP(EC$6&amp;"-"&amp;$M14&amp;"_old",Ammortamento_Finanziario!$H:$L,5,FALSE),VLOOKUP($M14,TT_Tabelle_Riferimento!$H$31:$I$50,2,FALSE))</f>
        <v>8</v>
      </c>
      <c r="ED14" s="636">
        <f>+IFERROR(VLOOKUP(ED$6&amp;"-"&amp;$M14&amp;"_old",Ammortamento_Finanziario!$H:$L,5,FALSE),VLOOKUP($M14,TT_Tabelle_Riferimento!$H$31:$I$50,2,FALSE))</f>
        <v>8</v>
      </c>
      <c r="EE14" s="636">
        <f>+IFERROR(VLOOKUP(EE$6&amp;"-"&amp;$M14&amp;"_old",Ammortamento_Finanziario!$H:$L,5,FALSE),VLOOKUP($M14,TT_Tabelle_Riferimento!$H$31:$I$50,2,FALSE))</f>
        <v>8</v>
      </c>
      <c r="EF14" s="636">
        <f>+IFERROR(VLOOKUP(EF$6&amp;"-"&amp;$M14&amp;"_old",Ammortamento_Finanziario!$H:$L,5,FALSE),VLOOKUP($M14,TT_Tabelle_Riferimento!$H$31:$I$50,2,FALSE))</f>
        <v>8</v>
      </c>
      <c r="EG14" s="636">
        <f>+IFERROR(VLOOKUP(EG$6&amp;"-"&amp;$M14&amp;"_old",Ammortamento_Finanziario!$H:$L,5,FALSE),VLOOKUP($M14,TT_Tabelle_Riferimento!$H$31:$I$50,2,FALSE))</f>
        <v>8</v>
      </c>
      <c r="EH14" s="636">
        <f>+IFERROR(VLOOKUP(EH$6&amp;"-"&amp;$M14&amp;"_old",Ammortamento_Finanziario!$H:$L,5,FALSE),VLOOKUP($M14,TT_Tabelle_Riferimento!$H$31:$I$50,2,FALSE))</f>
        <v>8</v>
      </c>
      <c r="EI14" s="636">
        <f>+IFERROR(VLOOKUP(EI$6&amp;"-"&amp;$M14&amp;"_old",Ammortamento_Finanziario!$H:$L,5,FALSE),VLOOKUP($M14,TT_Tabelle_Riferimento!$H$31:$I$50,2,FALSE))</f>
        <v>8</v>
      </c>
      <c r="EJ14" s="636">
        <f>+IFERROR(VLOOKUP(EJ$6&amp;"-"&amp;$M14&amp;"_old",Ammortamento_Finanziario!$H:$L,5,FALSE),VLOOKUP($M14,TT_Tabelle_Riferimento!$H$31:$I$50,2,FALSE))</f>
        <v>8</v>
      </c>
      <c r="EK14" s="636">
        <f>+IFERROR(VLOOKUP(EK$6&amp;"-"&amp;$M14&amp;"_old",Ammortamento_Finanziario!$H:$L,5,FALSE),VLOOKUP($M14,TT_Tabelle_Riferimento!$H$31:$I$50,2,FALSE))</f>
        <v>8</v>
      </c>
      <c r="EL14" s="636">
        <f>+IFERROR(VLOOKUP(EL$6&amp;"-"&amp;$M14&amp;"_old",Ammortamento_Finanziario!$H:$L,5,FALSE),VLOOKUP($M14,TT_Tabelle_Riferimento!$H$31:$I$50,2,FALSE))</f>
        <v>8</v>
      </c>
      <c r="EM14" s="636">
        <f>+IFERROR(VLOOKUP(EM$6&amp;"-"&amp;$M14&amp;"_old",Ammortamento_Finanziario!$H:$L,5,FALSE),VLOOKUP($M14,TT_Tabelle_Riferimento!$H$31:$I$50,2,FALSE))</f>
        <v>8</v>
      </c>
      <c r="EN14" s="636">
        <f>+IFERROR(VLOOKUP(EN$6&amp;"-"&amp;$M14&amp;"_old",Ammortamento_Finanziario!$H:$L,5,FALSE),VLOOKUP($M14,TT_Tabelle_Riferimento!$H$31:$I$50,2,FALSE))</f>
        <v>8</v>
      </c>
      <c r="EO14" s="636">
        <f>+IFERROR(VLOOKUP(EO$6&amp;"-"&amp;$M14&amp;"_old",Ammortamento_Finanziario!$H:$L,5,FALSE),VLOOKUP($M14,TT_Tabelle_Riferimento!$H$31:$I$50,2,FALSE))</f>
        <v>8</v>
      </c>
      <c r="EP14" s="636">
        <f>+IFERROR(VLOOKUP(EP$6&amp;"-"&amp;$M14&amp;"_old",Ammortamento_Finanziario!$H:$L,5,FALSE),VLOOKUP($M14,TT_Tabelle_Riferimento!$H$31:$I$50,2,FALSE))</f>
        <v>8</v>
      </c>
      <c r="EQ14" s="636">
        <f>+IFERROR(VLOOKUP(EQ$6&amp;"-"&amp;$M14&amp;"_old",Ammortamento_Finanziario!$H:$L,5,FALSE),VLOOKUP($M14,TT_Tabelle_Riferimento!$H$31:$I$50,2,FALSE))</f>
        <v>8</v>
      </c>
      <c r="ER14" s="636">
        <f>+IFERROR(VLOOKUP(ER$6&amp;"-"&amp;$M14&amp;"_old",Ammortamento_Finanziario!$H:$L,5,FALSE),VLOOKUP($M14,TT_Tabelle_Riferimento!$H$31:$I$50,2,FALSE))</f>
        <v>8</v>
      </c>
      <c r="ES14" s="636">
        <f>+IFERROR(VLOOKUP(ES$6&amp;"-"&amp;$M14&amp;"_old",Ammortamento_Finanziario!$H:$L,5,FALSE),VLOOKUP($M14,TT_Tabelle_Riferimento!$H$31:$I$50,2,FALSE))</f>
        <v>8</v>
      </c>
      <c r="ET14" s="636">
        <f>+IFERROR(VLOOKUP(ET$6&amp;"-"&amp;$M14&amp;"_old",Ammortamento_Finanziario!$H:$L,5,FALSE),VLOOKUP($M14,TT_Tabelle_Riferimento!$H$31:$I$50,2,FALSE))</f>
        <v>8</v>
      </c>
      <c r="EU14" s="636">
        <f>+IFERROR(VLOOKUP(EU$6&amp;"-"&amp;$M14&amp;"_old",Ammortamento_Finanziario!$H:$L,5,FALSE),VLOOKUP($M14,TT_Tabelle_Riferimento!$H$31:$I$50,2,FALSE))</f>
        <v>8</v>
      </c>
      <c r="EV14" s="636">
        <f>+IFERROR(VLOOKUP(EV$6&amp;"-"&amp;$M14&amp;"_old",Ammortamento_Finanziario!$H:$L,5,FALSE),VLOOKUP($M14,TT_Tabelle_Riferimento!$H$31:$I$50,2,FALSE))</f>
        <v>8</v>
      </c>
      <c r="EW14" s="1048">
        <f>+IFERROR(VLOOKUP(EW$6&amp;"-"&amp;$M14&amp;"_old",Ammortamento_Finanziario!$H:$L,5,FALSE),VLOOKUP($M14,TT_Tabelle_Riferimento!$H$31:$I$50,2,FALSE))</f>
        <v>8</v>
      </c>
      <c r="EX14" s="1048">
        <f>+IFERROR(VLOOKUP(EX$6&amp;"-"&amp;$M14&amp;"_old",Ammortamento_Finanziario!$H:$L,5,FALSE),VLOOKUP($M14,TT_Tabelle_Riferimento!$H$31:$I$50,2,FALSE))</f>
        <v>8</v>
      </c>
      <c r="EY14" s="1048">
        <f>+IFERROR(VLOOKUP(EY$6&amp;"-"&amp;$M14&amp;"_old",Ammortamento_Finanziario!$H:$L,5,FALSE),VLOOKUP($M14,TT_Tabelle_Riferimento!$H$31:$I$50,2,FALSE))</f>
        <v>8</v>
      </c>
      <c r="EZ14" s="1048">
        <f>+IFERROR(VLOOKUP(EZ$6&amp;"-"&amp;$M14&amp;"_old",Ammortamento_Finanziario!$H:$L,5,FALSE),VLOOKUP($M14,TT_Tabelle_Riferimento!$H$31:$I$50,2,FALSE))</f>
        <v>8</v>
      </c>
      <c r="FA14" s="1048">
        <f>+IFERROR(VLOOKUP(FA$6&amp;"-"&amp;$M14&amp;"_old",Ammortamento_Finanziario!$H:$L,5,FALSE),VLOOKUP($M14,TT_Tabelle_Riferimento!$H$31:$I$50,2,FALSE))</f>
        <v>8</v>
      </c>
      <c r="FB14" s="1743">
        <f>+IFERROR(VLOOKUP(FB$6&amp;"-"&amp;$M14&amp;"_old",Ammortamento_Finanziario!$H:$L,5,FALSE),VLOOKUP($M14,TT_Tabelle_Riferimento!$H$31:$I$50,2,FALSE))</f>
        <v>8</v>
      </c>
      <c r="FC14" s="1743">
        <f>+IFERROR(VLOOKUP(FC$6&amp;"-"&amp;$M14&amp;"_old",Ammortamento_Finanziario!$H:$L,5,FALSE),VLOOKUP($M14,TT_Tabelle_Riferimento!$H$31:$I$50,2,FALSE))</f>
        <v>8</v>
      </c>
      <c r="FD14" s="1751">
        <f>+IFERROR(VLOOKUP(FD$6&amp;"-"&amp;$M14&amp;"_old",Ammortamento_Finanziario!$H:$L,5,FALSE),VLOOKUP($M14,TT_Tabelle_Riferimento!$H$31:$I$50,2,FALSE))</f>
        <v>8</v>
      </c>
      <c r="FE14" s="1751">
        <f>+IFERROR(VLOOKUP(FE$6&amp;"-"&amp;$M14&amp;"_old",Ammortamento_Finanziario!$H:$L,5,FALSE),VLOOKUP($M14,TT_Tabelle_Riferimento!$H$31:$I$50,2,FALSE))</f>
        <v>8</v>
      </c>
      <c r="FF14" s="1751">
        <f>+IFERROR(VLOOKUP(FF$6&amp;"-"&amp;$M14&amp;"_old",Ammortamento_Finanziario!$H:$L,5,FALSE),VLOOKUP($M14,TT_Tabelle_Riferimento!$H$31:$I$50,2,FALSE))</f>
        <v>8</v>
      </c>
      <c r="FG14" s="1751">
        <f>+IFERROR(VLOOKUP(FG$6&amp;"-"&amp;$M14&amp;"_old",Ammortamento_Finanziario!$H:$L,5,FALSE),VLOOKUP($M14,TT_Tabelle_Riferimento!$H$31:$I$50,2,FALSE))</f>
        <v>8</v>
      </c>
      <c r="FH14" s="1751">
        <f>+IFERROR(VLOOKUP(FH$6&amp;"-"&amp;$M14&amp;"_old",Ammortamento_Finanziario!$H:$L,5,FALSE),VLOOKUP($M14,TT_Tabelle_Riferimento!$H$31:$I$50,2,FALSE))</f>
        <v>8</v>
      </c>
      <c r="FI14" s="1751">
        <f>+IFERROR(VLOOKUP(FI$6&amp;"-"&amp;$M14&amp;"_old",Ammortamento_Finanziario!$H:$L,5,FALSE),VLOOKUP($M14,TT_Tabelle_Riferimento!$H$31:$I$50,2,FALSE))</f>
        <v>8</v>
      </c>
      <c r="FJ14" s="629">
        <f>+IFERROR(VLOOKUP(FJ$6&amp;"-"&amp;$M14&amp;"_old",Ammortamento_Finanziario!$H:$L,5,FALSE),VLOOKUP($M14,TT_Tabelle_Riferimento!$H$31:$I$50,2,FALSE))</f>
        <v>8</v>
      </c>
      <c r="FK14" s="629">
        <f>+IFERROR(VLOOKUP(FK$6&amp;"-"&amp;$M14&amp;"_old",Ammortamento_Finanziario!$H:$L,5,FALSE),VLOOKUP($M14,TT_Tabelle_Riferimento!$H$31:$I$50,2,FALSE))</f>
        <v>8</v>
      </c>
      <c r="FL14" s="629">
        <f>+IFERROR(VLOOKUP(FL$6&amp;"-"&amp;$M14&amp;"_old",Ammortamento_Finanziario!$H:$L,5,FALSE),VLOOKUP($M14,TT_Tabelle_Riferimento!$H$31:$I$50,2,FALSE))</f>
        <v>8</v>
      </c>
      <c r="FM14" s="629">
        <f>+IFERROR(VLOOKUP(FM$6&amp;"-"&amp;$M14&amp;"_old",Ammortamento_Finanziario!$H:$L,5,FALSE),VLOOKUP($M14,TT_Tabelle_Riferimento!$H$31:$I$50,2,FALSE))</f>
        <v>8</v>
      </c>
      <c r="FN14" s="629">
        <f>+IFERROR(VLOOKUP(FN$6&amp;"-"&amp;$M14&amp;"_old",Ammortamento_Finanziario!$H:$L,5,FALSE),VLOOKUP($M14,TT_Tabelle_Riferimento!$H$31:$I$50,2,FALSE))</f>
        <v>8</v>
      </c>
      <c r="FO14" s="629">
        <f>+IFERROR(VLOOKUP(FO$6&amp;"-"&amp;$M14&amp;"_old",Ammortamento_Finanziario!$H:$L,5,FALSE),VLOOKUP($M14,TT_Tabelle_Riferimento!$H$31:$I$50,2,FALSE))</f>
        <v>8</v>
      </c>
      <c r="FP14" s="629">
        <f>+IFERROR(VLOOKUP(FP$6&amp;"-"&amp;$M14&amp;"_old",Ammortamento_Finanziario!$H:$L,5,FALSE),VLOOKUP($M14,TT_Tabelle_Riferimento!$H$31:$I$50,2,FALSE))</f>
        <v>8</v>
      </c>
      <c r="FQ14" s="629">
        <f>+IFERROR(VLOOKUP(FQ$6&amp;"-"&amp;$M14&amp;"_old",Ammortamento_Finanziario!$H:$L,5,FALSE),VLOOKUP($M14,TT_Tabelle_Riferimento!$H$31:$I$50,2,FALSE))</f>
        <v>8</v>
      </c>
      <c r="FR14" s="629">
        <f>+IFERROR(VLOOKUP(FR$6&amp;"-"&amp;$M14&amp;"_old",Ammortamento_Finanziario!$H:$L,5,FALSE),VLOOKUP($M14,TT_Tabelle_Riferimento!$H$31:$I$50,2,FALSE))</f>
        <v>8</v>
      </c>
      <c r="FS14" s="629">
        <f>+IFERROR(VLOOKUP(FS$6&amp;"-"&amp;$M14&amp;"_old",Ammortamento_Finanziario!$H:$L,5,FALSE),VLOOKUP($M14,TT_Tabelle_Riferimento!$H$31:$I$50,2,FALSE))</f>
        <v>8</v>
      </c>
      <c r="FT14" s="629">
        <f>+IFERROR(VLOOKUP(FT$6&amp;"-"&amp;$M14&amp;"_old",Ammortamento_Finanziario!$H:$L,5,FALSE),VLOOKUP($M14,TT_Tabelle_Riferimento!$H$31:$I$50,2,FALSE))</f>
        <v>8</v>
      </c>
      <c r="FU14" s="629">
        <f>+IFERROR(VLOOKUP(FU$6&amp;"-"&amp;$M14&amp;"_old",Ammortamento_Finanziario!$H:$L,5,FALSE),VLOOKUP($M14,TT_Tabelle_Riferimento!$H$31:$I$50,2,FALSE))</f>
        <v>8</v>
      </c>
      <c r="FV14" s="629">
        <f>+IFERROR(VLOOKUP(FV$6&amp;"-"&amp;$M14&amp;"_old",Ammortamento_Finanziario!$H:$L,5,FALSE),VLOOKUP($M14,TT_Tabelle_Riferimento!$H$31:$I$50,2,FALSE))</f>
        <v>8</v>
      </c>
      <c r="FW14" s="629">
        <f>+IFERROR(VLOOKUP(FW$6&amp;"-"&amp;$M14&amp;"_old",Ammortamento_Finanziario!$H:$L,5,FALSE),VLOOKUP($M14,TT_Tabelle_Riferimento!$H$31:$I$50,2,FALSE))</f>
        <v>8</v>
      </c>
      <c r="FX14" s="629">
        <f>+IFERROR(VLOOKUP(FX$6&amp;"-"&amp;$M14&amp;"_old",Ammortamento_Finanziario!$H:$L,5,FALSE),VLOOKUP($M14,TT_Tabelle_Riferimento!$H$31:$I$50,2,FALSE))</f>
        <v>8</v>
      </c>
      <c r="FY14" s="629">
        <f>+IFERROR(VLOOKUP(FY$6&amp;"-"&amp;$M14&amp;"_old",Ammortamento_Finanziario!$H:$L,5,FALSE),VLOOKUP($M14,TT_Tabelle_Riferimento!$H$31:$I$50,2,FALSE))</f>
        <v>8</v>
      </c>
      <c r="FZ14" s="629">
        <f>+IFERROR(VLOOKUP(FZ$6&amp;"-"&amp;$M14&amp;"_old",Ammortamento_Finanziario!$H:$L,5,FALSE),VLOOKUP($M14,TT_Tabelle_Riferimento!$H$31:$I$50,2,FALSE))</f>
        <v>8</v>
      </c>
      <c r="GA14" s="629">
        <f>+IFERROR(VLOOKUP(GA$6&amp;"-"&amp;$M14&amp;"_old",Ammortamento_Finanziario!$H:$L,5,FALSE),VLOOKUP($M14,TT_Tabelle_Riferimento!$H$31:$I$50,2,FALSE))</f>
        <v>8</v>
      </c>
      <c r="GB14" s="629">
        <f>+IFERROR(VLOOKUP(GB$6&amp;"-"&amp;$M14&amp;"_old",Ammortamento_Finanziario!$H:$L,5,FALSE),VLOOKUP($M14,TT_Tabelle_Riferimento!$H$31:$I$50,2,FALSE))</f>
        <v>8</v>
      </c>
      <c r="GC14" s="635">
        <f>+IFERROR(VLOOKUP(GC$6&amp;"-"&amp;$M14&amp;"_old",Ammortamento_Finanziario!$H:$L,5,FALSE),VLOOKUP($M14,TT_Tabelle_Riferimento!$H$31:$I$50,2,FALSE))</f>
        <v>8</v>
      </c>
      <c r="GD14" s="635">
        <f>+IFERROR(VLOOKUP(GD$6&amp;"-"&amp;$M14&amp;"_old",Ammortamento_Finanziario!$H:$L,5,FALSE),VLOOKUP($M14,TT_Tabelle_Riferimento!$H$31:$I$50,2,FALSE))</f>
        <v>8</v>
      </c>
      <c r="GE14" s="635">
        <f>+IFERROR(VLOOKUP(GE$6&amp;"-"&amp;$M14&amp;"_old",Ammortamento_Finanziario!$H:$L,5,FALSE),VLOOKUP($M14,TT_Tabelle_Riferimento!$H$31:$I$50,2,FALSE))</f>
        <v>8</v>
      </c>
      <c r="GF14" s="635">
        <f>+IFERROR(VLOOKUP(GF$6&amp;"-"&amp;$M14&amp;"_old",Ammortamento_Finanziario!$H:$L,5,FALSE),VLOOKUP($M14,TT_Tabelle_Riferimento!$H$31:$I$50,2,FALSE))</f>
        <v>8</v>
      </c>
      <c r="GG14" s="1744">
        <f>+IFERROR(VLOOKUP(GG$6&amp;"-"&amp;$M14&amp;"_old",Ammortamento_Finanziario!$H:$L,5,FALSE),VLOOKUP($M14,TT_Tabelle_Riferimento!$H$31:$I$50,2,FALSE))</f>
        <v>8</v>
      </c>
      <c r="GH14" s="1744">
        <f>+IFERROR(VLOOKUP(GH$6&amp;"-"&amp;$M14&amp;"_old",Ammortamento_Finanziario!$H:$L,5,FALSE),VLOOKUP($M14,TT_Tabelle_Riferimento!$H$31:$I$50,2,FALSE))</f>
        <v>8</v>
      </c>
      <c r="GI14" s="1752">
        <f>+IFERROR(VLOOKUP(GI$6&amp;"-"&amp;$M14&amp;"_old",Ammortamento_Finanziario!$H:$L,5,FALSE),VLOOKUP($M14,TT_Tabelle_Riferimento!$H$31:$I$50,2,FALSE))</f>
        <v>8</v>
      </c>
      <c r="GJ14" s="1752">
        <f>+IFERROR(VLOOKUP(GJ$6&amp;"-"&amp;$M14&amp;"_old",Ammortamento_Finanziario!$H:$L,5,FALSE),VLOOKUP($M14,TT_Tabelle_Riferimento!$H$31:$I$50,2,FALSE))</f>
        <v>8</v>
      </c>
      <c r="GK14" s="1752">
        <f>+IFERROR(VLOOKUP(GK$6&amp;"-"&amp;$M14&amp;"_old",Ammortamento_Finanziario!$H:$L,5,FALSE),VLOOKUP($M14,TT_Tabelle_Riferimento!$H$31:$I$50,2,FALSE))</f>
        <v>8</v>
      </c>
      <c r="GL14" s="1752">
        <f>+IFERROR(VLOOKUP(GL$6&amp;"-"&amp;$M14&amp;"_old",Ammortamento_Finanziario!$H:$L,5,FALSE),VLOOKUP($M14,TT_Tabelle_Riferimento!$H$31:$I$50,2,FALSE))</f>
        <v>8</v>
      </c>
      <c r="GM14" s="1752">
        <f>+IFERROR(VLOOKUP(GM$6&amp;"-"&amp;$M14&amp;"_old",Ammortamento_Finanziario!$H:$L,5,FALSE),VLOOKUP($M14,TT_Tabelle_Riferimento!$H$31:$I$50,2,FALSE))</f>
        <v>8</v>
      </c>
      <c r="GN14" s="1752">
        <f>+IFERROR(VLOOKUP(GN$6&amp;"-"&amp;$M14&amp;"_old",Ammortamento_Finanziario!$H:$L,5,FALSE),VLOOKUP($M14,TT_Tabelle_Riferimento!$H$31:$I$50,2,FALSE))</f>
        <v>8</v>
      </c>
      <c r="GO14" s="628">
        <f>+IFERROR(VLOOKUP(GO$6&amp;"-"&amp;$M14&amp;"_old",Ammortamento_Finanziario!$H:$L,5,FALSE),VLOOKUP($M14,TT_Tabelle_Riferimento!$H$31:$I$50,2,FALSE))</f>
        <v>8</v>
      </c>
      <c r="GP14" s="628">
        <f>+IFERROR(VLOOKUP(GP$6&amp;"-"&amp;$M14&amp;"_old",Ammortamento_Finanziario!$H:$L,5,FALSE),VLOOKUP($M14,TT_Tabelle_Riferimento!$H$31:$I$50,2,FALSE))</f>
        <v>8</v>
      </c>
      <c r="GQ14" s="628">
        <f>+IFERROR(VLOOKUP(GQ$6&amp;"-"&amp;$M14&amp;"_old",Ammortamento_Finanziario!$H:$L,5,FALSE),VLOOKUP($M14,TT_Tabelle_Riferimento!$H$31:$I$50,2,FALSE))</f>
        <v>8</v>
      </c>
      <c r="GR14" s="628">
        <f>+IFERROR(VLOOKUP(GR$6&amp;"-"&amp;$M14&amp;"_old",Ammortamento_Finanziario!$H:$L,5,FALSE),VLOOKUP($M14,TT_Tabelle_Riferimento!$H$31:$I$50,2,FALSE))</f>
        <v>8</v>
      </c>
      <c r="GS14" s="628">
        <f>+IFERROR(VLOOKUP(GS$6&amp;"-"&amp;$M14&amp;"_old",Ammortamento_Finanziario!$H:$L,5,FALSE),VLOOKUP($M14,TT_Tabelle_Riferimento!$H$31:$I$50,2,FALSE))</f>
        <v>8</v>
      </c>
      <c r="GT14" s="628">
        <f>+IFERROR(VLOOKUP(GT$6&amp;"-"&amp;$M14&amp;"_old",Ammortamento_Finanziario!$H:$L,5,FALSE),VLOOKUP($M14,TT_Tabelle_Riferimento!$H$31:$I$50,2,FALSE))</f>
        <v>8</v>
      </c>
      <c r="GU14" s="628">
        <f>+IFERROR(VLOOKUP(GU$6&amp;"-"&amp;$M14&amp;"_old",Ammortamento_Finanziario!$H:$L,5,FALSE),VLOOKUP($M14,TT_Tabelle_Riferimento!$H$31:$I$50,2,FALSE))</f>
        <v>8</v>
      </c>
      <c r="GV14" s="628">
        <f>+IFERROR(VLOOKUP(GV$6&amp;"-"&amp;$M14&amp;"_old",Ammortamento_Finanziario!$H:$L,5,FALSE),VLOOKUP($M14,TT_Tabelle_Riferimento!$H$31:$I$50,2,FALSE))</f>
        <v>8</v>
      </c>
      <c r="GW14" s="628">
        <f>+IFERROR(VLOOKUP(GW$6&amp;"-"&amp;$M14&amp;"_old",Ammortamento_Finanziario!$H:$L,5,FALSE),VLOOKUP($M14,TT_Tabelle_Riferimento!$H$31:$I$50,2,FALSE))</f>
        <v>8</v>
      </c>
      <c r="GX14" s="628">
        <f>+IFERROR(VLOOKUP(GX$6&amp;"-"&amp;$M14&amp;"_old",Ammortamento_Finanziario!$H:$L,5,FALSE),VLOOKUP($M14,TT_Tabelle_Riferimento!$H$31:$I$50,2,FALSE))</f>
        <v>8</v>
      </c>
      <c r="GY14" s="628">
        <f>+IFERROR(VLOOKUP(GY$6&amp;"-"&amp;$M14&amp;"_old",Ammortamento_Finanziario!$H:$L,5,FALSE),VLOOKUP($M14,TT_Tabelle_Riferimento!$H$31:$I$50,2,FALSE))</f>
        <v>8</v>
      </c>
      <c r="GZ14" s="628">
        <f>+IFERROR(VLOOKUP(GZ$6&amp;"-"&amp;$M14&amp;"_old",Ammortamento_Finanziario!$H:$L,5,FALSE),VLOOKUP($M14,TT_Tabelle_Riferimento!$H$31:$I$50,2,FALSE))</f>
        <v>8</v>
      </c>
      <c r="HA14" s="628">
        <f>+IFERROR(VLOOKUP(HA$6&amp;"-"&amp;$M14&amp;"_old",Ammortamento_Finanziario!$H:$L,5,FALSE),VLOOKUP($M14,TT_Tabelle_Riferimento!$H$31:$I$50,2,FALSE))</f>
        <v>8</v>
      </c>
      <c r="HB14" s="628">
        <f>+IFERROR(VLOOKUP(HB$6&amp;"-"&amp;$M14&amp;"_old",Ammortamento_Finanziario!$H:$L,5,FALSE),VLOOKUP($M14,TT_Tabelle_Riferimento!$H$31:$I$50,2,FALSE))</f>
        <v>8</v>
      </c>
      <c r="HC14" s="628">
        <f>+IFERROR(VLOOKUP(HC$6&amp;"-"&amp;$M14&amp;"_old",Ammortamento_Finanziario!$H:$L,5,FALSE),VLOOKUP($M14,TT_Tabelle_Riferimento!$H$31:$I$50,2,FALSE))</f>
        <v>8</v>
      </c>
      <c r="HD14" s="628">
        <f>+IFERROR(VLOOKUP(HD$6&amp;"-"&amp;$M14&amp;"_old",Ammortamento_Finanziario!$H:$L,5,FALSE),VLOOKUP($M14,TT_Tabelle_Riferimento!$H$31:$I$50,2,FALSE))</f>
        <v>8</v>
      </c>
      <c r="HE14" s="628">
        <f>+IFERROR(VLOOKUP(HE$6&amp;"-"&amp;$M14&amp;"_old",Ammortamento_Finanziario!$H:$L,5,FALSE),VLOOKUP($M14,TT_Tabelle_Riferimento!$H$31:$I$50,2,FALSE))</f>
        <v>8</v>
      </c>
      <c r="HF14" s="628">
        <f>+IFERROR(VLOOKUP(HF$6&amp;"-"&amp;$M14&amp;"_old",Ammortamento_Finanziario!$H:$L,5,FALSE),VLOOKUP($M14,TT_Tabelle_Riferimento!$H$31:$I$50,2,FALSE))</f>
        <v>8</v>
      </c>
      <c r="HG14" s="628">
        <f>+IFERROR(VLOOKUP(HG$6&amp;"-"&amp;$M14&amp;"_old",Ammortamento_Finanziario!$H:$L,5,FALSE),VLOOKUP($M14,TT_Tabelle_Riferimento!$H$31:$I$50,2,FALSE))</f>
        <v>8</v>
      </c>
      <c r="HH14" s="422">
        <f>+IFERROR(VLOOKUP(HH$6&amp;"-"&amp;$M14&amp;"_old",Ammortamento_Finanziario!$H:$L,5,FALSE),VLOOKUP($M14,TT_Tabelle_Riferimento!$H$31:$I$50,2,FALSE))</f>
        <v>8</v>
      </c>
      <c r="HI14" s="422">
        <f>+IFERROR(VLOOKUP(HI$6&amp;"-"&amp;$M14&amp;"_old",Ammortamento_Finanziario!$H:$L,5,FALSE),VLOOKUP($M14,TT_Tabelle_Riferimento!$H$31:$I$50,2,FALSE))</f>
        <v>8</v>
      </c>
      <c r="HJ14" s="422">
        <f>+IFERROR(VLOOKUP(HJ$6&amp;"-"&amp;$M14&amp;"_old",Ammortamento_Finanziario!$H:$L,5,FALSE),VLOOKUP($M14,TT_Tabelle_Riferimento!$H$31:$I$50,2,FALSE))</f>
        <v>8</v>
      </c>
      <c r="HK14" s="1746">
        <f>+IFERROR(VLOOKUP(HK$6&amp;"-"&amp;$M14&amp;"_old",Ammortamento_Finanziario!$H:$L,5,FALSE),VLOOKUP($M14,TT_Tabelle_Riferimento!$H$31:$I$50,2,FALSE))</f>
        <v>8</v>
      </c>
      <c r="HL14" s="1746">
        <f>+IFERROR(VLOOKUP(HL$6&amp;"-"&amp;$M14&amp;"_old",Ammortamento_Finanziario!$H:$L,5,FALSE),VLOOKUP($M14,TT_Tabelle_Riferimento!$H$31:$I$50,2,FALSE))</f>
        <v>8</v>
      </c>
      <c r="HM14" s="1753">
        <f>+IFERROR(VLOOKUP(HM$6&amp;"-"&amp;$M14&amp;"_old",Ammortamento_Finanziario!$H:$L,5,FALSE),VLOOKUP($M14,TT_Tabelle_Riferimento!$H$31:$I$50,2,FALSE))</f>
        <v>8</v>
      </c>
      <c r="HN14" s="1753">
        <f>+IFERROR(VLOOKUP(HN$6&amp;"-"&amp;$M14&amp;"_old",Ammortamento_Finanziario!$H:$L,5,FALSE),VLOOKUP($M14,TT_Tabelle_Riferimento!$H$31:$I$50,2,FALSE))</f>
        <v>8</v>
      </c>
      <c r="HO14" s="1753">
        <f>+IFERROR(VLOOKUP(HO$6&amp;"-"&amp;$M14&amp;"_old",Ammortamento_Finanziario!$H:$L,5,FALSE),VLOOKUP($M14,TT_Tabelle_Riferimento!$H$31:$I$50,2,FALSE))</f>
        <v>8</v>
      </c>
      <c r="HP14" s="1753">
        <f>+IFERROR(VLOOKUP(HP$6&amp;"-"&amp;$M14&amp;"_old",Ammortamento_Finanziario!$H:$L,5,FALSE),VLOOKUP($M14,TT_Tabelle_Riferimento!$H$31:$I$50,2,FALSE))</f>
        <v>8</v>
      </c>
      <c r="HQ14" s="1753">
        <f>+IFERROR(VLOOKUP(HQ$6&amp;"-"&amp;$M14&amp;"_old",Ammortamento_Finanziario!$H:$L,5,FALSE),VLOOKUP($M14,TT_Tabelle_Riferimento!$H$31:$I$50,2,FALSE))</f>
        <v>8</v>
      </c>
      <c r="HR14" s="1753">
        <f>+IFERROR(VLOOKUP(HR$6&amp;"-"&amp;$M14&amp;"_old",Ammortamento_Finanziario!$H:$L,5,FALSE),VLOOKUP($M14,TT_Tabelle_Riferimento!$H$31:$I$50,2,FALSE))</f>
        <v>8</v>
      </c>
      <c r="HS14" s="422">
        <f>+IFERROR(VLOOKUP(HS$6&amp;"-"&amp;$M14&amp;"_old",Ammortamento_Finanziario!$H:$L,5,FALSE),VLOOKUP($M14,TT_Tabelle_Riferimento!$H$31:$I$50,2,FALSE))</f>
        <v>8</v>
      </c>
      <c r="HT14" s="422">
        <f>+IFERROR(VLOOKUP(HT$6&amp;"-"&amp;$M14&amp;"_old",Ammortamento_Finanziario!$H:$L,5,FALSE),VLOOKUP($M14,TT_Tabelle_Riferimento!$H$31:$I$50,2,FALSE))</f>
        <v>8</v>
      </c>
      <c r="HU14" s="422">
        <f>+IFERROR(VLOOKUP(HU$6&amp;"-"&amp;$M14&amp;"_old",Ammortamento_Finanziario!$H:$L,5,FALSE),VLOOKUP($M14,TT_Tabelle_Riferimento!$H$31:$I$50,2,FALSE))</f>
        <v>8</v>
      </c>
      <c r="HV14" s="422">
        <f>+IFERROR(VLOOKUP(HV$6&amp;"-"&amp;$M14&amp;"_old",Ammortamento_Finanziario!$H:$L,5,FALSE),VLOOKUP($M14,TT_Tabelle_Riferimento!$H$31:$I$50,2,FALSE))</f>
        <v>8</v>
      </c>
      <c r="HW14" s="422">
        <f>+IFERROR(VLOOKUP(HW$6&amp;"-"&amp;$M14&amp;"_old",Ammortamento_Finanziario!$H:$L,5,FALSE),VLOOKUP($M14,TT_Tabelle_Riferimento!$H$31:$I$50,2,FALSE))</f>
        <v>8</v>
      </c>
      <c r="HX14" s="422">
        <f>+IFERROR(VLOOKUP(HX$6&amp;"-"&amp;$M14&amp;"_old",Ammortamento_Finanziario!$H:$L,5,FALSE),VLOOKUP($M14,TT_Tabelle_Riferimento!$H$31:$I$50,2,FALSE))</f>
        <v>8</v>
      </c>
      <c r="HY14" s="422">
        <f>+IFERROR(VLOOKUP(HY$6&amp;"-"&amp;$M14&amp;"_old",Ammortamento_Finanziario!$H:$L,5,FALSE),VLOOKUP($M14,TT_Tabelle_Riferimento!$H$31:$I$50,2,FALSE))</f>
        <v>8</v>
      </c>
      <c r="HZ14" s="422">
        <f>+IFERROR(VLOOKUP(HZ$6&amp;"-"&amp;$M14&amp;"_old",Ammortamento_Finanziario!$H:$L,5,FALSE),VLOOKUP($M14,TT_Tabelle_Riferimento!$H$31:$I$50,2,FALSE))</f>
        <v>8</v>
      </c>
      <c r="IA14" s="422">
        <f>+IFERROR(VLOOKUP(IA$6&amp;"-"&amp;$M14&amp;"_old",Ammortamento_Finanziario!$H:$L,5,FALSE),VLOOKUP($M14,TT_Tabelle_Riferimento!$H$31:$I$50,2,FALSE))</f>
        <v>8</v>
      </c>
      <c r="IB14" s="422">
        <f>+IFERROR(VLOOKUP(IB$6&amp;"-"&amp;$M14&amp;"_old",Ammortamento_Finanziario!$H:$L,5,FALSE),VLOOKUP($M14,TT_Tabelle_Riferimento!$H$31:$I$50,2,FALSE))</f>
        <v>8</v>
      </c>
      <c r="IC14" s="422">
        <f>+IFERROR(VLOOKUP(IC$6&amp;"-"&amp;$M14&amp;"_old",Ammortamento_Finanziario!$H:$L,5,FALSE),VLOOKUP($M14,TT_Tabelle_Riferimento!$H$31:$I$50,2,FALSE))</f>
        <v>8</v>
      </c>
      <c r="ID14" s="422">
        <f>+IFERROR(VLOOKUP(ID$6&amp;"-"&amp;$M14&amp;"_old",Ammortamento_Finanziario!$H:$L,5,FALSE),VLOOKUP($M14,TT_Tabelle_Riferimento!$H$31:$I$50,2,FALSE))</f>
        <v>8</v>
      </c>
      <c r="IE14" s="422">
        <f>+IFERROR(VLOOKUP(IE$6&amp;"-"&amp;$M14&amp;"_old",Ammortamento_Finanziario!$H:$L,5,FALSE),VLOOKUP($M14,TT_Tabelle_Riferimento!$H$31:$I$50,2,FALSE))</f>
        <v>8</v>
      </c>
      <c r="IF14" s="422">
        <f>+IFERROR(VLOOKUP(IF$6&amp;"-"&amp;$M14&amp;"_old",Ammortamento_Finanziario!$H:$L,5,FALSE),VLOOKUP($M14,TT_Tabelle_Riferimento!$H$31:$I$50,2,FALSE))</f>
        <v>8</v>
      </c>
      <c r="IG14" s="422">
        <f>+IFERROR(VLOOKUP(IG$6&amp;"-"&amp;$M14&amp;"_old",Ammortamento_Finanziario!$H:$L,5,FALSE),VLOOKUP($M14,TT_Tabelle_Riferimento!$H$31:$I$50,2,FALSE))</f>
        <v>8</v>
      </c>
      <c r="IH14" s="422">
        <f>+IFERROR(VLOOKUP(IH$6&amp;"-"&amp;$M14&amp;"_old",Ammortamento_Finanziario!$H:$L,5,FALSE),VLOOKUP($M14,TT_Tabelle_Riferimento!$H$31:$I$50,2,FALSE))</f>
        <v>8</v>
      </c>
      <c r="II14" s="422">
        <f>+IFERROR(VLOOKUP(II$6&amp;"-"&amp;$M14&amp;"_old",Ammortamento_Finanziario!$H:$L,5,FALSE),VLOOKUP($M14,TT_Tabelle_Riferimento!$H$31:$I$50,2,FALSE))</f>
        <v>8</v>
      </c>
      <c r="IJ14" s="422">
        <f>+IFERROR(VLOOKUP(IJ$6&amp;"-"&amp;$M14&amp;"_old",Ammortamento_Finanziario!$H:$L,5,FALSE),VLOOKUP($M14,TT_Tabelle_Riferimento!$H$31:$I$50,2,FALSE))</f>
        <v>8</v>
      </c>
      <c r="IK14" s="422">
        <f>+IFERROR(VLOOKUP(IK$6&amp;"-"&amp;$M14&amp;"_old",Ammortamento_Finanziario!$H:$L,5,FALSE),VLOOKUP($M14,TT_Tabelle_Riferimento!$H$31:$I$50,2,FALSE))</f>
        <v>8</v>
      </c>
      <c r="IL14" s="1077">
        <f>+IFERROR(VLOOKUP(IL$6&amp;"-"&amp;$M14&amp;"_old",Ammortamento_Finanziario!$H:$L,5,FALSE),VLOOKUP($M14,TT_Tabelle_Riferimento!$H$31:$I$50,2,FALSE))</f>
        <v>8</v>
      </c>
      <c r="IM14" s="1077">
        <f>+IFERROR(VLOOKUP(IM$6&amp;"-"&amp;$M14&amp;"_old",Ammortamento_Finanziario!$H:$L,5,FALSE),VLOOKUP($M14,TT_Tabelle_Riferimento!$H$31:$I$50,2,FALSE))</f>
        <v>8</v>
      </c>
      <c r="IN14" s="1747">
        <f>+IFERROR(VLOOKUP(IN$6&amp;"-"&amp;$M14&amp;"_old",Ammortamento_Finanziario!$H:$L,5,FALSE),VLOOKUP($M14,TT_Tabelle_Riferimento!$H$31:$I$50,2,FALSE))</f>
        <v>8</v>
      </c>
      <c r="IO14" s="1747">
        <f>+IFERROR(VLOOKUP(IO$6&amp;"-"&amp;$M14&amp;"_old",Ammortamento_Finanziario!$H:$L,5,FALSE),VLOOKUP($M14,TT_Tabelle_Riferimento!$H$31:$I$50,2,FALSE))</f>
        <v>8</v>
      </c>
      <c r="IP14" s="1754">
        <f>+IFERROR(VLOOKUP(IP$6&amp;"-"&amp;$M14&amp;"_old",Ammortamento_Finanziario!$H:$L,5,FALSE),VLOOKUP($M14,TT_Tabelle_Riferimento!$H$31:$I$50,2,FALSE))</f>
        <v>8</v>
      </c>
      <c r="IQ14" s="1754">
        <f>+IFERROR(VLOOKUP(IQ$6&amp;"-"&amp;$M14&amp;"_old",Ammortamento_Finanziario!$H:$L,5,FALSE),VLOOKUP($M14,TT_Tabelle_Riferimento!$H$31:$I$50,2,FALSE))</f>
        <v>8</v>
      </c>
      <c r="IR14" s="1754">
        <f>+IFERROR(VLOOKUP(IR$6&amp;"-"&amp;$M14&amp;"_old",Ammortamento_Finanziario!$H:$L,5,FALSE),VLOOKUP($M14,TT_Tabelle_Riferimento!$H$31:$I$50,2,FALSE))</f>
        <v>8</v>
      </c>
      <c r="IS14" s="1754">
        <f>+IFERROR(VLOOKUP(IS$6&amp;"-"&amp;$M14&amp;"_old",Ammortamento_Finanziario!$H:$L,5,FALSE),VLOOKUP($M14,TT_Tabelle_Riferimento!$H$31:$I$50,2,FALSE))</f>
        <v>8</v>
      </c>
      <c r="IT14" s="1754">
        <f>+IFERROR(VLOOKUP(IT$6&amp;"-"&amp;$M14&amp;"_old",Ammortamento_Finanziario!$H:$L,5,FALSE),VLOOKUP($M14,TT_Tabelle_Riferimento!$H$31:$I$50,2,FALSE))</f>
        <v>8</v>
      </c>
      <c r="IU14" s="1754">
        <f>+IFERROR(VLOOKUP(IU$6&amp;"-"&amp;$M14&amp;"_old",Ammortamento_Finanziario!$H:$L,5,FALSE),VLOOKUP($M14,TT_Tabelle_Riferimento!$H$31:$I$50,2,FALSE))</f>
        <v>8</v>
      </c>
      <c r="IV14" s="1077">
        <f>+IFERROR(VLOOKUP(IV$6&amp;"-"&amp;$M14&amp;"_old",Ammortamento_Finanziario!$H:$L,5,FALSE),VLOOKUP($M14,TT_Tabelle_Riferimento!$H$31:$I$50,2,FALSE))</f>
        <v>8</v>
      </c>
      <c r="IW14" s="1077">
        <f>+IFERROR(VLOOKUP(IW$6&amp;"-"&amp;$M14&amp;"_old",Ammortamento_Finanziario!$H:$L,5,FALSE),VLOOKUP($M14,TT_Tabelle_Riferimento!$H$31:$I$50,2,FALSE))</f>
        <v>8</v>
      </c>
      <c r="IX14" s="1077">
        <f>+IFERROR(VLOOKUP(IX$6&amp;"-"&amp;$M14&amp;"_old",Ammortamento_Finanziario!$H:$L,5,FALSE),VLOOKUP($M14,TT_Tabelle_Riferimento!$H$31:$I$50,2,FALSE))</f>
        <v>8</v>
      </c>
      <c r="IY14" s="1077">
        <f>+IFERROR(VLOOKUP(IY$6&amp;"-"&amp;$M14&amp;"_old",Ammortamento_Finanziario!$H:$L,5,FALSE),VLOOKUP($M14,TT_Tabelle_Riferimento!$H$31:$I$50,2,FALSE))</f>
        <v>8</v>
      </c>
      <c r="IZ14" s="1077">
        <f>+IFERROR(VLOOKUP(IZ$6&amp;"-"&amp;$M14&amp;"_old",Ammortamento_Finanziario!$H:$L,5,FALSE),VLOOKUP($M14,TT_Tabelle_Riferimento!$H$31:$I$50,2,FALSE))</f>
        <v>8</v>
      </c>
      <c r="JA14" s="1077">
        <f>+IFERROR(VLOOKUP(JA$6&amp;"-"&amp;$M14&amp;"_old",Ammortamento_Finanziario!$H:$L,5,FALSE),VLOOKUP($M14,TT_Tabelle_Riferimento!$H$31:$I$50,2,FALSE))</f>
        <v>8</v>
      </c>
      <c r="JB14" s="1077">
        <f>+IFERROR(VLOOKUP(JB$6&amp;"-"&amp;$M14&amp;"_old",Ammortamento_Finanziario!$H:$L,5,FALSE),VLOOKUP($M14,TT_Tabelle_Riferimento!$H$31:$I$50,2,FALSE))</f>
        <v>8</v>
      </c>
      <c r="JC14" s="1077">
        <f>+IFERROR(VLOOKUP(JC$6&amp;"-"&amp;$M14&amp;"_old",Ammortamento_Finanziario!$H:$L,5,FALSE),VLOOKUP($M14,TT_Tabelle_Riferimento!$H$31:$I$50,2,FALSE))</f>
        <v>8</v>
      </c>
      <c r="JD14" s="1077">
        <f>+IFERROR(VLOOKUP(JD$6&amp;"-"&amp;$M14&amp;"_old",Ammortamento_Finanziario!$H:$L,5,FALSE),VLOOKUP($M14,TT_Tabelle_Riferimento!$H$31:$I$50,2,FALSE))</f>
        <v>8</v>
      </c>
      <c r="JE14" s="1077">
        <f>+IFERROR(VLOOKUP(JE$6&amp;"-"&amp;$M14&amp;"_old",Ammortamento_Finanziario!$H:$L,5,FALSE),VLOOKUP($M14,TT_Tabelle_Riferimento!$H$31:$I$50,2,FALSE))</f>
        <v>8</v>
      </c>
      <c r="JF14" s="1077">
        <f>+IFERROR(VLOOKUP(JF$6&amp;"-"&amp;$M14&amp;"_old",Ammortamento_Finanziario!$H:$L,5,FALSE),VLOOKUP($M14,TT_Tabelle_Riferimento!$H$31:$I$50,2,FALSE))</f>
        <v>8</v>
      </c>
      <c r="JG14" s="1077">
        <f>+IFERROR(VLOOKUP(JG$6&amp;"-"&amp;$M14&amp;"_old",Ammortamento_Finanziario!$H:$L,5,FALSE),VLOOKUP($M14,TT_Tabelle_Riferimento!$H$31:$I$50,2,FALSE))</f>
        <v>8</v>
      </c>
      <c r="JH14" s="1077">
        <f>+IFERROR(VLOOKUP(JH$6&amp;"-"&amp;$M14&amp;"_old",Ammortamento_Finanziario!$H:$L,5,FALSE),VLOOKUP($M14,TT_Tabelle_Riferimento!$H$31:$I$50,2,FALSE))</f>
        <v>8</v>
      </c>
      <c r="JI14" s="1077">
        <f>+IFERROR(VLOOKUP(JI$6&amp;"-"&amp;$M14&amp;"_old",Ammortamento_Finanziario!$H:$L,5,FALSE),VLOOKUP($M14,TT_Tabelle_Riferimento!$H$31:$I$50,2,FALSE))</f>
        <v>8</v>
      </c>
      <c r="JJ14" s="1077">
        <f>+IFERROR(VLOOKUP(JJ$6&amp;"-"&amp;$M14&amp;"_old",Ammortamento_Finanziario!$H:$L,5,FALSE),VLOOKUP($M14,TT_Tabelle_Riferimento!$H$31:$I$50,2,FALSE))</f>
        <v>8</v>
      </c>
      <c r="JK14" s="1077">
        <f>+IFERROR(VLOOKUP(JK$6&amp;"-"&amp;$M14&amp;"_old",Ammortamento_Finanziario!$H:$L,5,FALSE),VLOOKUP($M14,TT_Tabelle_Riferimento!$H$31:$I$50,2,FALSE))</f>
        <v>8</v>
      </c>
      <c r="JL14" s="1077">
        <f>+IFERROR(VLOOKUP(JL$6&amp;"-"&amp;$M14&amp;"_old",Ammortamento_Finanziario!$H:$L,5,FALSE),VLOOKUP($M14,TT_Tabelle_Riferimento!$H$31:$I$50,2,FALSE))</f>
        <v>8</v>
      </c>
      <c r="JM14" s="1077">
        <f>+IFERROR(VLOOKUP(JM$6&amp;"-"&amp;$M14&amp;"_old",Ammortamento_Finanziario!$H:$L,5,FALSE),VLOOKUP($M14,TT_Tabelle_Riferimento!$H$31:$I$50,2,FALSE))</f>
        <v>8</v>
      </c>
      <c r="JN14" s="1077">
        <f>+IFERROR(VLOOKUP(JN$6&amp;"-"&amp;$M14&amp;"_old",Ammortamento_Finanziario!$H:$L,5,FALSE),VLOOKUP($M14,TT_Tabelle_Riferimento!$H$31:$I$50,2,FALSE))</f>
        <v>8</v>
      </c>
      <c r="JO14" s="1078">
        <f>+IFERROR(VLOOKUP(JO$6&amp;"-"&amp;$M14&amp;"_old",Ammortamento_Finanziario!$H:$L,5,FALSE),VLOOKUP($M14,TT_Tabelle_Riferimento!$H$31:$I$50,2,FALSE))</f>
        <v>8</v>
      </c>
      <c r="JP14" s="1748">
        <f>+IFERROR(VLOOKUP(JP$6&amp;"-"&amp;$M14&amp;"_old",Ammortamento_Finanziario!$H:$L,5,FALSE),VLOOKUP($M14,TT_Tabelle_Riferimento!$H$31:$I$50,2,FALSE))</f>
        <v>8</v>
      </c>
      <c r="JQ14" s="1748">
        <f>+IFERROR(VLOOKUP(JQ$6&amp;"-"&amp;$M14&amp;"_old",Ammortamento_Finanziario!$H:$L,5,FALSE),VLOOKUP($M14,TT_Tabelle_Riferimento!$H$31:$I$50,2,FALSE))</f>
        <v>8</v>
      </c>
      <c r="JR14" s="1755">
        <f>+IFERROR(VLOOKUP(JR$6&amp;"-"&amp;$M14&amp;"_old",Ammortamento_Finanziario!$H:$L,5,FALSE),VLOOKUP($M14,TT_Tabelle_Riferimento!$H$31:$I$50,2,FALSE))</f>
        <v>8</v>
      </c>
      <c r="JS14" s="1755">
        <f>+IFERROR(VLOOKUP(JS$6&amp;"-"&amp;$M14&amp;"_old",Ammortamento_Finanziario!$H:$L,5,FALSE),VLOOKUP($M14,TT_Tabelle_Riferimento!$H$31:$I$50,2,FALSE))</f>
        <v>8</v>
      </c>
      <c r="JT14" s="1755">
        <f>+IFERROR(VLOOKUP(JT$6&amp;"-"&amp;$M14&amp;"_old",Ammortamento_Finanziario!$H:$L,5,FALSE),VLOOKUP($M14,TT_Tabelle_Riferimento!$H$31:$I$50,2,FALSE))</f>
        <v>8</v>
      </c>
      <c r="JU14" s="1755">
        <f>+IFERROR(VLOOKUP(JU$6&amp;"-"&amp;$M14&amp;"_old",Ammortamento_Finanziario!$H:$L,5,FALSE),VLOOKUP($M14,TT_Tabelle_Riferimento!$H$31:$I$50,2,FALSE))</f>
        <v>8</v>
      </c>
      <c r="JV14" s="1755">
        <f>+IFERROR(VLOOKUP(JV$6&amp;"-"&amp;$M14&amp;"_old",Ammortamento_Finanziario!$H:$L,5,FALSE),VLOOKUP($M14,TT_Tabelle_Riferimento!$H$31:$I$50,2,FALSE))</f>
        <v>8</v>
      </c>
      <c r="JW14" s="1755">
        <f>+IFERROR(VLOOKUP(JW$6&amp;"-"&amp;$M14&amp;"_old",Ammortamento_Finanziario!$H:$L,5,FALSE),VLOOKUP($M14,TT_Tabelle_Riferimento!$H$31:$I$50,2,FALSE))</f>
        <v>8</v>
      </c>
      <c r="JX14" s="1078">
        <f>+IFERROR(VLOOKUP(JX$6&amp;"-"&amp;$M14&amp;"_old",Ammortamento_Finanziario!$H:$L,5,FALSE),VLOOKUP($M14,TT_Tabelle_Riferimento!$H$31:$I$50,2,FALSE))</f>
        <v>8</v>
      </c>
      <c r="JY14" s="1078">
        <f>+IFERROR(VLOOKUP(JY$6&amp;"-"&amp;$M14&amp;"_old",Ammortamento_Finanziario!$H:$L,5,FALSE),VLOOKUP($M14,TT_Tabelle_Riferimento!$H$31:$I$50,2,FALSE))</f>
        <v>8</v>
      </c>
      <c r="JZ14" s="1078">
        <f>+IFERROR(VLOOKUP(JZ$6&amp;"-"&amp;$M14&amp;"_old",Ammortamento_Finanziario!$H:$L,5,FALSE),VLOOKUP($M14,TT_Tabelle_Riferimento!$H$31:$I$50,2,FALSE))</f>
        <v>8</v>
      </c>
      <c r="KA14" s="1078">
        <f>+IFERROR(VLOOKUP(KA$6&amp;"-"&amp;$M14&amp;"_old",Ammortamento_Finanziario!$H:$L,5,FALSE),VLOOKUP($M14,TT_Tabelle_Riferimento!$H$31:$I$50,2,FALSE))</f>
        <v>8</v>
      </c>
      <c r="KB14" s="1078">
        <f>+IFERROR(VLOOKUP(KB$6&amp;"-"&amp;$M14&amp;"_old",Ammortamento_Finanziario!$H:$L,5,FALSE),VLOOKUP($M14,TT_Tabelle_Riferimento!$H$31:$I$50,2,FALSE))</f>
        <v>8</v>
      </c>
      <c r="KC14" s="1078">
        <f>+IFERROR(VLOOKUP(KC$6&amp;"-"&amp;$M14&amp;"_old",Ammortamento_Finanziario!$H:$L,5,FALSE),VLOOKUP($M14,TT_Tabelle_Riferimento!$H$31:$I$50,2,FALSE))</f>
        <v>8</v>
      </c>
      <c r="KD14" s="1078">
        <f>+IFERROR(VLOOKUP(KD$6&amp;"-"&amp;$M14&amp;"_old",Ammortamento_Finanziario!$H:$L,5,FALSE),VLOOKUP($M14,TT_Tabelle_Riferimento!$H$31:$I$50,2,FALSE))</f>
        <v>8</v>
      </c>
      <c r="KE14" s="1078">
        <f>+IFERROR(VLOOKUP(KE$6&amp;"-"&amp;$M14&amp;"_old",Ammortamento_Finanziario!$H:$L,5,FALSE),VLOOKUP($M14,TT_Tabelle_Riferimento!$H$31:$I$50,2,FALSE))</f>
        <v>8</v>
      </c>
      <c r="KF14" s="1078">
        <f>+IFERROR(VLOOKUP(KF$6&amp;"-"&amp;$M14&amp;"_old",Ammortamento_Finanziario!$H:$L,5,FALSE),VLOOKUP($M14,TT_Tabelle_Riferimento!$H$31:$I$50,2,FALSE))</f>
        <v>8</v>
      </c>
      <c r="KG14" s="1078">
        <f>+IFERROR(VLOOKUP(KG$6&amp;"-"&amp;$M14&amp;"_old",Ammortamento_Finanziario!$H:$L,5,FALSE),VLOOKUP($M14,TT_Tabelle_Riferimento!$H$31:$I$50,2,FALSE))</f>
        <v>8</v>
      </c>
      <c r="KH14" s="1078">
        <f>+IFERROR(VLOOKUP(KH$6&amp;"-"&amp;$M14&amp;"_old",Ammortamento_Finanziario!$H:$L,5,FALSE),VLOOKUP($M14,TT_Tabelle_Riferimento!$H$31:$I$50,2,FALSE))</f>
        <v>8</v>
      </c>
      <c r="KI14" s="1078">
        <f>+IFERROR(VLOOKUP(KI$6&amp;"-"&amp;$M14&amp;"_old",Ammortamento_Finanziario!$H:$L,5,FALSE),VLOOKUP($M14,TT_Tabelle_Riferimento!$H$31:$I$50,2,FALSE))</f>
        <v>8</v>
      </c>
      <c r="KJ14" s="1078">
        <f>+IFERROR(VLOOKUP(KJ$6&amp;"-"&amp;$M14&amp;"_old",Ammortamento_Finanziario!$H:$L,5,FALSE),VLOOKUP($M14,TT_Tabelle_Riferimento!$H$31:$I$50,2,FALSE))</f>
        <v>8</v>
      </c>
      <c r="KK14" s="1078">
        <f>+IFERROR(VLOOKUP(KK$6&amp;"-"&amp;$M14&amp;"_old",Ammortamento_Finanziario!$H:$L,5,FALSE),VLOOKUP($M14,TT_Tabelle_Riferimento!$H$31:$I$50,2,FALSE))</f>
        <v>8</v>
      </c>
      <c r="KL14" s="1078">
        <f>+IFERROR(VLOOKUP(KL$6&amp;"-"&amp;$M14&amp;"_old",Ammortamento_Finanziario!$H:$L,5,FALSE),VLOOKUP($M14,TT_Tabelle_Riferimento!$H$31:$I$50,2,FALSE))</f>
        <v>8</v>
      </c>
      <c r="KM14" s="1078">
        <f>+IFERROR(VLOOKUP(KM$6&amp;"-"&amp;$M14&amp;"_old",Ammortamento_Finanziario!$H:$L,5,FALSE),VLOOKUP($M14,TT_Tabelle_Riferimento!$H$31:$I$50,2,FALSE))</f>
        <v>8</v>
      </c>
      <c r="KN14" s="1078">
        <f>+IFERROR(VLOOKUP(KN$6&amp;"-"&amp;$M14&amp;"_old",Ammortamento_Finanziario!$H:$L,5,FALSE),VLOOKUP($M14,TT_Tabelle_Riferimento!$H$31:$I$50,2,FALSE))</f>
        <v>8</v>
      </c>
      <c r="KO14" s="1078">
        <f>+IFERROR(VLOOKUP(KO$6&amp;"-"&amp;$M14&amp;"_old",Ammortamento_Finanziario!$H:$L,5,FALSE),VLOOKUP($M14,TT_Tabelle_Riferimento!$H$31:$I$50,2,FALSE))</f>
        <v>8</v>
      </c>
      <c r="KP14" s="1078">
        <f>+IFERROR(VLOOKUP(KP$6&amp;"-"&amp;$M14&amp;"_old",Ammortamento_Finanziario!$H:$L,5,FALSE),VLOOKUP($M14,TT_Tabelle_Riferimento!$H$31:$I$50,2,FALSE))</f>
        <v>8</v>
      </c>
      <c r="KQ14" s="1748">
        <f>+IFERROR(VLOOKUP(KQ$6&amp;"-"&amp;$M14&amp;"_old",Ammortamento_Finanziario!$H:$L,5,FALSE),VLOOKUP($M14,TT_Tabelle_Riferimento!$H$31:$I$50,2,FALSE))</f>
        <v>8</v>
      </c>
      <c r="KR14" s="1748">
        <f>+IFERROR(VLOOKUP(KR$6&amp;"-"&amp;$M14&amp;"_old",Ammortamento_Finanziario!$H:$L,5,FALSE),VLOOKUP($M14,TT_Tabelle_Riferimento!$H$31:$I$50,2,FALSE))</f>
        <v>8</v>
      </c>
      <c r="KS14" s="1755">
        <f>+IFERROR(VLOOKUP(KS$6&amp;"-"&amp;$M14&amp;"_old",Ammortamento_Finanziario!$H:$L,5,FALSE),VLOOKUP($M14,TT_Tabelle_Riferimento!$H$31:$I$50,2,FALSE))</f>
        <v>8</v>
      </c>
      <c r="KT14" s="1755">
        <f>+IFERROR(VLOOKUP(KT$6&amp;"-"&amp;$M14&amp;"_old",Ammortamento_Finanziario!$H:$L,5,FALSE),VLOOKUP($M14,TT_Tabelle_Riferimento!$H$31:$I$50,2,FALSE))</f>
        <v>8</v>
      </c>
      <c r="KU14" s="1755">
        <f>+IFERROR(VLOOKUP(KU$6&amp;"-"&amp;$M14&amp;"_old",Ammortamento_Finanziario!$H:$L,5,FALSE),VLOOKUP($M14,TT_Tabelle_Riferimento!$H$31:$I$50,2,FALSE))</f>
        <v>8</v>
      </c>
      <c r="KV14" s="1755">
        <f>+IFERROR(VLOOKUP(KV$6&amp;"-"&amp;$M14&amp;"_old",Ammortamento_Finanziario!$H:$L,5,FALSE),VLOOKUP($M14,TT_Tabelle_Riferimento!$H$31:$I$50,2,FALSE))</f>
        <v>8</v>
      </c>
      <c r="KW14" s="1755">
        <f>+IFERROR(VLOOKUP(KW$6&amp;"-"&amp;$M14&amp;"_old",Ammortamento_Finanziario!$H:$L,5,FALSE),VLOOKUP($M14,TT_Tabelle_Riferimento!$H$31:$I$50,2,FALSE))</f>
        <v>8</v>
      </c>
      <c r="KX14" s="1755">
        <f>+IFERROR(VLOOKUP(KX$6&amp;"-"&amp;$M14&amp;"_old",Ammortamento_Finanziario!$H:$L,5,FALSE),VLOOKUP($M14,TT_Tabelle_Riferimento!$H$31:$I$50,2,FALSE))</f>
        <v>8</v>
      </c>
      <c r="KY14" s="1078">
        <f>+IFERROR(VLOOKUP(KY$6&amp;"-"&amp;$M14&amp;"_old",Ammortamento_Finanziario!$H:$L,5,FALSE),VLOOKUP($M14,TT_Tabelle_Riferimento!$H$31:$I$50,2,FALSE))</f>
        <v>8</v>
      </c>
      <c r="KZ14" s="1078">
        <f>+IFERROR(VLOOKUP(KZ$6&amp;"-"&amp;$M14&amp;"_old",Ammortamento_Finanziario!$H:$L,5,FALSE),VLOOKUP($M14,TT_Tabelle_Riferimento!$H$31:$I$50,2,FALSE))</f>
        <v>8</v>
      </c>
      <c r="LA14" s="1078">
        <f>+IFERROR(VLOOKUP(LA$6&amp;"-"&amp;$M14&amp;"_old",Ammortamento_Finanziario!$H:$L,5,FALSE),VLOOKUP($M14,TT_Tabelle_Riferimento!$H$31:$I$50,2,FALSE))</f>
        <v>8</v>
      </c>
      <c r="LB14" s="1078">
        <f>+IFERROR(VLOOKUP(LB$6&amp;"-"&amp;$M14&amp;"_old",Ammortamento_Finanziario!$H:$L,5,FALSE),VLOOKUP($M14,TT_Tabelle_Riferimento!$H$31:$I$50,2,FALSE))</f>
        <v>8</v>
      </c>
      <c r="LC14" s="1078">
        <f>+IFERROR(VLOOKUP(LC$6&amp;"-"&amp;$M14&amp;"_old",Ammortamento_Finanziario!$H:$L,5,FALSE),VLOOKUP($M14,TT_Tabelle_Riferimento!$H$31:$I$50,2,FALSE))</f>
        <v>8</v>
      </c>
      <c r="LD14" s="1078">
        <f>+IFERROR(VLOOKUP(LD$6&amp;"-"&amp;$M14&amp;"_old",Ammortamento_Finanziario!$H:$L,5,FALSE),VLOOKUP($M14,TT_Tabelle_Riferimento!$H$31:$I$50,2,FALSE))</f>
        <v>8</v>
      </c>
      <c r="LE14" s="1078">
        <f>+IFERROR(VLOOKUP(LE$6&amp;"-"&amp;$M14&amp;"_old",Ammortamento_Finanziario!$H:$L,5,FALSE),VLOOKUP($M14,TT_Tabelle_Riferimento!$H$31:$I$50,2,FALSE))</f>
        <v>8</v>
      </c>
      <c r="LF14" s="1078">
        <f>+IFERROR(VLOOKUP(LF$6&amp;"-"&amp;$M14&amp;"_old",Ammortamento_Finanziario!$H:$L,5,FALSE),VLOOKUP($M14,TT_Tabelle_Riferimento!$H$31:$I$50,2,FALSE))</f>
        <v>8</v>
      </c>
      <c r="LG14" s="1078">
        <f>+IFERROR(VLOOKUP(LG$6&amp;"-"&amp;$M14&amp;"_old",Ammortamento_Finanziario!$H:$L,5,FALSE),VLOOKUP($M14,TT_Tabelle_Riferimento!$H$31:$I$50,2,FALSE))</f>
        <v>8</v>
      </c>
      <c r="LH14" s="1078">
        <f>+IFERROR(VLOOKUP(LH$6&amp;"-"&amp;$M14&amp;"_old",Ammortamento_Finanziario!$H:$L,5,FALSE),VLOOKUP($M14,TT_Tabelle_Riferimento!$H$31:$I$50,2,FALSE))</f>
        <v>8</v>
      </c>
      <c r="LI14" s="1078">
        <f>+IFERROR(VLOOKUP(LI$6&amp;"-"&amp;$M14&amp;"_old",Ammortamento_Finanziario!$H:$L,5,FALSE),VLOOKUP($M14,TT_Tabelle_Riferimento!$H$31:$I$50,2,FALSE))</f>
        <v>8</v>
      </c>
      <c r="LJ14" s="1078">
        <f>+IFERROR(VLOOKUP(LJ$6&amp;"-"&amp;$M14&amp;"_old",Ammortamento_Finanziario!$H:$L,5,FALSE),VLOOKUP($M14,TT_Tabelle_Riferimento!$H$31:$I$50,2,FALSE))</f>
        <v>8</v>
      </c>
      <c r="LK14" s="1078">
        <f>+IFERROR(VLOOKUP(LK$6&amp;"-"&amp;$M14&amp;"_old",Ammortamento_Finanziario!$H:$L,5,FALSE),VLOOKUP($M14,TT_Tabelle_Riferimento!$H$31:$I$50,2,FALSE))</f>
        <v>8</v>
      </c>
      <c r="LL14" s="1078">
        <f>+IFERROR(VLOOKUP(LL$6&amp;"-"&amp;$M14&amp;"_old",Ammortamento_Finanziario!$H:$L,5,FALSE),VLOOKUP($M14,TT_Tabelle_Riferimento!$H$31:$I$50,2,FALSE))</f>
        <v>8</v>
      </c>
      <c r="LM14" s="1078">
        <f>+IFERROR(VLOOKUP(LM$6&amp;"-"&amp;$M14&amp;"_old",Ammortamento_Finanziario!$H:$L,5,FALSE),VLOOKUP($M14,TT_Tabelle_Riferimento!$H$31:$I$50,2,FALSE))</f>
        <v>8</v>
      </c>
      <c r="LN14" s="1078">
        <f>+IFERROR(VLOOKUP(LN$6&amp;"-"&amp;$M14&amp;"_old",Ammortamento_Finanziario!$H:$L,5,FALSE),VLOOKUP($M14,TT_Tabelle_Riferimento!$H$31:$I$50,2,FALSE))</f>
        <v>8</v>
      </c>
      <c r="LO14" s="1078">
        <f>+IFERROR(VLOOKUP(LO$6&amp;"-"&amp;$M14&amp;"_old",Ammortamento_Finanziario!$H:$L,5,FALSE),VLOOKUP($M14,TT_Tabelle_Riferimento!$H$31:$I$50,2,FALSE))</f>
        <v>8</v>
      </c>
      <c r="LP14" s="1078">
        <f>+IFERROR(VLOOKUP(LP$6&amp;"-"&amp;$M14&amp;"_old",Ammortamento_Finanziario!$H:$L,5,FALSE),VLOOKUP($M14,TT_Tabelle_Riferimento!$H$31:$I$50,2,FALSE))</f>
        <v>8</v>
      </c>
      <c r="LQ14" s="1078">
        <f>+IFERROR(VLOOKUP(LQ$6&amp;"-"&amp;$M14&amp;"_old",Ammortamento_Finanziario!$H:$L,5,FALSE),VLOOKUP($M14,TT_Tabelle_Riferimento!$H$31:$I$50,2,FALSE))</f>
        <v>8</v>
      </c>
      <c r="LR14" s="1748">
        <f>+IFERROR(VLOOKUP(LR$6&amp;"-"&amp;$M14&amp;"_old",Ammortamento_Finanziario!$H:$L,5,FALSE),VLOOKUP($M14,TT_Tabelle_Riferimento!$H$31:$I$50,2,FALSE))</f>
        <v>8</v>
      </c>
      <c r="LS14" s="1755">
        <f>+IFERROR(VLOOKUP(LS$6&amp;"-"&amp;$M14&amp;"_old",Ammortamento_Finanziario!$H:$L,5,FALSE),VLOOKUP($M14,TT_Tabelle_Riferimento!$H$31:$I$50,2,FALSE))</f>
        <v>8</v>
      </c>
      <c r="LT14" s="1755">
        <f>+IFERROR(VLOOKUP(LT$6&amp;"-"&amp;$M14&amp;"_old",Ammortamento_Finanziario!$H:$L,5,FALSE),VLOOKUP($M14,TT_Tabelle_Riferimento!$H$31:$I$50,2,FALSE))</f>
        <v>8</v>
      </c>
      <c r="LU14" s="1755">
        <f>+IFERROR(VLOOKUP(LU$6&amp;"-"&amp;$M14&amp;"_old",Ammortamento_Finanziario!$H:$L,5,FALSE),VLOOKUP($M14,TT_Tabelle_Riferimento!$H$31:$I$50,2,FALSE))</f>
        <v>8</v>
      </c>
      <c r="LV14" s="1755">
        <f>+IFERROR(VLOOKUP(LV$6&amp;"-"&amp;$M14&amp;"_old",Ammortamento_Finanziario!$H:$L,5,FALSE),VLOOKUP($M14,TT_Tabelle_Riferimento!$H$31:$I$50,2,FALSE))</f>
        <v>8</v>
      </c>
      <c r="LW14" s="1755">
        <f>+IFERROR(VLOOKUP(LW$6&amp;"-"&amp;$M14&amp;"_old",Ammortamento_Finanziario!$H:$L,5,FALSE),VLOOKUP($M14,TT_Tabelle_Riferimento!$H$31:$I$50,2,FALSE))</f>
        <v>8</v>
      </c>
      <c r="LX14" s="1755">
        <f>+IFERROR(VLOOKUP(LX$6&amp;"-"&amp;$M14&amp;"_old",Ammortamento_Finanziario!$H:$L,5,FALSE),VLOOKUP($M14,TT_Tabelle_Riferimento!$H$31:$I$50,2,FALSE))</f>
        <v>8</v>
      </c>
      <c r="LY14" s="1078">
        <f>+IFERROR(VLOOKUP(LY$6&amp;"-"&amp;$M14&amp;"_old",Ammortamento_Finanziario!$H:$L,5,FALSE),VLOOKUP($M14,TT_Tabelle_Riferimento!$H$31:$I$50,2,FALSE))</f>
        <v>8</v>
      </c>
      <c r="LZ14" s="1078">
        <f>+IFERROR(VLOOKUP(LZ$6&amp;"-"&amp;$M14&amp;"_old",Ammortamento_Finanziario!$H:$L,5,FALSE),VLOOKUP($M14,TT_Tabelle_Riferimento!$H$31:$I$50,2,FALSE))</f>
        <v>8</v>
      </c>
      <c r="MA14" s="1078">
        <f>+IFERROR(VLOOKUP(MA$6&amp;"-"&amp;$M14&amp;"_old",Ammortamento_Finanziario!$H:$L,5,FALSE),VLOOKUP($M14,TT_Tabelle_Riferimento!$H$31:$I$50,2,FALSE))</f>
        <v>8</v>
      </c>
      <c r="MB14" s="1078">
        <f>+IFERROR(VLOOKUP(MB$6&amp;"-"&amp;$M14&amp;"_old",Ammortamento_Finanziario!$H:$L,5,FALSE),VLOOKUP($M14,TT_Tabelle_Riferimento!$H$31:$I$50,2,FALSE))</f>
        <v>8</v>
      </c>
      <c r="MC14" s="1078">
        <f>+IFERROR(VLOOKUP(MC$6&amp;"-"&amp;$M14&amp;"_old",Ammortamento_Finanziario!$H:$L,5,FALSE),VLOOKUP($M14,TT_Tabelle_Riferimento!$H$31:$I$50,2,FALSE))</f>
        <v>8</v>
      </c>
      <c r="MD14" s="1078">
        <f>+IFERROR(VLOOKUP(MD$6&amp;"-"&amp;$M14&amp;"_old",Ammortamento_Finanziario!$H:$L,5,FALSE),VLOOKUP($M14,TT_Tabelle_Riferimento!$H$31:$I$50,2,FALSE))</f>
        <v>8</v>
      </c>
      <c r="ME14" s="1078">
        <f>+IFERROR(VLOOKUP(ME$6&amp;"-"&amp;$M14&amp;"_old",Ammortamento_Finanziario!$H:$L,5,FALSE),VLOOKUP($M14,TT_Tabelle_Riferimento!$H$31:$I$50,2,FALSE))</f>
        <v>8</v>
      </c>
      <c r="MF14" s="1078">
        <f>+IFERROR(VLOOKUP(MF$6&amp;"-"&amp;$M14&amp;"_old",Ammortamento_Finanziario!$H:$L,5,FALSE),VLOOKUP($M14,TT_Tabelle_Riferimento!$H$31:$I$50,2,FALSE))</f>
        <v>8</v>
      </c>
      <c r="MG14" s="1078">
        <f>+IFERROR(VLOOKUP(MG$6&amp;"-"&amp;$M14&amp;"_old",Ammortamento_Finanziario!$H:$L,5,FALSE),VLOOKUP($M14,TT_Tabelle_Riferimento!$H$31:$I$50,2,FALSE))</f>
        <v>8</v>
      </c>
      <c r="MH14" s="1078">
        <f>+IFERROR(VLOOKUP(MH$6&amp;"-"&amp;$M14&amp;"_old",Ammortamento_Finanziario!$H:$L,5,FALSE),VLOOKUP($M14,TT_Tabelle_Riferimento!$H$31:$I$50,2,FALSE))</f>
        <v>8</v>
      </c>
      <c r="MI14" s="1078">
        <f>+IFERROR(VLOOKUP(MI$6&amp;"-"&amp;$M14&amp;"_old",Ammortamento_Finanziario!$H:$L,5,FALSE),VLOOKUP($M14,TT_Tabelle_Riferimento!$H$31:$I$50,2,FALSE))</f>
        <v>8</v>
      </c>
      <c r="MJ14" s="1078">
        <f>+IFERROR(VLOOKUP(MJ$6&amp;"-"&amp;$M14&amp;"_old",Ammortamento_Finanziario!$H:$L,5,FALSE),VLOOKUP($M14,TT_Tabelle_Riferimento!$H$31:$I$50,2,FALSE))</f>
        <v>8</v>
      </c>
      <c r="MK14" s="1078">
        <f>+IFERROR(VLOOKUP(MK$6&amp;"-"&amp;$M14&amp;"_old",Ammortamento_Finanziario!$H:$L,5,FALSE),VLOOKUP($M14,TT_Tabelle_Riferimento!$H$31:$I$50,2,FALSE))</f>
        <v>8</v>
      </c>
      <c r="ML14" s="1078">
        <f>+IFERROR(VLOOKUP(ML$6&amp;"-"&amp;$M14&amp;"_old",Ammortamento_Finanziario!$H:$L,5,FALSE),VLOOKUP($M14,TT_Tabelle_Riferimento!$H$31:$I$50,2,FALSE))</f>
        <v>8</v>
      </c>
      <c r="MM14" s="1078">
        <f>+IFERROR(VLOOKUP(MM$6&amp;"-"&amp;$M14&amp;"_old",Ammortamento_Finanziario!$H:$L,5,FALSE),VLOOKUP($M14,TT_Tabelle_Riferimento!$H$31:$I$50,2,FALSE))</f>
        <v>8</v>
      </c>
      <c r="MN14" s="1078">
        <f>+IFERROR(VLOOKUP(MN$6&amp;"-"&amp;$M14&amp;"_old",Ammortamento_Finanziario!$H:$L,5,FALSE),VLOOKUP($M14,TT_Tabelle_Riferimento!$H$31:$I$50,2,FALSE))</f>
        <v>8</v>
      </c>
      <c r="MO14" s="1078">
        <f>+IFERROR(VLOOKUP(MO$6&amp;"-"&amp;$M14&amp;"_old",Ammortamento_Finanziario!$H:$L,5,FALSE),VLOOKUP($M14,TT_Tabelle_Riferimento!$H$31:$I$50,2,FALSE))</f>
        <v>8</v>
      </c>
      <c r="MP14" s="1078">
        <f>+IFERROR(VLOOKUP(MP$6&amp;"-"&amp;$M14&amp;"_old",Ammortamento_Finanziario!$H:$L,5,FALSE),VLOOKUP($M14,TT_Tabelle_Riferimento!$H$31:$I$50,2,FALSE))</f>
        <v>8</v>
      </c>
      <c r="MQ14" s="1078">
        <f>+IFERROR(VLOOKUP(MQ$6&amp;"-"&amp;$M14&amp;"_old",Ammortamento_Finanziario!$H:$L,5,FALSE),VLOOKUP($M14,TT_Tabelle_Riferimento!$H$31:$I$50,2,FALSE))</f>
        <v>8</v>
      </c>
      <c r="MR14" s="1755">
        <f>+IFERROR(VLOOKUP(MR$6&amp;"-"&amp;$M14&amp;"_old",Ammortamento_Finanziario!$H:$L,5,FALSE),VLOOKUP($M14,TT_Tabelle_Riferimento!$H$31:$I$50,2,FALSE))</f>
        <v>8</v>
      </c>
      <c r="MS14" s="1755">
        <f>+IFERROR(VLOOKUP(MS$6&amp;"-"&amp;$M14&amp;"_old",Ammortamento_Finanziario!$H:$L,5,FALSE),VLOOKUP($M14,TT_Tabelle_Riferimento!$H$31:$I$50,2,FALSE))</f>
        <v>8</v>
      </c>
      <c r="MT14" s="1755">
        <f>+IFERROR(VLOOKUP(MT$6&amp;"-"&amp;$M14&amp;"_old",Ammortamento_Finanziario!$H:$L,5,FALSE),VLOOKUP($M14,TT_Tabelle_Riferimento!$H$31:$I$50,2,FALSE))</f>
        <v>8</v>
      </c>
      <c r="MU14" s="1755">
        <f>+IFERROR(VLOOKUP(MU$6&amp;"-"&amp;$M14&amp;"_old",Ammortamento_Finanziario!$H:$L,5,FALSE),VLOOKUP($M14,TT_Tabelle_Riferimento!$H$31:$I$50,2,FALSE))</f>
        <v>8</v>
      </c>
      <c r="MV14" s="1755">
        <f>+IFERROR(VLOOKUP(MV$6&amp;"-"&amp;$M14&amp;"_old",Ammortamento_Finanziario!$H:$L,5,FALSE),VLOOKUP($M14,TT_Tabelle_Riferimento!$H$31:$I$50,2,FALSE))</f>
        <v>8</v>
      </c>
      <c r="MW14" s="1755">
        <f>+IFERROR(VLOOKUP(MW$6&amp;"-"&amp;$M14&amp;"_old",Ammortamento_Finanziario!$H:$L,5,FALSE),VLOOKUP($M14,TT_Tabelle_Riferimento!$H$31:$I$50,2,FALSE))</f>
        <v>8</v>
      </c>
      <c r="MX14" s="1078">
        <f>+IFERROR(VLOOKUP(MX$6&amp;"-"&amp;$M14&amp;"_old",Ammortamento_Finanziario!$H:$L,5,FALSE),VLOOKUP($M14,TT_Tabelle_Riferimento!$H$31:$I$50,2,FALSE))</f>
        <v>8</v>
      </c>
      <c r="MY14" s="1078">
        <f>+IFERROR(VLOOKUP(MY$6&amp;"-"&amp;$M14&amp;"_old",Ammortamento_Finanziario!$H:$L,5,FALSE),VLOOKUP($M14,TT_Tabelle_Riferimento!$H$31:$I$50,2,FALSE))</f>
        <v>8</v>
      </c>
      <c r="MZ14" s="1078">
        <f>+IFERROR(VLOOKUP(MZ$6&amp;"-"&amp;$M14&amp;"_old",Ammortamento_Finanziario!$H:$L,5,FALSE),VLOOKUP($M14,TT_Tabelle_Riferimento!$H$31:$I$50,2,FALSE))</f>
        <v>8</v>
      </c>
      <c r="NA14" s="1078">
        <f>+IFERROR(VLOOKUP(NA$6&amp;"-"&amp;$M14&amp;"_old",Ammortamento_Finanziario!$H:$L,5,FALSE),VLOOKUP($M14,TT_Tabelle_Riferimento!$H$31:$I$50,2,FALSE))</f>
        <v>8</v>
      </c>
      <c r="NB14" s="1078">
        <f>+IFERROR(VLOOKUP(NB$6&amp;"-"&amp;$M14&amp;"_old",Ammortamento_Finanziario!$H:$L,5,FALSE),VLOOKUP($M14,TT_Tabelle_Riferimento!$H$31:$I$50,2,FALSE))</f>
        <v>8</v>
      </c>
      <c r="NC14" s="1078">
        <f>+IFERROR(VLOOKUP(NC$6&amp;"-"&amp;$M14&amp;"_old",Ammortamento_Finanziario!$H:$L,5,FALSE),VLOOKUP($M14,TT_Tabelle_Riferimento!$H$31:$I$50,2,FALSE))</f>
        <v>8</v>
      </c>
      <c r="ND14" s="1078">
        <f>+IFERROR(VLOOKUP(ND$6&amp;"-"&amp;$M14&amp;"_old",Ammortamento_Finanziario!$H:$L,5,FALSE),VLOOKUP($M14,TT_Tabelle_Riferimento!$H$31:$I$50,2,FALSE))</f>
        <v>8</v>
      </c>
      <c r="NE14" s="1078">
        <f>+IFERROR(VLOOKUP(NE$6&amp;"-"&amp;$M14&amp;"_old",Ammortamento_Finanziario!$H:$L,5,FALSE),VLOOKUP($M14,TT_Tabelle_Riferimento!$H$31:$I$50,2,FALSE))</f>
        <v>8</v>
      </c>
      <c r="NF14" s="1078">
        <f>+IFERROR(VLOOKUP(NF$6&amp;"-"&amp;$M14&amp;"_old",Ammortamento_Finanziario!$H:$L,5,FALSE),VLOOKUP($M14,TT_Tabelle_Riferimento!$H$31:$I$50,2,FALSE))</f>
        <v>8</v>
      </c>
      <c r="NG14" s="1078">
        <f>+IFERROR(VLOOKUP(NG$6&amp;"-"&amp;$M14&amp;"_old",Ammortamento_Finanziario!$H:$L,5,FALSE),VLOOKUP($M14,TT_Tabelle_Riferimento!$H$31:$I$50,2,FALSE))</f>
        <v>8</v>
      </c>
      <c r="NH14" s="1078">
        <f>+IFERROR(VLOOKUP(NH$6&amp;"-"&amp;$M14&amp;"_old",Ammortamento_Finanziario!$H:$L,5,FALSE),VLOOKUP($M14,TT_Tabelle_Riferimento!$H$31:$I$50,2,FALSE))</f>
        <v>8</v>
      </c>
      <c r="NI14" s="1078">
        <f>+IFERROR(VLOOKUP(NI$6&amp;"-"&amp;$M14&amp;"_old",Ammortamento_Finanziario!$H:$L,5,FALSE),VLOOKUP($M14,TT_Tabelle_Riferimento!$H$31:$I$50,2,FALSE))</f>
        <v>8</v>
      </c>
      <c r="NJ14" s="1078">
        <f>+IFERROR(VLOOKUP(NJ$6&amp;"-"&amp;$M14&amp;"_old",Ammortamento_Finanziario!$H:$L,5,FALSE),VLOOKUP($M14,TT_Tabelle_Riferimento!$H$31:$I$50,2,FALSE))</f>
        <v>8</v>
      </c>
      <c r="NK14" s="1078">
        <f>+IFERROR(VLOOKUP(NK$6&amp;"-"&amp;$M14&amp;"_old",Ammortamento_Finanziario!$H:$L,5,FALSE),VLOOKUP($M14,TT_Tabelle_Riferimento!$H$31:$I$50,2,FALSE))</f>
        <v>8</v>
      </c>
      <c r="NL14" s="1078">
        <f>+IFERROR(VLOOKUP(NL$6&amp;"-"&amp;$M14&amp;"_old",Ammortamento_Finanziario!$H:$L,5,FALSE),VLOOKUP($M14,TT_Tabelle_Riferimento!$H$31:$I$50,2,FALSE))</f>
        <v>8</v>
      </c>
      <c r="NM14" s="1078">
        <f>+IFERROR(VLOOKUP(NM$6&amp;"-"&amp;$M14&amp;"_old",Ammortamento_Finanziario!$H:$L,5,FALSE),VLOOKUP($M14,TT_Tabelle_Riferimento!$H$31:$I$50,2,FALSE))</f>
        <v>8</v>
      </c>
      <c r="NN14" s="1078">
        <f>+IFERROR(VLOOKUP(NN$6&amp;"-"&amp;$M14&amp;"_old",Ammortamento_Finanziario!$H:$L,5,FALSE),VLOOKUP($M14,TT_Tabelle_Riferimento!$H$31:$I$50,2,FALSE))</f>
        <v>8</v>
      </c>
      <c r="NO14" s="1078">
        <f>+IFERROR(VLOOKUP(NO$6&amp;"-"&amp;$M14&amp;"_old",Ammortamento_Finanziario!$H:$L,5,FALSE),VLOOKUP($M14,TT_Tabelle_Riferimento!$H$31:$I$50,2,FALSE))</f>
        <v>8</v>
      </c>
      <c r="NP14" s="1078">
        <f>+IFERROR(VLOOKUP(NP$6&amp;"-"&amp;$M14&amp;"_old",Ammortamento_Finanziario!$H:$L,5,FALSE),VLOOKUP($M14,TT_Tabelle_Riferimento!$H$31:$I$50,2,FALSE))</f>
        <v>8</v>
      </c>
      <c r="NQ14" s="1755">
        <f>+IFERROR(VLOOKUP(NQ$6&amp;"-"&amp;$M14&amp;"_old",Ammortamento_Finanziario!$H:$L,5,FALSE),VLOOKUP($M14,TT_Tabelle_Riferimento!$H$31:$I$50,2,FALSE))</f>
        <v>8</v>
      </c>
      <c r="NR14" s="1755">
        <f>+IFERROR(VLOOKUP(NR$6&amp;"-"&amp;$M14&amp;"_old",Ammortamento_Finanziario!$H:$L,5,FALSE),VLOOKUP($M14,TT_Tabelle_Riferimento!$H$31:$I$50,2,FALSE))</f>
        <v>8</v>
      </c>
      <c r="NS14" s="1755">
        <f>+IFERROR(VLOOKUP(NS$6&amp;"-"&amp;$M14&amp;"_old",Ammortamento_Finanziario!$H:$L,5,FALSE),VLOOKUP($M14,TT_Tabelle_Riferimento!$H$31:$I$50,2,FALSE))</f>
        <v>8</v>
      </c>
      <c r="NT14" s="1755">
        <f>+IFERROR(VLOOKUP(NT$6&amp;"-"&amp;$M14&amp;"_old",Ammortamento_Finanziario!$H:$L,5,FALSE),VLOOKUP($M14,TT_Tabelle_Riferimento!$H$31:$I$50,2,FALSE))</f>
        <v>8</v>
      </c>
      <c r="NU14" s="1755">
        <f>+IFERROR(VLOOKUP(NU$6&amp;"-"&amp;$M14&amp;"_old",Ammortamento_Finanziario!$H:$L,5,FALSE),VLOOKUP($M14,TT_Tabelle_Riferimento!$H$31:$I$50,2,FALSE))</f>
        <v>8</v>
      </c>
      <c r="NV14" s="1078">
        <f>+IFERROR(VLOOKUP(NV$6&amp;"-"&amp;$M14&amp;"_old",Ammortamento_Finanziario!$H:$L,5,FALSE),VLOOKUP($M14,TT_Tabelle_Riferimento!$H$31:$I$50,2,FALSE))</f>
        <v>8</v>
      </c>
      <c r="NW14" s="1078">
        <f>+IFERROR(VLOOKUP(NW$6&amp;"-"&amp;$M14&amp;"_old",Ammortamento_Finanziario!$H:$L,5,FALSE),VLOOKUP($M14,TT_Tabelle_Riferimento!$H$31:$I$50,2,FALSE))</f>
        <v>8</v>
      </c>
      <c r="NX14" s="1078">
        <f>+IFERROR(VLOOKUP(NX$6&amp;"-"&amp;$M14&amp;"_old",Ammortamento_Finanziario!$H:$L,5,FALSE),VLOOKUP($M14,TT_Tabelle_Riferimento!$H$31:$I$50,2,FALSE))</f>
        <v>8</v>
      </c>
      <c r="NY14" s="1078">
        <f>+IFERROR(VLOOKUP(NY$6&amp;"-"&amp;$M14&amp;"_old",Ammortamento_Finanziario!$H:$L,5,FALSE),VLOOKUP($M14,TT_Tabelle_Riferimento!$H$31:$I$50,2,FALSE))</f>
        <v>8</v>
      </c>
      <c r="NZ14" s="1078">
        <f>+IFERROR(VLOOKUP(NZ$6&amp;"-"&amp;$M14&amp;"_old",Ammortamento_Finanziario!$H:$L,5,FALSE),VLOOKUP($M14,TT_Tabelle_Riferimento!$H$31:$I$50,2,FALSE))</f>
        <v>8</v>
      </c>
      <c r="OA14" s="1078">
        <f>+IFERROR(VLOOKUP(OA$6&amp;"-"&amp;$M14&amp;"_old",Ammortamento_Finanziario!$H:$L,5,FALSE),VLOOKUP($M14,TT_Tabelle_Riferimento!$H$31:$I$50,2,FALSE))</f>
        <v>8</v>
      </c>
      <c r="OB14" s="1078">
        <f>+IFERROR(VLOOKUP(OB$6&amp;"-"&amp;$M14&amp;"_old",Ammortamento_Finanziario!$H:$L,5,FALSE),VLOOKUP($M14,TT_Tabelle_Riferimento!$H$31:$I$50,2,FALSE))</f>
        <v>8</v>
      </c>
      <c r="OC14" s="1078">
        <f>+IFERROR(VLOOKUP(OC$6&amp;"-"&amp;$M14&amp;"_old",Ammortamento_Finanziario!$H:$L,5,FALSE),VLOOKUP($M14,TT_Tabelle_Riferimento!$H$31:$I$50,2,FALSE))</f>
        <v>8</v>
      </c>
      <c r="OD14" s="1078">
        <f>+IFERROR(VLOOKUP(OD$6&amp;"-"&amp;$M14&amp;"_old",Ammortamento_Finanziario!$H:$L,5,FALSE),VLOOKUP($M14,TT_Tabelle_Riferimento!$H$31:$I$50,2,FALSE))</f>
        <v>8</v>
      </c>
      <c r="OE14" s="1078">
        <f>+IFERROR(VLOOKUP(OE$6&amp;"-"&amp;$M14&amp;"_old",Ammortamento_Finanziario!$H:$L,5,FALSE),VLOOKUP($M14,TT_Tabelle_Riferimento!$H$31:$I$50,2,FALSE))</f>
        <v>8</v>
      </c>
      <c r="OF14" s="1078">
        <f>+IFERROR(VLOOKUP(OF$6&amp;"-"&amp;$M14&amp;"_old",Ammortamento_Finanziario!$H:$L,5,FALSE),VLOOKUP($M14,TT_Tabelle_Riferimento!$H$31:$I$50,2,FALSE))</f>
        <v>8</v>
      </c>
      <c r="OG14" s="1078">
        <f>+IFERROR(VLOOKUP(OG$6&amp;"-"&amp;$M14&amp;"_old",Ammortamento_Finanziario!$H:$L,5,FALSE),VLOOKUP($M14,TT_Tabelle_Riferimento!$H$31:$I$50,2,FALSE))</f>
        <v>8</v>
      </c>
      <c r="OH14" s="1078">
        <f>+IFERROR(VLOOKUP(OH$6&amp;"-"&amp;$M14&amp;"_old",Ammortamento_Finanziario!$H:$L,5,FALSE),VLOOKUP($M14,TT_Tabelle_Riferimento!$H$31:$I$50,2,FALSE))</f>
        <v>8</v>
      </c>
      <c r="OI14" s="1078">
        <f>+IFERROR(VLOOKUP(OI$6&amp;"-"&amp;$M14&amp;"_old",Ammortamento_Finanziario!$H:$L,5,FALSE),VLOOKUP($M14,TT_Tabelle_Riferimento!$H$31:$I$50,2,FALSE))</f>
        <v>8</v>
      </c>
      <c r="OJ14" s="1078">
        <f>+IFERROR(VLOOKUP(OJ$6&amp;"-"&amp;$M14&amp;"_old",Ammortamento_Finanziario!$H:$L,5,FALSE),VLOOKUP($M14,TT_Tabelle_Riferimento!$H$31:$I$50,2,FALSE))</f>
        <v>8</v>
      </c>
      <c r="OK14" s="1078">
        <f>+IFERROR(VLOOKUP(OK$6&amp;"-"&amp;$M14&amp;"_old",Ammortamento_Finanziario!$H:$L,5,FALSE),VLOOKUP($M14,TT_Tabelle_Riferimento!$H$31:$I$50,2,FALSE))</f>
        <v>8</v>
      </c>
      <c r="OL14" s="1078">
        <f>+IFERROR(VLOOKUP(OL$6&amp;"-"&amp;$M14&amp;"_old",Ammortamento_Finanziario!$H:$L,5,FALSE),VLOOKUP($M14,TT_Tabelle_Riferimento!$H$31:$I$50,2,FALSE))</f>
        <v>8</v>
      </c>
      <c r="OM14" s="1078">
        <f>+IFERROR(VLOOKUP(OM$6&amp;"-"&amp;$M14&amp;"_old",Ammortamento_Finanziario!$H:$L,5,FALSE),VLOOKUP($M14,TT_Tabelle_Riferimento!$H$31:$I$50,2,FALSE))</f>
        <v>8</v>
      </c>
      <c r="ON14" s="1078">
        <f>+IFERROR(VLOOKUP(ON$6&amp;"-"&amp;$M14&amp;"_old",Ammortamento_Finanziario!$H:$L,5,FALSE),VLOOKUP($M14,TT_Tabelle_Riferimento!$H$31:$I$50,2,FALSE))</f>
        <v>8</v>
      </c>
      <c r="OO14" s="1755">
        <f>+IFERROR(VLOOKUP(OO$6&amp;"-"&amp;$M14&amp;"_old",Ammortamento_Finanziario!$H:$L,5,FALSE),VLOOKUP($M14,TT_Tabelle_Riferimento!$H$31:$I$50,2,FALSE))</f>
        <v>8</v>
      </c>
      <c r="OP14" s="1755">
        <f>+IFERROR(VLOOKUP(OP$6&amp;"-"&amp;$M14&amp;"_old",Ammortamento_Finanziario!$H:$L,5,FALSE),VLOOKUP($M14,TT_Tabelle_Riferimento!$H$31:$I$50,2,FALSE))</f>
        <v>8</v>
      </c>
      <c r="OQ14" s="1755">
        <f>+IFERROR(VLOOKUP(OQ$6&amp;"-"&amp;$M14&amp;"_old",Ammortamento_Finanziario!$H:$L,5,FALSE),VLOOKUP($M14,TT_Tabelle_Riferimento!$H$31:$I$50,2,FALSE))</f>
        <v>8</v>
      </c>
      <c r="OR14" s="1755">
        <f>+IFERROR(VLOOKUP(OR$6&amp;"-"&amp;$M14&amp;"_old",Ammortamento_Finanziario!$H:$L,5,FALSE),VLOOKUP($M14,TT_Tabelle_Riferimento!$H$31:$I$50,2,FALSE))</f>
        <v>8</v>
      </c>
      <c r="OS14" s="1078">
        <f>+IFERROR(VLOOKUP(OS$6&amp;"-"&amp;$M14&amp;"_old",Ammortamento_Finanziario!$H:$L,5,FALSE),VLOOKUP($M14,TT_Tabelle_Riferimento!$H$31:$I$50,2,FALSE))</f>
        <v>8</v>
      </c>
      <c r="OT14" s="1078">
        <f>+IFERROR(VLOOKUP(OT$6&amp;"-"&amp;$M14&amp;"_old",Ammortamento_Finanziario!$H:$L,5,FALSE),VLOOKUP($M14,TT_Tabelle_Riferimento!$H$31:$I$50,2,FALSE))</f>
        <v>8</v>
      </c>
      <c r="OU14" s="1078">
        <f>+IFERROR(VLOOKUP(OU$6&amp;"-"&amp;$M14&amp;"_old",Ammortamento_Finanziario!$H:$L,5,FALSE),VLOOKUP($M14,TT_Tabelle_Riferimento!$H$31:$I$50,2,FALSE))</f>
        <v>8</v>
      </c>
      <c r="OV14" s="1078">
        <f>+IFERROR(VLOOKUP(OV$6&amp;"-"&amp;$M14&amp;"_old",Ammortamento_Finanziario!$H:$L,5,FALSE),VLOOKUP($M14,TT_Tabelle_Riferimento!$H$31:$I$50,2,FALSE))</f>
        <v>8</v>
      </c>
      <c r="OW14" s="1078">
        <f>+IFERROR(VLOOKUP(OW$6&amp;"-"&amp;$M14&amp;"_old",Ammortamento_Finanziario!$H:$L,5,FALSE),VLOOKUP($M14,TT_Tabelle_Riferimento!$H$31:$I$50,2,FALSE))</f>
        <v>8</v>
      </c>
      <c r="OX14" s="1078">
        <f>+IFERROR(VLOOKUP(OX$6&amp;"-"&amp;$M14&amp;"_old",Ammortamento_Finanziario!$H:$L,5,FALSE),VLOOKUP($M14,TT_Tabelle_Riferimento!$H$31:$I$50,2,FALSE))</f>
        <v>8</v>
      </c>
      <c r="OY14" s="1078">
        <f>+IFERROR(VLOOKUP(OY$6&amp;"-"&amp;$M14&amp;"_old",Ammortamento_Finanziario!$H:$L,5,FALSE),VLOOKUP($M14,TT_Tabelle_Riferimento!$H$31:$I$50,2,FALSE))</f>
        <v>8</v>
      </c>
      <c r="OZ14" s="1078">
        <f>+IFERROR(VLOOKUP(OZ$6&amp;"-"&amp;$M14&amp;"_old",Ammortamento_Finanziario!$H:$L,5,FALSE),VLOOKUP($M14,TT_Tabelle_Riferimento!$H$31:$I$50,2,FALSE))</f>
        <v>8</v>
      </c>
      <c r="PA14" s="1078">
        <f>+IFERROR(VLOOKUP(PA$6&amp;"-"&amp;$M14&amp;"_old",Ammortamento_Finanziario!$H:$L,5,FALSE),VLOOKUP($M14,TT_Tabelle_Riferimento!$H$31:$I$50,2,FALSE))</f>
        <v>8</v>
      </c>
      <c r="PB14" s="1078">
        <f>+IFERROR(VLOOKUP(PB$6&amp;"-"&amp;$M14&amp;"_old",Ammortamento_Finanziario!$H:$L,5,FALSE),VLOOKUP($M14,TT_Tabelle_Riferimento!$H$31:$I$50,2,FALSE))</f>
        <v>8</v>
      </c>
      <c r="PC14" s="1078">
        <f>+IFERROR(VLOOKUP(PC$6&amp;"-"&amp;$M14&amp;"_old",Ammortamento_Finanziario!$H:$L,5,FALSE),VLOOKUP($M14,TT_Tabelle_Riferimento!$H$31:$I$50,2,FALSE))</f>
        <v>8</v>
      </c>
      <c r="PD14" s="1078">
        <f>+IFERROR(VLOOKUP(PD$6&amp;"-"&amp;$M14&amp;"_old",Ammortamento_Finanziario!$H:$L,5,FALSE),VLOOKUP($M14,TT_Tabelle_Riferimento!$H$31:$I$50,2,FALSE))</f>
        <v>8</v>
      </c>
      <c r="PE14" s="1078">
        <f>+IFERROR(VLOOKUP(PE$6&amp;"-"&amp;$M14&amp;"_old",Ammortamento_Finanziario!$H:$L,5,FALSE),VLOOKUP($M14,TT_Tabelle_Riferimento!$H$31:$I$50,2,FALSE))</f>
        <v>8</v>
      </c>
      <c r="PF14" s="1078">
        <f>+IFERROR(VLOOKUP(PF$6&amp;"-"&amp;$M14&amp;"_old",Ammortamento_Finanziario!$H:$L,5,FALSE),VLOOKUP($M14,TT_Tabelle_Riferimento!$H$31:$I$50,2,FALSE))</f>
        <v>8</v>
      </c>
      <c r="PG14" s="1078">
        <f>+IFERROR(VLOOKUP(PG$6&amp;"-"&amp;$M14&amp;"_old",Ammortamento_Finanziario!$H:$L,5,FALSE),VLOOKUP($M14,TT_Tabelle_Riferimento!$H$31:$I$50,2,FALSE))</f>
        <v>8</v>
      </c>
      <c r="PH14" s="1078">
        <f>+IFERROR(VLOOKUP(PH$6&amp;"-"&amp;$M14&amp;"_old",Ammortamento_Finanziario!$H:$L,5,FALSE),VLOOKUP($M14,TT_Tabelle_Riferimento!$H$31:$I$50,2,FALSE))</f>
        <v>8</v>
      </c>
      <c r="PI14" s="1078">
        <f>+IFERROR(VLOOKUP(PI$6&amp;"-"&amp;$M14&amp;"_old",Ammortamento_Finanziario!$H:$L,5,FALSE),VLOOKUP($M14,TT_Tabelle_Riferimento!$H$31:$I$50,2,FALSE))</f>
        <v>8</v>
      </c>
      <c r="PJ14" s="1078">
        <f>+IFERROR(VLOOKUP(PJ$6&amp;"-"&amp;$M14&amp;"_old",Ammortamento_Finanziario!$H:$L,5,FALSE),VLOOKUP($M14,TT_Tabelle_Riferimento!$H$31:$I$50,2,FALSE))</f>
        <v>8</v>
      </c>
      <c r="PK14" s="1078">
        <f>+IFERROR(VLOOKUP(PK$6&amp;"-"&amp;$M14&amp;"_old",Ammortamento_Finanziario!$H:$L,5,FALSE),VLOOKUP($M14,TT_Tabelle_Riferimento!$H$31:$I$50,2,FALSE))</f>
        <v>8</v>
      </c>
      <c r="PL14" s="1755">
        <f>+IFERROR(VLOOKUP(PL$6&amp;"-"&amp;$M14&amp;"_old",Ammortamento_Finanziario!$H:$L,5,FALSE),VLOOKUP($M14,TT_Tabelle_Riferimento!$H$31:$I$50,2,FALSE))</f>
        <v>8</v>
      </c>
      <c r="PM14" s="1755">
        <f>+IFERROR(VLOOKUP(PM$6&amp;"-"&amp;$M14&amp;"_old",Ammortamento_Finanziario!$H:$L,5,FALSE),VLOOKUP($M14,TT_Tabelle_Riferimento!$H$31:$I$50,2,FALSE))</f>
        <v>8</v>
      </c>
      <c r="PN14" s="1755">
        <f>+IFERROR(VLOOKUP(PN$6&amp;"-"&amp;$M14&amp;"_old",Ammortamento_Finanziario!$H:$L,5,FALSE),VLOOKUP($M14,TT_Tabelle_Riferimento!$H$31:$I$50,2,FALSE))</f>
        <v>8</v>
      </c>
      <c r="PO14" s="1078">
        <f>+IFERROR(VLOOKUP(PO$6&amp;"-"&amp;$M14&amp;"_old",Ammortamento_Finanziario!$H:$L,5,FALSE),VLOOKUP($M14,TT_Tabelle_Riferimento!$H$31:$I$50,2,FALSE))</f>
        <v>8</v>
      </c>
      <c r="PP14" s="1078">
        <f>+IFERROR(VLOOKUP(PP$6&amp;"-"&amp;$M14&amp;"_old",Ammortamento_Finanziario!$H:$L,5,FALSE),VLOOKUP($M14,TT_Tabelle_Riferimento!$H$31:$I$50,2,FALSE))</f>
        <v>8</v>
      </c>
      <c r="PQ14" s="1078">
        <f>+IFERROR(VLOOKUP(PQ$6&amp;"-"&amp;$M14&amp;"_old",Ammortamento_Finanziario!$H:$L,5,FALSE),VLOOKUP($M14,TT_Tabelle_Riferimento!$H$31:$I$50,2,FALSE))</f>
        <v>8</v>
      </c>
      <c r="PR14" s="1078">
        <f>+IFERROR(VLOOKUP(PR$6&amp;"-"&amp;$M14&amp;"_old",Ammortamento_Finanziario!$H:$L,5,FALSE),VLOOKUP($M14,TT_Tabelle_Riferimento!$H$31:$I$50,2,FALSE))</f>
        <v>8</v>
      </c>
      <c r="PS14" s="1078">
        <f>+IFERROR(VLOOKUP(PS$6&amp;"-"&amp;$M14&amp;"_old",Ammortamento_Finanziario!$H:$L,5,FALSE),VLOOKUP($M14,TT_Tabelle_Riferimento!$H$31:$I$50,2,FALSE))</f>
        <v>8</v>
      </c>
      <c r="PT14" s="1078">
        <f>+IFERROR(VLOOKUP(PT$6&amp;"-"&amp;$M14&amp;"_old",Ammortamento_Finanziario!$H:$L,5,FALSE),VLOOKUP($M14,TT_Tabelle_Riferimento!$H$31:$I$50,2,FALSE))</f>
        <v>8</v>
      </c>
      <c r="PU14" s="1078">
        <f>+IFERROR(VLOOKUP(PU$6&amp;"-"&amp;$M14&amp;"_old",Ammortamento_Finanziario!$H:$L,5,FALSE),VLOOKUP($M14,TT_Tabelle_Riferimento!$H$31:$I$50,2,FALSE))</f>
        <v>8</v>
      </c>
      <c r="PV14" s="1078">
        <f>+IFERROR(VLOOKUP(PV$6&amp;"-"&amp;$M14&amp;"_old",Ammortamento_Finanziario!$H:$L,5,FALSE),VLOOKUP($M14,TT_Tabelle_Riferimento!$H$31:$I$50,2,FALSE))</f>
        <v>8</v>
      </c>
      <c r="PW14" s="1078">
        <f>+IFERROR(VLOOKUP(PW$6&amp;"-"&amp;$M14&amp;"_old",Ammortamento_Finanziario!$H:$L,5,FALSE),VLOOKUP($M14,TT_Tabelle_Riferimento!$H$31:$I$50,2,FALSE))</f>
        <v>8</v>
      </c>
      <c r="PX14" s="1078">
        <f>+IFERROR(VLOOKUP(PX$6&amp;"-"&amp;$M14&amp;"_old",Ammortamento_Finanziario!$H:$L,5,FALSE),VLOOKUP($M14,TT_Tabelle_Riferimento!$H$31:$I$50,2,FALSE))</f>
        <v>8</v>
      </c>
      <c r="PY14" s="1078">
        <f>+IFERROR(VLOOKUP(PY$6&amp;"-"&amp;$M14&amp;"_old",Ammortamento_Finanziario!$H:$L,5,FALSE),VLOOKUP($M14,TT_Tabelle_Riferimento!$H$31:$I$50,2,FALSE))</f>
        <v>8</v>
      </c>
      <c r="PZ14" s="1078">
        <f>+IFERROR(VLOOKUP(PZ$6&amp;"-"&amp;$M14&amp;"_old",Ammortamento_Finanziario!$H:$L,5,FALSE),VLOOKUP($M14,TT_Tabelle_Riferimento!$H$31:$I$50,2,FALSE))</f>
        <v>8</v>
      </c>
      <c r="QA14" s="1078">
        <f>+IFERROR(VLOOKUP(QA$6&amp;"-"&amp;$M14&amp;"_old",Ammortamento_Finanziario!$H:$L,5,FALSE),VLOOKUP($M14,TT_Tabelle_Riferimento!$H$31:$I$50,2,FALSE))</f>
        <v>8</v>
      </c>
      <c r="QB14" s="1078">
        <f>+IFERROR(VLOOKUP(QB$6&amp;"-"&amp;$M14&amp;"_old",Ammortamento_Finanziario!$H:$L,5,FALSE),VLOOKUP($M14,TT_Tabelle_Riferimento!$H$31:$I$50,2,FALSE))</f>
        <v>8</v>
      </c>
      <c r="QC14" s="1078">
        <f>+IFERROR(VLOOKUP(QC$6&amp;"-"&amp;$M14&amp;"_old",Ammortamento_Finanziario!$H:$L,5,FALSE),VLOOKUP($M14,TT_Tabelle_Riferimento!$H$31:$I$50,2,FALSE))</f>
        <v>8</v>
      </c>
      <c r="QD14" s="1078">
        <f>+IFERROR(VLOOKUP(QD$6&amp;"-"&amp;$M14&amp;"_old",Ammortamento_Finanziario!$H:$L,5,FALSE),VLOOKUP($M14,TT_Tabelle_Riferimento!$H$31:$I$50,2,FALSE))</f>
        <v>8</v>
      </c>
      <c r="QE14" s="1078">
        <f>+IFERROR(VLOOKUP(QE$6&amp;"-"&amp;$M14&amp;"_old",Ammortamento_Finanziario!$H:$L,5,FALSE),VLOOKUP($M14,TT_Tabelle_Riferimento!$H$31:$I$50,2,FALSE))</f>
        <v>8</v>
      </c>
      <c r="QF14" s="1078">
        <f>+IFERROR(VLOOKUP(QF$6&amp;"-"&amp;$M14&amp;"_old",Ammortamento_Finanziario!$H:$L,5,FALSE),VLOOKUP($M14,TT_Tabelle_Riferimento!$H$31:$I$50,2,FALSE))</f>
        <v>8</v>
      </c>
      <c r="QG14" s="1078">
        <f>+IFERROR(VLOOKUP(QG$6&amp;"-"&amp;$M14&amp;"_old",Ammortamento_Finanziario!$H:$L,5,FALSE),VLOOKUP($M14,TT_Tabelle_Riferimento!$H$31:$I$50,2,FALSE))</f>
        <v>8</v>
      </c>
      <c r="QH14" s="1755">
        <f>+IFERROR(VLOOKUP(QH$6&amp;"-"&amp;$M14&amp;"_old",Ammortamento_Finanziario!$H:$L,5,FALSE),VLOOKUP($M14,TT_Tabelle_Riferimento!$H$31:$I$50,2,FALSE))</f>
        <v>8</v>
      </c>
      <c r="QI14" s="1755">
        <f>+IFERROR(VLOOKUP(QI$6&amp;"-"&amp;$M14&amp;"_old",Ammortamento_Finanziario!$H:$L,5,FALSE),VLOOKUP($M14,TT_Tabelle_Riferimento!$H$31:$I$50,2,FALSE))</f>
        <v>8</v>
      </c>
      <c r="QJ14" s="1078">
        <f>+IFERROR(VLOOKUP(QJ$6&amp;"-"&amp;$M14&amp;"_old",Ammortamento_Finanziario!$H:$L,5,FALSE),VLOOKUP($M14,TT_Tabelle_Riferimento!$H$31:$I$50,2,FALSE))</f>
        <v>8</v>
      </c>
      <c r="QK14" s="1078">
        <f>+IFERROR(VLOOKUP(QK$6&amp;"-"&amp;$M14&amp;"_old",Ammortamento_Finanziario!$H:$L,5,FALSE),VLOOKUP($M14,TT_Tabelle_Riferimento!$H$31:$I$50,2,FALSE))</f>
        <v>8</v>
      </c>
      <c r="QL14" s="1078">
        <f>+IFERROR(VLOOKUP(QL$6&amp;"-"&amp;$M14&amp;"_old",Ammortamento_Finanziario!$H:$L,5,FALSE),VLOOKUP($M14,TT_Tabelle_Riferimento!$H$31:$I$50,2,FALSE))</f>
        <v>8</v>
      </c>
      <c r="QM14" s="1078">
        <f>+IFERROR(VLOOKUP(QM$6&amp;"-"&amp;$M14&amp;"_old",Ammortamento_Finanziario!$H:$L,5,FALSE),VLOOKUP($M14,TT_Tabelle_Riferimento!$H$31:$I$50,2,FALSE))</f>
        <v>8</v>
      </c>
      <c r="QN14" s="1078">
        <f>+IFERROR(VLOOKUP(QN$6&amp;"-"&amp;$M14&amp;"_old",Ammortamento_Finanziario!$H:$L,5,FALSE),VLOOKUP($M14,TT_Tabelle_Riferimento!$H$31:$I$50,2,FALSE))</f>
        <v>8</v>
      </c>
      <c r="QO14" s="1078">
        <f>+IFERROR(VLOOKUP(QO$6&amp;"-"&amp;$M14&amp;"_old",Ammortamento_Finanziario!$H:$L,5,FALSE),VLOOKUP($M14,TT_Tabelle_Riferimento!$H$31:$I$50,2,FALSE))</f>
        <v>8</v>
      </c>
      <c r="QP14" s="1078">
        <f>+IFERROR(VLOOKUP(QP$6&amp;"-"&amp;$M14&amp;"_old",Ammortamento_Finanziario!$H:$L,5,FALSE),VLOOKUP($M14,TT_Tabelle_Riferimento!$H$31:$I$50,2,FALSE))</f>
        <v>8</v>
      </c>
      <c r="QQ14" s="1078">
        <f>+IFERROR(VLOOKUP(QQ$6&amp;"-"&amp;$M14&amp;"_old",Ammortamento_Finanziario!$H:$L,5,FALSE),VLOOKUP($M14,TT_Tabelle_Riferimento!$H$31:$I$50,2,FALSE))</f>
        <v>8</v>
      </c>
      <c r="QR14" s="1078">
        <f>+IFERROR(VLOOKUP(QR$6&amp;"-"&amp;$M14&amp;"_old",Ammortamento_Finanziario!$H:$L,5,FALSE),VLOOKUP($M14,TT_Tabelle_Riferimento!$H$31:$I$50,2,FALSE))</f>
        <v>8</v>
      </c>
      <c r="QS14" s="1078">
        <f>+IFERROR(VLOOKUP(QS$6&amp;"-"&amp;$M14&amp;"_old",Ammortamento_Finanziario!$H:$L,5,FALSE),VLOOKUP($M14,TT_Tabelle_Riferimento!$H$31:$I$50,2,FALSE))</f>
        <v>8</v>
      </c>
      <c r="QT14" s="1078">
        <f>+IFERROR(VLOOKUP(QT$6&amp;"-"&amp;$M14&amp;"_old",Ammortamento_Finanziario!$H:$L,5,FALSE),VLOOKUP($M14,TT_Tabelle_Riferimento!$H$31:$I$50,2,FALSE))</f>
        <v>8</v>
      </c>
      <c r="QU14" s="1078">
        <f>+IFERROR(VLOOKUP(QU$6&amp;"-"&amp;$M14&amp;"_old",Ammortamento_Finanziario!$H:$L,5,FALSE),VLOOKUP($M14,TT_Tabelle_Riferimento!$H$31:$I$50,2,FALSE))</f>
        <v>8</v>
      </c>
      <c r="QV14" s="1078">
        <f>+IFERROR(VLOOKUP(QV$6&amp;"-"&amp;$M14&amp;"_old",Ammortamento_Finanziario!$H:$L,5,FALSE),VLOOKUP($M14,TT_Tabelle_Riferimento!$H$31:$I$50,2,FALSE))</f>
        <v>8</v>
      </c>
      <c r="QW14" s="1078">
        <f>+IFERROR(VLOOKUP(QW$6&amp;"-"&amp;$M14&amp;"_old",Ammortamento_Finanziario!$H:$L,5,FALSE),VLOOKUP($M14,TT_Tabelle_Riferimento!$H$31:$I$50,2,FALSE))</f>
        <v>8</v>
      </c>
      <c r="QX14" s="1078">
        <f>+IFERROR(VLOOKUP(QX$6&amp;"-"&amp;$M14&amp;"_old",Ammortamento_Finanziario!$H:$L,5,FALSE),VLOOKUP($M14,TT_Tabelle_Riferimento!$H$31:$I$50,2,FALSE))</f>
        <v>8</v>
      </c>
      <c r="QY14" s="1078">
        <f>+IFERROR(VLOOKUP(QY$6&amp;"-"&amp;$M14&amp;"_old",Ammortamento_Finanziario!$H:$L,5,FALSE),VLOOKUP($M14,TT_Tabelle_Riferimento!$H$31:$I$50,2,FALSE))</f>
        <v>8</v>
      </c>
      <c r="QZ14" s="1078">
        <f>+IFERROR(VLOOKUP(QZ$6&amp;"-"&amp;$M14&amp;"_old",Ammortamento_Finanziario!$H:$L,5,FALSE),VLOOKUP($M14,TT_Tabelle_Riferimento!$H$31:$I$50,2,FALSE))</f>
        <v>8</v>
      </c>
      <c r="RA14" s="1078">
        <f>+IFERROR(VLOOKUP(RA$6&amp;"-"&amp;$M14&amp;"_old",Ammortamento_Finanziario!$H:$L,5,FALSE),VLOOKUP($M14,TT_Tabelle_Riferimento!$H$31:$I$50,2,FALSE))</f>
        <v>8</v>
      </c>
      <c r="RB14" s="1078">
        <f>+IFERROR(VLOOKUP(RB$6&amp;"-"&amp;$M14&amp;"_old",Ammortamento_Finanziario!$H:$L,5,FALSE),VLOOKUP($M14,TT_Tabelle_Riferimento!$H$31:$I$50,2,FALSE))</f>
        <v>8</v>
      </c>
      <c r="RC14" s="1755">
        <f>+IFERROR(VLOOKUP(RC$6&amp;"-"&amp;$M14&amp;"_old",Ammortamento_Finanziario!$H:$L,5,FALSE),VLOOKUP($M14,TT_Tabelle_Riferimento!$H$31:$I$50,2,FALSE))</f>
        <v>8</v>
      </c>
      <c r="RD14" s="1078">
        <f>+IFERROR(VLOOKUP(RD$6&amp;"-"&amp;$M14&amp;"_old",Ammortamento_Finanziario!$H:$L,5,FALSE),VLOOKUP($M14,TT_Tabelle_Riferimento!$H$31:$I$50,2,FALSE))</f>
        <v>8</v>
      </c>
      <c r="RE14" s="1078">
        <f>+IFERROR(VLOOKUP(RE$6&amp;"-"&amp;$M14&amp;"_old",Ammortamento_Finanziario!$H:$L,5,FALSE),VLOOKUP($M14,TT_Tabelle_Riferimento!$H$31:$I$50,2,FALSE))</f>
        <v>8</v>
      </c>
      <c r="RF14" s="1078">
        <f>+IFERROR(VLOOKUP(RF$6&amp;"-"&amp;$M14&amp;"_old",Ammortamento_Finanziario!$H:$L,5,FALSE),VLOOKUP($M14,TT_Tabelle_Riferimento!$H$31:$I$50,2,FALSE))</f>
        <v>8</v>
      </c>
      <c r="RG14" s="1078">
        <f>+IFERROR(VLOOKUP(RG$6&amp;"-"&amp;$M14&amp;"_old",Ammortamento_Finanziario!$H:$L,5,FALSE),VLOOKUP($M14,TT_Tabelle_Riferimento!$H$31:$I$50,2,FALSE))</f>
        <v>8</v>
      </c>
      <c r="RH14" s="1078">
        <f>+IFERROR(VLOOKUP(RH$6&amp;"-"&amp;$M14&amp;"_old",Ammortamento_Finanziario!$H:$L,5,FALSE),VLOOKUP($M14,TT_Tabelle_Riferimento!$H$31:$I$50,2,FALSE))</f>
        <v>8</v>
      </c>
      <c r="RI14" s="1078">
        <f>+IFERROR(VLOOKUP(RI$6&amp;"-"&amp;$M14&amp;"_old",Ammortamento_Finanziario!$H:$L,5,FALSE),VLOOKUP($M14,TT_Tabelle_Riferimento!$H$31:$I$50,2,FALSE))</f>
        <v>8</v>
      </c>
      <c r="RJ14" s="1078">
        <f>+IFERROR(VLOOKUP(RJ$6&amp;"-"&amp;$M14&amp;"_old",Ammortamento_Finanziario!$H:$L,5,FALSE),VLOOKUP($M14,TT_Tabelle_Riferimento!$H$31:$I$50,2,FALSE))</f>
        <v>8</v>
      </c>
      <c r="RK14" s="1078">
        <f>+IFERROR(VLOOKUP(RK$6&amp;"-"&amp;$M14&amp;"_old",Ammortamento_Finanziario!$H:$L,5,FALSE),VLOOKUP($M14,TT_Tabelle_Riferimento!$H$31:$I$50,2,FALSE))</f>
        <v>8</v>
      </c>
      <c r="RL14" s="1078">
        <f>+IFERROR(VLOOKUP(RL$6&amp;"-"&amp;$M14&amp;"_old",Ammortamento_Finanziario!$H:$L,5,FALSE),VLOOKUP($M14,TT_Tabelle_Riferimento!$H$31:$I$50,2,FALSE))</f>
        <v>8</v>
      </c>
      <c r="RM14" s="1078">
        <f>+IFERROR(VLOOKUP(RM$6&amp;"-"&amp;$M14&amp;"_old",Ammortamento_Finanziario!$H:$L,5,FALSE),VLOOKUP($M14,TT_Tabelle_Riferimento!$H$31:$I$50,2,FALSE))</f>
        <v>8</v>
      </c>
      <c r="RN14" s="1078">
        <f>+IFERROR(VLOOKUP(RN$6&amp;"-"&amp;$M14&amp;"_old",Ammortamento_Finanziario!$H:$L,5,FALSE),VLOOKUP($M14,TT_Tabelle_Riferimento!$H$31:$I$50,2,FALSE))</f>
        <v>8</v>
      </c>
      <c r="RO14" s="1078">
        <f>+IFERROR(VLOOKUP(RO$6&amp;"-"&amp;$M14&amp;"_old",Ammortamento_Finanziario!$H:$L,5,FALSE),VLOOKUP($M14,TT_Tabelle_Riferimento!$H$31:$I$50,2,FALSE))</f>
        <v>8</v>
      </c>
      <c r="RP14" s="1078">
        <f>+IFERROR(VLOOKUP(RP$6&amp;"-"&amp;$M14&amp;"_old",Ammortamento_Finanziario!$H:$L,5,FALSE),VLOOKUP($M14,TT_Tabelle_Riferimento!$H$31:$I$50,2,FALSE))</f>
        <v>8</v>
      </c>
      <c r="RQ14" s="1078">
        <f>+IFERROR(VLOOKUP(RQ$6&amp;"-"&amp;$M14&amp;"_old",Ammortamento_Finanziario!$H:$L,5,FALSE),VLOOKUP($M14,TT_Tabelle_Riferimento!$H$31:$I$50,2,FALSE))</f>
        <v>8</v>
      </c>
      <c r="RR14" s="1078">
        <f>+IFERROR(VLOOKUP(RR$6&amp;"-"&amp;$M14&amp;"_old",Ammortamento_Finanziario!$H:$L,5,FALSE),VLOOKUP($M14,TT_Tabelle_Riferimento!$H$31:$I$50,2,FALSE))</f>
        <v>8</v>
      </c>
      <c r="RS14" s="1078">
        <f>+IFERROR(VLOOKUP(RS$6&amp;"-"&amp;$M14&amp;"_old",Ammortamento_Finanziario!$H:$L,5,FALSE),VLOOKUP($M14,TT_Tabelle_Riferimento!$H$31:$I$50,2,FALSE))</f>
        <v>8</v>
      </c>
      <c r="RT14" s="1078">
        <f>+IFERROR(VLOOKUP(RT$6&amp;"-"&amp;$M14&amp;"_old",Ammortamento_Finanziario!$H:$L,5,FALSE),VLOOKUP($M14,TT_Tabelle_Riferimento!$H$31:$I$50,2,FALSE))</f>
        <v>8</v>
      </c>
      <c r="RU14" s="1078">
        <f>+IFERROR(VLOOKUP(RU$6&amp;"-"&amp;$M14&amp;"_old",Ammortamento_Finanziario!$H:$L,5,FALSE),VLOOKUP($M14,TT_Tabelle_Riferimento!$H$31:$I$50,2,FALSE))</f>
        <v>8</v>
      </c>
      <c r="RV14" s="1078">
        <f>+IFERROR(VLOOKUP(RV$6&amp;"-"&amp;$M14&amp;"_old",Ammortamento_Finanziario!$H:$L,5,FALSE),VLOOKUP($M14,TT_Tabelle_Riferimento!$H$31:$I$50,2,FALSE))</f>
        <v>8</v>
      </c>
    </row>
    <row r="15" spans="4:490">
      <c r="D15" s="137"/>
      <c r="E15" s="136"/>
      <c r="F15" s="136"/>
      <c r="G15" s="136"/>
      <c r="H15" s="136"/>
      <c r="I15" s="136"/>
      <c r="J15" s="136"/>
      <c r="K15" s="136"/>
      <c r="L15" s="125"/>
      <c r="M15" s="420">
        <v>9</v>
      </c>
      <c r="N15" s="904">
        <f>+IFERROR(VLOOKUP(N$6&amp;"-"&amp;$M15&amp;"_old",Ammortamento_Finanziario!$H:$L,5,FALSE),VLOOKUP($M15,TT_Tabelle_Riferimento!$H$31:$I$50,2,FALSE))</f>
        <v>15</v>
      </c>
      <c r="O15" s="904">
        <f>+IFERROR(VLOOKUP(O$6&amp;"-"&amp;$M15&amp;"_old",Ammortamento_Finanziario!$H:$L,5,FALSE),VLOOKUP($M15,TT_Tabelle_Riferimento!$H$31:$I$50,2,FALSE))</f>
        <v>15</v>
      </c>
      <c r="P15" s="904">
        <f>+IFERROR(VLOOKUP(P$6&amp;"-"&amp;$M15&amp;"_old",Ammortamento_Finanziario!$H:$L,5,FALSE),VLOOKUP($M15,TT_Tabelle_Riferimento!$H$31:$I$50,2,FALSE))</f>
        <v>15</v>
      </c>
      <c r="Q15" s="904">
        <f>+IFERROR(VLOOKUP(Q$6&amp;"-"&amp;$M15&amp;"_old",Ammortamento_Finanziario!$H:$L,5,FALSE),VLOOKUP($M15,TT_Tabelle_Riferimento!$H$31:$I$50,2,FALSE))</f>
        <v>15</v>
      </c>
      <c r="R15" s="904">
        <f>+IFERROR(VLOOKUP(R$6&amp;"-"&amp;$M15&amp;"_old",Ammortamento_Finanziario!$H:$L,5,FALSE),VLOOKUP($M15,TT_Tabelle_Riferimento!$H$31:$I$50,2,FALSE))</f>
        <v>15</v>
      </c>
      <c r="S15" s="904">
        <f>+IFERROR(VLOOKUP(S$6&amp;"-"&amp;$M15&amp;"_old",Ammortamento_Finanziario!$H:$L,5,FALSE),VLOOKUP($M15,TT_Tabelle_Riferimento!$H$31:$I$50,2,FALSE))</f>
        <v>15</v>
      </c>
      <c r="T15" s="904">
        <f>+IFERROR(VLOOKUP(T$6&amp;"-"&amp;$M15&amp;"_old",Ammortamento_Finanziario!$H:$L,5,FALSE),VLOOKUP($M15,TT_Tabelle_Riferimento!$H$31:$I$50,2,FALSE))</f>
        <v>15</v>
      </c>
      <c r="U15" s="904">
        <f>+IFERROR(VLOOKUP(U$6&amp;"-"&amp;$M15&amp;"_old",Ammortamento_Finanziario!$H:$L,5,FALSE),VLOOKUP($M15,TT_Tabelle_Riferimento!$H$31:$I$50,2,FALSE))</f>
        <v>15</v>
      </c>
      <c r="V15" s="904">
        <f>+IFERROR(VLOOKUP(V$6&amp;"-"&amp;$M15&amp;"_old",Ammortamento_Finanziario!$H:$L,5,FALSE),VLOOKUP($M15,TT_Tabelle_Riferimento!$H$31:$I$50,2,FALSE))</f>
        <v>15</v>
      </c>
      <c r="W15" s="904">
        <f>+IFERROR(VLOOKUP(W$6&amp;"-"&amp;$M15&amp;"_old",Ammortamento_Finanziario!$H:$L,5,FALSE),VLOOKUP($M15,TT_Tabelle_Riferimento!$H$31:$I$50,2,FALSE))</f>
        <v>15</v>
      </c>
      <c r="X15" s="1739">
        <f>+IFERROR(VLOOKUP(X$6&amp;"-"&amp;$M15&amp;"_old",Ammortamento_Finanziario!$H:$L,5,FALSE),VLOOKUP($M15,TT_Tabelle_Riferimento!$H$31:$I$50,2,FALSE))</f>
        <v>15</v>
      </c>
      <c r="Y15" s="1739">
        <f>+IFERROR(VLOOKUP(Y$6&amp;"-"&amp;$M15&amp;"_old",Ammortamento_Finanziario!$H:$L,5,FALSE),VLOOKUP($M15,TT_Tabelle_Riferimento!$H$31:$I$50,2,FALSE))</f>
        <v>15</v>
      </c>
      <c r="Z15" s="1749">
        <f>+IFERROR(VLOOKUP(Z$6&amp;"-"&amp;$M15&amp;"_old",Ammortamento_Finanziario!$H:$L,5,FALSE),VLOOKUP($M15,TT_Tabelle_Riferimento!$H$31:$I$50,2,FALSE))</f>
        <v>15</v>
      </c>
      <c r="AA15" s="1749">
        <f>+IFERROR(VLOOKUP(AA$6&amp;"-"&amp;$M15&amp;"_old",Ammortamento_Finanziario!$H:$L,5,FALSE),VLOOKUP($M15,TT_Tabelle_Riferimento!$H$31:$I$50,2,FALSE))</f>
        <v>15</v>
      </c>
      <c r="AB15" s="1749">
        <f>+IFERROR(VLOOKUP(AB$6&amp;"-"&amp;$M15&amp;"_old",Ammortamento_Finanziario!$H:$L,5,FALSE),VLOOKUP($M15,TT_Tabelle_Riferimento!$H$31:$I$50,2,FALSE))</f>
        <v>15</v>
      </c>
      <c r="AC15" s="1749">
        <f>+IFERROR(VLOOKUP(AC$6&amp;"-"&amp;$M15&amp;"_old",Ammortamento_Finanziario!$H:$L,5,FALSE),VLOOKUP($M15,TT_Tabelle_Riferimento!$H$31:$I$50,2,FALSE))</f>
        <v>15</v>
      </c>
      <c r="AD15" s="1749">
        <f>+IFERROR(VLOOKUP(AD$6&amp;"-"&amp;$M15&amp;"_old",Ammortamento_Finanziario!$H:$L,5,FALSE),VLOOKUP($M15,TT_Tabelle_Riferimento!$H$31:$I$50,2,FALSE))</f>
        <v>15</v>
      </c>
      <c r="AE15" s="1749">
        <f>+IFERROR(VLOOKUP(AE$6&amp;"-"&amp;$M15&amp;"_old",Ammortamento_Finanziario!$H:$L,5,FALSE),VLOOKUP($M15,TT_Tabelle_Riferimento!$H$31:$I$50,2,FALSE))</f>
        <v>15</v>
      </c>
      <c r="AF15" s="625">
        <f>+IFERROR(VLOOKUP(AF$6&amp;"-"&amp;$M15&amp;"_old",Ammortamento_Finanziario!$H:$L,5,FALSE),VLOOKUP($M15,TT_Tabelle_Riferimento!$H$31:$I$50,2,FALSE))</f>
        <v>15</v>
      </c>
      <c r="AG15" s="625">
        <f>+IFERROR(VLOOKUP(AG$6&amp;"-"&amp;$M15&amp;"_old",Ammortamento_Finanziario!$H:$L,5,FALSE),VLOOKUP($M15,TT_Tabelle_Riferimento!$H$31:$I$50,2,FALSE))</f>
        <v>15</v>
      </c>
      <c r="AH15" s="625">
        <f>+IFERROR(VLOOKUP(AH$6&amp;"-"&amp;$M15&amp;"_old",Ammortamento_Finanziario!$H:$L,5,FALSE),VLOOKUP($M15,TT_Tabelle_Riferimento!$H$31:$I$50,2,FALSE))</f>
        <v>15</v>
      </c>
      <c r="AI15" s="625">
        <f>+IFERROR(VLOOKUP(AI$6&amp;"-"&amp;$M15&amp;"_old",Ammortamento_Finanziario!$H:$L,5,FALSE),VLOOKUP($M15,TT_Tabelle_Riferimento!$H$31:$I$50,2,FALSE))</f>
        <v>15</v>
      </c>
      <c r="AJ15" s="625">
        <f>+IFERROR(VLOOKUP(AJ$6&amp;"-"&amp;$M15&amp;"_old",Ammortamento_Finanziario!$H:$L,5,FALSE),VLOOKUP($M15,TT_Tabelle_Riferimento!$H$31:$I$50,2,FALSE))</f>
        <v>15</v>
      </c>
      <c r="AK15" s="625">
        <f>+IFERROR(VLOOKUP(AK$6&amp;"-"&amp;$M15&amp;"_old",Ammortamento_Finanziario!$H:$L,5,FALSE),VLOOKUP($M15,TT_Tabelle_Riferimento!$H$31:$I$50,2,FALSE))</f>
        <v>15</v>
      </c>
      <c r="AL15" s="625">
        <f>+IFERROR(VLOOKUP(AL$6&amp;"-"&amp;$M15&amp;"_old",Ammortamento_Finanziario!$H:$L,5,FALSE),VLOOKUP($M15,TT_Tabelle_Riferimento!$H$31:$I$50,2,FALSE))</f>
        <v>15</v>
      </c>
      <c r="AM15" s="625">
        <f>+IFERROR(VLOOKUP(AM$6&amp;"-"&amp;$M15&amp;"_old",Ammortamento_Finanziario!$H:$L,5,FALSE),VLOOKUP($M15,TT_Tabelle_Riferimento!$H$31:$I$50,2,FALSE))</f>
        <v>15</v>
      </c>
      <c r="AN15" s="625">
        <f>+IFERROR(VLOOKUP(AN$6&amp;"-"&amp;$M15&amp;"_old",Ammortamento_Finanziario!$H:$L,5,FALSE),VLOOKUP($M15,TT_Tabelle_Riferimento!$H$31:$I$50,2,FALSE))</f>
        <v>15</v>
      </c>
      <c r="AO15" s="625">
        <f>+IFERROR(VLOOKUP(AO$6&amp;"-"&amp;$M15&amp;"_old",Ammortamento_Finanziario!$H:$L,5,FALSE),VLOOKUP($M15,TT_Tabelle_Riferimento!$H$31:$I$50,2,FALSE))</f>
        <v>15</v>
      </c>
      <c r="AP15" s="625">
        <f>+IFERROR(VLOOKUP(AP$6&amp;"-"&amp;$M15&amp;"_old",Ammortamento_Finanziario!$H:$L,5,FALSE),VLOOKUP($M15,TT_Tabelle_Riferimento!$H$31:$I$50,2,FALSE))</f>
        <v>15</v>
      </c>
      <c r="AQ15" s="625">
        <f>+IFERROR(VLOOKUP(AQ$6&amp;"-"&amp;$M15&amp;"_old",Ammortamento_Finanziario!$H:$L,5,FALSE),VLOOKUP($M15,TT_Tabelle_Riferimento!$H$31:$I$50,2,FALSE))</f>
        <v>15</v>
      </c>
      <c r="AR15" s="625">
        <f>+IFERROR(VLOOKUP(AR$6&amp;"-"&amp;$M15&amp;"_old",Ammortamento_Finanziario!$H:$L,5,FALSE),VLOOKUP($M15,TT_Tabelle_Riferimento!$H$31:$I$50,2,FALSE))</f>
        <v>15</v>
      </c>
      <c r="AS15" s="625">
        <f>+IFERROR(VLOOKUP(AS$6&amp;"-"&amp;$M15&amp;"_old",Ammortamento_Finanziario!$H:$L,5,FALSE),VLOOKUP($M15,TT_Tabelle_Riferimento!$H$31:$I$50,2,FALSE))</f>
        <v>15</v>
      </c>
      <c r="AT15" s="625">
        <f>+IFERROR(VLOOKUP(AT$6&amp;"-"&amp;$M15&amp;"_old",Ammortamento_Finanziario!$H:$L,5,FALSE),VLOOKUP($M15,TT_Tabelle_Riferimento!$H$31:$I$50,2,FALSE))</f>
        <v>15</v>
      </c>
      <c r="AU15" s="625">
        <f>+IFERROR(VLOOKUP(AU$6&amp;"-"&amp;$M15&amp;"_old",Ammortamento_Finanziario!$H:$L,5,FALSE),VLOOKUP($M15,TT_Tabelle_Riferimento!$H$31:$I$50,2,FALSE))</f>
        <v>15</v>
      </c>
      <c r="AV15" s="625">
        <f>+IFERROR(VLOOKUP(AV$6&amp;"-"&amp;$M15&amp;"_old",Ammortamento_Finanziario!$H:$L,5,FALSE),VLOOKUP($M15,TT_Tabelle_Riferimento!$H$31:$I$50,2,FALSE))</f>
        <v>15</v>
      </c>
      <c r="AW15" s="625">
        <f>+IFERROR(VLOOKUP(AW$6&amp;"-"&amp;$M15&amp;"_old",Ammortamento_Finanziario!$H:$L,5,FALSE),VLOOKUP($M15,TT_Tabelle_Riferimento!$H$31:$I$50,2,FALSE))</f>
        <v>15</v>
      </c>
      <c r="AX15" s="625">
        <f>+IFERROR(VLOOKUP(AX$6&amp;"-"&amp;$M15&amp;"_old",Ammortamento_Finanziario!$H:$L,5,FALSE),VLOOKUP($M15,TT_Tabelle_Riferimento!$H$31:$I$50,2,FALSE))</f>
        <v>15</v>
      </c>
      <c r="AY15" s="905">
        <f>+IFERROR(VLOOKUP(AY$6&amp;"-"&amp;$M15&amp;"_old",Ammortamento_Finanziario!$H:$L,5,FALSE),VLOOKUP($M15,TT_Tabelle_Riferimento!$H$31:$I$50,2,FALSE))</f>
        <v>15</v>
      </c>
      <c r="AZ15" s="905">
        <f>+IFERROR(VLOOKUP(AZ$6&amp;"-"&amp;$M15&amp;"_old",Ammortamento_Finanziario!$H:$L,5,FALSE),VLOOKUP($M15,TT_Tabelle_Riferimento!$H$31:$I$50,2,FALSE))</f>
        <v>15</v>
      </c>
      <c r="BA15" s="905">
        <f>+IFERROR(VLOOKUP(BA$6&amp;"-"&amp;$M15&amp;"_old",Ammortamento_Finanziario!$H:$L,5,FALSE),VLOOKUP($M15,TT_Tabelle_Riferimento!$H$31:$I$50,2,FALSE))</f>
        <v>15</v>
      </c>
      <c r="BB15" s="905">
        <f>+IFERROR(VLOOKUP(BB$6&amp;"-"&amp;$M15&amp;"_old",Ammortamento_Finanziario!$H:$L,5,FALSE),VLOOKUP($M15,TT_Tabelle_Riferimento!$H$31:$I$50,2,FALSE))</f>
        <v>15</v>
      </c>
      <c r="BC15" s="905">
        <f>+IFERROR(VLOOKUP(BC$6&amp;"-"&amp;$M15&amp;"_old",Ammortamento_Finanziario!$H:$L,5,FALSE),VLOOKUP($M15,TT_Tabelle_Riferimento!$H$31:$I$50,2,FALSE))</f>
        <v>15</v>
      </c>
      <c r="BD15" s="905">
        <f>+IFERROR(VLOOKUP(BD$6&amp;"-"&amp;$M15&amp;"_old",Ammortamento_Finanziario!$H:$L,5,FALSE),VLOOKUP($M15,TT_Tabelle_Riferimento!$H$31:$I$50,2,FALSE))</f>
        <v>15</v>
      </c>
      <c r="BE15" s="905">
        <f>+IFERROR(VLOOKUP(BE$6&amp;"-"&amp;$M15&amp;"_old",Ammortamento_Finanziario!$H:$L,5,FALSE),VLOOKUP($M15,TT_Tabelle_Riferimento!$H$31:$I$50,2,FALSE))</f>
        <v>15</v>
      </c>
      <c r="BF15" s="905">
        <f>+IFERROR(VLOOKUP(BF$6&amp;"-"&amp;$M15&amp;"_old",Ammortamento_Finanziario!$H:$L,5,FALSE),VLOOKUP($M15,TT_Tabelle_Riferimento!$H$31:$I$50,2,FALSE))</f>
        <v>15</v>
      </c>
      <c r="BG15" s="1740">
        <f>+IFERROR(VLOOKUP(BG$6&amp;"-"&amp;$M15&amp;"_old",Ammortamento_Finanziario!$H:$L,5,FALSE),VLOOKUP($M15,TT_Tabelle_Riferimento!$H$31:$I$50,2,FALSE))</f>
        <v>15</v>
      </c>
      <c r="BH15" s="1740">
        <f>+IFERROR(VLOOKUP(BH$6&amp;"-"&amp;$M15&amp;"_old",Ammortamento_Finanziario!$H:$L,5,FALSE),VLOOKUP($M15,TT_Tabelle_Riferimento!$H$31:$I$50,2,FALSE))</f>
        <v>15</v>
      </c>
      <c r="BI15" s="1749">
        <f>+IFERROR(VLOOKUP(BI$6&amp;"-"&amp;$M15&amp;"_old",Ammortamento_Finanziario!$H:$L,5,FALSE),VLOOKUP($M15,TT_Tabelle_Riferimento!$H$31:$I$50,2,FALSE))</f>
        <v>15</v>
      </c>
      <c r="BJ15" s="1749">
        <f>+IFERROR(VLOOKUP(BJ$6&amp;"-"&amp;$M15&amp;"_old",Ammortamento_Finanziario!$H:$L,5,FALSE),VLOOKUP($M15,TT_Tabelle_Riferimento!$H$31:$I$50,2,FALSE))</f>
        <v>15</v>
      </c>
      <c r="BK15" s="1749">
        <f>+IFERROR(VLOOKUP(BK$6&amp;"-"&amp;$M15&amp;"_old",Ammortamento_Finanziario!$H:$L,5,FALSE),VLOOKUP($M15,TT_Tabelle_Riferimento!$H$31:$I$50,2,FALSE))</f>
        <v>15</v>
      </c>
      <c r="BL15" s="1749">
        <f>+IFERROR(VLOOKUP(BL$6&amp;"-"&amp;$M15&amp;"_old",Ammortamento_Finanziario!$H:$L,5,FALSE),VLOOKUP($M15,TT_Tabelle_Riferimento!$H$31:$I$50,2,FALSE))</f>
        <v>15</v>
      </c>
      <c r="BM15" s="1749">
        <f>+IFERROR(VLOOKUP(BM$6&amp;"-"&amp;$M15&amp;"_old",Ammortamento_Finanziario!$H:$L,5,FALSE),VLOOKUP($M15,TT_Tabelle_Riferimento!$H$31:$I$50,2,FALSE))</f>
        <v>15</v>
      </c>
      <c r="BN15" s="1749">
        <f>+IFERROR(VLOOKUP(BN$6&amp;"-"&amp;$M15&amp;"_old",Ammortamento_Finanziario!$H:$L,5,FALSE),VLOOKUP($M15,TT_Tabelle_Riferimento!$H$31:$I$50,2,FALSE))</f>
        <v>15</v>
      </c>
      <c r="BO15" s="625">
        <f>+IFERROR(VLOOKUP(BO$6&amp;"-"&amp;$M15&amp;"_old",Ammortamento_Finanziario!$H:$L,5,FALSE),VLOOKUP($M15,TT_Tabelle_Riferimento!$H$31:$I$50,2,FALSE))</f>
        <v>15</v>
      </c>
      <c r="BP15" s="625">
        <f>+IFERROR(VLOOKUP(BP$6&amp;"-"&amp;$M15&amp;"_old",Ammortamento_Finanziario!$H:$L,5,FALSE),VLOOKUP($M15,TT_Tabelle_Riferimento!$H$31:$I$50,2,FALSE))</f>
        <v>15</v>
      </c>
      <c r="BQ15" s="625">
        <f>+IFERROR(VLOOKUP(BQ$6&amp;"-"&amp;$M15&amp;"_old",Ammortamento_Finanziario!$H:$L,5,FALSE),VLOOKUP($M15,TT_Tabelle_Riferimento!$H$31:$I$50,2,FALSE))</f>
        <v>15</v>
      </c>
      <c r="BR15" s="625">
        <f>+IFERROR(VLOOKUP(BR$6&amp;"-"&amp;$M15&amp;"_old",Ammortamento_Finanziario!$H:$L,5,FALSE),VLOOKUP($M15,TT_Tabelle_Riferimento!$H$31:$I$50,2,FALSE))</f>
        <v>15</v>
      </c>
      <c r="BS15" s="625">
        <f>+IFERROR(VLOOKUP(BS$6&amp;"-"&amp;$M15&amp;"_old",Ammortamento_Finanziario!$H:$L,5,FALSE),VLOOKUP($M15,TT_Tabelle_Riferimento!$H$31:$I$50,2,FALSE))</f>
        <v>15</v>
      </c>
      <c r="BT15" s="625">
        <f>+IFERROR(VLOOKUP(BT$6&amp;"-"&amp;$M15&amp;"_old",Ammortamento_Finanziario!$H:$L,5,FALSE),VLOOKUP($M15,TT_Tabelle_Riferimento!$H$31:$I$50,2,FALSE))</f>
        <v>15</v>
      </c>
      <c r="BU15" s="625">
        <f>+IFERROR(VLOOKUP(BU$6&amp;"-"&amp;$M15&amp;"_old",Ammortamento_Finanziario!$H:$L,5,FALSE),VLOOKUP($M15,TT_Tabelle_Riferimento!$H$31:$I$50,2,FALSE))</f>
        <v>15</v>
      </c>
      <c r="BV15" s="625">
        <f>+IFERROR(VLOOKUP(BV$6&amp;"-"&amp;$M15&amp;"_old",Ammortamento_Finanziario!$H:$L,5,FALSE),VLOOKUP($M15,TT_Tabelle_Riferimento!$H$31:$I$50,2,FALSE))</f>
        <v>15</v>
      </c>
      <c r="BW15" s="625">
        <f>+IFERROR(VLOOKUP(BW$6&amp;"-"&amp;$M15&amp;"_old",Ammortamento_Finanziario!$H:$L,5,FALSE),VLOOKUP($M15,TT_Tabelle_Riferimento!$H$31:$I$50,2,FALSE))</f>
        <v>15</v>
      </c>
      <c r="BX15" s="625">
        <f>+IFERROR(VLOOKUP(BX$6&amp;"-"&amp;$M15&amp;"_old",Ammortamento_Finanziario!$H:$L,5,FALSE),VLOOKUP($M15,TT_Tabelle_Riferimento!$H$31:$I$50,2,FALSE))</f>
        <v>15</v>
      </c>
      <c r="BY15" s="625">
        <f>+IFERROR(VLOOKUP(BY$6&amp;"-"&amp;$M15&amp;"_old",Ammortamento_Finanziario!$H:$L,5,FALSE),VLOOKUP($M15,TT_Tabelle_Riferimento!$H$31:$I$50,2,FALSE))</f>
        <v>15</v>
      </c>
      <c r="BZ15" s="625">
        <f>+IFERROR(VLOOKUP(BZ$6&amp;"-"&amp;$M15&amp;"_old",Ammortamento_Finanziario!$H:$L,5,FALSE),VLOOKUP($M15,TT_Tabelle_Riferimento!$H$31:$I$50,2,FALSE))</f>
        <v>15</v>
      </c>
      <c r="CA15" s="625">
        <f>+IFERROR(VLOOKUP(CA$6&amp;"-"&amp;$M15&amp;"_old",Ammortamento_Finanziario!$H:$L,5,FALSE),VLOOKUP($M15,TT_Tabelle_Riferimento!$H$31:$I$50,2,FALSE))</f>
        <v>15</v>
      </c>
      <c r="CB15" s="625">
        <f>+IFERROR(VLOOKUP(CB$6&amp;"-"&amp;$M15&amp;"_old",Ammortamento_Finanziario!$H:$L,5,FALSE),VLOOKUP($M15,TT_Tabelle_Riferimento!$H$31:$I$50,2,FALSE))</f>
        <v>15</v>
      </c>
      <c r="CC15" s="625">
        <f>+IFERROR(VLOOKUP(CC$6&amp;"-"&amp;$M15&amp;"_old",Ammortamento_Finanziario!$H:$L,5,FALSE),VLOOKUP($M15,TT_Tabelle_Riferimento!$H$31:$I$50,2,FALSE))</f>
        <v>15</v>
      </c>
      <c r="CD15" s="625">
        <f>+IFERROR(VLOOKUP(CD$6&amp;"-"&amp;$M15&amp;"_old",Ammortamento_Finanziario!$H:$L,5,FALSE),VLOOKUP($M15,TT_Tabelle_Riferimento!$H$31:$I$50,2,FALSE))</f>
        <v>15</v>
      </c>
      <c r="CE15" s="625">
        <f>+IFERROR(VLOOKUP(CE$6&amp;"-"&amp;$M15&amp;"_old",Ammortamento_Finanziario!$H:$L,5,FALSE),VLOOKUP($M15,TT_Tabelle_Riferimento!$H$31:$I$50,2,FALSE))</f>
        <v>15</v>
      </c>
      <c r="CF15" s="625">
        <f>+IFERROR(VLOOKUP(CF$6&amp;"-"&amp;$M15&amp;"_old",Ammortamento_Finanziario!$H:$L,5,FALSE),VLOOKUP($M15,TT_Tabelle_Riferimento!$H$31:$I$50,2,FALSE))</f>
        <v>15</v>
      </c>
      <c r="CG15" s="625">
        <f>+IFERROR(VLOOKUP(CG$6&amp;"-"&amp;$M15&amp;"_old",Ammortamento_Finanziario!$H:$L,5,FALSE),VLOOKUP($M15,TT_Tabelle_Riferimento!$H$31:$I$50,2,FALSE))</f>
        <v>15</v>
      </c>
      <c r="CH15" s="905">
        <f>+IFERROR(VLOOKUP(CH$6&amp;"-"&amp;$M15&amp;"_old",Ammortamento_Finanziario!$H:$L,5,FALSE),VLOOKUP($M15,TT_Tabelle_Riferimento!$H$31:$I$50,2,FALSE))</f>
        <v>15</v>
      </c>
      <c r="CI15" s="905">
        <f>+IFERROR(VLOOKUP(CI$6&amp;"-"&amp;$M15&amp;"_old",Ammortamento_Finanziario!$H:$L,5,FALSE),VLOOKUP($M15,TT_Tabelle_Riferimento!$H$31:$I$50,2,FALSE))</f>
        <v>15</v>
      </c>
      <c r="CJ15" s="905">
        <f>+IFERROR(VLOOKUP(CJ$6&amp;"-"&amp;$M15&amp;"_old",Ammortamento_Finanziario!$H:$L,5,FALSE),VLOOKUP($M15,TT_Tabelle_Riferimento!$H$31:$I$50,2,FALSE))</f>
        <v>15</v>
      </c>
      <c r="CK15" s="905">
        <f>+IFERROR(VLOOKUP(CK$6&amp;"-"&amp;$M15&amp;"_old",Ammortamento_Finanziario!$H:$L,5,FALSE),VLOOKUP($M15,TT_Tabelle_Riferimento!$H$31:$I$50,2,FALSE))</f>
        <v>15</v>
      </c>
      <c r="CL15" s="905">
        <f>+IFERROR(VLOOKUP(CL$6&amp;"-"&amp;$M15&amp;"_old",Ammortamento_Finanziario!$H:$L,5,FALSE),VLOOKUP($M15,TT_Tabelle_Riferimento!$H$31:$I$50,2,FALSE))</f>
        <v>15</v>
      </c>
      <c r="CM15" s="905">
        <f>+IFERROR(VLOOKUP(CM$6&amp;"-"&amp;$M15&amp;"_old",Ammortamento_Finanziario!$H:$L,5,FALSE),VLOOKUP($M15,TT_Tabelle_Riferimento!$H$31:$I$50,2,FALSE))</f>
        <v>15</v>
      </c>
      <c r="CN15" s="905">
        <f>+IFERROR(VLOOKUP(CN$6&amp;"-"&amp;$M15&amp;"_old",Ammortamento_Finanziario!$H:$L,5,FALSE),VLOOKUP($M15,TT_Tabelle_Riferimento!$H$31:$I$50,2,FALSE))</f>
        <v>15</v>
      </c>
      <c r="CO15" s="1740">
        <f>+IFERROR(VLOOKUP(CO$6&amp;"-"&amp;$M15&amp;"_old",Ammortamento_Finanziario!$H:$L,5,FALSE),VLOOKUP($M15,TT_Tabelle_Riferimento!$H$31:$I$50,2,FALSE))</f>
        <v>15</v>
      </c>
      <c r="CP15" s="1740">
        <f>+IFERROR(VLOOKUP(CP$6&amp;"-"&amp;$M15&amp;"_old",Ammortamento_Finanziario!$H:$L,5,FALSE),VLOOKUP($M15,TT_Tabelle_Riferimento!$H$31:$I$50,2,FALSE))</f>
        <v>15</v>
      </c>
      <c r="CQ15" s="1749">
        <f>+IFERROR(VLOOKUP(CQ$6&amp;"-"&amp;$M15&amp;"_old",Ammortamento_Finanziario!$H:$L,5,FALSE),VLOOKUP($M15,TT_Tabelle_Riferimento!$H$31:$I$50,2,FALSE))</f>
        <v>15</v>
      </c>
      <c r="CR15" s="1749">
        <f>+IFERROR(VLOOKUP(CR$6&amp;"-"&amp;$M15&amp;"_old",Ammortamento_Finanziario!$H:$L,5,FALSE),VLOOKUP($M15,TT_Tabelle_Riferimento!$H$31:$I$50,2,FALSE))</f>
        <v>15</v>
      </c>
      <c r="CS15" s="1749">
        <f>+IFERROR(VLOOKUP(CS$6&amp;"-"&amp;$M15&amp;"_old",Ammortamento_Finanziario!$H:$L,5,FALSE),VLOOKUP($M15,TT_Tabelle_Riferimento!$H$31:$I$50,2,FALSE))</f>
        <v>15</v>
      </c>
      <c r="CT15" s="1749">
        <f>+IFERROR(VLOOKUP(CT$6&amp;"-"&amp;$M15&amp;"_old",Ammortamento_Finanziario!$H:$L,5,FALSE),VLOOKUP($M15,TT_Tabelle_Riferimento!$H$31:$I$50,2,FALSE))</f>
        <v>15</v>
      </c>
      <c r="CU15" s="1749">
        <f>+IFERROR(VLOOKUP(CU$6&amp;"-"&amp;$M15&amp;"_old",Ammortamento_Finanziario!$H:$L,5,FALSE),VLOOKUP($M15,TT_Tabelle_Riferimento!$H$31:$I$50,2,FALSE))</f>
        <v>15</v>
      </c>
      <c r="CV15" s="1749">
        <f>+IFERROR(VLOOKUP(CV$6&amp;"-"&amp;$M15&amp;"_old",Ammortamento_Finanziario!$H:$L,5,FALSE),VLOOKUP($M15,TT_Tabelle_Riferimento!$H$31:$I$50,2,FALSE))</f>
        <v>15</v>
      </c>
      <c r="CW15" s="625">
        <f>+IFERROR(VLOOKUP(CW$6&amp;"-"&amp;$M15&amp;"_old",Ammortamento_Finanziario!$H:$L,5,FALSE),VLOOKUP($M15,TT_Tabelle_Riferimento!$H$31:$I$50,2,FALSE))</f>
        <v>15</v>
      </c>
      <c r="CX15" s="625">
        <f>+IFERROR(VLOOKUP(CX$6&amp;"-"&amp;$M15&amp;"_old",Ammortamento_Finanziario!$H:$L,5,FALSE),VLOOKUP($M15,TT_Tabelle_Riferimento!$H$31:$I$50,2,FALSE))</f>
        <v>15</v>
      </c>
      <c r="CY15" s="625">
        <f>+IFERROR(VLOOKUP(CY$6&amp;"-"&amp;$M15&amp;"_old",Ammortamento_Finanziario!$H:$L,5,FALSE),VLOOKUP($M15,TT_Tabelle_Riferimento!$H$31:$I$50,2,FALSE))</f>
        <v>15</v>
      </c>
      <c r="CZ15" s="625">
        <f>+IFERROR(VLOOKUP(CZ$6&amp;"-"&amp;$M15&amp;"_old",Ammortamento_Finanziario!$H:$L,5,FALSE),VLOOKUP($M15,TT_Tabelle_Riferimento!$H$31:$I$50,2,FALSE))</f>
        <v>15</v>
      </c>
      <c r="DA15" s="625">
        <f>+IFERROR(VLOOKUP(DA$6&amp;"-"&amp;$M15&amp;"_old",Ammortamento_Finanziario!$H:$L,5,FALSE),VLOOKUP($M15,TT_Tabelle_Riferimento!$H$31:$I$50,2,FALSE))</f>
        <v>15</v>
      </c>
      <c r="DB15" s="625">
        <f>+IFERROR(VLOOKUP(DB$6&amp;"-"&amp;$M15&amp;"_old",Ammortamento_Finanziario!$H:$L,5,FALSE),VLOOKUP($M15,TT_Tabelle_Riferimento!$H$31:$I$50,2,FALSE))</f>
        <v>15</v>
      </c>
      <c r="DC15" s="625">
        <f>+IFERROR(VLOOKUP(DC$6&amp;"-"&amp;$M15&amp;"_old",Ammortamento_Finanziario!$H:$L,5,FALSE),VLOOKUP($M15,TT_Tabelle_Riferimento!$H$31:$I$50,2,FALSE))</f>
        <v>15</v>
      </c>
      <c r="DD15" s="625">
        <f>+IFERROR(VLOOKUP(DD$6&amp;"-"&amp;$M15&amp;"_old",Ammortamento_Finanziario!$H:$L,5,FALSE),VLOOKUP($M15,TT_Tabelle_Riferimento!$H$31:$I$50,2,FALSE))</f>
        <v>15</v>
      </c>
      <c r="DE15" s="625">
        <f>+IFERROR(VLOOKUP(DE$6&amp;"-"&amp;$M15&amp;"_old",Ammortamento_Finanziario!$H:$L,5,FALSE),VLOOKUP($M15,TT_Tabelle_Riferimento!$H$31:$I$50,2,FALSE))</f>
        <v>15</v>
      </c>
      <c r="DF15" s="625">
        <f>+IFERROR(VLOOKUP(DF$6&amp;"-"&amp;$M15&amp;"_old",Ammortamento_Finanziario!$H:$L,5,FALSE),VLOOKUP($M15,TT_Tabelle_Riferimento!$H$31:$I$50,2,FALSE))</f>
        <v>15</v>
      </c>
      <c r="DG15" s="625">
        <f>+IFERROR(VLOOKUP(DG$6&amp;"-"&amp;$M15&amp;"_old",Ammortamento_Finanziario!$H:$L,5,FALSE),VLOOKUP($M15,TT_Tabelle_Riferimento!$H$31:$I$50,2,FALSE))</f>
        <v>15</v>
      </c>
      <c r="DH15" s="625">
        <f>+IFERROR(VLOOKUP(DH$6&amp;"-"&amp;$M15&amp;"_old",Ammortamento_Finanziario!$H:$L,5,FALSE),VLOOKUP($M15,TT_Tabelle_Riferimento!$H$31:$I$50,2,FALSE))</f>
        <v>15</v>
      </c>
      <c r="DI15" s="625">
        <f>+IFERROR(VLOOKUP(DI$6&amp;"-"&amp;$M15&amp;"_old",Ammortamento_Finanziario!$H:$L,5,FALSE),VLOOKUP($M15,TT_Tabelle_Riferimento!$H$31:$I$50,2,FALSE))</f>
        <v>15</v>
      </c>
      <c r="DJ15" s="625">
        <f>+IFERROR(VLOOKUP(DJ$6&amp;"-"&amp;$M15&amp;"_old",Ammortamento_Finanziario!$H:$L,5,FALSE),VLOOKUP($M15,TT_Tabelle_Riferimento!$H$31:$I$50,2,FALSE))</f>
        <v>15</v>
      </c>
      <c r="DK15" s="625">
        <f>+IFERROR(VLOOKUP(DK$6&amp;"-"&amp;$M15&amp;"_old",Ammortamento_Finanziario!$H:$L,5,FALSE),VLOOKUP($M15,TT_Tabelle_Riferimento!$H$31:$I$50,2,FALSE))</f>
        <v>15</v>
      </c>
      <c r="DL15" s="625">
        <f>+IFERROR(VLOOKUP(DL$6&amp;"-"&amp;$M15&amp;"_old",Ammortamento_Finanziario!$H:$L,5,FALSE),VLOOKUP($M15,TT_Tabelle_Riferimento!$H$31:$I$50,2,FALSE))</f>
        <v>15</v>
      </c>
      <c r="DM15" s="625">
        <f>+IFERROR(VLOOKUP(DM$6&amp;"-"&amp;$M15&amp;"_old",Ammortamento_Finanziario!$H:$L,5,FALSE),VLOOKUP($M15,TT_Tabelle_Riferimento!$H$31:$I$50,2,FALSE))</f>
        <v>15</v>
      </c>
      <c r="DN15" s="625">
        <f>+IFERROR(VLOOKUP(DN$6&amp;"-"&amp;$M15&amp;"_old",Ammortamento_Finanziario!$H:$L,5,FALSE),VLOOKUP($M15,TT_Tabelle_Riferimento!$H$31:$I$50,2,FALSE))</f>
        <v>15</v>
      </c>
      <c r="DO15" s="625">
        <f>+IFERROR(VLOOKUP(DO$6&amp;"-"&amp;$M15&amp;"_old",Ammortamento_Finanziario!$H:$L,5,FALSE),VLOOKUP($M15,TT_Tabelle_Riferimento!$H$31:$I$50,2,FALSE))</f>
        <v>15</v>
      </c>
      <c r="DP15" s="636">
        <f>+IFERROR(VLOOKUP(DP$6&amp;"-"&amp;$M15&amp;"_old",Ammortamento_Finanziario!$H:$L,5,FALSE),VLOOKUP($M15,TT_Tabelle_Riferimento!$H$31:$I$50,2,FALSE))</f>
        <v>15</v>
      </c>
      <c r="DQ15" s="636">
        <f>+IFERROR(VLOOKUP(DQ$6&amp;"-"&amp;$M15&amp;"_old",Ammortamento_Finanziario!$H:$L,5,FALSE),VLOOKUP($M15,TT_Tabelle_Riferimento!$H$31:$I$50,2,FALSE))</f>
        <v>15</v>
      </c>
      <c r="DR15" s="636">
        <f>+IFERROR(VLOOKUP(DR$6&amp;"-"&amp;$M15&amp;"_old",Ammortamento_Finanziario!$H:$L,5,FALSE),VLOOKUP($M15,TT_Tabelle_Riferimento!$H$31:$I$50,2,FALSE))</f>
        <v>15</v>
      </c>
      <c r="DS15" s="636">
        <f>+IFERROR(VLOOKUP(DS$6&amp;"-"&amp;$M15&amp;"_old",Ammortamento_Finanziario!$H:$L,5,FALSE),VLOOKUP($M15,TT_Tabelle_Riferimento!$H$31:$I$50,2,FALSE))</f>
        <v>15</v>
      </c>
      <c r="DT15" s="636">
        <f>+IFERROR(VLOOKUP(DT$6&amp;"-"&amp;$M15&amp;"_old",Ammortamento_Finanziario!$H:$L,5,FALSE),VLOOKUP($M15,TT_Tabelle_Riferimento!$H$31:$I$50,2,FALSE))</f>
        <v>15</v>
      </c>
      <c r="DU15" s="636">
        <f>+IFERROR(VLOOKUP(DU$6&amp;"-"&amp;$M15&amp;"_old",Ammortamento_Finanziario!$H:$L,5,FALSE),VLOOKUP($M15,TT_Tabelle_Riferimento!$H$31:$I$50,2,FALSE))</f>
        <v>15</v>
      </c>
      <c r="DV15" s="1742">
        <f>+IFERROR(VLOOKUP(DV$6&amp;"-"&amp;$M15&amp;"_old",Ammortamento_Finanziario!$H:$L,5,FALSE),VLOOKUP($M15,TT_Tabelle_Riferimento!$H$31:$I$50,2,FALSE))</f>
        <v>15</v>
      </c>
      <c r="DW15" s="1742">
        <f>+IFERROR(VLOOKUP(DW$6&amp;"-"&amp;$M15&amp;"_old",Ammortamento_Finanziario!$H:$L,5,FALSE),VLOOKUP($M15,TT_Tabelle_Riferimento!$H$31:$I$50,2,FALSE))</f>
        <v>15</v>
      </c>
      <c r="DX15" s="1750">
        <f>+IFERROR(VLOOKUP(DX$6&amp;"-"&amp;$M15&amp;"_old",Ammortamento_Finanziario!$H:$L,5,FALSE),VLOOKUP($M15,TT_Tabelle_Riferimento!$H$31:$I$50,2,FALSE))</f>
        <v>15</v>
      </c>
      <c r="DY15" s="1750">
        <f>+IFERROR(VLOOKUP(DY$6&amp;"-"&amp;$M15&amp;"_old",Ammortamento_Finanziario!$H:$L,5,FALSE),VLOOKUP($M15,TT_Tabelle_Riferimento!$H$31:$I$50,2,FALSE))</f>
        <v>15</v>
      </c>
      <c r="DZ15" s="1750">
        <f>+IFERROR(VLOOKUP(DZ$6&amp;"-"&amp;$M15&amp;"_old",Ammortamento_Finanziario!$H:$L,5,FALSE),VLOOKUP($M15,TT_Tabelle_Riferimento!$H$31:$I$50,2,FALSE))</f>
        <v>15</v>
      </c>
      <c r="EA15" s="1750">
        <f>+IFERROR(VLOOKUP(EA$6&amp;"-"&amp;$M15&amp;"_old",Ammortamento_Finanziario!$H:$L,5,FALSE),VLOOKUP($M15,TT_Tabelle_Riferimento!$H$31:$I$50,2,FALSE))</f>
        <v>15</v>
      </c>
      <c r="EB15" s="1750">
        <f>+IFERROR(VLOOKUP(EB$6&amp;"-"&amp;$M15&amp;"_old",Ammortamento_Finanziario!$H:$L,5,FALSE),VLOOKUP($M15,TT_Tabelle_Riferimento!$H$31:$I$50,2,FALSE))</f>
        <v>15</v>
      </c>
      <c r="EC15" s="1750">
        <f>+IFERROR(VLOOKUP(EC$6&amp;"-"&amp;$M15&amp;"_old",Ammortamento_Finanziario!$H:$L,5,FALSE),VLOOKUP($M15,TT_Tabelle_Riferimento!$H$31:$I$50,2,FALSE))</f>
        <v>15</v>
      </c>
      <c r="ED15" s="636">
        <f>+IFERROR(VLOOKUP(ED$6&amp;"-"&amp;$M15&amp;"_old",Ammortamento_Finanziario!$H:$L,5,FALSE),VLOOKUP($M15,TT_Tabelle_Riferimento!$H$31:$I$50,2,FALSE))</f>
        <v>15</v>
      </c>
      <c r="EE15" s="636">
        <f>+IFERROR(VLOOKUP(EE$6&amp;"-"&amp;$M15&amp;"_old",Ammortamento_Finanziario!$H:$L,5,FALSE),VLOOKUP($M15,TT_Tabelle_Riferimento!$H$31:$I$50,2,FALSE))</f>
        <v>15</v>
      </c>
      <c r="EF15" s="636">
        <f>+IFERROR(VLOOKUP(EF$6&amp;"-"&amp;$M15&amp;"_old",Ammortamento_Finanziario!$H:$L,5,FALSE),VLOOKUP($M15,TT_Tabelle_Riferimento!$H$31:$I$50,2,FALSE))</f>
        <v>15</v>
      </c>
      <c r="EG15" s="636">
        <f>+IFERROR(VLOOKUP(EG$6&amp;"-"&amp;$M15&amp;"_old",Ammortamento_Finanziario!$H:$L,5,FALSE),VLOOKUP($M15,TT_Tabelle_Riferimento!$H$31:$I$50,2,FALSE))</f>
        <v>15</v>
      </c>
      <c r="EH15" s="636">
        <f>+IFERROR(VLOOKUP(EH$6&amp;"-"&amp;$M15&amp;"_old",Ammortamento_Finanziario!$H:$L,5,FALSE),VLOOKUP($M15,TT_Tabelle_Riferimento!$H$31:$I$50,2,FALSE))</f>
        <v>15</v>
      </c>
      <c r="EI15" s="636">
        <f>+IFERROR(VLOOKUP(EI$6&amp;"-"&amp;$M15&amp;"_old",Ammortamento_Finanziario!$H:$L,5,FALSE),VLOOKUP($M15,TT_Tabelle_Riferimento!$H$31:$I$50,2,FALSE))</f>
        <v>15</v>
      </c>
      <c r="EJ15" s="636">
        <f>+IFERROR(VLOOKUP(EJ$6&amp;"-"&amp;$M15&amp;"_old",Ammortamento_Finanziario!$H:$L,5,FALSE),VLOOKUP($M15,TT_Tabelle_Riferimento!$H$31:$I$50,2,FALSE))</f>
        <v>15</v>
      </c>
      <c r="EK15" s="636">
        <f>+IFERROR(VLOOKUP(EK$6&amp;"-"&amp;$M15&amp;"_old",Ammortamento_Finanziario!$H:$L,5,FALSE),VLOOKUP($M15,TT_Tabelle_Riferimento!$H$31:$I$50,2,FALSE))</f>
        <v>15</v>
      </c>
      <c r="EL15" s="636">
        <f>+IFERROR(VLOOKUP(EL$6&amp;"-"&amp;$M15&amp;"_old",Ammortamento_Finanziario!$H:$L,5,FALSE),VLOOKUP($M15,TT_Tabelle_Riferimento!$H$31:$I$50,2,FALSE))</f>
        <v>15</v>
      </c>
      <c r="EM15" s="636">
        <f>+IFERROR(VLOOKUP(EM$6&amp;"-"&amp;$M15&amp;"_old",Ammortamento_Finanziario!$H:$L,5,FALSE),VLOOKUP($M15,TT_Tabelle_Riferimento!$H$31:$I$50,2,FALSE))</f>
        <v>15</v>
      </c>
      <c r="EN15" s="636">
        <f>+IFERROR(VLOOKUP(EN$6&amp;"-"&amp;$M15&amp;"_old",Ammortamento_Finanziario!$H:$L,5,FALSE),VLOOKUP($M15,TT_Tabelle_Riferimento!$H$31:$I$50,2,FALSE))</f>
        <v>15</v>
      </c>
      <c r="EO15" s="636">
        <f>+IFERROR(VLOOKUP(EO$6&amp;"-"&amp;$M15&amp;"_old",Ammortamento_Finanziario!$H:$L,5,FALSE),VLOOKUP($M15,TT_Tabelle_Riferimento!$H$31:$I$50,2,FALSE))</f>
        <v>15</v>
      </c>
      <c r="EP15" s="636">
        <f>+IFERROR(VLOOKUP(EP$6&amp;"-"&amp;$M15&amp;"_old",Ammortamento_Finanziario!$H:$L,5,FALSE),VLOOKUP($M15,TT_Tabelle_Riferimento!$H$31:$I$50,2,FALSE))</f>
        <v>15</v>
      </c>
      <c r="EQ15" s="636">
        <f>+IFERROR(VLOOKUP(EQ$6&amp;"-"&amp;$M15&amp;"_old",Ammortamento_Finanziario!$H:$L,5,FALSE),VLOOKUP($M15,TT_Tabelle_Riferimento!$H$31:$I$50,2,FALSE))</f>
        <v>15</v>
      </c>
      <c r="ER15" s="636">
        <f>+IFERROR(VLOOKUP(ER$6&amp;"-"&amp;$M15&amp;"_old",Ammortamento_Finanziario!$H:$L,5,FALSE),VLOOKUP($M15,TT_Tabelle_Riferimento!$H$31:$I$50,2,FALSE))</f>
        <v>15</v>
      </c>
      <c r="ES15" s="636">
        <f>+IFERROR(VLOOKUP(ES$6&amp;"-"&amp;$M15&amp;"_old",Ammortamento_Finanziario!$H:$L,5,FALSE),VLOOKUP($M15,TT_Tabelle_Riferimento!$H$31:$I$50,2,FALSE))</f>
        <v>15</v>
      </c>
      <c r="ET15" s="636">
        <f>+IFERROR(VLOOKUP(ET$6&amp;"-"&amp;$M15&amp;"_old",Ammortamento_Finanziario!$H:$L,5,FALSE),VLOOKUP($M15,TT_Tabelle_Riferimento!$H$31:$I$50,2,FALSE))</f>
        <v>15</v>
      </c>
      <c r="EU15" s="636">
        <f>+IFERROR(VLOOKUP(EU$6&amp;"-"&amp;$M15&amp;"_old",Ammortamento_Finanziario!$H:$L,5,FALSE),VLOOKUP($M15,TT_Tabelle_Riferimento!$H$31:$I$50,2,FALSE))</f>
        <v>15</v>
      </c>
      <c r="EV15" s="636">
        <f>+IFERROR(VLOOKUP(EV$6&amp;"-"&amp;$M15&amp;"_old",Ammortamento_Finanziario!$H:$L,5,FALSE),VLOOKUP($M15,TT_Tabelle_Riferimento!$H$31:$I$50,2,FALSE))</f>
        <v>15</v>
      </c>
      <c r="EW15" s="1048">
        <f>+IFERROR(VLOOKUP(EW$6&amp;"-"&amp;$M15&amp;"_old",Ammortamento_Finanziario!$H:$L,5,FALSE),VLOOKUP($M15,TT_Tabelle_Riferimento!$H$31:$I$50,2,FALSE))</f>
        <v>15</v>
      </c>
      <c r="EX15" s="1048">
        <f>+IFERROR(VLOOKUP(EX$6&amp;"-"&amp;$M15&amp;"_old",Ammortamento_Finanziario!$H:$L,5,FALSE),VLOOKUP($M15,TT_Tabelle_Riferimento!$H$31:$I$50,2,FALSE))</f>
        <v>15</v>
      </c>
      <c r="EY15" s="1048">
        <f>+IFERROR(VLOOKUP(EY$6&amp;"-"&amp;$M15&amp;"_old",Ammortamento_Finanziario!$H:$L,5,FALSE),VLOOKUP($M15,TT_Tabelle_Riferimento!$H$31:$I$50,2,FALSE))</f>
        <v>15</v>
      </c>
      <c r="EZ15" s="1048">
        <f>+IFERROR(VLOOKUP(EZ$6&amp;"-"&amp;$M15&amp;"_old",Ammortamento_Finanziario!$H:$L,5,FALSE),VLOOKUP($M15,TT_Tabelle_Riferimento!$H$31:$I$50,2,FALSE))</f>
        <v>15</v>
      </c>
      <c r="FA15" s="1048">
        <f>+IFERROR(VLOOKUP(FA$6&amp;"-"&amp;$M15&amp;"_old",Ammortamento_Finanziario!$H:$L,5,FALSE),VLOOKUP($M15,TT_Tabelle_Riferimento!$H$31:$I$50,2,FALSE))</f>
        <v>15</v>
      </c>
      <c r="FB15" s="1743">
        <f>+IFERROR(VLOOKUP(FB$6&amp;"-"&amp;$M15&amp;"_old",Ammortamento_Finanziario!$H:$L,5,FALSE),VLOOKUP($M15,TT_Tabelle_Riferimento!$H$31:$I$50,2,FALSE))</f>
        <v>15</v>
      </c>
      <c r="FC15" s="1743">
        <f>+IFERROR(VLOOKUP(FC$6&amp;"-"&amp;$M15&amp;"_old",Ammortamento_Finanziario!$H:$L,5,FALSE),VLOOKUP($M15,TT_Tabelle_Riferimento!$H$31:$I$50,2,FALSE))</f>
        <v>15</v>
      </c>
      <c r="FD15" s="1751">
        <f>+IFERROR(VLOOKUP(FD$6&amp;"-"&amp;$M15&amp;"_old",Ammortamento_Finanziario!$H:$L,5,FALSE),VLOOKUP($M15,TT_Tabelle_Riferimento!$H$31:$I$50,2,FALSE))</f>
        <v>15</v>
      </c>
      <c r="FE15" s="1751">
        <f>+IFERROR(VLOOKUP(FE$6&amp;"-"&amp;$M15&amp;"_old",Ammortamento_Finanziario!$H:$L,5,FALSE),VLOOKUP($M15,TT_Tabelle_Riferimento!$H$31:$I$50,2,FALSE))</f>
        <v>15</v>
      </c>
      <c r="FF15" s="1751">
        <f>+IFERROR(VLOOKUP(FF$6&amp;"-"&amp;$M15&amp;"_old",Ammortamento_Finanziario!$H:$L,5,FALSE),VLOOKUP($M15,TT_Tabelle_Riferimento!$H$31:$I$50,2,FALSE))</f>
        <v>15</v>
      </c>
      <c r="FG15" s="1751">
        <f>+IFERROR(VLOOKUP(FG$6&amp;"-"&amp;$M15&amp;"_old",Ammortamento_Finanziario!$H:$L,5,FALSE),VLOOKUP($M15,TT_Tabelle_Riferimento!$H$31:$I$50,2,FALSE))</f>
        <v>15</v>
      </c>
      <c r="FH15" s="1751">
        <f>+IFERROR(VLOOKUP(FH$6&amp;"-"&amp;$M15&amp;"_old",Ammortamento_Finanziario!$H:$L,5,FALSE),VLOOKUP($M15,TT_Tabelle_Riferimento!$H$31:$I$50,2,FALSE))</f>
        <v>15</v>
      </c>
      <c r="FI15" s="1751">
        <f>+IFERROR(VLOOKUP(FI$6&amp;"-"&amp;$M15&amp;"_old",Ammortamento_Finanziario!$H:$L,5,FALSE),VLOOKUP($M15,TT_Tabelle_Riferimento!$H$31:$I$50,2,FALSE))</f>
        <v>15</v>
      </c>
      <c r="FJ15" s="629">
        <f>+IFERROR(VLOOKUP(FJ$6&amp;"-"&amp;$M15&amp;"_old",Ammortamento_Finanziario!$H:$L,5,FALSE),VLOOKUP($M15,TT_Tabelle_Riferimento!$H$31:$I$50,2,FALSE))</f>
        <v>15</v>
      </c>
      <c r="FK15" s="629">
        <f>+IFERROR(VLOOKUP(FK$6&amp;"-"&amp;$M15&amp;"_old",Ammortamento_Finanziario!$H:$L,5,FALSE),VLOOKUP($M15,TT_Tabelle_Riferimento!$H$31:$I$50,2,FALSE))</f>
        <v>15</v>
      </c>
      <c r="FL15" s="629">
        <f>+IFERROR(VLOOKUP(FL$6&amp;"-"&amp;$M15&amp;"_old",Ammortamento_Finanziario!$H:$L,5,FALSE),VLOOKUP($M15,TT_Tabelle_Riferimento!$H$31:$I$50,2,FALSE))</f>
        <v>15</v>
      </c>
      <c r="FM15" s="629">
        <f>+IFERROR(VLOOKUP(FM$6&amp;"-"&amp;$M15&amp;"_old",Ammortamento_Finanziario!$H:$L,5,FALSE),VLOOKUP($M15,TT_Tabelle_Riferimento!$H$31:$I$50,2,FALSE))</f>
        <v>15</v>
      </c>
      <c r="FN15" s="629">
        <f>+IFERROR(VLOOKUP(FN$6&amp;"-"&amp;$M15&amp;"_old",Ammortamento_Finanziario!$H:$L,5,FALSE),VLOOKUP($M15,TT_Tabelle_Riferimento!$H$31:$I$50,2,FALSE))</f>
        <v>15</v>
      </c>
      <c r="FO15" s="629">
        <f>+IFERROR(VLOOKUP(FO$6&amp;"-"&amp;$M15&amp;"_old",Ammortamento_Finanziario!$H:$L,5,FALSE),VLOOKUP($M15,TT_Tabelle_Riferimento!$H$31:$I$50,2,FALSE))</f>
        <v>15</v>
      </c>
      <c r="FP15" s="629">
        <f>+IFERROR(VLOOKUP(FP$6&amp;"-"&amp;$M15&amp;"_old",Ammortamento_Finanziario!$H:$L,5,FALSE),VLOOKUP($M15,TT_Tabelle_Riferimento!$H$31:$I$50,2,FALSE))</f>
        <v>15</v>
      </c>
      <c r="FQ15" s="629">
        <f>+IFERROR(VLOOKUP(FQ$6&amp;"-"&amp;$M15&amp;"_old",Ammortamento_Finanziario!$H:$L,5,FALSE),VLOOKUP($M15,TT_Tabelle_Riferimento!$H$31:$I$50,2,FALSE))</f>
        <v>15</v>
      </c>
      <c r="FR15" s="629">
        <f>+IFERROR(VLOOKUP(FR$6&amp;"-"&amp;$M15&amp;"_old",Ammortamento_Finanziario!$H:$L,5,FALSE),VLOOKUP($M15,TT_Tabelle_Riferimento!$H$31:$I$50,2,FALSE))</f>
        <v>15</v>
      </c>
      <c r="FS15" s="629">
        <f>+IFERROR(VLOOKUP(FS$6&amp;"-"&amp;$M15&amp;"_old",Ammortamento_Finanziario!$H:$L,5,FALSE),VLOOKUP($M15,TT_Tabelle_Riferimento!$H$31:$I$50,2,FALSE))</f>
        <v>15</v>
      </c>
      <c r="FT15" s="629">
        <f>+IFERROR(VLOOKUP(FT$6&amp;"-"&amp;$M15&amp;"_old",Ammortamento_Finanziario!$H:$L,5,FALSE),VLOOKUP($M15,TT_Tabelle_Riferimento!$H$31:$I$50,2,FALSE))</f>
        <v>15</v>
      </c>
      <c r="FU15" s="629">
        <f>+IFERROR(VLOOKUP(FU$6&amp;"-"&amp;$M15&amp;"_old",Ammortamento_Finanziario!$H:$L,5,FALSE),VLOOKUP($M15,TT_Tabelle_Riferimento!$H$31:$I$50,2,FALSE))</f>
        <v>15</v>
      </c>
      <c r="FV15" s="629">
        <f>+IFERROR(VLOOKUP(FV$6&amp;"-"&amp;$M15&amp;"_old",Ammortamento_Finanziario!$H:$L,5,FALSE),VLOOKUP($M15,TT_Tabelle_Riferimento!$H$31:$I$50,2,FALSE))</f>
        <v>15</v>
      </c>
      <c r="FW15" s="629">
        <f>+IFERROR(VLOOKUP(FW$6&amp;"-"&amp;$M15&amp;"_old",Ammortamento_Finanziario!$H:$L,5,FALSE),VLOOKUP($M15,TT_Tabelle_Riferimento!$H$31:$I$50,2,FALSE))</f>
        <v>15</v>
      </c>
      <c r="FX15" s="629">
        <f>+IFERROR(VLOOKUP(FX$6&amp;"-"&amp;$M15&amp;"_old",Ammortamento_Finanziario!$H:$L,5,FALSE),VLOOKUP($M15,TT_Tabelle_Riferimento!$H$31:$I$50,2,FALSE))</f>
        <v>15</v>
      </c>
      <c r="FY15" s="629">
        <f>+IFERROR(VLOOKUP(FY$6&amp;"-"&amp;$M15&amp;"_old",Ammortamento_Finanziario!$H:$L,5,FALSE),VLOOKUP($M15,TT_Tabelle_Riferimento!$H$31:$I$50,2,FALSE))</f>
        <v>15</v>
      </c>
      <c r="FZ15" s="629">
        <f>+IFERROR(VLOOKUP(FZ$6&amp;"-"&amp;$M15&amp;"_old",Ammortamento_Finanziario!$H:$L,5,FALSE),VLOOKUP($M15,TT_Tabelle_Riferimento!$H$31:$I$50,2,FALSE))</f>
        <v>15</v>
      </c>
      <c r="GA15" s="629">
        <f>+IFERROR(VLOOKUP(GA$6&amp;"-"&amp;$M15&amp;"_old",Ammortamento_Finanziario!$H:$L,5,FALSE),VLOOKUP($M15,TT_Tabelle_Riferimento!$H$31:$I$50,2,FALSE))</f>
        <v>15</v>
      </c>
      <c r="GB15" s="629">
        <f>+IFERROR(VLOOKUP(GB$6&amp;"-"&amp;$M15&amp;"_old",Ammortamento_Finanziario!$H:$L,5,FALSE),VLOOKUP($M15,TT_Tabelle_Riferimento!$H$31:$I$50,2,FALSE))</f>
        <v>15</v>
      </c>
      <c r="GC15" s="635">
        <f>+IFERROR(VLOOKUP(GC$6&amp;"-"&amp;$M15&amp;"_old",Ammortamento_Finanziario!$H:$L,5,FALSE),VLOOKUP($M15,TT_Tabelle_Riferimento!$H$31:$I$50,2,FALSE))</f>
        <v>15</v>
      </c>
      <c r="GD15" s="635">
        <f>+IFERROR(VLOOKUP(GD$6&amp;"-"&amp;$M15&amp;"_old",Ammortamento_Finanziario!$H:$L,5,FALSE),VLOOKUP($M15,TT_Tabelle_Riferimento!$H$31:$I$50,2,FALSE))</f>
        <v>15</v>
      </c>
      <c r="GE15" s="635">
        <f>+IFERROR(VLOOKUP(GE$6&amp;"-"&amp;$M15&amp;"_old",Ammortamento_Finanziario!$H:$L,5,FALSE),VLOOKUP($M15,TT_Tabelle_Riferimento!$H$31:$I$50,2,FALSE))</f>
        <v>15</v>
      </c>
      <c r="GF15" s="635">
        <f>+IFERROR(VLOOKUP(GF$6&amp;"-"&amp;$M15&amp;"_old",Ammortamento_Finanziario!$H:$L,5,FALSE),VLOOKUP($M15,TT_Tabelle_Riferimento!$H$31:$I$50,2,FALSE))</f>
        <v>15</v>
      </c>
      <c r="GG15" s="1744">
        <f>+IFERROR(VLOOKUP(GG$6&amp;"-"&amp;$M15&amp;"_old",Ammortamento_Finanziario!$H:$L,5,FALSE),VLOOKUP($M15,TT_Tabelle_Riferimento!$H$31:$I$50,2,FALSE))</f>
        <v>15</v>
      </c>
      <c r="GH15" s="1744">
        <f>+IFERROR(VLOOKUP(GH$6&amp;"-"&amp;$M15&amp;"_old",Ammortamento_Finanziario!$H:$L,5,FALSE),VLOOKUP($M15,TT_Tabelle_Riferimento!$H$31:$I$50,2,FALSE))</f>
        <v>15</v>
      </c>
      <c r="GI15" s="1752">
        <f>+IFERROR(VLOOKUP(GI$6&amp;"-"&amp;$M15&amp;"_old",Ammortamento_Finanziario!$H:$L,5,FALSE),VLOOKUP($M15,TT_Tabelle_Riferimento!$H$31:$I$50,2,FALSE))</f>
        <v>15</v>
      </c>
      <c r="GJ15" s="1752">
        <f>+IFERROR(VLOOKUP(GJ$6&amp;"-"&amp;$M15&amp;"_old",Ammortamento_Finanziario!$H:$L,5,FALSE),VLOOKUP($M15,TT_Tabelle_Riferimento!$H$31:$I$50,2,FALSE))</f>
        <v>15</v>
      </c>
      <c r="GK15" s="1752">
        <f>+IFERROR(VLOOKUP(GK$6&amp;"-"&amp;$M15&amp;"_old",Ammortamento_Finanziario!$H:$L,5,FALSE),VLOOKUP($M15,TT_Tabelle_Riferimento!$H$31:$I$50,2,FALSE))</f>
        <v>15</v>
      </c>
      <c r="GL15" s="1752">
        <f>+IFERROR(VLOOKUP(GL$6&amp;"-"&amp;$M15&amp;"_old",Ammortamento_Finanziario!$H:$L,5,FALSE),VLOOKUP($M15,TT_Tabelle_Riferimento!$H$31:$I$50,2,FALSE))</f>
        <v>15</v>
      </c>
      <c r="GM15" s="1752">
        <f>+IFERROR(VLOOKUP(GM$6&amp;"-"&amp;$M15&amp;"_old",Ammortamento_Finanziario!$H:$L,5,FALSE),VLOOKUP($M15,TT_Tabelle_Riferimento!$H$31:$I$50,2,FALSE))</f>
        <v>15</v>
      </c>
      <c r="GN15" s="1752">
        <f>+IFERROR(VLOOKUP(GN$6&amp;"-"&amp;$M15&amp;"_old",Ammortamento_Finanziario!$H:$L,5,FALSE),VLOOKUP($M15,TT_Tabelle_Riferimento!$H$31:$I$50,2,FALSE))</f>
        <v>15</v>
      </c>
      <c r="GO15" s="628">
        <f>+IFERROR(VLOOKUP(GO$6&amp;"-"&amp;$M15&amp;"_old",Ammortamento_Finanziario!$H:$L,5,FALSE),VLOOKUP($M15,TT_Tabelle_Riferimento!$H$31:$I$50,2,FALSE))</f>
        <v>15</v>
      </c>
      <c r="GP15" s="628">
        <f>+IFERROR(VLOOKUP(GP$6&amp;"-"&amp;$M15&amp;"_old",Ammortamento_Finanziario!$H:$L,5,FALSE),VLOOKUP($M15,TT_Tabelle_Riferimento!$H$31:$I$50,2,FALSE))</f>
        <v>15</v>
      </c>
      <c r="GQ15" s="628">
        <f>+IFERROR(VLOOKUP(GQ$6&amp;"-"&amp;$M15&amp;"_old",Ammortamento_Finanziario!$H:$L,5,FALSE),VLOOKUP($M15,TT_Tabelle_Riferimento!$H$31:$I$50,2,FALSE))</f>
        <v>15</v>
      </c>
      <c r="GR15" s="628">
        <f>+IFERROR(VLOOKUP(GR$6&amp;"-"&amp;$M15&amp;"_old",Ammortamento_Finanziario!$H:$L,5,FALSE),VLOOKUP($M15,TT_Tabelle_Riferimento!$H$31:$I$50,2,FALSE))</f>
        <v>15</v>
      </c>
      <c r="GS15" s="628">
        <f>+IFERROR(VLOOKUP(GS$6&amp;"-"&amp;$M15&amp;"_old",Ammortamento_Finanziario!$H:$L,5,FALSE),VLOOKUP($M15,TT_Tabelle_Riferimento!$H$31:$I$50,2,FALSE))</f>
        <v>15</v>
      </c>
      <c r="GT15" s="628">
        <f>+IFERROR(VLOOKUP(GT$6&amp;"-"&amp;$M15&amp;"_old",Ammortamento_Finanziario!$H:$L,5,FALSE),VLOOKUP($M15,TT_Tabelle_Riferimento!$H$31:$I$50,2,FALSE))</f>
        <v>15</v>
      </c>
      <c r="GU15" s="628">
        <f>+IFERROR(VLOOKUP(GU$6&amp;"-"&amp;$M15&amp;"_old",Ammortamento_Finanziario!$H:$L,5,FALSE),VLOOKUP($M15,TT_Tabelle_Riferimento!$H$31:$I$50,2,FALSE))</f>
        <v>15</v>
      </c>
      <c r="GV15" s="628">
        <f>+IFERROR(VLOOKUP(GV$6&amp;"-"&amp;$M15&amp;"_old",Ammortamento_Finanziario!$H:$L,5,FALSE),VLOOKUP($M15,TT_Tabelle_Riferimento!$H$31:$I$50,2,FALSE))</f>
        <v>15</v>
      </c>
      <c r="GW15" s="628">
        <f>+IFERROR(VLOOKUP(GW$6&amp;"-"&amp;$M15&amp;"_old",Ammortamento_Finanziario!$H:$L,5,FALSE),VLOOKUP($M15,TT_Tabelle_Riferimento!$H$31:$I$50,2,FALSE))</f>
        <v>15</v>
      </c>
      <c r="GX15" s="628">
        <f>+IFERROR(VLOOKUP(GX$6&amp;"-"&amp;$M15&amp;"_old",Ammortamento_Finanziario!$H:$L,5,FALSE),VLOOKUP($M15,TT_Tabelle_Riferimento!$H$31:$I$50,2,FALSE))</f>
        <v>15</v>
      </c>
      <c r="GY15" s="628">
        <f>+IFERROR(VLOOKUP(GY$6&amp;"-"&amp;$M15&amp;"_old",Ammortamento_Finanziario!$H:$L,5,FALSE),VLOOKUP($M15,TT_Tabelle_Riferimento!$H$31:$I$50,2,FALSE))</f>
        <v>15</v>
      </c>
      <c r="GZ15" s="628">
        <f>+IFERROR(VLOOKUP(GZ$6&amp;"-"&amp;$M15&amp;"_old",Ammortamento_Finanziario!$H:$L,5,FALSE),VLOOKUP($M15,TT_Tabelle_Riferimento!$H$31:$I$50,2,FALSE))</f>
        <v>15</v>
      </c>
      <c r="HA15" s="628">
        <f>+IFERROR(VLOOKUP(HA$6&amp;"-"&amp;$M15&amp;"_old",Ammortamento_Finanziario!$H:$L,5,FALSE),VLOOKUP($M15,TT_Tabelle_Riferimento!$H$31:$I$50,2,FALSE))</f>
        <v>15</v>
      </c>
      <c r="HB15" s="628">
        <f>+IFERROR(VLOOKUP(HB$6&amp;"-"&amp;$M15&amp;"_old",Ammortamento_Finanziario!$H:$L,5,FALSE),VLOOKUP($M15,TT_Tabelle_Riferimento!$H$31:$I$50,2,FALSE))</f>
        <v>15</v>
      </c>
      <c r="HC15" s="628">
        <f>+IFERROR(VLOOKUP(HC$6&amp;"-"&amp;$M15&amp;"_old",Ammortamento_Finanziario!$H:$L,5,FALSE),VLOOKUP($M15,TT_Tabelle_Riferimento!$H$31:$I$50,2,FALSE))</f>
        <v>15</v>
      </c>
      <c r="HD15" s="628">
        <f>+IFERROR(VLOOKUP(HD$6&amp;"-"&amp;$M15&amp;"_old",Ammortamento_Finanziario!$H:$L,5,FALSE),VLOOKUP($M15,TT_Tabelle_Riferimento!$H$31:$I$50,2,FALSE))</f>
        <v>15</v>
      </c>
      <c r="HE15" s="628">
        <f>+IFERROR(VLOOKUP(HE$6&amp;"-"&amp;$M15&amp;"_old",Ammortamento_Finanziario!$H:$L,5,FALSE),VLOOKUP($M15,TT_Tabelle_Riferimento!$H$31:$I$50,2,FALSE))</f>
        <v>15</v>
      </c>
      <c r="HF15" s="628">
        <f>+IFERROR(VLOOKUP(HF$6&amp;"-"&amp;$M15&amp;"_old",Ammortamento_Finanziario!$H:$L,5,FALSE),VLOOKUP($M15,TT_Tabelle_Riferimento!$H$31:$I$50,2,FALSE))</f>
        <v>15</v>
      </c>
      <c r="HG15" s="628">
        <f>+IFERROR(VLOOKUP(HG$6&amp;"-"&amp;$M15&amp;"_old",Ammortamento_Finanziario!$H:$L,5,FALSE),VLOOKUP($M15,TT_Tabelle_Riferimento!$H$31:$I$50,2,FALSE))</f>
        <v>15</v>
      </c>
      <c r="HH15" s="422">
        <f>+IFERROR(VLOOKUP(HH$6&amp;"-"&amp;$M15&amp;"_old",Ammortamento_Finanziario!$H:$L,5,FALSE),VLOOKUP($M15,TT_Tabelle_Riferimento!$H$31:$I$50,2,FALSE))</f>
        <v>15</v>
      </c>
      <c r="HI15" s="422">
        <f>+IFERROR(VLOOKUP(HI$6&amp;"-"&amp;$M15&amp;"_old",Ammortamento_Finanziario!$H:$L,5,FALSE),VLOOKUP($M15,TT_Tabelle_Riferimento!$H$31:$I$50,2,FALSE))</f>
        <v>15</v>
      </c>
      <c r="HJ15" s="422">
        <f>+IFERROR(VLOOKUP(HJ$6&amp;"-"&amp;$M15&amp;"_old",Ammortamento_Finanziario!$H:$L,5,FALSE),VLOOKUP($M15,TT_Tabelle_Riferimento!$H$31:$I$50,2,FALSE))</f>
        <v>15</v>
      </c>
      <c r="HK15" s="1746">
        <f>+IFERROR(VLOOKUP(HK$6&amp;"-"&amp;$M15&amp;"_old",Ammortamento_Finanziario!$H:$L,5,FALSE),VLOOKUP($M15,TT_Tabelle_Riferimento!$H$31:$I$50,2,FALSE))</f>
        <v>15</v>
      </c>
      <c r="HL15" s="1746">
        <f>+IFERROR(VLOOKUP(HL$6&amp;"-"&amp;$M15&amp;"_old",Ammortamento_Finanziario!$H:$L,5,FALSE),VLOOKUP($M15,TT_Tabelle_Riferimento!$H$31:$I$50,2,FALSE))</f>
        <v>15</v>
      </c>
      <c r="HM15" s="1753">
        <f>+IFERROR(VLOOKUP(HM$6&amp;"-"&amp;$M15&amp;"_old",Ammortamento_Finanziario!$H:$L,5,FALSE),VLOOKUP($M15,TT_Tabelle_Riferimento!$H$31:$I$50,2,FALSE))</f>
        <v>15</v>
      </c>
      <c r="HN15" s="1753">
        <f>+IFERROR(VLOOKUP(HN$6&amp;"-"&amp;$M15&amp;"_old",Ammortamento_Finanziario!$H:$L,5,FALSE),VLOOKUP($M15,TT_Tabelle_Riferimento!$H$31:$I$50,2,FALSE))</f>
        <v>15</v>
      </c>
      <c r="HO15" s="1753">
        <f>+IFERROR(VLOOKUP(HO$6&amp;"-"&amp;$M15&amp;"_old",Ammortamento_Finanziario!$H:$L,5,FALSE),VLOOKUP($M15,TT_Tabelle_Riferimento!$H$31:$I$50,2,FALSE))</f>
        <v>15</v>
      </c>
      <c r="HP15" s="1753">
        <f>+IFERROR(VLOOKUP(HP$6&amp;"-"&amp;$M15&amp;"_old",Ammortamento_Finanziario!$H:$L,5,FALSE),VLOOKUP($M15,TT_Tabelle_Riferimento!$H$31:$I$50,2,FALSE))</f>
        <v>15</v>
      </c>
      <c r="HQ15" s="1753">
        <f>+IFERROR(VLOOKUP(HQ$6&amp;"-"&amp;$M15&amp;"_old",Ammortamento_Finanziario!$H:$L,5,FALSE),VLOOKUP($M15,TT_Tabelle_Riferimento!$H$31:$I$50,2,FALSE))</f>
        <v>15</v>
      </c>
      <c r="HR15" s="1753">
        <f>+IFERROR(VLOOKUP(HR$6&amp;"-"&amp;$M15&amp;"_old",Ammortamento_Finanziario!$H:$L,5,FALSE),VLOOKUP($M15,TT_Tabelle_Riferimento!$H$31:$I$50,2,FALSE))</f>
        <v>15</v>
      </c>
      <c r="HS15" s="422">
        <f>+IFERROR(VLOOKUP(HS$6&amp;"-"&amp;$M15&amp;"_old",Ammortamento_Finanziario!$H:$L,5,FALSE),VLOOKUP($M15,TT_Tabelle_Riferimento!$H$31:$I$50,2,FALSE))</f>
        <v>15</v>
      </c>
      <c r="HT15" s="422">
        <f>+IFERROR(VLOOKUP(HT$6&amp;"-"&amp;$M15&amp;"_old",Ammortamento_Finanziario!$H:$L,5,FALSE),VLOOKUP($M15,TT_Tabelle_Riferimento!$H$31:$I$50,2,FALSE))</f>
        <v>15</v>
      </c>
      <c r="HU15" s="422">
        <f>+IFERROR(VLOOKUP(HU$6&amp;"-"&amp;$M15&amp;"_old",Ammortamento_Finanziario!$H:$L,5,FALSE),VLOOKUP($M15,TT_Tabelle_Riferimento!$H$31:$I$50,2,FALSE))</f>
        <v>15</v>
      </c>
      <c r="HV15" s="422">
        <f>+IFERROR(VLOOKUP(HV$6&amp;"-"&amp;$M15&amp;"_old",Ammortamento_Finanziario!$H:$L,5,FALSE),VLOOKUP($M15,TT_Tabelle_Riferimento!$H$31:$I$50,2,FALSE))</f>
        <v>15</v>
      </c>
      <c r="HW15" s="422">
        <f>+IFERROR(VLOOKUP(HW$6&amp;"-"&amp;$M15&amp;"_old",Ammortamento_Finanziario!$H:$L,5,FALSE),VLOOKUP($M15,TT_Tabelle_Riferimento!$H$31:$I$50,2,FALSE))</f>
        <v>15</v>
      </c>
      <c r="HX15" s="422">
        <f>+IFERROR(VLOOKUP(HX$6&amp;"-"&amp;$M15&amp;"_old",Ammortamento_Finanziario!$H:$L,5,FALSE),VLOOKUP($M15,TT_Tabelle_Riferimento!$H$31:$I$50,2,FALSE))</f>
        <v>15</v>
      </c>
      <c r="HY15" s="422">
        <f>+IFERROR(VLOOKUP(HY$6&amp;"-"&amp;$M15&amp;"_old",Ammortamento_Finanziario!$H:$L,5,FALSE),VLOOKUP($M15,TT_Tabelle_Riferimento!$H$31:$I$50,2,FALSE))</f>
        <v>15</v>
      </c>
      <c r="HZ15" s="422">
        <f>+IFERROR(VLOOKUP(HZ$6&amp;"-"&amp;$M15&amp;"_old",Ammortamento_Finanziario!$H:$L,5,FALSE),VLOOKUP($M15,TT_Tabelle_Riferimento!$H$31:$I$50,2,FALSE))</f>
        <v>15</v>
      </c>
      <c r="IA15" s="422">
        <f>+IFERROR(VLOOKUP(IA$6&amp;"-"&amp;$M15&amp;"_old",Ammortamento_Finanziario!$H:$L,5,FALSE),VLOOKUP($M15,TT_Tabelle_Riferimento!$H$31:$I$50,2,FALSE))</f>
        <v>15</v>
      </c>
      <c r="IB15" s="422">
        <f>+IFERROR(VLOOKUP(IB$6&amp;"-"&amp;$M15&amp;"_old",Ammortamento_Finanziario!$H:$L,5,FALSE),VLOOKUP($M15,TT_Tabelle_Riferimento!$H$31:$I$50,2,FALSE))</f>
        <v>15</v>
      </c>
      <c r="IC15" s="422">
        <f>+IFERROR(VLOOKUP(IC$6&amp;"-"&amp;$M15&amp;"_old",Ammortamento_Finanziario!$H:$L,5,FALSE),VLOOKUP($M15,TT_Tabelle_Riferimento!$H$31:$I$50,2,FALSE))</f>
        <v>15</v>
      </c>
      <c r="ID15" s="422">
        <f>+IFERROR(VLOOKUP(ID$6&amp;"-"&amp;$M15&amp;"_old",Ammortamento_Finanziario!$H:$L,5,FALSE),VLOOKUP($M15,TT_Tabelle_Riferimento!$H$31:$I$50,2,FALSE))</f>
        <v>15</v>
      </c>
      <c r="IE15" s="422">
        <f>+IFERROR(VLOOKUP(IE$6&amp;"-"&amp;$M15&amp;"_old",Ammortamento_Finanziario!$H:$L,5,FALSE),VLOOKUP($M15,TT_Tabelle_Riferimento!$H$31:$I$50,2,FALSE))</f>
        <v>15</v>
      </c>
      <c r="IF15" s="422">
        <f>+IFERROR(VLOOKUP(IF$6&amp;"-"&amp;$M15&amp;"_old",Ammortamento_Finanziario!$H:$L,5,FALSE),VLOOKUP($M15,TT_Tabelle_Riferimento!$H$31:$I$50,2,FALSE))</f>
        <v>15</v>
      </c>
      <c r="IG15" s="422">
        <f>+IFERROR(VLOOKUP(IG$6&amp;"-"&amp;$M15&amp;"_old",Ammortamento_Finanziario!$H:$L,5,FALSE),VLOOKUP($M15,TT_Tabelle_Riferimento!$H$31:$I$50,2,FALSE))</f>
        <v>15</v>
      </c>
      <c r="IH15" s="422">
        <f>+IFERROR(VLOOKUP(IH$6&amp;"-"&amp;$M15&amp;"_old",Ammortamento_Finanziario!$H:$L,5,FALSE),VLOOKUP($M15,TT_Tabelle_Riferimento!$H$31:$I$50,2,FALSE))</f>
        <v>15</v>
      </c>
      <c r="II15" s="422">
        <f>+IFERROR(VLOOKUP(II$6&amp;"-"&amp;$M15&amp;"_old",Ammortamento_Finanziario!$H:$L,5,FALSE),VLOOKUP($M15,TT_Tabelle_Riferimento!$H$31:$I$50,2,FALSE))</f>
        <v>15</v>
      </c>
      <c r="IJ15" s="422">
        <f>+IFERROR(VLOOKUP(IJ$6&amp;"-"&amp;$M15&amp;"_old",Ammortamento_Finanziario!$H:$L,5,FALSE),VLOOKUP($M15,TT_Tabelle_Riferimento!$H$31:$I$50,2,FALSE))</f>
        <v>15</v>
      </c>
      <c r="IK15" s="422">
        <f>+IFERROR(VLOOKUP(IK$6&amp;"-"&amp;$M15&amp;"_old",Ammortamento_Finanziario!$H:$L,5,FALSE),VLOOKUP($M15,TT_Tabelle_Riferimento!$H$31:$I$50,2,FALSE))</f>
        <v>15</v>
      </c>
      <c r="IL15" s="1077">
        <f>+IFERROR(VLOOKUP(IL$6&amp;"-"&amp;$M15&amp;"_old",Ammortamento_Finanziario!$H:$L,5,FALSE),VLOOKUP($M15,TT_Tabelle_Riferimento!$H$31:$I$50,2,FALSE))</f>
        <v>15</v>
      </c>
      <c r="IM15" s="1077">
        <f>+IFERROR(VLOOKUP(IM$6&amp;"-"&amp;$M15&amp;"_old",Ammortamento_Finanziario!$H:$L,5,FALSE),VLOOKUP($M15,TT_Tabelle_Riferimento!$H$31:$I$50,2,FALSE))</f>
        <v>15</v>
      </c>
      <c r="IN15" s="1747">
        <f>+IFERROR(VLOOKUP(IN$6&amp;"-"&amp;$M15&amp;"_old",Ammortamento_Finanziario!$H:$L,5,FALSE),VLOOKUP($M15,TT_Tabelle_Riferimento!$H$31:$I$50,2,FALSE))</f>
        <v>15</v>
      </c>
      <c r="IO15" s="1747">
        <f>+IFERROR(VLOOKUP(IO$6&amp;"-"&amp;$M15&amp;"_old",Ammortamento_Finanziario!$H:$L,5,FALSE),VLOOKUP($M15,TT_Tabelle_Riferimento!$H$31:$I$50,2,FALSE))</f>
        <v>15</v>
      </c>
      <c r="IP15" s="1754">
        <f>+IFERROR(VLOOKUP(IP$6&amp;"-"&amp;$M15&amp;"_old",Ammortamento_Finanziario!$H:$L,5,FALSE),VLOOKUP($M15,TT_Tabelle_Riferimento!$H$31:$I$50,2,FALSE))</f>
        <v>15</v>
      </c>
      <c r="IQ15" s="1754">
        <f>+IFERROR(VLOOKUP(IQ$6&amp;"-"&amp;$M15&amp;"_old",Ammortamento_Finanziario!$H:$L,5,FALSE),VLOOKUP($M15,TT_Tabelle_Riferimento!$H$31:$I$50,2,FALSE))</f>
        <v>15</v>
      </c>
      <c r="IR15" s="1754">
        <f>+IFERROR(VLOOKUP(IR$6&amp;"-"&amp;$M15&amp;"_old",Ammortamento_Finanziario!$H:$L,5,FALSE),VLOOKUP($M15,TT_Tabelle_Riferimento!$H$31:$I$50,2,FALSE))</f>
        <v>15</v>
      </c>
      <c r="IS15" s="1754">
        <f>+IFERROR(VLOOKUP(IS$6&amp;"-"&amp;$M15&amp;"_old",Ammortamento_Finanziario!$H:$L,5,FALSE),VLOOKUP($M15,TT_Tabelle_Riferimento!$H$31:$I$50,2,FALSE))</f>
        <v>15</v>
      </c>
      <c r="IT15" s="1754">
        <f>+IFERROR(VLOOKUP(IT$6&amp;"-"&amp;$M15&amp;"_old",Ammortamento_Finanziario!$H:$L,5,FALSE),VLOOKUP($M15,TT_Tabelle_Riferimento!$H$31:$I$50,2,FALSE))</f>
        <v>15</v>
      </c>
      <c r="IU15" s="1754">
        <f>+IFERROR(VLOOKUP(IU$6&amp;"-"&amp;$M15&amp;"_old",Ammortamento_Finanziario!$H:$L,5,FALSE),VLOOKUP($M15,TT_Tabelle_Riferimento!$H$31:$I$50,2,FALSE))</f>
        <v>15</v>
      </c>
      <c r="IV15" s="1077">
        <f>+IFERROR(VLOOKUP(IV$6&amp;"-"&amp;$M15&amp;"_old",Ammortamento_Finanziario!$H:$L,5,FALSE),VLOOKUP($M15,TT_Tabelle_Riferimento!$H$31:$I$50,2,FALSE))</f>
        <v>15</v>
      </c>
      <c r="IW15" s="1077">
        <f>+IFERROR(VLOOKUP(IW$6&amp;"-"&amp;$M15&amp;"_old",Ammortamento_Finanziario!$H:$L,5,FALSE),VLOOKUP($M15,TT_Tabelle_Riferimento!$H$31:$I$50,2,FALSE))</f>
        <v>15</v>
      </c>
      <c r="IX15" s="1077">
        <f>+IFERROR(VLOOKUP(IX$6&amp;"-"&amp;$M15&amp;"_old",Ammortamento_Finanziario!$H:$L,5,FALSE),VLOOKUP($M15,TT_Tabelle_Riferimento!$H$31:$I$50,2,FALSE))</f>
        <v>15</v>
      </c>
      <c r="IY15" s="1077">
        <f>+IFERROR(VLOOKUP(IY$6&amp;"-"&amp;$M15&amp;"_old",Ammortamento_Finanziario!$H:$L,5,FALSE),VLOOKUP($M15,TT_Tabelle_Riferimento!$H$31:$I$50,2,FALSE))</f>
        <v>15</v>
      </c>
      <c r="IZ15" s="1077">
        <f>+IFERROR(VLOOKUP(IZ$6&amp;"-"&amp;$M15&amp;"_old",Ammortamento_Finanziario!$H:$L,5,FALSE),VLOOKUP($M15,TT_Tabelle_Riferimento!$H$31:$I$50,2,FALSE))</f>
        <v>15</v>
      </c>
      <c r="JA15" s="1077">
        <f>+IFERROR(VLOOKUP(JA$6&amp;"-"&amp;$M15&amp;"_old",Ammortamento_Finanziario!$H:$L,5,FALSE),VLOOKUP($M15,TT_Tabelle_Riferimento!$H$31:$I$50,2,FALSE))</f>
        <v>15</v>
      </c>
      <c r="JB15" s="1077">
        <f>+IFERROR(VLOOKUP(JB$6&amp;"-"&amp;$M15&amp;"_old",Ammortamento_Finanziario!$H:$L,5,FALSE),VLOOKUP($M15,TT_Tabelle_Riferimento!$H$31:$I$50,2,FALSE))</f>
        <v>15</v>
      </c>
      <c r="JC15" s="1077">
        <f>+IFERROR(VLOOKUP(JC$6&amp;"-"&amp;$M15&amp;"_old",Ammortamento_Finanziario!$H:$L,5,FALSE),VLOOKUP($M15,TT_Tabelle_Riferimento!$H$31:$I$50,2,FALSE))</f>
        <v>15</v>
      </c>
      <c r="JD15" s="1077">
        <f>+IFERROR(VLOOKUP(JD$6&amp;"-"&amp;$M15&amp;"_old",Ammortamento_Finanziario!$H:$L,5,FALSE),VLOOKUP($M15,TT_Tabelle_Riferimento!$H$31:$I$50,2,FALSE))</f>
        <v>15</v>
      </c>
      <c r="JE15" s="1077">
        <f>+IFERROR(VLOOKUP(JE$6&amp;"-"&amp;$M15&amp;"_old",Ammortamento_Finanziario!$H:$L,5,FALSE),VLOOKUP($M15,TT_Tabelle_Riferimento!$H$31:$I$50,2,FALSE))</f>
        <v>15</v>
      </c>
      <c r="JF15" s="1077">
        <f>+IFERROR(VLOOKUP(JF$6&amp;"-"&amp;$M15&amp;"_old",Ammortamento_Finanziario!$H:$L,5,FALSE),VLOOKUP($M15,TT_Tabelle_Riferimento!$H$31:$I$50,2,FALSE))</f>
        <v>15</v>
      </c>
      <c r="JG15" s="1077">
        <f>+IFERROR(VLOOKUP(JG$6&amp;"-"&amp;$M15&amp;"_old",Ammortamento_Finanziario!$H:$L,5,FALSE),VLOOKUP($M15,TT_Tabelle_Riferimento!$H$31:$I$50,2,FALSE))</f>
        <v>15</v>
      </c>
      <c r="JH15" s="1077">
        <f>+IFERROR(VLOOKUP(JH$6&amp;"-"&amp;$M15&amp;"_old",Ammortamento_Finanziario!$H:$L,5,FALSE),VLOOKUP($M15,TT_Tabelle_Riferimento!$H$31:$I$50,2,FALSE))</f>
        <v>15</v>
      </c>
      <c r="JI15" s="1077">
        <f>+IFERROR(VLOOKUP(JI$6&amp;"-"&amp;$M15&amp;"_old",Ammortamento_Finanziario!$H:$L,5,FALSE),VLOOKUP($M15,TT_Tabelle_Riferimento!$H$31:$I$50,2,FALSE))</f>
        <v>15</v>
      </c>
      <c r="JJ15" s="1077">
        <f>+IFERROR(VLOOKUP(JJ$6&amp;"-"&amp;$M15&amp;"_old",Ammortamento_Finanziario!$H:$L,5,FALSE),VLOOKUP($M15,TT_Tabelle_Riferimento!$H$31:$I$50,2,FALSE))</f>
        <v>15</v>
      </c>
      <c r="JK15" s="1077">
        <f>+IFERROR(VLOOKUP(JK$6&amp;"-"&amp;$M15&amp;"_old",Ammortamento_Finanziario!$H:$L,5,FALSE),VLOOKUP($M15,TT_Tabelle_Riferimento!$H$31:$I$50,2,FALSE))</f>
        <v>15</v>
      </c>
      <c r="JL15" s="1077">
        <f>+IFERROR(VLOOKUP(JL$6&amp;"-"&amp;$M15&amp;"_old",Ammortamento_Finanziario!$H:$L,5,FALSE),VLOOKUP($M15,TT_Tabelle_Riferimento!$H$31:$I$50,2,FALSE))</f>
        <v>15</v>
      </c>
      <c r="JM15" s="1077">
        <f>+IFERROR(VLOOKUP(JM$6&amp;"-"&amp;$M15&amp;"_old",Ammortamento_Finanziario!$H:$L,5,FALSE),VLOOKUP($M15,TT_Tabelle_Riferimento!$H$31:$I$50,2,FALSE))</f>
        <v>15</v>
      </c>
      <c r="JN15" s="1077">
        <f>+IFERROR(VLOOKUP(JN$6&amp;"-"&amp;$M15&amp;"_old",Ammortamento_Finanziario!$H:$L,5,FALSE),VLOOKUP($M15,TT_Tabelle_Riferimento!$H$31:$I$50,2,FALSE))</f>
        <v>15</v>
      </c>
      <c r="JO15" s="1078">
        <f>+IFERROR(VLOOKUP(JO$6&amp;"-"&amp;$M15&amp;"_old",Ammortamento_Finanziario!$H:$L,5,FALSE),VLOOKUP($M15,TT_Tabelle_Riferimento!$H$31:$I$50,2,FALSE))</f>
        <v>15</v>
      </c>
      <c r="JP15" s="1748">
        <f>+IFERROR(VLOOKUP(JP$6&amp;"-"&amp;$M15&amp;"_old",Ammortamento_Finanziario!$H:$L,5,FALSE),VLOOKUP($M15,TT_Tabelle_Riferimento!$H$31:$I$50,2,FALSE))</f>
        <v>15</v>
      </c>
      <c r="JQ15" s="1748">
        <f>+IFERROR(VLOOKUP(JQ$6&amp;"-"&amp;$M15&amp;"_old",Ammortamento_Finanziario!$H:$L,5,FALSE),VLOOKUP($M15,TT_Tabelle_Riferimento!$H$31:$I$50,2,FALSE))</f>
        <v>15</v>
      </c>
      <c r="JR15" s="1755">
        <f>+IFERROR(VLOOKUP(JR$6&amp;"-"&amp;$M15&amp;"_old",Ammortamento_Finanziario!$H:$L,5,FALSE),VLOOKUP($M15,TT_Tabelle_Riferimento!$H$31:$I$50,2,FALSE))</f>
        <v>15</v>
      </c>
      <c r="JS15" s="1755">
        <f>+IFERROR(VLOOKUP(JS$6&amp;"-"&amp;$M15&amp;"_old",Ammortamento_Finanziario!$H:$L,5,FALSE),VLOOKUP($M15,TT_Tabelle_Riferimento!$H$31:$I$50,2,FALSE))</f>
        <v>15</v>
      </c>
      <c r="JT15" s="1755">
        <f>+IFERROR(VLOOKUP(JT$6&amp;"-"&amp;$M15&amp;"_old",Ammortamento_Finanziario!$H:$L,5,FALSE),VLOOKUP($M15,TT_Tabelle_Riferimento!$H$31:$I$50,2,FALSE))</f>
        <v>15</v>
      </c>
      <c r="JU15" s="1755">
        <f>+IFERROR(VLOOKUP(JU$6&amp;"-"&amp;$M15&amp;"_old",Ammortamento_Finanziario!$H:$L,5,FALSE),VLOOKUP($M15,TT_Tabelle_Riferimento!$H$31:$I$50,2,FALSE))</f>
        <v>15</v>
      </c>
      <c r="JV15" s="1755">
        <f>+IFERROR(VLOOKUP(JV$6&amp;"-"&amp;$M15&amp;"_old",Ammortamento_Finanziario!$H:$L,5,FALSE),VLOOKUP($M15,TT_Tabelle_Riferimento!$H$31:$I$50,2,FALSE))</f>
        <v>15</v>
      </c>
      <c r="JW15" s="1755">
        <f>+IFERROR(VLOOKUP(JW$6&amp;"-"&amp;$M15&amp;"_old",Ammortamento_Finanziario!$H:$L,5,FALSE),VLOOKUP($M15,TT_Tabelle_Riferimento!$H$31:$I$50,2,FALSE))</f>
        <v>15</v>
      </c>
      <c r="JX15" s="1078">
        <f>+IFERROR(VLOOKUP(JX$6&amp;"-"&amp;$M15&amp;"_old",Ammortamento_Finanziario!$H:$L,5,FALSE),VLOOKUP($M15,TT_Tabelle_Riferimento!$H$31:$I$50,2,FALSE))</f>
        <v>15</v>
      </c>
      <c r="JY15" s="1078">
        <f>+IFERROR(VLOOKUP(JY$6&amp;"-"&amp;$M15&amp;"_old",Ammortamento_Finanziario!$H:$L,5,FALSE),VLOOKUP($M15,TT_Tabelle_Riferimento!$H$31:$I$50,2,FALSE))</f>
        <v>15</v>
      </c>
      <c r="JZ15" s="1078">
        <f>+IFERROR(VLOOKUP(JZ$6&amp;"-"&amp;$M15&amp;"_old",Ammortamento_Finanziario!$H:$L,5,FALSE),VLOOKUP($M15,TT_Tabelle_Riferimento!$H$31:$I$50,2,FALSE))</f>
        <v>15</v>
      </c>
      <c r="KA15" s="1078">
        <f>+IFERROR(VLOOKUP(KA$6&amp;"-"&amp;$M15&amp;"_old",Ammortamento_Finanziario!$H:$L,5,FALSE),VLOOKUP($M15,TT_Tabelle_Riferimento!$H$31:$I$50,2,FALSE))</f>
        <v>15</v>
      </c>
      <c r="KB15" s="1078">
        <f>+IFERROR(VLOOKUP(KB$6&amp;"-"&amp;$M15&amp;"_old",Ammortamento_Finanziario!$H:$L,5,FALSE),VLOOKUP($M15,TT_Tabelle_Riferimento!$H$31:$I$50,2,FALSE))</f>
        <v>15</v>
      </c>
      <c r="KC15" s="1078">
        <f>+IFERROR(VLOOKUP(KC$6&amp;"-"&amp;$M15&amp;"_old",Ammortamento_Finanziario!$H:$L,5,FALSE),VLOOKUP($M15,TT_Tabelle_Riferimento!$H$31:$I$50,2,FALSE))</f>
        <v>15</v>
      </c>
      <c r="KD15" s="1078">
        <f>+IFERROR(VLOOKUP(KD$6&amp;"-"&amp;$M15&amp;"_old",Ammortamento_Finanziario!$H:$L,5,FALSE),VLOOKUP($M15,TT_Tabelle_Riferimento!$H$31:$I$50,2,FALSE))</f>
        <v>15</v>
      </c>
      <c r="KE15" s="1078">
        <f>+IFERROR(VLOOKUP(KE$6&amp;"-"&amp;$M15&amp;"_old",Ammortamento_Finanziario!$H:$L,5,FALSE),VLOOKUP($M15,TT_Tabelle_Riferimento!$H$31:$I$50,2,FALSE))</f>
        <v>15</v>
      </c>
      <c r="KF15" s="1078">
        <f>+IFERROR(VLOOKUP(KF$6&amp;"-"&amp;$M15&amp;"_old",Ammortamento_Finanziario!$H:$L,5,FALSE),VLOOKUP($M15,TT_Tabelle_Riferimento!$H$31:$I$50,2,FALSE))</f>
        <v>15</v>
      </c>
      <c r="KG15" s="1078">
        <f>+IFERROR(VLOOKUP(KG$6&amp;"-"&amp;$M15&amp;"_old",Ammortamento_Finanziario!$H:$L,5,FALSE),VLOOKUP($M15,TT_Tabelle_Riferimento!$H$31:$I$50,2,FALSE))</f>
        <v>15</v>
      </c>
      <c r="KH15" s="1078">
        <f>+IFERROR(VLOOKUP(KH$6&amp;"-"&amp;$M15&amp;"_old",Ammortamento_Finanziario!$H:$L,5,FALSE),VLOOKUP($M15,TT_Tabelle_Riferimento!$H$31:$I$50,2,FALSE))</f>
        <v>15</v>
      </c>
      <c r="KI15" s="1078">
        <f>+IFERROR(VLOOKUP(KI$6&amp;"-"&amp;$M15&amp;"_old",Ammortamento_Finanziario!$H:$L,5,FALSE),VLOOKUP($M15,TT_Tabelle_Riferimento!$H$31:$I$50,2,FALSE))</f>
        <v>15</v>
      </c>
      <c r="KJ15" s="1078">
        <f>+IFERROR(VLOOKUP(KJ$6&amp;"-"&amp;$M15&amp;"_old",Ammortamento_Finanziario!$H:$L,5,FALSE),VLOOKUP($M15,TT_Tabelle_Riferimento!$H$31:$I$50,2,FALSE))</f>
        <v>15</v>
      </c>
      <c r="KK15" s="1078">
        <f>+IFERROR(VLOOKUP(KK$6&amp;"-"&amp;$M15&amp;"_old",Ammortamento_Finanziario!$H:$L,5,FALSE),VLOOKUP($M15,TT_Tabelle_Riferimento!$H$31:$I$50,2,FALSE))</f>
        <v>15</v>
      </c>
      <c r="KL15" s="1078">
        <f>+IFERROR(VLOOKUP(KL$6&amp;"-"&amp;$M15&amp;"_old",Ammortamento_Finanziario!$H:$L,5,FALSE),VLOOKUP($M15,TT_Tabelle_Riferimento!$H$31:$I$50,2,FALSE))</f>
        <v>15</v>
      </c>
      <c r="KM15" s="1078">
        <f>+IFERROR(VLOOKUP(KM$6&amp;"-"&amp;$M15&amp;"_old",Ammortamento_Finanziario!$H:$L,5,FALSE),VLOOKUP($M15,TT_Tabelle_Riferimento!$H$31:$I$50,2,FALSE))</f>
        <v>15</v>
      </c>
      <c r="KN15" s="1078">
        <f>+IFERROR(VLOOKUP(KN$6&amp;"-"&amp;$M15&amp;"_old",Ammortamento_Finanziario!$H:$L,5,FALSE),VLOOKUP($M15,TT_Tabelle_Riferimento!$H$31:$I$50,2,FALSE))</f>
        <v>15</v>
      </c>
      <c r="KO15" s="1078">
        <f>+IFERROR(VLOOKUP(KO$6&amp;"-"&amp;$M15&amp;"_old",Ammortamento_Finanziario!$H:$L,5,FALSE),VLOOKUP($M15,TT_Tabelle_Riferimento!$H$31:$I$50,2,FALSE))</f>
        <v>15</v>
      </c>
      <c r="KP15" s="1078">
        <f>+IFERROR(VLOOKUP(KP$6&amp;"-"&amp;$M15&amp;"_old",Ammortamento_Finanziario!$H:$L,5,FALSE),VLOOKUP($M15,TT_Tabelle_Riferimento!$H$31:$I$50,2,FALSE))</f>
        <v>15</v>
      </c>
      <c r="KQ15" s="1748">
        <f>+IFERROR(VLOOKUP(KQ$6&amp;"-"&amp;$M15&amp;"_old",Ammortamento_Finanziario!$H:$L,5,FALSE),VLOOKUP($M15,TT_Tabelle_Riferimento!$H$31:$I$50,2,FALSE))</f>
        <v>15</v>
      </c>
      <c r="KR15" s="1748">
        <f>+IFERROR(VLOOKUP(KR$6&amp;"-"&amp;$M15&amp;"_old",Ammortamento_Finanziario!$H:$L,5,FALSE),VLOOKUP($M15,TT_Tabelle_Riferimento!$H$31:$I$50,2,FALSE))</f>
        <v>15</v>
      </c>
      <c r="KS15" s="1755">
        <f>+IFERROR(VLOOKUP(KS$6&amp;"-"&amp;$M15&amp;"_old",Ammortamento_Finanziario!$H:$L,5,FALSE),VLOOKUP($M15,TT_Tabelle_Riferimento!$H$31:$I$50,2,FALSE))</f>
        <v>15</v>
      </c>
      <c r="KT15" s="1755">
        <f>+IFERROR(VLOOKUP(KT$6&amp;"-"&amp;$M15&amp;"_old",Ammortamento_Finanziario!$H:$L,5,FALSE),VLOOKUP($M15,TT_Tabelle_Riferimento!$H$31:$I$50,2,FALSE))</f>
        <v>15</v>
      </c>
      <c r="KU15" s="1755">
        <f>+IFERROR(VLOOKUP(KU$6&amp;"-"&amp;$M15&amp;"_old",Ammortamento_Finanziario!$H:$L,5,FALSE),VLOOKUP($M15,TT_Tabelle_Riferimento!$H$31:$I$50,2,FALSE))</f>
        <v>15</v>
      </c>
      <c r="KV15" s="1755">
        <f>+IFERROR(VLOOKUP(KV$6&amp;"-"&amp;$M15&amp;"_old",Ammortamento_Finanziario!$H:$L,5,FALSE),VLOOKUP($M15,TT_Tabelle_Riferimento!$H$31:$I$50,2,FALSE))</f>
        <v>15</v>
      </c>
      <c r="KW15" s="1755">
        <f>+IFERROR(VLOOKUP(KW$6&amp;"-"&amp;$M15&amp;"_old",Ammortamento_Finanziario!$H:$L,5,FALSE),VLOOKUP($M15,TT_Tabelle_Riferimento!$H$31:$I$50,2,FALSE))</f>
        <v>15</v>
      </c>
      <c r="KX15" s="1755">
        <f>+IFERROR(VLOOKUP(KX$6&amp;"-"&amp;$M15&amp;"_old",Ammortamento_Finanziario!$H:$L,5,FALSE),VLOOKUP($M15,TT_Tabelle_Riferimento!$H$31:$I$50,2,FALSE))</f>
        <v>15</v>
      </c>
      <c r="KY15" s="1078">
        <f>+IFERROR(VLOOKUP(KY$6&amp;"-"&amp;$M15&amp;"_old",Ammortamento_Finanziario!$H:$L,5,FALSE),VLOOKUP($M15,TT_Tabelle_Riferimento!$H$31:$I$50,2,FALSE))</f>
        <v>15</v>
      </c>
      <c r="KZ15" s="1078">
        <f>+IFERROR(VLOOKUP(KZ$6&amp;"-"&amp;$M15&amp;"_old",Ammortamento_Finanziario!$H:$L,5,FALSE),VLOOKUP($M15,TT_Tabelle_Riferimento!$H$31:$I$50,2,FALSE))</f>
        <v>15</v>
      </c>
      <c r="LA15" s="1078">
        <f>+IFERROR(VLOOKUP(LA$6&amp;"-"&amp;$M15&amp;"_old",Ammortamento_Finanziario!$H:$L,5,FALSE),VLOOKUP($M15,TT_Tabelle_Riferimento!$H$31:$I$50,2,FALSE))</f>
        <v>15</v>
      </c>
      <c r="LB15" s="1078">
        <f>+IFERROR(VLOOKUP(LB$6&amp;"-"&amp;$M15&amp;"_old",Ammortamento_Finanziario!$H:$L,5,FALSE),VLOOKUP($M15,TT_Tabelle_Riferimento!$H$31:$I$50,2,FALSE))</f>
        <v>15</v>
      </c>
      <c r="LC15" s="1078">
        <f>+IFERROR(VLOOKUP(LC$6&amp;"-"&amp;$M15&amp;"_old",Ammortamento_Finanziario!$H:$L,5,FALSE),VLOOKUP($M15,TT_Tabelle_Riferimento!$H$31:$I$50,2,FALSE))</f>
        <v>15</v>
      </c>
      <c r="LD15" s="1078">
        <f>+IFERROR(VLOOKUP(LD$6&amp;"-"&amp;$M15&amp;"_old",Ammortamento_Finanziario!$H:$L,5,FALSE),VLOOKUP($M15,TT_Tabelle_Riferimento!$H$31:$I$50,2,FALSE))</f>
        <v>15</v>
      </c>
      <c r="LE15" s="1078">
        <f>+IFERROR(VLOOKUP(LE$6&amp;"-"&amp;$M15&amp;"_old",Ammortamento_Finanziario!$H:$L,5,FALSE),VLOOKUP($M15,TT_Tabelle_Riferimento!$H$31:$I$50,2,FALSE))</f>
        <v>15</v>
      </c>
      <c r="LF15" s="1078">
        <f>+IFERROR(VLOOKUP(LF$6&amp;"-"&amp;$M15&amp;"_old",Ammortamento_Finanziario!$H:$L,5,FALSE),VLOOKUP($M15,TT_Tabelle_Riferimento!$H$31:$I$50,2,FALSE))</f>
        <v>15</v>
      </c>
      <c r="LG15" s="1078">
        <f>+IFERROR(VLOOKUP(LG$6&amp;"-"&amp;$M15&amp;"_old",Ammortamento_Finanziario!$H:$L,5,FALSE),VLOOKUP($M15,TT_Tabelle_Riferimento!$H$31:$I$50,2,FALSE))</f>
        <v>15</v>
      </c>
      <c r="LH15" s="1078">
        <f>+IFERROR(VLOOKUP(LH$6&amp;"-"&amp;$M15&amp;"_old",Ammortamento_Finanziario!$H:$L,5,FALSE),VLOOKUP($M15,TT_Tabelle_Riferimento!$H$31:$I$50,2,FALSE))</f>
        <v>15</v>
      </c>
      <c r="LI15" s="1078">
        <f>+IFERROR(VLOOKUP(LI$6&amp;"-"&amp;$M15&amp;"_old",Ammortamento_Finanziario!$H:$L,5,FALSE),VLOOKUP($M15,TT_Tabelle_Riferimento!$H$31:$I$50,2,FALSE))</f>
        <v>15</v>
      </c>
      <c r="LJ15" s="1078">
        <f>+IFERROR(VLOOKUP(LJ$6&amp;"-"&amp;$M15&amp;"_old",Ammortamento_Finanziario!$H:$L,5,FALSE),VLOOKUP($M15,TT_Tabelle_Riferimento!$H$31:$I$50,2,FALSE))</f>
        <v>15</v>
      </c>
      <c r="LK15" s="1078">
        <f>+IFERROR(VLOOKUP(LK$6&amp;"-"&amp;$M15&amp;"_old",Ammortamento_Finanziario!$H:$L,5,FALSE),VLOOKUP($M15,TT_Tabelle_Riferimento!$H$31:$I$50,2,FALSE))</f>
        <v>15</v>
      </c>
      <c r="LL15" s="1078">
        <f>+IFERROR(VLOOKUP(LL$6&amp;"-"&amp;$M15&amp;"_old",Ammortamento_Finanziario!$H:$L,5,FALSE),VLOOKUP($M15,TT_Tabelle_Riferimento!$H$31:$I$50,2,FALSE))</f>
        <v>15</v>
      </c>
      <c r="LM15" s="1078">
        <f>+IFERROR(VLOOKUP(LM$6&amp;"-"&amp;$M15&amp;"_old",Ammortamento_Finanziario!$H:$L,5,FALSE),VLOOKUP($M15,TT_Tabelle_Riferimento!$H$31:$I$50,2,FALSE))</f>
        <v>15</v>
      </c>
      <c r="LN15" s="1078">
        <f>+IFERROR(VLOOKUP(LN$6&amp;"-"&amp;$M15&amp;"_old",Ammortamento_Finanziario!$H:$L,5,FALSE),VLOOKUP($M15,TT_Tabelle_Riferimento!$H$31:$I$50,2,FALSE))</f>
        <v>15</v>
      </c>
      <c r="LO15" s="1078">
        <f>+IFERROR(VLOOKUP(LO$6&amp;"-"&amp;$M15&amp;"_old",Ammortamento_Finanziario!$H:$L,5,FALSE),VLOOKUP($M15,TT_Tabelle_Riferimento!$H$31:$I$50,2,FALSE))</f>
        <v>15</v>
      </c>
      <c r="LP15" s="1078">
        <f>+IFERROR(VLOOKUP(LP$6&amp;"-"&amp;$M15&amp;"_old",Ammortamento_Finanziario!$H:$L,5,FALSE),VLOOKUP($M15,TT_Tabelle_Riferimento!$H$31:$I$50,2,FALSE))</f>
        <v>15</v>
      </c>
      <c r="LQ15" s="1078">
        <f>+IFERROR(VLOOKUP(LQ$6&amp;"-"&amp;$M15&amp;"_old",Ammortamento_Finanziario!$H:$L,5,FALSE),VLOOKUP($M15,TT_Tabelle_Riferimento!$H$31:$I$50,2,FALSE))</f>
        <v>15</v>
      </c>
      <c r="LR15" s="1748">
        <f>+IFERROR(VLOOKUP(LR$6&amp;"-"&amp;$M15&amp;"_old",Ammortamento_Finanziario!$H:$L,5,FALSE),VLOOKUP($M15,TT_Tabelle_Riferimento!$H$31:$I$50,2,FALSE))</f>
        <v>15</v>
      </c>
      <c r="LS15" s="1755">
        <f>+IFERROR(VLOOKUP(LS$6&amp;"-"&amp;$M15&amp;"_old",Ammortamento_Finanziario!$H:$L,5,FALSE),VLOOKUP($M15,TT_Tabelle_Riferimento!$H$31:$I$50,2,FALSE))</f>
        <v>15</v>
      </c>
      <c r="LT15" s="1755">
        <f>+IFERROR(VLOOKUP(LT$6&amp;"-"&amp;$M15&amp;"_old",Ammortamento_Finanziario!$H:$L,5,FALSE),VLOOKUP($M15,TT_Tabelle_Riferimento!$H$31:$I$50,2,FALSE))</f>
        <v>15</v>
      </c>
      <c r="LU15" s="1755">
        <f>+IFERROR(VLOOKUP(LU$6&amp;"-"&amp;$M15&amp;"_old",Ammortamento_Finanziario!$H:$L,5,FALSE),VLOOKUP($M15,TT_Tabelle_Riferimento!$H$31:$I$50,2,FALSE))</f>
        <v>15</v>
      </c>
      <c r="LV15" s="1755">
        <f>+IFERROR(VLOOKUP(LV$6&amp;"-"&amp;$M15&amp;"_old",Ammortamento_Finanziario!$H:$L,5,FALSE),VLOOKUP($M15,TT_Tabelle_Riferimento!$H$31:$I$50,2,FALSE))</f>
        <v>15</v>
      </c>
      <c r="LW15" s="1755">
        <f>+IFERROR(VLOOKUP(LW$6&amp;"-"&amp;$M15&amp;"_old",Ammortamento_Finanziario!$H:$L,5,FALSE),VLOOKUP($M15,TT_Tabelle_Riferimento!$H$31:$I$50,2,FALSE))</f>
        <v>15</v>
      </c>
      <c r="LX15" s="1755">
        <f>+IFERROR(VLOOKUP(LX$6&amp;"-"&amp;$M15&amp;"_old",Ammortamento_Finanziario!$H:$L,5,FALSE),VLOOKUP($M15,TT_Tabelle_Riferimento!$H$31:$I$50,2,FALSE))</f>
        <v>15</v>
      </c>
      <c r="LY15" s="1078">
        <f>+IFERROR(VLOOKUP(LY$6&amp;"-"&amp;$M15&amp;"_old",Ammortamento_Finanziario!$H:$L,5,FALSE),VLOOKUP($M15,TT_Tabelle_Riferimento!$H$31:$I$50,2,FALSE))</f>
        <v>15</v>
      </c>
      <c r="LZ15" s="1078">
        <f>+IFERROR(VLOOKUP(LZ$6&amp;"-"&amp;$M15&amp;"_old",Ammortamento_Finanziario!$H:$L,5,FALSE),VLOOKUP($M15,TT_Tabelle_Riferimento!$H$31:$I$50,2,FALSE))</f>
        <v>15</v>
      </c>
      <c r="MA15" s="1078">
        <f>+IFERROR(VLOOKUP(MA$6&amp;"-"&amp;$M15&amp;"_old",Ammortamento_Finanziario!$H:$L,5,FALSE),VLOOKUP($M15,TT_Tabelle_Riferimento!$H$31:$I$50,2,FALSE))</f>
        <v>15</v>
      </c>
      <c r="MB15" s="1078">
        <f>+IFERROR(VLOOKUP(MB$6&amp;"-"&amp;$M15&amp;"_old",Ammortamento_Finanziario!$H:$L,5,FALSE),VLOOKUP($M15,TT_Tabelle_Riferimento!$H$31:$I$50,2,FALSE))</f>
        <v>15</v>
      </c>
      <c r="MC15" s="1078">
        <f>+IFERROR(VLOOKUP(MC$6&amp;"-"&amp;$M15&amp;"_old",Ammortamento_Finanziario!$H:$L,5,FALSE),VLOOKUP($M15,TT_Tabelle_Riferimento!$H$31:$I$50,2,FALSE))</f>
        <v>15</v>
      </c>
      <c r="MD15" s="1078">
        <f>+IFERROR(VLOOKUP(MD$6&amp;"-"&amp;$M15&amp;"_old",Ammortamento_Finanziario!$H:$L,5,FALSE),VLOOKUP($M15,TT_Tabelle_Riferimento!$H$31:$I$50,2,FALSE))</f>
        <v>15</v>
      </c>
      <c r="ME15" s="1078">
        <f>+IFERROR(VLOOKUP(ME$6&amp;"-"&amp;$M15&amp;"_old",Ammortamento_Finanziario!$H:$L,5,FALSE),VLOOKUP($M15,TT_Tabelle_Riferimento!$H$31:$I$50,2,FALSE))</f>
        <v>15</v>
      </c>
      <c r="MF15" s="1078">
        <f>+IFERROR(VLOOKUP(MF$6&amp;"-"&amp;$M15&amp;"_old",Ammortamento_Finanziario!$H:$L,5,FALSE),VLOOKUP($M15,TT_Tabelle_Riferimento!$H$31:$I$50,2,FALSE))</f>
        <v>15</v>
      </c>
      <c r="MG15" s="1078">
        <f>+IFERROR(VLOOKUP(MG$6&amp;"-"&amp;$M15&amp;"_old",Ammortamento_Finanziario!$H:$L,5,FALSE),VLOOKUP($M15,TT_Tabelle_Riferimento!$H$31:$I$50,2,FALSE))</f>
        <v>15</v>
      </c>
      <c r="MH15" s="1078">
        <f>+IFERROR(VLOOKUP(MH$6&amp;"-"&amp;$M15&amp;"_old",Ammortamento_Finanziario!$H:$L,5,FALSE),VLOOKUP($M15,TT_Tabelle_Riferimento!$H$31:$I$50,2,FALSE))</f>
        <v>15</v>
      </c>
      <c r="MI15" s="1078">
        <f>+IFERROR(VLOOKUP(MI$6&amp;"-"&amp;$M15&amp;"_old",Ammortamento_Finanziario!$H:$L,5,FALSE),VLOOKUP($M15,TT_Tabelle_Riferimento!$H$31:$I$50,2,FALSE))</f>
        <v>15</v>
      </c>
      <c r="MJ15" s="1078">
        <f>+IFERROR(VLOOKUP(MJ$6&amp;"-"&amp;$M15&amp;"_old",Ammortamento_Finanziario!$H:$L,5,FALSE),VLOOKUP($M15,TT_Tabelle_Riferimento!$H$31:$I$50,2,FALSE))</f>
        <v>15</v>
      </c>
      <c r="MK15" s="1078">
        <f>+IFERROR(VLOOKUP(MK$6&amp;"-"&amp;$M15&amp;"_old",Ammortamento_Finanziario!$H:$L,5,FALSE),VLOOKUP($M15,TT_Tabelle_Riferimento!$H$31:$I$50,2,FALSE))</f>
        <v>15</v>
      </c>
      <c r="ML15" s="1078">
        <f>+IFERROR(VLOOKUP(ML$6&amp;"-"&amp;$M15&amp;"_old",Ammortamento_Finanziario!$H:$L,5,FALSE),VLOOKUP($M15,TT_Tabelle_Riferimento!$H$31:$I$50,2,FALSE))</f>
        <v>15</v>
      </c>
      <c r="MM15" s="1078">
        <f>+IFERROR(VLOOKUP(MM$6&amp;"-"&amp;$M15&amp;"_old",Ammortamento_Finanziario!$H:$L,5,FALSE),VLOOKUP($M15,TT_Tabelle_Riferimento!$H$31:$I$50,2,FALSE))</f>
        <v>15</v>
      </c>
      <c r="MN15" s="1078">
        <f>+IFERROR(VLOOKUP(MN$6&amp;"-"&amp;$M15&amp;"_old",Ammortamento_Finanziario!$H:$L,5,FALSE),VLOOKUP($M15,TT_Tabelle_Riferimento!$H$31:$I$50,2,FALSE))</f>
        <v>15</v>
      </c>
      <c r="MO15" s="1078">
        <f>+IFERROR(VLOOKUP(MO$6&amp;"-"&amp;$M15&amp;"_old",Ammortamento_Finanziario!$H:$L,5,FALSE),VLOOKUP($M15,TT_Tabelle_Riferimento!$H$31:$I$50,2,FALSE))</f>
        <v>15</v>
      </c>
      <c r="MP15" s="1078">
        <f>+IFERROR(VLOOKUP(MP$6&amp;"-"&amp;$M15&amp;"_old",Ammortamento_Finanziario!$H:$L,5,FALSE),VLOOKUP($M15,TT_Tabelle_Riferimento!$H$31:$I$50,2,FALSE))</f>
        <v>15</v>
      </c>
      <c r="MQ15" s="1078">
        <f>+IFERROR(VLOOKUP(MQ$6&amp;"-"&amp;$M15&amp;"_old",Ammortamento_Finanziario!$H:$L,5,FALSE),VLOOKUP($M15,TT_Tabelle_Riferimento!$H$31:$I$50,2,FALSE))</f>
        <v>15</v>
      </c>
      <c r="MR15" s="1755">
        <f>+IFERROR(VLOOKUP(MR$6&amp;"-"&amp;$M15&amp;"_old",Ammortamento_Finanziario!$H:$L,5,FALSE),VLOOKUP($M15,TT_Tabelle_Riferimento!$H$31:$I$50,2,FALSE))</f>
        <v>15</v>
      </c>
      <c r="MS15" s="1755">
        <f>+IFERROR(VLOOKUP(MS$6&amp;"-"&amp;$M15&amp;"_old",Ammortamento_Finanziario!$H:$L,5,FALSE),VLOOKUP($M15,TT_Tabelle_Riferimento!$H$31:$I$50,2,FALSE))</f>
        <v>15</v>
      </c>
      <c r="MT15" s="1755">
        <f>+IFERROR(VLOOKUP(MT$6&amp;"-"&amp;$M15&amp;"_old",Ammortamento_Finanziario!$H:$L,5,FALSE),VLOOKUP($M15,TT_Tabelle_Riferimento!$H$31:$I$50,2,FALSE))</f>
        <v>15</v>
      </c>
      <c r="MU15" s="1755">
        <f>+IFERROR(VLOOKUP(MU$6&amp;"-"&amp;$M15&amp;"_old",Ammortamento_Finanziario!$H:$L,5,FALSE),VLOOKUP($M15,TT_Tabelle_Riferimento!$H$31:$I$50,2,FALSE))</f>
        <v>15</v>
      </c>
      <c r="MV15" s="1755">
        <f>+IFERROR(VLOOKUP(MV$6&amp;"-"&amp;$M15&amp;"_old",Ammortamento_Finanziario!$H:$L,5,FALSE),VLOOKUP($M15,TT_Tabelle_Riferimento!$H$31:$I$50,2,FALSE))</f>
        <v>15</v>
      </c>
      <c r="MW15" s="1755">
        <f>+IFERROR(VLOOKUP(MW$6&amp;"-"&amp;$M15&amp;"_old",Ammortamento_Finanziario!$H:$L,5,FALSE),VLOOKUP($M15,TT_Tabelle_Riferimento!$H$31:$I$50,2,FALSE))</f>
        <v>15</v>
      </c>
      <c r="MX15" s="1078">
        <f>+IFERROR(VLOOKUP(MX$6&amp;"-"&amp;$M15&amp;"_old",Ammortamento_Finanziario!$H:$L,5,FALSE),VLOOKUP($M15,TT_Tabelle_Riferimento!$H$31:$I$50,2,FALSE))</f>
        <v>15</v>
      </c>
      <c r="MY15" s="1078">
        <f>+IFERROR(VLOOKUP(MY$6&amp;"-"&amp;$M15&amp;"_old",Ammortamento_Finanziario!$H:$L,5,FALSE),VLOOKUP($M15,TT_Tabelle_Riferimento!$H$31:$I$50,2,FALSE))</f>
        <v>15</v>
      </c>
      <c r="MZ15" s="1078">
        <f>+IFERROR(VLOOKUP(MZ$6&amp;"-"&amp;$M15&amp;"_old",Ammortamento_Finanziario!$H:$L,5,FALSE),VLOOKUP($M15,TT_Tabelle_Riferimento!$H$31:$I$50,2,FALSE))</f>
        <v>15</v>
      </c>
      <c r="NA15" s="1078">
        <f>+IFERROR(VLOOKUP(NA$6&amp;"-"&amp;$M15&amp;"_old",Ammortamento_Finanziario!$H:$L,5,FALSE),VLOOKUP($M15,TT_Tabelle_Riferimento!$H$31:$I$50,2,FALSE))</f>
        <v>15</v>
      </c>
      <c r="NB15" s="1078">
        <f>+IFERROR(VLOOKUP(NB$6&amp;"-"&amp;$M15&amp;"_old",Ammortamento_Finanziario!$H:$L,5,FALSE),VLOOKUP($M15,TT_Tabelle_Riferimento!$H$31:$I$50,2,FALSE))</f>
        <v>15</v>
      </c>
      <c r="NC15" s="1078">
        <f>+IFERROR(VLOOKUP(NC$6&amp;"-"&amp;$M15&amp;"_old",Ammortamento_Finanziario!$H:$L,5,FALSE),VLOOKUP($M15,TT_Tabelle_Riferimento!$H$31:$I$50,2,FALSE))</f>
        <v>15</v>
      </c>
      <c r="ND15" s="1078">
        <f>+IFERROR(VLOOKUP(ND$6&amp;"-"&amp;$M15&amp;"_old",Ammortamento_Finanziario!$H:$L,5,FALSE),VLOOKUP($M15,TT_Tabelle_Riferimento!$H$31:$I$50,2,FALSE))</f>
        <v>15</v>
      </c>
      <c r="NE15" s="1078">
        <f>+IFERROR(VLOOKUP(NE$6&amp;"-"&amp;$M15&amp;"_old",Ammortamento_Finanziario!$H:$L,5,FALSE),VLOOKUP($M15,TT_Tabelle_Riferimento!$H$31:$I$50,2,FALSE))</f>
        <v>15</v>
      </c>
      <c r="NF15" s="1078">
        <f>+IFERROR(VLOOKUP(NF$6&amp;"-"&amp;$M15&amp;"_old",Ammortamento_Finanziario!$H:$L,5,FALSE),VLOOKUP($M15,TT_Tabelle_Riferimento!$H$31:$I$50,2,FALSE))</f>
        <v>15</v>
      </c>
      <c r="NG15" s="1078">
        <f>+IFERROR(VLOOKUP(NG$6&amp;"-"&amp;$M15&amp;"_old",Ammortamento_Finanziario!$H:$L,5,FALSE),VLOOKUP($M15,TT_Tabelle_Riferimento!$H$31:$I$50,2,FALSE))</f>
        <v>15</v>
      </c>
      <c r="NH15" s="1078">
        <f>+IFERROR(VLOOKUP(NH$6&amp;"-"&amp;$M15&amp;"_old",Ammortamento_Finanziario!$H:$L,5,FALSE),VLOOKUP($M15,TT_Tabelle_Riferimento!$H$31:$I$50,2,FALSE))</f>
        <v>15</v>
      </c>
      <c r="NI15" s="1078">
        <f>+IFERROR(VLOOKUP(NI$6&amp;"-"&amp;$M15&amp;"_old",Ammortamento_Finanziario!$H:$L,5,FALSE),VLOOKUP($M15,TT_Tabelle_Riferimento!$H$31:$I$50,2,FALSE))</f>
        <v>15</v>
      </c>
      <c r="NJ15" s="1078">
        <f>+IFERROR(VLOOKUP(NJ$6&amp;"-"&amp;$M15&amp;"_old",Ammortamento_Finanziario!$H:$L,5,FALSE),VLOOKUP($M15,TT_Tabelle_Riferimento!$H$31:$I$50,2,FALSE))</f>
        <v>15</v>
      </c>
      <c r="NK15" s="1078">
        <f>+IFERROR(VLOOKUP(NK$6&amp;"-"&amp;$M15&amp;"_old",Ammortamento_Finanziario!$H:$L,5,FALSE),VLOOKUP($M15,TT_Tabelle_Riferimento!$H$31:$I$50,2,FALSE))</f>
        <v>15</v>
      </c>
      <c r="NL15" s="1078">
        <f>+IFERROR(VLOOKUP(NL$6&amp;"-"&amp;$M15&amp;"_old",Ammortamento_Finanziario!$H:$L,5,FALSE),VLOOKUP($M15,TT_Tabelle_Riferimento!$H$31:$I$50,2,FALSE))</f>
        <v>15</v>
      </c>
      <c r="NM15" s="1078">
        <f>+IFERROR(VLOOKUP(NM$6&amp;"-"&amp;$M15&amp;"_old",Ammortamento_Finanziario!$H:$L,5,FALSE),VLOOKUP($M15,TT_Tabelle_Riferimento!$H$31:$I$50,2,FALSE))</f>
        <v>15</v>
      </c>
      <c r="NN15" s="1078">
        <f>+IFERROR(VLOOKUP(NN$6&amp;"-"&amp;$M15&amp;"_old",Ammortamento_Finanziario!$H:$L,5,FALSE),VLOOKUP($M15,TT_Tabelle_Riferimento!$H$31:$I$50,2,FALSE))</f>
        <v>15</v>
      </c>
      <c r="NO15" s="1078">
        <f>+IFERROR(VLOOKUP(NO$6&amp;"-"&amp;$M15&amp;"_old",Ammortamento_Finanziario!$H:$L,5,FALSE),VLOOKUP($M15,TT_Tabelle_Riferimento!$H$31:$I$50,2,FALSE))</f>
        <v>15</v>
      </c>
      <c r="NP15" s="1078">
        <f>+IFERROR(VLOOKUP(NP$6&amp;"-"&amp;$M15&amp;"_old",Ammortamento_Finanziario!$H:$L,5,FALSE),VLOOKUP($M15,TT_Tabelle_Riferimento!$H$31:$I$50,2,FALSE))</f>
        <v>15</v>
      </c>
      <c r="NQ15" s="1755">
        <f>+IFERROR(VLOOKUP(NQ$6&amp;"-"&amp;$M15&amp;"_old",Ammortamento_Finanziario!$H:$L,5,FALSE),VLOOKUP($M15,TT_Tabelle_Riferimento!$H$31:$I$50,2,FALSE))</f>
        <v>15</v>
      </c>
      <c r="NR15" s="1755">
        <f>+IFERROR(VLOOKUP(NR$6&amp;"-"&amp;$M15&amp;"_old",Ammortamento_Finanziario!$H:$L,5,FALSE),VLOOKUP($M15,TT_Tabelle_Riferimento!$H$31:$I$50,2,FALSE))</f>
        <v>15</v>
      </c>
      <c r="NS15" s="1755">
        <f>+IFERROR(VLOOKUP(NS$6&amp;"-"&amp;$M15&amp;"_old",Ammortamento_Finanziario!$H:$L,5,FALSE),VLOOKUP($M15,TT_Tabelle_Riferimento!$H$31:$I$50,2,FALSE))</f>
        <v>15</v>
      </c>
      <c r="NT15" s="1755">
        <f>+IFERROR(VLOOKUP(NT$6&amp;"-"&amp;$M15&amp;"_old",Ammortamento_Finanziario!$H:$L,5,FALSE),VLOOKUP($M15,TT_Tabelle_Riferimento!$H$31:$I$50,2,FALSE))</f>
        <v>15</v>
      </c>
      <c r="NU15" s="1755">
        <f>+IFERROR(VLOOKUP(NU$6&amp;"-"&amp;$M15&amp;"_old",Ammortamento_Finanziario!$H:$L,5,FALSE),VLOOKUP($M15,TT_Tabelle_Riferimento!$H$31:$I$50,2,FALSE))</f>
        <v>15</v>
      </c>
      <c r="NV15" s="1078">
        <f>+IFERROR(VLOOKUP(NV$6&amp;"-"&amp;$M15&amp;"_old",Ammortamento_Finanziario!$H:$L,5,FALSE),VLOOKUP($M15,TT_Tabelle_Riferimento!$H$31:$I$50,2,FALSE))</f>
        <v>15</v>
      </c>
      <c r="NW15" s="1078">
        <f>+IFERROR(VLOOKUP(NW$6&amp;"-"&amp;$M15&amp;"_old",Ammortamento_Finanziario!$H:$L,5,FALSE),VLOOKUP($M15,TT_Tabelle_Riferimento!$H$31:$I$50,2,FALSE))</f>
        <v>15</v>
      </c>
      <c r="NX15" s="1078">
        <f>+IFERROR(VLOOKUP(NX$6&amp;"-"&amp;$M15&amp;"_old",Ammortamento_Finanziario!$H:$L,5,FALSE),VLOOKUP($M15,TT_Tabelle_Riferimento!$H$31:$I$50,2,FALSE))</f>
        <v>15</v>
      </c>
      <c r="NY15" s="1078">
        <f>+IFERROR(VLOOKUP(NY$6&amp;"-"&amp;$M15&amp;"_old",Ammortamento_Finanziario!$H:$L,5,FALSE),VLOOKUP($M15,TT_Tabelle_Riferimento!$H$31:$I$50,2,FALSE))</f>
        <v>15</v>
      </c>
      <c r="NZ15" s="1078">
        <f>+IFERROR(VLOOKUP(NZ$6&amp;"-"&amp;$M15&amp;"_old",Ammortamento_Finanziario!$H:$L,5,FALSE),VLOOKUP($M15,TT_Tabelle_Riferimento!$H$31:$I$50,2,FALSE))</f>
        <v>15</v>
      </c>
      <c r="OA15" s="1078">
        <f>+IFERROR(VLOOKUP(OA$6&amp;"-"&amp;$M15&amp;"_old",Ammortamento_Finanziario!$H:$L,5,FALSE),VLOOKUP($M15,TT_Tabelle_Riferimento!$H$31:$I$50,2,FALSE))</f>
        <v>15</v>
      </c>
      <c r="OB15" s="1078">
        <f>+IFERROR(VLOOKUP(OB$6&amp;"-"&amp;$M15&amp;"_old",Ammortamento_Finanziario!$H:$L,5,FALSE),VLOOKUP($M15,TT_Tabelle_Riferimento!$H$31:$I$50,2,FALSE))</f>
        <v>15</v>
      </c>
      <c r="OC15" s="1078">
        <f>+IFERROR(VLOOKUP(OC$6&amp;"-"&amp;$M15&amp;"_old",Ammortamento_Finanziario!$H:$L,5,FALSE),VLOOKUP($M15,TT_Tabelle_Riferimento!$H$31:$I$50,2,FALSE))</f>
        <v>15</v>
      </c>
      <c r="OD15" s="1078">
        <f>+IFERROR(VLOOKUP(OD$6&amp;"-"&amp;$M15&amp;"_old",Ammortamento_Finanziario!$H:$L,5,FALSE),VLOOKUP($M15,TT_Tabelle_Riferimento!$H$31:$I$50,2,FALSE))</f>
        <v>15</v>
      </c>
      <c r="OE15" s="1078">
        <f>+IFERROR(VLOOKUP(OE$6&amp;"-"&amp;$M15&amp;"_old",Ammortamento_Finanziario!$H:$L,5,FALSE),VLOOKUP($M15,TT_Tabelle_Riferimento!$H$31:$I$50,2,FALSE))</f>
        <v>15</v>
      </c>
      <c r="OF15" s="1078">
        <f>+IFERROR(VLOOKUP(OF$6&amp;"-"&amp;$M15&amp;"_old",Ammortamento_Finanziario!$H:$L,5,FALSE),VLOOKUP($M15,TT_Tabelle_Riferimento!$H$31:$I$50,2,FALSE))</f>
        <v>15</v>
      </c>
      <c r="OG15" s="1078">
        <f>+IFERROR(VLOOKUP(OG$6&amp;"-"&amp;$M15&amp;"_old",Ammortamento_Finanziario!$H:$L,5,FALSE),VLOOKUP($M15,TT_Tabelle_Riferimento!$H$31:$I$50,2,FALSE))</f>
        <v>15</v>
      </c>
      <c r="OH15" s="1078">
        <f>+IFERROR(VLOOKUP(OH$6&amp;"-"&amp;$M15&amp;"_old",Ammortamento_Finanziario!$H:$L,5,FALSE),VLOOKUP($M15,TT_Tabelle_Riferimento!$H$31:$I$50,2,FALSE))</f>
        <v>15</v>
      </c>
      <c r="OI15" s="1078">
        <f>+IFERROR(VLOOKUP(OI$6&amp;"-"&amp;$M15&amp;"_old",Ammortamento_Finanziario!$H:$L,5,FALSE),VLOOKUP($M15,TT_Tabelle_Riferimento!$H$31:$I$50,2,FALSE))</f>
        <v>15</v>
      </c>
      <c r="OJ15" s="1078">
        <f>+IFERROR(VLOOKUP(OJ$6&amp;"-"&amp;$M15&amp;"_old",Ammortamento_Finanziario!$H:$L,5,FALSE),VLOOKUP($M15,TT_Tabelle_Riferimento!$H$31:$I$50,2,FALSE))</f>
        <v>15</v>
      </c>
      <c r="OK15" s="1078">
        <f>+IFERROR(VLOOKUP(OK$6&amp;"-"&amp;$M15&amp;"_old",Ammortamento_Finanziario!$H:$L,5,FALSE),VLOOKUP($M15,TT_Tabelle_Riferimento!$H$31:$I$50,2,FALSE))</f>
        <v>15</v>
      </c>
      <c r="OL15" s="1078">
        <f>+IFERROR(VLOOKUP(OL$6&amp;"-"&amp;$M15&amp;"_old",Ammortamento_Finanziario!$H:$L,5,FALSE),VLOOKUP($M15,TT_Tabelle_Riferimento!$H$31:$I$50,2,FALSE))</f>
        <v>15</v>
      </c>
      <c r="OM15" s="1078">
        <f>+IFERROR(VLOOKUP(OM$6&amp;"-"&amp;$M15&amp;"_old",Ammortamento_Finanziario!$H:$L,5,FALSE),VLOOKUP($M15,TT_Tabelle_Riferimento!$H$31:$I$50,2,FALSE))</f>
        <v>15</v>
      </c>
      <c r="ON15" s="1078">
        <f>+IFERROR(VLOOKUP(ON$6&amp;"-"&amp;$M15&amp;"_old",Ammortamento_Finanziario!$H:$L,5,FALSE),VLOOKUP($M15,TT_Tabelle_Riferimento!$H$31:$I$50,2,FALSE))</f>
        <v>15</v>
      </c>
      <c r="OO15" s="1755">
        <f>+IFERROR(VLOOKUP(OO$6&amp;"-"&amp;$M15&amp;"_old",Ammortamento_Finanziario!$H:$L,5,FALSE),VLOOKUP($M15,TT_Tabelle_Riferimento!$H$31:$I$50,2,FALSE))</f>
        <v>15</v>
      </c>
      <c r="OP15" s="1755">
        <f>+IFERROR(VLOOKUP(OP$6&amp;"-"&amp;$M15&amp;"_old",Ammortamento_Finanziario!$H:$L,5,FALSE),VLOOKUP($M15,TT_Tabelle_Riferimento!$H$31:$I$50,2,FALSE))</f>
        <v>15</v>
      </c>
      <c r="OQ15" s="1755">
        <f>+IFERROR(VLOOKUP(OQ$6&amp;"-"&amp;$M15&amp;"_old",Ammortamento_Finanziario!$H:$L,5,FALSE),VLOOKUP($M15,TT_Tabelle_Riferimento!$H$31:$I$50,2,FALSE))</f>
        <v>15</v>
      </c>
      <c r="OR15" s="1755">
        <f>+IFERROR(VLOOKUP(OR$6&amp;"-"&amp;$M15&amp;"_old",Ammortamento_Finanziario!$H:$L,5,FALSE),VLOOKUP($M15,TT_Tabelle_Riferimento!$H$31:$I$50,2,FALSE))</f>
        <v>15</v>
      </c>
      <c r="OS15" s="1078">
        <f>+IFERROR(VLOOKUP(OS$6&amp;"-"&amp;$M15&amp;"_old",Ammortamento_Finanziario!$H:$L,5,FALSE),VLOOKUP($M15,TT_Tabelle_Riferimento!$H$31:$I$50,2,FALSE))</f>
        <v>15</v>
      </c>
      <c r="OT15" s="1078">
        <f>+IFERROR(VLOOKUP(OT$6&amp;"-"&amp;$M15&amp;"_old",Ammortamento_Finanziario!$H:$L,5,FALSE),VLOOKUP($M15,TT_Tabelle_Riferimento!$H$31:$I$50,2,FALSE))</f>
        <v>15</v>
      </c>
      <c r="OU15" s="1078">
        <f>+IFERROR(VLOOKUP(OU$6&amp;"-"&amp;$M15&amp;"_old",Ammortamento_Finanziario!$H:$L,5,FALSE),VLOOKUP($M15,TT_Tabelle_Riferimento!$H$31:$I$50,2,FALSE))</f>
        <v>15</v>
      </c>
      <c r="OV15" s="1078">
        <f>+IFERROR(VLOOKUP(OV$6&amp;"-"&amp;$M15&amp;"_old",Ammortamento_Finanziario!$H:$L,5,FALSE),VLOOKUP($M15,TT_Tabelle_Riferimento!$H$31:$I$50,2,FALSE))</f>
        <v>15</v>
      </c>
      <c r="OW15" s="1078">
        <f>+IFERROR(VLOOKUP(OW$6&amp;"-"&amp;$M15&amp;"_old",Ammortamento_Finanziario!$H:$L,5,FALSE),VLOOKUP($M15,TT_Tabelle_Riferimento!$H$31:$I$50,2,FALSE))</f>
        <v>15</v>
      </c>
      <c r="OX15" s="1078">
        <f>+IFERROR(VLOOKUP(OX$6&amp;"-"&amp;$M15&amp;"_old",Ammortamento_Finanziario!$H:$L,5,FALSE),VLOOKUP($M15,TT_Tabelle_Riferimento!$H$31:$I$50,2,FALSE))</f>
        <v>15</v>
      </c>
      <c r="OY15" s="1078">
        <f>+IFERROR(VLOOKUP(OY$6&amp;"-"&amp;$M15&amp;"_old",Ammortamento_Finanziario!$H:$L,5,FALSE),VLOOKUP($M15,TT_Tabelle_Riferimento!$H$31:$I$50,2,FALSE))</f>
        <v>15</v>
      </c>
      <c r="OZ15" s="1078">
        <f>+IFERROR(VLOOKUP(OZ$6&amp;"-"&amp;$M15&amp;"_old",Ammortamento_Finanziario!$H:$L,5,FALSE),VLOOKUP($M15,TT_Tabelle_Riferimento!$H$31:$I$50,2,FALSE))</f>
        <v>15</v>
      </c>
      <c r="PA15" s="1078">
        <f>+IFERROR(VLOOKUP(PA$6&amp;"-"&amp;$M15&amp;"_old",Ammortamento_Finanziario!$H:$L,5,FALSE),VLOOKUP($M15,TT_Tabelle_Riferimento!$H$31:$I$50,2,FALSE))</f>
        <v>15</v>
      </c>
      <c r="PB15" s="1078">
        <f>+IFERROR(VLOOKUP(PB$6&amp;"-"&amp;$M15&amp;"_old",Ammortamento_Finanziario!$H:$L,5,FALSE),VLOOKUP($M15,TT_Tabelle_Riferimento!$H$31:$I$50,2,FALSE))</f>
        <v>15</v>
      </c>
      <c r="PC15" s="1078">
        <f>+IFERROR(VLOOKUP(PC$6&amp;"-"&amp;$M15&amp;"_old",Ammortamento_Finanziario!$H:$L,5,FALSE),VLOOKUP($M15,TT_Tabelle_Riferimento!$H$31:$I$50,2,FALSE))</f>
        <v>15</v>
      </c>
      <c r="PD15" s="1078">
        <f>+IFERROR(VLOOKUP(PD$6&amp;"-"&amp;$M15&amp;"_old",Ammortamento_Finanziario!$H:$L,5,FALSE),VLOOKUP($M15,TT_Tabelle_Riferimento!$H$31:$I$50,2,FALSE))</f>
        <v>15</v>
      </c>
      <c r="PE15" s="1078">
        <f>+IFERROR(VLOOKUP(PE$6&amp;"-"&amp;$M15&amp;"_old",Ammortamento_Finanziario!$H:$L,5,FALSE),VLOOKUP($M15,TT_Tabelle_Riferimento!$H$31:$I$50,2,FALSE))</f>
        <v>15</v>
      </c>
      <c r="PF15" s="1078">
        <f>+IFERROR(VLOOKUP(PF$6&amp;"-"&amp;$M15&amp;"_old",Ammortamento_Finanziario!$H:$L,5,FALSE),VLOOKUP($M15,TT_Tabelle_Riferimento!$H$31:$I$50,2,FALSE))</f>
        <v>15</v>
      </c>
      <c r="PG15" s="1078">
        <f>+IFERROR(VLOOKUP(PG$6&amp;"-"&amp;$M15&amp;"_old",Ammortamento_Finanziario!$H:$L,5,FALSE),VLOOKUP($M15,TT_Tabelle_Riferimento!$H$31:$I$50,2,FALSE))</f>
        <v>15</v>
      </c>
      <c r="PH15" s="1078">
        <f>+IFERROR(VLOOKUP(PH$6&amp;"-"&amp;$M15&amp;"_old",Ammortamento_Finanziario!$H:$L,5,FALSE),VLOOKUP($M15,TT_Tabelle_Riferimento!$H$31:$I$50,2,FALSE))</f>
        <v>15</v>
      </c>
      <c r="PI15" s="1078">
        <f>+IFERROR(VLOOKUP(PI$6&amp;"-"&amp;$M15&amp;"_old",Ammortamento_Finanziario!$H:$L,5,FALSE),VLOOKUP($M15,TT_Tabelle_Riferimento!$H$31:$I$50,2,FALSE))</f>
        <v>15</v>
      </c>
      <c r="PJ15" s="1078">
        <f>+IFERROR(VLOOKUP(PJ$6&amp;"-"&amp;$M15&amp;"_old",Ammortamento_Finanziario!$H:$L,5,FALSE),VLOOKUP($M15,TT_Tabelle_Riferimento!$H$31:$I$50,2,FALSE))</f>
        <v>15</v>
      </c>
      <c r="PK15" s="1078">
        <f>+IFERROR(VLOOKUP(PK$6&amp;"-"&amp;$M15&amp;"_old",Ammortamento_Finanziario!$H:$L,5,FALSE),VLOOKUP($M15,TT_Tabelle_Riferimento!$H$31:$I$50,2,FALSE))</f>
        <v>15</v>
      </c>
      <c r="PL15" s="1755">
        <f>+IFERROR(VLOOKUP(PL$6&amp;"-"&amp;$M15&amp;"_old",Ammortamento_Finanziario!$H:$L,5,FALSE),VLOOKUP($M15,TT_Tabelle_Riferimento!$H$31:$I$50,2,FALSE))</f>
        <v>15</v>
      </c>
      <c r="PM15" s="1755">
        <f>+IFERROR(VLOOKUP(PM$6&amp;"-"&amp;$M15&amp;"_old",Ammortamento_Finanziario!$H:$L,5,FALSE),VLOOKUP($M15,TT_Tabelle_Riferimento!$H$31:$I$50,2,FALSE))</f>
        <v>15</v>
      </c>
      <c r="PN15" s="1755">
        <f>+IFERROR(VLOOKUP(PN$6&amp;"-"&amp;$M15&amp;"_old",Ammortamento_Finanziario!$H:$L,5,FALSE),VLOOKUP($M15,TT_Tabelle_Riferimento!$H$31:$I$50,2,FALSE))</f>
        <v>15</v>
      </c>
      <c r="PO15" s="1078">
        <f>+IFERROR(VLOOKUP(PO$6&amp;"-"&amp;$M15&amp;"_old",Ammortamento_Finanziario!$H:$L,5,FALSE),VLOOKUP($M15,TT_Tabelle_Riferimento!$H$31:$I$50,2,FALSE))</f>
        <v>15</v>
      </c>
      <c r="PP15" s="1078">
        <f>+IFERROR(VLOOKUP(PP$6&amp;"-"&amp;$M15&amp;"_old",Ammortamento_Finanziario!$H:$L,5,FALSE),VLOOKUP($M15,TT_Tabelle_Riferimento!$H$31:$I$50,2,FALSE))</f>
        <v>15</v>
      </c>
      <c r="PQ15" s="1078">
        <f>+IFERROR(VLOOKUP(PQ$6&amp;"-"&amp;$M15&amp;"_old",Ammortamento_Finanziario!$H:$L,5,FALSE),VLOOKUP($M15,TT_Tabelle_Riferimento!$H$31:$I$50,2,FALSE))</f>
        <v>15</v>
      </c>
      <c r="PR15" s="1078">
        <f>+IFERROR(VLOOKUP(PR$6&amp;"-"&amp;$M15&amp;"_old",Ammortamento_Finanziario!$H:$L,5,FALSE),VLOOKUP($M15,TT_Tabelle_Riferimento!$H$31:$I$50,2,FALSE))</f>
        <v>15</v>
      </c>
      <c r="PS15" s="1078">
        <f>+IFERROR(VLOOKUP(PS$6&amp;"-"&amp;$M15&amp;"_old",Ammortamento_Finanziario!$H:$L,5,FALSE),VLOOKUP($M15,TT_Tabelle_Riferimento!$H$31:$I$50,2,FALSE))</f>
        <v>15</v>
      </c>
      <c r="PT15" s="1078">
        <f>+IFERROR(VLOOKUP(PT$6&amp;"-"&amp;$M15&amp;"_old",Ammortamento_Finanziario!$H:$L,5,FALSE),VLOOKUP($M15,TT_Tabelle_Riferimento!$H$31:$I$50,2,FALSE))</f>
        <v>15</v>
      </c>
      <c r="PU15" s="1078">
        <f>+IFERROR(VLOOKUP(PU$6&amp;"-"&amp;$M15&amp;"_old",Ammortamento_Finanziario!$H:$L,5,FALSE),VLOOKUP($M15,TT_Tabelle_Riferimento!$H$31:$I$50,2,FALSE))</f>
        <v>15</v>
      </c>
      <c r="PV15" s="1078">
        <f>+IFERROR(VLOOKUP(PV$6&amp;"-"&amp;$M15&amp;"_old",Ammortamento_Finanziario!$H:$L,5,FALSE),VLOOKUP($M15,TT_Tabelle_Riferimento!$H$31:$I$50,2,FALSE))</f>
        <v>15</v>
      </c>
      <c r="PW15" s="1078">
        <f>+IFERROR(VLOOKUP(PW$6&amp;"-"&amp;$M15&amp;"_old",Ammortamento_Finanziario!$H:$L,5,FALSE),VLOOKUP($M15,TT_Tabelle_Riferimento!$H$31:$I$50,2,FALSE))</f>
        <v>15</v>
      </c>
      <c r="PX15" s="1078">
        <f>+IFERROR(VLOOKUP(PX$6&amp;"-"&amp;$M15&amp;"_old",Ammortamento_Finanziario!$H:$L,5,FALSE),VLOOKUP($M15,TT_Tabelle_Riferimento!$H$31:$I$50,2,FALSE))</f>
        <v>15</v>
      </c>
      <c r="PY15" s="1078">
        <f>+IFERROR(VLOOKUP(PY$6&amp;"-"&amp;$M15&amp;"_old",Ammortamento_Finanziario!$H:$L,5,FALSE),VLOOKUP($M15,TT_Tabelle_Riferimento!$H$31:$I$50,2,FALSE))</f>
        <v>15</v>
      </c>
      <c r="PZ15" s="1078">
        <f>+IFERROR(VLOOKUP(PZ$6&amp;"-"&amp;$M15&amp;"_old",Ammortamento_Finanziario!$H:$L,5,FALSE),VLOOKUP($M15,TT_Tabelle_Riferimento!$H$31:$I$50,2,FALSE))</f>
        <v>15</v>
      </c>
      <c r="QA15" s="1078">
        <f>+IFERROR(VLOOKUP(QA$6&amp;"-"&amp;$M15&amp;"_old",Ammortamento_Finanziario!$H:$L,5,FALSE),VLOOKUP($M15,TT_Tabelle_Riferimento!$H$31:$I$50,2,FALSE))</f>
        <v>15</v>
      </c>
      <c r="QB15" s="1078">
        <f>+IFERROR(VLOOKUP(QB$6&amp;"-"&amp;$M15&amp;"_old",Ammortamento_Finanziario!$H:$L,5,FALSE),VLOOKUP($M15,TT_Tabelle_Riferimento!$H$31:$I$50,2,FALSE))</f>
        <v>15</v>
      </c>
      <c r="QC15" s="1078">
        <f>+IFERROR(VLOOKUP(QC$6&amp;"-"&amp;$M15&amp;"_old",Ammortamento_Finanziario!$H:$L,5,FALSE),VLOOKUP($M15,TT_Tabelle_Riferimento!$H$31:$I$50,2,FALSE))</f>
        <v>15</v>
      </c>
      <c r="QD15" s="1078">
        <f>+IFERROR(VLOOKUP(QD$6&amp;"-"&amp;$M15&amp;"_old",Ammortamento_Finanziario!$H:$L,5,FALSE),VLOOKUP($M15,TT_Tabelle_Riferimento!$H$31:$I$50,2,FALSE))</f>
        <v>15</v>
      </c>
      <c r="QE15" s="1078">
        <f>+IFERROR(VLOOKUP(QE$6&amp;"-"&amp;$M15&amp;"_old",Ammortamento_Finanziario!$H:$L,5,FALSE),VLOOKUP($M15,TT_Tabelle_Riferimento!$H$31:$I$50,2,FALSE))</f>
        <v>15</v>
      </c>
      <c r="QF15" s="1078">
        <f>+IFERROR(VLOOKUP(QF$6&amp;"-"&amp;$M15&amp;"_old",Ammortamento_Finanziario!$H:$L,5,FALSE),VLOOKUP($M15,TT_Tabelle_Riferimento!$H$31:$I$50,2,FALSE))</f>
        <v>15</v>
      </c>
      <c r="QG15" s="1078">
        <f>+IFERROR(VLOOKUP(QG$6&amp;"-"&amp;$M15&amp;"_old",Ammortamento_Finanziario!$H:$L,5,FALSE),VLOOKUP($M15,TT_Tabelle_Riferimento!$H$31:$I$50,2,FALSE))</f>
        <v>15</v>
      </c>
      <c r="QH15" s="1755">
        <f>+IFERROR(VLOOKUP(QH$6&amp;"-"&amp;$M15&amp;"_old",Ammortamento_Finanziario!$H:$L,5,FALSE),VLOOKUP($M15,TT_Tabelle_Riferimento!$H$31:$I$50,2,FALSE))</f>
        <v>15</v>
      </c>
      <c r="QI15" s="1755">
        <f>+IFERROR(VLOOKUP(QI$6&amp;"-"&amp;$M15&amp;"_old",Ammortamento_Finanziario!$H:$L,5,FALSE),VLOOKUP($M15,TT_Tabelle_Riferimento!$H$31:$I$50,2,FALSE))</f>
        <v>15</v>
      </c>
      <c r="QJ15" s="1078">
        <f>+IFERROR(VLOOKUP(QJ$6&amp;"-"&amp;$M15&amp;"_old",Ammortamento_Finanziario!$H:$L,5,FALSE),VLOOKUP($M15,TT_Tabelle_Riferimento!$H$31:$I$50,2,FALSE))</f>
        <v>15</v>
      </c>
      <c r="QK15" s="1078">
        <f>+IFERROR(VLOOKUP(QK$6&amp;"-"&amp;$M15&amp;"_old",Ammortamento_Finanziario!$H:$L,5,FALSE),VLOOKUP($M15,TT_Tabelle_Riferimento!$H$31:$I$50,2,FALSE))</f>
        <v>15</v>
      </c>
      <c r="QL15" s="1078">
        <f>+IFERROR(VLOOKUP(QL$6&amp;"-"&amp;$M15&amp;"_old",Ammortamento_Finanziario!$H:$L,5,FALSE),VLOOKUP($M15,TT_Tabelle_Riferimento!$H$31:$I$50,2,FALSE))</f>
        <v>15</v>
      </c>
      <c r="QM15" s="1078">
        <f>+IFERROR(VLOOKUP(QM$6&amp;"-"&amp;$M15&amp;"_old",Ammortamento_Finanziario!$H:$L,5,FALSE),VLOOKUP($M15,TT_Tabelle_Riferimento!$H$31:$I$50,2,FALSE))</f>
        <v>15</v>
      </c>
      <c r="QN15" s="1078">
        <f>+IFERROR(VLOOKUP(QN$6&amp;"-"&amp;$M15&amp;"_old",Ammortamento_Finanziario!$H:$L,5,FALSE),VLOOKUP($M15,TT_Tabelle_Riferimento!$H$31:$I$50,2,FALSE))</f>
        <v>15</v>
      </c>
      <c r="QO15" s="1078">
        <f>+IFERROR(VLOOKUP(QO$6&amp;"-"&amp;$M15&amp;"_old",Ammortamento_Finanziario!$H:$L,5,FALSE),VLOOKUP($M15,TT_Tabelle_Riferimento!$H$31:$I$50,2,FALSE))</f>
        <v>15</v>
      </c>
      <c r="QP15" s="1078">
        <f>+IFERROR(VLOOKUP(QP$6&amp;"-"&amp;$M15&amp;"_old",Ammortamento_Finanziario!$H:$L,5,FALSE),VLOOKUP($M15,TT_Tabelle_Riferimento!$H$31:$I$50,2,FALSE))</f>
        <v>15</v>
      </c>
      <c r="QQ15" s="1078">
        <f>+IFERROR(VLOOKUP(QQ$6&amp;"-"&amp;$M15&amp;"_old",Ammortamento_Finanziario!$H:$L,5,FALSE),VLOOKUP($M15,TT_Tabelle_Riferimento!$H$31:$I$50,2,FALSE))</f>
        <v>15</v>
      </c>
      <c r="QR15" s="1078">
        <f>+IFERROR(VLOOKUP(QR$6&amp;"-"&amp;$M15&amp;"_old",Ammortamento_Finanziario!$H:$L,5,FALSE),VLOOKUP($M15,TT_Tabelle_Riferimento!$H$31:$I$50,2,FALSE))</f>
        <v>15</v>
      </c>
      <c r="QS15" s="1078">
        <f>+IFERROR(VLOOKUP(QS$6&amp;"-"&amp;$M15&amp;"_old",Ammortamento_Finanziario!$H:$L,5,FALSE),VLOOKUP($M15,TT_Tabelle_Riferimento!$H$31:$I$50,2,FALSE))</f>
        <v>15</v>
      </c>
      <c r="QT15" s="1078">
        <f>+IFERROR(VLOOKUP(QT$6&amp;"-"&amp;$M15&amp;"_old",Ammortamento_Finanziario!$H:$L,5,FALSE),VLOOKUP($M15,TT_Tabelle_Riferimento!$H$31:$I$50,2,FALSE))</f>
        <v>15</v>
      </c>
      <c r="QU15" s="1078">
        <f>+IFERROR(VLOOKUP(QU$6&amp;"-"&amp;$M15&amp;"_old",Ammortamento_Finanziario!$H:$L,5,FALSE),VLOOKUP($M15,TT_Tabelle_Riferimento!$H$31:$I$50,2,FALSE))</f>
        <v>15</v>
      </c>
      <c r="QV15" s="1078">
        <f>+IFERROR(VLOOKUP(QV$6&amp;"-"&amp;$M15&amp;"_old",Ammortamento_Finanziario!$H:$L,5,FALSE),VLOOKUP($M15,TT_Tabelle_Riferimento!$H$31:$I$50,2,FALSE))</f>
        <v>15</v>
      </c>
      <c r="QW15" s="1078">
        <f>+IFERROR(VLOOKUP(QW$6&amp;"-"&amp;$M15&amp;"_old",Ammortamento_Finanziario!$H:$L,5,FALSE),VLOOKUP($M15,TT_Tabelle_Riferimento!$H$31:$I$50,2,FALSE))</f>
        <v>15</v>
      </c>
      <c r="QX15" s="1078">
        <f>+IFERROR(VLOOKUP(QX$6&amp;"-"&amp;$M15&amp;"_old",Ammortamento_Finanziario!$H:$L,5,FALSE),VLOOKUP($M15,TT_Tabelle_Riferimento!$H$31:$I$50,2,FALSE))</f>
        <v>15</v>
      </c>
      <c r="QY15" s="1078">
        <f>+IFERROR(VLOOKUP(QY$6&amp;"-"&amp;$M15&amp;"_old",Ammortamento_Finanziario!$H:$L,5,FALSE),VLOOKUP($M15,TT_Tabelle_Riferimento!$H$31:$I$50,2,FALSE))</f>
        <v>15</v>
      </c>
      <c r="QZ15" s="1078">
        <f>+IFERROR(VLOOKUP(QZ$6&amp;"-"&amp;$M15&amp;"_old",Ammortamento_Finanziario!$H:$L,5,FALSE),VLOOKUP($M15,TT_Tabelle_Riferimento!$H$31:$I$50,2,FALSE))</f>
        <v>15</v>
      </c>
      <c r="RA15" s="1078">
        <f>+IFERROR(VLOOKUP(RA$6&amp;"-"&amp;$M15&amp;"_old",Ammortamento_Finanziario!$H:$L,5,FALSE),VLOOKUP($M15,TT_Tabelle_Riferimento!$H$31:$I$50,2,FALSE))</f>
        <v>15</v>
      </c>
      <c r="RB15" s="1078">
        <f>+IFERROR(VLOOKUP(RB$6&amp;"-"&amp;$M15&amp;"_old",Ammortamento_Finanziario!$H:$L,5,FALSE),VLOOKUP($M15,TT_Tabelle_Riferimento!$H$31:$I$50,2,FALSE))</f>
        <v>15</v>
      </c>
      <c r="RC15" s="1755">
        <f>+IFERROR(VLOOKUP(RC$6&amp;"-"&amp;$M15&amp;"_old",Ammortamento_Finanziario!$H:$L,5,FALSE),VLOOKUP($M15,TT_Tabelle_Riferimento!$H$31:$I$50,2,FALSE))</f>
        <v>15</v>
      </c>
      <c r="RD15" s="1078">
        <f>+IFERROR(VLOOKUP(RD$6&amp;"-"&amp;$M15&amp;"_old",Ammortamento_Finanziario!$H:$L,5,FALSE),VLOOKUP($M15,TT_Tabelle_Riferimento!$H$31:$I$50,2,FALSE))</f>
        <v>15</v>
      </c>
      <c r="RE15" s="1078">
        <f>+IFERROR(VLOOKUP(RE$6&amp;"-"&amp;$M15&amp;"_old",Ammortamento_Finanziario!$H:$L,5,FALSE),VLOOKUP($M15,TT_Tabelle_Riferimento!$H$31:$I$50,2,FALSE))</f>
        <v>15</v>
      </c>
      <c r="RF15" s="1078">
        <f>+IFERROR(VLOOKUP(RF$6&amp;"-"&amp;$M15&amp;"_old",Ammortamento_Finanziario!$H:$L,5,FALSE),VLOOKUP($M15,TT_Tabelle_Riferimento!$H$31:$I$50,2,FALSE))</f>
        <v>15</v>
      </c>
      <c r="RG15" s="1078">
        <f>+IFERROR(VLOOKUP(RG$6&amp;"-"&amp;$M15&amp;"_old",Ammortamento_Finanziario!$H:$L,5,FALSE),VLOOKUP($M15,TT_Tabelle_Riferimento!$H$31:$I$50,2,FALSE))</f>
        <v>15</v>
      </c>
      <c r="RH15" s="1078">
        <f>+IFERROR(VLOOKUP(RH$6&amp;"-"&amp;$M15&amp;"_old",Ammortamento_Finanziario!$H:$L,5,FALSE),VLOOKUP($M15,TT_Tabelle_Riferimento!$H$31:$I$50,2,FALSE))</f>
        <v>15</v>
      </c>
      <c r="RI15" s="1078">
        <f>+IFERROR(VLOOKUP(RI$6&amp;"-"&amp;$M15&amp;"_old",Ammortamento_Finanziario!$H:$L,5,FALSE),VLOOKUP($M15,TT_Tabelle_Riferimento!$H$31:$I$50,2,FALSE))</f>
        <v>15</v>
      </c>
      <c r="RJ15" s="1078">
        <f>+IFERROR(VLOOKUP(RJ$6&amp;"-"&amp;$M15&amp;"_old",Ammortamento_Finanziario!$H:$L,5,FALSE),VLOOKUP($M15,TT_Tabelle_Riferimento!$H$31:$I$50,2,FALSE))</f>
        <v>15</v>
      </c>
      <c r="RK15" s="1078">
        <f>+IFERROR(VLOOKUP(RK$6&amp;"-"&amp;$M15&amp;"_old",Ammortamento_Finanziario!$H:$L,5,FALSE),VLOOKUP($M15,TT_Tabelle_Riferimento!$H$31:$I$50,2,FALSE))</f>
        <v>15</v>
      </c>
      <c r="RL15" s="1078">
        <f>+IFERROR(VLOOKUP(RL$6&amp;"-"&amp;$M15&amp;"_old",Ammortamento_Finanziario!$H:$L,5,FALSE),VLOOKUP($M15,TT_Tabelle_Riferimento!$H$31:$I$50,2,FALSE))</f>
        <v>15</v>
      </c>
      <c r="RM15" s="1078">
        <f>+IFERROR(VLOOKUP(RM$6&amp;"-"&amp;$M15&amp;"_old",Ammortamento_Finanziario!$H:$L,5,FALSE),VLOOKUP($M15,TT_Tabelle_Riferimento!$H$31:$I$50,2,FALSE))</f>
        <v>15</v>
      </c>
      <c r="RN15" s="1078">
        <f>+IFERROR(VLOOKUP(RN$6&amp;"-"&amp;$M15&amp;"_old",Ammortamento_Finanziario!$H:$L,5,FALSE),VLOOKUP($M15,TT_Tabelle_Riferimento!$H$31:$I$50,2,FALSE))</f>
        <v>15</v>
      </c>
      <c r="RO15" s="1078">
        <f>+IFERROR(VLOOKUP(RO$6&amp;"-"&amp;$M15&amp;"_old",Ammortamento_Finanziario!$H:$L,5,FALSE),VLOOKUP($M15,TT_Tabelle_Riferimento!$H$31:$I$50,2,FALSE))</f>
        <v>15</v>
      </c>
      <c r="RP15" s="1078">
        <f>+IFERROR(VLOOKUP(RP$6&amp;"-"&amp;$M15&amp;"_old",Ammortamento_Finanziario!$H:$L,5,FALSE),VLOOKUP($M15,TT_Tabelle_Riferimento!$H$31:$I$50,2,FALSE))</f>
        <v>15</v>
      </c>
      <c r="RQ15" s="1078">
        <f>+IFERROR(VLOOKUP(RQ$6&amp;"-"&amp;$M15&amp;"_old",Ammortamento_Finanziario!$H:$L,5,FALSE),VLOOKUP($M15,TT_Tabelle_Riferimento!$H$31:$I$50,2,FALSE))</f>
        <v>15</v>
      </c>
      <c r="RR15" s="1078">
        <f>+IFERROR(VLOOKUP(RR$6&amp;"-"&amp;$M15&amp;"_old",Ammortamento_Finanziario!$H:$L,5,FALSE),VLOOKUP($M15,TT_Tabelle_Riferimento!$H$31:$I$50,2,FALSE))</f>
        <v>15</v>
      </c>
      <c r="RS15" s="1078">
        <f>+IFERROR(VLOOKUP(RS$6&amp;"-"&amp;$M15&amp;"_old",Ammortamento_Finanziario!$H:$L,5,FALSE),VLOOKUP($M15,TT_Tabelle_Riferimento!$H$31:$I$50,2,FALSE))</f>
        <v>15</v>
      </c>
      <c r="RT15" s="1078">
        <f>+IFERROR(VLOOKUP(RT$6&amp;"-"&amp;$M15&amp;"_old",Ammortamento_Finanziario!$H:$L,5,FALSE),VLOOKUP($M15,TT_Tabelle_Riferimento!$H$31:$I$50,2,FALSE))</f>
        <v>15</v>
      </c>
      <c r="RU15" s="1078">
        <f>+IFERROR(VLOOKUP(RU$6&amp;"-"&amp;$M15&amp;"_old",Ammortamento_Finanziario!$H:$L,5,FALSE),VLOOKUP($M15,TT_Tabelle_Riferimento!$H$31:$I$50,2,FALSE))</f>
        <v>15</v>
      </c>
      <c r="RV15" s="1078">
        <f>+IFERROR(VLOOKUP(RV$6&amp;"-"&amp;$M15&amp;"_old",Ammortamento_Finanziario!$H:$L,5,FALSE),VLOOKUP($M15,TT_Tabelle_Riferimento!$H$31:$I$50,2,FALSE))</f>
        <v>15</v>
      </c>
    </row>
    <row r="16" spans="4:490">
      <c r="D16" s="126" t="s">
        <v>26768</v>
      </c>
      <c r="E16" s="10"/>
      <c r="F16" s="10"/>
      <c r="G16" s="10"/>
      <c r="H16" s="10"/>
      <c r="I16" s="136"/>
      <c r="J16" s="136"/>
      <c r="K16" s="136"/>
      <c r="L16" s="125"/>
      <c r="M16" s="420">
        <v>10</v>
      </c>
      <c r="N16" s="904">
        <f>+IFERROR(VLOOKUP(N$6&amp;"-"&amp;$M16&amp;"_old",Ammortamento_Finanziario!$H:$L,5,FALSE),VLOOKUP($M16,TT_Tabelle_Riferimento!$H$31:$I$50,2,FALSE))</f>
        <v>15</v>
      </c>
      <c r="O16" s="904">
        <f>+IFERROR(VLOOKUP(O$6&amp;"-"&amp;$M16&amp;"_old",Ammortamento_Finanziario!$H:$L,5,FALSE),VLOOKUP($M16,TT_Tabelle_Riferimento!$H$31:$I$50,2,FALSE))</f>
        <v>15</v>
      </c>
      <c r="P16" s="904">
        <f>+IFERROR(VLOOKUP(P$6&amp;"-"&amp;$M16&amp;"_old",Ammortamento_Finanziario!$H:$L,5,FALSE),VLOOKUP($M16,TT_Tabelle_Riferimento!$H$31:$I$50,2,FALSE))</f>
        <v>15</v>
      </c>
      <c r="Q16" s="904">
        <f>+IFERROR(VLOOKUP(Q$6&amp;"-"&amp;$M16&amp;"_old",Ammortamento_Finanziario!$H:$L,5,FALSE),VLOOKUP($M16,TT_Tabelle_Riferimento!$H$31:$I$50,2,FALSE))</f>
        <v>15</v>
      </c>
      <c r="R16" s="904">
        <f>+IFERROR(VLOOKUP(R$6&amp;"-"&amp;$M16&amp;"_old",Ammortamento_Finanziario!$H:$L,5,FALSE),VLOOKUP($M16,TT_Tabelle_Riferimento!$H$31:$I$50,2,FALSE))</f>
        <v>15</v>
      </c>
      <c r="S16" s="904">
        <f>+IFERROR(VLOOKUP(S$6&amp;"-"&amp;$M16&amp;"_old",Ammortamento_Finanziario!$H:$L,5,FALSE),VLOOKUP($M16,TT_Tabelle_Riferimento!$H$31:$I$50,2,FALSE))</f>
        <v>15</v>
      </c>
      <c r="T16" s="904">
        <f>+IFERROR(VLOOKUP(T$6&amp;"-"&amp;$M16&amp;"_old",Ammortamento_Finanziario!$H:$L,5,FALSE),VLOOKUP($M16,TT_Tabelle_Riferimento!$H$31:$I$50,2,FALSE))</f>
        <v>15</v>
      </c>
      <c r="U16" s="904">
        <f>+IFERROR(VLOOKUP(U$6&amp;"-"&amp;$M16&amp;"_old",Ammortamento_Finanziario!$H:$L,5,FALSE),VLOOKUP($M16,TT_Tabelle_Riferimento!$H$31:$I$50,2,FALSE))</f>
        <v>15</v>
      </c>
      <c r="V16" s="904">
        <f>+IFERROR(VLOOKUP(V$6&amp;"-"&amp;$M16&amp;"_old",Ammortamento_Finanziario!$H:$L,5,FALSE),VLOOKUP($M16,TT_Tabelle_Riferimento!$H$31:$I$50,2,FALSE))</f>
        <v>15</v>
      </c>
      <c r="W16" s="904">
        <f>+IFERROR(VLOOKUP(W$6&amp;"-"&amp;$M16&amp;"_old",Ammortamento_Finanziario!$H:$L,5,FALSE),VLOOKUP($M16,TT_Tabelle_Riferimento!$H$31:$I$50,2,FALSE))</f>
        <v>15</v>
      </c>
      <c r="X16" s="1739">
        <f>+IFERROR(VLOOKUP(X$6&amp;"-"&amp;$M16&amp;"_old",Ammortamento_Finanziario!$H:$L,5,FALSE),VLOOKUP($M16,TT_Tabelle_Riferimento!$H$31:$I$50,2,FALSE))</f>
        <v>15</v>
      </c>
      <c r="Y16" s="1739">
        <f>+IFERROR(VLOOKUP(Y$6&amp;"-"&amp;$M16&amp;"_old",Ammortamento_Finanziario!$H:$L,5,FALSE),VLOOKUP($M16,TT_Tabelle_Riferimento!$H$31:$I$50,2,FALSE))</f>
        <v>15</v>
      </c>
      <c r="Z16" s="1749">
        <f>+IFERROR(VLOOKUP(Z$6&amp;"-"&amp;$M16&amp;"_old",Ammortamento_Finanziario!$H:$L,5,FALSE),VLOOKUP($M16,TT_Tabelle_Riferimento!$H$31:$I$50,2,FALSE))</f>
        <v>15</v>
      </c>
      <c r="AA16" s="1749">
        <f>+IFERROR(VLOOKUP(AA$6&amp;"-"&amp;$M16&amp;"_old",Ammortamento_Finanziario!$H:$L,5,FALSE),VLOOKUP($M16,TT_Tabelle_Riferimento!$H$31:$I$50,2,FALSE))</f>
        <v>15</v>
      </c>
      <c r="AB16" s="1749">
        <f>+IFERROR(VLOOKUP(AB$6&amp;"-"&amp;$M16&amp;"_old",Ammortamento_Finanziario!$H:$L,5,FALSE),VLOOKUP($M16,TT_Tabelle_Riferimento!$H$31:$I$50,2,FALSE))</f>
        <v>15</v>
      </c>
      <c r="AC16" s="1749">
        <f>+IFERROR(VLOOKUP(AC$6&amp;"-"&amp;$M16&amp;"_old",Ammortamento_Finanziario!$H:$L,5,FALSE),VLOOKUP($M16,TT_Tabelle_Riferimento!$H$31:$I$50,2,FALSE))</f>
        <v>15</v>
      </c>
      <c r="AD16" s="1749">
        <f>+IFERROR(VLOOKUP(AD$6&amp;"-"&amp;$M16&amp;"_old",Ammortamento_Finanziario!$H:$L,5,FALSE),VLOOKUP($M16,TT_Tabelle_Riferimento!$H$31:$I$50,2,FALSE))</f>
        <v>15</v>
      </c>
      <c r="AE16" s="1749">
        <f>+IFERROR(VLOOKUP(AE$6&amp;"-"&amp;$M16&amp;"_old",Ammortamento_Finanziario!$H:$L,5,FALSE),VLOOKUP($M16,TT_Tabelle_Riferimento!$H$31:$I$50,2,FALSE))</f>
        <v>15</v>
      </c>
      <c r="AF16" s="625">
        <f>+IFERROR(VLOOKUP(AF$6&amp;"-"&amp;$M16&amp;"_old",Ammortamento_Finanziario!$H:$L,5,FALSE),VLOOKUP($M16,TT_Tabelle_Riferimento!$H$31:$I$50,2,FALSE))</f>
        <v>15</v>
      </c>
      <c r="AG16" s="625">
        <f>+IFERROR(VLOOKUP(AG$6&amp;"-"&amp;$M16&amp;"_old",Ammortamento_Finanziario!$H:$L,5,FALSE),VLOOKUP($M16,TT_Tabelle_Riferimento!$H$31:$I$50,2,FALSE))</f>
        <v>15</v>
      </c>
      <c r="AH16" s="625">
        <f>+IFERROR(VLOOKUP(AH$6&amp;"-"&amp;$M16&amp;"_old",Ammortamento_Finanziario!$H:$L,5,FALSE),VLOOKUP($M16,TT_Tabelle_Riferimento!$H$31:$I$50,2,FALSE))</f>
        <v>15</v>
      </c>
      <c r="AI16" s="625">
        <f>+IFERROR(VLOOKUP(AI$6&amp;"-"&amp;$M16&amp;"_old",Ammortamento_Finanziario!$H:$L,5,FALSE),VLOOKUP($M16,TT_Tabelle_Riferimento!$H$31:$I$50,2,FALSE))</f>
        <v>15</v>
      </c>
      <c r="AJ16" s="625">
        <f>+IFERROR(VLOOKUP(AJ$6&amp;"-"&amp;$M16&amp;"_old",Ammortamento_Finanziario!$H:$L,5,FALSE),VLOOKUP($M16,TT_Tabelle_Riferimento!$H$31:$I$50,2,FALSE))</f>
        <v>15</v>
      </c>
      <c r="AK16" s="625">
        <f>+IFERROR(VLOOKUP(AK$6&amp;"-"&amp;$M16&amp;"_old",Ammortamento_Finanziario!$H:$L,5,FALSE),VLOOKUP($M16,TT_Tabelle_Riferimento!$H$31:$I$50,2,FALSE))</f>
        <v>15</v>
      </c>
      <c r="AL16" s="625">
        <f>+IFERROR(VLOOKUP(AL$6&amp;"-"&amp;$M16&amp;"_old",Ammortamento_Finanziario!$H:$L,5,FALSE),VLOOKUP($M16,TT_Tabelle_Riferimento!$H$31:$I$50,2,FALSE))</f>
        <v>15</v>
      </c>
      <c r="AM16" s="625">
        <f>+IFERROR(VLOOKUP(AM$6&amp;"-"&amp;$M16&amp;"_old",Ammortamento_Finanziario!$H:$L,5,FALSE),VLOOKUP($M16,TT_Tabelle_Riferimento!$H$31:$I$50,2,FALSE))</f>
        <v>15</v>
      </c>
      <c r="AN16" s="625">
        <f>+IFERROR(VLOOKUP(AN$6&amp;"-"&amp;$M16&amp;"_old",Ammortamento_Finanziario!$H:$L,5,FALSE),VLOOKUP($M16,TT_Tabelle_Riferimento!$H$31:$I$50,2,FALSE))</f>
        <v>15</v>
      </c>
      <c r="AO16" s="625">
        <f>+IFERROR(VLOOKUP(AO$6&amp;"-"&amp;$M16&amp;"_old",Ammortamento_Finanziario!$H:$L,5,FALSE),VLOOKUP($M16,TT_Tabelle_Riferimento!$H$31:$I$50,2,FALSE))</f>
        <v>15</v>
      </c>
      <c r="AP16" s="625">
        <f>+IFERROR(VLOOKUP(AP$6&amp;"-"&amp;$M16&amp;"_old",Ammortamento_Finanziario!$H:$L,5,FALSE),VLOOKUP($M16,TT_Tabelle_Riferimento!$H$31:$I$50,2,FALSE))</f>
        <v>15</v>
      </c>
      <c r="AQ16" s="625">
        <f>+IFERROR(VLOOKUP(AQ$6&amp;"-"&amp;$M16&amp;"_old",Ammortamento_Finanziario!$H:$L,5,FALSE),VLOOKUP($M16,TT_Tabelle_Riferimento!$H$31:$I$50,2,FALSE))</f>
        <v>15</v>
      </c>
      <c r="AR16" s="625">
        <f>+IFERROR(VLOOKUP(AR$6&amp;"-"&amp;$M16&amp;"_old",Ammortamento_Finanziario!$H:$L,5,FALSE),VLOOKUP($M16,TT_Tabelle_Riferimento!$H$31:$I$50,2,FALSE))</f>
        <v>15</v>
      </c>
      <c r="AS16" s="625">
        <f>+IFERROR(VLOOKUP(AS$6&amp;"-"&amp;$M16&amp;"_old",Ammortamento_Finanziario!$H:$L,5,FALSE),VLOOKUP($M16,TT_Tabelle_Riferimento!$H$31:$I$50,2,FALSE))</f>
        <v>15</v>
      </c>
      <c r="AT16" s="625">
        <f>+IFERROR(VLOOKUP(AT$6&amp;"-"&amp;$M16&amp;"_old",Ammortamento_Finanziario!$H:$L,5,FALSE),VLOOKUP($M16,TT_Tabelle_Riferimento!$H$31:$I$50,2,FALSE))</f>
        <v>15</v>
      </c>
      <c r="AU16" s="625">
        <f>+IFERROR(VLOOKUP(AU$6&amp;"-"&amp;$M16&amp;"_old",Ammortamento_Finanziario!$H:$L,5,FALSE),VLOOKUP($M16,TT_Tabelle_Riferimento!$H$31:$I$50,2,FALSE))</f>
        <v>15</v>
      </c>
      <c r="AV16" s="625">
        <f>+IFERROR(VLOOKUP(AV$6&amp;"-"&amp;$M16&amp;"_old",Ammortamento_Finanziario!$H:$L,5,FALSE),VLOOKUP($M16,TT_Tabelle_Riferimento!$H$31:$I$50,2,FALSE))</f>
        <v>15</v>
      </c>
      <c r="AW16" s="625">
        <f>+IFERROR(VLOOKUP(AW$6&amp;"-"&amp;$M16&amp;"_old",Ammortamento_Finanziario!$H:$L,5,FALSE),VLOOKUP($M16,TT_Tabelle_Riferimento!$H$31:$I$50,2,FALSE))</f>
        <v>15</v>
      </c>
      <c r="AX16" s="625">
        <f>+IFERROR(VLOOKUP(AX$6&amp;"-"&amp;$M16&amp;"_old",Ammortamento_Finanziario!$H:$L,5,FALSE),VLOOKUP($M16,TT_Tabelle_Riferimento!$H$31:$I$50,2,FALSE))</f>
        <v>15</v>
      </c>
      <c r="AY16" s="905">
        <f>+IFERROR(VLOOKUP(AY$6&amp;"-"&amp;$M16&amp;"_old",Ammortamento_Finanziario!$H:$L,5,FALSE),VLOOKUP($M16,TT_Tabelle_Riferimento!$H$31:$I$50,2,FALSE))</f>
        <v>15</v>
      </c>
      <c r="AZ16" s="905">
        <f>+IFERROR(VLOOKUP(AZ$6&amp;"-"&amp;$M16&amp;"_old",Ammortamento_Finanziario!$H:$L,5,FALSE),VLOOKUP($M16,TT_Tabelle_Riferimento!$H$31:$I$50,2,FALSE))</f>
        <v>15</v>
      </c>
      <c r="BA16" s="905">
        <f>+IFERROR(VLOOKUP(BA$6&amp;"-"&amp;$M16&amp;"_old",Ammortamento_Finanziario!$H:$L,5,FALSE),VLOOKUP($M16,TT_Tabelle_Riferimento!$H$31:$I$50,2,FALSE))</f>
        <v>15</v>
      </c>
      <c r="BB16" s="905">
        <f>+IFERROR(VLOOKUP(BB$6&amp;"-"&amp;$M16&amp;"_old",Ammortamento_Finanziario!$H:$L,5,FALSE),VLOOKUP($M16,TT_Tabelle_Riferimento!$H$31:$I$50,2,FALSE))</f>
        <v>15</v>
      </c>
      <c r="BC16" s="905">
        <f>+IFERROR(VLOOKUP(BC$6&amp;"-"&amp;$M16&amp;"_old",Ammortamento_Finanziario!$H:$L,5,FALSE),VLOOKUP($M16,TT_Tabelle_Riferimento!$H$31:$I$50,2,FALSE))</f>
        <v>15</v>
      </c>
      <c r="BD16" s="905">
        <f>+IFERROR(VLOOKUP(BD$6&amp;"-"&amp;$M16&amp;"_old",Ammortamento_Finanziario!$H:$L,5,FALSE),VLOOKUP($M16,TT_Tabelle_Riferimento!$H$31:$I$50,2,FALSE))</f>
        <v>15</v>
      </c>
      <c r="BE16" s="905">
        <f>+IFERROR(VLOOKUP(BE$6&amp;"-"&amp;$M16&amp;"_old",Ammortamento_Finanziario!$H:$L,5,FALSE),VLOOKUP($M16,TT_Tabelle_Riferimento!$H$31:$I$50,2,FALSE))</f>
        <v>15</v>
      </c>
      <c r="BF16" s="905">
        <f>+IFERROR(VLOOKUP(BF$6&amp;"-"&amp;$M16&amp;"_old",Ammortamento_Finanziario!$H:$L,5,FALSE),VLOOKUP($M16,TT_Tabelle_Riferimento!$H$31:$I$50,2,FALSE))</f>
        <v>15</v>
      </c>
      <c r="BG16" s="1740">
        <f>+IFERROR(VLOOKUP(BG$6&amp;"-"&amp;$M16&amp;"_old",Ammortamento_Finanziario!$H:$L,5,FALSE),VLOOKUP($M16,TT_Tabelle_Riferimento!$H$31:$I$50,2,FALSE))</f>
        <v>15</v>
      </c>
      <c r="BH16" s="1740">
        <f>+IFERROR(VLOOKUP(BH$6&amp;"-"&amp;$M16&amp;"_old",Ammortamento_Finanziario!$H:$L,5,FALSE),VLOOKUP($M16,TT_Tabelle_Riferimento!$H$31:$I$50,2,FALSE))</f>
        <v>15</v>
      </c>
      <c r="BI16" s="1749">
        <f>+IFERROR(VLOOKUP(BI$6&amp;"-"&amp;$M16&amp;"_old",Ammortamento_Finanziario!$H:$L,5,FALSE),VLOOKUP($M16,TT_Tabelle_Riferimento!$H$31:$I$50,2,FALSE))</f>
        <v>15</v>
      </c>
      <c r="BJ16" s="1749">
        <f>+IFERROR(VLOOKUP(BJ$6&amp;"-"&amp;$M16&amp;"_old",Ammortamento_Finanziario!$H:$L,5,FALSE),VLOOKUP($M16,TT_Tabelle_Riferimento!$H$31:$I$50,2,FALSE))</f>
        <v>15</v>
      </c>
      <c r="BK16" s="1749">
        <f>+IFERROR(VLOOKUP(BK$6&amp;"-"&amp;$M16&amp;"_old",Ammortamento_Finanziario!$H:$L,5,FALSE),VLOOKUP($M16,TT_Tabelle_Riferimento!$H$31:$I$50,2,FALSE))</f>
        <v>15</v>
      </c>
      <c r="BL16" s="1749">
        <f>+IFERROR(VLOOKUP(BL$6&amp;"-"&amp;$M16&amp;"_old",Ammortamento_Finanziario!$H:$L,5,FALSE),VLOOKUP($M16,TT_Tabelle_Riferimento!$H$31:$I$50,2,FALSE))</f>
        <v>15</v>
      </c>
      <c r="BM16" s="1749">
        <f>+IFERROR(VLOOKUP(BM$6&amp;"-"&amp;$M16&amp;"_old",Ammortamento_Finanziario!$H:$L,5,FALSE),VLOOKUP($M16,TT_Tabelle_Riferimento!$H$31:$I$50,2,FALSE))</f>
        <v>15</v>
      </c>
      <c r="BN16" s="1749">
        <f>+IFERROR(VLOOKUP(BN$6&amp;"-"&amp;$M16&amp;"_old",Ammortamento_Finanziario!$H:$L,5,FALSE),VLOOKUP($M16,TT_Tabelle_Riferimento!$H$31:$I$50,2,FALSE))</f>
        <v>15</v>
      </c>
      <c r="BO16" s="625">
        <f>+IFERROR(VLOOKUP(BO$6&amp;"-"&amp;$M16&amp;"_old",Ammortamento_Finanziario!$H:$L,5,FALSE),VLOOKUP($M16,TT_Tabelle_Riferimento!$H$31:$I$50,2,FALSE))</f>
        <v>15</v>
      </c>
      <c r="BP16" s="625">
        <f>+IFERROR(VLOOKUP(BP$6&amp;"-"&amp;$M16&amp;"_old",Ammortamento_Finanziario!$H:$L,5,FALSE),VLOOKUP($M16,TT_Tabelle_Riferimento!$H$31:$I$50,2,FALSE))</f>
        <v>15</v>
      </c>
      <c r="BQ16" s="625">
        <f>+IFERROR(VLOOKUP(BQ$6&amp;"-"&amp;$M16&amp;"_old",Ammortamento_Finanziario!$H:$L,5,FALSE),VLOOKUP($M16,TT_Tabelle_Riferimento!$H$31:$I$50,2,FALSE))</f>
        <v>15</v>
      </c>
      <c r="BR16" s="625">
        <f>+IFERROR(VLOOKUP(BR$6&amp;"-"&amp;$M16&amp;"_old",Ammortamento_Finanziario!$H:$L,5,FALSE),VLOOKUP($M16,TT_Tabelle_Riferimento!$H$31:$I$50,2,FALSE))</f>
        <v>15</v>
      </c>
      <c r="BS16" s="625">
        <f>+IFERROR(VLOOKUP(BS$6&amp;"-"&amp;$M16&amp;"_old",Ammortamento_Finanziario!$H:$L,5,FALSE),VLOOKUP($M16,TT_Tabelle_Riferimento!$H$31:$I$50,2,FALSE))</f>
        <v>15</v>
      </c>
      <c r="BT16" s="625">
        <f>+IFERROR(VLOOKUP(BT$6&amp;"-"&amp;$M16&amp;"_old",Ammortamento_Finanziario!$H:$L,5,FALSE),VLOOKUP($M16,TT_Tabelle_Riferimento!$H$31:$I$50,2,FALSE))</f>
        <v>15</v>
      </c>
      <c r="BU16" s="625">
        <f>+IFERROR(VLOOKUP(BU$6&amp;"-"&amp;$M16&amp;"_old",Ammortamento_Finanziario!$H:$L,5,FALSE),VLOOKUP($M16,TT_Tabelle_Riferimento!$H$31:$I$50,2,FALSE))</f>
        <v>15</v>
      </c>
      <c r="BV16" s="625">
        <f>+IFERROR(VLOOKUP(BV$6&amp;"-"&amp;$M16&amp;"_old",Ammortamento_Finanziario!$H:$L,5,FALSE),VLOOKUP($M16,TT_Tabelle_Riferimento!$H$31:$I$50,2,FALSE))</f>
        <v>15</v>
      </c>
      <c r="BW16" s="625">
        <f>+IFERROR(VLOOKUP(BW$6&amp;"-"&amp;$M16&amp;"_old",Ammortamento_Finanziario!$H:$L,5,FALSE),VLOOKUP($M16,TT_Tabelle_Riferimento!$H$31:$I$50,2,FALSE))</f>
        <v>15</v>
      </c>
      <c r="BX16" s="625">
        <f>+IFERROR(VLOOKUP(BX$6&amp;"-"&amp;$M16&amp;"_old",Ammortamento_Finanziario!$H:$L,5,FALSE),VLOOKUP($M16,TT_Tabelle_Riferimento!$H$31:$I$50,2,FALSE))</f>
        <v>15</v>
      </c>
      <c r="BY16" s="625">
        <f>+IFERROR(VLOOKUP(BY$6&amp;"-"&amp;$M16&amp;"_old",Ammortamento_Finanziario!$H:$L,5,FALSE),VLOOKUP($M16,TT_Tabelle_Riferimento!$H$31:$I$50,2,FALSE))</f>
        <v>15</v>
      </c>
      <c r="BZ16" s="625">
        <f>+IFERROR(VLOOKUP(BZ$6&amp;"-"&amp;$M16&amp;"_old",Ammortamento_Finanziario!$H:$L,5,FALSE),VLOOKUP($M16,TT_Tabelle_Riferimento!$H$31:$I$50,2,FALSE))</f>
        <v>15</v>
      </c>
      <c r="CA16" s="625">
        <f>+IFERROR(VLOOKUP(CA$6&amp;"-"&amp;$M16&amp;"_old",Ammortamento_Finanziario!$H:$L,5,FALSE),VLOOKUP($M16,TT_Tabelle_Riferimento!$H$31:$I$50,2,FALSE))</f>
        <v>15</v>
      </c>
      <c r="CB16" s="625">
        <f>+IFERROR(VLOOKUP(CB$6&amp;"-"&amp;$M16&amp;"_old",Ammortamento_Finanziario!$H:$L,5,FALSE),VLOOKUP($M16,TT_Tabelle_Riferimento!$H$31:$I$50,2,FALSE))</f>
        <v>15</v>
      </c>
      <c r="CC16" s="625">
        <f>+IFERROR(VLOOKUP(CC$6&amp;"-"&amp;$M16&amp;"_old",Ammortamento_Finanziario!$H:$L,5,FALSE),VLOOKUP($M16,TT_Tabelle_Riferimento!$H$31:$I$50,2,FALSE))</f>
        <v>15</v>
      </c>
      <c r="CD16" s="625">
        <f>+IFERROR(VLOOKUP(CD$6&amp;"-"&amp;$M16&amp;"_old",Ammortamento_Finanziario!$H:$L,5,FALSE),VLOOKUP($M16,TT_Tabelle_Riferimento!$H$31:$I$50,2,FALSE))</f>
        <v>15</v>
      </c>
      <c r="CE16" s="625">
        <f>+IFERROR(VLOOKUP(CE$6&amp;"-"&amp;$M16&amp;"_old",Ammortamento_Finanziario!$H:$L,5,FALSE),VLOOKUP($M16,TT_Tabelle_Riferimento!$H$31:$I$50,2,FALSE))</f>
        <v>15</v>
      </c>
      <c r="CF16" s="625">
        <f>+IFERROR(VLOOKUP(CF$6&amp;"-"&amp;$M16&amp;"_old",Ammortamento_Finanziario!$H:$L,5,FALSE),VLOOKUP($M16,TT_Tabelle_Riferimento!$H$31:$I$50,2,FALSE))</f>
        <v>15</v>
      </c>
      <c r="CG16" s="625">
        <f>+IFERROR(VLOOKUP(CG$6&amp;"-"&amp;$M16&amp;"_old",Ammortamento_Finanziario!$H:$L,5,FALSE),VLOOKUP($M16,TT_Tabelle_Riferimento!$H$31:$I$50,2,FALSE))</f>
        <v>15</v>
      </c>
      <c r="CH16" s="905">
        <f>+IFERROR(VLOOKUP(CH$6&amp;"-"&amp;$M16&amp;"_old",Ammortamento_Finanziario!$H:$L,5,FALSE),VLOOKUP($M16,TT_Tabelle_Riferimento!$H$31:$I$50,2,FALSE))</f>
        <v>15</v>
      </c>
      <c r="CI16" s="905">
        <f>+IFERROR(VLOOKUP(CI$6&amp;"-"&amp;$M16&amp;"_old",Ammortamento_Finanziario!$H:$L,5,FALSE),VLOOKUP($M16,TT_Tabelle_Riferimento!$H$31:$I$50,2,FALSE))</f>
        <v>15</v>
      </c>
      <c r="CJ16" s="905">
        <f>+IFERROR(VLOOKUP(CJ$6&amp;"-"&amp;$M16&amp;"_old",Ammortamento_Finanziario!$H:$L,5,FALSE),VLOOKUP($M16,TT_Tabelle_Riferimento!$H$31:$I$50,2,FALSE))</f>
        <v>15</v>
      </c>
      <c r="CK16" s="905">
        <f>+IFERROR(VLOOKUP(CK$6&amp;"-"&amp;$M16&amp;"_old",Ammortamento_Finanziario!$H:$L,5,FALSE),VLOOKUP($M16,TT_Tabelle_Riferimento!$H$31:$I$50,2,FALSE))</f>
        <v>15</v>
      </c>
      <c r="CL16" s="905">
        <f>+IFERROR(VLOOKUP(CL$6&amp;"-"&amp;$M16&amp;"_old",Ammortamento_Finanziario!$H:$L,5,FALSE),VLOOKUP($M16,TT_Tabelle_Riferimento!$H$31:$I$50,2,FALSE))</f>
        <v>15</v>
      </c>
      <c r="CM16" s="905">
        <f>+IFERROR(VLOOKUP(CM$6&amp;"-"&amp;$M16&amp;"_old",Ammortamento_Finanziario!$H:$L,5,FALSE),VLOOKUP($M16,TT_Tabelle_Riferimento!$H$31:$I$50,2,FALSE))</f>
        <v>15</v>
      </c>
      <c r="CN16" s="905">
        <f>+IFERROR(VLOOKUP(CN$6&amp;"-"&amp;$M16&amp;"_old",Ammortamento_Finanziario!$H:$L,5,FALSE),VLOOKUP($M16,TT_Tabelle_Riferimento!$H$31:$I$50,2,FALSE))</f>
        <v>15</v>
      </c>
      <c r="CO16" s="1740">
        <f>+IFERROR(VLOOKUP(CO$6&amp;"-"&amp;$M16&amp;"_old",Ammortamento_Finanziario!$H:$L,5,FALSE),VLOOKUP($M16,TT_Tabelle_Riferimento!$H$31:$I$50,2,FALSE))</f>
        <v>15</v>
      </c>
      <c r="CP16" s="1740">
        <f>+IFERROR(VLOOKUP(CP$6&amp;"-"&amp;$M16&amp;"_old",Ammortamento_Finanziario!$H:$L,5,FALSE),VLOOKUP($M16,TT_Tabelle_Riferimento!$H$31:$I$50,2,FALSE))</f>
        <v>15</v>
      </c>
      <c r="CQ16" s="1749">
        <f>+IFERROR(VLOOKUP(CQ$6&amp;"-"&amp;$M16&amp;"_old",Ammortamento_Finanziario!$H:$L,5,FALSE),VLOOKUP($M16,TT_Tabelle_Riferimento!$H$31:$I$50,2,FALSE))</f>
        <v>15</v>
      </c>
      <c r="CR16" s="1749">
        <f>+IFERROR(VLOOKUP(CR$6&amp;"-"&amp;$M16&amp;"_old",Ammortamento_Finanziario!$H:$L,5,FALSE),VLOOKUP($M16,TT_Tabelle_Riferimento!$H$31:$I$50,2,FALSE))</f>
        <v>15</v>
      </c>
      <c r="CS16" s="1749">
        <f>+IFERROR(VLOOKUP(CS$6&amp;"-"&amp;$M16&amp;"_old",Ammortamento_Finanziario!$H:$L,5,FALSE),VLOOKUP($M16,TT_Tabelle_Riferimento!$H$31:$I$50,2,FALSE))</f>
        <v>15</v>
      </c>
      <c r="CT16" s="1749">
        <f>+IFERROR(VLOOKUP(CT$6&amp;"-"&amp;$M16&amp;"_old",Ammortamento_Finanziario!$H:$L,5,FALSE),VLOOKUP($M16,TT_Tabelle_Riferimento!$H$31:$I$50,2,FALSE))</f>
        <v>15</v>
      </c>
      <c r="CU16" s="1749">
        <f>+IFERROR(VLOOKUP(CU$6&amp;"-"&amp;$M16&amp;"_old",Ammortamento_Finanziario!$H:$L,5,FALSE),VLOOKUP($M16,TT_Tabelle_Riferimento!$H$31:$I$50,2,FALSE))</f>
        <v>15</v>
      </c>
      <c r="CV16" s="1749">
        <f>+IFERROR(VLOOKUP(CV$6&amp;"-"&amp;$M16&amp;"_old",Ammortamento_Finanziario!$H:$L,5,FALSE),VLOOKUP($M16,TT_Tabelle_Riferimento!$H$31:$I$50,2,FALSE))</f>
        <v>15</v>
      </c>
      <c r="CW16" s="625">
        <f>+IFERROR(VLOOKUP(CW$6&amp;"-"&amp;$M16&amp;"_old",Ammortamento_Finanziario!$H:$L,5,FALSE),VLOOKUP($M16,TT_Tabelle_Riferimento!$H$31:$I$50,2,FALSE))</f>
        <v>15</v>
      </c>
      <c r="CX16" s="625">
        <f>+IFERROR(VLOOKUP(CX$6&amp;"-"&amp;$M16&amp;"_old",Ammortamento_Finanziario!$H:$L,5,FALSE),VLOOKUP($M16,TT_Tabelle_Riferimento!$H$31:$I$50,2,FALSE))</f>
        <v>15</v>
      </c>
      <c r="CY16" s="625">
        <f>+IFERROR(VLOOKUP(CY$6&amp;"-"&amp;$M16&amp;"_old",Ammortamento_Finanziario!$H:$L,5,FALSE),VLOOKUP($M16,TT_Tabelle_Riferimento!$H$31:$I$50,2,FALSE))</f>
        <v>15</v>
      </c>
      <c r="CZ16" s="625">
        <f>+IFERROR(VLOOKUP(CZ$6&amp;"-"&amp;$M16&amp;"_old",Ammortamento_Finanziario!$H:$L,5,FALSE),VLOOKUP($M16,TT_Tabelle_Riferimento!$H$31:$I$50,2,FALSE))</f>
        <v>15</v>
      </c>
      <c r="DA16" s="625">
        <f>+IFERROR(VLOOKUP(DA$6&amp;"-"&amp;$M16&amp;"_old",Ammortamento_Finanziario!$H:$L,5,FALSE),VLOOKUP($M16,TT_Tabelle_Riferimento!$H$31:$I$50,2,FALSE))</f>
        <v>15</v>
      </c>
      <c r="DB16" s="625">
        <f>+IFERROR(VLOOKUP(DB$6&amp;"-"&amp;$M16&amp;"_old",Ammortamento_Finanziario!$H:$L,5,FALSE),VLOOKUP($M16,TT_Tabelle_Riferimento!$H$31:$I$50,2,FALSE))</f>
        <v>15</v>
      </c>
      <c r="DC16" s="625">
        <f>+IFERROR(VLOOKUP(DC$6&amp;"-"&amp;$M16&amp;"_old",Ammortamento_Finanziario!$H:$L,5,FALSE),VLOOKUP($M16,TT_Tabelle_Riferimento!$H$31:$I$50,2,FALSE))</f>
        <v>15</v>
      </c>
      <c r="DD16" s="625">
        <f>+IFERROR(VLOOKUP(DD$6&amp;"-"&amp;$M16&amp;"_old",Ammortamento_Finanziario!$H:$L,5,FALSE),VLOOKUP($M16,TT_Tabelle_Riferimento!$H$31:$I$50,2,FALSE))</f>
        <v>15</v>
      </c>
      <c r="DE16" s="625">
        <f>+IFERROR(VLOOKUP(DE$6&amp;"-"&amp;$M16&amp;"_old",Ammortamento_Finanziario!$H:$L,5,FALSE),VLOOKUP($M16,TT_Tabelle_Riferimento!$H$31:$I$50,2,FALSE))</f>
        <v>15</v>
      </c>
      <c r="DF16" s="625">
        <f>+IFERROR(VLOOKUP(DF$6&amp;"-"&amp;$M16&amp;"_old",Ammortamento_Finanziario!$H:$L,5,FALSE),VLOOKUP($M16,TT_Tabelle_Riferimento!$H$31:$I$50,2,FALSE))</f>
        <v>15</v>
      </c>
      <c r="DG16" s="625">
        <f>+IFERROR(VLOOKUP(DG$6&amp;"-"&amp;$M16&amp;"_old",Ammortamento_Finanziario!$H:$L,5,FALSE),VLOOKUP($M16,TT_Tabelle_Riferimento!$H$31:$I$50,2,FALSE))</f>
        <v>15</v>
      </c>
      <c r="DH16" s="625">
        <f>+IFERROR(VLOOKUP(DH$6&amp;"-"&amp;$M16&amp;"_old",Ammortamento_Finanziario!$H:$L,5,FALSE),VLOOKUP($M16,TT_Tabelle_Riferimento!$H$31:$I$50,2,FALSE))</f>
        <v>15</v>
      </c>
      <c r="DI16" s="625">
        <f>+IFERROR(VLOOKUP(DI$6&amp;"-"&amp;$M16&amp;"_old",Ammortamento_Finanziario!$H:$L,5,FALSE),VLOOKUP($M16,TT_Tabelle_Riferimento!$H$31:$I$50,2,FALSE))</f>
        <v>15</v>
      </c>
      <c r="DJ16" s="625">
        <f>+IFERROR(VLOOKUP(DJ$6&amp;"-"&amp;$M16&amp;"_old",Ammortamento_Finanziario!$H:$L,5,FALSE),VLOOKUP($M16,TT_Tabelle_Riferimento!$H$31:$I$50,2,FALSE))</f>
        <v>15</v>
      </c>
      <c r="DK16" s="625">
        <f>+IFERROR(VLOOKUP(DK$6&amp;"-"&amp;$M16&amp;"_old",Ammortamento_Finanziario!$H:$L,5,FALSE),VLOOKUP($M16,TT_Tabelle_Riferimento!$H$31:$I$50,2,FALSE))</f>
        <v>15</v>
      </c>
      <c r="DL16" s="625">
        <f>+IFERROR(VLOOKUP(DL$6&amp;"-"&amp;$M16&amp;"_old",Ammortamento_Finanziario!$H:$L,5,FALSE),VLOOKUP($M16,TT_Tabelle_Riferimento!$H$31:$I$50,2,FALSE))</f>
        <v>15</v>
      </c>
      <c r="DM16" s="625">
        <f>+IFERROR(VLOOKUP(DM$6&amp;"-"&amp;$M16&amp;"_old",Ammortamento_Finanziario!$H:$L,5,FALSE),VLOOKUP($M16,TT_Tabelle_Riferimento!$H$31:$I$50,2,FALSE))</f>
        <v>15</v>
      </c>
      <c r="DN16" s="625">
        <f>+IFERROR(VLOOKUP(DN$6&amp;"-"&amp;$M16&amp;"_old",Ammortamento_Finanziario!$H:$L,5,FALSE),VLOOKUP($M16,TT_Tabelle_Riferimento!$H$31:$I$50,2,FALSE))</f>
        <v>15</v>
      </c>
      <c r="DO16" s="625">
        <f>+IFERROR(VLOOKUP(DO$6&amp;"-"&amp;$M16&amp;"_old",Ammortamento_Finanziario!$H:$L,5,FALSE),VLOOKUP($M16,TT_Tabelle_Riferimento!$H$31:$I$50,2,FALSE))</f>
        <v>15</v>
      </c>
      <c r="DP16" s="636">
        <f>+IFERROR(VLOOKUP(DP$6&amp;"-"&amp;$M16&amp;"_old",Ammortamento_Finanziario!$H:$L,5,FALSE),VLOOKUP($M16,TT_Tabelle_Riferimento!$H$31:$I$50,2,FALSE))</f>
        <v>15</v>
      </c>
      <c r="DQ16" s="636">
        <f>+IFERROR(VLOOKUP(DQ$6&amp;"-"&amp;$M16&amp;"_old",Ammortamento_Finanziario!$H:$L,5,FALSE),VLOOKUP($M16,TT_Tabelle_Riferimento!$H$31:$I$50,2,FALSE))</f>
        <v>15</v>
      </c>
      <c r="DR16" s="636">
        <f>+IFERROR(VLOOKUP(DR$6&amp;"-"&amp;$M16&amp;"_old",Ammortamento_Finanziario!$H:$L,5,FALSE),VLOOKUP($M16,TT_Tabelle_Riferimento!$H$31:$I$50,2,FALSE))</f>
        <v>15</v>
      </c>
      <c r="DS16" s="636">
        <f>+IFERROR(VLOOKUP(DS$6&amp;"-"&amp;$M16&amp;"_old",Ammortamento_Finanziario!$H:$L,5,FALSE),VLOOKUP($M16,TT_Tabelle_Riferimento!$H$31:$I$50,2,FALSE))</f>
        <v>15</v>
      </c>
      <c r="DT16" s="636">
        <f>+IFERROR(VLOOKUP(DT$6&amp;"-"&amp;$M16&amp;"_old",Ammortamento_Finanziario!$H:$L,5,FALSE),VLOOKUP($M16,TT_Tabelle_Riferimento!$H$31:$I$50,2,FALSE))</f>
        <v>15</v>
      </c>
      <c r="DU16" s="636">
        <f>+IFERROR(VLOOKUP(DU$6&amp;"-"&amp;$M16&amp;"_old",Ammortamento_Finanziario!$H:$L,5,FALSE),VLOOKUP($M16,TT_Tabelle_Riferimento!$H$31:$I$50,2,FALSE))</f>
        <v>15</v>
      </c>
      <c r="DV16" s="1742">
        <f>+IFERROR(VLOOKUP(DV$6&amp;"-"&amp;$M16&amp;"_old",Ammortamento_Finanziario!$H:$L,5,FALSE),VLOOKUP($M16,TT_Tabelle_Riferimento!$H$31:$I$50,2,FALSE))</f>
        <v>15</v>
      </c>
      <c r="DW16" s="1742">
        <f>+IFERROR(VLOOKUP(DW$6&amp;"-"&amp;$M16&amp;"_old",Ammortamento_Finanziario!$H:$L,5,FALSE),VLOOKUP($M16,TT_Tabelle_Riferimento!$H$31:$I$50,2,FALSE))</f>
        <v>15</v>
      </c>
      <c r="DX16" s="1750">
        <f>+IFERROR(VLOOKUP(DX$6&amp;"-"&amp;$M16&amp;"_old",Ammortamento_Finanziario!$H:$L,5,FALSE),VLOOKUP($M16,TT_Tabelle_Riferimento!$H$31:$I$50,2,FALSE))</f>
        <v>15</v>
      </c>
      <c r="DY16" s="1750">
        <f>+IFERROR(VLOOKUP(DY$6&amp;"-"&amp;$M16&amp;"_old",Ammortamento_Finanziario!$H:$L,5,FALSE),VLOOKUP($M16,TT_Tabelle_Riferimento!$H$31:$I$50,2,FALSE))</f>
        <v>15</v>
      </c>
      <c r="DZ16" s="1750">
        <f>+IFERROR(VLOOKUP(DZ$6&amp;"-"&amp;$M16&amp;"_old",Ammortamento_Finanziario!$H:$L,5,FALSE),VLOOKUP($M16,TT_Tabelle_Riferimento!$H$31:$I$50,2,FALSE))</f>
        <v>15</v>
      </c>
      <c r="EA16" s="1750">
        <f>+IFERROR(VLOOKUP(EA$6&amp;"-"&amp;$M16&amp;"_old",Ammortamento_Finanziario!$H:$L,5,FALSE),VLOOKUP($M16,TT_Tabelle_Riferimento!$H$31:$I$50,2,FALSE))</f>
        <v>15</v>
      </c>
      <c r="EB16" s="1750">
        <f>+IFERROR(VLOOKUP(EB$6&amp;"-"&amp;$M16&amp;"_old",Ammortamento_Finanziario!$H:$L,5,FALSE),VLOOKUP($M16,TT_Tabelle_Riferimento!$H$31:$I$50,2,FALSE))</f>
        <v>15</v>
      </c>
      <c r="EC16" s="1750">
        <f>+IFERROR(VLOOKUP(EC$6&amp;"-"&amp;$M16&amp;"_old",Ammortamento_Finanziario!$H:$L,5,FALSE),VLOOKUP($M16,TT_Tabelle_Riferimento!$H$31:$I$50,2,FALSE))</f>
        <v>15</v>
      </c>
      <c r="ED16" s="636">
        <f>+IFERROR(VLOOKUP(ED$6&amp;"-"&amp;$M16&amp;"_old",Ammortamento_Finanziario!$H:$L,5,FALSE),VLOOKUP($M16,TT_Tabelle_Riferimento!$H$31:$I$50,2,FALSE))</f>
        <v>15</v>
      </c>
      <c r="EE16" s="636">
        <f>+IFERROR(VLOOKUP(EE$6&amp;"-"&amp;$M16&amp;"_old",Ammortamento_Finanziario!$H:$L,5,FALSE),VLOOKUP($M16,TT_Tabelle_Riferimento!$H$31:$I$50,2,FALSE))</f>
        <v>15</v>
      </c>
      <c r="EF16" s="636">
        <f>+IFERROR(VLOOKUP(EF$6&amp;"-"&amp;$M16&amp;"_old",Ammortamento_Finanziario!$H:$L,5,FALSE),VLOOKUP($M16,TT_Tabelle_Riferimento!$H$31:$I$50,2,FALSE))</f>
        <v>15</v>
      </c>
      <c r="EG16" s="636">
        <f>+IFERROR(VLOOKUP(EG$6&amp;"-"&amp;$M16&amp;"_old",Ammortamento_Finanziario!$H:$L,5,FALSE),VLOOKUP($M16,TT_Tabelle_Riferimento!$H$31:$I$50,2,FALSE))</f>
        <v>15</v>
      </c>
      <c r="EH16" s="636">
        <f>+IFERROR(VLOOKUP(EH$6&amp;"-"&amp;$M16&amp;"_old",Ammortamento_Finanziario!$H:$L,5,FALSE),VLOOKUP($M16,TT_Tabelle_Riferimento!$H$31:$I$50,2,FALSE))</f>
        <v>15</v>
      </c>
      <c r="EI16" s="636">
        <f>+IFERROR(VLOOKUP(EI$6&amp;"-"&amp;$M16&amp;"_old",Ammortamento_Finanziario!$H:$L,5,FALSE),VLOOKUP($M16,TT_Tabelle_Riferimento!$H$31:$I$50,2,FALSE))</f>
        <v>15</v>
      </c>
      <c r="EJ16" s="636">
        <f>+IFERROR(VLOOKUP(EJ$6&amp;"-"&amp;$M16&amp;"_old",Ammortamento_Finanziario!$H:$L,5,FALSE),VLOOKUP($M16,TT_Tabelle_Riferimento!$H$31:$I$50,2,FALSE))</f>
        <v>15</v>
      </c>
      <c r="EK16" s="636">
        <f>+IFERROR(VLOOKUP(EK$6&amp;"-"&amp;$M16&amp;"_old",Ammortamento_Finanziario!$H:$L,5,FALSE),VLOOKUP($M16,TT_Tabelle_Riferimento!$H$31:$I$50,2,FALSE))</f>
        <v>15</v>
      </c>
      <c r="EL16" s="636">
        <f>+IFERROR(VLOOKUP(EL$6&amp;"-"&amp;$M16&amp;"_old",Ammortamento_Finanziario!$H:$L,5,FALSE),VLOOKUP($M16,TT_Tabelle_Riferimento!$H$31:$I$50,2,FALSE))</f>
        <v>15</v>
      </c>
      <c r="EM16" s="636">
        <f>+IFERROR(VLOOKUP(EM$6&amp;"-"&amp;$M16&amp;"_old",Ammortamento_Finanziario!$H:$L,5,FALSE),VLOOKUP($M16,TT_Tabelle_Riferimento!$H$31:$I$50,2,FALSE))</f>
        <v>15</v>
      </c>
      <c r="EN16" s="636">
        <f>+IFERROR(VLOOKUP(EN$6&amp;"-"&amp;$M16&amp;"_old",Ammortamento_Finanziario!$H:$L,5,FALSE),VLOOKUP($M16,TT_Tabelle_Riferimento!$H$31:$I$50,2,FALSE))</f>
        <v>15</v>
      </c>
      <c r="EO16" s="636">
        <f>+IFERROR(VLOOKUP(EO$6&amp;"-"&amp;$M16&amp;"_old",Ammortamento_Finanziario!$H:$L,5,FALSE),VLOOKUP($M16,TT_Tabelle_Riferimento!$H$31:$I$50,2,FALSE))</f>
        <v>15</v>
      </c>
      <c r="EP16" s="636">
        <f>+IFERROR(VLOOKUP(EP$6&amp;"-"&amp;$M16&amp;"_old",Ammortamento_Finanziario!$H:$L,5,FALSE),VLOOKUP($M16,TT_Tabelle_Riferimento!$H$31:$I$50,2,FALSE))</f>
        <v>15</v>
      </c>
      <c r="EQ16" s="636">
        <f>+IFERROR(VLOOKUP(EQ$6&amp;"-"&amp;$M16&amp;"_old",Ammortamento_Finanziario!$H:$L,5,FALSE),VLOOKUP($M16,TT_Tabelle_Riferimento!$H$31:$I$50,2,FALSE))</f>
        <v>15</v>
      </c>
      <c r="ER16" s="636">
        <f>+IFERROR(VLOOKUP(ER$6&amp;"-"&amp;$M16&amp;"_old",Ammortamento_Finanziario!$H:$L,5,FALSE),VLOOKUP($M16,TT_Tabelle_Riferimento!$H$31:$I$50,2,FALSE))</f>
        <v>15</v>
      </c>
      <c r="ES16" s="636">
        <f>+IFERROR(VLOOKUP(ES$6&amp;"-"&amp;$M16&amp;"_old",Ammortamento_Finanziario!$H:$L,5,FALSE),VLOOKUP($M16,TT_Tabelle_Riferimento!$H$31:$I$50,2,FALSE))</f>
        <v>15</v>
      </c>
      <c r="ET16" s="636">
        <f>+IFERROR(VLOOKUP(ET$6&amp;"-"&amp;$M16&amp;"_old",Ammortamento_Finanziario!$H:$L,5,FALSE),VLOOKUP($M16,TT_Tabelle_Riferimento!$H$31:$I$50,2,FALSE))</f>
        <v>15</v>
      </c>
      <c r="EU16" s="636">
        <f>+IFERROR(VLOOKUP(EU$6&amp;"-"&amp;$M16&amp;"_old",Ammortamento_Finanziario!$H:$L,5,FALSE),VLOOKUP($M16,TT_Tabelle_Riferimento!$H$31:$I$50,2,FALSE))</f>
        <v>15</v>
      </c>
      <c r="EV16" s="636">
        <f>+IFERROR(VLOOKUP(EV$6&amp;"-"&amp;$M16&amp;"_old",Ammortamento_Finanziario!$H:$L,5,FALSE),VLOOKUP($M16,TT_Tabelle_Riferimento!$H$31:$I$50,2,FALSE))</f>
        <v>15</v>
      </c>
      <c r="EW16" s="1048">
        <f>+IFERROR(VLOOKUP(EW$6&amp;"-"&amp;$M16&amp;"_old",Ammortamento_Finanziario!$H:$L,5,FALSE),VLOOKUP($M16,TT_Tabelle_Riferimento!$H$31:$I$50,2,FALSE))</f>
        <v>15</v>
      </c>
      <c r="EX16" s="1048">
        <f>+IFERROR(VLOOKUP(EX$6&amp;"-"&amp;$M16&amp;"_old",Ammortamento_Finanziario!$H:$L,5,FALSE),VLOOKUP($M16,TT_Tabelle_Riferimento!$H$31:$I$50,2,FALSE))</f>
        <v>15</v>
      </c>
      <c r="EY16" s="1048">
        <f>+IFERROR(VLOOKUP(EY$6&amp;"-"&amp;$M16&amp;"_old",Ammortamento_Finanziario!$H:$L,5,FALSE),VLOOKUP($M16,TT_Tabelle_Riferimento!$H$31:$I$50,2,FALSE))</f>
        <v>15</v>
      </c>
      <c r="EZ16" s="1048">
        <f>+IFERROR(VLOOKUP(EZ$6&amp;"-"&amp;$M16&amp;"_old",Ammortamento_Finanziario!$H:$L,5,FALSE),VLOOKUP($M16,TT_Tabelle_Riferimento!$H$31:$I$50,2,FALSE))</f>
        <v>15</v>
      </c>
      <c r="FA16" s="1048">
        <f>+IFERROR(VLOOKUP(FA$6&amp;"-"&amp;$M16&amp;"_old",Ammortamento_Finanziario!$H:$L,5,FALSE),VLOOKUP($M16,TT_Tabelle_Riferimento!$H$31:$I$50,2,FALSE))</f>
        <v>15</v>
      </c>
      <c r="FB16" s="1743">
        <f>+IFERROR(VLOOKUP(FB$6&amp;"-"&amp;$M16&amp;"_old",Ammortamento_Finanziario!$H:$L,5,FALSE),VLOOKUP($M16,TT_Tabelle_Riferimento!$H$31:$I$50,2,FALSE))</f>
        <v>15</v>
      </c>
      <c r="FC16" s="1743">
        <f>+IFERROR(VLOOKUP(FC$6&amp;"-"&amp;$M16&amp;"_old",Ammortamento_Finanziario!$H:$L,5,FALSE),VLOOKUP($M16,TT_Tabelle_Riferimento!$H$31:$I$50,2,FALSE))</f>
        <v>15</v>
      </c>
      <c r="FD16" s="1751">
        <f>+IFERROR(VLOOKUP(FD$6&amp;"-"&amp;$M16&amp;"_old",Ammortamento_Finanziario!$H:$L,5,FALSE),VLOOKUP($M16,TT_Tabelle_Riferimento!$H$31:$I$50,2,FALSE))</f>
        <v>15</v>
      </c>
      <c r="FE16" s="1751">
        <f>+IFERROR(VLOOKUP(FE$6&amp;"-"&amp;$M16&amp;"_old",Ammortamento_Finanziario!$H:$L,5,FALSE),VLOOKUP($M16,TT_Tabelle_Riferimento!$H$31:$I$50,2,FALSE))</f>
        <v>15</v>
      </c>
      <c r="FF16" s="1751">
        <f>+IFERROR(VLOOKUP(FF$6&amp;"-"&amp;$M16&amp;"_old",Ammortamento_Finanziario!$H:$L,5,FALSE),VLOOKUP($M16,TT_Tabelle_Riferimento!$H$31:$I$50,2,FALSE))</f>
        <v>15</v>
      </c>
      <c r="FG16" s="1751">
        <f>+IFERROR(VLOOKUP(FG$6&amp;"-"&amp;$M16&amp;"_old",Ammortamento_Finanziario!$H:$L,5,FALSE),VLOOKUP($M16,TT_Tabelle_Riferimento!$H$31:$I$50,2,FALSE))</f>
        <v>15</v>
      </c>
      <c r="FH16" s="1751">
        <f>+IFERROR(VLOOKUP(FH$6&amp;"-"&amp;$M16&amp;"_old",Ammortamento_Finanziario!$H:$L,5,FALSE),VLOOKUP($M16,TT_Tabelle_Riferimento!$H$31:$I$50,2,FALSE))</f>
        <v>15</v>
      </c>
      <c r="FI16" s="1751">
        <f>+IFERROR(VLOOKUP(FI$6&amp;"-"&amp;$M16&amp;"_old",Ammortamento_Finanziario!$H:$L,5,FALSE),VLOOKUP($M16,TT_Tabelle_Riferimento!$H$31:$I$50,2,FALSE))</f>
        <v>15</v>
      </c>
      <c r="FJ16" s="629">
        <f>+IFERROR(VLOOKUP(FJ$6&amp;"-"&amp;$M16&amp;"_old",Ammortamento_Finanziario!$H:$L,5,FALSE),VLOOKUP($M16,TT_Tabelle_Riferimento!$H$31:$I$50,2,FALSE))</f>
        <v>15</v>
      </c>
      <c r="FK16" s="629">
        <f>+IFERROR(VLOOKUP(FK$6&amp;"-"&amp;$M16&amp;"_old",Ammortamento_Finanziario!$H:$L,5,FALSE),VLOOKUP($M16,TT_Tabelle_Riferimento!$H$31:$I$50,2,FALSE))</f>
        <v>15</v>
      </c>
      <c r="FL16" s="629">
        <f>+IFERROR(VLOOKUP(FL$6&amp;"-"&amp;$M16&amp;"_old",Ammortamento_Finanziario!$H:$L,5,FALSE),VLOOKUP($M16,TT_Tabelle_Riferimento!$H$31:$I$50,2,FALSE))</f>
        <v>15</v>
      </c>
      <c r="FM16" s="629">
        <f>+IFERROR(VLOOKUP(FM$6&amp;"-"&amp;$M16&amp;"_old",Ammortamento_Finanziario!$H:$L,5,FALSE),VLOOKUP($M16,TT_Tabelle_Riferimento!$H$31:$I$50,2,FALSE))</f>
        <v>15</v>
      </c>
      <c r="FN16" s="629">
        <f>+IFERROR(VLOOKUP(FN$6&amp;"-"&amp;$M16&amp;"_old",Ammortamento_Finanziario!$H:$L,5,FALSE),VLOOKUP($M16,TT_Tabelle_Riferimento!$H$31:$I$50,2,FALSE))</f>
        <v>15</v>
      </c>
      <c r="FO16" s="629">
        <f>+IFERROR(VLOOKUP(FO$6&amp;"-"&amp;$M16&amp;"_old",Ammortamento_Finanziario!$H:$L,5,FALSE),VLOOKUP($M16,TT_Tabelle_Riferimento!$H$31:$I$50,2,FALSE))</f>
        <v>15</v>
      </c>
      <c r="FP16" s="629">
        <f>+IFERROR(VLOOKUP(FP$6&amp;"-"&amp;$M16&amp;"_old",Ammortamento_Finanziario!$H:$L,5,FALSE),VLOOKUP($M16,TT_Tabelle_Riferimento!$H$31:$I$50,2,FALSE))</f>
        <v>15</v>
      </c>
      <c r="FQ16" s="629">
        <f>+IFERROR(VLOOKUP(FQ$6&amp;"-"&amp;$M16&amp;"_old",Ammortamento_Finanziario!$H:$L,5,FALSE),VLOOKUP($M16,TT_Tabelle_Riferimento!$H$31:$I$50,2,FALSE))</f>
        <v>15</v>
      </c>
      <c r="FR16" s="629">
        <f>+IFERROR(VLOOKUP(FR$6&amp;"-"&amp;$M16&amp;"_old",Ammortamento_Finanziario!$H:$L,5,FALSE),VLOOKUP($M16,TT_Tabelle_Riferimento!$H$31:$I$50,2,FALSE))</f>
        <v>15</v>
      </c>
      <c r="FS16" s="629">
        <f>+IFERROR(VLOOKUP(FS$6&amp;"-"&amp;$M16&amp;"_old",Ammortamento_Finanziario!$H:$L,5,FALSE),VLOOKUP($M16,TT_Tabelle_Riferimento!$H$31:$I$50,2,FALSE))</f>
        <v>15</v>
      </c>
      <c r="FT16" s="629">
        <f>+IFERROR(VLOOKUP(FT$6&amp;"-"&amp;$M16&amp;"_old",Ammortamento_Finanziario!$H:$L,5,FALSE),VLOOKUP($M16,TT_Tabelle_Riferimento!$H$31:$I$50,2,FALSE))</f>
        <v>15</v>
      </c>
      <c r="FU16" s="629">
        <f>+IFERROR(VLOOKUP(FU$6&amp;"-"&amp;$M16&amp;"_old",Ammortamento_Finanziario!$H:$L,5,FALSE),VLOOKUP($M16,TT_Tabelle_Riferimento!$H$31:$I$50,2,FALSE))</f>
        <v>15</v>
      </c>
      <c r="FV16" s="629">
        <f>+IFERROR(VLOOKUP(FV$6&amp;"-"&amp;$M16&amp;"_old",Ammortamento_Finanziario!$H:$L,5,FALSE),VLOOKUP($M16,TT_Tabelle_Riferimento!$H$31:$I$50,2,FALSE))</f>
        <v>15</v>
      </c>
      <c r="FW16" s="629">
        <f>+IFERROR(VLOOKUP(FW$6&amp;"-"&amp;$M16&amp;"_old",Ammortamento_Finanziario!$H:$L,5,FALSE),VLOOKUP($M16,TT_Tabelle_Riferimento!$H$31:$I$50,2,FALSE))</f>
        <v>15</v>
      </c>
      <c r="FX16" s="629">
        <f>+IFERROR(VLOOKUP(FX$6&amp;"-"&amp;$M16&amp;"_old",Ammortamento_Finanziario!$H:$L,5,FALSE),VLOOKUP($M16,TT_Tabelle_Riferimento!$H$31:$I$50,2,FALSE))</f>
        <v>15</v>
      </c>
      <c r="FY16" s="629">
        <f>+IFERROR(VLOOKUP(FY$6&amp;"-"&amp;$M16&amp;"_old",Ammortamento_Finanziario!$H:$L,5,FALSE),VLOOKUP($M16,TT_Tabelle_Riferimento!$H$31:$I$50,2,FALSE))</f>
        <v>15</v>
      </c>
      <c r="FZ16" s="629">
        <f>+IFERROR(VLOOKUP(FZ$6&amp;"-"&amp;$M16&amp;"_old",Ammortamento_Finanziario!$H:$L,5,FALSE),VLOOKUP($M16,TT_Tabelle_Riferimento!$H$31:$I$50,2,FALSE))</f>
        <v>15</v>
      </c>
      <c r="GA16" s="629">
        <f>+IFERROR(VLOOKUP(GA$6&amp;"-"&amp;$M16&amp;"_old",Ammortamento_Finanziario!$H:$L,5,FALSE),VLOOKUP($M16,TT_Tabelle_Riferimento!$H$31:$I$50,2,FALSE))</f>
        <v>15</v>
      </c>
      <c r="GB16" s="629">
        <f>+IFERROR(VLOOKUP(GB$6&amp;"-"&amp;$M16&amp;"_old",Ammortamento_Finanziario!$H:$L,5,FALSE),VLOOKUP($M16,TT_Tabelle_Riferimento!$H$31:$I$50,2,FALSE))</f>
        <v>15</v>
      </c>
      <c r="GC16" s="635">
        <f>+IFERROR(VLOOKUP(GC$6&amp;"-"&amp;$M16&amp;"_old",Ammortamento_Finanziario!$H:$L,5,FALSE),VLOOKUP($M16,TT_Tabelle_Riferimento!$H$31:$I$50,2,FALSE))</f>
        <v>15</v>
      </c>
      <c r="GD16" s="635">
        <f>+IFERROR(VLOOKUP(GD$6&amp;"-"&amp;$M16&amp;"_old",Ammortamento_Finanziario!$H:$L,5,FALSE),VLOOKUP($M16,TT_Tabelle_Riferimento!$H$31:$I$50,2,FALSE))</f>
        <v>15</v>
      </c>
      <c r="GE16" s="635">
        <f>+IFERROR(VLOOKUP(GE$6&amp;"-"&amp;$M16&amp;"_old",Ammortamento_Finanziario!$H:$L,5,FALSE),VLOOKUP($M16,TT_Tabelle_Riferimento!$H$31:$I$50,2,FALSE))</f>
        <v>15</v>
      </c>
      <c r="GF16" s="635">
        <f>+IFERROR(VLOOKUP(GF$6&amp;"-"&amp;$M16&amp;"_old",Ammortamento_Finanziario!$H:$L,5,FALSE),VLOOKUP($M16,TT_Tabelle_Riferimento!$H$31:$I$50,2,FALSE))</f>
        <v>15</v>
      </c>
      <c r="GG16" s="1744">
        <f>+IFERROR(VLOOKUP(GG$6&amp;"-"&amp;$M16&amp;"_old",Ammortamento_Finanziario!$H:$L,5,FALSE),VLOOKUP($M16,TT_Tabelle_Riferimento!$H$31:$I$50,2,FALSE))</f>
        <v>15</v>
      </c>
      <c r="GH16" s="1744">
        <f>+IFERROR(VLOOKUP(GH$6&amp;"-"&amp;$M16&amp;"_old",Ammortamento_Finanziario!$H:$L,5,FALSE),VLOOKUP($M16,TT_Tabelle_Riferimento!$H$31:$I$50,2,FALSE))</f>
        <v>15</v>
      </c>
      <c r="GI16" s="1752">
        <f>+IFERROR(VLOOKUP(GI$6&amp;"-"&amp;$M16&amp;"_old",Ammortamento_Finanziario!$H:$L,5,FALSE),VLOOKUP($M16,TT_Tabelle_Riferimento!$H$31:$I$50,2,FALSE))</f>
        <v>15</v>
      </c>
      <c r="GJ16" s="1752">
        <f>+IFERROR(VLOOKUP(GJ$6&amp;"-"&amp;$M16&amp;"_old",Ammortamento_Finanziario!$H:$L,5,FALSE),VLOOKUP($M16,TT_Tabelle_Riferimento!$H$31:$I$50,2,FALSE))</f>
        <v>15</v>
      </c>
      <c r="GK16" s="1752">
        <f>+IFERROR(VLOOKUP(GK$6&amp;"-"&amp;$M16&amp;"_old",Ammortamento_Finanziario!$H:$L,5,FALSE),VLOOKUP($M16,TT_Tabelle_Riferimento!$H$31:$I$50,2,FALSE))</f>
        <v>15</v>
      </c>
      <c r="GL16" s="1752">
        <f>+IFERROR(VLOOKUP(GL$6&amp;"-"&amp;$M16&amp;"_old",Ammortamento_Finanziario!$H:$L,5,FALSE),VLOOKUP($M16,TT_Tabelle_Riferimento!$H$31:$I$50,2,FALSE))</f>
        <v>15</v>
      </c>
      <c r="GM16" s="1752">
        <f>+IFERROR(VLOOKUP(GM$6&amp;"-"&amp;$M16&amp;"_old",Ammortamento_Finanziario!$H:$L,5,FALSE),VLOOKUP($M16,TT_Tabelle_Riferimento!$H$31:$I$50,2,FALSE))</f>
        <v>15</v>
      </c>
      <c r="GN16" s="1752">
        <f>+IFERROR(VLOOKUP(GN$6&amp;"-"&amp;$M16&amp;"_old",Ammortamento_Finanziario!$H:$L,5,FALSE),VLOOKUP($M16,TT_Tabelle_Riferimento!$H$31:$I$50,2,FALSE))</f>
        <v>15</v>
      </c>
      <c r="GO16" s="628">
        <f>+IFERROR(VLOOKUP(GO$6&amp;"-"&amp;$M16&amp;"_old",Ammortamento_Finanziario!$H:$L,5,FALSE),VLOOKUP($M16,TT_Tabelle_Riferimento!$H$31:$I$50,2,FALSE))</f>
        <v>15</v>
      </c>
      <c r="GP16" s="628">
        <f>+IFERROR(VLOOKUP(GP$6&amp;"-"&amp;$M16&amp;"_old",Ammortamento_Finanziario!$H:$L,5,FALSE),VLOOKUP($M16,TT_Tabelle_Riferimento!$H$31:$I$50,2,FALSE))</f>
        <v>15</v>
      </c>
      <c r="GQ16" s="628">
        <f>+IFERROR(VLOOKUP(GQ$6&amp;"-"&amp;$M16&amp;"_old",Ammortamento_Finanziario!$H:$L,5,FALSE),VLOOKUP($M16,TT_Tabelle_Riferimento!$H$31:$I$50,2,FALSE))</f>
        <v>15</v>
      </c>
      <c r="GR16" s="628">
        <f>+IFERROR(VLOOKUP(GR$6&amp;"-"&amp;$M16&amp;"_old",Ammortamento_Finanziario!$H:$L,5,FALSE),VLOOKUP($M16,TT_Tabelle_Riferimento!$H$31:$I$50,2,FALSE))</f>
        <v>15</v>
      </c>
      <c r="GS16" s="628">
        <f>+IFERROR(VLOOKUP(GS$6&amp;"-"&amp;$M16&amp;"_old",Ammortamento_Finanziario!$H:$L,5,FALSE),VLOOKUP($M16,TT_Tabelle_Riferimento!$H$31:$I$50,2,FALSE))</f>
        <v>15</v>
      </c>
      <c r="GT16" s="628">
        <f>+IFERROR(VLOOKUP(GT$6&amp;"-"&amp;$M16&amp;"_old",Ammortamento_Finanziario!$H:$L,5,FALSE),VLOOKUP($M16,TT_Tabelle_Riferimento!$H$31:$I$50,2,FALSE))</f>
        <v>15</v>
      </c>
      <c r="GU16" s="628">
        <f>+IFERROR(VLOOKUP(GU$6&amp;"-"&amp;$M16&amp;"_old",Ammortamento_Finanziario!$H:$L,5,FALSE),VLOOKUP($M16,TT_Tabelle_Riferimento!$H$31:$I$50,2,FALSE))</f>
        <v>15</v>
      </c>
      <c r="GV16" s="628">
        <f>+IFERROR(VLOOKUP(GV$6&amp;"-"&amp;$M16&amp;"_old",Ammortamento_Finanziario!$H:$L,5,FALSE),VLOOKUP($M16,TT_Tabelle_Riferimento!$H$31:$I$50,2,FALSE))</f>
        <v>15</v>
      </c>
      <c r="GW16" s="628">
        <f>+IFERROR(VLOOKUP(GW$6&amp;"-"&amp;$M16&amp;"_old",Ammortamento_Finanziario!$H:$L,5,FALSE),VLOOKUP($M16,TT_Tabelle_Riferimento!$H$31:$I$50,2,FALSE))</f>
        <v>15</v>
      </c>
      <c r="GX16" s="628">
        <f>+IFERROR(VLOOKUP(GX$6&amp;"-"&amp;$M16&amp;"_old",Ammortamento_Finanziario!$H:$L,5,FALSE),VLOOKUP($M16,TT_Tabelle_Riferimento!$H$31:$I$50,2,FALSE))</f>
        <v>15</v>
      </c>
      <c r="GY16" s="628">
        <f>+IFERROR(VLOOKUP(GY$6&amp;"-"&amp;$M16&amp;"_old",Ammortamento_Finanziario!$H:$L,5,FALSE),VLOOKUP($M16,TT_Tabelle_Riferimento!$H$31:$I$50,2,FALSE))</f>
        <v>15</v>
      </c>
      <c r="GZ16" s="628">
        <f>+IFERROR(VLOOKUP(GZ$6&amp;"-"&amp;$M16&amp;"_old",Ammortamento_Finanziario!$H:$L,5,FALSE),VLOOKUP($M16,TT_Tabelle_Riferimento!$H$31:$I$50,2,FALSE))</f>
        <v>15</v>
      </c>
      <c r="HA16" s="628">
        <f>+IFERROR(VLOOKUP(HA$6&amp;"-"&amp;$M16&amp;"_old",Ammortamento_Finanziario!$H:$L,5,FALSE),VLOOKUP($M16,TT_Tabelle_Riferimento!$H$31:$I$50,2,FALSE))</f>
        <v>15</v>
      </c>
      <c r="HB16" s="628">
        <f>+IFERROR(VLOOKUP(HB$6&amp;"-"&amp;$M16&amp;"_old",Ammortamento_Finanziario!$H:$L,5,FALSE),VLOOKUP($M16,TT_Tabelle_Riferimento!$H$31:$I$50,2,FALSE))</f>
        <v>15</v>
      </c>
      <c r="HC16" s="628">
        <f>+IFERROR(VLOOKUP(HC$6&amp;"-"&amp;$M16&amp;"_old",Ammortamento_Finanziario!$H:$L,5,FALSE),VLOOKUP($M16,TT_Tabelle_Riferimento!$H$31:$I$50,2,FALSE))</f>
        <v>15</v>
      </c>
      <c r="HD16" s="628">
        <f>+IFERROR(VLOOKUP(HD$6&amp;"-"&amp;$M16&amp;"_old",Ammortamento_Finanziario!$H:$L,5,FALSE),VLOOKUP($M16,TT_Tabelle_Riferimento!$H$31:$I$50,2,FALSE))</f>
        <v>15</v>
      </c>
      <c r="HE16" s="628">
        <f>+IFERROR(VLOOKUP(HE$6&amp;"-"&amp;$M16&amp;"_old",Ammortamento_Finanziario!$H:$L,5,FALSE),VLOOKUP($M16,TT_Tabelle_Riferimento!$H$31:$I$50,2,FALSE))</f>
        <v>15</v>
      </c>
      <c r="HF16" s="628">
        <f>+IFERROR(VLOOKUP(HF$6&amp;"-"&amp;$M16&amp;"_old",Ammortamento_Finanziario!$H:$L,5,FALSE),VLOOKUP($M16,TT_Tabelle_Riferimento!$H$31:$I$50,2,FALSE))</f>
        <v>15</v>
      </c>
      <c r="HG16" s="628">
        <f>+IFERROR(VLOOKUP(HG$6&amp;"-"&amp;$M16&amp;"_old",Ammortamento_Finanziario!$H:$L,5,FALSE),VLOOKUP($M16,TT_Tabelle_Riferimento!$H$31:$I$50,2,FALSE))</f>
        <v>15</v>
      </c>
      <c r="HH16" s="422">
        <f>+IFERROR(VLOOKUP(HH$6&amp;"-"&amp;$M16&amp;"_old",Ammortamento_Finanziario!$H:$L,5,FALSE),VLOOKUP($M16,TT_Tabelle_Riferimento!$H$31:$I$50,2,FALSE))</f>
        <v>15</v>
      </c>
      <c r="HI16" s="422">
        <f>+IFERROR(VLOOKUP(HI$6&amp;"-"&amp;$M16&amp;"_old",Ammortamento_Finanziario!$H:$L,5,FALSE),VLOOKUP($M16,TT_Tabelle_Riferimento!$H$31:$I$50,2,FALSE))</f>
        <v>15</v>
      </c>
      <c r="HJ16" s="422">
        <f>+IFERROR(VLOOKUP(HJ$6&amp;"-"&amp;$M16&amp;"_old",Ammortamento_Finanziario!$H:$L,5,FALSE),VLOOKUP($M16,TT_Tabelle_Riferimento!$H$31:$I$50,2,FALSE))</f>
        <v>15</v>
      </c>
      <c r="HK16" s="1746">
        <f>+IFERROR(VLOOKUP(HK$6&amp;"-"&amp;$M16&amp;"_old",Ammortamento_Finanziario!$H:$L,5,FALSE),VLOOKUP($M16,TT_Tabelle_Riferimento!$H$31:$I$50,2,FALSE))</f>
        <v>15</v>
      </c>
      <c r="HL16" s="1746">
        <f>+IFERROR(VLOOKUP(HL$6&amp;"-"&amp;$M16&amp;"_old",Ammortamento_Finanziario!$H:$L,5,FALSE),VLOOKUP($M16,TT_Tabelle_Riferimento!$H$31:$I$50,2,FALSE))</f>
        <v>15</v>
      </c>
      <c r="HM16" s="1753">
        <f>+IFERROR(VLOOKUP(HM$6&amp;"-"&amp;$M16&amp;"_old",Ammortamento_Finanziario!$H:$L,5,FALSE),VLOOKUP($M16,TT_Tabelle_Riferimento!$H$31:$I$50,2,FALSE))</f>
        <v>15</v>
      </c>
      <c r="HN16" s="1753">
        <f>+IFERROR(VLOOKUP(HN$6&amp;"-"&amp;$M16&amp;"_old",Ammortamento_Finanziario!$H:$L,5,FALSE),VLOOKUP($M16,TT_Tabelle_Riferimento!$H$31:$I$50,2,FALSE))</f>
        <v>15</v>
      </c>
      <c r="HO16" s="1753">
        <f>+IFERROR(VLOOKUP(HO$6&amp;"-"&amp;$M16&amp;"_old",Ammortamento_Finanziario!$H:$L,5,FALSE),VLOOKUP($M16,TT_Tabelle_Riferimento!$H$31:$I$50,2,FALSE))</f>
        <v>15</v>
      </c>
      <c r="HP16" s="1753">
        <f>+IFERROR(VLOOKUP(HP$6&amp;"-"&amp;$M16&amp;"_old",Ammortamento_Finanziario!$H:$L,5,FALSE),VLOOKUP($M16,TT_Tabelle_Riferimento!$H$31:$I$50,2,FALSE))</f>
        <v>15</v>
      </c>
      <c r="HQ16" s="1753">
        <f>+IFERROR(VLOOKUP(HQ$6&amp;"-"&amp;$M16&amp;"_old",Ammortamento_Finanziario!$H:$L,5,FALSE),VLOOKUP($M16,TT_Tabelle_Riferimento!$H$31:$I$50,2,FALSE))</f>
        <v>15</v>
      </c>
      <c r="HR16" s="1753">
        <f>+IFERROR(VLOOKUP(HR$6&amp;"-"&amp;$M16&amp;"_old",Ammortamento_Finanziario!$H:$L,5,FALSE),VLOOKUP($M16,TT_Tabelle_Riferimento!$H$31:$I$50,2,FALSE))</f>
        <v>15</v>
      </c>
      <c r="HS16" s="422">
        <f>+IFERROR(VLOOKUP(HS$6&amp;"-"&amp;$M16&amp;"_old",Ammortamento_Finanziario!$H:$L,5,FALSE),VLOOKUP($M16,TT_Tabelle_Riferimento!$H$31:$I$50,2,FALSE))</f>
        <v>15</v>
      </c>
      <c r="HT16" s="422">
        <f>+IFERROR(VLOOKUP(HT$6&amp;"-"&amp;$M16&amp;"_old",Ammortamento_Finanziario!$H:$L,5,FALSE),VLOOKUP($M16,TT_Tabelle_Riferimento!$H$31:$I$50,2,FALSE))</f>
        <v>15</v>
      </c>
      <c r="HU16" s="422">
        <f>+IFERROR(VLOOKUP(HU$6&amp;"-"&amp;$M16&amp;"_old",Ammortamento_Finanziario!$H:$L,5,FALSE),VLOOKUP($M16,TT_Tabelle_Riferimento!$H$31:$I$50,2,FALSE))</f>
        <v>15</v>
      </c>
      <c r="HV16" s="422">
        <f>+IFERROR(VLOOKUP(HV$6&amp;"-"&amp;$M16&amp;"_old",Ammortamento_Finanziario!$H:$L,5,FALSE),VLOOKUP($M16,TT_Tabelle_Riferimento!$H$31:$I$50,2,FALSE))</f>
        <v>15</v>
      </c>
      <c r="HW16" s="422">
        <f>+IFERROR(VLOOKUP(HW$6&amp;"-"&amp;$M16&amp;"_old",Ammortamento_Finanziario!$H:$L,5,FALSE),VLOOKUP($M16,TT_Tabelle_Riferimento!$H$31:$I$50,2,FALSE))</f>
        <v>15</v>
      </c>
      <c r="HX16" s="422">
        <f>+IFERROR(VLOOKUP(HX$6&amp;"-"&amp;$M16&amp;"_old",Ammortamento_Finanziario!$H:$L,5,FALSE),VLOOKUP($M16,TT_Tabelle_Riferimento!$H$31:$I$50,2,FALSE))</f>
        <v>15</v>
      </c>
      <c r="HY16" s="422">
        <f>+IFERROR(VLOOKUP(HY$6&amp;"-"&amp;$M16&amp;"_old",Ammortamento_Finanziario!$H:$L,5,FALSE),VLOOKUP($M16,TT_Tabelle_Riferimento!$H$31:$I$50,2,FALSE))</f>
        <v>15</v>
      </c>
      <c r="HZ16" s="422">
        <f>+IFERROR(VLOOKUP(HZ$6&amp;"-"&amp;$M16&amp;"_old",Ammortamento_Finanziario!$H:$L,5,FALSE),VLOOKUP($M16,TT_Tabelle_Riferimento!$H$31:$I$50,2,FALSE))</f>
        <v>15</v>
      </c>
      <c r="IA16" s="422">
        <f>+IFERROR(VLOOKUP(IA$6&amp;"-"&amp;$M16&amp;"_old",Ammortamento_Finanziario!$H:$L,5,FALSE),VLOOKUP($M16,TT_Tabelle_Riferimento!$H$31:$I$50,2,FALSE))</f>
        <v>15</v>
      </c>
      <c r="IB16" s="422">
        <f>+IFERROR(VLOOKUP(IB$6&amp;"-"&amp;$M16&amp;"_old",Ammortamento_Finanziario!$H:$L,5,FALSE),VLOOKUP($M16,TT_Tabelle_Riferimento!$H$31:$I$50,2,FALSE))</f>
        <v>15</v>
      </c>
      <c r="IC16" s="422">
        <f>+IFERROR(VLOOKUP(IC$6&amp;"-"&amp;$M16&amp;"_old",Ammortamento_Finanziario!$H:$L,5,FALSE),VLOOKUP($M16,TT_Tabelle_Riferimento!$H$31:$I$50,2,FALSE))</f>
        <v>15</v>
      </c>
      <c r="ID16" s="422">
        <f>+IFERROR(VLOOKUP(ID$6&amp;"-"&amp;$M16&amp;"_old",Ammortamento_Finanziario!$H:$L,5,FALSE),VLOOKUP($M16,TT_Tabelle_Riferimento!$H$31:$I$50,2,FALSE))</f>
        <v>15</v>
      </c>
      <c r="IE16" s="422">
        <f>+IFERROR(VLOOKUP(IE$6&amp;"-"&amp;$M16&amp;"_old",Ammortamento_Finanziario!$H:$L,5,FALSE),VLOOKUP($M16,TT_Tabelle_Riferimento!$H$31:$I$50,2,FALSE))</f>
        <v>15</v>
      </c>
      <c r="IF16" s="422">
        <f>+IFERROR(VLOOKUP(IF$6&amp;"-"&amp;$M16&amp;"_old",Ammortamento_Finanziario!$H:$L,5,FALSE),VLOOKUP($M16,TT_Tabelle_Riferimento!$H$31:$I$50,2,FALSE))</f>
        <v>15</v>
      </c>
      <c r="IG16" s="422">
        <f>+IFERROR(VLOOKUP(IG$6&amp;"-"&amp;$M16&amp;"_old",Ammortamento_Finanziario!$H:$L,5,FALSE),VLOOKUP($M16,TT_Tabelle_Riferimento!$H$31:$I$50,2,FALSE))</f>
        <v>15</v>
      </c>
      <c r="IH16" s="422">
        <f>+IFERROR(VLOOKUP(IH$6&amp;"-"&amp;$M16&amp;"_old",Ammortamento_Finanziario!$H:$L,5,FALSE),VLOOKUP($M16,TT_Tabelle_Riferimento!$H$31:$I$50,2,FALSE))</f>
        <v>15</v>
      </c>
      <c r="II16" s="422">
        <f>+IFERROR(VLOOKUP(II$6&amp;"-"&amp;$M16&amp;"_old",Ammortamento_Finanziario!$H:$L,5,FALSE),VLOOKUP($M16,TT_Tabelle_Riferimento!$H$31:$I$50,2,FALSE))</f>
        <v>15</v>
      </c>
      <c r="IJ16" s="422">
        <f>+IFERROR(VLOOKUP(IJ$6&amp;"-"&amp;$M16&amp;"_old",Ammortamento_Finanziario!$H:$L,5,FALSE),VLOOKUP($M16,TT_Tabelle_Riferimento!$H$31:$I$50,2,FALSE))</f>
        <v>15</v>
      </c>
      <c r="IK16" s="422">
        <f>+IFERROR(VLOOKUP(IK$6&amp;"-"&amp;$M16&amp;"_old",Ammortamento_Finanziario!$H:$L,5,FALSE),VLOOKUP($M16,TT_Tabelle_Riferimento!$H$31:$I$50,2,FALSE))</f>
        <v>15</v>
      </c>
      <c r="IL16" s="1077">
        <f>+IFERROR(VLOOKUP(IL$6&amp;"-"&amp;$M16&amp;"_old",Ammortamento_Finanziario!$H:$L,5,FALSE),VLOOKUP($M16,TT_Tabelle_Riferimento!$H$31:$I$50,2,FALSE))</f>
        <v>15</v>
      </c>
      <c r="IM16" s="1077">
        <f>+IFERROR(VLOOKUP(IM$6&amp;"-"&amp;$M16&amp;"_old",Ammortamento_Finanziario!$H:$L,5,FALSE),VLOOKUP($M16,TT_Tabelle_Riferimento!$H$31:$I$50,2,FALSE))</f>
        <v>15</v>
      </c>
      <c r="IN16" s="1747">
        <f>+IFERROR(VLOOKUP(IN$6&amp;"-"&amp;$M16&amp;"_old",Ammortamento_Finanziario!$H:$L,5,FALSE),VLOOKUP($M16,TT_Tabelle_Riferimento!$H$31:$I$50,2,FALSE))</f>
        <v>15</v>
      </c>
      <c r="IO16" s="1747">
        <f>+IFERROR(VLOOKUP(IO$6&amp;"-"&amp;$M16&amp;"_old",Ammortamento_Finanziario!$H:$L,5,FALSE),VLOOKUP($M16,TT_Tabelle_Riferimento!$H$31:$I$50,2,FALSE))</f>
        <v>15</v>
      </c>
      <c r="IP16" s="1754">
        <f>+IFERROR(VLOOKUP(IP$6&amp;"-"&amp;$M16&amp;"_old",Ammortamento_Finanziario!$H:$L,5,FALSE),VLOOKUP($M16,TT_Tabelle_Riferimento!$H$31:$I$50,2,FALSE))</f>
        <v>15</v>
      </c>
      <c r="IQ16" s="1754">
        <f>+IFERROR(VLOOKUP(IQ$6&amp;"-"&amp;$M16&amp;"_old",Ammortamento_Finanziario!$H:$L,5,FALSE),VLOOKUP($M16,TT_Tabelle_Riferimento!$H$31:$I$50,2,FALSE))</f>
        <v>15</v>
      </c>
      <c r="IR16" s="1754">
        <f>+IFERROR(VLOOKUP(IR$6&amp;"-"&amp;$M16&amp;"_old",Ammortamento_Finanziario!$H:$L,5,FALSE),VLOOKUP($M16,TT_Tabelle_Riferimento!$H$31:$I$50,2,FALSE))</f>
        <v>15</v>
      </c>
      <c r="IS16" s="1754">
        <f>+IFERROR(VLOOKUP(IS$6&amp;"-"&amp;$M16&amp;"_old",Ammortamento_Finanziario!$H:$L,5,FALSE),VLOOKUP($M16,TT_Tabelle_Riferimento!$H$31:$I$50,2,FALSE))</f>
        <v>15</v>
      </c>
      <c r="IT16" s="1754">
        <f>+IFERROR(VLOOKUP(IT$6&amp;"-"&amp;$M16&amp;"_old",Ammortamento_Finanziario!$H:$L,5,FALSE),VLOOKUP($M16,TT_Tabelle_Riferimento!$H$31:$I$50,2,FALSE))</f>
        <v>15</v>
      </c>
      <c r="IU16" s="1754">
        <f>+IFERROR(VLOOKUP(IU$6&amp;"-"&amp;$M16&amp;"_old",Ammortamento_Finanziario!$H:$L,5,FALSE),VLOOKUP($M16,TT_Tabelle_Riferimento!$H$31:$I$50,2,FALSE))</f>
        <v>15</v>
      </c>
      <c r="IV16" s="1077">
        <f>+IFERROR(VLOOKUP(IV$6&amp;"-"&amp;$M16&amp;"_old",Ammortamento_Finanziario!$H:$L,5,FALSE),VLOOKUP($M16,TT_Tabelle_Riferimento!$H$31:$I$50,2,FALSE))</f>
        <v>15</v>
      </c>
      <c r="IW16" s="1077">
        <f>+IFERROR(VLOOKUP(IW$6&amp;"-"&amp;$M16&amp;"_old",Ammortamento_Finanziario!$H:$L,5,FALSE),VLOOKUP($M16,TT_Tabelle_Riferimento!$H$31:$I$50,2,FALSE))</f>
        <v>15</v>
      </c>
      <c r="IX16" s="1077">
        <f>+IFERROR(VLOOKUP(IX$6&amp;"-"&amp;$M16&amp;"_old",Ammortamento_Finanziario!$H:$L,5,FALSE),VLOOKUP($M16,TT_Tabelle_Riferimento!$H$31:$I$50,2,FALSE))</f>
        <v>15</v>
      </c>
      <c r="IY16" s="1077">
        <f>+IFERROR(VLOOKUP(IY$6&amp;"-"&amp;$M16&amp;"_old",Ammortamento_Finanziario!$H:$L,5,FALSE),VLOOKUP($M16,TT_Tabelle_Riferimento!$H$31:$I$50,2,FALSE))</f>
        <v>15</v>
      </c>
      <c r="IZ16" s="1077">
        <f>+IFERROR(VLOOKUP(IZ$6&amp;"-"&amp;$M16&amp;"_old",Ammortamento_Finanziario!$H:$L,5,FALSE),VLOOKUP($M16,TT_Tabelle_Riferimento!$H$31:$I$50,2,FALSE))</f>
        <v>15</v>
      </c>
      <c r="JA16" s="1077">
        <f>+IFERROR(VLOOKUP(JA$6&amp;"-"&amp;$M16&amp;"_old",Ammortamento_Finanziario!$H:$L,5,FALSE),VLOOKUP($M16,TT_Tabelle_Riferimento!$H$31:$I$50,2,FALSE))</f>
        <v>15</v>
      </c>
      <c r="JB16" s="1077">
        <f>+IFERROR(VLOOKUP(JB$6&amp;"-"&amp;$M16&amp;"_old",Ammortamento_Finanziario!$H:$L,5,FALSE),VLOOKUP($M16,TT_Tabelle_Riferimento!$H$31:$I$50,2,FALSE))</f>
        <v>15</v>
      </c>
      <c r="JC16" s="1077">
        <f>+IFERROR(VLOOKUP(JC$6&amp;"-"&amp;$M16&amp;"_old",Ammortamento_Finanziario!$H:$L,5,FALSE),VLOOKUP($M16,TT_Tabelle_Riferimento!$H$31:$I$50,2,FALSE))</f>
        <v>15</v>
      </c>
      <c r="JD16" s="1077">
        <f>+IFERROR(VLOOKUP(JD$6&amp;"-"&amp;$M16&amp;"_old",Ammortamento_Finanziario!$H:$L,5,FALSE),VLOOKUP($M16,TT_Tabelle_Riferimento!$H$31:$I$50,2,FALSE))</f>
        <v>15</v>
      </c>
      <c r="JE16" s="1077">
        <f>+IFERROR(VLOOKUP(JE$6&amp;"-"&amp;$M16&amp;"_old",Ammortamento_Finanziario!$H:$L,5,FALSE),VLOOKUP($M16,TT_Tabelle_Riferimento!$H$31:$I$50,2,FALSE))</f>
        <v>15</v>
      </c>
      <c r="JF16" s="1077">
        <f>+IFERROR(VLOOKUP(JF$6&amp;"-"&amp;$M16&amp;"_old",Ammortamento_Finanziario!$H:$L,5,FALSE),VLOOKUP($M16,TT_Tabelle_Riferimento!$H$31:$I$50,2,FALSE))</f>
        <v>15</v>
      </c>
      <c r="JG16" s="1077">
        <f>+IFERROR(VLOOKUP(JG$6&amp;"-"&amp;$M16&amp;"_old",Ammortamento_Finanziario!$H:$L,5,FALSE),VLOOKUP($M16,TT_Tabelle_Riferimento!$H$31:$I$50,2,FALSE))</f>
        <v>15</v>
      </c>
      <c r="JH16" s="1077">
        <f>+IFERROR(VLOOKUP(JH$6&amp;"-"&amp;$M16&amp;"_old",Ammortamento_Finanziario!$H:$L,5,FALSE),VLOOKUP($M16,TT_Tabelle_Riferimento!$H$31:$I$50,2,FALSE))</f>
        <v>15</v>
      </c>
      <c r="JI16" s="1077">
        <f>+IFERROR(VLOOKUP(JI$6&amp;"-"&amp;$M16&amp;"_old",Ammortamento_Finanziario!$H:$L,5,FALSE),VLOOKUP($M16,TT_Tabelle_Riferimento!$H$31:$I$50,2,FALSE))</f>
        <v>15</v>
      </c>
      <c r="JJ16" s="1077">
        <f>+IFERROR(VLOOKUP(JJ$6&amp;"-"&amp;$M16&amp;"_old",Ammortamento_Finanziario!$H:$L,5,FALSE),VLOOKUP($M16,TT_Tabelle_Riferimento!$H$31:$I$50,2,FALSE))</f>
        <v>15</v>
      </c>
      <c r="JK16" s="1077">
        <f>+IFERROR(VLOOKUP(JK$6&amp;"-"&amp;$M16&amp;"_old",Ammortamento_Finanziario!$H:$L,5,FALSE),VLOOKUP($M16,TT_Tabelle_Riferimento!$H$31:$I$50,2,FALSE))</f>
        <v>15</v>
      </c>
      <c r="JL16" s="1077">
        <f>+IFERROR(VLOOKUP(JL$6&amp;"-"&amp;$M16&amp;"_old",Ammortamento_Finanziario!$H:$L,5,FALSE),VLOOKUP($M16,TT_Tabelle_Riferimento!$H$31:$I$50,2,FALSE))</f>
        <v>15</v>
      </c>
      <c r="JM16" s="1077">
        <f>+IFERROR(VLOOKUP(JM$6&amp;"-"&amp;$M16&amp;"_old",Ammortamento_Finanziario!$H:$L,5,FALSE),VLOOKUP($M16,TT_Tabelle_Riferimento!$H$31:$I$50,2,FALSE))</f>
        <v>15</v>
      </c>
      <c r="JN16" s="1077">
        <f>+IFERROR(VLOOKUP(JN$6&amp;"-"&amp;$M16&amp;"_old",Ammortamento_Finanziario!$H:$L,5,FALSE),VLOOKUP($M16,TT_Tabelle_Riferimento!$H$31:$I$50,2,FALSE))</f>
        <v>15</v>
      </c>
      <c r="JO16" s="1078">
        <f>+IFERROR(VLOOKUP(JO$6&amp;"-"&amp;$M16&amp;"_old",Ammortamento_Finanziario!$H:$L,5,FALSE),VLOOKUP($M16,TT_Tabelle_Riferimento!$H$31:$I$50,2,FALSE))</f>
        <v>15</v>
      </c>
      <c r="JP16" s="1748">
        <f>+IFERROR(VLOOKUP(JP$6&amp;"-"&amp;$M16&amp;"_old",Ammortamento_Finanziario!$H:$L,5,FALSE),VLOOKUP($M16,TT_Tabelle_Riferimento!$H$31:$I$50,2,FALSE))</f>
        <v>15</v>
      </c>
      <c r="JQ16" s="1748">
        <f>+IFERROR(VLOOKUP(JQ$6&amp;"-"&amp;$M16&amp;"_old",Ammortamento_Finanziario!$H:$L,5,FALSE),VLOOKUP($M16,TT_Tabelle_Riferimento!$H$31:$I$50,2,FALSE))</f>
        <v>15</v>
      </c>
      <c r="JR16" s="1755">
        <f>+IFERROR(VLOOKUP(JR$6&amp;"-"&amp;$M16&amp;"_old",Ammortamento_Finanziario!$H:$L,5,FALSE),VLOOKUP($M16,TT_Tabelle_Riferimento!$H$31:$I$50,2,FALSE))</f>
        <v>15</v>
      </c>
      <c r="JS16" s="1755">
        <f>+IFERROR(VLOOKUP(JS$6&amp;"-"&amp;$M16&amp;"_old",Ammortamento_Finanziario!$H:$L,5,FALSE),VLOOKUP($M16,TT_Tabelle_Riferimento!$H$31:$I$50,2,FALSE))</f>
        <v>15</v>
      </c>
      <c r="JT16" s="1755">
        <f>+IFERROR(VLOOKUP(JT$6&amp;"-"&amp;$M16&amp;"_old",Ammortamento_Finanziario!$H:$L,5,FALSE),VLOOKUP($M16,TT_Tabelle_Riferimento!$H$31:$I$50,2,FALSE))</f>
        <v>15</v>
      </c>
      <c r="JU16" s="1755">
        <f>+IFERROR(VLOOKUP(JU$6&amp;"-"&amp;$M16&amp;"_old",Ammortamento_Finanziario!$H:$L,5,FALSE),VLOOKUP($M16,TT_Tabelle_Riferimento!$H$31:$I$50,2,FALSE))</f>
        <v>15</v>
      </c>
      <c r="JV16" s="1755">
        <f>+IFERROR(VLOOKUP(JV$6&amp;"-"&amp;$M16&amp;"_old",Ammortamento_Finanziario!$H:$L,5,FALSE),VLOOKUP($M16,TT_Tabelle_Riferimento!$H$31:$I$50,2,FALSE))</f>
        <v>15</v>
      </c>
      <c r="JW16" s="1755">
        <f>+IFERROR(VLOOKUP(JW$6&amp;"-"&amp;$M16&amp;"_old",Ammortamento_Finanziario!$H:$L,5,FALSE),VLOOKUP($M16,TT_Tabelle_Riferimento!$H$31:$I$50,2,FALSE))</f>
        <v>15</v>
      </c>
      <c r="JX16" s="1078">
        <f>+IFERROR(VLOOKUP(JX$6&amp;"-"&amp;$M16&amp;"_old",Ammortamento_Finanziario!$H:$L,5,FALSE),VLOOKUP($M16,TT_Tabelle_Riferimento!$H$31:$I$50,2,FALSE))</f>
        <v>15</v>
      </c>
      <c r="JY16" s="1078">
        <f>+IFERROR(VLOOKUP(JY$6&amp;"-"&amp;$M16&amp;"_old",Ammortamento_Finanziario!$H:$L,5,FALSE),VLOOKUP($M16,TT_Tabelle_Riferimento!$H$31:$I$50,2,FALSE))</f>
        <v>15</v>
      </c>
      <c r="JZ16" s="1078">
        <f>+IFERROR(VLOOKUP(JZ$6&amp;"-"&amp;$M16&amp;"_old",Ammortamento_Finanziario!$H:$L,5,FALSE),VLOOKUP($M16,TT_Tabelle_Riferimento!$H$31:$I$50,2,FALSE))</f>
        <v>15</v>
      </c>
      <c r="KA16" s="1078">
        <f>+IFERROR(VLOOKUP(KA$6&amp;"-"&amp;$M16&amp;"_old",Ammortamento_Finanziario!$H:$L,5,FALSE),VLOOKUP($M16,TT_Tabelle_Riferimento!$H$31:$I$50,2,FALSE))</f>
        <v>15</v>
      </c>
      <c r="KB16" s="1078">
        <f>+IFERROR(VLOOKUP(KB$6&amp;"-"&amp;$M16&amp;"_old",Ammortamento_Finanziario!$H:$L,5,FALSE),VLOOKUP($M16,TT_Tabelle_Riferimento!$H$31:$I$50,2,FALSE))</f>
        <v>15</v>
      </c>
      <c r="KC16" s="1078">
        <f>+IFERROR(VLOOKUP(KC$6&amp;"-"&amp;$M16&amp;"_old",Ammortamento_Finanziario!$H:$L,5,FALSE),VLOOKUP($M16,TT_Tabelle_Riferimento!$H$31:$I$50,2,FALSE))</f>
        <v>15</v>
      </c>
      <c r="KD16" s="1078">
        <f>+IFERROR(VLOOKUP(KD$6&amp;"-"&amp;$M16&amp;"_old",Ammortamento_Finanziario!$H:$L,5,FALSE),VLOOKUP($M16,TT_Tabelle_Riferimento!$H$31:$I$50,2,FALSE))</f>
        <v>15</v>
      </c>
      <c r="KE16" s="1078">
        <f>+IFERROR(VLOOKUP(KE$6&amp;"-"&amp;$M16&amp;"_old",Ammortamento_Finanziario!$H:$L,5,FALSE),VLOOKUP($M16,TT_Tabelle_Riferimento!$H$31:$I$50,2,FALSE))</f>
        <v>15</v>
      </c>
      <c r="KF16" s="1078">
        <f>+IFERROR(VLOOKUP(KF$6&amp;"-"&amp;$M16&amp;"_old",Ammortamento_Finanziario!$H:$L,5,FALSE),VLOOKUP($M16,TT_Tabelle_Riferimento!$H$31:$I$50,2,FALSE))</f>
        <v>15</v>
      </c>
      <c r="KG16" s="1078">
        <f>+IFERROR(VLOOKUP(KG$6&amp;"-"&amp;$M16&amp;"_old",Ammortamento_Finanziario!$H:$L,5,FALSE),VLOOKUP($M16,TT_Tabelle_Riferimento!$H$31:$I$50,2,FALSE))</f>
        <v>15</v>
      </c>
      <c r="KH16" s="1078">
        <f>+IFERROR(VLOOKUP(KH$6&amp;"-"&amp;$M16&amp;"_old",Ammortamento_Finanziario!$H:$L,5,FALSE),VLOOKUP($M16,TT_Tabelle_Riferimento!$H$31:$I$50,2,FALSE))</f>
        <v>15</v>
      </c>
      <c r="KI16" s="1078">
        <f>+IFERROR(VLOOKUP(KI$6&amp;"-"&amp;$M16&amp;"_old",Ammortamento_Finanziario!$H:$L,5,FALSE),VLOOKUP($M16,TT_Tabelle_Riferimento!$H$31:$I$50,2,FALSE))</f>
        <v>15</v>
      </c>
      <c r="KJ16" s="1078">
        <f>+IFERROR(VLOOKUP(KJ$6&amp;"-"&amp;$M16&amp;"_old",Ammortamento_Finanziario!$H:$L,5,FALSE),VLOOKUP($M16,TT_Tabelle_Riferimento!$H$31:$I$50,2,FALSE))</f>
        <v>15</v>
      </c>
      <c r="KK16" s="1078">
        <f>+IFERROR(VLOOKUP(KK$6&amp;"-"&amp;$M16&amp;"_old",Ammortamento_Finanziario!$H:$L,5,FALSE),VLOOKUP($M16,TT_Tabelle_Riferimento!$H$31:$I$50,2,FALSE))</f>
        <v>15</v>
      </c>
      <c r="KL16" s="1078">
        <f>+IFERROR(VLOOKUP(KL$6&amp;"-"&amp;$M16&amp;"_old",Ammortamento_Finanziario!$H:$L,5,FALSE),VLOOKUP($M16,TT_Tabelle_Riferimento!$H$31:$I$50,2,FALSE))</f>
        <v>15</v>
      </c>
      <c r="KM16" s="1078">
        <f>+IFERROR(VLOOKUP(KM$6&amp;"-"&amp;$M16&amp;"_old",Ammortamento_Finanziario!$H:$L,5,FALSE),VLOOKUP($M16,TT_Tabelle_Riferimento!$H$31:$I$50,2,FALSE))</f>
        <v>15</v>
      </c>
      <c r="KN16" s="1078">
        <f>+IFERROR(VLOOKUP(KN$6&amp;"-"&amp;$M16&amp;"_old",Ammortamento_Finanziario!$H:$L,5,FALSE),VLOOKUP($M16,TT_Tabelle_Riferimento!$H$31:$I$50,2,FALSE))</f>
        <v>15</v>
      </c>
      <c r="KO16" s="1078">
        <f>+IFERROR(VLOOKUP(KO$6&amp;"-"&amp;$M16&amp;"_old",Ammortamento_Finanziario!$H:$L,5,FALSE),VLOOKUP($M16,TT_Tabelle_Riferimento!$H$31:$I$50,2,FALSE))</f>
        <v>15</v>
      </c>
      <c r="KP16" s="1078">
        <f>+IFERROR(VLOOKUP(KP$6&amp;"-"&amp;$M16&amp;"_old",Ammortamento_Finanziario!$H:$L,5,FALSE),VLOOKUP($M16,TT_Tabelle_Riferimento!$H$31:$I$50,2,FALSE))</f>
        <v>15</v>
      </c>
      <c r="KQ16" s="1748">
        <f>+IFERROR(VLOOKUP(KQ$6&amp;"-"&amp;$M16&amp;"_old",Ammortamento_Finanziario!$H:$L,5,FALSE),VLOOKUP($M16,TT_Tabelle_Riferimento!$H$31:$I$50,2,FALSE))</f>
        <v>15</v>
      </c>
      <c r="KR16" s="1748">
        <f>+IFERROR(VLOOKUP(KR$6&amp;"-"&amp;$M16&amp;"_old",Ammortamento_Finanziario!$H:$L,5,FALSE),VLOOKUP($M16,TT_Tabelle_Riferimento!$H$31:$I$50,2,FALSE))</f>
        <v>15</v>
      </c>
      <c r="KS16" s="1755">
        <f>+IFERROR(VLOOKUP(KS$6&amp;"-"&amp;$M16&amp;"_old",Ammortamento_Finanziario!$H:$L,5,FALSE),VLOOKUP($M16,TT_Tabelle_Riferimento!$H$31:$I$50,2,FALSE))</f>
        <v>15</v>
      </c>
      <c r="KT16" s="1755">
        <f>+IFERROR(VLOOKUP(KT$6&amp;"-"&amp;$M16&amp;"_old",Ammortamento_Finanziario!$H:$L,5,FALSE),VLOOKUP($M16,TT_Tabelle_Riferimento!$H$31:$I$50,2,FALSE))</f>
        <v>15</v>
      </c>
      <c r="KU16" s="1755">
        <f>+IFERROR(VLOOKUP(KU$6&amp;"-"&amp;$M16&amp;"_old",Ammortamento_Finanziario!$H:$L,5,FALSE),VLOOKUP($M16,TT_Tabelle_Riferimento!$H$31:$I$50,2,FALSE))</f>
        <v>15</v>
      </c>
      <c r="KV16" s="1755">
        <f>+IFERROR(VLOOKUP(KV$6&amp;"-"&amp;$M16&amp;"_old",Ammortamento_Finanziario!$H:$L,5,FALSE),VLOOKUP($M16,TT_Tabelle_Riferimento!$H$31:$I$50,2,FALSE))</f>
        <v>15</v>
      </c>
      <c r="KW16" s="1755">
        <f>+IFERROR(VLOOKUP(KW$6&amp;"-"&amp;$M16&amp;"_old",Ammortamento_Finanziario!$H:$L,5,FALSE),VLOOKUP($M16,TT_Tabelle_Riferimento!$H$31:$I$50,2,FALSE))</f>
        <v>15</v>
      </c>
      <c r="KX16" s="1755">
        <f>+IFERROR(VLOOKUP(KX$6&amp;"-"&amp;$M16&amp;"_old",Ammortamento_Finanziario!$H:$L,5,FALSE),VLOOKUP($M16,TT_Tabelle_Riferimento!$H$31:$I$50,2,FALSE))</f>
        <v>15</v>
      </c>
      <c r="KY16" s="1078">
        <f>+IFERROR(VLOOKUP(KY$6&amp;"-"&amp;$M16&amp;"_old",Ammortamento_Finanziario!$H:$L,5,FALSE),VLOOKUP($M16,TT_Tabelle_Riferimento!$H$31:$I$50,2,FALSE))</f>
        <v>15</v>
      </c>
      <c r="KZ16" s="1078">
        <f>+IFERROR(VLOOKUP(KZ$6&amp;"-"&amp;$M16&amp;"_old",Ammortamento_Finanziario!$H:$L,5,FALSE),VLOOKUP($M16,TT_Tabelle_Riferimento!$H$31:$I$50,2,FALSE))</f>
        <v>15</v>
      </c>
      <c r="LA16" s="1078">
        <f>+IFERROR(VLOOKUP(LA$6&amp;"-"&amp;$M16&amp;"_old",Ammortamento_Finanziario!$H:$L,5,FALSE),VLOOKUP($M16,TT_Tabelle_Riferimento!$H$31:$I$50,2,FALSE))</f>
        <v>15</v>
      </c>
      <c r="LB16" s="1078">
        <f>+IFERROR(VLOOKUP(LB$6&amp;"-"&amp;$M16&amp;"_old",Ammortamento_Finanziario!$H:$L,5,FALSE),VLOOKUP($M16,TT_Tabelle_Riferimento!$H$31:$I$50,2,FALSE))</f>
        <v>15</v>
      </c>
      <c r="LC16" s="1078">
        <f>+IFERROR(VLOOKUP(LC$6&amp;"-"&amp;$M16&amp;"_old",Ammortamento_Finanziario!$H:$L,5,FALSE),VLOOKUP($M16,TT_Tabelle_Riferimento!$H$31:$I$50,2,FALSE))</f>
        <v>15</v>
      </c>
      <c r="LD16" s="1078">
        <f>+IFERROR(VLOOKUP(LD$6&amp;"-"&amp;$M16&amp;"_old",Ammortamento_Finanziario!$H:$L,5,FALSE),VLOOKUP($M16,TT_Tabelle_Riferimento!$H$31:$I$50,2,FALSE))</f>
        <v>15</v>
      </c>
      <c r="LE16" s="1078">
        <f>+IFERROR(VLOOKUP(LE$6&amp;"-"&amp;$M16&amp;"_old",Ammortamento_Finanziario!$H:$L,5,FALSE),VLOOKUP($M16,TT_Tabelle_Riferimento!$H$31:$I$50,2,FALSE))</f>
        <v>15</v>
      </c>
      <c r="LF16" s="1078">
        <f>+IFERROR(VLOOKUP(LF$6&amp;"-"&amp;$M16&amp;"_old",Ammortamento_Finanziario!$H:$L,5,FALSE),VLOOKUP($M16,TT_Tabelle_Riferimento!$H$31:$I$50,2,FALSE))</f>
        <v>15</v>
      </c>
      <c r="LG16" s="1078">
        <f>+IFERROR(VLOOKUP(LG$6&amp;"-"&amp;$M16&amp;"_old",Ammortamento_Finanziario!$H:$L,5,FALSE),VLOOKUP($M16,TT_Tabelle_Riferimento!$H$31:$I$50,2,FALSE))</f>
        <v>15</v>
      </c>
      <c r="LH16" s="1078">
        <f>+IFERROR(VLOOKUP(LH$6&amp;"-"&amp;$M16&amp;"_old",Ammortamento_Finanziario!$H:$L,5,FALSE),VLOOKUP($M16,TT_Tabelle_Riferimento!$H$31:$I$50,2,FALSE))</f>
        <v>15</v>
      </c>
      <c r="LI16" s="1078">
        <f>+IFERROR(VLOOKUP(LI$6&amp;"-"&amp;$M16&amp;"_old",Ammortamento_Finanziario!$H:$L,5,FALSE),VLOOKUP($M16,TT_Tabelle_Riferimento!$H$31:$I$50,2,FALSE))</f>
        <v>15</v>
      </c>
      <c r="LJ16" s="1078">
        <f>+IFERROR(VLOOKUP(LJ$6&amp;"-"&amp;$M16&amp;"_old",Ammortamento_Finanziario!$H:$L,5,FALSE),VLOOKUP($M16,TT_Tabelle_Riferimento!$H$31:$I$50,2,FALSE))</f>
        <v>15</v>
      </c>
      <c r="LK16" s="1078">
        <f>+IFERROR(VLOOKUP(LK$6&amp;"-"&amp;$M16&amp;"_old",Ammortamento_Finanziario!$H:$L,5,FALSE),VLOOKUP($M16,TT_Tabelle_Riferimento!$H$31:$I$50,2,FALSE))</f>
        <v>15</v>
      </c>
      <c r="LL16" s="1078">
        <f>+IFERROR(VLOOKUP(LL$6&amp;"-"&amp;$M16&amp;"_old",Ammortamento_Finanziario!$H:$L,5,FALSE),VLOOKUP($M16,TT_Tabelle_Riferimento!$H$31:$I$50,2,FALSE))</f>
        <v>15</v>
      </c>
      <c r="LM16" s="1078">
        <f>+IFERROR(VLOOKUP(LM$6&amp;"-"&amp;$M16&amp;"_old",Ammortamento_Finanziario!$H:$L,5,FALSE),VLOOKUP($M16,TT_Tabelle_Riferimento!$H$31:$I$50,2,FALSE))</f>
        <v>15</v>
      </c>
      <c r="LN16" s="1078">
        <f>+IFERROR(VLOOKUP(LN$6&amp;"-"&amp;$M16&amp;"_old",Ammortamento_Finanziario!$H:$L,5,FALSE),VLOOKUP($M16,TT_Tabelle_Riferimento!$H$31:$I$50,2,FALSE))</f>
        <v>15</v>
      </c>
      <c r="LO16" s="1078">
        <f>+IFERROR(VLOOKUP(LO$6&amp;"-"&amp;$M16&amp;"_old",Ammortamento_Finanziario!$H:$L,5,FALSE),VLOOKUP($M16,TT_Tabelle_Riferimento!$H$31:$I$50,2,FALSE))</f>
        <v>15</v>
      </c>
      <c r="LP16" s="1078">
        <f>+IFERROR(VLOOKUP(LP$6&amp;"-"&amp;$M16&amp;"_old",Ammortamento_Finanziario!$H:$L,5,FALSE),VLOOKUP($M16,TT_Tabelle_Riferimento!$H$31:$I$50,2,FALSE))</f>
        <v>15</v>
      </c>
      <c r="LQ16" s="1078">
        <f>+IFERROR(VLOOKUP(LQ$6&amp;"-"&amp;$M16&amp;"_old",Ammortamento_Finanziario!$H:$L,5,FALSE),VLOOKUP($M16,TT_Tabelle_Riferimento!$H$31:$I$50,2,FALSE))</f>
        <v>15</v>
      </c>
      <c r="LR16" s="1748">
        <f>+IFERROR(VLOOKUP(LR$6&amp;"-"&amp;$M16&amp;"_old",Ammortamento_Finanziario!$H:$L,5,FALSE),VLOOKUP($M16,TT_Tabelle_Riferimento!$H$31:$I$50,2,FALSE))</f>
        <v>15</v>
      </c>
      <c r="LS16" s="1755">
        <f>+IFERROR(VLOOKUP(LS$6&amp;"-"&amp;$M16&amp;"_old",Ammortamento_Finanziario!$H:$L,5,FALSE),VLOOKUP($M16,TT_Tabelle_Riferimento!$H$31:$I$50,2,FALSE))</f>
        <v>15</v>
      </c>
      <c r="LT16" s="1755">
        <f>+IFERROR(VLOOKUP(LT$6&amp;"-"&amp;$M16&amp;"_old",Ammortamento_Finanziario!$H:$L,5,FALSE),VLOOKUP($M16,TT_Tabelle_Riferimento!$H$31:$I$50,2,FALSE))</f>
        <v>15</v>
      </c>
      <c r="LU16" s="1755">
        <f>+IFERROR(VLOOKUP(LU$6&amp;"-"&amp;$M16&amp;"_old",Ammortamento_Finanziario!$H:$L,5,FALSE),VLOOKUP($M16,TT_Tabelle_Riferimento!$H$31:$I$50,2,FALSE))</f>
        <v>15</v>
      </c>
      <c r="LV16" s="1755">
        <f>+IFERROR(VLOOKUP(LV$6&amp;"-"&amp;$M16&amp;"_old",Ammortamento_Finanziario!$H:$L,5,FALSE),VLOOKUP($M16,TT_Tabelle_Riferimento!$H$31:$I$50,2,FALSE))</f>
        <v>15</v>
      </c>
      <c r="LW16" s="1755">
        <f>+IFERROR(VLOOKUP(LW$6&amp;"-"&amp;$M16&amp;"_old",Ammortamento_Finanziario!$H:$L,5,FALSE),VLOOKUP($M16,TT_Tabelle_Riferimento!$H$31:$I$50,2,FALSE))</f>
        <v>15</v>
      </c>
      <c r="LX16" s="1755">
        <f>+IFERROR(VLOOKUP(LX$6&amp;"-"&amp;$M16&amp;"_old",Ammortamento_Finanziario!$H:$L,5,FALSE),VLOOKUP($M16,TT_Tabelle_Riferimento!$H$31:$I$50,2,FALSE))</f>
        <v>15</v>
      </c>
      <c r="LY16" s="1078">
        <f>+IFERROR(VLOOKUP(LY$6&amp;"-"&amp;$M16&amp;"_old",Ammortamento_Finanziario!$H:$L,5,FALSE),VLOOKUP($M16,TT_Tabelle_Riferimento!$H$31:$I$50,2,FALSE))</f>
        <v>15</v>
      </c>
      <c r="LZ16" s="1078">
        <f>+IFERROR(VLOOKUP(LZ$6&amp;"-"&amp;$M16&amp;"_old",Ammortamento_Finanziario!$H:$L,5,FALSE),VLOOKUP($M16,TT_Tabelle_Riferimento!$H$31:$I$50,2,FALSE))</f>
        <v>15</v>
      </c>
      <c r="MA16" s="1078">
        <f>+IFERROR(VLOOKUP(MA$6&amp;"-"&amp;$M16&amp;"_old",Ammortamento_Finanziario!$H:$L,5,FALSE),VLOOKUP($M16,TT_Tabelle_Riferimento!$H$31:$I$50,2,FALSE))</f>
        <v>15</v>
      </c>
      <c r="MB16" s="1078">
        <f>+IFERROR(VLOOKUP(MB$6&amp;"-"&amp;$M16&amp;"_old",Ammortamento_Finanziario!$H:$L,5,FALSE),VLOOKUP($M16,TT_Tabelle_Riferimento!$H$31:$I$50,2,FALSE))</f>
        <v>15</v>
      </c>
      <c r="MC16" s="1078">
        <f>+IFERROR(VLOOKUP(MC$6&amp;"-"&amp;$M16&amp;"_old",Ammortamento_Finanziario!$H:$L,5,FALSE),VLOOKUP($M16,TT_Tabelle_Riferimento!$H$31:$I$50,2,FALSE))</f>
        <v>15</v>
      </c>
      <c r="MD16" s="1078">
        <f>+IFERROR(VLOOKUP(MD$6&amp;"-"&amp;$M16&amp;"_old",Ammortamento_Finanziario!$H:$L,5,FALSE),VLOOKUP($M16,TT_Tabelle_Riferimento!$H$31:$I$50,2,FALSE))</f>
        <v>15</v>
      </c>
      <c r="ME16" s="1078">
        <f>+IFERROR(VLOOKUP(ME$6&amp;"-"&amp;$M16&amp;"_old",Ammortamento_Finanziario!$H:$L,5,FALSE),VLOOKUP($M16,TT_Tabelle_Riferimento!$H$31:$I$50,2,FALSE))</f>
        <v>15</v>
      </c>
      <c r="MF16" s="1078">
        <f>+IFERROR(VLOOKUP(MF$6&amp;"-"&amp;$M16&amp;"_old",Ammortamento_Finanziario!$H:$L,5,FALSE),VLOOKUP($M16,TT_Tabelle_Riferimento!$H$31:$I$50,2,FALSE))</f>
        <v>15</v>
      </c>
      <c r="MG16" s="1078">
        <f>+IFERROR(VLOOKUP(MG$6&amp;"-"&amp;$M16&amp;"_old",Ammortamento_Finanziario!$H:$L,5,FALSE),VLOOKUP($M16,TT_Tabelle_Riferimento!$H$31:$I$50,2,FALSE))</f>
        <v>15</v>
      </c>
      <c r="MH16" s="1078">
        <f>+IFERROR(VLOOKUP(MH$6&amp;"-"&amp;$M16&amp;"_old",Ammortamento_Finanziario!$H:$L,5,FALSE),VLOOKUP($M16,TT_Tabelle_Riferimento!$H$31:$I$50,2,FALSE))</f>
        <v>15</v>
      </c>
      <c r="MI16" s="1078">
        <f>+IFERROR(VLOOKUP(MI$6&amp;"-"&amp;$M16&amp;"_old",Ammortamento_Finanziario!$H:$L,5,FALSE),VLOOKUP($M16,TT_Tabelle_Riferimento!$H$31:$I$50,2,FALSE))</f>
        <v>15</v>
      </c>
      <c r="MJ16" s="1078">
        <f>+IFERROR(VLOOKUP(MJ$6&amp;"-"&amp;$M16&amp;"_old",Ammortamento_Finanziario!$H:$L,5,FALSE),VLOOKUP($M16,TT_Tabelle_Riferimento!$H$31:$I$50,2,FALSE))</f>
        <v>15</v>
      </c>
      <c r="MK16" s="1078">
        <f>+IFERROR(VLOOKUP(MK$6&amp;"-"&amp;$M16&amp;"_old",Ammortamento_Finanziario!$H:$L,5,FALSE),VLOOKUP($M16,TT_Tabelle_Riferimento!$H$31:$I$50,2,FALSE))</f>
        <v>15</v>
      </c>
      <c r="ML16" s="1078">
        <f>+IFERROR(VLOOKUP(ML$6&amp;"-"&amp;$M16&amp;"_old",Ammortamento_Finanziario!$H:$L,5,FALSE),VLOOKUP($M16,TT_Tabelle_Riferimento!$H$31:$I$50,2,FALSE))</f>
        <v>15</v>
      </c>
      <c r="MM16" s="1078">
        <f>+IFERROR(VLOOKUP(MM$6&amp;"-"&amp;$M16&amp;"_old",Ammortamento_Finanziario!$H:$L,5,FALSE),VLOOKUP($M16,TT_Tabelle_Riferimento!$H$31:$I$50,2,FALSE))</f>
        <v>15</v>
      </c>
      <c r="MN16" s="1078">
        <f>+IFERROR(VLOOKUP(MN$6&amp;"-"&amp;$M16&amp;"_old",Ammortamento_Finanziario!$H:$L,5,FALSE),VLOOKUP($M16,TT_Tabelle_Riferimento!$H$31:$I$50,2,FALSE))</f>
        <v>15</v>
      </c>
      <c r="MO16" s="1078">
        <f>+IFERROR(VLOOKUP(MO$6&amp;"-"&amp;$M16&amp;"_old",Ammortamento_Finanziario!$H:$L,5,FALSE),VLOOKUP($M16,TT_Tabelle_Riferimento!$H$31:$I$50,2,FALSE))</f>
        <v>15</v>
      </c>
      <c r="MP16" s="1078">
        <f>+IFERROR(VLOOKUP(MP$6&amp;"-"&amp;$M16&amp;"_old",Ammortamento_Finanziario!$H:$L,5,FALSE),VLOOKUP($M16,TT_Tabelle_Riferimento!$H$31:$I$50,2,FALSE))</f>
        <v>15</v>
      </c>
      <c r="MQ16" s="1078">
        <f>+IFERROR(VLOOKUP(MQ$6&amp;"-"&amp;$M16&amp;"_old",Ammortamento_Finanziario!$H:$L,5,FALSE),VLOOKUP($M16,TT_Tabelle_Riferimento!$H$31:$I$50,2,FALSE))</f>
        <v>15</v>
      </c>
      <c r="MR16" s="1755">
        <f>+IFERROR(VLOOKUP(MR$6&amp;"-"&amp;$M16&amp;"_old",Ammortamento_Finanziario!$H:$L,5,FALSE),VLOOKUP($M16,TT_Tabelle_Riferimento!$H$31:$I$50,2,FALSE))</f>
        <v>15</v>
      </c>
      <c r="MS16" s="1755">
        <f>+IFERROR(VLOOKUP(MS$6&amp;"-"&amp;$M16&amp;"_old",Ammortamento_Finanziario!$H:$L,5,FALSE),VLOOKUP($M16,TT_Tabelle_Riferimento!$H$31:$I$50,2,FALSE))</f>
        <v>15</v>
      </c>
      <c r="MT16" s="1755">
        <f>+IFERROR(VLOOKUP(MT$6&amp;"-"&amp;$M16&amp;"_old",Ammortamento_Finanziario!$H:$L,5,FALSE),VLOOKUP($M16,TT_Tabelle_Riferimento!$H$31:$I$50,2,FALSE))</f>
        <v>15</v>
      </c>
      <c r="MU16" s="1755">
        <f>+IFERROR(VLOOKUP(MU$6&amp;"-"&amp;$M16&amp;"_old",Ammortamento_Finanziario!$H:$L,5,FALSE),VLOOKUP($M16,TT_Tabelle_Riferimento!$H$31:$I$50,2,FALSE))</f>
        <v>15</v>
      </c>
      <c r="MV16" s="1755">
        <f>+IFERROR(VLOOKUP(MV$6&amp;"-"&amp;$M16&amp;"_old",Ammortamento_Finanziario!$H:$L,5,FALSE),VLOOKUP($M16,TT_Tabelle_Riferimento!$H$31:$I$50,2,FALSE))</f>
        <v>15</v>
      </c>
      <c r="MW16" s="1755">
        <f>+IFERROR(VLOOKUP(MW$6&amp;"-"&amp;$M16&amp;"_old",Ammortamento_Finanziario!$H:$L,5,FALSE),VLOOKUP($M16,TT_Tabelle_Riferimento!$H$31:$I$50,2,FALSE))</f>
        <v>15</v>
      </c>
      <c r="MX16" s="1078">
        <f>+IFERROR(VLOOKUP(MX$6&amp;"-"&amp;$M16&amp;"_old",Ammortamento_Finanziario!$H:$L,5,FALSE),VLOOKUP($M16,TT_Tabelle_Riferimento!$H$31:$I$50,2,FALSE))</f>
        <v>15</v>
      </c>
      <c r="MY16" s="1078">
        <f>+IFERROR(VLOOKUP(MY$6&amp;"-"&amp;$M16&amp;"_old",Ammortamento_Finanziario!$H:$L,5,FALSE),VLOOKUP($M16,TT_Tabelle_Riferimento!$H$31:$I$50,2,FALSE))</f>
        <v>15</v>
      </c>
      <c r="MZ16" s="1078">
        <f>+IFERROR(VLOOKUP(MZ$6&amp;"-"&amp;$M16&amp;"_old",Ammortamento_Finanziario!$H:$L,5,FALSE),VLOOKUP($M16,TT_Tabelle_Riferimento!$H$31:$I$50,2,FALSE))</f>
        <v>15</v>
      </c>
      <c r="NA16" s="1078">
        <f>+IFERROR(VLOOKUP(NA$6&amp;"-"&amp;$M16&amp;"_old",Ammortamento_Finanziario!$H:$L,5,FALSE),VLOOKUP($M16,TT_Tabelle_Riferimento!$H$31:$I$50,2,FALSE))</f>
        <v>15</v>
      </c>
      <c r="NB16" s="1078">
        <f>+IFERROR(VLOOKUP(NB$6&amp;"-"&amp;$M16&amp;"_old",Ammortamento_Finanziario!$H:$L,5,FALSE),VLOOKUP($M16,TT_Tabelle_Riferimento!$H$31:$I$50,2,FALSE))</f>
        <v>15</v>
      </c>
      <c r="NC16" s="1078">
        <f>+IFERROR(VLOOKUP(NC$6&amp;"-"&amp;$M16&amp;"_old",Ammortamento_Finanziario!$H:$L,5,FALSE),VLOOKUP($M16,TT_Tabelle_Riferimento!$H$31:$I$50,2,FALSE))</f>
        <v>15</v>
      </c>
      <c r="ND16" s="1078">
        <f>+IFERROR(VLOOKUP(ND$6&amp;"-"&amp;$M16&amp;"_old",Ammortamento_Finanziario!$H:$L,5,FALSE),VLOOKUP($M16,TT_Tabelle_Riferimento!$H$31:$I$50,2,FALSE))</f>
        <v>15</v>
      </c>
      <c r="NE16" s="1078">
        <f>+IFERROR(VLOOKUP(NE$6&amp;"-"&amp;$M16&amp;"_old",Ammortamento_Finanziario!$H:$L,5,FALSE),VLOOKUP($M16,TT_Tabelle_Riferimento!$H$31:$I$50,2,FALSE))</f>
        <v>15</v>
      </c>
      <c r="NF16" s="1078">
        <f>+IFERROR(VLOOKUP(NF$6&amp;"-"&amp;$M16&amp;"_old",Ammortamento_Finanziario!$H:$L,5,FALSE),VLOOKUP($M16,TT_Tabelle_Riferimento!$H$31:$I$50,2,FALSE))</f>
        <v>15</v>
      </c>
      <c r="NG16" s="1078">
        <f>+IFERROR(VLOOKUP(NG$6&amp;"-"&amp;$M16&amp;"_old",Ammortamento_Finanziario!$H:$L,5,FALSE),VLOOKUP($M16,TT_Tabelle_Riferimento!$H$31:$I$50,2,FALSE))</f>
        <v>15</v>
      </c>
      <c r="NH16" s="1078">
        <f>+IFERROR(VLOOKUP(NH$6&amp;"-"&amp;$M16&amp;"_old",Ammortamento_Finanziario!$H:$L,5,FALSE),VLOOKUP($M16,TT_Tabelle_Riferimento!$H$31:$I$50,2,FALSE))</f>
        <v>15</v>
      </c>
      <c r="NI16" s="1078">
        <f>+IFERROR(VLOOKUP(NI$6&amp;"-"&amp;$M16&amp;"_old",Ammortamento_Finanziario!$H:$L,5,FALSE),VLOOKUP($M16,TT_Tabelle_Riferimento!$H$31:$I$50,2,FALSE))</f>
        <v>15</v>
      </c>
      <c r="NJ16" s="1078">
        <f>+IFERROR(VLOOKUP(NJ$6&amp;"-"&amp;$M16&amp;"_old",Ammortamento_Finanziario!$H:$L,5,FALSE),VLOOKUP($M16,TT_Tabelle_Riferimento!$H$31:$I$50,2,FALSE))</f>
        <v>15</v>
      </c>
      <c r="NK16" s="1078">
        <f>+IFERROR(VLOOKUP(NK$6&amp;"-"&amp;$M16&amp;"_old",Ammortamento_Finanziario!$H:$L,5,FALSE),VLOOKUP($M16,TT_Tabelle_Riferimento!$H$31:$I$50,2,FALSE))</f>
        <v>15</v>
      </c>
      <c r="NL16" s="1078">
        <f>+IFERROR(VLOOKUP(NL$6&amp;"-"&amp;$M16&amp;"_old",Ammortamento_Finanziario!$H:$L,5,FALSE),VLOOKUP($M16,TT_Tabelle_Riferimento!$H$31:$I$50,2,FALSE))</f>
        <v>15</v>
      </c>
      <c r="NM16" s="1078">
        <f>+IFERROR(VLOOKUP(NM$6&amp;"-"&amp;$M16&amp;"_old",Ammortamento_Finanziario!$H:$L,5,FALSE),VLOOKUP($M16,TT_Tabelle_Riferimento!$H$31:$I$50,2,FALSE))</f>
        <v>15</v>
      </c>
      <c r="NN16" s="1078">
        <f>+IFERROR(VLOOKUP(NN$6&amp;"-"&amp;$M16&amp;"_old",Ammortamento_Finanziario!$H:$L,5,FALSE),VLOOKUP($M16,TT_Tabelle_Riferimento!$H$31:$I$50,2,FALSE))</f>
        <v>15</v>
      </c>
      <c r="NO16" s="1078">
        <f>+IFERROR(VLOOKUP(NO$6&amp;"-"&amp;$M16&amp;"_old",Ammortamento_Finanziario!$H:$L,5,FALSE),VLOOKUP($M16,TT_Tabelle_Riferimento!$H$31:$I$50,2,FALSE))</f>
        <v>15</v>
      </c>
      <c r="NP16" s="1078">
        <f>+IFERROR(VLOOKUP(NP$6&amp;"-"&amp;$M16&amp;"_old",Ammortamento_Finanziario!$H:$L,5,FALSE),VLOOKUP($M16,TT_Tabelle_Riferimento!$H$31:$I$50,2,FALSE))</f>
        <v>15</v>
      </c>
      <c r="NQ16" s="1755">
        <f>+IFERROR(VLOOKUP(NQ$6&amp;"-"&amp;$M16&amp;"_old",Ammortamento_Finanziario!$H:$L,5,FALSE),VLOOKUP($M16,TT_Tabelle_Riferimento!$H$31:$I$50,2,FALSE))</f>
        <v>15</v>
      </c>
      <c r="NR16" s="1755">
        <f>+IFERROR(VLOOKUP(NR$6&amp;"-"&amp;$M16&amp;"_old",Ammortamento_Finanziario!$H:$L,5,FALSE),VLOOKUP($M16,TT_Tabelle_Riferimento!$H$31:$I$50,2,FALSE))</f>
        <v>15</v>
      </c>
      <c r="NS16" s="1755">
        <f>+IFERROR(VLOOKUP(NS$6&amp;"-"&amp;$M16&amp;"_old",Ammortamento_Finanziario!$H:$L,5,FALSE),VLOOKUP($M16,TT_Tabelle_Riferimento!$H$31:$I$50,2,FALSE))</f>
        <v>15</v>
      </c>
      <c r="NT16" s="1755">
        <f>+IFERROR(VLOOKUP(NT$6&amp;"-"&amp;$M16&amp;"_old",Ammortamento_Finanziario!$H:$L,5,FALSE),VLOOKUP($M16,TT_Tabelle_Riferimento!$H$31:$I$50,2,FALSE))</f>
        <v>15</v>
      </c>
      <c r="NU16" s="1755">
        <f>+IFERROR(VLOOKUP(NU$6&amp;"-"&amp;$M16&amp;"_old",Ammortamento_Finanziario!$H:$L,5,FALSE),VLOOKUP($M16,TT_Tabelle_Riferimento!$H$31:$I$50,2,FALSE))</f>
        <v>15</v>
      </c>
      <c r="NV16" s="1078">
        <f>+IFERROR(VLOOKUP(NV$6&amp;"-"&amp;$M16&amp;"_old",Ammortamento_Finanziario!$H:$L,5,FALSE),VLOOKUP($M16,TT_Tabelle_Riferimento!$H$31:$I$50,2,FALSE))</f>
        <v>15</v>
      </c>
      <c r="NW16" s="1078">
        <f>+IFERROR(VLOOKUP(NW$6&amp;"-"&amp;$M16&amp;"_old",Ammortamento_Finanziario!$H:$L,5,FALSE),VLOOKUP($M16,TT_Tabelle_Riferimento!$H$31:$I$50,2,FALSE))</f>
        <v>15</v>
      </c>
      <c r="NX16" s="1078">
        <f>+IFERROR(VLOOKUP(NX$6&amp;"-"&amp;$M16&amp;"_old",Ammortamento_Finanziario!$H:$L,5,FALSE),VLOOKUP($M16,TT_Tabelle_Riferimento!$H$31:$I$50,2,FALSE))</f>
        <v>15</v>
      </c>
      <c r="NY16" s="1078">
        <f>+IFERROR(VLOOKUP(NY$6&amp;"-"&amp;$M16&amp;"_old",Ammortamento_Finanziario!$H:$L,5,FALSE),VLOOKUP($M16,TT_Tabelle_Riferimento!$H$31:$I$50,2,FALSE))</f>
        <v>15</v>
      </c>
      <c r="NZ16" s="1078">
        <f>+IFERROR(VLOOKUP(NZ$6&amp;"-"&amp;$M16&amp;"_old",Ammortamento_Finanziario!$H:$L,5,FALSE),VLOOKUP($M16,TT_Tabelle_Riferimento!$H$31:$I$50,2,FALSE))</f>
        <v>15</v>
      </c>
      <c r="OA16" s="1078">
        <f>+IFERROR(VLOOKUP(OA$6&amp;"-"&amp;$M16&amp;"_old",Ammortamento_Finanziario!$H:$L,5,FALSE),VLOOKUP($M16,TT_Tabelle_Riferimento!$H$31:$I$50,2,FALSE))</f>
        <v>15</v>
      </c>
      <c r="OB16" s="1078">
        <f>+IFERROR(VLOOKUP(OB$6&amp;"-"&amp;$M16&amp;"_old",Ammortamento_Finanziario!$H:$L,5,FALSE),VLOOKUP($M16,TT_Tabelle_Riferimento!$H$31:$I$50,2,FALSE))</f>
        <v>15</v>
      </c>
      <c r="OC16" s="1078">
        <f>+IFERROR(VLOOKUP(OC$6&amp;"-"&amp;$M16&amp;"_old",Ammortamento_Finanziario!$H:$L,5,FALSE),VLOOKUP($M16,TT_Tabelle_Riferimento!$H$31:$I$50,2,FALSE))</f>
        <v>15</v>
      </c>
      <c r="OD16" s="1078">
        <f>+IFERROR(VLOOKUP(OD$6&amp;"-"&amp;$M16&amp;"_old",Ammortamento_Finanziario!$H:$L,5,FALSE),VLOOKUP($M16,TT_Tabelle_Riferimento!$H$31:$I$50,2,FALSE))</f>
        <v>15</v>
      </c>
      <c r="OE16" s="1078">
        <f>+IFERROR(VLOOKUP(OE$6&amp;"-"&amp;$M16&amp;"_old",Ammortamento_Finanziario!$H:$L,5,FALSE),VLOOKUP($M16,TT_Tabelle_Riferimento!$H$31:$I$50,2,FALSE))</f>
        <v>15</v>
      </c>
      <c r="OF16" s="1078">
        <f>+IFERROR(VLOOKUP(OF$6&amp;"-"&amp;$M16&amp;"_old",Ammortamento_Finanziario!$H:$L,5,FALSE),VLOOKUP($M16,TT_Tabelle_Riferimento!$H$31:$I$50,2,FALSE))</f>
        <v>15</v>
      </c>
      <c r="OG16" s="1078">
        <f>+IFERROR(VLOOKUP(OG$6&amp;"-"&amp;$M16&amp;"_old",Ammortamento_Finanziario!$H:$L,5,FALSE),VLOOKUP($M16,TT_Tabelle_Riferimento!$H$31:$I$50,2,FALSE))</f>
        <v>15</v>
      </c>
      <c r="OH16" s="1078">
        <f>+IFERROR(VLOOKUP(OH$6&amp;"-"&amp;$M16&amp;"_old",Ammortamento_Finanziario!$H:$L,5,FALSE),VLOOKUP($M16,TT_Tabelle_Riferimento!$H$31:$I$50,2,FALSE))</f>
        <v>15</v>
      </c>
      <c r="OI16" s="1078">
        <f>+IFERROR(VLOOKUP(OI$6&amp;"-"&amp;$M16&amp;"_old",Ammortamento_Finanziario!$H:$L,5,FALSE),VLOOKUP($M16,TT_Tabelle_Riferimento!$H$31:$I$50,2,FALSE))</f>
        <v>15</v>
      </c>
      <c r="OJ16" s="1078">
        <f>+IFERROR(VLOOKUP(OJ$6&amp;"-"&amp;$M16&amp;"_old",Ammortamento_Finanziario!$H:$L,5,FALSE),VLOOKUP($M16,TT_Tabelle_Riferimento!$H$31:$I$50,2,FALSE))</f>
        <v>15</v>
      </c>
      <c r="OK16" s="1078">
        <f>+IFERROR(VLOOKUP(OK$6&amp;"-"&amp;$M16&amp;"_old",Ammortamento_Finanziario!$H:$L,5,FALSE),VLOOKUP($M16,TT_Tabelle_Riferimento!$H$31:$I$50,2,FALSE))</f>
        <v>15</v>
      </c>
      <c r="OL16" s="1078">
        <f>+IFERROR(VLOOKUP(OL$6&amp;"-"&amp;$M16&amp;"_old",Ammortamento_Finanziario!$H:$L,5,FALSE),VLOOKUP($M16,TT_Tabelle_Riferimento!$H$31:$I$50,2,FALSE))</f>
        <v>15</v>
      </c>
      <c r="OM16" s="1078">
        <f>+IFERROR(VLOOKUP(OM$6&amp;"-"&amp;$M16&amp;"_old",Ammortamento_Finanziario!$H:$L,5,FALSE),VLOOKUP($M16,TT_Tabelle_Riferimento!$H$31:$I$50,2,FALSE))</f>
        <v>15</v>
      </c>
      <c r="ON16" s="1078">
        <f>+IFERROR(VLOOKUP(ON$6&amp;"-"&amp;$M16&amp;"_old",Ammortamento_Finanziario!$H:$L,5,FALSE),VLOOKUP($M16,TT_Tabelle_Riferimento!$H$31:$I$50,2,FALSE))</f>
        <v>15</v>
      </c>
      <c r="OO16" s="1755">
        <f>+IFERROR(VLOOKUP(OO$6&amp;"-"&amp;$M16&amp;"_old",Ammortamento_Finanziario!$H:$L,5,FALSE),VLOOKUP($M16,TT_Tabelle_Riferimento!$H$31:$I$50,2,FALSE))</f>
        <v>15</v>
      </c>
      <c r="OP16" s="1755">
        <f>+IFERROR(VLOOKUP(OP$6&amp;"-"&amp;$M16&amp;"_old",Ammortamento_Finanziario!$H:$L,5,FALSE),VLOOKUP($M16,TT_Tabelle_Riferimento!$H$31:$I$50,2,FALSE))</f>
        <v>15</v>
      </c>
      <c r="OQ16" s="1755">
        <f>+IFERROR(VLOOKUP(OQ$6&amp;"-"&amp;$M16&amp;"_old",Ammortamento_Finanziario!$H:$L,5,FALSE),VLOOKUP($M16,TT_Tabelle_Riferimento!$H$31:$I$50,2,FALSE))</f>
        <v>15</v>
      </c>
      <c r="OR16" s="1755">
        <f>+IFERROR(VLOOKUP(OR$6&amp;"-"&amp;$M16&amp;"_old",Ammortamento_Finanziario!$H:$L,5,FALSE),VLOOKUP($M16,TT_Tabelle_Riferimento!$H$31:$I$50,2,FALSE))</f>
        <v>15</v>
      </c>
      <c r="OS16" s="1078">
        <f>+IFERROR(VLOOKUP(OS$6&amp;"-"&amp;$M16&amp;"_old",Ammortamento_Finanziario!$H:$L,5,FALSE),VLOOKUP($M16,TT_Tabelle_Riferimento!$H$31:$I$50,2,FALSE))</f>
        <v>15</v>
      </c>
      <c r="OT16" s="1078">
        <f>+IFERROR(VLOOKUP(OT$6&amp;"-"&amp;$M16&amp;"_old",Ammortamento_Finanziario!$H:$L,5,FALSE),VLOOKUP($M16,TT_Tabelle_Riferimento!$H$31:$I$50,2,FALSE))</f>
        <v>15</v>
      </c>
      <c r="OU16" s="1078">
        <f>+IFERROR(VLOOKUP(OU$6&amp;"-"&amp;$M16&amp;"_old",Ammortamento_Finanziario!$H:$L,5,FALSE),VLOOKUP($M16,TT_Tabelle_Riferimento!$H$31:$I$50,2,FALSE))</f>
        <v>15</v>
      </c>
      <c r="OV16" s="1078">
        <f>+IFERROR(VLOOKUP(OV$6&amp;"-"&amp;$M16&amp;"_old",Ammortamento_Finanziario!$H:$L,5,FALSE),VLOOKUP($M16,TT_Tabelle_Riferimento!$H$31:$I$50,2,FALSE))</f>
        <v>15</v>
      </c>
      <c r="OW16" s="1078">
        <f>+IFERROR(VLOOKUP(OW$6&amp;"-"&amp;$M16&amp;"_old",Ammortamento_Finanziario!$H:$L,5,FALSE),VLOOKUP($M16,TT_Tabelle_Riferimento!$H$31:$I$50,2,FALSE))</f>
        <v>15</v>
      </c>
      <c r="OX16" s="1078">
        <f>+IFERROR(VLOOKUP(OX$6&amp;"-"&amp;$M16&amp;"_old",Ammortamento_Finanziario!$H:$L,5,FALSE),VLOOKUP($M16,TT_Tabelle_Riferimento!$H$31:$I$50,2,FALSE))</f>
        <v>15</v>
      </c>
      <c r="OY16" s="1078">
        <f>+IFERROR(VLOOKUP(OY$6&amp;"-"&amp;$M16&amp;"_old",Ammortamento_Finanziario!$H:$L,5,FALSE),VLOOKUP($M16,TT_Tabelle_Riferimento!$H$31:$I$50,2,FALSE))</f>
        <v>15</v>
      </c>
      <c r="OZ16" s="1078">
        <f>+IFERROR(VLOOKUP(OZ$6&amp;"-"&amp;$M16&amp;"_old",Ammortamento_Finanziario!$H:$L,5,FALSE),VLOOKUP($M16,TT_Tabelle_Riferimento!$H$31:$I$50,2,FALSE))</f>
        <v>15</v>
      </c>
      <c r="PA16" s="1078">
        <f>+IFERROR(VLOOKUP(PA$6&amp;"-"&amp;$M16&amp;"_old",Ammortamento_Finanziario!$H:$L,5,FALSE),VLOOKUP($M16,TT_Tabelle_Riferimento!$H$31:$I$50,2,FALSE))</f>
        <v>15</v>
      </c>
      <c r="PB16" s="1078">
        <f>+IFERROR(VLOOKUP(PB$6&amp;"-"&amp;$M16&amp;"_old",Ammortamento_Finanziario!$H:$L,5,FALSE),VLOOKUP($M16,TT_Tabelle_Riferimento!$H$31:$I$50,2,FALSE))</f>
        <v>15</v>
      </c>
      <c r="PC16" s="1078">
        <f>+IFERROR(VLOOKUP(PC$6&amp;"-"&amp;$M16&amp;"_old",Ammortamento_Finanziario!$H:$L,5,FALSE),VLOOKUP($M16,TT_Tabelle_Riferimento!$H$31:$I$50,2,FALSE))</f>
        <v>15</v>
      </c>
      <c r="PD16" s="1078">
        <f>+IFERROR(VLOOKUP(PD$6&amp;"-"&amp;$M16&amp;"_old",Ammortamento_Finanziario!$H:$L,5,FALSE),VLOOKUP($M16,TT_Tabelle_Riferimento!$H$31:$I$50,2,FALSE))</f>
        <v>15</v>
      </c>
      <c r="PE16" s="1078">
        <f>+IFERROR(VLOOKUP(PE$6&amp;"-"&amp;$M16&amp;"_old",Ammortamento_Finanziario!$H:$L,5,FALSE),VLOOKUP($M16,TT_Tabelle_Riferimento!$H$31:$I$50,2,FALSE))</f>
        <v>15</v>
      </c>
      <c r="PF16" s="1078">
        <f>+IFERROR(VLOOKUP(PF$6&amp;"-"&amp;$M16&amp;"_old",Ammortamento_Finanziario!$H:$L,5,FALSE),VLOOKUP($M16,TT_Tabelle_Riferimento!$H$31:$I$50,2,FALSE))</f>
        <v>15</v>
      </c>
      <c r="PG16" s="1078">
        <f>+IFERROR(VLOOKUP(PG$6&amp;"-"&amp;$M16&amp;"_old",Ammortamento_Finanziario!$H:$L,5,FALSE),VLOOKUP($M16,TT_Tabelle_Riferimento!$H$31:$I$50,2,FALSE))</f>
        <v>15</v>
      </c>
      <c r="PH16" s="1078">
        <f>+IFERROR(VLOOKUP(PH$6&amp;"-"&amp;$M16&amp;"_old",Ammortamento_Finanziario!$H:$L,5,FALSE),VLOOKUP($M16,TT_Tabelle_Riferimento!$H$31:$I$50,2,FALSE))</f>
        <v>15</v>
      </c>
      <c r="PI16" s="1078">
        <f>+IFERROR(VLOOKUP(PI$6&amp;"-"&amp;$M16&amp;"_old",Ammortamento_Finanziario!$H:$L,5,FALSE),VLOOKUP($M16,TT_Tabelle_Riferimento!$H$31:$I$50,2,FALSE))</f>
        <v>15</v>
      </c>
      <c r="PJ16" s="1078">
        <f>+IFERROR(VLOOKUP(PJ$6&amp;"-"&amp;$M16&amp;"_old",Ammortamento_Finanziario!$H:$L,5,FALSE),VLOOKUP($M16,TT_Tabelle_Riferimento!$H$31:$I$50,2,FALSE))</f>
        <v>15</v>
      </c>
      <c r="PK16" s="1078">
        <f>+IFERROR(VLOOKUP(PK$6&amp;"-"&amp;$M16&amp;"_old",Ammortamento_Finanziario!$H:$L,5,FALSE),VLOOKUP($M16,TT_Tabelle_Riferimento!$H$31:$I$50,2,FALSE))</f>
        <v>15</v>
      </c>
      <c r="PL16" s="1755">
        <f>+IFERROR(VLOOKUP(PL$6&amp;"-"&amp;$M16&amp;"_old",Ammortamento_Finanziario!$H:$L,5,FALSE),VLOOKUP($M16,TT_Tabelle_Riferimento!$H$31:$I$50,2,FALSE))</f>
        <v>15</v>
      </c>
      <c r="PM16" s="1755">
        <f>+IFERROR(VLOOKUP(PM$6&amp;"-"&amp;$M16&amp;"_old",Ammortamento_Finanziario!$H:$L,5,FALSE),VLOOKUP($M16,TT_Tabelle_Riferimento!$H$31:$I$50,2,FALSE))</f>
        <v>15</v>
      </c>
      <c r="PN16" s="1755">
        <f>+IFERROR(VLOOKUP(PN$6&amp;"-"&amp;$M16&amp;"_old",Ammortamento_Finanziario!$H:$L,5,FALSE),VLOOKUP($M16,TT_Tabelle_Riferimento!$H$31:$I$50,2,FALSE))</f>
        <v>15</v>
      </c>
      <c r="PO16" s="1078">
        <f>+IFERROR(VLOOKUP(PO$6&amp;"-"&amp;$M16&amp;"_old",Ammortamento_Finanziario!$H:$L,5,FALSE),VLOOKUP($M16,TT_Tabelle_Riferimento!$H$31:$I$50,2,FALSE))</f>
        <v>15</v>
      </c>
      <c r="PP16" s="1078">
        <f>+IFERROR(VLOOKUP(PP$6&amp;"-"&amp;$M16&amp;"_old",Ammortamento_Finanziario!$H:$L,5,FALSE),VLOOKUP($M16,TT_Tabelle_Riferimento!$H$31:$I$50,2,FALSE))</f>
        <v>15</v>
      </c>
      <c r="PQ16" s="1078">
        <f>+IFERROR(VLOOKUP(PQ$6&amp;"-"&amp;$M16&amp;"_old",Ammortamento_Finanziario!$H:$L,5,FALSE),VLOOKUP($M16,TT_Tabelle_Riferimento!$H$31:$I$50,2,FALSE))</f>
        <v>15</v>
      </c>
      <c r="PR16" s="1078">
        <f>+IFERROR(VLOOKUP(PR$6&amp;"-"&amp;$M16&amp;"_old",Ammortamento_Finanziario!$H:$L,5,FALSE),VLOOKUP($M16,TT_Tabelle_Riferimento!$H$31:$I$50,2,FALSE))</f>
        <v>15</v>
      </c>
      <c r="PS16" s="1078">
        <f>+IFERROR(VLOOKUP(PS$6&amp;"-"&amp;$M16&amp;"_old",Ammortamento_Finanziario!$H:$L,5,FALSE),VLOOKUP($M16,TT_Tabelle_Riferimento!$H$31:$I$50,2,FALSE))</f>
        <v>15</v>
      </c>
      <c r="PT16" s="1078">
        <f>+IFERROR(VLOOKUP(PT$6&amp;"-"&amp;$M16&amp;"_old",Ammortamento_Finanziario!$H:$L,5,FALSE),VLOOKUP($M16,TT_Tabelle_Riferimento!$H$31:$I$50,2,FALSE))</f>
        <v>15</v>
      </c>
      <c r="PU16" s="1078">
        <f>+IFERROR(VLOOKUP(PU$6&amp;"-"&amp;$M16&amp;"_old",Ammortamento_Finanziario!$H:$L,5,FALSE),VLOOKUP($M16,TT_Tabelle_Riferimento!$H$31:$I$50,2,FALSE))</f>
        <v>15</v>
      </c>
      <c r="PV16" s="1078">
        <f>+IFERROR(VLOOKUP(PV$6&amp;"-"&amp;$M16&amp;"_old",Ammortamento_Finanziario!$H:$L,5,FALSE),VLOOKUP($M16,TT_Tabelle_Riferimento!$H$31:$I$50,2,FALSE))</f>
        <v>15</v>
      </c>
      <c r="PW16" s="1078">
        <f>+IFERROR(VLOOKUP(PW$6&amp;"-"&amp;$M16&amp;"_old",Ammortamento_Finanziario!$H:$L,5,FALSE),VLOOKUP($M16,TT_Tabelle_Riferimento!$H$31:$I$50,2,FALSE))</f>
        <v>15</v>
      </c>
      <c r="PX16" s="1078">
        <f>+IFERROR(VLOOKUP(PX$6&amp;"-"&amp;$M16&amp;"_old",Ammortamento_Finanziario!$H:$L,5,FALSE),VLOOKUP($M16,TT_Tabelle_Riferimento!$H$31:$I$50,2,FALSE))</f>
        <v>15</v>
      </c>
      <c r="PY16" s="1078">
        <f>+IFERROR(VLOOKUP(PY$6&amp;"-"&amp;$M16&amp;"_old",Ammortamento_Finanziario!$H:$L,5,FALSE),VLOOKUP($M16,TT_Tabelle_Riferimento!$H$31:$I$50,2,FALSE))</f>
        <v>15</v>
      </c>
      <c r="PZ16" s="1078">
        <f>+IFERROR(VLOOKUP(PZ$6&amp;"-"&amp;$M16&amp;"_old",Ammortamento_Finanziario!$H:$L,5,FALSE),VLOOKUP($M16,TT_Tabelle_Riferimento!$H$31:$I$50,2,FALSE))</f>
        <v>15</v>
      </c>
      <c r="QA16" s="1078">
        <f>+IFERROR(VLOOKUP(QA$6&amp;"-"&amp;$M16&amp;"_old",Ammortamento_Finanziario!$H:$L,5,FALSE),VLOOKUP($M16,TT_Tabelle_Riferimento!$H$31:$I$50,2,FALSE))</f>
        <v>15</v>
      </c>
      <c r="QB16" s="1078">
        <f>+IFERROR(VLOOKUP(QB$6&amp;"-"&amp;$M16&amp;"_old",Ammortamento_Finanziario!$H:$L,5,FALSE),VLOOKUP($M16,TT_Tabelle_Riferimento!$H$31:$I$50,2,FALSE))</f>
        <v>15</v>
      </c>
      <c r="QC16" s="1078">
        <f>+IFERROR(VLOOKUP(QC$6&amp;"-"&amp;$M16&amp;"_old",Ammortamento_Finanziario!$H:$L,5,FALSE),VLOOKUP($M16,TT_Tabelle_Riferimento!$H$31:$I$50,2,FALSE))</f>
        <v>15</v>
      </c>
      <c r="QD16" s="1078">
        <f>+IFERROR(VLOOKUP(QD$6&amp;"-"&amp;$M16&amp;"_old",Ammortamento_Finanziario!$H:$L,5,FALSE),VLOOKUP($M16,TT_Tabelle_Riferimento!$H$31:$I$50,2,FALSE))</f>
        <v>15</v>
      </c>
      <c r="QE16" s="1078">
        <f>+IFERROR(VLOOKUP(QE$6&amp;"-"&amp;$M16&amp;"_old",Ammortamento_Finanziario!$H:$L,5,FALSE),VLOOKUP($M16,TT_Tabelle_Riferimento!$H$31:$I$50,2,FALSE))</f>
        <v>15</v>
      </c>
      <c r="QF16" s="1078">
        <f>+IFERROR(VLOOKUP(QF$6&amp;"-"&amp;$M16&amp;"_old",Ammortamento_Finanziario!$H:$L,5,FALSE),VLOOKUP($M16,TT_Tabelle_Riferimento!$H$31:$I$50,2,FALSE))</f>
        <v>15</v>
      </c>
      <c r="QG16" s="1078">
        <f>+IFERROR(VLOOKUP(QG$6&amp;"-"&amp;$M16&amp;"_old",Ammortamento_Finanziario!$H:$L,5,FALSE),VLOOKUP($M16,TT_Tabelle_Riferimento!$H$31:$I$50,2,FALSE))</f>
        <v>15</v>
      </c>
      <c r="QH16" s="1755">
        <f>+IFERROR(VLOOKUP(QH$6&amp;"-"&amp;$M16&amp;"_old",Ammortamento_Finanziario!$H:$L,5,FALSE),VLOOKUP($M16,TT_Tabelle_Riferimento!$H$31:$I$50,2,FALSE))</f>
        <v>15</v>
      </c>
      <c r="QI16" s="1755">
        <f>+IFERROR(VLOOKUP(QI$6&amp;"-"&amp;$M16&amp;"_old",Ammortamento_Finanziario!$H:$L,5,FALSE),VLOOKUP($M16,TT_Tabelle_Riferimento!$H$31:$I$50,2,FALSE))</f>
        <v>15</v>
      </c>
      <c r="QJ16" s="1078">
        <f>+IFERROR(VLOOKUP(QJ$6&amp;"-"&amp;$M16&amp;"_old",Ammortamento_Finanziario!$H:$L,5,FALSE),VLOOKUP($M16,TT_Tabelle_Riferimento!$H$31:$I$50,2,FALSE))</f>
        <v>15</v>
      </c>
      <c r="QK16" s="1078">
        <f>+IFERROR(VLOOKUP(QK$6&amp;"-"&amp;$M16&amp;"_old",Ammortamento_Finanziario!$H:$L,5,FALSE),VLOOKUP($M16,TT_Tabelle_Riferimento!$H$31:$I$50,2,FALSE))</f>
        <v>15</v>
      </c>
      <c r="QL16" s="1078">
        <f>+IFERROR(VLOOKUP(QL$6&amp;"-"&amp;$M16&amp;"_old",Ammortamento_Finanziario!$H:$L,5,FALSE),VLOOKUP($M16,TT_Tabelle_Riferimento!$H$31:$I$50,2,FALSE))</f>
        <v>15</v>
      </c>
      <c r="QM16" s="1078">
        <f>+IFERROR(VLOOKUP(QM$6&amp;"-"&amp;$M16&amp;"_old",Ammortamento_Finanziario!$H:$L,5,FALSE),VLOOKUP($M16,TT_Tabelle_Riferimento!$H$31:$I$50,2,FALSE))</f>
        <v>15</v>
      </c>
      <c r="QN16" s="1078">
        <f>+IFERROR(VLOOKUP(QN$6&amp;"-"&amp;$M16&amp;"_old",Ammortamento_Finanziario!$H:$L,5,FALSE),VLOOKUP($M16,TT_Tabelle_Riferimento!$H$31:$I$50,2,FALSE))</f>
        <v>15</v>
      </c>
      <c r="QO16" s="1078">
        <f>+IFERROR(VLOOKUP(QO$6&amp;"-"&amp;$M16&amp;"_old",Ammortamento_Finanziario!$H:$L,5,FALSE),VLOOKUP($M16,TT_Tabelle_Riferimento!$H$31:$I$50,2,FALSE))</f>
        <v>15</v>
      </c>
      <c r="QP16" s="1078">
        <f>+IFERROR(VLOOKUP(QP$6&amp;"-"&amp;$M16&amp;"_old",Ammortamento_Finanziario!$H:$L,5,FALSE),VLOOKUP($M16,TT_Tabelle_Riferimento!$H$31:$I$50,2,FALSE))</f>
        <v>15</v>
      </c>
      <c r="QQ16" s="1078">
        <f>+IFERROR(VLOOKUP(QQ$6&amp;"-"&amp;$M16&amp;"_old",Ammortamento_Finanziario!$H:$L,5,FALSE),VLOOKUP($M16,TT_Tabelle_Riferimento!$H$31:$I$50,2,FALSE))</f>
        <v>15</v>
      </c>
      <c r="QR16" s="1078">
        <f>+IFERROR(VLOOKUP(QR$6&amp;"-"&amp;$M16&amp;"_old",Ammortamento_Finanziario!$H:$L,5,FALSE),VLOOKUP($M16,TT_Tabelle_Riferimento!$H$31:$I$50,2,FALSE))</f>
        <v>15</v>
      </c>
      <c r="QS16" s="1078">
        <f>+IFERROR(VLOOKUP(QS$6&amp;"-"&amp;$M16&amp;"_old",Ammortamento_Finanziario!$H:$L,5,FALSE),VLOOKUP($M16,TT_Tabelle_Riferimento!$H$31:$I$50,2,FALSE))</f>
        <v>15</v>
      </c>
      <c r="QT16" s="1078">
        <f>+IFERROR(VLOOKUP(QT$6&amp;"-"&amp;$M16&amp;"_old",Ammortamento_Finanziario!$H:$L,5,FALSE),VLOOKUP($M16,TT_Tabelle_Riferimento!$H$31:$I$50,2,FALSE))</f>
        <v>15</v>
      </c>
      <c r="QU16" s="1078">
        <f>+IFERROR(VLOOKUP(QU$6&amp;"-"&amp;$M16&amp;"_old",Ammortamento_Finanziario!$H:$L,5,FALSE),VLOOKUP($M16,TT_Tabelle_Riferimento!$H$31:$I$50,2,FALSE))</f>
        <v>15</v>
      </c>
      <c r="QV16" s="1078">
        <f>+IFERROR(VLOOKUP(QV$6&amp;"-"&amp;$M16&amp;"_old",Ammortamento_Finanziario!$H:$L,5,FALSE),VLOOKUP($M16,TT_Tabelle_Riferimento!$H$31:$I$50,2,FALSE))</f>
        <v>15</v>
      </c>
      <c r="QW16" s="1078">
        <f>+IFERROR(VLOOKUP(QW$6&amp;"-"&amp;$M16&amp;"_old",Ammortamento_Finanziario!$H:$L,5,FALSE),VLOOKUP($M16,TT_Tabelle_Riferimento!$H$31:$I$50,2,FALSE))</f>
        <v>15</v>
      </c>
      <c r="QX16" s="1078">
        <f>+IFERROR(VLOOKUP(QX$6&amp;"-"&amp;$M16&amp;"_old",Ammortamento_Finanziario!$H:$L,5,FALSE),VLOOKUP($M16,TT_Tabelle_Riferimento!$H$31:$I$50,2,FALSE))</f>
        <v>15</v>
      </c>
      <c r="QY16" s="1078">
        <f>+IFERROR(VLOOKUP(QY$6&amp;"-"&amp;$M16&amp;"_old",Ammortamento_Finanziario!$H:$L,5,FALSE),VLOOKUP($M16,TT_Tabelle_Riferimento!$H$31:$I$50,2,FALSE))</f>
        <v>15</v>
      </c>
      <c r="QZ16" s="1078">
        <f>+IFERROR(VLOOKUP(QZ$6&amp;"-"&amp;$M16&amp;"_old",Ammortamento_Finanziario!$H:$L,5,FALSE),VLOOKUP($M16,TT_Tabelle_Riferimento!$H$31:$I$50,2,FALSE))</f>
        <v>15</v>
      </c>
      <c r="RA16" s="1078">
        <f>+IFERROR(VLOOKUP(RA$6&amp;"-"&amp;$M16&amp;"_old",Ammortamento_Finanziario!$H:$L,5,FALSE),VLOOKUP($M16,TT_Tabelle_Riferimento!$H$31:$I$50,2,FALSE))</f>
        <v>15</v>
      </c>
      <c r="RB16" s="1078">
        <f>+IFERROR(VLOOKUP(RB$6&amp;"-"&amp;$M16&amp;"_old",Ammortamento_Finanziario!$H:$L,5,FALSE),VLOOKUP($M16,TT_Tabelle_Riferimento!$H$31:$I$50,2,FALSE))</f>
        <v>15</v>
      </c>
      <c r="RC16" s="1755">
        <f>+IFERROR(VLOOKUP(RC$6&amp;"-"&amp;$M16&amp;"_old",Ammortamento_Finanziario!$H:$L,5,FALSE),VLOOKUP($M16,TT_Tabelle_Riferimento!$H$31:$I$50,2,FALSE))</f>
        <v>15</v>
      </c>
      <c r="RD16" s="1078">
        <f>+IFERROR(VLOOKUP(RD$6&amp;"-"&amp;$M16&amp;"_old",Ammortamento_Finanziario!$H:$L,5,FALSE),VLOOKUP($M16,TT_Tabelle_Riferimento!$H$31:$I$50,2,FALSE))</f>
        <v>15</v>
      </c>
      <c r="RE16" s="1078">
        <f>+IFERROR(VLOOKUP(RE$6&amp;"-"&amp;$M16&amp;"_old",Ammortamento_Finanziario!$H:$L,5,FALSE),VLOOKUP($M16,TT_Tabelle_Riferimento!$H$31:$I$50,2,FALSE))</f>
        <v>15</v>
      </c>
      <c r="RF16" s="1078">
        <f>+IFERROR(VLOOKUP(RF$6&amp;"-"&amp;$M16&amp;"_old",Ammortamento_Finanziario!$H:$L,5,FALSE),VLOOKUP($M16,TT_Tabelle_Riferimento!$H$31:$I$50,2,FALSE))</f>
        <v>15</v>
      </c>
      <c r="RG16" s="1078">
        <f>+IFERROR(VLOOKUP(RG$6&amp;"-"&amp;$M16&amp;"_old",Ammortamento_Finanziario!$H:$L,5,FALSE),VLOOKUP($M16,TT_Tabelle_Riferimento!$H$31:$I$50,2,FALSE))</f>
        <v>15</v>
      </c>
      <c r="RH16" s="1078">
        <f>+IFERROR(VLOOKUP(RH$6&amp;"-"&amp;$M16&amp;"_old",Ammortamento_Finanziario!$H:$L,5,FALSE),VLOOKUP($M16,TT_Tabelle_Riferimento!$H$31:$I$50,2,FALSE))</f>
        <v>15</v>
      </c>
      <c r="RI16" s="1078">
        <f>+IFERROR(VLOOKUP(RI$6&amp;"-"&amp;$M16&amp;"_old",Ammortamento_Finanziario!$H:$L,5,FALSE),VLOOKUP($M16,TT_Tabelle_Riferimento!$H$31:$I$50,2,FALSE))</f>
        <v>15</v>
      </c>
      <c r="RJ16" s="1078">
        <f>+IFERROR(VLOOKUP(RJ$6&amp;"-"&amp;$M16&amp;"_old",Ammortamento_Finanziario!$H:$L,5,FALSE),VLOOKUP($M16,TT_Tabelle_Riferimento!$H$31:$I$50,2,FALSE))</f>
        <v>15</v>
      </c>
      <c r="RK16" s="1078">
        <f>+IFERROR(VLOOKUP(RK$6&amp;"-"&amp;$M16&amp;"_old",Ammortamento_Finanziario!$H:$L,5,FALSE),VLOOKUP($M16,TT_Tabelle_Riferimento!$H$31:$I$50,2,FALSE))</f>
        <v>15</v>
      </c>
      <c r="RL16" s="1078">
        <f>+IFERROR(VLOOKUP(RL$6&amp;"-"&amp;$M16&amp;"_old",Ammortamento_Finanziario!$H:$L,5,FALSE),VLOOKUP($M16,TT_Tabelle_Riferimento!$H$31:$I$50,2,FALSE))</f>
        <v>15</v>
      </c>
      <c r="RM16" s="1078">
        <f>+IFERROR(VLOOKUP(RM$6&amp;"-"&amp;$M16&amp;"_old",Ammortamento_Finanziario!$H:$L,5,FALSE),VLOOKUP($M16,TT_Tabelle_Riferimento!$H$31:$I$50,2,FALSE))</f>
        <v>15</v>
      </c>
      <c r="RN16" s="1078">
        <f>+IFERROR(VLOOKUP(RN$6&amp;"-"&amp;$M16&amp;"_old",Ammortamento_Finanziario!$H:$L,5,FALSE),VLOOKUP($M16,TT_Tabelle_Riferimento!$H$31:$I$50,2,FALSE))</f>
        <v>15</v>
      </c>
      <c r="RO16" s="1078">
        <f>+IFERROR(VLOOKUP(RO$6&amp;"-"&amp;$M16&amp;"_old",Ammortamento_Finanziario!$H:$L,5,FALSE),VLOOKUP($M16,TT_Tabelle_Riferimento!$H$31:$I$50,2,FALSE))</f>
        <v>15</v>
      </c>
      <c r="RP16" s="1078">
        <f>+IFERROR(VLOOKUP(RP$6&amp;"-"&amp;$M16&amp;"_old",Ammortamento_Finanziario!$H:$L,5,FALSE),VLOOKUP($M16,TT_Tabelle_Riferimento!$H$31:$I$50,2,FALSE))</f>
        <v>15</v>
      </c>
      <c r="RQ16" s="1078">
        <f>+IFERROR(VLOOKUP(RQ$6&amp;"-"&amp;$M16&amp;"_old",Ammortamento_Finanziario!$H:$L,5,FALSE),VLOOKUP($M16,TT_Tabelle_Riferimento!$H$31:$I$50,2,FALSE))</f>
        <v>15</v>
      </c>
      <c r="RR16" s="1078">
        <f>+IFERROR(VLOOKUP(RR$6&amp;"-"&amp;$M16&amp;"_old",Ammortamento_Finanziario!$H:$L,5,FALSE),VLOOKUP($M16,TT_Tabelle_Riferimento!$H$31:$I$50,2,FALSE))</f>
        <v>15</v>
      </c>
      <c r="RS16" s="1078">
        <f>+IFERROR(VLOOKUP(RS$6&amp;"-"&amp;$M16&amp;"_old",Ammortamento_Finanziario!$H:$L,5,FALSE),VLOOKUP($M16,TT_Tabelle_Riferimento!$H$31:$I$50,2,FALSE))</f>
        <v>15</v>
      </c>
      <c r="RT16" s="1078">
        <f>+IFERROR(VLOOKUP(RT$6&amp;"-"&amp;$M16&amp;"_old",Ammortamento_Finanziario!$H:$L,5,FALSE),VLOOKUP($M16,TT_Tabelle_Riferimento!$H$31:$I$50,2,FALSE))</f>
        <v>15</v>
      </c>
      <c r="RU16" s="1078">
        <f>+IFERROR(VLOOKUP(RU$6&amp;"-"&amp;$M16&amp;"_old",Ammortamento_Finanziario!$H:$L,5,FALSE),VLOOKUP($M16,TT_Tabelle_Riferimento!$H$31:$I$50,2,FALSE))</f>
        <v>15</v>
      </c>
      <c r="RV16" s="1078">
        <f>+IFERROR(VLOOKUP(RV$6&amp;"-"&amp;$M16&amp;"_old",Ammortamento_Finanziario!$H:$L,5,FALSE),VLOOKUP($M16,TT_Tabelle_Riferimento!$H$31:$I$50,2,FALSE))</f>
        <v>15</v>
      </c>
    </row>
    <row r="17" spans="4:490">
      <c r="E17" s="1774">
        <v>2024</v>
      </c>
      <c r="F17" s="1774">
        <v>2025</v>
      </c>
      <c r="G17" s="1771">
        <v>2026</v>
      </c>
      <c r="H17" s="1772">
        <v>2027</v>
      </c>
      <c r="I17" s="1774">
        <v>2028</v>
      </c>
      <c r="J17" s="1774">
        <v>2029</v>
      </c>
      <c r="K17" s="136"/>
      <c r="L17" s="125"/>
      <c r="M17" s="420">
        <v>11</v>
      </c>
      <c r="N17" s="904">
        <f>+IFERROR(VLOOKUP(N$6&amp;"-"&amp;$M17&amp;"_old",Ammortamento_Finanziario!$H:$L,5,FALSE),VLOOKUP($M17,TT_Tabelle_Riferimento!$H$31:$I$50,2,FALSE))</f>
        <v>20</v>
      </c>
      <c r="O17" s="904">
        <f>+IFERROR(VLOOKUP(O$6&amp;"-"&amp;$M17&amp;"_old",Ammortamento_Finanziario!$H:$L,5,FALSE),VLOOKUP($M17,TT_Tabelle_Riferimento!$H$31:$I$50,2,FALSE))</f>
        <v>20</v>
      </c>
      <c r="P17" s="904">
        <f>+IFERROR(VLOOKUP(P$6&amp;"-"&amp;$M17&amp;"_old",Ammortamento_Finanziario!$H:$L,5,FALSE),VLOOKUP($M17,TT_Tabelle_Riferimento!$H$31:$I$50,2,FALSE))</f>
        <v>20</v>
      </c>
      <c r="Q17" s="904">
        <f>+IFERROR(VLOOKUP(Q$6&amp;"-"&amp;$M17&amp;"_old",Ammortamento_Finanziario!$H:$L,5,FALSE),VLOOKUP($M17,TT_Tabelle_Riferimento!$H$31:$I$50,2,FALSE))</f>
        <v>20</v>
      </c>
      <c r="R17" s="904">
        <f>+IFERROR(VLOOKUP(R$6&amp;"-"&amp;$M17&amp;"_old",Ammortamento_Finanziario!$H:$L,5,FALSE),VLOOKUP($M17,TT_Tabelle_Riferimento!$H$31:$I$50,2,FALSE))</f>
        <v>20</v>
      </c>
      <c r="S17" s="904">
        <f>+IFERROR(VLOOKUP(S$6&amp;"-"&amp;$M17&amp;"_old",Ammortamento_Finanziario!$H:$L,5,FALSE),VLOOKUP($M17,TT_Tabelle_Riferimento!$H$31:$I$50,2,FALSE))</f>
        <v>20</v>
      </c>
      <c r="T17" s="904">
        <f>+IFERROR(VLOOKUP(T$6&amp;"-"&amp;$M17&amp;"_old",Ammortamento_Finanziario!$H:$L,5,FALSE),VLOOKUP($M17,TT_Tabelle_Riferimento!$H$31:$I$50,2,FALSE))</f>
        <v>20</v>
      </c>
      <c r="U17" s="904">
        <f>+IFERROR(VLOOKUP(U$6&amp;"-"&amp;$M17&amp;"_old",Ammortamento_Finanziario!$H:$L,5,FALSE),VLOOKUP($M17,TT_Tabelle_Riferimento!$H$31:$I$50,2,FALSE))</f>
        <v>20</v>
      </c>
      <c r="V17" s="904">
        <f>+IFERROR(VLOOKUP(V$6&amp;"-"&amp;$M17&amp;"_old",Ammortamento_Finanziario!$H:$L,5,FALSE),VLOOKUP($M17,TT_Tabelle_Riferimento!$H$31:$I$50,2,FALSE))</f>
        <v>20</v>
      </c>
      <c r="W17" s="904">
        <f>+IFERROR(VLOOKUP(W$6&amp;"-"&amp;$M17&amp;"_old",Ammortamento_Finanziario!$H:$L,5,FALSE),VLOOKUP($M17,TT_Tabelle_Riferimento!$H$31:$I$50,2,FALSE))</f>
        <v>20</v>
      </c>
      <c r="X17" s="1739">
        <f>+IFERROR(VLOOKUP(X$6&amp;"-"&amp;$M17&amp;"_old",Ammortamento_Finanziario!$H:$L,5,FALSE),VLOOKUP($M17,TT_Tabelle_Riferimento!$H$31:$I$50,2,FALSE))</f>
        <v>20</v>
      </c>
      <c r="Y17" s="1739">
        <f>+IFERROR(VLOOKUP(Y$6&amp;"-"&amp;$M17&amp;"_old",Ammortamento_Finanziario!$H:$L,5,FALSE),VLOOKUP($M17,TT_Tabelle_Riferimento!$H$31:$I$50,2,FALSE))</f>
        <v>20</v>
      </c>
      <c r="Z17" s="1749">
        <f>+IFERROR(VLOOKUP(Z$6&amp;"-"&amp;$M17&amp;"_old",Ammortamento_Finanziario!$H:$L,5,FALSE),VLOOKUP($M17,TT_Tabelle_Riferimento!$H$31:$I$50,2,FALSE))</f>
        <v>20</v>
      </c>
      <c r="AA17" s="1749">
        <f>+IFERROR(VLOOKUP(AA$6&amp;"-"&amp;$M17&amp;"_old",Ammortamento_Finanziario!$H:$L,5,FALSE),VLOOKUP($M17,TT_Tabelle_Riferimento!$H$31:$I$50,2,FALSE))</f>
        <v>20</v>
      </c>
      <c r="AB17" s="1749">
        <f>+IFERROR(VLOOKUP(AB$6&amp;"-"&amp;$M17&amp;"_old",Ammortamento_Finanziario!$H:$L,5,FALSE),VLOOKUP($M17,TT_Tabelle_Riferimento!$H$31:$I$50,2,FALSE))</f>
        <v>20</v>
      </c>
      <c r="AC17" s="1749">
        <f>+IFERROR(VLOOKUP(AC$6&amp;"-"&amp;$M17&amp;"_old",Ammortamento_Finanziario!$H:$L,5,FALSE),VLOOKUP($M17,TT_Tabelle_Riferimento!$H$31:$I$50,2,FALSE))</f>
        <v>20</v>
      </c>
      <c r="AD17" s="1749">
        <f>+IFERROR(VLOOKUP(AD$6&amp;"-"&amp;$M17&amp;"_old",Ammortamento_Finanziario!$H:$L,5,FALSE),VLOOKUP($M17,TT_Tabelle_Riferimento!$H$31:$I$50,2,FALSE))</f>
        <v>20</v>
      </c>
      <c r="AE17" s="1749">
        <f>+IFERROR(VLOOKUP(AE$6&amp;"-"&amp;$M17&amp;"_old",Ammortamento_Finanziario!$H:$L,5,FALSE),VLOOKUP($M17,TT_Tabelle_Riferimento!$H$31:$I$50,2,FALSE))</f>
        <v>20</v>
      </c>
      <c r="AF17" s="625">
        <f>+IFERROR(VLOOKUP(AF$6&amp;"-"&amp;$M17&amp;"_old",Ammortamento_Finanziario!$H:$L,5,FALSE),VLOOKUP($M17,TT_Tabelle_Riferimento!$H$31:$I$50,2,FALSE))</f>
        <v>20</v>
      </c>
      <c r="AG17" s="625">
        <f>+IFERROR(VLOOKUP(AG$6&amp;"-"&amp;$M17&amp;"_old",Ammortamento_Finanziario!$H:$L,5,FALSE),VLOOKUP($M17,TT_Tabelle_Riferimento!$H$31:$I$50,2,FALSE))</f>
        <v>20</v>
      </c>
      <c r="AH17" s="625">
        <f>+IFERROR(VLOOKUP(AH$6&amp;"-"&amp;$M17&amp;"_old",Ammortamento_Finanziario!$H:$L,5,FALSE),VLOOKUP($M17,TT_Tabelle_Riferimento!$H$31:$I$50,2,FALSE))</f>
        <v>20</v>
      </c>
      <c r="AI17" s="625">
        <f>+IFERROR(VLOOKUP(AI$6&amp;"-"&amp;$M17&amp;"_old",Ammortamento_Finanziario!$H:$L,5,FALSE),VLOOKUP($M17,TT_Tabelle_Riferimento!$H$31:$I$50,2,FALSE))</f>
        <v>20</v>
      </c>
      <c r="AJ17" s="625">
        <f>+IFERROR(VLOOKUP(AJ$6&amp;"-"&amp;$M17&amp;"_old",Ammortamento_Finanziario!$H:$L,5,FALSE),VLOOKUP($M17,TT_Tabelle_Riferimento!$H$31:$I$50,2,FALSE))</f>
        <v>20</v>
      </c>
      <c r="AK17" s="625">
        <f>+IFERROR(VLOOKUP(AK$6&amp;"-"&amp;$M17&amp;"_old",Ammortamento_Finanziario!$H:$L,5,FALSE),VLOOKUP($M17,TT_Tabelle_Riferimento!$H$31:$I$50,2,FALSE))</f>
        <v>20</v>
      </c>
      <c r="AL17" s="625">
        <f>+IFERROR(VLOOKUP(AL$6&amp;"-"&amp;$M17&amp;"_old",Ammortamento_Finanziario!$H:$L,5,FALSE),VLOOKUP($M17,TT_Tabelle_Riferimento!$H$31:$I$50,2,FALSE))</f>
        <v>20</v>
      </c>
      <c r="AM17" s="625">
        <f>+IFERROR(VLOOKUP(AM$6&amp;"-"&amp;$M17&amp;"_old",Ammortamento_Finanziario!$H:$L,5,FALSE),VLOOKUP($M17,TT_Tabelle_Riferimento!$H$31:$I$50,2,FALSE))</f>
        <v>20</v>
      </c>
      <c r="AN17" s="625">
        <f>+IFERROR(VLOOKUP(AN$6&amp;"-"&amp;$M17&amp;"_old",Ammortamento_Finanziario!$H:$L,5,FALSE),VLOOKUP($M17,TT_Tabelle_Riferimento!$H$31:$I$50,2,FALSE))</f>
        <v>20</v>
      </c>
      <c r="AO17" s="625">
        <f>+IFERROR(VLOOKUP(AO$6&amp;"-"&amp;$M17&amp;"_old",Ammortamento_Finanziario!$H:$L,5,FALSE),VLOOKUP($M17,TT_Tabelle_Riferimento!$H$31:$I$50,2,FALSE))</f>
        <v>20</v>
      </c>
      <c r="AP17" s="625">
        <f>+IFERROR(VLOOKUP(AP$6&amp;"-"&amp;$M17&amp;"_old",Ammortamento_Finanziario!$H:$L,5,FALSE),VLOOKUP($M17,TT_Tabelle_Riferimento!$H$31:$I$50,2,FALSE))</f>
        <v>20</v>
      </c>
      <c r="AQ17" s="625">
        <f>+IFERROR(VLOOKUP(AQ$6&amp;"-"&amp;$M17&amp;"_old",Ammortamento_Finanziario!$H:$L,5,FALSE),VLOOKUP($M17,TT_Tabelle_Riferimento!$H$31:$I$50,2,FALSE))</f>
        <v>20</v>
      </c>
      <c r="AR17" s="625">
        <f>+IFERROR(VLOOKUP(AR$6&amp;"-"&amp;$M17&amp;"_old",Ammortamento_Finanziario!$H:$L,5,FALSE),VLOOKUP($M17,TT_Tabelle_Riferimento!$H$31:$I$50,2,FALSE))</f>
        <v>20</v>
      </c>
      <c r="AS17" s="625">
        <f>+IFERROR(VLOOKUP(AS$6&amp;"-"&amp;$M17&amp;"_old",Ammortamento_Finanziario!$H:$L,5,FALSE),VLOOKUP($M17,TT_Tabelle_Riferimento!$H$31:$I$50,2,FALSE))</f>
        <v>20</v>
      </c>
      <c r="AT17" s="625">
        <f>+IFERROR(VLOOKUP(AT$6&amp;"-"&amp;$M17&amp;"_old",Ammortamento_Finanziario!$H:$L,5,FALSE),VLOOKUP($M17,TT_Tabelle_Riferimento!$H$31:$I$50,2,FALSE))</f>
        <v>20</v>
      </c>
      <c r="AU17" s="625">
        <f>+IFERROR(VLOOKUP(AU$6&amp;"-"&amp;$M17&amp;"_old",Ammortamento_Finanziario!$H:$L,5,FALSE),VLOOKUP($M17,TT_Tabelle_Riferimento!$H$31:$I$50,2,FALSE))</f>
        <v>20</v>
      </c>
      <c r="AV17" s="625">
        <f>+IFERROR(VLOOKUP(AV$6&amp;"-"&amp;$M17&amp;"_old",Ammortamento_Finanziario!$H:$L,5,FALSE),VLOOKUP($M17,TT_Tabelle_Riferimento!$H$31:$I$50,2,FALSE))</f>
        <v>20</v>
      </c>
      <c r="AW17" s="625">
        <f>+IFERROR(VLOOKUP(AW$6&amp;"-"&amp;$M17&amp;"_old",Ammortamento_Finanziario!$H:$L,5,FALSE),VLOOKUP($M17,TT_Tabelle_Riferimento!$H$31:$I$50,2,FALSE))</f>
        <v>20</v>
      </c>
      <c r="AX17" s="625">
        <f>+IFERROR(VLOOKUP(AX$6&amp;"-"&amp;$M17&amp;"_old",Ammortamento_Finanziario!$H:$L,5,FALSE),VLOOKUP($M17,TT_Tabelle_Riferimento!$H$31:$I$50,2,FALSE))</f>
        <v>20</v>
      </c>
      <c r="AY17" s="905">
        <f>+IFERROR(VLOOKUP(AY$6&amp;"-"&amp;$M17&amp;"_old",Ammortamento_Finanziario!$H:$L,5,FALSE),VLOOKUP($M17,TT_Tabelle_Riferimento!$H$31:$I$50,2,FALSE))</f>
        <v>20</v>
      </c>
      <c r="AZ17" s="905">
        <f>+IFERROR(VLOOKUP(AZ$6&amp;"-"&amp;$M17&amp;"_old",Ammortamento_Finanziario!$H:$L,5,FALSE),VLOOKUP($M17,TT_Tabelle_Riferimento!$H$31:$I$50,2,FALSE))</f>
        <v>20</v>
      </c>
      <c r="BA17" s="905">
        <f>+IFERROR(VLOOKUP(BA$6&amp;"-"&amp;$M17&amp;"_old",Ammortamento_Finanziario!$H:$L,5,FALSE),VLOOKUP($M17,TT_Tabelle_Riferimento!$H$31:$I$50,2,FALSE))</f>
        <v>20</v>
      </c>
      <c r="BB17" s="905">
        <f>+IFERROR(VLOOKUP(BB$6&amp;"-"&amp;$M17&amp;"_old",Ammortamento_Finanziario!$H:$L,5,FALSE),VLOOKUP($M17,TT_Tabelle_Riferimento!$H$31:$I$50,2,FALSE))</f>
        <v>20</v>
      </c>
      <c r="BC17" s="905">
        <f>+IFERROR(VLOOKUP(BC$6&amp;"-"&amp;$M17&amp;"_old",Ammortamento_Finanziario!$H:$L,5,FALSE),VLOOKUP($M17,TT_Tabelle_Riferimento!$H$31:$I$50,2,FALSE))</f>
        <v>20</v>
      </c>
      <c r="BD17" s="905">
        <f>+IFERROR(VLOOKUP(BD$6&amp;"-"&amp;$M17&amp;"_old",Ammortamento_Finanziario!$H:$L,5,FALSE),VLOOKUP($M17,TT_Tabelle_Riferimento!$H$31:$I$50,2,FALSE))</f>
        <v>20</v>
      </c>
      <c r="BE17" s="905">
        <f>+IFERROR(VLOOKUP(BE$6&amp;"-"&amp;$M17&amp;"_old",Ammortamento_Finanziario!$H:$L,5,FALSE),VLOOKUP($M17,TT_Tabelle_Riferimento!$H$31:$I$50,2,FALSE))</f>
        <v>20</v>
      </c>
      <c r="BF17" s="905">
        <f>+IFERROR(VLOOKUP(BF$6&amp;"-"&amp;$M17&amp;"_old",Ammortamento_Finanziario!$H:$L,5,FALSE),VLOOKUP($M17,TT_Tabelle_Riferimento!$H$31:$I$50,2,FALSE))</f>
        <v>20</v>
      </c>
      <c r="BG17" s="1740">
        <f>+IFERROR(VLOOKUP(BG$6&amp;"-"&amp;$M17&amp;"_old",Ammortamento_Finanziario!$H:$L,5,FALSE),VLOOKUP($M17,TT_Tabelle_Riferimento!$H$31:$I$50,2,FALSE))</f>
        <v>20</v>
      </c>
      <c r="BH17" s="1740">
        <f>+IFERROR(VLOOKUP(BH$6&amp;"-"&amp;$M17&amp;"_old",Ammortamento_Finanziario!$H:$L,5,FALSE),VLOOKUP($M17,TT_Tabelle_Riferimento!$H$31:$I$50,2,FALSE))</f>
        <v>20</v>
      </c>
      <c r="BI17" s="1749">
        <f>+IFERROR(VLOOKUP(BI$6&amp;"-"&amp;$M17&amp;"_old",Ammortamento_Finanziario!$H:$L,5,FALSE),VLOOKUP($M17,TT_Tabelle_Riferimento!$H$31:$I$50,2,FALSE))</f>
        <v>20</v>
      </c>
      <c r="BJ17" s="1749">
        <f>+IFERROR(VLOOKUP(BJ$6&amp;"-"&amp;$M17&amp;"_old",Ammortamento_Finanziario!$H:$L,5,FALSE),VLOOKUP($M17,TT_Tabelle_Riferimento!$H$31:$I$50,2,FALSE))</f>
        <v>20</v>
      </c>
      <c r="BK17" s="1749">
        <f>+IFERROR(VLOOKUP(BK$6&amp;"-"&amp;$M17&amp;"_old",Ammortamento_Finanziario!$H:$L,5,FALSE),VLOOKUP($M17,TT_Tabelle_Riferimento!$H$31:$I$50,2,FALSE))</f>
        <v>20</v>
      </c>
      <c r="BL17" s="1749">
        <f>+IFERROR(VLOOKUP(BL$6&amp;"-"&amp;$M17&amp;"_old",Ammortamento_Finanziario!$H:$L,5,FALSE),VLOOKUP($M17,TT_Tabelle_Riferimento!$H$31:$I$50,2,FALSE))</f>
        <v>20</v>
      </c>
      <c r="BM17" s="1749">
        <f>+IFERROR(VLOOKUP(BM$6&amp;"-"&amp;$M17&amp;"_old",Ammortamento_Finanziario!$H:$L,5,FALSE),VLOOKUP($M17,TT_Tabelle_Riferimento!$H$31:$I$50,2,FALSE))</f>
        <v>20</v>
      </c>
      <c r="BN17" s="1749">
        <f>+IFERROR(VLOOKUP(BN$6&amp;"-"&amp;$M17&amp;"_old",Ammortamento_Finanziario!$H:$L,5,FALSE),VLOOKUP($M17,TT_Tabelle_Riferimento!$H$31:$I$50,2,FALSE))</f>
        <v>20</v>
      </c>
      <c r="BO17" s="625">
        <f>+IFERROR(VLOOKUP(BO$6&amp;"-"&amp;$M17&amp;"_old",Ammortamento_Finanziario!$H:$L,5,FALSE),VLOOKUP($M17,TT_Tabelle_Riferimento!$H$31:$I$50,2,FALSE))</f>
        <v>20</v>
      </c>
      <c r="BP17" s="625">
        <f>+IFERROR(VLOOKUP(BP$6&amp;"-"&amp;$M17&amp;"_old",Ammortamento_Finanziario!$H:$L,5,FALSE),VLOOKUP($M17,TT_Tabelle_Riferimento!$H$31:$I$50,2,FALSE))</f>
        <v>20</v>
      </c>
      <c r="BQ17" s="625">
        <f>+IFERROR(VLOOKUP(BQ$6&amp;"-"&amp;$M17&amp;"_old",Ammortamento_Finanziario!$H:$L,5,FALSE),VLOOKUP($M17,TT_Tabelle_Riferimento!$H$31:$I$50,2,FALSE))</f>
        <v>20</v>
      </c>
      <c r="BR17" s="625">
        <f>+IFERROR(VLOOKUP(BR$6&amp;"-"&amp;$M17&amp;"_old",Ammortamento_Finanziario!$H:$L,5,FALSE),VLOOKUP($M17,TT_Tabelle_Riferimento!$H$31:$I$50,2,FALSE))</f>
        <v>20</v>
      </c>
      <c r="BS17" s="625">
        <f>+IFERROR(VLOOKUP(BS$6&amp;"-"&amp;$M17&amp;"_old",Ammortamento_Finanziario!$H:$L,5,FALSE),VLOOKUP($M17,TT_Tabelle_Riferimento!$H$31:$I$50,2,FALSE))</f>
        <v>20</v>
      </c>
      <c r="BT17" s="625">
        <f>+IFERROR(VLOOKUP(BT$6&amp;"-"&amp;$M17&amp;"_old",Ammortamento_Finanziario!$H:$L,5,FALSE),VLOOKUP($M17,TT_Tabelle_Riferimento!$H$31:$I$50,2,FALSE))</f>
        <v>20</v>
      </c>
      <c r="BU17" s="625">
        <f>+IFERROR(VLOOKUP(BU$6&amp;"-"&amp;$M17&amp;"_old",Ammortamento_Finanziario!$H:$L,5,FALSE),VLOOKUP($M17,TT_Tabelle_Riferimento!$H$31:$I$50,2,FALSE))</f>
        <v>20</v>
      </c>
      <c r="BV17" s="625">
        <f>+IFERROR(VLOOKUP(BV$6&amp;"-"&amp;$M17&amp;"_old",Ammortamento_Finanziario!$H:$L,5,FALSE),VLOOKUP($M17,TT_Tabelle_Riferimento!$H$31:$I$50,2,FALSE))</f>
        <v>20</v>
      </c>
      <c r="BW17" s="625">
        <f>+IFERROR(VLOOKUP(BW$6&amp;"-"&amp;$M17&amp;"_old",Ammortamento_Finanziario!$H:$L,5,FALSE),VLOOKUP($M17,TT_Tabelle_Riferimento!$H$31:$I$50,2,FALSE))</f>
        <v>20</v>
      </c>
      <c r="BX17" s="625">
        <f>+IFERROR(VLOOKUP(BX$6&amp;"-"&amp;$M17&amp;"_old",Ammortamento_Finanziario!$H:$L,5,FALSE),VLOOKUP($M17,TT_Tabelle_Riferimento!$H$31:$I$50,2,FALSE))</f>
        <v>20</v>
      </c>
      <c r="BY17" s="625">
        <f>+IFERROR(VLOOKUP(BY$6&amp;"-"&amp;$M17&amp;"_old",Ammortamento_Finanziario!$H:$L,5,FALSE),VLOOKUP($M17,TT_Tabelle_Riferimento!$H$31:$I$50,2,FALSE))</f>
        <v>20</v>
      </c>
      <c r="BZ17" s="625">
        <f>+IFERROR(VLOOKUP(BZ$6&amp;"-"&amp;$M17&amp;"_old",Ammortamento_Finanziario!$H:$L,5,FALSE),VLOOKUP($M17,TT_Tabelle_Riferimento!$H$31:$I$50,2,FALSE))</f>
        <v>20</v>
      </c>
      <c r="CA17" s="625">
        <f>+IFERROR(VLOOKUP(CA$6&amp;"-"&amp;$M17&amp;"_old",Ammortamento_Finanziario!$H:$L,5,FALSE),VLOOKUP($M17,TT_Tabelle_Riferimento!$H$31:$I$50,2,FALSE))</f>
        <v>20</v>
      </c>
      <c r="CB17" s="625">
        <f>+IFERROR(VLOOKUP(CB$6&amp;"-"&amp;$M17&amp;"_old",Ammortamento_Finanziario!$H:$L,5,FALSE),VLOOKUP($M17,TT_Tabelle_Riferimento!$H$31:$I$50,2,FALSE))</f>
        <v>20</v>
      </c>
      <c r="CC17" s="625">
        <f>+IFERROR(VLOOKUP(CC$6&amp;"-"&amp;$M17&amp;"_old",Ammortamento_Finanziario!$H:$L,5,FALSE),VLOOKUP($M17,TT_Tabelle_Riferimento!$H$31:$I$50,2,FALSE))</f>
        <v>20</v>
      </c>
      <c r="CD17" s="625">
        <f>+IFERROR(VLOOKUP(CD$6&amp;"-"&amp;$M17&amp;"_old",Ammortamento_Finanziario!$H:$L,5,FALSE),VLOOKUP($M17,TT_Tabelle_Riferimento!$H$31:$I$50,2,FALSE))</f>
        <v>20</v>
      </c>
      <c r="CE17" s="625">
        <f>+IFERROR(VLOOKUP(CE$6&amp;"-"&amp;$M17&amp;"_old",Ammortamento_Finanziario!$H:$L,5,FALSE),VLOOKUP($M17,TT_Tabelle_Riferimento!$H$31:$I$50,2,FALSE))</f>
        <v>20</v>
      </c>
      <c r="CF17" s="625">
        <f>+IFERROR(VLOOKUP(CF$6&amp;"-"&amp;$M17&amp;"_old",Ammortamento_Finanziario!$H:$L,5,FALSE),VLOOKUP($M17,TT_Tabelle_Riferimento!$H$31:$I$50,2,FALSE))</f>
        <v>20</v>
      </c>
      <c r="CG17" s="625">
        <f>+IFERROR(VLOOKUP(CG$6&amp;"-"&amp;$M17&amp;"_old",Ammortamento_Finanziario!$H:$L,5,FALSE),VLOOKUP($M17,TT_Tabelle_Riferimento!$H$31:$I$50,2,FALSE))</f>
        <v>20</v>
      </c>
      <c r="CH17" s="905">
        <f>+IFERROR(VLOOKUP(CH$6&amp;"-"&amp;$M17&amp;"_old",Ammortamento_Finanziario!$H:$L,5,FALSE),VLOOKUP($M17,TT_Tabelle_Riferimento!$H$31:$I$50,2,FALSE))</f>
        <v>20</v>
      </c>
      <c r="CI17" s="905">
        <f>+IFERROR(VLOOKUP(CI$6&amp;"-"&amp;$M17&amp;"_old",Ammortamento_Finanziario!$H:$L,5,FALSE),VLOOKUP($M17,TT_Tabelle_Riferimento!$H$31:$I$50,2,FALSE))</f>
        <v>20</v>
      </c>
      <c r="CJ17" s="905">
        <f>+IFERROR(VLOOKUP(CJ$6&amp;"-"&amp;$M17&amp;"_old",Ammortamento_Finanziario!$H:$L,5,FALSE),VLOOKUP($M17,TT_Tabelle_Riferimento!$H$31:$I$50,2,FALSE))</f>
        <v>20</v>
      </c>
      <c r="CK17" s="905">
        <f>+IFERROR(VLOOKUP(CK$6&amp;"-"&amp;$M17&amp;"_old",Ammortamento_Finanziario!$H:$L,5,FALSE),VLOOKUP($M17,TT_Tabelle_Riferimento!$H$31:$I$50,2,FALSE))</f>
        <v>20</v>
      </c>
      <c r="CL17" s="905">
        <f>+IFERROR(VLOOKUP(CL$6&amp;"-"&amp;$M17&amp;"_old",Ammortamento_Finanziario!$H:$L,5,FALSE),VLOOKUP($M17,TT_Tabelle_Riferimento!$H$31:$I$50,2,FALSE))</f>
        <v>20</v>
      </c>
      <c r="CM17" s="905">
        <f>+IFERROR(VLOOKUP(CM$6&amp;"-"&amp;$M17&amp;"_old",Ammortamento_Finanziario!$H:$L,5,FALSE),VLOOKUP($M17,TT_Tabelle_Riferimento!$H$31:$I$50,2,FALSE))</f>
        <v>20</v>
      </c>
      <c r="CN17" s="905">
        <f>+IFERROR(VLOOKUP(CN$6&amp;"-"&amp;$M17&amp;"_old",Ammortamento_Finanziario!$H:$L,5,FALSE),VLOOKUP($M17,TT_Tabelle_Riferimento!$H$31:$I$50,2,FALSE))</f>
        <v>20</v>
      </c>
      <c r="CO17" s="1740">
        <f>+IFERROR(VLOOKUP(CO$6&amp;"-"&amp;$M17&amp;"_old",Ammortamento_Finanziario!$H:$L,5,FALSE),VLOOKUP($M17,TT_Tabelle_Riferimento!$H$31:$I$50,2,FALSE))</f>
        <v>20</v>
      </c>
      <c r="CP17" s="1740">
        <f>+IFERROR(VLOOKUP(CP$6&amp;"-"&amp;$M17&amp;"_old",Ammortamento_Finanziario!$H:$L,5,FALSE),VLOOKUP($M17,TT_Tabelle_Riferimento!$H$31:$I$50,2,FALSE))</f>
        <v>20</v>
      </c>
      <c r="CQ17" s="1749">
        <f>+IFERROR(VLOOKUP(CQ$6&amp;"-"&amp;$M17&amp;"_old",Ammortamento_Finanziario!$H:$L,5,FALSE),VLOOKUP($M17,TT_Tabelle_Riferimento!$H$31:$I$50,2,FALSE))</f>
        <v>20</v>
      </c>
      <c r="CR17" s="1749">
        <f>+IFERROR(VLOOKUP(CR$6&amp;"-"&amp;$M17&amp;"_old",Ammortamento_Finanziario!$H:$L,5,FALSE),VLOOKUP($M17,TT_Tabelle_Riferimento!$H$31:$I$50,2,FALSE))</f>
        <v>20</v>
      </c>
      <c r="CS17" s="1749">
        <f>+IFERROR(VLOOKUP(CS$6&amp;"-"&amp;$M17&amp;"_old",Ammortamento_Finanziario!$H:$L,5,FALSE),VLOOKUP($M17,TT_Tabelle_Riferimento!$H$31:$I$50,2,FALSE))</f>
        <v>20</v>
      </c>
      <c r="CT17" s="1749">
        <f>+IFERROR(VLOOKUP(CT$6&amp;"-"&amp;$M17&amp;"_old",Ammortamento_Finanziario!$H:$L,5,FALSE),VLOOKUP($M17,TT_Tabelle_Riferimento!$H$31:$I$50,2,FALSE))</f>
        <v>20</v>
      </c>
      <c r="CU17" s="1749">
        <f>+IFERROR(VLOOKUP(CU$6&amp;"-"&amp;$M17&amp;"_old",Ammortamento_Finanziario!$H:$L,5,FALSE),VLOOKUP($M17,TT_Tabelle_Riferimento!$H$31:$I$50,2,FALSE))</f>
        <v>20</v>
      </c>
      <c r="CV17" s="1749">
        <f>+IFERROR(VLOOKUP(CV$6&amp;"-"&amp;$M17&amp;"_old",Ammortamento_Finanziario!$H:$L,5,FALSE),VLOOKUP($M17,TT_Tabelle_Riferimento!$H$31:$I$50,2,FALSE))</f>
        <v>20</v>
      </c>
      <c r="CW17" s="625">
        <f>+IFERROR(VLOOKUP(CW$6&amp;"-"&amp;$M17&amp;"_old",Ammortamento_Finanziario!$H:$L,5,FALSE),VLOOKUP($M17,TT_Tabelle_Riferimento!$H$31:$I$50,2,FALSE))</f>
        <v>20</v>
      </c>
      <c r="CX17" s="625">
        <f>+IFERROR(VLOOKUP(CX$6&amp;"-"&amp;$M17&amp;"_old",Ammortamento_Finanziario!$H:$L,5,FALSE),VLOOKUP($M17,TT_Tabelle_Riferimento!$H$31:$I$50,2,FALSE))</f>
        <v>20</v>
      </c>
      <c r="CY17" s="625">
        <f>+IFERROR(VLOOKUP(CY$6&amp;"-"&amp;$M17&amp;"_old",Ammortamento_Finanziario!$H:$L,5,FALSE),VLOOKUP($M17,TT_Tabelle_Riferimento!$H$31:$I$50,2,FALSE))</f>
        <v>20</v>
      </c>
      <c r="CZ17" s="625">
        <f>+IFERROR(VLOOKUP(CZ$6&amp;"-"&amp;$M17&amp;"_old",Ammortamento_Finanziario!$H:$L,5,FALSE),VLOOKUP($M17,TT_Tabelle_Riferimento!$H$31:$I$50,2,FALSE))</f>
        <v>20</v>
      </c>
      <c r="DA17" s="625">
        <f>+IFERROR(VLOOKUP(DA$6&amp;"-"&amp;$M17&amp;"_old",Ammortamento_Finanziario!$H:$L,5,FALSE),VLOOKUP($M17,TT_Tabelle_Riferimento!$H$31:$I$50,2,FALSE))</f>
        <v>20</v>
      </c>
      <c r="DB17" s="625">
        <f>+IFERROR(VLOOKUP(DB$6&amp;"-"&amp;$M17&amp;"_old",Ammortamento_Finanziario!$H:$L,5,FALSE),VLOOKUP($M17,TT_Tabelle_Riferimento!$H$31:$I$50,2,FALSE))</f>
        <v>20</v>
      </c>
      <c r="DC17" s="625">
        <f>+IFERROR(VLOOKUP(DC$6&amp;"-"&amp;$M17&amp;"_old",Ammortamento_Finanziario!$H:$L,5,FALSE),VLOOKUP($M17,TT_Tabelle_Riferimento!$H$31:$I$50,2,FALSE))</f>
        <v>20</v>
      </c>
      <c r="DD17" s="625">
        <f>+IFERROR(VLOOKUP(DD$6&amp;"-"&amp;$M17&amp;"_old",Ammortamento_Finanziario!$H:$L,5,FALSE),VLOOKUP($M17,TT_Tabelle_Riferimento!$H$31:$I$50,2,FALSE))</f>
        <v>20</v>
      </c>
      <c r="DE17" s="625">
        <f>+IFERROR(VLOOKUP(DE$6&amp;"-"&amp;$M17&amp;"_old",Ammortamento_Finanziario!$H:$L,5,FALSE),VLOOKUP($M17,TT_Tabelle_Riferimento!$H$31:$I$50,2,FALSE))</f>
        <v>20</v>
      </c>
      <c r="DF17" s="625">
        <f>+IFERROR(VLOOKUP(DF$6&amp;"-"&amp;$M17&amp;"_old",Ammortamento_Finanziario!$H:$L,5,FALSE),VLOOKUP($M17,TT_Tabelle_Riferimento!$H$31:$I$50,2,FALSE))</f>
        <v>20</v>
      </c>
      <c r="DG17" s="625">
        <f>+IFERROR(VLOOKUP(DG$6&amp;"-"&amp;$M17&amp;"_old",Ammortamento_Finanziario!$H:$L,5,FALSE),VLOOKUP($M17,TT_Tabelle_Riferimento!$H$31:$I$50,2,FALSE))</f>
        <v>20</v>
      </c>
      <c r="DH17" s="625">
        <f>+IFERROR(VLOOKUP(DH$6&amp;"-"&amp;$M17&amp;"_old",Ammortamento_Finanziario!$H:$L,5,FALSE),VLOOKUP($M17,TT_Tabelle_Riferimento!$H$31:$I$50,2,FALSE))</f>
        <v>20</v>
      </c>
      <c r="DI17" s="625">
        <f>+IFERROR(VLOOKUP(DI$6&amp;"-"&amp;$M17&amp;"_old",Ammortamento_Finanziario!$H:$L,5,FALSE),VLOOKUP($M17,TT_Tabelle_Riferimento!$H$31:$I$50,2,FALSE))</f>
        <v>20</v>
      </c>
      <c r="DJ17" s="625">
        <f>+IFERROR(VLOOKUP(DJ$6&amp;"-"&amp;$M17&amp;"_old",Ammortamento_Finanziario!$H:$L,5,FALSE),VLOOKUP($M17,TT_Tabelle_Riferimento!$H$31:$I$50,2,FALSE))</f>
        <v>20</v>
      </c>
      <c r="DK17" s="625">
        <f>+IFERROR(VLOOKUP(DK$6&amp;"-"&amp;$M17&amp;"_old",Ammortamento_Finanziario!$H:$L,5,FALSE),VLOOKUP($M17,TT_Tabelle_Riferimento!$H$31:$I$50,2,FALSE))</f>
        <v>20</v>
      </c>
      <c r="DL17" s="625">
        <f>+IFERROR(VLOOKUP(DL$6&amp;"-"&amp;$M17&amp;"_old",Ammortamento_Finanziario!$H:$L,5,FALSE),VLOOKUP($M17,TT_Tabelle_Riferimento!$H$31:$I$50,2,FALSE))</f>
        <v>20</v>
      </c>
      <c r="DM17" s="625">
        <f>+IFERROR(VLOOKUP(DM$6&amp;"-"&amp;$M17&amp;"_old",Ammortamento_Finanziario!$H:$L,5,FALSE),VLOOKUP($M17,TT_Tabelle_Riferimento!$H$31:$I$50,2,FALSE))</f>
        <v>20</v>
      </c>
      <c r="DN17" s="625">
        <f>+IFERROR(VLOOKUP(DN$6&amp;"-"&amp;$M17&amp;"_old",Ammortamento_Finanziario!$H:$L,5,FALSE),VLOOKUP($M17,TT_Tabelle_Riferimento!$H$31:$I$50,2,FALSE))</f>
        <v>20</v>
      </c>
      <c r="DO17" s="625">
        <f>+IFERROR(VLOOKUP(DO$6&amp;"-"&amp;$M17&amp;"_old",Ammortamento_Finanziario!$H:$L,5,FALSE),VLOOKUP($M17,TT_Tabelle_Riferimento!$H$31:$I$50,2,FALSE))</f>
        <v>20</v>
      </c>
      <c r="DP17" s="636">
        <f>+IFERROR(VLOOKUP(DP$6&amp;"-"&amp;$M17&amp;"_old",Ammortamento_Finanziario!$H:$L,5,FALSE),VLOOKUP($M17,TT_Tabelle_Riferimento!$H$31:$I$50,2,FALSE))</f>
        <v>20</v>
      </c>
      <c r="DQ17" s="636">
        <f>+IFERROR(VLOOKUP(DQ$6&amp;"-"&amp;$M17&amp;"_old",Ammortamento_Finanziario!$H:$L,5,FALSE),VLOOKUP($M17,TT_Tabelle_Riferimento!$H$31:$I$50,2,FALSE))</f>
        <v>20</v>
      </c>
      <c r="DR17" s="636">
        <f>+IFERROR(VLOOKUP(DR$6&amp;"-"&amp;$M17&amp;"_old",Ammortamento_Finanziario!$H:$L,5,FALSE),VLOOKUP($M17,TT_Tabelle_Riferimento!$H$31:$I$50,2,FALSE))</f>
        <v>20</v>
      </c>
      <c r="DS17" s="636">
        <f>+IFERROR(VLOOKUP(DS$6&amp;"-"&amp;$M17&amp;"_old",Ammortamento_Finanziario!$H:$L,5,FALSE),VLOOKUP($M17,TT_Tabelle_Riferimento!$H$31:$I$50,2,FALSE))</f>
        <v>20</v>
      </c>
      <c r="DT17" s="636">
        <f>+IFERROR(VLOOKUP(DT$6&amp;"-"&amp;$M17&amp;"_old",Ammortamento_Finanziario!$H:$L,5,FALSE),VLOOKUP($M17,TT_Tabelle_Riferimento!$H$31:$I$50,2,FALSE))</f>
        <v>20</v>
      </c>
      <c r="DU17" s="636">
        <f>+IFERROR(VLOOKUP(DU$6&amp;"-"&amp;$M17&amp;"_old",Ammortamento_Finanziario!$H:$L,5,FALSE),VLOOKUP($M17,TT_Tabelle_Riferimento!$H$31:$I$50,2,FALSE))</f>
        <v>20</v>
      </c>
      <c r="DV17" s="1742">
        <f>+IFERROR(VLOOKUP(DV$6&amp;"-"&amp;$M17&amp;"_old",Ammortamento_Finanziario!$H:$L,5,FALSE),VLOOKUP($M17,TT_Tabelle_Riferimento!$H$31:$I$50,2,FALSE))</f>
        <v>20</v>
      </c>
      <c r="DW17" s="1742">
        <f>+IFERROR(VLOOKUP(DW$6&amp;"-"&amp;$M17&amp;"_old",Ammortamento_Finanziario!$H:$L,5,FALSE),VLOOKUP($M17,TT_Tabelle_Riferimento!$H$31:$I$50,2,FALSE))</f>
        <v>20</v>
      </c>
      <c r="DX17" s="1750">
        <f>+IFERROR(VLOOKUP(DX$6&amp;"-"&amp;$M17&amp;"_old",Ammortamento_Finanziario!$H:$L,5,FALSE),VLOOKUP($M17,TT_Tabelle_Riferimento!$H$31:$I$50,2,FALSE))</f>
        <v>20</v>
      </c>
      <c r="DY17" s="1750">
        <f>+IFERROR(VLOOKUP(DY$6&amp;"-"&amp;$M17&amp;"_old",Ammortamento_Finanziario!$H:$L,5,FALSE),VLOOKUP($M17,TT_Tabelle_Riferimento!$H$31:$I$50,2,FALSE))</f>
        <v>20</v>
      </c>
      <c r="DZ17" s="1750">
        <f>+IFERROR(VLOOKUP(DZ$6&amp;"-"&amp;$M17&amp;"_old",Ammortamento_Finanziario!$H:$L,5,FALSE),VLOOKUP($M17,TT_Tabelle_Riferimento!$H$31:$I$50,2,FALSE))</f>
        <v>20</v>
      </c>
      <c r="EA17" s="1750">
        <f>+IFERROR(VLOOKUP(EA$6&amp;"-"&amp;$M17&amp;"_old",Ammortamento_Finanziario!$H:$L,5,FALSE),VLOOKUP($M17,TT_Tabelle_Riferimento!$H$31:$I$50,2,FALSE))</f>
        <v>20</v>
      </c>
      <c r="EB17" s="1750">
        <f>+IFERROR(VLOOKUP(EB$6&amp;"-"&amp;$M17&amp;"_old",Ammortamento_Finanziario!$H:$L,5,FALSE),VLOOKUP($M17,TT_Tabelle_Riferimento!$H$31:$I$50,2,FALSE))</f>
        <v>20</v>
      </c>
      <c r="EC17" s="1750">
        <f>+IFERROR(VLOOKUP(EC$6&amp;"-"&amp;$M17&amp;"_old",Ammortamento_Finanziario!$H:$L,5,FALSE),VLOOKUP($M17,TT_Tabelle_Riferimento!$H$31:$I$50,2,FALSE))</f>
        <v>20</v>
      </c>
      <c r="ED17" s="636">
        <f>+IFERROR(VLOOKUP(ED$6&amp;"-"&amp;$M17&amp;"_old",Ammortamento_Finanziario!$H:$L,5,FALSE),VLOOKUP($M17,TT_Tabelle_Riferimento!$H$31:$I$50,2,FALSE))</f>
        <v>20</v>
      </c>
      <c r="EE17" s="636">
        <f>+IFERROR(VLOOKUP(EE$6&amp;"-"&amp;$M17&amp;"_old",Ammortamento_Finanziario!$H:$L,5,FALSE),VLOOKUP($M17,TT_Tabelle_Riferimento!$H$31:$I$50,2,FALSE))</f>
        <v>20</v>
      </c>
      <c r="EF17" s="636">
        <f>+IFERROR(VLOOKUP(EF$6&amp;"-"&amp;$M17&amp;"_old",Ammortamento_Finanziario!$H:$L,5,FALSE),VLOOKUP($M17,TT_Tabelle_Riferimento!$H$31:$I$50,2,FALSE))</f>
        <v>20</v>
      </c>
      <c r="EG17" s="636">
        <f>+IFERROR(VLOOKUP(EG$6&amp;"-"&amp;$M17&amp;"_old",Ammortamento_Finanziario!$H:$L,5,FALSE),VLOOKUP($M17,TT_Tabelle_Riferimento!$H$31:$I$50,2,FALSE))</f>
        <v>20</v>
      </c>
      <c r="EH17" s="636">
        <f>+IFERROR(VLOOKUP(EH$6&amp;"-"&amp;$M17&amp;"_old",Ammortamento_Finanziario!$H:$L,5,FALSE),VLOOKUP($M17,TT_Tabelle_Riferimento!$H$31:$I$50,2,FALSE))</f>
        <v>20</v>
      </c>
      <c r="EI17" s="636">
        <f>+IFERROR(VLOOKUP(EI$6&amp;"-"&amp;$M17&amp;"_old",Ammortamento_Finanziario!$H:$L,5,FALSE),VLOOKUP($M17,TT_Tabelle_Riferimento!$H$31:$I$50,2,FALSE))</f>
        <v>20</v>
      </c>
      <c r="EJ17" s="636">
        <f>+IFERROR(VLOOKUP(EJ$6&amp;"-"&amp;$M17&amp;"_old",Ammortamento_Finanziario!$H:$L,5,FALSE),VLOOKUP($M17,TT_Tabelle_Riferimento!$H$31:$I$50,2,FALSE))</f>
        <v>20</v>
      </c>
      <c r="EK17" s="636">
        <f>+IFERROR(VLOOKUP(EK$6&amp;"-"&amp;$M17&amp;"_old",Ammortamento_Finanziario!$H:$L,5,FALSE),VLOOKUP($M17,TT_Tabelle_Riferimento!$H$31:$I$50,2,FALSE))</f>
        <v>20</v>
      </c>
      <c r="EL17" s="636">
        <f>+IFERROR(VLOOKUP(EL$6&amp;"-"&amp;$M17&amp;"_old",Ammortamento_Finanziario!$H:$L,5,FALSE),VLOOKUP($M17,TT_Tabelle_Riferimento!$H$31:$I$50,2,FALSE))</f>
        <v>20</v>
      </c>
      <c r="EM17" s="636">
        <f>+IFERROR(VLOOKUP(EM$6&amp;"-"&amp;$M17&amp;"_old",Ammortamento_Finanziario!$H:$L,5,FALSE),VLOOKUP($M17,TT_Tabelle_Riferimento!$H$31:$I$50,2,FALSE))</f>
        <v>20</v>
      </c>
      <c r="EN17" s="636">
        <f>+IFERROR(VLOOKUP(EN$6&amp;"-"&amp;$M17&amp;"_old",Ammortamento_Finanziario!$H:$L,5,FALSE),VLOOKUP($M17,TT_Tabelle_Riferimento!$H$31:$I$50,2,FALSE))</f>
        <v>20</v>
      </c>
      <c r="EO17" s="636">
        <f>+IFERROR(VLOOKUP(EO$6&amp;"-"&amp;$M17&amp;"_old",Ammortamento_Finanziario!$H:$L,5,FALSE),VLOOKUP($M17,TT_Tabelle_Riferimento!$H$31:$I$50,2,FALSE))</f>
        <v>20</v>
      </c>
      <c r="EP17" s="636">
        <f>+IFERROR(VLOOKUP(EP$6&amp;"-"&amp;$M17&amp;"_old",Ammortamento_Finanziario!$H:$L,5,FALSE),VLOOKUP($M17,TT_Tabelle_Riferimento!$H$31:$I$50,2,FALSE))</f>
        <v>20</v>
      </c>
      <c r="EQ17" s="636">
        <f>+IFERROR(VLOOKUP(EQ$6&amp;"-"&amp;$M17&amp;"_old",Ammortamento_Finanziario!$H:$L,5,FALSE),VLOOKUP($M17,TT_Tabelle_Riferimento!$H$31:$I$50,2,FALSE))</f>
        <v>20</v>
      </c>
      <c r="ER17" s="636">
        <f>+IFERROR(VLOOKUP(ER$6&amp;"-"&amp;$M17&amp;"_old",Ammortamento_Finanziario!$H:$L,5,FALSE),VLOOKUP($M17,TT_Tabelle_Riferimento!$H$31:$I$50,2,FALSE))</f>
        <v>20</v>
      </c>
      <c r="ES17" s="636">
        <f>+IFERROR(VLOOKUP(ES$6&amp;"-"&amp;$M17&amp;"_old",Ammortamento_Finanziario!$H:$L,5,FALSE),VLOOKUP($M17,TT_Tabelle_Riferimento!$H$31:$I$50,2,FALSE))</f>
        <v>20</v>
      </c>
      <c r="ET17" s="636">
        <f>+IFERROR(VLOOKUP(ET$6&amp;"-"&amp;$M17&amp;"_old",Ammortamento_Finanziario!$H:$L,5,FALSE),VLOOKUP($M17,TT_Tabelle_Riferimento!$H$31:$I$50,2,FALSE))</f>
        <v>20</v>
      </c>
      <c r="EU17" s="636">
        <f>+IFERROR(VLOOKUP(EU$6&amp;"-"&amp;$M17&amp;"_old",Ammortamento_Finanziario!$H:$L,5,FALSE),VLOOKUP($M17,TT_Tabelle_Riferimento!$H$31:$I$50,2,FALSE))</f>
        <v>20</v>
      </c>
      <c r="EV17" s="636">
        <f>+IFERROR(VLOOKUP(EV$6&amp;"-"&amp;$M17&amp;"_old",Ammortamento_Finanziario!$H:$L,5,FALSE),VLOOKUP($M17,TT_Tabelle_Riferimento!$H$31:$I$50,2,FALSE))</f>
        <v>20</v>
      </c>
      <c r="EW17" s="1048">
        <f>+IFERROR(VLOOKUP(EW$6&amp;"-"&amp;$M17&amp;"_old",Ammortamento_Finanziario!$H:$L,5,FALSE),VLOOKUP($M17,TT_Tabelle_Riferimento!$H$31:$I$50,2,FALSE))</f>
        <v>20</v>
      </c>
      <c r="EX17" s="1048">
        <f>+IFERROR(VLOOKUP(EX$6&amp;"-"&amp;$M17&amp;"_old",Ammortamento_Finanziario!$H:$L,5,FALSE),VLOOKUP($M17,TT_Tabelle_Riferimento!$H$31:$I$50,2,FALSE))</f>
        <v>20</v>
      </c>
      <c r="EY17" s="1048">
        <f>+IFERROR(VLOOKUP(EY$6&amp;"-"&amp;$M17&amp;"_old",Ammortamento_Finanziario!$H:$L,5,FALSE),VLOOKUP($M17,TT_Tabelle_Riferimento!$H$31:$I$50,2,FALSE))</f>
        <v>20</v>
      </c>
      <c r="EZ17" s="1048">
        <f>+IFERROR(VLOOKUP(EZ$6&amp;"-"&amp;$M17&amp;"_old",Ammortamento_Finanziario!$H:$L,5,FALSE),VLOOKUP($M17,TT_Tabelle_Riferimento!$H$31:$I$50,2,FALSE))</f>
        <v>20</v>
      </c>
      <c r="FA17" s="1048">
        <f>+IFERROR(VLOOKUP(FA$6&amp;"-"&amp;$M17&amp;"_old",Ammortamento_Finanziario!$H:$L,5,FALSE),VLOOKUP($M17,TT_Tabelle_Riferimento!$H$31:$I$50,2,FALSE))</f>
        <v>20</v>
      </c>
      <c r="FB17" s="1743">
        <f>+IFERROR(VLOOKUP(FB$6&amp;"-"&amp;$M17&amp;"_old",Ammortamento_Finanziario!$H:$L,5,FALSE),VLOOKUP($M17,TT_Tabelle_Riferimento!$H$31:$I$50,2,FALSE))</f>
        <v>20</v>
      </c>
      <c r="FC17" s="1743">
        <f>+IFERROR(VLOOKUP(FC$6&amp;"-"&amp;$M17&amp;"_old",Ammortamento_Finanziario!$H:$L,5,FALSE),VLOOKUP($M17,TT_Tabelle_Riferimento!$H$31:$I$50,2,FALSE))</f>
        <v>20</v>
      </c>
      <c r="FD17" s="1751">
        <f>+IFERROR(VLOOKUP(FD$6&amp;"-"&amp;$M17&amp;"_old",Ammortamento_Finanziario!$H:$L,5,FALSE),VLOOKUP($M17,TT_Tabelle_Riferimento!$H$31:$I$50,2,FALSE))</f>
        <v>20</v>
      </c>
      <c r="FE17" s="1751">
        <f>+IFERROR(VLOOKUP(FE$6&amp;"-"&amp;$M17&amp;"_old",Ammortamento_Finanziario!$H:$L,5,FALSE),VLOOKUP($M17,TT_Tabelle_Riferimento!$H$31:$I$50,2,FALSE))</f>
        <v>20</v>
      </c>
      <c r="FF17" s="1751">
        <f>+IFERROR(VLOOKUP(FF$6&amp;"-"&amp;$M17&amp;"_old",Ammortamento_Finanziario!$H:$L,5,FALSE),VLOOKUP($M17,TT_Tabelle_Riferimento!$H$31:$I$50,2,FALSE))</f>
        <v>20</v>
      </c>
      <c r="FG17" s="1751">
        <f>+IFERROR(VLOOKUP(FG$6&amp;"-"&amp;$M17&amp;"_old",Ammortamento_Finanziario!$H:$L,5,FALSE),VLOOKUP($M17,TT_Tabelle_Riferimento!$H$31:$I$50,2,FALSE))</f>
        <v>20</v>
      </c>
      <c r="FH17" s="1751">
        <f>+IFERROR(VLOOKUP(FH$6&amp;"-"&amp;$M17&amp;"_old",Ammortamento_Finanziario!$H:$L,5,FALSE),VLOOKUP($M17,TT_Tabelle_Riferimento!$H$31:$I$50,2,FALSE))</f>
        <v>20</v>
      </c>
      <c r="FI17" s="1751">
        <f>+IFERROR(VLOOKUP(FI$6&amp;"-"&amp;$M17&amp;"_old",Ammortamento_Finanziario!$H:$L,5,FALSE),VLOOKUP($M17,TT_Tabelle_Riferimento!$H$31:$I$50,2,FALSE))</f>
        <v>20</v>
      </c>
      <c r="FJ17" s="629">
        <f>+IFERROR(VLOOKUP(FJ$6&amp;"-"&amp;$M17&amp;"_old",Ammortamento_Finanziario!$H:$L,5,FALSE),VLOOKUP($M17,TT_Tabelle_Riferimento!$H$31:$I$50,2,FALSE))</f>
        <v>20</v>
      </c>
      <c r="FK17" s="629">
        <f>+IFERROR(VLOOKUP(FK$6&amp;"-"&amp;$M17&amp;"_old",Ammortamento_Finanziario!$H:$L,5,FALSE),VLOOKUP($M17,TT_Tabelle_Riferimento!$H$31:$I$50,2,FALSE))</f>
        <v>20</v>
      </c>
      <c r="FL17" s="629">
        <f>+IFERROR(VLOOKUP(FL$6&amp;"-"&amp;$M17&amp;"_old",Ammortamento_Finanziario!$H:$L,5,FALSE),VLOOKUP($M17,TT_Tabelle_Riferimento!$H$31:$I$50,2,FALSE))</f>
        <v>20</v>
      </c>
      <c r="FM17" s="629">
        <f>+IFERROR(VLOOKUP(FM$6&amp;"-"&amp;$M17&amp;"_old",Ammortamento_Finanziario!$H:$L,5,FALSE),VLOOKUP($M17,TT_Tabelle_Riferimento!$H$31:$I$50,2,FALSE))</f>
        <v>20</v>
      </c>
      <c r="FN17" s="629">
        <f>+IFERROR(VLOOKUP(FN$6&amp;"-"&amp;$M17&amp;"_old",Ammortamento_Finanziario!$H:$L,5,FALSE),VLOOKUP($M17,TT_Tabelle_Riferimento!$H$31:$I$50,2,FALSE))</f>
        <v>20</v>
      </c>
      <c r="FO17" s="629">
        <f>+IFERROR(VLOOKUP(FO$6&amp;"-"&amp;$M17&amp;"_old",Ammortamento_Finanziario!$H:$L,5,FALSE),VLOOKUP($M17,TT_Tabelle_Riferimento!$H$31:$I$50,2,FALSE))</f>
        <v>20</v>
      </c>
      <c r="FP17" s="629">
        <f>+IFERROR(VLOOKUP(FP$6&amp;"-"&amp;$M17&amp;"_old",Ammortamento_Finanziario!$H:$L,5,FALSE),VLOOKUP($M17,TT_Tabelle_Riferimento!$H$31:$I$50,2,FALSE))</f>
        <v>20</v>
      </c>
      <c r="FQ17" s="629">
        <f>+IFERROR(VLOOKUP(FQ$6&amp;"-"&amp;$M17&amp;"_old",Ammortamento_Finanziario!$H:$L,5,FALSE),VLOOKUP($M17,TT_Tabelle_Riferimento!$H$31:$I$50,2,FALSE))</f>
        <v>20</v>
      </c>
      <c r="FR17" s="629">
        <f>+IFERROR(VLOOKUP(FR$6&amp;"-"&amp;$M17&amp;"_old",Ammortamento_Finanziario!$H:$L,5,FALSE),VLOOKUP($M17,TT_Tabelle_Riferimento!$H$31:$I$50,2,FALSE))</f>
        <v>20</v>
      </c>
      <c r="FS17" s="629">
        <f>+IFERROR(VLOOKUP(FS$6&amp;"-"&amp;$M17&amp;"_old",Ammortamento_Finanziario!$H:$L,5,FALSE),VLOOKUP($M17,TT_Tabelle_Riferimento!$H$31:$I$50,2,FALSE))</f>
        <v>20</v>
      </c>
      <c r="FT17" s="629">
        <f>+IFERROR(VLOOKUP(FT$6&amp;"-"&amp;$M17&amp;"_old",Ammortamento_Finanziario!$H:$L,5,FALSE),VLOOKUP($M17,TT_Tabelle_Riferimento!$H$31:$I$50,2,FALSE))</f>
        <v>20</v>
      </c>
      <c r="FU17" s="629">
        <f>+IFERROR(VLOOKUP(FU$6&amp;"-"&amp;$M17&amp;"_old",Ammortamento_Finanziario!$H:$L,5,FALSE),VLOOKUP($M17,TT_Tabelle_Riferimento!$H$31:$I$50,2,FALSE))</f>
        <v>20</v>
      </c>
      <c r="FV17" s="629">
        <f>+IFERROR(VLOOKUP(FV$6&amp;"-"&amp;$M17&amp;"_old",Ammortamento_Finanziario!$H:$L,5,FALSE),VLOOKUP($M17,TT_Tabelle_Riferimento!$H$31:$I$50,2,FALSE))</f>
        <v>20</v>
      </c>
      <c r="FW17" s="629">
        <f>+IFERROR(VLOOKUP(FW$6&amp;"-"&amp;$M17&amp;"_old",Ammortamento_Finanziario!$H:$L,5,FALSE),VLOOKUP($M17,TT_Tabelle_Riferimento!$H$31:$I$50,2,FALSE))</f>
        <v>20</v>
      </c>
      <c r="FX17" s="629">
        <f>+IFERROR(VLOOKUP(FX$6&amp;"-"&amp;$M17&amp;"_old",Ammortamento_Finanziario!$H:$L,5,FALSE),VLOOKUP($M17,TT_Tabelle_Riferimento!$H$31:$I$50,2,FALSE))</f>
        <v>20</v>
      </c>
      <c r="FY17" s="629">
        <f>+IFERROR(VLOOKUP(FY$6&amp;"-"&amp;$M17&amp;"_old",Ammortamento_Finanziario!$H:$L,5,FALSE),VLOOKUP($M17,TT_Tabelle_Riferimento!$H$31:$I$50,2,FALSE))</f>
        <v>20</v>
      </c>
      <c r="FZ17" s="629">
        <f>+IFERROR(VLOOKUP(FZ$6&amp;"-"&amp;$M17&amp;"_old",Ammortamento_Finanziario!$H:$L,5,FALSE),VLOOKUP($M17,TT_Tabelle_Riferimento!$H$31:$I$50,2,FALSE))</f>
        <v>20</v>
      </c>
      <c r="GA17" s="629">
        <f>+IFERROR(VLOOKUP(GA$6&amp;"-"&amp;$M17&amp;"_old",Ammortamento_Finanziario!$H:$L,5,FALSE),VLOOKUP($M17,TT_Tabelle_Riferimento!$H$31:$I$50,2,FALSE))</f>
        <v>20</v>
      </c>
      <c r="GB17" s="629">
        <f>+IFERROR(VLOOKUP(GB$6&amp;"-"&amp;$M17&amp;"_old",Ammortamento_Finanziario!$H:$L,5,FALSE),VLOOKUP($M17,TT_Tabelle_Riferimento!$H$31:$I$50,2,FALSE))</f>
        <v>20</v>
      </c>
      <c r="GC17" s="635">
        <f>+IFERROR(VLOOKUP(GC$6&amp;"-"&amp;$M17&amp;"_old",Ammortamento_Finanziario!$H:$L,5,FALSE),VLOOKUP($M17,TT_Tabelle_Riferimento!$H$31:$I$50,2,FALSE))</f>
        <v>20</v>
      </c>
      <c r="GD17" s="635">
        <f>+IFERROR(VLOOKUP(GD$6&amp;"-"&amp;$M17&amp;"_old",Ammortamento_Finanziario!$H:$L,5,FALSE),VLOOKUP($M17,TT_Tabelle_Riferimento!$H$31:$I$50,2,FALSE))</f>
        <v>20</v>
      </c>
      <c r="GE17" s="635">
        <f>+IFERROR(VLOOKUP(GE$6&amp;"-"&amp;$M17&amp;"_old",Ammortamento_Finanziario!$H:$L,5,FALSE),VLOOKUP($M17,TT_Tabelle_Riferimento!$H$31:$I$50,2,FALSE))</f>
        <v>20</v>
      </c>
      <c r="GF17" s="635">
        <f>+IFERROR(VLOOKUP(GF$6&amp;"-"&amp;$M17&amp;"_old",Ammortamento_Finanziario!$H:$L,5,FALSE),VLOOKUP($M17,TT_Tabelle_Riferimento!$H$31:$I$50,2,FALSE))</f>
        <v>20</v>
      </c>
      <c r="GG17" s="1744">
        <f>+IFERROR(VLOOKUP(GG$6&amp;"-"&amp;$M17&amp;"_old",Ammortamento_Finanziario!$H:$L,5,FALSE),VLOOKUP($M17,TT_Tabelle_Riferimento!$H$31:$I$50,2,FALSE))</f>
        <v>20</v>
      </c>
      <c r="GH17" s="1744">
        <f>+IFERROR(VLOOKUP(GH$6&amp;"-"&amp;$M17&amp;"_old",Ammortamento_Finanziario!$H:$L,5,FALSE),VLOOKUP($M17,TT_Tabelle_Riferimento!$H$31:$I$50,2,FALSE))</f>
        <v>20</v>
      </c>
      <c r="GI17" s="1752">
        <f>+IFERROR(VLOOKUP(GI$6&amp;"-"&amp;$M17&amp;"_old",Ammortamento_Finanziario!$H:$L,5,FALSE),VLOOKUP($M17,TT_Tabelle_Riferimento!$H$31:$I$50,2,FALSE))</f>
        <v>20</v>
      </c>
      <c r="GJ17" s="1752">
        <f>+IFERROR(VLOOKUP(GJ$6&amp;"-"&amp;$M17&amp;"_old",Ammortamento_Finanziario!$H:$L,5,FALSE),VLOOKUP($M17,TT_Tabelle_Riferimento!$H$31:$I$50,2,FALSE))</f>
        <v>20</v>
      </c>
      <c r="GK17" s="1752">
        <f>+IFERROR(VLOOKUP(GK$6&amp;"-"&amp;$M17&amp;"_old",Ammortamento_Finanziario!$H:$L,5,FALSE),VLOOKUP($M17,TT_Tabelle_Riferimento!$H$31:$I$50,2,FALSE))</f>
        <v>20</v>
      </c>
      <c r="GL17" s="1752">
        <f>+IFERROR(VLOOKUP(GL$6&amp;"-"&amp;$M17&amp;"_old",Ammortamento_Finanziario!$H:$L,5,FALSE),VLOOKUP($M17,TT_Tabelle_Riferimento!$H$31:$I$50,2,FALSE))</f>
        <v>20</v>
      </c>
      <c r="GM17" s="1752">
        <f>+IFERROR(VLOOKUP(GM$6&amp;"-"&amp;$M17&amp;"_old",Ammortamento_Finanziario!$H:$L,5,FALSE),VLOOKUP($M17,TT_Tabelle_Riferimento!$H$31:$I$50,2,FALSE))</f>
        <v>20</v>
      </c>
      <c r="GN17" s="1752">
        <f>+IFERROR(VLOOKUP(GN$6&amp;"-"&amp;$M17&amp;"_old",Ammortamento_Finanziario!$H:$L,5,FALSE),VLOOKUP($M17,TT_Tabelle_Riferimento!$H$31:$I$50,2,FALSE))</f>
        <v>20</v>
      </c>
      <c r="GO17" s="628">
        <f>+IFERROR(VLOOKUP(GO$6&amp;"-"&amp;$M17&amp;"_old",Ammortamento_Finanziario!$H:$L,5,FALSE),VLOOKUP($M17,TT_Tabelle_Riferimento!$H$31:$I$50,2,FALSE))</f>
        <v>20</v>
      </c>
      <c r="GP17" s="628">
        <f>+IFERROR(VLOOKUP(GP$6&amp;"-"&amp;$M17&amp;"_old",Ammortamento_Finanziario!$H:$L,5,FALSE),VLOOKUP($M17,TT_Tabelle_Riferimento!$H$31:$I$50,2,FALSE))</f>
        <v>20</v>
      </c>
      <c r="GQ17" s="628">
        <f>+IFERROR(VLOOKUP(GQ$6&amp;"-"&amp;$M17&amp;"_old",Ammortamento_Finanziario!$H:$L,5,FALSE),VLOOKUP($M17,TT_Tabelle_Riferimento!$H$31:$I$50,2,FALSE))</f>
        <v>20</v>
      </c>
      <c r="GR17" s="628">
        <f>+IFERROR(VLOOKUP(GR$6&amp;"-"&amp;$M17&amp;"_old",Ammortamento_Finanziario!$H:$L,5,FALSE),VLOOKUP($M17,TT_Tabelle_Riferimento!$H$31:$I$50,2,FALSE))</f>
        <v>20</v>
      </c>
      <c r="GS17" s="628">
        <f>+IFERROR(VLOOKUP(GS$6&amp;"-"&amp;$M17&amp;"_old",Ammortamento_Finanziario!$H:$L,5,FALSE),VLOOKUP($M17,TT_Tabelle_Riferimento!$H$31:$I$50,2,FALSE))</f>
        <v>20</v>
      </c>
      <c r="GT17" s="628">
        <f>+IFERROR(VLOOKUP(GT$6&amp;"-"&amp;$M17&amp;"_old",Ammortamento_Finanziario!$H:$L,5,FALSE),VLOOKUP($M17,TT_Tabelle_Riferimento!$H$31:$I$50,2,FALSE))</f>
        <v>20</v>
      </c>
      <c r="GU17" s="628">
        <f>+IFERROR(VLOOKUP(GU$6&amp;"-"&amp;$M17&amp;"_old",Ammortamento_Finanziario!$H:$L,5,FALSE),VLOOKUP($M17,TT_Tabelle_Riferimento!$H$31:$I$50,2,FALSE))</f>
        <v>20</v>
      </c>
      <c r="GV17" s="628">
        <f>+IFERROR(VLOOKUP(GV$6&amp;"-"&amp;$M17&amp;"_old",Ammortamento_Finanziario!$H:$L,5,FALSE),VLOOKUP($M17,TT_Tabelle_Riferimento!$H$31:$I$50,2,FALSE))</f>
        <v>20</v>
      </c>
      <c r="GW17" s="628">
        <f>+IFERROR(VLOOKUP(GW$6&amp;"-"&amp;$M17&amp;"_old",Ammortamento_Finanziario!$H:$L,5,FALSE),VLOOKUP($M17,TT_Tabelle_Riferimento!$H$31:$I$50,2,FALSE))</f>
        <v>20</v>
      </c>
      <c r="GX17" s="628">
        <f>+IFERROR(VLOOKUP(GX$6&amp;"-"&amp;$M17&amp;"_old",Ammortamento_Finanziario!$H:$L,5,FALSE),VLOOKUP($M17,TT_Tabelle_Riferimento!$H$31:$I$50,2,FALSE))</f>
        <v>20</v>
      </c>
      <c r="GY17" s="628">
        <f>+IFERROR(VLOOKUP(GY$6&amp;"-"&amp;$M17&amp;"_old",Ammortamento_Finanziario!$H:$L,5,FALSE),VLOOKUP($M17,TT_Tabelle_Riferimento!$H$31:$I$50,2,FALSE))</f>
        <v>20</v>
      </c>
      <c r="GZ17" s="628">
        <f>+IFERROR(VLOOKUP(GZ$6&amp;"-"&amp;$M17&amp;"_old",Ammortamento_Finanziario!$H:$L,5,FALSE),VLOOKUP($M17,TT_Tabelle_Riferimento!$H$31:$I$50,2,FALSE))</f>
        <v>20</v>
      </c>
      <c r="HA17" s="628">
        <f>+IFERROR(VLOOKUP(HA$6&amp;"-"&amp;$M17&amp;"_old",Ammortamento_Finanziario!$H:$L,5,FALSE),VLOOKUP($M17,TT_Tabelle_Riferimento!$H$31:$I$50,2,FALSE))</f>
        <v>20</v>
      </c>
      <c r="HB17" s="628">
        <f>+IFERROR(VLOOKUP(HB$6&amp;"-"&amp;$M17&amp;"_old",Ammortamento_Finanziario!$H:$L,5,FALSE),VLOOKUP($M17,TT_Tabelle_Riferimento!$H$31:$I$50,2,FALSE))</f>
        <v>20</v>
      </c>
      <c r="HC17" s="628">
        <f>+IFERROR(VLOOKUP(HC$6&amp;"-"&amp;$M17&amp;"_old",Ammortamento_Finanziario!$H:$L,5,FALSE),VLOOKUP($M17,TT_Tabelle_Riferimento!$H$31:$I$50,2,FALSE))</f>
        <v>20</v>
      </c>
      <c r="HD17" s="628">
        <f>+IFERROR(VLOOKUP(HD$6&amp;"-"&amp;$M17&amp;"_old",Ammortamento_Finanziario!$H:$L,5,FALSE),VLOOKUP($M17,TT_Tabelle_Riferimento!$H$31:$I$50,2,FALSE))</f>
        <v>20</v>
      </c>
      <c r="HE17" s="628">
        <f>+IFERROR(VLOOKUP(HE$6&amp;"-"&amp;$M17&amp;"_old",Ammortamento_Finanziario!$H:$L,5,FALSE),VLOOKUP($M17,TT_Tabelle_Riferimento!$H$31:$I$50,2,FALSE))</f>
        <v>20</v>
      </c>
      <c r="HF17" s="628">
        <f>+IFERROR(VLOOKUP(HF$6&amp;"-"&amp;$M17&amp;"_old",Ammortamento_Finanziario!$H:$L,5,FALSE),VLOOKUP($M17,TT_Tabelle_Riferimento!$H$31:$I$50,2,FALSE))</f>
        <v>20</v>
      </c>
      <c r="HG17" s="628">
        <f>+IFERROR(VLOOKUP(HG$6&amp;"-"&amp;$M17&amp;"_old",Ammortamento_Finanziario!$H:$L,5,FALSE),VLOOKUP($M17,TT_Tabelle_Riferimento!$H$31:$I$50,2,FALSE))</f>
        <v>20</v>
      </c>
      <c r="HH17" s="422">
        <f>+IFERROR(VLOOKUP(HH$6&amp;"-"&amp;$M17&amp;"_old",Ammortamento_Finanziario!$H:$L,5,FALSE),VLOOKUP($M17,TT_Tabelle_Riferimento!$H$31:$I$50,2,FALSE))</f>
        <v>20</v>
      </c>
      <c r="HI17" s="422">
        <f>+IFERROR(VLOOKUP(HI$6&amp;"-"&amp;$M17&amp;"_old",Ammortamento_Finanziario!$H:$L,5,FALSE),VLOOKUP($M17,TT_Tabelle_Riferimento!$H$31:$I$50,2,FALSE))</f>
        <v>20</v>
      </c>
      <c r="HJ17" s="422">
        <f>+IFERROR(VLOOKUP(HJ$6&amp;"-"&amp;$M17&amp;"_old",Ammortamento_Finanziario!$H:$L,5,FALSE),VLOOKUP($M17,TT_Tabelle_Riferimento!$H$31:$I$50,2,FALSE))</f>
        <v>20</v>
      </c>
      <c r="HK17" s="1746">
        <f>+IFERROR(VLOOKUP(HK$6&amp;"-"&amp;$M17&amp;"_old",Ammortamento_Finanziario!$H:$L,5,FALSE),VLOOKUP($M17,TT_Tabelle_Riferimento!$H$31:$I$50,2,FALSE))</f>
        <v>20</v>
      </c>
      <c r="HL17" s="1746">
        <f>+IFERROR(VLOOKUP(HL$6&amp;"-"&amp;$M17&amp;"_old",Ammortamento_Finanziario!$H:$L,5,FALSE),VLOOKUP($M17,TT_Tabelle_Riferimento!$H$31:$I$50,2,FALSE))</f>
        <v>20</v>
      </c>
      <c r="HM17" s="1753">
        <f>+IFERROR(VLOOKUP(HM$6&amp;"-"&amp;$M17&amp;"_old",Ammortamento_Finanziario!$H:$L,5,FALSE),VLOOKUP($M17,TT_Tabelle_Riferimento!$H$31:$I$50,2,FALSE))</f>
        <v>20</v>
      </c>
      <c r="HN17" s="1753">
        <f>+IFERROR(VLOOKUP(HN$6&amp;"-"&amp;$M17&amp;"_old",Ammortamento_Finanziario!$H:$L,5,FALSE),VLOOKUP($M17,TT_Tabelle_Riferimento!$H$31:$I$50,2,FALSE))</f>
        <v>20</v>
      </c>
      <c r="HO17" s="1753">
        <f>+IFERROR(VLOOKUP(HO$6&amp;"-"&amp;$M17&amp;"_old",Ammortamento_Finanziario!$H:$L,5,FALSE),VLOOKUP($M17,TT_Tabelle_Riferimento!$H$31:$I$50,2,FALSE))</f>
        <v>20</v>
      </c>
      <c r="HP17" s="1753">
        <f>+IFERROR(VLOOKUP(HP$6&amp;"-"&amp;$M17&amp;"_old",Ammortamento_Finanziario!$H:$L,5,FALSE),VLOOKUP($M17,TT_Tabelle_Riferimento!$H$31:$I$50,2,FALSE))</f>
        <v>20</v>
      </c>
      <c r="HQ17" s="1753">
        <f>+IFERROR(VLOOKUP(HQ$6&amp;"-"&amp;$M17&amp;"_old",Ammortamento_Finanziario!$H:$L,5,FALSE),VLOOKUP($M17,TT_Tabelle_Riferimento!$H$31:$I$50,2,FALSE))</f>
        <v>20</v>
      </c>
      <c r="HR17" s="1753">
        <f>+IFERROR(VLOOKUP(HR$6&amp;"-"&amp;$M17&amp;"_old",Ammortamento_Finanziario!$H:$L,5,FALSE),VLOOKUP($M17,TT_Tabelle_Riferimento!$H$31:$I$50,2,FALSE))</f>
        <v>20</v>
      </c>
      <c r="HS17" s="422">
        <f>+IFERROR(VLOOKUP(HS$6&amp;"-"&amp;$M17&amp;"_old",Ammortamento_Finanziario!$H:$L,5,FALSE),VLOOKUP($M17,TT_Tabelle_Riferimento!$H$31:$I$50,2,FALSE))</f>
        <v>20</v>
      </c>
      <c r="HT17" s="422">
        <f>+IFERROR(VLOOKUP(HT$6&amp;"-"&amp;$M17&amp;"_old",Ammortamento_Finanziario!$H:$L,5,FALSE),VLOOKUP($M17,TT_Tabelle_Riferimento!$H$31:$I$50,2,FALSE))</f>
        <v>20</v>
      </c>
      <c r="HU17" s="422">
        <f>+IFERROR(VLOOKUP(HU$6&amp;"-"&amp;$M17&amp;"_old",Ammortamento_Finanziario!$H:$L,5,FALSE),VLOOKUP($M17,TT_Tabelle_Riferimento!$H$31:$I$50,2,FALSE))</f>
        <v>20</v>
      </c>
      <c r="HV17" s="422">
        <f>+IFERROR(VLOOKUP(HV$6&amp;"-"&amp;$M17&amp;"_old",Ammortamento_Finanziario!$H:$L,5,FALSE),VLOOKUP($M17,TT_Tabelle_Riferimento!$H$31:$I$50,2,FALSE))</f>
        <v>20</v>
      </c>
      <c r="HW17" s="422">
        <f>+IFERROR(VLOOKUP(HW$6&amp;"-"&amp;$M17&amp;"_old",Ammortamento_Finanziario!$H:$L,5,FALSE),VLOOKUP($M17,TT_Tabelle_Riferimento!$H$31:$I$50,2,FALSE))</f>
        <v>20</v>
      </c>
      <c r="HX17" s="422">
        <f>+IFERROR(VLOOKUP(HX$6&amp;"-"&amp;$M17&amp;"_old",Ammortamento_Finanziario!$H:$L,5,FALSE),VLOOKUP($M17,TT_Tabelle_Riferimento!$H$31:$I$50,2,FALSE))</f>
        <v>20</v>
      </c>
      <c r="HY17" s="422">
        <f>+IFERROR(VLOOKUP(HY$6&amp;"-"&amp;$M17&amp;"_old",Ammortamento_Finanziario!$H:$L,5,FALSE),VLOOKUP($M17,TT_Tabelle_Riferimento!$H$31:$I$50,2,FALSE))</f>
        <v>20</v>
      </c>
      <c r="HZ17" s="422">
        <f>+IFERROR(VLOOKUP(HZ$6&amp;"-"&amp;$M17&amp;"_old",Ammortamento_Finanziario!$H:$L,5,FALSE),VLOOKUP($M17,TT_Tabelle_Riferimento!$H$31:$I$50,2,FALSE))</f>
        <v>20</v>
      </c>
      <c r="IA17" s="422">
        <f>+IFERROR(VLOOKUP(IA$6&amp;"-"&amp;$M17&amp;"_old",Ammortamento_Finanziario!$H:$L,5,FALSE),VLOOKUP($M17,TT_Tabelle_Riferimento!$H$31:$I$50,2,FALSE))</f>
        <v>20</v>
      </c>
      <c r="IB17" s="422">
        <f>+IFERROR(VLOOKUP(IB$6&amp;"-"&amp;$M17&amp;"_old",Ammortamento_Finanziario!$H:$L,5,FALSE),VLOOKUP($M17,TT_Tabelle_Riferimento!$H$31:$I$50,2,FALSE))</f>
        <v>20</v>
      </c>
      <c r="IC17" s="422">
        <f>+IFERROR(VLOOKUP(IC$6&amp;"-"&amp;$M17&amp;"_old",Ammortamento_Finanziario!$H:$L,5,FALSE),VLOOKUP($M17,TT_Tabelle_Riferimento!$H$31:$I$50,2,FALSE))</f>
        <v>20</v>
      </c>
      <c r="ID17" s="422">
        <f>+IFERROR(VLOOKUP(ID$6&amp;"-"&amp;$M17&amp;"_old",Ammortamento_Finanziario!$H:$L,5,FALSE),VLOOKUP($M17,TT_Tabelle_Riferimento!$H$31:$I$50,2,FALSE))</f>
        <v>20</v>
      </c>
      <c r="IE17" s="422">
        <f>+IFERROR(VLOOKUP(IE$6&amp;"-"&amp;$M17&amp;"_old",Ammortamento_Finanziario!$H:$L,5,FALSE),VLOOKUP($M17,TT_Tabelle_Riferimento!$H$31:$I$50,2,FALSE))</f>
        <v>20</v>
      </c>
      <c r="IF17" s="422">
        <f>+IFERROR(VLOOKUP(IF$6&amp;"-"&amp;$M17&amp;"_old",Ammortamento_Finanziario!$H:$L,5,FALSE),VLOOKUP($M17,TT_Tabelle_Riferimento!$H$31:$I$50,2,FALSE))</f>
        <v>20</v>
      </c>
      <c r="IG17" s="422">
        <f>+IFERROR(VLOOKUP(IG$6&amp;"-"&amp;$M17&amp;"_old",Ammortamento_Finanziario!$H:$L,5,FALSE),VLOOKUP($M17,TT_Tabelle_Riferimento!$H$31:$I$50,2,FALSE))</f>
        <v>20</v>
      </c>
      <c r="IH17" s="422">
        <f>+IFERROR(VLOOKUP(IH$6&amp;"-"&amp;$M17&amp;"_old",Ammortamento_Finanziario!$H:$L,5,FALSE),VLOOKUP($M17,TT_Tabelle_Riferimento!$H$31:$I$50,2,FALSE))</f>
        <v>20</v>
      </c>
      <c r="II17" s="422">
        <f>+IFERROR(VLOOKUP(II$6&amp;"-"&amp;$M17&amp;"_old",Ammortamento_Finanziario!$H:$L,5,FALSE),VLOOKUP($M17,TT_Tabelle_Riferimento!$H$31:$I$50,2,FALSE))</f>
        <v>20</v>
      </c>
      <c r="IJ17" s="422">
        <f>+IFERROR(VLOOKUP(IJ$6&amp;"-"&amp;$M17&amp;"_old",Ammortamento_Finanziario!$H:$L,5,FALSE),VLOOKUP($M17,TT_Tabelle_Riferimento!$H$31:$I$50,2,FALSE))</f>
        <v>20</v>
      </c>
      <c r="IK17" s="422">
        <f>+IFERROR(VLOOKUP(IK$6&amp;"-"&amp;$M17&amp;"_old",Ammortamento_Finanziario!$H:$L,5,FALSE),VLOOKUP($M17,TT_Tabelle_Riferimento!$H$31:$I$50,2,FALSE))</f>
        <v>20</v>
      </c>
      <c r="IL17" s="1077">
        <f>+IFERROR(VLOOKUP(IL$6&amp;"-"&amp;$M17&amp;"_old",Ammortamento_Finanziario!$H:$L,5,FALSE),VLOOKUP($M17,TT_Tabelle_Riferimento!$H$31:$I$50,2,FALSE))</f>
        <v>20</v>
      </c>
      <c r="IM17" s="1077">
        <f>+IFERROR(VLOOKUP(IM$6&amp;"-"&amp;$M17&amp;"_old",Ammortamento_Finanziario!$H:$L,5,FALSE),VLOOKUP($M17,TT_Tabelle_Riferimento!$H$31:$I$50,2,FALSE))</f>
        <v>20</v>
      </c>
      <c r="IN17" s="1747">
        <f>+IFERROR(VLOOKUP(IN$6&amp;"-"&amp;$M17&amp;"_old",Ammortamento_Finanziario!$H:$L,5,FALSE),VLOOKUP($M17,TT_Tabelle_Riferimento!$H$31:$I$50,2,FALSE))</f>
        <v>20</v>
      </c>
      <c r="IO17" s="1747">
        <f>+IFERROR(VLOOKUP(IO$6&amp;"-"&amp;$M17&amp;"_old",Ammortamento_Finanziario!$H:$L,5,FALSE),VLOOKUP($M17,TT_Tabelle_Riferimento!$H$31:$I$50,2,FALSE))</f>
        <v>20</v>
      </c>
      <c r="IP17" s="1754">
        <f>+IFERROR(VLOOKUP(IP$6&amp;"-"&amp;$M17&amp;"_old",Ammortamento_Finanziario!$H:$L,5,FALSE),VLOOKUP($M17,TT_Tabelle_Riferimento!$H$31:$I$50,2,FALSE))</f>
        <v>20</v>
      </c>
      <c r="IQ17" s="1754">
        <f>+IFERROR(VLOOKUP(IQ$6&amp;"-"&amp;$M17&amp;"_old",Ammortamento_Finanziario!$H:$L,5,FALSE),VLOOKUP($M17,TT_Tabelle_Riferimento!$H$31:$I$50,2,FALSE))</f>
        <v>20</v>
      </c>
      <c r="IR17" s="1754">
        <f>+IFERROR(VLOOKUP(IR$6&amp;"-"&amp;$M17&amp;"_old",Ammortamento_Finanziario!$H:$L,5,FALSE),VLOOKUP($M17,TT_Tabelle_Riferimento!$H$31:$I$50,2,FALSE))</f>
        <v>20</v>
      </c>
      <c r="IS17" s="1754">
        <f>+IFERROR(VLOOKUP(IS$6&amp;"-"&amp;$M17&amp;"_old",Ammortamento_Finanziario!$H:$L,5,FALSE),VLOOKUP($M17,TT_Tabelle_Riferimento!$H$31:$I$50,2,FALSE))</f>
        <v>20</v>
      </c>
      <c r="IT17" s="1754">
        <f>+IFERROR(VLOOKUP(IT$6&amp;"-"&amp;$M17&amp;"_old",Ammortamento_Finanziario!$H:$L,5,FALSE),VLOOKUP($M17,TT_Tabelle_Riferimento!$H$31:$I$50,2,FALSE))</f>
        <v>20</v>
      </c>
      <c r="IU17" s="1754">
        <f>+IFERROR(VLOOKUP(IU$6&amp;"-"&amp;$M17&amp;"_old",Ammortamento_Finanziario!$H:$L,5,FALSE),VLOOKUP($M17,TT_Tabelle_Riferimento!$H$31:$I$50,2,FALSE))</f>
        <v>20</v>
      </c>
      <c r="IV17" s="1077">
        <f>+IFERROR(VLOOKUP(IV$6&amp;"-"&amp;$M17&amp;"_old",Ammortamento_Finanziario!$H:$L,5,FALSE),VLOOKUP($M17,TT_Tabelle_Riferimento!$H$31:$I$50,2,FALSE))</f>
        <v>20</v>
      </c>
      <c r="IW17" s="1077">
        <f>+IFERROR(VLOOKUP(IW$6&amp;"-"&amp;$M17&amp;"_old",Ammortamento_Finanziario!$H:$L,5,FALSE),VLOOKUP($M17,TT_Tabelle_Riferimento!$H$31:$I$50,2,FALSE))</f>
        <v>20</v>
      </c>
      <c r="IX17" s="1077">
        <f>+IFERROR(VLOOKUP(IX$6&amp;"-"&amp;$M17&amp;"_old",Ammortamento_Finanziario!$H:$L,5,FALSE),VLOOKUP($M17,TT_Tabelle_Riferimento!$H$31:$I$50,2,FALSE))</f>
        <v>20</v>
      </c>
      <c r="IY17" s="1077">
        <f>+IFERROR(VLOOKUP(IY$6&amp;"-"&amp;$M17&amp;"_old",Ammortamento_Finanziario!$H:$L,5,FALSE),VLOOKUP($M17,TT_Tabelle_Riferimento!$H$31:$I$50,2,FALSE))</f>
        <v>20</v>
      </c>
      <c r="IZ17" s="1077">
        <f>+IFERROR(VLOOKUP(IZ$6&amp;"-"&amp;$M17&amp;"_old",Ammortamento_Finanziario!$H:$L,5,FALSE),VLOOKUP($M17,TT_Tabelle_Riferimento!$H$31:$I$50,2,FALSE))</f>
        <v>20</v>
      </c>
      <c r="JA17" s="1077">
        <f>+IFERROR(VLOOKUP(JA$6&amp;"-"&amp;$M17&amp;"_old",Ammortamento_Finanziario!$H:$L,5,FALSE),VLOOKUP($M17,TT_Tabelle_Riferimento!$H$31:$I$50,2,FALSE))</f>
        <v>20</v>
      </c>
      <c r="JB17" s="1077">
        <f>+IFERROR(VLOOKUP(JB$6&amp;"-"&amp;$M17&amp;"_old",Ammortamento_Finanziario!$H:$L,5,FALSE),VLOOKUP($M17,TT_Tabelle_Riferimento!$H$31:$I$50,2,FALSE))</f>
        <v>20</v>
      </c>
      <c r="JC17" s="1077">
        <f>+IFERROR(VLOOKUP(JC$6&amp;"-"&amp;$M17&amp;"_old",Ammortamento_Finanziario!$H:$L,5,FALSE),VLOOKUP($M17,TT_Tabelle_Riferimento!$H$31:$I$50,2,FALSE))</f>
        <v>20</v>
      </c>
      <c r="JD17" s="1077">
        <f>+IFERROR(VLOOKUP(JD$6&amp;"-"&amp;$M17&amp;"_old",Ammortamento_Finanziario!$H:$L,5,FALSE),VLOOKUP($M17,TT_Tabelle_Riferimento!$H$31:$I$50,2,FALSE))</f>
        <v>20</v>
      </c>
      <c r="JE17" s="1077">
        <f>+IFERROR(VLOOKUP(JE$6&amp;"-"&amp;$M17&amp;"_old",Ammortamento_Finanziario!$H:$L,5,FALSE),VLOOKUP($M17,TT_Tabelle_Riferimento!$H$31:$I$50,2,FALSE))</f>
        <v>20</v>
      </c>
      <c r="JF17" s="1077">
        <f>+IFERROR(VLOOKUP(JF$6&amp;"-"&amp;$M17&amp;"_old",Ammortamento_Finanziario!$H:$L,5,FALSE),VLOOKUP($M17,TT_Tabelle_Riferimento!$H$31:$I$50,2,FALSE))</f>
        <v>20</v>
      </c>
      <c r="JG17" s="1077">
        <f>+IFERROR(VLOOKUP(JG$6&amp;"-"&amp;$M17&amp;"_old",Ammortamento_Finanziario!$H:$L,5,FALSE),VLOOKUP($M17,TT_Tabelle_Riferimento!$H$31:$I$50,2,FALSE))</f>
        <v>20</v>
      </c>
      <c r="JH17" s="1077">
        <f>+IFERROR(VLOOKUP(JH$6&amp;"-"&amp;$M17&amp;"_old",Ammortamento_Finanziario!$H:$L,5,FALSE),VLOOKUP($M17,TT_Tabelle_Riferimento!$H$31:$I$50,2,FALSE))</f>
        <v>20</v>
      </c>
      <c r="JI17" s="1077">
        <f>+IFERROR(VLOOKUP(JI$6&amp;"-"&amp;$M17&amp;"_old",Ammortamento_Finanziario!$H:$L,5,FALSE),VLOOKUP($M17,TT_Tabelle_Riferimento!$H$31:$I$50,2,FALSE))</f>
        <v>20</v>
      </c>
      <c r="JJ17" s="1077">
        <f>+IFERROR(VLOOKUP(JJ$6&amp;"-"&amp;$M17&amp;"_old",Ammortamento_Finanziario!$H:$L,5,FALSE),VLOOKUP($M17,TT_Tabelle_Riferimento!$H$31:$I$50,2,FALSE))</f>
        <v>20</v>
      </c>
      <c r="JK17" s="1077">
        <f>+IFERROR(VLOOKUP(JK$6&amp;"-"&amp;$M17&amp;"_old",Ammortamento_Finanziario!$H:$L,5,FALSE),VLOOKUP($M17,TT_Tabelle_Riferimento!$H$31:$I$50,2,FALSE))</f>
        <v>20</v>
      </c>
      <c r="JL17" s="1077">
        <f>+IFERROR(VLOOKUP(JL$6&amp;"-"&amp;$M17&amp;"_old",Ammortamento_Finanziario!$H:$L,5,FALSE),VLOOKUP($M17,TT_Tabelle_Riferimento!$H$31:$I$50,2,FALSE))</f>
        <v>20</v>
      </c>
      <c r="JM17" s="1077">
        <f>+IFERROR(VLOOKUP(JM$6&amp;"-"&amp;$M17&amp;"_old",Ammortamento_Finanziario!$H:$L,5,FALSE),VLOOKUP($M17,TT_Tabelle_Riferimento!$H$31:$I$50,2,FALSE))</f>
        <v>20</v>
      </c>
      <c r="JN17" s="1077">
        <f>+IFERROR(VLOOKUP(JN$6&amp;"-"&amp;$M17&amp;"_old",Ammortamento_Finanziario!$H:$L,5,FALSE),VLOOKUP($M17,TT_Tabelle_Riferimento!$H$31:$I$50,2,FALSE))</f>
        <v>20</v>
      </c>
      <c r="JO17" s="1078">
        <f>+IFERROR(VLOOKUP(JO$6&amp;"-"&amp;$M17&amp;"_old",Ammortamento_Finanziario!$H:$L,5,FALSE),VLOOKUP($M17,TT_Tabelle_Riferimento!$H$31:$I$50,2,FALSE))</f>
        <v>20</v>
      </c>
      <c r="JP17" s="1748">
        <f>+IFERROR(VLOOKUP(JP$6&amp;"-"&amp;$M17&amp;"_old",Ammortamento_Finanziario!$H:$L,5,FALSE),VLOOKUP($M17,TT_Tabelle_Riferimento!$H$31:$I$50,2,FALSE))</f>
        <v>20</v>
      </c>
      <c r="JQ17" s="1748">
        <f>+IFERROR(VLOOKUP(JQ$6&amp;"-"&amp;$M17&amp;"_old",Ammortamento_Finanziario!$H:$L,5,FALSE),VLOOKUP($M17,TT_Tabelle_Riferimento!$H$31:$I$50,2,FALSE))</f>
        <v>20</v>
      </c>
      <c r="JR17" s="1755">
        <f>+IFERROR(VLOOKUP(JR$6&amp;"-"&amp;$M17&amp;"_old",Ammortamento_Finanziario!$H:$L,5,FALSE),VLOOKUP($M17,TT_Tabelle_Riferimento!$H$31:$I$50,2,FALSE))</f>
        <v>20</v>
      </c>
      <c r="JS17" s="1755">
        <f>+IFERROR(VLOOKUP(JS$6&amp;"-"&amp;$M17&amp;"_old",Ammortamento_Finanziario!$H:$L,5,FALSE),VLOOKUP($M17,TT_Tabelle_Riferimento!$H$31:$I$50,2,FALSE))</f>
        <v>20</v>
      </c>
      <c r="JT17" s="1755">
        <f>+IFERROR(VLOOKUP(JT$6&amp;"-"&amp;$M17&amp;"_old",Ammortamento_Finanziario!$H:$L,5,FALSE),VLOOKUP($M17,TT_Tabelle_Riferimento!$H$31:$I$50,2,FALSE))</f>
        <v>20</v>
      </c>
      <c r="JU17" s="1755">
        <f>+IFERROR(VLOOKUP(JU$6&amp;"-"&amp;$M17&amp;"_old",Ammortamento_Finanziario!$H:$L,5,FALSE),VLOOKUP($M17,TT_Tabelle_Riferimento!$H$31:$I$50,2,FALSE))</f>
        <v>20</v>
      </c>
      <c r="JV17" s="1755">
        <f>+IFERROR(VLOOKUP(JV$6&amp;"-"&amp;$M17&amp;"_old",Ammortamento_Finanziario!$H:$L,5,FALSE),VLOOKUP($M17,TT_Tabelle_Riferimento!$H$31:$I$50,2,FALSE))</f>
        <v>20</v>
      </c>
      <c r="JW17" s="1755">
        <f>+IFERROR(VLOOKUP(JW$6&amp;"-"&amp;$M17&amp;"_old",Ammortamento_Finanziario!$H:$L,5,FALSE),VLOOKUP($M17,TT_Tabelle_Riferimento!$H$31:$I$50,2,FALSE))</f>
        <v>20</v>
      </c>
      <c r="JX17" s="1078">
        <f>+IFERROR(VLOOKUP(JX$6&amp;"-"&amp;$M17&amp;"_old",Ammortamento_Finanziario!$H:$L,5,FALSE),VLOOKUP($M17,TT_Tabelle_Riferimento!$H$31:$I$50,2,FALSE))</f>
        <v>20</v>
      </c>
      <c r="JY17" s="1078">
        <f>+IFERROR(VLOOKUP(JY$6&amp;"-"&amp;$M17&amp;"_old",Ammortamento_Finanziario!$H:$L,5,FALSE),VLOOKUP($M17,TT_Tabelle_Riferimento!$H$31:$I$50,2,FALSE))</f>
        <v>20</v>
      </c>
      <c r="JZ17" s="1078">
        <f>+IFERROR(VLOOKUP(JZ$6&amp;"-"&amp;$M17&amp;"_old",Ammortamento_Finanziario!$H:$L,5,FALSE),VLOOKUP($M17,TT_Tabelle_Riferimento!$H$31:$I$50,2,FALSE))</f>
        <v>20</v>
      </c>
      <c r="KA17" s="1078">
        <f>+IFERROR(VLOOKUP(KA$6&amp;"-"&amp;$M17&amp;"_old",Ammortamento_Finanziario!$H:$L,5,FALSE),VLOOKUP($M17,TT_Tabelle_Riferimento!$H$31:$I$50,2,FALSE))</f>
        <v>20</v>
      </c>
      <c r="KB17" s="1078">
        <f>+IFERROR(VLOOKUP(KB$6&amp;"-"&amp;$M17&amp;"_old",Ammortamento_Finanziario!$H:$L,5,FALSE),VLOOKUP($M17,TT_Tabelle_Riferimento!$H$31:$I$50,2,FALSE))</f>
        <v>20</v>
      </c>
      <c r="KC17" s="1078">
        <f>+IFERROR(VLOOKUP(KC$6&amp;"-"&amp;$M17&amp;"_old",Ammortamento_Finanziario!$H:$L,5,FALSE),VLOOKUP($M17,TT_Tabelle_Riferimento!$H$31:$I$50,2,FALSE))</f>
        <v>20</v>
      </c>
      <c r="KD17" s="1078">
        <f>+IFERROR(VLOOKUP(KD$6&amp;"-"&amp;$M17&amp;"_old",Ammortamento_Finanziario!$H:$L,5,FALSE),VLOOKUP($M17,TT_Tabelle_Riferimento!$H$31:$I$50,2,FALSE))</f>
        <v>20</v>
      </c>
      <c r="KE17" s="1078">
        <f>+IFERROR(VLOOKUP(KE$6&amp;"-"&amp;$M17&amp;"_old",Ammortamento_Finanziario!$H:$L,5,FALSE),VLOOKUP($M17,TT_Tabelle_Riferimento!$H$31:$I$50,2,FALSE))</f>
        <v>20</v>
      </c>
      <c r="KF17" s="1078">
        <f>+IFERROR(VLOOKUP(KF$6&amp;"-"&amp;$M17&amp;"_old",Ammortamento_Finanziario!$H:$L,5,FALSE),VLOOKUP($M17,TT_Tabelle_Riferimento!$H$31:$I$50,2,FALSE))</f>
        <v>20</v>
      </c>
      <c r="KG17" s="1078">
        <f>+IFERROR(VLOOKUP(KG$6&amp;"-"&amp;$M17&amp;"_old",Ammortamento_Finanziario!$H:$L,5,FALSE),VLOOKUP($M17,TT_Tabelle_Riferimento!$H$31:$I$50,2,FALSE))</f>
        <v>20</v>
      </c>
      <c r="KH17" s="1078">
        <f>+IFERROR(VLOOKUP(KH$6&amp;"-"&amp;$M17&amp;"_old",Ammortamento_Finanziario!$H:$L,5,FALSE),VLOOKUP($M17,TT_Tabelle_Riferimento!$H$31:$I$50,2,FALSE))</f>
        <v>20</v>
      </c>
      <c r="KI17" s="1078">
        <f>+IFERROR(VLOOKUP(KI$6&amp;"-"&amp;$M17&amp;"_old",Ammortamento_Finanziario!$H:$L,5,FALSE),VLOOKUP($M17,TT_Tabelle_Riferimento!$H$31:$I$50,2,FALSE))</f>
        <v>20</v>
      </c>
      <c r="KJ17" s="1078">
        <f>+IFERROR(VLOOKUP(KJ$6&amp;"-"&amp;$M17&amp;"_old",Ammortamento_Finanziario!$H:$L,5,FALSE),VLOOKUP($M17,TT_Tabelle_Riferimento!$H$31:$I$50,2,FALSE))</f>
        <v>20</v>
      </c>
      <c r="KK17" s="1078">
        <f>+IFERROR(VLOOKUP(KK$6&amp;"-"&amp;$M17&amp;"_old",Ammortamento_Finanziario!$H:$L,5,FALSE),VLOOKUP($M17,TT_Tabelle_Riferimento!$H$31:$I$50,2,FALSE))</f>
        <v>20</v>
      </c>
      <c r="KL17" s="1078">
        <f>+IFERROR(VLOOKUP(KL$6&amp;"-"&amp;$M17&amp;"_old",Ammortamento_Finanziario!$H:$L,5,FALSE),VLOOKUP($M17,TT_Tabelle_Riferimento!$H$31:$I$50,2,FALSE))</f>
        <v>20</v>
      </c>
      <c r="KM17" s="1078">
        <f>+IFERROR(VLOOKUP(KM$6&amp;"-"&amp;$M17&amp;"_old",Ammortamento_Finanziario!$H:$L,5,FALSE),VLOOKUP($M17,TT_Tabelle_Riferimento!$H$31:$I$50,2,FALSE))</f>
        <v>20</v>
      </c>
      <c r="KN17" s="1078">
        <f>+IFERROR(VLOOKUP(KN$6&amp;"-"&amp;$M17&amp;"_old",Ammortamento_Finanziario!$H:$L,5,FALSE),VLOOKUP($M17,TT_Tabelle_Riferimento!$H$31:$I$50,2,FALSE))</f>
        <v>20</v>
      </c>
      <c r="KO17" s="1078">
        <f>+IFERROR(VLOOKUP(KO$6&amp;"-"&amp;$M17&amp;"_old",Ammortamento_Finanziario!$H:$L,5,FALSE),VLOOKUP($M17,TT_Tabelle_Riferimento!$H$31:$I$50,2,FALSE))</f>
        <v>20</v>
      </c>
      <c r="KP17" s="1078">
        <f>+IFERROR(VLOOKUP(KP$6&amp;"-"&amp;$M17&amp;"_old",Ammortamento_Finanziario!$H:$L,5,FALSE),VLOOKUP($M17,TT_Tabelle_Riferimento!$H$31:$I$50,2,FALSE))</f>
        <v>20</v>
      </c>
      <c r="KQ17" s="1748">
        <f>+IFERROR(VLOOKUP(KQ$6&amp;"-"&amp;$M17&amp;"_old",Ammortamento_Finanziario!$H:$L,5,FALSE),VLOOKUP($M17,TT_Tabelle_Riferimento!$H$31:$I$50,2,FALSE))</f>
        <v>20</v>
      </c>
      <c r="KR17" s="1748">
        <f>+IFERROR(VLOOKUP(KR$6&amp;"-"&amp;$M17&amp;"_old",Ammortamento_Finanziario!$H:$L,5,FALSE),VLOOKUP($M17,TT_Tabelle_Riferimento!$H$31:$I$50,2,FALSE))</f>
        <v>20</v>
      </c>
      <c r="KS17" s="1755">
        <f>+IFERROR(VLOOKUP(KS$6&amp;"-"&amp;$M17&amp;"_old",Ammortamento_Finanziario!$H:$L,5,FALSE),VLOOKUP($M17,TT_Tabelle_Riferimento!$H$31:$I$50,2,FALSE))</f>
        <v>20</v>
      </c>
      <c r="KT17" s="1755">
        <f>+IFERROR(VLOOKUP(KT$6&amp;"-"&amp;$M17&amp;"_old",Ammortamento_Finanziario!$H:$L,5,FALSE),VLOOKUP($M17,TT_Tabelle_Riferimento!$H$31:$I$50,2,FALSE))</f>
        <v>20</v>
      </c>
      <c r="KU17" s="1755">
        <f>+IFERROR(VLOOKUP(KU$6&amp;"-"&amp;$M17&amp;"_old",Ammortamento_Finanziario!$H:$L,5,FALSE),VLOOKUP($M17,TT_Tabelle_Riferimento!$H$31:$I$50,2,FALSE))</f>
        <v>20</v>
      </c>
      <c r="KV17" s="1755">
        <f>+IFERROR(VLOOKUP(KV$6&amp;"-"&amp;$M17&amp;"_old",Ammortamento_Finanziario!$H:$L,5,FALSE),VLOOKUP($M17,TT_Tabelle_Riferimento!$H$31:$I$50,2,FALSE))</f>
        <v>20</v>
      </c>
      <c r="KW17" s="1755">
        <f>+IFERROR(VLOOKUP(KW$6&amp;"-"&amp;$M17&amp;"_old",Ammortamento_Finanziario!$H:$L,5,FALSE),VLOOKUP($M17,TT_Tabelle_Riferimento!$H$31:$I$50,2,FALSE))</f>
        <v>20</v>
      </c>
      <c r="KX17" s="1755">
        <f>+IFERROR(VLOOKUP(KX$6&amp;"-"&amp;$M17&amp;"_old",Ammortamento_Finanziario!$H:$L,5,FALSE),VLOOKUP($M17,TT_Tabelle_Riferimento!$H$31:$I$50,2,FALSE))</f>
        <v>20</v>
      </c>
      <c r="KY17" s="1078">
        <f>+IFERROR(VLOOKUP(KY$6&amp;"-"&amp;$M17&amp;"_old",Ammortamento_Finanziario!$H:$L,5,FALSE),VLOOKUP($M17,TT_Tabelle_Riferimento!$H$31:$I$50,2,FALSE))</f>
        <v>20</v>
      </c>
      <c r="KZ17" s="1078">
        <f>+IFERROR(VLOOKUP(KZ$6&amp;"-"&amp;$M17&amp;"_old",Ammortamento_Finanziario!$H:$L,5,FALSE),VLOOKUP($M17,TT_Tabelle_Riferimento!$H$31:$I$50,2,FALSE))</f>
        <v>20</v>
      </c>
      <c r="LA17" s="1078">
        <f>+IFERROR(VLOOKUP(LA$6&amp;"-"&amp;$M17&amp;"_old",Ammortamento_Finanziario!$H:$L,5,FALSE),VLOOKUP($M17,TT_Tabelle_Riferimento!$H$31:$I$50,2,FALSE))</f>
        <v>20</v>
      </c>
      <c r="LB17" s="1078">
        <f>+IFERROR(VLOOKUP(LB$6&amp;"-"&amp;$M17&amp;"_old",Ammortamento_Finanziario!$H:$L,5,FALSE),VLOOKUP($M17,TT_Tabelle_Riferimento!$H$31:$I$50,2,FALSE))</f>
        <v>20</v>
      </c>
      <c r="LC17" s="1078">
        <f>+IFERROR(VLOOKUP(LC$6&amp;"-"&amp;$M17&amp;"_old",Ammortamento_Finanziario!$H:$L,5,FALSE),VLOOKUP($M17,TT_Tabelle_Riferimento!$H$31:$I$50,2,FALSE))</f>
        <v>20</v>
      </c>
      <c r="LD17" s="1078">
        <f>+IFERROR(VLOOKUP(LD$6&amp;"-"&amp;$M17&amp;"_old",Ammortamento_Finanziario!$H:$L,5,FALSE),VLOOKUP($M17,TT_Tabelle_Riferimento!$H$31:$I$50,2,FALSE))</f>
        <v>20</v>
      </c>
      <c r="LE17" s="1078">
        <f>+IFERROR(VLOOKUP(LE$6&amp;"-"&amp;$M17&amp;"_old",Ammortamento_Finanziario!$H:$L,5,FALSE),VLOOKUP($M17,TT_Tabelle_Riferimento!$H$31:$I$50,2,FALSE))</f>
        <v>20</v>
      </c>
      <c r="LF17" s="1078">
        <f>+IFERROR(VLOOKUP(LF$6&amp;"-"&amp;$M17&amp;"_old",Ammortamento_Finanziario!$H:$L,5,FALSE),VLOOKUP($M17,TT_Tabelle_Riferimento!$H$31:$I$50,2,FALSE))</f>
        <v>20</v>
      </c>
      <c r="LG17" s="1078">
        <f>+IFERROR(VLOOKUP(LG$6&amp;"-"&amp;$M17&amp;"_old",Ammortamento_Finanziario!$H:$L,5,FALSE),VLOOKUP($M17,TT_Tabelle_Riferimento!$H$31:$I$50,2,FALSE))</f>
        <v>20</v>
      </c>
      <c r="LH17" s="1078">
        <f>+IFERROR(VLOOKUP(LH$6&amp;"-"&amp;$M17&amp;"_old",Ammortamento_Finanziario!$H:$L,5,FALSE),VLOOKUP($M17,TT_Tabelle_Riferimento!$H$31:$I$50,2,FALSE))</f>
        <v>20</v>
      </c>
      <c r="LI17" s="1078">
        <f>+IFERROR(VLOOKUP(LI$6&amp;"-"&amp;$M17&amp;"_old",Ammortamento_Finanziario!$H:$L,5,FALSE),VLOOKUP($M17,TT_Tabelle_Riferimento!$H$31:$I$50,2,FALSE))</f>
        <v>20</v>
      </c>
      <c r="LJ17" s="1078">
        <f>+IFERROR(VLOOKUP(LJ$6&amp;"-"&amp;$M17&amp;"_old",Ammortamento_Finanziario!$H:$L,5,FALSE),VLOOKUP($M17,TT_Tabelle_Riferimento!$H$31:$I$50,2,FALSE))</f>
        <v>20</v>
      </c>
      <c r="LK17" s="1078">
        <f>+IFERROR(VLOOKUP(LK$6&amp;"-"&amp;$M17&amp;"_old",Ammortamento_Finanziario!$H:$L,5,FALSE),VLOOKUP($M17,TT_Tabelle_Riferimento!$H$31:$I$50,2,FALSE))</f>
        <v>20</v>
      </c>
      <c r="LL17" s="1078">
        <f>+IFERROR(VLOOKUP(LL$6&amp;"-"&amp;$M17&amp;"_old",Ammortamento_Finanziario!$H:$L,5,FALSE),VLOOKUP($M17,TT_Tabelle_Riferimento!$H$31:$I$50,2,FALSE))</f>
        <v>20</v>
      </c>
      <c r="LM17" s="1078">
        <f>+IFERROR(VLOOKUP(LM$6&amp;"-"&amp;$M17&amp;"_old",Ammortamento_Finanziario!$H:$L,5,FALSE),VLOOKUP($M17,TT_Tabelle_Riferimento!$H$31:$I$50,2,FALSE))</f>
        <v>20</v>
      </c>
      <c r="LN17" s="1078">
        <f>+IFERROR(VLOOKUP(LN$6&amp;"-"&amp;$M17&amp;"_old",Ammortamento_Finanziario!$H:$L,5,FALSE),VLOOKUP($M17,TT_Tabelle_Riferimento!$H$31:$I$50,2,FALSE))</f>
        <v>20</v>
      </c>
      <c r="LO17" s="1078">
        <f>+IFERROR(VLOOKUP(LO$6&amp;"-"&amp;$M17&amp;"_old",Ammortamento_Finanziario!$H:$L,5,FALSE),VLOOKUP($M17,TT_Tabelle_Riferimento!$H$31:$I$50,2,FALSE))</f>
        <v>20</v>
      </c>
      <c r="LP17" s="1078">
        <f>+IFERROR(VLOOKUP(LP$6&amp;"-"&amp;$M17&amp;"_old",Ammortamento_Finanziario!$H:$L,5,FALSE),VLOOKUP($M17,TT_Tabelle_Riferimento!$H$31:$I$50,2,FALSE))</f>
        <v>20</v>
      </c>
      <c r="LQ17" s="1078">
        <f>+IFERROR(VLOOKUP(LQ$6&amp;"-"&amp;$M17&amp;"_old",Ammortamento_Finanziario!$H:$L,5,FALSE),VLOOKUP($M17,TT_Tabelle_Riferimento!$H$31:$I$50,2,FALSE))</f>
        <v>20</v>
      </c>
      <c r="LR17" s="1748">
        <f>+IFERROR(VLOOKUP(LR$6&amp;"-"&amp;$M17&amp;"_old",Ammortamento_Finanziario!$H:$L,5,FALSE),VLOOKUP($M17,TT_Tabelle_Riferimento!$H$31:$I$50,2,FALSE))</f>
        <v>20</v>
      </c>
      <c r="LS17" s="1755">
        <f>+IFERROR(VLOOKUP(LS$6&amp;"-"&amp;$M17&amp;"_old",Ammortamento_Finanziario!$H:$L,5,FALSE),VLOOKUP($M17,TT_Tabelle_Riferimento!$H$31:$I$50,2,FALSE))</f>
        <v>20</v>
      </c>
      <c r="LT17" s="1755">
        <f>+IFERROR(VLOOKUP(LT$6&amp;"-"&amp;$M17&amp;"_old",Ammortamento_Finanziario!$H:$L,5,FALSE),VLOOKUP($M17,TT_Tabelle_Riferimento!$H$31:$I$50,2,FALSE))</f>
        <v>20</v>
      </c>
      <c r="LU17" s="1755">
        <f>+IFERROR(VLOOKUP(LU$6&amp;"-"&amp;$M17&amp;"_old",Ammortamento_Finanziario!$H:$L,5,FALSE),VLOOKUP($M17,TT_Tabelle_Riferimento!$H$31:$I$50,2,FALSE))</f>
        <v>20</v>
      </c>
      <c r="LV17" s="1755">
        <f>+IFERROR(VLOOKUP(LV$6&amp;"-"&amp;$M17&amp;"_old",Ammortamento_Finanziario!$H:$L,5,FALSE),VLOOKUP($M17,TT_Tabelle_Riferimento!$H$31:$I$50,2,FALSE))</f>
        <v>20</v>
      </c>
      <c r="LW17" s="1755">
        <f>+IFERROR(VLOOKUP(LW$6&amp;"-"&amp;$M17&amp;"_old",Ammortamento_Finanziario!$H:$L,5,FALSE),VLOOKUP($M17,TT_Tabelle_Riferimento!$H$31:$I$50,2,FALSE))</f>
        <v>20</v>
      </c>
      <c r="LX17" s="1755">
        <f>+IFERROR(VLOOKUP(LX$6&amp;"-"&amp;$M17&amp;"_old",Ammortamento_Finanziario!$H:$L,5,FALSE),VLOOKUP($M17,TT_Tabelle_Riferimento!$H$31:$I$50,2,FALSE))</f>
        <v>20</v>
      </c>
      <c r="LY17" s="1078">
        <f>+IFERROR(VLOOKUP(LY$6&amp;"-"&amp;$M17&amp;"_old",Ammortamento_Finanziario!$H:$L,5,FALSE),VLOOKUP($M17,TT_Tabelle_Riferimento!$H$31:$I$50,2,FALSE))</f>
        <v>20</v>
      </c>
      <c r="LZ17" s="1078">
        <f>+IFERROR(VLOOKUP(LZ$6&amp;"-"&amp;$M17&amp;"_old",Ammortamento_Finanziario!$H:$L,5,FALSE),VLOOKUP($M17,TT_Tabelle_Riferimento!$H$31:$I$50,2,FALSE))</f>
        <v>20</v>
      </c>
      <c r="MA17" s="1078">
        <f>+IFERROR(VLOOKUP(MA$6&amp;"-"&amp;$M17&amp;"_old",Ammortamento_Finanziario!$H:$L,5,FALSE),VLOOKUP($M17,TT_Tabelle_Riferimento!$H$31:$I$50,2,FALSE))</f>
        <v>20</v>
      </c>
      <c r="MB17" s="1078">
        <f>+IFERROR(VLOOKUP(MB$6&amp;"-"&amp;$M17&amp;"_old",Ammortamento_Finanziario!$H:$L,5,FALSE),VLOOKUP($M17,TT_Tabelle_Riferimento!$H$31:$I$50,2,FALSE))</f>
        <v>20</v>
      </c>
      <c r="MC17" s="1078">
        <f>+IFERROR(VLOOKUP(MC$6&amp;"-"&amp;$M17&amp;"_old",Ammortamento_Finanziario!$H:$L,5,FALSE),VLOOKUP($M17,TT_Tabelle_Riferimento!$H$31:$I$50,2,FALSE))</f>
        <v>20</v>
      </c>
      <c r="MD17" s="1078">
        <f>+IFERROR(VLOOKUP(MD$6&amp;"-"&amp;$M17&amp;"_old",Ammortamento_Finanziario!$H:$L,5,FALSE),VLOOKUP($M17,TT_Tabelle_Riferimento!$H$31:$I$50,2,FALSE))</f>
        <v>20</v>
      </c>
      <c r="ME17" s="1078">
        <f>+IFERROR(VLOOKUP(ME$6&amp;"-"&amp;$M17&amp;"_old",Ammortamento_Finanziario!$H:$L,5,FALSE),VLOOKUP($M17,TT_Tabelle_Riferimento!$H$31:$I$50,2,FALSE))</f>
        <v>20</v>
      </c>
      <c r="MF17" s="1078">
        <f>+IFERROR(VLOOKUP(MF$6&amp;"-"&amp;$M17&amp;"_old",Ammortamento_Finanziario!$H:$L,5,FALSE),VLOOKUP($M17,TT_Tabelle_Riferimento!$H$31:$I$50,2,FALSE))</f>
        <v>20</v>
      </c>
      <c r="MG17" s="1078">
        <f>+IFERROR(VLOOKUP(MG$6&amp;"-"&amp;$M17&amp;"_old",Ammortamento_Finanziario!$H:$L,5,FALSE),VLOOKUP($M17,TT_Tabelle_Riferimento!$H$31:$I$50,2,FALSE))</f>
        <v>20</v>
      </c>
      <c r="MH17" s="1078">
        <f>+IFERROR(VLOOKUP(MH$6&amp;"-"&amp;$M17&amp;"_old",Ammortamento_Finanziario!$H:$L,5,FALSE),VLOOKUP($M17,TT_Tabelle_Riferimento!$H$31:$I$50,2,FALSE))</f>
        <v>20</v>
      </c>
      <c r="MI17" s="1078">
        <f>+IFERROR(VLOOKUP(MI$6&amp;"-"&amp;$M17&amp;"_old",Ammortamento_Finanziario!$H:$L,5,FALSE),VLOOKUP($M17,TT_Tabelle_Riferimento!$H$31:$I$50,2,FALSE))</f>
        <v>20</v>
      </c>
      <c r="MJ17" s="1078">
        <f>+IFERROR(VLOOKUP(MJ$6&amp;"-"&amp;$M17&amp;"_old",Ammortamento_Finanziario!$H:$L,5,FALSE),VLOOKUP($M17,TT_Tabelle_Riferimento!$H$31:$I$50,2,FALSE))</f>
        <v>20</v>
      </c>
      <c r="MK17" s="1078">
        <f>+IFERROR(VLOOKUP(MK$6&amp;"-"&amp;$M17&amp;"_old",Ammortamento_Finanziario!$H:$L,5,FALSE),VLOOKUP($M17,TT_Tabelle_Riferimento!$H$31:$I$50,2,FALSE))</f>
        <v>20</v>
      </c>
      <c r="ML17" s="1078">
        <f>+IFERROR(VLOOKUP(ML$6&amp;"-"&amp;$M17&amp;"_old",Ammortamento_Finanziario!$H:$L,5,FALSE),VLOOKUP($M17,TT_Tabelle_Riferimento!$H$31:$I$50,2,FALSE))</f>
        <v>20</v>
      </c>
      <c r="MM17" s="1078">
        <f>+IFERROR(VLOOKUP(MM$6&amp;"-"&amp;$M17&amp;"_old",Ammortamento_Finanziario!$H:$L,5,FALSE),VLOOKUP($M17,TT_Tabelle_Riferimento!$H$31:$I$50,2,FALSE))</f>
        <v>20</v>
      </c>
      <c r="MN17" s="1078">
        <f>+IFERROR(VLOOKUP(MN$6&amp;"-"&amp;$M17&amp;"_old",Ammortamento_Finanziario!$H:$L,5,FALSE),VLOOKUP($M17,TT_Tabelle_Riferimento!$H$31:$I$50,2,FALSE))</f>
        <v>20</v>
      </c>
      <c r="MO17" s="1078">
        <f>+IFERROR(VLOOKUP(MO$6&amp;"-"&amp;$M17&amp;"_old",Ammortamento_Finanziario!$H:$L,5,FALSE),VLOOKUP($M17,TT_Tabelle_Riferimento!$H$31:$I$50,2,FALSE))</f>
        <v>20</v>
      </c>
      <c r="MP17" s="1078">
        <f>+IFERROR(VLOOKUP(MP$6&amp;"-"&amp;$M17&amp;"_old",Ammortamento_Finanziario!$H:$L,5,FALSE),VLOOKUP($M17,TT_Tabelle_Riferimento!$H$31:$I$50,2,FALSE))</f>
        <v>20</v>
      </c>
      <c r="MQ17" s="1078">
        <f>+IFERROR(VLOOKUP(MQ$6&amp;"-"&amp;$M17&amp;"_old",Ammortamento_Finanziario!$H:$L,5,FALSE),VLOOKUP($M17,TT_Tabelle_Riferimento!$H$31:$I$50,2,FALSE))</f>
        <v>20</v>
      </c>
      <c r="MR17" s="1755">
        <f>+IFERROR(VLOOKUP(MR$6&amp;"-"&amp;$M17&amp;"_old",Ammortamento_Finanziario!$H:$L,5,FALSE),VLOOKUP($M17,TT_Tabelle_Riferimento!$H$31:$I$50,2,FALSE))</f>
        <v>20</v>
      </c>
      <c r="MS17" s="1755">
        <f>+IFERROR(VLOOKUP(MS$6&amp;"-"&amp;$M17&amp;"_old",Ammortamento_Finanziario!$H:$L,5,FALSE),VLOOKUP($M17,TT_Tabelle_Riferimento!$H$31:$I$50,2,FALSE))</f>
        <v>20</v>
      </c>
      <c r="MT17" s="1755">
        <f>+IFERROR(VLOOKUP(MT$6&amp;"-"&amp;$M17&amp;"_old",Ammortamento_Finanziario!$H:$L,5,FALSE),VLOOKUP($M17,TT_Tabelle_Riferimento!$H$31:$I$50,2,FALSE))</f>
        <v>20</v>
      </c>
      <c r="MU17" s="1755">
        <f>+IFERROR(VLOOKUP(MU$6&amp;"-"&amp;$M17&amp;"_old",Ammortamento_Finanziario!$H:$L,5,FALSE),VLOOKUP($M17,TT_Tabelle_Riferimento!$H$31:$I$50,2,FALSE))</f>
        <v>20</v>
      </c>
      <c r="MV17" s="1755">
        <f>+IFERROR(VLOOKUP(MV$6&amp;"-"&amp;$M17&amp;"_old",Ammortamento_Finanziario!$H:$L,5,FALSE),VLOOKUP($M17,TT_Tabelle_Riferimento!$H$31:$I$50,2,FALSE))</f>
        <v>20</v>
      </c>
      <c r="MW17" s="1755">
        <f>+IFERROR(VLOOKUP(MW$6&amp;"-"&amp;$M17&amp;"_old",Ammortamento_Finanziario!$H:$L,5,FALSE),VLOOKUP($M17,TT_Tabelle_Riferimento!$H$31:$I$50,2,FALSE))</f>
        <v>20</v>
      </c>
      <c r="MX17" s="1078">
        <f>+IFERROR(VLOOKUP(MX$6&amp;"-"&amp;$M17&amp;"_old",Ammortamento_Finanziario!$H:$L,5,FALSE),VLOOKUP($M17,TT_Tabelle_Riferimento!$H$31:$I$50,2,FALSE))</f>
        <v>20</v>
      </c>
      <c r="MY17" s="1078">
        <f>+IFERROR(VLOOKUP(MY$6&amp;"-"&amp;$M17&amp;"_old",Ammortamento_Finanziario!$H:$L,5,FALSE),VLOOKUP($M17,TT_Tabelle_Riferimento!$H$31:$I$50,2,FALSE))</f>
        <v>20</v>
      </c>
      <c r="MZ17" s="1078">
        <f>+IFERROR(VLOOKUP(MZ$6&amp;"-"&amp;$M17&amp;"_old",Ammortamento_Finanziario!$H:$L,5,FALSE),VLOOKUP($M17,TT_Tabelle_Riferimento!$H$31:$I$50,2,FALSE))</f>
        <v>20</v>
      </c>
      <c r="NA17" s="1078">
        <f>+IFERROR(VLOOKUP(NA$6&amp;"-"&amp;$M17&amp;"_old",Ammortamento_Finanziario!$H:$L,5,FALSE),VLOOKUP($M17,TT_Tabelle_Riferimento!$H$31:$I$50,2,FALSE))</f>
        <v>20</v>
      </c>
      <c r="NB17" s="1078">
        <f>+IFERROR(VLOOKUP(NB$6&amp;"-"&amp;$M17&amp;"_old",Ammortamento_Finanziario!$H:$L,5,FALSE),VLOOKUP($M17,TT_Tabelle_Riferimento!$H$31:$I$50,2,FALSE))</f>
        <v>20</v>
      </c>
      <c r="NC17" s="1078">
        <f>+IFERROR(VLOOKUP(NC$6&amp;"-"&amp;$M17&amp;"_old",Ammortamento_Finanziario!$H:$L,5,FALSE),VLOOKUP($M17,TT_Tabelle_Riferimento!$H$31:$I$50,2,FALSE))</f>
        <v>20</v>
      </c>
      <c r="ND17" s="1078">
        <f>+IFERROR(VLOOKUP(ND$6&amp;"-"&amp;$M17&amp;"_old",Ammortamento_Finanziario!$H:$L,5,FALSE),VLOOKUP($M17,TT_Tabelle_Riferimento!$H$31:$I$50,2,FALSE))</f>
        <v>20</v>
      </c>
      <c r="NE17" s="1078">
        <f>+IFERROR(VLOOKUP(NE$6&amp;"-"&amp;$M17&amp;"_old",Ammortamento_Finanziario!$H:$L,5,FALSE),VLOOKUP($M17,TT_Tabelle_Riferimento!$H$31:$I$50,2,FALSE))</f>
        <v>20</v>
      </c>
      <c r="NF17" s="1078">
        <f>+IFERROR(VLOOKUP(NF$6&amp;"-"&amp;$M17&amp;"_old",Ammortamento_Finanziario!$H:$L,5,FALSE),VLOOKUP($M17,TT_Tabelle_Riferimento!$H$31:$I$50,2,FALSE))</f>
        <v>20</v>
      </c>
      <c r="NG17" s="1078">
        <f>+IFERROR(VLOOKUP(NG$6&amp;"-"&amp;$M17&amp;"_old",Ammortamento_Finanziario!$H:$L,5,FALSE),VLOOKUP($M17,TT_Tabelle_Riferimento!$H$31:$I$50,2,FALSE))</f>
        <v>20</v>
      </c>
      <c r="NH17" s="1078">
        <f>+IFERROR(VLOOKUP(NH$6&amp;"-"&amp;$M17&amp;"_old",Ammortamento_Finanziario!$H:$L,5,FALSE),VLOOKUP($M17,TT_Tabelle_Riferimento!$H$31:$I$50,2,FALSE))</f>
        <v>20</v>
      </c>
      <c r="NI17" s="1078">
        <f>+IFERROR(VLOOKUP(NI$6&amp;"-"&amp;$M17&amp;"_old",Ammortamento_Finanziario!$H:$L,5,FALSE),VLOOKUP($M17,TT_Tabelle_Riferimento!$H$31:$I$50,2,FALSE))</f>
        <v>20</v>
      </c>
      <c r="NJ17" s="1078">
        <f>+IFERROR(VLOOKUP(NJ$6&amp;"-"&amp;$M17&amp;"_old",Ammortamento_Finanziario!$H:$L,5,FALSE),VLOOKUP($M17,TT_Tabelle_Riferimento!$H$31:$I$50,2,FALSE))</f>
        <v>20</v>
      </c>
      <c r="NK17" s="1078">
        <f>+IFERROR(VLOOKUP(NK$6&amp;"-"&amp;$M17&amp;"_old",Ammortamento_Finanziario!$H:$L,5,FALSE),VLOOKUP($M17,TT_Tabelle_Riferimento!$H$31:$I$50,2,FALSE))</f>
        <v>20</v>
      </c>
      <c r="NL17" s="1078">
        <f>+IFERROR(VLOOKUP(NL$6&amp;"-"&amp;$M17&amp;"_old",Ammortamento_Finanziario!$H:$L,5,FALSE),VLOOKUP($M17,TT_Tabelle_Riferimento!$H$31:$I$50,2,FALSE))</f>
        <v>20</v>
      </c>
      <c r="NM17" s="1078">
        <f>+IFERROR(VLOOKUP(NM$6&amp;"-"&amp;$M17&amp;"_old",Ammortamento_Finanziario!$H:$L,5,FALSE),VLOOKUP($M17,TT_Tabelle_Riferimento!$H$31:$I$50,2,FALSE))</f>
        <v>20</v>
      </c>
      <c r="NN17" s="1078">
        <f>+IFERROR(VLOOKUP(NN$6&amp;"-"&amp;$M17&amp;"_old",Ammortamento_Finanziario!$H:$L,5,FALSE),VLOOKUP($M17,TT_Tabelle_Riferimento!$H$31:$I$50,2,FALSE))</f>
        <v>20</v>
      </c>
      <c r="NO17" s="1078">
        <f>+IFERROR(VLOOKUP(NO$6&amp;"-"&amp;$M17&amp;"_old",Ammortamento_Finanziario!$H:$L,5,FALSE),VLOOKUP($M17,TT_Tabelle_Riferimento!$H$31:$I$50,2,FALSE))</f>
        <v>20</v>
      </c>
      <c r="NP17" s="1078">
        <f>+IFERROR(VLOOKUP(NP$6&amp;"-"&amp;$M17&amp;"_old",Ammortamento_Finanziario!$H:$L,5,FALSE),VLOOKUP($M17,TT_Tabelle_Riferimento!$H$31:$I$50,2,FALSE))</f>
        <v>20</v>
      </c>
      <c r="NQ17" s="1755">
        <f>+IFERROR(VLOOKUP(NQ$6&amp;"-"&amp;$M17&amp;"_old",Ammortamento_Finanziario!$H:$L,5,FALSE),VLOOKUP($M17,TT_Tabelle_Riferimento!$H$31:$I$50,2,FALSE))</f>
        <v>20</v>
      </c>
      <c r="NR17" s="1755">
        <f>+IFERROR(VLOOKUP(NR$6&amp;"-"&amp;$M17&amp;"_old",Ammortamento_Finanziario!$H:$L,5,FALSE),VLOOKUP($M17,TT_Tabelle_Riferimento!$H$31:$I$50,2,FALSE))</f>
        <v>20</v>
      </c>
      <c r="NS17" s="1755">
        <f>+IFERROR(VLOOKUP(NS$6&amp;"-"&amp;$M17&amp;"_old",Ammortamento_Finanziario!$H:$L,5,FALSE),VLOOKUP($M17,TT_Tabelle_Riferimento!$H$31:$I$50,2,FALSE))</f>
        <v>20</v>
      </c>
      <c r="NT17" s="1755">
        <f>+IFERROR(VLOOKUP(NT$6&amp;"-"&amp;$M17&amp;"_old",Ammortamento_Finanziario!$H:$L,5,FALSE),VLOOKUP($M17,TT_Tabelle_Riferimento!$H$31:$I$50,2,FALSE))</f>
        <v>20</v>
      </c>
      <c r="NU17" s="1755">
        <f>+IFERROR(VLOOKUP(NU$6&amp;"-"&amp;$M17&amp;"_old",Ammortamento_Finanziario!$H:$L,5,FALSE),VLOOKUP($M17,TT_Tabelle_Riferimento!$H$31:$I$50,2,FALSE))</f>
        <v>20</v>
      </c>
      <c r="NV17" s="1078">
        <f>+IFERROR(VLOOKUP(NV$6&amp;"-"&amp;$M17&amp;"_old",Ammortamento_Finanziario!$H:$L,5,FALSE),VLOOKUP($M17,TT_Tabelle_Riferimento!$H$31:$I$50,2,FALSE))</f>
        <v>20</v>
      </c>
      <c r="NW17" s="1078">
        <f>+IFERROR(VLOOKUP(NW$6&amp;"-"&amp;$M17&amp;"_old",Ammortamento_Finanziario!$H:$L,5,FALSE),VLOOKUP($M17,TT_Tabelle_Riferimento!$H$31:$I$50,2,FALSE))</f>
        <v>20</v>
      </c>
      <c r="NX17" s="1078">
        <f>+IFERROR(VLOOKUP(NX$6&amp;"-"&amp;$M17&amp;"_old",Ammortamento_Finanziario!$H:$L,5,FALSE),VLOOKUP($M17,TT_Tabelle_Riferimento!$H$31:$I$50,2,FALSE))</f>
        <v>20</v>
      </c>
      <c r="NY17" s="1078">
        <f>+IFERROR(VLOOKUP(NY$6&amp;"-"&amp;$M17&amp;"_old",Ammortamento_Finanziario!$H:$L,5,FALSE),VLOOKUP($M17,TT_Tabelle_Riferimento!$H$31:$I$50,2,FALSE))</f>
        <v>20</v>
      </c>
      <c r="NZ17" s="1078">
        <f>+IFERROR(VLOOKUP(NZ$6&amp;"-"&amp;$M17&amp;"_old",Ammortamento_Finanziario!$H:$L,5,FALSE),VLOOKUP($M17,TT_Tabelle_Riferimento!$H$31:$I$50,2,FALSE))</f>
        <v>20</v>
      </c>
      <c r="OA17" s="1078">
        <f>+IFERROR(VLOOKUP(OA$6&amp;"-"&amp;$M17&amp;"_old",Ammortamento_Finanziario!$H:$L,5,FALSE),VLOOKUP($M17,TT_Tabelle_Riferimento!$H$31:$I$50,2,FALSE))</f>
        <v>20</v>
      </c>
      <c r="OB17" s="1078">
        <f>+IFERROR(VLOOKUP(OB$6&amp;"-"&amp;$M17&amp;"_old",Ammortamento_Finanziario!$H:$L,5,FALSE),VLOOKUP($M17,TT_Tabelle_Riferimento!$H$31:$I$50,2,FALSE))</f>
        <v>20</v>
      </c>
      <c r="OC17" s="1078">
        <f>+IFERROR(VLOOKUP(OC$6&amp;"-"&amp;$M17&amp;"_old",Ammortamento_Finanziario!$H:$L,5,FALSE),VLOOKUP($M17,TT_Tabelle_Riferimento!$H$31:$I$50,2,FALSE))</f>
        <v>20</v>
      </c>
      <c r="OD17" s="1078">
        <f>+IFERROR(VLOOKUP(OD$6&amp;"-"&amp;$M17&amp;"_old",Ammortamento_Finanziario!$H:$L,5,FALSE),VLOOKUP($M17,TT_Tabelle_Riferimento!$H$31:$I$50,2,FALSE))</f>
        <v>20</v>
      </c>
      <c r="OE17" s="1078">
        <f>+IFERROR(VLOOKUP(OE$6&amp;"-"&amp;$M17&amp;"_old",Ammortamento_Finanziario!$H:$L,5,FALSE),VLOOKUP($M17,TT_Tabelle_Riferimento!$H$31:$I$50,2,FALSE))</f>
        <v>20</v>
      </c>
      <c r="OF17" s="1078">
        <f>+IFERROR(VLOOKUP(OF$6&amp;"-"&amp;$M17&amp;"_old",Ammortamento_Finanziario!$H:$L,5,FALSE),VLOOKUP($M17,TT_Tabelle_Riferimento!$H$31:$I$50,2,FALSE))</f>
        <v>20</v>
      </c>
      <c r="OG17" s="1078">
        <f>+IFERROR(VLOOKUP(OG$6&amp;"-"&amp;$M17&amp;"_old",Ammortamento_Finanziario!$H:$L,5,FALSE),VLOOKUP($M17,TT_Tabelle_Riferimento!$H$31:$I$50,2,FALSE))</f>
        <v>20</v>
      </c>
      <c r="OH17" s="1078">
        <f>+IFERROR(VLOOKUP(OH$6&amp;"-"&amp;$M17&amp;"_old",Ammortamento_Finanziario!$H:$L,5,FALSE),VLOOKUP($M17,TT_Tabelle_Riferimento!$H$31:$I$50,2,FALSE))</f>
        <v>20</v>
      </c>
      <c r="OI17" s="1078">
        <f>+IFERROR(VLOOKUP(OI$6&amp;"-"&amp;$M17&amp;"_old",Ammortamento_Finanziario!$H:$L,5,FALSE),VLOOKUP($M17,TT_Tabelle_Riferimento!$H$31:$I$50,2,FALSE))</f>
        <v>20</v>
      </c>
      <c r="OJ17" s="1078">
        <f>+IFERROR(VLOOKUP(OJ$6&amp;"-"&amp;$M17&amp;"_old",Ammortamento_Finanziario!$H:$L,5,FALSE),VLOOKUP($M17,TT_Tabelle_Riferimento!$H$31:$I$50,2,FALSE))</f>
        <v>20</v>
      </c>
      <c r="OK17" s="1078">
        <f>+IFERROR(VLOOKUP(OK$6&amp;"-"&amp;$M17&amp;"_old",Ammortamento_Finanziario!$H:$L,5,FALSE),VLOOKUP($M17,TT_Tabelle_Riferimento!$H$31:$I$50,2,FALSE))</f>
        <v>20</v>
      </c>
      <c r="OL17" s="1078">
        <f>+IFERROR(VLOOKUP(OL$6&amp;"-"&amp;$M17&amp;"_old",Ammortamento_Finanziario!$H:$L,5,FALSE),VLOOKUP($M17,TT_Tabelle_Riferimento!$H$31:$I$50,2,FALSE))</f>
        <v>20</v>
      </c>
      <c r="OM17" s="1078">
        <f>+IFERROR(VLOOKUP(OM$6&amp;"-"&amp;$M17&amp;"_old",Ammortamento_Finanziario!$H:$L,5,FALSE),VLOOKUP($M17,TT_Tabelle_Riferimento!$H$31:$I$50,2,FALSE))</f>
        <v>20</v>
      </c>
      <c r="ON17" s="1078">
        <f>+IFERROR(VLOOKUP(ON$6&amp;"-"&amp;$M17&amp;"_old",Ammortamento_Finanziario!$H:$L,5,FALSE),VLOOKUP($M17,TT_Tabelle_Riferimento!$H$31:$I$50,2,FALSE))</f>
        <v>20</v>
      </c>
      <c r="OO17" s="1755">
        <f>+IFERROR(VLOOKUP(OO$6&amp;"-"&amp;$M17&amp;"_old",Ammortamento_Finanziario!$H:$L,5,FALSE),VLOOKUP($M17,TT_Tabelle_Riferimento!$H$31:$I$50,2,FALSE))</f>
        <v>20</v>
      </c>
      <c r="OP17" s="1755">
        <f>+IFERROR(VLOOKUP(OP$6&amp;"-"&amp;$M17&amp;"_old",Ammortamento_Finanziario!$H:$L,5,FALSE),VLOOKUP($M17,TT_Tabelle_Riferimento!$H$31:$I$50,2,FALSE))</f>
        <v>20</v>
      </c>
      <c r="OQ17" s="1755">
        <f>+IFERROR(VLOOKUP(OQ$6&amp;"-"&amp;$M17&amp;"_old",Ammortamento_Finanziario!$H:$L,5,FALSE),VLOOKUP($M17,TT_Tabelle_Riferimento!$H$31:$I$50,2,FALSE))</f>
        <v>20</v>
      </c>
      <c r="OR17" s="1755">
        <f>+IFERROR(VLOOKUP(OR$6&amp;"-"&amp;$M17&amp;"_old",Ammortamento_Finanziario!$H:$L,5,FALSE),VLOOKUP($M17,TT_Tabelle_Riferimento!$H$31:$I$50,2,FALSE))</f>
        <v>20</v>
      </c>
      <c r="OS17" s="1078">
        <f>+IFERROR(VLOOKUP(OS$6&amp;"-"&amp;$M17&amp;"_old",Ammortamento_Finanziario!$H:$L,5,FALSE),VLOOKUP($M17,TT_Tabelle_Riferimento!$H$31:$I$50,2,FALSE))</f>
        <v>20</v>
      </c>
      <c r="OT17" s="1078">
        <f>+IFERROR(VLOOKUP(OT$6&amp;"-"&amp;$M17&amp;"_old",Ammortamento_Finanziario!$H:$L,5,FALSE),VLOOKUP($M17,TT_Tabelle_Riferimento!$H$31:$I$50,2,FALSE))</f>
        <v>20</v>
      </c>
      <c r="OU17" s="1078">
        <f>+IFERROR(VLOOKUP(OU$6&amp;"-"&amp;$M17&amp;"_old",Ammortamento_Finanziario!$H:$L,5,FALSE),VLOOKUP($M17,TT_Tabelle_Riferimento!$H$31:$I$50,2,FALSE))</f>
        <v>20</v>
      </c>
      <c r="OV17" s="1078">
        <f>+IFERROR(VLOOKUP(OV$6&amp;"-"&amp;$M17&amp;"_old",Ammortamento_Finanziario!$H:$L,5,FALSE),VLOOKUP($M17,TT_Tabelle_Riferimento!$H$31:$I$50,2,FALSE))</f>
        <v>20</v>
      </c>
      <c r="OW17" s="1078">
        <f>+IFERROR(VLOOKUP(OW$6&amp;"-"&amp;$M17&amp;"_old",Ammortamento_Finanziario!$H:$L,5,FALSE),VLOOKUP($M17,TT_Tabelle_Riferimento!$H$31:$I$50,2,FALSE))</f>
        <v>20</v>
      </c>
      <c r="OX17" s="1078">
        <f>+IFERROR(VLOOKUP(OX$6&amp;"-"&amp;$M17&amp;"_old",Ammortamento_Finanziario!$H:$L,5,FALSE),VLOOKUP($M17,TT_Tabelle_Riferimento!$H$31:$I$50,2,FALSE))</f>
        <v>20</v>
      </c>
      <c r="OY17" s="1078">
        <f>+IFERROR(VLOOKUP(OY$6&amp;"-"&amp;$M17&amp;"_old",Ammortamento_Finanziario!$H:$L,5,FALSE),VLOOKUP($M17,TT_Tabelle_Riferimento!$H$31:$I$50,2,FALSE))</f>
        <v>20</v>
      </c>
      <c r="OZ17" s="1078">
        <f>+IFERROR(VLOOKUP(OZ$6&amp;"-"&amp;$M17&amp;"_old",Ammortamento_Finanziario!$H:$L,5,FALSE),VLOOKUP($M17,TT_Tabelle_Riferimento!$H$31:$I$50,2,FALSE))</f>
        <v>20</v>
      </c>
      <c r="PA17" s="1078">
        <f>+IFERROR(VLOOKUP(PA$6&amp;"-"&amp;$M17&amp;"_old",Ammortamento_Finanziario!$H:$L,5,FALSE),VLOOKUP($M17,TT_Tabelle_Riferimento!$H$31:$I$50,2,FALSE))</f>
        <v>20</v>
      </c>
      <c r="PB17" s="1078">
        <f>+IFERROR(VLOOKUP(PB$6&amp;"-"&amp;$M17&amp;"_old",Ammortamento_Finanziario!$H:$L,5,FALSE),VLOOKUP($M17,TT_Tabelle_Riferimento!$H$31:$I$50,2,FALSE))</f>
        <v>20</v>
      </c>
      <c r="PC17" s="1078">
        <f>+IFERROR(VLOOKUP(PC$6&amp;"-"&amp;$M17&amp;"_old",Ammortamento_Finanziario!$H:$L,5,FALSE),VLOOKUP($M17,TT_Tabelle_Riferimento!$H$31:$I$50,2,FALSE))</f>
        <v>20</v>
      </c>
      <c r="PD17" s="1078">
        <f>+IFERROR(VLOOKUP(PD$6&amp;"-"&amp;$M17&amp;"_old",Ammortamento_Finanziario!$H:$L,5,FALSE),VLOOKUP($M17,TT_Tabelle_Riferimento!$H$31:$I$50,2,FALSE))</f>
        <v>20</v>
      </c>
      <c r="PE17" s="1078">
        <f>+IFERROR(VLOOKUP(PE$6&amp;"-"&amp;$M17&amp;"_old",Ammortamento_Finanziario!$H:$L,5,FALSE),VLOOKUP($M17,TT_Tabelle_Riferimento!$H$31:$I$50,2,FALSE))</f>
        <v>20</v>
      </c>
      <c r="PF17" s="1078">
        <f>+IFERROR(VLOOKUP(PF$6&amp;"-"&amp;$M17&amp;"_old",Ammortamento_Finanziario!$H:$L,5,FALSE),VLOOKUP($M17,TT_Tabelle_Riferimento!$H$31:$I$50,2,FALSE))</f>
        <v>20</v>
      </c>
      <c r="PG17" s="1078">
        <f>+IFERROR(VLOOKUP(PG$6&amp;"-"&amp;$M17&amp;"_old",Ammortamento_Finanziario!$H:$L,5,FALSE),VLOOKUP($M17,TT_Tabelle_Riferimento!$H$31:$I$50,2,FALSE))</f>
        <v>20</v>
      </c>
      <c r="PH17" s="1078">
        <f>+IFERROR(VLOOKUP(PH$6&amp;"-"&amp;$M17&amp;"_old",Ammortamento_Finanziario!$H:$L,5,FALSE),VLOOKUP($M17,TT_Tabelle_Riferimento!$H$31:$I$50,2,FALSE))</f>
        <v>20</v>
      </c>
      <c r="PI17" s="1078">
        <f>+IFERROR(VLOOKUP(PI$6&amp;"-"&amp;$M17&amp;"_old",Ammortamento_Finanziario!$H:$L,5,FALSE),VLOOKUP($M17,TT_Tabelle_Riferimento!$H$31:$I$50,2,FALSE))</f>
        <v>20</v>
      </c>
      <c r="PJ17" s="1078">
        <f>+IFERROR(VLOOKUP(PJ$6&amp;"-"&amp;$M17&amp;"_old",Ammortamento_Finanziario!$H:$L,5,FALSE),VLOOKUP($M17,TT_Tabelle_Riferimento!$H$31:$I$50,2,FALSE))</f>
        <v>20</v>
      </c>
      <c r="PK17" s="1078">
        <f>+IFERROR(VLOOKUP(PK$6&amp;"-"&amp;$M17&amp;"_old",Ammortamento_Finanziario!$H:$L,5,FALSE),VLOOKUP($M17,TT_Tabelle_Riferimento!$H$31:$I$50,2,FALSE))</f>
        <v>20</v>
      </c>
      <c r="PL17" s="1755">
        <f>+IFERROR(VLOOKUP(PL$6&amp;"-"&amp;$M17&amp;"_old",Ammortamento_Finanziario!$H:$L,5,FALSE),VLOOKUP($M17,TT_Tabelle_Riferimento!$H$31:$I$50,2,FALSE))</f>
        <v>20</v>
      </c>
      <c r="PM17" s="1755">
        <f>+IFERROR(VLOOKUP(PM$6&amp;"-"&amp;$M17&amp;"_old",Ammortamento_Finanziario!$H:$L,5,FALSE),VLOOKUP($M17,TT_Tabelle_Riferimento!$H$31:$I$50,2,FALSE))</f>
        <v>20</v>
      </c>
      <c r="PN17" s="1755">
        <f>+IFERROR(VLOOKUP(PN$6&amp;"-"&amp;$M17&amp;"_old",Ammortamento_Finanziario!$H:$L,5,FALSE),VLOOKUP($M17,TT_Tabelle_Riferimento!$H$31:$I$50,2,FALSE))</f>
        <v>20</v>
      </c>
      <c r="PO17" s="1078">
        <f>+IFERROR(VLOOKUP(PO$6&amp;"-"&amp;$M17&amp;"_old",Ammortamento_Finanziario!$H:$L,5,FALSE),VLOOKUP($M17,TT_Tabelle_Riferimento!$H$31:$I$50,2,FALSE))</f>
        <v>20</v>
      </c>
      <c r="PP17" s="1078">
        <f>+IFERROR(VLOOKUP(PP$6&amp;"-"&amp;$M17&amp;"_old",Ammortamento_Finanziario!$H:$L,5,FALSE),VLOOKUP($M17,TT_Tabelle_Riferimento!$H$31:$I$50,2,FALSE))</f>
        <v>20</v>
      </c>
      <c r="PQ17" s="1078">
        <f>+IFERROR(VLOOKUP(PQ$6&amp;"-"&amp;$M17&amp;"_old",Ammortamento_Finanziario!$H:$L,5,FALSE),VLOOKUP($M17,TT_Tabelle_Riferimento!$H$31:$I$50,2,FALSE))</f>
        <v>20</v>
      </c>
      <c r="PR17" s="1078">
        <f>+IFERROR(VLOOKUP(PR$6&amp;"-"&amp;$M17&amp;"_old",Ammortamento_Finanziario!$H:$L,5,FALSE),VLOOKUP($M17,TT_Tabelle_Riferimento!$H$31:$I$50,2,FALSE))</f>
        <v>20</v>
      </c>
      <c r="PS17" s="1078">
        <f>+IFERROR(VLOOKUP(PS$6&amp;"-"&amp;$M17&amp;"_old",Ammortamento_Finanziario!$H:$L,5,FALSE),VLOOKUP($M17,TT_Tabelle_Riferimento!$H$31:$I$50,2,FALSE))</f>
        <v>20</v>
      </c>
      <c r="PT17" s="1078">
        <f>+IFERROR(VLOOKUP(PT$6&amp;"-"&amp;$M17&amp;"_old",Ammortamento_Finanziario!$H:$L,5,FALSE),VLOOKUP($M17,TT_Tabelle_Riferimento!$H$31:$I$50,2,FALSE))</f>
        <v>20</v>
      </c>
      <c r="PU17" s="1078">
        <f>+IFERROR(VLOOKUP(PU$6&amp;"-"&amp;$M17&amp;"_old",Ammortamento_Finanziario!$H:$L,5,FALSE),VLOOKUP($M17,TT_Tabelle_Riferimento!$H$31:$I$50,2,FALSE))</f>
        <v>20</v>
      </c>
      <c r="PV17" s="1078">
        <f>+IFERROR(VLOOKUP(PV$6&amp;"-"&amp;$M17&amp;"_old",Ammortamento_Finanziario!$H:$L,5,FALSE),VLOOKUP($M17,TT_Tabelle_Riferimento!$H$31:$I$50,2,FALSE))</f>
        <v>20</v>
      </c>
      <c r="PW17" s="1078">
        <f>+IFERROR(VLOOKUP(PW$6&amp;"-"&amp;$M17&amp;"_old",Ammortamento_Finanziario!$H:$L,5,FALSE),VLOOKUP($M17,TT_Tabelle_Riferimento!$H$31:$I$50,2,FALSE))</f>
        <v>20</v>
      </c>
      <c r="PX17" s="1078">
        <f>+IFERROR(VLOOKUP(PX$6&amp;"-"&amp;$M17&amp;"_old",Ammortamento_Finanziario!$H:$L,5,FALSE),VLOOKUP($M17,TT_Tabelle_Riferimento!$H$31:$I$50,2,FALSE))</f>
        <v>20</v>
      </c>
      <c r="PY17" s="1078">
        <f>+IFERROR(VLOOKUP(PY$6&amp;"-"&amp;$M17&amp;"_old",Ammortamento_Finanziario!$H:$L,5,FALSE),VLOOKUP($M17,TT_Tabelle_Riferimento!$H$31:$I$50,2,FALSE))</f>
        <v>20</v>
      </c>
      <c r="PZ17" s="1078">
        <f>+IFERROR(VLOOKUP(PZ$6&amp;"-"&amp;$M17&amp;"_old",Ammortamento_Finanziario!$H:$L,5,FALSE),VLOOKUP($M17,TT_Tabelle_Riferimento!$H$31:$I$50,2,FALSE))</f>
        <v>20</v>
      </c>
      <c r="QA17" s="1078">
        <f>+IFERROR(VLOOKUP(QA$6&amp;"-"&amp;$M17&amp;"_old",Ammortamento_Finanziario!$H:$L,5,FALSE),VLOOKUP($M17,TT_Tabelle_Riferimento!$H$31:$I$50,2,FALSE))</f>
        <v>20</v>
      </c>
      <c r="QB17" s="1078">
        <f>+IFERROR(VLOOKUP(QB$6&amp;"-"&amp;$M17&amp;"_old",Ammortamento_Finanziario!$H:$L,5,FALSE),VLOOKUP($M17,TT_Tabelle_Riferimento!$H$31:$I$50,2,FALSE))</f>
        <v>20</v>
      </c>
      <c r="QC17" s="1078">
        <f>+IFERROR(VLOOKUP(QC$6&amp;"-"&amp;$M17&amp;"_old",Ammortamento_Finanziario!$H:$L,5,FALSE),VLOOKUP($M17,TT_Tabelle_Riferimento!$H$31:$I$50,2,FALSE))</f>
        <v>20</v>
      </c>
      <c r="QD17" s="1078">
        <f>+IFERROR(VLOOKUP(QD$6&amp;"-"&amp;$M17&amp;"_old",Ammortamento_Finanziario!$H:$L,5,FALSE),VLOOKUP($M17,TT_Tabelle_Riferimento!$H$31:$I$50,2,FALSE))</f>
        <v>20</v>
      </c>
      <c r="QE17" s="1078">
        <f>+IFERROR(VLOOKUP(QE$6&amp;"-"&amp;$M17&amp;"_old",Ammortamento_Finanziario!$H:$L,5,FALSE),VLOOKUP($M17,TT_Tabelle_Riferimento!$H$31:$I$50,2,FALSE))</f>
        <v>20</v>
      </c>
      <c r="QF17" s="1078">
        <f>+IFERROR(VLOOKUP(QF$6&amp;"-"&amp;$M17&amp;"_old",Ammortamento_Finanziario!$H:$L,5,FALSE),VLOOKUP($M17,TT_Tabelle_Riferimento!$H$31:$I$50,2,FALSE))</f>
        <v>20</v>
      </c>
      <c r="QG17" s="1078">
        <f>+IFERROR(VLOOKUP(QG$6&amp;"-"&amp;$M17&amp;"_old",Ammortamento_Finanziario!$H:$L,5,FALSE),VLOOKUP($M17,TT_Tabelle_Riferimento!$H$31:$I$50,2,FALSE))</f>
        <v>20</v>
      </c>
      <c r="QH17" s="1755">
        <f>+IFERROR(VLOOKUP(QH$6&amp;"-"&amp;$M17&amp;"_old",Ammortamento_Finanziario!$H:$L,5,FALSE),VLOOKUP($M17,TT_Tabelle_Riferimento!$H$31:$I$50,2,FALSE))</f>
        <v>20</v>
      </c>
      <c r="QI17" s="1755">
        <f>+IFERROR(VLOOKUP(QI$6&amp;"-"&amp;$M17&amp;"_old",Ammortamento_Finanziario!$H:$L,5,FALSE),VLOOKUP($M17,TT_Tabelle_Riferimento!$H$31:$I$50,2,FALSE))</f>
        <v>20</v>
      </c>
      <c r="QJ17" s="1078">
        <f>+IFERROR(VLOOKUP(QJ$6&amp;"-"&amp;$M17&amp;"_old",Ammortamento_Finanziario!$H:$L,5,FALSE),VLOOKUP($M17,TT_Tabelle_Riferimento!$H$31:$I$50,2,FALSE))</f>
        <v>20</v>
      </c>
      <c r="QK17" s="1078">
        <f>+IFERROR(VLOOKUP(QK$6&amp;"-"&amp;$M17&amp;"_old",Ammortamento_Finanziario!$H:$L,5,FALSE),VLOOKUP($M17,TT_Tabelle_Riferimento!$H$31:$I$50,2,FALSE))</f>
        <v>20</v>
      </c>
      <c r="QL17" s="1078">
        <f>+IFERROR(VLOOKUP(QL$6&amp;"-"&amp;$M17&amp;"_old",Ammortamento_Finanziario!$H:$L,5,FALSE),VLOOKUP($M17,TT_Tabelle_Riferimento!$H$31:$I$50,2,FALSE))</f>
        <v>20</v>
      </c>
      <c r="QM17" s="1078">
        <f>+IFERROR(VLOOKUP(QM$6&amp;"-"&amp;$M17&amp;"_old",Ammortamento_Finanziario!$H:$L,5,FALSE),VLOOKUP($M17,TT_Tabelle_Riferimento!$H$31:$I$50,2,FALSE))</f>
        <v>20</v>
      </c>
      <c r="QN17" s="1078">
        <f>+IFERROR(VLOOKUP(QN$6&amp;"-"&amp;$M17&amp;"_old",Ammortamento_Finanziario!$H:$L,5,FALSE),VLOOKUP($M17,TT_Tabelle_Riferimento!$H$31:$I$50,2,FALSE))</f>
        <v>20</v>
      </c>
      <c r="QO17" s="1078">
        <f>+IFERROR(VLOOKUP(QO$6&amp;"-"&amp;$M17&amp;"_old",Ammortamento_Finanziario!$H:$L,5,FALSE),VLOOKUP($M17,TT_Tabelle_Riferimento!$H$31:$I$50,2,FALSE))</f>
        <v>20</v>
      </c>
      <c r="QP17" s="1078">
        <f>+IFERROR(VLOOKUP(QP$6&amp;"-"&amp;$M17&amp;"_old",Ammortamento_Finanziario!$H:$L,5,FALSE),VLOOKUP($M17,TT_Tabelle_Riferimento!$H$31:$I$50,2,FALSE))</f>
        <v>20</v>
      </c>
      <c r="QQ17" s="1078">
        <f>+IFERROR(VLOOKUP(QQ$6&amp;"-"&amp;$M17&amp;"_old",Ammortamento_Finanziario!$H:$L,5,FALSE),VLOOKUP($M17,TT_Tabelle_Riferimento!$H$31:$I$50,2,FALSE))</f>
        <v>20</v>
      </c>
      <c r="QR17" s="1078">
        <f>+IFERROR(VLOOKUP(QR$6&amp;"-"&amp;$M17&amp;"_old",Ammortamento_Finanziario!$H:$L,5,FALSE),VLOOKUP($M17,TT_Tabelle_Riferimento!$H$31:$I$50,2,FALSE))</f>
        <v>20</v>
      </c>
      <c r="QS17" s="1078">
        <f>+IFERROR(VLOOKUP(QS$6&amp;"-"&amp;$M17&amp;"_old",Ammortamento_Finanziario!$H:$L,5,FALSE),VLOOKUP($M17,TT_Tabelle_Riferimento!$H$31:$I$50,2,FALSE))</f>
        <v>20</v>
      </c>
      <c r="QT17" s="1078">
        <f>+IFERROR(VLOOKUP(QT$6&amp;"-"&amp;$M17&amp;"_old",Ammortamento_Finanziario!$H:$L,5,FALSE),VLOOKUP($M17,TT_Tabelle_Riferimento!$H$31:$I$50,2,FALSE))</f>
        <v>20</v>
      </c>
      <c r="QU17" s="1078">
        <f>+IFERROR(VLOOKUP(QU$6&amp;"-"&amp;$M17&amp;"_old",Ammortamento_Finanziario!$H:$L,5,FALSE),VLOOKUP($M17,TT_Tabelle_Riferimento!$H$31:$I$50,2,FALSE))</f>
        <v>20</v>
      </c>
      <c r="QV17" s="1078">
        <f>+IFERROR(VLOOKUP(QV$6&amp;"-"&amp;$M17&amp;"_old",Ammortamento_Finanziario!$H:$L,5,FALSE),VLOOKUP($M17,TT_Tabelle_Riferimento!$H$31:$I$50,2,FALSE))</f>
        <v>20</v>
      </c>
      <c r="QW17" s="1078">
        <f>+IFERROR(VLOOKUP(QW$6&amp;"-"&amp;$M17&amp;"_old",Ammortamento_Finanziario!$H:$L,5,FALSE),VLOOKUP($M17,TT_Tabelle_Riferimento!$H$31:$I$50,2,FALSE))</f>
        <v>20</v>
      </c>
      <c r="QX17" s="1078">
        <f>+IFERROR(VLOOKUP(QX$6&amp;"-"&amp;$M17&amp;"_old",Ammortamento_Finanziario!$H:$L,5,FALSE),VLOOKUP($M17,TT_Tabelle_Riferimento!$H$31:$I$50,2,FALSE))</f>
        <v>20</v>
      </c>
      <c r="QY17" s="1078">
        <f>+IFERROR(VLOOKUP(QY$6&amp;"-"&amp;$M17&amp;"_old",Ammortamento_Finanziario!$H:$L,5,FALSE),VLOOKUP($M17,TT_Tabelle_Riferimento!$H$31:$I$50,2,FALSE))</f>
        <v>20</v>
      </c>
      <c r="QZ17" s="1078">
        <f>+IFERROR(VLOOKUP(QZ$6&amp;"-"&amp;$M17&amp;"_old",Ammortamento_Finanziario!$H:$L,5,FALSE),VLOOKUP($M17,TT_Tabelle_Riferimento!$H$31:$I$50,2,FALSE))</f>
        <v>20</v>
      </c>
      <c r="RA17" s="1078">
        <f>+IFERROR(VLOOKUP(RA$6&amp;"-"&amp;$M17&amp;"_old",Ammortamento_Finanziario!$H:$L,5,FALSE),VLOOKUP($M17,TT_Tabelle_Riferimento!$H$31:$I$50,2,FALSE))</f>
        <v>20</v>
      </c>
      <c r="RB17" s="1078">
        <f>+IFERROR(VLOOKUP(RB$6&amp;"-"&amp;$M17&amp;"_old",Ammortamento_Finanziario!$H:$L,5,FALSE),VLOOKUP($M17,TT_Tabelle_Riferimento!$H$31:$I$50,2,FALSE))</f>
        <v>20</v>
      </c>
      <c r="RC17" s="1755">
        <f>+IFERROR(VLOOKUP(RC$6&amp;"-"&amp;$M17&amp;"_old",Ammortamento_Finanziario!$H:$L,5,FALSE),VLOOKUP($M17,TT_Tabelle_Riferimento!$H$31:$I$50,2,FALSE))</f>
        <v>20</v>
      </c>
      <c r="RD17" s="1078">
        <f>+IFERROR(VLOOKUP(RD$6&amp;"-"&amp;$M17&amp;"_old",Ammortamento_Finanziario!$H:$L,5,FALSE),VLOOKUP($M17,TT_Tabelle_Riferimento!$H$31:$I$50,2,FALSE))</f>
        <v>20</v>
      </c>
      <c r="RE17" s="1078">
        <f>+IFERROR(VLOOKUP(RE$6&amp;"-"&amp;$M17&amp;"_old",Ammortamento_Finanziario!$H:$L,5,FALSE),VLOOKUP($M17,TT_Tabelle_Riferimento!$H$31:$I$50,2,FALSE))</f>
        <v>20</v>
      </c>
      <c r="RF17" s="1078">
        <f>+IFERROR(VLOOKUP(RF$6&amp;"-"&amp;$M17&amp;"_old",Ammortamento_Finanziario!$H:$L,5,FALSE),VLOOKUP($M17,TT_Tabelle_Riferimento!$H$31:$I$50,2,FALSE))</f>
        <v>20</v>
      </c>
      <c r="RG17" s="1078">
        <f>+IFERROR(VLOOKUP(RG$6&amp;"-"&amp;$M17&amp;"_old",Ammortamento_Finanziario!$H:$L,5,FALSE),VLOOKUP($M17,TT_Tabelle_Riferimento!$H$31:$I$50,2,FALSE))</f>
        <v>20</v>
      </c>
      <c r="RH17" s="1078">
        <f>+IFERROR(VLOOKUP(RH$6&amp;"-"&amp;$M17&amp;"_old",Ammortamento_Finanziario!$H:$L,5,FALSE),VLOOKUP($M17,TT_Tabelle_Riferimento!$H$31:$I$50,2,FALSE))</f>
        <v>20</v>
      </c>
      <c r="RI17" s="1078">
        <f>+IFERROR(VLOOKUP(RI$6&amp;"-"&amp;$M17&amp;"_old",Ammortamento_Finanziario!$H:$L,5,FALSE),VLOOKUP($M17,TT_Tabelle_Riferimento!$H$31:$I$50,2,FALSE))</f>
        <v>20</v>
      </c>
      <c r="RJ17" s="1078">
        <f>+IFERROR(VLOOKUP(RJ$6&amp;"-"&amp;$M17&amp;"_old",Ammortamento_Finanziario!$H:$L,5,FALSE),VLOOKUP($M17,TT_Tabelle_Riferimento!$H$31:$I$50,2,FALSE))</f>
        <v>20</v>
      </c>
      <c r="RK17" s="1078">
        <f>+IFERROR(VLOOKUP(RK$6&amp;"-"&amp;$M17&amp;"_old",Ammortamento_Finanziario!$H:$L,5,FALSE),VLOOKUP($M17,TT_Tabelle_Riferimento!$H$31:$I$50,2,FALSE))</f>
        <v>20</v>
      </c>
      <c r="RL17" s="1078">
        <f>+IFERROR(VLOOKUP(RL$6&amp;"-"&amp;$M17&amp;"_old",Ammortamento_Finanziario!$H:$L,5,FALSE),VLOOKUP($M17,TT_Tabelle_Riferimento!$H$31:$I$50,2,FALSE))</f>
        <v>20</v>
      </c>
      <c r="RM17" s="1078">
        <f>+IFERROR(VLOOKUP(RM$6&amp;"-"&amp;$M17&amp;"_old",Ammortamento_Finanziario!$H:$L,5,FALSE),VLOOKUP($M17,TT_Tabelle_Riferimento!$H$31:$I$50,2,FALSE))</f>
        <v>20</v>
      </c>
      <c r="RN17" s="1078">
        <f>+IFERROR(VLOOKUP(RN$6&amp;"-"&amp;$M17&amp;"_old",Ammortamento_Finanziario!$H:$L,5,FALSE),VLOOKUP($M17,TT_Tabelle_Riferimento!$H$31:$I$50,2,FALSE))</f>
        <v>20</v>
      </c>
      <c r="RO17" s="1078">
        <f>+IFERROR(VLOOKUP(RO$6&amp;"-"&amp;$M17&amp;"_old",Ammortamento_Finanziario!$H:$L,5,FALSE),VLOOKUP($M17,TT_Tabelle_Riferimento!$H$31:$I$50,2,FALSE))</f>
        <v>20</v>
      </c>
      <c r="RP17" s="1078">
        <f>+IFERROR(VLOOKUP(RP$6&amp;"-"&amp;$M17&amp;"_old",Ammortamento_Finanziario!$H:$L,5,FALSE),VLOOKUP($M17,TT_Tabelle_Riferimento!$H$31:$I$50,2,FALSE))</f>
        <v>20</v>
      </c>
      <c r="RQ17" s="1078">
        <f>+IFERROR(VLOOKUP(RQ$6&amp;"-"&amp;$M17&amp;"_old",Ammortamento_Finanziario!$H:$L,5,FALSE),VLOOKUP($M17,TT_Tabelle_Riferimento!$H$31:$I$50,2,FALSE))</f>
        <v>20</v>
      </c>
      <c r="RR17" s="1078">
        <f>+IFERROR(VLOOKUP(RR$6&amp;"-"&amp;$M17&amp;"_old",Ammortamento_Finanziario!$H:$L,5,FALSE),VLOOKUP($M17,TT_Tabelle_Riferimento!$H$31:$I$50,2,FALSE))</f>
        <v>20</v>
      </c>
      <c r="RS17" s="1078">
        <f>+IFERROR(VLOOKUP(RS$6&amp;"-"&amp;$M17&amp;"_old",Ammortamento_Finanziario!$H:$L,5,FALSE),VLOOKUP($M17,TT_Tabelle_Riferimento!$H$31:$I$50,2,FALSE))</f>
        <v>20</v>
      </c>
      <c r="RT17" s="1078">
        <f>+IFERROR(VLOOKUP(RT$6&amp;"-"&amp;$M17&amp;"_old",Ammortamento_Finanziario!$H:$L,5,FALSE),VLOOKUP($M17,TT_Tabelle_Riferimento!$H$31:$I$50,2,FALSE))</f>
        <v>20</v>
      </c>
      <c r="RU17" s="1078">
        <f>+IFERROR(VLOOKUP(RU$6&amp;"-"&amp;$M17&amp;"_old",Ammortamento_Finanziario!$H:$L,5,FALSE),VLOOKUP($M17,TT_Tabelle_Riferimento!$H$31:$I$50,2,FALSE))</f>
        <v>20</v>
      </c>
      <c r="RV17" s="1078">
        <f>+IFERROR(VLOOKUP(RV$6&amp;"-"&amp;$M17&amp;"_old",Ammortamento_Finanziario!$H:$L,5,FALSE),VLOOKUP($M17,TT_Tabelle_Riferimento!$H$31:$I$50,2,FALSE))</f>
        <v>20</v>
      </c>
    </row>
    <row r="18" spans="4:490">
      <c r="D18" s="135" t="s">
        <v>199</v>
      </c>
      <c r="E18" s="719">
        <f>+SUMIFS(IMN_gestore!P:P,IMN_gestore!$E:$E,"&gt;="&amp;2012,IMN_gestore!$E:$E,"&lt;="&amp;2022)</f>
        <v>0</v>
      </c>
      <c r="F18" s="719">
        <f>+SUMIFS(IMN_gestore!AA:AA,IMN_gestore!$E:$E,"&gt;="&amp;2012,IMN_gestore!$E:$E,"&lt;="&amp;2023)</f>
        <v>0</v>
      </c>
      <c r="G18" s="719">
        <f>+SUMIFS(IMN_gestore!AL:AL,IMN_gestore!$E:$E,"&gt;="&amp;2012,IMN_gestore!$E:$E,"&lt;="&amp;2024)</f>
        <v>0</v>
      </c>
      <c r="H18" s="719">
        <f>+SUMIFS(IMN_gestore!AW:AW,IMN_gestore!$E:$E,"&gt;="&amp;2012,IMN_gestore!$E:$E,"&lt;="&amp;2025)</f>
        <v>0</v>
      </c>
      <c r="I18" s="719">
        <f>+SUMIFS(IMN_gestore!$BH:$BH,IMN_gestore!$E:$E,"&gt;="&amp;2012,IMN_gestore!$E:$E,"&lt;="&amp;2026)</f>
        <v>0</v>
      </c>
      <c r="J18" s="719">
        <f>+SUMIFS(IMN_gestore!$BS:$BS,IMN_gestore!$E:$E,"&gt;="&amp;2012,IMN_gestore!$E:$E,"&lt;="&amp;2027)</f>
        <v>0</v>
      </c>
      <c r="K18" s="136"/>
      <c r="L18" s="125"/>
      <c r="M18" s="420">
        <v>12</v>
      </c>
      <c r="N18" s="904">
        <f>+IFERROR(VLOOKUP(N$6&amp;"-"&amp;$M18&amp;"_old",Ammortamento_Finanziario!$H:$L,5,FALSE),VLOOKUP($M18,TT_Tabelle_Riferimento!$H$31:$I$50,2,FALSE))</f>
        <v>10</v>
      </c>
      <c r="O18" s="904">
        <f>+IFERROR(VLOOKUP(O$6&amp;"-"&amp;$M18&amp;"_old",Ammortamento_Finanziario!$H:$L,5,FALSE),VLOOKUP($M18,TT_Tabelle_Riferimento!$H$31:$I$50,2,FALSE))</f>
        <v>10</v>
      </c>
      <c r="P18" s="904">
        <f>+IFERROR(VLOOKUP(P$6&amp;"-"&amp;$M18&amp;"_old",Ammortamento_Finanziario!$H:$L,5,FALSE),VLOOKUP($M18,TT_Tabelle_Riferimento!$H$31:$I$50,2,FALSE))</f>
        <v>10</v>
      </c>
      <c r="Q18" s="904">
        <f>+IFERROR(VLOOKUP(Q$6&amp;"-"&amp;$M18&amp;"_old",Ammortamento_Finanziario!$H:$L,5,FALSE),VLOOKUP($M18,TT_Tabelle_Riferimento!$H$31:$I$50,2,FALSE))</f>
        <v>10</v>
      </c>
      <c r="R18" s="904">
        <f>+IFERROR(VLOOKUP(R$6&amp;"-"&amp;$M18&amp;"_old",Ammortamento_Finanziario!$H:$L,5,FALSE),VLOOKUP($M18,TT_Tabelle_Riferimento!$H$31:$I$50,2,FALSE))</f>
        <v>10</v>
      </c>
      <c r="S18" s="904">
        <f>+IFERROR(VLOOKUP(S$6&amp;"-"&amp;$M18&amp;"_old",Ammortamento_Finanziario!$H:$L,5,FALSE),VLOOKUP($M18,TT_Tabelle_Riferimento!$H$31:$I$50,2,FALSE))</f>
        <v>10</v>
      </c>
      <c r="T18" s="904">
        <f>+IFERROR(VLOOKUP(T$6&amp;"-"&amp;$M18&amp;"_old",Ammortamento_Finanziario!$H:$L,5,FALSE),VLOOKUP($M18,TT_Tabelle_Riferimento!$H$31:$I$50,2,FALSE))</f>
        <v>10</v>
      </c>
      <c r="U18" s="904">
        <f>+IFERROR(VLOOKUP(U$6&amp;"-"&amp;$M18&amp;"_old",Ammortamento_Finanziario!$H:$L,5,FALSE),VLOOKUP($M18,TT_Tabelle_Riferimento!$H$31:$I$50,2,FALSE))</f>
        <v>10</v>
      </c>
      <c r="V18" s="904">
        <f>+IFERROR(VLOOKUP(V$6&amp;"-"&amp;$M18&amp;"_old",Ammortamento_Finanziario!$H:$L,5,FALSE),VLOOKUP($M18,TT_Tabelle_Riferimento!$H$31:$I$50,2,FALSE))</f>
        <v>10</v>
      </c>
      <c r="W18" s="904">
        <f>+IFERROR(VLOOKUP(W$6&amp;"-"&amp;$M18&amp;"_old",Ammortamento_Finanziario!$H:$L,5,FALSE),VLOOKUP($M18,TT_Tabelle_Riferimento!$H$31:$I$50,2,FALSE))</f>
        <v>10</v>
      </c>
      <c r="X18" s="1739">
        <f>+IFERROR(VLOOKUP(X$6&amp;"-"&amp;$M18&amp;"_old",Ammortamento_Finanziario!$H:$L,5,FALSE),VLOOKUP($M18,TT_Tabelle_Riferimento!$H$31:$I$50,2,FALSE))</f>
        <v>10</v>
      </c>
      <c r="Y18" s="1739">
        <f>+IFERROR(VLOOKUP(Y$6&amp;"-"&amp;$M18&amp;"_old",Ammortamento_Finanziario!$H:$L,5,FALSE),VLOOKUP($M18,TT_Tabelle_Riferimento!$H$31:$I$50,2,FALSE))</f>
        <v>10</v>
      </c>
      <c r="Z18" s="1749">
        <f>+IFERROR(VLOOKUP(Z$6&amp;"-"&amp;$M18&amp;"_old",Ammortamento_Finanziario!$H:$L,5,FALSE),VLOOKUP($M18,TT_Tabelle_Riferimento!$H$31:$I$50,2,FALSE))</f>
        <v>10</v>
      </c>
      <c r="AA18" s="1749">
        <f>+IFERROR(VLOOKUP(AA$6&amp;"-"&amp;$M18&amp;"_old",Ammortamento_Finanziario!$H:$L,5,FALSE),VLOOKUP($M18,TT_Tabelle_Riferimento!$H$31:$I$50,2,FALSE))</f>
        <v>10</v>
      </c>
      <c r="AB18" s="1749">
        <f>+IFERROR(VLOOKUP(AB$6&amp;"-"&amp;$M18&amp;"_old",Ammortamento_Finanziario!$H:$L,5,FALSE),VLOOKUP($M18,TT_Tabelle_Riferimento!$H$31:$I$50,2,FALSE))</f>
        <v>10</v>
      </c>
      <c r="AC18" s="1749">
        <f>+IFERROR(VLOOKUP(AC$6&amp;"-"&amp;$M18&amp;"_old",Ammortamento_Finanziario!$H:$L,5,FALSE),VLOOKUP($M18,TT_Tabelle_Riferimento!$H$31:$I$50,2,FALSE))</f>
        <v>10</v>
      </c>
      <c r="AD18" s="1749">
        <f>+IFERROR(VLOOKUP(AD$6&amp;"-"&amp;$M18&amp;"_old",Ammortamento_Finanziario!$H:$L,5,FALSE),VLOOKUP($M18,TT_Tabelle_Riferimento!$H$31:$I$50,2,FALSE))</f>
        <v>10</v>
      </c>
      <c r="AE18" s="1749">
        <f>+IFERROR(VLOOKUP(AE$6&amp;"-"&amp;$M18&amp;"_old",Ammortamento_Finanziario!$H:$L,5,FALSE),VLOOKUP($M18,TT_Tabelle_Riferimento!$H$31:$I$50,2,FALSE))</f>
        <v>10</v>
      </c>
      <c r="AF18" s="625">
        <f>+IFERROR(VLOOKUP(AF$6&amp;"-"&amp;$M18&amp;"_old",Ammortamento_Finanziario!$H:$L,5,FALSE),VLOOKUP($M18,TT_Tabelle_Riferimento!$H$31:$I$50,2,FALSE))</f>
        <v>10</v>
      </c>
      <c r="AG18" s="625">
        <f>+IFERROR(VLOOKUP(AG$6&amp;"-"&amp;$M18&amp;"_old",Ammortamento_Finanziario!$H:$L,5,FALSE),VLOOKUP($M18,TT_Tabelle_Riferimento!$H$31:$I$50,2,FALSE))</f>
        <v>10</v>
      </c>
      <c r="AH18" s="625">
        <f>+IFERROR(VLOOKUP(AH$6&amp;"-"&amp;$M18&amp;"_old",Ammortamento_Finanziario!$H:$L,5,FALSE),VLOOKUP($M18,TT_Tabelle_Riferimento!$H$31:$I$50,2,FALSE))</f>
        <v>10</v>
      </c>
      <c r="AI18" s="625">
        <f>+IFERROR(VLOOKUP(AI$6&amp;"-"&amp;$M18&amp;"_old",Ammortamento_Finanziario!$H:$L,5,FALSE),VLOOKUP($M18,TT_Tabelle_Riferimento!$H$31:$I$50,2,FALSE))</f>
        <v>10</v>
      </c>
      <c r="AJ18" s="625">
        <f>+IFERROR(VLOOKUP(AJ$6&amp;"-"&amp;$M18&amp;"_old",Ammortamento_Finanziario!$H:$L,5,FALSE),VLOOKUP($M18,TT_Tabelle_Riferimento!$H$31:$I$50,2,FALSE))</f>
        <v>10</v>
      </c>
      <c r="AK18" s="625">
        <f>+IFERROR(VLOOKUP(AK$6&amp;"-"&amp;$M18&amp;"_old",Ammortamento_Finanziario!$H:$L,5,FALSE),VLOOKUP($M18,TT_Tabelle_Riferimento!$H$31:$I$50,2,FALSE))</f>
        <v>10</v>
      </c>
      <c r="AL18" s="625">
        <f>+IFERROR(VLOOKUP(AL$6&amp;"-"&amp;$M18&amp;"_old",Ammortamento_Finanziario!$H:$L,5,FALSE),VLOOKUP($M18,TT_Tabelle_Riferimento!$H$31:$I$50,2,FALSE))</f>
        <v>10</v>
      </c>
      <c r="AM18" s="625">
        <f>+IFERROR(VLOOKUP(AM$6&amp;"-"&amp;$M18&amp;"_old",Ammortamento_Finanziario!$H:$L,5,FALSE),VLOOKUP($M18,TT_Tabelle_Riferimento!$H$31:$I$50,2,FALSE))</f>
        <v>10</v>
      </c>
      <c r="AN18" s="625">
        <f>+IFERROR(VLOOKUP(AN$6&amp;"-"&amp;$M18&amp;"_old",Ammortamento_Finanziario!$H:$L,5,FALSE),VLOOKUP($M18,TT_Tabelle_Riferimento!$H$31:$I$50,2,FALSE))</f>
        <v>10</v>
      </c>
      <c r="AO18" s="625">
        <f>+IFERROR(VLOOKUP(AO$6&amp;"-"&amp;$M18&amp;"_old",Ammortamento_Finanziario!$H:$L,5,FALSE),VLOOKUP($M18,TT_Tabelle_Riferimento!$H$31:$I$50,2,FALSE))</f>
        <v>10</v>
      </c>
      <c r="AP18" s="625">
        <f>+IFERROR(VLOOKUP(AP$6&amp;"-"&amp;$M18&amp;"_old",Ammortamento_Finanziario!$H:$L,5,FALSE),VLOOKUP($M18,TT_Tabelle_Riferimento!$H$31:$I$50,2,FALSE))</f>
        <v>10</v>
      </c>
      <c r="AQ18" s="625">
        <f>+IFERROR(VLOOKUP(AQ$6&amp;"-"&amp;$M18&amp;"_old",Ammortamento_Finanziario!$H:$L,5,FALSE),VLOOKUP($M18,TT_Tabelle_Riferimento!$H$31:$I$50,2,FALSE))</f>
        <v>10</v>
      </c>
      <c r="AR18" s="625">
        <f>+IFERROR(VLOOKUP(AR$6&amp;"-"&amp;$M18&amp;"_old",Ammortamento_Finanziario!$H:$L,5,FALSE),VLOOKUP($M18,TT_Tabelle_Riferimento!$H$31:$I$50,2,FALSE))</f>
        <v>10</v>
      </c>
      <c r="AS18" s="625">
        <f>+IFERROR(VLOOKUP(AS$6&amp;"-"&amp;$M18&amp;"_old",Ammortamento_Finanziario!$H:$L,5,FALSE),VLOOKUP($M18,TT_Tabelle_Riferimento!$H$31:$I$50,2,FALSE))</f>
        <v>10</v>
      </c>
      <c r="AT18" s="625">
        <f>+IFERROR(VLOOKUP(AT$6&amp;"-"&amp;$M18&amp;"_old",Ammortamento_Finanziario!$H:$L,5,FALSE),VLOOKUP($M18,TT_Tabelle_Riferimento!$H$31:$I$50,2,FALSE))</f>
        <v>10</v>
      </c>
      <c r="AU18" s="625">
        <f>+IFERROR(VLOOKUP(AU$6&amp;"-"&amp;$M18&amp;"_old",Ammortamento_Finanziario!$H:$L,5,FALSE),VLOOKUP($M18,TT_Tabelle_Riferimento!$H$31:$I$50,2,FALSE))</f>
        <v>10</v>
      </c>
      <c r="AV18" s="625">
        <f>+IFERROR(VLOOKUP(AV$6&amp;"-"&amp;$M18&amp;"_old",Ammortamento_Finanziario!$H:$L,5,FALSE),VLOOKUP($M18,TT_Tabelle_Riferimento!$H$31:$I$50,2,FALSE))</f>
        <v>10</v>
      </c>
      <c r="AW18" s="625">
        <f>+IFERROR(VLOOKUP(AW$6&amp;"-"&amp;$M18&amp;"_old",Ammortamento_Finanziario!$H:$L,5,FALSE),VLOOKUP($M18,TT_Tabelle_Riferimento!$H$31:$I$50,2,FALSE))</f>
        <v>10</v>
      </c>
      <c r="AX18" s="625">
        <f>+IFERROR(VLOOKUP(AX$6&amp;"-"&amp;$M18&amp;"_old",Ammortamento_Finanziario!$H:$L,5,FALSE),VLOOKUP($M18,TT_Tabelle_Riferimento!$H$31:$I$50,2,FALSE))</f>
        <v>10</v>
      </c>
      <c r="AY18" s="905">
        <f>+IFERROR(VLOOKUP(AY$6&amp;"-"&amp;$M18&amp;"_old",Ammortamento_Finanziario!$H:$L,5,FALSE),VLOOKUP($M18,TT_Tabelle_Riferimento!$H$31:$I$50,2,FALSE))</f>
        <v>10</v>
      </c>
      <c r="AZ18" s="905">
        <f>+IFERROR(VLOOKUP(AZ$6&amp;"-"&amp;$M18&amp;"_old",Ammortamento_Finanziario!$H:$L,5,FALSE),VLOOKUP($M18,TT_Tabelle_Riferimento!$H$31:$I$50,2,FALSE))</f>
        <v>10</v>
      </c>
      <c r="BA18" s="905">
        <f>+IFERROR(VLOOKUP(BA$6&amp;"-"&amp;$M18&amp;"_old",Ammortamento_Finanziario!$H:$L,5,FALSE),VLOOKUP($M18,TT_Tabelle_Riferimento!$H$31:$I$50,2,FALSE))</f>
        <v>10</v>
      </c>
      <c r="BB18" s="905">
        <f>+IFERROR(VLOOKUP(BB$6&amp;"-"&amp;$M18&amp;"_old",Ammortamento_Finanziario!$H:$L,5,FALSE),VLOOKUP($M18,TT_Tabelle_Riferimento!$H$31:$I$50,2,FALSE))</f>
        <v>10</v>
      </c>
      <c r="BC18" s="905">
        <f>+IFERROR(VLOOKUP(BC$6&amp;"-"&amp;$M18&amp;"_old",Ammortamento_Finanziario!$H:$L,5,FALSE),VLOOKUP($M18,TT_Tabelle_Riferimento!$H$31:$I$50,2,FALSE))</f>
        <v>10</v>
      </c>
      <c r="BD18" s="905">
        <f>+IFERROR(VLOOKUP(BD$6&amp;"-"&amp;$M18&amp;"_old",Ammortamento_Finanziario!$H:$L,5,FALSE),VLOOKUP($M18,TT_Tabelle_Riferimento!$H$31:$I$50,2,FALSE))</f>
        <v>10</v>
      </c>
      <c r="BE18" s="905">
        <f>+IFERROR(VLOOKUP(BE$6&amp;"-"&amp;$M18&amp;"_old",Ammortamento_Finanziario!$H:$L,5,FALSE),VLOOKUP($M18,TT_Tabelle_Riferimento!$H$31:$I$50,2,FALSE))</f>
        <v>10</v>
      </c>
      <c r="BF18" s="905">
        <f>+IFERROR(VLOOKUP(BF$6&amp;"-"&amp;$M18&amp;"_old",Ammortamento_Finanziario!$H:$L,5,FALSE),VLOOKUP($M18,TT_Tabelle_Riferimento!$H$31:$I$50,2,FALSE))</f>
        <v>10</v>
      </c>
      <c r="BG18" s="1740">
        <f>+IFERROR(VLOOKUP(BG$6&amp;"-"&amp;$M18&amp;"_old",Ammortamento_Finanziario!$H:$L,5,FALSE),VLOOKUP($M18,TT_Tabelle_Riferimento!$H$31:$I$50,2,FALSE))</f>
        <v>10</v>
      </c>
      <c r="BH18" s="1740">
        <f>+IFERROR(VLOOKUP(BH$6&amp;"-"&amp;$M18&amp;"_old",Ammortamento_Finanziario!$H:$L,5,FALSE),VLOOKUP($M18,TT_Tabelle_Riferimento!$H$31:$I$50,2,FALSE))</f>
        <v>10</v>
      </c>
      <c r="BI18" s="1749">
        <f>+IFERROR(VLOOKUP(BI$6&amp;"-"&amp;$M18&amp;"_old",Ammortamento_Finanziario!$H:$L,5,FALSE),VLOOKUP($M18,TT_Tabelle_Riferimento!$H$31:$I$50,2,FALSE))</f>
        <v>10</v>
      </c>
      <c r="BJ18" s="1749">
        <f>+IFERROR(VLOOKUP(BJ$6&amp;"-"&amp;$M18&amp;"_old",Ammortamento_Finanziario!$H:$L,5,FALSE),VLOOKUP($M18,TT_Tabelle_Riferimento!$H$31:$I$50,2,FALSE))</f>
        <v>10</v>
      </c>
      <c r="BK18" s="1749">
        <f>+IFERROR(VLOOKUP(BK$6&amp;"-"&amp;$M18&amp;"_old",Ammortamento_Finanziario!$H:$L,5,FALSE),VLOOKUP($M18,TT_Tabelle_Riferimento!$H$31:$I$50,2,FALSE))</f>
        <v>10</v>
      </c>
      <c r="BL18" s="1749">
        <f>+IFERROR(VLOOKUP(BL$6&amp;"-"&amp;$M18&amp;"_old",Ammortamento_Finanziario!$H:$L,5,FALSE),VLOOKUP($M18,TT_Tabelle_Riferimento!$H$31:$I$50,2,FALSE))</f>
        <v>10</v>
      </c>
      <c r="BM18" s="1749">
        <f>+IFERROR(VLOOKUP(BM$6&amp;"-"&amp;$M18&amp;"_old",Ammortamento_Finanziario!$H:$L,5,FALSE),VLOOKUP($M18,TT_Tabelle_Riferimento!$H$31:$I$50,2,FALSE))</f>
        <v>10</v>
      </c>
      <c r="BN18" s="1749">
        <f>+IFERROR(VLOOKUP(BN$6&amp;"-"&amp;$M18&amp;"_old",Ammortamento_Finanziario!$H:$L,5,FALSE),VLOOKUP($M18,TT_Tabelle_Riferimento!$H$31:$I$50,2,FALSE))</f>
        <v>10</v>
      </c>
      <c r="BO18" s="625">
        <f>+IFERROR(VLOOKUP(BO$6&amp;"-"&amp;$M18&amp;"_old",Ammortamento_Finanziario!$H:$L,5,FALSE),VLOOKUP($M18,TT_Tabelle_Riferimento!$H$31:$I$50,2,FALSE))</f>
        <v>10</v>
      </c>
      <c r="BP18" s="625">
        <f>+IFERROR(VLOOKUP(BP$6&amp;"-"&amp;$M18&amp;"_old",Ammortamento_Finanziario!$H:$L,5,FALSE),VLOOKUP($M18,TT_Tabelle_Riferimento!$H$31:$I$50,2,FALSE))</f>
        <v>10</v>
      </c>
      <c r="BQ18" s="625">
        <f>+IFERROR(VLOOKUP(BQ$6&amp;"-"&amp;$M18&amp;"_old",Ammortamento_Finanziario!$H:$L,5,FALSE),VLOOKUP($M18,TT_Tabelle_Riferimento!$H$31:$I$50,2,FALSE))</f>
        <v>10</v>
      </c>
      <c r="BR18" s="625">
        <f>+IFERROR(VLOOKUP(BR$6&amp;"-"&amp;$M18&amp;"_old",Ammortamento_Finanziario!$H:$L,5,FALSE),VLOOKUP($M18,TT_Tabelle_Riferimento!$H$31:$I$50,2,FALSE))</f>
        <v>10</v>
      </c>
      <c r="BS18" s="625">
        <f>+IFERROR(VLOOKUP(BS$6&amp;"-"&amp;$M18&amp;"_old",Ammortamento_Finanziario!$H:$L,5,FALSE),VLOOKUP($M18,TT_Tabelle_Riferimento!$H$31:$I$50,2,FALSE))</f>
        <v>10</v>
      </c>
      <c r="BT18" s="625">
        <f>+IFERROR(VLOOKUP(BT$6&amp;"-"&amp;$M18&amp;"_old",Ammortamento_Finanziario!$H:$L,5,FALSE),VLOOKUP($M18,TT_Tabelle_Riferimento!$H$31:$I$50,2,FALSE))</f>
        <v>10</v>
      </c>
      <c r="BU18" s="625">
        <f>+IFERROR(VLOOKUP(BU$6&amp;"-"&amp;$M18&amp;"_old",Ammortamento_Finanziario!$H:$L,5,FALSE),VLOOKUP($M18,TT_Tabelle_Riferimento!$H$31:$I$50,2,FALSE))</f>
        <v>10</v>
      </c>
      <c r="BV18" s="625">
        <f>+IFERROR(VLOOKUP(BV$6&amp;"-"&amp;$M18&amp;"_old",Ammortamento_Finanziario!$H:$L,5,FALSE),VLOOKUP($M18,TT_Tabelle_Riferimento!$H$31:$I$50,2,FALSE))</f>
        <v>10</v>
      </c>
      <c r="BW18" s="625">
        <f>+IFERROR(VLOOKUP(BW$6&amp;"-"&amp;$M18&amp;"_old",Ammortamento_Finanziario!$H:$L,5,FALSE),VLOOKUP($M18,TT_Tabelle_Riferimento!$H$31:$I$50,2,FALSE))</f>
        <v>10</v>
      </c>
      <c r="BX18" s="625">
        <f>+IFERROR(VLOOKUP(BX$6&amp;"-"&amp;$M18&amp;"_old",Ammortamento_Finanziario!$H:$L,5,FALSE),VLOOKUP($M18,TT_Tabelle_Riferimento!$H$31:$I$50,2,FALSE))</f>
        <v>10</v>
      </c>
      <c r="BY18" s="625">
        <f>+IFERROR(VLOOKUP(BY$6&amp;"-"&amp;$M18&amp;"_old",Ammortamento_Finanziario!$H:$L,5,FALSE),VLOOKUP($M18,TT_Tabelle_Riferimento!$H$31:$I$50,2,FALSE))</f>
        <v>10</v>
      </c>
      <c r="BZ18" s="625">
        <f>+IFERROR(VLOOKUP(BZ$6&amp;"-"&amp;$M18&amp;"_old",Ammortamento_Finanziario!$H:$L,5,FALSE),VLOOKUP($M18,TT_Tabelle_Riferimento!$H$31:$I$50,2,FALSE))</f>
        <v>10</v>
      </c>
      <c r="CA18" s="625">
        <f>+IFERROR(VLOOKUP(CA$6&amp;"-"&amp;$M18&amp;"_old",Ammortamento_Finanziario!$H:$L,5,FALSE),VLOOKUP($M18,TT_Tabelle_Riferimento!$H$31:$I$50,2,FALSE))</f>
        <v>10</v>
      </c>
      <c r="CB18" s="625">
        <f>+IFERROR(VLOOKUP(CB$6&amp;"-"&amp;$M18&amp;"_old",Ammortamento_Finanziario!$H:$L,5,FALSE),VLOOKUP($M18,TT_Tabelle_Riferimento!$H$31:$I$50,2,FALSE))</f>
        <v>10</v>
      </c>
      <c r="CC18" s="625">
        <f>+IFERROR(VLOOKUP(CC$6&amp;"-"&amp;$M18&amp;"_old",Ammortamento_Finanziario!$H:$L,5,FALSE),VLOOKUP($M18,TT_Tabelle_Riferimento!$H$31:$I$50,2,FALSE))</f>
        <v>10</v>
      </c>
      <c r="CD18" s="625">
        <f>+IFERROR(VLOOKUP(CD$6&amp;"-"&amp;$M18&amp;"_old",Ammortamento_Finanziario!$H:$L,5,FALSE),VLOOKUP($M18,TT_Tabelle_Riferimento!$H$31:$I$50,2,FALSE))</f>
        <v>10</v>
      </c>
      <c r="CE18" s="625">
        <f>+IFERROR(VLOOKUP(CE$6&amp;"-"&amp;$M18&amp;"_old",Ammortamento_Finanziario!$H:$L,5,FALSE),VLOOKUP($M18,TT_Tabelle_Riferimento!$H$31:$I$50,2,FALSE))</f>
        <v>10</v>
      </c>
      <c r="CF18" s="625">
        <f>+IFERROR(VLOOKUP(CF$6&amp;"-"&amp;$M18&amp;"_old",Ammortamento_Finanziario!$H:$L,5,FALSE),VLOOKUP($M18,TT_Tabelle_Riferimento!$H$31:$I$50,2,FALSE))</f>
        <v>10</v>
      </c>
      <c r="CG18" s="625">
        <f>+IFERROR(VLOOKUP(CG$6&amp;"-"&amp;$M18&amp;"_old",Ammortamento_Finanziario!$H:$L,5,FALSE),VLOOKUP($M18,TT_Tabelle_Riferimento!$H$31:$I$50,2,FALSE))</f>
        <v>10</v>
      </c>
      <c r="CH18" s="905">
        <f>+IFERROR(VLOOKUP(CH$6&amp;"-"&amp;$M18&amp;"_old",Ammortamento_Finanziario!$H:$L,5,FALSE),VLOOKUP($M18,TT_Tabelle_Riferimento!$H$31:$I$50,2,FALSE))</f>
        <v>10</v>
      </c>
      <c r="CI18" s="905">
        <f>+IFERROR(VLOOKUP(CI$6&amp;"-"&amp;$M18&amp;"_old",Ammortamento_Finanziario!$H:$L,5,FALSE),VLOOKUP($M18,TT_Tabelle_Riferimento!$H$31:$I$50,2,FALSE))</f>
        <v>10</v>
      </c>
      <c r="CJ18" s="905">
        <f>+IFERROR(VLOOKUP(CJ$6&amp;"-"&amp;$M18&amp;"_old",Ammortamento_Finanziario!$H:$L,5,FALSE),VLOOKUP($M18,TT_Tabelle_Riferimento!$H$31:$I$50,2,FALSE))</f>
        <v>10</v>
      </c>
      <c r="CK18" s="905">
        <f>+IFERROR(VLOOKUP(CK$6&amp;"-"&amp;$M18&amp;"_old",Ammortamento_Finanziario!$H:$L,5,FALSE),VLOOKUP($M18,TT_Tabelle_Riferimento!$H$31:$I$50,2,FALSE))</f>
        <v>10</v>
      </c>
      <c r="CL18" s="905">
        <f>+IFERROR(VLOOKUP(CL$6&amp;"-"&amp;$M18&amp;"_old",Ammortamento_Finanziario!$H:$L,5,FALSE),VLOOKUP($M18,TT_Tabelle_Riferimento!$H$31:$I$50,2,FALSE))</f>
        <v>10</v>
      </c>
      <c r="CM18" s="905">
        <f>+IFERROR(VLOOKUP(CM$6&amp;"-"&amp;$M18&amp;"_old",Ammortamento_Finanziario!$H:$L,5,FALSE),VLOOKUP($M18,TT_Tabelle_Riferimento!$H$31:$I$50,2,FALSE))</f>
        <v>10</v>
      </c>
      <c r="CN18" s="905">
        <f>+IFERROR(VLOOKUP(CN$6&amp;"-"&amp;$M18&amp;"_old",Ammortamento_Finanziario!$H:$L,5,FALSE),VLOOKUP($M18,TT_Tabelle_Riferimento!$H$31:$I$50,2,FALSE))</f>
        <v>10</v>
      </c>
      <c r="CO18" s="1740">
        <f>+IFERROR(VLOOKUP(CO$6&amp;"-"&amp;$M18&amp;"_old",Ammortamento_Finanziario!$H:$L,5,FALSE),VLOOKUP($M18,TT_Tabelle_Riferimento!$H$31:$I$50,2,FALSE))</f>
        <v>10</v>
      </c>
      <c r="CP18" s="1740">
        <f>+IFERROR(VLOOKUP(CP$6&amp;"-"&amp;$M18&amp;"_old",Ammortamento_Finanziario!$H:$L,5,FALSE),VLOOKUP($M18,TT_Tabelle_Riferimento!$H$31:$I$50,2,FALSE))</f>
        <v>10</v>
      </c>
      <c r="CQ18" s="1749">
        <f>+IFERROR(VLOOKUP(CQ$6&amp;"-"&amp;$M18&amp;"_old",Ammortamento_Finanziario!$H:$L,5,FALSE),VLOOKUP($M18,TT_Tabelle_Riferimento!$H$31:$I$50,2,FALSE))</f>
        <v>10</v>
      </c>
      <c r="CR18" s="1749">
        <f>+IFERROR(VLOOKUP(CR$6&amp;"-"&amp;$M18&amp;"_old",Ammortamento_Finanziario!$H:$L,5,FALSE),VLOOKUP($M18,TT_Tabelle_Riferimento!$H$31:$I$50,2,FALSE))</f>
        <v>10</v>
      </c>
      <c r="CS18" s="1749">
        <f>+IFERROR(VLOOKUP(CS$6&amp;"-"&amp;$M18&amp;"_old",Ammortamento_Finanziario!$H:$L,5,FALSE),VLOOKUP($M18,TT_Tabelle_Riferimento!$H$31:$I$50,2,FALSE))</f>
        <v>10</v>
      </c>
      <c r="CT18" s="1749">
        <f>+IFERROR(VLOOKUP(CT$6&amp;"-"&amp;$M18&amp;"_old",Ammortamento_Finanziario!$H:$L,5,FALSE),VLOOKUP($M18,TT_Tabelle_Riferimento!$H$31:$I$50,2,FALSE))</f>
        <v>10</v>
      </c>
      <c r="CU18" s="1749">
        <f>+IFERROR(VLOOKUP(CU$6&amp;"-"&amp;$M18&amp;"_old",Ammortamento_Finanziario!$H:$L,5,FALSE),VLOOKUP($M18,TT_Tabelle_Riferimento!$H$31:$I$50,2,FALSE))</f>
        <v>10</v>
      </c>
      <c r="CV18" s="1749">
        <f>+IFERROR(VLOOKUP(CV$6&amp;"-"&amp;$M18&amp;"_old",Ammortamento_Finanziario!$H:$L,5,FALSE),VLOOKUP($M18,TT_Tabelle_Riferimento!$H$31:$I$50,2,FALSE))</f>
        <v>10</v>
      </c>
      <c r="CW18" s="625">
        <f>+IFERROR(VLOOKUP(CW$6&amp;"-"&amp;$M18&amp;"_old",Ammortamento_Finanziario!$H:$L,5,FALSE),VLOOKUP($M18,TT_Tabelle_Riferimento!$H$31:$I$50,2,FALSE))</f>
        <v>10</v>
      </c>
      <c r="CX18" s="625">
        <f>+IFERROR(VLOOKUP(CX$6&amp;"-"&amp;$M18&amp;"_old",Ammortamento_Finanziario!$H:$L,5,FALSE),VLOOKUP($M18,TT_Tabelle_Riferimento!$H$31:$I$50,2,FALSE))</f>
        <v>10</v>
      </c>
      <c r="CY18" s="625">
        <f>+IFERROR(VLOOKUP(CY$6&amp;"-"&amp;$M18&amp;"_old",Ammortamento_Finanziario!$H:$L,5,FALSE),VLOOKUP($M18,TT_Tabelle_Riferimento!$H$31:$I$50,2,FALSE))</f>
        <v>10</v>
      </c>
      <c r="CZ18" s="625">
        <f>+IFERROR(VLOOKUP(CZ$6&amp;"-"&amp;$M18&amp;"_old",Ammortamento_Finanziario!$H:$L,5,FALSE),VLOOKUP($M18,TT_Tabelle_Riferimento!$H$31:$I$50,2,FALSE))</f>
        <v>10</v>
      </c>
      <c r="DA18" s="625">
        <f>+IFERROR(VLOOKUP(DA$6&amp;"-"&amp;$M18&amp;"_old",Ammortamento_Finanziario!$H:$L,5,FALSE),VLOOKUP($M18,TT_Tabelle_Riferimento!$H$31:$I$50,2,FALSE))</f>
        <v>10</v>
      </c>
      <c r="DB18" s="625">
        <f>+IFERROR(VLOOKUP(DB$6&amp;"-"&amp;$M18&amp;"_old",Ammortamento_Finanziario!$H:$L,5,FALSE),VLOOKUP($M18,TT_Tabelle_Riferimento!$H$31:$I$50,2,FALSE))</f>
        <v>10</v>
      </c>
      <c r="DC18" s="625">
        <f>+IFERROR(VLOOKUP(DC$6&amp;"-"&amp;$M18&amp;"_old",Ammortamento_Finanziario!$H:$L,5,FALSE),VLOOKUP($M18,TT_Tabelle_Riferimento!$H$31:$I$50,2,FALSE))</f>
        <v>10</v>
      </c>
      <c r="DD18" s="625">
        <f>+IFERROR(VLOOKUP(DD$6&amp;"-"&amp;$M18&amp;"_old",Ammortamento_Finanziario!$H:$L,5,FALSE),VLOOKUP($M18,TT_Tabelle_Riferimento!$H$31:$I$50,2,FALSE))</f>
        <v>10</v>
      </c>
      <c r="DE18" s="625">
        <f>+IFERROR(VLOOKUP(DE$6&amp;"-"&amp;$M18&amp;"_old",Ammortamento_Finanziario!$H:$L,5,FALSE),VLOOKUP($M18,TT_Tabelle_Riferimento!$H$31:$I$50,2,FALSE))</f>
        <v>10</v>
      </c>
      <c r="DF18" s="625">
        <f>+IFERROR(VLOOKUP(DF$6&amp;"-"&amp;$M18&amp;"_old",Ammortamento_Finanziario!$H:$L,5,FALSE),VLOOKUP($M18,TT_Tabelle_Riferimento!$H$31:$I$50,2,FALSE))</f>
        <v>10</v>
      </c>
      <c r="DG18" s="625">
        <f>+IFERROR(VLOOKUP(DG$6&amp;"-"&amp;$M18&amp;"_old",Ammortamento_Finanziario!$H:$L,5,FALSE),VLOOKUP($M18,TT_Tabelle_Riferimento!$H$31:$I$50,2,FALSE))</f>
        <v>10</v>
      </c>
      <c r="DH18" s="625">
        <f>+IFERROR(VLOOKUP(DH$6&amp;"-"&amp;$M18&amp;"_old",Ammortamento_Finanziario!$H:$L,5,FALSE),VLOOKUP($M18,TT_Tabelle_Riferimento!$H$31:$I$50,2,FALSE))</f>
        <v>10</v>
      </c>
      <c r="DI18" s="625">
        <f>+IFERROR(VLOOKUP(DI$6&amp;"-"&amp;$M18&amp;"_old",Ammortamento_Finanziario!$H:$L,5,FALSE),VLOOKUP($M18,TT_Tabelle_Riferimento!$H$31:$I$50,2,FALSE))</f>
        <v>10</v>
      </c>
      <c r="DJ18" s="625">
        <f>+IFERROR(VLOOKUP(DJ$6&amp;"-"&amp;$M18&amp;"_old",Ammortamento_Finanziario!$H:$L,5,FALSE),VLOOKUP($M18,TT_Tabelle_Riferimento!$H$31:$I$50,2,FALSE))</f>
        <v>10</v>
      </c>
      <c r="DK18" s="625">
        <f>+IFERROR(VLOOKUP(DK$6&amp;"-"&amp;$M18&amp;"_old",Ammortamento_Finanziario!$H:$L,5,FALSE),VLOOKUP($M18,TT_Tabelle_Riferimento!$H$31:$I$50,2,FALSE))</f>
        <v>10</v>
      </c>
      <c r="DL18" s="625">
        <f>+IFERROR(VLOOKUP(DL$6&amp;"-"&amp;$M18&amp;"_old",Ammortamento_Finanziario!$H:$L,5,FALSE),VLOOKUP($M18,TT_Tabelle_Riferimento!$H$31:$I$50,2,FALSE))</f>
        <v>10</v>
      </c>
      <c r="DM18" s="625">
        <f>+IFERROR(VLOOKUP(DM$6&amp;"-"&amp;$M18&amp;"_old",Ammortamento_Finanziario!$H:$L,5,FALSE),VLOOKUP($M18,TT_Tabelle_Riferimento!$H$31:$I$50,2,FALSE))</f>
        <v>10</v>
      </c>
      <c r="DN18" s="625">
        <f>+IFERROR(VLOOKUP(DN$6&amp;"-"&amp;$M18&amp;"_old",Ammortamento_Finanziario!$H:$L,5,FALSE),VLOOKUP($M18,TT_Tabelle_Riferimento!$H$31:$I$50,2,FALSE))</f>
        <v>10</v>
      </c>
      <c r="DO18" s="625">
        <f>+IFERROR(VLOOKUP(DO$6&amp;"-"&amp;$M18&amp;"_old",Ammortamento_Finanziario!$H:$L,5,FALSE),VLOOKUP($M18,TT_Tabelle_Riferimento!$H$31:$I$50,2,FALSE))</f>
        <v>10</v>
      </c>
      <c r="DP18" s="636">
        <f>+IFERROR(VLOOKUP(DP$6&amp;"-"&amp;$M18&amp;"_old",Ammortamento_Finanziario!$H:$L,5,FALSE),VLOOKUP($M18,TT_Tabelle_Riferimento!$H$31:$I$50,2,FALSE))</f>
        <v>10</v>
      </c>
      <c r="DQ18" s="636">
        <f>+IFERROR(VLOOKUP(DQ$6&amp;"-"&amp;$M18&amp;"_old",Ammortamento_Finanziario!$H:$L,5,FALSE),VLOOKUP($M18,TT_Tabelle_Riferimento!$H$31:$I$50,2,FALSE))</f>
        <v>10</v>
      </c>
      <c r="DR18" s="636">
        <f>+IFERROR(VLOOKUP(DR$6&amp;"-"&amp;$M18&amp;"_old",Ammortamento_Finanziario!$H:$L,5,FALSE),VLOOKUP($M18,TT_Tabelle_Riferimento!$H$31:$I$50,2,FALSE))</f>
        <v>10</v>
      </c>
      <c r="DS18" s="636">
        <f>+IFERROR(VLOOKUP(DS$6&amp;"-"&amp;$M18&amp;"_old",Ammortamento_Finanziario!$H:$L,5,FALSE),VLOOKUP($M18,TT_Tabelle_Riferimento!$H$31:$I$50,2,FALSE))</f>
        <v>10</v>
      </c>
      <c r="DT18" s="636">
        <f>+IFERROR(VLOOKUP(DT$6&amp;"-"&amp;$M18&amp;"_old",Ammortamento_Finanziario!$H:$L,5,FALSE),VLOOKUP($M18,TT_Tabelle_Riferimento!$H$31:$I$50,2,FALSE))</f>
        <v>10</v>
      </c>
      <c r="DU18" s="636">
        <f>+IFERROR(VLOOKUP(DU$6&amp;"-"&amp;$M18&amp;"_old",Ammortamento_Finanziario!$H:$L,5,FALSE),VLOOKUP($M18,TT_Tabelle_Riferimento!$H$31:$I$50,2,FALSE))</f>
        <v>10</v>
      </c>
      <c r="DV18" s="1742">
        <f>+IFERROR(VLOOKUP(DV$6&amp;"-"&amp;$M18&amp;"_old",Ammortamento_Finanziario!$H:$L,5,FALSE),VLOOKUP($M18,TT_Tabelle_Riferimento!$H$31:$I$50,2,FALSE))</f>
        <v>10</v>
      </c>
      <c r="DW18" s="1742">
        <f>+IFERROR(VLOOKUP(DW$6&amp;"-"&amp;$M18&amp;"_old",Ammortamento_Finanziario!$H:$L,5,FALSE),VLOOKUP($M18,TT_Tabelle_Riferimento!$H$31:$I$50,2,FALSE))</f>
        <v>10</v>
      </c>
      <c r="DX18" s="1750">
        <f>+IFERROR(VLOOKUP(DX$6&amp;"-"&amp;$M18&amp;"_old",Ammortamento_Finanziario!$H:$L,5,FALSE),VLOOKUP($M18,TT_Tabelle_Riferimento!$H$31:$I$50,2,FALSE))</f>
        <v>10</v>
      </c>
      <c r="DY18" s="1750">
        <f>+IFERROR(VLOOKUP(DY$6&amp;"-"&amp;$M18&amp;"_old",Ammortamento_Finanziario!$H:$L,5,FALSE),VLOOKUP($M18,TT_Tabelle_Riferimento!$H$31:$I$50,2,FALSE))</f>
        <v>10</v>
      </c>
      <c r="DZ18" s="1750">
        <f>+IFERROR(VLOOKUP(DZ$6&amp;"-"&amp;$M18&amp;"_old",Ammortamento_Finanziario!$H:$L,5,FALSE),VLOOKUP($M18,TT_Tabelle_Riferimento!$H$31:$I$50,2,FALSE))</f>
        <v>10</v>
      </c>
      <c r="EA18" s="1750">
        <f>+IFERROR(VLOOKUP(EA$6&amp;"-"&amp;$M18&amp;"_old",Ammortamento_Finanziario!$H:$L,5,FALSE),VLOOKUP($M18,TT_Tabelle_Riferimento!$H$31:$I$50,2,FALSE))</f>
        <v>10</v>
      </c>
      <c r="EB18" s="1750">
        <f>+IFERROR(VLOOKUP(EB$6&amp;"-"&amp;$M18&amp;"_old",Ammortamento_Finanziario!$H:$L,5,FALSE),VLOOKUP($M18,TT_Tabelle_Riferimento!$H$31:$I$50,2,FALSE))</f>
        <v>10</v>
      </c>
      <c r="EC18" s="1750">
        <f>+IFERROR(VLOOKUP(EC$6&amp;"-"&amp;$M18&amp;"_old",Ammortamento_Finanziario!$H:$L,5,FALSE),VLOOKUP($M18,TT_Tabelle_Riferimento!$H$31:$I$50,2,FALSE))</f>
        <v>10</v>
      </c>
      <c r="ED18" s="636">
        <f>+IFERROR(VLOOKUP(ED$6&amp;"-"&amp;$M18&amp;"_old",Ammortamento_Finanziario!$H:$L,5,FALSE),VLOOKUP($M18,TT_Tabelle_Riferimento!$H$31:$I$50,2,FALSE))</f>
        <v>10</v>
      </c>
      <c r="EE18" s="636">
        <f>+IFERROR(VLOOKUP(EE$6&amp;"-"&amp;$M18&amp;"_old",Ammortamento_Finanziario!$H:$L,5,FALSE),VLOOKUP($M18,TT_Tabelle_Riferimento!$H$31:$I$50,2,FALSE))</f>
        <v>10</v>
      </c>
      <c r="EF18" s="636">
        <f>+IFERROR(VLOOKUP(EF$6&amp;"-"&amp;$M18&amp;"_old",Ammortamento_Finanziario!$H:$L,5,FALSE),VLOOKUP($M18,TT_Tabelle_Riferimento!$H$31:$I$50,2,FALSE))</f>
        <v>10</v>
      </c>
      <c r="EG18" s="636">
        <f>+IFERROR(VLOOKUP(EG$6&amp;"-"&amp;$M18&amp;"_old",Ammortamento_Finanziario!$H:$L,5,FALSE),VLOOKUP($M18,TT_Tabelle_Riferimento!$H$31:$I$50,2,FALSE))</f>
        <v>10</v>
      </c>
      <c r="EH18" s="636">
        <f>+IFERROR(VLOOKUP(EH$6&amp;"-"&amp;$M18&amp;"_old",Ammortamento_Finanziario!$H:$L,5,FALSE),VLOOKUP($M18,TT_Tabelle_Riferimento!$H$31:$I$50,2,FALSE))</f>
        <v>10</v>
      </c>
      <c r="EI18" s="636">
        <f>+IFERROR(VLOOKUP(EI$6&amp;"-"&amp;$M18&amp;"_old",Ammortamento_Finanziario!$H:$L,5,FALSE),VLOOKUP($M18,TT_Tabelle_Riferimento!$H$31:$I$50,2,FALSE))</f>
        <v>10</v>
      </c>
      <c r="EJ18" s="636">
        <f>+IFERROR(VLOOKUP(EJ$6&amp;"-"&amp;$M18&amp;"_old",Ammortamento_Finanziario!$H:$L,5,FALSE),VLOOKUP($M18,TT_Tabelle_Riferimento!$H$31:$I$50,2,FALSE))</f>
        <v>10</v>
      </c>
      <c r="EK18" s="636">
        <f>+IFERROR(VLOOKUP(EK$6&amp;"-"&amp;$M18&amp;"_old",Ammortamento_Finanziario!$H:$L,5,FALSE),VLOOKUP($M18,TT_Tabelle_Riferimento!$H$31:$I$50,2,FALSE))</f>
        <v>10</v>
      </c>
      <c r="EL18" s="636">
        <f>+IFERROR(VLOOKUP(EL$6&amp;"-"&amp;$M18&amp;"_old",Ammortamento_Finanziario!$H:$L,5,FALSE),VLOOKUP($M18,TT_Tabelle_Riferimento!$H$31:$I$50,2,FALSE))</f>
        <v>10</v>
      </c>
      <c r="EM18" s="636">
        <f>+IFERROR(VLOOKUP(EM$6&amp;"-"&amp;$M18&amp;"_old",Ammortamento_Finanziario!$H:$L,5,FALSE),VLOOKUP($M18,TT_Tabelle_Riferimento!$H$31:$I$50,2,FALSE))</f>
        <v>10</v>
      </c>
      <c r="EN18" s="636">
        <f>+IFERROR(VLOOKUP(EN$6&amp;"-"&amp;$M18&amp;"_old",Ammortamento_Finanziario!$H:$L,5,FALSE),VLOOKUP($M18,TT_Tabelle_Riferimento!$H$31:$I$50,2,FALSE))</f>
        <v>10</v>
      </c>
      <c r="EO18" s="636">
        <f>+IFERROR(VLOOKUP(EO$6&amp;"-"&amp;$M18&amp;"_old",Ammortamento_Finanziario!$H:$L,5,FALSE),VLOOKUP($M18,TT_Tabelle_Riferimento!$H$31:$I$50,2,FALSE))</f>
        <v>10</v>
      </c>
      <c r="EP18" s="636">
        <f>+IFERROR(VLOOKUP(EP$6&amp;"-"&amp;$M18&amp;"_old",Ammortamento_Finanziario!$H:$L,5,FALSE),VLOOKUP($M18,TT_Tabelle_Riferimento!$H$31:$I$50,2,FALSE))</f>
        <v>10</v>
      </c>
      <c r="EQ18" s="636">
        <f>+IFERROR(VLOOKUP(EQ$6&amp;"-"&amp;$M18&amp;"_old",Ammortamento_Finanziario!$H:$L,5,FALSE),VLOOKUP($M18,TT_Tabelle_Riferimento!$H$31:$I$50,2,FALSE))</f>
        <v>10</v>
      </c>
      <c r="ER18" s="636">
        <f>+IFERROR(VLOOKUP(ER$6&amp;"-"&amp;$M18&amp;"_old",Ammortamento_Finanziario!$H:$L,5,FALSE),VLOOKUP($M18,TT_Tabelle_Riferimento!$H$31:$I$50,2,FALSE))</f>
        <v>10</v>
      </c>
      <c r="ES18" s="636">
        <f>+IFERROR(VLOOKUP(ES$6&amp;"-"&amp;$M18&amp;"_old",Ammortamento_Finanziario!$H:$L,5,FALSE),VLOOKUP($M18,TT_Tabelle_Riferimento!$H$31:$I$50,2,FALSE))</f>
        <v>10</v>
      </c>
      <c r="ET18" s="636">
        <f>+IFERROR(VLOOKUP(ET$6&amp;"-"&amp;$M18&amp;"_old",Ammortamento_Finanziario!$H:$L,5,FALSE),VLOOKUP($M18,TT_Tabelle_Riferimento!$H$31:$I$50,2,FALSE))</f>
        <v>10</v>
      </c>
      <c r="EU18" s="636">
        <f>+IFERROR(VLOOKUP(EU$6&amp;"-"&amp;$M18&amp;"_old",Ammortamento_Finanziario!$H:$L,5,FALSE),VLOOKUP($M18,TT_Tabelle_Riferimento!$H$31:$I$50,2,FALSE))</f>
        <v>10</v>
      </c>
      <c r="EV18" s="636">
        <f>+IFERROR(VLOOKUP(EV$6&amp;"-"&amp;$M18&amp;"_old",Ammortamento_Finanziario!$H:$L,5,FALSE),VLOOKUP($M18,TT_Tabelle_Riferimento!$H$31:$I$50,2,FALSE))</f>
        <v>10</v>
      </c>
      <c r="EW18" s="1048">
        <f>+IFERROR(VLOOKUP(EW$6&amp;"-"&amp;$M18&amp;"_old",Ammortamento_Finanziario!$H:$L,5,FALSE),VLOOKUP($M18,TT_Tabelle_Riferimento!$H$31:$I$50,2,FALSE))</f>
        <v>10</v>
      </c>
      <c r="EX18" s="1048">
        <f>+IFERROR(VLOOKUP(EX$6&amp;"-"&amp;$M18&amp;"_old",Ammortamento_Finanziario!$H:$L,5,FALSE),VLOOKUP($M18,TT_Tabelle_Riferimento!$H$31:$I$50,2,FALSE))</f>
        <v>10</v>
      </c>
      <c r="EY18" s="1048">
        <f>+IFERROR(VLOOKUP(EY$6&amp;"-"&amp;$M18&amp;"_old",Ammortamento_Finanziario!$H:$L,5,FALSE),VLOOKUP($M18,TT_Tabelle_Riferimento!$H$31:$I$50,2,FALSE))</f>
        <v>10</v>
      </c>
      <c r="EZ18" s="1048">
        <f>+IFERROR(VLOOKUP(EZ$6&amp;"-"&amp;$M18&amp;"_old",Ammortamento_Finanziario!$H:$L,5,FALSE),VLOOKUP($M18,TT_Tabelle_Riferimento!$H$31:$I$50,2,FALSE))</f>
        <v>10</v>
      </c>
      <c r="FA18" s="1048">
        <f>+IFERROR(VLOOKUP(FA$6&amp;"-"&amp;$M18&amp;"_old",Ammortamento_Finanziario!$H:$L,5,FALSE),VLOOKUP($M18,TT_Tabelle_Riferimento!$H$31:$I$50,2,FALSE))</f>
        <v>10</v>
      </c>
      <c r="FB18" s="1743">
        <f>+IFERROR(VLOOKUP(FB$6&amp;"-"&amp;$M18&amp;"_old",Ammortamento_Finanziario!$H:$L,5,FALSE),VLOOKUP($M18,TT_Tabelle_Riferimento!$H$31:$I$50,2,FALSE))</f>
        <v>10</v>
      </c>
      <c r="FC18" s="1743">
        <f>+IFERROR(VLOOKUP(FC$6&amp;"-"&amp;$M18&amp;"_old",Ammortamento_Finanziario!$H:$L,5,FALSE),VLOOKUP($M18,TT_Tabelle_Riferimento!$H$31:$I$50,2,FALSE))</f>
        <v>10</v>
      </c>
      <c r="FD18" s="1751">
        <f>+IFERROR(VLOOKUP(FD$6&amp;"-"&amp;$M18&amp;"_old",Ammortamento_Finanziario!$H:$L,5,FALSE),VLOOKUP($M18,TT_Tabelle_Riferimento!$H$31:$I$50,2,FALSE))</f>
        <v>10</v>
      </c>
      <c r="FE18" s="1751">
        <f>+IFERROR(VLOOKUP(FE$6&amp;"-"&amp;$M18&amp;"_old",Ammortamento_Finanziario!$H:$L,5,FALSE),VLOOKUP($M18,TT_Tabelle_Riferimento!$H$31:$I$50,2,FALSE))</f>
        <v>10</v>
      </c>
      <c r="FF18" s="1751">
        <f>+IFERROR(VLOOKUP(FF$6&amp;"-"&amp;$M18&amp;"_old",Ammortamento_Finanziario!$H:$L,5,FALSE),VLOOKUP($M18,TT_Tabelle_Riferimento!$H$31:$I$50,2,FALSE))</f>
        <v>10</v>
      </c>
      <c r="FG18" s="1751">
        <f>+IFERROR(VLOOKUP(FG$6&amp;"-"&amp;$M18&amp;"_old",Ammortamento_Finanziario!$H:$L,5,FALSE),VLOOKUP($M18,TT_Tabelle_Riferimento!$H$31:$I$50,2,FALSE))</f>
        <v>10</v>
      </c>
      <c r="FH18" s="1751">
        <f>+IFERROR(VLOOKUP(FH$6&amp;"-"&amp;$M18&amp;"_old",Ammortamento_Finanziario!$H:$L,5,FALSE),VLOOKUP($M18,TT_Tabelle_Riferimento!$H$31:$I$50,2,FALSE))</f>
        <v>10</v>
      </c>
      <c r="FI18" s="1751">
        <f>+IFERROR(VLOOKUP(FI$6&amp;"-"&amp;$M18&amp;"_old",Ammortamento_Finanziario!$H:$L,5,FALSE),VLOOKUP($M18,TT_Tabelle_Riferimento!$H$31:$I$50,2,FALSE))</f>
        <v>10</v>
      </c>
      <c r="FJ18" s="629">
        <f>+IFERROR(VLOOKUP(FJ$6&amp;"-"&amp;$M18&amp;"_old",Ammortamento_Finanziario!$H:$L,5,FALSE),VLOOKUP($M18,TT_Tabelle_Riferimento!$H$31:$I$50,2,FALSE))</f>
        <v>10</v>
      </c>
      <c r="FK18" s="629">
        <f>+IFERROR(VLOOKUP(FK$6&amp;"-"&amp;$M18&amp;"_old",Ammortamento_Finanziario!$H:$L,5,FALSE),VLOOKUP($M18,TT_Tabelle_Riferimento!$H$31:$I$50,2,FALSE))</f>
        <v>10</v>
      </c>
      <c r="FL18" s="629">
        <f>+IFERROR(VLOOKUP(FL$6&amp;"-"&amp;$M18&amp;"_old",Ammortamento_Finanziario!$H:$L,5,FALSE),VLOOKUP($M18,TT_Tabelle_Riferimento!$H$31:$I$50,2,FALSE))</f>
        <v>10</v>
      </c>
      <c r="FM18" s="629">
        <f>+IFERROR(VLOOKUP(FM$6&amp;"-"&amp;$M18&amp;"_old",Ammortamento_Finanziario!$H:$L,5,FALSE),VLOOKUP($M18,TT_Tabelle_Riferimento!$H$31:$I$50,2,FALSE))</f>
        <v>10</v>
      </c>
      <c r="FN18" s="629">
        <f>+IFERROR(VLOOKUP(FN$6&amp;"-"&amp;$M18&amp;"_old",Ammortamento_Finanziario!$H:$L,5,FALSE),VLOOKUP($M18,TT_Tabelle_Riferimento!$H$31:$I$50,2,FALSE))</f>
        <v>10</v>
      </c>
      <c r="FO18" s="629">
        <f>+IFERROR(VLOOKUP(FO$6&amp;"-"&amp;$M18&amp;"_old",Ammortamento_Finanziario!$H:$L,5,FALSE),VLOOKUP($M18,TT_Tabelle_Riferimento!$H$31:$I$50,2,FALSE))</f>
        <v>10</v>
      </c>
      <c r="FP18" s="629">
        <f>+IFERROR(VLOOKUP(FP$6&amp;"-"&amp;$M18&amp;"_old",Ammortamento_Finanziario!$H:$L,5,FALSE),VLOOKUP($M18,TT_Tabelle_Riferimento!$H$31:$I$50,2,FALSE))</f>
        <v>10</v>
      </c>
      <c r="FQ18" s="629">
        <f>+IFERROR(VLOOKUP(FQ$6&amp;"-"&amp;$M18&amp;"_old",Ammortamento_Finanziario!$H:$L,5,FALSE),VLOOKUP($M18,TT_Tabelle_Riferimento!$H$31:$I$50,2,FALSE))</f>
        <v>10</v>
      </c>
      <c r="FR18" s="629">
        <f>+IFERROR(VLOOKUP(FR$6&amp;"-"&amp;$M18&amp;"_old",Ammortamento_Finanziario!$H:$L,5,FALSE),VLOOKUP($M18,TT_Tabelle_Riferimento!$H$31:$I$50,2,FALSE))</f>
        <v>10</v>
      </c>
      <c r="FS18" s="629">
        <f>+IFERROR(VLOOKUP(FS$6&amp;"-"&amp;$M18&amp;"_old",Ammortamento_Finanziario!$H:$L,5,FALSE),VLOOKUP($M18,TT_Tabelle_Riferimento!$H$31:$I$50,2,FALSE))</f>
        <v>10</v>
      </c>
      <c r="FT18" s="629">
        <f>+IFERROR(VLOOKUP(FT$6&amp;"-"&amp;$M18&amp;"_old",Ammortamento_Finanziario!$H:$L,5,FALSE),VLOOKUP($M18,TT_Tabelle_Riferimento!$H$31:$I$50,2,FALSE))</f>
        <v>10</v>
      </c>
      <c r="FU18" s="629">
        <f>+IFERROR(VLOOKUP(FU$6&amp;"-"&amp;$M18&amp;"_old",Ammortamento_Finanziario!$H:$L,5,FALSE),VLOOKUP($M18,TT_Tabelle_Riferimento!$H$31:$I$50,2,FALSE))</f>
        <v>10</v>
      </c>
      <c r="FV18" s="629">
        <f>+IFERROR(VLOOKUP(FV$6&amp;"-"&amp;$M18&amp;"_old",Ammortamento_Finanziario!$H:$L,5,FALSE),VLOOKUP($M18,TT_Tabelle_Riferimento!$H$31:$I$50,2,FALSE))</f>
        <v>10</v>
      </c>
      <c r="FW18" s="629">
        <f>+IFERROR(VLOOKUP(FW$6&amp;"-"&amp;$M18&amp;"_old",Ammortamento_Finanziario!$H:$L,5,FALSE),VLOOKUP($M18,TT_Tabelle_Riferimento!$H$31:$I$50,2,FALSE))</f>
        <v>10</v>
      </c>
      <c r="FX18" s="629">
        <f>+IFERROR(VLOOKUP(FX$6&amp;"-"&amp;$M18&amp;"_old",Ammortamento_Finanziario!$H:$L,5,FALSE),VLOOKUP($M18,TT_Tabelle_Riferimento!$H$31:$I$50,2,FALSE))</f>
        <v>10</v>
      </c>
      <c r="FY18" s="629">
        <f>+IFERROR(VLOOKUP(FY$6&amp;"-"&amp;$M18&amp;"_old",Ammortamento_Finanziario!$H:$L,5,FALSE),VLOOKUP($M18,TT_Tabelle_Riferimento!$H$31:$I$50,2,FALSE))</f>
        <v>10</v>
      </c>
      <c r="FZ18" s="629">
        <f>+IFERROR(VLOOKUP(FZ$6&amp;"-"&amp;$M18&amp;"_old",Ammortamento_Finanziario!$H:$L,5,FALSE),VLOOKUP($M18,TT_Tabelle_Riferimento!$H$31:$I$50,2,FALSE))</f>
        <v>10</v>
      </c>
      <c r="GA18" s="629">
        <f>+IFERROR(VLOOKUP(GA$6&amp;"-"&amp;$M18&amp;"_old",Ammortamento_Finanziario!$H:$L,5,FALSE),VLOOKUP($M18,TT_Tabelle_Riferimento!$H$31:$I$50,2,FALSE))</f>
        <v>10</v>
      </c>
      <c r="GB18" s="629">
        <f>+IFERROR(VLOOKUP(GB$6&amp;"-"&amp;$M18&amp;"_old",Ammortamento_Finanziario!$H:$L,5,FALSE),VLOOKUP($M18,TT_Tabelle_Riferimento!$H$31:$I$50,2,FALSE))</f>
        <v>10</v>
      </c>
      <c r="GC18" s="635">
        <f>+IFERROR(VLOOKUP(GC$6&amp;"-"&amp;$M18&amp;"_old",Ammortamento_Finanziario!$H:$L,5,FALSE),VLOOKUP($M18,TT_Tabelle_Riferimento!$H$31:$I$50,2,FALSE))</f>
        <v>10</v>
      </c>
      <c r="GD18" s="635">
        <f>+IFERROR(VLOOKUP(GD$6&amp;"-"&amp;$M18&amp;"_old",Ammortamento_Finanziario!$H:$L,5,FALSE),VLOOKUP($M18,TT_Tabelle_Riferimento!$H$31:$I$50,2,FALSE))</f>
        <v>10</v>
      </c>
      <c r="GE18" s="635">
        <f>+IFERROR(VLOOKUP(GE$6&amp;"-"&amp;$M18&amp;"_old",Ammortamento_Finanziario!$H:$L,5,FALSE),VLOOKUP($M18,TT_Tabelle_Riferimento!$H$31:$I$50,2,FALSE))</f>
        <v>10</v>
      </c>
      <c r="GF18" s="635">
        <f>+IFERROR(VLOOKUP(GF$6&amp;"-"&amp;$M18&amp;"_old",Ammortamento_Finanziario!$H:$L,5,FALSE),VLOOKUP($M18,TT_Tabelle_Riferimento!$H$31:$I$50,2,FALSE))</f>
        <v>10</v>
      </c>
      <c r="GG18" s="1744">
        <f>+IFERROR(VLOOKUP(GG$6&amp;"-"&amp;$M18&amp;"_old",Ammortamento_Finanziario!$H:$L,5,FALSE),VLOOKUP($M18,TT_Tabelle_Riferimento!$H$31:$I$50,2,FALSE))</f>
        <v>10</v>
      </c>
      <c r="GH18" s="1744">
        <f>+IFERROR(VLOOKUP(GH$6&amp;"-"&amp;$M18&amp;"_old",Ammortamento_Finanziario!$H:$L,5,FALSE),VLOOKUP($M18,TT_Tabelle_Riferimento!$H$31:$I$50,2,FALSE))</f>
        <v>10</v>
      </c>
      <c r="GI18" s="1752">
        <f>+IFERROR(VLOOKUP(GI$6&amp;"-"&amp;$M18&amp;"_old",Ammortamento_Finanziario!$H:$L,5,FALSE),VLOOKUP($M18,TT_Tabelle_Riferimento!$H$31:$I$50,2,FALSE))</f>
        <v>10</v>
      </c>
      <c r="GJ18" s="1752">
        <f>+IFERROR(VLOOKUP(GJ$6&amp;"-"&amp;$M18&amp;"_old",Ammortamento_Finanziario!$H:$L,5,FALSE),VLOOKUP($M18,TT_Tabelle_Riferimento!$H$31:$I$50,2,FALSE))</f>
        <v>10</v>
      </c>
      <c r="GK18" s="1752">
        <f>+IFERROR(VLOOKUP(GK$6&amp;"-"&amp;$M18&amp;"_old",Ammortamento_Finanziario!$H:$L,5,FALSE),VLOOKUP($M18,TT_Tabelle_Riferimento!$H$31:$I$50,2,FALSE))</f>
        <v>10</v>
      </c>
      <c r="GL18" s="1752">
        <f>+IFERROR(VLOOKUP(GL$6&amp;"-"&amp;$M18&amp;"_old",Ammortamento_Finanziario!$H:$L,5,FALSE),VLOOKUP($M18,TT_Tabelle_Riferimento!$H$31:$I$50,2,FALSE))</f>
        <v>10</v>
      </c>
      <c r="GM18" s="1752">
        <f>+IFERROR(VLOOKUP(GM$6&amp;"-"&amp;$M18&amp;"_old",Ammortamento_Finanziario!$H:$L,5,FALSE),VLOOKUP($M18,TT_Tabelle_Riferimento!$H$31:$I$50,2,FALSE))</f>
        <v>10</v>
      </c>
      <c r="GN18" s="1752">
        <f>+IFERROR(VLOOKUP(GN$6&amp;"-"&amp;$M18&amp;"_old",Ammortamento_Finanziario!$H:$L,5,FALSE),VLOOKUP($M18,TT_Tabelle_Riferimento!$H$31:$I$50,2,FALSE))</f>
        <v>10</v>
      </c>
      <c r="GO18" s="628">
        <f>+IFERROR(VLOOKUP(GO$6&amp;"-"&amp;$M18&amp;"_old",Ammortamento_Finanziario!$H:$L,5,FALSE),VLOOKUP($M18,TT_Tabelle_Riferimento!$H$31:$I$50,2,FALSE))</f>
        <v>10</v>
      </c>
      <c r="GP18" s="628">
        <f>+IFERROR(VLOOKUP(GP$6&amp;"-"&amp;$M18&amp;"_old",Ammortamento_Finanziario!$H:$L,5,FALSE),VLOOKUP($M18,TT_Tabelle_Riferimento!$H$31:$I$50,2,FALSE))</f>
        <v>10</v>
      </c>
      <c r="GQ18" s="628">
        <f>+IFERROR(VLOOKUP(GQ$6&amp;"-"&amp;$M18&amp;"_old",Ammortamento_Finanziario!$H:$L,5,FALSE),VLOOKUP($M18,TT_Tabelle_Riferimento!$H$31:$I$50,2,FALSE))</f>
        <v>10</v>
      </c>
      <c r="GR18" s="628">
        <f>+IFERROR(VLOOKUP(GR$6&amp;"-"&amp;$M18&amp;"_old",Ammortamento_Finanziario!$H:$L,5,FALSE),VLOOKUP($M18,TT_Tabelle_Riferimento!$H$31:$I$50,2,FALSE))</f>
        <v>10</v>
      </c>
      <c r="GS18" s="628">
        <f>+IFERROR(VLOOKUP(GS$6&amp;"-"&amp;$M18&amp;"_old",Ammortamento_Finanziario!$H:$L,5,FALSE),VLOOKUP($M18,TT_Tabelle_Riferimento!$H$31:$I$50,2,FALSE))</f>
        <v>10</v>
      </c>
      <c r="GT18" s="628">
        <f>+IFERROR(VLOOKUP(GT$6&amp;"-"&amp;$M18&amp;"_old",Ammortamento_Finanziario!$H:$L,5,FALSE),VLOOKUP($M18,TT_Tabelle_Riferimento!$H$31:$I$50,2,FALSE))</f>
        <v>10</v>
      </c>
      <c r="GU18" s="628">
        <f>+IFERROR(VLOOKUP(GU$6&amp;"-"&amp;$M18&amp;"_old",Ammortamento_Finanziario!$H:$L,5,FALSE),VLOOKUP($M18,TT_Tabelle_Riferimento!$H$31:$I$50,2,FALSE))</f>
        <v>10</v>
      </c>
      <c r="GV18" s="628">
        <f>+IFERROR(VLOOKUP(GV$6&amp;"-"&amp;$M18&amp;"_old",Ammortamento_Finanziario!$H:$L,5,FALSE),VLOOKUP($M18,TT_Tabelle_Riferimento!$H$31:$I$50,2,FALSE))</f>
        <v>10</v>
      </c>
      <c r="GW18" s="628">
        <f>+IFERROR(VLOOKUP(GW$6&amp;"-"&amp;$M18&amp;"_old",Ammortamento_Finanziario!$H:$L,5,FALSE),VLOOKUP($M18,TT_Tabelle_Riferimento!$H$31:$I$50,2,FALSE))</f>
        <v>10</v>
      </c>
      <c r="GX18" s="628">
        <f>+IFERROR(VLOOKUP(GX$6&amp;"-"&amp;$M18&amp;"_old",Ammortamento_Finanziario!$H:$L,5,FALSE),VLOOKUP($M18,TT_Tabelle_Riferimento!$H$31:$I$50,2,FALSE))</f>
        <v>10</v>
      </c>
      <c r="GY18" s="628">
        <f>+IFERROR(VLOOKUP(GY$6&amp;"-"&amp;$M18&amp;"_old",Ammortamento_Finanziario!$H:$L,5,FALSE),VLOOKUP($M18,TT_Tabelle_Riferimento!$H$31:$I$50,2,FALSE))</f>
        <v>10</v>
      </c>
      <c r="GZ18" s="628">
        <f>+IFERROR(VLOOKUP(GZ$6&amp;"-"&amp;$M18&amp;"_old",Ammortamento_Finanziario!$H:$L,5,FALSE),VLOOKUP($M18,TT_Tabelle_Riferimento!$H$31:$I$50,2,FALSE))</f>
        <v>10</v>
      </c>
      <c r="HA18" s="628">
        <f>+IFERROR(VLOOKUP(HA$6&amp;"-"&amp;$M18&amp;"_old",Ammortamento_Finanziario!$H:$L,5,FALSE),VLOOKUP($M18,TT_Tabelle_Riferimento!$H$31:$I$50,2,FALSE))</f>
        <v>10</v>
      </c>
      <c r="HB18" s="628">
        <f>+IFERROR(VLOOKUP(HB$6&amp;"-"&amp;$M18&amp;"_old",Ammortamento_Finanziario!$H:$L,5,FALSE),VLOOKUP($M18,TT_Tabelle_Riferimento!$H$31:$I$50,2,FALSE))</f>
        <v>10</v>
      </c>
      <c r="HC18" s="628">
        <f>+IFERROR(VLOOKUP(HC$6&amp;"-"&amp;$M18&amp;"_old",Ammortamento_Finanziario!$H:$L,5,FALSE),VLOOKUP($M18,TT_Tabelle_Riferimento!$H$31:$I$50,2,FALSE))</f>
        <v>10</v>
      </c>
      <c r="HD18" s="628">
        <f>+IFERROR(VLOOKUP(HD$6&amp;"-"&amp;$M18&amp;"_old",Ammortamento_Finanziario!$H:$L,5,FALSE),VLOOKUP($M18,TT_Tabelle_Riferimento!$H$31:$I$50,2,FALSE))</f>
        <v>10</v>
      </c>
      <c r="HE18" s="628">
        <f>+IFERROR(VLOOKUP(HE$6&amp;"-"&amp;$M18&amp;"_old",Ammortamento_Finanziario!$H:$L,5,FALSE),VLOOKUP($M18,TT_Tabelle_Riferimento!$H$31:$I$50,2,FALSE))</f>
        <v>10</v>
      </c>
      <c r="HF18" s="628">
        <f>+IFERROR(VLOOKUP(HF$6&amp;"-"&amp;$M18&amp;"_old",Ammortamento_Finanziario!$H:$L,5,FALSE),VLOOKUP($M18,TT_Tabelle_Riferimento!$H$31:$I$50,2,FALSE))</f>
        <v>10</v>
      </c>
      <c r="HG18" s="628">
        <f>+IFERROR(VLOOKUP(HG$6&amp;"-"&amp;$M18&amp;"_old",Ammortamento_Finanziario!$H:$L,5,FALSE),VLOOKUP($M18,TT_Tabelle_Riferimento!$H$31:$I$50,2,FALSE))</f>
        <v>10</v>
      </c>
      <c r="HH18" s="422">
        <f>+IFERROR(VLOOKUP(HH$6&amp;"-"&amp;$M18&amp;"_old",Ammortamento_Finanziario!$H:$L,5,FALSE),VLOOKUP($M18,TT_Tabelle_Riferimento!$H$31:$I$50,2,FALSE))</f>
        <v>10</v>
      </c>
      <c r="HI18" s="422">
        <f>+IFERROR(VLOOKUP(HI$6&amp;"-"&amp;$M18&amp;"_old",Ammortamento_Finanziario!$H:$L,5,FALSE),VLOOKUP($M18,TT_Tabelle_Riferimento!$H$31:$I$50,2,FALSE))</f>
        <v>10</v>
      </c>
      <c r="HJ18" s="422">
        <f>+IFERROR(VLOOKUP(HJ$6&amp;"-"&amp;$M18&amp;"_old",Ammortamento_Finanziario!$H:$L,5,FALSE),VLOOKUP($M18,TT_Tabelle_Riferimento!$H$31:$I$50,2,FALSE))</f>
        <v>10</v>
      </c>
      <c r="HK18" s="1746">
        <f>+IFERROR(VLOOKUP(HK$6&amp;"-"&amp;$M18&amp;"_old",Ammortamento_Finanziario!$H:$L,5,FALSE),VLOOKUP($M18,TT_Tabelle_Riferimento!$H$31:$I$50,2,FALSE))</f>
        <v>10</v>
      </c>
      <c r="HL18" s="1746">
        <f>+IFERROR(VLOOKUP(HL$6&amp;"-"&amp;$M18&amp;"_old",Ammortamento_Finanziario!$H:$L,5,FALSE),VLOOKUP($M18,TT_Tabelle_Riferimento!$H$31:$I$50,2,FALSE))</f>
        <v>10</v>
      </c>
      <c r="HM18" s="1753">
        <f>+IFERROR(VLOOKUP(HM$6&amp;"-"&amp;$M18&amp;"_old",Ammortamento_Finanziario!$H:$L,5,FALSE),VLOOKUP($M18,TT_Tabelle_Riferimento!$H$31:$I$50,2,FALSE))</f>
        <v>10</v>
      </c>
      <c r="HN18" s="1753">
        <f>+IFERROR(VLOOKUP(HN$6&amp;"-"&amp;$M18&amp;"_old",Ammortamento_Finanziario!$H:$L,5,FALSE),VLOOKUP($M18,TT_Tabelle_Riferimento!$H$31:$I$50,2,FALSE))</f>
        <v>10</v>
      </c>
      <c r="HO18" s="1753">
        <f>+IFERROR(VLOOKUP(HO$6&amp;"-"&amp;$M18&amp;"_old",Ammortamento_Finanziario!$H:$L,5,FALSE),VLOOKUP($M18,TT_Tabelle_Riferimento!$H$31:$I$50,2,FALSE))</f>
        <v>10</v>
      </c>
      <c r="HP18" s="1753">
        <f>+IFERROR(VLOOKUP(HP$6&amp;"-"&amp;$M18&amp;"_old",Ammortamento_Finanziario!$H:$L,5,FALSE),VLOOKUP($M18,TT_Tabelle_Riferimento!$H$31:$I$50,2,FALSE))</f>
        <v>10</v>
      </c>
      <c r="HQ18" s="1753">
        <f>+IFERROR(VLOOKUP(HQ$6&amp;"-"&amp;$M18&amp;"_old",Ammortamento_Finanziario!$H:$L,5,FALSE),VLOOKUP($M18,TT_Tabelle_Riferimento!$H$31:$I$50,2,FALSE))</f>
        <v>10</v>
      </c>
      <c r="HR18" s="1753">
        <f>+IFERROR(VLOOKUP(HR$6&amp;"-"&amp;$M18&amp;"_old",Ammortamento_Finanziario!$H:$L,5,FALSE),VLOOKUP($M18,TT_Tabelle_Riferimento!$H$31:$I$50,2,FALSE))</f>
        <v>10</v>
      </c>
      <c r="HS18" s="422">
        <f>+IFERROR(VLOOKUP(HS$6&amp;"-"&amp;$M18&amp;"_old",Ammortamento_Finanziario!$H:$L,5,FALSE),VLOOKUP($M18,TT_Tabelle_Riferimento!$H$31:$I$50,2,FALSE))</f>
        <v>10</v>
      </c>
      <c r="HT18" s="422">
        <f>+IFERROR(VLOOKUP(HT$6&amp;"-"&amp;$M18&amp;"_old",Ammortamento_Finanziario!$H:$L,5,FALSE),VLOOKUP($M18,TT_Tabelle_Riferimento!$H$31:$I$50,2,FALSE))</f>
        <v>10</v>
      </c>
      <c r="HU18" s="422">
        <f>+IFERROR(VLOOKUP(HU$6&amp;"-"&amp;$M18&amp;"_old",Ammortamento_Finanziario!$H:$L,5,FALSE),VLOOKUP($M18,TT_Tabelle_Riferimento!$H$31:$I$50,2,FALSE))</f>
        <v>10</v>
      </c>
      <c r="HV18" s="422">
        <f>+IFERROR(VLOOKUP(HV$6&amp;"-"&amp;$M18&amp;"_old",Ammortamento_Finanziario!$H:$L,5,FALSE),VLOOKUP($M18,TT_Tabelle_Riferimento!$H$31:$I$50,2,FALSE))</f>
        <v>10</v>
      </c>
      <c r="HW18" s="422">
        <f>+IFERROR(VLOOKUP(HW$6&amp;"-"&amp;$M18&amp;"_old",Ammortamento_Finanziario!$H:$L,5,FALSE),VLOOKUP($M18,TT_Tabelle_Riferimento!$H$31:$I$50,2,FALSE))</f>
        <v>10</v>
      </c>
      <c r="HX18" s="422">
        <f>+IFERROR(VLOOKUP(HX$6&amp;"-"&amp;$M18&amp;"_old",Ammortamento_Finanziario!$H:$L,5,FALSE),VLOOKUP($M18,TT_Tabelle_Riferimento!$H$31:$I$50,2,FALSE))</f>
        <v>10</v>
      </c>
      <c r="HY18" s="422">
        <f>+IFERROR(VLOOKUP(HY$6&amp;"-"&amp;$M18&amp;"_old",Ammortamento_Finanziario!$H:$L,5,FALSE),VLOOKUP($M18,TT_Tabelle_Riferimento!$H$31:$I$50,2,FALSE))</f>
        <v>10</v>
      </c>
      <c r="HZ18" s="422">
        <f>+IFERROR(VLOOKUP(HZ$6&amp;"-"&amp;$M18&amp;"_old",Ammortamento_Finanziario!$H:$L,5,FALSE),VLOOKUP($M18,TT_Tabelle_Riferimento!$H$31:$I$50,2,FALSE))</f>
        <v>10</v>
      </c>
      <c r="IA18" s="422">
        <f>+IFERROR(VLOOKUP(IA$6&amp;"-"&amp;$M18&amp;"_old",Ammortamento_Finanziario!$H:$L,5,FALSE),VLOOKUP($M18,TT_Tabelle_Riferimento!$H$31:$I$50,2,FALSE))</f>
        <v>10</v>
      </c>
      <c r="IB18" s="422">
        <f>+IFERROR(VLOOKUP(IB$6&amp;"-"&amp;$M18&amp;"_old",Ammortamento_Finanziario!$H:$L,5,FALSE),VLOOKUP($M18,TT_Tabelle_Riferimento!$H$31:$I$50,2,FALSE))</f>
        <v>10</v>
      </c>
      <c r="IC18" s="422">
        <f>+IFERROR(VLOOKUP(IC$6&amp;"-"&amp;$M18&amp;"_old",Ammortamento_Finanziario!$H:$L,5,FALSE),VLOOKUP($M18,TT_Tabelle_Riferimento!$H$31:$I$50,2,FALSE))</f>
        <v>10</v>
      </c>
      <c r="ID18" s="422">
        <f>+IFERROR(VLOOKUP(ID$6&amp;"-"&amp;$M18&amp;"_old",Ammortamento_Finanziario!$H:$L,5,FALSE),VLOOKUP($M18,TT_Tabelle_Riferimento!$H$31:$I$50,2,FALSE))</f>
        <v>10</v>
      </c>
      <c r="IE18" s="422">
        <f>+IFERROR(VLOOKUP(IE$6&amp;"-"&amp;$M18&amp;"_old",Ammortamento_Finanziario!$H:$L,5,FALSE),VLOOKUP($M18,TT_Tabelle_Riferimento!$H$31:$I$50,2,FALSE))</f>
        <v>10</v>
      </c>
      <c r="IF18" s="422">
        <f>+IFERROR(VLOOKUP(IF$6&amp;"-"&amp;$M18&amp;"_old",Ammortamento_Finanziario!$H:$L,5,FALSE),VLOOKUP($M18,TT_Tabelle_Riferimento!$H$31:$I$50,2,FALSE))</f>
        <v>10</v>
      </c>
      <c r="IG18" s="422">
        <f>+IFERROR(VLOOKUP(IG$6&amp;"-"&amp;$M18&amp;"_old",Ammortamento_Finanziario!$H:$L,5,FALSE),VLOOKUP($M18,TT_Tabelle_Riferimento!$H$31:$I$50,2,FALSE))</f>
        <v>10</v>
      </c>
      <c r="IH18" s="422">
        <f>+IFERROR(VLOOKUP(IH$6&amp;"-"&amp;$M18&amp;"_old",Ammortamento_Finanziario!$H:$L,5,FALSE),VLOOKUP($M18,TT_Tabelle_Riferimento!$H$31:$I$50,2,FALSE))</f>
        <v>10</v>
      </c>
      <c r="II18" s="422">
        <f>+IFERROR(VLOOKUP(II$6&amp;"-"&amp;$M18&amp;"_old",Ammortamento_Finanziario!$H:$L,5,FALSE),VLOOKUP($M18,TT_Tabelle_Riferimento!$H$31:$I$50,2,FALSE))</f>
        <v>10</v>
      </c>
      <c r="IJ18" s="422">
        <f>+IFERROR(VLOOKUP(IJ$6&amp;"-"&amp;$M18&amp;"_old",Ammortamento_Finanziario!$H:$L,5,FALSE),VLOOKUP($M18,TT_Tabelle_Riferimento!$H$31:$I$50,2,FALSE))</f>
        <v>10</v>
      </c>
      <c r="IK18" s="422">
        <f>+IFERROR(VLOOKUP(IK$6&amp;"-"&amp;$M18&amp;"_old",Ammortamento_Finanziario!$H:$L,5,FALSE),VLOOKUP($M18,TT_Tabelle_Riferimento!$H$31:$I$50,2,FALSE))</f>
        <v>10</v>
      </c>
      <c r="IL18" s="1077">
        <f>+IFERROR(VLOOKUP(IL$6&amp;"-"&amp;$M18&amp;"_old",Ammortamento_Finanziario!$H:$L,5,FALSE),VLOOKUP($M18,TT_Tabelle_Riferimento!$H$31:$I$50,2,FALSE))</f>
        <v>10</v>
      </c>
      <c r="IM18" s="1077">
        <f>+IFERROR(VLOOKUP(IM$6&amp;"-"&amp;$M18&amp;"_old",Ammortamento_Finanziario!$H:$L,5,FALSE),VLOOKUP($M18,TT_Tabelle_Riferimento!$H$31:$I$50,2,FALSE))</f>
        <v>10</v>
      </c>
      <c r="IN18" s="1747">
        <f>+IFERROR(VLOOKUP(IN$6&amp;"-"&amp;$M18&amp;"_old",Ammortamento_Finanziario!$H:$L,5,FALSE),VLOOKUP($M18,TT_Tabelle_Riferimento!$H$31:$I$50,2,FALSE))</f>
        <v>10</v>
      </c>
      <c r="IO18" s="1747">
        <f>+IFERROR(VLOOKUP(IO$6&amp;"-"&amp;$M18&amp;"_old",Ammortamento_Finanziario!$H:$L,5,FALSE),VLOOKUP($M18,TT_Tabelle_Riferimento!$H$31:$I$50,2,FALSE))</f>
        <v>10</v>
      </c>
      <c r="IP18" s="1754">
        <f>+IFERROR(VLOOKUP(IP$6&amp;"-"&amp;$M18&amp;"_old",Ammortamento_Finanziario!$H:$L,5,FALSE),VLOOKUP($M18,TT_Tabelle_Riferimento!$H$31:$I$50,2,FALSE))</f>
        <v>10</v>
      </c>
      <c r="IQ18" s="1754">
        <f>+IFERROR(VLOOKUP(IQ$6&amp;"-"&amp;$M18&amp;"_old",Ammortamento_Finanziario!$H:$L,5,FALSE),VLOOKUP($M18,TT_Tabelle_Riferimento!$H$31:$I$50,2,FALSE))</f>
        <v>10</v>
      </c>
      <c r="IR18" s="1754">
        <f>+IFERROR(VLOOKUP(IR$6&amp;"-"&amp;$M18&amp;"_old",Ammortamento_Finanziario!$H:$L,5,FALSE),VLOOKUP($M18,TT_Tabelle_Riferimento!$H$31:$I$50,2,FALSE))</f>
        <v>10</v>
      </c>
      <c r="IS18" s="1754">
        <f>+IFERROR(VLOOKUP(IS$6&amp;"-"&amp;$M18&amp;"_old",Ammortamento_Finanziario!$H:$L,5,FALSE),VLOOKUP($M18,TT_Tabelle_Riferimento!$H$31:$I$50,2,FALSE))</f>
        <v>10</v>
      </c>
      <c r="IT18" s="1754">
        <f>+IFERROR(VLOOKUP(IT$6&amp;"-"&amp;$M18&amp;"_old",Ammortamento_Finanziario!$H:$L,5,FALSE),VLOOKUP($M18,TT_Tabelle_Riferimento!$H$31:$I$50,2,FALSE))</f>
        <v>10</v>
      </c>
      <c r="IU18" s="1754">
        <f>+IFERROR(VLOOKUP(IU$6&amp;"-"&amp;$M18&amp;"_old",Ammortamento_Finanziario!$H:$L,5,FALSE),VLOOKUP($M18,TT_Tabelle_Riferimento!$H$31:$I$50,2,FALSE))</f>
        <v>10</v>
      </c>
      <c r="IV18" s="1077">
        <f>+IFERROR(VLOOKUP(IV$6&amp;"-"&amp;$M18&amp;"_old",Ammortamento_Finanziario!$H:$L,5,FALSE),VLOOKUP($M18,TT_Tabelle_Riferimento!$H$31:$I$50,2,FALSE))</f>
        <v>10</v>
      </c>
      <c r="IW18" s="1077">
        <f>+IFERROR(VLOOKUP(IW$6&amp;"-"&amp;$M18&amp;"_old",Ammortamento_Finanziario!$H:$L,5,FALSE),VLOOKUP($M18,TT_Tabelle_Riferimento!$H$31:$I$50,2,FALSE))</f>
        <v>10</v>
      </c>
      <c r="IX18" s="1077">
        <f>+IFERROR(VLOOKUP(IX$6&amp;"-"&amp;$M18&amp;"_old",Ammortamento_Finanziario!$H:$L,5,FALSE),VLOOKUP($M18,TT_Tabelle_Riferimento!$H$31:$I$50,2,FALSE))</f>
        <v>10</v>
      </c>
      <c r="IY18" s="1077">
        <f>+IFERROR(VLOOKUP(IY$6&amp;"-"&amp;$M18&amp;"_old",Ammortamento_Finanziario!$H:$L,5,FALSE),VLOOKUP($M18,TT_Tabelle_Riferimento!$H$31:$I$50,2,FALSE))</f>
        <v>10</v>
      </c>
      <c r="IZ18" s="1077">
        <f>+IFERROR(VLOOKUP(IZ$6&amp;"-"&amp;$M18&amp;"_old",Ammortamento_Finanziario!$H:$L,5,FALSE),VLOOKUP($M18,TT_Tabelle_Riferimento!$H$31:$I$50,2,FALSE))</f>
        <v>10</v>
      </c>
      <c r="JA18" s="1077">
        <f>+IFERROR(VLOOKUP(JA$6&amp;"-"&amp;$M18&amp;"_old",Ammortamento_Finanziario!$H:$L,5,FALSE),VLOOKUP($M18,TT_Tabelle_Riferimento!$H$31:$I$50,2,FALSE))</f>
        <v>10</v>
      </c>
      <c r="JB18" s="1077">
        <f>+IFERROR(VLOOKUP(JB$6&amp;"-"&amp;$M18&amp;"_old",Ammortamento_Finanziario!$H:$L,5,FALSE),VLOOKUP($M18,TT_Tabelle_Riferimento!$H$31:$I$50,2,FALSE))</f>
        <v>10</v>
      </c>
      <c r="JC18" s="1077">
        <f>+IFERROR(VLOOKUP(JC$6&amp;"-"&amp;$M18&amp;"_old",Ammortamento_Finanziario!$H:$L,5,FALSE),VLOOKUP($M18,TT_Tabelle_Riferimento!$H$31:$I$50,2,FALSE))</f>
        <v>10</v>
      </c>
      <c r="JD18" s="1077">
        <f>+IFERROR(VLOOKUP(JD$6&amp;"-"&amp;$M18&amp;"_old",Ammortamento_Finanziario!$H:$L,5,FALSE),VLOOKUP($M18,TT_Tabelle_Riferimento!$H$31:$I$50,2,FALSE))</f>
        <v>10</v>
      </c>
      <c r="JE18" s="1077">
        <f>+IFERROR(VLOOKUP(JE$6&amp;"-"&amp;$M18&amp;"_old",Ammortamento_Finanziario!$H:$L,5,FALSE),VLOOKUP($M18,TT_Tabelle_Riferimento!$H$31:$I$50,2,FALSE))</f>
        <v>10</v>
      </c>
      <c r="JF18" s="1077">
        <f>+IFERROR(VLOOKUP(JF$6&amp;"-"&amp;$M18&amp;"_old",Ammortamento_Finanziario!$H:$L,5,FALSE),VLOOKUP($M18,TT_Tabelle_Riferimento!$H$31:$I$50,2,FALSE))</f>
        <v>10</v>
      </c>
      <c r="JG18" s="1077">
        <f>+IFERROR(VLOOKUP(JG$6&amp;"-"&amp;$M18&amp;"_old",Ammortamento_Finanziario!$H:$L,5,FALSE),VLOOKUP($M18,TT_Tabelle_Riferimento!$H$31:$I$50,2,FALSE))</f>
        <v>10</v>
      </c>
      <c r="JH18" s="1077">
        <f>+IFERROR(VLOOKUP(JH$6&amp;"-"&amp;$M18&amp;"_old",Ammortamento_Finanziario!$H:$L,5,FALSE),VLOOKUP($M18,TT_Tabelle_Riferimento!$H$31:$I$50,2,FALSE))</f>
        <v>10</v>
      </c>
      <c r="JI18" s="1077">
        <f>+IFERROR(VLOOKUP(JI$6&amp;"-"&amp;$M18&amp;"_old",Ammortamento_Finanziario!$H:$L,5,FALSE),VLOOKUP($M18,TT_Tabelle_Riferimento!$H$31:$I$50,2,FALSE))</f>
        <v>10</v>
      </c>
      <c r="JJ18" s="1077">
        <f>+IFERROR(VLOOKUP(JJ$6&amp;"-"&amp;$M18&amp;"_old",Ammortamento_Finanziario!$H:$L,5,FALSE),VLOOKUP($M18,TT_Tabelle_Riferimento!$H$31:$I$50,2,FALSE))</f>
        <v>10</v>
      </c>
      <c r="JK18" s="1077">
        <f>+IFERROR(VLOOKUP(JK$6&amp;"-"&amp;$M18&amp;"_old",Ammortamento_Finanziario!$H:$L,5,FALSE),VLOOKUP($M18,TT_Tabelle_Riferimento!$H$31:$I$50,2,FALSE))</f>
        <v>10</v>
      </c>
      <c r="JL18" s="1077">
        <f>+IFERROR(VLOOKUP(JL$6&amp;"-"&amp;$M18&amp;"_old",Ammortamento_Finanziario!$H:$L,5,FALSE),VLOOKUP($M18,TT_Tabelle_Riferimento!$H$31:$I$50,2,FALSE))</f>
        <v>10</v>
      </c>
      <c r="JM18" s="1077">
        <f>+IFERROR(VLOOKUP(JM$6&amp;"-"&amp;$M18&amp;"_old",Ammortamento_Finanziario!$H:$L,5,FALSE),VLOOKUP($M18,TT_Tabelle_Riferimento!$H$31:$I$50,2,FALSE))</f>
        <v>10</v>
      </c>
      <c r="JN18" s="1077">
        <f>+IFERROR(VLOOKUP(JN$6&amp;"-"&amp;$M18&amp;"_old",Ammortamento_Finanziario!$H:$L,5,FALSE),VLOOKUP($M18,TT_Tabelle_Riferimento!$H$31:$I$50,2,FALSE))</f>
        <v>10</v>
      </c>
      <c r="JO18" s="1078">
        <f>+IFERROR(VLOOKUP(JO$6&amp;"-"&amp;$M18&amp;"_old",Ammortamento_Finanziario!$H:$L,5,FALSE),VLOOKUP($M18,TT_Tabelle_Riferimento!$H$31:$I$50,2,FALSE))</f>
        <v>10</v>
      </c>
      <c r="JP18" s="1748">
        <f>+IFERROR(VLOOKUP(JP$6&amp;"-"&amp;$M18&amp;"_old",Ammortamento_Finanziario!$H:$L,5,FALSE),VLOOKUP($M18,TT_Tabelle_Riferimento!$H$31:$I$50,2,FALSE))</f>
        <v>10</v>
      </c>
      <c r="JQ18" s="1748">
        <f>+IFERROR(VLOOKUP(JQ$6&amp;"-"&amp;$M18&amp;"_old",Ammortamento_Finanziario!$H:$L,5,FALSE),VLOOKUP($M18,TT_Tabelle_Riferimento!$H$31:$I$50,2,FALSE))</f>
        <v>10</v>
      </c>
      <c r="JR18" s="1755">
        <f>+IFERROR(VLOOKUP(JR$6&amp;"-"&amp;$M18&amp;"_old",Ammortamento_Finanziario!$H:$L,5,FALSE),VLOOKUP($M18,TT_Tabelle_Riferimento!$H$31:$I$50,2,FALSE))</f>
        <v>10</v>
      </c>
      <c r="JS18" s="1755">
        <f>+IFERROR(VLOOKUP(JS$6&amp;"-"&amp;$M18&amp;"_old",Ammortamento_Finanziario!$H:$L,5,FALSE),VLOOKUP($M18,TT_Tabelle_Riferimento!$H$31:$I$50,2,FALSE))</f>
        <v>10</v>
      </c>
      <c r="JT18" s="1755">
        <f>+IFERROR(VLOOKUP(JT$6&amp;"-"&amp;$M18&amp;"_old",Ammortamento_Finanziario!$H:$L,5,FALSE),VLOOKUP($M18,TT_Tabelle_Riferimento!$H$31:$I$50,2,FALSE))</f>
        <v>10</v>
      </c>
      <c r="JU18" s="1755">
        <f>+IFERROR(VLOOKUP(JU$6&amp;"-"&amp;$M18&amp;"_old",Ammortamento_Finanziario!$H:$L,5,FALSE),VLOOKUP($M18,TT_Tabelle_Riferimento!$H$31:$I$50,2,FALSE))</f>
        <v>10</v>
      </c>
      <c r="JV18" s="1755">
        <f>+IFERROR(VLOOKUP(JV$6&amp;"-"&amp;$M18&amp;"_old",Ammortamento_Finanziario!$H:$L,5,FALSE),VLOOKUP($M18,TT_Tabelle_Riferimento!$H$31:$I$50,2,FALSE))</f>
        <v>10</v>
      </c>
      <c r="JW18" s="1755">
        <f>+IFERROR(VLOOKUP(JW$6&amp;"-"&amp;$M18&amp;"_old",Ammortamento_Finanziario!$H:$L,5,FALSE),VLOOKUP($M18,TT_Tabelle_Riferimento!$H$31:$I$50,2,FALSE))</f>
        <v>10</v>
      </c>
      <c r="JX18" s="1078">
        <f>+IFERROR(VLOOKUP(JX$6&amp;"-"&amp;$M18&amp;"_old",Ammortamento_Finanziario!$H:$L,5,FALSE),VLOOKUP($M18,TT_Tabelle_Riferimento!$H$31:$I$50,2,FALSE))</f>
        <v>10</v>
      </c>
      <c r="JY18" s="1078">
        <f>+IFERROR(VLOOKUP(JY$6&amp;"-"&amp;$M18&amp;"_old",Ammortamento_Finanziario!$H:$L,5,FALSE),VLOOKUP($M18,TT_Tabelle_Riferimento!$H$31:$I$50,2,FALSE))</f>
        <v>10</v>
      </c>
      <c r="JZ18" s="1078">
        <f>+IFERROR(VLOOKUP(JZ$6&amp;"-"&amp;$M18&amp;"_old",Ammortamento_Finanziario!$H:$L,5,FALSE),VLOOKUP($M18,TT_Tabelle_Riferimento!$H$31:$I$50,2,FALSE))</f>
        <v>10</v>
      </c>
      <c r="KA18" s="1078">
        <f>+IFERROR(VLOOKUP(KA$6&amp;"-"&amp;$M18&amp;"_old",Ammortamento_Finanziario!$H:$L,5,FALSE),VLOOKUP($M18,TT_Tabelle_Riferimento!$H$31:$I$50,2,FALSE))</f>
        <v>10</v>
      </c>
      <c r="KB18" s="1078">
        <f>+IFERROR(VLOOKUP(KB$6&amp;"-"&amp;$M18&amp;"_old",Ammortamento_Finanziario!$H:$L,5,FALSE),VLOOKUP($M18,TT_Tabelle_Riferimento!$H$31:$I$50,2,FALSE))</f>
        <v>10</v>
      </c>
      <c r="KC18" s="1078">
        <f>+IFERROR(VLOOKUP(KC$6&amp;"-"&amp;$M18&amp;"_old",Ammortamento_Finanziario!$H:$L,5,FALSE),VLOOKUP($M18,TT_Tabelle_Riferimento!$H$31:$I$50,2,FALSE))</f>
        <v>10</v>
      </c>
      <c r="KD18" s="1078">
        <f>+IFERROR(VLOOKUP(KD$6&amp;"-"&amp;$M18&amp;"_old",Ammortamento_Finanziario!$H:$L,5,FALSE),VLOOKUP($M18,TT_Tabelle_Riferimento!$H$31:$I$50,2,FALSE))</f>
        <v>10</v>
      </c>
      <c r="KE18" s="1078">
        <f>+IFERROR(VLOOKUP(KE$6&amp;"-"&amp;$M18&amp;"_old",Ammortamento_Finanziario!$H:$L,5,FALSE),VLOOKUP($M18,TT_Tabelle_Riferimento!$H$31:$I$50,2,FALSE))</f>
        <v>10</v>
      </c>
      <c r="KF18" s="1078">
        <f>+IFERROR(VLOOKUP(KF$6&amp;"-"&amp;$M18&amp;"_old",Ammortamento_Finanziario!$H:$L,5,FALSE),VLOOKUP($M18,TT_Tabelle_Riferimento!$H$31:$I$50,2,FALSE))</f>
        <v>10</v>
      </c>
      <c r="KG18" s="1078">
        <f>+IFERROR(VLOOKUP(KG$6&amp;"-"&amp;$M18&amp;"_old",Ammortamento_Finanziario!$H:$L,5,FALSE),VLOOKUP($M18,TT_Tabelle_Riferimento!$H$31:$I$50,2,FALSE))</f>
        <v>10</v>
      </c>
      <c r="KH18" s="1078">
        <f>+IFERROR(VLOOKUP(KH$6&amp;"-"&amp;$M18&amp;"_old",Ammortamento_Finanziario!$H:$L,5,FALSE),VLOOKUP($M18,TT_Tabelle_Riferimento!$H$31:$I$50,2,FALSE))</f>
        <v>10</v>
      </c>
      <c r="KI18" s="1078">
        <f>+IFERROR(VLOOKUP(KI$6&amp;"-"&amp;$M18&amp;"_old",Ammortamento_Finanziario!$H:$L,5,FALSE),VLOOKUP($M18,TT_Tabelle_Riferimento!$H$31:$I$50,2,FALSE))</f>
        <v>10</v>
      </c>
      <c r="KJ18" s="1078">
        <f>+IFERROR(VLOOKUP(KJ$6&amp;"-"&amp;$M18&amp;"_old",Ammortamento_Finanziario!$H:$L,5,FALSE),VLOOKUP($M18,TT_Tabelle_Riferimento!$H$31:$I$50,2,FALSE))</f>
        <v>10</v>
      </c>
      <c r="KK18" s="1078">
        <f>+IFERROR(VLOOKUP(KK$6&amp;"-"&amp;$M18&amp;"_old",Ammortamento_Finanziario!$H:$L,5,FALSE),VLOOKUP($M18,TT_Tabelle_Riferimento!$H$31:$I$50,2,FALSE))</f>
        <v>10</v>
      </c>
      <c r="KL18" s="1078">
        <f>+IFERROR(VLOOKUP(KL$6&amp;"-"&amp;$M18&amp;"_old",Ammortamento_Finanziario!$H:$L,5,FALSE),VLOOKUP($M18,TT_Tabelle_Riferimento!$H$31:$I$50,2,FALSE))</f>
        <v>10</v>
      </c>
      <c r="KM18" s="1078">
        <f>+IFERROR(VLOOKUP(KM$6&amp;"-"&amp;$M18&amp;"_old",Ammortamento_Finanziario!$H:$L,5,FALSE),VLOOKUP($M18,TT_Tabelle_Riferimento!$H$31:$I$50,2,FALSE))</f>
        <v>10</v>
      </c>
      <c r="KN18" s="1078">
        <f>+IFERROR(VLOOKUP(KN$6&amp;"-"&amp;$M18&amp;"_old",Ammortamento_Finanziario!$H:$L,5,FALSE),VLOOKUP($M18,TT_Tabelle_Riferimento!$H$31:$I$50,2,FALSE))</f>
        <v>10</v>
      </c>
      <c r="KO18" s="1078">
        <f>+IFERROR(VLOOKUP(KO$6&amp;"-"&amp;$M18&amp;"_old",Ammortamento_Finanziario!$H:$L,5,FALSE),VLOOKUP($M18,TT_Tabelle_Riferimento!$H$31:$I$50,2,FALSE))</f>
        <v>10</v>
      </c>
      <c r="KP18" s="1078">
        <f>+IFERROR(VLOOKUP(KP$6&amp;"-"&amp;$M18&amp;"_old",Ammortamento_Finanziario!$H:$L,5,FALSE),VLOOKUP($M18,TT_Tabelle_Riferimento!$H$31:$I$50,2,FALSE))</f>
        <v>10</v>
      </c>
      <c r="KQ18" s="1748">
        <f>+IFERROR(VLOOKUP(KQ$6&amp;"-"&amp;$M18&amp;"_old",Ammortamento_Finanziario!$H:$L,5,FALSE),VLOOKUP($M18,TT_Tabelle_Riferimento!$H$31:$I$50,2,FALSE))</f>
        <v>10</v>
      </c>
      <c r="KR18" s="1748">
        <f>+IFERROR(VLOOKUP(KR$6&amp;"-"&amp;$M18&amp;"_old",Ammortamento_Finanziario!$H:$L,5,FALSE),VLOOKUP($M18,TT_Tabelle_Riferimento!$H$31:$I$50,2,FALSE))</f>
        <v>10</v>
      </c>
      <c r="KS18" s="1755">
        <f>+IFERROR(VLOOKUP(KS$6&amp;"-"&amp;$M18&amp;"_old",Ammortamento_Finanziario!$H:$L,5,FALSE),VLOOKUP($M18,TT_Tabelle_Riferimento!$H$31:$I$50,2,FALSE))</f>
        <v>10</v>
      </c>
      <c r="KT18" s="1755">
        <f>+IFERROR(VLOOKUP(KT$6&amp;"-"&amp;$M18&amp;"_old",Ammortamento_Finanziario!$H:$L,5,FALSE),VLOOKUP($M18,TT_Tabelle_Riferimento!$H$31:$I$50,2,FALSE))</f>
        <v>10</v>
      </c>
      <c r="KU18" s="1755">
        <f>+IFERROR(VLOOKUP(KU$6&amp;"-"&amp;$M18&amp;"_old",Ammortamento_Finanziario!$H:$L,5,FALSE),VLOOKUP($M18,TT_Tabelle_Riferimento!$H$31:$I$50,2,FALSE))</f>
        <v>10</v>
      </c>
      <c r="KV18" s="1755">
        <f>+IFERROR(VLOOKUP(KV$6&amp;"-"&amp;$M18&amp;"_old",Ammortamento_Finanziario!$H:$L,5,FALSE),VLOOKUP($M18,TT_Tabelle_Riferimento!$H$31:$I$50,2,FALSE))</f>
        <v>10</v>
      </c>
      <c r="KW18" s="1755">
        <f>+IFERROR(VLOOKUP(KW$6&amp;"-"&amp;$M18&amp;"_old",Ammortamento_Finanziario!$H:$L,5,FALSE),VLOOKUP($M18,TT_Tabelle_Riferimento!$H$31:$I$50,2,FALSE))</f>
        <v>10</v>
      </c>
      <c r="KX18" s="1755">
        <f>+IFERROR(VLOOKUP(KX$6&amp;"-"&amp;$M18&amp;"_old",Ammortamento_Finanziario!$H:$L,5,FALSE),VLOOKUP($M18,TT_Tabelle_Riferimento!$H$31:$I$50,2,FALSE))</f>
        <v>10</v>
      </c>
      <c r="KY18" s="1078">
        <f>+IFERROR(VLOOKUP(KY$6&amp;"-"&amp;$M18&amp;"_old",Ammortamento_Finanziario!$H:$L,5,FALSE),VLOOKUP($M18,TT_Tabelle_Riferimento!$H$31:$I$50,2,FALSE))</f>
        <v>10</v>
      </c>
      <c r="KZ18" s="1078">
        <f>+IFERROR(VLOOKUP(KZ$6&amp;"-"&amp;$M18&amp;"_old",Ammortamento_Finanziario!$H:$L,5,FALSE),VLOOKUP($M18,TT_Tabelle_Riferimento!$H$31:$I$50,2,FALSE))</f>
        <v>10</v>
      </c>
      <c r="LA18" s="1078">
        <f>+IFERROR(VLOOKUP(LA$6&amp;"-"&amp;$M18&amp;"_old",Ammortamento_Finanziario!$H:$L,5,FALSE),VLOOKUP($M18,TT_Tabelle_Riferimento!$H$31:$I$50,2,FALSE))</f>
        <v>10</v>
      </c>
      <c r="LB18" s="1078">
        <f>+IFERROR(VLOOKUP(LB$6&amp;"-"&amp;$M18&amp;"_old",Ammortamento_Finanziario!$H:$L,5,FALSE),VLOOKUP($M18,TT_Tabelle_Riferimento!$H$31:$I$50,2,FALSE))</f>
        <v>10</v>
      </c>
      <c r="LC18" s="1078">
        <f>+IFERROR(VLOOKUP(LC$6&amp;"-"&amp;$M18&amp;"_old",Ammortamento_Finanziario!$H:$L,5,FALSE),VLOOKUP($M18,TT_Tabelle_Riferimento!$H$31:$I$50,2,FALSE))</f>
        <v>10</v>
      </c>
      <c r="LD18" s="1078">
        <f>+IFERROR(VLOOKUP(LD$6&amp;"-"&amp;$M18&amp;"_old",Ammortamento_Finanziario!$H:$L,5,FALSE),VLOOKUP($M18,TT_Tabelle_Riferimento!$H$31:$I$50,2,FALSE))</f>
        <v>10</v>
      </c>
      <c r="LE18" s="1078">
        <f>+IFERROR(VLOOKUP(LE$6&amp;"-"&amp;$M18&amp;"_old",Ammortamento_Finanziario!$H:$L,5,FALSE),VLOOKUP($M18,TT_Tabelle_Riferimento!$H$31:$I$50,2,FALSE))</f>
        <v>10</v>
      </c>
      <c r="LF18" s="1078">
        <f>+IFERROR(VLOOKUP(LF$6&amp;"-"&amp;$M18&amp;"_old",Ammortamento_Finanziario!$H:$L,5,FALSE),VLOOKUP($M18,TT_Tabelle_Riferimento!$H$31:$I$50,2,FALSE))</f>
        <v>10</v>
      </c>
      <c r="LG18" s="1078">
        <f>+IFERROR(VLOOKUP(LG$6&amp;"-"&amp;$M18&amp;"_old",Ammortamento_Finanziario!$H:$L,5,FALSE),VLOOKUP($M18,TT_Tabelle_Riferimento!$H$31:$I$50,2,FALSE))</f>
        <v>10</v>
      </c>
      <c r="LH18" s="1078">
        <f>+IFERROR(VLOOKUP(LH$6&amp;"-"&amp;$M18&amp;"_old",Ammortamento_Finanziario!$H:$L,5,FALSE),VLOOKUP($M18,TT_Tabelle_Riferimento!$H$31:$I$50,2,FALSE))</f>
        <v>10</v>
      </c>
      <c r="LI18" s="1078">
        <f>+IFERROR(VLOOKUP(LI$6&amp;"-"&amp;$M18&amp;"_old",Ammortamento_Finanziario!$H:$L,5,FALSE),VLOOKUP($M18,TT_Tabelle_Riferimento!$H$31:$I$50,2,FALSE))</f>
        <v>10</v>
      </c>
      <c r="LJ18" s="1078">
        <f>+IFERROR(VLOOKUP(LJ$6&amp;"-"&amp;$M18&amp;"_old",Ammortamento_Finanziario!$H:$L,5,FALSE),VLOOKUP($M18,TT_Tabelle_Riferimento!$H$31:$I$50,2,FALSE))</f>
        <v>10</v>
      </c>
      <c r="LK18" s="1078">
        <f>+IFERROR(VLOOKUP(LK$6&amp;"-"&amp;$M18&amp;"_old",Ammortamento_Finanziario!$H:$L,5,FALSE),VLOOKUP($M18,TT_Tabelle_Riferimento!$H$31:$I$50,2,FALSE))</f>
        <v>10</v>
      </c>
      <c r="LL18" s="1078">
        <f>+IFERROR(VLOOKUP(LL$6&amp;"-"&amp;$M18&amp;"_old",Ammortamento_Finanziario!$H:$L,5,FALSE),VLOOKUP($M18,TT_Tabelle_Riferimento!$H$31:$I$50,2,FALSE))</f>
        <v>10</v>
      </c>
      <c r="LM18" s="1078">
        <f>+IFERROR(VLOOKUP(LM$6&amp;"-"&amp;$M18&amp;"_old",Ammortamento_Finanziario!$H:$L,5,FALSE),VLOOKUP($M18,TT_Tabelle_Riferimento!$H$31:$I$50,2,FALSE))</f>
        <v>10</v>
      </c>
      <c r="LN18" s="1078">
        <f>+IFERROR(VLOOKUP(LN$6&amp;"-"&amp;$M18&amp;"_old",Ammortamento_Finanziario!$H:$L,5,FALSE),VLOOKUP($M18,TT_Tabelle_Riferimento!$H$31:$I$50,2,FALSE))</f>
        <v>10</v>
      </c>
      <c r="LO18" s="1078">
        <f>+IFERROR(VLOOKUP(LO$6&amp;"-"&amp;$M18&amp;"_old",Ammortamento_Finanziario!$H:$L,5,FALSE),VLOOKUP($M18,TT_Tabelle_Riferimento!$H$31:$I$50,2,FALSE))</f>
        <v>10</v>
      </c>
      <c r="LP18" s="1078">
        <f>+IFERROR(VLOOKUP(LP$6&amp;"-"&amp;$M18&amp;"_old",Ammortamento_Finanziario!$H:$L,5,FALSE),VLOOKUP($M18,TT_Tabelle_Riferimento!$H$31:$I$50,2,FALSE))</f>
        <v>10</v>
      </c>
      <c r="LQ18" s="1078">
        <f>+IFERROR(VLOOKUP(LQ$6&amp;"-"&amp;$M18&amp;"_old",Ammortamento_Finanziario!$H:$L,5,FALSE),VLOOKUP($M18,TT_Tabelle_Riferimento!$H$31:$I$50,2,FALSE))</f>
        <v>10</v>
      </c>
      <c r="LR18" s="1748">
        <f>+IFERROR(VLOOKUP(LR$6&amp;"-"&amp;$M18&amp;"_old",Ammortamento_Finanziario!$H:$L,5,FALSE),VLOOKUP($M18,TT_Tabelle_Riferimento!$H$31:$I$50,2,FALSE))</f>
        <v>10</v>
      </c>
      <c r="LS18" s="1755">
        <f>+IFERROR(VLOOKUP(LS$6&amp;"-"&amp;$M18&amp;"_old",Ammortamento_Finanziario!$H:$L,5,FALSE),VLOOKUP($M18,TT_Tabelle_Riferimento!$H$31:$I$50,2,FALSE))</f>
        <v>10</v>
      </c>
      <c r="LT18" s="1755">
        <f>+IFERROR(VLOOKUP(LT$6&amp;"-"&amp;$M18&amp;"_old",Ammortamento_Finanziario!$H:$L,5,FALSE),VLOOKUP($M18,TT_Tabelle_Riferimento!$H$31:$I$50,2,FALSE))</f>
        <v>10</v>
      </c>
      <c r="LU18" s="1755">
        <f>+IFERROR(VLOOKUP(LU$6&amp;"-"&amp;$M18&amp;"_old",Ammortamento_Finanziario!$H:$L,5,FALSE),VLOOKUP($M18,TT_Tabelle_Riferimento!$H$31:$I$50,2,FALSE))</f>
        <v>10</v>
      </c>
      <c r="LV18" s="1755">
        <f>+IFERROR(VLOOKUP(LV$6&amp;"-"&amp;$M18&amp;"_old",Ammortamento_Finanziario!$H:$L,5,FALSE),VLOOKUP($M18,TT_Tabelle_Riferimento!$H$31:$I$50,2,FALSE))</f>
        <v>10</v>
      </c>
      <c r="LW18" s="1755">
        <f>+IFERROR(VLOOKUP(LW$6&amp;"-"&amp;$M18&amp;"_old",Ammortamento_Finanziario!$H:$L,5,FALSE),VLOOKUP($M18,TT_Tabelle_Riferimento!$H$31:$I$50,2,FALSE))</f>
        <v>10</v>
      </c>
      <c r="LX18" s="1755">
        <f>+IFERROR(VLOOKUP(LX$6&amp;"-"&amp;$M18&amp;"_old",Ammortamento_Finanziario!$H:$L,5,FALSE),VLOOKUP($M18,TT_Tabelle_Riferimento!$H$31:$I$50,2,FALSE))</f>
        <v>10</v>
      </c>
      <c r="LY18" s="1078">
        <f>+IFERROR(VLOOKUP(LY$6&amp;"-"&amp;$M18&amp;"_old",Ammortamento_Finanziario!$H:$L,5,FALSE),VLOOKUP($M18,TT_Tabelle_Riferimento!$H$31:$I$50,2,FALSE))</f>
        <v>10</v>
      </c>
      <c r="LZ18" s="1078">
        <f>+IFERROR(VLOOKUP(LZ$6&amp;"-"&amp;$M18&amp;"_old",Ammortamento_Finanziario!$H:$L,5,FALSE),VLOOKUP($M18,TT_Tabelle_Riferimento!$H$31:$I$50,2,FALSE))</f>
        <v>10</v>
      </c>
      <c r="MA18" s="1078">
        <f>+IFERROR(VLOOKUP(MA$6&amp;"-"&amp;$M18&amp;"_old",Ammortamento_Finanziario!$H:$L,5,FALSE),VLOOKUP($M18,TT_Tabelle_Riferimento!$H$31:$I$50,2,FALSE))</f>
        <v>10</v>
      </c>
      <c r="MB18" s="1078">
        <f>+IFERROR(VLOOKUP(MB$6&amp;"-"&amp;$M18&amp;"_old",Ammortamento_Finanziario!$H:$L,5,FALSE),VLOOKUP($M18,TT_Tabelle_Riferimento!$H$31:$I$50,2,FALSE))</f>
        <v>10</v>
      </c>
      <c r="MC18" s="1078">
        <f>+IFERROR(VLOOKUP(MC$6&amp;"-"&amp;$M18&amp;"_old",Ammortamento_Finanziario!$H:$L,5,FALSE),VLOOKUP($M18,TT_Tabelle_Riferimento!$H$31:$I$50,2,FALSE))</f>
        <v>10</v>
      </c>
      <c r="MD18" s="1078">
        <f>+IFERROR(VLOOKUP(MD$6&amp;"-"&amp;$M18&amp;"_old",Ammortamento_Finanziario!$H:$L,5,FALSE),VLOOKUP($M18,TT_Tabelle_Riferimento!$H$31:$I$50,2,FALSE))</f>
        <v>10</v>
      </c>
      <c r="ME18" s="1078">
        <f>+IFERROR(VLOOKUP(ME$6&amp;"-"&amp;$M18&amp;"_old",Ammortamento_Finanziario!$H:$L,5,FALSE),VLOOKUP($M18,TT_Tabelle_Riferimento!$H$31:$I$50,2,FALSE))</f>
        <v>10</v>
      </c>
      <c r="MF18" s="1078">
        <f>+IFERROR(VLOOKUP(MF$6&amp;"-"&amp;$M18&amp;"_old",Ammortamento_Finanziario!$H:$L,5,FALSE),VLOOKUP($M18,TT_Tabelle_Riferimento!$H$31:$I$50,2,FALSE))</f>
        <v>10</v>
      </c>
      <c r="MG18" s="1078">
        <f>+IFERROR(VLOOKUP(MG$6&amp;"-"&amp;$M18&amp;"_old",Ammortamento_Finanziario!$H:$L,5,FALSE),VLOOKUP($M18,TT_Tabelle_Riferimento!$H$31:$I$50,2,FALSE))</f>
        <v>10</v>
      </c>
      <c r="MH18" s="1078">
        <f>+IFERROR(VLOOKUP(MH$6&amp;"-"&amp;$M18&amp;"_old",Ammortamento_Finanziario!$H:$L,5,FALSE),VLOOKUP($M18,TT_Tabelle_Riferimento!$H$31:$I$50,2,FALSE))</f>
        <v>10</v>
      </c>
      <c r="MI18" s="1078">
        <f>+IFERROR(VLOOKUP(MI$6&amp;"-"&amp;$M18&amp;"_old",Ammortamento_Finanziario!$H:$L,5,FALSE),VLOOKUP($M18,TT_Tabelle_Riferimento!$H$31:$I$50,2,FALSE))</f>
        <v>10</v>
      </c>
      <c r="MJ18" s="1078">
        <f>+IFERROR(VLOOKUP(MJ$6&amp;"-"&amp;$M18&amp;"_old",Ammortamento_Finanziario!$H:$L,5,FALSE),VLOOKUP($M18,TT_Tabelle_Riferimento!$H$31:$I$50,2,FALSE))</f>
        <v>10</v>
      </c>
      <c r="MK18" s="1078">
        <f>+IFERROR(VLOOKUP(MK$6&amp;"-"&amp;$M18&amp;"_old",Ammortamento_Finanziario!$H:$L,5,FALSE),VLOOKUP($M18,TT_Tabelle_Riferimento!$H$31:$I$50,2,FALSE))</f>
        <v>10</v>
      </c>
      <c r="ML18" s="1078">
        <f>+IFERROR(VLOOKUP(ML$6&amp;"-"&amp;$M18&amp;"_old",Ammortamento_Finanziario!$H:$L,5,FALSE),VLOOKUP($M18,TT_Tabelle_Riferimento!$H$31:$I$50,2,FALSE))</f>
        <v>10</v>
      </c>
      <c r="MM18" s="1078">
        <f>+IFERROR(VLOOKUP(MM$6&amp;"-"&amp;$M18&amp;"_old",Ammortamento_Finanziario!$H:$L,5,FALSE),VLOOKUP($M18,TT_Tabelle_Riferimento!$H$31:$I$50,2,FALSE))</f>
        <v>10</v>
      </c>
      <c r="MN18" s="1078">
        <f>+IFERROR(VLOOKUP(MN$6&amp;"-"&amp;$M18&amp;"_old",Ammortamento_Finanziario!$H:$L,5,FALSE),VLOOKUP($M18,TT_Tabelle_Riferimento!$H$31:$I$50,2,FALSE))</f>
        <v>10</v>
      </c>
      <c r="MO18" s="1078">
        <f>+IFERROR(VLOOKUP(MO$6&amp;"-"&amp;$M18&amp;"_old",Ammortamento_Finanziario!$H:$L,5,FALSE),VLOOKUP($M18,TT_Tabelle_Riferimento!$H$31:$I$50,2,FALSE))</f>
        <v>10</v>
      </c>
      <c r="MP18" s="1078">
        <f>+IFERROR(VLOOKUP(MP$6&amp;"-"&amp;$M18&amp;"_old",Ammortamento_Finanziario!$H:$L,5,FALSE),VLOOKUP($M18,TT_Tabelle_Riferimento!$H$31:$I$50,2,FALSE))</f>
        <v>10</v>
      </c>
      <c r="MQ18" s="1078">
        <f>+IFERROR(VLOOKUP(MQ$6&amp;"-"&amp;$M18&amp;"_old",Ammortamento_Finanziario!$H:$L,5,FALSE),VLOOKUP($M18,TT_Tabelle_Riferimento!$H$31:$I$50,2,FALSE))</f>
        <v>10</v>
      </c>
      <c r="MR18" s="1755">
        <f>+IFERROR(VLOOKUP(MR$6&amp;"-"&amp;$M18&amp;"_old",Ammortamento_Finanziario!$H:$L,5,FALSE),VLOOKUP($M18,TT_Tabelle_Riferimento!$H$31:$I$50,2,FALSE))</f>
        <v>10</v>
      </c>
      <c r="MS18" s="1755">
        <f>+IFERROR(VLOOKUP(MS$6&amp;"-"&amp;$M18&amp;"_old",Ammortamento_Finanziario!$H:$L,5,FALSE),VLOOKUP($M18,TT_Tabelle_Riferimento!$H$31:$I$50,2,FALSE))</f>
        <v>10</v>
      </c>
      <c r="MT18" s="1755">
        <f>+IFERROR(VLOOKUP(MT$6&amp;"-"&amp;$M18&amp;"_old",Ammortamento_Finanziario!$H:$L,5,FALSE),VLOOKUP($M18,TT_Tabelle_Riferimento!$H$31:$I$50,2,FALSE))</f>
        <v>10</v>
      </c>
      <c r="MU18" s="1755">
        <f>+IFERROR(VLOOKUP(MU$6&amp;"-"&amp;$M18&amp;"_old",Ammortamento_Finanziario!$H:$L,5,FALSE),VLOOKUP($M18,TT_Tabelle_Riferimento!$H$31:$I$50,2,FALSE))</f>
        <v>10</v>
      </c>
      <c r="MV18" s="1755">
        <f>+IFERROR(VLOOKUP(MV$6&amp;"-"&amp;$M18&amp;"_old",Ammortamento_Finanziario!$H:$L,5,FALSE),VLOOKUP($M18,TT_Tabelle_Riferimento!$H$31:$I$50,2,FALSE))</f>
        <v>10</v>
      </c>
      <c r="MW18" s="1755">
        <f>+IFERROR(VLOOKUP(MW$6&amp;"-"&amp;$M18&amp;"_old",Ammortamento_Finanziario!$H:$L,5,FALSE),VLOOKUP($M18,TT_Tabelle_Riferimento!$H$31:$I$50,2,FALSE))</f>
        <v>10</v>
      </c>
      <c r="MX18" s="1078">
        <f>+IFERROR(VLOOKUP(MX$6&amp;"-"&amp;$M18&amp;"_old",Ammortamento_Finanziario!$H:$L,5,FALSE),VLOOKUP($M18,TT_Tabelle_Riferimento!$H$31:$I$50,2,FALSE))</f>
        <v>10</v>
      </c>
      <c r="MY18" s="1078">
        <f>+IFERROR(VLOOKUP(MY$6&amp;"-"&amp;$M18&amp;"_old",Ammortamento_Finanziario!$H:$L,5,FALSE),VLOOKUP($M18,TT_Tabelle_Riferimento!$H$31:$I$50,2,FALSE))</f>
        <v>10</v>
      </c>
      <c r="MZ18" s="1078">
        <f>+IFERROR(VLOOKUP(MZ$6&amp;"-"&amp;$M18&amp;"_old",Ammortamento_Finanziario!$H:$L,5,FALSE),VLOOKUP($M18,TT_Tabelle_Riferimento!$H$31:$I$50,2,FALSE))</f>
        <v>10</v>
      </c>
      <c r="NA18" s="1078">
        <f>+IFERROR(VLOOKUP(NA$6&amp;"-"&amp;$M18&amp;"_old",Ammortamento_Finanziario!$H:$L,5,FALSE),VLOOKUP($M18,TT_Tabelle_Riferimento!$H$31:$I$50,2,FALSE))</f>
        <v>10</v>
      </c>
      <c r="NB18" s="1078">
        <f>+IFERROR(VLOOKUP(NB$6&amp;"-"&amp;$M18&amp;"_old",Ammortamento_Finanziario!$H:$L,5,FALSE),VLOOKUP($M18,TT_Tabelle_Riferimento!$H$31:$I$50,2,FALSE))</f>
        <v>10</v>
      </c>
      <c r="NC18" s="1078">
        <f>+IFERROR(VLOOKUP(NC$6&amp;"-"&amp;$M18&amp;"_old",Ammortamento_Finanziario!$H:$L,5,FALSE),VLOOKUP($M18,TT_Tabelle_Riferimento!$H$31:$I$50,2,FALSE))</f>
        <v>10</v>
      </c>
      <c r="ND18" s="1078">
        <f>+IFERROR(VLOOKUP(ND$6&amp;"-"&amp;$M18&amp;"_old",Ammortamento_Finanziario!$H:$L,5,FALSE),VLOOKUP($M18,TT_Tabelle_Riferimento!$H$31:$I$50,2,FALSE))</f>
        <v>10</v>
      </c>
      <c r="NE18" s="1078">
        <f>+IFERROR(VLOOKUP(NE$6&amp;"-"&amp;$M18&amp;"_old",Ammortamento_Finanziario!$H:$L,5,FALSE),VLOOKUP($M18,TT_Tabelle_Riferimento!$H$31:$I$50,2,FALSE))</f>
        <v>10</v>
      </c>
      <c r="NF18" s="1078">
        <f>+IFERROR(VLOOKUP(NF$6&amp;"-"&amp;$M18&amp;"_old",Ammortamento_Finanziario!$H:$L,5,FALSE),VLOOKUP($M18,TT_Tabelle_Riferimento!$H$31:$I$50,2,FALSE))</f>
        <v>10</v>
      </c>
      <c r="NG18" s="1078">
        <f>+IFERROR(VLOOKUP(NG$6&amp;"-"&amp;$M18&amp;"_old",Ammortamento_Finanziario!$H:$L,5,FALSE),VLOOKUP($M18,TT_Tabelle_Riferimento!$H$31:$I$50,2,FALSE))</f>
        <v>10</v>
      </c>
      <c r="NH18" s="1078">
        <f>+IFERROR(VLOOKUP(NH$6&amp;"-"&amp;$M18&amp;"_old",Ammortamento_Finanziario!$H:$L,5,FALSE),VLOOKUP($M18,TT_Tabelle_Riferimento!$H$31:$I$50,2,FALSE))</f>
        <v>10</v>
      </c>
      <c r="NI18" s="1078">
        <f>+IFERROR(VLOOKUP(NI$6&amp;"-"&amp;$M18&amp;"_old",Ammortamento_Finanziario!$H:$L,5,FALSE),VLOOKUP($M18,TT_Tabelle_Riferimento!$H$31:$I$50,2,FALSE))</f>
        <v>10</v>
      </c>
      <c r="NJ18" s="1078">
        <f>+IFERROR(VLOOKUP(NJ$6&amp;"-"&amp;$M18&amp;"_old",Ammortamento_Finanziario!$H:$L,5,FALSE),VLOOKUP($M18,TT_Tabelle_Riferimento!$H$31:$I$50,2,FALSE))</f>
        <v>10</v>
      </c>
      <c r="NK18" s="1078">
        <f>+IFERROR(VLOOKUP(NK$6&amp;"-"&amp;$M18&amp;"_old",Ammortamento_Finanziario!$H:$L,5,FALSE),VLOOKUP($M18,TT_Tabelle_Riferimento!$H$31:$I$50,2,FALSE))</f>
        <v>10</v>
      </c>
      <c r="NL18" s="1078">
        <f>+IFERROR(VLOOKUP(NL$6&amp;"-"&amp;$M18&amp;"_old",Ammortamento_Finanziario!$H:$L,5,FALSE),VLOOKUP($M18,TT_Tabelle_Riferimento!$H$31:$I$50,2,FALSE))</f>
        <v>10</v>
      </c>
      <c r="NM18" s="1078">
        <f>+IFERROR(VLOOKUP(NM$6&amp;"-"&amp;$M18&amp;"_old",Ammortamento_Finanziario!$H:$L,5,FALSE),VLOOKUP($M18,TT_Tabelle_Riferimento!$H$31:$I$50,2,FALSE))</f>
        <v>10</v>
      </c>
      <c r="NN18" s="1078">
        <f>+IFERROR(VLOOKUP(NN$6&amp;"-"&amp;$M18&amp;"_old",Ammortamento_Finanziario!$H:$L,5,FALSE),VLOOKUP($M18,TT_Tabelle_Riferimento!$H$31:$I$50,2,FALSE))</f>
        <v>10</v>
      </c>
      <c r="NO18" s="1078">
        <f>+IFERROR(VLOOKUP(NO$6&amp;"-"&amp;$M18&amp;"_old",Ammortamento_Finanziario!$H:$L,5,FALSE),VLOOKUP($M18,TT_Tabelle_Riferimento!$H$31:$I$50,2,FALSE))</f>
        <v>10</v>
      </c>
      <c r="NP18" s="1078">
        <f>+IFERROR(VLOOKUP(NP$6&amp;"-"&amp;$M18&amp;"_old",Ammortamento_Finanziario!$H:$L,5,FALSE),VLOOKUP($M18,TT_Tabelle_Riferimento!$H$31:$I$50,2,FALSE))</f>
        <v>10</v>
      </c>
      <c r="NQ18" s="1755">
        <f>+IFERROR(VLOOKUP(NQ$6&amp;"-"&amp;$M18&amp;"_old",Ammortamento_Finanziario!$H:$L,5,FALSE),VLOOKUP($M18,TT_Tabelle_Riferimento!$H$31:$I$50,2,FALSE))</f>
        <v>10</v>
      </c>
      <c r="NR18" s="1755">
        <f>+IFERROR(VLOOKUP(NR$6&amp;"-"&amp;$M18&amp;"_old",Ammortamento_Finanziario!$H:$L,5,FALSE),VLOOKUP($M18,TT_Tabelle_Riferimento!$H$31:$I$50,2,FALSE))</f>
        <v>10</v>
      </c>
      <c r="NS18" s="1755">
        <f>+IFERROR(VLOOKUP(NS$6&amp;"-"&amp;$M18&amp;"_old",Ammortamento_Finanziario!$H:$L,5,FALSE),VLOOKUP($M18,TT_Tabelle_Riferimento!$H$31:$I$50,2,FALSE))</f>
        <v>10</v>
      </c>
      <c r="NT18" s="1755">
        <f>+IFERROR(VLOOKUP(NT$6&amp;"-"&amp;$M18&amp;"_old",Ammortamento_Finanziario!$H:$L,5,FALSE),VLOOKUP($M18,TT_Tabelle_Riferimento!$H$31:$I$50,2,FALSE))</f>
        <v>10</v>
      </c>
      <c r="NU18" s="1755">
        <f>+IFERROR(VLOOKUP(NU$6&amp;"-"&amp;$M18&amp;"_old",Ammortamento_Finanziario!$H:$L,5,FALSE),VLOOKUP($M18,TT_Tabelle_Riferimento!$H$31:$I$50,2,FALSE))</f>
        <v>10</v>
      </c>
      <c r="NV18" s="1078">
        <f>+IFERROR(VLOOKUP(NV$6&amp;"-"&amp;$M18&amp;"_old",Ammortamento_Finanziario!$H:$L,5,FALSE),VLOOKUP($M18,TT_Tabelle_Riferimento!$H$31:$I$50,2,FALSE))</f>
        <v>10</v>
      </c>
      <c r="NW18" s="1078">
        <f>+IFERROR(VLOOKUP(NW$6&amp;"-"&amp;$M18&amp;"_old",Ammortamento_Finanziario!$H:$L,5,FALSE),VLOOKUP($M18,TT_Tabelle_Riferimento!$H$31:$I$50,2,FALSE))</f>
        <v>10</v>
      </c>
      <c r="NX18" s="1078">
        <f>+IFERROR(VLOOKUP(NX$6&amp;"-"&amp;$M18&amp;"_old",Ammortamento_Finanziario!$H:$L,5,FALSE),VLOOKUP($M18,TT_Tabelle_Riferimento!$H$31:$I$50,2,FALSE))</f>
        <v>10</v>
      </c>
      <c r="NY18" s="1078">
        <f>+IFERROR(VLOOKUP(NY$6&amp;"-"&amp;$M18&amp;"_old",Ammortamento_Finanziario!$H:$L,5,FALSE),VLOOKUP($M18,TT_Tabelle_Riferimento!$H$31:$I$50,2,FALSE))</f>
        <v>10</v>
      </c>
      <c r="NZ18" s="1078">
        <f>+IFERROR(VLOOKUP(NZ$6&amp;"-"&amp;$M18&amp;"_old",Ammortamento_Finanziario!$H:$L,5,FALSE),VLOOKUP($M18,TT_Tabelle_Riferimento!$H$31:$I$50,2,FALSE))</f>
        <v>10</v>
      </c>
      <c r="OA18" s="1078">
        <f>+IFERROR(VLOOKUP(OA$6&amp;"-"&amp;$M18&amp;"_old",Ammortamento_Finanziario!$H:$L,5,FALSE),VLOOKUP($M18,TT_Tabelle_Riferimento!$H$31:$I$50,2,FALSE))</f>
        <v>10</v>
      </c>
      <c r="OB18" s="1078">
        <f>+IFERROR(VLOOKUP(OB$6&amp;"-"&amp;$M18&amp;"_old",Ammortamento_Finanziario!$H:$L,5,FALSE),VLOOKUP($M18,TT_Tabelle_Riferimento!$H$31:$I$50,2,FALSE))</f>
        <v>10</v>
      </c>
      <c r="OC18" s="1078">
        <f>+IFERROR(VLOOKUP(OC$6&amp;"-"&amp;$M18&amp;"_old",Ammortamento_Finanziario!$H:$L,5,FALSE),VLOOKUP($M18,TT_Tabelle_Riferimento!$H$31:$I$50,2,FALSE))</f>
        <v>10</v>
      </c>
      <c r="OD18" s="1078">
        <f>+IFERROR(VLOOKUP(OD$6&amp;"-"&amp;$M18&amp;"_old",Ammortamento_Finanziario!$H:$L,5,FALSE),VLOOKUP($M18,TT_Tabelle_Riferimento!$H$31:$I$50,2,FALSE))</f>
        <v>10</v>
      </c>
      <c r="OE18" s="1078">
        <f>+IFERROR(VLOOKUP(OE$6&amp;"-"&amp;$M18&amp;"_old",Ammortamento_Finanziario!$H:$L,5,FALSE),VLOOKUP($M18,TT_Tabelle_Riferimento!$H$31:$I$50,2,FALSE))</f>
        <v>10</v>
      </c>
      <c r="OF18" s="1078">
        <f>+IFERROR(VLOOKUP(OF$6&amp;"-"&amp;$M18&amp;"_old",Ammortamento_Finanziario!$H:$L,5,FALSE),VLOOKUP($M18,TT_Tabelle_Riferimento!$H$31:$I$50,2,FALSE))</f>
        <v>10</v>
      </c>
      <c r="OG18" s="1078">
        <f>+IFERROR(VLOOKUP(OG$6&amp;"-"&amp;$M18&amp;"_old",Ammortamento_Finanziario!$H:$L,5,FALSE),VLOOKUP($M18,TT_Tabelle_Riferimento!$H$31:$I$50,2,FALSE))</f>
        <v>10</v>
      </c>
      <c r="OH18" s="1078">
        <f>+IFERROR(VLOOKUP(OH$6&amp;"-"&amp;$M18&amp;"_old",Ammortamento_Finanziario!$H:$L,5,FALSE),VLOOKUP($M18,TT_Tabelle_Riferimento!$H$31:$I$50,2,FALSE))</f>
        <v>10</v>
      </c>
      <c r="OI18" s="1078">
        <f>+IFERROR(VLOOKUP(OI$6&amp;"-"&amp;$M18&amp;"_old",Ammortamento_Finanziario!$H:$L,5,FALSE),VLOOKUP($M18,TT_Tabelle_Riferimento!$H$31:$I$50,2,FALSE))</f>
        <v>10</v>
      </c>
      <c r="OJ18" s="1078">
        <f>+IFERROR(VLOOKUP(OJ$6&amp;"-"&amp;$M18&amp;"_old",Ammortamento_Finanziario!$H:$L,5,FALSE),VLOOKUP($M18,TT_Tabelle_Riferimento!$H$31:$I$50,2,FALSE))</f>
        <v>10</v>
      </c>
      <c r="OK18" s="1078">
        <f>+IFERROR(VLOOKUP(OK$6&amp;"-"&amp;$M18&amp;"_old",Ammortamento_Finanziario!$H:$L,5,FALSE),VLOOKUP($M18,TT_Tabelle_Riferimento!$H$31:$I$50,2,FALSE))</f>
        <v>10</v>
      </c>
      <c r="OL18" s="1078">
        <f>+IFERROR(VLOOKUP(OL$6&amp;"-"&amp;$M18&amp;"_old",Ammortamento_Finanziario!$H:$L,5,FALSE),VLOOKUP($M18,TT_Tabelle_Riferimento!$H$31:$I$50,2,FALSE))</f>
        <v>10</v>
      </c>
      <c r="OM18" s="1078">
        <f>+IFERROR(VLOOKUP(OM$6&amp;"-"&amp;$M18&amp;"_old",Ammortamento_Finanziario!$H:$L,5,FALSE),VLOOKUP($M18,TT_Tabelle_Riferimento!$H$31:$I$50,2,FALSE))</f>
        <v>10</v>
      </c>
      <c r="ON18" s="1078">
        <f>+IFERROR(VLOOKUP(ON$6&amp;"-"&amp;$M18&amp;"_old",Ammortamento_Finanziario!$H:$L,5,FALSE),VLOOKUP($M18,TT_Tabelle_Riferimento!$H$31:$I$50,2,FALSE))</f>
        <v>10</v>
      </c>
      <c r="OO18" s="1755">
        <f>+IFERROR(VLOOKUP(OO$6&amp;"-"&amp;$M18&amp;"_old",Ammortamento_Finanziario!$H:$L,5,FALSE),VLOOKUP($M18,TT_Tabelle_Riferimento!$H$31:$I$50,2,FALSE))</f>
        <v>10</v>
      </c>
      <c r="OP18" s="1755">
        <f>+IFERROR(VLOOKUP(OP$6&amp;"-"&amp;$M18&amp;"_old",Ammortamento_Finanziario!$H:$L,5,FALSE),VLOOKUP($M18,TT_Tabelle_Riferimento!$H$31:$I$50,2,FALSE))</f>
        <v>10</v>
      </c>
      <c r="OQ18" s="1755">
        <f>+IFERROR(VLOOKUP(OQ$6&amp;"-"&amp;$M18&amp;"_old",Ammortamento_Finanziario!$H:$L,5,FALSE),VLOOKUP($M18,TT_Tabelle_Riferimento!$H$31:$I$50,2,FALSE))</f>
        <v>10</v>
      </c>
      <c r="OR18" s="1755">
        <f>+IFERROR(VLOOKUP(OR$6&amp;"-"&amp;$M18&amp;"_old",Ammortamento_Finanziario!$H:$L,5,FALSE),VLOOKUP($M18,TT_Tabelle_Riferimento!$H$31:$I$50,2,FALSE))</f>
        <v>10</v>
      </c>
      <c r="OS18" s="1078">
        <f>+IFERROR(VLOOKUP(OS$6&amp;"-"&amp;$M18&amp;"_old",Ammortamento_Finanziario!$H:$L,5,FALSE),VLOOKUP($M18,TT_Tabelle_Riferimento!$H$31:$I$50,2,FALSE))</f>
        <v>10</v>
      </c>
      <c r="OT18" s="1078">
        <f>+IFERROR(VLOOKUP(OT$6&amp;"-"&amp;$M18&amp;"_old",Ammortamento_Finanziario!$H:$L,5,FALSE),VLOOKUP($M18,TT_Tabelle_Riferimento!$H$31:$I$50,2,FALSE))</f>
        <v>10</v>
      </c>
      <c r="OU18" s="1078">
        <f>+IFERROR(VLOOKUP(OU$6&amp;"-"&amp;$M18&amp;"_old",Ammortamento_Finanziario!$H:$L,5,FALSE),VLOOKUP($M18,TT_Tabelle_Riferimento!$H$31:$I$50,2,FALSE))</f>
        <v>10</v>
      </c>
      <c r="OV18" s="1078">
        <f>+IFERROR(VLOOKUP(OV$6&amp;"-"&amp;$M18&amp;"_old",Ammortamento_Finanziario!$H:$L,5,FALSE),VLOOKUP($M18,TT_Tabelle_Riferimento!$H$31:$I$50,2,FALSE))</f>
        <v>10</v>
      </c>
      <c r="OW18" s="1078">
        <f>+IFERROR(VLOOKUP(OW$6&amp;"-"&amp;$M18&amp;"_old",Ammortamento_Finanziario!$H:$L,5,FALSE),VLOOKUP($M18,TT_Tabelle_Riferimento!$H$31:$I$50,2,FALSE))</f>
        <v>10</v>
      </c>
      <c r="OX18" s="1078">
        <f>+IFERROR(VLOOKUP(OX$6&amp;"-"&amp;$M18&amp;"_old",Ammortamento_Finanziario!$H:$L,5,FALSE),VLOOKUP($M18,TT_Tabelle_Riferimento!$H$31:$I$50,2,FALSE))</f>
        <v>10</v>
      </c>
      <c r="OY18" s="1078">
        <f>+IFERROR(VLOOKUP(OY$6&amp;"-"&amp;$M18&amp;"_old",Ammortamento_Finanziario!$H:$L,5,FALSE),VLOOKUP($M18,TT_Tabelle_Riferimento!$H$31:$I$50,2,FALSE))</f>
        <v>10</v>
      </c>
      <c r="OZ18" s="1078">
        <f>+IFERROR(VLOOKUP(OZ$6&amp;"-"&amp;$M18&amp;"_old",Ammortamento_Finanziario!$H:$L,5,FALSE),VLOOKUP($M18,TT_Tabelle_Riferimento!$H$31:$I$50,2,FALSE))</f>
        <v>10</v>
      </c>
      <c r="PA18" s="1078">
        <f>+IFERROR(VLOOKUP(PA$6&amp;"-"&amp;$M18&amp;"_old",Ammortamento_Finanziario!$H:$L,5,FALSE),VLOOKUP($M18,TT_Tabelle_Riferimento!$H$31:$I$50,2,FALSE))</f>
        <v>10</v>
      </c>
      <c r="PB18" s="1078">
        <f>+IFERROR(VLOOKUP(PB$6&amp;"-"&amp;$M18&amp;"_old",Ammortamento_Finanziario!$H:$L,5,FALSE),VLOOKUP($M18,TT_Tabelle_Riferimento!$H$31:$I$50,2,FALSE))</f>
        <v>10</v>
      </c>
      <c r="PC18" s="1078">
        <f>+IFERROR(VLOOKUP(PC$6&amp;"-"&amp;$M18&amp;"_old",Ammortamento_Finanziario!$H:$L,5,FALSE),VLOOKUP($M18,TT_Tabelle_Riferimento!$H$31:$I$50,2,FALSE))</f>
        <v>10</v>
      </c>
      <c r="PD18" s="1078">
        <f>+IFERROR(VLOOKUP(PD$6&amp;"-"&amp;$M18&amp;"_old",Ammortamento_Finanziario!$H:$L,5,FALSE),VLOOKUP($M18,TT_Tabelle_Riferimento!$H$31:$I$50,2,FALSE))</f>
        <v>10</v>
      </c>
      <c r="PE18" s="1078">
        <f>+IFERROR(VLOOKUP(PE$6&amp;"-"&amp;$M18&amp;"_old",Ammortamento_Finanziario!$H:$L,5,FALSE),VLOOKUP($M18,TT_Tabelle_Riferimento!$H$31:$I$50,2,FALSE))</f>
        <v>10</v>
      </c>
      <c r="PF18" s="1078">
        <f>+IFERROR(VLOOKUP(PF$6&amp;"-"&amp;$M18&amp;"_old",Ammortamento_Finanziario!$H:$L,5,FALSE),VLOOKUP($M18,TT_Tabelle_Riferimento!$H$31:$I$50,2,FALSE))</f>
        <v>10</v>
      </c>
      <c r="PG18" s="1078">
        <f>+IFERROR(VLOOKUP(PG$6&amp;"-"&amp;$M18&amp;"_old",Ammortamento_Finanziario!$H:$L,5,FALSE),VLOOKUP($M18,TT_Tabelle_Riferimento!$H$31:$I$50,2,FALSE))</f>
        <v>10</v>
      </c>
      <c r="PH18" s="1078">
        <f>+IFERROR(VLOOKUP(PH$6&amp;"-"&amp;$M18&amp;"_old",Ammortamento_Finanziario!$H:$L,5,FALSE),VLOOKUP($M18,TT_Tabelle_Riferimento!$H$31:$I$50,2,FALSE))</f>
        <v>10</v>
      </c>
      <c r="PI18" s="1078">
        <f>+IFERROR(VLOOKUP(PI$6&amp;"-"&amp;$M18&amp;"_old",Ammortamento_Finanziario!$H:$L,5,FALSE),VLOOKUP($M18,TT_Tabelle_Riferimento!$H$31:$I$50,2,FALSE))</f>
        <v>10</v>
      </c>
      <c r="PJ18" s="1078">
        <f>+IFERROR(VLOOKUP(PJ$6&amp;"-"&amp;$M18&amp;"_old",Ammortamento_Finanziario!$H:$L,5,FALSE),VLOOKUP($M18,TT_Tabelle_Riferimento!$H$31:$I$50,2,FALSE))</f>
        <v>10</v>
      </c>
      <c r="PK18" s="1078">
        <f>+IFERROR(VLOOKUP(PK$6&amp;"-"&amp;$M18&amp;"_old",Ammortamento_Finanziario!$H:$L,5,FALSE),VLOOKUP($M18,TT_Tabelle_Riferimento!$H$31:$I$50,2,FALSE))</f>
        <v>10</v>
      </c>
      <c r="PL18" s="1755">
        <f>+IFERROR(VLOOKUP(PL$6&amp;"-"&amp;$M18&amp;"_old",Ammortamento_Finanziario!$H:$L,5,FALSE),VLOOKUP($M18,TT_Tabelle_Riferimento!$H$31:$I$50,2,FALSE))</f>
        <v>10</v>
      </c>
      <c r="PM18" s="1755">
        <f>+IFERROR(VLOOKUP(PM$6&amp;"-"&amp;$M18&amp;"_old",Ammortamento_Finanziario!$H:$L,5,FALSE),VLOOKUP($M18,TT_Tabelle_Riferimento!$H$31:$I$50,2,FALSE))</f>
        <v>10</v>
      </c>
      <c r="PN18" s="1755">
        <f>+IFERROR(VLOOKUP(PN$6&amp;"-"&amp;$M18&amp;"_old",Ammortamento_Finanziario!$H:$L,5,FALSE),VLOOKUP($M18,TT_Tabelle_Riferimento!$H$31:$I$50,2,FALSE))</f>
        <v>10</v>
      </c>
      <c r="PO18" s="1078">
        <f>+IFERROR(VLOOKUP(PO$6&amp;"-"&amp;$M18&amp;"_old",Ammortamento_Finanziario!$H:$L,5,FALSE),VLOOKUP($M18,TT_Tabelle_Riferimento!$H$31:$I$50,2,FALSE))</f>
        <v>10</v>
      </c>
      <c r="PP18" s="1078">
        <f>+IFERROR(VLOOKUP(PP$6&amp;"-"&amp;$M18&amp;"_old",Ammortamento_Finanziario!$H:$L,5,FALSE),VLOOKUP($M18,TT_Tabelle_Riferimento!$H$31:$I$50,2,FALSE))</f>
        <v>10</v>
      </c>
      <c r="PQ18" s="1078">
        <f>+IFERROR(VLOOKUP(PQ$6&amp;"-"&amp;$M18&amp;"_old",Ammortamento_Finanziario!$H:$L,5,FALSE),VLOOKUP($M18,TT_Tabelle_Riferimento!$H$31:$I$50,2,FALSE))</f>
        <v>10</v>
      </c>
      <c r="PR18" s="1078">
        <f>+IFERROR(VLOOKUP(PR$6&amp;"-"&amp;$M18&amp;"_old",Ammortamento_Finanziario!$H:$L,5,FALSE),VLOOKUP($M18,TT_Tabelle_Riferimento!$H$31:$I$50,2,FALSE))</f>
        <v>10</v>
      </c>
      <c r="PS18" s="1078">
        <f>+IFERROR(VLOOKUP(PS$6&amp;"-"&amp;$M18&amp;"_old",Ammortamento_Finanziario!$H:$L,5,FALSE),VLOOKUP($M18,TT_Tabelle_Riferimento!$H$31:$I$50,2,FALSE))</f>
        <v>10</v>
      </c>
      <c r="PT18" s="1078">
        <f>+IFERROR(VLOOKUP(PT$6&amp;"-"&amp;$M18&amp;"_old",Ammortamento_Finanziario!$H:$L,5,FALSE),VLOOKUP($M18,TT_Tabelle_Riferimento!$H$31:$I$50,2,FALSE))</f>
        <v>10</v>
      </c>
      <c r="PU18" s="1078">
        <f>+IFERROR(VLOOKUP(PU$6&amp;"-"&amp;$M18&amp;"_old",Ammortamento_Finanziario!$H:$L,5,FALSE),VLOOKUP($M18,TT_Tabelle_Riferimento!$H$31:$I$50,2,FALSE))</f>
        <v>10</v>
      </c>
      <c r="PV18" s="1078">
        <f>+IFERROR(VLOOKUP(PV$6&amp;"-"&amp;$M18&amp;"_old",Ammortamento_Finanziario!$H:$L,5,FALSE),VLOOKUP($M18,TT_Tabelle_Riferimento!$H$31:$I$50,2,FALSE))</f>
        <v>10</v>
      </c>
      <c r="PW18" s="1078">
        <f>+IFERROR(VLOOKUP(PW$6&amp;"-"&amp;$M18&amp;"_old",Ammortamento_Finanziario!$H:$L,5,FALSE),VLOOKUP($M18,TT_Tabelle_Riferimento!$H$31:$I$50,2,FALSE))</f>
        <v>10</v>
      </c>
      <c r="PX18" s="1078">
        <f>+IFERROR(VLOOKUP(PX$6&amp;"-"&amp;$M18&amp;"_old",Ammortamento_Finanziario!$H:$L,5,FALSE),VLOOKUP($M18,TT_Tabelle_Riferimento!$H$31:$I$50,2,FALSE))</f>
        <v>10</v>
      </c>
      <c r="PY18" s="1078">
        <f>+IFERROR(VLOOKUP(PY$6&amp;"-"&amp;$M18&amp;"_old",Ammortamento_Finanziario!$H:$L,5,FALSE),VLOOKUP($M18,TT_Tabelle_Riferimento!$H$31:$I$50,2,FALSE))</f>
        <v>10</v>
      </c>
      <c r="PZ18" s="1078">
        <f>+IFERROR(VLOOKUP(PZ$6&amp;"-"&amp;$M18&amp;"_old",Ammortamento_Finanziario!$H:$L,5,FALSE),VLOOKUP($M18,TT_Tabelle_Riferimento!$H$31:$I$50,2,FALSE))</f>
        <v>10</v>
      </c>
      <c r="QA18" s="1078">
        <f>+IFERROR(VLOOKUP(QA$6&amp;"-"&amp;$M18&amp;"_old",Ammortamento_Finanziario!$H:$L,5,FALSE),VLOOKUP($M18,TT_Tabelle_Riferimento!$H$31:$I$50,2,FALSE))</f>
        <v>10</v>
      </c>
      <c r="QB18" s="1078">
        <f>+IFERROR(VLOOKUP(QB$6&amp;"-"&amp;$M18&amp;"_old",Ammortamento_Finanziario!$H:$L,5,FALSE),VLOOKUP($M18,TT_Tabelle_Riferimento!$H$31:$I$50,2,FALSE))</f>
        <v>10</v>
      </c>
      <c r="QC18" s="1078">
        <f>+IFERROR(VLOOKUP(QC$6&amp;"-"&amp;$M18&amp;"_old",Ammortamento_Finanziario!$H:$L,5,FALSE),VLOOKUP($M18,TT_Tabelle_Riferimento!$H$31:$I$50,2,FALSE))</f>
        <v>10</v>
      </c>
      <c r="QD18" s="1078">
        <f>+IFERROR(VLOOKUP(QD$6&amp;"-"&amp;$M18&amp;"_old",Ammortamento_Finanziario!$H:$L,5,FALSE),VLOOKUP($M18,TT_Tabelle_Riferimento!$H$31:$I$50,2,FALSE))</f>
        <v>10</v>
      </c>
      <c r="QE18" s="1078">
        <f>+IFERROR(VLOOKUP(QE$6&amp;"-"&amp;$M18&amp;"_old",Ammortamento_Finanziario!$H:$L,5,FALSE),VLOOKUP($M18,TT_Tabelle_Riferimento!$H$31:$I$50,2,FALSE))</f>
        <v>10</v>
      </c>
      <c r="QF18" s="1078">
        <f>+IFERROR(VLOOKUP(QF$6&amp;"-"&amp;$M18&amp;"_old",Ammortamento_Finanziario!$H:$L,5,FALSE),VLOOKUP($M18,TT_Tabelle_Riferimento!$H$31:$I$50,2,FALSE))</f>
        <v>10</v>
      </c>
      <c r="QG18" s="1078">
        <f>+IFERROR(VLOOKUP(QG$6&amp;"-"&amp;$M18&amp;"_old",Ammortamento_Finanziario!$H:$L,5,FALSE),VLOOKUP($M18,TT_Tabelle_Riferimento!$H$31:$I$50,2,FALSE))</f>
        <v>10</v>
      </c>
      <c r="QH18" s="1755">
        <f>+IFERROR(VLOOKUP(QH$6&amp;"-"&amp;$M18&amp;"_old",Ammortamento_Finanziario!$H:$L,5,FALSE),VLOOKUP($M18,TT_Tabelle_Riferimento!$H$31:$I$50,2,FALSE))</f>
        <v>10</v>
      </c>
      <c r="QI18" s="1755">
        <f>+IFERROR(VLOOKUP(QI$6&amp;"-"&amp;$M18&amp;"_old",Ammortamento_Finanziario!$H:$L,5,FALSE),VLOOKUP($M18,TT_Tabelle_Riferimento!$H$31:$I$50,2,FALSE))</f>
        <v>10</v>
      </c>
      <c r="QJ18" s="1078">
        <f>+IFERROR(VLOOKUP(QJ$6&amp;"-"&amp;$M18&amp;"_old",Ammortamento_Finanziario!$H:$L,5,FALSE),VLOOKUP($M18,TT_Tabelle_Riferimento!$H$31:$I$50,2,FALSE))</f>
        <v>10</v>
      </c>
      <c r="QK18" s="1078">
        <f>+IFERROR(VLOOKUP(QK$6&amp;"-"&amp;$M18&amp;"_old",Ammortamento_Finanziario!$H:$L,5,FALSE),VLOOKUP($M18,TT_Tabelle_Riferimento!$H$31:$I$50,2,FALSE))</f>
        <v>10</v>
      </c>
      <c r="QL18" s="1078">
        <f>+IFERROR(VLOOKUP(QL$6&amp;"-"&amp;$M18&amp;"_old",Ammortamento_Finanziario!$H:$L,5,FALSE),VLOOKUP($M18,TT_Tabelle_Riferimento!$H$31:$I$50,2,FALSE))</f>
        <v>10</v>
      </c>
      <c r="QM18" s="1078">
        <f>+IFERROR(VLOOKUP(QM$6&amp;"-"&amp;$M18&amp;"_old",Ammortamento_Finanziario!$H:$L,5,FALSE),VLOOKUP($M18,TT_Tabelle_Riferimento!$H$31:$I$50,2,FALSE))</f>
        <v>10</v>
      </c>
      <c r="QN18" s="1078">
        <f>+IFERROR(VLOOKUP(QN$6&amp;"-"&amp;$M18&amp;"_old",Ammortamento_Finanziario!$H:$L,5,FALSE),VLOOKUP($M18,TT_Tabelle_Riferimento!$H$31:$I$50,2,FALSE))</f>
        <v>10</v>
      </c>
      <c r="QO18" s="1078">
        <f>+IFERROR(VLOOKUP(QO$6&amp;"-"&amp;$M18&amp;"_old",Ammortamento_Finanziario!$H:$L,5,FALSE),VLOOKUP($M18,TT_Tabelle_Riferimento!$H$31:$I$50,2,FALSE))</f>
        <v>10</v>
      </c>
      <c r="QP18" s="1078">
        <f>+IFERROR(VLOOKUP(QP$6&amp;"-"&amp;$M18&amp;"_old",Ammortamento_Finanziario!$H:$L,5,FALSE),VLOOKUP($M18,TT_Tabelle_Riferimento!$H$31:$I$50,2,FALSE))</f>
        <v>10</v>
      </c>
      <c r="QQ18" s="1078">
        <f>+IFERROR(VLOOKUP(QQ$6&amp;"-"&amp;$M18&amp;"_old",Ammortamento_Finanziario!$H:$L,5,FALSE),VLOOKUP($M18,TT_Tabelle_Riferimento!$H$31:$I$50,2,FALSE))</f>
        <v>10</v>
      </c>
      <c r="QR18" s="1078">
        <f>+IFERROR(VLOOKUP(QR$6&amp;"-"&amp;$M18&amp;"_old",Ammortamento_Finanziario!$H:$L,5,FALSE),VLOOKUP($M18,TT_Tabelle_Riferimento!$H$31:$I$50,2,FALSE))</f>
        <v>10</v>
      </c>
      <c r="QS18" s="1078">
        <f>+IFERROR(VLOOKUP(QS$6&amp;"-"&amp;$M18&amp;"_old",Ammortamento_Finanziario!$H:$L,5,FALSE),VLOOKUP($M18,TT_Tabelle_Riferimento!$H$31:$I$50,2,FALSE))</f>
        <v>10</v>
      </c>
      <c r="QT18" s="1078">
        <f>+IFERROR(VLOOKUP(QT$6&amp;"-"&amp;$M18&amp;"_old",Ammortamento_Finanziario!$H:$L,5,FALSE),VLOOKUP($M18,TT_Tabelle_Riferimento!$H$31:$I$50,2,FALSE))</f>
        <v>10</v>
      </c>
      <c r="QU18" s="1078">
        <f>+IFERROR(VLOOKUP(QU$6&amp;"-"&amp;$M18&amp;"_old",Ammortamento_Finanziario!$H:$L,5,FALSE),VLOOKUP($M18,TT_Tabelle_Riferimento!$H$31:$I$50,2,FALSE))</f>
        <v>10</v>
      </c>
      <c r="QV18" s="1078">
        <f>+IFERROR(VLOOKUP(QV$6&amp;"-"&amp;$M18&amp;"_old",Ammortamento_Finanziario!$H:$L,5,FALSE),VLOOKUP($M18,TT_Tabelle_Riferimento!$H$31:$I$50,2,FALSE))</f>
        <v>10</v>
      </c>
      <c r="QW18" s="1078">
        <f>+IFERROR(VLOOKUP(QW$6&amp;"-"&amp;$M18&amp;"_old",Ammortamento_Finanziario!$H:$L,5,FALSE),VLOOKUP($M18,TT_Tabelle_Riferimento!$H$31:$I$50,2,FALSE))</f>
        <v>10</v>
      </c>
      <c r="QX18" s="1078">
        <f>+IFERROR(VLOOKUP(QX$6&amp;"-"&amp;$M18&amp;"_old",Ammortamento_Finanziario!$H:$L,5,FALSE),VLOOKUP($M18,TT_Tabelle_Riferimento!$H$31:$I$50,2,FALSE))</f>
        <v>10</v>
      </c>
      <c r="QY18" s="1078">
        <f>+IFERROR(VLOOKUP(QY$6&amp;"-"&amp;$M18&amp;"_old",Ammortamento_Finanziario!$H:$L,5,FALSE),VLOOKUP($M18,TT_Tabelle_Riferimento!$H$31:$I$50,2,FALSE))</f>
        <v>10</v>
      </c>
      <c r="QZ18" s="1078">
        <f>+IFERROR(VLOOKUP(QZ$6&amp;"-"&amp;$M18&amp;"_old",Ammortamento_Finanziario!$H:$L,5,FALSE),VLOOKUP($M18,TT_Tabelle_Riferimento!$H$31:$I$50,2,FALSE))</f>
        <v>10</v>
      </c>
      <c r="RA18" s="1078">
        <f>+IFERROR(VLOOKUP(RA$6&amp;"-"&amp;$M18&amp;"_old",Ammortamento_Finanziario!$H:$L,5,FALSE),VLOOKUP($M18,TT_Tabelle_Riferimento!$H$31:$I$50,2,FALSE))</f>
        <v>10</v>
      </c>
      <c r="RB18" s="1078">
        <f>+IFERROR(VLOOKUP(RB$6&amp;"-"&amp;$M18&amp;"_old",Ammortamento_Finanziario!$H:$L,5,FALSE),VLOOKUP($M18,TT_Tabelle_Riferimento!$H$31:$I$50,2,FALSE))</f>
        <v>10</v>
      </c>
      <c r="RC18" s="1755">
        <f>+IFERROR(VLOOKUP(RC$6&amp;"-"&amp;$M18&amp;"_old",Ammortamento_Finanziario!$H:$L,5,FALSE),VLOOKUP($M18,TT_Tabelle_Riferimento!$H$31:$I$50,2,FALSE))</f>
        <v>10</v>
      </c>
      <c r="RD18" s="1078">
        <f>+IFERROR(VLOOKUP(RD$6&amp;"-"&amp;$M18&amp;"_old",Ammortamento_Finanziario!$H:$L,5,FALSE),VLOOKUP($M18,TT_Tabelle_Riferimento!$H$31:$I$50,2,FALSE))</f>
        <v>10</v>
      </c>
      <c r="RE18" s="1078">
        <f>+IFERROR(VLOOKUP(RE$6&amp;"-"&amp;$M18&amp;"_old",Ammortamento_Finanziario!$H:$L,5,FALSE),VLOOKUP($M18,TT_Tabelle_Riferimento!$H$31:$I$50,2,FALSE))</f>
        <v>10</v>
      </c>
      <c r="RF18" s="1078">
        <f>+IFERROR(VLOOKUP(RF$6&amp;"-"&amp;$M18&amp;"_old",Ammortamento_Finanziario!$H:$L,5,FALSE),VLOOKUP($M18,TT_Tabelle_Riferimento!$H$31:$I$50,2,FALSE))</f>
        <v>10</v>
      </c>
      <c r="RG18" s="1078">
        <f>+IFERROR(VLOOKUP(RG$6&amp;"-"&amp;$M18&amp;"_old",Ammortamento_Finanziario!$H:$L,5,FALSE),VLOOKUP($M18,TT_Tabelle_Riferimento!$H$31:$I$50,2,FALSE))</f>
        <v>10</v>
      </c>
      <c r="RH18" s="1078">
        <f>+IFERROR(VLOOKUP(RH$6&amp;"-"&amp;$M18&amp;"_old",Ammortamento_Finanziario!$H:$L,5,FALSE),VLOOKUP($M18,TT_Tabelle_Riferimento!$H$31:$I$50,2,FALSE))</f>
        <v>10</v>
      </c>
      <c r="RI18" s="1078">
        <f>+IFERROR(VLOOKUP(RI$6&amp;"-"&amp;$M18&amp;"_old",Ammortamento_Finanziario!$H:$L,5,FALSE),VLOOKUP($M18,TT_Tabelle_Riferimento!$H$31:$I$50,2,FALSE))</f>
        <v>10</v>
      </c>
      <c r="RJ18" s="1078">
        <f>+IFERROR(VLOOKUP(RJ$6&amp;"-"&amp;$M18&amp;"_old",Ammortamento_Finanziario!$H:$L,5,FALSE),VLOOKUP($M18,TT_Tabelle_Riferimento!$H$31:$I$50,2,FALSE))</f>
        <v>10</v>
      </c>
      <c r="RK18" s="1078">
        <f>+IFERROR(VLOOKUP(RK$6&amp;"-"&amp;$M18&amp;"_old",Ammortamento_Finanziario!$H:$L,5,FALSE),VLOOKUP($M18,TT_Tabelle_Riferimento!$H$31:$I$50,2,FALSE))</f>
        <v>10</v>
      </c>
      <c r="RL18" s="1078">
        <f>+IFERROR(VLOOKUP(RL$6&amp;"-"&amp;$M18&amp;"_old",Ammortamento_Finanziario!$H:$L,5,FALSE),VLOOKUP($M18,TT_Tabelle_Riferimento!$H$31:$I$50,2,FALSE))</f>
        <v>10</v>
      </c>
      <c r="RM18" s="1078">
        <f>+IFERROR(VLOOKUP(RM$6&amp;"-"&amp;$M18&amp;"_old",Ammortamento_Finanziario!$H:$L,5,FALSE),VLOOKUP($M18,TT_Tabelle_Riferimento!$H$31:$I$50,2,FALSE))</f>
        <v>10</v>
      </c>
      <c r="RN18" s="1078">
        <f>+IFERROR(VLOOKUP(RN$6&amp;"-"&amp;$M18&amp;"_old",Ammortamento_Finanziario!$H:$L,5,FALSE),VLOOKUP($M18,TT_Tabelle_Riferimento!$H$31:$I$50,2,FALSE))</f>
        <v>10</v>
      </c>
      <c r="RO18" s="1078">
        <f>+IFERROR(VLOOKUP(RO$6&amp;"-"&amp;$M18&amp;"_old",Ammortamento_Finanziario!$H:$L,5,FALSE),VLOOKUP($M18,TT_Tabelle_Riferimento!$H$31:$I$50,2,FALSE))</f>
        <v>10</v>
      </c>
      <c r="RP18" s="1078">
        <f>+IFERROR(VLOOKUP(RP$6&amp;"-"&amp;$M18&amp;"_old",Ammortamento_Finanziario!$H:$L,5,FALSE),VLOOKUP($M18,TT_Tabelle_Riferimento!$H$31:$I$50,2,FALSE))</f>
        <v>10</v>
      </c>
      <c r="RQ18" s="1078">
        <f>+IFERROR(VLOOKUP(RQ$6&amp;"-"&amp;$M18&amp;"_old",Ammortamento_Finanziario!$H:$L,5,FALSE),VLOOKUP($M18,TT_Tabelle_Riferimento!$H$31:$I$50,2,FALSE))</f>
        <v>10</v>
      </c>
      <c r="RR18" s="1078">
        <f>+IFERROR(VLOOKUP(RR$6&amp;"-"&amp;$M18&amp;"_old",Ammortamento_Finanziario!$H:$L,5,FALSE),VLOOKUP($M18,TT_Tabelle_Riferimento!$H$31:$I$50,2,FALSE))</f>
        <v>10</v>
      </c>
      <c r="RS18" s="1078">
        <f>+IFERROR(VLOOKUP(RS$6&amp;"-"&amp;$M18&amp;"_old",Ammortamento_Finanziario!$H:$L,5,FALSE),VLOOKUP($M18,TT_Tabelle_Riferimento!$H$31:$I$50,2,FALSE))</f>
        <v>10</v>
      </c>
      <c r="RT18" s="1078">
        <f>+IFERROR(VLOOKUP(RT$6&amp;"-"&amp;$M18&amp;"_old",Ammortamento_Finanziario!$H:$L,5,FALSE),VLOOKUP($M18,TT_Tabelle_Riferimento!$H$31:$I$50,2,FALSE))</f>
        <v>10</v>
      </c>
      <c r="RU18" s="1078">
        <f>+IFERROR(VLOOKUP(RU$6&amp;"-"&amp;$M18&amp;"_old",Ammortamento_Finanziario!$H:$L,5,FALSE),VLOOKUP($M18,TT_Tabelle_Riferimento!$H$31:$I$50,2,FALSE))</f>
        <v>10</v>
      </c>
      <c r="RV18" s="1078">
        <f>+IFERROR(VLOOKUP(RV$6&amp;"-"&amp;$M18&amp;"_old",Ammortamento_Finanziario!$H:$L,5,FALSE),VLOOKUP($M18,TT_Tabelle_Riferimento!$H$31:$I$50,2,FALSE))</f>
        <v>10</v>
      </c>
    </row>
    <row r="19" spans="4:490">
      <c r="D19" s="135" t="s">
        <v>224</v>
      </c>
      <c r="E19" s="1264">
        <f>+SUMIFS(IMN_gestore!Q:Q,IMN_gestore!$E:$E,"&gt;="&amp;2012,IMN_gestore!$E:$E,"&lt;="&amp;2022)</f>
        <v>0</v>
      </c>
      <c r="F19" s="1264">
        <f>+SUMIFS(IMN_gestore!AB:AB,IMN_gestore!$E:$E,"&gt;="&amp;2012,IMN_gestore!$E:$E,"&lt;="&amp;2023)</f>
        <v>0</v>
      </c>
      <c r="G19" s="1264">
        <f>+SUMIFS(IMN_gestore!AM:AM,IMN_gestore!$E:$E,"&gt;="&amp;2012,IMN_gestore!$E:$E,"&lt;="&amp;2024)</f>
        <v>0</v>
      </c>
      <c r="H19" s="1264">
        <f>+SUMIFS(IMN_gestore!AX:AX,IMN_gestore!$E:$E,"&gt;="&amp;2012,IMN_gestore!$E:$E,"&lt;="&amp;2025)</f>
        <v>0</v>
      </c>
      <c r="I19" s="1264">
        <f>+SUMIFS(IMN_gestore!$BI:$BI,IMN_gestore!$E:$E,"&gt;="&amp;2012,IMN_gestore!$E:$E,"&lt;="&amp;2026)</f>
        <v>0</v>
      </c>
      <c r="J19" s="1264">
        <f>+SUMIFS(IMN_gestore!$BT:$BT,IMN_gestore!$E:$E,"&gt;="&amp;2012,IMN_gestore!$E:$E,"&lt;="&amp;2027)</f>
        <v>0</v>
      </c>
      <c r="K19" s="136"/>
      <c r="L19" s="125"/>
      <c r="M19" s="423">
        <v>13</v>
      </c>
      <c r="N19" s="904">
        <f>+IFERROR(VLOOKUP(N$6&amp;"-"&amp;$M19&amp;"_old",Ammortamento_Finanziario!$H:$L,5,FALSE),VLOOKUP($M19,TT_Tabelle_Riferimento!$H$31:$I$50,2,FALSE))</f>
        <v>8</v>
      </c>
      <c r="O19" s="904">
        <f>+IFERROR(VLOOKUP(O$6&amp;"-"&amp;$M19&amp;"_old",Ammortamento_Finanziario!$H:$L,5,FALSE),VLOOKUP($M19,TT_Tabelle_Riferimento!$H$31:$I$50,2,FALSE))</f>
        <v>8</v>
      </c>
      <c r="P19" s="904">
        <f>+IFERROR(VLOOKUP(P$6&amp;"-"&amp;$M19&amp;"_old",Ammortamento_Finanziario!$H:$L,5,FALSE),VLOOKUP($M19,TT_Tabelle_Riferimento!$H$31:$I$50,2,FALSE))</f>
        <v>8</v>
      </c>
      <c r="Q19" s="904">
        <f>+IFERROR(VLOOKUP(Q$6&amp;"-"&amp;$M19&amp;"_old",Ammortamento_Finanziario!$H:$L,5,FALSE),VLOOKUP($M19,TT_Tabelle_Riferimento!$H$31:$I$50,2,FALSE))</f>
        <v>8</v>
      </c>
      <c r="R19" s="904">
        <f>+IFERROR(VLOOKUP(R$6&amp;"-"&amp;$M19&amp;"_old",Ammortamento_Finanziario!$H:$L,5,FALSE),VLOOKUP($M19,TT_Tabelle_Riferimento!$H$31:$I$50,2,FALSE))</f>
        <v>8</v>
      </c>
      <c r="S19" s="904">
        <f>+IFERROR(VLOOKUP(S$6&amp;"-"&amp;$M19&amp;"_old",Ammortamento_Finanziario!$H:$L,5,FALSE),VLOOKUP($M19,TT_Tabelle_Riferimento!$H$31:$I$50,2,FALSE))</f>
        <v>8</v>
      </c>
      <c r="T19" s="904">
        <f>+IFERROR(VLOOKUP(T$6&amp;"-"&amp;$M19&amp;"_old",Ammortamento_Finanziario!$H:$L,5,FALSE),VLOOKUP($M19,TT_Tabelle_Riferimento!$H$31:$I$50,2,FALSE))</f>
        <v>8</v>
      </c>
      <c r="U19" s="904">
        <f>+IFERROR(VLOOKUP(U$6&amp;"-"&amp;$M19&amp;"_old",Ammortamento_Finanziario!$H:$L,5,FALSE),VLOOKUP($M19,TT_Tabelle_Riferimento!$H$31:$I$50,2,FALSE))</f>
        <v>8</v>
      </c>
      <c r="V19" s="904">
        <f>+IFERROR(VLOOKUP(V$6&amp;"-"&amp;$M19&amp;"_old",Ammortamento_Finanziario!$H:$L,5,FALSE),VLOOKUP($M19,TT_Tabelle_Riferimento!$H$31:$I$50,2,FALSE))</f>
        <v>8</v>
      </c>
      <c r="W19" s="904">
        <f>+IFERROR(VLOOKUP(W$6&amp;"-"&amp;$M19&amp;"_old",Ammortamento_Finanziario!$H:$L,5,FALSE),VLOOKUP($M19,TT_Tabelle_Riferimento!$H$31:$I$50,2,FALSE))</f>
        <v>8</v>
      </c>
      <c r="X19" s="1739">
        <f>+IFERROR(VLOOKUP(X$6&amp;"-"&amp;$M19&amp;"_old",Ammortamento_Finanziario!$H:$L,5,FALSE),VLOOKUP($M19,TT_Tabelle_Riferimento!$H$31:$I$50,2,FALSE))</f>
        <v>8</v>
      </c>
      <c r="Y19" s="1739">
        <f>+IFERROR(VLOOKUP(Y$6&amp;"-"&amp;$M19&amp;"_old",Ammortamento_Finanziario!$H:$L,5,FALSE),VLOOKUP($M19,TT_Tabelle_Riferimento!$H$31:$I$50,2,FALSE))</f>
        <v>8</v>
      </c>
      <c r="Z19" s="1749">
        <f>+IFERROR(VLOOKUP(Z$6&amp;"-"&amp;$M19&amp;"_old",Ammortamento_Finanziario!$H:$L,5,FALSE),VLOOKUP($M19,TT_Tabelle_Riferimento!$H$31:$I$50,2,FALSE))</f>
        <v>8</v>
      </c>
      <c r="AA19" s="1749">
        <f>+IFERROR(VLOOKUP(AA$6&amp;"-"&amp;$M19&amp;"_old",Ammortamento_Finanziario!$H:$L,5,FALSE),VLOOKUP($M19,TT_Tabelle_Riferimento!$H$31:$I$50,2,FALSE))</f>
        <v>8</v>
      </c>
      <c r="AB19" s="1749">
        <f>+IFERROR(VLOOKUP(AB$6&amp;"-"&amp;$M19&amp;"_old",Ammortamento_Finanziario!$H:$L,5,FALSE),VLOOKUP($M19,TT_Tabelle_Riferimento!$H$31:$I$50,2,FALSE))</f>
        <v>8</v>
      </c>
      <c r="AC19" s="1749">
        <f>+IFERROR(VLOOKUP(AC$6&amp;"-"&amp;$M19&amp;"_old",Ammortamento_Finanziario!$H:$L,5,FALSE),VLOOKUP($M19,TT_Tabelle_Riferimento!$H$31:$I$50,2,FALSE))</f>
        <v>8</v>
      </c>
      <c r="AD19" s="1749">
        <f>+IFERROR(VLOOKUP(AD$6&amp;"-"&amp;$M19&amp;"_old",Ammortamento_Finanziario!$H:$L,5,FALSE),VLOOKUP($M19,TT_Tabelle_Riferimento!$H$31:$I$50,2,FALSE))</f>
        <v>8</v>
      </c>
      <c r="AE19" s="1749">
        <f>+IFERROR(VLOOKUP(AE$6&amp;"-"&amp;$M19&amp;"_old",Ammortamento_Finanziario!$H:$L,5,FALSE),VLOOKUP($M19,TT_Tabelle_Riferimento!$H$31:$I$50,2,FALSE))</f>
        <v>8</v>
      </c>
      <c r="AF19" s="625">
        <f>+IFERROR(VLOOKUP(AF$6&amp;"-"&amp;$M19&amp;"_old",Ammortamento_Finanziario!$H:$L,5,FALSE),VLOOKUP($M19,TT_Tabelle_Riferimento!$H$31:$I$50,2,FALSE))</f>
        <v>8</v>
      </c>
      <c r="AG19" s="625">
        <f>+IFERROR(VLOOKUP(AG$6&amp;"-"&amp;$M19&amp;"_old",Ammortamento_Finanziario!$H:$L,5,FALSE),VLOOKUP($M19,TT_Tabelle_Riferimento!$H$31:$I$50,2,FALSE))</f>
        <v>8</v>
      </c>
      <c r="AH19" s="625">
        <f>+IFERROR(VLOOKUP(AH$6&amp;"-"&amp;$M19&amp;"_old",Ammortamento_Finanziario!$H:$L,5,FALSE),VLOOKUP($M19,TT_Tabelle_Riferimento!$H$31:$I$50,2,FALSE))</f>
        <v>8</v>
      </c>
      <c r="AI19" s="625">
        <f>+IFERROR(VLOOKUP(AI$6&amp;"-"&amp;$M19&amp;"_old",Ammortamento_Finanziario!$H:$L,5,FALSE),VLOOKUP($M19,TT_Tabelle_Riferimento!$H$31:$I$50,2,FALSE))</f>
        <v>8</v>
      </c>
      <c r="AJ19" s="625">
        <f>+IFERROR(VLOOKUP(AJ$6&amp;"-"&amp;$M19&amp;"_old",Ammortamento_Finanziario!$H:$L,5,FALSE),VLOOKUP($M19,TT_Tabelle_Riferimento!$H$31:$I$50,2,FALSE))</f>
        <v>8</v>
      </c>
      <c r="AK19" s="625">
        <f>+IFERROR(VLOOKUP(AK$6&amp;"-"&amp;$M19&amp;"_old",Ammortamento_Finanziario!$H:$L,5,FALSE),VLOOKUP($M19,TT_Tabelle_Riferimento!$H$31:$I$50,2,FALSE))</f>
        <v>8</v>
      </c>
      <c r="AL19" s="625">
        <f>+IFERROR(VLOOKUP(AL$6&amp;"-"&amp;$M19&amp;"_old",Ammortamento_Finanziario!$H:$L,5,FALSE),VLOOKUP($M19,TT_Tabelle_Riferimento!$H$31:$I$50,2,FALSE))</f>
        <v>8</v>
      </c>
      <c r="AM19" s="625">
        <f>+IFERROR(VLOOKUP(AM$6&amp;"-"&amp;$M19&amp;"_old",Ammortamento_Finanziario!$H:$L,5,FALSE),VLOOKUP($M19,TT_Tabelle_Riferimento!$H$31:$I$50,2,FALSE))</f>
        <v>8</v>
      </c>
      <c r="AN19" s="625">
        <f>+IFERROR(VLOOKUP(AN$6&amp;"-"&amp;$M19&amp;"_old",Ammortamento_Finanziario!$H:$L,5,FALSE),VLOOKUP($M19,TT_Tabelle_Riferimento!$H$31:$I$50,2,FALSE))</f>
        <v>8</v>
      </c>
      <c r="AO19" s="625">
        <f>+IFERROR(VLOOKUP(AO$6&amp;"-"&amp;$M19&amp;"_old",Ammortamento_Finanziario!$H:$L,5,FALSE),VLOOKUP($M19,TT_Tabelle_Riferimento!$H$31:$I$50,2,FALSE))</f>
        <v>8</v>
      </c>
      <c r="AP19" s="625">
        <f>+IFERROR(VLOOKUP(AP$6&amp;"-"&amp;$M19&amp;"_old",Ammortamento_Finanziario!$H:$L,5,FALSE),VLOOKUP($M19,TT_Tabelle_Riferimento!$H$31:$I$50,2,FALSE))</f>
        <v>8</v>
      </c>
      <c r="AQ19" s="625">
        <f>+IFERROR(VLOOKUP(AQ$6&amp;"-"&amp;$M19&amp;"_old",Ammortamento_Finanziario!$H:$L,5,FALSE),VLOOKUP($M19,TT_Tabelle_Riferimento!$H$31:$I$50,2,FALSE))</f>
        <v>8</v>
      </c>
      <c r="AR19" s="625">
        <f>+IFERROR(VLOOKUP(AR$6&amp;"-"&amp;$M19&amp;"_old",Ammortamento_Finanziario!$H:$L,5,FALSE),VLOOKUP($M19,TT_Tabelle_Riferimento!$H$31:$I$50,2,FALSE))</f>
        <v>8</v>
      </c>
      <c r="AS19" s="625">
        <f>+IFERROR(VLOOKUP(AS$6&amp;"-"&amp;$M19&amp;"_old",Ammortamento_Finanziario!$H:$L,5,FALSE),VLOOKUP($M19,TT_Tabelle_Riferimento!$H$31:$I$50,2,FALSE))</f>
        <v>8</v>
      </c>
      <c r="AT19" s="625">
        <f>+IFERROR(VLOOKUP(AT$6&amp;"-"&amp;$M19&amp;"_old",Ammortamento_Finanziario!$H:$L,5,FALSE),VLOOKUP($M19,TT_Tabelle_Riferimento!$H$31:$I$50,2,FALSE))</f>
        <v>8</v>
      </c>
      <c r="AU19" s="625">
        <f>+IFERROR(VLOOKUP(AU$6&amp;"-"&amp;$M19&amp;"_old",Ammortamento_Finanziario!$H:$L,5,FALSE),VLOOKUP($M19,TT_Tabelle_Riferimento!$H$31:$I$50,2,FALSE))</f>
        <v>8</v>
      </c>
      <c r="AV19" s="625">
        <f>+IFERROR(VLOOKUP(AV$6&amp;"-"&amp;$M19&amp;"_old",Ammortamento_Finanziario!$H:$L,5,FALSE),VLOOKUP($M19,TT_Tabelle_Riferimento!$H$31:$I$50,2,FALSE))</f>
        <v>8</v>
      </c>
      <c r="AW19" s="625">
        <f>+IFERROR(VLOOKUP(AW$6&amp;"-"&amp;$M19&amp;"_old",Ammortamento_Finanziario!$H:$L,5,FALSE),VLOOKUP($M19,TT_Tabelle_Riferimento!$H$31:$I$50,2,FALSE))</f>
        <v>8</v>
      </c>
      <c r="AX19" s="625">
        <f>+IFERROR(VLOOKUP(AX$6&amp;"-"&amp;$M19&amp;"_old",Ammortamento_Finanziario!$H:$L,5,FALSE),VLOOKUP($M19,TT_Tabelle_Riferimento!$H$31:$I$50,2,FALSE))</f>
        <v>8</v>
      </c>
      <c r="AY19" s="905">
        <f>+IFERROR(VLOOKUP(AY$6&amp;"-"&amp;$M19&amp;"_old",Ammortamento_Finanziario!$H:$L,5,FALSE),VLOOKUP($M19,TT_Tabelle_Riferimento!$H$31:$I$50,2,FALSE))</f>
        <v>8</v>
      </c>
      <c r="AZ19" s="905">
        <f>+IFERROR(VLOOKUP(AZ$6&amp;"-"&amp;$M19&amp;"_old",Ammortamento_Finanziario!$H:$L,5,FALSE),VLOOKUP($M19,TT_Tabelle_Riferimento!$H$31:$I$50,2,FALSE))</f>
        <v>8</v>
      </c>
      <c r="BA19" s="905">
        <f>+IFERROR(VLOOKUP(BA$6&amp;"-"&amp;$M19&amp;"_old",Ammortamento_Finanziario!$H:$L,5,FALSE),VLOOKUP($M19,TT_Tabelle_Riferimento!$H$31:$I$50,2,FALSE))</f>
        <v>8</v>
      </c>
      <c r="BB19" s="905">
        <f>+IFERROR(VLOOKUP(BB$6&amp;"-"&amp;$M19&amp;"_old",Ammortamento_Finanziario!$H:$L,5,FALSE),VLOOKUP($M19,TT_Tabelle_Riferimento!$H$31:$I$50,2,FALSE))</f>
        <v>8</v>
      </c>
      <c r="BC19" s="905">
        <f>+IFERROR(VLOOKUP(BC$6&amp;"-"&amp;$M19&amp;"_old",Ammortamento_Finanziario!$H:$L,5,FALSE),VLOOKUP($M19,TT_Tabelle_Riferimento!$H$31:$I$50,2,FALSE))</f>
        <v>8</v>
      </c>
      <c r="BD19" s="905">
        <f>+IFERROR(VLOOKUP(BD$6&amp;"-"&amp;$M19&amp;"_old",Ammortamento_Finanziario!$H:$L,5,FALSE),VLOOKUP($M19,TT_Tabelle_Riferimento!$H$31:$I$50,2,FALSE))</f>
        <v>8</v>
      </c>
      <c r="BE19" s="905">
        <f>+IFERROR(VLOOKUP(BE$6&amp;"-"&amp;$M19&amp;"_old",Ammortamento_Finanziario!$H:$L,5,FALSE),VLOOKUP($M19,TT_Tabelle_Riferimento!$H$31:$I$50,2,FALSE))</f>
        <v>8</v>
      </c>
      <c r="BF19" s="905">
        <f>+IFERROR(VLOOKUP(BF$6&amp;"-"&amp;$M19&amp;"_old",Ammortamento_Finanziario!$H:$L,5,FALSE),VLOOKUP($M19,TT_Tabelle_Riferimento!$H$31:$I$50,2,FALSE))</f>
        <v>8</v>
      </c>
      <c r="BG19" s="1740">
        <f>+IFERROR(VLOOKUP(BG$6&amp;"-"&amp;$M19&amp;"_old",Ammortamento_Finanziario!$H:$L,5,FALSE),VLOOKUP($M19,TT_Tabelle_Riferimento!$H$31:$I$50,2,FALSE))</f>
        <v>8</v>
      </c>
      <c r="BH19" s="1740">
        <f>+IFERROR(VLOOKUP(BH$6&amp;"-"&amp;$M19&amp;"_old",Ammortamento_Finanziario!$H:$L,5,FALSE),VLOOKUP($M19,TT_Tabelle_Riferimento!$H$31:$I$50,2,FALSE))</f>
        <v>8</v>
      </c>
      <c r="BI19" s="1749">
        <f>+IFERROR(VLOOKUP(BI$6&amp;"-"&amp;$M19&amp;"_old",Ammortamento_Finanziario!$H:$L,5,FALSE),VLOOKUP($M19,TT_Tabelle_Riferimento!$H$31:$I$50,2,FALSE))</f>
        <v>8</v>
      </c>
      <c r="BJ19" s="1749">
        <f>+IFERROR(VLOOKUP(BJ$6&amp;"-"&amp;$M19&amp;"_old",Ammortamento_Finanziario!$H:$L,5,FALSE),VLOOKUP($M19,TT_Tabelle_Riferimento!$H$31:$I$50,2,FALSE))</f>
        <v>8</v>
      </c>
      <c r="BK19" s="1749">
        <f>+IFERROR(VLOOKUP(BK$6&amp;"-"&amp;$M19&amp;"_old",Ammortamento_Finanziario!$H:$L,5,FALSE),VLOOKUP($M19,TT_Tabelle_Riferimento!$H$31:$I$50,2,FALSE))</f>
        <v>8</v>
      </c>
      <c r="BL19" s="1749">
        <f>+IFERROR(VLOOKUP(BL$6&amp;"-"&amp;$M19&amp;"_old",Ammortamento_Finanziario!$H:$L,5,FALSE),VLOOKUP($M19,TT_Tabelle_Riferimento!$H$31:$I$50,2,FALSE))</f>
        <v>8</v>
      </c>
      <c r="BM19" s="1749">
        <f>+IFERROR(VLOOKUP(BM$6&amp;"-"&amp;$M19&amp;"_old",Ammortamento_Finanziario!$H:$L,5,FALSE),VLOOKUP($M19,TT_Tabelle_Riferimento!$H$31:$I$50,2,FALSE))</f>
        <v>8</v>
      </c>
      <c r="BN19" s="1749">
        <f>+IFERROR(VLOOKUP(BN$6&amp;"-"&amp;$M19&amp;"_old",Ammortamento_Finanziario!$H:$L,5,FALSE),VLOOKUP($M19,TT_Tabelle_Riferimento!$H$31:$I$50,2,FALSE))</f>
        <v>8</v>
      </c>
      <c r="BO19" s="625">
        <f>+IFERROR(VLOOKUP(BO$6&amp;"-"&amp;$M19&amp;"_old",Ammortamento_Finanziario!$H:$L,5,FALSE),VLOOKUP($M19,TT_Tabelle_Riferimento!$H$31:$I$50,2,FALSE))</f>
        <v>8</v>
      </c>
      <c r="BP19" s="625">
        <f>+IFERROR(VLOOKUP(BP$6&amp;"-"&amp;$M19&amp;"_old",Ammortamento_Finanziario!$H:$L,5,FALSE),VLOOKUP($M19,TT_Tabelle_Riferimento!$H$31:$I$50,2,FALSE))</f>
        <v>8</v>
      </c>
      <c r="BQ19" s="625">
        <f>+IFERROR(VLOOKUP(BQ$6&amp;"-"&amp;$M19&amp;"_old",Ammortamento_Finanziario!$H:$L,5,FALSE),VLOOKUP($M19,TT_Tabelle_Riferimento!$H$31:$I$50,2,FALSE))</f>
        <v>8</v>
      </c>
      <c r="BR19" s="625">
        <f>+IFERROR(VLOOKUP(BR$6&amp;"-"&amp;$M19&amp;"_old",Ammortamento_Finanziario!$H:$L,5,FALSE),VLOOKUP($M19,TT_Tabelle_Riferimento!$H$31:$I$50,2,FALSE))</f>
        <v>8</v>
      </c>
      <c r="BS19" s="625">
        <f>+IFERROR(VLOOKUP(BS$6&amp;"-"&amp;$M19&amp;"_old",Ammortamento_Finanziario!$H:$L,5,FALSE),VLOOKUP($M19,TT_Tabelle_Riferimento!$H$31:$I$50,2,FALSE))</f>
        <v>8</v>
      </c>
      <c r="BT19" s="625">
        <f>+IFERROR(VLOOKUP(BT$6&amp;"-"&amp;$M19&amp;"_old",Ammortamento_Finanziario!$H:$L,5,FALSE),VLOOKUP($M19,TT_Tabelle_Riferimento!$H$31:$I$50,2,FALSE))</f>
        <v>8</v>
      </c>
      <c r="BU19" s="625">
        <f>+IFERROR(VLOOKUP(BU$6&amp;"-"&amp;$M19&amp;"_old",Ammortamento_Finanziario!$H:$L,5,FALSE),VLOOKUP($M19,TT_Tabelle_Riferimento!$H$31:$I$50,2,FALSE))</f>
        <v>8</v>
      </c>
      <c r="BV19" s="625">
        <f>+IFERROR(VLOOKUP(BV$6&amp;"-"&amp;$M19&amp;"_old",Ammortamento_Finanziario!$H:$L,5,FALSE),VLOOKUP($M19,TT_Tabelle_Riferimento!$H$31:$I$50,2,FALSE))</f>
        <v>8</v>
      </c>
      <c r="BW19" s="625">
        <f>+IFERROR(VLOOKUP(BW$6&amp;"-"&amp;$M19&amp;"_old",Ammortamento_Finanziario!$H:$L,5,FALSE),VLOOKUP($M19,TT_Tabelle_Riferimento!$H$31:$I$50,2,FALSE))</f>
        <v>8</v>
      </c>
      <c r="BX19" s="625">
        <f>+IFERROR(VLOOKUP(BX$6&amp;"-"&amp;$M19&amp;"_old",Ammortamento_Finanziario!$H:$L,5,FALSE),VLOOKUP($M19,TT_Tabelle_Riferimento!$H$31:$I$50,2,FALSE))</f>
        <v>8</v>
      </c>
      <c r="BY19" s="625">
        <f>+IFERROR(VLOOKUP(BY$6&amp;"-"&amp;$M19&amp;"_old",Ammortamento_Finanziario!$H:$L,5,FALSE),VLOOKUP($M19,TT_Tabelle_Riferimento!$H$31:$I$50,2,FALSE))</f>
        <v>8</v>
      </c>
      <c r="BZ19" s="625">
        <f>+IFERROR(VLOOKUP(BZ$6&amp;"-"&amp;$M19&amp;"_old",Ammortamento_Finanziario!$H:$L,5,FALSE),VLOOKUP($M19,TT_Tabelle_Riferimento!$H$31:$I$50,2,FALSE))</f>
        <v>8</v>
      </c>
      <c r="CA19" s="625">
        <f>+IFERROR(VLOOKUP(CA$6&amp;"-"&amp;$M19&amp;"_old",Ammortamento_Finanziario!$H:$L,5,FALSE),VLOOKUP($M19,TT_Tabelle_Riferimento!$H$31:$I$50,2,FALSE))</f>
        <v>8</v>
      </c>
      <c r="CB19" s="625">
        <f>+IFERROR(VLOOKUP(CB$6&amp;"-"&amp;$M19&amp;"_old",Ammortamento_Finanziario!$H:$L,5,FALSE),VLOOKUP($M19,TT_Tabelle_Riferimento!$H$31:$I$50,2,FALSE))</f>
        <v>8</v>
      </c>
      <c r="CC19" s="625">
        <f>+IFERROR(VLOOKUP(CC$6&amp;"-"&amp;$M19&amp;"_old",Ammortamento_Finanziario!$H:$L,5,FALSE),VLOOKUP($M19,TT_Tabelle_Riferimento!$H$31:$I$50,2,FALSE))</f>
        <v>8</v>
      </c>
      <c r="CD19" s="625">
        <f>+IFERROR(VLOOKUP(CD$6&amp;"-"&amp;$M19&amp;"_old",Ammortamento_Finanziario!$H:$L,5,FALSE),VLOOKUP($M19,TT_Tabelle_Riferimento!$H$31:$I$50,2,FALSE))</f>
        <v>8</v>
      </c>
      <c r="CE19" s="625">
        <f>+IFERROR(VLOOKUP(CE$6&amp;"-"&amp;$M19&amp;"_old",Ammortamento_Finanziario!$H:$L,5,FALSE),VLOOKUP($M19,TT_Tabelle_Riferimento!$H$31:$I$50,2,FALSE))</f>
        <v>8</v>
      </c>
      <c r="CF19" s="625">
        <f>+IFERROR(VLOOKUP(CF$6&amp;"-"&amp;$M19&amp;"_old",Ammortamento_Finanziario!$H:$L,5,FALSE),VLOOKUP($M19,TT_Tabelle_Riferimento!$H$31:$I$50,2,FALSE))</f>
        <v>8</v>
      </c>
      <c r="CG19" s="625">
        <f>+IFERROR(VLOOKUP(CG$6&amp;"-"&amp;$M19&amp;"_old",Ammortamento_Finanziario!$H:$L,5,FALSE),VLOOKUP($M19,TT_Tabelle_Riferimento!$H$31:$I$50,2,FALSE))</f>
        <v>8</v>
      </c>
      <c r="CH19" s="905">
        <f>+IFERROR(VLOOKUP(CH$6&amp;"-"&amp;$M19&amp;"_old",Ammortamento_Finanziario!$H:$L,5,FALSE),VLOOKUP($M19,TT_Tabelle_Riferimento!$H$31:$I$50,2,FALSE))</f>
        <v>8</v>
      </c>
      <c r="CI19" s="905">
        <f>+IFERROR(VLOOKUP(CI$6&amp;"-"&amp;$M19&amp;"_old",Ammortamento_Finanziario!$H:$L,5,FALSE),VLOOKUP($M19,TT_Tabelle_Riferimento!$H$31:$I$50,2,FALSE))</f>
        <v>8</v>
      </c>
      <c r="CJ19" s="905">
        <f>+IFERROR(VLOOKUP(CJ$6&amp;"-"&amp;$M19&amp;"_old",Ammortamento_Finanziario!$H:$L,5,FALSE),VLOOKUP($M19,TT_Tabelle_Riferimento!$H$31:$I$50,2,FALSE))</f>
        <v>8</v>
      </c>
      <c r="CK19" s="905">
        <f>+IFERROR(VLOOKUP(CK$6&amp;"-"&amp;$M19&amp;"_old",Ammortamento_Finanziario!$H:$L,5,FALSE),VLOOKUP($M19,TT_Tabelle_Riferimento!$H$31:$I$50,2,FALSE))</f>
        <v>8</v>
      </c>
      <c r="CL19" s="905">
        <f>+IFERROR(VLOOKUP(CL$6&amp;"-"&amp;$M19&amp;"_old",Ammortamento_Finanziario!$H:$L,5,FALSE),VLOOKUP($M19,TT_Tabelle_Riferimento!$H$31:$I$50,2,FALSE))</f>
        <v>8</v>
      </c>
      <c r="CM19" s="905">
        <f>+IFERROR(VLOOKUP(CM$6&amp;"-"&amp;$M19&amp;"_old",Ammortamento_Finanziario!$H:$L,5,FALSE),VLOOKUP($M19,TT_Tabelle_Riferimento!$H$31:$I$50,2,FALSE))</f>
        <v>8</v>
      </c>
      <c r="CN19" s="905">
        <f>+IFERROR(VLOOKUP(CN$6&amp;"-"&amp;$M19&amp;"_old",Ammortamento_Finanziario!$H:$L,5,FALSE),VLOOKUP($M19,TT_Tabelle_Riferimento!$H$31:$I$50,2,FALSE))</f>
        <v>8</v>
      </c>
      <c r="CO19" s="1740">
        <f>+IFERROR(VLOOKUP(CO$6&amp;"-"&amp;$M19&amp;"_old",Ammortamento_Finanziario!$H:$L,5,FALSE),VLOOKUP($M19,TT_Tabelle_Riferimento!$H$31:$I$50,2,FALSE))</f>
        <v>8</v>
      </c>
      <c r="CP19" s="1740">
        <f>+IFERROR(VLOOKUP(CP$6&amp;"-"&amp;$M19&amp;"_old",Ammortamento_Finanziario!$H:$L,5,FALSE),VLOOKUP($M19,TT_Tabelle_Riferimento!$H$31:$I$50,2,FALSE))</f>
        <v>8</v>
      </c>
      <c r="CQ19" s="1749">
        <f>+IFERROR(VLOOKUP(CQ$6&amp;"-"&amp;$M19&amp;"_old",Ammortamento_Finanziario!$H:$L,5,FALSE),VLOOKUP($M19,TT_Tabelle_Riferimento!$H$31:$I$50,2,FALSE))</f>
        <v>8</v>
      </c>
      <c r="CR19" s="1749">
        <f>+IFERROR(VLOOKUP(CR$6&amp;"-"&amp;$M19&amp;"_old",Ammortamento_Finanziario!$H:$L,5,FALSE),VLOOKUP($M19,TT_Tabelle_Riferimento!$H$31:$I$50,2,FALSE))</f>
        <v>8</v>
      </c>
      <c r="CS19" s="1749">
        <f>+IFERROR(VLOOKUP(CS$6&amp;"-"&amp;$M19&amp;"_old",Ammortamento_Finanziario!$H:$L,5,FALSE),VLOOKUP($M19,TT_Tabelle_Riferimento!$H$31:$I$50,2,FALSE))</f>
        <v>8</v>
      </c>
      <c r="CT19" s="1749">
        <f>+IFERROR(VLOOKUP(CT$6&amp;"-"&amp;$M19&amp;"_old",Ammortamento_Finanziario!$H:$L,5,FALSE),VLOOKUP($M19,TT_Tabelle_Riferimento!$H$31:$I$50,2,FALSE))</f>
        <v>8</v>
      </c>
      <c r="CU19" s="1749">
        <f>+IFERROR(VLOOKUP(CU$6&amp;"-"&amp;$M19&amp;"_old",Ammortamento_Finanziario!$H:$L,5,FALSE),VLOOKUP($M19,TT_Tabelle_Riferimento!$H$31:$I$50,2,FALSE))</f>
        <v>8</v>
      </c>
      <c r="CV19" s="1749">
        <f>+IFERROR(VLOOKUP(CV$6&amp;"-"&amp;$M19&amp;"_old",Ammortamento_Finanziario!$H:$L,5,FALSE),VLOOKUP($M19,TT_Tabelle_Riferimento!$H$31:$I$50,2,FALSE))</f>
        <v>8</v>
      </c>
      <c r="CW19" s="625">
        <f>+IFERROR(VLOOKUP(CW$6&amp;"-"&amp;$M19&amp;"_old",Ammortamento_Finanziario!$H:$L,5,FALSE),VLOOKUP($M19,TT_Tabelle_Riferimento!$H$31:$I$50,2,FALSE))</f>
        <v>8</v>
      </c>
      <c r="CX19" s="625">
        <f>+IFERROR(VLOOKUP(CX$6&amp;"-"&amp;$M19&amp;"_old",Ammortamento_Finanziario!$H:$L,5,FALSE),VLOOKUP($M19,TT_Tabelle_Riferimento!$H$31:$I$50,2,FALSE))</f>
        <v>8</v>
      </c>
      <c r="CY19" s="625">
        <f>+IFERROR(VLOOKUP(CY$6&amp;"-"&amp;$M19&amp;"_old",Ammortamento_Finanziario!$H:$L,5,FALSE),VLOOKUP($M19,TT_Tabelle_Riferimento!$H$31:$I$50,2,FALSE))</f>
        <v>8</v>
      </c>
      <c r="CZ19" s="625">
        <f>+IFERROR(VLOOKUP(CZ$6&amp;"-"&amp;$M19&amp;"_old",Ammortamento_Finanziario!$H:$L,5,FALSE),VLOOKUP($M19,TT_Tabelle_Riferimento!$H$31:$I$50,2,FALSE))</f>
        <v>8</v>
      </c>
      <c r="DA19" s="625">
        <f>+IFERROR(VLOOKUP(DA$6&amp;"-"&amp;$M19&amp;"_old",Ammortamento_Finanziario!$H:$L,5,FALSE),VLOOKUP($M19,TT_Tabelle_Riferimento!$H$31:$I$50,2,FALSE))</f>
        <v>8</v>
      </c>
      <c r="DB19" s="625">
        <f>+IFERROR(VLOOKUP(DB$6&amp;"-"&amp;$M19&amp;"_old",Ammortamento_Finanziario!$H:$L,5,FALSE),VLOOKUP($M19,TT_Tabelle_Riferimento!$H$31:$I$50,2,FALSE))</f>
        <v>8</v>
      </c>
      <c r="DC19" s="625">
        <f>+IFERROR(VLOOKUP(DC$6&amp;"-"&amp;$M19&amp;"_old",Ammortamento_Finanziario!$H:$L,5,FALSE),VLOOKUP($M19,TT_Tabelle_Riferimento!$H$31:$I$50,2,FALSE))</f>
        <v>8</v>
      </c>
      <c r="DD19" s="625">
        <f>+IFERROR(VLOOKUP(DD$6&amp;"-"&amp;$M19&amp;"_old",Ammortamento_Finanziario!$H:$L,5,FALSE),VLOOKUP($M19,TT_Tabelle_Riferimento!$H$31:$I$50,2,FALSE))</f>
        <v>8</v>
      </c>
      <c r="DE19" s="625">
        <f>+IFERROR(VLOOKUP(DE$6&amp;"-"&amp;$M19&amp;"_old",Ammortamento_Finanziario!$H:$L,5,FALSE),VLOOKUP($M19,TT_Tabelle_Riferimento!$H$31:$I$50,2,FALSE))</f>
        <v>8</v>
      </c>
      <c r="DF19" s="625">
        <f>+IFERROR(VLOOKUP(DF$6&amp;"-"&amp;$M19&amp;"_old",Ammortamento_Finanziario!$H:$L,5,FALSE),VLOOKUP($M19,TT_Tabelle_Riferimento!$H$31:$I$50,2,FALSE))</f>
        <v>8</v>
      </c>
      <c r="DG19" s="625">
        <f>+IFERROR(VLOOKUP(DG$6&amp;"-"&amp;$M19&amp;"_old",Ammortamento_Finanziario!$H:$L,5,FALSE),VLOOKUP($M19,TT_Tabelle_Riferimento!$H$31:$I$50,2,FALSE))</f>
        <v>8</v>
      </c>
      <c r="DH19" s="625">
        <f>+IFERROR(VLOOKUP(DH$6&amp;"-"&amp;$M19&amp;"_old",Ammortamento_Finanziario!$H:$L,5,FALSE),VLOOKUP($M19,TT_Tabelle_Riferimento!$H$31:$I$50,2,FALSE))</f>
        <v>8</v>
      </c>
      <c r="DI19" s="625">
        <f>+IFERROR(VLOOKUP(DI$6&amp;"-"&amp;$M19&amp;"_old",Ammortamento_Finanziario!$H:$L,5,FALSE),VLOOKUP($M19,TT_Tabelle_Riferimento!$H$31:$I$50,2,FALSE))</f>
        <v>8</v>
      </c>
      <c r="DJ19" s="625">
        <f>+IFERROR(VLOOKUP(DJ$6&amp;"-"&amp;$M19&amp;"_old",Ammortamento_Finanziario!$H:$L,5,FALSE),VLOOKUP($M19,TT_Tabelle_Riferimento!$H$31:$I$50,2,FALSE))</f>
        <v>8</v>
      </c>
      <c r="DK19" s="625">
        <f>+IFERROR(VLOOKUP(DK$6&amp;"-"&amp;$M19&amp;"_old",Ammortamento_Finanziario!$H:$L,5,FALSE),VLOOKUP($M19,TT_Tabelle_Riferimento!$H$31:$I$50,2,FALSE))</f>
        <v>8</v>
      </c>
      <c r="DL19" s="625">
        <f>+IFERROR(VLOOKUP(DL$6&amp;"-"&amp;$M19&amp;"_old",Ammortamento_Finanziario!$H:$L,5,FALSE),VLOOKUP($M19,TT_Tabelle_Riferimento!$H$31:$I$50,2,FALSE))</f>
        <v>8</v>
      </c>
      <c r="DM19" s="625">
        <f>+IFERROR(VLOOKUP(DM$6&amp;"-"&amp;$M19&amp;"_old",Ammortamento_Finanziario!$H:$L,5,FALSE),VLOOKUP($M19,TT_Tabelle_Riferimento!$H$31:$I$50,2,FALSE))</f>
        <v>8</v>
      </c>
      <c r="DN19" s="625">
        <f>+IFERROR(VLOOKUP(DN$6&amp;"-"&amp;$M19&amp;"_old",Ammortamento_Finanziario!$H:$L,5,FALSE),VLOOKUP($M19,TT_Tabelle_Riferimento!$H$31:$I$50,2,FALSE))</f>
        <v>8</v>
      </c>
      <c r="DO19" s="625">
        <f>+IFERROR(VLOOKUP(DO$6&amp;"-"&amp;$M19&amp;"_old",Ammortamento_Finanziario!$H:$L,5,FALSE),VLOOKUP($M19,TT_Tabelle_Riferimento!$H$31:$I$50,2,FALSE))</f>
        <v>8</v>
      </c>
      <c r="DP19" s="636">
        <f>+IFERROR(VLOOKUP(DP$6&amp;"-"&amp;$M19&amp;"_old",Ammortamento_Finanziario!$H:$L,5,FALSE),VLOOKUP($M19,TT_Tabelle_Riferimento!$H$31:$I$50,2,FALSE))</f>
        <v>8</v>
      </c>
      <c r="DQ19" s="636">
        <f>+IFERROR(VLOOKUP(DQ$6&amp;"-"&amp;$M19&amp;"_old",Ammortamento_Finanziario!$H:$L,5,FALSE),VLOOKUP($M19,TT_Tabelle_Riferimento!$H$31:$I$50,2,FALSE))</f>
        <v>8</v>
      </c>
      <c r="DR19" s="636">
        <f>+IFERROR(VLOOKUP(DR$6&amp;"-"&amp;$M19&amp;"_old",Ammortamento_Finanziario!$H:$L,5,FALSE),VLOOKUP($M19,TT_Tabelle_Riferimento!$H$31:$I$50,2,FALSE))</f>
        <v>8</v>
      </c>
      <c r="DS19" s="636">
        <f>+IFERROR(VLOOKUP(DS$6&amp;"-"&amp;$M19&amp;"_old",Ammortamento_Finanziario!$H:$L,5,FALSE),VLOOKUP($M19,TT_Tabelle_Riferimento!$H$31:$I$50,2,FALSE))</f>
        <v>8</v>
      </c>
      <c r="DT19" s="636">
        <f>+IFERROR(VLOOKUP(DT$6&amp;"-"&amp;$M19&amp;"_old",Ammortamento_Finanziario!$H:$L,5,FALSE),VLOOKUP($M19,TT_Tabelle_Riferimento!$H$31:$I$50,2,FALSE))</f>
        <v>8</v>
      </c>
      <c r="DU19" s="636">
        <f>+IFERROR(VLOOKUP(DU$6&amp;"-"&amp;$M19&amp;"_old",Ammortamento_Finanziario!$H:$L,5,FALSE),VLOOKUP($M19,TT_Tabelle_Riferimento!$H$31:$I$50,2,FALSE))</f>
        <v>8</v>
      </c>
      <c r="DV19" s="1742">
        <f>+IFERROR(VLOOKUP(DV$6&amp;"-"&amp;$M19&amp;"_old",Ammortamento_Finanziario!$H:$L,5,FALSE),VLOOKUP($M19,TT_Tabelle_Riferimento!$H$31:$I$50,2,FALSE))</f>
        <v>8</v>
      </c>
      <c r="DW19" s="1742">
        <f>+IFERROR(VLOOKUP(DW$6&amp;"-"&amp;$M19&amp;"_old",Ammortamento_Finanziario!$H:$L,5,FALSE),VLOOKUP($M19,TT_Tabelle_Riferimento!$H$31:$I$50,2,FALSE))</f>
        <v>8</v>
      </c>
      <c r="DX19" s="1750">
        <f>+IFERROR(VLOOKUP(DX$6&amp;"-"&amp;$M19&amp;"_old",Ammortamento_Finanziario!$H:$L,5,FALSE),VLOOKUP($M19,TT_Tabelle_Riferimento!$H$31:$I$50,2,FALSE))</f>
        <v>8</v>
      </c>
      <c r="DY19" s="1750">
        <f>+IFERROR(VLOOKUP(DY$6&amp;"-"&amp;$M19&amp;"_old",Ammortamento_Finanziario!$H:$L,5,FALSE),VLOOKUP($M19,TT_Tabelle_Riferimento!$H$31:$I$50,2,FALSE))</f>
        <v>8</v>
      </c>
      <c r="DZ19" s="1750">
        <f>+IFERROR(VLOOKUP(DZ$6&amp;"-"&amp;$M19&amp;"_old",Ammortamento_Finanziario!$H:$L,5,FALSE),VLOOKUP($M19,TT_Tabelle_Riferimento!$H$31:$I$50,2,FALSE))</f>
        <v>8</v>
      </c>
      <c r="EA19" s="1750">
        <f>+IFERROR(VLOOKUP(EA$6&amp;"-"&amp;$M19&amp;"_old",Ammortamento_Finanziario!$H:$L,5,FALSE),VLOOKUP($M19,TT_Tabelle_Riferimento!$H$31:$I$50,2,FALSE))</f>
        <v>8</v>
      </c>
      <c r="EB19" s="1750">
        <f>+IFERROR(VLOOKUP(EB$6&amp;"-"&amp;$M19&amp;"_old",Ammortamento_Finanziario!$H:$L,5,FALSE),VLOOKUP($M19,TT_Tabelle_Riferimento!$H$31:$I$50,2,FALSE))</f>
        <v>8</v>
      </c>
      <c r="EC19" s="1750">
        <f>+IFERROR(VLOOKUP(EC$6&amp;"-"&amp;$M19&amp;"_old",Ammortamento_Finanziario!$H:$L,5,FALSE),VLOOKUP($M19,TT_Tabelle_Riferimento!$H$31:$I$50,2,FALSE))</f>
        <v>8</v>
      </c>
      <c r="ED19" s="636">
        <f>+IFERROR(VLOOKUP(ED$6&amp;"-"&amp;$M19&amp;"_old",Ammortamento_Finanziario!$H:$L,5,FALSE),VLOOKUP($M19,TT_Tabelle_Riferimento!$H$31:$I$50,2,FALSE))</f>
        <v>8</v>
      </c>
      <c r="EE19" s="636">
        <f>+IFERROR(VLOOKUP(EE$6&amp;"-"&amp;$M19&amp;"_old",Ammortamento_Finanziario!$H:$L,5,FALSE),VLOOKUP($M19,TT_Tabelle_Riferimento!$H$31:$I$50,2,FALSE))</f>
        <v>8</v>
      </c>
      <c r="EF19" s="636">
        <f>+IFERROR(VLOOKUP(EF$6&amp;"-"&amp;$M19&amp;"_old",Ammortamento_Finanziario!$H:$L,5,FALSE),VLOOKUP($M19,TT_Tabelle_Riferimento!$H$31:$I$50,2,FALSE))</f>
        <v>8</v>
      </c>
      <c r="EG19" s="636">
        <f>+IFERROR(VLOOKUP(EG$6&amp;"-"&amp;$M19&amp;"_old",Ammortamento_Finanziario!$H:$L,5,FALSE),VLOOKUP($M19,TT_Tabelle_Riferimento!$H$31:$I$50,2,FALSE))</f>
        <v>8</v>
      </c>
      <c r="EH19" s="636">
        <f>+IFERROR(VLOOKUP(EH$6&amp;"-"&amp;$M19&amp;"_old",Ammortamento_Finanziario!$H:$L,5,FALSE),VLOOKUP($M19,TT_Tabelle_Riferimento!$H$31:$I$50,2,FALSE))</f>
        <v>8</v>
      </c>
      <c r="EI19" s="636">
        <f>+IFERROR(VLOOKUP(EI$6&amp;"-"&amp;$M19&amp;"_old",Ammortamento_Finanziario!$H:$L,5,FALSE),VLOOKUP($M19,TT_Tabelle_Riferimento!$H$31:$I$50,2,FALSE))</f>
        <v>8</v>
      </c>
      <c r="EJ19" s="636">
        <f>+IFERROR(VLOOKUP(EJ$6&amp;"-"&amp;$M19&amp;"_old",Ammortamento_Finanziario!$H:$L,5,FALSE),VLOOKUP($M19,TT_Tabelle_Riferimento!$H$31:$I$50,2,FALSE))</f>
        <v>8</v>
      </c>
      <c r="EK19" s="636">
        <f>+IFERROR(VLOOKUP(EK$6&amp;"-"&amp;$M19&amp;"_old",Ammortamento_Finanziario!$H:$L,5,FALSE),VLOOKUP($M19,TT_Tabelle_Riferimento!$H$31:$I$50,2,FALSE))</f>
        <v>8</v>
      </c>
      <c r="EL19" s="636">
        <f>+IFERROR(VLOOKUP(EL$6&amp;"-"&amp;$M19&amp;"_old",Ammortamento_Finanziario!$H:$L,5,FALSE),VLOOKUP($M19,TT_Tabelle_Riferimento!$H$31:$I$50,2,FALSE))</f>
        <v>8</v>
      </c>
      <c r="EM19" s="636">
        <f>+IFERROR(VLOOKUP(EM$6&amp;"-"&amp;$M19&amp;"_old",Ammortamento_Finanziario!$H:$L,5,FALSE),VLOOKUP($M19,TT_Tabelle_Riferimento!$H$31:$I$50,2,FALSE))</f>
        <v>8</v>
      </c>
      <c r="EN19" s="636">
        <f>+IFERROR(VLOOKUP(EN$6&amp;"-"&amp;$M19&amp;"_old",Ammortamento_Finanziario!$H:$L,5,FALSE),VLOOKUP($M19,TT_Tabelle_Riferimento!$H$31:$I$50,2,FALSE))</f>
        <v>8</v>
      </c>
      <c r="EO19" s="636">
        <f>+IFERROR(VLOOKUP(EO$6&amp;"-"&amp;$M19&amp;"_old",Ammortamento_Finanziario!$H:$L,5,FALSE),VLOOKUP($M19,TT_Tabelle_Riferimento!$H$31:$I$50,2,FALSE))</f>
        <v>8</v>
      </c>
      <c r="EP19" s="636">
        <f>+IFERROR(VLOOKUP(EP$6&amp;"-"&amp;$M19&amp;"_old",Ammortamento_Finanziario!$H:$L,5,FALSE),VLOOKUP($M19,TT_Tabelle_Riferimento!$H$31:$I$50,2,FALSE))</f>
        <v>8</v>
      </c>
      <c r="EQ19" s="636">
        <f>+IFERROR(VLOOKUP(EQ$6&amp;"-"&amp;$M19&amp;"_old",Ammortamento_Finanziario!$H:$L,5,FALSE),VLOOKUP($M19,TT_Tabelle_Riferimento!$H$31:$I$50,2,FALSE))</f>
        <v>8</v>
      </c>
      <c r="ER19" s="636">
        <f>+IFERROR(VLOOKUP(ER$6&amp;"-"&amp;$M19&amp;"_old",Ammortamento_Finanziario!$H:$L,5,FALSE),VLOOKUP($M19,TT_Tabelle_Riferimento!$H$31:$I$50,2,FALSE))</f>
        <v>8</v>
      </c>
      <c r="ES19" s="636">
        <f>+IFERROR(VLOOKUP(ES$6&amp;"-"&amp;$M19&amp;"_old",Ammortamento_Finanziario!$H:$L,5,FALSE),VLOOKUP($M19,TT_Tabelle_Riferimento!$H$31:$I$50,2,FALSE))</f>
        <v>8</v>
      </c>
      <c r="ET19" s="636">
        <f>+IFERROR(VLOOKUP(ET$6&amp;"-"&amp;$M19&amp;"_old",Ammortamento_Finanziario!$H:$L,5,FALSE),VLOOKUP($M19,TT_Tabelle_Riferimento!$H$31:$I$50,2,FALSE))</f>
        <v>8</v>
      </c>
      <c r="EU19" s="636">
        <f>+IFERROR(VLOOKUP(EU$6&amp;"-"&amp;$M19&amp;"_old",Ammortamento_Finanziario!$H:$L,5,FALSE),VLOOKUP($M19,TT_Tabelle_Riferimento!$H$31:$I$50,2,FALSE))</f>
        <v>8</v>
      </c>
      <c r="EV19" s="636">
        <f>+IFERROR(VLOOKUP(EV$6&amp;"-"&amp;$M19&amp;"_old",Ammortamento_Finanziario!$H:$L,5,FALSE),VLOOKUP($M19,TT_Tabelle_Riferimento!$H$31:$I$50,2,FALSE))</f>
        <v>8</v>
      </c>
      <c r="EW19" s="1048">
        <f>+IFERROR(VLOOKUP(EW$6&amp;"-"&amp;$M19&amp;"_old",Ammortamento_Finanziario!$H:$L,5,FALSE),VLOOKUP($M19,TT_Tabelle_Riferimento!$H$31:$I$50,2,FALSE))</f>
        <v>8</v>
      </c>
      <c r="EX19" s="1048">
        <f>+IFERROR(VLOOKUP(EX$6&amp;"-"&amp;$M19&amp;"_old",Ammortamento_Finanziario!$H:$L,5,FALSE),VLOOKUP($M19,TT_Tabelle_Riferimento!$H$31:$I$50,2,FALSE))</f>
        <v>8</v>
      </c>
      <c r="EY19" s="1048">
        <f>+IFERROR(VLOOKUP(EY$6&amp;"-"&amp;$M19&amp;"_old",Ammortamento_Finanziario!$H:$L,5,FALSE),VLOOKUP($M19,TT_Tabelle_Riferimento!$H$31:$I$50,2,FALSE))</f>
        <v>8</v>
      </c>
      <c r="EZ19" s="1048">
        <f>+IFERROR(VLOOKUP(EZ$6&amp;"-"&amp;$M19&amp;"_old",Ammortamento_Finanziario!$H:$L,5,FALSE),VLOOKUP($M19,TT_Tabelle_Riferimento!$H$31:$I$50,2,FALSE))</f>
        <v>8</v>
      </c>
      <c r="FA19" s="1048">
        <f>+IFERROR(VLOOKUP(FA$6&amp;"-"&amp;$M19&amp;"_old",Ammortamento_Finanziario!$H:$L,5,FALSE),VLOOKUP($M19,TT_Tabelle_Riferimento!$H$31:$I$50,2,FALSE))</f>
        <v>8</v>
      </c>
      <c r="FB19" s="1743">
        <f>+IFERROR(VLOOKUP(FB$6&amp;"-"&amp;$M19&amp;"_old",Ammortamento_Finanziario!$H:$L,5,FALSE),VLOOKUP($M19,TT_Tabelle_Riferimento!$H$31:$I$50,2,FALSE))</f>
        <v>8</v>
      </c>
      <c r="FC19" s="1743">
        <f>+IFERROR(VLOOKUP(FC$6&amp;"-"&amp;$M19&amp;"_old",Ammortamento_Finanziario!$H:$L,5,FALSE),VLOOKUP($M19,TT_Tabelle_Riferimento!$H$31:$I$50,2,FALSE))</f>
        <v>8</v>
      </c>
      <c r="FD19" s="1751">
        <f>+IFERROR(VLOOKUP(FD$6&amp;"-"&amp;$M19&amp;"_old",Ammortamento_Finanziario!$H:$L,5,FALSE),VLOOKUP($M19,TT_Tabelle_Riferimento!$H$31:$I$50,2,FALSE))</f>
        <v>8</v>
      </c>
      <c r="FE19" s="1751">
        <f>+IFERROR(VLOOKUP(FE$6&amp;"-"&amp;$M19&amp;"_old",Ammortamento_Finanziario!$H:$L,5,FALSE),VLOOKUP($M19,TT_Tabelle_Riferimento!$H$31:$I$50,2,FALSE))</f>
        <v>8</v>
      </c>
      <c r="FF19" s="1751">
        <f>+IFERROR(VLOOKUP(FF$6&amp;"-"&amp;$M19&amp;"_old",Ammortamento_Finanziario!$H:$L,5,FALSE),VLOOKUP($M19,TT_Tabelle_Riferimento!$H$31:$I$50,2,FALSE))</f>
        <v>8</v>
      </c>
      <c r="FG19" s="1751">
        <f>+IFERROR(VLOOKUP(FG$6&amp;"-"&amp;$M19&amp;"_old",Ammortamento_Finanziario!$H:$L,5,FALSE),VLOOKUP($M19,TT_Tabelle_Riferimento!$H$31:$I$50,2,FALSE))</f>
        <v>8</v>
      </c>
      <c r="FH19" s="1751">
        <f>+IFERROR(VLOOKUP(FH$6&amp;"-"&amp;$M19&amp;"_old",Ammortamento_Finanziario!$H:$L,5,FALSE),VLOOKUP($M19,TT_Tabelle_Riferimento!$H$31:$I$50,2,FALSE))</f>
        <v>8</v>
      </c>
      <c r="FI19" s="1751">
        <f>+IFERROR(VLOOKUP(FI$6&amp;"-"&amp;$M19&amp;"_old",Ammortamento_Finanziario!$H:$L,5,FALSE),VLOOKUP($M19,TT_Tabelle_Riferimento!$H$31:$I$50,2,FALSE))</f>
        <v>8</v>
      </c>
      <c r="FJ19" s="629">
        <f>+IFERROR(VLOOKUP(FJ$6&amp;"-"&amp;$M19&amp;"_old",Ammortamento_Finanziario!$H:$L,5,FALSE),VLOOKUP($M19,TT_Tabelle_Riferimento!$H$31:$I$50,2,FALSE))</f>
        <v>8</v>
      </c>
      <c r="FK19" s="629">
        <f>+IFERROR(VLOOKUP(FK$6&amp;"-"&amp;$M19&amp;"_old",Ammortamento_Finanziario!$H:$L,5,FALSE),VLOOKUP($M19,TT_Tabelle_Riferimento!$H$31:$I$50,2,FALSE))</f>
        <v>8</v>
      </c>
      <c r="FL19" s="629">
        <f>+IFERROR(VLOOKUP(FL$6&amp;"-"&amp;$M19&amp;"_old",Ammortamento_Finanziario!$H:$L,5,FALSE),VLOOKUP($M19,TT_Tabelle_Riferimento!$H$31:$I$50,2,FALSE))</f>
        <v>8</v>
      </c>
      <c r="FM19" s="629">
        <f>+IFERROR(VLOOKUP(FM$6&amp;"-"&amp;$M19&amp;"_old",Ammortamento_Finanziario!$H:$L,5,FALSE),VLOOKUP($M19,TT_Tabelle_Riferimento!$H$31:$I$50,2,FALSE))</f>
        <v>8</v>
      </c>
      <c r="FN19" s="629">
        <f>+IFERROR(VLOOKUP(FN$6&amp;"-"&amp;$M19&amp;"_old",Ammortamento_Finanziario!$H:$L,5,FALSE),VLOOKUP($M19,TT_Tabelle_Riferimento!$H$31:$I$50,2,FALSE))</f>
        <v>8</v>
      </c>
      <c r="FO19" s="629">
        <f>+IFERROR(VLOOKUP(FO$6&amp;"-"&amp;$M19&amp;"_old",Ammortamento_Finanziario!$H:$L,5,FALSE),VLOOKUP($M19,TT_Tabelle_Riferimento!$H$31:$I$50,2,FALSE))</f>
        <v>8</v>
      </c>
      <c r="FP19" s="629">
        <f>+IFERROR(VLOOKUP(FP$6&amp;"-"&amp;$M19&amp;"_old",Ammortamento_Finanziario!$H:$L,5,FALSE),VLOOKUP($M19,TT_Tabelle_Riferimento!$H$31:$I$50,2,FALSE))</f>
        <v>8</v>
      </c>
      <c r="FQ19" s="629">
        <f>+IFERROR(VLOOKUP(FQ$6&amp;"-"&amp;$M19&amp;"_old",Ammortamento_Finanziario!$H:$L,5,FALSE),VLOOKUP($M19,TT_Tabelle_Riferimento!$H$31:$I$50,2,FALSE))</f>
        <v>8</v>
      </c>
      <c r="FR19" s="629">
        <f>+IFERROR(VLOOKUP(FR$6&amp;"-"&amp;$M19&amp;"_old",Ammortamento_Finanziario!$H:$L,5,FALSE),VLOOKUP($M19,TT_Tabelle_Riferimento!$H$31:$I$50,2,FALSE))</f>
        <v>8</v>
      </c>
      <c r="FS19" s="629">
        <f>+IFERROR(VLOOKUP(FS$6&amp;"-"&amp;$M19&amp;"_old",Ammortamento_Finanziario!$H:$L,5,FALSE),VLOOKUP($M19,TT_Tabelle_Riferimento!$H$31:$I$50,2,FALSE))</f>
        <v>8</v>
      </c>
      <c r="FT19" s="629">
        <f>+IFERROR(VLOOKUP(FT$6&amp;"-"&amp;$M19&amp;"_old",Ammortamento_Finanziario!$H:$L,5,FALSE),VLOOKUP($M19,TT_Tabelle_Riferimento!$H$31:$I$50,2,FALSE))</f>
        <v>8</v>
      </c>
      <c r="FU19" s="629">
        <f>+IFERROR(VLOOKUP(FU$6&amp;"-"&amp;$M19&amp;"_old",Ammortamento_Finanziario!$H:$L,5,FALSE),VLOOKUP($M19,TT_Tabelle_Riferimento!$H$31:$I$50,2,FALSE))</f>
        <v>8</v>
      </c>
      <c r="FV19" s="629">
        <f>+IFERROR(VLOOKUP(FV$6&amp;"-"&amp;$M19&amp;"_old",Ammortamento_Finanziario!$H:$L,5,FALSE),VLOOKUP($M19,TT_Tabelle_Riferimento!$H$31:$I$50,2,FALSE))</f>
        <v>8</v>
      </c>
      <c r="FW19" s="629">
        <f>+IFERROR(VLOOKUP(FW$6&amp;"-"&amp;$M19&amp;"_old",Ammortamento_Finanziario!$H:$L,5,FALSE),VLOOKUP($M19,TT_Tabelle_Riferimento!$H$31:$I$50,2,FALSE))</f>
        <v>8</v>
      </c>
      <c r="FX19" s="629">
        <f>+IFERROR(VLOOKUP(FX$6&amp;"-"&amp;$M19&amp;"_old",Ammortamento_Finanziario!$H:$L,5,FALSE),VLOOKUP($M19,TT_Tabelle_Riferimento!$H$31:$I$50,2,FALSE))</f>
        <v>8</v>
      </c>
      <c r="FY19" s="629">
        <f>+IFERROR(VLOOKUP(FY$6&amp;"-"&amp;$M19&amp;"_old",Ammortamento_Finanziario!$H:$L,5,FALSE),VLOOKUP($M19,TT_Tabelle_Riferimento!$H$31:$I$50,2,FALSE))</f>
        <v>8</v>
      </c>
      <c r="FZ19" s="629">
        <f>+IFERROR(VLOOKUP(FZ$6&amp;"-"&amp;$M19&amp;"_old",Ammortamento_Finanziario!$H:$L,5,FALSE),VLOOKUP($M19,TT_Tabelle_Riferimento!$H$31:$I$50,2,FALSE))</f>
        <v>8</v>
      </c>
      <c r="GA19" s="629">
        <f>+IFERROR(VLOOKUP(GA$6&amp;"-"&amp;$M19&amp;"_old",Ammortamento_Finanziario!$H:$L,5,FALSE),VLOOKUP($M19,TT_Tabelle_Riferimento!$H$31:$I$50,2,FALSE))</f>
        <v>8</v>
      </c>
      <c r="GB19" s="629">
        <f>+IFERROR(VLOOKUP(GB$6&amp;"-"&amp;$M19&amp;"_old",Ammortamento_Finanziario!$H:$L,5,FALSE),VLOOKUP($M19,TT_Tabelle_Riferimento!$H$31:$I$50,2,FALSE))</f>
        <v>8</v>
      </c>
      <c r="GC19" s="635">
        <f>+IFERROR(VLOOKUP(GC$6&amp;"-"&amp;$M19&amp;"_old",Ammortamento_Finanziario!$H:$L,5,FALSE),VLOOKUP($M19,TT_Tabelle_Riferimento!$H$31:$I$50,2,FALSE))</f>
        <v>8</v>
      </c>
      <c r="GD19" s="635">
        <f>+IFERROR(VLOOKUP(GD$6&amp;"-"&amp;$M19&amp;"_old",Ammortamento_Finanziario!$H:$L,5,FALSE),VLOOKUP($M19,TT_Tabelle_Riferimento!$H$31:$I$50,2,FALSE))</f>
        <v>8</v>
      </c>
      <c r="GE19" s="635">
        <f>+IFERROR(VLOOKUP(GE$6&amp;"-"&amp;$M19&amp;"_old",Ammortamento_Finanziario!$H:$L,5,FALSE),VLOOKUP($M19,TT_Tabelle_Riferimento!$H$31:$I$50,2,FALSE))</f>
        <v>8</v>
      </c>
      <c r="GF19" s="635">
        <f>+IFERROR(VLOOKUP(GF$6&amp;"-"&amp;$M19&amp;"_old",Ammortamento_Finanziario!$H:$L,5,FALSE),VLOOKUP($M19,TT_Tabelle_Riferimento!$H$31:$I$50,2,FALSE))</f>
        <v>8</v>
      </c>
      <c r="GG19" s="1744">
        <f>+IFERROR(VLOOKUP(GG$6&amp;"-"&amp;$M19&amp;"_old",Ammortamento_Finanziario!$H:$L,5,FALSE),VLOOKUP($M19,TT_Tabelle_Riferimento!$H$31:$I$50,2,FALSE))</f>
        <v>8</v>
      </c>
      <c r="GH19" s="1744">
        <f>+IFERROR(VLOOKUP(GH$6&amp;"-"&amp;$M19&amp;"_old",Ammortamento_Finanziario!$H:$L,5,FALSE),VLOOKUP($M19,TT_Tabelle_Riferimento!$H$31:$I$50,2,FALSE))</f>
        <v>8</v>
      </c>
      <c r="GI19" s="1752">
        <f>+IFERROR(VLOOKUP(GI$6&amp;"-"&amp;$M19&amp;"_old",Ammortamento_Finanziario!$H:$L,5,FALSE),VLOOKUP($M19,TT_Tabelle_Riferimento!$H$31:$I$50,2,FALSE))</f>
        <v>8</v>
      </c>
      <c r="GJ19" s="1752">
        <f>+IFERROR(VLOOKUP(GJ$6&amp;"-"&amp;$M19&amp;"_old",Ammortamento_Finanziario!$H:$L,5,FALSE),VLOOKUP($M19,TT_Tabelle_Riferimento!$H$31:$I$50,2,FALSE))</f>
        <v>8</v>
      </c>
      <c r="GK19" s="1752">
        <f>+IFERROR(VLOOKUP(GK$6&amp;"-"&amp;$M19&amp;"_old",Ammortamento_Finanziario!$H:$L,5,FALSE),VLOOKUP($M19,TT_Tabelle_Riferimento!$H$31:$I$50,2,FALSE))</f>
        <v>8</v>
      </c>
      <c r="GL19" s="1752">
        <f>+IFERROR(VLOOKUP(GL$6&amp;"-"&amp;$M19&amp;"_old",Ammortamento_Finanziario!$H:$L,5,FALSE),VLOOKUP($M19,TT_Tabelle_Riferimento!$H$31:$I$50,2,FALSE))</f>
        <v>8</v>
      </c>
      <c r="GM19" s="1752">
        <f>+IFERROR(VLOOKUP(GM$6&amp;"-"&amp;$M19&amp;"_old",Ammortamento_Finanziario!$H:$L,5,FALSE),VLOOKUP($M19,TT_Tabelle_Riferimento!$H$31:$I$50,2,FALSE))</f>
        <v>8</v>
      </c>
      <c r="GN19" s="1752">
        <f>+IFERROR(VLOOKUP(GN$6&amp;"-"&amp;$M19&amp;"_old",Ammortamento_Finanziario!$H:$L,5,FALSE),VLOOKUP($M19,TT_Tabelle_Riferimento!$H$31:$I$50,2,FALSE))</f>
        <v>8</v>
      </c>
      <c r="GO19" s="628">
        <f>+IFERROR(VLOOKUP(GO$6&amp;"-"&amp;$M19&amp;"_old",Ammortamento_Finanziario!$H:$L,5,FALSE),VLOOKUP($M19,TT_Tabelle_Riferimento!$H$31:$I$50,2,FALSE))</f>
        <v>8</v>
      </c>
      <c r="GP19" s="628">
        <f>+IFERROR(VLOOKUP(GP$6&amp;"-"&amp;$M19&amp;"_old",Ammortamento_Finanziario!$H:$L,5,FALSE),VLOOKUP($M19,TT_Tabelle_Riferimento!$H$31:$I$50,2,FALSE))</f>
        <v>8</v>
      </c>
      <c r="GQ19" s="628">
        <f>+IFERROR(VLOOKUP(GQ$6&amp;"-"&amp;$M19&amp;"_old",Ammortamento_Finanziario!$H:$L,5,FALSE),VLOOKUP($M19,TT_Tabelle_Riferimento!$H$31:$I$50,2,FALSE))</f>
        <v>8</v>
      </c>
      <c r="GR19" s="628">
        <f>+IFERROR(VLOOKUP(GR$6&amp;"-"&amp;$M19&amp;"_old",Ammortamento_Finanziario!$H:$L,5,FALSE),VLOOKUP($M19,TT_Tabelle_Riferimento!$H$31:$I$50,2,FALSE))</f>
        <v>8</v>
      </c>
      <c r="GS19" s="628">
        <f>+IFERROR(VLOOKUP(GS$6&amp;"-"&amp;$M19&amp;"_old",Ammortamento_Finanziario!$H:$L,5,FALSE),VLOOKUP($M19,TT_Tabelle_Riferimento!$H$31:$I$50,2,FALSE))</f>
        <v>8</v>
      </c>
      <c r="GT19" s="628">
        <f>+IFERROR(VLOOKUP(GT$6&amp;"-"&amp;$M19&amp;"_old",Ammortamento_Finanziario!$H:$L,5,FALSE),VLOOKUP($M19,TT_Tabelle_Riferimento!$H$31:$I$50,2,FALSE))</f>
        <v>8</v>
      </c>
      <c r="GU19" s="628">
        <f>+IFERROR(VLOOKUP(GU$6&amp;"-"&amp;$M19&amp;"_old",Ammortamento_Finanziario!$H:$L,5,FALSE),VLOOKUP($M19,TT_Tabelle_Riferimento!$H$31:$I$50,2,FALSE))</f>
        <v>8</v>
      </c>
      <c r="GV19" s="628">
        <f>+IFERROR(VLOOKUP(GV$6&amp;"-"&amp;$M19&amp;"_old",Ammortamento_Finanziario!$H:$L,5,FALSE),VLOOKUP($M19,TT_Tabelle_Riferimento!$H$31:$I$50,2,FALSE))</f>
        <v>8</v>
      </c>
      <c r="GW19" s="628">
        <f>+IFERROR(VLOOKUP(GW$6&amp;"-"&amp;$M19&amp;"_old",Ammortamento_Finanziario!$H:$L,5,FALSE),VLOOKUP($M19,TT_Tabelle_Riferimento!$H$31:$I$50,2,FALSE))</f>
        <v>8</v>
      </c>
      <c r="GX19" s="628">
        <f>+IFERROR(VLOOKUP(GX$6&amp;"-"&amp;$M19&amp;"_old",Ammortamento_Finanziario!$H:$L,5,FALSE),VLOOKUP($M19,TT_Tabelle_Riferimento!$H$31:$I$50,2,FALSE))</f>
        <v>8</v>
      </c>
      <c r="GY19" s="628">
        <f>+IFERROR(VLOOKUP(GY$6&amp;"-"&amp;$M19&amp;"_old",Ammortamento_Finanziario!$H:$L,5,FALSE),VLOOKUP($M19,TT_Tabelle_Riferimento!$H$31:$I$50,2,FALSE))</f>
        <v>8</v>
      </c>
      <c r="GZ19" s="628">
        <f>+IFERROR(VLOOKUP(GZ$6&amp;"-"&amp;$M19&amp;"_old",Ammortamento_Finanziario!$H:$L,5,FALSE),VLOOKUP($M19,TT_Tabelle_Riferimento!$H$31:$I$50,2,FALSE))</f>
        <v>8</v>
      </c>
      <c r="HA19" s="628">
        <f>+IFERROR(VLOOKUP(HA$6&amp;"-"&amp;$M19&amp;"_old",Ammortamento_Finanziario!$H:$L,5,FALSE),VLOOKUP($M19,TT_Tabelle_Riferimento!$H$31:$I$50,2,FALSE))</f>
        <v>8</v>
      </c>
      <c r="HB19" s="628">
        <f>+IFERROR(VLOOKUP(HB$6&amp;"-"&amp;$M19&amp;"_old",Ammortamento_Finanziario!$H:$L,5,FALSE),VLOOKUP($M19,TT_Tabelle_Riferimento!$H$31:$I$50,2,FALSE))</f>
        <v>8</v>
      </c>
      <c r="HC19" s="628">
        <f>+IFERROR(VLOOKUP(HC$6&amp;"-"&amp;$M19&amp;"_old",Ammortamento_Finanziario!$H:$L,5,FALSE),VLOOKUP($M19,TT_Tabelle_Riferimento!$H$31:$I$50,2,FALSE))</f>
        <v>8</v>
      </c>
      <c r="HD19" s="628">
        <f>+IFERROR(VLOOKUP(HD$6&amp;"-"&amp;$M19&amp;"_old",Ammortamento_Finanziario!$H:$L,5,FALSE),VLOOKUP($M19,TT_Tabelle_Riferimento!$H$31:$I$50,2,FALSE))</f>
        <v>8</v>
      </c>
      <c r="HE19" s="628">
        <f>+IFERROR(VLOOKUP(HE$6&amp;"-"&amp;$M19&amp;"_old",Ammortamento_Finanziario!$H:$L,5,FALSE),VLOOKUP($M19,TT_Tabelle_Riferimento!$H$31:$I$50,2,FALSE))</f>
        <v>8</v>
      </c>
      <c r="HF19" s="628">
        <f>+IFERROR(VLOOKUP(HF$6&amp;"-"&amp;$M19&amp;"_old",Ammortamento_Finanziario!$H:$L,5,FALSE),VLOOKUP($M19,TT_Tabelle_Riferimento!$H$31:$I$50,2,FALSE))</f>
        <v>8</v>
      </c>
      <c r="HG19" s="628">
        <f>+IFERROR(VLOOKUP(HG$6&amp;"-"&amp;$M19&amp;"_old",Ammortamento_Finanziario!$H:$L,5,FALSE),VLOOKUP($M19,TT_Tabelle_Riferimento!$H$31:$I$50,2,FALSE))</f>
        <v>8</v>
      </c>
      <c r="HH19" s="422">
        <f>+IFERROR(VLOOKUP(HH$6&amp;"-"&amp;$M19&amp;"_old",Ammortamento_Finanziario!$H:$L,5,FALSE),VLOOKUP($M19,TT_Tabelle_Riferimento!$H$31:$I$50,2,FALSE))</f>
        <v>8</v>
      </c>
      <c r="HI19" s="422">
        <f>+IFERROR(VLOOKUP(HI$6&amp;"-"&amp;$M19&amp;"_old",Ammortamento_Finanziario!$H:$L,5,FALSE),VLOOKUP($M19,TT_Tabelle_Riferimento!$H$31:$I$50,2,FALSE))</f>
        <v>8</v>
      </c>
      <c r="HJ19" s="422">
        <f>+IFERROR(VLOOKUP(HJ$6&amp;"-"&amp;$M19&amp;"_old",Ammortamento_Finanziario!$H:$L,5,FALSE),VLOOKUP($M19,TT_Tabelle_Riferimento!$H$31:$I$50,2,FALSE))</f>
        <v>8</v>
      </c>
      <c r="HK19" s="1746">
        <f>+IFERROR(VLOOKUP(HK$6&amp;"-"&amp;$M19&amp;"_old",Ammortamento_Finanziario!$H:$L,5,FALSE),VLOOKUP($M19,TT_Tabelle_Riferimento!$H$31:$I$50,2,FALSE))</f>
        <v>8</v>
      </c>
      <c r="HL19" s="1746">
        <f>+IFERROR(VLOOKUP(HL$6&amp;"-"&amp;$M19&amp;"_old",Ammortamento_Finanziario!$H:$L,5,FALSE),VLOOKUP($M19,TT_Tabelle_Riferimento!$H$31:$I$50,2,FALSE))</f>
        <v>8</v>
      </c>
      <c r="HM19" s="1753">
        <f>+IFERROR(VLOOKUP(HM$6&amp;"-"&amp;$M19&amp;"_old",Ammortamento_Finanziario!$H:$L,5,FALSE),VLOOKUP($M19,TT_Tabelle_Riferimento!$H$31:$I$50,2,FALSE))</f>
        <v>8</v>
      </c>
      <c r="HN19" s="1753">
        <f>+IFERROR(VLOOKUP(HN$6&amp;"-"&amp;$M19&amp;"_old",Ammortamento_Finanziario!$H:$L,5,FALSE),VLOOKUP($M19,TT_Tabelle_Riferimento!$H$31:$I$50,2,FALSE))</f>
        <v>8</v>
      </c>
      <c r="HO19" s="1753">
        <f>+IFERROR(VLOOKUP(HO$6&amp;"-"&amp;$M19&amp;"_old",Ammortamento_Finanziario!$H:$L,5,FALSE),VLOOKUP($M19,TT_Tabelle_Riferimento!$H$31:$I$50,2,FALSE))</f>
        <v>8</v>
      </c>
      <c r="HP19" s="1753">
        <f>+IFERROR(VLOOKUP(HP$6&amp;"-"&amp;$M19&amp;"_old",Ammortamento_Finanziario!$H:$L,5,FALSE),VLOOKUP($M19,TT_Tabelle_Riferimento!$H$31:$I$50,2,FALSE))</f>
        <v>8</v>
      </c>
      <c r="HQ19" s="1753">
        <f>+IFERROR(VLOOKUP(HQ$6&amp;"-"&amp;$M19&amp;"_old",Ammortamento_Finanziario!$H:$L,5,FALSE),VLOOKUP($M19,TT_Tabelle_Riferimento!$H$31:$I$50,2,FALSE))</f>
        <v>8</v>
      </c>
      <c r="HR19" s="1753">
        <f>+IFERROR(VLOOKUP(HR$6&amp;"-"&amp;$M19&amp;"_old",Ammortamento_Finanziario!$H:$L,5,FALSE),VLOOKUP($M19,TT_Tabelle_Riferimento!$H$31:$I$50,2,FALSE))</f>
        <v>8</v>
      </c>
      <c r="HS19" s="422">
        <f>+IFERROR(VLOOKUP(HS$6&amp;"-"&amp;$M19&amp;"_old",Ammortamento_Finanziario!$H:$L,5,FALSE),VLOOKUP($M19,TT_Tabelle_Riferimento!$H$31:$I$50,2,FALSE))</f>
        <v>8</v>
      </c>
      <c r="HT19" s="422">
        <f>+IFERROR(VLOOKUP(HT$6&amp;"-"&amp;$M19&amp;"_old",Ammortamento_Finanziario!$H:$L,5,FALSE),VLOOKUP($M19,TT_Tabelle_Riferimento!$H$31:$I$50,2,FALSE))</f>
        <v>8</v>
      </c>
      <c r="HU19" s="422">
        <f>+IFERROR(VLOOKUP(HU$6&amp;"-"&amp;$M19&amp;"_old",Ammortamento_Finanziario!$H:$L,5,FALSE),VLOOKUP($M19,TT_Tabelle_Riferimento!$H$31:$I$50,2,FALSE))</f>
        <v>8</v>
      </c>
      <c r="HV19" s="422">
        <f>+IFERROR(VLOOKUP(HV$6&amp;"-"&amp;$M19&amp;"_old",Ammortamento_Finanziario!$H:$L,5,FALSE),VLOOKUP($M19,TT_Tabelle_Riferimento!$H$31:$I$50,2,FALSE))</f>
        <v>8</v>
      </c>
      <c r="HW19" s="422">
        <f>+IFERROR(VLOOKUP(HW$6&amp;"-"&amp;$M19&amp;"_old",Ammortamento_Finanziario!$H:$L,5,FALSE),VLOOKUP($M19,TT_Tabelle_Riferimento!$H$31:$I$50,2,FALSE))</f>
        <v>8</v>
      </c>
      <c r="HX19" s="422">
        <f>+IFERROR(VLOOKUP(HX$6&amp;"-"&amp;$M19&amp;"_old",Ammortamento_Finanziario!$H:$L,5,FALSE),VLOOKUP($M19,TT_Tabelle_Riferimento!$H$31:$I$50,2,FALSE))</f>
        <v>8</v>
      </c>
      <c r="HY19" s="422">
        <f>+IFERROR(VLOOKUP(HY$6&amp;"-"&amp;$M19&amp;"_old",Ammortamento_Finanziario!$H:$L,5,FALSE),VLOOKUP($M19,TT_Tabelle_Riferimento!$H$31:$I$50,2,FALSE))</f>
        <v>8</v>
      </c>
      <c r="HZ19" s="422">
        <f>+IFERROR(VLOOKUP(HZ$6&amp;"-"&amp;$M19&amp;"_old",Ammortamento_Finanziario!$H:$L,5,FALSE),VLOOKUP($M19,TT_Tabelle_Riferimento!$H$31:$I$50,2,FALSE))</f>
        <v>8</v>
      </c>
      <c r="IA19" s="422">
        <f>+IFERROR(VLOOKUP(IA$6&amp;"-"&amp;$M19&amp;"_old",Ammortamento_Finanziario!$H:$L,5,FALSE),VLOOKUP($M19,TT_Tabelle_Riferimento!$H$31:$I$50,2,FALSE))</f>
        <v>8</v>
      </c>
      <c r="IB19" s="422">
        <f>+IFERROR(VLOOKUP(IB$6&amp;"-"&amp;$M19&amp;"_old",Ammortamento_Finanziario!$H:$L,5,FALSE),VLOOKUP($M19,TT_Tabelle_Riferimento!$H$31:$I$50,2,FALSE))</f>
        <v>8</v>
      </c>
      <c r="IC19" s="422">
        <f>+IFERROR(VLOOKUP(IC$6&amp;"-"&amp;$M19&amp;"_old",Ammortamento_Finanziario!$H:$L,5,FALSE),VLOOKUP($M19,TT_Tabelle_Riferimento!$H$31:$I$50,2,FALSE))</f>
        <v>8</v>
      </c>
      <c r="ID19" s="422">
        <f>+IFERROR(VLOOKUP(ID$6&amp;"-"&amp;$M19&amp;"_old",Ammortamento_Finanziario!$H:$L,5,FALSE),VLOOKUP($M19,TT_Tabelle_Riferimento!$H$31:$I$50,2,FALSE))</f>
        <v>8</v>
      </c>
      <c r="IE19" s="422">
        <f>+IFERROR(VLOOKUP(IE$6&amp;"-"&amp;$M19&amp;"_old",Ammortamento_Finanziario!$H:$L,5,FALSE),VLOOKUP($M19,TT_Tabelle_Riferimento!$H$31:$I$50,2,FALSE))</f>
        <v>8</v>
      </c>
      <c r="IF19" s="422">
        <f>+IFERROR(VLOOKUP(IF$6&amp;"-"&amp;$M19&amp;"_old",Ammortamento_Finanziario!$H:$L,5,FALSE),VLOOKUP($M19,TT_Tabelle_Riferimento!$H$31:$I$50,2,FALSE))</f>
        <v>8</v>
      </c>
      <c r="IG19" s="422">
        <f>+IFERROR(VLOOKUP(IG$6&amp;"-"&amp;$M19&amp;"_old",Ammortamento_Finanziario!$H:$L,5,FALSE),VLOOKUP($M19,TT_Tabelle_Riferimento!$H$31:$I$50,2,FALSE))</f>
        <v>8</v>
      </c>
      <c r="IH19" s="422">
        <f>+IFERROR(VLOOKUP(IH$6&amp;"-"&amp;$M19&amp;"_old",Ammortamento_Finanziario!$H:$L,5,FALSE),VLOOKUP($M19,TT_Tabelle_Riferimento!$H$31:$I$50,2,FALSE))</f>
        <v>8</v>
      </c>
      <c r="II19" s="422">
        <f>+IFERROR(VLOOKUP(II$6&amp;"-"&amp;$M19&amp;"_old",Ammortamento_Finanziario!$H:$L,5,FALSE),VLOOKUP($M19,TT_Tabelle_Riferimento!$H$31:$I$50,2,FALSE))</f>
        <v>8</v>
      </c>
      <c r="IJ19" s="422">
        <f>+IFERROR(VLOOKUP(IJ$6&amp;"-"&amp;$M19&amp;"_old",Ammortamento_Finanziario!$H:$L,5,FALSE),VLOOKUP($M19,TT_Tabelle_Riferimento!$H$31:$I$50,2,FALSE))</f>
        <v>8</v>
      </c>
      <c r="IK19" s="422">
        <f>+IFERROR(VLOOKUP(IK$6&amp;"-"&amp;$M19&amp;"_old",Ammortamento_Finanziario!$H:$L,5,FALSE),VLOOKUP($M19,TT_Tabelle_Riferimento!$H$31:$I$50,2,FALSE))</f>
        <v>8</v>
      </c>
      <c r="IL19" s="1077">
        <f>+IFERROR(VLOOKUP(IL$6&amp;"-"&amp;$M19&amp;"_old",Ammortamento_Finanziario!$H:$L,5,FALSE),VLOOKUP($M19,TT_Tabelle_Riferimento!$H$31:$I$50,2,FALSE))</f>
        <v>8</v>
      </c>
      <c r="IM19" s="1077">
        <f>+IFERROR(VLOOKUP(IM$6&amp;"-"&amp;$M19&amp;"_old",Ammortamento_Finanziario!$H:$L,5,FALSE),VLOOKUP($M19,TT_Tabelle_Riferimento!$H$31:$I$50,2,FALSE))</f>
        <v>8</v>
      </c>
      <c r="IN19" s="1747">
        <f>+IFERROR(VLOOKUP(IN$6&amp;"-"&amp;$M19&amp;"_old",Ammortamento_Finanziario!$H:$L,5,FALSE),VLOOKUP($M19,TT_Tabelle_Riferimento!$H$31:$I$50,2,FALSE))</f>
        <v>8</v>
      </c>
      <c r="IO19" s="1747">
        <f>+IFERROR(VLOOKUP(IO$6&amp;"-"&amp;$M19&amp;"_old",Ammortamento_Finanziario!$H:$L,5,FALSE),VLOOKUP($M19,TT_Tabelle_Riferimento!$H$31:$I$50,2,FALSE))</f>
        <v>8</v>
      </c>
      <c r="IP19" s="1754">
        <f>+IFERROR(VLOOKUP(IP$6&amp;"-"&amp;$M19&amp;"_old",Ammortamento_Finanziario!$H:$L,5,FALSE),VLOOKUP($M19,TT_Tabelle_Riferimento!$H$31:$I$50,2,FALSE))</f>
        <v>8</v>
      </c>
      <c r="IQ19" s="1754">
        <f>+IFERROR(VLOOKUP(IQ$6&amp;"-"&amp;$M19&amp;"_old",Ammortamento_Finanziario!$H:$L,5,FALSE),VLOOKUP($M19,TT_Tabelle_Riferimento!$H$31:$I$50,2,FALSE))</f>
        <v>8</v>
      </c>
      <c r="IR19" s="1754">
        <f>+IFERROR(VLOOKUP(IR$6&amp;"-"&amp;$M19&amp;"_old",Ammortamento_Finanziario!$H:$L,5,FALSE),VLOOKUP($M19,TT_Tabelle_Riferimento!$H$31:$I$50,2,FALSE))</f>
        <v>8</v>
      </c>
      <c r="IS19" s="1754">
        <f>+IFERROR(VLOOKUP(IS$6&amp;"-"&amp;$M19&amp;"_old",Ammortamento_Finanziario!$H:$L,5,FALSE),VLOOKUP($M19,TT_Tabelle_Riferimento!$H$31:$I$50,2,FALSE))</f>
        <v>8</v>
      </c>
      <c r="IT19" s="1754">
        <f>+IFERROR(VLOOKUP(IT$6&amp;"-"&amp;$M19&amp;"_old",Ammortamento_Finanziario!$H:$L,5,FALSE),VLOOKUP($M19,TT_Tabelle_Riferimento!$H$31:$I$50,2,FALSE))</f>
        <v>8</v>
      </c>
      <c r="IU19" s="1754">
        <f>+IFERROR(VLOOKUP(IU$6&amp;"-"&amp;$M19&amp;"_old",Ammortamento_Finanziario!$H:$L,5,FALSE),VLOOKUP($M19,TT_Tabelle_Riferimento!$H$31:$I$50,2,FALSE))</f>
        <v>8</v>
      </c>
      <c r="IV19" s="1077">
        <f>+IFERROR(VLOOKUP(IV$6&amp;"-"&amp;$M19&amp;"_old",Ammortamento_Finanziario!$H:$L,5,FALSE),VLOOKUP($M19,TT_Tabelle_Riferimento!$H$31:$I$50,2,FALSE))</f>
        <v>8</v>
      </c>
      <c r="IW19" s="1077">
        <f>+IFERROR(VLOOKUP(IW$6&amp;"-"&amp;$M19&amp;"_old",Ammortamento_Finanziario!$H:$L,5,FALSE),VLOOKUP($M19,TT_Tabelle_Riferimento!$H$31:$I$50,2,FALSE))</f>
        <v>8</v>
      </c>
      <c r="IX19" s="1077">
        <f>+IFERROR(VLOOKUP(IX$6&amp;"-"&amp;$M19&amp;"_old",Ammortamento_Finanziario!$H:$L,5,FALSE),VLOOKUP($M19,TT_Tabelle_Riferimento!$H$31:$I$50,2,FALSE))</f>
        <v>8</v>
      </c>
      <c r="IY19" s="1077">
        <f>+IFERROR(VLOOKUP(IY$6&amp;"-"&amp;$M19&amp;"_old",Ammortamento_Finanziario!$H:$L,5,FALSE),VLOOKUP($M19,TT_Tabelle_Riferimento!$H$31:$I$50,2,FALSE))</f>
        <v>8</v>
      </c>
      <c r="IZ19" s="1077">
        <f>+IFERROR(VLOOKUP(IZ$6&amp;"-"&amp;$M19&amp;"_old",Ammortamento_Finanziario!$H:$L,5,FALSE),VLOOKUP($M19,TT_Tabelle_Riferimento!$H$31:$I$50,2,FALSE))</f>
        <v>8</v>
      </c>
      <c r="JA19" s="1077">
        <f>+IFERROR(VLOOKUP(JA$6&amp;"-"&amp;$M19&amp;"_old",Ammortamento_Finanziario!$H:$L,5,FALSE),VLOOKUP($M19,TT_Tabelle_Riferimento!$H$31:$I$50,2,FALSE))</f>
        <v>8</v>
      </c>
      <c r="JB19" s="1077">
        <f>+IFERROR(VLOOKUP(JB$6&amp;"-"&amp;$M19&amp;"_old",Ammortamento_Finanziario!$H:$L,5,FALSE),VLOOKUP($M19,TT_Tabelle_Riferimento!$H$31:$I$50,2,FALSE))</f>
        <v>8</v>
      </c>
      <c r="JC19" s="1077">
        <f>+IFERROR(VLOOKUP(JC$6&amp;"-"&amp;$M19&amp;"_old",Ammortamento_Finanziario!$H:$L,5,FALSE),VLOOKUP($M19,TT_Tabelle_Riferimento!$H$31:$I$50,2,FALSE))</f>
        <v>8</v>
      </c>
      <c r="JD19" s="1077">
        <f>+IFERROR(VLOOKUP(JD$6&amp;"-"&amp;$M19&amp;"_old",Ammortamento_Finanziario!$H:$L,5,FALSE),VLOOKUP($M19,TT_Tabelle_Riferimento!$H$31:$I$50,2,FALSE))</f>
        <v>8</v>
      </c>
      <c r="JE19" s="1077">
        <f>+IFERROR(VLOOKUP(JE$6&amp;"-"&amp;$M19&amp;"_old",Ammortamento_Finanziario!$H:$L,5,FALSE),VLOOKUP($M19,TT_Tabelle_Riferimento!$H$31:$I$50,2,FALSE))</f>
        <v>8</v>
      </c>
      <c r="JF19" s="1077">
        <f>+IFERROR(VLOOKUP(JF$6&amp;"-"&amp;$M19&amp;"_old",Ammortamento_Finanziario!$H:$L,5,FALSE),VLOOKUP($M19,TT_Tabelle_Riferimento!$H$31:$I$50,2,FALSE))</f>
        <v>8</v>
      </c>
      <c r="JG19" s="1077">
        <f>+IFERROR(VLOOKUP(JG$6&amp;"-"&amp;$M19&amp;"_old",Ammortamento_Finanziario!$H:$L,5,FALSE),VLOOKUP($M19,TT_Tabelle_Riferimento!$H$31:$I$50,2,FALSE))</f>
        <v>8</v>
      </c>
      <c r="JH19" s="1077">
        <f>+IFERROR(VLOOKUP(JH$6&amp;"-"&amp;$M19&amp;"_old",Ammortamento_Finanziario!$H:$L,5,FALSE),VLOOKUP($M19,TT_Tabelle_Riferimento!$H$31:$I$50,2,FALSE))</f>
        <v>8</v>
      </c>
      <c r="JI19" s="1077">
        <f>+IFERROR(VLOOKUP(JI$6&amp;"-"&amp;$M19&amp;"_old",Ammortamento_Finanziario!$H:$L,5,FALSE),VLOOKUP($M19,TT_Tabelle_Riferimento!$H$31:$I$50,2,FALSE))</f>
        <v>8</v>
      </c>
      <c r="JJ19" s="1077">
        <f>+IFERROR(VLOOKUP(JJ$6&amp;"-"&amp;$M19&amp;"_old",Ammortamento_Finanziario!$H:$L,5,FALSE),VLOOKUP($M19,TT_Tabelle_Riferimento!$H$31:$I$50,2,FALSE))</f>
        <v>8</v>
      </c>
      <c r="JK19" s="1077">
        <f>+IFERROR(VLOOKUP(JK$6&amp;"-"&amp;$M19&amp;"_old",Ammortamento_Finanziario!$H:$L,5,FALSE),VLOOKUP($M19,TT_Tabelle_Riferimento!$H$31:$I$50,2,FALSE))</f>
        <v>8</v>
      </c>
      <c r="JL19" s="1077">
        <f>+IFERROR(VLOOKUP(JL$6&amp;"-"&amp;$M19&amp;"_old",Ammortamento_Finanziario!$H:$L,5,FALSE),VLOOKUP($M19,TT_Tabelle_Riferimento!$H$31:$I$50,2,FALSE))</f>
        <v>8</v>
      </c>
      <c r="JM19" s="1077">
        <f>+IFERROR(VLOOKUP(JM$6&amp;"-"&amp;$M19&amp;"_old",Ammortamento_Finanziario!$H:$L,5,FALSE),VLOOKUP($M19,TT_Tabelle_Riferimento!$H$31:$I$50,2,FALSE))</f>
        <v>8</v>
      </c>
      <c r="JN19" s="1077">
        <f>+IFERROR(VLOOKUP(JN$6&amp;"-"&amp;$M19&amp;"_old",Ammortamento_Finanziario!$H:$L,5,FALSE),VLOOKUP($M19,TT_Tabelle_Riferimento!$H$31:$I$50,2,FALSE))</f>
        <v>8</v>
      </c>
      <c r="JO19" s="1078">
        <f>+IFERROR(VLOOKUP(JO$6&amp;"-"&amp;$M19&amp;"_old",Ammortamento_Finanziario!$H:$L,5,FALSE),VLOOKUP($M19,TT_Tabelle_Riferimento!$H$31:$I$50,2,FALSE))</f>
        <v>8</v>
      </c>
      <c r="JP19" s="1748">
        <f>+IFERROR(VLOOKUP(JP$6&amp;"-"&amp;$M19&amp;"_old",Ammortamento_Finanziario!$H:$L,5,FALSE),VLOOKUP($M19,TT_Tabelle_Riferimento!$H$31:$I$50,2,FALSE))</f>
        <v>8</v>
      </c>
      <c r="JQ19" s="1748">
        <f>+IFERROR(VLOOKUP(JQ$6&amp;"-"&amp;$M19&amp;"_old",Ammortamento_Finanziario!$H:$L,5,FALSE),VLOOKUP($M19,TT_Tabelle_Riferimento!$H$31:$I$50,2,FALSE))</f>
        <v>8</v>
      </c>
      <c r="JR19" s="1755">
        <f>+IFERROR(VLOOKUP(JR$6&amp;"-"&amp;$M19&amp;"_old",Ammortamento_Finanziario!$H:$L,5,FALSE),VLOOKUP($M19,TT_Tabelle_Riferimento!$H$31:$I$50,2,FALSE))</f>
        <v>8</v>
      </c>
      <c r="JS19" s="1755">
        <f>+IFERROR(VLOOKUP(JS$6&amp;"-"&amp;$M19&amp;"_old",Ammortamento_Finanziario!$H:$L,5,FALSE),VLOOKUP($M19,TT_Tabelle_Riferimento!$H$31:$I$50,2,FALSE))</f>
        <v>8</v>
      </c>
      <c r="JT19" s="1755">
        <f>+IFERROR(VLOOKUP(JT$6&amp;"-"&amp;$M19&amp;"_old",Ammortamento_Finanziario!$H:$L,5,FALSE),VLOOKUP($M19,TT_Tabelle_Riferimento!$H$31:$I$50,2,FALSE))</f>
        <v>8</v>
      </c>
      <c r="JU19" s="1755">
        <f>+IFERROR(VLOOKUP(JU$6&amp;"-"&amp;$M19&amp;"_old",Ammortamento_Finanziario!$H:$L,5,FALSE),VLOOKUP($M19,TT_Tabelle_Riferimento!$H$31:$I$50,2,FALSE))</f>
        <v>8</v>
      </c>
      <c r="JV19" s="1755">
        <f>+IFERROR(VLOOKUP(JV$6&amp;"-"&amp;$M19&amp;"_old",Ammortamento_Finanziario!$H:$L,5,FALSE),VLOOKUP($M19,TT_Tabelle_Riferimento!$H$31:$I$50,2,FALSE))</f>
        <v>8</v>
      </c>
      <c r="JW19" s="1755">
        <f>+IFERROR(VLOOKUP(JW$6&amp;"-"&amp;$M19&amp;"_old",Ammortamento_Finanziario!$H:$L,5,FALSE),VLOOKUP($M19,TT_Tabelle_Riferimento!$H$31:$I$50,2,FALSE))</f>
        <v>8</v>
      </c>
      <c r="JX19" s="1078">
        <f>+IFERROR(VLOOKUP(JX$6&amp;"-"&amp;$M19&amp;"_old",Ammortamento_Finanziario!$H:$L,5,FALSE),VLOOKUP($M19,TT_Tabelle_Riferimento!$H$31:$I$50,2,FALSE))</f>
        <v>8</v>
      </c>
      <c r="JY19" s="1078">
        <f>+IFERROR(VLOOKUP(JY$6&amp;"-"&amp;$M19&amp;"_old",Ammortamento_Finanziario!$H:$L,5,FALSE),VLOOKUP($M19,TT_Tabelle_Riferimento!$H$31:$I$50,2,FALSE))</f>
        <v>8</v>
      </c>
      <c r="JZ19" s="1078">
        <f>+IFERROR(VLOOKUP(JZ$6&amp;"-"&amp;$M19&amp;"_old",Ammortamento_Finanziario!$H:$L,5,FALSE),VLOOKUP($M19,TT_Tabelle_Riferimento!$H$31:$I$50,2,FALSE))</f>
        <v>8</v>
      </c>
      <c r="KA19" s="1078">
        <f>+IFERROR(VLOOKUP(KA$6&amp;"-"&amp;$M19&amp;"_old",Ammortamento_Finanziario!$H:$L,5,FALSE),VLOOKUP($M19,TT_Tabelle_Riferimento!$H$31:$I$50,2,FALSE))</f>
        <v>8</v>
      </c>
      <c r="KB19" s="1078">
        <f>+IFERROR(VLOOKUP(KB$6&amp;"-"&amp;$M19&amp;"_old",Ammortamento_Finanziario!$H:$L,5,FALSE),VLOOKUP($M19,TT_Tabelle_Riferimento!$H$31:$I$50,2,FALSE))</f>
        <v>8</v>
      </c>
      <c r="KC19" s="1078">
        <f>+IFERROR(VLOOKUP(KC$6&amp;"-"&amp;$M19&amp;"_old",Ammortamento_Finanziario!$H:$L,5,FALSE),VLOOKUP($M19,TT_Tabelle_Riferimento!$H$31:$I$50,2,FALSE))</f>
        <v>8</v>
      </c>
      <c r="KD19" s="1078">
        <f>+IFERROR(VLOOKUP(KD$6&amp;"-"&amp;$M19&amp;"_old",Ammortamento_Finanziario!$H:$L,5,FALSE),VLOOKUP($M19,TT_Tabelle_Riferimento!$H$31:$I$50,2,FALSE))</f>
        <v>8</v>
      </c>
      <c r="KE19" s="1078">
        <f>+IFERROR(VLOOKUP(KE$6&amp;"-"&amp;$M19&amp;"_old",Ammortamento_Finanziario!$H:$L,5,FALSE),VLOOKUP($M19,TT_Tabelle_Riferimento!$H$31:$I$50,2,FALSE))</f>
        <v>8</v>
      </c>
      <c r="KF19" s="1078">
        <f>+IFERROR(VLOOKUP(KF$6&amp;"-"&amp;$M19&amp;"_old",Ammortamento_Finanziario!$H:$L,5,FALSE),VLOOKUP($M19,TT_Tabelle_Riferimento!$H$31:$I$50,2,FALSE))</f>
        <v>8</v>
      </c>
      <c r="KG19" s="1078">
        <f>+IFERROR(VLOOKUP(KG$6&amp;"-"&amp;$M19&amp;"_old",Ammortamento_Finanziario!$H:$L,5,FALSE),VLOOKUP($M19,TT_Tabelle_Riferimento!$H$31:$I$50,2,FALSE))</f>
        <v>8</v>
      </c>
      <c r="KH19" s="1078">
        <f>+IFERROR(VLOOKUP(KH$6&amp;"-"&amp;$M19&amp;"_old",Ammortamento_Finanziario!$H:$L,5,FALSE),VLOOKUP($M19,TT_Tabelle_Riferimento!$H$31:$I$50,2,FALSE))</f>
        <v>8</v>
      </c>
      <c r="KI19" s="1078">
        <f>+IFERROR(VLOOKUP(KI$6&amp;"-"&amp;$M19&amp;"_old",Ammortamento_Finanziario!$H:$L,5,FALSE),VLOOKUP($M19,TT_Tabelle_Riferimento!$H$31:$I$50,2,FALSE))</f>
        <v>8</v>
      </c>
      <c r="KJ19" s="1078">
        <f>+IFERROR(VLOOKUP(KJ$6&amp;"-"&amp;$M19&amp;"_old",Ammortamento_Finanziario!$H:$L,5,FALSE),VLOOKUP($M19,TT_Tabelle_Riferimento!$H$31:$I$50,2,FALSE))</f>
        <v>8</v>
      </c>
      <c r="KK19" s="1078">
        <f>+IFERROR(VLOOKUP(KK$6&amp;"-"&amp;$M19&amp;"_old",Ammortamento_Finanziario!$H:$L,5,FALSE),VLOOKUP($M19,TT_Tabelle_Riferimento!$H$31:$I$50,2,FALSE))</f>
        <v>8</v>
      </c>
      <c r="KL19" s="1078">
        <f>+IFERROR(VLOOKUP(KL$6&amp;"-"&amp;$M19&amp;"_old",Ammortamento_Finanziario!$H:$L,5,FALSE),VLOOKUP($M19,TT_Tabelle_Riferimento!$H$31:$I$50,2,FALSE))</f>
        <v>8</v>
      </c>
      <c r="KM19" s="1078">
        <f>+IFERROR(VLOOKUP(KM$6&amp;"-"&amp;$M19&amp;"_old",Ammortamento_Finanziario!$H:$L,5,FALSE),VLOOKUP($M19,TT_Tabelle_Riferimento!$H$31:$I$50,2,FALSE))</f>
        <v>8</v>
      </c>
      <c r="KN19" s="1078">
        <f>+IFERROR(VLOOKUP(KN$6&amp;"-"&amp;$M19&amp;"_old",Ammortamento_Finanziario!$H:$L,5,FALSE),VLOOKUP($M19,TT_Tabelle_Riferimento!$H$31:$I$50,2,FALSE))</f>
        <v>8</v>
      </c>
      <c r="KO19" s="1078">
        <f>+IFERROR(VLOOKUP(KO$6&amp;"-"&amp;$M19&amp;"_old",Ammortamento_Finanziario!$H:$L,5,FALSE),VLOOKUP($M19,TT_Tabelle_Riferimento!$H$31:$I$50,2,FALSE))</f>
        <v>8</v>
      </c>
      <c r="KP19" s="1078">
        <f>+IFERROR(VLOOKUP(KP$6&amp;"-"&amp;$M19&amp;"_old",Ammortamento_Finanziario!$H:$L,5,FALSE),VLOOKUP($M19,TT_Tabelle_Riferimento!$H$31:$I$50,2,FALSE))</f>
        <v>8</v>
      </c>
      <c r="KQ19" s="1748">
        <f>+IFERROR(VLOOKUP(KQ$6&amp;"-"&amp;$M19&amp;"_old",Ammortamento_Finanziario!$H:$L,5,FALSE),VLOOKUP($M19,TT_Tabelle_Riferimento!$H$31:$I$50,2,FALSE))</f>
        <v>8</v>
      </c>
      <c r="KR19" s="1748">
        <f>+IFERROR(VLOOKUP(KR$6&amp;"-"&amp;$M19&amp;"_old",Ammortamento_Finanziario!$H:$L,5,FALSE),VLOOKUP($M19,TT_Tabelle_Riferimento!$H$31:$I$50,2,FALSE))</f>
        <v>8</v>
      </c>
      <c r="KS19" s="1755">
        <f>+IFERROR(VLOOKUP(KS$6&amp;"-"&amp;$M19&amp;"_old",Ammortamento_Finanziario!$H:$L,5,FALSE),VLOOKUP($M19,TT_Tabelle_Riferimento!$H$31:$I$50,2,FALSE))</f>
        <v>8</v>
      </c>
      <c r="KT19" s="1755">
        <f>+IFERROR(VLOOKUP(KT$6&amp;"-"&amp;$M19&amp;"_old",Ammortamento_Finanziario!$H:$L,5,FALSE),VLOOKUP($M19,TT_Tabelle_Riferimento!$H$31:$I$50,2,FALSE))</f>
        <v>8</v>
      </c>
      <c r="KU19" s="1755">
        <f>+IFERROR(VLOOKUP(KU$6&amp;"-"&amp;$M19&amp;"_old",Ammortamento_Finanziario!$H:$L,5,FALSE),VLOOKUP($M19,TT_Tabelle_Riferimento!$H$31:$I$50,2,FALSE))</f>
        <v>8</v>
      </c>
      <c r="KV19" s="1755">
        <f>+IFERROR(VLOOKUP(KV$6&amp;"-"&amp;$M19&amp;"_old",Ammortamento_Finanziario!$H:$L,5,FALSE),VLOOKUP($M19,TT_Tabelle_Riferimento!$H$31:$I$50,2,FALSE))</f>
        <v>8</v>
      </c>
      <c r="KW19" s="1755">
        <f>+IFERROR(VLOOKUP(KW$6&amp;"-"&amp;$M19&amp;"_old",Ammortamento_Finanziario!$H:$L,5,FALSE),VLOOKUP($M19,TT_Tabelle_Riferimento!$H$31:$I$50,2,FALSE))</f>
        <v>8</v>
      </c>
      <c r="KX19" s="1755">
        <f>+IFERROR(VLOOKUP(KX$6&amp;"-"&amp;$M19&amp;"_old",Ammortamento_Finanziario!$H:$L,5,FALSE),VLOOKUP($M19,TT_Tabelle_Riferimento!$H$31:$I$50,2,FALSE))</f>
        <v>8</v>
      </c>
      <c r="KY19" s="1078">
        <f>+IFERROR(VLOOKUP(KY$6&amp;"-"&amp;$M19&amp;"_old",Ammortamento_Finanziario!$H:$L,5,FALSE),VLOOKUP($M19,TT_Tabelle_Riferimento!$H$31:$I$50,2,FALSE))</f>
        <v>8</v>
      </c>
      <c r="KZ19" s="1078">
        <f>+IFERROR(VLOOKUP(KZ$6&amp;"-"&amp;$M19&amp;"_old",Ammortamento_Finanziario!$H:$L,5,FALSE),VLOOKUP($M19,TT_Tabelle_Riferimento!$H$31:$I$50,2,FALSE))</f>
        <v>8</v>
      </c>
      <c r="LA19" s="1078">
        <f>+IFERROR(VLOOKUP(LA$6&amp;"-"&amp;$M19&amp;"_old",Ammortamento_Finanziario!$H:$L,5,FALSE),VLOOKUP($M19,TT_Tabelle_Riferimento!$H$31:$I$50,2,FALSE))</f>
        <v>8</v>
      </c>
      <c r="LB19" s="1078">
        <f>+IFERROR(VLOOKUP(LB$6&amp;"-"&amp;$M19&amp;"_old",Ammortamento_Finanziario!$H:$L,5,FALSE),VLOOKUP($M19,TT_Tabelle_Riferimento!$H$31:$I$50,2,FALSE))</f>
        <v>8</v>
      </c>
      <c r="LC19" s="1078">
        <f>+IFERROR(VLOOKUP(LC$6&amp;"-"&amp;$M19&amp;"_old",Ammortamento_Finanziario!$H:$L,5,FALSE),VLOOKUP($M19,TT_Tabelle_Riferimento!$H$31:$I$50,2,FALSE))</f>
        <v>8</v>
      </c>
      <c r="LD19" s="1078">
        <f>+IFERROR(VLOOKUP(LD$6&amp;"-"&amp;$M19&amp;"_old",Ammortamento_Finanziario!$H:$L,5,FALSE),VLOOKUP($M19,TT_Tabelle_Riferimento!$H$31:$I$50,2,FALSE))</f>
        <v>8</v>
      </c>
      <c r="LE19" s="1078">
        <f>+IFERROR(VLOOKUP(LE$6&amp;"-"&amp;$M19&amp;"_old",Ammortamento_Finanziario!$H:$L,5,FALSE),VLOOKUP($M19,TT_Tabelle_Riferimento!$H$31:$I$50,2,FALSE))</f>
        <v>8</v>
      </c>
      <c r="LF19" s="1078">
        <f>+IFERROR(VLOOKUP(LF$6&amp;"-"&amp;$M19&amp;"_old",Ammortamento_Finanziario!$H:$L,5,FALSE),VLOOKUP($M19,TT_Tabelle_Riferimento!$H$31:$I$50,2,FALSE))</f>
        <v>8</v>
      </c>
      <c r="LG19" s="1078">
        <f>+IFERROR(VLOOKUP(LG$6&amp;"-"&amp;$M19&amp;"_old",Ammortamento_Finanziario!$H:$L,5,FALSE),VLOOKUP($M19,TT_Tabelle_Riferimento!$H$31:$I$50,2,FALSE))</f>
        <v>8</v>
      </c>
      <c r="LH19" s="1078">
        <f>+IFERROR(VLOOKUP(LH$6&amp;"-"&amp;$M19&amp;"_old",Ammortamento_Finanziario!$H:$L,5,FALSE),VLOOKUP($M19,TT_Tabelle_Riferimento!$H$31:$I$50,2,FALSE))</f>
        <v>8</v>
      </c>
      <c r="LI19" s="1078">
        <f>+IFERROR(VLOOKUP(LI$6&amp;"-"&amp;$M19&amp;"_old",Ammortamento_Finanziario!$H:$L,5,FALSE),VLOOKUP($M19,TT_Tabelle_Riferimento!$H$31:$I$50,2,FALSE))</f>
        <v>8</v>
      </c>
      <c r="LJ19" s="1078">
        <f>+IFERROR(VLOOKUP(LJ$6&amp;"-"&amp;$M19&amp;"_old",Ammortamento_Finanziario!$H:$L,5,FALSE),VLOOKUP($M19,TT_Tabelle_Riferimento!$H$31:$I$50,2,FALSE))</f>
        <v>8</v>
      </c>
      <c r="LK19" s="1078">
        <f>+IFERROR(VLOOKUP(LK$6&amp;"-"&amp;$M19&amp;"_old",Ammortamento_Finanziario!$H:$L,5,FALSE),VLOOKUP($M19,TT_Tabelle_Riferimento!$H$31:$I$50,2,FALSE))</f>
        <v>8</v>
      </c>
      <c r="LL19" s="1078">
        <f>+IFERROR(VLOOKUP(LL$6&amp;"-"&amp;$M19&amp;"_old",Ammortamento_Finanziario!$H:$L,5,FALSE),VLOOKUP($M19,TT_Tabelle_Riferimento!$H$31:$I$50,2,FALSE))</f>
        <v>8</v>
      </c>
      <c r="LM19" s="1078">
        <f>+IFERROR(VLOOKUP(LM$6&amp;"-"&amp;$M19&amp;"_old",Ammortamento_Finanziario!$H:$L,5,FALSE),VLOOKUP($M19,TT_Tabelle_Riferimento!$H$31:$I$50,2,FALSE))</f>
        <v>8</v>
      </c>
      <c r="LN19" s="1078">
        <f>+IFERROR(VLOOKUP(LN$6&amp;"-"&amp;$M19&amp;"_old",Ammortamento_Finanziario!$H:$L,5,FALSE),VLOOKUP($M19,TT_Tabelle_Riferimento!$H$31:$I$50,2,FALSE))</f>
        <v>8</v>
      </c>
      <c r="LO19" s="1078">
        <f>+IFERROR(VLOOKUP(LO$6&amp;"-"&amp;$M19&amp;"_old",Ammortamento_Finanziario!$H:$L,5,FALSE),VLOOKUP($M19,TT_Tabelle_Riferimento!$H$31:$I$50,2,FALSE))</f>
        <v>8</v>
      </c>
      <c r="LP19" s="1078">
        <f>+IFERROR(VLOOKUP(LP$6&amp;"-"&amp;$M19&amp;"_old",Ammortamento_Finanziario!$H:$L,5,FALSE),VLOOKUP($M19,TT_Tabelle_Riferimento!$H$31:$I$50,2,FALSE))</f>
        <v>8</v>
      </c>
      <c r="LQ19" s="1078">
        <f>+IFERROR(VLOOKUP(LQ$6&amp;"-"&amp;$M19&amp;"_old",Ammortamento_Finanziario!$H:$L,5,FALSE),VLOOKUP($M19,TT_Tabelle_Riferimento!$H$31:$I$50,2,FALSE))</f>
        <v>8</v>
      </c>
      <c r="LR19" s="1748">
        <f>+IFERROR(VLOOKUP(LR$6&amp;"-"&amp;$M19&amp;"_old",Ammortamento_Finanziario!$H:$L,5,FALSE),VLOOKUP($M19,TT_Tabelle_Riferimento!$H$31:$I$50,2,FALSE))</f>
        <v>8</v>
      </c>
      <c r="LS19" s="1755">
        <f>+IFERROR(VLOOKUP(LS$6&amp;"-"&amp;$M19&amp;"_old",Ammortamento_Finanziario!$H:$L,5,FALSE),VLOOKUP($M19,TT_Tabelle_Riferimento!$H$31:$I$50,2,FALSE))</f>
        <v>8</v>
      </c>
      <c r="LT19" s="1755">
        <f>+IFERROR(VLOOKUP(LT$6&amp;"-"&amp;$M19&amp;"_old",Ammortamento_Finanziario!$H:$L,5,FALSE),VLOOKUP($M19,TT_Tabelle_Riferimento!$H$31:$I$50,2,FALSE))</f>
        <v>8</v>
      </c>
      <c r="LU19" s="1755">
        <f>+IFERROR(VLOOKUP(LU$6&amp;"-"&amp;$M19&amp;"_old",Ammortamento_Finanziario!$H:$L,5,FALSE),VLOOKUP($M19,TT_Tabelle_Riferimento!$H$31:$I$50,2,FALSE))</f>
        <v>8</v>
      </c>
      <c r="LV19" s="1755">
        <f>+IFERROR(VLOOKUP(LV$6&amp;"-"&amp;$M19&amp;"_old",Ammortamento_Finanziario!$H:$L,5,FALSE),VLOOKUP($M19,TT_Tabelle_Riferimento!$H$31:$I$50,2,FALSE))</f>
        <v>8</v>
      </c>
      <c r="LW19" s="1755">
        <f>+IFERROR(VLOOKUP(LW$6&amp;"-"&amp;$M19&amp;"_old",Ammortamento_Finanziario!$H:$L,5,FALSE),VLOOKUP($M19,TT_Tabelle_Riferimento!$H$31:$I$50,2,FALSE))</f>
        <v>8</v>
      </c>
      <c r="LX19" s="1755">
        <f>+IFERROR(VLOOKUP(LX$6&amp;"-"&amp;$M19&amp;"_old",Ammortamento_Finanziario!$H:$L,5,FALSE),VLOOKUP($M19,TT_Tabelle_Riferimento!$H$31:$I$50,2,FALSE))</f>
        <v>8</v>
      </c>
      <c r="LY19" s="1078">
        <f>+IFERROR(VLOOKUP(LY$6&amp;"-"&amp;$M19&amp;"_old",Ammortamento_Finanziario!$H:$L,5,FALSE),VLOOKUP($M19,TT_Tabelle_Riferimento!$H$31:$I$50,2,FALSE))</f>
        <v>8</v>
      </c>
      <c r="LZ19" s="1078">
        <f>+IFERROR(VLOOKUP(LZ$6&amp;"-"&amp;$M19&amp;"_old",Ammortamento_Finanziario!$H:$L,5,FALSE),VLOOKUP($M19,TT_Tabelle_Riferimento!$H$31:$I$50,2,FALSE))</f>
        <v>8</v>
      </c>
      <c r="MA19" s="1078">
        <f>+IFERROR(VLOOKUP(MA$6&amp;"-"&amp;$M19&amp;"_old",Ammortamento_Finanziario!$H:$L,5,FALSE),VLOOKUP($M19,TT_Tabelle_Riferimento!$H$31:$I$50,2,FALSE))</f>
        <v>8</v>
      </c>
      <c r="MB19" s="1078">
        <f>+IFERROR(VLOOKUP(MB$6&amp;"-"&amp;$M19&amp;"_old",Ammortamento_Finanziario!$H:$L,5,FALSE),VLOOKUP($M19,TT_Tabelle_Riferimento!$H$31:$I$50,2,FALSE))</f>
        <v>8</v>
      </c>
      <c r="MC19" s="1078">
        <f>+IFERROR(VLOOKUP(MC$6&amp;"-"&amp;$M19&amp;"_old",Ammortamento_Finanziario!$H:$L,5,FALSE),VLOOKUP($M19,TT_Tabelle_Riferimento!$H$31:$I$50,2,FALSE))</f>
        <v>8</v>
      </c>
      <c r="MD19" s="1078">
        <f>+IFERROR(VLOOKUP(MD$6&amp;"-"&amp;$M19&amp;"_old",Ammortamento_Finanziario!$H:$L,5,FALSE),VLOOKUP($M19,TT_Tabelle_Riferimento!$H$31:$I$50,2,FALSE))</f>
        <v>8</v>
      </c>
      <c r="ME19" s="1078">
        <f>+IFERROR(VLOOKUP(ME$6&amp;"-"&amp;$M19&amp;"_old",Ammortamento_Finanziario!$H:$L,5,FALSE),VLOOKUP($M19,TT_Tabelle_Riferimento!$H$31:$I$50,2,FALSE))</f>
        <v>8</v>
      </c>
      <c r="MF19" s="1078">
        <f>+IFERROR(VLOOKUP(MF$6&amp;"-"&amp;$M19&amp;"_old",Ammortamento_Finanziario!$H:$L,5,FALSE),VLOOKUP($M19,TT_Tabelle_Riferimento!$H$31:$I$50,2,FALSE))</f>
        <v>8</v>
      </c>
      <c r="MG19" s="1078">
        <f>+IFERROR(VLOOKUP(MG$6&amp;"-"&amp;$M19&amp;"_old",Ammortamento_Finanziario!$H:$L,5,FALSE),VLOOKUP($M19,TT_Tabelle_Riferimento!$H$31:$I$50,2,FALSE))</f>
        <v>8</v>
      </c>
      <c r="MH19" s="1078">
        <f>+IFERROR(VLOOKUP(MH$6&amp;"-"&amp;$M19&amp;"_old",Ammortamento_Finanziario!$H:$L,5,FALSE),VLOOKUP($M19,TT_Tabelle_Riferimento!$H$31:$I$50,2,FALSE))</f>
        <v>8</v>
      </c>
      <c r="MI19" s="1078">
        <f>+IFERROR(VLOOKUP(MI$6&amp;"-"&amp;$M19&amp;"_old",Ammortamento_Finanziario!$H:$L,5,FALSE),VLOOKUP($M19,TT_Tabelle_Riferimento!$H$31:$I$50,2,FALSE))</f>
        <v>8</v>
      </c>
      <c r="MJ19" s="1078">
        <f>+IFERROR(VLOOKUP(MJ$6&amp;"-"&amp;$M19&amp;"_old",Ammortamento_Finanziario!$H:$L,5,FALSE),VLOOKUP($M19,TT_Tabelle_Riferimento!$H$31:$I$50,2,FALSE))</f>
        <v>8</v>
      </c>
      <c r="MK19" s="1078">
        <f>+IFERROR(VLOOKUP(MK$6&amp;"-"&amp;$M19&amp;"_old",Ammortamento_Finanziario!$H:$L,5,FALSE),VLOOKUP($M19,TT_Tabelle_Riferimento!$H$31:$I$50,2,FALSE))</f>
        <v>8</v>
      </c>
      <c r="ML19" s="1078">
        <f>+IFERROR(VLOOKUP(ML$6&amp;"-"&amp;$M19&amp;"_old",Ammortamento_Finanziario!$H:$L,5,FALSE),VLOOKUP($M19,TT_Tabelle_Riferimento!$H$31:$I$50,2,FALSE))</f>
        <v>8</v>
      </c>
      <c r="MM19" s="1078">
        <f>+IFERROR(VLOOKUP(MM$6&amp;"-"&amp;$M19&amp;"_old",Ammortamento_Finanziario!$H:$L,5,FALSE),VLOOKUP($M19,TT_Tabelle_Riferimento!$H$31:$I$50,2,FALSE))</f>
        <v>8</v>
      </c>
      <c r="MN19" s="1078">
        <f>+IFERROR(VLOOKUP(MN$6&amp;"-"&amp;$M19&amp;"_old",Ammortamento_Finanziario!$H:$L,5,FALSE),VLOOKUP($M19,TT_Tabelle_Riferimento!$H$31:$I$50,2,FALSE))</f>
        <v>8</v>
      </c>
      <c r="MO19" s="1078">
        <f>+IFERROR(VLOOKUP(MO$6&amp;"-"&amp;$M19&amp;"_old",Ammortamento_Finanziario!$H:$L,5,FALSE),VLOOKUP($M19,TT_Tabelle_Riferimento!$H$31:$I$50,2,FALSE))</f>
        <v>8</v>
      </c>
      <c r="MP19" s="1078">
        <f>+IFERROR(VLOOKUP(MP$6&amp;"-"&amp;$M19&amp;"_old",Ammortamento_Finanziario!$H:$L,5,FALSE),VLOOKUP($M19,TT_Tabelle_Riferimento!$H$31:$I$50,2,FALSE))</f>
        <v>8</v>
      </c>
      <c r="MQ19" s="1078">
        <f>+IFERROR(VLOOKUP(MQ$6&amp;"-"&amp;$M19&amp;"_old",Ammortamento_Finanziario!$H:$L,5,FALSE),VLOOKUP($M19,TT_Tabelle_Riferimento!$H$31:$I$50,2,FALSE))</f>
        <v>8</v>
      </c>
      <c r="MR19" s="1755">
        <f>+IFERROR(VLOOKUP(MR$6&amp;"-"&amp;$M19&amp;"_old",Ammortamento_Finanziario!$H:$L,5,FALSE),VLOOKUP($M19,TT_Tabelle_Riferimento!$H$31:$I$50,2,FALSE))</f>
        <v>8</v>
      </c>
      <c r="MS19" s="1755">
        <f>+IFERROR(VLOOKUP(MS$6&amp;"-"&amp;$M19&amp;"_old",Ammortamento_Finanziario!$H:$L,5,FALSE),VLOOKUP($M19,TT_Tabelle_Riferimento!$H$31:$I$50,2,FALSE))</f>
        <v>8</v>
      </c>
      <c r="MT19" s="1755">
        <f>+IFERROR(VLOOKUP(MT$6&amp;"-"&amp;$M19&amp;"_old",Ammortamento_Finanziario!$H:$L,5,FALSE),VLOOKUP($M19,TT_Tabelle_Riferimento!$H$31:$I$50,2,FALSE))</f>
        <v>8</v>
      </c>
      <c r="MU19" s="1755">
        <f>+IFERROR(VLOOKUP(MU$6&amp;"-"&amp;$M19&amp;"_old",Ammortamento_Finanziario!$H:$L,5,FALSE),VLOOKUP($M19,TT_Tabelle_Riferimento!$H$31:$I$50,2,FALSE))</f>
        <v>8</v>
      </c>
      <c r="MV19" s="1755">
        <f>+IFERROR(VLOOKUP(MV$6&amp;"-"&amp;$M19&amp;"_old",Ammortamento_Finanziario!$H:$L,5,FALSE),VLOOKUP($M19,TT_Tabelle_Riferimento!$H$31:$I$50,2,FALSE))</f>
        <v>8</v>
      </c>
      <c r="MW19" s="1755">
        <f>+IFERROR(VLOOKUP(MW$6&amp;"-"&amp;$M19&amp;"_old",Ammortamento_Finanziario!$H:$L,5,FALSE),VLOOKUP($M19,TT_Tabelle_Riferimento!$H$31:$I$50,2,FALSE))</f>
        <v>8</v>
      </c>
      <c r="MX19" s="1078">
        <f>+IFERROR(VLOOKUP(MX$6&amp;"-"&amp;$M19&amp;"_old",Ammortamento_Finanziario!$H:$L,5,FALSE),VLOOKUP($M19,TT_Tabelle_Riferimento!$H$31:$I$50,2,FALSE))</f>
        <v>8</v>
      </c>
      <c r="MY19" s="1078">
        <f>+IFERROR(VLOOKUP(MY$6&amp;"-"&amp;$M19&amp;"_old",Ammortamento_Finanziario!$H:$L,5,FALSE),VLOOKUP($M19,TT_Tabelle_Riferimento!$H$31:$I$50,2,FALSE))</f>
        <v>8</v>
      </c>
      <c r="MZ19" s="1078">
        <f>+IFERROR(VLOOKUP(MZ$6&amp;"-"&amp;$M19&amp;"_old",Ammortamento_Finanziario!$H:$L,5,FALSE),VLOOKUP($M19,TT_Tabelle_Riferimento!$H$31:$I$50,2,FALSE))</f>
        <v>8</v>
      </c>
      <c r="NA19" s="1078">
        <f>+IFERROR(VLOOKUP(NA$6&amp;"-"&amp;$M19&amp;"_old",Ammortamento_Finanziario!$H:$L,5,FALSE),VLOOKUP($M19,TT_Tabelle_Riferimento!$H$31:$I$50,2,FALSE))</f>
        <v>8</v>
      </c>
      <c r="NB19" s="1078">
        <f>+IFERROR(VLOOKUP(NB$6&amp;"-"&amp;$M19&amp;"_old",Ammortamento_Finanziario!$H:$L,5,FALSE),VLOOKUP($M19,TT_Tabelle_Riferimento!$H$31:$I$50,2,FALSE))</f>
        <v>8</v>
      </c>
      <c r="NC19" s="1078">
        <f>+IFERROR(VLOOKUP(NC$6&amp;"-"&amp;$M19&amp;"_old",Ammortamento_Finanziario!$H:$L,5,FALSE),VLOOKUP($M19,TT_Tabelle_Riferimento!$H$31:$I$50,2,FALSE))</f>
        <v>8</v>
      </c>
      <c r="ND19" s="1078">
        <f>+IFERROR(VLOOKUP(ND$6&amp;"-"&amp;$M19&amp;"_old",Ammortamento_Finanziario!$H:$L,5,FALSE),VLOOKUP($M19,TT_Tabelle_Riferimento!$H$31:$I$50,2,FALSE))</f>
        <v>8</v>
      </c>
      <c r="NE19" s="1078">
        <f>+IFERROR(VLOOKUP(NE$6&amp;"-"&amp;$M19&amp;"_old",Ammortamento_Finanziario!$H:$L,5,FALSE),VLOOKUP($M19,TT_Tabelle_Riferimento!$H$31:$I$50,2,FALSE))</f>
        <v>8</v>
      </c>
      <c r="NF19" s="1078">
        <f>+IFERROR(VLOOKUP(NF$6&amp;"-"&amp;$M19&amp;"_old",Ammortamento_Finanziario!$H:$L,5,FALSE),VLOOKUP($M19,TT_Tabelle_Riferimento!$H$31:$I$50,2,FALSE))</f>
        <v>8</v>
      </c>
      <c r="NG19" s="1078">
        <f>+IFERROR(VLOOKUP(NG$6&amp;"-"&amp;$M19&amp;"_old",Ammortamento_Finanziario!$H:$L,5,FALSE),VLOOKUP($M19,TT_Tabelle_Riferimento!$H$31:$I$50,2,FALSE))</f>
        <v>8</v>
      </c>
      <c r="NH19" s="1078">
        <f>+IFERROR(VLOOKUP(NH$6&amp;"-"&amp;$M19&amp;"_old",Ammortamento_Finanziario!$H:$L,5,FALSE),VLOOKUP($M19,TT_Tabelle_Riferimento!$H$31:$I$50,2,FALSE))</f>
        <v>8</v>
      </c>
      <c r="NI19" s="1078">
        <f>+IFERROR(VLOOKUP(NI$6&amp;"-"&amp;$M19&amp;"_old",Ammortamento_Finanziario!$H:$L,5,FALSE),VLOOKUP($M19,TT_Tabelle_Riferimento!$H$31:$I$50,2,FALSE))</f>
        <v>8</v>
      </c>
      <c r="NJ19" s="1078">
        <f>+IFERROR(VLOOKUP(NJ$6&amp;"-"&amp;$M19&amp;"_old",Ammortamento_Finanziario!$H:$L,5,FALSE),VLOOKUP($M19,TT_Tabelle_Riferimento!$H$31:$I$50,2,FALSE))</f>
        <v>8</v>
      </c>
      <c r="NK19" s="1078">
        <f>+IFERROR(VLOOKUP(NK$6&amp;"-"&amp;$M19&amp;"_old",Ammortamento_Finanziario!$H:$L,5,FALSE),VLOOKUP($M19,TT_Tabelle_Riferimento!$H$31:$I$50,2,FALSE))</f>
        <v>8</v>
      </c>
      <c r="NL19" s="1078">
        <f>+IFERROR(VLOOKUP(NL$6&amp;"-"&amp;$M19&amp;"_old",Ammortamento_Finanziario!$H:$L,5,FALSE),VLOOKUP($M19,TT_Tabelle_Riferimento!$H$31:$I$50,2,FALSE))</f>
        <v>8</v>
      </c>
      <c r="NM19" s="1078">
        <f>+IFERROR(VLOOKUP(NM$6&amp;"-"&amp;$M19&amp;"_old",Ammortamento_Finanziario!$H:$L,5,FALSE),VLOOKUP($M19,TT_Tabelle_Riferimento!$H$31:$I$50,2,FALSE))</f>
        <v>8</v>
      </c>
      <c r="NN19" s="1078">
        <f>+IFERROR(VLOOKUP(NN$6&amp;"-"&amp;$M19&amp;"_old",Ammortamento_Finanziario!$H:$L,5,FALSE),VLOOKUP($M19,TT_Tabelle_Riferimento!$H$31:$I$50,2,FALSE))</f>
        <v>8</v>
      </c>
      <c r="NO19" s="1078">
        <f>+IFERROR(VLOOKUP(NO$6&amp;"-"&amp;$M19&amp;"_old",Ammortamento_Finanziario!$H:$L,5,FALSE),VLOOKUP($M19,TT_Tabelle_Riferimento!$H$31:$I$50,2,FALSE))</f>
        <v>8</v>
      </c>
      <c r="NP19" s="1078">
        <f>+IFERROR(VLOOKUP(NP$6&amp;"-"&amp;$M19&amp;"_old",Ammortamento_Finanziario!$H:$L,5,FALSE),VLOOKUP($M19,TT_Tabelle_Riferimento!$H$31:$I$50,2,FALSE))</f>
        <v>8</v>
      </c>
      <c r="NQ19" s="1755">
        <f>+IFERROR(VLOOKUP(NQ$6&amp;"-"&amp;$M19&amp;"_old",Ammortamento_Finanziario!$H:$L,5,FALSE),VLOOKUP($M19,TT_Tabelle_Riferimento!$H$31:$I$50,2,FALSE))</f>
        <v>8</v>
      </c>
      <c r="NR19" s="1755">
        <f>+IFERROR(VLOOKUP(NR$6&amp;"-"&amp;$M19&amp;"_old",Ammortamento_Finanziario!$H:$L,5,FALSE),VLOOKUP($M19,TT_Tabelle_Riferimento!$H$31:$I$50,2,FALSE))</f>
        <v>8</v>
      </c>
      <c r="NS19" s="1755">
        <f>+IFERROR(VLOOKUP(NS$6&amp;"-"&amp;$M19&amp;"_old",Ammortamento_Finanziario!$H:$L,5,FALSE),VLOOKUP($M19,TT_Tabelle_Riferimento!$H$31:$I$50,2,FALSE))</f>
        <v>8</v>
      </c>
      <c r="NT19" s="1755">
        <f>+IFERROR(VLOOKUP(NT$6&amp;"-"&amp;$M19&amp;"_old",Ammortamento_Finanziario!$H:$L,5,FALSE),VLOOKUP($M19,TT_Tabelle_Riferimento!$H$31:$I$50,2,FALSE))</f>
        <v>8</v>
      </c>
      <c r="NU19" s="1755">
        <f>+IFERROR(VLOOKUP(NU$6&amp;"-"&amp;$M19&amp;"_old",Ammortamento_Finanziario!$H:$L,5,FALSE),VLOOKUP($M19,TT_Tabelle_Riferimento!$H$31:$I$50,2,FALSE))</f>
        <v>8</v>
      </c>
      <c r="NV19" s="1078">
        <f>+IFERROR(VLOOKUP(NV$6&amp;"-"&amp;$M19&amp;"_old",Ammortamento_Finanziario!$H:$L,5,FALSE),VLOOKUP($M19,TT_Tabelle_Riferimento!$H$31:$I$50,2,FALSE))</f>
        <v>8</v>
      </c>
      <c r="NW19" s="1078">
        <f>+IFERROR(VLOOKUP(NW$6&amp;"-"&amp;$M19&amp;"_old",Ammortamento_Finanziario!$H:$L,5,FALSE),VLOOKUP($M19,TT_Tabelle_Riferimento!$H$31:$I$50,2,FALSE))</f>
        <v>8</v>
      </c>
      <c r="NX19" s="1078">
        <f>+IFERROR(VLOOKUP(NX$6&amp;"-"&amp;$M19&amp;"_old",Ammortamento_Finanziario!$H:$L,5,FALSE),VLOOKUP($M19,TT_Tabelle_Riferimento!$H$31:$I$50,2,FALSE))</f>
        <v>8</v>
      </c>
      <c r="NY19" s="1078">
        <f>+IFERROR(VLOOKUP(NY$6&amp;"-"&amp;$M19&amp;"_old",Ammortamento_Finanziario!$H:$L,5,FALSE),VLOOKUP($M19,TT_Tabelle_Riferimento!$H$31:$I$50,2,FALSE))</f>
        <v>8</v>
      </c>
      <c r="NZ19" s="1078">
        <f>+IFERROR(VLOOKUP(NZ$6&amp;"-"&amp;$M19&amp;"_old",Ammortamento_Finanziario!$H:$L,5,FALSE),VLOOKUP($M19,TT_Tabelle_Riferimento!$H$31:$I$50,2,FALSE))</f>
        <v>8</v>
      </c>
      <c r="OA19" s="1078">
        <f>+IFERROR(VLOOKUP(OA$6&amp;"-"&amp;$M19&amp;"_old",Ammortamento_Finanziario!$H:$L,5,FALSE),VLOOKUP($M19,TT_Tabelle_Riferimento!$H$31:$I$50,2,FALSE))</f>
        <v>8</v>
      </c>
      <c r="OB19" s="1078">
        <f>+IFERROR(VLOOKUP(OB$6&amp;"-"&amp;$M19&amp;"_old",Ammortamento_Finanziario!$H:$L,5,FALSE),VLOOKUP($M19,TT_Tabelle_Riferimento!$H$31:$I$50,2,FALSE))</f>
        <v>8</v>
      </c>
      <c r="OC19" s="1078">
        <f>+IFERROR(VLOOKUP(OC$6&amp;"-"&amp;$M19&amp;"_old",Ammortamento_Finanziario!$H:$L,5,FALSE),VLOOKUP($M19,TT_Tabelle_Riferimento!$H$31:$I$50,2,FALSE))</f>
        <v>8</v>
      </c>
      <c r="OD19" s="1078">
        <f>+IFERROR(VLOOKUP(OD$6&amp;"-"&amp;$M19&amp;"_old",Ammortamento_Finanziario!$H:$L,5,FALSE),VLOOKUP($M19,TT_Tabelle_Riferimento!$H$31:$I$50,2,FALSE))</f>
        <v>8</v>
      </c>
      <c r="OE19" s="1078">
        <f>+IFERROR(VLOOKUP(OE$6&amp;"-"&amp;$M19&amp;"_old",Ammortamento_Finanziario!$H:$L,5,FALSE),VLOOKUP($M19,TT_Tabelle_Riferimento!$H$31:$I$50,2,FALSE))</f>
        <v>8</v>
      </c>
      <c r="OF19" s="1078">
        <f>+IFERROR(VLOOKUP(OF$6&amp;"-"&amp;$M19&amp;"_old",Ammortamento_Finanziario!$H:$L,5,FALSE),VLOOKUP($M19,TT_Tabelle_Riferimento!$H$31:$I$50,2,FALSE))</f>
        <v>8</v>
      </c>
      <c r="OG19" s="1078">
        <f>+IFERROR(VLOOKUP(OG$6&amp;"-"&amp;$M19&amp;"_old",Ammortamento_Finanziario!$H:$L,5,FALSE),VLOOKUP($M19,TT_Tabelle_Riferimento!$H$31:$I$50,2,FALSE))</f>
        <v>8</v>
      </c>
      <c r="OH19" s="1078">
        <f>+IFERROR(VLOOKUP(OH$6&amp;"-"&amp;$M19&amp;"_old",Ammortamento_Finanziario!$H:$L,5,FALSE),VLOOKUP($M19,TT_Tabelle_Riferimento!$H$31:$I$50,2,FALSE))</f>
        <v>8</v>
      </c>
      <c r="OI19" s="1078">
        <f>+IFERROR(VLOOKUP(OI$6&amp;"-"&amp;$M19&amp;"_old",Ammortamento_Finanziario!$H:$L,5,FALSE),VLOOKUP($M19,TT_Tabelle_Riferimento!$H$31:$I$50,2,FALSE))</f>
        <v>8</v>
      </c>
      <c r="OJ19" s="1078">
        <f>+IFERROR(VLOOKUP(OJ$6&amp;"-"&amp;$M19&amp;"_old",Ammortamento_Finanziario!$H:$L,5,FALSE),VLOOKUP($M19,TT_Tabelle_Riferimento!$H$31:$I$50,2,FALSE))</f>
        <v>8</v>
      </c>
      <c r="OK19" s="1078">
        <f>+IFERROR(VLOOKUP(OK$6&amp;"-"&amp;$M19&amp;"_old",Ammortamento_Finanziario!$H:$L,5,FALSE),VLOOKUP($M19,TT_Tabelle_Riferimento!$H$31:$I$50,2,FALSE))</f>
        <v>8</v>
      </c>
      <c r="OL19" s="1078">
        <f>+IFERROR(VLOOKUP(OL$6&amp;"-"&amp;$M19&amp;"_old",Ammortamento_Finanziario!$H:$L,5,FALSE),VLOOKUP($M19,TT_Tabelle_Riferimento!$H$31:$I$50,2,FALSE))</f>
        <v>8</v>
      </c>
      <c r="OM19" s="1078">
        <f>+IFERROR(VLOOKUP(OM$6&amp;"-"&amp;$M19&amp;"_old",Ammortamento_Finanziario!$H:$L,5,FALSE),VLOOKUP($M19,TT_Tabelle_Riferimento!$H$31:$I$50,2,FALSE))</f>
        <v>8</v>
      </c>
      <c r="ON19" s="1078">
        <f>+IFERROR(VLOOKUP(ON$6&amp;"-"&amp;$M19&amp;"_old",Ammortamento_Finanziario!$H:$L,5,FALSE),VLOOKUP($M19,TT_Tabelle_Riferimento!$H$31:$I$50,2,FALSE))</f>
        <v>8</v>
      </c>
      <c r="OO19" s="1755">
        <f>+IFERROR(VLOOKUP(OO$6&amp;"-"&amp;$M19&amp;"_old",Ammortamento_Finanziario!$H:$L,5,FALSE),VLOOKUP($M19,TT_Tabelle_Riferimento!$H$31:$I$50,2,FALSE))</f>
        <v>8</v>
      </c>
      <c r="OP19" s="1755">
        <f>+IFERROR(VLOOKUP(OP$6&amp;"-"&amp;$M19&amp;"_old",Ammortamento_Finanziario!$H:$L,5,FALSE),VLOOKUP($M19,TT_Tabelle_Riferimento!$H$31:$I$50,2,FALSE))</f>
        <v>8</v>
      </c>
      <c r="OQ19" s="1755">
        <f>+IFERROR(VLOOKUP(OQ$6&amp;"-"&amp;$M19&amp;"_old",Ammortamento_Finanziario!$H:$L,5,FALSE),VLOOKUP($M19,TT_Tabelle_Riferimento!$H$31:$I$50,2,FALSE))</f>
        <v>8</v>
      </c>
      <c r="OR19" s="1755">
        <f>+IFERROR(VLOOKUP(OR$6&amp;"-"&amp;$M19&amp;"_old",Ammortamento_Finanziario!$H:$L,5,FALSE),VLOOKUP($M19,TT_Tabelle_Riferimento!$H$31:$I$50,2,FALSE))</f>
        <v>8</v>
      </c>
      <c r="OS19" s="1078">
        <f>+IFERROR(VLOOKUP(OS$6&amp;"-"&amp;$M19&amp;"_old",Ammortamento_Finanziario!$H:$L,5,FALSE),VLOOKUP($M19,TT_Tabelle_Riferimento!$H$31:$I$50,2,FALSE))</f>
        <v>8</v>
      </c>
      <c r="OT19" s="1078">
        <f>+IFERROR(VLOOKUP(OT$6&amp;"-"&amp;$M19&amp;"_old",Ammortamento_Finanziario!$H:$L,5,FALSE),VLOOKUP($M19,TT_Tabelle_Riferimento!$H$31:$I$50,2,FALSE))</f>
        <v>8</v>
      </c>
      <c r="OU19" s="1078">
        <f>+IFERROR(VLOOKUP(OU$6&amp;"-"&amp;$M19&amp;"_old",Ammortamento_Finanziario!$H:$L,5,FALSE),VLOOKUP($M19,TT_Tabelle_Riferimento!$H$31:$I$50,2,FALSE))</f>
        <v>8</v>
      </c>
      <c r="OV19" s="1078">
        <f>+IFERROR(VLOOKUP(OV$6&amp;"-"&amp;$M19&amp;"_old",Ammortamento_Finanziario!$H:$L,5,FALSE),VLOOKUP($M19,TT_Tabelle_Riferimento!$H$31:$I$50,2,FALSE))</f>
        <v>8</v>
      </c>
      <c r="OW19" s="1078">
        <f>+IFERROR(VLOOKUP(OW$6&amp;"-"&amp;$M19&amp;"_old",Ammortamento_Finanziario!$H:$L,5,FALSE),VLOOKUP($M19,TT_Tabelle_Riferimento!$H$31:$I$50,2,FALSE))</f>
        <v>8</v>
      </c>
      <c r="OX19" s="1078">
        <f>+IFERROR(VLOOKUP(OX$6&amp;"-"&amp;$M19&amp;"_old",Ammortamento_Finanziario!$H:$L,5,FALSE),VLOOKUP($M19,TT_Tabelle_Riferimento!$H$31:$I$50,2,FALSE))</f>
        <v>8</v>
      </c>
      <c r="OY19" s="1078">
        <f>+IFERROR(VLOOKUP(OY$6&amp;"-"&amp;$M19&amp;"_old",Ammortamento_Finanziario!$H:$L,5,FALSE),VLOOKUP($M19,TT_Tabelle_Riferimento!$H$31:$I$50,2,FALSE))</f>
        <v>8</v>
      </c>
      <c r="OZ19" s="1078">
        <f>+IFERROR(VLOOKUP(OZ$6&amp;"-"&amp;$M19&amp;"_old",Ammortamento_Finanziario!$H:$L,5,FALSE),VLOOKUP($M19,TT_Tabelle_Riferimento!$H$31:$I$50,2,FALSE))</f>
        <v>8</v>
      </c>
      <c r="PA19" s="1078">
        <f>+IFERROR(VLOOKUP(PA$6&amp;"-"&amp;$M19&amp;"_old",Ammortamento_Finanziario!$H:$L,5,FALSE),VLOOKUP($M19,TT_Tabelle_Riferimento!$H$31:$I$50,2,FALSE))</f>
        <v>8</v>
      </c>
      <c r="PB19" s="1078">
        <f>+IFERROR(VLOOKUP(PB$6&amp;"-"&amp;$M19&amp;"_old",Ammortamento_Finanziario!$H:$L,5,FALSE),VLOOKUP($M19,TT_Tabelle_Riferimento!$H$31:$I$50,2,FALSE))</f>
        <v>8</v>
      </c>
      <c r="PC19" s="1078">
        <f>+IFERROR(VLOOKUP(PC$6&amp;"-"&amp;$M19&amp;"_old",Ammortamento_Finanziario!$H:$L,5,FALSE),VLOOKUP($M19,TT_Tabelle_Riferimento!$H$31:$I$50,2,FALSE))</f>
        <v>8</v>
      </c>
      <c r="PD19" s="1078">
        <f>+IFERROR(VLOOKUP(PD$6&amp;"-"&amp;$M19&amp;"_old",Ammortamento_Finanziario!$H:$L,5,FALSE),VLOOKUP($M19,TT_Tabelle_Riferimento!$H$31:$I$50,2,FALSE))</f>
        <v>8</v>
      </c>
      <c r="PE19" s="1078">
        <f>+IFERROR(VLOOKUP(PE$6&amp;"-"&amp;$M19&amp;"_old",Ammortamento_Finanziario!$H:$L,5,FALSE),VLOOKUP($M19,TT_Tabelle_Riferimento!$H$31:$I$50,2,FALSE))</f>
        <v>8</v>
      </c>
      <c r="PF19" s="1078">
        <f>+IFERROR(VLOOKUP(PF$6&amp;"-"&amp;$M19&amp;"_old",Ammortamento_Finanziario!$H:$L,5,FALSE),VLOOKUP($M19,TT_Tabelle_Riferimento!$H$31:$I$50,2,FALSE))</f>
        <v>8</v>
      </c>
      <c r="PG19" s="1078">
        <f>+IFERROR(VLOOKUP(PG$6&amp;"-"&amp;$M19&amp;"_old",Ammortamento_Finanziario!$H:$L,5,FALSE),VLOOKUP($M19,TT_Tabelle_Riferimento!$H$31:$I$50,2,FALSE))</f>
        <v>8</v>
      </c>
      <c r="PH19" s="1078">
        <f>+IFERROR(VLOOKUP(PH$6&amp;"-"&amp;$M19&amp;"_old",Ammortamento_Finanziario!$H:$L,5,FALSE),VLOOKUP($M19,TT_Tabelle_Riferimento!$H$31:$I$50,2,FALSE))</f>
        <v>8</v>
      </c>
      <c r="PI19" s="1078">
        <f>+IFERROR(VLOOKUP(PI$6&amp;"-"&amp;$M19&amp;"_old",Ammortamento_Finanziario!$H:$L,5,FALSE),VLOOKUP($M19,TT_Tabelle_Riferimento!$H$31:$I$50,2,FALSE))</f>
        <v>8</v>
      </c>
      <c r="PJ19" s="1078">
        <f>+IFERROR(VLOOKUP(PJ$6&amp;"-"&amp;$M19&amp;"_old",Ammortamento_Finanziario!$H:$L,5,FALSE),VLOOKUP($M19,TT_Tabelle_Riferimento!$H$31:$I$50,2,FALSE))</f>
        <v>8</v>
      </c>
      <c r="PK19" s="1078">
        <f>+IFERROR(VLOOKUP(PK$6&amp;"-"&amp;$M19&amp;"_old",Ammortamento_Finanziario!$H:$L,5,FALSE),VLOOKUP($M19,TT_Tabelle_Riferimento!$H$31:$I$50,2,FALSE))</f>
        <v>8</v>
      </c>
      <c r="PL19" s="1755">
        <f>+IFERROR(VLOOKUP(PL$6&amp;"-"&amp;$M19&amp;"_old",Ammortamento_Finanziario!$H:$L,5,FALSE),VLOOKUP($M19,TT_Tabelle_Riferimento!$H$31:$I$50,2,FALSE))</f>
        <v>8</v>
      </c>
      <c r="PM19" s="1755">
        <f>+IFERROR(VLOOKUP(PM$6&amp;"-"&amp;$M19&amp;"_old",Ammortamento_Finanziario!$H:$L,5,FALSE),VLOOKUP($M19,TT_Tabelle_Riferimento!$H$31:$I$50,2,FALSE))</f>
        <v>8</v>
      </c>
      <c r="PN19" s="1755">
        <f>+IFERROR(VLOOKUP(PN$6&amp;"-"&amp;$M19&amp;"_old",Ammortamento_Finanziario!$H:$L,5,FALSE),VLOOKUP($M19,TT_Tabelle_Riferimento!$H$31:$I$50,2,FALSE))</f>
        <v>8</v>
      </c>
      <c r="PO19" s="1078">
        <f>+IFERROR(VLOOKUP(PO$6&amp;"-"&amp;$M19&amp;"_old",Ammortamento_Finanziario!$H:$L,5,FALSE),VLOOKUP($M19,TT_Tabelle_Riferimento!$H$31:$I$50,2,FALSE))</f>
        <v>8</v>
      </c>
      <c r="PP19" s="1078">
        <f>+IFERROR(VLOOKUP(PP$6&amp;"-"&amp;$M19&amp;"_old",Ammortamento_Finanziario!$H:$L,5,FALSE),VLOOKUP($M19,TT_Tabelle_Riferimento!$H$31:$I$50,2,FALSE))</f>
        <v>8</v>
      </c>
      <c r="PQ19" s="1078">
        <f>+IFERROR(VLOOKUP(PQ$6&amp;"-"&amp;$M19&amp;"_old",Ammortamento_Finanziario!$H:$L,5,FALSE),VLOOKUP($M19,TT_Tabelle_Riferimento!$H$31:$I$50,2,FALSE))</f>
        <v>8</v>
      </c>
      <c r="PR19" s="1078">
        <f>+IFERROR(VLOOKUP(PR$6&amp;"-"&amp;$M19&amp;"_old",Ammortamento_Finanziario!$H:$L,5,FALSE),VLOOKUP($M19,TT_Tabelle_Riferimento!$H$31:$I$50,2,FALSE))</f>
        <v>8</v>
      </c>
      <c r="PS19" s="1078">
        <f>+IFERROR(VLOOKUP(PS$6&amp;"-"&amp;$M19&amp;"_old",Ammortamento_Finanziario!$H:$L,5,FALSE),VLOOKUP($M19,TT_Tabelle_Riferimento!$H$31:$I$50,2,FALSE))</f>
        <v>8</v>
      </c>
      <c r="PT19" s="1078">
        <f>+IFERROR(VLOOKUP(PT$6&amp;"-"&amp;$M19&amp;"_old",Ammortamento_Finanziario!$H:$L,5,FALSE),VLOOKUP($M19,TT_Tabelle_Riferimento!$H$31:$I$50,2,FALSE))</f>
        <v>8</v>
      </c>
      <c r="PU19" s="1078">
        <f>+IFERROR(VLOOKUP(PU$6&amp;"-"&amp;$M19&amp;"_old",Ammortamento_Finanziario!$H:$L,5,FALSE),VLOOKUP($M19,TT_Tabelle_Riferimento!$H$31:$I$50,2,FALSE))</f>
        <v>8</v>
      </c>
      <c r="PV19" s="1078">
        <f>+IFERROR(VLOOKUP(PV$6&amp;"-"&amp;$M19&amp;"_old",Ammortamento_Finanziario!$H:$L,5,FALSE),VLOOKUP($M19,TT_Tabelle_Riferimento!$H$31:$I$50,2,FALSE))</f>
        <v>8</v>
      </c>
      <c r="PW19" s="1078">
        <f>+IFERROR(VLOOKUP(PW$6&amp;"-"&amp;$M19&amp;"_old",Ammortamento_Finanziario!$H:$L,5,FALSE),VLOOKUP($M19,TT_Tabelle_Riferimento!$H$31:$I$50,2,FALSE))</f>
        <v>8</v>
      </c>
      <c r="PX19" s="1078">
        <f>+IFERROR(VLOOKUP(PX$6&amp;"-"&amp;$M19&amp;"_old",Ammortamento_Finanziario!$H:$L,5,FALSE),VLOOKUP($M19,TT_Tabelle_Riferimento!$H$31:$I$50,2,FALSE))</f>
        <v>8</v>
      </c>
      <c r="PY19" s="1078">
        <f>+IFERROR(VLOOKUP(PY$6&amp;"-"&amp;$M19&amp;"_old",Ammortamento_Finanziario!$H:$L,5,FALSE),VLOOKUP($M19,TT_Tabelle_Riferimento!$H$31:$I$50,2,FALSE))</f>
        <v>8</v>
      </c>
      <c r="PZ19" s="1078">
        <f>+IFERROR(VLOOKUP(PZ$6&amp;"-"&amp;$M19&amp;"_old",Ammortamento_Finanziario!$H:$L,5,FALSE),VLOOKUP($M19,TT_Tabelle_Riferimento!$H$31:$I$50,2,FALSE))</f>
        <v>8</v>
      </c>
      <c r="QA19" s="1078">
        <f>+IFERROR(VLOOKUP(QA$6&amp;"-"&amp;$M19&amp;"_old",Ammortamento_Finanziario!$H:$L,5,FALSE),VLOOKUP($M19,TT_Tabelle_Riferimento!$H$31:$I$50,2,FALSE))</f>
        <v>8</v>
      </c>
      <c r="QB19" s="1078">
        <f>+IFERROR(VLOOKUP(QB$6&amp;"-"&amp;$M19&amp;"_old",Ammortamento_Finanziario!$H:$L,5,FALSE),VLOOKUP($M19,TT_Tabelle_Riferimento!$H$31:$I$50,2,FALSE))</f>
        <v>8</v>
      </c>
      <c r="QC19" s="1078">
        <f>+IFERROR(VLOOKUP(QC$6&amp;"-"&amp;$M19&amp;"_old",Ammortamento_Finanziario!$H:$L,5,FALSE),VLOOKUP($M19,TT_Tabelle_Riferimento!$H$31:$I$50,2,FALSE))</f>
        <v>8</v>
      </c>
      <c r="QD19" s="1078">
        <f>+IFERROR(VLOOKUP(QD$6&amp;"-"&amp;$M19&amp;"_old",Ammortamento_Finanziario!$H:$L,5,FALSE),VLOOKUP($M19,TT_Tabelle_Riferimento!$H$31:$I$50,2,FALSE))</f>
        <v>8</v>
      </c>
      <c r="QE19" s="1078">
        <f>+IFERROR(VLOOKUP(QE$6&amp;"-"&amp;$M19&amp;"_old",Ammortamento_Finanziario!$H:$L,5,FALSE),VLOOKUP($M19,TT_Tabelle_Riferimento!$H$31:$I$50,2,FALSE))</f>
        <v>8</v>
      </c>
      <c r="QF19" s="1078">
        <f>+IFERROR(VLOOKUP(QF$6&amp;"-"&amp;$M19&amp;"_old",Ammortamento_Finanziario!$H:$L,5,FALSE),VLOOKUP($M19,TT_Tabelle_Riferimento!$H$31:$I$50,2,FALSE))</f>
        <v>8</v>
      </c>
      <c r="QG19" s="1078">
        <f>+IFERROR(VLOOKUP(QG$6&amp;"-"&amp;$M19&amp;"_old",Ammortamento_Finanziario!$H:$L,5,FALSE),VLOOKUP($M19,TT_Tabelle_Riferimento!$H$31:$I$50,2,FALSE))</f>
        <v>8</v>
      </c>
      <c r="QH19" s="1755">
        <f>+IFERROR(VLOOKUP(QH$6&amp;"-"&amp;$M19&amp;"_old",Ammortamento_Finanziario!$H:$L,5,FALSE),VLOOKUP($M19,TT_Tabelle_Riferimento!$H$31:$I$50,2,FALSE))</f>
        <v>8</v>
      </c>
      <c r="QI19" s="1755">
        <f>+IFERROR(VLOOKUP(QI$6&amp;"-"&amp;$M19&amp;"_old",Ammortamento_Finanziario!$H:$L,5,FALSE),VLOOKUP($M19,TT_Tabelle_Riferimento!$H$31:$I$50,2,FALSE))</f>
        <v>8</v>
      </c>
      <c r="QJ19" s="1078">
        <f>+IFERROR(VLOOKUP(QJ$6&amp;"-"&amp;$M19&amp;"_old",Ammortamento_Finanziario!$H:$L,5,FALSE),VLOOKUP($M19,TT_Tabelle_Riferimento!$H$31:$I$50,2,FALSE))</f>
        <v>8</v>
      </c>
      <c r="QK19" s="1078">
        <f>+IFERROR(VLOOKUP(QK$6&amp;"-"&amp;$M19&amp;"_old",Ammortamento_Finanziario!$H:$L,5,FALSE),VLOOKUP($M19,TT_Tabelle_Riferimento!$H$31:$I$50,2,FALSE))</f>
        <v>8</v>
      </c>
      <c r="QL19" s="1078">
        <f>+IFERROR(VLOOKUP(QL$6&amp;"-"&amp;$M19&amp;"_old",Ammortamento_Finanziario!$H:$L,5,FALSE),VLOOKUP($M19,TT_Tabelle_Riferimento!$H$31:$I$50,2,FALSE))</f>
        <v>8</v>
      </c>
      <c r="QM19" s="1078">
        <f>+IFERROR(VLOOKUP(QM$6&amp;"-"&amp;$M19&amp;"_old",Ammortamento_Finanziario!$H:$L,5,FALSE),VLOOKUP($M19,TT_Tabelle_Riferimento!$H$31:$I$50,2,FALSE))</f>
        <v>8</v>
      </c>
      <c r="QN19" s="1078">
        <f>+IFERROR(VLOOKUP(QN$6&amp;"-"&amp;$M19&amp;"_old",Ammortamento_Finanziario!$H:$L,5,FALSE),VLOOKUP($M19,TT_Tabelle_Riferimento!$H$31:$I$50,2,FALSE))</f>
        <v>8</v>
      </c>
      <c r="QO19" s="1078">
        <f>+IFERROR(VLOOKUP(QO$6&amp;"-"&amp;$M19&amp;"_old",Ammortamento_Finanziario!$H:$L,5,FALSE),VLOOKUP($M19,TT_Tabelle_Riferimento!$H$31:$I$50,2,FALSE))</f>
        <v>8</v>
      </c>
      <c r="QP19" s="1078">
        <f>+IFERROR(VLOOKUP(QP$6&amp;"-"&amp;$M19&amp;"_old",Ammortamento_Finanziario!$H:$L,5,FALSE),VLOOKUP($M19,TT_Tabelle_Riferimento!$H$31:$I$50,2,FALSE))</f>
        <v>8</v>
      </c>
      <c r="QQ19" s="1078">
        <f>+IFERROR(VLOOKUP(QQ$6&amp;"-"&amp;$M19&amp;"_old",Ammortamento_Finanziario!$H:$L,5,FALSE),VLOOKUP($M19,TT_Tabelle_Riferimento!$H$31:$I$50,2,FALSE))</f>
        <v>8</v>
      </c>
      <c r="QR19" s="1078">
        <f>+IFERROR(VLOOKUP(QR$6&amp;"-"&amp;$M19&amp;"_old",Ammortamento_Finanziario!$H:$L,5,FALSE),VLOOKUP($M19,TT_Tabelle_Riferimento!$H$31:$I$50,2,FALSE))</f>
        <v>8</v>
      </c>
      <c r="QS19" s="1078">
        <f>+IFERROR(VLOOKUP(QS$6&amp;"-"&amp;$M19&amp;"_old",Ammortamento_Finanziario!$H:$L,5,FALSE),VLOOKUP($M19,TT_Tabelle_Riferimento!$H$31:$I$50,2,FALSE))</f>
        <v>8</v>
      </c>
      <c r="QT19" s="1078">
        <f>+IFERROR(VLOOKUP(QT$6&amp;"-"&amp;$M19&amp;"_old",Ammortamento_Finanziario!$H:$L,5,FALSE),VLOOKUP($M19,TT_Tabelle_Riferimento!$H$31:$I$50,2,FALSE))</f>
        <v>8</v>
      </c>
      <c r="QU19" s="1078">
        <f>+IFERROR(VLOOKUP(QU$6&amp;"-"&amp;$M19&amp;"_old",Ammortamento_Finanziario!$H:$L,5,FALSE),VLOOKUP($M19,TT_Tabelle_Riferimento!$H$31:$I$50,2,FALSE))</f>
        <v>8</v>
      </c>
      <c r="QV19" s="1078">
        <f>+IFERROR(VLOOKUP(QV$6&amp;"-"&amp;$M19&amp;"_old",Ammortamento_Finanziario!$H:$L,5,FALSE),VLOOKUP($M19,TT_Tabelle_Riferimento!$H$31:$I$50,2,FALSE))</f>
        <v>8</v>
      </c>
      <c r="QW19" s="1078">
        <f>+IFERROR(VLOOKUP(QW$6&amp;"-"&amp;$M19&amp;"_old",Ammortamento_Finanziario!$H:$L,5,FALSE),VLOOKUP($M19,TT_Tabelle_Riferimento!$H$31:$I$50,2,FALSE))</f>
        <v>8</v>
      </c>
      <c r="QX19" s="1078">
        <f>+IFERROR(VLOOKUP(QX$6&amp;"-"&amp;$M19&amp;"_old",Ammortamento_Finanziario!$H:$L,5,FALSE),VLOOKUP($M19,TT_Tabelle_Riferimento!$H$31:$I$50,2,FALSE))</f>
        <v>8</v>
      </c>
      <c r="QY19" s="1078">
        <f>+IFERROR(VLOOKUP(QY$6&amp;"-"&amp;$M19&amp;"_old",Ammortamento_Finanziario!$H:$L,5,FALSE),VLOOKUP($M19,TT_Tabelle_Riferimento!$H$31:$I$50,2,FALSE))</f>
        <v>8</v>
      </c>
      <c r="QZ19" s="1078">
        <f>+IFERROR(VLOOKUP(QZ$6&amp;"-"&amp;$M19&amp;"_old",Ammortamento_Finanziario!$H:$L,5,FALSE),VLOOKUP($M19,TT_Tabelle_Riferimento!$H$31:$I$50,2,FALSE))</f>
        <v>8</v>
      </c>
      <c r="RA19" s="1078">
        <f>+IFERROR(VLOOKUP(RA$6&amp;"-"&amp;$M19&amp;"_old",Ammortamento_Finanziario!$H:$L,5,FALSE),VLOOKUP($M19,TT_Tabelle_Riferimento!$H$31:$I$50,2,FALSE))</f>
        <v>8</v>
      </c>
      <c r="RB19" s="1078">
        <f>+IFERROR(VLOOKUP(RB$6&amp;"-"&amp;$M19&amp;"_old",Ammortamento_Finanziario!$H:$L,5,FALSE),VLOOKUP($M19,TT_Tabelle_Riferimento!$H$31:$I$50,2,FALSE))</f>
        <v>8</v>
      </c>
      <c r="RC19" s="1755">
        <f>+IFERROR(VLOOKUP(RC$6&amp;"-"&amp;$M19&amp;"_old",Ammortamento_Finanziario!$H:$L,5,FALSE),VLOOKUP($M19,TT_Tabelle_Riferimento!$H$31:$I$50,2,FALSE))</f>
        <v>8</v>
      </c>
      <c r="RD19" s="1078">
        <f>+IFERROR(VLOOKUP(RD$6&amp;"-"&amp;$M19&amp;"_old",Ammortamento_Finanziario!$H:$L,5,FALSE),VLOOKUP($M19,TT_Tabelle_Riferimento!$H$31:$I$50,2,FALSE))</f>
        <v>8</v>
      </c>
      <c r="RE19" s="1078">
        <f>+IFERROR(VLOOKUP(RE$6&amp;"-"&amp;$M19&amp;"_old",Ammortamento_Finanziario!$H:$L,5,FALSE),VLOOKUP($M19,TT_Tabelle_Riferimento!$H$31:$I$50,2,FALSE))</f>
        <v>8</v>
      </c>
      <c r="RF19" s="1078">
        <f>+IFERROR(VLOOKUP(RF$6&amp;"-"&amp;$M19&amp;"_old",Ammortamento_Finanziario!$H:$L,5,FALSE),VLOOKUP($M19,TT_Tabelle_Riferimento!$H$31:$I$50,2,FALSE))</f>
        <v>8</v>
      </c>
      <c r="RG19" s="1078">
        <f>+IFERROR(VLOOKUP(RG$6&amp;"-"&amp;$M19&amp;"_old",Ammortamento_Finanziario!$H:$L,5,FALSE),VLOOKUP($M19,TT_Tabelle_Riferimento!$H$31:$I$50,2,FALSE))</f>
        <v>8</v>
      </c>
      <c r="RH19" s="1078">
        <f>+IFERROR(VLOOKUP(RH$6&amp;"-"&amp;$M19&amp;"_old",Ammortamento_Finanziario!$H:$L,5,FALSE),VLOOKUP($M19,TT_Tabelle_Riferimento!$H$31:$I$50,2,FALSE))</f>
        <v>8</v>
      </c>
      <c r="RI19" s="1078">
        <f>+IFERROR(VLOOKUP(RI$6&amp;"-"&amp;$M19&amp;"_old",Ammortamento_Finanziario!$H:$L,5,FALSE),VLOOKUP($M19,TT_Tabelle_Riferimento!$H$31:$I$50,2,FALSE))</f>
        <v>8</v>
      </c>
      <c r="RJ19" s="1078">
        <f>+IFERROR(VLOOKUP(RJ$6&amp;"-"&amp;$M19&amp;"_old",Ammortamento_Finanziario!$H:$L,5,FALSE),VLOOKUP($M19,TT_Tabelle_Riferimento!$H$31:$I$50,2,FALSE))</f>
        <v>8</v>
      </c>
      <c r="RK19" s="1078">
        <f>+IFERROR(VLOOKUP(RK$6&amp;"-"&amp;$M19&amp;"_old",Ammortamento_Finanziario!$H:$L,5,FALSE),VLOOKUP($M19,TT_Tabelle_Riferimento!$H$31:$I$50,2,FALSE))</f>
        <v>8</v>
      </c>
      <c r="RL19" s="1078">
        <f>+IFERROR(VLOOKUP(RL$6&amp;"-"&amp;$M19&amp;"_old",Ammortamento_Finanziario!$H:$L,5,FALSE),VLOOKUP($M19,TT_Tabelle_Riferimento!$H$31:$I$50,2,FALSE))</f>
        <v>8</v>
      </c>
      <c r="RM19" s="1078">
        <f>+IFERROR(VLOOKUP(RM$6&amp;"-"&amp;$M19&amp;"_old",Ammortamento_Finanziario!$H:$L,5,FALSE),VLOOKUP($M19,TT_Tabelle_Riferimento!$H$31:$I$50,2,FALSE))</f>
        <v>8</v>
      </c>
      <c r="RN19" s="1078">
        <f>+IFERROR(VLOOKUP(RN$6&amp;"-"&amp;$M19&amp;"_old",Ammortamento_Finanziario!$H:$L,5,FALSE),VLOOKUP($M19,TT_Tabelle_Riferimento!$H$31:$I$50,2,FALSE))</f>
        <v>8</v>
      </c>
      <c r="RO19" s="1078">
        <f>+IFERROR(VLOOKUP(RO$6&amp;"-"&amp;$M19&amp;"_old",Ammortamento_Finanziario!$H:$L,5,FALSE),VLOOKUP($M19,TT_Tabelle_Riferimento!$H$31:$I$50,2,FALSE))</f>
        <v>8</v>
      </c>
      <c r="RP19" s="1078">
        <f>+IFERROR(VLOOKUP(RP$6&amp;"-"&amp;$M19&amp;"_old",Ammortamento_Finanziario!$H:$L,5,FALSE),VLOOKUP($M19,TT_Tabelle_Riferimento!$H$31:$I$50,2,FALSE))</f>
        <v>8</v>
      </c>
      <c r="RQ19" s="1078">
        <f>+IFERROR(VLOOKUP(RQ$6&amp;"-"&amp;$M19&amp;"_old",Ammortamento_Finanziario!$H:$L,5,FALSE),VLOOKUP($M19,TT_Tabelle_Riferimento!$H$31:$I$50,2,FALSE))</f>
        <v>8</v>
      </c>
      <c r="RR19" s="1078">
        <f>+IFERROR(VLOOKUP(RR$6&amp;"-"&amp;$M19&amp;"_old",Ammortamento_Finanziario!$H:$L,5,FALSE),VLOOKUP($M19,TT_Tabelle_Riferimento!$H$31:$I$50,2,FALSE))</f>
        <v>8</v>
      </c>
      <c r="RS19" s="1078">
        <f>+IFERROR(VLOOKUP(RS$6&amp;"-"&amp;$M19&amp;"_old",Ammortamento_Finanziario!$H:$L,5,FALSE),VLOOKUP($M19,TT_Tabelle_Riferimento!$H$31:$I$50,2,FALSE))</f>
        <v>8</v>
      </c>
      <c r="RT19" s="1078">
        <f>+IFERROR(VLOOKUP(RT$6&amp;"-"&amp;$M19&amp;"_old",Ammortamento_Finanziario!$H:$L,5,FALSE),VLOOKUP($M19,TT_Tabelle_Riferimento!$H$31:$I$50,2,FALSE))</f>
        <v>8</v>
      </c>
      <c r="RU19" s="1078">
        <f>+IFERROR(VLOOKUP(RU$6&amp;"-"&amp;$M19&amp;"_old",Ammortamento_Finanziario!$H:$L,5,FALSE),VLOOKUP($M19,TT_Tabelle_Riferimento!$H$31:$I$50,2,FALSE))</f>
        <v>8</v>
      </c>
      <c r="RV19" s="1078">
        <f>+IFERROR(VLOOKUP(RV$6&amp;"-"&amp;$M19&amp;"_old",Ammortamento_Finanziario!$H:$L,5,FALSE),VLOOKUP($M19,TT_Tabelle_Riferimento!$H$31:$I$50,2,FALSE))</f>
        <v>8</v>
      </c>
    </row>
    <row r="20" spans="4:490">
      <c r="D20" s="135" t="s">
        <v>200</v>
      </c>
      <c r="E20" s="719">
        <f>+SUMIFS(IMN_gestore!R:R,IMN_gestore!$E:$E,"&gt;="&amp;2012,IMN_gestore!$E:$E,"&lt;="&amp;2022)</f>
        <v>0</v>
      </c>
      <c r="F20" s="719">
        <f>+SUMIFS(IMN_gestore!AC:AC,IMN_gestore!$E:$E,"&gt;="&amp;2012,IMN_gestore!$E:$E,"&lt;="&amp;2023)</f>
        <v>0</v>
      </c>
      <c r="G20" s="719">
        <f>+SUMIFS(IMN_gestore!AN:AN,IMN_gestore!$E:$E,"&gt;="&amp;2012,IMN_gestore!$E:$E,"&lt;="&amp;2024)</f>
        <v>0</v>
      </c>
      <c r="H20" s="719">
        <f>+SUMIFS(IMN_gestore!AY:AY,IMN_gestore!$E:$E,"&gt;="&amp;2012,IMN_gestore!$E:$E,"&lt;="&amp;2025)</f>
        <v>0</v>
      </c>
      <c r="I20" s="719">
        <f>+SUMIFS(IMN_gestore!$BJ:$BJ,IMN_gestore!$E:$E,"&gt;="&amp;2012,IMN_gestore!$E:$E,"&lt;="&amp;2026)</f>
        <v>0</v>
      </c>
      <c r="J20" s="719">
        <f>+SUMIFS(IMN_gestore!$BU:$BU,IMN_gestore!$E:$E,"&gt;="&amp;2012,IMN_gestore!$E:$E,"&lt;="&amp;2027)</f>
        <v>0</v>
      </c>
      <c r="K20" s="136"/>
      <c r="L20" s="125"/>
      <c r="M20" s="423">
        <v>14</v>
      </c>
      <c r="N20" s="904">
        <f>+IFERROR(VLOOKUP(N$6&amp;"-"&amp;$M20&amp;"_old",Ammortamento_Finanziario!$H:$L,5,FALSE),VLOOKUP($M20,TT_Tabelle_Riferimento!$H$31:$I$50,2,FALSE))</f>
        <v>5</v>
      </c>
      <c r="O20" s="904">
        <f>+IFERROR(VLOOKUP(O$6&amp;"-"&amp;$M20&amp;"_old",Ammortamento_Finanziario!$H:$L,5,FALSE),VLOOKUP($M20,TT_Tabelle_Riferimento!$H$31:$I$50,2,FALSE))</f>
        <v>5</v>
      </c>
      <c r="P20" s="904">
        <f>+IFERROR(VLOOKUP(P$6&amp;"-"&amp;$M20&amp;"_old",Ammortamento_Finanziario!$H:$L,5,FALSE),VLOOKUP($M20,TT_Tabelle_Riferimento!$H$31:$I$50,2,FALSE))</f>
        <v>5</v>
      </c>
      <c r="Q20" s="904">
        <f>+IFERROR(VLOOKUP(Q$6&amp;"-"&amp;$M20&amp;"_old",Ammortamento_Finanziario!$H:$L,5,FALSE),VLOOKUP($M20,TT_Tabelle_Riferimento!$H$31:$I$50,2,FALSE))</f>
        <v>5</v>
      </c>
      <c r="R20" s="904">
        <f>+IFERROR(VLOOKUP(R$6&amp;"-"&amp;$M20&amp;"_old",Ammortamento_Finanziario!$H:$L,5,FALSE),VLOOKUP($M20,TT_Tabelle_Riferimento!$H$31:$I$50,2,FALSE))</f>
        <v>5</v>
      </c>
      <c r="S20" s="904">
        <f>+IFERROR(VLOOKUP(S$6&amp;"-"&amp;$M20&amp;"_old",Ammortamento_Finanziario!$H:$L,5,FALSE),VLOOKUP($M20,TT_Tabelle_Riferimento!$H$31:$I$50,2,FALSE))</f>
        <v>5</v>
      </c>
      <c r="T20" s="904">
        <f>+IFERROR(VLOOKUP(T$6&amp;"-"&amp;$M20&amp;"_old",Ammortamento_Finanziario!$H:$L,5,FALSE),VLOOKUP($M20,TT_Tabelle_Riferimento!$H$31:$I$50,2,FALSE))</f>
        <v>5</v>
      </c>
      <c r="U20" s="904">
        <f>+IFERROR(VLOOKUP(U$6&amp;"-"&amp;$M20&amp;"_old",Ammortamento_Finanziario!$H:$L,5,FALSE),VLOOKUP($M20,TT_Tabelle_Riferimento!$H$31:$I$50,2,FALSE))</f>
        <v>5</v>
      </c>
      <c r="V20" s="904">
        <f>+IFERROR(VLOOKUP(V$6&amp;"-"&amp;$M20&amp;"_old",Ammortamento_Finanziario!$H:$L,5,FALSE),VLOOKUP($M20,TT_Tabelle_Riferimento!$H$31:$I$50,2,FALSE))</f>
        <v>5</v>
      </c>
      <c r="W20" s="904">
        <f>+IFERROR(VLOOKUP(W$6&amp;"-"&amp;$M20&amp;"_old",Ammortamento_Finanziario!$H:$L,5,FALSE),VLOOKUP($M20,TT_Tabelle_Riferimento!$H$31:$I$50,2,FALSE))</f>
        <v>5</v>
      </c>
      <c r="X20" s="1739">
        <f>+IFERROR(VLOOKUP(X$6&amp;"-"&amp;$M20&amp;"_old",Ammortamento_Finanziario!$H:$L,5,FALSE),VLOOKUP($M20,TT_Tabelle_Riferimento!$H$31:$I$50,2,FALSE))</f>
        <v>5</v>
      </c>
      <c r="Y20" s="1739">
        <f>+IFERROR(VLOOKUP(Y$6&amp;"-"&amp;$M20&amp;"_old",Ammortamento_Finanziario!$H:$L,5,FALSE),VLOOKUP($M20,TT_Tabelle_Riferimento!$H$31:$I$50,2,FALSE))</f>
        <v>5</v>
      </c>
      <c r="Z20" s="1749">
        <f>+IFERROR(VLOOKUP(Z$6&amp;"-"&amp;$M20&amp;"_old",Ammortamento_Finanziario!$H:$L,5,FALSE),VLOOKUP($M20,TT_Tabelle_Riferimento!$H$31:$I$50,2,FALSE))</f>
        <v>5</v>
      </c>
      <c r="AA20" s="1749">
        <f>+IFERROR(VLOOKUP(AA$6&amp;"-"&amp;$M20&amp;"_old",Ammortamento_Finanziario!$H:$L,5,FALSE),VLOOKUP($M20,TT_Tabelle_Riferimento!$H$31:$I$50,2,FALSE))</f>
        <v>5</v>
      </c>
      <c r="AB20" s="1749">
        <f>+IFERROR(VLOOKUP(AB$6&amp;"-"&amp;$M20&amp;"_old",Ammortamento_Finanziario!$H:$L,5,FALSE),VLOOKUP($M20,TT_Tabelle_Riferimento!$H$31:$I$50,2,FALSE))</f>
        <v>5</v>
      </c>
      <c r="AC20" s="1749">
        <f>+IFERROR(VLOOKUP(AC$6&amp;"-"&amp;$M20&amp;"_old",Ammortamento_Finanziario!$H:$L,5,FALSE),VLOOKUP($M20,TT_Tabelle_Riferimento!$H$31:$I$50,2,FALSE))</f>
        <v>5</v>
      </c>
      <c r="AD20" s="1749">
        <f>+IFERROR(VLOOKUP(AD$6&amp;"-"&amp;$M20&amp;"_old",Ammortamento_Finanziario!$H:$L,5,FALSE),VLOOKUP($M20,TT_Tabelle_Riferimento!$H$31:$I$50,2,FALSE))</f>
        <v>5</v>
      </c>
      <c r="AE20" s="1749">
        <f>+IFERROR(VLOOKUP(AE$6&amp;"-"&amp;$M20&amp;"_old",Ammortamento_Finanziario!$H:$L,5,FALSE),VLOOKUP($M20,TT_Tabelle_Riferimento!$H$31:$I$50,2,FALSE))</f>
        <v>5</v>
      </c>
      <c r="AF20" s="625">
        <f>+IFERROR(VLOOKUP(AF$6&amp;"-"&amp;$M20&amp;"_old",Ammortamento_Finanziario!$H:$L,5,FALSE),VLOOKUP($M20,TT_Tabelle_Riferimento!$H$31:$I$50,2,FALSE))</f>
        <v>5</v>
      </c>
      <c r="AG20" s="625">
        <f>+IFERROR(VLOOKUP(AG$6&amp;"-"&amp;$M20&amp;"_old",Ammortamento_Finanziario!$H:$L,5,FALSE),VLOOKUP($M20,TT_Tabelle_Riferimento!$H$31:$I$50,2,FALSE))</f>
        <v>5</v>
      </c>
      <c r="AH20" s="625">
        <f>+IFERROR(VLOOKUP(AH$6&amp;"-"&amp;$M20&amp;"_old",Ammortamento_Finanziario!$H:$L,5,FALSE),VLOOKUP($M20,TT_Tabelle_Riferimento!$H$31:$I$50,2,FALSE))</f>
        <v>5</v>
      </c>
      <c r="AI20" s="625">
        <f>+IFERROR(VLOOKUP(AI$6&amp;"-"&amp;$M20&amp;"_old",Ammortamento_Finanziario!$H:$L,5,FALSE),VLOOKUP($M20,TT_Tabelle_Riferimento!$H$31:$I$50,2,FALSE))</f>
        <v>5</v>
      </c>
      <c r="AJ20" s="625">
        <f>+IFERROR(VLOOKUP(AJ$6&amp;"-"&amp;$M20&amp;"_old",Ammortamento_Finanziario!$H:$L,5,FALSE),VLOOKUP($M20,TT_Tabelle_Riferimento!$H$31:$I$50,2,FALSE))</f>
        <v>5</v>
      </c>
      <c r="AK20" s="625">
        <f>+IFERROR(VLOOKUP(AK$6&amp;"-"&amp;$M20&amp;"_old",Ammortamento_Finanziario!$H:$L,5,FALSE),VLOOKUP($M20,TT_Tabelle_Riferimento!$H$31:$I$50,2,FALSE))</f>
        <v>5</v>
      </c>
      <c r="AL20" s="625">
        <f>+IFERROR(VLOOKUP(AL$6&amp;"-"&amp;$M20&amp;"_old",Ammortamento_Finanziario!$H:$L,5,FALSE),VLOOKUP($M20,TT_Tabelle_Riferimento!$H$31:$I$50,2,FALSE))</f>
        <v>5</v>
      </c>
      <c r="AM20" s="625">
        <f>+IFERROR(VLOOKUP(AM$6&amp;"-"&amp;$M20&amp;"_old",Ammortamento_Finanziario!$H:$L,5,FALSE),VLOOKUP($M20,TT_Tabelle_Riferimento!$H$31:$I$50,2,FALSE))</f>
        <v>5</v>
      </c>
      <c r="AN20" s="625">
        <f>+IFERROR(VLOOKUP(AN$6&amp;"-"&amp;$M20&amp;"_old",Ammortamento_Finanziario!$H:$L,5,FALSE),VLOOKUP($M20,TT_Tabelle_Riferimento!$H$31:$I$50,2,FALSE))</f>
        <v>5</v>
      </c>
      <c r="AO20" s="625">
        <f>+IFERROR(VLOOKUP(AO$6&amp;"-"&amp;$M20&amp;"_old",Ammortamento_Finanziario!$H:$L,5,FALSE),VLOOKUP($M20,TT_Tabelle_Riferimento!$H$31:$I$50,2,FALSE))</f>
        <v>5</v>
      </c>
      <c r="AP20" s="625">
        <f>+IFERROR(VLOOKUP(AP$6&amp;"-"&amp;$M20&amp;"_old",Ammortamento_Finanziario!$H:$L,5,FALSE),VLOOKUP($M20,TT_Tabelle_Riferimento!$H$31:$I$50,2,FALSE))</f>
        <v>5</v>
      </c>
      <c r="AQ20" s="625">
        <f>+IFERROR(VLOOKUP(AQ$6&amp;"-"&amp;$M20&amp;"_old",Ammortamento_Finanziario!$H:$L,5,FALSE),VLOOKUP($M20,TT_Tabelle_Riferimento!$H$31:$I$50,2,FALSE))</f>
        <v>5</v>
      </c>
      <c r="AR20" s="625">
        <f>+IFERROR(VLOOKUP(AR$6&amp;"-"&amp;$M20&amp;"_old",Ammortamento_Finanziario!$H:$L,5,FALSE),VLOOKUP($M20,TT_Tabelle_Riferimento!$H$31:$I$50,2,FALSE))</f>
        <v>5</v>
      </c>
      <c r="AS20" s="625">
        <f>+IFERROR(VLOOKUP(AS$6&amp;"-"&amp;$M20&amp;"_old",Ammortamento_Finanziario!$H:$L,5,FALSE),VLOOKUP($M20,TT_Tabelle_Riferimento!$H$31:$I$50,2,FALSE))</f>
        <v>5</v>
      </c>
      <c r="AT20" s="625">
        <f>+IFERROR(VLOOKUP(AT$6&amp;"-"&amp;$M20&amp;"_old",Ammortamento_Finanziario!$H:$L,5,FALSE),VLOOKUP($M20,TT_Tabelle_Riferimento!$H$31:$I$50,2,FALSE))</f>
        <v>5</v>
      </c>
      <c r="AU20" s="625">
        <f>+IFERROR(VLOOKUP(AU$6&amp;"-"&amp;$M20&amp;"_old",Ammortamento_Finanziario!$H:$L,5,FALSE),VLOOKUP($M20,TT_Tabelle_Riferimento!$H$31:$I$50,2,FALSE))</f>
        <v>5</v>
      </c>
      <c r="AV20" s="625">
        <f>+IFERROR(VLOOKUP(AV$6&amp;"-"&amp;$M20&amp;"_old",Ammortamento_Finanziario!$H:$L,5,FALSE),VLOOKUP($M20,TT_Tabelle_Riferimento!$H$31:$I$50,2,FALSE))</f>
        <v>5</v>
      </c>
      <c r="AW20" s="625">
        <f>+IFERROR(VLOOKUP(AW$6&amp;"-"&amp;$M20&amp;"_old",Ammortamento_Finanziario!$H:$L,5,FALSE),VLOOKUP($M20,TT_Tabelle_Riferimento!$H$31:$I$50,2,FALSE))</f>
        <v>5</v>
      </c>
      <c r="AX20" s="625">
        <f>+IFERROR(VLOOKUP(AX$6&amp;"-"&amp;$M20&amp;"_old",Ammortamento_Finanziario!$H:$L,5,FALSE),VLOOKUP($M20,TT_Tabelle_Riferimento!$H$31:$I$50,2,FALSE))</f>
        <v>5</v>
      </c>
      <c r="AY20" s="905">
        <f>+IFERROR(VLOOKUP(AY$6&amp;"-"&amp;$M20&amp;"_old",Ammortamento_Finanziario!$H:$L,5,FALSE),VLOOKUP($M20,TT_Tabelle_Riferimento!$H$31:$I$50,2,FALSE))</f>
        <v>5</v>
      </c>
      <c r="AZ20" s="905">
        <f>+IFERROR(VLOOKUP(AZ$6&amp;"-"&amp;$M20&amp;"_old",Ammortamento_Finanziario!$H:$L,5,FALSE),VLOOKUP($M20,TT_Tabelle_Riferimento!$H$31:$I$50,2,FALSE))</f>
        <v>5</v>
      </c>
      <c r="BA20" s="905">
        <f>+IFERROR(VLOOKUP(BA$6&amp;"-"&amp;$M20&amp;"_old",Ammortamento_Finanziario!$H:$L,5,FALSE),VLOOKUP($M20,TT_Tabelle_Riferimento!$H$31:$I$50,2,FALSE))</f>
        <v>5</v>
      </c>
      <c r="BB20" s="905">
        <f>+IFERROR(VLOOKUP(BB$6&amp;"-"&amp;$M20&amp;"_old",Ammortamento_Finanziario!$H:$L,5,FALSE),VLOOKUP($M20,TT_Tabelle_Riferimento!$H$31:$I$50,2,FALSE))</f>
        <v>5</v>
      </c>
      <c r="BC20" s="905">
        <f>+IFERROR(VLOOKUP(BC$6&amp;"-"&amp;$M20&amp;"_old",Ammortamento_Finanziario!$H:$L,5,FALSE),VLOOKUP($M20,TT_Tabelle_Riferimento!$H$31:$I$50,2,FALSE))</f>
        <v>5</v>
      </c>
      <c r="BD20" s="905">
        <f>+IFERROR(VLOOKUP(BD$6&amp;"-"&amp;$M20&amp;"_old",Ammortamento_Finanziario!$H:$L,5,FALSE),VLOOKUP($M20,TT_Tabelle_Riferimento!$H$31:$I$50,2,FALSE))</f>
        <v>5</v>
      </c>
      <c r="BE20" s="905">
        <f>+IFERROR(VLOOKUP(BE$6&amp;"-"&amp;$M20&amp;"_old",Ammortamento_Finanziario!$H:$L,5,FALSE),VLOOKUP($M20,TT_Tabelle_Riferimento!$H$31:$I$50,2,FALSE))</f>
        <v>5</v>
      </c>
      <c r="BF20" s="905">
        <f>+IFERROR(VLOOKUP(BF$6&amp;"-"&amp;$M20&amp;"_old",Ammortamento_Finanziario!$H:$L,5,FALSE),VLOOKUP($M20,TT_Tabelle_Riferimento!$H$31:$I$50,2,FALSE))</f>
        <v>5</v>
      </c>
      <c r="BG20" s="1740">
        <f>+IFERROR(VLOOKUP(BG$6&amp;"-"&amp;$M20&amp;"_old",Ammortamento_Finanziario!$H:$L,5,FALSE),VLOOKUP($M20,TT_Tabelle_Riferimento!$H$31:$I$50,2,FALSE))</f>
        <v>5</v>
      </c>
      <c r="BH20" s="1740">
        <f>+IFERROR(VLOOKUP(BH$6&amp;"-"&amp;$M20&amp;"_old",Ammortamento_Finanziario!$H:$L,5,FALSE),VLOOKUP($M20,TT_Tabelle_Riferimento!$H$31:$I$50,2,FALSE))</f>
        <v>5</v>
      </c>
      <c r="BI20" s="1749">
        <f>+IFERROR(VLOOKUP(BI$6&amp;"-"&amp;$M20&amp;"_old",Ammortamento_Finanziario!$H:$L,5,FALSE),VLOOKUP($M20,TT_Tabelle_Riferimento!$H$31:$I$50,2,FALSE))</f>
        <v>5</v>
      </c>
      <c r="BJ20" s="1749">
        <f>+IFERROR(VLOOKUP(BJ$6&amp;"-"&amp;$M20&amp;"_old",Ammortamento_Finanziario!$H:$L,5,FALSE),VLOOKUP($M20,TT_Tabelle_Riferimento!$H$31:$I$50,2,FALSE))</f>
        <v>5</v>
      </c>
      <c r="BK20" s="1749">
        <f>+IFERROR(VLOOKUP(BK$6&amp;"-"&amp;$M20&amp;"_old",Ammortamento_Finanziario!$H:$L,5,FALSE),VLOOKUP($M20,TT_Tabelle_Riferimento!$H$31:$I$50,2,FALSE))</f>
        <v>5</v>
      </c>
      <c r="BL20" s="1749">
        <f>+IFERROR(VLOOKUP(BL$6&amp;"-"&amp;$M20&amp;"_old",Ammortamento_Finanziario!$H:$L,5,FALSE),VLOOKUP($M20,TT_Tabelle_Riferimento!$H$31:$I$50,2,FALSE))</f>
        <v>5</v>
      </c>
      <c r="BM20" s="1749">
        <f>+IFERROR(VLOOKUP(BM$6&amp;"-"&amp;$M20&amp;"_old",Ammortamento_Finanziario!$H:$L,5,FALSE),VLOOKUP($M20,TT_Tabelle_Riferimento!$H$31:$I$50,2,FALSE))</f>
        <v>5</v>
      </c>
      <c r="BN20" s="1749">
        <f>+IFERROR(VLOOKUP(BN$6&amp;"-"&amp;$M20&amp;"_old",Ammortamento_Finanziario!$H:$L,5,FALSE),VLOOKUP($M20,TT_Tabelle_Riferimento!$H$31:$I$50,2,FALSE))</f>
        <v>5</v>
      </c>
      <c r="BO20" s="625">
        <f>+IFERROR(VLOOKUP(BO$6&amp;"-"&amp;$M20&amp;"_old",Ammortamento_Finanziario!$H:$L,5,FALSE),VLOOKUP($M20,TT_Tabelle_Riferimento!$H$31:$I$50,2,FALSE))</f>
        <v>5</v>
      </c>
      <c r="BP20" s="625">
        <f>+IFERROR(VLOOKUP(BP$6&amp;"-"&amp;$M20&amp;"_old",Ammortamento_Finanziario!$H:$L,5,FALSE),VLOOKUP($M20,TT_Tabelle_Riferimento!$H$31:$I$50,2,FALSE))</f>
        <v>5</v>
      </c>
      <c r="BQ20" s="625">
        <f>+IFERROR(VLOOKUP(BQ$6&amp;"-"&amp;$M20&amp;"_old",Ammortamento_Finanziario!$H:$L,5,FALSE),VLOOKUP($M20,TT_Tabelle_Riferimento!$H$31:$I$50,2,FALSE))</f>
        <v>5</v>
      </c>
      <c r="BR20" s="625">
        <f>+IFERROR(VLOOKUP(BR$6&amp;"-"&amp;$M20&amp;"_old",Ammortamento_Finanziario!$H:$L,5,FALSE),VLOOKUP($M20,TT_Tabelle_Riferimento!$H$31:$I$50,2,FALSE))</f>
        <v>5</v>
      </c>
      <c r="BS20" s="625">
        <f>+IFERROR(VLOOKUP(BS$6&amp;"-"&amp;$M20&amp;"_old",Ammortamento_Finanziario!$H:$L,5,FALSE),VLOOKUP($M20,TT_Tabelle_Riferimento!$H$31:$I$50,2,FALSE))</f>
        <v>5</v>
      </c>
      <c r="BT20" s="625">
        <f>+IFERROR(VLOOKUP(BT$6&amp;"-"&amp;$M20&amp;"_old",Ammortamento_Finanziario!$H:$L,5,FALSE),VLOOKUP($M20,TT_Tabelle_Riferimento!$H$31:$I$50,2,FALSE))</f>
        <v>5</v>
      </c>
      <c r="BU20" s="625">
        <f>+IFERROR(VLOOKUP(BU$6&amp;"-"&amp;$M20&amp;"_old",Ammortamento_Finanziario!$H:$L,5,FALSE),VLOOKUP($M20,TT_Tabelle_Riferimento!$H$31:$I$50,2,FALSE))</f>
        <v>5</v>
      </c>
      <c r="BV20" s="625">
        <f>+IFERROR(VLOOKUP(BV$6&amp;"-"&amp;$M20&amp;"_old",Ammortamento_Finanziario!$H:$L,5,FALSE),VLOOKUP($M20,TT_Tabelle_Riferimento!$H$31:$I$50,2,FALSE))</f>
        <v>5</v>
      </c>
      <c r="BW20" s="625">
        <f>+IFERROR(VLOOKUP(BW$6&amp;"-"&amp;$M20&amp;"_old",Ammortamento_Finanziario!$H:$L,5,FALSE),VLOOKUP($M20,TT_Tabelle_Riferimento!$H$31:$I$50,2,FALSE))</f>
        <v>5</v>
      </c>
      <c r="BX20" s="625">
        <f>+IFERROR(VLOOKUP(BX$6&amp;"-"&amp;$M20&amp;"_old",Ammortamento_Finanziario!$H:$L,5,FALSE),VLOOKUP($M20,TT_Tabelle_Riferimento!$H$31:$I$50,2,FALSE))</f>
        <v>5</v>
      </c>
      <c r="BY20" s="625">
        <f>+IFERROR(VLOOKUP(BY$6&amp;"-"&amp;$M20&amp;"_old",Ammortamento_Finanziario!$H:$L,5,FALSE),VLOOKUP($M20,TT_Tabelle_Riferimento!$H$31:$I$50,2,FALSE))</f>
        <v>5</v>
      </c>
      <c r="BZ20" s="625">
        <f>+IFERROR(VLOOKUP(BZ$6&amp;"-"&amp;$M20&amp;"_old",Ammortamento_Finanziario!$H:$L,5,FALSE),VLOOKUP($M20,TT_Tabelle_Riferimento!$H$31:$I$50,2,FALSE))</f>
        <v>5</v>
      </c>
      <c r="CA20" s="625">
        <f>+IFERROR(VLOOKUP(CA$6&amp;"-"&amp;$M20&amp;"_old",Ammortamento_Finanziario!$H:$L,5,FALSE),VLOOKUP($M20,TT_Tabelle_Riferimento!$H$31:$I$50,2,FALSE))</f>
        <v>5</v>
      </c>
      <c r="CB20" s="625">
        <f>+IFERROR(VLOOKUP(CB$6&amp;"-"&amp;$M20&amp;"_old",Ammortamento_Finanziario!$H:$L,5,FALSE),VLOOKUP($M20,TT_Tabelle_Riferimento!$H$31:$I$50,2,FALSE))</f>
        <v>5</v>
      </c>
      <c r="CC20" s="625">
        <f>+IFERROR(VLOOKUP(CC$6&amp;"-"&amp;$M20&amp;"_old",Ammortamento_Finanziario!$H:$L,5,FALSE),VLOOKUP($M20,TT_Tabelle_Riferimento!$H$31:$I$50,2,FALSE))</f>
        <v>5</v>
      </c>
      <c r="CD20" s="625">
        <f>+IFERROR(VLOOKUP(CD$6&amp;"-"&amp;$M20&amp;"_old",Ammortamento_Finanziario!$H:$L,5,FALSE),VLOOKUP($M20,TT_Tabelle_Riferimento!$H$31:$I$50,2,FALSE))</f>
        <v>5</v>
      </c>
      <c r="CE20" s="625">
        <f>+IFERROR(VLOOKUP(CE$6&amp;"-"&amp;$M20&amp;"_old",Ammortamento_Finanziario!$H:$L,5,FALSE),VLOOKUP($M20,TT_Tabelle_Riferimento!$H$31:$I$50,2,FALSE))</f>
        <v>5</v>
      </c>
      <c r="CF20" s="625">
        <f>+IFERROR(VLOOKUP(CF$6&amp;"-"&amp;$M20&amp;"_old",Ammortamento_Finanziario!$H:$L,5,FALSE),VLOOKUP($M20,TT_Tabelle_Riferimento!$H$31:$I$50,2,FALSE))</f>
        <v>5</v>
      </c>
      <c r="CG20" s="625">
        <f>+IFERROR(VLOOKUP(CG$6&amp;"-"&amp;$M20&amp;"_old",Ammortamento_Finanziario!$H:$L,5,FALSE),VLOOKUP($M20,TT_Tabelle_Riferimento!$H$31:$I$50,2,FALSE))</f>
        <v>5</v>
      </c>
      <c r="CH20" s="905">
        <f>+IFERROR(VLOOKUP(CH$6&amp;"-"&amp;$M20&amp;"_old",Ammortamento_Finanziario!$H:$L,5,FALSE),VLOOKUP($M20,TT_Tabelle_Riferimento!$H$31:$I$50,2,FALSE))</f>
        <v>5</v>
      </c>
      <c r="CI20" s="905">
        <f>+IFERROR(VLOOKUP(CI$6&amp;"-"&amp;$M20&amp;"_old",Ammortamento_Finanziario!$H:$L,5,FALSE),VLOOKUP($M20,TT_Tabelle_Riferimento!$H$31:$I$50,2,FALSE))</f>
        <v>5</v>
      </c>
      <c r="CJ20" s="905">
        <f>+IFERROR(VLOOKUP(CJ$6&amp;"-"&amp;$M20&amp;"_old",Ammortamento_Finanziario!$H:$L,5,FALSE),VLOOKUP($M20,TT_Tabelle_Riferimento!$H$31:$I$50,2,FALSE))</f>
        <v>5</v>
      </c>
      <c r="CK20" s="905">
        <f>+IFERROR(VLOOKUP(CK$6&amp;"-"&amp;$M20&amp;"_old",Ammortamento_Finanziario!$H:$L,5,FALSE),VLOOKUP($M20,TT_Tabelle_Riferimento!$H$31:$I$50,2,FALSE))</f>
        <v>5</v>
      </c>
      <c r="CL20" s="905">
        <f>+IFERROR(VLOOKUP(CL$6&amp;"-"&amp;$M20&amp;"_old",Ammortamento_Finanziario!$H:$L,5,FALSE),VLOOKUP($M20,TT_Tabelle_Riferimento!$H$31:$I$50,2,FALSE))</f>
        <v>5</v>
      </c>
      <c r="CM20" s="905">
        <f>+IFERROR(VLOOKUP(CM$6&amp;"-"&amp;$M20&amp;"_old",Ammortamento_Finanziario!$H:$L,5,FALSE),VLOOKUP($M20,TT_Tabelle_Riferimento!$H$31:$I$50,2,FALSE))</f>
        <v>5</v>
      </c>
      <c r="CN20" s="905">
        <f>+IFERROR(VLOOKUP(CN$6&amp;"-"&amp;$M20&amp;"_old",Ammortamento_Finanziario!$H:$L,5,FALSE),VLOOKUP($M20,TT_Tabelle_Riferimento!$H$31:$I$50,2,FALSE))</f>
        <v>5</v>
      </c>
      <c r="CO20" s="1740">
        <f>+IFERROR(VLOOKUP(CO$6&amp;"-"&amp;$M20&amp;"_old",Ammortamento_Finanziario!$H:$L,5,FALSE),VLOOKUP($M20,TT_Tabelle_Riferimento!$H$31:$I$50,2,FALSE))</f>
        <v>5</v>
      </c>
      <c r="CP20" s="1740">
        <f>+IFERROR(VLOOKUP(CP$6&amp;"-"&amp;$M20&amp;"_old",Ammortamento_Finanziario!$H:$L,5,FALSE),VLOOKUP($M20,TT_Tabelle_Riferimento!$H$31:$I$50,2,FALSE))</f>
        <v>5</v>
      </c>
      <c r="CQ20" s="1749">
        <f>+IFERROR(VLOOKUP(CQ$6&amp;"-"&amp;$M20&amp;"_old",Ammortamento_Finanziario!$H:$L,5,FALSE),VLOOKUP($M20,TT_Tabelle_Riferimento!$H$31:$I$50,2,FALSE))</f>
        <v>5</v>
      </c>
      <c r="CR20" s="1749">
        <f>+IFERROR(VLOOKUP(CR$6&amp;"-"&amp;$M20&amp;"_old",Ammortamento_Finanziario!$H:$L,5,FALSE),VLOOKUP($M20,TT_Tabelle_Riferimento!$H$31:$I$50,2,FALSE))</f>
        <v>5</v>
      </c>
      <c r="CS20" s="1749">
        <f>+IFERROR(VLOOKUP(CS$6&amp;"-"&amp;$M20&amp;"_old",Ammortamento_Finanziario!$H:$L,5,FALSE),VLOOKUP($M20,TT_Tabelle_Riferimento!$H$31:$I$50,2,FALSE))</f>
        <v>5</v>
      </c>
      <c r="CT20" s="1749">
        <f>+IFERROR(VLOOKUP(CT$6&amp;"-"&amp;$M20&amp;"_old",Ammortamento_Finanziario!$H:$L,5,FALSE),VLOOKUP($M20,TT_Tabelle_Riferimento!$H$31:$I$50,2,FALSE))</f>
        <v>5</v>
      </c>
      <c r="CU20" s="1749">
        <f>+IFERROR(VLOOKUP(CU$6&amp;"-"&amp;$M20&amp;"_old",Ammortamento_Finanziario!$H:$L,5,FALSE),VLOOKUP($M20,TT_Tabelle_Riferimento!$H$31:$I$50,2,FALSE))</f>
        <v>5</v>
      </c>
      <c r="CV20" s="1749">
        <f>+IFERROR(VLOOKUP(CV$6&amp;"-"&amp;$M20&amp;"_old",Ammortamento_Finanziario!$H:$L,5,FALSE),VLOOKUP($M20,TT_Tabelle_Riferimento!$H$31:$I$50,2,FALSE))</f>
        <v>5</v>
      </c>
      <c r="CW20" s="625">
        <f>+IFERROR(VLOOKUP(CW$6&amp;"-"&amp;$M20&amp;"_old",Ammortamento_Finanziario!$H:$L,5,FALSE),VLOOKUP($M20,TT_Tabelle_Riferimento!$H$31:$I$50,2,FALSE))</f>
        <v>5</v>
      </c>
      <c r="CX20" s="625">
        <f>+IFERROR(VLOOKUP(CX$6&amp;"-"&amp;$M20&amp;"_old",Ammortamento_Finanziario!$H:$L,5,FALSE),VLOOKUP($M20,TT_Tabelle_Riferimento!$H$31:$I$50,2,FALSE))</f>
        <v>5</v>
      </c>
      <c r="CY20" s="625">
        <f>+IFERROR(VLOOKUP(CY$6&amp;"-"&amp;$M20&amp;"_old",Ammortamento_Finanziario!$H:$L,5,FALSE),VLOOKUP($M20,TT_Tabelle_Riferimento!$H$31:$I$50,2,FALSE))</f>
        <v>5</v>
      </c>
      <c r="CZ20" s="625">
        <f>+IFERROR(VLOOKUP(CZ$6&amp;"-"&amp;$M20&amp;"_old",Ammortamento_Finanziario!$H:$L,5,FALSE),VLOOKUP($M20,TT_Tabelle_Riferimento!$H$31:$I$50,2,FALSE))</f>
        <v>5</v>
      </c>
      <c r="DA20" s="625">
        <f>+IFERROR(VLOOKUP(DA$6&amp;"-"&amp;$M20&amp;"_old",Ammortamento_Finanziario!$H:$L,5,FALSE),VLOOKUP($M20,TT_Tabelle_Riferimento!$H$31:$I$50,2,FALSE))</f>
        <v>5</v>
      </c>
      <c r="DB20" s="625">
        <f>+IFERROR(VLOOKUP(DB$6&amp;"-"&amp;$M20&amp;"_old",Ammortamento_Finanziario!$H:$L,5,FALSE),VLOOKUP($M20,TT_Tabelle_Riferimento!$H$31:$I$50,2,FALSE))</f>
        <v>5</v>
      </c>
      <c r="DC20" s="625">
        <f>+IFERROR(VLOOKUP(DC$6&amp;"-"&amp;$M20&amp;"_old",Ammortamento_Finanziario!$H:$L,5,FALSE),VLOOKUP($M20,TT_Tabelle_Riferimento!$H$31:$I$50,2,FALSE))</f>
        <v>5</v>
      </c>
      <c r="DD20" s="625">
        <f>+IFERROR(VLOOKUP(DD$6&amp;"-"&amp;$M20&amp;"_old",Ammortamento_Finanziario!$H:$L,5,FALSE),VLOOKUP($M20,TT_Tabelle_Riferimento!$H$31:$I$50,2,FALSE))</f>
        <v>5</v>
      </c>
      <c r="DE20" s="625">
        <f>+IFERROR(VLOOKUP(DE$6&amp;"-"&amp;$M20&amp;"_old",Ammortamento_Finanziario!$H:$L,5,FALSE),VLOOKUP($M20,TT_Tabelle_Riferimento!$H$31:$I$50,2,FALSE))</f>
        <v>5</v>
      </c>
      <c r="DF20" s="625">
        <f>+IFERROR(VLOOKUP(DF$6&amp;"-"&amp;$M20&amp;"_old",Ammortamento_Finanziario!$H:$L,5,FALSE),VLOOKUP($M20,TT_Tabelle_Riferimento!$H$31:$I$50,2,FALSE))</f>
        <v>5</v>
      </c>
      <c r="DG20" s="625">
        <f>+IFERROR(VLOOKUP(DG$6&amp;"-"&amp;$M20&amp;"_old",Ammortamento_Finanziario!$H:$L,5,FALSE),VLOOKUP($M20,TT_Tabelle_Riferimento!$H$31:$I$50,2,FALSE))</f>
        <v>5</v>
      </c>
      <c r="DH20" s="625">
        <f>+IFERROR(VLOOKUP(DH$6&amp;"-"&amp;$M20&amp;"_old",Ammortamento_Finanziario!$H:$L,5,FALSE),VLOOKUP($M20,TT_Tabelle_Riferimento!$H$31:$I$50,2,FALSE))</f>
        <v>5</v>
      </c>
      <c r="DI20" s="625">
        <f>+IFERROR(VLOOKUP(DI$6&amp;"-"&amp;$M20&amp;"_old",Ammortamento_Finanziario!$H:$L,5,FALSE),VLOOKUP($M20,TT_Tabelle_Riferimento!$H$31:$I$50,2,FALSE))</f>
        <v>5</v>
      </c>
      <c r="DJ20" s="625">
        <f>+IFERROR(VLOOKUP(DJ$6&amp;"-"&amp;$M20&amp;"_old",Ammortamento_Finanziario!$H:$L,5,FALSE),VLOOKUP($M20,TT_Tabelle_Riferimento!$H$31:$I$50,2,FALSE))</f>
        <v>5</v>
      </c>
      <c r="DK20" s="625">
        <f>+IFERROR(VLOOKUP(DK$6&amp;"-"&amp;$M20&amp;"_old",Ammortamento_Finanziario!$H:$L,5,FALSE),VLOOKUP($M20,TT_Tabelle_Riferimento!$H$31:$I$50,2,FALSE))</f>
        <v>5</v>
      </c>
      <c r="DL20" s="625">
        <f>+IFERROR(VLOOKUP(DL$6&amp;"-"&amp;$M20&amp;"_old",Ammortamento_Finanziario!$H:$L,5,FALSE),VLOOKUP($M20,TT_Tabelle_Riferimento!$H$31:$I$50,2,FALSE))</f>
        <v>5</v>
      </c>
      <c r="DM20" s="625">
        <f>+IFERROR(VLOOKUP(DM$6&amp;"-"&amp;$M20&amp;"_old",Ammortamento_Finanziario!$H:$L,5,FALSE),VLOOKUP($M20,TT_Tabelle_Riferimento!$H$31:$I$50,2,FALSE))</f>
        <v>5</v>
      </c>
      <c r="DN20" s="625">
        <f>+IFERROR(VLOOKUP(DN$6&amp;"-"&amp;$M20&amp;"_old",Ammortamento_Finanziario!$H:$L,5,FALSE),VLOOKUP($M20,TT_Tabelle_Riferimento!$H$31:$I$50,2,FALSE))</f>
        <v>5</v>
      </c>
      <c r="DO20" s="625">
        <f>+IFERROR(VLOOKUP(DO$6&amp;"-"&amp;$M20&amp;"_old",Ammortamento_Finanziario!$H:$L,5,FALSE),VLOOKUP($M20,TT_Tabelle_Riferimento!$H$31:$I$50,2,FALSE))</f>
        <v>5</v>
      </c>
      <c r="DP20" s="636">
        <f>+IFERROR(VLOOKUP(DP$6&amp;"-"&amp;$M20&amp;"_old",Ammortamento_Finanziario!$H:$L,5,FALSE),VLOOKUP($M20,TT_Tabelle_Riferimento!$H$31:$I$50,2,FALSE))</f>
        <v>5</v>
      </c>
      <c r="DQ20" s="636">
        <f>+IFERROR(VLOOKUP(DQ$6&amp;"-"&amp;$M20&amp;"_old",Ammortamento_Finanziario!$H:$L,5,FALSE),VLOOKUP($M20,TT_Tabelle_Riferimento!$H$31:$I$50,2,FALSE))</f>
        <v>5</v>
      </c>
      <c r="DR20" s="636">
        <f>+IFERROR(VLOOKUP(DR$6&amp;"-"&amp;$M20&amp;"_old",Ammortamento_Finanziario!$H:$L,5,FALSE),VLOOKUP($M20,TT_Tabelle_Riferimento!$H$31:$I$50,2,FALSE))</f>
        <v>5</v>
      </c>
      <c r="DS20" s="636">
        <f>+IFERROR(VLOOKUP(DS$6&amp;"-"&amp;$M20&amp;"_old",Ammortamento_Finanziario!$H:$L,5,FALSE),VLOOKUP($M20,TT_Tabelle_Riferimento!$H$31:$I$50,2,FALSE))</f>
        <v>5</v>
      </c>
      <c r="DT20" s="636">
        <f>+IFERROR(VLOOKUP(DT$6&amp;"-"&amp;$M20&amp;"_old",Ammortamento_Finanziario!$H:$L,5,FALSE),VLOOKUP($M20,TT_Tabelle_Riferimento!$H$31:$I$50,2,FALSE))</f>
        <v>5</v>
      </c>
      <c r="DU20" s="636">
        <f>+IFERROR(VLOOKUP(DU$6&amp;"-"&amp;$M20&amp;"_old",Ammortamento_Finanziario!$H:$L,5,FALSE),VLOOKUP($M20,TT_Tabelle_Riferimento!$H$31:$I$50,2,FALSE))</f>
        <v>5</v>
      </c>
      <c r="DV20" s="1742">
        <f>+IFERROR(VLOOKUP(DV$6&amp;"-"&amp;$M20&amp;"_old",Ammortamento_Finanziario!$H:$L,5,FALSE),VLOOKUP($M20,TT_Tabelle_Riferimento!$H$31:$I$50,2,FALSE))</f>
        <v>5</v>
      </c>
      <c r="DW20" s="1742">
        <f>+IFERROR(VLOOKUP(DW$6&amp;"-"&amp;$M20&amp;"_old",Ammortamento_Finanziario!$H:$L,5,FALSE),VLOOKUP($M20,TT_Tabelle_Riferimento!$H$31:$I$50,2,FALSE))</f>
        <v>5</v>
      </c>
      <c r="DX20" s="1750">
        <f>+IFERROR(VLOOKUP(DX$6&amp;"-"&amp;$M20&amp;"_old",Ammortamento_Finanziario!$H:$L,5,FALSE),VLOOKUP($M20,TT_Tabelle_Riferimento!$H$31:$I$50,2,FALSE))</f>
        <v>5</v>
      </c>
      <c r="DY20" s="1750">
        <f>+IFERROR(VLOOKUP(DY$6&amp;"-"&amp;$M20&amp;"_old",Ammortamento_Finanziario!$H:$L,5,FALSE),VLOOKUP($M20,TT_Tabelle_Riferimento!$H$31:$I$50,2,FALSE))</f>
        <v>5</v>
      </c>
      <c r="DZ20" s="1750">
        <f>+IFERROR(VLOOKUP(DZ$6&amp;"-"&amp;$M20&amp;"_old",Ammortamento_Finanziario!$H:$L,5,FALSE),VLOOKUP($M20,TT_Tabelle_Riferimento!$H$31:$I$50,2,FALSE))</f>
        <v>5</v>
      </c>
      <c r="EA20" s="1750">
        <f>+IFERROR(VLOOKUP(EA$6&amp;"-"&amp;$M20&amp;"_old",Ammortamento_Finanziario!$H:$L,5,FALSE),VLOOKUP($M20,TT_Tabelle_Riferimento!$H$31:$I$50,2,FALSE))</f>
        <v>5</v>
      </c>
      <c r="EB20" s="1750">
        <f>+IFERROR(VLOOKUP(EB$6&amp;"-"&amp;$M20&amp;"_old",Ammortamento_Finanziario!$H:$L,5,FALSE),VLOOKUP($M20,TT_Tabelle_Riferimento!$H$31:$I$50,2,FALSE))</f>
        <v>5</v>
      </c>
      <c r="EC20" s="1750">
        <f>+IFERROR(VLOOKUP(EC$6&amp;"-"&amp;$M20&amp;"_old",Ammortamento_Finanziario!$H:$L,5,FALSE),VLOOKUP($M20,TT_Tabelle_Riferimento!$H$31:$I$50,2,FALSE))</f>
        <v>5</v>
      </c>
      <c r="ED20" s="636">
        <f>+IFERROR(VLOOKUP(ED$6&amp;"-"&amp;$M20&amp;"_old",Ammortamento_Finanziario!$H:$L,5,FALSE),VLOOKUP($M20,TT_Tabelle_Riferimento!$H$31:$I$50,2,FALSE))</f>
        <v>5</v>
      </c>
      <c r="EE20" s="636">
        <f>+IFERROR(VLOOKUP(EE$6&amp;"-"&amp;$M20&amp;"_old",Ammortamento_Finanziario!$H:$L,5,FALSE),VLOOKUP($M20,TT_Tabelle_Riferimento!$H$31:$I$50,2,FALSE))</f>
        <v>5</v>
      </c>
      <c r="EF20" s="636">
        <f>+IFERROR(VLOOKUP(EF$6&amp;"-"&amp;$M20&amp;"_old",Ammortamento_Finanziario!$H:$L,5,FALSE),VLOOKUP($M20,TT_Tabelle_Riferimento!$H$31:$I$50,2,FALSE))</f>
        <v>5</v>
      </c>
      <c r="EG20" s="636">
        <f>+IFERROR(VLOOKUP(EG$6&amp;"-"&amp;$M20&amp;"_old",Ammortamento_Finanziario!$H:$L,5,FALSE),VLOOKUP($M20,TT_Tabelle_Riferimento!$H$31:$I$50,2,FALSE))</f>
        <v>5</v>
      </c>
      <c r="EH20" s="636">
        <f>+IFERROR(VLOOKUP(EH$6&amp;"-"&amp;$M20&amp;"_old",Ammortamento_Finanziario!$H:$L,5,FALSE),VLOOKUP($M20,TT_Tabelle_Riferimento!$H$31:$I$50,2,FALSE))</f>
        <v>5</v>
      </c>
      <c r="EI20" s="636">
        <f>+IFERROR(VLOOKUP(EI$6&amp;"-"&amp;$M20&amp;"_old",Ammortamento_Finanziario!$H:$L,5,FALSE),VLOOKUP($M20,TT_Tabelle_Riferimento!$H$31:$I$50,2,FALSE))</f>
        <v>5</v>
      </c>
      <c r="EJ20" s="636">
        <f>+IFERROR(VLOOKUP(EJ$6&amp;"-"&amp;$M20&amp;"_old",Ammortamento_Finanziario!$H:$L,5,FALSE),VLOOKUP($M20,TT_Tabelle_Riferimento!$H$31:$I$50,2,FALSE))</f>
        <v>5</v>
      </c>
      <c r="EK20" s="636">
        <f>+IFERROR(VLOOKUP(EK$6&amp;"-"&amp;$M20&amp;"_old",Ammortamento_Finanziario!$H:$L,5,FALSE),VLOOKUP($M20,TT_Tabelle_Riferimento!$H$31:$I$50,2,FALSE))</f>
        <v>5</v>
      </c>
      <c r="EL20" s="636">
        <f>+IFERROR(VLOOKUP(EL$6&amp;"-"&amp;$M20&amp;"_old",Ammortamento_Finanziario!$H:$L,5,FALSE),VLOOKUP($M20,TT_Tabelle_Riferimento!$H$31:$I$50,2,FALSE))</f>
        <v>5</v>
      </c>
      <c r="EM20" s="636">
        <f>+IFERROR(VLOOKUP(EM$6&amp;"-"&amp;$M20&amp;"_old",Ammortamento_Finanziario!$H:$L,5,FALSE),VLOOKUP($M20,TT_Tabelle_Riferimento!$H$31:$I$50,2,FALSE))</f>
        <v>5</v>
      </c>
      <c r="EN20" s="636">
        <f>+IFERROR(VLOOKUP(EN$6&amp;"-"&amp;$M20&amp;"_old",Ammortamento_Finanziario!$H:$L,5,FALSE),VLOOKUP($M20,TT_Tabelle_Riferimento!$H$31:$I$50,2,FALSE))</f>
        <v>5</v>
      </c>
      <c r="EO20" s="636">
        <f>+IFERROR(VLOOKUP(EO$6&amp;"-"&amp;$M20&amp;"_old",Ammortamento_Finanziario!$H:$L,5,FALSE),VLOOKUP($M20,TT_Tabelle_Riferimento!$H$31:$I$50,2,FALSE))</f>
        <v>5</v>
      </c>
      <c r="EP20" s="636">
        <f>+IFERROR(VLOOKUP(EP$6&amp;"-"&amp;$M20&amp;"_old",Ammortamento_Finanziario!$H:$L,5,FALSE),VLOOKUP($M20,TT_Tabelle_Riferimento!$H$31:$I$50,2,FALSE))</f>
        <v>5</v>
      </c>
      <c r="EQ20" s="636">
        <f>+IFERROR(VLOOKUP(EQ$6&amp;"-"&amp;$M20&amp;"_old",Ammortamento_Finanziario!$H:$L,5,FALSE),VLOOKUP($M20,TT_Tabelle_Riferimento!$H$31:$I$50,2,FALSE))</f>
        <v>5</v>
      </c>
      <c r="ER20" s="636">
        <f>+IFERROR(VLOOKUP(ER$6&amp;"-"&amp;$M20&amp;"_old",Ammortamento_Finanziario!$H:$L,5,FALSE),VLOOKUP($M20,TT_Tabelle_Riferimento!$H$31:$I$50,2,FALSE))</f>
        <v>5</v>
      </c>
      <c r="ES20" s="636">
        <f>+IFERROR(VLOOKUP(ES$6&amp;"-"&amp;$M20&amp;"_old",Ammortamento_Finanziario!$H:$L,5,FALSE),VLOOKUP($M20,TT_Tabelle_Riferimento!$H$31:$I$50,2,FALSE))</f>
        <v>5</v>
      </c>
      <c r="ET20" s="636">
        <f>+IFERROR(VLOOKUP(ET$6&amp;"-"&amp;$M20&amp;"_old",Ammortamento_Finanziario!$H:$L,5,FALSE),VLOOKUP($M20,TT_Tabelle_Riferimento!$H$31:$I$50,2,FALSE))</f>
        <v>5</v>
      </c>
      <c r="EU20" s="636">
        <f>+IFERROR(VLOOKUP(EU$6&amp;"-"&amp;$M20&amp;"_old",Ammortamento_Finanziario!$H:$L,5,FALSE),VLOOKUP($M20,TT_Tabelle_Riferimento!$H$31:$I$50,2,FALSE))</f>
        <v>5</v>
      </c>
      <c r="EV20" s="636">
        <f>+IFERROR(VLOOKUP(EV$6&amp;"-"&amp;$M20&amp;"_old",Ammortamento_Finanziario!$H:$L,5,FALSE),VLOOKUP($M20,TT_Tabelle_Riferimento!$H$31:$I$50,2,FALSE))</f>
        <v>5</v>
      </c>
      <c r="EW20" s="1048">
        <f>+IFERROR(VLOOKUP(EW$6&amp;"-"&amp;$M20&amp;"_old",Ammortamento_Finanziario!$H:$L,5,FALSE),VLOOKUP($M20,TT_Tabelle_Riferimento!$H$31:$I$50,2,FALSE))</f>
        <v>5</v>
      </c>
      <c r="EX20" s="1048">
        <f>+IFERROR(VLOOKUP(EX$6&amp;"-"&amp;$M20&amp;"_old",Ammortamento_Finanziario!$H:$L,5,FALSE),VLOOKUP($M20,TT_Tabelle_Riferimento!$H$31:$I$50,2,FALSE))</f>
        <v>5</v>
      </c>
      <c r="EY20" s="1048">
        <f>+IFERROR(VLOOKUP(EY$6&amp;"-"&amp;$M20&amp;"_old",Ammortamento_Finanziario!$H:$L,5,FALSE),VLOOKUP($M20,TT_Tabelle_Riferimento!$H$31:$I$50,2,FALSE))</f>
        <v>5</v>
      </c>
      <c r="EZ20" s="1048">
        <f>+IFERROR(VLOOKUP(EZ$6&amp;"-"&amp;$M20&amp;"_old",Ammortamento_Finanziario!$H:$L,5,FALSE),VLOOKUP($M20,TT_Tabelle_Riferimento!$H$31:$I$50,2,FALSE))</f>
        <v>5</v>
      </c>
      <c r="FA20" s="1048">
        <f>+IFERROR(VLOOKUP(FA$6&amp;"-"&amp;$M20&amp;"_old",Ammortamento_Finanziario!$H:$L,5,FALSE),VLOOKUP($M20,TT_Tabelle_Riferimento!$H$31:$I$50,2,FALSE))</f>
        <v>5</v>
      </c>
      <c r="FB20" s="1743">
        <f>+IFERROR(VLOOKUP(FB$6&amp;"-"&amp;$M20&amp;"_old",Ammortamento_Finanziario!$H:$L,5,FALSE),VLOOKUP($M20,TT_Tabelle_Riferimento!$H$31:$I$50,2,FALSE))</f>
        <v>5</v>
      </c>
      <c r="FC20" s="1743">
        <f>+IFERROR(VLOOKUP(FC$6&amp;"-"&amp;$M20&amp;"_old",Ammortamento_Finanziario!$H:$L,5,FALSE),VLOOKUP($M20,TT_Tabelle_Riferimento!$H$31:$I$50,2,FALSE))</f>
        <v>5</v>
      </c>
      <c r="FD20" s="1751">
        <f>+IFERROR(VLOOKUP(FD$6&amp;"-"&amp;$M20&amp;"_old",Ammortamento_Finanziario!$H:$L,5,FALSE),VLOOKUP($M20,TT_Tabelle_Riferimento!$H$31:$I$50,2,FALSE))</f>
        <v>5</v>
      </c>
      <c r="FE20" s="1751">
        <f>+IFERROR(VLOOKUP(FE$6&amp;"-"&amp;$M20&amp;"_old",Ammortamento_Finanziario!$H:$L,5,FALSE),VLOOKUP($M20,TT_Tabelle_Riferimento!$H$31:$I$50,2,FALSE))</f>
        <v>5</v>
      </c>
      <c r="FF20" s="1751">
        <f>+IFERROR(VLOOKUP(FF$6&amp;"-"&amp;$M20&amp;"_old",Ammortamento_Finanziario!$H:$L,5,FALSE),VLOOKUP($M20,TT_Tabelle_Riferimento!$H$31:$I$50,2,FALSE))</f>
        <v>5</v>
      </c>
      <c r="FG20" s="1751">
        <f>+IFERROR(VLOOKUP(FG$6&amp;"-"&amp;$M20&amp;"_old",Ammortamento_Finanziario!$H:$L,5,FALSE),VLOOKUP($M20,TT_Tabelle_Riferimento!$H$31:$I$50,2,FALSE))</f>
        <v>5</v>
      </c>
      <c r="FH20" s="1751">
        <f>+IFERROR(VLOOKUP(FH$6&amp;"-"&amp;$M20&amp;"_old",Ammortamento_Finanziario!$H:$L,5,FALSE),VLOOKUP($M20,TT_Tabelle_Riferimento!$H$31:$I$50,2,FALSE))</f>
        <v>5</v>
      </c>
      <c r="FI20" s="1751">
        <f>+IFERROR(VLOOKUP(FI$6&amp;"-"&amp;$M20&amp;"_old",Ammortamento_Finanziario!$H:$L,5,FALSE),VLOOKUP($M20,TT_Tabelle_Riferimento!$H$31:$I$50,2,FALSE))</f>
        <v>5</v>
      </c>
      <c r="FJ20" s="629">
        <f>+IFERROR(VLOOKUP(FJ$6&amp;"-"&amp;$M20&amp;"_old",Ammortamento_Finanziario!$H:$L,5,FALSE),VLOOKUP($M20,TT_Tabelle_Riferimento!$H$31:$I$50,2,FALSE))</f>
        <v>5</v>
      </c>
      <c r="FK20" s="629">
        <f>+IFERROR(VLOOKUP(FK$6&amp;"-"&amp;$M20&amp;"_old",Ammortamento_Finanziario!$H:$L,5,FALSE),VLOOKUP($M20,TT_Tabelle_Riferimento!$H$31:$I$50,2,FALSE))</f>
        <v>5</v>
      </c>
      <c r="FL20" s="629">
        <f>+IFERROR(VLOOKUP(FL$6&amp;"-"&amp;$M20&amp;"_old",Ammortamento_Finanziario!$H:$L,5,FALSE),VLOOKUP($M20,TT_Tabelle_Riferimento!$H$31:$I$50,2,FALSE))</f>
        <v>5</v>
      </c>
      <c r="FM20" s="629">
        <f>+IFERROR(VLOOKUP(FM$6&amp;"-"&amp;$M20&amp;"_old",Ammortamento_Finanziario!$H:$L,5,FALSE),VLOOKUP($M20,TT_Tabelle_Riferimento!$H$31:$I$50,2,FALSE))</f>
        <v>5</v>
      </c>
      <c r="FN20" s="629">
        <f>+IFERROR(VLOOKUP(FN$6&amp;"-"&amp;$M20&amp;"_old",Ammortamento_Finanziario!$H:$L,5,FALSE),VLOOKUP($M20,TT_Tabelle_Riferimento!$H$31:$I$50,2,FALSE))</f>
        <v>5</v>
      </c>
      <c r="FO20" s="629">
        <f>+IFERROR(VLOOKUP(FO$6&amp;"-"&amp;$M20&amp;"_old",Ammortamento_Finanziario!$H:$L,5,FALSE),VLOOKUP($M20,TT_Tabelle_Riferimento!$H$31:$I$50,2,FALSE))</f>
        <v>5</v>
      </c>
      <c r="FP20" s="629">
        <f>+IFERROR(VLOOKUP(FP$6&amp;"-"&amp;$M20&amp;"_old",Ammortamento_Finanziario!$H:$L,5,FALSE),VLOOKUP($M20,TT_Tabelle_Riferimento!$H$31:$I$50,2,FALSE))</f>
        <v>5</v>
      </c>
      <c r="FQ20" s="629">
        <f>+IFERROR(VLOOKUP(FQ$6&amp;"-"&amp;$M20&amp;"_old",Ammortamento_Finanziario!$H:$L,5,FALSE),VLOOKUP($M20,TT_Tabelle_Riferimento!$H$31:$I$50,2,FALSE))</f>
        <v>5</v>
      </c>
      <c r="FR20" s="629">
        <f>+IFERROR(VLOOKUP(FR$6&amp;"-"&amp;$M20&amp;"_old",Ammortamento_Finanziario!$H:$L,5,FALSE),VLOOKUP($M20,TT_Tabelle_Riferimento!$H$31:$I$50,2,FALSE))</f>
        <v>5</v>
      </c>
      <c r="FS20" s="629">
        <f>+IFERROR(VLOOKUP(FS$6&amp;"-"&amp;$M20&amp;"_old",Ammortamento_Finanziario!$H:$L,5,FALSE),VLOOKUP($M20,TT_Tabelle_Riferimento!$H$31:$I$50,2,FALSE))</f>
        <v>5</v>
      </c>
      <c r="FT20" s="629">
        <f>+IFERROR(VLOOKUP(FT$6&amp;"-"&amp;$M20&amp;"_old",Ammortamento_Finanziario!$H:$L,5,FALSE),VLOOKUP($M20,TT_Tabelle_Riferimento!$H$31:$I$50,2,FALSE))</f>
        <v>5</v>
      </c>
      <c r="FU20" s="629">
        <f>+IFERROR(VLOOKUP(FU$6&amp;"-"&amp;$M20&amp;"_old",Ammortamento_Finanziario!$H:$L,5,FALSE),VLOOKUP($M20,TT_Tabelle_Riferimento!$H$31:$I$50,2,FALSE))</f>
        <v>5</v>
      </c>
      <c r="FV20" s="629">
        <f>+IFERROR(VLOOKUP(FV$6&amp;"-"&amp;$M20&amp;"_old",Ammortamento_Finanziario!$H:$L,5,FALSE),VLOOKUP($M20,TT_Tabelle_Riferimento!$H$31:$I$50,2,FALSE))</f>
        <v>5</v>
      </c>
      <c r="FW20" s="629">
        <f>+IFERROR(VLOOKUP(FW$6&amp;"-"&amp;$M20&amp;"_old",Ammortamento_Finanziario!$H:$L,5,FALSE),VLOOKUP($M20,TT_Tabelle_Riferimento!$H$31:$I$50,2,FALSE))</f>
        <v>5</v>
      </c>
      <c r="FX20" s="629">
        <f>+IFERROR(VLOOKUP(FX$6&amp;"-"&amp;$M20&amp;"_old",Ammortamento_Finanziario!$H:$L,5,FALSE),VLOOKUP($M20,TT_Tabelle_Riferimento!$H$31:$I$50,2,FALSE))</f>
        <v>5</v>
      </c>
      <c r="FY20" s="629">
        <f>+IFERROR(VLOOKUP(FY$6&amp;"-"&amp;$M20&amp;"_old",Ammortamento_Finanziario!$H:$L,5,FALSE),VLOOKUP($M20,TT_Tabelle_Riferimento!$H$31:$I$50,2,FALSE))</f>
        <v>5</v>
      </c>
      <c r="FZ20" s="629">
        <f>+IFERROR(VLOOKUP(FZ$6&amp;"-"&amp;$M20&amp;"_old",Ammortamento_Finanziario!$H:$L,5,FALSE),VLOOKUP($M20,TT_Tabelle_Riferimento!$H$31:$I$50,2,FALSE))</f>
        <v>5</v>
      </c>
      <c r="GA20" s="629">
        <f>+IFERROR(VLOOKUP(GA$6&amp;"-"&amp;$M20&amp;"_old",Ammortamento_Finanziario!$H:$L,5,FALSE),VLOOKUP($M20,TT_Tabelle_Riferimento!$H$31:$I$50,2,FALSE))</f>
        <v>5</v>
      </c>
      <c r="GB20" s="629">
        <f>+IFERROR(VLOOKUP(GB$6&amp;"-"&amp;$M20&amp;"_old",Ammortamento_Finanziario!$H:$L,5,FALSE),VLOOKUP($M20,TT_Tabelle_Riferimento!$H$31:$I$50,2,FALSE))</f>
        <v>5</v>
      </c>
      <c r="GC20" s="635">
        <f>+IFERROR(VLOOKUP(GC$6&amp;"-"&amp;$M20&amp;"_old",Ammortamento_Finanziario!$H:$L,5,FALSE),VLOOKUP($M20,TT_Tabelle_Riferimento!$H$31:$I$50,2,FALSE))</f>
        <v>5</v>
      </c>
      <c r="GD20" s="635">
        <f>+IFERROR(VLOOKUP(GD$6&amp;"-"&amp;$M20&amp;"_old",Ammortamento_Finanziario!$H:$L,5,FALSE),VLOOKUP($M20,TT_Tabelle_Riferimento!$H$31:$I$50,2,FALSE))</f>
        <v>5</v>
      </c>
      <c r="GE20" s="635">
        <f>+IFERROR(VLOOKUP(GE$6&amp;"-"&amp;$M20&amp;"_old",Ammortamento_Finanziario!$H:$L,5,FALSE),VLOOKUP($M20,TT_Tabelle_Riferimento!$H$31:$I$50,2,FALSE))</f>
        <v>5</v>
      </c>
      <c r="GF20" s="635">
        <f>+IFERROR(VLOOKUP(GF$6&amp;"-"&amp;$M20&amp;"_old",Ammortamento_Finanziario!$H:$L,5,FALSE),VLOOKUP($M20,TT_Tabelle_Riferimento!$H$31:$I$50,2,FALSE))</f>
        <v>5</v>
      </c>
      <c r="GG20" s="1744">
        <f>+IFERROR(VLOOKUP(GG$6&amp;"-"&amp;$M20&amp;"_old",Ammortamento_Finanziario!$H:$L,5,FALSE),VLOOKUP($M20,TT_Tabelle_Riferimento!$H$31:$I$50,2,FALSE))</f>
        <v>5</v>
      </c>
      <c r="GH20" s="1744">
        <f>+IFERROR(VLOOKUP(GH$6&amp;"-"&amp;$M20&amp;"_old",Ammortamento_Finanziario!$H:$L,5,FALSE),VLOOKUP($M20,TT_Tabelle_Riferimento!$H$31:$I$50,2,FALSE))</f>
        <v>5</v>
      </c>
      <c r="GI20" s="1752">
        <f>+IFERROR(VLOOKUP(GI$6&amp;"-"&amp;$M20&amp;"_old",Ammortamento_Finanziario!$H:$L,5,FALSE),VLOOKUP($M20,TT_Tabelle_Riferimento!$H$31:$I$50,2,FALSE))</f>
        <v>5</v>
      </c>
      <c r="GJ20" s="1752">
        <f>+IFERROR(VLOOKUP(GJ$6&amp;"-"&amp;$M20&amp;"_old",Ammortamento_Finanziario!$H:$L,5,FALSE),VLOOKUP($M20,TT_Tabelle_Riferimento!$H$31:$I$50,2,FALSE))</f>
        <v>5</v>
      </c>
      <c r="GK20" s="1752">
        <f>+IFERROR(VLOOKUP(GK$6&amp;"-"&amp;$M20&amp;"_old",Ammortamento_Finanziario!$H:$L,5,FALSE),VLOOKUP($M20,TT_Tabelle_Riferimento!$H$31:$I$50,2,FALSE))</f>
        <v>5</v>
      </c>
      <c r="GL20" s="1752">
        <f>+IFERROR(VLOOKUP(GL$6&amp;"-"&amp;$M20&amp;"_old",Ammortamento_Finanziario!$H:$L,5,FALSE),VLOOKUP($M20,TT_Tabelle_Riferimento!$H$31:$I$50,2,FALSE))</f>
        <v>5</v>
      </c>
      <c r="GM20" s="1752">
        <f>+IFERROR(VLOOKUP(GM$6&amp;"-"&amp;$M20&amp;"_old",Ammortamento_Finanziario!$H:$L,5,FALSE),VLOOKUP($M20,TT_Tabelle_Riferimento!$H$31:$I$50,2,FALSE))</f>
        <v>5</v>
      </c>
      <c r="GN20" s="1752">
        <f>+IFERROR(VLOOKUP(GN$6&amp;"-"&amp;$M20&amp;"_old",Ammortamento_Finanziario!$H:$L,5,FALSE),VLOOKUP($M20,TT_Tabelle_Riferimento!$H$31:$I$50,2,FALSE))</f>
        <v>5</v>
      </c>
      <c r="GO20" s="628">
        <f>+IFERROR(VLOOKUP(GO$6&amp;"-"&amp;$M20&amp;"_old",Ammortamento_Finanziario!$H:$L,5,FALSE),VLOOKUP($M20,TT_Tabelle_Riferimento!$H$31:$I$50,2,FALSE))</f>
        <v>5</v>
      </c>
      <c r="GP20" s="628">
        <f>+IFERROR(VLOOKUP(GP$6&amp;"-"&amp;$M20&amp;"_old",Ammortamento_Finanziario!$H:$L,5,FALSE),VLOOKUP($M20,TT_Tabelle_Riferimento!$H$31:$I$50,2,FALSE))</f>
        <v>5</v>
      </c>
      <c r="GQ20" s="628">
        <f>+IFERROR(VLOOKUP(GQ$6&amp;"-"&amp;$M20&amp;"_old",Ammortamento_Finanziario!$H:$L,5,FALSE),VLOOKUP($M20,TT_Tabelle_Riferimento!$H$31:$I$50,2,FALSE))</f>
        <v>5</v>
      </c>
      <c r="GR20" s="628">
        <f>+IFERROR(VLOOKUP(GR$6&amp;"-"&amp;$M20&amp;"_old",Ammortamento_Finanziario!$H:$L,5,FALSE),VLOOKUP($M20,TT_Tabelle_Riferimento!$H$31:$I$50,2,FALSE))</f>
        <v>5</v>
      </c>
      <c r="GS20" s="628">
        <f>+IFERROR(VLOOKUP(GS$6&amp;"-"&amp;$M20&amp;"_old",Ammortamento_Finanziario!$H:$L,5,FALSE),VLOOKUP($M20,TT_Tabelle_Riferimento!$H$31:$I$50,2,FALSE))</f>
        <v>5</v>
      </c>
      <c r="GT20" s="628">
        <f>+IFERROR(VLOOKUP(GT$6&amp;"-"&amp;$M20&amp;"_old",Ammortamento_Finanziario!$H:$L,5,FALSE),VLOOKUP($M20,TT_Tabelle_Riferimento!$H$31:$I$50,2,FALSE))</f>
        <v>5</v>
      </c>
      <c r="GU20" s="628">
        <f>+IFERROR(VLOOKUP(GU$6&amp;"-"&amp;$M20&amp;"_old",Ammortamento_Finanziario!$H:$L,5,FALSE),VLOOKUP($M20,TT_Tabelle_Riferimento!$H$31:$I$50,2,FALSE))</f>
        <v>5</v>
      </c>
      <c r="GV20" s="628">
        <f>+IFERROR(VLOOKUP(GV$6&amp;"-"&amp;$M20&amp;"_old",Ammortamento_Finanziario!$H:$L,5,FALSE),VLOOKUP($M20,TT_Tabelle_Riferimento!$H$31:$I$50,2,FALSE))</f>
        <v>5</v>
      </c>
      <c r="GW20" s="628">
        <f>+IFERROR(VLOOKUP(GW$6&amp;"-"&amp;$M20&amp;"_old",Ammortamento_Finanziario!$H:$L,5,FALSE),VLOOKUP($M20,TT_Tabelle_Riferimento!$H$31:$I$50,2,FALSE))</f>
        <v>5</v>
      </c>
      <c r="GX20" s="628">
        <f>+IFERROR(VLOOKUP(GX$6&amp;"-"&amp;$M20&amp;"_old",Ammortamento_Finanziario!$H:$L,5,FALSE),VLOOKUP($M20,TT_Tabelle_Riferimento!$H$31:$I$50,2,FALSE))</f>
        <v>5</v>
      </c>
      <c r="GY20" s="628">
        <f>+IFERROR(VLOOKUP(GY$6&amp;"-"&amp;$M20&amp;"_old",Ammortamento_Finanziario!$H:$L,5,FALSE),VLOOKUP($M20,TT_Tabelle_Riferimento!$H$31:$I$50,2,FALSE))</f>
        <v>5</v>
      </c>
      <c r="GZ20" s="628">
        <f>+IFERROR(VLOOKUP(GZ$6&amp;"-"&amp;$M20&amp;"_old",Ammortamento_Finanziario!$H:$L,5,FALSE),VLOOKUP($M20,TT_Tabelle_Riferimento!$H$31:$I$50,2,FALSE))</f>
        <v>5</v>
      </c>
      <c r="HA20" s="628">
        <f>+IFERROR(VLOOKUP(HA$6&amp;"-"&amp;$M20&amp;"_old",Ammortamento_Finanziario!$H:$L,5,FALSE),VLOOKUP($M20,TT_Tabelle_Riferimento!$H$31:$I$50,2,FALSE))</f>
        <v>5</v>
      </c>
      <c r="HB20" s="628">
        <f>+IFERROR(VLOOKUP(HB$6&amp;"-"&amp;$M20&amp;"_old",Ammortamento_Finanziario!$H:$L,5,FALSE),VLOOKUP($M20,TT_Tabelle_Riferimento!$H$31:$I$50,2,FALSE))</f>
        <v>5</v>
      </c>
      <c r="HC20" s="628">
        <f>+IFERROR(VLOOKUP(HC$6&amp;"-"&amp;$M20&amp;"_old",Ammortamento_Finanziario!$H:$L,5,FALSE),VLOOKUP($M20,TT_Tabelle_Riferimento!$H$31:$I$50,2,FALSE))</f>
        <v>5</v>
      </c>
      <c r="HD20" s="628">
        <f>+IFERROR(VLOOKUP(HD$6&amp;"-"&amp;$M20&amp;"_old",Ammortamento_Finanziario!$H:$L,5,FALSE),VLOOKUP($M20,TT_Tabelle_Riferimento!$H$31:$I$50,2,FALSE))</f>
        <v>5</v>
      </c>
      <c r="HE20" s="628">
        <f>+IFERROR(VLOOKUP(HE$6&amp;"-"&amp;$M20&amp;"_old",Ammortamento_Finanziario!$H:$L,5,FALSE),VLOOKUP($M20,TT_Tabelle_Riferimento!$H$31:$I$50,2,FALSE))</f>
        <v>5</v>
      </c>
      <c r="HF20" s="628">
        <f>+IFERROR(VLOOKUP(HF$6&amp;"-"&amp;$M20&amp;"_old",Ammortamento_Finanziario!$H:$L,5,FALSE),VLOOKUP($M20,TT_Tabelle_Riferimento!$H$31:$I$50,2,FALSE))</f>
        <v>5</v>
      </c>
      <c r="HG20" s="628">
        <f>+IFERROR(VLOOKUP(HG$6&amp;"-"&amp;$M20&amp;"_old",Ammortamento_Finanziario!$H:$L,5,FALSE),VLOOKUP($M20,TT_Tabelle_Riferimento!$H$31:$I$50,2,FALSE))</f>
        <v>5</v>
      </c>
      <c r="HH20" s="422">
        <f>+IFERROR(VLOOKUP(HH$6&amp;"-"&amp;$M20&amp;"_old",Ammortamento_Finanziario!$H:$L,5,FALSE),VLOOKUP($M20,TT_Tabelle_Riferimento!$H$31:$I$50,2,FALSE))</f>
        <v>5</v>
      </c>
      <c r="HI20" s="422">
        <f>+IFERROR(VLOOKUP(HI$6&amp;"-"&amp;$M20&amp;"_old",Ammortamento_Finanziario!$H:$L,5,FALSE),VLOOKUP($M20,TT_Tabelle_Riferimento!$H$31:$I$50,2,FALSE))</f>
        <v>5</v>
      </c>
      <c r="HJ20" s="422">
        <f>+IFERROR(VLOOKUP(HJ$6&amp;"-"&amp;$M20&amp;"_old",Ammortamento_Finanziario!$H:$L,5,FALSE),VLOOKUP($M20,TT_Tabelle_Riferimento!$H$31:$I$50,2,FALSE))</f>
        <v>5</v>
      </c>
      <c r="HK20" s="1746">
        <f>+IFERROR(VLOOKUP(HK$6&amp;"-"&amp;$M20&amp;"_old",Ammortamento_Finanziario!$H:$L,5,FALSE),VLOOKUP($M20,TT_Tabelle_Riferimento!$H$31:$I$50,2,FALSE))</f>
        <v>5</v>
      </c>
      <c r="HL20" s="1746">
        <f>+IFERROR(VLOOKUP(HL$6&amp;"-"&amp;$M20&amp;"_old",Ammortamento_Finanziario!$H:$L,5,FALSE),VLOOKUP($M20,TT_Tabelle_Riferimento!$H$31:$I$50,2,FALSE))</f>
        <v>5</v>
      </c>
      <c r="HM20" s="1753">
        <f>+IFERROR(VLOOKUP(HM$6&amp;"-"&amp;$M20&amp;"_old",Ammortamento_Finanziario!$H:$L,5,FALSE),VLOOKUP($M20,TT_Tabelle_Riferimento!$H$31:$I$50,2,FALSE))</f>
        <v>5</v>
      </c>
      <c r="HN20" s="1753">
        <f>+IFERROR(VLOOKUP(HN$6&amp;"-"&amp;$M20&amp;"_old",Ammortamento_Finanziario!$H:$L,5,FALSE),VLOOKUP($M20,TT_Tabelle_Riferimento!$H$31:$I$50,2,FALSE))</f>
        <v>5</v>
      </c>
      <c r="HO20" s="1753">
        <f>+IFERROR(VLOOKUP(HO$6&amp;"-"&amp;$M20&amp;"_old",Ammortamento_Finanziario!$H:$L,5,FALSE),VLOOKUP($M20,TT_Tabelle_Riferimento!$H$31:$I$50,2,FALSE))</f>
        <v>5</v>
      </c>
      <c r="HP20" s="1753">
        <f>+IFERROR(VLOOKUP(HP$6&amp;"-"&amp;$M20&amp;"_old",Ammortamento_Finanziario!$H:$L,5,FALSE),VLOOKUP($M20,TT_Tabelle_Riferimento!$H$31:$I$50,2,FALSE))</f>
        <v>5</v>
      </c>
      <c r="HQ20" s="1753">
        <f>+IFERROR(VLOOKUP(HQ$6&amp;"-"&amp;$M20&amp;"_old",Ammortamento_Finanziario!$H:$L,5,FALSE),VLOOKUP($M20,TT_Tabelle_Riferimento!$H$31:$I$50,2,FALSE))</f>
        <v>5</v>
      </c>
      <c r="HR20" s="1753">
        <f>+IFERROR(VLOOKUP(HR$6&amp;"-"&amp;$M20&amp;"_old",Ammortamento_Finanziario!$H:$L,5,FALSE),VLOOKUP($M20,TT_Tabelle_Riferimento!$H$31:$I$50,2,FALSE))</f>
        <v>5</v>
      </c>
      <c r="HS20" s="422">
        <f>+IFERROR(VLOOKUP(HS$6&amp;"-"&amp;$M20&amp;"_old",Ammortamento_Finanziario!$H:$L,5,FALSE),VLOOKUP($M20,TT_Tabelle_Riferimento!$H$31:$I$50,2,FALSE))</f>
        <v>5</v>
      </c>
      <c r="HT20" s="422">
        <f>+IFERROR(VLOOKUP(HT$6&amp;"-"&amp;$M20&amp;"_old",Ammortamento_Finanziario!$H:$L,5,FALSE),VLOOKUP($M20,TT_Tabelle_Riferimento!$H$31:$I$50,2,FALSE))</f>
        <v>5</v>
      </c>
      <c r="HU20" s="422">
        <f>+IFERROR(VLOOKUP(HU$6&amp;"-"&amp;$M20&amp;"_old",Ammortamento_Finanziario!$H:$L,5,FALSE),VLOOKUP($M20,TT_Tabelle_Riferimento!$H$31:$I$50,2,FALSE))</f>
        <v>5</v>
      </c>
      <c r="HV20" s="422">
        <f>+IFERROR(VLOOKUP(HV$6&amp;"-"&amp;$M20&amp;"_old",Ammortamento_Finanziario!$H:$L,5,FALSE),VLOOKUP($M20,TT_Tabelle_Riferimento!$H$31:$I$50,2,FALSE))</f>
        <v>5</v>
      </c>
      <c r="HW20" s="422">
        <f>+IFERROR(VLOOKUP(HW$6&amp;"-"&amp;$M20&amp;"_old",Ammortamento_Finanziario!$H:$L,5,FALSE),VLOOKUP($M20,TT_Tabelle_Riferimento!$H$31:$I$50,2,FALSE))</f>
        <v>5</v>
      </c>
      <c r="HX20" s="422">
        <f>+IFERROR(VLOOKUP(HX$6&amp;"-"&amp;$M20&amp;"_old",Ammortamento_Finanziario!$H:$L,5,FALSE),VLOOKUP($M20,TT_Tabelle_Riferimento!$H$31:$I$50,2,FALSE))</f>
        <v>5</v>
      </c>
      <c r="HY20" s="422">
        <f>+IFERROR(VLOOKUP(HY$6&amp;"-"&amp;$M20&amp;"_old",Ammortamento_Finanziario!$H:$L,5,FALSE),VLOOKUP($M20,TT_Tabelle_Riferimento!$H$31:$I$50,2,FALSE))</f>
        <v>5</v>
      </c>
      <c r="HZ20" s="422">
        <f>+IFERROR(VLOOKUP(HZ$6&amp;"-"&amp;$M20&amp;"_old",Ammortamento_Finanziario!$H:$L,5,FALSE),VLOOKUP($M20,TT_Tabelle_Riferimento!$H$31:$I$50,2,FALSE))</f>
        <v>5</v>
      </c>
      <c r="IA20" s="422">
        <f>+IFERROR(VLOOKUP(IA$6&amp;"-"&amp;$M20&amp;"_old",Ammortamento_Finanziario!$H:$L,5,FALSE),VLOOKUP($M20,TT_Tabelle_Riferimento!$H$31:$I$50,2,FALSE))</f>
        <v>5</v>
      </c>
      <c r="IB20" s="422">
        <f>+IFERROR(VLOOKUP(IB$6&amp;"-"&amp;$M20&amp;"_old",Ammortamento_Finanziario!$H:$L,5,FALSE),VLOOKUP($M20,TT_Tabelle_Riferimento!$H$31:$I$50,2,FALSE))</f>
        <v>5</v>
      </c>
      <c r="IC20" s="422">
        <f>+IFERROR(VLOOKUP(IC$6&amp;"-"&amp;$M20&amp;"_old",Ammortamento_Finanziario!$H:$L,5,FALSE),VLOOKUP($M20,TT_Tabelle_Riferimento!$H$31:$I$50,2,FALSE))</f>
        <v>5</v>
      </c>
      <c r="ID20" s="422">
        <f>+IFERROR(VLOOKUP(ID$6&amp;"-"&amp;$M20&amp;"_old",Ammortamento_Finanziario!$H:$L,5,FALSE),VLOOKUP($M20,TT_Tabelle_Riferimento!$H$31:$I$50,2,FALSE))</f>
        <v>5</v>
      </c>
      <c r="IE20" s="422">
        <f>+IFERROR(VLOOKUP(IE$6&amp;"-"&amp;$M20&amp;"_old",Ammortamento_Finanziario!$H:$L,5,FALSE),VLOOKUP($M20,TT_Tabelle_Riferimento!$H$31:$I$50,2,FALSE))</f>
        <v>5</v>
      </c>
      <c r="IF20" s="422">
        <f>+IFERROR(VLOOKUP(IF$6&amp;"-"&amp;$M20&amp;"_old",Ammortamento_Finanziario!$H:$L,5,FALSE),VLOOKUP($M20,TT_Tabelle_Riferimento!$H$31:$I$50,2,FALSE))</f>
        <v>5</v>
      </c>
      <c r="IG20" s="422">
        <f>+IFERROR(VLOOKUP(IG$6&amp;"-"&amp;$M20&amp;"_old",Ammortamento_Finanziario!$H:$L,5,FALSE),VLOOKUP($M20,TT_Tabelle_Riferimento!$H$31:$I$50,2,FALSE))</f>
        <v>5</v>
      </c>
      <c r="IH20" s="422">
        <f>+IFERROR(VLOOKUP(IH$6&amp;"-"&amp;$M20&amp;"_old",Ammortamento_Finanziario!$H:$L,5,FALSE),VLOOKUP($M20,TT_Tabelle_Riferimento!$H$31:$I$50,2,FALSE))</f>
        <v>5</v>
      </c>
      <c r="II20" s="422">
        <f>+IFERROR(VLOOKUP(II$6&amp;"-"&amp;$M20&amp;"_old",Ammortamento_Finanziario!$H:$L,5,FALSE),VLOOKUP($M20,TT_Tabelle_Riferimento!$H$31:$I$50,2,FALSE))</f>
        <v>5</v>
      </c>
      <c r="IJ20" s="422">
        <f>+IFERROR(VLOOKUP(IJ$6&amp;"-"&amp;$M20&amp;"_old",Ammortamento_Finanziario!$H:$L,5,FALSE),VLOOKUP($M20,TT_Tabelle_Riferimento!$H$31:$I$50,2,FALSE))</f>
        <v>5</v>
      </c>
      <c r="IK20" s="422">
        <f>+IFERROR(VLOOKUP(IK$6&amp;"-"&amp;$M20&amp;"_old",Ammortamento_Finanziario!$H:$L,5,FALSE),VLOOKUP($M20,TT_Tabelle_Riferimento!$H$31:$I$50,2,FALSE))</f>
        <v>5</v>
      </c>
      <c r="IL20" s="1077">
        <f>+IFERROR(VLOOKUP(IL$6&amp;"-"&amp;$M20&amp;"_old",Ammortamento_Finanziario!$H:$L,5,FALSE),VLOOKUP($M20,TT_Tabelle_Riferimento!$H$31:$I$50,2,FALSE))</f>
        <v>5</v>
      </c>
      <c r="IM20" s="1077">
        <f>+IFERROR(VLOOKUP(IM$6&amp;"-"&amp;$M20&amp;"_old",Ammortamento_Finanziario!$H:$L,5,FALSE),VLOOKUP($M20,TT_Tabelle_Riferimento!$H$31:$I$50,2,FALSE))</f>
        <v>5</v>
      </c>
      <c r="IN20" s="1747">
        <f>+IFERROR(VLOOKUP(IN$6&amp;"-"&amp;$M20&amp;"_old",Ammortamento_Finanziario!$H:$L,5,FALSE),VLOOKUP($M20,TT_Tabelle_Riferimento!$H$31:$I$50,2,FALSE))</f>
        <v>5</v>
      </c>
      <c r="IO20" s="1747">
        <f>+IFERROR(VLOOKUP(IO$6&amp;"-"&amp;$M20&amp;"_old",Ammortamento_Finanziario!$H:$L,5,FALSE),VLOOKUP($M20,TT_Tabelle_Riferimento!$H$31:$I$50,2,FALSE))</f>
        <v>5</v>
      </c>
      <c r="IP20" s="1754">
        <f>+IFERROR(VLOOKUP(IP$6&amp;"-"&amp;$M20&amp;"_old",Ammortamento_Finanziario!$H:$L,5,FALSE),VLOOKUP($M20,TT_Tabelle_Riferimento!$H$31:$I$50,2,FALSE))</f>
        <v>5</v>
      </c>
      <c r="IQ20" s="1754">
        <f>+IFERROR(VLOOKUP(IQ$6&amp;"-"&amp;$M20&amp;"_old",Ammortamento_Finanziario!$H:$L,5,FALSE),VLOOKUP($M20,TT_Tabelle_Riferimento!$H$31:$I$50,2,FALSE))</f>
        <v>5</v>
      </c>
      <c r="IR20" s="1754">
        <f>+IFERROR(VLOOKUP(IR$6&amp;"-"&amp;$M20&amp;"_old",Ammortamento_Finanziario!$H:$L,5,FALSE),VLOOKUP($M20,TT_Tabelle_Riferimento!$H$31:$I$50,2,FALSE))</f>
        <v>5</v>
      </c>
      <c r="IS20" s="1754">
        <f>+IFERROR(VLOOKUP(IS$6&amp;"-"&amp;$M20&amp;"_old",Ammortamento_Finanziario!$H:$L,5,FALSE),VLOOKUP($M20,TT_Tabelle_Riferimento!$H$31:$I$50,2,FALSE))</f>
        <v>5</v>
      </c>
      <c r="IT20" s="1754">
        <f>+IFERROR(VLOOKUP(IT$6&amp;"-"&amp;$M20&amp;"_old",Ammortamento_Finanziario!$H:$L,5,FALSE),VLOOKUP($M20,TT_Tabelle_Riferimento!$H$31:$I$50,2,FALSE))</f>
        <v>5</v>
      </c>
      <c r="IU20" s="1754">
        <f>+IFERROR(VLOOKUP(IU$6&amp;"-"&amp;$M20&amp;"_old",Ammortamento_Finanziario!$H:$L,5,FALSE),VLOOKUP($M20,TT_Tabelle_Riferimento!$H$31:$I$50,2,FALSE))</f>
        <v>5</v>
      </c>
      <c r="IV20" s="1077">
        <f>+IFERROR(VLOOKUP(IV$6&amp;"-"&amp;$M20&amp;"_old",Ammortamento_Finanziario!$H:$L,5,FALSE),VLOOKUP($M20,TT_Tabelle_Riferimento!$H$31:$I$50,2,FALSE))</f>
        <v>5</v>
      </c>
      <c r="IW20" s="1077">
        <f>+IFERROR(VLOOKUP(IW$6&amp;"-"&amp;$M20&amp;"_old",Ammortamento_Finanziario!$H:$L,5,FALSE),VLOOKUP($M20,TT_Tabelle_Riferimento!$H$31:$I$50,2,FALSE))</f>
        <v>5</v>
      </c>
      <c r="IX20" s="1077">
        <f>+IFERROR(VLOOKUP(IX$6&amp;"-"&amp;$M20&amp;"_old",Ammortamento_Finanziario!$H:$L,5,FALSE),VLOOKUP($M20,TT_Tabelle_Riferimento!$H$31:$I$50,2,FALSE))</f>
        <v>5</v>
      </c>
      <c r="IY20" s="1077">
        <f>+IFERROR(VLOOKUP(IY$6&amp;"-"&amp;$M20&amp;"_old",Ammortamento_Finanziario!$H:$L,5,FALSE),VLOOKUP($M20,TT_Tabelle_Riferimento!$H$31:$I$50,2,FALSE))</f>
        <v>5</v>
      </c>
      <c r="IZ20" s="1077">
        <f>+IFERROR(VLOOKUP(IZ$6&amp;"-"&amp;$M20&amp;"_old",Ammortamento_Finanziario!$H:$L,5,FALSE),VLOOKUP($M20,TT_Tabelle_Riferimento!$H$31:$I$50,2,FALSE))</f>
        <v>5</v>
      </c>
      <c r="JA20" s="1077">
        <f>+IFERROR(VLOOKUP(JA$6&amp;"-"&amp;$M20&amp;"_old",Ammortamento_Finanziario!$H:$L,5,FALSE),VLOOKUP($M20,TT_Tabelle_Riferimento!$H$31:$I$50,2,FALSE))</f>
        <v>5</v>
      </c>
      <c r="JB20" s="1077">
        <f>+IFERROR(VLOOKUP(JB$6&amp;"-"&amp;$M20&amp;"_old",Ammortamento_Finanziario!$H:$L,5,FALSE),VLOOKUP($M20,TT_Tabelle_Riferimento!$H$31:$I$50,2,FALSE))</f>
        <v>5</v>
      </c>
      <c r="JC20" s="1077">
        <f>+IFERROR(VLOOKUP(JC$6&amp;"-"&amp;$M20&amp;"_old",Ammortamento_Finanziario!$H:$L,5,FALSE),VLOOKUP($M20,TT_Tabelle_Riferimento!$H$31:$I$50,2,FALSE))</f>
        <v>5</v>
      </c>
      <c r="JD20" s="1077">
        <f>+IFERROR(VLOOKUP(JD$6&amp;"-"&amp;$M20&amp;"_old",Ammortamento_Finanziario!$H:$L,5,FALSE),VLOOKUP($M20,TT_Tabelle_Riferimento!$H$31:$I$50,2,FALSE))</f>
        <v>5</v>
      </c>
      <c r="JE20" s="1077">
        <f>+IFERROR(VLOOKUP(JE$6&amp;"-"&amp;$M20&amp;"_old",Ammortamento_Finanziario!$H:$L,5,FALSE),VLOOKUP($M20,TT_Tabelle_Riferimento!$H$31:$I$50,2,FALSE))</f>
        <v>5</v>
      </c>
      <c r="JF20" s="1077">
        <f>+IFERROR(VLOOKUP(JF$6&amp;"-"&amp;$M20&amp;"_old",Ammortamento_Finanziario!$H:$L,5,FALSE),VLOOKUP($M20,TT_Tabelle_Riferimento!$H$31:$I$50,2,FALSE))</f>
        <v>5</v>
      </c>
      <c r="JG20" s="1077">
        <f>+IFERROR(VLOOKUP(JG$6&amp;"-"&amp;$M20&amp;"_old",Ammortamento_Finanziario!$H:$L,5,FALSE),VLOOKUP($M20,TT_Tabelle_Riferimento!$H$31:$I$50,2,FALSE))</f>
        <v>5</v>
      </c>
      <c r="JH20" s="1077">
        <f>+IFERROR(VLOOKUP(JH$6&amp;"-"&amp;$M20&amp;"_old",Ammortamento_Finanziario!$H:$L,5,FALSE),VLOOKUP($M20,TT_Tabelle_Riferimento!$H$31:$I$50,2,FALSE))</f>
        <v>5</v>
      </c>
      <c r="JI20" s="1077">
        <f>+IFERROR(VLOOKUP(JI$6&amp;"-"&amp;$M20&amp;"_old",Ammortamento_Finanziario!$H:$L,5,FALSE),VLOOKUP($M20,TT_Tabelle_Riferimento!$H$31:$I$50,2,FALSE))</f>
        <v>5</v>
      </c>
      <c r="JJ20" s="1077">
        <f>+IFERROR(VLOOKUP(JJ$6&amp;"-"&amp;$M20&amp;"_old",Ammortamento_Finanziario!$H:$L,5,FALSE),VLOOKUP($M20,TT_Tabelle_Riferimento!$H$31:$I$50,2,FALSE))</f>
        <v>5</v>
      </c>
      <c r="JK20" s="1077">
        <f>+IFERROR(VLOOKUP(JK$6&amp;"-"&amp;$M20&amp;"_old",Ammortamento_Finanziario!$H:$L,5,FALSE),VLOOKUP($M20,TT_Tabelle_Riferimento!$H$31:$I$50,2,FALSE))</f>
        <v>5</v>
      </c>
      <c r="JL20" s="1077">
        <f>+IFERROR(VLOOKUP(JL$6&amp;"-"&amp;$M20&amp;"_old",Ammortamento_Finanziario!$H:$L,5,FALSE),VLOOKUP($M20,TT_Tabelle_Riferimento!$H$31:$I$50,2,FALSE))</f>
        <v>5</v>
      </c>
      <c r="JM20" s="1077">
        <f>+IFERROR(VLOOKUP(JM$6&amp;"-"&amp;$M20&amp;"_old",Ammortamento_Finanziario!$H:$L,5,FALSE),VLOOKUP($M20,TT_Tabelle_Riferimento!$H$31:$I$50,2,FALSE))</f>
        <v>5</v>
      </c>
      <c r="JN20" s="1077">
        <f>+IFERROR(VLOOKUP(JN$6&amp;"-"&amp;$M20&amp;"_old",Ammortamento_Finanziario!$H:$L,5,FALSE),VLOOKUP($M20,TT_Tabelle_Riferimento!$H$31:$I$50,2,FALSE))</f>
        <v>5</v>
      </c>
      <c r="JO20" s="1078">
        <f>+IFERROR(VLOOKUP(JO$6&amp;"-"&amp;$M20&amp;"_old",Ammortamento_Finanziario!$H:$L,5,FALSE),VLOOKUP($M20,TT_Tabelle_Riferimento!$H$31:$I$50,2,FALSE))</f>
        <v>5</v>
      </c>
      <c r="JP20" s="1748">
        <f>+IFERROR(VLOOKUP(JP$6&amp;"-"&amp;$M20&amp;"_old",Ammortamento_Finanziario!$H:$L,5,FALSE),VLOOKUP($M20,TT_Tabelle_Riferimento!$H$31:$I$50,2,FALSE))</f>
        <v>5</v>
      </c>
      <c r="JQ20" s="1748">
        <f>+IFERROR(VLOOKUP(JQ$6&amp;"-"&amp;$M20&amp;"_old",Ammortamento_Finanziario!$H:$L,5,FALSE),VLOOKUP($M20,TT_Tabelle_Riferimento!$H$31:$I$50,2,FALSE))</f>
        <v>5</v>
      </c>
      <c r="JR20" s="1755">
        <f>+IFERROR(VLOOKUP(JR$6&amp;"-"&amp;$M20&amp;"_old",Ammortamento_Finanziario!$H:$L,5,FALSE),VLOOKUP($M20,TT_Tabelle_Riferimento!$H$31:$I$50,2,FALSE))</f>
        <v>5</v>
      </c>
      <c r="JS20" s="1755">
        <f>+IFERROR(VLOOKUP(JS$6&amp;"-"&amp;$M20&amp;"_old",Ammortamento_Finanziario!$H:$L,5,FALSE),VLOOKUP($M20,TT_Tabelle_Riferimento!$H$31:$I$50,2,FALSE))</f>
        <v>5</v>
      </c>
      <c r="JT20" s="1755">
        <f>+IFERROR(VLOOKUP(JT$6&amp;"-"&amp;$M20&amp;"_old",Ammortamento_Finanziario!$H:$L,5,FALSE),VLOOKUP($M20,TT_Tabelle_Riferimento!$H$31:$I$50,2,FALSE))</f>
        <v>5</v>
      </c>
      <c r="JU20" s="1755">
        <f>+IFERROR(VLOOKUP(JU$6&amp;"-"&amp;$M20&amp;"_old",Ammortamento_Finanziario!$H:$L,5,FALSE),VLOOKUP($M20,TT_Tabelle_Riferimento!$H$31:$I$50,2,FALSE))</f>
        <v>5</v>
      </c>
      <c r="JV20" s="1755">
        <f>+IFERROR(VLOOKUP(JV$6&amp;"-"&amp;$M20&amp;"_old",Ammortamento_Finanziario!$H:$L,5,FALSE),VLOOKUP($M20,TT_Tabelle_Riferimento!$H$31:$I$50,2,FALSE))</f>
        <v>5</v>
      </c>
      <c r="JW20" s="1755">
        <f>+IFERROR(VLOOKUP(JW$6&amp;"-"&amp;$M20&amp;"_old",Ammortamento_Finanziario!$H:$L,5,FALSE),VLOOKUP($M20,TT_Tabelle_Riferimento!$H$31:$I$50,2,FALSE))</f>
        <v>5</v>
      </c>
      <c r="JX20" s="1078">
        <f>+IFERROR(VLOOKUP(JX$6&amp;"-"&amp;$M20&amp;"_old",Ammortamento_Finanziario!$H:$L,5,FALSE),VLOOKUP($M20,TT_Tabelle_Riferimento!$H$31:$I$50,2,FALSE))</f>
        <v>5</v>
      </c>
      <c r="JY20" s="1078">
        <f>+IFERROR(VLOOKUP(JY$6&amp;"-"&amp;$M20&amp;"_old",Ammortamento_Finanziario!$H:$L,5,FALSE),VLOOKUP($M20,TT_Tabelle_Riferimento!$H$31:$I$50,2,FALSE))</f>
        <v>5</v>
      </c>
      <c r="JZ20" s="1078">
        <f>+IFERROR(VLOOKUP(JZ$6&amp;"-"&amp;$M20&amp;"_old",Ammortamento_Finanziario!$H:$L,5,FALSE),VLOOKUP($M20,TT_Tabelle_Riferimento!$H$31:$I$50,2,FALSE))</f>
        <v>5</v>
      </c>
      <c r="KA20" s="1078">
        <f>+IFERROR(VLOOKUP(KA$6&amp;"-"&amp;$M20&amp;"_old",Ammortamento_Finanziario!$H:$L,5,FALSE),VLOOKUP($M20,TT_Tabelle_Riferimento!$H$31:$I$50,2,FALSE))</f>
        <v>5</v>
      </c>
      <c r="KB20" s="1078">
        <f>+IFERROR(VLOOKUP(KB$6&amp;"-"&amp;$M20&amp;"_old",Ammortamento_Finanziario!$H:$L,5,FALSE),VLOOKUP($M20,TT_Tabelle_Riferimento!$H$31:$I$50,2,FALSE))</f>
        <v>5</v>
      </c>
      <c r="KC20" s="1078">
        <f>+IFERROR(VLOOKUP(KC$6&amp;"-"&amp;$M20&amp;"_old",Ammortamento_Finanziario!$H:$L,5,FALSE),VLOOKUP($M20,TT_Tabelle_Riferimento!$H$31:$I$50,2,FALSE))</f>
        <v>5</v>
      </c>
      <c r="KD20" s="1078">
        <f>+IFERROR(VLOOKUP(KD$6&amp;"-"&amp;$M20&amp;"_old",Ammortamento_Finanziario!$H:$L,5,FALSE),VLOOKUP($M20,TT_Tabelle_Riferimento!$H$31:$I$50,2,FALSE))</f>
        <v>5</v>
      </c>
      <c r="KE20" s="1078">
        <f>+IFERROR(VLOOKUP(KE$6&amp;"-"&amp;$M20&amp;"_old",Ammortamento_Finanziario!$H:$L,5,FALSE),VLOOKUP($M20,TT_Tabelle_Riferimento!$H$31:$I$50,2,FALSE))</f>
        <v>5</v>
      </c>
      <c r="KF20" s="1078">
        <f>+IFERROR(VLOOKUP(KF$6&amp;"-"&amp;$M20&amp;"_old",Ammortamento_Finanziario!$H:$L,5,FALSE),VLOOKUP($M20,TT_Tabelle_Riferimento!$H$31:$I$50,2,FALSE))</f>
        <v>5</v>
      </c>
      <c r="KG20" s="1078">
        <f>+IFERROR(VLOOKUP(KG$6&amp;"-"&amp;$M20&amp;"_old",Ammortamento_Finanziario!$H:$L,5,FALSE),VLOOKUP($M20,TT_Tabelle_Riferimento!$H$31:$I$50,2,FALSE))</f>
        <v>5</v>
      </c>
      <c r="KH20" s="1078">
        <f>+IFERROR(VLOOKUP(KH$6&amp;"-"&amp;$M20&amp;"_old",Ammortamento_Finanziario!$H:$L,5,FALSE),VLOOKUP($M20,TT_Tabelle_Riferimento!$H$31:$I$50,2,FALSE))</f>
        <v>5</v>
      </c>
      <c r="KI20" s="1078">
        <f>+IFERROR(VLOOKUP(KI$6&amp;"-"&amp;$M20&amp;"_old",Ammortamento_Finanziario!$H:$L,5,FALSE),VLOOKUP($M20,TT_Tabelle_Riferimento!$H$31:$I$50,2,FALSE))</f>
        <v>5</v>
      </c>
      <c r="KJ20" s="1078">
        <f>+IFERROR(VLOOKUP(KJ$6&amp;"-"&amp;$M20&amp;"_old",Ammortamento_Finanziario!$H:$L,5,FALSE),VLOOKUP($M20,TT_Tabelle_Riferimento!$H$31:$I$50,2,FALSE))</f>
        <v>5</v>
      </c>
      <c r="KK20" s="1078">
        <f>+IFERROR(VLOOKUP(KK$6&amp;"-"&amp;$M20&amp;"_old",Ammortamento_Finanziario!$H:$L,5,FALSE),VLOOKUP($M20,TT_Tabelle_Riferimento!$H$31:$I$50,2,FALSE))</f>
        <v>5</v>
      </c>
      <c r="KL20" s="1078">
        <f>+IFERROR(VLOOKUP(KL$6&amp;"-"&amp;$M20&amp;"_old",Ammortamento_Finanziario!$H:$L,5,FALSE),VLOOKUP($M20,TT_Tabelle_Riferimento!$H$31:$I$50,2,FALSE))</f>
        <v>5</v>
      </c>
      <c r="KM20" s="1078">
        <f>+IFERROR(VLOOKUP(KM$6&amp;"-"&amp;$M20&amp;"_old",Ammortamento_Finanziario!$H:$L,5,FALSE),VLOOKUP($M20,TT_Tabelle_Riferimento!$H$31:$I$50,2,FALSE))</f>
        <v>5</v>
      </c>
      <c r="KN20" s="1078">
        <f>+IFERROR(VLOOKUP(KN$6&amp;"-"&amp;$M20&amp;"_old",Ammortamento_Finanziario!$H:$L,5,FALSE),VLOOKUP($M20,TT_Tabelle_Riferimento!$H$31:$I$50,2,FALSE))</f>
        <v>5</v>
      </c>
      <c r="KO20" s="1078">
        <f>+IFERROR(VLOOKUP(KO$6&amp;"-"&amp;$M20&amp;"_old",Ammortamento_Finanziario!$H:$L,5,FALSE),VLOOKUP($M20,TT_Tabelle_Riferimento!$H$31:$I$50,2,FALSE))</f>
        <v>5</v>
      </c>
      <c r="KP20" s="1078">
        <f>+IFERROR(VLOOKUP(KP$6&amp;"-"&amp;$M20&amp;"_old",Ammortamento_Finanziario!$H:$L,5,FALSE),VLOOKUP($M20,TT_Tabelle_Riferimento!$H$31:$I$50,2,FALSE))</f>
        <v>5</v>
      </c>
      <c r="KQ20" s="1748">
        <f>+IFERROR(VLOOKUP(KQ$6&amp;"-"&amp;$M20&amp;"_old",Ammortamento_Finanziario!$H:$L,5,FALSE),VLOOKUP($M20,TT_Tabelle_Riferimento!$H$31:$I$50,2,FALSE))</f>
        <v>5</v>
      </c>
      <c r="KR20" s="1748">
        <f>+IFERROR(VLOOKUP(KR$6&amp;"-"&amp;$M20&amp;"_old",Ammortamento_Finanziario!$H:$L,5,FALSE),VLOOKUP($M20,TT_Tabelle_Riferimento!$H$31:$I$50,2,FALSE))</f>
        <v>5</v>
      </c>
      <c r="KS20" s="1755">
        <f>+IFERROR(VLOOKUP(KS$6&amp;"-"&amp;$M20&amp;"_old",Ammortamento_Finanziario!$H:$L,5,FALSE),VLOOKUP($M20,TT_Tabelle_Riferimento!$H$31:$I$50,2,FALSE))</f>
        <v>5</v>
      </c>
      <c r="KT20" s="1755">
        <f>+IFERROR(VLOOKUP(KT$6&amp;"-"&amp;$M20&amp;"_old",Ammortamento_Finanziario!$H:$L,5,FALSE),VLOOKUP($M20,TT_Tabelle_Riferimento!$H$31:$I$50,2,FALSE))</f>
        <v>5</v>
      </c>
      <c r="KU20" s="1755">
        <f>+IFERROR(VLOOKUP(KU$6&amp;"-"&amp;$M20&amp;"_old",Ammortamento_Finanziario!$H:$L,5,FALSE),VLOOKUP($M20,TT_Tabelle_Riferimento!$H$31:$I$50,2,FALSE))</f>
        <v>5</v>
      </c>
      <c r="KV20" s="1755">
        <f>+IFERROR(VLOOKUP(KV$6&amp;"-"&amp;$M20&amp;"_old",Ammortamento_Finanziario!$H:$L,5,FALSE),VLOOKUP($M20,TT_Tabelle_Riferimento!$H$31:$I$50,2,FALSE))</f>
        <v>5</v>
      </c>
      <c r="KW20" s="1755">
        <f>+IFERROR(VLOOKUP(KW$6&amp;"-"&amp;$M20&amp;"_old",Ammortamento_Finanziario!$H:$L,5,FALSE),VLOOKUP($M20,TT_Tabelle_Riferimento!$H$31:$I$50,2,FALSE))</f>
        <v>5</v>
      </c>
      <c r="KX20" s="1755">
        <f>+IFERROR(VLOOKUP(KX$6&amp;"-"&amp;$M20&amp;"_old",Ammortamento_Finanziario!$H:$L,5,FALSE),VLOOKUP($M20,TT_Tabelle_Riferimento!$H$31:$I$50,2,FALSE))</f>
        <v>5</v>
      </c>
      <c r="KY20" s="1078">
        <f>+IFERROR(VLOOKUP(KY$6&amp;"-"&amp;$M20&amp;"_old",Ammortamento_Finanziario!$H:$L,5,FALSE),VLOOKUP($M20,TT_Tabelle_Riferimento!$H$31:$I$50,2,FALSE))</f>
        <v>5</v>
      </c>
      <c r="KZ20" s="1078">
        <f>+IFERROR(VLOOKUP(KZ$6&amp;"-"&amp;$M20&amp;"_old",Ammortamento_Finanziario!$H:$L,5,FALSE),VLOOKUP($M20,TT_Tabelle_Riferimento!$H$31:$I$50,2,FALSE))</f>
        <v>5</v>
      </c>
      <c r="LA20" s="1078">
        <f>+IFERROR(VLOOKUP(LA$6&amp;"-"&amp;$M20&amp;"_old",Ammortamento_Finanziario!$H:$L,5,FALSE),VLOOKUP($M20,TT_Tabelle_Riferimento!$H$31:$I$50,2,FALSE))</f>
        <v>5</v>
      </c>
      <c r="LB20" s="1078">
        <f>+IFERROR(VLOOKUP(LB$6&amp;"-"&amp;$M20&amp;"_old",Ammortamento_Finanziario!$H:$L,5,FALSE),VLOOKUP($M20,TT_Tabelle_Riferimento!$H$31:$I$50,2,FALSE))</f>
        <v>5</v>
      </c>
      <c r="LC20" s="1078">
        <f>+IFERROR(VLOOKUP(LC$6&amp;"-"&amp;$M20&amp;"_old",Ammortamento_Finanziario!$H:$L,5,FALSE),VLOOKUP($M20,TT_Tabelle_Riferimento!$H$31:$I$50,2,FALSE))</f>
        <v>5</v>
      </c>
      <c r="LD20" s="1078">
        <f>+IFERROR(VLOOKUP(LD$6&amp;"-"&amp;$M20&amp;"_old",Ammortamento_Finanziario!$H:$L,5,FALSE),VLOOKUP($M20,TT_Tabelle_Riferimento!$H$31:$I$50,2,FALSE))</f>
        <v>5</v>
      </c>
      <c r="LE20" s="1078">
        <f>+IFERROR(VLOOKUP(LE$6&amp;"-"&amp;$M20&amp;"_old",Ammortamento_Finanziario!$H:$L,5,FALSE),VLOOKUP($M20,TT_Tabelle_Riferimento!$H$31:$I$50,2,FALSE))</f>
        <v>5</v>
      </c>
      <c r="LF20" s="1078">
        <f>+IFERROR(VLOOKUP(LF$6&amp;"-"&amp;$M20&amp;"_old",Ammortamento_Finanziario!$H:$L,5,FALSE),VLOOKUP($M20,TT_Tabelle_Riferimento!$H$31:$I$50,2,FALSE))</f>
        <v>5</v>
      </c>
      <c r="LG20" s="1078">
        <f>+IFERROR(VLOOKUP(LG$6&amp;"-"&amp;$M20&amp;"_old",Ammortamento_Finanziario!$H:$L,5,FALSE),VLOOKUP($M20,TT_Tabelle_Riferimento!$H$31:$I$50,2,FALSE))</f>
        <v>5</v>
      </c>
      <c r="LH20" s="1078">
        <f>+IFERROR(VLOOKUP(LH$6&amp;"-"&amp;$M20&amp;"_old",Ammortamento_Finanziario!$H:$L,5,FALSE),VLOOKUP($M20,TT_Tabelle_Riferimento!$H$31:$I$50,2,FALSE))</f>
        <v>5</v>
      </c>
      <c r="LI20" s="1078">
        <f>+IFERROR(VLOOKUP(LI$6&amp;"-"&amp;$M20&amp;"_old",Ammortamento_Finanziario!$H:$L,5,FALSE),VLOOKUP($M20,TT_Tabelle_Riferimento!$H$31:$I$50,2,FALSE))</f>
        <v>5</v>
      </c>
      <c r="LJ20" s="1078">
        <f>+IFERROR(VLOOKUP(LJ$6&amp;"-"&amp;$M20&amp;"_old",Ammortamento_Finanziario!$H:$L,5,FALSE),VLOOKUP($M20,TT_Tabelle_Riferimento!$H$31:$I$50,2,FALSE))</f>
        <v>5</v>
      </c>
      <c r="LK20" s="1078">
        <f>+IFERROR(VLOOKUP(LK$6&amp;"-"&amp;$M20&amp;"_old",Ammortamento_Finanziario!$H:$L,5,FALSE),VLOOKUP($M20,TT_Tabelle_Riferimento!$H$31:$I$50,2,FALSE))</f>
        <v>5</v>
      </c>
      <c r="LL20" s="1078">
        <f>+IFERROR(VLOOKUP(LL$6&amp;"-"&amp;$M20&amp;"_old",Ammortamento_Finanziario!$H:$L,5,FALSE),VLOOKUP($M20,TT_Tabelle_Riferimento!$H$31:$I$50,2,FALSE))</f>
        <v>5</v>
      </c>
      <c r="LM20" s="1078">
        <f>+IFERROR(VLOOKUP(LM$6&amp;"-"&amp;$M20&amp;"_old",Ammortamento_Finanziario!$H:$L,5,FALSE),VLOOKUP($M20,TT_Tabelle_Riferimento!$H$31:$I$50,2,FALSE))</f>
        <v>5</v>
      </c>
      <c r="LN20" s="1078">
        <f>+IFERROR(VLOOKUP(LN$6&amp;"-"&amp;$M20&amp;"_old",Ammortamento_Finanziario!$H:$L,5,FALSE),VLOOKUP($M20,TT_Tabelle_Riferimento!$H$31:$I$50,2,FALSE))</f>
        <v>5</v>
      </c>
      <c r="LO20" s="1078">
        <f>+IFERROR(VLOOKUP(LO$6&amp;"-"&amp;$M20&amp;"_old",Ammortamento_Finanziario!$H:$L,5,FALSE),VLOOKUP($M20,TT_Tabelle_Riferimento!$H$31:$I$50,2,FALSE))</f>
        <v>5</v>
      </c>
      <c r="LP20" s="1078">
        <f>+IFERROR(VLOOKUP(LP$6&amp;"-"&amp;$M20&amp;"_old",Ammortamento_Finanziario!$H:$L,5,FALSE),VLOOKUP($M20,TT_Tabelle_Riferimento!$H$31:$I$50,2,FALSE))</f>
        <v>5</v>
      </c>
      <c r="LQ20" s="1078">
        <f>+IFERROR(VLOOKUP(LQ$6&amp;"-"&amp;$M20&amp;"_old",Ammortamento_Finanziario!$H:$L,5,FALSE),VLOOKUP($M20,TT_Tabelle_Riferimento!$H$31:$I$50,2,FALSE))</f>
        <v>5</v>
      </c>
      <c r="LR20" s="1748">
        <f>+IFERROR(VLOOKUP(LR$6&amp;"-"&amp;$M20&amp;"_old",Ammortamento_Finanziario!$H:$L,5,FALSE),VLOOKUP($M20,TT_Tabelle_Riferimento!$H$31:$I$50,2,FALSE))</f>
        <v>5</v>
      </c>
      <c r="LS20" s="1755">
        <f>+IFERROR(VLOOKUP(LS$6&amp;"-"&amp;$M20&amp;"_old",Ammortamento_Finanziario!$H:$L,5,FALSE),VLOOKUP($M20,TT_Tabelle_Riferimento!$H$31:$I$50,2,FALSE))</f>
        <v>5</v>
      </c>
      <c r="LT20" s="1755">
        <f>+IFERROR(VLOOKUP(LT$6&amp;"-"&amp;$M20&amp;"_old",Ammortamento_Finanziario!$H:$L,5,FALSE),VLOOKUP($M20,TT_Tabelle_Riferimento!$H$31:$I$50,2,FALSE))</f>
        <v>5</v>
      </c>
      <c r="LU20" s="1755">
        <f>+IFERROR(VLOOKUP(LU$6&amp;"-"&amp;$M20&amp;"_old",Ammortamento_Finanziario!$H:$L,5,FALSE),VLOOKUP($M20,TT_Tabelle_Riferimento!$H$31:$I$50,2,FALSE))</f>
        <v>5</v>
      </c>
      <c r="LV20" s="1755">
        <f>+IFERROR(VLOOKUP(LV$6&amp;"-"&amp;$M20&amp;"_old",Ammortamento_Finanziario!$H:$L,5,FALSE),VLOOKUP($M20,TT_Tabelle_Riferimento!$H$31:$I$50,2,FALSE))</f>
        <v>5</v>
      </c>
      <c r="LW20" s="1755">
        <f>+IFERROR(VLOOKUP(LW$6&amp;"-"&amp;$M20&amp;"_old",Ammortamento_Finanziario!$H:$L,5,FALSE),VLOOKUP($M20,TT_Tabelle_Riferimento!$H$31:$I$50,2,FALSE))</f>
        <v>5</v>
      </c>
      <c r="LX20" s="1755">
        <f>+IFERROR(VLOOKUP(LX$6&amp;"-"&amp;$M20&amp;"_old",Ammortamento_Finanziario!$H:$L,5,FALSE),VLOOKUP($M20,TT_Tabelle_Riferimento!$H$31:$I$50,2,FALSE))</f>
        <v>5</v>
      </c>
      <c r="LY20" s="1078">
        <f>+IFERROR(VLOOKUP(LY$6&amp;"-"&amp;$M20&amp;"_old",Ammortamento_Finanziario!$H:$L,5,FALSE),VLOOKUP($M20,TT_Tabelle_Riferimento!$H$31:$I$50,2,FALSE))</f>
        <v>5</v>
      </c>
      <c r="LZ20" s="1078">
        <f>+IFERROR(VLOOKUP(LZ$6&amp;"-"&amp;$M20&amp;"_old",Ammortamento_Finanziario!$H:$L,5,FALSE),VLOOKUP($M20,TT_Tabelle_Riferimento!$H$31:$I$50,2,FALSE))</f>
        <v>5</v>
      </c>
      <c r="MA20" s="1078">
        <f>+IFERROR(VLOOKUP(MA$6&amp;"-"&amp;$M20&amp;"_old",Ammortamento_Finanziario!$H:$L,5,FALSE),VLOOKUP($M20,TT_Tabelle_Riferimento!$H$31:$I$50,2,FALSE))</f>
        <v>5</v>
      </c>
      <c r="MB20" s="1078">
        <f>+IFERROR(VLOOKUP(MB$6&amp;"-"&amp;$M20&amp;"_old",Ammortamento_Finanziario!$H:$L,5,FALSE),VLOOKUP($M20,TT_Tabelle_Riferimento!$H$31:$I$50,2,FALSE))</f>
        <v>5</v>
      </c>
      <c r="MC20" s="1078">
        <f>+IFERROR(VLOOKUP(MC$6&amp;"-"&amp;$M20&amp;"_old",Ammortamento_Finanziario!$H:$L,5,FALSE),VLOOKUP($M20,TT_Tabelle_Riferimento!$H$31:$I$50,2,FALSE))</f>
        <v>5</v>
      </c>
      <c r="MD20" s="1078">
        <f>+IFERROR(VLOOKUP(MD$6&amp;"-"&amp;$M20&amp;"_old",Ammortamento_Finanziario!$H:$L,5,FALSE),VLOOKUP($M20,TT_Tabelle_Riferimento!$H$31:$I$50,2,FALSE))</f>
        <v>5</v>
      </c>
      <c r="ME20" s="1078">
        <f>+IFERROR(VLOOKUP(ME$6&amp;"-"&amp;$M20&amp;"_old",Ammortamento_Finanziario!$H:$L,5,FALSE),VLOOKUP($M20,TT_Tabelle_Riferimento!$H$31:$I$50,2,FALSE))</f>
        <v>5</v>
      </c>
      <c r="MF20" s="1078">
        <f>+IFERROR(VLOOKUP(MF$6&amp;"-"&amp;$M20&amp;"_old",Ammortamento_Finanziario!$H:$L,5,FALSE),VLOOKUP($M20,TT_Tabelle_Riferimento!$H$31:$I$50,2,FALSE))</f>
        <v>5</v>
      </c>
      <c r="MG20" s="1078">
        <f>+IFERROR(VLOOKUP(MG$6&amp;"-"&amp;$M20&amp;"_old",Ammortamento_Finanziario!$H:$L,5,FALSE),VLOOKUP($M20,TT_Tabelle_Riferimento!$H$31:$I$50,2,FALSE))</f>
        <v>5</v>
      </c>
      <c r="MH20" s="1078">
        <f>+IFERROR(VLOOKUP(MH$6&amp;"-"&amp;$M20&amp;"_old",Ammortamento_Finanziario!$H:$L,5,FALSE),VLOOKUP($M20,TT_Tabelle_Riferimento!$H$31:$I$50,2,FALSE))</f>
        <v>5</v>
      </c>
      <c r="MI20" s="1078">
        <f>+IFERROR(VLOOKUP(MI$6&amp;"-"&amp;$M20&amp;"_old",Ammortamento_Finanziario!$H:$L,5,FALSE),VLOOKUP($M20,TT_Tabelle_Riferimento!$H$31:$I$50,2,FALSE))</f>
        <v>5</v>
      </c>
      <c r="MJ20" s="1078">
        <f>+IFERROR(VLOOKUP(MJ$6&amp;"-"&amp;$M20&amp;"_old",Ammortamento_Finanziario!$H:$L,5,FALSE),VLOOKUP($M20,TT_Tabelle_Riferimento!$H$31:$I$50,2,FALSE))</f>
        <v>5</v>
      </c>
      <c r="MK20" s="1078">
        <f>+IFERROR(VLOOKUP(MK$6&amp;"-"&amp;$M20&amp;"_old",Ammortamento_Finanziario!$H:$L,5,FALSE),VLOOKUP($M20,TT_Tabelle_Riferimento!$H$31:$I$50,2,FALSE))</f>
        <v>5</v>
      </c>
      <c r="ML20" s="1078">
        <f>+IFERROR(VLOOKUP(ML$6&amp;"-"&amp;$M20&amp;"_old",Ammortamento_Finanziario!$H:$L,5,FALSE),VLOOKUP($M20,TT_Tabelle_Riferimento!$H$31:$I$50,2,FALSE))</f>
        <v>5</v>
      </c>
      <c r="MM20" s="1078">
        <f>+IFERROR(VLOOKUP(MM$6&amp;"-"&amp;$M20&amp;"_old",Ammortamento_Finanziario!$H:$L,5,FALSE),VLOOKUP($M20,TT_Tabelle_Riferimento!$H$31:$I$50,2,FALSE))</f>
        <v>5</v>
      </c>
      <c r="MN20" s="1078">
        <f>+IFERROR(VLOOKUP(MN$6&amp;"-"&amp;$M20&amp;"_old",Ammortamento_Finanziario!$H:$L,5,FALSE),VLOOKUP($M20,TT_Tabelle_Riferimento!$H$31:$I$50,2,FALSE))</f>
        <v>5</v>
      </c>
      <c r="MO20" s="1078">
        <f>+IFERROR(VLOOKUP(MO$6&amp;"-"&amp;$M20&amp;"_old",Ammortamento_Finanziario!$H:$L,5,FALSE),VLOOKUP($M20,TT_Tabelle_Riferimento!$H$31:$I$50,2,FALSE))</f>
        <v>5</v>
      </c>
      <c r="MP20" s="1078">
        <f>+IFERROR(VLOOKUP(MP$6&amp;"-"&amp;$M20&amp;"_old",Ammortamento_Finanziario!$H:$L,5,FALSE),VLOOKUP($M20,TT_Tabelle_Riferimento!$H$31:$I$50,2,FALSE))</f>
        <v>5</v>
      </c>
      <c r="MQ20" s="1078">
        <f>+IFERROR(VLOOKUP(MQ$6&amp;"-"&amp;$M20&amp;"_old",Ammortamento_Finanziario!$H:$L,5,FALSE),VLOOKUP($M20,TT_Tabelle_Riferimento!$H$31:$I$50,2,FALSE))</f>
        <v>5</v>
      </c>
      <c r="MR20" s="1755">
        <f>+IFERROR(VLOOKUP(MR$6&amp;"-"&amp;$M20&amp;"_old",Ammortamento_Finanziario!$H:$L,5,FALSE),VLOOKUP($M20,TT_Tabelle_Riferimento!$H$31:$I$50,2,FALSE))</f>
        <v>5</v>
      </c>
      <c r="MS20" s="1755">
        <f>+IFERROR(VLOOKUP(MS$6&amp;"-"&amp;$M20&amp;"_old",Ammortamento_Finanziario!$H:$L,5,FALSE),VLOOKUP($M20,TT_Tabelle_Riferimento!$H$31:$I$50,2,FALSE))</f>
        <v>5</v>
      </c>
      <c r="MT20" s="1755">
        <f>+IFERROR(VLOOKUP(MT$6&amp;"-"&amp;$M20&amp;"_old",Ammortamento_Finanziario!$H:$L,5,FALSE),VLOOKUP($M20,TT_Tabelle_Riferimento!$H$31:$I$50,2,FALSE))</f>
        <v>5</v>
      </c>
      <c r="MU20" s="1755">
        <f>+IFERROR(VLOOKUP(MU$6&amp;"-"&amp;$M20&amp;"_old",Ammortamento_Finanziario!$H:$L,5,FALSE),VLOOKUP($M20,TT_Tabelle_Riferimento!$H$31:$I$50,2,FALSE))</f>
        <v>5</v>
      </c>
      <c r="MV20" s="1755">
        <f>+IFERROR(VLOOKUP(MV$6&amp;"-"&amp;$M20&amp;"_old",Ammortamento_Finanziario!$H:$L,5,FALSE),VLOOKUP($M20,TT_Tabelle_Riferimento!$H$31:$I$50,2,FALSE))</f>
        <v>5</v>
      </c>
      <c r="MW20" s="1755">
        <f>+IFERROR(VLOOKUP(MW$6&amp;"-"&amp;$M20&amp;"_old",Ammortamento_Finanziario!$H:$L,5,FALSE),VLOOKUP($M20,TT_Tabelle_Riferimento!$H$31:$I$50,2,FALSE))</f>
        <v>5</v>
      </c>
      <c r="MX20" s="1078">
        <f>+IFERROR(VLOOKUP(MX$6&amp;"-"&amp;$M20&amp;"_old",Ammortamento_Finanziario!$H:$L,5,FALSE),VLOOKUP($M20,TT_Tabelle_Riferimento!$H$31:$I$50,2,FALSE))</f>
        <v>5</v>
      </c>
      <c r="MY20" s="1078">
        <f>+IFERROR(VLOOKUP(MY$6&amp;"-"&amp;$M20&amp;"_old",Ammortamento_Finanziario!$H:$L,5,FALSE),VLOOKUP($M20,TT_Tabelle_Riferimento!$H$31:$I$50,2,FALSE))</f>
        <v>5</v>
      </c>
      <c r="MZ20" s="1078">
        <f>+IFERROR(VLOOKUP(MZ$6&amp;"-"&amp;$M20&amp;"_old",Ammortamento_Finanziario!$H:$L,5,FALSE),VLOOKUP($M20,TT_Tabelle_Riferimento!$H$31:$I$50,2,FALSE))</f>
        <v>5</v>
      </c>
      <c r="NA20" s="1078">
        <f>+IFERROR(VLOOKUP(NA$6&amp;"-"&amp;$M20&amp;"_old",Ammortamento_Finanziario!$H:$L,5,FALSE),VLOOKUP($M20,TT_Tabelle_Riferimento!$H$31:$I$50,2,FALSE))</f>
        <v>5</v>
      </c>
      <c r="NB20" s="1078">
        <f>+IFERROR(VLOOKUP(NB$6&amp;"-"&amp;$M20&amp;"_old",Ammortamento_Finanziario!$H:$L,5,FALSE),VLOOKUP($M20,TT_Tabelle_Riferimento!$H$31:$I$50,2,FALSE))</f>
        <v>5</v>
      </c>
      <c r="NC20" s="1078">
        <f>+IFERROR(VLOOKUP(NC$6&amp;"-"&amp;$M20&amp;"_old",Ammortamento_Finanziario!$H:$L,5,FALSE),VLOOKUP($M20,TT_Tabelle_Riferimento!$H$31:$I$50,2,FALSE))</f>
        <v>5</v>
      </c>
      <c r="ND20" s="1078">
        <f>+IFERROR(VLOOKUP(ND$6&amp;"-"&amp;$M20&amp;"_old",Ammortamento_Finanziario!$H:$L,5,FALSE),VLOOKUP($M20,TT_Tabelle_Riferimento!$H$31:$I$50,2,FALSE))</f>
        <v>5</v>
      </c>
      <c r="NE20" s="1078">
        <f>+IFERROR(VLOOKUP(NE$6&amp;"-"&amp;$M20&amp;"_old",Ammortamento_Finanziario!$H:$L,5,FALSE),VLOOKUP($M20,TT_Tabelle_Riferimento!$H$31:$I$50,2,FALSE))</f>
        <v>5</v>
      </c>
      <c r="NF20" s="1078">
        <f>+IFERROR(VLOOKUP(NF$6&amp;"-"&amp;$M20&amp;"_old",Ammortamento_Finanziario!$H:$L,5,FALSE),VLOOKUP($M20,TT_Tabelle_Riferimento!$H$31:$I$50,2,FALSE))</f>
        <v>5</v>
      </c>
      <c r="NG20" s="1078">
        <f>+IFERROR(VLOOKUP(NG$6&amp;"-"&amp;$M20&amp;"_old",Ammortamento_Finanziario!$H:$L,5,FALSE),VLOOKUP($M20,TT_Tabelle_Riferimento!$H$31:$I$50,2,FALSE))</f>
        <v>5</v>
      </c>
      <c r="NH20" s="1078">
        <f>+IFERROR(VLOOKUP(NH$6&amp;"-"&amp;$M20&amp;"_old",Ammortamento_Finanziario!$H:$L,5,FALSE),VLOOKUP($M20,TT_Tabelle_Riferimento!$H$31:$I$50,2,FALSE))</f>
        <v>5</v>
      </c>
      <c r="NI20" s="1078">
        <f>+IFERROR(VLOOKUP(NI$6&amp;"-"&amp;$M20&amp;"_old",Ammortamento_Finanziario!$H:$L,5,FALSE),VLOOKUP($M20,TT_Tabelle_Riferimento!$H$31:$I$50,2,FALSE))</f>
        <v>5</v>
      </c>
      <c r="NJ20" s="1078">
        <f>+IFERROR(VLOOKUP(NJ$6&amp;"-"&amp;$M20&amp;"_old",Ammortamento_Finanziario!$H:$L,5,FALSE),VLOOKUP($M20,TT_Tabelle_Riferimento!$H$31:$I$50,2,FALSE))</f>
        <v>5</v>
      </c>
      <c r="NK20" s="1078">
        <f>+IFERROR(VLOOKUP(NK$6&amp;"-"&amp;$M20&amp;"_old",Ammortamento_Finanziario!$H:$L,5,FALSE),VLOOKUP($M20,TT_Tabelle_Riferimento!$H$31:$I$50,2,FALSE))</f>
        <v>5</v>
      </c>
      <c r="NL20" s="1078">
        <f>+IFERROR(VLOOKUP(NL$6&amp;"-"&amp;$M20&amp;"_old",Ammortamento_Finanziario!$H:$L,5,FALSE),VLOOKUP($M20,TT_Tabelle_Riferimento!$H$31:$I$50,2,FALSE))</f>
        <v>5</v>
      </c>
      <c r="NM20" s="1078">
        <f>+IFERROR(VLOOKUP(NM$6&amp;"-"&amp;$M20&amp;"_old",Ammortamento_Finanziario!$H:$L,5,FALSE),VLOOKUP($M20,TT_Tabelle_Riferimento!$H$31:$I$50,2,FALSE))</f>
        <v>5</v>
      </c>
      <c r="NN20" s="1078">
        <f>+IFERROR(VLOOKUP(NN$6&amp;"-"&amp;$M20&amp;"_old",Ammortamento_Finanziario!$H:$L,5,FALSE),VLOOKUP($M20,TT_Tabelle_Riferimento!$H$31:$I$50,2,FALSE))</f>
        <v>5</v>
      </c>
      <c r="NO20" s="1078">
        <f>+IFERROR(VLOOKUP(NO$6&amp;"-"&amp;$M20&amp;"_old",Ammortamento_Finanziario!$H:$L,5,FALSE),VLOOKUP($M20,TT_Tabelle_Riferimento!$H$31:$I$50,2,FALSE))</f>
        <v>5</v>
      </c>
      <c r="NP20" s="1078">
        <f>+IFERROR(VLOOKUP(NP$6&amp;"-"&amp;$M20&amp;"_old",Ammortamento_Finanziario!$H:$L,5,FALSE),VLOOKUP($M20,TT_Tabelle_Riferimento!$H$31:$I$50,2,FALSE))</f>
        <v>5</v>
      </c>
      <c r="NQ20" s="1755">
        <f>+IFERROR(VLOOKUP(NQ$6&amp;"-"&amp;$M20&amp;"_old",Ammortamento_Finanziario!$H:$L,5,FALSE),VLOOKUP($M20,TT_Tabelle_Riferimento!$H$31:$I$50,2,FALSE))</f>
        <v>5</v>
      </c>
      <c r="NR20" s="1755">
        <f>+IFERROR(VLOOKUP(NR$6&amp;"-"&amp;$M20&amp;"_old",Ammortamento_Finanziario!$H:$L,5,FALSE),VLOOKUP($M20,TT_Tabelle_Riferimento!$H$31:$I$50,2,FALSE))</f>
        <v>5</v>
      </c>
      <c r="NS20" s="1755">
        <f>+IFERROR(VLOOKUP(NS$6&amp;"-"&amp;$M20&amp;"_old",Ammortamento_Finanziario!$H:$L,5,FALSE),VLOOKUP($M20,TT_Tabelle_Riferimento!$H$31:$I$50,2,FALSE))</f>
        <v>5</v>
      </c>
      <c r="NT20" s="1755">
        <f>+IFERROR(VLOOKUP(NT$6&amp;"-"&amp;$M20&amp;"_old",Ammortamento_Finanziario!$H:$L,5,FALSE),VLOOKUP($M20,TT_Tabelle_Riferimento!$H$31:$I$50,2,FALSE))</f>
        <v>5</v>
      </c>
      <c r="NU20" s="1755">
        <f>+IFERROR(VLOOKUP(NU$6&amp;"-"&amp;$M20&amp;"_old",Ammortamento_Finanziario!$H:$L,5,FALSE),VLOOKUP($M20,TT_Tabelle_Riferimento!$H$31:$I$50,2,FALSE))</f>
        <v>5</v>
      </c>
      <c r="NV20" s="1078">
        <f>+IFERROR(VLOOKUP(NV$6&amp;"-"&amp;$M20&amp;"_old",Ammortamento_Finanziario!$H:$L,5,FALSE),VLOOKUP($M20,TT_Tabelle_Riferimento!$H$31:$I$50,2,FALSE))</f>
        <v>5</v>
      </c>
      <c r="NW20" s="1078">
        <f>+IFERROR(VLOOKUP(NW$6&amp;"-"&amp;$M20&amp;"_old",Ammortamento_Finanziario!$H:$L,5,FALSE),VLOOKUP($M20,TT_Tabelle_Riferimento!$H$31:$I$50,2,FALSE))</f>
        <v>5</v>
      </c>
      <c r="NX20" s="1078">
        <f>+IFERROR(VLOOKUP(NX$6&amp;"-"&amp;$M20&amp;"_old",Ammortamento_Finanziario!$H:$L,5,FALSE),VLOOKUP($M20,TT_Tabelle_Riferimento!$H$31:$I$50,2,FALSE))</f>
        <v>5</v>
      </c>
      <c r="NY20" s="1078">
        <f>+IFERROR(VLOOKUP(NY$6&amp;"-"&amp;$M20&amp;"_old",Ammortamento_Finanziario!$H:$L,5,FALSE),VLOOKUP($M20,TT_Tabelle_Riferimento!$H$31:$I$50,2,FALSE))</f>
        <v>5</v>
      </c>
      <c r="NZ20" s="1078">
        <f>+IFERROR(VLOOKUP(NZ$6&amp;"-"&amp;$M20&amp;"_old",Ammortamento_Finanziario!$H:$L,5,FALSE),VLOOKUP($M20,TT_Tabelle_Riferimento!$H$31:$I$50,2,FALSE))</f>
        <v>5</v>
      </c>
      <c r="OA20" s="1078">
        <f>+IFERROR(VLOOKUP(OA$6&amp;"-"&amp;$M20&amp;"_old",Ammortamento_Finanziario!$H:$L,5,FALSE),VLOOKUP($M20,TT_Tabelle_Riferimento!$H$31:$I$50,2,FALSE))</f>
        <v>5</v>
      </c>
      <c r="OB20" s="1078">
        <f>+IFERROR(VLOOKUP(OB$6&amp;"-"&amp;$M20&amp;"_old",Ammortamento_Finanziario!$H:$L,5,FALSE),VLOOKUP($M20,TT_Tabelle_Riferimento!$H$31:$I$50,2,FALSE))</f>
        <v>5</v>
      </c>
      <c r="OC20" s="1078">
        <f>+IFERROR(VLOOKUP(OC$6&amp;"-"&amp;$M20&amp;"_old",Ammortamento_Finanziario!$H:$L,5,FALSE),VLOOKUP($M20,TT_Tabelle_Riferimento!$H$31:$I$50,2,FALSE))</f>
        <v>5</v>
      </c>
      <c r="OD20" s="1078">
        <f>+IFERROR(VLOOKUP(OD$6&amp;"-"&amp;$M20&amp;"_old",Ammortamento_Finanziario!$H:$L,5,FALSE),VLOOKUP($M20,TT_Tabelle_Riferimento!$H$31:$I$50,2,FALSE))</f>
        <v>5</v>
      </c>
      <c r="OE20" s="1078">
        <f>+IFERROR(VLOOKUP(OE$6&amp;"-"&amp;$M20&amp;"_old",Ammortamento_Finanziario!$H:$L,5,FALSE),VLOOKUP($M20,TT_Tabelle_Riferimento!$H$31:$I$50,2,FALSE))</f>
        <v>5</v>
      </c>
      <c r="OF20" s="1078">
        <f>+IFERROR(VLOOKUP(OF$6&amp;"-"&amp;$M20&amp;"_old",Ammortamento_Finanziario!$H:$L,5,FALSE),VLOOKUP($M20,TT_Tabelle_Riferimento!$H$31:$I$50,2,FALSE))</f>
        <v>5</v>
      </c>
      <c r="OG20" s="1078">
        <f>+IFERROR(VLOOKUP(OG$6&amp;"-"&amp;$M20&amp;"_old",Ammortamento_Finanziario!$H:$L,5,FALSE),VLOOKUP($M20,TT_Tabelle_Riferimento!$H$31:$I$50,2,FALSE))</f>
        <v>5</v>
      </c>
      <c r="OH20" s="1078">
        <f>+IFERROR(VLOOKUP(OH$6&amp;"-"&amp;$M20&amp;"_old",Ammortamento_Finanziario!$H:$L,5,FALSE),VLOOKUP($M20,TT_Tabelle_Riferimento!$H$31:$I$50,2,FALSE))</f>
        <v>5</v>
      </c>
      <c r="OI20" s="1078">
        <f>+IFERROR(VLOOKUP(OI$6&amp;"-"&amp;$M20&amp;"_old",Ammortamento_Finanziario!$H:$L,5,FALSE),VLOOKUP($M20,TT_Tabelle_Riferimento!$H$31:$I$50,2,FALSE))</f>
        <v>5</v>
      </c>
      <c r="OJ20" s="1078">
        <f>+IFERROR(VLOOKUP(OJ$6&amp;"-"&amp;$M20&amp;"_old",Ammortamento_Finanziario!$H:$L,5,FALSE),VLOOKUP($M20,TT_Tabelle_Riferimento!$H$31:$I$50,2,FALSE))</f>
        <v>5</v>
      </c>
      <c r="OK20" s="1078">
        <f>+IFERROR(VLOOKUP(OK$6&amp;"-"&amp;$M20&amp;"_old",Ammortamento_Finanziario!$H:$L,5,FALSE),VLOOKUP($M20,TT_Tabelle_Riferimento!$H$31:$I$50,2,FALSE))</f>
        <v>5</v>
      </c>
      <c r="OL20" s="1078">
        <f>+IFERROR(VLOOKUP(OL$6&amp;"-"&amp;$M20&amp;"_old",Ammortamento_Finanziario!$H:$L,5,FALSE),VLOOKUP($M20,TT_Tabelle_Riferimento!$H$31:$I$50,2,FALSE))</f>
        <v>5</v>
      </c>
      <c r="OM20" s="1078">
        <f>+IFERROR(VLOOKUP(OM$6&amp;"-"&amp;$M20&amp;"_old",Ammortamento_Finanziario!$H:$L,5,FALSE),VLOOKUP($M20,TT_Tabelle_Riferimento!$H$31:$I$50,2,FALSE))</f>
        <v>5</v>
      </c>
      <c r="ON20" s="1078">
        <f>+IFERROR(VLOOKUP(ON$6&amp;"-"&amp;$M20&amp;"_old",Ammortamento_Finanziario!$H:$L,5,FALSE),VLOOKUP($M20,TT_Tabelle_Riferimento!$H$31:$I$50,2,FALSE))</f>
        <v>5</v>
      </c>
      <c r="OO20" s="1755">
        <f>+IFERROR(VLOOKUP(OO$6&amp;"-"&amp;$M20&amp;"_old",Ammortamento_Finanziario!$H:$L,5,FALSE),VLOOKUP($M20,TT_Tabelle_Riferimento!$H$31:$I$50,2,FALSE))</f>
        <v>5</v>
      </c>
      <c r="OP20" s="1755">
        <f>+IFERROR(VLOOKUP(OP$6&amp;"-"&amp;$M20&amp;"_old",Ammortamento_Finanziario!$H:$L,5,FALSE),VLOOKUP($M20,TT_Tabelle_Riferimento!$H$31:$I$50,2,FALSE))</f>
        <v>5</v>
      </c>
      <c r="OQ20" s="1755">
        <f>+IFERROR(VLOOKUP(OQ$6&amp;"-"&amp;$M20&amp;"_old",Ammortamento_Finanziario!$H:$L,5,FALSE),VLOOKUP($M20,TT_Tabelle_Riferimento!$H$31:$I$50,2,FALSE))</f>
        <v>5</v>
      </c>
      <c r="OR20" s="1755">
        <f>+IFERROR(VLOOKUP(OR$6&amp;"-"&amp;$M20&amp;"_old",Ammortamento_Finanziario!$H:$L,5,FALSE),VLOOKUP($M20,TT_Tabelle_Riferimento!$H$31:$I$50,2,FALSE))</f>
        <v>5</v>
      </c>
      <c r="OS20" s="1078">
        <f>+IFERROR(VLOOKUP(OS$6&amp;"-"&amp;$M20&amp;"_old",Ammortamento_Finanziario!$H:$L,5,FALSE),VLOOKUP($M20,TT_Tabelle_Riferimento!$H$31:$I$50,2,FALSE))</f>
        <v>5</v>
      </c>
      <c r="OT20" s="1078">
        <f>+IFERROR(VLOOKUP(OT$6&amp;"-"&amp;$M20&amp;"_old",Ammortamento_Finanziario!$H:$L,5,FALSE),VLOOKUP($M20,TT_Tabelle_Riferimento!$H$31:$I$50,2,FALSE))</f>
        <v>5</v>
      </c>
      <c r="OU20" s="1078">
        <f>+IFERROR(VLOOKUP(OU$6&amp;"-"&amp;$M20&amp;"_old",Ammortamento_Finanziario!$H:$L,5,FALSE),VLOOKUP($M20,TT_Tabelle_Riferimento!$H$31:$I$50,2,FALSE))</f>
        <v>5</v>
      </c>
      <c r="OV20" s="1078">
        <f>+IFERROR(VLOOKUP(OV$6&amp;"-"&amp;$M20&amp;"_old",Ammortamento_Finanziario!$H:$L,5,FALSE),VLOOKUP($M20,TT_Tabelle_Riferimento!$H$31:$I$50,2,FALSE))</f>
        <v>5</v>
      </c>
      <c r="OW20" s="1078">
        <f>+IFERROR(VLOOKUP(OW$6&amp;"-"&amp;$M20&amp;"_old",Ammortamento_Finanziario!$H:$L,5,FALSE),VLOOKUP($M20,TT_Tabelle_Riferimento!$H$31:$I$50,2,FALSE))</f>
        <v>5</v>
      </c>
      <c r="OX20" s="1078">
        <f>+IFERROR(VLOOKUP(OX$6&amp;"-"&amp;$M20&amp;"_old",Ammortamento_Finanziario!$H:$L,5,FALSE),VLOOKUP($M20,TT_Tabelle_Riferimento!$H$31:$I$50,2,FALSE))</f>
        <v>5</v>
      </c>
      <c r="OY20" s="1078">
        <f>+IFERROR(VLOOKUP(OY$6&amp;"-"&amp;$M20&amp;"_old",Ammortamento_Finanziario!$H:$L,5,FALSE),VLOOKUP($M20,TT_Tabelle_Riferimento!$H$31:$I$50,2,FALSE))</f>
        <v>5</v>
      </c>
      <c r="OZ20" s="1078">
        <f>+IFERROR(VLOOKUP(OZ$6&amp;"-"&amp;$M20&amp;"_old",Ammortamento_Finanziario!$H:$L,5,FALSE),VLOOKUP($M20,TT_Tabelle_Riferimento!$H$31:$I$50,2,FALSE))</f>
        <v>5</v>
      </c>
      <c r="PA20" s="1078">
        <f>+IFERROR(VLOOKUP(PA$6&amp;"-"&amp;$M20&amp;"_old",Ammortamento_Finanziario!$H:$L,5,FALSE),VLOOKUP($M20,TT_Tabelle_Riferimento!$H$31:$I$50,2,FALSE))</f>
        <v>5</v>
      </c>
      <c r="PB20" s="1078">
        <f>+IFERROR(VLOOKUP(PB$6&amp;"-"&amp;$M20&amp;"_old",Ammortamento_Finanziario!$H:$L,5,FALSE),VLOOKUP($M20,TT_Tabelle_Riferimento!$H$31:$I$50,2,FALSE))</f>
        <v>5</v>
      </c>
      <c r="PC20" s="1078">
        <f>+IFERROR(VLOOKUP(PC$6&amp;"-"&amp;$M20&amp;"_old",Ammortamento_Finanziario!$H:$L,5,FALSE),VLOOKUP($M20,TT_Tabelle_Riferimento!$H$31:$I$50,2,FALSE))</f>
        <v>5</v>
      </c>
      <c r="PD20" s="1078">
        <f>+IFERROR(VLOOKUP(PD$6&amp;"-"&amp;$M20&amp;"_old",Ammortamento_Finanziario!$H:$L,5,FALSE),VLOOKUP($M20,TT_Tabelle_Riferimento!$H$31:$I$50,2,FALSE))</f>
        <v>5</v>
      </c>
      <c r="PE20" s="1078">
        <f>+IFERROR(VLOOKUP(PE$6&amp;"-"&amp;$M20&amp;"_old",Ammortamento_Finanziario!$H:$L,5,FALSE),VLOOKUP($M20,TT_Tabelle_Riferimento!$H$31:$I$50,2,FALSE))</f>
        <v>5</v>
      </c>
      <c r="PF20" s="1078">
        <f>+IFERROR(VLOOKUP(PF$6&amp;"-"&amp;$M20&amp;"_old",Ammortamento_Finanziario!$H:$L,5,FALSE),VLOOKUP($M20,TT_Tabelle_Riferimento!$H$31:$I$50,2,FALSE))</f>
        <v>5</v>
      </c>
      <c r="PG20" s="1078">
        <f>+IFERROR(VLOOKUP(PG$6&amp;"-"&amp;$M20&amp;"_old",Ammortamento_Finanziario!$H:$L,5,FALSE),VLOOKUP($M20,TT_Tabelle_Riferimento!$H$31:$I$50,2,FALSE))</f>
        <v>5</v>
      </c>
      <c r="PH20" s="1078">
        <f>+IFERROR(VLOOKUP(PH$6&amp;"-"&amp;$M20&amp;"_old",Ammortamento_Finanziario!$H:$L,5,FALSE),VLOOKUP($M20,TT_Tabelle_Riferimento!$H$31:$I$50,2,FALSE))</f>
        <v>5</v>
      </c>
      <c r="PI20" s="1078">
        <f>+IFERROR(VLOOKUP(PI$6&amp;"-"&amp;$M20&amp;"_old",Ammortamento_Finanziario!$H:$L,5,FALSE),VLOOKUP($M20,TT_Tabelle_Riferimento!$H$31:$I$50,2,FALSE))</f>
        <v>5</v>
      </c>
      <c r="PJ20" s="1078">
        <f>+IFERROR(VLOOKUP(PJ$6&amp;"-"&amp;$M20&amp;"_old",Ammortamento_Finanziario!$H:$L,5,FALSE),VLOOKUP($M20,TT_Tabelle_Riferimento!$H$31:$I$50,2,FALSE))</f>
        <v>5</v>
      </c>
      <c r="PK20" s="1078">
        <f>+IFERROR(VLOOKUP(PK$6&amp;"-"&amp;$M20&amp;"_old",Ammortamento_Finanziario!$H:$L,5,FALSE),VLOOKUP($M20,TT_Tabelle_Riferimento!$H$31:$I$50,2,FALSE))</f>
        <v>5</v>
      </c>
      <c r="PL20" s="1755">
        <f>+IFERROR(VLOOKUP(PL$6&amp;"-"&amp;$M20&amp;"_old",Ammortamento_Finanziario!$H:$L,5,FALSE),VLOOKUP($M20,TT_Tabelle_Riferimento!$H$31:$I$50,2,FALSE))</f>
        <v>5</v>
      </c>
      <c r="PM20" s="1755">
        <f>+IFERROR(VLOOKUP(PM$6&amp;"-"&amp;$M20&amp;"_old",Ammortamento_Finanziario!$H:$L,5,FALSE),VLOOKUP($M20,TT_Tabelle_Riferimento!$H$31:$I$50,2,FALSE))</f>
        <v>5</v>
      </c>
      <c r="PN20" s="1755">
        <f>+IFERROR(VLOOKUP(PN$6&amp;"-"&amp;$M20&amp;"_old",Ammortamento_Finanziario!$H:$L,5,FALSE),VLOOKUP($M20,TT_Tabelle_Riferimento!$H$31:$I$50,2,FALSE))</f>
        <v>5</v>
      </c>
      <c r="PO20" s="1078">
        <f>+IFERROR(VLOOKUP(PO$6&amp;"-"&amp;$M20&amp;"_old",Ammortamento_Finanziario!$H:$L,5,FALSE),VLOOKUP($M20,TT_Tabelle_Riferimento!$H$31:$I$50,2,FALSE))</f>
        <v>5</v>
      </c>
      <c r="PP20" s="1078">
        <f>+IFERROR(VLOOKUP(PP$6&amp;"-"&amp;$M20&amp;"_old",Ammortamento_Finanziario!$H:$L,5,FALSE),VLOOKUP($M20,TT_Tabelle_Riferimento!$H$31:$I$50,2,FALSE))</f>
        <v>5</v>
      </c>
      <c r="PQ20" s="1078">
        <f>+IFERROR(VLOOKUP(PQ$6&amp;"-"&amp;$M20&amp;"_old",Ammortamento_Finanziario!$H:$L,5,FALSE),VLOOKUP($M20,TT_Tabelle_Riferimento!$H$31:$I$50,2,FALSE))</f>
        <v>5</v>
      </c>
      <c r="PR20" s="1078">
        <f>+IFERROR(VLOOKUP(PR$6&amp;"-"&amp;$M20&amp;"_old",Ammortamento_Finanziario!$H:$L,5,FALSE),VLOOKUP($M20,TT_Tabelle_Riferimento!$H$31:$I$50,2,FALSE))</f>
        <v>5</v>
      </c>
      <c r="PS20" s="1078">
        <f>+IFERROR(VLOOKUP(PS$6&amp;"-"&amp;$M20&amp;"_old",Ammortamento_Finanziario!$H:$L,5,FALSE),VLOOKUP($M20,TT_Tabelle_Riferimento!$H$31:$I$50,2,FALSE))</f>
        <v>5</v>
      </c>
      <c r="PT20" s="1078">
        <f>+IFERROR(VLOOKUP(PT$6&amp;"-"&amp;$M20&amp;"_old",Ammortamento_Finanziario!$H:$L,5,FALSE),VLOOKUP($M20,TT_Tabelle_Riferimento!$H$31:$I$50,2,FALSE))</f>
        <v>5</v>
      </c>
      <c r="PU20" s="1078">
        <f>+IFERROR(VLOOKUP(PU$6&amp;"-"&amp;$M20&amp;"_old",Ammortamento_Finanziario!$H:$L,5,FALSE),VLOOKUP($M20,TT_Tabelle_Riferimento!$H$31:$I$50,2,FALSE))</f>
        <v>5</v>
      </c>
      <c r="PV20" s="1078">
        <f>+IFERROR(VLOOKUP(PV$6&amp;"-"&amp;$M20&amp;"_old",Ammortamento_Finanziario!$H:$L,5,FALSE),VLOOKUP($M20,TT_Tabelle_Riferimento!$H$31:$I$50,2,FALSE))</f>
        <v>5</v>
      </c>
      <c r="PW20" s="1078">
        <f>+IFERROR(VLOOKUP(PW$6&amp;"-"&amp;$M20&amp;"_old",Ammortamento_Finanziario!$H:$L,5,FALSE),VLOOKUP($M20,TT_Tabelle_Riferimento!$H$31:$I$50,2,FALSE))</f>
        <v>5</v>
      </c>
      <c r="PX20" s="1078">
        <f>+IFERROR(VLOOKUP(PX$6&amp;"-"&amp;$M20&amp;"_old",Ammortamento_Finanziario!$H:$L,5,FALSE),VLOOKUP($M20,TT_Tabelle_Riferimento!$H$31:$I$50,2,FALSE))</f>
        <v>5</v>
      </c>
      <c r="PY20" s="1078">
        <f>+IFERROR(VLOOKUP(PY$6&amp;"-"&amp;$M20&amp;"_old",Ammortamento_Finanziario!$H:$L,5,FALSE),VLOOKUP($M20,TT_Tabelle_Riferimento!$H$31:$I$50,2,FALSE))</f>
        <v>5</v>
      </c>
      <c r="PZ20" s="1078">
        <f>+IFERROR(VLOOKUP(PZ$6&amp;"-"&amp;$M20&amp;"_old",Ammortamento_Finanziario!$H:$L,5,FALSE),VLOOKUP($M20,TT_Tabelle_Riferimento!$H$31:$I$50,2,FALSE))</f>
        <v>5</v>
      </c>
      <c r="QA20" s="1078">
        <f>+IFERROR(VLOOKUP(QA$6&amp;"-"&amp;$M20&amp;"_old",Ammortamento_Finanziario!$H:$L,5,FALSE),VLOOKUP($M20,TT_Tabelle_Riferimento!$H$31:$I$50,2,FALSE))</f>
        <v>5</v>
      </c>
      <c r="QB20" s="1078">
        <f>+IFERROR(VLOOKUP(QB$6&amp;"-"&amp;$M20&amp;"_old",Ammortamento_Finanziario!$H:$L,5,FALSE),VLOOKUP($M20,TT_Tabelle_Riferimento!$H$31:$I$50,2,FALSE))</f>
        <v>5</v>
      </c>
      <c r="QC20" s="1078">
        <f>+IFERROR(VLOOKUP(QC$6&amp;"-"&amp;$M20&amp;"_old",Ammortamento_Finanziario!$H:$L,5,FALSE),VLOOKUP($M20,TT_Tabelle_Riferimento!$H$31:$I$50,2,FALSE))</f>
        <v>5</v>
      </c>
      <c r="QD20" s="1078">
        <f>+IFERROR(VLOOKUP(QD$6&amp;"-"&amp;$M20&amp;"_old",Ammortamento_Finanziario!$H:$L,5,FALSE),VLOOKUP($M20,TT_Tabelle_Riferimento!$H$31:$I$50,2,FALSE))</f>
        <v>5</v>
      </c>
      <c r="QE20" s="1078">
        <f>+IFERROR(VLOOKUP(QE$6&amp;"-"&amp;$M20&amp;"_old",Ammortamento_Finanziario!$H:$L,5,FALSE),VLOOKUP($M20,TT_Tabelle_Riferimento!$H$31:$I$50,2,FALSE))</f>
        <v>5</v>
      </c>
      <c r="QF20" s="1078">
        <f>+IFERROR(VLOOKUP(QF$6&amp;"-"&amp;$M20&amp;"_old",Ammortamento_Finanziario!$H:$L,5,FALSE),VLOOKUP($M20,TT_Tabelle_Riferimento!$H$31:$I$50,2,FALSE))</f>
        <v>5</v>
      </c>
      <c r="QG20" s="1078">
        <f>+IFERROR(VLOOKUP(QG$6&amp;"-"&amp;$M20&amp;"_old",Ammortamento_Finanziario!$H:$L,5,FALSE),VLOOKUP($M20,TT_Tabelle_Riferimento!$H$31:$I$50,2,FALSE))</f>
        <v>5</v>
      </c>
      <c r="QH20" s="1755">
        <f>+IFERROR(VLOOKUP(QH$6&amp;"-"&amp;$M20&amp;"_old",Ammortamento_Finanziario!$H:$L,5,FALSE),VLOOKUP($M20,TT_Tabelle_Riferimento!$H$31:$I$50,2,FALSE))</f>
        <v>5</v>
      </c>
      <c r="QI20" s="1755">
        <f>+IFERROR(VLOOKUP(QI$6&amp;"-"&amp;$M20&amp;"_old",Ammortamento_Finanziario!$H:$L,5,FALSE),VLOOKUP($M20,TT_Tabelle_Riferimento!$H$31:$I$50,2,FALSE))</f>
        <v>5</v>
      </c>
      <c r="QJ20" s="1078">
        <f>+IFERROR(VLOOKUP(QJ$6&amp;"-"&amp;$M20&amp;"_old",Ammortamento_Finanziario!$H:$L,5,FALSE),VLOOKUP($M20,TT_Tabelle_Riferimento!$H$31:$I$50,2,FALSE))</f>
        <v>5</v>
      </c>
      <c r="QK20" s="1078">
        <f>+IFERROR(VLOOKUP(QK$6&amp;"-"&amp;$M20&amp;"_old",Ammortamento_Finanziario!$H:$L,5,FALSE),VLOOKUP($M20,TT_Tabelle_Riferimento!$H$31:$I$50,2,FALSE))</f>
        <v>5</v>
      </c>
      <c r="QL20" s="1078">
        <f>+IFERROR(VLOOKUP(QL$6&amp;"-"&amp;$M20&amp;"_old",Ammortamento_Finanziario!$H:$L,5,FALSE),VLOOKUP($M20,TT_Tabelle_Riferimento!$H$31:$I$50,2,FALSE))</f>
        <v>5</v>
      </c>
      <c r="QM20" s="1078">
        <f>+IFERROR(VLOOKUP(QM$6&amp;"-"&amp;$M20&amp;"_old",Ammortamento_Finanziario!$H:$L,5,FALSE),VLOOKUP($M20,TT_Tabelle_Riferimento!$H$31:$I$50,2,FALSE))</f>
        <v>5</v>
      </c>
      <c r="QN20" s="1078">
        <f>+IFERROR(VLOOKUP(QN$6&amp;"-"&amp;$M20&amp;"_old",Ammortamento_Finanziario!$H:$L,5,FALSE),VLOOKUP($M20,TT_Tabelle_Riferimento!$H$31:$I$50,2,FALSE))</f>
        <v>5</v>
      </c>
      <c r="QO20" s="1078">
        <f>+IFERROR(VLOOKUP(QO$6&amp;"-"&amp;$M20&amp;"_old",Ammortamento_Finanziario!$H:$L,5,FALSE),VLOOKUP($M20,TT_Tabelle_Riferimento!$H$31:$I$50,2,FALSE))</f>
        <v>5</v>
      </c>
      <c r="QP20" s="1078">
        <f>+IFERROR(VLOOKUP(QP$6&amp;"-"&amp;$M20&amp;"_old",Ammortamento_Finanziario!$H:$L,5,FALSE),VLOOKUP($M20,TT_Tabelle_Riferimento!$H$31:$I$50,2,FALSE))</f>
        <v>5</v>
      </c>
      <c r="QQ20" s="1078">
        <f>+IFERROR(VLOOKUP(QQ$6&amp;"-"&amp;$M20&amp;"_old",Ammortamento_Finanziario!$H:$L,5,FALSE),VLOOKUP($M20,TT_Tabelle_Riferimento!$H$31:$I$50,2,FALSE))</f>
        <v>5</v>
      </c>
      <c r="QR20" s="1078">
        <f>+IFERROR(VLOOKUP(QR$6&amp;"-"&amp;$M20&amp;"_old",Ammortamento_Finanziario!$H:$L,5,FALSE),VLOOKUP($M20,TT_Tabelle_Riferimento!$H$31:$I$50,2,FALSE))</f>
        <v>5</v>
      </c>
      <c r="QS20" s="1078">
        <f>+IFERROR(VLOOKUP(QS$6&amp;"-"&amp;$M20&amp;"_old",Ammortamento_Finanziario!$H:$L,5,FALSE),VLOOKUP($M20,TT_Tabelle_Riferimento!$H$31:$I$50,2,FALSE))</f>
        <v>5</v>
      </c>
      <c r="QT20" s="1078">
        <f>+IFERROR(VLOOKUP(QT$6&amp;"-"&amp;$M20&amp;"_old",Ammortamento_Finanziario!$H:$L,5,FALSE),VLOOKUP($M20,TT_Tabelle_Riferimento!$H$31:$I$50,2,FALSE))</f>
        <v>5</v>
      </c>
      <c r="QU20" s="1078">
        <f>+IFERROR(VLOOKUP(QU$6&amp;"-"&amp;$M20&amp;"_old",Ammortamento_Finanziario!$H:$L,5,FALSE),VLOOKUP($M20,TT_Tabelle_Riferimento!$H$31:$I$50,2,FALSE))</f>
        <v>5</v>
      </c>
      <c r="QV20" s="1078">
        <f>+IFERROR(VLOOKUP(QV$6&amp;"-"&amp;$M20&amp;"_old",Ammortamento_Finanziario!$H:$L,5,FALSE),VLOOKUP($M20,TT_Tabelle_Riferimento!$H$31:$I$50,2,FALSE))</f>
        <v>5</v>
      </c>
      <c r="QW20" s="1078">
        <f>+IFERROR(VLOOKUP(QW$6&amp;"-"&amp;$M20&amp;"_old",Ammortamento_Finanziario!$H:$L,5,FALSE),VLOOKUP($M20,TT_Tabelle_Riferimento!$H$31:$I$50,2,FALSE))</f>
        <v>5</v>
      </c>
      <c r="QX20" s="1078">
        <f>+IFERROR(VLOOKUP(QX$6&amp;"-"&amp;$M20&amp;"_old",Ammortamento_Finanziario!$H:$L,5,FALSE),VLOOKUP($M20,TT_Tabelle_Riferimento!$H$31:$I$50,2,FALSE))</f>
        <v>5</v>
      </c>
      <c r="QY20" s="1078">
        <f>+IFERROR(VLOOKUP(QY$6&amp;"-"&amp;$M20&amp;"_old",Ammortamento_Finanziario!$H:$L,5,FALSE),VLOOKUP($M20,TT_Tabelle_Riferimento!$H$31:$I$50,2,FALSE))</f>
        <v>5</v>
      </c>
      <c r="QZ20" s="1078">
        <f>+IFERROR(VLOOKUP(QZ$6&amp;"-"&amp;$M20&amp;"_old",Ammortamento_Finanziario!$H:$L,5,FALSE),VLOOKUP($M20,TT_Tabelle_Riferimento!$H$31:$I$50,2,FALSE))</f>
        <v>5</v>
      </c>
      <c r="RA20" s="1078">
        <f>+IFERROR(VLOOKUP(RA$6&amp;"-"&amp;$M20&amp;"_old",Ammortamento_Finanziario!$H:$L,5,FALSE),VLOOKUP($M20,TT_Tabelle_Riferimento!$H$31:$I$50,2,FALSE))</f>
        <v>5</v>
      </c>
      <c r="RB20" s="1078">
        <f>+IFERROR(VLOOKUP(RB$6&amp;"-"&amp;$M20&amp;"_old",Ammortamento_Finanziario!$H:$L,5,FALSE),VLOOKUP($M20,TT_Tabelle_Riferimento!$H$31:$I$50,2,FALSE))</f>
        <v>5</v>
      </c>
      <c r="RC20" s="1755">
        <f>+IFERROR(VLOOKUP(RC$6&amp;"-"&amp;$M20&amp;"_old",Ammortamento_Finanziario!$H:$L,5,FALSE),VLOOKUP($M20,TT_Tabelle_Riferimento!$H$31:$I$50,2,FALSE))</f>
        <v>5</v>
      </c>
      <c r="RD20" s="1078">
        <f>+IFERROR(VLOOKUP(RD$6&amp;"-"&amp;$M20&amp;"_old",Ammortamento_Finanziario!$H:$L,5,FALSE),VLOOKUP($M20,TT_Tabelle_Riferimento!$H$31:$I$50,2,FALSE))</f>
        <v>5</v>
      </c>
      <c r="RE20" s="1078">
        <f>+IFERROR(VLOOKUP(RE$6&amp;"-"&amp;$M20&amp;"_old",Ammortamento_Finanziario!$H:$L,5,FALSE),VLOOKUP($M20,TT_Tabelle_Riferimento!$H$31:$I$50,2,FALSE))</f>
        <v>5</v>
      </c>
      <c r="RF20" s="1078">
        <f>+IFERROR(VLOOKUP(RF$6&amp;"-"&amp;$M20&amp;"_old",Ammortamento_Finanziario!$H:$L,5,FALSE),VLOOKUP($M20,TT_Tabelle_Riferimento!$H$31:$I$50,2,FALSE))</f>
        <v>5</v>
      </c>
      <c r="RG20" s="1078">
        <f>+IFERROR(VLOOKUP(RG$6&amp;"-"&amp;$M20&amp;"_old",Ammortamento_Finanziario!$H:$L,5,FALSE),VLOOKUP($M20,TT_Tabelle_Riferimento!$H$31:$I$50,2,FALSE))</f>
        <v>5</v>
      </c>
      <c r="RH20" s="1078">
        <f>+IFERROR(VLOOKUP(RH$6&amp;"-"&amp;$M20&amp;"_old",Ammortamento_Finanziario!$H:$L,5,FALSE),VLOOKUP($M20,TT_Tabelle_Riferimento!$H$31:$I$50,2,FALSE))</f>
        <v>5</v>
      </c>
      <c r="RI20" s="1078">
        <f>+IFERROR(VLOOKUP(RI$6&amp;"-"&amp;$M20&amp;"_old",Ammortamento_Finanziario!$H:$L,5,FALSE),VLOOKUP($M20,TT_Tabelle_Riferimento!$H$31:$I$50,2,FALSE))</f>
        <v>5</v>
      </c>
      <c r="RJ20" s="1078">
        <f>+IFERROR(VLOOKUP(RJ$6&amp;"-"&amp;$M20&amp;"_old",Ammortamento_Finanziario!$H:$L,5,FALSE),VLOOKUP($M20,TT_Tabelle_Riferimento!$H$31:$I$50,2,FALSE))</f>
        <v>5</v>
      </c>
      <c r="RK20" s="1078">
        <f>+IFERROR(VLOOKUP(RK$6&amp;"-"&amp;$M20&amp;"_old",Ammortamento_Finanziario!$H:$L,5,FALSE),VLOOKUP($M20,TT_Tabelle_Riferimento!$H$31:$I$50,2,FALSE))</f>
        <v>5</v>
      </c>
      <c r="RL20" s="1078">
        <f>+IFERROR(VLOOKUP(RL$6&amp;"-"&amp;$M20&amp;"_old",Ammortamento_Finanziario!$H:$L,5,FALSE),VLOOKUP($M20,TT_Tabelle_Riferimento!$H$31:$I$50,2,FALSE))</f>
        <v>5</v>
      </c>
      <c r="RM20" s="1078">
        <f>+IFERROR(VLOOKUP(RM$6&amp;"-"&amp;$M20&amp;"_old",Ammortamento_Finanziario!$H:$L,5,FALSE),VLOOKUP($M20,TT_Tabelle_Riferimento!$H$31:$I$50,2,FALSE))</f>
        <v>5</v>
      </c>
      <c r="RN20" s="1078">
        <f>+IFERROR(VLOOKUP(RN$6&amp;"-"&amp;$M20&amp;"_old",Ammortamento_Finanziario!$H:$L,5,FALSE),VLOOKUP($M20,TT_Tabelle_Riferimento!$H$31:$I$50,2,FALSE))</f>
        <v>5</v>
      </c>
      <c r="RO20" s="1078">
        <f>+IFERROR(VLOOKUP(RO$6&amp;"-"&amp;$M20&amp;"_old",Ammortamento_Finanziario!$H:$L,5,FALSE),VLOOKUP($M20,TT_Tabelle_Riferimento!$H$31:$I$50,2,FALSE))</f>
        <v>5</v>
      </c>
      <c r="RP20" s="1078">
        <f>+IFERROR(VLOOKUP(RP$6&amp;"-"&amp;$M20&amp;"_old",Ammortamento_Finanziario!$H:$L,5,FALSE),VLOOKUP($M20,TT_Tabelle_Riferimento!$H$31:$I$50,2,FALSE))</f>
        <v>5</v>
      </c>
      <c r="RQ20" s="1078">
        <f>+IFERROR(VLOOKUP(RQ$6&amp;"-"&amp;$M20&amp;"_old",Ammortamento_Finanziario!$H:$L,5,FALSE),VLOOKUP($M20,TT_Tabelle_Riferimento!$H$31:$I$50,2,FALSE))</f>
        <v>5</v>
      </c>
      <c r="RR20" s="1078">
        <f>+IFERROR(VLOOKUP(RR$6&amp;"-"&amp;$M20&amp;"_old",Ammortamento_Finanziario!$H:$L,5,FALSE),VLOOKUP($M20,TT_Tabelle_Riferimento!$H$31:$I$50,2,FALSE))</f>
        <v>5</v>
      </c>
      <c r="RS20" s="1078">
        <f>+IFERROR(VLOOKUP(RS$6&amp;"-"&amp;$M20&amp;"_old",Ammortamento_Finanziario!$H:$L,5,FALSE),VLOOKUP($M20,TT_Tabelle_Riferimento!$H$31:$I$50,2,FALSE))</f>
        <v>5</v>
      </c>
      <c r="RT20" s="1078">
        <f>+IFERROR(VLOOKUP(RT$6&amp;"-"&amp;$M20&amp;"_old",Ammortamento_Finanziario!$H:$L,5,FALSE),VLOOKUP($M20,TT_Tabelle_Riferimento!$H$31:$I$50,2,FALSE))</f>
        <v>5</v>
      </c>
      <c r="RU20" s="1078">
        <f>+IFERROR(VLOOKUP(RU$6&amp;"-"&amp;$M20&amp;"_old",Ammortamento_Finanziario!$H:$L,5,FALSE),VLOOKUP($M20,TT_Tabelle_Riferimento!$H$31:$I$50,2,FALSE))</f>
        <v>5</v>
      </c>
      <c r="RV20" s="1078">
        <f>+IFERROR(VLOOKUP(RV$6&amp;"-"&amp;$M20&amp;"_old",Ammortamento_Finanziario!$H:$L,5,FALSE),VLOOKUP($M20,TT_Tabelle_Riferimento!$H$31:$I$50,2,FALSE))</f>
        <v>5</v>
      </c>
    </row>
    <row r="21" spans="4:490">
      <c r="D21" s="135" t="s">
        <v>201</v>
      </c>
      <c r="E21" s="1264">
        <f>+SUMIFS(IMN_gestore!T:T,IMN_gestore!$E:$E,"&gt;="&amp;2012,IMN_gestore!$E:$E,"&lt;="&amp;2022)</f>
        <v>0</v>
      </c>
      <c r="F21" s="1264">
        <f>+SUMIFS(IMN_gestore!AE:AE,IMN_gestore!$E:$E,"&gt;="&amp;2012,IMN_gestore!$E:$E,"&lt;="&amp;2023)</f>
        <v>0</v>
      </c>
      <c r="G21" s="1264">
        <f>+SUMIFS(IMN_gestore!AP:AP,IMN_gestore!$E:$E,"&gt;="&amp;2012,IMN_gestore!$E:$E,"&lt;="&amp;2024)</f>
        <v>0</v>
      </c>
      <c r="H21" s="1264">
        <f>+SUMIFS(IMN_gestore!BA:BA,IMN_gestore!$E:$E,"&gt;="&amp;2012,IMN_gestore!$E:$E,"&lt;="&amp;2025)</f>
        <v>0</v>
      </c>
      <c r="I21" s="1264">
        <f>+SUMIFS(IMN_gestore!$BL:$BL,IMN_gestore!$E:$E,"&gt;="&amp;2012,IMN_gestore!$E:$E,"&lt;="&amp;2026)</f>
        <v>0</v>
      </c>
      <c r="J21" s="1264">
        <f>+SUMIFS(IMN_gestore!$BW:$BW,IMN_gestore!$E:$E,"&gt;="&amp;2012,IMN_gestore!$E:$E,"&lt;="&amp;2027)</f>
        <v>0</v>
      </c>
      <c r="K21" s="136"/>
      <c r="L21" s="125"/>
      <c r="M21" s="420">
        <v>15</v>
      </c>
      <c r="N21" s="904">
        <f>+IFERROR(VLOOKUP(N$6&amp;"-"&amp;$M21&amp;"_old",Ammortamento_Finanziario!$H:$L,5,FALSE),VLOOKUP($M21,TT_Tabelle_Riferimento!$H$31:$I$50,2,FALSE))</f>
        <v>5</v>
      </c>
      <c r="O21" s="904">
        <f>+IFERROR(VLOOKUP(O$6&amp;"-"&amp;$M21&amp;"_old",Ammortamento_Finanziario!$H:$L,5,FALSE),VLOOKUP($M21,TT_Tabelle_Riferimento!$H$31:$I$50,2,FALSE))</f>
        <v>5</v>
      </c>
      <c r="P21" s="904">
        <f>+IFERROR(VLOOKUP(P$6&amp;"-"&amp;$M21&amp;"_old",Ammortamento_Finanziario!$H:$L,5,FALSE),VLOOKUP($M21,TT_Tabelle_Riferimento!$H$31:$I$50,2,FALSE))</f>
        <v>5</v>
      </c>
      <c r="Q21" s="904">
        <f>+IFERROR(VLOOKUP(Q$6&amp;"-"&amp;$M21&amp;"_old",Ammortamento_Finanziario!$H:$L,5,FALSE),VLOOKUP($M21,TT_Tabelle_Riferimento!$H$31:$I$50,2,FALSE))</f>
        <v>5</v>
      </c>
      <c r="R21" s="904">
        <f>+IFERROR(VLOOKUP(R$6&amp;"-"&amp;$M21&amp;"_old",Ammortamento_Finanziario!$H:$L,5,FALSE),VLOOKUP($M21,TT_Tabelle_Riferimento!$H$31:$I$50,2,FALSE))</f>
        <v>5</v>
      </c>
      <c r="S21" s="904">
        <f>+IFERROR(VLOOKUP(S$6&amp;"-"&amp;$M21&amp;"_old",Ammortamento_Finanziario!$H:$L,5,FALSE),VLOOKUP($M21,TT_Tabelle_Riferimento!$H$31:$I$50,2,FALSE))</f>
        <v>5</v>
      </c>
      <c r="T21" s="904">
        <f>+IFERROR(VLOOKUP(T$6&amp;"-"&amp;$M21&amp;"_old",Ammortamento_Finanziario!$H:$L,5,FALSE),VLOOKUP($M21,TT_Tabelle_Riferimento!$H$31:$I$50,2,FALSE))</f>
        <v>5</v>
      </c>
      <c r="U21" s="904">
        <f>+IFERROR(VLOOKUP(U$6&amp;"-"&amp;$M21&amp;"_old",Ammortamento_Finanziario!$H:$L,5,FALSE),VLOOKUP($M21,TT_Tabelle_Riferimento!$H$31:$I$50,2,FALSE))</f>
        <v>5</v>
      </c>
      <c r="V21" s="904">
        <f>+IFERROR(VLOOKUP(V$6&amp;"-"&amp;$M21&amp;"_old",Ammortamento_Finanziario!$H:$L,5,FALSE),VLOOKUP($M21,TT_Tabelle_Riferimento!$H$31:$I$50,2,FALSE))</f>
        <v>5</v>
      </c>
      <c r="W21" s="904">
        <f>+IFERROR(VLOOKUP(W$6&amp;"-"&amp;$M21&amp;"_old",Ammortamento_Finanziario!$H:$L,5,FALSE),VLOOKUP($M21,TT_Tabelle_Riferimento!$H$31:$I$50,2,FALSE))</f>
        <v>5</v>
      </c>
      <c r="X21" s="1739">
        <f>+IFERROR(VLOOKUP(X$6&amp;"-"&amp;$M21&amp;"_old",Ammortamento_Finanziario!$H:$L,5,FALSE),VLOOKUP($M21,TT_Tabelle_Riferimento!$H$31:$I$50,2,FALSE))</f>
        <v>5</v>
      </c>
      <c r="Y21" s="1739">
        <f>+IFERROR(VLOOKUP(Y$6&amp;"-"&amp;$M21&amp;"_old",Ammortamento_Finanziario!$H:$L,5,FALSE),VLOOKUP($M21,TT_Tabelle_Riferimento!$H$31:$I$50,2,FALSE))</f>
        <v>5</v>
      </c>
      <c r="Z21" s="1749">
        <f>+IFERROR(VLOOKUP(Z$6&amp;"-"&amp;$M21&amp;"_old",Ammortamento_Finanziario!$H:$L,5,FALSE),VLOOKUP($M21,TT_Tabelle_Riferimento!$H$31:$I$50,2,FALSE))</f>
        <v>5</v>
      </c>
      <c r="AA21" s="1749">
        <f>+IFERROR(VLOOKUP(AA$6&amp;"-"&amp;$M21&amp;"_old",Ammortamento_Finanziario!$H:$L,5,FALSE),VLOOKUP($M21,TT_Tabelle_Riferimento!$H$31:$I$50,2,FALSE))</f>
        <v>5</v>
      </c>
      <c r="AB21" s="1749">
        <f>+IFERROR(VLOOKUP(AB$6&amp;"-"&amp;$M21&amp;"_old",Ammortamento_Finanziario!$H:$L,5,FALSE),VLOOKUP($M21,TT_Tabelle_Riferimento!$H$31:$I$50,2,FALSE))</f>
        <v>5</v>
      </c>
      <c r="AC21" s="1749">
        <f>+IFERROR(VLOOKUP(AC$6&amp;"-"&amp;$M21&amp;"_old",Ammortamento_Finanziario!$H:$L,5,FALSE),VLOOKUP($M21,TT_Tabelle_Riferimento!$H$31:$I$50,2,FALSE))</f>
        <v>5</v>
      </c>
      <c r="AD21" s="1749">
        <f>+IFERROR(VLOOKUP(AD$6&amp;"-"&amp;$M21&amp;"_old",Ammortamento_Finanziario!$H:$L,5,FALSE),VLOOKUP($M21,TT_Tabelle_Riferimento!$H$31:$I$50,2,FALSE))</f>
        <v>5</v>
      </c>
      <c r="AE21" s="1749">
        <f>+IFERROR(VLOOKUP(AE$6&amp;"-"&amp;$M21&amp;"_old",Ammortamento_Finanziario!$H:$L,5,FALSE),VLOOKUP($M21,TT_Tabelle_Riferimento!$H$31:$I$50,2,FALSE))</f>
        <v>5</v>
      </c>
      <c r="AF21" s="625">
        <f>+IFERROR(VLOOKUP(AF$6&amp;"-"&amp;$M21&amp;"_old",Ammortamento_Finanziario!$H:$L,5,FALSE),VLOOKUP($M21,TT_Tabelle_Riferimento!$H$31:$I$50,2,FALSE))</f>
        <v>5</v>
      </c>
      <c r="AG21" s="625">
        <f>+IFERROR(VLOOKUP(AG$6&amp;"-"&amp;$M21&amp;"_old",Ammortamento_Finanziario!$H:$L,5,FALSE),VLOOKUP($M21,TT_Tabelle_Riferimento!$H$31:$I$50,2,FALSE))</f>
        <v>5</v>
      </c>
      <c r="AH21" s="625">
        <f>+IFERROR(VLOOKUP(AH$6&amp;"-"&amp;$M21&amp;"_old",Ammortamento_Finanziario!$H:$L,5,FALSE),VLOOKUP($M21,TT_Tabelle_Riferimento!$H$31:$I$50,2,FALSE))</f>
        <v>5</v>
      </c>
      <c r="AI21" s="625">
        <f>+IFERROR(VLOOKUP(AI$6&amp;"-"&amp;$M21&amp;"_old",Ammortamento_Finanziario!$H:$L,5,FALSE),VLOOKUP($M21,TT_Tabelle_Riferimento!$H$31:$I$50,2,FALSE))</f>
        <v>5</v>
      </c>
      <c r="AJ21" s="625">
        <f>+IFERROR(VLOOKUP(AJ$6&amp;"-"&amp;$M21&amp;"_old",Ammortamento_Finanziario!$H:$L,5,FALSE),VLOOKUP($M21,TT_Tabelle_Riferimento!$H$31:$I$50,2,FALSE))</f>
        <v>5</v>
      </c>
      <c r="AK21" s="625">
        <f>+IFERROR(VLOOKUP(AK$6&amp;"-"&amp;$M21&amp;"_old",Ammortamento_Finanziario!$H:$L,5,FALSE),VLOOKUP($M21,TT_Tabelle_Riferimento!$H$31:$I$50,2,FALSE))</f>
        <v>5</v>
      </c>
      <c r="AL21" s="625">
        <f>+IFERROR(VLOOKUP(AL$6&amp;"-"&amp;$M21&amp;"_old",Ammortamento_Finanziario!$H:$L,5,FALSE),VLOOKUP($M21,TT_Tabelle_Riferimento!$H$31:$I$50,2,FALSE))</f>
        <v>5</v>
      </c>
      <c r="AM21" s="625">
        <f>+IFERROR(VLOOKUP(AM$6&amp;"-"&amp;$M21&amp;"_old",Ammortamento_Finanziario!$H:$L,5,FALSE),VLOOKUP($M21,TT_Tabelle_Riferimento!$H$31:$I$50,2,FALSE))</f>
        <v>5</v>
      </c>
      <c r="AN21" s="625">
        <f>+IFERROR(VLOOKUP(AN$6&amp;"-"&amp;$M21&amp;"_old",Ammortamento_Finanziario!$H:$L,5,FALSE),VLOOKUP($M21,TT_Tabelle_Riferimento!$H$31:$I$50,2,FALSE))</f>
        <v>5</v>
      </c>
      <c r="AO21" s="625">
        <f>+IFERROR(VLOOKUP(AO$6&amp;"-"&amp;$M21&amp;"_old",Ammortamento_Finanziario!$H:$L,5,FALSE),VLOOKUP($M21,TT_Tabelle_Riferimento!$H$31:$I$50,2,FALSE))</f>
        <v>5</v>
      </c>
      <c r="AP21" s="625">
        <f>+IFERROR(VLOOKUP(AP$6&amp;"-"&amp;$M21&amp;"_old",Ammortamento_Finanziario!$H:$L,5,FALSE),VLOOKUP($M21,TT_Tabelle_Riferimento!$H$31:$I$50,2,FALSE))</f>
        <v>5</v>
      </c>
      <c r="AQ21" s="625">
        <f>+IFERROR(VLOOKUP(AQ$6&amp;"-"&amp;$M21&amp;"_old",Ammortamento_Finanziario!$H:$L,5,FALSE),VLOOKUP($M21,TT_Tabelle_Riferimento!$H$31:$I$50,2,FALSE))</f>
        <v>5</v>
      </c>
      <c r="AR21" s="625">
        <f>+IFERROR(VLOOKUP(AR$6&amp;"-"&amp;$M21&amp;"_old",Ammortamento_Finanziario!$H:$L,5,FALSE),VLOOKUP($M21,TT_Tabelle_Riferimento!$H$31:$I$50,2,FALSE))</f>
        <v>5</v>
      </c>
      <c r="AS21" s="625">
        <f>+IFERROR(VLOOKUP(AS$6&amp;"-"&amp;$M21&amp;"_old",Ammortamento_Finanziario!$H:$L,5,FALSE),VLOOKUP($M21,TT_Tabelle_Riferimento!$H$31:$I$50,2,FALSE))</f>
        <v>5</v>
      </c>
      <c r="AT21" s="625">
        <f>+IFERROR(VLOOKUP(AT$6&amp;"-"&amp;$M21&amp;"_old",Ammortamento_Finanziario!$H:$L,5,FALSE),VLOOKUP($M21,TT_Tabelle_Riferimento!$H$31:$I$50,2,FALSE))</f>
        <v>5</v>
      </c>
      <c r="AU21" s="625">
        <f>+IFERROR(VLOOKUP(AU$6&amp;"-"&amp;$M21&amp;"_old",Ammortamento_Finanziario!$H:$L,5,FALSE),VLOOKUP($M21,TT_Tabelle_Riferimento!$H$31:$I$50,2,FALSE))</f>
        <v>5</v>
      </c>
      <c r="AV21" s="625">
        <f>+IFERROR(VLOOKUP(AV$6&amp;"-"&amp;$M21&amp;"_old",Ammortamento_Finanziario!$H:$L,5,FALSE),VLOOKUP($M21,TT_Tabelle_Riferimento!$H$31:$I$50,2,FALSE))</f>
        <v>5</v>
      </c>
      <c r="AW21" s="625">
        <f>+IFERROR(VLOOKUP(AW$6&amp;"-"&amp;$M21&amp;"_old",Ammortamento_Finanziario!$H:$L,5,FALSE),VLOOKUP($M21,TT_Tabelle_Riferimento!$H$31:$I$50,2,FALSE))</f>
        <v>5</v>
      </c>
      <c r="AX21" s="625">
        <f>+IFERROR(VLOOKUP(AX$6&amp;"-"&amp;$M21&amp;"_old",Ammortamento_Finanziario!$H:$L,5,FALSE),VLOOKUP($M21,TT_Tabelle_Riferimento!$H$31:$I$50,2,FALSE))</f>
        <v>5</v>
      </c>
      <c r="AY21" s="905">
        <f>+IFERROR(VLOOKUP(AY$6&amp;"-"&amp;$M21&amp;"_old",Ammortamento_Finanziario!$H:$L,5,FALSE),VLOOKUP($M21,TT_Tabelle_Riferimento!$H$31:$I$50,2,FALSE))</f>
        <v>5</v>
      </c>
      <c r="AZ21" s="905">
        <f>+IFERROR(VLOOKUP(AZ$6&amp;"-"&amp;$M21&amp;"_old",Ammortamento_Finanziario!$H:$L,5,FALSE),VLOOKUP($M21,TT_Tabelle_Riferimento!$H$31:$I$50,2,FALSE))</f>
        <v>5</v>
      </c>
      <c r="BA21" s="905">
        <f>+IFERROR(VLOOKUP(BA$6&amp;"-"&amp;$M21&amp;"_old",Ammortamento_Finanziario!$H:$L,5,FALSE),VLOOKUP($M21,TT_Tabelle_Riferimento!$H$31:$I$50,2,FALSE))</f>
        <v>5</v>
      </c>
      <c r="BB21" s="905">
        <f>+IFERROR(VLOOKUP(BB$6&amp;"-"&amp;$M21&amp;"_old",Ammortamento_Finanziario!$H:$L,5,FALSE),VLOOKUP($M21,TT_Tabelle_Riferimento!$H$31:$I$50,2,FALSE))</f>
        <v>5</v>
      </c>
      <c r="BC21" s="905">
        <f>+IFERROR(VLOOKUP(BC$6&amp;"-"&amp;$M21&amp;"_old",Ammortamento_Finanziario!$H:$L,5,FALSE),VLOOKUP($M21,TT_Tabelle_Riferimento!$H$31:$I$50,2,FALSE))</f>
        <v>5</v>
      </c>
      <c r="BD21" s="905">
        <f>+IFERROR(VLOOKUP(BD$6&amp;"-"&amp;$M21&amp;"_old",Ammortamento_Finanziario!$H:$L,5,FALSE),VLOOKUP($M21,TT_Tabelle_Riferimento!$H$31:$I$50,2,FALSE))</f>
        <v>5</v>
      </c>
      <c r="BE21" s="905">
        <f>+IFERROR(VLOOKUP(BE$6&amp;"-"&amp;$M21&amp;"_old",Ammortamento_Finanziario!$H:$L,5,FALSE),VLOOKUP($M21,TT_Tabelle_Riferimento!$H$31:$I$50,2,FALSE))</f>
        <v>5</v>
      </c>
      <c r="BF21" s="905">
        <f>+IFERROR(VLOOKUP(BF$6&amp;"-"&amp;$M21&amp;"_old",Ammortamento_Finanziario!$H:$L,5,FALSE),VLOOKUP($M21,TT_Tabelle_Riferimento!$H$31:$I$50,2,FALSE))</f>
        <v>5</v>
      </c>
      <c r="BG21" s="1740">
        <f>+IFERROR(VLOOKUP(BG$6&amp;"-"&amp;$M21&amp;"_old",Ammortamento_Finanziario!$H:$L,5,FALSE),VLOOKUP($M21,TT_Tabelle_Riferimento!$H$31:$I$50,2,FALSE))</f>
        <v>5</v>
      </c>
      <c r="BH21" s="1740">
        <f>+IFERROR(VLOOKUP(BH$6&amp;"-"&amp;$M21&amp;"_old",Ammortamento_Finanziario!$H:$L,5,FALSE),VLOOKUP($M21,TT_Tabelle_Riferimento!$H$31:$I$50,2,FALSE))</f>
        <v>5</v>
      </c>
      <c r="BI21" s="1749">
        <f>+IFERROR(VLOOKUP(BI$6&amp;"-"&amp;$M21&amp;"_old",Ammortamento_Finanziario!$H:$L,5,FALSE),VLOOKUP($M21,TT_Tabelle_Riferimento!$H$31:$I$50,2,FALSE))</f>
        <v>5</v>
      </c>
      <c r="BJ21" s="1749">
        <f>+IFERROR(VLOOKUP(BJ$6&amp;"-"&amp;$M21&amp;"_old",Ammortamento_Finanziario!$H:$L,5,FALSE),VLOOKUP($M21,TT_Tabelle_Riferimento!$H$31:$I$50,2,FALSE))</f>
        <v>5</v>
      </c>
      <c r="BK21" s="1749">
        <f>+IFERROR(VLOOKUP(BK$6&amp;"-"&amp;$M21&amp;"_old",Ammortamento_Finanziario!$H:$L,5,FALSE),VLOOKUP($M21,TT_Tabelle_Riferimento!$H$31:$I$50,2,FALSE))</f>
        <v>5</v>
      </c>
      <c r="BL21" s="1749">
        <f>+IFERROR(VLOOKUP(BL$6&amp;"-"&amp;$M21&amp;"_old",Ammortamento_Finanziario!$H:$L,5,FALSE),VLOOKUP($M21,TT_Tabelle_Riferimento!$H$31:$I$50,2,FALSE))</f>
        <v>5</v>
      </c>
      <c r="BM21" s="1749">
        <f>+IFERROR(VLOOKUP(BM$6&amp;"-"&amp;$M21&amp;"_old",Ammortamento_Finanziario!$H:$L,5,FALSE),VLOOKUP($M21,TT_Tabelle_Riferimento!$H$31:$I$50,2,FALSE))</f>
        <v>5</v>
      </c>
      <c r="BN21" s="1749">
        <f>+IFERROR(VLOOKUP(BN$6&amp;"-"&amp;$M21&amp;"_old",Ammortamento_Finanziario!$H:$L,5,FALSE),VLOOKUP($M21,TT_Tabelle_Riferimento!$H$31:$I$50,2,FALSE))</f>
        <v>5</v>
      </c>
      <c r="BO21" s="625">
        <f>+IFERROR(VLOOKUP(BO$6&amp;"-"&amp;$M21&amp;"_old",Ammortamento_Finanziario!$H:$L,5,FALSE),VLOOKUP($M21,TT_Tabelle_Riferimento!$H$31:$I$50,2,FALSE))</f>
        <v>5</v>
      </c>
      <c r="BP21" s="625">
        <f>+IFERROR(VLOOKUP(BP$6&amp;"-"&amp;$M21&amp;"_old",Ammortamento_Finanziario!$H:$L,5,FALSE),VLOOKUP($M21,TT_Tabelle_Riferimento!$H$31:$I$50,2,FALSE))</f>
        <v>5</v>
      </c>
      <c r="BQ21" s="625">
        <f>+IFERROR(VLOOKUP(BQ$6&amp;"-"&amp;$M21&amp;"_old",Ammortamento_Finanziario!$H:$L,5,FALSE),VLOOKUP($M21,TT_Tabelle_Riferimento!$H$31:$I$50,2,FALSE))</f>
        <v>5</v>
      </c>
      <c r="BR21" s="625">
        <f>+IFERROR(VLOOKUP(BR$6&amp;"-"&amp;$M21&amp;"_old",Ammortamento_Finanziario!$H:$L,5,FALSE),VLOOKUP($M21,TT_Tabelle_Riferimento!$H$31:$I$50,2,FALSE))</f>
        <v>5</v>
      </c>
      <c r="BS21" s="625">
        <f>+IFERROR(VLOOKUP(BS$6&amp;"-"&amp;$M21&amp;"_old",Ammortamento_Finanziario!$H:$L,5,FALSE),VLOOKUP($M21,TT_Tabelle_Riferimento!$H$31:$I$50,2,FALSE))</f>
        <v>5</v>
      </c>
      <c r="BT21" s="625">
        <f>+IFERROR(VLOOKUP(BT$6&amp;"-"&amp;$M21&amp;"_old",Ammortamento_Finanziario!$H:$L,5,FALSE),VLOOKUP($M21,TT_Tabelle_Riferimento!$H$31:$I$50,2,FALSE))</f>
        <v>5</v>
      </c>
      <c r="BU21" s="625">
        <f>+IFERROR(VLOOKUP(BU$6&amp;"-"&amp;$M21&amp;"_old",Ammortamento_Finanziario!$H:$L,5,FALSE),VLOOKUP($M21,TT_Tabelle_Riferimento!$H$31:$I$50,2,FALSE))</f>
        <v>5</v>
      </c>
      <c r="BV21" s="625">
        <f>+IFERROR(VLOOKUP(BV$6&amp;"-"&amp;$M21&amp;"_old",Ammortamento_Finanziario!$H:$L,5,FALSE),VLOOKUP($M21,TT_Tabelle_Riferimento!$H$31:$I$50,2,FALSE))</f>
        <v>5</v>
      </c>
      <c r="BW21" s="625">
        <f>+IFERROR(VLOOKUP(BW$6&amp;"-"&amp;$M21&amp;"_old",Ammortamento_Finanziario!$H:$L,5,FALSE),VLOOKUP($M21,TT_Tabelle_Riferimento!$H$31:$I$50,2,FALSE))</f>
        <v>5</v>
      </c>
      <c r="BX21" s="625">
        <f>+IFERROR(VLOOKUP(BX$6&amp;"-"&amp;$M21&amp;"_old",Ammortamento_Finanziario!$H:$L,5,FALSE),VLOOKUP($M21,TT_Tabelle_Riferimento!$H$31:$I$50,2,FALSE))</f>
        <v>5</v>
      </c>
      <c r="BY21" s="625">
        <f>+IFERROR(VLOOKUP(BY$6&amp;"-"&amp;$M21&amp;"_old",Ammortamento_Finanziario!$H:$L,5,FALSE),VLOOKUP($M21,TT_Tabelle_Riferimento!$H$31:$I$50,2,FALSE))</f>
        <v>5</v>
      </c>
      <c r="BZ21" s="625">
        <f>+IFERROR(VLOOKUP(BZ$6&amp;"-"&amp;$M21&amp;"_old",Ammortamento_Finanziario!$H:$L,5,FALSE),VLOOKUP($M21,TT_Tabelle_Riferimento!$H$31:$I$50,2,FALSE))</f>
        <v>5</v>
      </c>
      <c r="CA21" s="625">
        <f>+IFERROR(VLOOKUP(CA$6&amp;"-"&amp;$M21&amp;"_old",Ammortamento_Finanziario!$H:$L,5,FALSE),VLOOKUP($M21,TT_Tabelle_Riferimento!$H$31:$I$50,2,FALSE))</f>
        <v>5</v>
      </c>
      <c r="CB21" s="625">
        <f>+IFERROR(VLOOKUP(CB$6&amp;"-"&amp;$M21&amp;"_old",Ammortamento_Finanziario!$H:$L,5,FALSE),VLOOKUP($M21,TT_Tabelle_Riferimento!$H$31:$I$50,2,FALSE))</f>
        <v>5</v>
      </c>
      <c r="CC21" s="625">
        <f>+IFERROR(VLOOKUP(CC$6&amp;"-"&amp;$M21&amp;"_old",Ammortamento_Finanziario!$H:$L,5,FALSE),VLOOKUP($M21,TT_Tabelle_Riferimento!$H$31:$I$50,2,FALSE))</f>
        <v>5</v>
      </c>
      <c r="CD21" s="625">
        <f>+IFERROR(VLOOKUP(CD$6&amp;"-"&amp;$M21&amp;"_old",Ammortamento_Finanziario!$H:$L,5,FALSE),VLOOKUP($M21,TT_Tabelle_Riferimento!$H$31:$I$50,2,FALSE))</f>
        <v>5</v>
      </c>
      <c r="CE21" s="625">
        <f>+IFERROR(VLOOKUP(CE$6&amp;"-"&amp;$M21&amp;"_old",Ammortamento_Finanziario!$H:$L,5,FALSE),VLOOKUP($M21,TT_Tabelle_Riferimento!$H$31:$I$50,2,FALSE))</f>
        <v>5</v>
      </c>
      <c r="CF21" s="625">
        <f>+IFERROR(VLOOKUP(CF$6&amp;"-"&amp;$M21&amp;"_old",Ammortamento_Finanziario!$H:$L,5,FALSE),VLOOKUP($M21,TT_Tabelle_Riferimento!$H$31:$I$50,2,FALSE))</f>
        <v>5</v>
      </c>
      <c r="CG21" s="625">
        <f>+IFERROR(VLOOKUP(CG$6&amp;"-"&amp;$M21&amp;"_old",Ammortamento_Finanziario!$H:$L,5,FALSE),VLOOKUP($M21,TT_Tabelle_Riferimento!$H$31:$I$50,2,FALSE))</f>
        <v>5</v>
      </c>
      <c r="CH21" s="905">
        <f>+IFERROR(VLOOKUP(CH$6&amp;"-"&amp;$M21&amp;"_old",Ammortamento_Finanziario!$H:$L,5,FALSE),VLOOKUP($M21,TT_Tabelle_Riferimento!$H$31:$I$50,2,FALSE))</f>
        <v>5</v>
      </c>
      <c r="CI21" s="905">
        <f>+IFERROR(VLOOKUP(CI$6&amp;"-"&amp;$M21&amp;"_old",Ammortamento_Finanziario!$H:$L,5,FALSE),VLOOKUP($M21,TT_Tabelle_Riferimento!$H$31:$I$50,2,FALSE))</f>
        <v>5</v>
      </c>
      <c r="CJ21" s="905">
        <f>+IFERROR(VLOOKUP(CJ$6&amp;"-"&amp;$M21&amp;"_old",Ammortamento_Finanziario!$H:$L,5,FALSE),VLOOKUP($M21,TT_Tabelle_Riferimento!$H$31:$I$50,2,FALSE))</f>
        <v>5</v>
      </c>
      <c r="CK21" s="905">
        <f>+IFERROR(VLOOKUP(CK$6&amp;"-"&amp;$M21&amp;"_old",Ammortamento_Finanziario!$H:$L,5,FALSE),VLOOKUP($M21,TT_Tabelle_Riferimento!$H$31:$I$50,2,FALSE))</f>
        <v>5</v>
      </c>
      <c r="CL21" s="905">
        <f>+IFERROR(VLOOKUP(CL$6&amp;"-"&amp;$M21&amp;"_old",Ammortamento_Finanziario!$H:$L,5,FALSE),VLOOKUP($M21,TT_Tabelle_Riferimento!$H$31:$I$50,2,FALSE))</f>
        <v>5</v>
      </c>
      <c r="CM21" s="905">
        <f>+IFERROR(VLOOKUP(CM$6&amp;"-"&amp;$M21&amp;"_old",Ammortamento_Finanziario!$H:$L,5,FALSE),VLOOKUP($M21,TT_Tabelle_Riferimento!$H$31:$I$50,2,FALSE))</f>
        <v>5</v>
      </c>
      <c r="CN21" s="905">
        <f>+IFERROR(VLOOKUP(CN$6&amp;"-"&amp;$M21&amp;"_old",Ammortamento_Finanziario!$H:$L,5,FALSE),VLOOKUP($M21,TT_Tabelle_Riferimento!$H$31:$I$50,2,FALSE))</f>
        <v>5</v>
      </c>
      <c r="CO21" s="1740">
        <f>+IFERROR(VLOOKUP(CO$6&amp;"-"&amp;$M21&amp;"_old",Ammortamento_Finanziario!$H:$L,5,FALSE),VLOOKUP($M21,TT_Tabelle_Riferimento!$H$31:$I$50,2,FALSE))</f>
        <v>5</v>
      </c>
      <c r="CP21" s="1740">
        <f>+IFERROR(VLOOKUP(CP$6&amp;"-"&amp;$M21&amp;"_old",Ammortamento_Finanziario!$H:$L,5,FALSE),VLOOKUP($M21,TT_Tabelle_Riferimento!$H$31:$I$50,2,FALSE))</f>
        <v>5</v>
      </c>
      <c r="CQ21" s="1749">
        <f>+IFERROR(VLOOKUP(CQ$6&amp;"-"&amp;$M21&amp;"_old",Ammortamento_Finanziario!$H:$L,5,FALSE),VLOOKUP($M21,TT_Tabelle_Riferimento!$H$31:$I$50,2,FALSE))</f>
        <v>5</v>
      </c>
      <c r="CR21" s="1749">
        <f>+IFERROR(VLOOKUP(CR$6&amp;"-"&amp;$M21&amp;"_old",Ammortamento_Finanziario!$H:$L,5,FALSE),VLOOKUP($M21,TT_Tabelle_Riferimento!$H$31:$I$50,2,FALSE))</f>
        <v>5</v>
      </c>
      <c r="CS21" s="1749">
        <f>+IFERROR(VLOOKUP(CS$6&amp;"-"&amp;$M21&amp;"_old",Ammortamento_Finanziario!$H:$L,5,FALSE),VLOOKUP($M21,TT_Tabelle_Riferimento!$H$31:$I$50,2,FALSE))</f>
        <v>5</v>
      </c>
      <c r="CT21" s="1749">
        <f>+IFERROR(VLOOKUP(CT$6&amp;"-"&amp;$M21&amp;"_old",Ammortamento_Finanziario!$H:$L,5,FALSE),VLOOKUP($M21,TT_Tabelle_Riferimento!$H$31:$I$50,2,FALSE))</f>
        <v>5</v>
      </c>
      <c r="CU21" s="1749">
        <f>+IFERROR(VLOOKUP(CU$6&amp;"-"&amp;$M21&amp;"_old",Ammortamento_Finanziario!$H:$L,5,FALSE),VLOOKUP($M21,TT_Tabelle_Riferimento!$H$31:$I$50,2,FALSE))</f>
        <v>5</v>
      </c>
      <c r="CV21" s="1749">
        <f>+IFERROR(VLOOKUP(CV$6&amp;"-"&amp;$M21&amp;"_old",Ammortamento_Finanziario!$H:$L,5,FALSE),VLOOKUP($M21,TT_Tabelle_Riferimento!$H$31:$I$50,2,FALSE))</f>
        <v>5</v>
      </c>
      <c r="CW21" s="625">
        <f>+IFERROR(VLOOKUP(CW$6&amp;"-"&amp;$M21&amp;"_old",Ammortamento_Finanziario!$H:$L,5,FALSE),VLOOKUP($M21,TT_Tabelle_Riferimento!$H$31:$I$50,2,FALSE))</f>
        <v>5</v>
      </c>
      <c r="CX21" s="625">
        <f>+IFERROR(VLOOKUP(CX$6&amp;"-"&amp;$M21&amp;"_old",Ammortamento_Finanziario!$H:$L,5,FALSE),VLOOKUP($M21,TT_Tabelle_Riferimento!$H$31:$I$50,2,FALSE))</f>
        <v>5</v>
      </c>
      <c r="CY21" s="625">
        <f>+IFERROR(VLOOKUP(CY$6&amp;"-"&amp;$M21&amp;"_old",Ammortamento_Finanziario!$H:$L,5,FALSE),VLOOKUP($M21,TT_Tabelle_Riferimento!$H$31:$I$50,2,FALSE))</f>
        <v>5</v>
      </c>
      <c r="CZ21" s="625">
        <f>+IFERROR(VLOOKUP(CZ$6&amp;"-"&amp;$M21&amp;"_old",Ammortamento_Finanziario!$H:$L,5,FALSE),VLOOKUP($M21,TT_Tabelle_Riferimento!$H$31:$I$50,2,FALSE))</f>
        <v>5</v>
      </c>
      <c r="DA21" s="625">
        <f>+IFERROR(VLOOKUP(DA$6&amp;"-"&amp;$M21&amp;"_old",Ammortamento_Finanziario!$H:$L,5,FALSE),VLOOKUP($M21,TT_Tabelle_Riferimento!$H$31:$I$50,2,FALSE))</f>
        <v>5</v>
      </c>
      <c r="DB21" s="625">
        <f>+IFERROR(VLOOKUP(DB$6&amp;"-"&amp;$M21&amp;"_old",Ammortamento_Finanziario!$H:$L,5,FALSE),VLOOKUP($M21,TT_Tabelle_Riferimento!$H$31:$I$50,2,FALSE))</f>
        <v>5</v>
      </c>
      <c r="DC21" s="625">
        <f>+IFERROR(VLOOKUP(DC$6&amp;"-"&amp;$M21&amp;"_old",Ammortamento_Finanziario!$H:$L,5,FALSE),VLOOKUP($M21,TT_Tabelle_Riferimento!$H$31:$I$50,2,FALSE))</f>
        <v>5</v>
      </c>
      <c r="DD21" s="625">
        <f>+IFERROR(VLOOKUP(DD$6&amp;"-"&amp;$M21&amp;"_old",Ammortamento_Finanziario!$H:$L,5,FALSE),VLOOKUP($M21,TT_Tabelle_Riferimento!$H$31:$I$50,2,FALSE))</f>
        <v>5</v>
      </c>
      <c r="DE21" s="625">
        <f>+IFERROR(VLOOKUP(DE$6&amp;"-"&amp;$M21&amp;"_old",Ammortamento_Finanziario!$H:$L,5,FALSE),VLOOKUP($M21,TT_Tabelle_Riferimento!$H$31:$I$50,2,FALSE))</f>
        <v>5</v>
      </c>
      <c r="DF21" s="625">
        <f>+IFERROR(VLOOKUP(DF$6&amp;"-"&amp;$M21&amp;"_old",Ammortamento_Finanziario!$H:$L,5,FALSE),VLOOKUP($M21,TT_Tabelle_Riferimento!$H$31:$I$50,2,FALSE))</f>
        <v>5</v>
      </c>
      <c r="DG21" s="625">
        <f>+IFERROR(VLOOKUP(DG$6&amp;"-"&amp;$M21&amp;"_old",Ammortamento_Finanziario!$H:$L,5,FALSE),VLOOKUP($M21,TT_Tabelle_Riferimento!$H$31:$I$50,2,FALSE))</f>
        <v>5</v>
      </c>
      <c r="DH21" s="625">
        <f>+IFERROR(VLOOKUP(DH$6&amp;"-"&amp;$M21&amp;"_old",Ammortamento_Finanziario!$H:$L,5,FALSE),VLOOKUP($M21,TT_Tabelle_Riferimento!$H$31:$I$50,2,FALSE))</f>
        <v>5</v>
      </c>
      <c r="DI21" s="625">
        <f>+IFERROR(VLOOKUP(DI$6&amp;"-"&amp;$M21&amp;"_old",Ammortamento_Finanziario!$H:$L,5,FALSE),VLOOKUP($M21,TT_Tabelle_Riferimento!$H$31:$I$50,2,FALSE))</f>
        <v>5</v>
      </c>
      <c r="DJ21" s="625">
        <f>+IFERROR(VLOOKUP(DJ$6&amp;"-"&amp;$M21&amp;"_old",Ammortamento_Finanziario!$H:$L,5,FALSE),VLOOKUP($M21,TT_Tabelle_Riferimento!$H$31:$I$50,2,FALSE))</f>
        <v>5</v>
      </c>
      <c r="DK21" s="625">
        <f>+IFERROR(VLOOKUP(DK$6&amp;"-"&amp;$M21&amp;"_old",Ammortamento_Finanziario!$H:$L,5,FALSE),VLOOKUP($M21,TT_Tabelle_Riferimento!$H$31:$I$50,2,FALSE))</f>
        <v>5</v>
      </c>
      <c r="DL21" s="625">
        <f>+IFERROR(VLOOKUP(DL$6&amp;"-"&amp;$M21&amp;"_old",Ammortamento_Finanziario!$H:$L,5,FALSE),VLOOKUP($M21,TT_Tabelle_Riferimento!$H$31:$I$50,2,FALSE))</f>
        <v>5</v>
      </c>
      <c r="DM21" s="625">
        <f>+IFERROR(VLOOKUP(DM$6&amp;"-"&amp;$M21&amp;"_old",Ammortamento_Finanziario!$H:$L,5,FALSE),VLOOKUP($M21,TT_Tabelle_Riferimento!$H$31:$I$50,2,FALSE))</f>
        <v>5</v>
      </c>
      <c r="DN21" s="625">
        <f>+IFERROR(VLOOKUP(DN$6&amp;"-"&amp;$M21&amp;"_old",Ammortamento_Finanziario!$H:$L,5,FALSE),VLOOKUP($M21,TT_Tabelle_Riferimento!$H$31:$I$50,2,FALSE))</f>
        <v>5</v>
      </c>
      <c r="DO21" s="625">
        <f>+IFERROR(VLOOKUP(DO$6&amp;"-"&amp;$M21&amp;"_old",Ammortamento_Finanziario!$H:$L,5,FALSE),VLOOKUP($M21,TT_Tabelle_Riferimento!$H$31:$I$50,2,FALSE))</f>
        <v>5</v>
      </c>
      <c r="DP21" s="636">
        <f>+IFERROR(VLOOKUP(DP$6&amp;"-"&amp;$M21&amp;"_old",Ammortamento_Finanziario!$H:$L,5,FALSE),VLOOKUP($M21,TT_Tabelle_Riferimento!$H$31:$I$50,2,FALSE))</f>
        <v>5</v>
      </c>
      <c r="DQ21" s="636">
        <f>+IFERROR(VLOOKUP(DQ$6&amp;"-"&amp;$M21&amp;"_old",Ammortamento_Finanziario!$H:$L,5,FALSE),VLOOKUP($M21,TT_Tabelle_Riferimento!$H$31:$I$50,2,FALSE))</f>
        <v>5</v>
      </c>
      <c r="DR21" s="636">
        <f>+IFERROR(VLOOKUP(DR$6&amp;"-"&amp;$M21&amp;"_old",Ammortamento_Finanziario!$H:$L,5,FALSE),VLOOKUP($M21,TT_Tabelle_Riferimento!$H$31:$I$50,2,FALSE))</f>
        <v>5</v>
      </c>
      <c r="DS21" s="636">
        <f>+IFERROR(VLOOKUP(DS$6&amp;"-"&amp;$M21&amp;"_old",Ammortamento_Finanziario!$H:$L,5,FALSE),VLOOKUP($M21,TT_Tabelle_Riferimento!$H$31:$I$50,2,FALSE))</f>
        <v>5</v>
      </c>
      <c r="DT21" s="636">
        <f>+IFERROR(VLOOKUP(DT$6&amp;"-"&amp;$M21&amp;"_old",Ammortamento_Finanziario!$H:$L,5,FALSE),VLOOKUP($M21,TT_Tabelle_Riferimento!$H$31:$I$50,2,FALSE))</f>
        <v>5</v>
      </c>
      <c r="DU21" s="636">
        <f>+IFERROR(VLOOKUP(DU$6&amp;"-"&amp;$M21&amp;"_old",Ammortamento_Finanziario!$H:$L,5,FALSE),VLOOKUP($M21,TT_Tabelle_Riferimento!$H$31:$I$50,2,FALSE))</f>
        <v>5</v>
      </c>
      <c r="DV21" s="1742">
        <f>+IFERROR(VLOOKUP(DV$6&amp;"-"&amp;$M21&amp;"_old",Ammortamento_Finanziario!$H:$L,5,FALSE),VLOOKUP($M21,TT_Tabelle_Riferimento!$H$31:$I$50,2,FALSE))</f>
        <v>5</v>
      </c>
      <c r="DW21" s="1742">
        <f>+IFERROR(VLOOKUP(DW$6&amp;"-"&amp;$M21&amp;"_old",Ammortamento_Finanziario!$H:$L,5,FALSE),VLOOKUP($M21,TT_Tabelle_Riferimento!$H$31:$I$50,2,FALSE))</f>
        <v>5</v>
      </c>
      <c r="DX21" s="1750">
        <f>+IFERROR(VLOOKUP(DX$6&amp;"-"&amp;$M21&amp;"_old",Ammortamento_Finanziario!$H:$L,5,FALSE),VLOOKUP($M21,TT_Tabelle_Riferimento!$H$31:$I$50,2,FALSE))</f>
        <v>5</v>
      </c>
      <c r="DY21" s="1750">
        <f>+IFERROR(VLOOKUP(DY$6&amp;"-"&amp;$M21&amp;"_old",Ammortamento_Finanziario!$H:$L,5,FALSE),VLOOKUP($M21,TT_Tabelle_Riferimento!$H$31:$I$50,2,FALSE))</f>
        <v>5</v>
      </c>
      <c r="DZ21" s="1750">
        <f>+IFERROR(VLOOKUP(DZ$6&amp;"-"&amp;$M21&amp;"_old",Ammortamento_Finanziario!$H:$L,5,FALSE),VLOOKUP($M21,TT_Tabelle_Riferimento!$H$31:$I$50,2,FALSE))</f>
        <v>5</v>
      </c>
      <c r="EA21" s="1750">
        <f>+IFERROR(VLOOKUP(EA$6&amp;"-"&amp;$M21&amp;"_old",Ammortamento_Finanziario!$H:$L,5,FALSE),VLOOKUP($M21,TT_Tabelle_Riferimento!$H$31:$I$50,2,FALSE))</f>
        <v>5</v>
      </c>
      <c r="EB21" s="1750">
        <f>+IFERROR(VLOOKUP(EB$6&amp;"-"&amp;$M21&amp;"_old",Ammortamento_Finanziario!$H:$L,5,FALSE),VLOOKUP($M21,TT_Tabelle_Riferimento!$H$31:$I$50,2,FALSE))</f>
        <v>5</v>
      </c>
      <c r="EC21" s="1750">
        <f>+IFERROR(VLOOKUP(EC$6&amp;"-"&amp;$M21&amp;"_old",Ammortamento_Finanziario!$H:$L,5,FALSE),VLOOKUP($M21,TT_Tabelle_Riferimento!$H$31:$I$50,2,FALSE))</f>
        <v>5</v>
      </c>
      <c r="ED21" s="636">
        <f>+IFERROR(VLOOKUP(ED$6&amp;"-"&amp;$M21&amp;"_old",Ammortamento_Finanziario!$H:$L,5,FALSE),VLOOKUP($M21,TT_Tabelle_Riferimento!$H$31:$I$50,2,FALSE))</f>
        <v>5</v>
      </c>
      <c r="EE21" s="636">
        <f>+IFERROR(VLOOKUP(EE$6&amp;"-"&amp;$M21&amp;"_old",Ammortamento_Finanziario!$H:$L,5,FALSE),VLOOKUP($M21,TT_Tabelle_Riferimento!$H$31:$I$50,2,FALSE))</f>
        <v>5</v>
      </c>
      <c r="EF21" s="636">
        <f>+IFERROR(VLOOKUP(EF$6&amp;"-"&amp;$M21&amp;"_old",Ammortamento_Finanziario!$H:$L,5,FALSE),VLOOKUP($M21,TT_Tabelle_Riferimento!$H$31:$I$50,2,FALSE))</f>
        <v>5</v>
      </c>
      <c r="EG21" s="636">
        <f>+IFERROR(VLOOKUP(EG$6&amp;"-"&amp;$M21&amp;"_old",Ammortamento_Finanziario!$H:$L,5,FALSE),VLOOKUP($M21,TT_Tabelle_Riferimento!$H$31:$I$50,2,FALSE))</f>
        <v>5</v>
      </c>
      <c r="EH21" s="636">
        <f>+IFERROR(VLOOKUP(EH$6&amp;"-"&amp;$M21&amp;"_old",Ammortamento_Finanziario!$H:$L,5,FALSE),VLOOKUP($M21,TT_Tabelle_Riferimento!$H$31:$I$50,2,FALSE))</f>
        <v>5</v>
      </c>
      <c r="EI21" s="636">
        <f>+IFERROR(VLOOKUP(EI$6&amp;"-"&amp;$M21&amp;"_old",Ammortamento_Finanziario!$H:$L,5,FALSE),VLOOKUP($M21,TT_Tabelle_Riferimento!$H$31:$I$50,2,FALSE))</f>
        <v>5</v>
      </c>
      <c r="EJ21" s="636">
        <f>+IFERROR(VLOOKUP(EJ$6&amp;"-"&amp;$M21&amp;"_old",Ammortamento_Finanziario!$H:$L,5,FALSE),VLOOKUP($M21,TT_Tabelle_Riferimento!$H$31:$I$50,2,FALSE))</f>
        <v>5</v>
      </c>
      <c r="EK21" s="636">
        <f>+IFERROR(VLOOKUP(EK$6&amp;"-"&amp;$M21&amp;"_old",Ammortamento_Finanziario!$H:$L,5,FALSE),VLOOKUP($M21,TT_Tabelle_Riferimento!$H$31:$I$50,2,FALSE))</f>
        <v>5</v>
      </c>
      <c r="EL21" s="636">
        <f>+IFERROR(VLOOKUP(EL$6&amp;"-"&amp;$M21&amp;"_old",Ammortamento_Finanziario!$H:$L,5,FALSE),VLOOKUP($M21,TT_Tabelle_Riferimento!$H$31:$I$50,2,FALSE))</f>
        <v>5</v>
      </c>
      <c r="EM21" s="636">
        <f>+IFERROR(VLOOKUP(EM$6&amp;"-"&amp;$M21&amp;"_old",Ammortamento_Finanziario!$H:$L,5,FALSE),VLOOKUP($M21,TT_Tabelle_Riferimento!$H$31:$I$50,2,FALSE))</f>
        <v>5</v>
      </c>
      <c r="EN21" s="636">
        <f>+IFERROR(VLOOKUP(EN$6&amp;"-"&amp;$M21&amp;"_old",Ammortamento_Finanziario!$H:$L,5,FALSE),VLOOKUP($M21,TT_Tabelle_Riferimento!$H$31:$I$50,2,FALSE))</f>
        <v>5</v>
      </c>
      <c r="EO21" s="636">
        <f>+IFERROR(VLOOKUP(EO$6&amp;"-"&amp;$M21&amp;"_old",Ammortamento_Finanziario!$H:$L,5,FALSE),VLOOKUP($M21,TT_Tabelle_Riferimento!$H$31:$I$50,2,FALSE))</f>
        <v>5</v>
      </c>
      <c r="EP21" s="636">
        <f>+IFERROR(VLOOKUP(EP$6&amp;"-"&amp;$M21&amp;"_old",Ammortamento_Finanziario!$H:$L,5,FALSE),VLOOKUP($M21,TT_Tabelle_Riferimento!$H$31:$I$50,2,FALSE))</f>
        <v>5</v>
      </c>
      <c r="EQ21" s="636">
        <f>+IFERROR(VLOOKUP(EQ$6&amp;"-"&amp;$M21&amp;"_old",Ammortamento_Finanziario!$H:$L,5,FALSE),VLOOKUP($M21,TT_Tabelle_Riferimento!$H$31:$I$50,2,FALSE))</f>
        <v>5</v>
      </c>
      <c r="ER21" s="636">
        <f>+IFERROR(VLOOKUP(ER$6&amp;"-"&amp;$M21&amp;"_old",Ammortamento_Finanziario!$H:$L,5,FALSE),VLOOKUP($M21,TT_Tabelle_Riferimento!$H$31:$I$50,2,FALSE))</f>
        <v>5</v>
      </c>
      <c r="ES21" s="636">
        <f>+IFERROR(VLOOKUP(ES$6&amp;"-"&amp;$M21&amp;"_old",Ammortamento_Finanziario!$H:$L,5,FALSE),VLOOKUP($M21,TT_Tabelle_Riferimento!$H$31:$I$50,2,FALSE))</f>
        <v>5</v>
      </c>
      <c r="ET21" s="636">
        <f>+IFERROR(VLOOKUP(ET$6&amp;"-"&amp;$M21&amp;"_old",Ammortamento_Finanziario!$H:$L,5,FALSE),VLOOKUP($M21,TT_Tabelle_Riferimento!$H$31:$I$50,2,FALSE))</f>
        <v>5</v>
      </c>
      <c r="EU21" s="636">
        <f>+IFERROR(VLOOKUP(EU$6&amp;"-"&amp;$M21&amp;"_old",Ammortamento_Finanziario!$H:$L,5,FALSE),VLOOKUP($M21,TT_Tabelle_Riferimento!$H$31:$I$50,2,FALSE))</f>
        <v>5</v>
      </c>
      <c r="EV21" s="636">
        <f>+IFERROR(VLOOKUP(EV$6&amp;"-"&amp;$M21&amp;"_old",Ammortamento_Finanziario!$H:$L,5,FALSE),VLOOKUP($M21,TT_Tabelle_Riferimento!$H$31:$I$50,2,FALSE))</f>
        <v>5</v>
      </c>
      <c r="EW21" s="1048">
        <f>+IFERROR(VLOOKUP(EW$6&amp;"-"&amp;$M21&amp;"_old",Ammortamento_Finanziario!$H:$L,5,FALSE),VLOOKUP($M21,TT_Tabelle_Riferimento!$H$31:$I$50,2,FALSE))</f>
        <v>5</v>
      </c>
      <c r="EX21" s="1048">
        <f>+IFERROR(VLOOKUP(EX$6&amp;"-"&amp;$M21&amp;"_old",Ammortamento_Finanziario!$H:$L,5,FALSE),VLOOKUP($M21,TT_Tabelle_Riferimento!$H$31:$I$50,2,FALSE))</f>
        <v>5</v>
      </c>
      <c r="EY21" s="1048">
        <f>+IFERROR(VLOOKUP(EY$6&amp;"-"&amp;$M21&amp;"_old",Ammortamento_Finanziario!$H:$L,5,FALSE),VLOOKUP($M21,TT_Tabelle_Riferimento!$H$31:$I$50,2,FALSE))</f>
        <v>5</v>
      </c>
      <c r="EZ21" s="1048">
        <f>+IFERROR(VLOOKUP(EZ$6&amp;"-"&amp;$M21&amp;"_old",Ammortamento_Finanziario!$H:$L,5,FALSE),VLOOKUP($M21,TT_Tabelle_Riferimento!$H$31:$I$50,2,FALSE))</f>
        <v>5</v>
      </c>
      <c r="FA21" s="1048">
        <f>+IFERROR(VLOOKUP(FA$6&amp;"-"&amp;$M21&amp;"_old",Ammortamento_Finanziario!$H:$L,5,FALSE),VLOOKUP($M21,TT_Tabelle_Riferimento!$H$31:$I$50,2,FALSE))</f>
        <v>5</v>
      </c>
      <c r="FB21" s="1743">
        <f>+IFERROR(VLOOKUP(FB$6&amp;"-"&amp;$M21&amp;"_old",Ammortamento_Finanziario!$H:$L,5,FALSE),VLOOKUP($M21,TT_Tabelle_Riferimento!$H$31:$I$50,2,FALSE))</f>
        <v>5</v>
      </c>
      <c r="FC21" s="1743">
        <f>+IFERROR(VLOOKUP(FC$6&amp;"-"&amp;$M21&amp;"_old",Ammortamento_Finanziario!$H:$L,5,FALSE),VLOOKUP($M21,TT_Tabelle_Riferimento!$H$31:$I$50,2,FALSE))</f>
        <v>5</v>
      </c>
      <c r="FD21" s="1751">
        <f>+IFERROR(VLOOKUP(FD$6&amp;"-"&amp;$M21&amp;"_old",Ammortamento_Finanziario!$H:$L,5,FALSE),VLOOKUP($M21,TT_Tabelle_Riferimento!$H$31:$I$50,2,FALSE))</f>
        <v>5</v>
      </c>
      <c r="FE21" s="1751">
        <f>+IFERROR(VLOOKUP(FE$6&amp;"-"&amp;$M21&amp;"_old",Ammortamento_Finanziario!$H:$L,5,FALSE),VLOOKUP($M21,TT_Tabelle_Riferimento!$H$31:$I$50,2,FALSE))</f>
        <v>5</v>
      </c>
      <c r="FF21" s="1751">
        <f>+IFERROR(VLOOKUP(FF$6&amp;"-"&amp;$M21&amp;"_old",Ammortamento_Finanziario!$H:$L,5,FALSE),VLOOKUP($M21,TT_Tabelle_Riferimento!$H$31:$I$50,2,FALSE))</f>
        <v>5</v>
      </c>
      <c r="FG21" s="1751">
        <f>+IFERROR(VLOOKUP(FG$6&amp;"-"&amp;$M21&amp;"_old",Ammortamento_Finanziario!$H:$L,5,FALSE),VLOOKUP($M21,TT_Tabelle_Riferimento!$H$31:$I$50,2,FALSE))</f>
        <v>5</v>
      </c>
      <c r="FH21" s="1751">
        <f>+IFERROR(VLOOKUP(FH$6&amp;"-"&amp;$M21&amp;"_old",Ammortamento_Finanziario!$H:$L,5,FALSE),VLOOKUP($M21,TT_Tabelle_Riferimento!$H$31:$I$50,2,FALSE))</f>
        <v>5</v>
      </c>
      <c r="FI21" s="1751">
        <f>+IFERROR(VLOOKUP(FI$6&amp;"-"&amp;$M21&amp;"_old",Ammortamento_Finanziario!$H:$L,5,FALSE),VLOOKUP($M21,TT_Tabelle_Riferimento!$H$31:$I$50,2,FALSE))</f>
        <v>5</v>
      </c>
      <c r="FJ21" s="629">
        <f>+IFERROR(VLOOKUP(FJ$6&amp;"-"&amp;$M21&amp;"_old",Ammortamento_Finanziario!$H:$L,5,FALSE),VLOOKUP($M21,TT_Tabelle_Riferimento!$H$31:$I$50,2,FALSE))</f>
        <v>5</v>
      </c>
      <c r="FK21" s="629">
        <f>+IFERROR(VLOOKUP(FK$6&amp;"-"&amp;$M21&amp;"_old",Ammortamento_Finanziario!$H:$L,5,FALSE),VLOOKUP($M21,TT_Tabelle_Riferimento!$H$31:$I$50,2,FALSE))</f>
        <v>5</v>
      </c>
      <c r="FL21" s="629">
        <f>+IFERROR(VLOOKUP(FL$6&amp;"-"&amp;$M21&amp;"_old",Ammortamento_Finanziario!$H:$L,5,FALSE),VLOOKUP($M21,TT_Tabelle_Riferimento!$H$31:$I$50,2,FALSE))</f>
        <v>5</v>
      </c>
      <c r="FM21" s="629">
        <f>+IFERROR(VLOOKUP(FM$6&amp;"-"&amp;$M21&amp;"_old",Ammortamento_Finanziario!$H:$L,5,FALSE),VLOOKUP($M21,TT_Tabelle_Riferimento!$H$31:$I$50,2,FALSE))</f>
        <v>5</v>
      </c>
      <c r="FN21" s="629">
        <f>+IFERROR(VLOOKUP(FN$6&amp;"-"&amp;$M21&amp;"_old",Ammortamento_Finanziario!$H:$L,5,FALSE),VLOOKUP($M21,TT_Tabelle_Riferimento!$H$31:$I$50,2,FALSE))</f>
        <v>5</v>
      </c>
      <c r="FO21" s="629">
        <f>+IFERROR(VLOOKUP(FO$6&amp;"-"&amp;$M21&amp;"_old",Ammortamento_Finanziario!$H:$L,5,FALSE),VLOOKUP($M21,TT_Tabelle_Riferimento!$H$31:$I$50,2,FALSE))</f>
        <v>5</v>
      </c>
      <c r="FP21" s="629">
        <f>+IFERROR(VLOOKUP(FP$6&amp;"-"&amp;$M21&amp;"_old",Ammortamento_Finanziario!$H:$L,5,FALSE),VLOOKUP($M21,TT_Tabelle_Riferimento!$H$31:$I$50,2,FALSE))</f>
        <v>5</v>
      </c>
      <c r="FQ21" s="629">
        <f>+IFERROR(VLOOKUP(FQ$6&amp;"-"&amp;$M21&amp;"_old",Ammortamento_Finanziario!$H:$L,5,FALSE),VLOOKUP($M21,TT_Tabelle_Riferimento!$H$31:$I$50,2,FALSE))</f>
        <v>5</v>
      </c>
      <c r="FR21" s="629">
        <f>+IFERROR(VLOOKUP(FR$6&amp;"-"&amp;$M21&amp;"_old",Ammortamento_Finanziario!$H:$L,5,FALSE),VLOOKUP($M21,TT_Tabelle_Riferimento!$H$31:$I$50,2,FALSE))</f>
        <v>5</v>
      </c>
      <c r="FS21" s="629">
        <f>+IFERROR(VLOOKUP(FS$6&amp;"-"&amp;$M21&amp;"_old",Ammortamento_Finanziario!$H:$L,5,FALSE),VLOOKUP($M21,TT_Tabelle_Riferimento!$H$31:$I$50,2,FALSE))</f>
        <v>5</v>
      </c>
      <c r="FT21" s="629">
        <f>+IFERROR(VLOOKUP(FT$6&amp;"-"&amp;$M21&amp;"_old",Ammortamento_Finanziario!$H:$L,5,FALSE),VLOOKUP($M21,TT_Tabelle_Riferimento!$H$31:$I$50,2,FALSE))</f>
        <v>5</v>
      </c>
      <c r="FU21" s="629">
        <f>+IFERROR(VLOOKUP(FU$6&amp;"-"&amp;$M21&amp;"_old",Ammortamento_Finanziario!$H:$L,5,FALSE),VLOOKUP($M21,TT_Tabelle_Riferimento!$H$31:$I$50,2,FALSE))</f>
        <v>5</v>
      </c>
      <c r="FV21" s="629">
        <f>+IFERROR(VLOOKUP(FV$6&amp;"-"&amp;$M21&amp;"_old",Ammortamento_Finanziario!$H:$L,5,FALSE),VLOOKUP($M21,TT_Tabelle_Riferimento!$H$31:$I$50,2,FALSE))</f>
        <v>5</v>
      </c>
      <c r="FW21" s="629">
        <f>+IFERROR(VLOOKUP(FW$6&amp;"-"&amp;$M21&amp;"_old",Ammortamento_Finanziario!$H:$L,5,FALSE),VLOOKUP($M21,TT_Tabelle_Riferimento!$H$31:$I$50,2,FALSE))</f>
        <v>5</v>
      </c>
      <c r="FX21" s="629">
        <f>+IFERROR(VLOOKUP(FX$6&amp;"-"&amp;$M21&amp;"_old",Ammortamento_Finanziario!$H:$L,5,FALSE),VLOOKUP($M21,TT_Tabelle_Riferimento!$H$31:$I$50,2,FALSE))</f>
        <v>5</v>
      </c>
      <c r="FY21" s="629">
        <f>+IFERROR(VLOOKUP(FY$6&amp;"-"&amp;$M21&amp;"_old",Ammortamento_Finanziario!$H:$L,5,FALSE),VLOOKUP($M21,TT_Tabelle_Riferimento!$H$31:$I$50,2,FALSE))</f>
        <v>5</v>
      </c>
      <c r="FZ21" s="629">
        <f>+IFERROR(VLOOKUP(FZ$6&amp;"-"&amp;$M21&amp;"_old",Ammortamento_Finanziario!$H:$L,5,FALSE),VLOOKUP($M21,TT_Tabelle_Riferimento!$H$31:$I$50,2,FALSE))</f>
        <v>5</v>
      </c>
      <c r="GA21" s="629">
        <f>+IFERROR(VLOOKUP(GA$6&amp;"-"&amp;$M21&amp;"_old",Ammortamento_Finanziario!$H:$L,5,FALSE),VLOOKUP($M21,TT_Tabelle_Riferimento!$H$31:$I$50,2,FALSE))</f>
        <v>5</v>
      </c>
      <c r="GB21" s="629">
        <f>+IFERROR(VLOOKUP(GB$6&amp;"-"&amp;$M21&amp;"_old",Ammortamento_Finanziario!$H:$L,5,FALSE),VLOOKUP($M21,TT_Tabelle_Riferimento!$H$31:$I$50,2,FALSE))</f>
        <v>5</v>
      </c>
      <c r="GC21" s="635">
        <f>+IFERROR(VLOOKUP(GC$6&amp;"-"&amp;$M21&amp;"_old",Ammortamento_Finanziario!$H:$L,5,FALSE),VLOOKUP($M21,TT_Tabelle_Riferimento!$H$31:$I$50,2,FALSE))</f>
        <v>5</v>
      </c>
      <c r="GD21" s="635">
        <f>+IFERROR(VLOOKUP(GD$6&amp;"-"&amp;$M21&amp;"_old",Ammortamento_Finanziario!$H:$L,5,FALSE),VLOOKUP($M21,TT_Tabelle_Riferimento!$H$31:$I$50,2,FALSE))</f>
        <v>5</v>
      </c>
      <c r="GE21" s="635">
        <f>+IFERROR(VLOOKUP(GE$6&amp;"-"&amp;$M21&amp;"_old",Ammortamento_Finanziario!$H:$L,5,FALSE),VLOOKUP($M21,TT_Tabelle_Riferimento!$H$31:$I$50,2,FALSE))</f>
        <v>5</v>
      </c>
      <c r="GF21" s="635">
        <f>+IFERROR(VLOOKUP(GF$6&amp;"-"&amp;$M21&amp;"_old",Ammortamento_Finanziario!$H:$L,5,FALSE),VLOOKUP($M21,TT_Tabelle_Riferimento!$H$31:$I$50,2,FALSE))</f>
        <v>5</v>
      </c>
      <c r="GG21" s="1744">
        <f>+IFERROR(VLOOKUP(GG$6&amp;"-"&amp;$M21&amp;"_old",Ammortamento_Finanziario!$H:$L,5,FALSE),VLOOKUP($M21,TT_Tabelle_Riferimento!$H$31:$I$50,2,FALSE))</f>
        <v>5</v>
      </c>
      <c r="GH21" s="1744">
        <f>+IFERROR(VLOOKUP(GH$6&amp;"-"&amp;$M21&amp;"_old",Ammortamento_Finanziario!$H:$L,5,FALSE),VLOOKUP($M21,TT_Tabelle_Riferimento!$H$31:$I$50,2,FALSE))</f>
        <v>5</v>
      </c>
      <c r="GI21" s="1752">
        <f>+IFERROR(VLOOKUP(GI$6&amp;"-"&amp;$M21&amp;"_old",Ammortamento_Finanziario!$H:$L,5,FALSE),VLOOKUP($M21,TT_Tabelle_Riferimento!$H$31:$I$50,2,FALSE))</f>
        <v>5</v>
      </c>
      <c r="GJ21" s="1752">
        <f>+IFERROR(VLOOKUP(GJ$6&amp;"-"&amp;$M21&amp;"_old",Ammortamento_Finanziario!$H:$L,5,FALSE),VLOOKUP($M21,TT_Tabelle_Riferimento!$H$31:$I$50,2,FALSE))</f>
        <v>5</v>
      </c>
      <c r="GK21" s="1752">
        <f>+IFERROR(VLOOKUP(GK$6&amp;"-"&amp;$M21&amp;"_old",Ammortamento_Finanziario!$H:$L,5,FALSE),VLOOKUP($M21,TT_Tabelle_Riferimento!$H$31:$I$50,2,FALSE))</f>
        <v>5</v>
      </c>
      <c r="GL21" s="1752">
        <f>+IFERROR(VLOOKUP(GL$6&amp;"-"&amp;$M21&amp;"_old",Ammortamento_Finanziario!$H:$L,5,FALSE),VLOOKUP($M21,TT_Tabelle_Riferimento!$H$31:$I$50,2,FALSE))</f>
        <v>5</v>
      </c>
      <c r="GM21" s="1752">
        <f>+IFERROR(VLOOKUP(GM$6&amp;"-"&amp;$M21&amp;"_old",Ammortamento_Finanziario!$H:$L,5,FALSE),VLOOKUP($M21,TT_Tabelle_Riferimento!$H$31:$I$50,2,FALSE))</f>
        <v>5</v>
      </c>
      <c r="GN21" s="1752">
        <f>+IFERROR(VLOOKUP(GN$6&amp;"-"&amp;$M21&amp;"_old",Ammortamento_Finanziario!$H:$L,5,FALSE),VLOOKUP($M21,TT_Tabelle_Riferimento!$H$31:$I$50,2,FALSE))</f>
        <v>5</v>
      </c>
      <c r="GO21" s="628">
        <f>+IFERROR(VLOOKUP(GO$6&amp;"-"&amp;$M21&amp;"_old",Ammortamento_Finanziario!$H:$L,5,FALSE),VLOOKUP($M21,TT_Tabelle_Riferimento!$H$31:$I$50,2,FALSE))</f>
        <v>5</v>
      </c>
      <c r="GP21" s="628">
        <f>+IFERROR(VLOOKUP(GP$6&amp;"-"&amp;$M21&amp;"_old",Ammortamento_Finanziario!$H:$L,5,FALSE),VLOOKUP($M21,TT_Tabelle_Riferimento!$H$31:$I$50,2,FALSE))</f>
        <v>5</v>
      </c>
      <c r="GQ21" s="628">
        <f>+IFERROR(VLOOKUP(GQ$6&amp;"-"&amp;$M21&amp;"_old",Ammortamento_Finanziario!$H:$L,5,FALSE),VLOOKUP($M21,TT_Tabelle_Riferimento!$H$31:$I$50,2,FALSE))</f>
        <v>5</v>
      </c>
      <c r="GR21" s="628">
        <f>+IFERROR(VLOOKUP(GR$6&amp;"-"&amp;$M21&amp;"_old",Ammortamento_Finanziario!$H:$L,5,FALSE),VLOOKUP($M21,TT_Tabelle_Riferimento!$H$31:$I$50,2,FALSE))</f>
        <v>5</v>
      </c>
      <c r="GS21" s="628">
        <f>+IFERROR(VLOOKUP(GS$6&amp;"-"&amp;$M21&amp;"_old",Ammortamento_Finanziario!$H:$L,5,FALSE),VLOOKUP($M21,TT_Tabelle_Riferimento!$H$31:$I$50,2,FALSE))</f>
        <v>5</v>
      </c>
      <c r="GT21" s="628">
        <f>+IFERROR(VLOOKUP(GT$6&amp;"-"&amp;$M21&amp;"_old",Ammortamento_Finanziario!$H:$L,5,FALSE),VLOOKUP($M21,TT_Tabelle_Riferimento!$H$31:$I$50,2,FALSE))</f>
        <v>5</v>
      </c>
      <c r="GU21" s="628">
        <f>+IFERROR(VLOOKUP(GU$6&amp;"-"&amp;$M21&amp;"_old",Ammortamento_Finanziario!$H:$L,5,FALSE),VLOOKUP($M21,TT_Tabelle_Riferimento!$H$31:$I$50,2,FALSE))</f>
        <v>5</v>
      </c>
      <c r="GV21" s="628">
        <f>+IFERROR(VLOOKUP(GV$6&amp;"-"&amp;$M21&amp;"_old",Ammortamento_Finanziario!$H:$L,5,FALSE),VLOOKUP($M21,TT_Tabelle_Riferimento!$H$31:$I$50,2,FALSE))</f>
        <v>5</v>
      </c>
      <c r="GW21" s="628">
        <f>+IFERROR(VLOOKUP(GW$6&amp;"-"&amp;$M21&amp;"_old",Ammortamento_Finanziario!$H:$L,5,FALSE),VLOOKUP($M21,TT_Tabelle_Riferimento!$H$31:$I$50,2,FALSE))</f>
        <v>5</v>
      </c>
      <c r="GX21" s="628">
        <f>+IFERROR(VLOOKUP(GX$6&amp;"-"&amp;$M21&amp;"_old",Ammortamento_Finanziario!$H:$L,5,FALSE),VLOOKUP($M21,TT_Tabelle_Riferimento!$H$31:$I$50,2,FALSE))</f>
        <v>5</v>
      </c>
      <c r="GY21" s="628">
        <f>+IFERROR(VLOOKUP(GY$6&amp;"-"&amp;$M21&amp;"_old",Ammortamento_Finanziario!$H:$L,5,FALSE),VLOOKUP($M21,TT_Tabelle_Riferimento!$H$31:$I$50,2,FALSE))</f>
        <v>5</v>
      </c>
      <c r="GZ21" s="628">
        <f>+IFERROR(VLOOKUP(GZ$6&amp;"-"&amp;$M21&amp;"_old",Ammortamento_Finanziario!$H:$L,5,FALSE),VLOOKUP($M21,TT_Tabelle_Riferimento!$H$31:$I$50,2,FALSE))</f>
        <v>5</v>
      </c>
      <c r="HA21" s="628">
        <f>+IFERROR(VLOOKUP(HA$6&amp;"-"&amp;$M21&amp;"_old",Ammortamento_Finanziario!$H:$L,5,FALSE),VLOOKUP($M21,TT_Tabelle_Riferimento!$H$31:$I$50,2,FALSE))</f>
        <v>5</v>
      </c>
      <c r="HB21" s="628">
        <f>+IFERROR(VLOOKUP(HB$6&amp;"-"&amp;$M21&amp;"_old",Ammortamento_Finanziario!$H:$L,5,FALSE),VLOOKUP($M21,TT_Tabelle_Riferimento!$H$31:$I$50,2,FALSE))</f>
        <v>5</v>
      </c>
      <c r="HC21" s="628">
        <f>+IFERROR(VLOOKUP(HC$6&amp;"-"&amp;$M21&amp;"_old",Ammortamento_Finanziario!$H:$L,5,FALSE),VLOOKUP($M21,TT_Tabelle_Riferimento!$H$31:$I$50,2,FALSE))</f>
        <v>5</v>
      </c>
      <c r="HD21" s="628">
        <f>+IFERROR(VLOOKUP(HD$6&amp;"-"&amp;$M21&amp;"_old",Ammortamento_Finanziario!$H:$L,5,FALSE),VLOOKUP($M21,TT_Tabelle_Riferimento!$H$31:$I$50,2,FALSE))</f>
        <v>5</v>
      </c>
      <c r="HE21" s="628">
        <f>+IFERROR(VLOOKUP(HE$6&amp;"-"&amp;$M21&amp;"_old",Ammortamento_Finanziario!$H:$L,5,FALSE),VLOOKUP($M21,TT_Tabelle_Riferimento!$H$31:$I$50,2,FALSE))</f>
        <v>5</v>
      </c>
      <c r="HF21" s="628">
        <f>+IFERROR(VLOOKUP(HF$6&amp;"-"&amp;$M21&amp;"_old",Ammortamento_Finanziario!$H:$L,5,FALSE),VLOOKUP($M21,TT_Tabelle_Riferimento!$H$31:$I$50,2,FALSE))</f>
        <v>5</v>
      </c>
      <c r="HG21" s="628">
        <f>+IFERROR(VLOOKUP(HG$6&amp;"-"&amp;$M21&amp;"_old",Ammortamento_Finanziario!$H:$L,5,FALSE),VLOOKUP($M21,TT_Tabelle_Riferimento!$H$31:$I$50,2,FALSE))</f>
        <v>5</v>
      </c>
      <c r="HH21" s="422">
        <f>+IFERROR(VLOOKUP(HH$6&amp;"-"&amp;$M21&amp;"_old",Ammortamento_Finanziario!$H:$L,5,FALSE),VLOOKUP($M21,TT_Tabelle_Riferimento!$H$31:$I$50,2,FALSE))</f>
        <v>5</v>
      </c>
      <c r="HI21" s="422">
        <f>+IFERROR(VLOOKUP(HI$6&amp;"-"&amp;$M21&amp;"_old",Ammortamento_Finanziario!$H:$L,5,FALSE),VLOOKUP($M21,TT_Tabelle_Riferimento!$H$31:$I$50,2,FALSE))</f>
        <v>5</v>
      </c>
      <c r="HJ21" s="422">
        <f>+IFERROR(VLOOKUP(HJ$6&amp;"-"&amp;$M21&amp;"_old",Ammortamento_Finanziario!$H:$L,5,FALSE),VLOOKUP($M21,TT_Tabelle_Riferimento!$H$31:$I$50,2,FALSE))</f>
        <v>5</v>
      </c>
      <c r="HK21" s="1746">
        <f>+IFERROR(VLOOKUP(HK$6&amp;"-"&amp;$M21&amp;"_old",Ammortamento_Finanziario!$H:$L,5,FALSE),VLOOKUP($M21,TT_Tabelle_Riferimento!$H$31:$I$50,2,FALSE))</f>
        <v>5</v>
      </c>
      <c r="HL21" s="1746">
        <f>+IFERROR(VLOOKUP(HL$6&amp;"-"&amp;$M21&amp;"_old",Ammortamento_Finanziario!$H:$L,5,FALSE),VLOOKUP($M21,TT_Tabelle_Riferimento!$H$31:$I$50,2,FALSE))</f>
        <v>5</v>
      </c>
      <c r="HM21" s="1753">
        <f>+IFERROR(VLOOKUP(HM$6&amp;"-"&amp;$M21&amp;"_old",Ammortamento_Finanziario!$H:$L,5,FALSE),VLOOKUP($M21,TT_Tabelle_Riferimento!$H$31:$I$50,2,FALSE))</f>
        <v>5</v>
      </c>
      <c r="HN21" s="1753">
        <f>+IFERROR(VLOOKUP(HN$6&amp;"-"&amp;$M21&amp;"_old",Ammortamento_Finanziario!$H:$L,5,FALSE),VLOOKUP($M21,TT_Tabelle_Riferimento!$H$31:$I$50,2,FALSE))</f>
        <v>5</v>
      </c>
      <c r="HO21" s="1753">
        <f>+IFERROR(VLOOKUP(HO$6&amp;"-"&amp;$M21&amp;"_old",Ammortamento_Finanziario!$H:$L,5,FALSE),VLOOKUP($M21,TT_Tabelle_Riferimento!$H$31:$I$50,2,FALSE))</f>
        <v>5</v>
      </c>
      <c r="HP21" s="1753">
        <f>+IFERROR(VLOOKUP(HP$6&amp;"-"&amp;$M21&amp;"_old",Ammortamento_Finanziario!$H:$L,5,FALSE),VLOOKUP($M21,TT_Tabelle_Riferimento!$H$31:$I$50,2,FALSE))</f>
        <v>5</v>
      </c>
      <c r="HQ21" s="1753">
        <f>+IFERROR(VLOOKUP(HQ$6&amp;"-"&amp;$M21&amp;"_old",Ammortamento_Finanziario!$H:$L,5,FALSE),VLOOKUP($M21,TT_Tabelle_Riferimento!$H$31:$I$50,2,FALSE))</f>
        <v>5</v>
      </c>
      <c r="HR21" s="1753">
        <f>+IFERROR(VLOOKUP(HR$6&amp;"-"&amp;$M21&amp;"_old",Ammortamento_Finanziario!$H:$L,5,FALSE),VLOOKUP($M21,TT_Tabelle_Riferimento!$H$31:$I$50,2,FALSE))</f>
        <v>5</v>
      </c>
      <c r="HS21" s="422">
        <f>+IFERROR(VLOOKUP(HS$6&amp;"-"&amp;$M21&amp;"_old",Ammortamento_Finanziario!$H:$L,5,FALSE),VLOOKUP($M21,TT_Tabelle_Riferimento!$H$31:$I$50,2,FALSE))</f>
        <v>5</v>
      </c>
      <c r="HT21" s="422">
        <f>+IFERROR(VLOOKUP(HT$6&amp;"-"&amp;$M21&amp;"_old",Ammortamento_Finanziario!$H:$L,5,FALSE),VLOOKUP($M21,TT_Tabelle_Riferimento!$H$31:$I$50,2,FALSE))</f>
        <v>5</v>
      </c>
      <c r="HU21" s="422">
        <f>+IFERROR(VLOOKUP(HU$6&amp;"-"&amp;$M21&amp;"_old",Ammortamento_Finanziario!$H:$L,5,FALSE),VLOOKUP($M21,TT_Tabelle_Riferimento!$H$31:$I$50,2,FALSE))</f>
        <v>5</v>
      </c>
      <c r="HV21" s="422">
        <f>+IFERROR(VLOOKUP(HV$6&amp;"-"&amp;$M21&amp;"_old",Ammortamento_Finanziario!$H:$L,5,FALSE),VLOOKUP($M21,TT_Tabelle_Riferimento!$H$31:$I$50,2,FALSE))</f>
        <v>5</v>
      </c>
      <c r="HW21" s="422">
        <f>+IFERROR(VLOOKUP(HW$6&amp;"-"&amp;$M21&amp;"_old",Ammortamento_Finanziario!$H:$L,5,FALSE),VLOOKUP($M21,TT_Tabelle_Riferimento!$H$31:$I$50,2,FALSE))</f>
        <v>5</v>
      </c>
      <c r="HX21" s="422">
        <f>+IFERROR(VLOOKUP(HX$6&amp;"-"&amp;$M21&amp;"_old",Ammortamento_Finanziario!$H:$L,5,FALSE),VLOOKUP($M21,TT_Tabelle_Riferimento!$H$31:$I$50,2,FALSE))</f>
        <v>5</v>
      </c>
      <c r="HY21" s="422">
        <f>+IFERROR(VLOOKUP(HY$6&amp;"-"&amp;$M21&amp;"_old",Ammortamento_Finanziario!$H:$L,5,FALSE),VLOOKUP($M21,TT_Tabelle_Riferimento!$H$31:$I$50,2,FALSE))</f>
        <v>5</v>
      </c>
      <c r="HZ21" s="422">
        <f>+IFERROR(VLOOKUP(HZ$6&amp;"-"&amp;$M21&amp;"_old",Ammortamento_Finanziario!$H:$L,5,FALSE),VLOOKUP($M21,TT_Tabelle_Riferimento!$H$31:$I$50,2,FALSE))</f>
        <v>5</v>
      </c>
      <c r="IA21" s="422">
        <f>+IFERROR(VLOOKUP(IA$6&amp;"-"&amp;$M21&amp;"_old",Ammortamento_Finanziario!$H:$L,5,FALSE),VLOOKUP($M21,TT_Tabelle_Riferimento!$H$31:$I$50,2,FALSE))</f>
        <v>5</v>
      </c>
      <c r="IB21" s="422">
        <f>+IFERROR(VLOOKUP(IB$6&amp;"-"&amp;$M21&amp;"_old",Ammortamento_Finanziario!$H:$L,5,FALSE),VLOOKUP($M21,TT_Tabelle_Riferimento!$H$31:$I$50,2,FALSE))</f>
        <v>5</v>
      </c>
      <c r="IC21" s="422">
        <f>+IFERROR(VLOOKUP(IC$6&amp;"-"&amp;$M21&amp;"_old",Ammortamento_Finanziario!$H:$L,5,FALSE),VLOOKUP($M21,TT_Tabelle_Riferimento!$H$31:$I$50,2,FALSE))</f>
        <v>5</v>
      </c>
      <c r="ID21" s="422">
        <f>+IFERROR(VLOOKUP(ID$6&amp;"-"&amp;$M21&amp;"_old",Ammortamento_Finanziario!$H:$L,5,FALSE),VLOOKUP($M21,TT_Tabelle_Riferimento!$H$31:$I$50,2,FALSE))</f>
        <v>5</v>
      </c>
      <c r="IE21" s="422">
        <f>+IFERROR(VLOOKUP(IE$6&amp;"-"&amp;$M21&amp;"_old",Ammortamento_Finanziario!$H:$L,5,FALSE),VLOOKUP($M21,TT_Tabelle_Riferimento!$H$31:$I$50,2,FALSE))</f>
        <v>5</v>
      </c>
      <c r="IF21" s="422">
        <f>+IFERROR(VLOOKUP(IF$6&amp;"-"&amp;$M21&amp;"_old",Ammortamento_Finanziario!$H:$L,5,FALSE),VLOOKUP($M21,TT_Tabelle_Riferimento!$H$31:$I$50,2,FALSE))</f>
        <v>5</v>
      </c>
      <c r="IG21" s="422">
        <f>+IFERROR(VLOOKUP(IG$6&amp;"-"&amp;$M21&amp;"_old",Ammortamento_Finanziario!$H:$L,5,FALSE),VLOOKUP($M21,TT_Tabelle_Riferimento!$H$31:$I$50,2,FALSE))</f>
        <v>5</v>
      </c>
      <c r="IH21" s="422">
        <f>+IFERROR(VLOOKUP(IH$6&amp;"-"&amp;$M21&amp;"_old",Ammortamento_Finanziario!$H:$L,5,FALSE),VLOOKUP($M21,TT_Tabelle_Riferimento!$H$31:$I$50,2,FALSE))</f>
        <v>5</v>
      </c>
      <c r="II21" s="422">
        <f>+IFERROR(VLOOKUP(II$6&amp;"-"&amp;$M21&amp;"_old",Ammortamento_Finanziario!$H:$L,5,FALSE),VLOOKUP($M21,TT_Tabelle_Riferimento!$H$31:$I$50,2,FALSE))</f>
        <v>5</v>
      </c>
      <c r="IJ21" s="422">
        <f>+IFERROR(VLOOKUP(IJ$6&amp;"-"&amp;$M21&amp;"_old",Ammortamento_Finanziario!$H:$L,5,FALSE),VLOOKUP($M21,TT_Tabelle_Riferimento!$H$31:$I$50,2,FALSE))</f>
        <v>5</v>
      </c>
      <c r="IK21" s="422">
        <f>+IFERROR(VLOOKUP(IK$6&amp;"-"&amp;$M21&amp;"_old",Ammortamento_Finanziario!$H:$L,5,FALSE),VLOOKUP($M21,TT_Tabelle_Riferimento!$H$31:$I$50,2,FALSE))</f>
        <v>5</v>
      </c>
      <c r="IL21" s="1077">
        <f>+IFERROR(VLOOKUP(IL$6&amp;"-"&amp;$M21&amp;"_old",Ammortamento_Finanziario!$H:$L,5,FALSE),VLOOKUP($M21,TT_Tabelle_Riferimento!$H$31:$I$50,2,FALSE))</f>
        <v>5</v>
      </c>
      <c r="IM21" s="1077">
        <f>+IFERROR(VLOOKUP(IM$6&amp;"-"&amp;$M21&amp;"_old",Ammortamento_Finanziario!$H:$L,5,FALSE),VLOOKUP($M21,TT_Tabelle_Riferimento!$H$31:$I$50,2,FALSE))</f>
        <v>5</v>
      </c>
      <c r="IN21" s="1747">
        <f>+IFERROR(VLOOKUP(IN$6&amp;"-"&amp;$M21&amp;"_old",Ammortamento_Finanziario!$H:$L,5,FALSE),VLOOKUP($M21,TT_Tabelle_Riferimento!$H$31:$I$50,2,FALSE))</f>
        <v>5</v>
      </c>
      <c r="IO21" s="1747">
        <f>+IFERROR(VLOOKUP(IO$6&amp;"-"&amp;$M21&amp;"_old",Ammortamento_Finanziario!$H:$L,5,FALSE),VLOOKUP($M21,TT_Tabelle_Riferimento!$H$31:$I$50,2,FALSE))</f>
        <v>5</v>
      </c>
      <c r="IP21" s="1754">
        <f>+IFERROR(VLOOKUP(IP$6&amp;"-"&amp;$M21&amp;"_old",Ammortamento_Finanziario!$H:$L,5,FALSE),VLOOKUP($M21,TT_Tabelle_Riferimento!$H$31:$I$50,2,FALSE))</f>
        <v>5</v>
      </c>
      <c r="IQ21" s="1754">
        <f>+IFERROR(VLOOKUP(IQ$6&amp;"-"&amp;$M21&amp;"_old",Ammortamento_Finanziario!$H:$L,5,FALSE),VLOOKUP($M21,TT_Tabelle_Riferimento!$H$31:$I$50,2,FALSE))</f>
        <v>5</v>
      </c>
      <c r="IR21" s="1754">
        <f>+IFERROR(VLOOKUP(IR$6&amp;"-"&amp;$M21&amp;"_old",Ammortamento_Finanziario!$H:$L,5,FALSE),VLOOKUP($M21,TT_Tabelle_Riferimento!$H$31:$I$50,2,FALSE))</f>
        <v>5</v>
      </c>
      <c r="IS21" s="1754">
        <f>+IFERROR(VLOOKUP(IS$6&amp;"-"&amp;$M21&amp;"_old",Ammortamento_Finanziario!$H:$L,5,FALSE),VLOOKUP($M21,TT_Tabelle_Riferimento!$H$31:$I$50,2,FALSE))</f>
        <v>5</v>
      </c>
      <c r="IT21" s="1754">
        <f>+IFERROR(VLOOKUP(IT$6&amp;"-"&amp;$M21&amp;"_old",Ammortamento_Finanziario!$H:$L,5,FALSE),VLOOKUP($M21,TT_Tabelle_Riferimento!$H$31:$I$50,2,FALSE))</f>
        <v>5</v>
      </c>
      <c r="IU21" s="1754">
        <f>+IFERROR(VLOOKUP(IU$6&amp;"-"&amp;$M21&amp;"_old",Ammortamento_Finanziario!$H:$L,5,FALSE),VLOOKUP($M21,TT_Tabelle_Riferimento!$H$31:$I$50,2,FALSE))</f>
        <v>5</v>
      </c>
      <c r="IV21" s="1077">
        <f>+IFERROR(VLOOKUP(IV$6&amp;"-"&amp;$M21&amp;"_old",Ammortamento_Finanziario!$H:$L,5,FALSE),VLOOKUP($M21,TT_Tabelle_Riferimento!$H$31:$I$50,2,FALSE))</f>
        <v>5</v>
      </c>
      <c r="IW21" s="1077">
        <f>+IFERROR(VLOOKUP(IW$6&amp;"-"&amp;$M21&amp;"_old",Ammortamento_Finanziario!$H:$L,5,FALSE),VLOOKUP($M21,TT_Tabelle_Riferimento!$H$31:$I$50,2,FALSE))</f>
        <v>5</v>
      </c>
      <c r="IX21" s="1077">
        <f>+IFERROR(VLOOKUP(IX$6&amp;"-"&amp;$M21&amp;"_old",Ammortamento_Finanziario!$H:$L,5,FALSE),VLOOKUP($M21,TT_Tabelle_Riferimento!$H$31:$I$50,2,FALSE))</f>
        <v>5</v>
      </c>
      <c r="IY21" s="1077">
        <f>+IFERROR(VLOOKUP(IY$6&amp;"-"&amp;$M21&amp;"_old",Ammortamento_Finanziario!$H:$L,5,FALSE),VLOOKUP($M21,TT_Tabelle_Riferimento!$H$31:$I$50,2,FALSE))</f>
        <v>5</v>
      </c>
      <c r="IZ21" s="1077">
        <f>+IFERROR(VLOOKUP(IZ$6&amp;"-"&amp;$M21&amp;"_old",Ammortamento_Finanziario!$H:$L,5,FALSE),VLOOKUP($M21,TT_Tabelle_Riferimento!$H$31:$I$50,2,FALSE))</f>
        <v>5</v>
      </c>
      <c r="JA21" s="1077">
        <f>+IFERROR(VLOOKUP(JA$6&amp;"-"&amp;$M21&amp;"_old",Ammortamento_Finanziario!$H:$L,5,FALSE),VLOOKUP($M21,TT_Tabelle_Riferimento!$H$31:$I$50,2,FALSE))</f>
        <v>5</v>
      </c>
      <c r="JB21" s="1077">
        <f>+IFERROR(VLOOKUP(JB$6&amp;"-"&amp;$M21&amp;"_old",Ammortamento_Finanziario!$H:$L,5,FALSE),VLOOKUP($M21,TT_Tabelle_Riferimento!$H$31:$I$50,2,FALSE))</f>
        <v>5</v>
      </c>
      <c r="JC21" s="1077">
        <f>+IFERROR(VLOOKUP(JC$6&amp;"-"&amp;$M21&amp;"_old",Ammortamento_Finanziario!$H:$L,5,FALSE),VLOOKUP($M21,TT_Tabelle_Riferimento!$H$31:$I$50,2,FALSE))</f>
        <v>5</v>
      </c>
      <c r="JD21" s="1077">
        <f>+IFERROR(VLOOKUP(JD$6&amp;"-"&amp;$M21&amp;"_old",Ammortamento_Finanziario!$H:$L,5,FALSE),VLOOKUP($M21,TT_Tabelle_Riferimento!$H$31:$I$50,2,FALSE))</f>
        <v>5</v>
      </c>
      <c r="JE21" s="1077">
        <f>+IFERROR(VLOOKUP(JE$6&amp;"-"&amp;$M21&amp;"_old",Ammortamento_Finanziario!$H:$L,5,FALSE),VLOOKUP($M21,TT_Tabelle_Riferimento!$H$31:$I$50,2,FALSE))</f>
        <v>5</v>
      </c>
      <c r="JF21" s="1077">
        <f>+IFERROR(VLOOKUP(JF$6&amp;"-"&amp;$M21&amp;"_old",Ammortamento_Finanziario!$H:$L,5,FALSE),VLOOKUP($M21,TT_Tabelle_Riferimento!$H$31:$I$50,2,FALSE))</f>
        <v>5</v>
      </c>
      <c r="JG21" s="1077">
        <f>+IFERROR(VLOOKUP(JG$6&amp;"-"&amp;$M21&amp;"_old",Ammortamento_Finanziario!$H:$L,5,FALSE),VLOOKUP($M21,TT_Tabelle_Riferimento!$H$31:$I$50,2,FALSE))</f>
        <v>5</v>
      </c>
      <c r="JH21" s="1077">
        <f>+IFERROR(VLOOKUP(JH$6&amp;"-"&amp;$M21&amp;"_old",Ammortamento_Finanziario!$H:$L,5,FALSE),VLOOKUP($M21,TT_Tabelle_Riferimento!$H$31:$I$50,2,FALSE))</f>
        <v>5</v>
      </c>
      <c r="JI21" s="1077">
        <f>+IFERROR(VLOOKUP(JI$6&amp;"-"&amp;$M21&amp;"_old",Ammortamento_Finanziario!$H:$L,5,FALSE),VLOOKUP($M21,TT_Tabelle_Riferimento!$H$31:$I$50,2,FALSE))</f>
        <v>5</v>
      </c>
      <c r="JJ21" s="1077">
        <f>+IFERROR(VLOOKUP(JJ$6&amp;"-"&amp;$M21&amp;"_old",Ammortamento_Finanziario!$H:$L,5,FALSE),VLOOKUP($M21,TT_Tabelle_Riferimento!$H$31:$I$50,2,FALSE))</f>
        <v>5</v>
      </c>
      <c r="JK21" s="1077">
        <f>+IFERROR(VLOOKUP(JK$6&amp;"-"&amp;$M21&amp;"_old",Ammortamento_Finanziario!$H:$L,5,FALSE),VLOOKUP($M21,TT_Tabelle_Riferimento!$H$31:$I$50,2,FALSE))</f>
        <v>5</v>
      </c>
      <c r="JL21" s="1077">
        <f>+IFERROR(VLOOKUP(JL$6&amp;"-"&amp;$M21&amp;"_old",Ammortamento_Finanziario!$H:$L,5,FALSE),VLOOKUP($M21,TT_Tabelle_Riferimento!$H$31:$I$50,2,FALSE))</f>
        <v>5</v>
      </c>
      <c r="JM21" s="1077">
        <f>+IFERROR(VLOOKUP(JM$6&amp;"-"&amp;$M21&amp;"_old",Ammortamento_Finanziario!$H:$L,5,FALSE),VLOOKUP($M21,TT_Tabelle_Riferimento!$H$31:$I$50,2,FALSE))</f>
        <v>5</v>
      </c>
      <c r="JN21" s="1077">
        <f>+IFERROR(VLOOKUP(JN$6&amp;"-"&amp;$M21&amp;"_old",Ammortamento_Finanziario!$H:$L,5,FALSE),VLOOKUP($M21,TT_Tabelle_Riferimento!$H$31:$I$50,2,FALSE))</f>
        <v>5</v>
      </c>
      <c r="JO21" s="1078">
        <f>+IFERROR(VLOOKUP(JO$6&amp;"-"&amp;$M21&amp;"_old",Ammortamento_Finanziario!$H:$L,5,FALSE),VLOOKUP($M21,TT_Tabelle_Riferimento!$H$31:$I$50,2,FALSE))</f>
        <v>5</v>
      </c>
      <c r="JP21" s="1748">
        <f>+IFERROR(VLOOKUP(JP$6&amp;"-"&amp;$M21&amp;"_old",Ammortamento_Finanziario!$H:$L,5,FALSE),VLOOKUP($M21,TT_Tabelle_Riferimento!$H$31:$I$50,2,FALSE))</f>
        <v>5</v>
      </c>
      <c r="JQ21" s="1748">
        <f>+IFERROR(VLOOKUP(JQ$6&amp;"-"&amp;$M21&amp;"_old",Ammortamento_Finanziario!$H:$L,5,FALSE),VLOOKUP($M21,TT_Tabelle_Riferimento!$H$31:$I$50,2,FALSE))</f>
        <v>5</v>
      </c>
      <c r="JR21" s="1755">
        <f>+IFERROR(VLOOKUP(JR$6&amp;"-"&amp;$M21&amp;"_old",Ammortamento_Finanziario!$H:$L,5,FALSE),VLOOKUP($M21,TT_Tabelle_Riferimento!$H$31:$I$50,2,FALSE))</f>
        <v>5</v>
      </c>
      <c r="JS21" s="1755">
        <f>+IFERROR(VLOOKUP(JS$6&amp;"-"&amp;$M21&amp;"_old",Ammortamento_Finanziario!$H:$L,5,FALSE),VLOOKUP($M21,TT_Tabelle_Riferimento!$H$31:$I$50,2,FALSE))</f>
        <v>5</v>
      </c>
      <c r="JT21" s="1755">
        <f>+IFERROR(VLOOKUP(JT$6&amp;"-"&amp;$M21&amp;"_old",Ammortamento_Finanziario!$H:$L,5,FALSE),VLOOKUP($M21,TT_Tabelle_Riferimento!$H$31:$I$50,2,FALSE))</f>
        <v>5</v>
      </c>
      <c r="JU21" s="1755">
        <f>+IFERROR(VLOOKUP(JU$6&amp;"-"&amp;$M21&amp;"_old",Ammortamento_Finanziario!$H:$L,5,FALSE),VLOOKUP($M21,TT_Tabelle_Riferimento!$H$31:$I$50,2,FALSE))</f>
        <v>5</v>
      </c>
      <c r="JV21" s="1755">
        <f>+IFERROR(VLOOKUP(JV$6&amp;"-"&amp;$M21&amp;"_old",Ammortamento_Finanziario!$H:$L,5,FALSE),VLOOKUP($M21,TT_Tabelle_Riferimento!$H$31:$I$50,2,FALSE))</f>
        <v>5</v>
      </c>
      <c r="JW21" s="1755">
        <f>+IFERROR(VLOOKUP(JW$6&amp;"-"&amp;$M21&amp;"_old",Ammortamento_Finanziario!$H:$L,5,FALSE),VLOOKUP($M21,TT_Tabelle_Riferimento!$H$31:$I$50,2,FALSE))</f>
        <v>5</v>
      </c>
      <c r="JX21" s="1078">
        <f>+IFERROR(VLOOKUP(JX$6&amp;"-"&amp;$M21&amp;"_old",Ammortamento_Finanziario!$H:$L,5,FALSE),VLOOKUP($M21,TT_Tabelle_Riferimento!$H$31:$I$50,2,FALSE))</f>
        <v>5</v>
      </c>
      <c r="JY21" s="1078">
        <f>+IFERROR(VLOOKUP(JY$6&amp;"-"&amp;$M21&amp;"_old",Ammortamento_Finanziario!$H:$L,5,FALSE),VLOOKUP($M21,TT_Tabelle_Riferimento!$H$31:$I$50,2,FALSE))</f>
        <v>5</v>
      </c>
      <c r="JZ21" s="1078">
        <f>+IFERROR(VLOOKUP(JZ$6&amp;"-"&amp;$M21&amp;"_old",Ammortamento_Finanziario!$H:$L,5,FALSE),VLOOKUP($M21,TT_Tabelle_Riferimento!$H$31:$I$50,2,FALSE))</f>
        <v>5</v>
      </c>
      <c r="KA21" s="1078">
        <f>+IFERROR(VLOOKUP(KA$6&amp;"-"&amp;$M21&amp;"_old",Ammortamento_Finanziario!$H:$L,5,FALSE),VLOOKUP($M21,TT_Tabelle_Riferimento!$H$31:$I$50,2,FALSE))</f>
        <v>5</v>
      </c>
      <c r="KB21" s="1078">
        <f>+IFERROR(VLOOKUP(KB$6&amp;"-"&amp;$M21&amp;"_old",Ammortamento_Finanziario!$H:$L,5,FALSE),VLOOKUP($M21,TT_Tabelle_Riferimento!$H$31:$I$50,2,FALSE))</f>
        <v>5</v>
      </c>
      <c r="KC21" s="1078">
        <f>+IFERROR(VLOOKUP(KC$6&amp;"-"&amp;$M21&amp;"_old",Ammortamento_Finanziario!$H:$L,5,FALSE),VLOOKUP($M21,TT_Tabelle_Riferimento!$H$31:$I$50,2,FALSE))</f>
        <v>5</v>
      </c>
      <c r="KD21" s="1078">
        <f>+IFERROR(VLOOKUP(KD$6&amp;"-"&amp;$M21&amp;"_old",Ammortamento_Finanziario!$H:$L,5,FALSE),VLOOKUP($M21,TT_Tabelle_Riferimento!$H$31:$I$50,2,FALSE))</f>
        <v>5</v>
      </c>
      <c r="KE21" s="1078">
        <f>+IFERROR(VLOOKUP(KE$6&amp;"-"&amp;$M21&amp;"_old",Ammortamento_Finanziario!$H:$L,5,FALSE),VLOOKUP($M21,TT_Tabelle_Riferimento!$H$31:$I$50,2,FALSE))</f>
        <v>5</v>
      </c>
      <c r="KF21" s="1078">
        <f>+IFERROR(VLOOKUP(KF$6&amp;"-"&amp;$M21&amp;"_old",Ammortamento_Finanziario!$H:$L,5,FALSE),VLOOKUP($M21,TT_Tabelle_Riferimento!$H$31:$I$50,2,FALSE))</f>
        <v>5</v>
      </c>
      <c r="KG21" s="1078">
        <f>+IFERROR(VLOOKUP(KG$6&amp;"-"&amp;$M21&amp;"_old",Ammortamento_Finanziario!$H:$L,5,FALSE),VLOOKUP($M21,TT_Tabelle_Riferimento!$H$31:$I$50,2,FALSE))</f>
        <v>5</v>
      </c>
      <c r="KH21" s="1078">
        <f>+IFERROR(VLOOKUP(KH$6&amp;"-"&amp;$M21&amp;"_old",Ammortamento_Finanziario!$H:$L,5,FALSE),VLOOKUP($M21,TT_Tabelle_Riferimento!$H$31:$I$50,2,FALSE))</f>
        <v>5</v>
      </c>
      <c r="KI21" s="1078">
        <f>+IFERROR(VLOOKUP(KI$6&amp;"-"&amp;$M21&amp;"_old",Ammortamento_Finanziario!$H:$L,5,FALSE),VLOOKUP($M21,TT_Tabelle_Riferimento!$H$31:$I$50,2,FALSE))</f>
        <v>5</v>
      </c>
      <c r="KJ21" s="1078">
        <f>+IFERROR(VLOOKUP(KJ$6&amp;"-"&amp;$M21&amp;"_old",Ammortamento_Finanziario!$H:$L,5,FALSE),VLOOKUP($M21,TT_Tabelle_Riferimento!$H$31:$I$50,2,FALSE))</f>
        <v>5</v>
      </c>
      <c r="KK21" s="1078">
        <f>+IFERROR(VLOOKUP(KK$6&amp;"-"&amp;$M21&amp;"_old",Ammortamento_Finanziario!$H:$L,5,FALSE),VLOOKUP($M21,TT_Tabelle_Riferimento!$H$31:$I$50,2,FALSE))</f>
        <v>5</v>
      </c>
      <c r="KL21" s="1078">
        <f>+IFERROR(VLOOKUP(KL$6&amp;"-"&amp;$M21&amp;"_old",Ammortamento_Finanziario!$H:$L,5,FALSE),VLOOKUP($M21,TT_Tabelle_Riferimento!$H$31:$I$50,2,FALSE))</f>
        <v>5</v>
      </c>
      <c r="KM21" s="1078">
        <f>+IFERROR(VLOOKUP(KM$6&amp;"-"&amp;$M21&amp;"_old",Ammortamento_Finanziario!$H:$L,5,FALSE),VLOOKUP($M21,TT_Tabelle_Riferimento!$H$31:$I$50,2,FALSE))</f>
        <v>5</v>
      </c>
      <c r="KN21" s="1078">
        <f>+IFERROR(VLOOKUP(KN$6&amp;"-"&amp;$M21&amp;"_old",Ammortamento_Finanziario!$H:$L,5,FALSE),VLOOKUP($M21,TT_Tabelle_Riferimento!$H$31:$I$50,2,FALSE))</f>
        <v>5</v>
      </c>
      <c r="KO21" s="1078">
        <f>+IFERROR(VLOOKUP(KO$6&amp;"-"&amp;$M21&amp;"_old",Ammortamento_Finanziario!$H:$L,5,FALSE),VLOOKUP($M21,TT_Tabelle_Riferimento!$H$31:$I$50,2,FALSE))</f>
        <v>5</v>
      </c>
      <c r="KP21" s="1078">
        <f>+IFERROR(VLOOKUP(KP$6&amp;"-"&amp;$M21&amp;"_old",Ammortamento_Finanziario!$H:$L,5,FALSE),VLOOKUP($M21,TT_Tabelle_Riferimento!$H$31:$I$50,2,FALSE))</f>
        <v>5</v>
      </c>
      <c r="KQ21" s="1748">
        <f>+IFERROR(VLOOKUP(KQ$6&amp;"-"&amp;$M21&amp;"_old",Ammortamento_Finanziario!$H:$L,5,FALSE),VLOOKUP($M21,TT_Tabelle_Riferimento!$H$31:$I$50,2,FALSE))</f>
        <v>5</v>
      </c>
      <c r="KR21" s="1748">
        <f>+IFERROR(VLOOKUP(KR$6&amp;"-"&amp;$M21&amp;"_old",Ammortamento_Finanziario!$H:$L,5,FALSE),VLOOKUP($M21,TT_Tabelle_Riferimento!$H$31:$I$50,2,FALSE))</f>
        <v>5</v>
      </c>
      <c r="KS21" s="1755">
        <f>+IFERROR(VLOOKUP(KS$6&amp;"-"&amp;$M21&amp;"_old",Ammortamento_Finanziario!$H:$L,5,FALSE),VLOOKUP($M21,TT_Tabelle_Riferimento!$H$31:$I$50,2,FALSE))</f>
        <v>5</v>
      </c>
      <c r="KT21" s="1755">
        <f>+IFERROR(VLOOKUP(KT$6&amp;"-"&amp;$M21&amp;"_old",Ammortamento_Finanziario!$H:$L,5,FALSE),VLOOKUP($M21,TT_Tabelle_Riferimento!$H$31:$I$50,2,FALSE))</f>
        <v>5</v>
      </c>
      <c r="KU21" s="1755">
        <f>+IFERROR(VLOOKUP(KU$6&amp;"-"&amp;$M21&amp;"_old",Ammortamento_Finanziario!$H:$L,5,FALSE),VLOOKUP($M21,TT_Tabelle_Riferimento!$H$31:$I$50,2,FALSE))</f>
        <v>5</v>
      </c>
      <c r="KV21" s="1755">
        <f>+IFERROR(VLOOKUP(KV$6&amp;"-"&amp;$M21&amp;"_old",Ammortamento_Finanziario!$H:$L,5,FALSE),VLOOKUP($M21,TT_Tabelle_Riferimento!$H$31:$I$50,2,FALSE))</f>
        <v>5</v>
      </c>
      <c r="KW21" s="1755">
        <f>+IFERROR(VLOOKUP(KW$6&amp;"-"&amp;$M21&amp;"_old",Ammortamento_Finanziario!$H:$L,5,FALSE),VLOOKUP($M21,TT_Tabelle_Riferimento!$H$31:$I$50,2,FALSE))</f>
        <v>5</v>
      </c>
      <c r="KX21" s="1755">
        <f>+IFERROR(VLOOKUP(KX$6&amp;"-"&amp;$M21&amp;"_old",Ammortamento_Finanziario!$H:$L,5,FALSE),VLOOKUP($M21,TT_Tabelle_Riferimento!$H$31:$I$50,2,FALSE))</f>
        <v>5</v>
      </c>
      <c r="KY21" s="1078">
        <f>+IFERROR(VLOOKUP(KY$6&amp;"-"&amp;$M21&amp;"_old",Ammortamento_Finanziario!$H:$L,5,FALSE),VLOOKUP($M21,TT_Tabelle_Riferimento!$H$31:$I$50,2,FALSE))</f>
        <v>5</v>
      </c>
      <c r="KZ21" s="1078">
        <f>+IFERROR(VLOOKUP(KZ$6&amp;"-"&amp;$M21&amp;"_old",Ammortamento_Finanziario!$H:$L,5,FALSE),VLOOKUP($M21,TT_Tabelle_Riferimento!$H$31:$I$50,2,FALSE))</f>
        <v>5</v>
      </c>
      <c r="LA21" s="1078">
        <f>+IFERROR(VLOOKUP(LA$6&amp;"-"&amp;$M21&amp;"_old",Ammortamento_Finanziario!$H:$L,5,FALSE),VLOOKUP($M21,TT_Tabelle_Riferimento!$H$31:$I$50,2,FALSE))</f>
        <v>5</v>
      </c>
      <c r="LB21" s="1078">
        <f>+IFERROR(VLOOKUP(LB$6&amp;"-"&amp;$M21&amp;"_old",Ammortamento_Finanziario!$H:$L,5,FALSE),VLOOKUP($M21,TT_Tabelle_Riferimento!$H$31:$I$50,2,FALSE))</f>
        <v>5</v>
      </c>
      <c r="LC21" s="1078">
        <f>+IFERROR(VLOOKUP(LC$6&amp;"-"&amp;$M21&amp;"_old",Ammortamento_Finanziario!$H:$L,5,FALSE),VLOOKUP($M21,TT_Tabelle_Riferimento!$H$31:$I$50,2,FALSE))</f>
        <v>5</v>
      </c>
      <c r="LD21" s="1078">
        <f>+IFERROR(VLOOKUP(LD$6&amp;"-"&amp;$M21&amp;"_old",Ammortamento_Finanziario!$H:$L,5,FALSE),VLOOKUP($M21,TT_Tabelle_Riferimento!$H$31:$I$50,2,FALSE))</f>
        <v>5</v>
      </c>
      <c r="LE21" s="1078">
        <f>+IFERROR(VLOOKUP(LE$6&amp;"-"&amp;$M21&amp;"_old",Ammortamento_Finanziario!$H:$L,5,FALSE),VLOOKUP($M21,TT_Tabelle_Riferimento!$H$31:$I$50,2,FALSE))</f>
        <v>5</v>
      </c>
      <c r="LF21" s="1078">
        <f>+IFERROR(VLOOKUP(LF$6&amp;"-"&amp;$M21&amp;"_old",Ammortamento_Finanziario!$H:$L,5,FALSE),VLOOKUP($M21,TT_Tabelle_Riferimento!$H$31:$I$50,2,FALSE))</f>
        <v>5</v>
      </c>
      <c r="LG21" s="1078">
        <f>+IFERROR(VLOOKUP(LG$6&amp;"-"&amp;$M21&amp;"_old",Ammortamento_Finanziario!$H:$L,5,FALSE),VLOOKUP($M21,TT_Tabelle_Riferimento!$H$31:$I$50,2,FALSE))</f>
        <v>5</v>
      </c>
      <c r="LH21" s="1078">
        <f>+IFERROR(VLOOKUP(LH$6&amp;"-"&amp;$M21&amp;"_old",Ammortamento_Finanziario!$H:$L,5,FALSE),VLOOKUP($M21,TT_Tabelle_Riferimento!$H$31:$I$50,2,FALSE))</f>
        <v>5</v>
      </c>
      <c r="LI21" s="1078">
        <f>+IFERROR(VLOOKUP(LI$6&amp;"-"&amp;$M21&amp;"_old",Ammortamento_Finanziario!$H:$L,5,FALSE),VLOOKUP($M21,TT_Tabelle_Riferimento!$H$31:$I$50,2,FALSE))</f>
        <v>5</v>
      </c>
      <c r="LJ21" s="1078">
        <f>+IFERROR(VLOOKUP(LJ$6&amp;"-"&amp;$M21&amp;"_old",Ammortamento_Finanziario!$H:$L,5,FALSE),VLOOKUP($M21,TT_Tabelle_Riferimento!$H$31:$I$50,2,FALSE))</f>
        <v>5</v>
      </c>
      <c r="LK21" s="1078">
        <f>+IFERROR(VLOOKUP(LK$6&amp;"-"&amp;$M21&amp;"_old",Ammortamento_Finanziario!$H:$L,5,FALSE),VLOOKUP($M21,TT_Tabelle_Riferimento!$H$31:$I$50,2,FALSE))</f>
        <v>5</v>
      </c>
      <c r="LL21" s="1078">
        <f>+IFERROR(VLOOKUP(LL$6&amp;"-"&amp;$M21&amp;"_old",Ammortamento_Finanziario!$H:$L,5,FALSE),VLOOKUP($M21,TT_Tabelle_Riferimento!$H$31:$I$50,2,FALSE))</f>
        <v>5</v>
      </c>
      <c r="LM21" s="1078">
        <f>+IFERROR(VLOOKUP(LM$6&amp;"-"&amp;$M21&amp;"_old",Ammortamento_Finanziario!$H:$L,5,FALSE),VLOOKUP($M21,TT_Tabelle_Riferimento!$H$31:$I$50,2,FALSE))</f>
        <v>5</v>
      </c>
      <c r="LN21" s="1078">
        <f>+IFERROR(VLOOKUP(LN$6&amp;"-"&amp;$M21&amp;"_old",Ammortamento_Finanziario!$H:$L,5,FALSE),VLOOKUP($M21,TT_Tabelle_Riferimento!$H$31:$I$50,2,FALSE))</f>
        <v>5</v>
      </c>
      <c r="LO21" s="1078">
        <f>+IFERROR(VLOOKUP(LO$6&amp;"-"&amp;$M21&amp;"_old",Ammortamento_Finanziario!$H:$L,5,FALSE),VLOOKUP($M21,TT_Tabelle_Riferimento!$H$31:$I$50,2,FALSE))</f>
        <v>5</v>
      </c>
      <c r="LP21" s="1078">
        <f>+IFERROR(VLOOKUP(LP$6&amp;"-"&amp;$M21&amp;"_old",Ammortamento_Finanziario!$H:$L,5,FALSE),VLOOKUP($M21,TT_Tabelle_Riferimento!$H$31:$I$50,2,FALSE))</f>
        <v>5</v>
      </c>
      <c r="LQ21" s="1078">
        <f>+IFERROR(VLOOKUP(LQ$6&amp;"-"&amp;$M21&amp;"_old",Ammortamento_Finanziario!$H:$L,5,FALSE),VLOOKUP($M21,TT_Tabelle_Riferimento!$H$31:$I$50,2,FALSE))</f>
        <v>5</v>
      </c>
      <c r="LR21" s="1748">
        <f>+IFERROR(VLOOKUP(LR$6&amp;"-"&amp;$M21&amp;"_old",Ammortamento_Finanziario!$H:$L,5,FALSE),VLOOKUP($M21,TT_Tabelle_Riferimento!$H$31:$I$50,2,FALSE))</f>
        <v>5</v>
      </c>
      <c r="LS21" s="1755">
        <f>+IFERROR(VLOOKUP(LS$6&amp;"-"&amp;$M21&amp;"_old",Ammortamento_Finanziario!$H:$L,5,FALSE),VLOOKUP($M21,TT_Tabelle_Riferimento!$H$31:$I$50,2,FALSE))</f>
        <v>5</v>
      </c>
      <c r="LT21" s="1755">
        <f>+IFERROR(VLOOKUP(LT$6&amp;"-"&amp;$M21&amp;"_old",Ammortamento_Finanziario!$H:$L,5,FALSE),VLOOKUP($M21,TT_Tabelle_Riferimento!$H$31:$I$50,2,FALSE))</f>
        <v>5</v>
      </c>
      <c r="LU21" s="1755">
        <f>+IFERROR(VLOOKUP(LU$6&amp;"-"&amp;$M21&amp;"_old",Ammortamento_Finanziario!$H:$L,5,FALSE),VLOOKUP($M21,TT_Tabelle_Riferimento!$H$31:$I$50,2,FALSE))</f>
        <v>5</v>
      </c>
      <c r="LV21" s="1755">
        <f>+IFERROR(VLOOKUP(LV$6&amp;"-"&amp;$M21&amp;"_old",Ammortamento_Finanziario!$H:$L,5,FALSE),VLOOKUP($M21,TT_Tabelle_Riferimento!$H$31:$I$50,2,FALSE))</f>
        <v>5</v>
      </c>
      <c r="LW21" s="1755">
        <f>+IFERROR(VLOOKUP(LW$6&amp;"-"&amp;$M21&amp;"_old",Ammortamento_Finanziario!$H:$L,5,FALSE),VLOOKUP($M21,TT_Tabelle_Riferimento!$H$31:$I$50,2,FALSE))</f>
        <v>5</v>
      </c>
      <c r="LX21" s="1755">
        <f>+IFERROR(VLOOKUP(LX$6&amp;"-"&amp;$M21&amp;"_old",Ammortamento_Finanziario!$H:$L,5,FALSE),VLOOKUP($M21,TT_Tabelle_Riferimento!$H$31:$I$50,2,FALSE))</f>
        <v>5</v>
      </c>
      <c r="LY21" s="1078">
        <f>+IFERROR(VLOOKUP(LY$6&amp;"-"&amp;$M21&amp;"_old",Ammortamento_Finanziario!$H:$L,5,FALSE),VLOOKUP($M21,TT_Tabelle_Riferimento!$H$31:$I$50,2,FALSE))</f>
        <v>5</v>
      </c>
      <c r="LZ21" s="1078">
        <f>+IFERROR(VLOOKUP(LZ$6&amp;"-"&amp;$M21&amp;"_old",Ammortamento_Finanziario!$H:$L,5,FALSE),VLOOKUP($M21,TT_Tabelle_Riferimento!$H$31:$I$50,2,FALSE))</f>
        <v>5</v>
      </c>
      <c r="MA21" s="1078">
        <f>+IFERROR(VLOOKUP(MA$6&amp;"-"&amp;$M21&amp;"_old",Ammortamento_Finanziario!$H:$L,5,FALSE),VLOOKUP($M21,TT_Tabelle_Riferimento!$H$31:$I$50,2,FALSE))</f>
        <v>5</v>
      </c>
      <c r="MB21" s="1078">
        <f>+IFERROR(VLOOKUP(MB$6&amp;"-"&amp;$M21&amp;"_old",Ammortamento_Finanziario!$H:$L,5,FALSE),VLOOKUP($M21,TT_Tabelle_Riferimento!$H$31:$I$50,2,FALSE))</f>
        <v>5</v>
      </c>
      <c r="MC21" s="1078">
        <f>+IFERROR(VLOOKUP(MC$6&amp;"-"&amp;$M21&amp;"_old",Ammortamento_Finanziario!$H:$L,5,FALSE),VLOOKUP($M21,TT_Tabelle_Riferimento!$H$31:$I$50,2,FALSE))</f>
        <v>5</v>
      </c>
      <c r="MD21" s="1078">
        <f>+IFERROR(VLOOKUP(MD$6&amp;"-"&amp;$M21&amp;"_old",Ammortamento_Finanziario!$H:$L,5,FALSE),VLOOKUP($M21,TT_Tabelle_Riferimento!$H$31:$I$50,2,FALSE))</f>
        <v>5</v>
      </c>
      <c r="ME21" s="1078">
        <f>+IFERROR(VLOOKUP(ME$6&amp;"-"&amp;$M21&amp;"_old",Ammortamento_Finanziario!$H:$L,5,FALSE),VLOOKUP($M21,TT_Tabelle_Riferimento!$H$31:$I$50,2,FALSE))</f>
        <v>5</v>
      </c>
      <c r="MF21" s="1078">
        <f>+IFERROR(VLOOKUP(MF$6&amp;"-"&amp;$M21&amp;"_old",Ammortamento_Finanziario!$H:$L,5,FALSE),VLOOKUP($M21,TT_Tabelle_Riferimento!$H$31:$I$50,2,FALSE))</f>
        <v>5</v>
      </c>
      <c r="MG21" s="1078">
        <f>+IFERROR(VLOOKUP(MG$6&amp;"-"&amp;$M21&amp;"_old",Ammortamento_Finanziario!$H:$L,5,FALSE),VLOOKUP($M21,TT_Tabelle_Riferimento!$H$31:$I$50,2,FALSE))</f>
        <v>5</v>
      </c>
      <c r="MH21" s="1078">
        <f>+IFERROR(VLOOKUP(MH$6&amp;"-"&amp;$M21&amp;"_old",Ammortamento_Finanziario!$H:$L,5,FALSE),VLOOKUP($M21,TT_Tabelle_Riferimento!$H$31:$I$50,2,FALSE))</f>
        <v>5</v>
      </c>
      <c r="MI21" s="1078">
        <f>+IFERROR(VLOOKUP(MI$6&amp;"-"&amp;$M21&amp;"_old",Ammortamento_Finanziario!$H:$L,5,FALSE),VLOOKUP($M21,TT_Tabelle_Riferimento!$H$31:$I$50,2,FALSE))</f>
        <v>5</v>
      </c>
      <c r="MJ21" s="1078">
        <f>+IFERROR(VLOOKUP(MJ$6&amp;"-"&amp;$M21&amp;"_old",Ammortamento_Finanziario!$H:$L,5,FALSE),VLOOKUP($M21,TT_Tabelle_Riferimento!$H$31:$I$50,2,FALSE))</f>
        <v>5</v>
      </c>
      <c r="MK21" s="1078">
        <f>+IFERROR(VLOOKUP(MK$6&amp;"-"&amp;$M21&amp;"_old",Ammortamento_Finanziario!$H:$L,5,FALSE),VLOOKUP($M21,TT_Tabelle_Riferimento!$H$31:$I$50,2,FALSE))</f>
        <v>5</v>
      </c>
      <c r="ML21" s="1078">
        <f>+IFERROR(VLOOKUP(ML$6&amp;"-"&amp;$M21&amp;"_old",Ammortamento_Finanziario!$H:$L,5,FALSE),VLOOKUP($M21,TT_Tabelle_Riferimento!$H$31:$I$50,2,FALSE))</f>
        <v>5</v>
      </c>
      <c r="MM21" s="1078">
        <f>+IFERROR(VLOOKUP(MM$6&amp;"-"&amp;$M21&amp;"_old",Ammortamento_Finanziario!$H:$L,5,FALSE),VLOOKUP($M21,TT_Tabelle_Riferimento!$H$31:$I$50,2,FALSE))</f>
        <v>5</v>
      </c>
      <c r="MN21" s="1078">
        <f>+IFERROR(VLOOKUP(MN$6&amp;"-"&amp;$M21&amp;"_old",Ammortamento_Finanziario!$H:$L,5,FALSE),VLOOKUP($M21,TT_Tabelle_Riferimento!$H$31:$I$50,2,FALSE))</f>
        <v>5</v>
      </c>
      <c r="MO21" s="1078">
        <f>+IFERROR(VLOOKUP(MO$6&amp;"-"&amp;$M21&amp;"_old",Ammortamento_Finanziario!$H:$L,5,FALSE),VLOOKUP($M21,TT_Tabelle_Riferimento!$H$31:$I$50,2,FALSE))</f>
        <v>5</v>
      </c>
      <c r="MP21" s="1078">
        <f>+IFERROR(VLOOKUP(MP$6&amp;"-"&amp;$M21&amp;"_old",Ammortamento_Finanziario!$H:$L,5,FALSE),VLOOKUP($M21,TT_Tabelle_Riferimento!$H$31:$I$50,2,FALSE))</f>
        <v>5</v>
      </c>
      <c r="MQ21" s="1078">
        <f>+IFERROR(VLOOKUP(MQ$6&amp;"-"&amp;$M21&amp;"_old",Ammortamento_Finanziario!$H:$L,5,FALSE),VLOOKUP($M21,TT_Tabelle_Riferimento!$H$31:$I$50,2,FALSE))</f>
        <v>5</v>
      </c>
      <c r="MR21" s="1755">
        <f>+IFERROR(VLOOKUP(MR$6&amp;"-"&amp;$M21&amp;"_old",Ammortamento_Finanziario!$H:$L,5,FALSE),VLOOKUP($M21,TT_Tabelle_Riferimento!$H$31:$I$50,2,FALSE))</f>
        <v>5</v>
      </c>
      <c r="MS21" s="1755">
        <f>+IFERROR(VLOOKUP(MS$6&amp;"-"&amp;$M21&amp;"_old",Ammortamento_Finanziario!$H:$L,5,FALSE),VLOOKUP($M21,TT_Tabelle_Riferimento!$H$31:$I$50,2,FALSE))</f>
        <v>5</v>
      </c>
      <c r="MT21" s="1755">
        <f>+IFERROR(VLOOKUP(MT$6&amp;"-"&amp;$M21&amp;"_old",Ammortamento_Finanziario!$H:$L,5,FALSE),VLOOKUP($M21,TT_Tabelle_Riferimento!$H$31:$I$50,2,FALSE))</f>
        <v>5</v>
      </c>
      <c r="MU21" s="1755">
        <f>+IFERROR(VLOOKUP(MU$6&amp;"-"&amp;$M21&amp;"_old",Ammortamento_Finanziario!$H:$L,5,FALSE),VLOOKUP($M21,TT_Tabelle_Riferimento!$H$31:$I$50,2,FALSE))</f>
        <v>5</v>
      </c>
      <c r="MV21" s="1755">
        <f>+IFERROR(VLOOKUP(MV$6&amp;"-"&amp;$M21&amp;"_old",Ammortamento_Finanziario!$H:$L,5,FALSE),VLOOKUP($M21,TT_Tabelle_Riferimento!$H$31:$I$50,2,FALSE))</f>
        <v>5</v>
      </c>
      <c r="MW21" s="1755">
        <f>+IFERROR(VLOOKUP(MW$6&amp;"-"&amp;$M21&amp;"_old",Ammortamento_Finanziario!$H:$L,5,FALSE),VLOOKUP($M21,TT_Tabelle_Riferimento!$H$31:$I$50,2,FALSE))</f>
        <v>5</v>
      </c>
      <c r="MX21" s="1078">
        <f>+IFERROR(VLOOKUP(MX$6&amp;"-"&amp;$M21&amp;"_old",Ammortamento_Finanziario!$H:$L,5,FALSE),VLOOKUP($M21,TT_Tabelle_Riferimento!$H$31:$I$50,2,FALSE))</f>
        <v>5</v>
      </c>
      <c r="MY21" s="1078">
        <f>+IFERROR(VLOOKUP(MY$6&amp;"-"&amp;$M21&amp;"_old",Ammortamento_Finanziario!$H:$L,5,FALSE),VLOOKUP($M21,TT_Tabelle_Riferimento!$H$31:$I$50,2,FALSE))</f>
        <v>5</v>
      </c>
      <c r="MZ21" s="1078">
        <f>+IFERROR(VLOOKUP(MZ$6&amp;"-"&amp;$M21&amp;"_old",Ammortamento_Finanziario!$H:$L,5,FALSE),VLOOKUP($M21,TT_Tabelle_Riferimento!$H$31:$I$50,2,FALSE))</f>
        <v>5</v>
      </c>
      <c r="NA21" s="1078">
        <f>+IFERROR(VLOOKUP(NA$6&amp;"-"&amp;$M21&amp;"_old",Ammortamento_Finanziario!$H:$L,5,FALSE),VLOOKUP($M21,TT_Tabelle_Riferimento!$H$31:$I$50,2,FALSE))</f>
        <v>5</v>
      </c>
      <c r="NB21" s="1078">
        <f>+IFERROR(VLOOKUP(NB$6&amp;"-"&amp;$M21&amp;"_old",Ammortamento_Finanziario!$H:$L,5,FALSE),VLOOKUP($M21,TT_Tabelle_Riferimento!$H$31:$I$50,2,FALSE))</f>
        <v>5</v>
      </c>
      <c r="NC21" s="1078">
        <f>+IFERROR(VLOOKUP(NC$6&amp;"-"&amp;$M21&amp;"_old",Ammortamento_Finanziario!$H:$L,5,FALSE),VLOOKUP($M21,TT_Tabelle_Riferimento!$H$31:$I$50,2,FALSE))</f>
        <v>5</v>
      </c>
      <c r="ND21" s="1078">
        <f>+IFERROR(VLOOKUP(ND$6&amp;"-"&amp;$M21&amp;"_old",Ammortamento_Finanziario!$H:$L,5,FALSE),VLOOKUP($M21,TT_Tabelle_Riferimento!$H$31:$I$50,2,FALSE))</f>
        <v>5</v>
      </c>
      <c r="NE21" s="1078">
        <f>+IFERROR(VLOOKUP(NE$6&amp;"-"&amp;$M21&amp;"_old",Ammortamento_Finanziario!$H:$L,5,FALSE),VLOOKUP($M21,TT_Tabelle_Riferimento!$H$31:$I$50,2,FALSE))</f>
        <v>5</v>
      </c>
      <c r="NF21" s="1078">
        <f>+IFERROR(VLOOKUP(NF$6&amp;"-"&amp;$M21&amp;"_old",Ammortamento_Finanziario!$H:$L,5,FALSE),VLOOKUP($M21,TT_Tabelle_Riferimento!$H$31:$I$50,2,FALSE))</f>
        <v>5</v>
      </c>
      <c r="NG21" s="1078">
        <f>+IFERROR(VLOOKUP(NG$6&amp;"-"&amp;$M21&amp;"_old",Ammortamento_Finanziario!$H:$L,5,FALSE),VLOOKUP($M21,TT_Tabelle_Riferimento!$H$31:$I$50,2,FALSE))</f>
        <v>5</v>
      </c>
      <c r="NH21" s="1078">
        <f>+IFERROR(VLOOKUP(NH$6&amp;"-"&amp;$M21&amp;"_old",Ammortamento_Finanziario!$H:$L,5,FALSE),VLOOKUP($M21,TT_Tabelle_Riferimento!$H$31:$I$50,2,FALSE))</f>
        <v>5</v>
      </c>
      <c r="NI21" s="1078">
        <f>+IFERROR(VLOOKUP(NI$6&amp;"-"&amp;$M21&amp;"_old",Ammortamento_Finanziario!$H:$L,5,FALSE),VLOOKUP($M21,TT_Tabelle_Riferimento!$H$31:$I$50,2,FALSE))</f>
        <v>5</v>
      </c>
      <c r="NJ21" s="1078">
        <f>+IFERROR(VLOOKUP(NJ$6&amp;"-"&amp;$M21&amp;"_old",Ammortamento_Finanziario!$H:$L,5,FALSE),VLOOKUP($M21,TT_Tabelle_Riferimento!$H$31:$I$50,2,FALSE))</f>
        <v>5</v>
      </c>
      <c r="NK21" s="1078">
        <f>+IFERROR(VLOOKUP(NK$6&amp;"-"&amp;$M21&amp;"_old",Ammortamento_Finanziario!$H:$L,5,FALSE),VLOOKUP($M21,TT_Tabelle_Riferimento!$H$31:$I$50,2,FALSE))</f>
        <v>5</v>
      </c>
      <c r="NL21" s="1078">
        <f>+IFERROR(VLOOKUP(NL$6&amp;"-"&amp;$M21&amp;"_old",Ammortamento_Finanziario!$H:$L,5,FALSE),VLOOKUP($M21,TT_Tabelle_Riferimento!$H$31:$I$50,2,FALSE))</f>
        <v>5</v>
      </c>
      <c r="NM21" s="1078">
        <f>+IFERROR(VLOOKUP(NM$6&amp;"-"&amp;$M21&amp;"_old",Ammortamento_Finanziario!$H:$L,5,FALSE),VLOOKUP($M21,TT_Tabelle_Riferimento!$H$31:$I$50,2,FALSE))</f>
        <v>5</v>
      </c>
      <c r="NN21" s="1078">
        <f>+IFERROR(VLOOKUP(NN$6&amp;"-"&amp;$M21&amp;"_old",Ammortamento_Finanziario!$H:$L,5,FALSE),VLOOKUP($M21,TT_Tabelle_Riferimento!$H$31:$I$50,2,FALSE))</f>
        <v>5</v>
      </c>
      <c r="NO21" s="1078">
        <f>+IFERROR(VLOOKUP(NO$6&amp;"-"&amp;$M21&amp;"_old",Ammortamento_Finanziario!$H:$L,5,FALSE),VLOOKUP($M21,TT_Tabelle_Riferimento!$H$31:$I$50,2,FALSE))</f>
        <v>5</v>
      </c>
      <c r="NP21" s="1078">
        <f>+IFERROR(VLOOKUP(NP$6&amp;"-"&amp;$M21&amp;"_old",Ammortamento_Finanziario!$H:$L,5,FALSE),VLOOKUP($M21,TT_Tabelle_Riferimento!$H$31:$I$50,2,FALSE))</f>
        <v>5</v>
      </c>
      <c r="NQ21" s="1755">
        <f>+IFERROR(VLOOKUP(NQ$6&amp;"-"&amp;$M21&amp;"_old",Ammortamento_Finanziario!$H:$L,5,FALSE),VLOOKUP($M21,TT_Tabelle_Riferimento!$H$31:$I$50,2,FALSE))</f>
        <v>5</v>
      </c>
      <c r="NR21" s="1755">
        <f>+IFERROR(VLOOKUP(NR$6&amp;"-"&amp;$M21&amp;"_old",Ammortamento_Finanziario!$H:$L,5,FALSE),VLOOKUP($M21,TT_Tabelle_Riferimento!$H$31:$I$50,2,FALSE))</f>
        <v>5</v>
      </c>
      <c r="NS21" s="1755">
        <f>+IFERROR(VLOOKUP(NS$6&amp;"-"&amp;$M21&amp;"_old",Ammortamento_Finanziario!$H:$L,5,FALSE),VLOOKUP($M21,TT_Tabelle_Riferimento!$H$31:$I$50,2,FALSE))</f>
        <v>5</v>
      </c>
      <c r="NT21" s="1755">
        <f>+IFERROR(VLOOKUP(NT$6&amp;"-"&amp;$M21&amp;"_old",Ammortamento_Finanziario!$H:$L,5,FALSE),VLOOKUP($M21,TT_Tabelle_Riferimento!$H$31:$I$50,2,FALSE))</f>
        <v>5</v>
      </c>
      <c r="NU21" s="1755">
        <f>+IFERROR(VLOOKUP(NU$6&amp;"-"&amp;$M21&amp;"_old",Ammortamento_Finanziario!$H:$L,5,FALSE),VLOOKUP($M21,TT_Tabelle_Riferimento!$H$31:$I$50,2,FALSE))</f>
        <v>5</v>
      </c>
      <c r="NV21" s="1078">
        <f>+IFERROR(VLOOKUP(NV$6&amp;"-"&amp;$M21&amp;"_old",Ammortamento_Finanziario!$H:$L,5,FALSE),VLOOKUP($M21,TT_Tabelle_Riferimento!$H$31:$I$50,2,FALSE))</f>
        <v>5</v>
      </c>
      <c r="NW21" s="1078">
        <f>+IFERROR(VLOOKUP(NW$6&amp;"-"&amp;$M21&amp;"_old",Ammortamento_Finanziario!$H:$L,5,FALSE),VLOOKUP($M21,TT_Tabelle_Riferimento!$H$31:$I$50,2,FALSE))</f>
        <v>5</v>
      </c>
      <c r="NX21" s="1078">
        <f>+IFERROR(VLOOKUP(NX$6&amp;"-"&amp;$M21&amp;"_old",Ammortamento_Finanziario!$H:$L,5,FALSE),VLOOKUP($M21,TT_Tabelle_Riferimento!$H$31:$I$50,2,FALSE))</f>
        <v>5</v>
      </c>
      <c r="NY21" s="1078">
        <f>+IFERROR(VLOOKUP(NY$6&amp;"-"&amp;$M21&amp;"_old",Ammortamento_Finanziario!$H:$L,5,FALSE),VLOOKUP($M21,TT_Tabelle_Riferimento!$H$31:$I$50,2,FALSE))</f>
        <v>5</v>
      </c>
      <c r="NZ21" s="1078">
        <f>+IFERROR(VLOOKUP(NZ$6&amp;"-"&amp;$M21&amp;"_old",Ammortamento_Finanziario!$H:$L,5,FALSE),VLOOKUP($M21,TT_Tabelle_Riferimento!$H$31:$I$50,2,FALSE))</f>
        <v>5</v>
      </c>
      <c r="OA21" s="1078">
        <f>+IFERROR(VLOOKUP(OA$6&amp;"-"&amp;$M21&amp;"_old",Ammortamento_Finanziario!$H:$L,5,FALSE),VLOOKUP($M21,TT_Tabelle_Riferimento!$H$31:$I$50,2,FALSE))</f>
        <v>5</v>
      </c>
      <c r="OB21" s="1078">
        <f>+IFERROR(VLOOKUP(OB$6&amp;"-"&amp;$M21&amp;"_old",Ammortamento_Finanziario!$H:$L,5,FALSE),VLOOKUP($M21,TT_Tabelle_Riferimento!$H$31:$I$50,2,FALSE))</f>
        <v>5</v>
      </c>
      <c r="OC21" s="1078">
        <f>+IFERROR(VLOOKUP(OC$6&amp;"-"&amp;$M21&amp;"_old",Ammortamento_Finanziario!$H:$L,5,FALSE),VLOOKUP($M21,TT_Tabelle_Riferimento!$H$31:$I$50,2,FALSE))</f>
        <v>5</v>
      </c>
      <c r="OD21" s="1078">
        <f>+IFERROR(VLOOKUP(OD$6&amp;"-"&amp;$M21&amp;"_old",Ammortamento_Finanziario!$H:$L,5,FALSE),VLOOKUP($M21,TT_Tabelle_Riferimento!$H$31:$I$50,2,FALSE))</f>
        <v>5</v>
      </c>
      <c r="OE21" s="1078">
        <f>+IFERROR(VLOOKUP(OE$6&amp;"-"&amp;$M21&amp;"_old",Ammortamento_Finanziario!$H:$L,5,FALSE),VLOOKUP($M21,TT_Tabelle_Riferimento!$H$31:$I$50,2,FALSE))</f>
        <v>5</v>
      </c>
      <c r="OF21" s="1078">
        <f>+IFERROR(VLOOKUP(OF$6&amp;"-"&amp;$M21&amp;"_old",Ammortamento_Finanziario!$H:$L,5,FALSE),VLOOKUP($M21,TT_Tabelle_Riferimento!$H$31:$I$50,2,FALSE))</f>
        <v>5</v>
      </c>
      <c r="OG21" s="1078">
        <f>+IFERROR(VLOOKUP(OG$6&amp;"-"&amp;$M21&amp;"_old",Ammortamento_Finanziario!$H:$L,5,FALSE),VLOOKUP($M21,TT_Tabelle_Riferimento!$H$31:$I$50,2,FALSE))</f>
        <v>5</v>
      </c>
      <c r="OH21" s="1078">
        <f>+IFERROR(VLOOKUP(OH$6&amp;"-"&amp;$M21&amp;"_old",Ammortamento_Finanziario!$H:$L,5,FALSE),VLOOKUP($M21,TT_Tabelle_Riferimento!$H$31:$I$50,2,FALSE))</f>
        <v>5</v>
      </c>
      <c r="OI21" s="1078">
        <f>+IFERROR(VLOOKUP(OI$6&amp;"-"&amp;$M21&amp;"_old",Ammortamento_Finanziario!$H:$L,5,FALSE),VLOOKUP($M21,TT_Tabelle_Riferimento!$H$31:$I$50,2,FALSE))</f>
        <v>5</v>
      </c>
      <c r="OJ21" s="1078">
        <f>+IFERROR(VLOOKUP(OJ$6&amp;"-"&amp;$M21&amp;"_old",Ammortamento_Finanziario!$H:$L,5,FALSE),VLOOKUP($M21,TT_Tabelle_Riferimento!$H$31:$I$50,2,FALSE))</f>
        <v>5</v>
      </c>
      <c r="OK21" s="1078">
        <f>+IFERROR(VLOOKUP(OK$6&amp;"-"&amp;$M21&amp;"_old",Ammortamento_Finanziario!$H:$L,5,FALSE),VLOOKUP($M21,TT_Tabelle_Riferimento!$H$31:$I$50,2,FALSE))</f>
        <v>5</v>
      </c>
      <c r="OL21" s="1078">
        <f>+IFERROR(VLOOKUP(OL$6&amp;"-"&amp;$M21&amp;"_old",Ammortamento_Finanziario!$H:$L,5,FALSE),VLOOKUP($M21,TT_Tabelle_Riferimento!$H$31:$I$50,2,FALSE))</f>
        <v>5</v>
      </c>
      <c r="OM21" s="1078">
        <f>+IFERROR(VLOOKUP(OM$6&amp;"-"&amp;$M21&amp;"_old",Ammortamento_Finanziario!$H:$L,5,FALSE),VLOOKUP($M21,TT_Tabelle_Riferimento!$H$31:$I$50,2,FALSE))</f>
        <v>5</v>
      </c>
      <c r="ON21" s="1078">
        <f>+IFERROR(VLOOKUP(ON$6&amp;"-"&amp;$M21&amp;"_old",Ammortamento_Finanziario!$H:$L,5,FALSE),VLOOKUP($M21,TT_Tabelle_Riferimento!$H$31:$I$50,2,FALSE))</f>
        <v>5</v>
      </c>
      <c r="OO21" s="1755">
        <f>+IFERROR(VLOOKUP(OO$6&amp;"-"&amp;$M21&amp;"_old",Ammortamento_Finanziario!$H:$L,5,FALSE),VLOOKUP($M21,TT_Tabelle_Riferimento!$H$31:$I$50,2,FALSE))</f>
        <v>5</v>
      </c>
      <c r="OP21" s="1755">
        <f>+IFERROR(VLOOKUP(OP$6&amp;"-"&amp;$M21&amp;"_old",Ammortamento_Finanziario!$H:$L,5,FALSE),VLOOKUP($M21,TT_Tabelle_Riferimento!$H$31:$I$50,2,FALSE))</f>
        <v>5</v>
      </c>
      <c r="OQ21" s="1755">
        <f>+IFERROR(VLOOKUP(OQ$6&amp;"-"&amp;$M21&amp;"_old",Ammortamento_Finanziario!$H:$L,5,FALSE),VLOOKUP($M21,TT_Tabelle_Riferimento!$H$31:$I$50,2,FALSE))</f>
        <v>5</v>
      </c>
      <c r="OR21" s="1755">
        <f>+IFERROR(VLOOKUP(OR$6&amp;"-"&amp;$M21&amp;"_old",Ammortamento_Finanziario!$H:$L,5,FALSE),VLOOKUP($M21,TT_Tabelle_Riferimento!$H$31:$I$50,2,FALSE))</f>
        <v>5</v>
      </c>
      <c r="OS21" s="1078">
        <f>+IFERROR(VLOOKUP(OS$6&amp;"-"&amp;$M21&amp;"_old",Ammortamento_Finanziario!$H:$L,5,FALSE),VLOOKUP($M21,TT_Tabelle_Riferimento!$H$31:$I$50,2,FALSE))</f>
        <v>5</v>
      </c>
      <c r="OT21" s="1078">
        <f>+IFERROR(VLOOKUP(OT$6&amp;"-"&amp;$M21&amp;"_old",Ammortamento_Finanziario!$H:$L,5,FALSE),VLOOKUP($M21,TT_Tabelle_Riferimento!$H$31:$I$50,2,FALSE))</f>
        <v>5</v>
      </c>
      <c r="OU21" s="1078">
        <f>+IFERROR(VLOOKUP(OU$6&amp;"-"&amp;$M21&amp;"_old",Ammortamento_Finanziario!$H:$L,5,FALSE),VLOOKUP($M21,TT_Tabelle_Riferimento!$H$31:$I$50,2,FALSE))</f>
        <v>5</v>
      </c>
      <c r="OV21" s="1078">
        <f>+IFERROR(VLOOKUP(OV$6&amp;"-"&amp;$M21&amp;"_old",Ammortamento_Finanziario!$H:$L,5,FALSE),VLOOKUP($M21,TT_Tabelle_Riferimento!$H$31:$I$50,2,FALSE))</f>
        <v>5</v>
      </c>
      <c r="OW21" s="1078">
        <f>+IFERROR(VLOOKUP(OW$6&amp;"-"&amp;$M21&amp;"_old",Ammortamento_Finanziario!$H:$L,5,FALSE),VLOOKUP($M21,TT_Tabelle_Riferimento!$H$31:$I$50,2,FALSE))</f>
        <v>5</v>
      </c>
      <c r="OX21" s="1078">
        <f>+IFERROR(VLOOKUP(OX$6&amp;"-"&amp;$M21&amp;"_old",Ammortamento_Finanziario!$H:$L,5,FALSE),VLOOKUP($M21,TT_Tabelle_Riferimento!$H$31:$I$50,2,FALSE))</f>
        <v>5</v>
      </c>
      <c r="OY21" s="1078">
        <f>+IFERROR(VLOOKUP(OY$6&amp;"-"&amp;$M21&amp;"_old",Ammortamento_Finanziario!$H:$L,5,FALSE),VLOOKUP($M21,TT_Tabelle_Riferimento!$H$31:$I$50,2,FALSE))</f>
        <v>5</v>
      </c>
      <c r="OZ21" s="1078">
        <f>+IFERROR(VLOOKUP(OZ$6&amp;"-"&amp;$M21&amp;"_old",Ammortamento_Finanziario!$H:$L,5,FALSE),VLOOKUP($M21,TT_Tabelle_Riferimento!$H$31:$I$50,2,FALSE))</f>
        <v>5</v>
      </c>
      <c r="PA21" s="1078">
        <f>+IFERROR(VLOOKUP(PA$6&amp;"-"&amp;$M21&amp;"_old",Ammortamento_Finanziario!$H:$L,5,FALSE),VLOOKUP($M21,TT_Tabelle_Riferimento!$H$31:$I$50,2,FALSE))</f>
        <v>5</v>
      </c>
      <c r="PB21" s="1078">
        <f>+IFERROR(VLOOKUP(PB$6&amp;"-"&amp;$M21&amp;"_old",Ammortamento_Finanziario!$H:$L,5,FALSE),VLOOKUP($M21,TT_Tabelle_Riferimento!$H$31:$I$50,2,FALSE))</f>
        <v>5</v>
      </c>
      <c r="PC21" s="1078">
        <f>+IFERROR(VLOOKUP(PC$6&amp;"-"&amp;$M21&amp;"_old",Ammortamento_Finanziario!$H:$L,5,FALSE),VLOOKUP($M21,TT_Tabelle_Riferimento!$H$31:$I$50,2,FALSE))</f>
        <v>5</v>
      </c>
      <c r="PD21" s="1078">
        <f>+IFERROR(VLOOKUP(PD$6&amp;"-"&amp;$M21&amp;"_old",Ammortamento_Finanziario!$H:$L,5,FALSE),VLOOKUP($M21,TT_Tabelle_Riferimento!$H$31:$I$50,2,FALSE))</f>
        <v>5</v>
      </c>
      <c r="PE21" s="1078">
        <f>+IFERROR(VLOOKUP(PE$6&amp;"-"&amp;$M21&amp;"_old",Ammortamento_Finanziario!$H:$L,5,FALSE),VLOOKUP($M21,TT_Tabelle_Riferimento!$H$31:$I$50,2,FALSE))</f>
        <v>5</v>
      </c>
      <c r="PF21" s="1078">
        <f>+IFERROR(VLOOKUP(PF$6&amp;"-"&amp;$M21&amp;"_old",Ammortamento_Finanziario!$H:$L,5,FALSE),VLOOKUP($M21,TT_Tabelle_Riferimento!$H$31:$I$50,2,FALSE))</f>
        <v>5</v>
      </c>
      <c r="PG21" s="1078">
        <f>+IFERROR(VLOOKUP(PG$6&amp;"-"&amp;$M21&amp;"_old",Ammortamento_Finanziario!$H:$L,5,FALSE),VLOOKUP($M21,TT_Tabelle_Riferimento!$H$31:$I$50,2,FALSE))</f>
        <v>5</v>
      </c>
      <c r="PH21" s="1078">
        <f>+IFERROR(VLOOKUP(PH$6&amp;"-"&amp;$M21&amp;"_old",Ammortamento_Finanziario!$H:$L,5,FALSE),VLOOKUP($M21,TT_Tabelle_Riferimento!$H$31:$I$50,2,FALSE))</f>
        <v>5</v>
      </c>
      <c r="PI21" s="1078">
        <f>+IFERROR(VLOOKUP(PI$6&amp;"-"&amp;$M21&amp;"_old",Ammortamento_Finanziario!$H:$L,5,FALSE),VLOOKUP($M21,TT_Tabelle_Riferimento!$H$31:$I$50,2,FALSE))</f>
        <v>5</v>
      </c>
      <c r="PJ21" s="1078">
        <f>+IFERROR(VLOOKUP(PJ$6&amp;"-"&amp;$M21&amp;"_old",Ammortamento_Finanziario!$H:$L,5,FALSE),VLOOKUP($M21,TT_Tabelle_Riferimento!$H$31:$I$50,2,FALSE))</f>
        <v>5</v>
      </c>
      <c r="PK21" s="1078">
        <f>+IFERROR(VLOOKUP(PK$6&amp;"-"&amp;$M21&amp;"_old",Ammortamento_Finanziario!$H:$L,5,FALSE),VLOOKUP($M21,TT_Tabelle_Riferimento!$H$31:$I$50,2,FALSE))</f>
        <v>5</v>
      </c>
      <c r="PL21" s="1755">
        <f>+IFERROR(VLOOKUP(PL$6&amp;"-"&amp;$M21&amp;"_old",Ammortamento_Finanziario!$H:$L,5,FALSE),VLOOKUP($M21,TT_Tabelle_Riferimento!$H$31:$I$50,2,FALSE))</f>
        <v>5</v>
      </c>
      <c r="PM21" s="1755">
        <f>+IFERROR(VLOOKUP(PM$6&amp;"-"&amp;$M21&amp;"_old",Ammortamento_Finanziario!$H:$L,5,FALSE),VLOOKUP($M21,TT_Tabelle_Riferimento!$H$31:$I$50,2,FALSE))</f>
        <v>5</v>
      </c>
      <c r="PN21" s="1755">
        <f>+IFERROR(VLOOKUP(PN$6&amp;"-"&amp;$M21&amp;"_old",Ammortamento_Finanziario!$H:$L,5,FALSE),VLOOKUP($M21,TT_Tabelle_Riferimento!$H$31:$I$50,2,FALSE))</f>
        <v>5</v>
      </c>
      <c r="PO21" s="1078">
        <f>+IFERROR(VLOOKUP(PO$6&amp;"-"&amp;$M21&amp;"_old",Ammortamento_Finanziario!$H:$L,5,FALSE),VLOOKUP($M21,TT_Tabelle_Riferimento!$H$31:$I$50,2,FALSE))</f>
        <v>5</v>
      </c>
      <c r="PP21" s="1078">
        <f>+IFERROR(VLOOKUP(PP$6&amp;"-"&amp;$M21&amp;"_old",Ammortamento_Finanziario!$H:$L,5,FALSE),VLOOKUP($M21,TT_Tabelle_Riferimento!$H$31:$I$50,2,FALSE))</f>
        <v>5</v>
      </c>
      <c r="PQ21" s="1078">
        <f>+IFERROR(VLOOKUP(PQ$6&amp;"-"&amp;$M21&amp;"_old",Ammortamento_Finanziario!$H:$L,5,FALSE),VLOOKUP($M21,TT_Tabelle_Riferimento!$H$31:$I$50,2,FALSE))</f>
        <v>5</v>
      </c>
      <c r="PR21" s="1078">
        <f>+IFERROR(VLOOKUP(PR$6&amp;"-"&amp;$M21&amp;"_old",Ammortamento_Finanziario!$H:$L,5,FALSE),VLOOKUP($M21,TT_Tabelle_Riferimento!$H$31:$I$50,2,FALSE))</f>
        <v>5</v>
      </c>
      <c r="PS21" s="1078">
        <f>+IFERROR(VLOOKUP(PS$6&amp;"-"&amp;$M21&amp;"_old",Ammortamento_Finanziario!$H:$L,5,FALSE),VLOOKUP($M21,TT_Tabelle_Riferimento!$H$31:$I$50,2,FALSE))</f>
        <v>5</v>
      </c>
      <c r="PT21" s="1078">
        <f>+IFERROR(VLOOKUP(PT$6&amp;"-"&amp;$M21&amp;"_old",Ammortamento_Finanziario!$H:$L,5,FALSE),VLOOKUP($M21,TT_Tabelle_Riferimento!$H$31:$I$50,2,FALSE))</f>
        <v>5</v>
      </c>
      <c r="PU21" s="1078">
        <f>+IFERROR(VLOOKUP(PU$6&amp;"-"&amp;$M21&amp;"_old",Ammortamento_Finanziario!$H:$L,5,FALSE),VLOOKUP($M21,TT_Tabelle_Riferimento!$H$31:$I$50,2,FALSE))</f>
        <v>5</v>
      </c>
      <c r="PV21" s="1078">
        <f>+IFERROR(VLOOKUP(PV$6&amp;"-"&amp;$M21&amp;"_old",Ammortamento_Finanziario!$H:$L,5,FALSE),VLOOKUP($M21,TT_Tabelle_Riferimento!$H$31:$I$50,2,FALSE))</f>
        <v>5</v>
      </c>
      <c r="PW21" s="1078">
        <f>+IFERROR(VLOOKUP(PW$6&amp;"-"&amp;$M21&amp;"_old",Ammortamento_Finanziario!$H:$L,5,FALSE),VLOOKUP($M21,TT_Tabelle_Riferimento!$H$31:$I$50,2,FALSE))</f>
        <v>5</v>
      </c>
      <c r="PX21" s="1078">
        <f>+IFERROR(VLOOKUP(PX$6&amp;"-"&amp;$M21&amp;"_old",Ammortamento_Finanziario!$H:$L,5,FALSE),VLOOKUP($M21,TT_Tabelle_Riferimento!$H$31:$I$50,2,FALSE))</f>
        <v>5</v>
      </c>
      <c r="PY21" s="1078">
        <f>+IFERROR(VLOOKUP(PY$6&amp;"-"&amp;$M21&amp;"_old",Ammortamento_Finanziario!$H:$L,5,FALSE),VLOOKUP($M21,TT_Tabelle_Riferimento!$H$31:$I$50,2,FALSE))</f>
        <v>5</v>
      </c>
      <c r="PZ21" s="1078">
        <f>+IFERROR(VLOOKUP(PZ$6&amp;"-"&amp;$M21&amp;"_old",Ammortamento_Finanziario!$H:$L,5,FALSE),VLOOKUP($M21,TT_Tabelle_Riferimento!$H$31:$I$50,2,FALSE))</f>
        <v>5</v>
      </c>
      <c r="QA21" s="1078">
        <f>+IFERROR(VLOOKUP(QA$6&amp;"-"&amp;$M21&amp;"_old",Ammortamento_Finanziario!$H:$L,5,FALSE),VLOOKUP($M21,TT_Tabelle_Riferimento!$H$31:$I$50,2,FALSE))</f>
        <v>5</v>
      </c>
      <c r="QB21" s="1078">
        <f>+IFERROR(VLOOKUP(QB$6&amp;"-"&amp;$M21&amp;"_old",Ammortamento_Finanziario!$H:$L,5,FALSE),VLOOKUP($M21,TT_Tabelle_Riferimento!$H$31:$I$50,2,FALSE))</f>
        <v>5</v>
      </c>
      <c r="QC21" s="1078">
        <f>+IFERROR(VLOOKUP(QC$6&amp;"-"&amp;$M21&amp;"_old",Ammortamento_Finanziario!$H:$L,5,FALSE),VLOOKUP($M21,TT_Tabelle_Riferimento!$H$31:$I$50,2,FALSE))</f>
        <v>5</v>
      </c>
      <c r="QD21" s="1078">
        <f>+IFERROR(VLOOKUP(QD$6&amp;"-"&amp;$M21&amp;"_old",Ammortamento_Finanziario!$H:$L,5,FALSE),VLOOKUP($M21,TT_Tabelle_Riferimento!$H$31:$I$50,2,FALSE))</f>
        <v>5</v>
      </c>
      <c r="QE21" s="1078">
        <f>+IFERROR(VLOOKUP(QE$6&amp;"-"&amp;$M21&amp;"_old",Ammortamento_Finanziario!$H:$L,5,FALSE),VLOOKUP($M21,TT_Tabelle_Riferimento!$H$31:$I$50,2,FALSE))</f>
        <v>5</v>
      </c>
      <c r="QF21" s="1078">
        <f>+IFERROR(VLOOKUP(QF$6&amp;"-"&amp;$M21&amp;"_old",Ammortamento_Finanziario!$H:$L,5,FALSE),VLOOKUP($M21,TT_Tabelle_Riferimento!$H$31:$I$50,2,FALSE))</f>
        <v>5</v>
      </c>
      <c r="QG21" s="1078">
        <f>+IFERROR(VLOOKUP(QG$6&amp;"-"&amp;$M21&amp;"_old",Ammortamento_Finanziario!$H:$L,5,FALSE),VLOOKUP($M21,TT_Tabelle_Riferimento!$H$31:$I$50,2,FALSE))</f>
        <v>5</v>
      </c>
      <c r="QH21" s="1755">
        <f>+IFERROR(VLOOKUP(QH$6&amp;"-"&amp;$M21&amp;"_old",Ammortamento_Finanziario!$H:$L,5,FALSE),VLOOKUP($M21,TT_Tabelle_Riferimento!$H$31:$I$50,2,FALSE))</f>
        <v>5</v>
      </c>
      <c r="QI21" s="1755">
        <f>+IFERROR(VLOOKUP(QI$6&amp;"-"&amp;$M21&amp;"_old",Ammortamento_Finanziario!$H:$L,5,FALSE),VLOOKUP($M21,TT_Tabelle_Riferimento!$H$31:$I$50,2,FALSE))</f>
        <v>5</v>
      </c>
      <c r="QJ21" s="1078">
        <f>+IFERROR(VLOOKUP(QJ$6&amp;"-"&amp;$M21&amp;"_old",Ammortamento_Finanziario!$H:$L,5,FALSE),VLOOKUP($M21,TT_Tabelle_Riferimento!$H$31:$I$50,2,FALSE))</f>
        <v>5</v>
      </c>
      <c r="QK21" s="1078">
        <f>+IFERROR(VLOOKUP(QK$6&amp;"-"&amp;$M21&amp;"_old",Ammortamento_Finanziario!$H:$L,5,FALSE),VLOOKUP($M21,TT_Tabelle_Riferimento!$H$31:$I$50,2,FALSE))</f>
        <v>5</v>
      </c>
      <c r="QL21" s="1078">
        <f>+IFERROR(VLOOKUP(QL$6&amp;"-"&amp;$M21&amp;"_old",Ammortamento_Finanziario!$H:$L,5,FALSE),VLOOKUP($M21,TT_Tabelle_Riferimento!$H$31:$I$50,2,FALSE))</f>
        <v>5</v>
      </c>
      <c r="QM21" s="1078">
        <f>+IFERROR(VLOOKUP(QM$6&amp;"-"&amp;$M21&amp;"_old",Ammortamento_Finanziario!$H:$L,5,FALSE),VLOOKUP($M21,TT_Tabelle_Riferimento!$H$31:$I$50,2,FALSE))</f>
        <v>5</v>
      </c>
      <c r="QN21" s="1078">
        <f>+IFERROR(VLOOKUP(QN$6&amp;"-"&amp;$M21&amp;"_old",Ammortamento_Finanziario!$H:$L,5,FALSE),VLOOKUP($M21,TT_Tabelle_Riferimento!$H$31:$I$50,2,FALSE))</f>
        <v>5</v>
      </c>
      <c r="QO21" s="1078">
        <f>+IFERROR(VLOOKUP(QO$6&amp;"-"&amp;$M21&amp;"_old",Ammortamento_Finanziario!$H:$L,5,FALSE),VLOOKUP($M21,TT_Tabelle_Riferimento!$H$31:$I$50,2,FALSE))</f>
        <v>5</v>
      </c>
      <c r="QP21" s="1078">
        <f>+IFERROR(VLOOKUP(QP$6&amp;"-"&amp;$M21&amp;"_old",Ammortamento_Finanziario!$H:$L,5,FALSE),VLOOKUP($M21,TT_Tabelle_Riferimento!$H$31:$I$50,2,FALSE))</f>
        <v>5</v>
      </c>
      <c r="QQ21" s="1078">
        <f>+IFERROR(VLOOKUP(QQ$6&amp;"-"&amp;$M21&amp;"_old",Ammortamento_Finanziario!$H:$L,5,FALSE),VLOOKUP($M21,TT_Tabelle_Riferimento!$H$31:$I$50,2,FALSE))</f>
        <v>5</v>
      </c>
      <c r="QR21" s="1078">
        <f>+IFERROR(VLOOKUP(QR$6&amp;"-"&amp;$M21&amp;"_old",Ammortamento_Finanziario!$H:$L,5,FALSE),VLOOKUP($M21,TT_Tabelle_Riferimento!$H$31:$I$50,2,FALSE))</f>
        <v>5</v>
      </c>
      <c r="QS21" s="1078">
        <f>+IFERROR(VLOOKUP(QS$6&amp;"-"&amp;$M21&amp;"_old",Ammortamento_Finanziario!$H:$L,5,FALSE),VLOOKUP($M21,TT_Tabelle_Riferimento!$H$31:$I$50,2,FALSE))</f>
        <v>5</v>
      </c>
      <c r="QT21" s="1078">
        <f>+IFERROR(VLOOKUP(QT$6&amp;"-"&amp;$M21&amp;"_old",Ammortamento_Finanziario!$H:$L,5,FALSE),VLOOKUP($M21,TT_Tabelle_Riferimento!$H$31:$I$50,2,FALSE))</f>
        <v>5</v>
      </c>
      <c r="QU21" s="1078">
        <f>+IFERROR(VLOOKUP(QU$6&amp;"-"&amp;$M21&amp;"_old",Ammortamento_Finanziario!$H:$L,5,FALSE),VLOOKUP($M21,TT_Tabelle_Riferimento!$H$31:$I$50,2,FALSE))</f>
        <v>5</v>
      </c>
      <c r="QV21" s="1078">
        <f>+IFERROR(VLOOKUP(QV$6&amp;"-"&amp;$M21&amp;"_old",Ammortamento_Finanziario!$H:$L,5,FALSE),VLOOKUP($M21,TT_Tabelle_Riferimento!$H$31:$I$50,2,FALSE))</f>
        <v>5</v>
      </c>
      <c r="QW21" s="1078">
        <f>+IFERROR(VLOOKUP(QW$6&amp;"-"&amp;$M21&amp;"_old",Ammortamento_Finanziario!$H:$L,5,FALSE),VLOOKUP($M21,TT_Tabelle_Riferimento!$H$31:$I$50,2,FALSE))</f>
        <v>5</v>
      </c>
      <c r="QX21" s="1078">
        <f>+IFERROR(VLOOKUP(QX$6&amp;"-"&amp;$M21&amp;"_old",Ammortamento_Finanziario!$H:$L,5,FALSE),VLOOKUP($M21,TT_Tabelle_Riferimento!$H$31:$I$50,2,FALSE))</f>
        <v>5</v>
      </c>
      <c r="QY21" s="1078">
        <f>+IFERROR(VLOOKUP(QY$6&amp;"-"&amp;$M21&amp;"_old",Ammortamento_Finanziario!$H:$L,5,FALSE),VLOOKUP($M21,TT_Tabelle_Riferimento!$H$31:$I$50,2,FALSE))</f>
        <v>5</v>
      </c>
      <c r="QZ21" s="1078">
        <f>+IFERROR(VLOOKUP(QZ$6&amp;"-"&amp;$M21&amp;"_old",Ammortamento_Finanziario!$H:$L,5,FALSE),VLOOKUP($M21,TT_Tabelle_Riferimento!$H$31:$I$50,2,FALSE))</f>
        <v>5</v>
      </c>
      <c r="RA21" s="1078">
        <f>+IFERROR(VLOOKUP(RA$6&amp;"-"&amp;$M21&amp;"_old",Ammortamento_Finanziario!$H:$L,5,FALSE),VLOOKUP($M21,TT_Tabelle_Riferimento!$H$31:$I$50,2,FALSE))</f>
        <v>5</v>
      </c>
      <c r="RB21" s="1078">
        <f>+IFERROR(VLOOKUP(RB$6&amp;"-"&amp;$M21&amp;"_old",Ammortamento_Finanziario!$H:$L,5,FALSE),VLOOKUP($M21,TT_Tabelle_Riferimento!$H$31:$I$50,2,FALSE))</f>
        <v>5</v>
      </c>
      <c r="RC21" s="1755">
        <f>+IFERROR(VLOOKUP(RC$6&amp;"-"&amp;$M21&amp;"_old",Ammortamento_Finanziario!$H:$L,5,FALSE),VLOOKUP($M21,TT_Tabelle_Riferimento!$H$31:$I$50,2,FALSE))</f>
        <v>5</v>
      </c>
      <c r="RD21" s="1078">
        <f>+IFERROR(VLOOKUP(RD$6&amp;"-"&amp;$M21&amp;"_old",Ammortamento_Finanziario!$H:$L,5,FALSE),VLOOKUP($M21,TT_Tabelle_Riferimento!$H$31:$I$50,2,FALSE))</f>
        <v>5</v>
      </c>
      <c r="RE21" s="1078">
        <f>+IFERROR(VLOOKUP(RE$6&amp;"-"&amp;$M21&amp;"_old",Ammortamento_Finanziario!$H:$L,5,FALSE),VLOOKUP($M21,TT_Tabelle_Riferimento!$H$31:$I$50,2,FALSE))</f>
        <v>5</v>
      </c>
      <c r="RF21" s="1078">
        <f>+IFERROR(VLOOKUP(RF$6&amp;"-"&amp;$M21&amp;"_old",Ammortamento_Finanziario!$H:$L,5,FALSE),VLOOKUP($M21,TT_Tabelle_Riferimento!$H$31:$I$50,2,FALSE))</f>
        <v>5</v>
      </c>
      <c r="RG21" s="1078">
        <f>+IFERROR(VLOOKUP(RG$6&amp;"-"&amp;$M21&amp;"_old",Ammortamento_Finanziario!$H:$L,5,FALSE),VLOOKUP($M21,TT_Tabelle_Riferimento!$H$31:$I$50,2,FALSE))</f>
        <v>5</v>
      </c>
      <c r="RH21" s="1078">
        <f>+IFERROR(VLOOKUP(RH$6&amp;"-"&amp;$M21&amp;"_old",Ammortamento_Finanziario!$H:$L,5,FALSE),VLOOKUP($M21,TT_Tabelle_Riferimento!$H$31:$I$50,2,FALSE))</f>
        <v>5</v>
      </c>
      <c r="RI21" s="1078">
        <f>+IFERROR(VLOOKUP(RI$6&amp;"-"&amp;$M21&amp;"_old",Ammortamento_Finanziario!$H:$L,5,FALSE),VLOOKUP($M21,TT_Tabelle_Riferimento!$H$31:$I$50,2,FALSE))</f>
        <v>5</v>
      </c>
      <c r="RJ21" s="1078">
        <f>+IFERROR(VLOOKUP(RJ$6&amp;"-"&amp;$M21&amp;"_old",Ammortamento_Finanziario!$H:$L,5,FALSE),VLOOKUP($M21,TT_Tabelle_Riferimento!$H$31:$I$50,2,FALSE))</f>
        <v>5</v>
      </c>
      <c r="RK21" s="1078">
        <f>+IFERROR(VLOOKUP(RK$6&amp;"-"&amp;$M21&amp;"_old",Ammortamento_Finanziario!$H:$L,5,FALSE),VLOOKUP($M21,TT_Tabelle_Riferimento!$H$31:$I$50,2,FALSE))</f>
        <v>5</v>
      </c>
      <c r="RL21" s="1078">
        <f>+IFERROR(VLOOKUP(RL$6&amp;"-"&amp;$M21&amp;"_old",Ammortamento_Finanziario!$H:$L,5,FALSE),VLOOKUP($M21,TT_Tabelle_Riferimento!$H$31:$I$50,2,FALSE))</f>
        <v>5</v>
      </c>
      <c r="RM21" s="1078">
        <f>+IFERROR(VLOOKUP(RM$6&amp;"-"&amp;$M21&amp;"_old",Ammortamento_Finanziario!$H:$L,5,FALSE),VLOOKUP($M21,TT_Tabelle_Riferimento!$H$31:$I$50,2,FALSE))</f>
        <v>5</v>
      </c>
      <c r="RN21" s="1078">
        <f>+IFERROR(VLOOKUP(RN$6&amp;"-"&amp;$M21&amp;"_old",Ammortamento_Finanziario!$H:$L,5,FALSE),VLOOKUP($M21,TT_Tabelle_Riferimento!$H$31:$I$50,2,FALSE))</f>
        <v>5</v>
      </c>
      <c r="RO21" s="1078">
        <f>+IFERROR(VLOOKUP(RO$6&amp;"-"&amp;$M21&amp;"_old",Ammortamento_Finanziario!$H:$L,5,FALSE),VLOOKUP($M21,TT_Tabelle_Riferimento!$H$31:$I$50,2,FALSE))</f>
        <v>5</v>
      </c>
      <c r="RP21" s="1078">
        <f>+IFERROR(VLOOKUP(RP$6&amp;"-"&amp;$M21&amp;"_old",Ammortamento_Finanziario!$H:$L,5,FALSE),VLOOKUP($M21,TT_Tabelle_Riferimento!$H$31:$I$50,2,FALSE))</f>
        <v>5</v>
      </c>
      <c r="RQ21" s="1078">
        <f>+IFERROR(VLOOKUP(RQ$6&amp;"-"&amp;$M21&amp;"_old",Ammortamento_Finanziario!$H:$L,5,FALSE),VLOOKUP($M21,TT_Tabelle_Riferimento!$H$31:$I$50,2,FALSE))</f>
        <v>5</v>
      </c>
      <c r="RR21" s="1078">
        <f>+IFERROR(VLOOKUP(RR$6&amp;"-"&amp;$M21&amp;"_old",Ammortamento_Finanziario!$H:$L,5,FALSE),VLOOKUP($M21,TT_Tabelle_Riferimento!$H$31:$I$50,2,FALSE))</f>
        <v>5</v>
      </c>
      <c r="RS21" s="1078">
        <f>+IFERROR(VLOOKUP(RS$6&amp;"-"&amp;$M21&amp;"_old",Ammortamento_Finanziario!$H:$L,5,FALSE),VLOOKUP($M21,TT_Tabelle_Riferimento!$H$31:$I$50,2,FALSE))</f>
        <v>5</v>
      </c>
      <c r="RT21" s="1078">
        <f>+IFERROR(VLOOKUP(RT$6&amp;"-"&amp;$M21&amp;"_old",Ammortamento_Finanziario!$H:$L,5,FALSE),VLOOKUP($M21,TT_Tabelle_Riferimento!$H$31:$I$50,2,FALSE))</f>
        <v>5</v>
      </c>
      <c r="RU21" s="1078">
        <f>+IFERROR(VLOOKUP(RU$6&amp;"-"&amp;$M21&amp;"_old",Ammortamento_Finanziario!$H:$L,5,FALSE),VLOOKUP($M21,TT_Tabelle_Riferimento!$H$31:$I$50,2,FALSE))</f>
        <v>5</v>
      </c>
      <c r="RV21" s="1078">
        <f>+IFERROR(VLOOKUP(RV$6&amp;"-"&amp;$M21&amp;"_old",Ammortamento_Finanziario!$H:$L,5,FALSE),VLOOKUP($M21,TT_Tabelle_Riferimento!$H$31:$I$50,2,FALSE))</f>
        <v>5</v>
      </c>
    </row>
    <row r="22" spans="4:490">
      <c r="D22" s="135" t="s">
        <v>22700</v>
      </c>
      <c r="E22" s="719">
        <f>+SUMIFS(IMN_gestore!U:U,IMN_gestore!$E:$E,"&gt;="&amp;2012,IMN_gestore!$E:$E,"&lt;="&amp;2022)</f>
        <v>0</v>
      </c>
      <c r="F22" s="719">
        <f>+SUMIFS(IMN_gestore!AF:AF,IMN_gestore!$E:$E,"&gt;="&amp;2012,IMN_gestore!$E:$E,"&lt;="&amp;2023)</f>
        <v>0</v>
      </c>
      <c r="G22" s="719">
        <f>+SUMIFS(IMN_gestore!AQ:AQ,IMN_gestore!$E:$E,"&gt;="&amp;2012,IMN_gestore!$E:$E,"&lt;="&amp;2024)</f>
        <v>0</v>
      </c>
      <c r="H22" s="719">
        <f>+SUMIFS(IMN_gestore!BB:BB,IMN_gestore!$E:$E,"&gt;="&amp;2012,IMN_gestore!$E:$E,"&lt;="&amp;2025)</f>
        <v>0</v>
      </c>
      <c r="I22" s="719">
        <f>+SUMIFS(IMN_gestore!$BM:$BM,IMN_gestore!$E:$E,"&gt;="&amp;2012,IMN_gestore!$E:$E,"&lt;="&amp;2026)</f>
        <v>0</v>
      </c>
      <c r="J22" s="719">
        <f>+SUMIFS(IMN_gestore!$BX:$BX,IMN_gestore!$E:$E,"&gt;="&amp;2012,IMN_gestore!$E:$E,"&lt;="&amp;2027)</f>
        <v>0</v>
      </c>
      <c r="K22" s="136"/>
      <c r="L22" s="125"/>
      <c r="M22" s="1876">
        <v>16</v>
      </c>
      <c r="N22" s="904">
        <f>+IFERROR(VLOOKUP(N$6&amp;"-"&amp;$M22&amp;"_old",Ammortamento_Finanziario!$H:$L,5,FALSE),VLOOKUP($M22,TT_Tabelle_Riferimento!$H$31:$I$50,2,FALSE))</f>
        <v>7</v>
      </c>
      <c r="O22" s="904">
        <f>+IFERROR(VLOOKUP(O$6&amp;"-"&amp;$M22&amp;"_old",Ammortamento_Finanziario!$H:$L,5,FALSE),VLOOKUP($M22,TT_Tabelle_Riferimento!$H$31:$I$50,2,FALSE))</f>
        <v>7</v>
      </c>
      <c r="P22" s="904">
        <f>+IFERROR(VLOOKUP(P$6&amp;"-"&amp;$M22&amp;"_old",Ammortamento_Finanziario!$H:$L,5,FALSE),VLOOKUP($M22,TT_Tabelle_Riferimento!$H$31:$I$50,2,FALSE))</f>
        <v>7</v>
      </c>
      <c r="Q22" s="904">
        <f>+IFERROR(VLOOKUP(Q$6&amp;"-"&amp;$M22&amp;"_old",Ammortamento_Finanziario!$H:$L,5,FALSE),VLOOKUP($M22,TT_Tabelle_Riferimento!$H$31:$I$50,2,FALSE))</f>
        <v>7</v>
      </c>
      <c r="R22" s="904">
        <f>+IFERROR(VLOOKUP(R$6&amp;"-"&amp;$M22&amp;"_old",Ammortamento_Finanziario!$H:$L,5,FALSE),VLOOKUP($M22,TT_Tabelle_Riferimento!$H$31:$I$50,2,FALSE))</f>
        <v>7</v>
      </c>
      <c r="S22" s="904">
        <f>+IFERROR(VLOOKUP(S$6&amp;"-"&amp;$M22&amp;"_old",Ammortamento_Finanziario!$H:$L,5,FALSE),VLOOKUP($M22,TT_Tabelle_Riferimento!$H$31:$I$50,2,FALSE))</f>
        <v>7</v>
      </c>
      <c r="T22" s="904">
        <f>+IFERROR(VLOOKUP(T$6&amp;"-"&amp;$M22&amp;"_old",Ammortamento_Finanziario!$H:$L,5,FALSE),VLOOKUP($M22,TT_Tabelle_Riferimento!$H$31:$I$50,2,FALSE))</f>
        <v>7</v>
      </c>
      <c r="U22" s="904">
        <f>+IFERROR(VLOOKUP(U$6&amp;"-"&amp;$M22&amp;"_old",Ammortamento_Finanziario!$H:$L,5,FALSE),VLOOKUP($M22,TT_Tabelle_Riferimento!$H$31:$I$50,2,FALSE))</f>
        <v>7</v>
      </c>
      <c r="V22" s="904">
        <f>+IFERROR(VLOOKUP(V$6&amp;"-"&amp;$M22&amp;"_old",Ammortamento_Finanziario!$H:$L,5,FALSE),VLOOKUP($M22,TT_Tabelle_Riferimento!$H$31:$I$50,2,FALSE))</f>
        <v>7</v>
      </c>
      <c r="W22" s="904">
        <f>+IFERROR(VLOOKUP(W$6&amp;"-"&amp;$M22&amp;"_old",Ammortamento_Finanziario!$H:$L,5,FALSE),VLOOKUP($M22,TT_Tabelle_Riferimento!$H$31:$I$50,2,FALSE))</f>
        <v>7</v>
      </c>
      <c r="X22" s="1739">
        <f>+IFERROR(VLOOKUP(X$6&amp;"-"&amp;$M22&amp;"_old",Ammortamento_Finanziario!$H:$L,5,FALSE),VLOOKUP($M22,TT_Tabelle_Riferimento!$H$31:$I$50,2,FALSE))</f>
        <v>7</v>
      </c>
      <c r="Y22" s="1739">
        <f>+IFERROR(VLOOKUP(Y$6&amp;"-"&amp;$M22&amp;"_old",Ammortamento_Finanziario!$H:$L,5,FALSE),VLOOKUP($M22,TT_Tabelle_Riferimento!$H$31:$I$50,2,FALSE))</f>
        <v>7</v>
      </c>
      <c r="Z22" s="1749">
        <f>+IFERROR(VLOOKUP(Z$6&amp;"-"&amp;$M22&amp;"_old",Ammortamento_Finanziario!$H:$L,5,FALSE),VLOOKUP($M22,TT_Tabelle_Riferimento!$H$31:$I$50,2,FALSE))</f>
        <v>7</v>
      </c>
      <c r="AA22" s="1749">
        <f>+IFERROR(VLOOKUP(AA$6&amp;"-"&amp;$M22&amp;"_old",Ammortamento_Finanziario!$H:$L,5,FALSE),VLOOKUP($M22,TT_Tabelle_Riferimento!$H$31:$I$50,2,FALSE))</f>
        <v>7</v>
      </c>
      <c r="AB22" s="1749">
        <f>+IFERROR(VLOOKUP(AB$6&amp;"-"&amp;$M22&amp;"_old",Ammortamento_Finanziario!$H:$L,5,FALSE),VLOOKUP($M22,TT_Tabelle_Riferimento!$H$31:$I$50,2,FALSE))</f>
        <v>7</v>
      </c>
      <c r="AC22" s="1749">
        <f>+IFERROR(VLOOKUP(AC$6&amp;"-"&amp;$M22&amp;"_old",Ammortamento_Finanziario!$H:$L,5,FALSE),VLOOKUP($M22,TT_Tabelle_Riferimento!$H$31:$I$50,2,FALSE))</f>
        <v>7</v>
      </c>
      <c r="AD22" s="1749">
        <f>+IFERROR(VLOOKUP(AD$6&amp;"-"&amp;$M22&amp;"_old",Ammortamento_Finanziario!$H:$L,5,FALSE),VLOOKUP($M22,TT_Tabelle_Riferimento!$H$31:$I$50,2,FALSE))</f>
        <v>7</v>
      </c>
      <c r="AE22" s="1749">
        <f>+IFERROR(VLOOKUP(AE$6&amp;"-"&amp;$M22&amp;"_old",Ammortamento_Finanziario!$H:$L,5,FALSE),VLOOKUP($M22,TT_Tabelle_Riferimento!$H$31:$I$50,2,FALSE))</f>
        <v>7</v>
      </c>
      <c r="AF22" s="625">
        <f>+IFERROR(VLOOKUP(AF$6&amp;"-"&amp;$M22&amp;"_old",Ammortamento_Finanziario!$H:$L,5,FALSE),VLOOKUP($M22,TT_Tabelle_Riferimento!$H$31:$I$50,2,FALSE))</f>
        <v>7</v>
      </c>
      <c r="AG22" s="625">
        <f>+IFERROR(VLOOKUP(AG$6&amp;"-"&amp;$M22&amp;"_old",Ammortamento_Finanziario!$H:$L,5,FALSE),VLOOKUP($M22,TT_Tabelle_Riferimento!$H$31:$I$50,2,FALSE))</f>
        <v>7</v>
      </c>
      <c r="AH22" s="625">
        <f>+IFERROR(VLOOKUP(AH$6&amp;"-"&amp;$M22&amp;"_old",Ammortamento_Finanziario!$H:$L,5,FALSE),VLOOKUP($M22,TT_Tabelle_Riferimento!$H$31:$I$50,2,FALSE))</f>
        <v>7</v>
      </c>
      <c r="AI22" s="625">
        <f>+IFERROR(VLOOKUP(AI$6&amp;"-"&amp;$M22&amp;"_old",Ammortamento_Finanziario!$H:$L,5,FALSE),VLOOKUP($M22,TT_Tabelle_Riferimento!$H$31:$I$50,2,FALSE))</f>
        <v>7</v>
      </c>
      <c r="AJ22" s="625">
        <f>+IFERROR(VLOOKUP(AJ$6&amp;"-"&amp;$M22&amp;"_old",Ammortamento_Finanziario!$H:$L,5,FALSE),VLOOKUP($M22,TT_Tabelle_Riferimento!$H$31:$I$50,2,FALSE))</f>
        <v>7</v>
      </c>
      <c r="AK22" s="625">
        <f>+IFERROR(VLOOKUP(AK$6&amp;"-"&amp;$M22&amp;"_old",Ammortamento_Finanziario!$H:$L,5,FALSE),VLOOKUP($M22,TT_Tabelle_Riferimento!$H$31:$I$50,2,FALSE))</f>
        <v>7</v>
      </c>
      <c r="AL22" s="625">
        <f>+IFERROR(VLOOKUP(AL$6&amp;"-"&amp;$M22&amp;"_old",Ammortamento_Finanziario!$H:$L,5,FALSE),VLOOKUP($M22,TT_Tabelle_Riferimento!$H$31:$I$50,2,FALSE))</f>
        <v>7</v>
      </c>
      <c r="AM22" s="625">
        <f>+IFERROR(VLOOKUP(AM$6&amp;"-"&amp;$M22&amp;"_old",Ammortamento_Finanziario!$H:$L,5,FALSE),VLOOKUP($M22,TT_Tabelle_Riferimento!$H$31:$I$50,2,FALSE))</f>
        <v>7</v>
      </c>
      <c r="AN22" s="625">
        <f>+IFERROR(VLOOKUP(AN$6&amp;"-"&amp;$M22&amp;"_old",Ammortamento_Finanziario!$H:$L,5,FALSE),VLOOKUP($M22,TT_Tabelle_Riferimento!$H$31:$I$50,2,FALSE))</f>
        <v>7</v>
      </c>
      <c r="AO22" s="625">
        <f>+IFERROR(VLOOKUP(AO$6&amp;"-"&amp;$M22&amp;"_old",Ammortamento_Finanziario!$H:$L,5,FALSE),VLOOKUP($M22,TT_Tabelle_Riferimento!$H$31:$I$50,2,FALSE))</f>
        <v>7</v>
      </c>
      <c r="AP22" s="625">
        <f>+IFERROR(VLOOKUP(AP$6&amp;"-"&amp;$M22&amp;"_old",Ammortamento_Finanziario!$H:$L,5,FALSE),VLOOKUP($M22,TT_Tabelle_Riferimento!$H$31:$I$50,2,FALSE))</f>
        <v>7</v>
      </c>
      <c r="AQ22" s="625">
        <f>+IFERROR(VLOOKUP(AQ$6&amp;"-"&amp;$M22&amp;"_old",Ammortamento_Finanziario!$H:$L,5,FALSE),VLOOKUP($M22,TT_Tabelle_Riferimento!$H$31:$I$50,2,FALSE))</f>
        <v>7</v>
      </c>
      <c r="AR22" s="625">
        <f>+IFERROR(VLOOKUP(AR$6&amp;"-"&amp;$M22&amp;"_old",Ammortamento_Finanziario!$H:$L,5,FALSE),VLOOKUP($M22,TT_Tabelle_Riferimento!$H$31:$I$50,2,FALSE))</f>
        <v>7</v>
      </c>
      <c r="AS22" s="625">
        <f>+IFERROR(VLOOKUP(AS$6&amp;"-"&amp;$M22&amp;"_old",Ammortamento_Finanziario!$H:$L,5,FALSE),VLOOKUP($M22,TT_Tabelle_Riferimento!$H$31:$I$50,2,FALSE))</f>
        <v>7</v>
      </c>
      <c r="AT22" s="625">
        <f>+IFERROR(VLOOKUP(AT$6&amp;"-"&amp;$M22&amp;"_old",Ammortamento_Finanziario!$H:$L,5,FALSE),VLOOKUP($M22,TT_Tabelle_Riferimento!$H$31:$I$50,2,FALSE))</f>
        <v>7</v>
      </c>
      <c r="AU22" s="625">
        <f>+IFERROR(VLOOKUP(AU$6&amp;"-"&amp;$M22&amp;"_old",Ammortamento_Finanziario!$H:$L,5,FALSE),VLOOKUP($M22,TT_Tabelle_Riferimento!$H$31:$I$50,2,FALSE))</f>
        <v>7</v>
      </c>
      <c r="AV22" s="625">
        <f>+IFERROR(VLOOKUP(AV$6&amp;"-"&amp;$M22&amp;"_old",Ammortamento_Finanziario!$H:$L,5,FALSE),VLOOKUP($M22,TT_Tabelle_Riferimento!$H$31:$I$50,2,FALSE))</f>
        <v>7</v>
      </c>
      <c r="AW22" s="625">
        <f>+IFERROR(VLOOKUP(AW$6&amp;"-"&amp;$M22&amp;"_old",Ammortamento_Finanziario!$H:$L,5,FALSE),VLOOKUP($M22,TT_Tabelle_Riferimento!$H$31:$I$50,2,FALSE))</f>
        <v>7</v>
      </c>
      <c r="AX22" s="625">
        <f>+IFERROR(VLOOKUP(AX$6&amp;"-"&amp;$M22&amp;"_old",Ammortamento_Finanziario!$H:$L,5,FALSE),VLOOKUP($M22,TT_Tabelle_Riferimento!$H$31:$I$50,2,FALSE))</f>
        <v>7</v>
      </c>
      <c r="AY22" s="905">
        <f>+IFERROR(VLOOKUP(AY$6&amp;"-"&amp;$M22&amp;"_old",Ammortamento_Finanziario!$H:$L,5,FALSE),VLOOKUP($M22,TT_Tabelle_Riferimento!$H$31:$I$50,2,FALSE))</f>
        <v>7</v>
      </c>
      <c r="AZ22" s="905">
        <f>+IFERROR(VLOOKUP(AZ$6&amp;"-"&amp;$M22&amp;"_old",Ammortamento_Finanziario!$H:$L,5,FALSE),VLOOKUP($M22,TT_Tabelle_Riferimento!$H$31:$I$50,2,FALSE))</f>
        <v>7</v>
      </c>
      <c r="BA22" s="905">
        <f>+IFERROR(VLOOKUP(BA$6&amp;"-"&amp;$M22&amp;"_old",Ammortamento_Finanziario!$H:$L,5,FALSE),VLOOKUP($M22,TT_Tabelle_Riferimento!$H$31:$I$50,2,FALSE))</f>
        <v>7</v>
      </c>
      <c r="BB22" s="905">
        <f>+IFERROR(VLOOKUP(BB$6&amp;"-"&amp;$M22&amp;"_old",Ammortamento_Finanziario!$H:$L,5,FALSE),VLOOKUP($M22,TT_Tabelle_Riferimento!$H$31:$I$50,2,FALSE))</f>
        <v>7</v>
      </c>
      <c r="BC22" s="905">
        <f>+IFERROR(VLOOKUP(BC$6&amp;"-"&amp;$M22&amp;"_old",Ammortamento_Finanziario!$H:$L,5,FALSE),VLOOKUP($M22,TT_Tabelle_Riferimento!$H$31:$I$50,2,FALSE))</f>
        <v>7</v>
      </c>
      <c r="BD22" s="905">
        <f>+IFERROR(VLOOKUP(BD$6&amp;"-"&amp;$M22&amp;"_old",Ammortamento_Finanziario!$H:$L,5,FALSE),VLOOKUP($M22,TT_Tabelle_Riferimento!$H$31:$I$50,2,FALSE))</f>
        <v>7</v>
      </c>
      <c r="BE22" s="905">
        <f>+IFERROR(VLOOKUP(BE$6&amp;"-"&amp;$M22&amp;"_old",Ammortamento_Finanziario!$H:$L,5,FALSE),VLOOKUP($M22,TT_Tabelle_Riferimento!$H$31:$I$50,2,FALSE))</f>
        <v>7</v>
      </c>
      <c r="BF22" s="905">
        <f>+IFERROR(VLOOKUP(BF$6&amp;"-"&amp;$M22&amp;"_old",Ammortamento_Finanziario!$H:$L,5,FALSE),VLOOKUP($M22,TT_Tabelle_Riferimento!$H$31:$I$50,2,FALSE))</f>
        <v>7</v>
      </c>
      <c r="BG22" s="1740">
        <f>+IFERROR(VLOOKUP(BG$6&amp;"-"&amp;$M22&amp;"_old",Ammortamento_Finanziario!$H:$L,5,FALSE),VLOOKUP($M22,TT_Tabelle_Riferimento!$H$31:$I$50,2,FALSE))</f>
        <v>7</v>
      </c>
      <c r="BH22" s="1740">
        <f>+IFERROR(VLOOKUP(BH$6&amp;"-"&amp;$M22&amp;"_old",Ammortamento_Finanziario!$H:$L,5,FALSE),VLOOKUP($M22,TT_Tabelle_Riferimento!$H$31:$I$50,2,FALSE))</f>
        <v>7</v>
      </c>
      <c r="BI22" s="1749">
        <f>+IFERROR(VLOOKUP(BI$6&amp;"-"&amp;$M22&amp;"_old",Ammortamento_Finanziario!$H:$L,5,FALSE),VLOOKUP($M22,TT_Tabelle_Riferimento!$H$31:$I$50,2,FALSE))</f>
        <v>7</v>
      </c>
      <c r="BJ22" s="1749">
        <f>+IFERROR(VLOOKUP(BJ$6&amp;"-"&amp;$M22&amp;"_old",Ammortamento_Finanziario!$H:$L,5,FALSE),VLOOKUP($M22,TT_Tabelle_Riferimento!$H$31:$I$50,2,FALSE))</f>
        <v>7</v>
      </c>
      <c r="BK22" s="1749">
        <f>+IFERROR(VLOOKUP(BK$6&amp;"-"&amp;$M22&amp;"_old",Ammortamento_Finanziario!$H:$L,5,FALSE),VLOOKUP($M22,TT_Tabelle_Riferimento!$H$31:$I$50,2,FALSE))</f>
        <v>7</v>
      </c>
      <c r="BL22" s="1749">
        <f>+IFERROR(VLOOKUP(BL$6&amp;"-"&amp;$M22&amp;"_old",Ammortamento_Finanziario!$H:$L,5,FALSE),VLOOKUP($M22,TT_Tabelle_Riferimento!$H$31:$I$50,2,FALSE))</f>
        <v>7</v>
      </c>
      <c r="BM22" s="1749">
        <f>+IFERROR(VLOOKUP(BM$6&amp;"-"&amp;$M22&amp;"_old",Ammortamento_Finanziario!$H:$L,5,FALSE),VLOOKUP($M22,TT_Tabelle_Riferimento!$H$31:$I$50,2,FALSE))</f>
        <v>7</v>
      </c>
      <c r="BN22" s="1749">
        <f>+IFERROR(VLOOKUP(BN$6&amp;"-"&amp;$M22&amp;"_old",Ammortamento_Finanziario!$H:$L,5,FALSE),VLOOKUP($M22,TT_Tabelle_Riferimento!$H$31:$I$50,2,FALSE))</f>
        <v>7</v>
      </c>
      <c r="BO22" s="625">
        <f>+IFERROR(VLOOKUP(BO$6&amp;"-"&amp;$M22&amp;"_old",Ammortamento_Finanziario!$H:$L,5,FALSE),VLOOKUP($M22,TT_Tabelle_Riferimento!$H$31:$I$50,2,FALSE))</f>
        <v>7</v>
      </c>
      <c r="BP22" s="625">
        <f>+IFERROR(VLOOKUP(BP$6&amp;"-"&amp;$M22&amp;"_old",Ammortamento_Finanziario!$H:$L,5,FALSE),VLOOKUP($M22,TT_Tabelle_Riferimento!$H$31:$I$50,2,FALSE))</f>
        <v>7</v>
      </c>
      <c r="BQ22" s="625">
        <f>+IFERROR(VLOOKUP(BQ$6&amp;"-"&amp;$M22&amp;"_old",Ammortamento_Finanziario!$H:$L,5,FALSE),VLOOKUP($M22,TT_Tabelle_Riferimento!$H$31:$I$50,2,FALSE))</f>
        <v>7</v>
      </c>
      <c r="BR22" s="625">
        <f>+IFERROR(VLOOKUP(BR$6&amp;"-"&amp;$M22&amp;"_old",Ammortamento_Finanziario!$H:$L,5,FALSE),VLOOKUP($M22,TT_Tabelle_Riferimento!$H$31:$I$50,2,FALSE))</f>
        <v>7</v>
      </c>
      <c r="BS22" s="625">
        <f>+IFERROR(VLOOKUP(BS$6&amp;"-"&amp;$M22&amp;"_old",Ammortamento_Finanziario!$H:$L,5,FALSE),VLOOKUP($M22,TT_Tabelle_Riferimento!$H$31:$I$50,2,FALSE))</f>
        <v>7</v>
      </c>
      <c r="BT22" s="625">
        <f>+IFERROR(VLOOKUP(BT$6&amp;"-"&amp;$M22&amp;"_old",Ammortamento_Finanziario!$H:$L,5,FALSE),VLOOKUP($M22,TT_Tabelle_Riferimento!$H$31:$I$50,2,FALSE))</f>
        <v>7</v>
      </c>
      <c r="BU22" s="625">
        <f>+IFERROR(VLOOKUP(BU$6&amp;"-"&amp;$M22&amp;"_old",Ammortamento_Finanziario!$H:$L,5,FALSE),VLOOKUP($M22,TT_Tabelle_Riferimento!$H$31:$I$50,2,FALSE))</f>
        <v>7</v>
      </c>
      <c r="BV22" s="625">
        <f>+IFERROR(VLOOKUP(BV$6&amp;"-"&amp;$M22&amp;"_old",Ammortamento_Finanziario!$H:$L,5,FALSE),VLOOKUP($M22,TT_Tabelle_Riferimento!$H$31:$I$50,2,FALSE))</f>
        <v>7</v>
      </c>
      <c r="BW22" s="625">
        <f>+IFERROR(VLOOKUP(BW$6&amp;"-"&amp;$M22&amp;"_old",Ammortamento_Finanziario!$H:$L,5,FALSE),VLOOKUP($M22,TT_Tabelle_Riferimento!$H$31:$I$50,2,FALSE))</f>
        <v>7</v>
      </c>
      <c r="BX22" s="625">
        <f>+IFERROR(VLOOKUP(BX$6&amp;"-"&amp;$M22&amp;"_old",Ammortamento_Finanziario!$H:$L,5,FALSE),VLOOKUP($M22,TT_Tabelle_Riferimento!$H$31:$I$50,2,FALSE))</f>
        <v>7</v>
      </c>
      <c r="BY22" s="625">
        <f>+IFERROR(VLOOKUP(BY$6&amp;"-"&amp;$M22&amp;"_old",Ammortamento_Finanziario!$H:$L,5,FALSE),VLOOKUP($M22,TT_Tabelle_Riferimento!$H$31:$I$50,2,FALSE))</f>
        <v>7</v>
      </c>
      <c r="BZ22" s="625">
        <f>+IFERROR(VLOOKUP(BZ$6&amp;"-"&amp;$M22&amp;"_old",Ammortamento_Finanziario!$H:$L,5,FALSE),VLOOKUP($M22,TT_Tabelle_Riferimento!$H$31:$I$50,2,FALSE))</f>
        <v>7</v>
      </c>
      <c r="CA22" s="625">
        <f>+IFERROR(VLOOKUP(CA$6&amp;"-"&amp;$M22&amp;"_old",Ammortamento_Finanziario!$H:$L,5,FALSE),VLOOKUP($M22,TT_Tabelle_Riferimento!$H$31:$I$50,2,FALSE))</f>
        <v>7</v>
      </c>
      <c r="CB22" s="625">
        <f>+IFERROR(VLOOKUP(CB$6&amp;"-"&amp;$M22&amp;"_old",Ammortamento_Finanziario!$H:$L,5,FALSE),VLOOKUP($M22,TT_Tabelle_Riferimento!$H$31:$I$50,2,FALSE))</f>
        <v>7</v>
      </c>
      <c r="CC22" s="625">
        <f>+IFERROR(VLOOKUP(CC$6&amp;"-"&amp;$M22&amp;"_old",Ammortamento_Finanziario!$H:$L,5,FALSE),VLOOKUP($M22,TT_Tabelle_Riferimento!$H$31:$I$50,2,FALSE))</f>
        <v>7</v>
      </c>
      <c r="CD22" s="625">
        <f>+IFERROR(VLOOKUP(CD$6&amp;"-"&amp;$M22&amp;"_old",Ammortamento_Finanziario!$H:$L,5,FALSE),VLOOKUP($M22,TT_Tabelle_Riferimento!$H$31:$I$50,2,FALSE))</f>
        <v>7</v>
      </c>
      <c r="CE22" s="625">
        <f>+IFERROR(VLOOKUP(CE$6&amp;"-"&amp;$M22&amp;"_old",Ammortamento_Finanziario!$H:$L,5,FALSE),VLOOKUP($M22,TT_Tabelle_Riferimento!$H$31:$I$50,2,FALSE))</f>
        <v>7</v>
      </c>
      <c r="CF22" s="625">
        <f>+IFERROR(VLOOKUP(CF$6&amp;"-"&amp;$M22&amp;"_old",Ammortamento_Finanziario!$H:$L,5,FALSE),VLOOKUP($M22,TT_Tabelle_Riferimento!$H$31:$I$50,2,FALSE))</f>
        <v>7</v>
      </c>
      <c r="CG22" s="625">
        <f>+IFERROR(VLOOKUP(CG$6&amp;"-"&amp;$M22&amp;"_old",Ammortamento_Finanziario!$H:$L,5,FALSE),VLOOKUP($M22,TT_Tabelle_Riferimento!$H$31:$I$50,2,FALSE))</f>
        <v>7</v>
      </c>
      <c r="CH22" s="905">
        <f>+IFERROR(VLOOKUP(CH$6&amp;"-"&amp;$M22&amp;"_old",Ammortamento_Finanziario!$H:$L,5,FALSE),VLOOKUP($M22,TT_Tabelle_Riferimento!$H$31:$I$50,2,FALSE))</f>
        <v>7</v>
      </c>
      <c r="CI22" s="905">
        <f>+IFERROR(VLOOKUP(CI$6&amp;"-"&amp;$M22&amp;"_old",Ammortamento_Finanziario!$H:$L,5,FALSE),VLOOKUP($M22,TT_Tabelle_Riferimento!$H$31:$I$50,2,FALSE))</f>
        <v>7</v>
      </c>
      <c r="CJ22" s="905">
        <f>+IFERROR(VLOOKUP(CJ$6&amp;"-"&amp;$M22&amp;"_old",Ammortamento_Finanziario!$H:$L,5,FALSE),VLOOKUP($M22,TT_Tabelle_Riferimento!$H$31:$I$50,2,FALSE))</f>
        <v>7</v>
      </c>
      <c r="CK22" s="905">
        <f>+IFERROR(VLOOKUP(CK$6&amp;"-"&amp;$M22&amp;"_old",Ammortamento_Finanziario!$H:$L,5,FALSE),VLOOKUP($M22,TT_Tabelle_Riferimento!$H$31:$I$50,2,FALSE))</f>
        <v>7</v>
      </c>
      <c r="CL22" s="905">
        <f>+IFERROR(VLOOKUP(CL$6&amp;"-"&amp;$M22&amp;"_old",Ammortamento_Finanziario!$H:$L,5,FALSE),VLOOKUP($M22,TT_Tabelle_Riferimento!$H$31:$I$50,2,FALSE))</f>
        <v>7</v>
      </c>
      <c r="CM22" s="905">
        <f>+IFERROR(VLOOKUP(CM$6&amp;"-"&amp;$M22&amp;"_old",Ammortamento_Finanziario!$H:$L,5,FALSE),VLOOKUP($M22,TT_Tabelle_Riferimento!$H$31:$I$50,2,FALSE))</f>
        <v>7</v>
      </c>
      <c r="CN22" s="905">
        <f>+IFERROR(VLOOKUP(CN$6&amp;"-"&amp;$M22&amp;"_old",Ammortamento_Finanziario!$H:$L,5,FALSE),VLOOKUP($M22,TT_Tabelle_Riferimento!$H$31:$I$50,2,FALSE))</f>
        <v>7</v>
      </c>
      <c r="CO22" s="1740">
        <f>+IFERROR(VLOOKUP(CO$6&amp;"-"&amp;$M22&amp;"_old",Ammortamento_Finanziario!$H:$L,5,FALSE),VLOOKUP($M22,TT_Tabelle_Riferimento!$H$31:$I$50,2,FALSE))</f>
        <v>7</v>
      </c>
      <c r="CP22" s="1740">
        <f>+IFERROR(VLOOKUP(CP$6&amp;"-"&amp;$M22&amp;"_old",Ammortamento_Finanziario!$H:$L,5,FALSE),VLOOKUP($M22,TT_Tabelle_Riferimento!$H$31:$I$50,2,FALSE))</f>
        <v>7</v>
      </c>
      <c r="CQ22" s="1749">
        <f>+IFERROR(VLOOKUP(CQ$6&amp;"-"&amp;$M22&amp;"_old",Ammortamento_Finanziario!$H:$L,5,FALSE),VLOOKUP($M22,TT_Tabelle_Riferimento!$H$31:$I$50,2,FALSE))</f>
        <v>7</v>
      </c>
      <c r="CR22" s="1749">
        <f>+IFERROR(VLOOKUP(CR$6&amp;"-"&amp;$M22&amp;"_old",Ammortamento_Finanziario!$H:$L,5,FALSE),VLOOKUP($M22,TT_Tabelle_Riferimento!$H$31:$I$50,2,FALSE))</f>
        <v>7</v>
      </c>
      <c r="CS22" s="1749">
        <f>+IFERROR(VLOOKUP(CS$6&amp;"-"&amp;$M22&amp;"_old",Ammortamento_Finanziario!$H:$L,5,FALSE),VLOOKUP($M22,TT_Tabelle_Riferimento!$H$31:$I$50,2,FALSE))</f>
        <v>7</v>
      </c>
      <c r="CT22" s="1749">
        <f>+IFERROR(VLOOKUP(CT$6&amp;"-"&amp;$M22&amp;"_old",Ammortamento_Finanziario!$H:$L,5,FALSE),VLOOKUP($M22,TT_Tabelle_Riferimento!$H$31:$I$50,2,FALSE))</f>
        <v>7</v>
      </c>
      <c r="CU22" s="1749">
        <f>+IFERROR(VLOOKUP(CU$6&amp;"-"&amp;$M22&amp;"_old",Ammortamento_Finanziario!$H:$L,5,FALSE),VLOOKUP($M22,TT_Tabelle_Riferimento!$H$31:$I$50,2,FALSE))</f>
        <v>7</v>
      </c>
      <c r="CV22" s="1749">
        <f>+IFERROR(VLOOKUP(CV$6&amp;"-"&amp;$M22&amp;"_old",Ammortamento_Finanziario!$H:$L,5,FALSE),VLOOKUP($M22,TT_Tabelle_Riferimento!$H$31:$I$50,2,FALSE))</f>
        <v>7</v>
      </c>
      <c r="CW22" s="625">
        <f>+IFERROR(VLOOKUP(CW$6&amp;"-"&amp;$M22&amp;"_old",Ammortamento_Finanziario!$H:$L,5,FALSE),VLOOKUP($M22,TT_Tabelle_Riferimento!$H$31:$I$50,2,FALSE))</f>
        <v>7</v>
      </c>
      <c r="CX22" s="625">
        <f>+IFERROR(VLOOKUP(CX$6&amp;"-"&amp;$M22&amp;"_old",Ammortamento_Finanziario!$H:$L,5,FALSE),VLOOKUP($M22,TT_Tabelle_Riferimento!$H$31:$I$50,2,FALSE))</f>
        <v>7</v>
      </c>
      <c r="CY22" s="625">
        <f>+IFERROR(VLOOKUP(CY$6&amp;"-"&amp;$M22&amp;"_old",Ammortamento_Finanziario!$H:$L,5,FALSE),VLOOKUP($M22,TT_Tabelle_Riferimento!$H$31:$I$50,2,FALSE))</f>
        <v>7</v>
      </c>
      <c r="CZ22" s="625">
        <f>+IFERROR(VLOOKUP(CZ$6&amp;"-"&amp;$M22&amp;"_old",Ammortamento_Finanziario!$H:$L,5,FALSE),VLOOKUP($M22,TT_Tabelle_Riferimento!$H$31:$I$50,2,FALSE))</f>
        <v>7</v>
      </c>
      <c r="DA22" s="625">
        <f>+IFERROR(VLOOKUP(DA$6&amp;"-"&amp;$M22&amp;"_old",Ammortamento_Finanziario!$H:$L,5,FALSE),VLOOKUP($M22,TT_Tabelle_Riferimento!$H$31:$I$50,2,FALSE))</f>
        <v>7</v>
      </c>
      <c r="DB22" s="625">
        <f>+IFERROR(VLOOKUP(DB$6&amp;"-"&amp;$M22&amp;"_old",Ammortamento_Finanziario!$H:$L,5,FALSE),VLOOKUP($M22,TT_Tabelle_Riferimento!$H$31:$I$50,2,FALSE))</f>
        <v>7</v>
      </c>
      <c r="DC22" s="625">
        <f>+IFERROR(VLOOKUP(DC$6&amp;"-"&amp;$M22&amp;"_old",Ammortamento_Finanziario!$H:$L,5,FALSE),VLOOKUP($M22,TT_Tabelle_Riferimento!$H$31:$I$50,2,FALSE))</f>
        <v>7</v>
      </c>
      <c r="DD22" s="625">
        <f>+IFERROR(VLOOKUP(DD$6&amp;"-"&amp;$M22&amp;"_old",Ammortamento_Finanziario!$H:$L,5,FALSE),VLOOKUP($M22,TT_Tabelle_Riferimento!$H$31:$I$50,2,FALSE))</f>
        <v>7</v>
      </c>
      <c r="DE22" s="625">
        <f>+IFERROR(VLOOKUP(DE$6&amp;"-"&amp;$M22&amp;"_old",Ammortamento_Finanziario!$H:$L,5,FALSE),VLOOKUP($M22,TT_Tabelle_Riferimento!$H$31:$I$50,2,FALSE))</f>
        <v>7</v>
      </c>
      <c r="DF22" s="625">
        <f>+IFERROR(VLOOKUP(DF$6&amp;"-"&amp;$M22&amp;"_old",Ammortamento_Finanziario!$H:$L,5,FALSE),VLOOKUP($M22,TT_Tabelle_Riferimento!$H$31:$I$50,2,FALSE))</f>
        <v>7</v>
      </c>
      <c r="DG22" s="625">
        <f>+IFERROR(VLOOKUP(DG$6&amp;"-"&amp;$M22&amp;"_old",Ammortamento_Finanziario!$H:$L,5,FALSE),VLOOKUP($M22,TT_Tabelle_Riferimento!$H$31:$I$50,2,FALSE))</f>
        <v>7</v>
      </c>
      <c r="DH22" s="625">
        <f>+IFERROR(VLOOKUP(DH$6&amp;"-"&amp;$M22&amp;"_old",Ammortamento_Finanziario!$H:$L,5,FALSE),VLOOKUP($M22,TT_Tabelle_Riferimento!$H$31:$I$50,2,FALSE))</f>
        <v>7</v>
      </c>
      <c r="DI22" s="625">
        <f>+IFERROR(VLOOKUP(DI$6&amp;"-"&amp;$M22&amp;"_old",Ammortamento_Finanziario!$H:$L,5,FALSE),VLOOKUP($M22,TT_Tabelle_Riferimento!$H$31:$I$50,2,FALSE))</f>
        <v>7</v>
      </c>
      <c r="DJ22" s="625">
        <f>+IFERROR(VLOOKUP(DJ$6&amp;"-"&amp;$M22&amp;"_old",Ammortamento_Finanziario!$H:$L,5,FALSE),VLOOKUP($M22,TT_Tabelle_Riferimento!$H$31:$I$50,2,FALSE))</f>
        <v>7</v>
      </c>
      <c r="DK22" s="625">
        <f>+IFERROR(VLOOKUP(DK$6&amp;"-"&amp;$M22&amp;"_old",Ammortamento_Finanziario!$H:$L,5,FALSE),VLOOKUP($M22,TT_Tabelle_Riferimento!$H$31:$I$50,2,FALSE))</f>
        <v>7</v>
      </c>
      <c r="DL22" s="625">
        <f>+IFERROR(VLOOKUP(DL$6&amp;"-"&amp;$M22&amp;"_old",Ammortamento_Finanziario!$H:$L,5,FALSE),VLOOKUP($M22,TT_Tabelle_Riferimento!$H$31:$I$50,2,FALSE))</f>
        <v>7</v>
      </c>
      <c r="DM22" s="625">
        <f>+IFERROR(VLOOKUP(DM$6&amp;"-"&amp;$M22&amp;"_old",Ammortamento_Finanziario!$H:$L,5,FALSE),VLOOKUP($M22,TT_Tabelle_Riferimento!$H$31:$I$50,2,FALSE))</f>
        <v>7</v>
      </c>
      <c r="DN22" s="625">
        <f>+IFERROR(VLOOKUP(DN$6&amp;"-"&amp;$M22&amp;"_old",Ammortamento_Finanziario!$H:$L,5,FALSE),VLOOKUP($M22,TT_Tabelle_Riferimento!$H$31:$I$50,2,FALSE))</f>
        <v>7</v>
      </c>
      <c r="DO22" s="625">
        <f>+IFERROR(VLOOKUP(DO$6&amp;"-"&amp;$M22&amp;"_old",Ammortamento_Finanziario!$H:$L,5,FALSE),VLOOKUP($M22,TT_Tabelle_Riferimento!$H$31:$I$50,2,FALSE))</f>
        <v>7</v>
      </c>
      <c r="DP22" s="636">
        <f>+IFERROR(VLOOKUP(DP$6&amp;"-"&amp;$M22&amp;"_old",Ammortamento_Finanziario!$H:$L,5,FALSE),VLOOKUP($M22,TT_Tabelle_Riferimento!$H$31:$I$50,2,FALSE))</f>
        <v>7</v>
      </c>
      <c r="DQ22" s="636">
        <f>+IFERROR(VLOOKUP(DQ$6&amp;"-"&amp;$M22&amp;"_old",Ammortamento_Finanziario!$H:$L,5,FALSE),VLOOKUP($M22,TT_Tabelle_Riferimento!$H$31:$I$50,2,FALSE))</f>
        <v>7</v>
      </c>
      <c r="DR22" s="636">
        <f>+IFERROR(VLOOKUP(DR$6&amp;"-"&amp;$M22&amp;"_old",Ammortamento_Finanziario!$H:$L,5,FALSE),VLOOKUP($M22,TT_Tabelle_Riferimento!$H$31:$I$50,2,FALSE))</f>
        <v>7</v>
      </c>
      <c r="DS22" s="636">
        <f>+IFERROR(VLOOKUP(DS$6&amp;"-"&amp;$M22&amp;"_old",Ammortamento_Finanziario!$H:$L,5,FALSE),VLOOKUP($M22,TT_Tabelle_Riferimento!$H$31:$I$50,2,FALSE))</f>
        <v>7</v>
      </c>
      <c r="DT22" s="636">
        <f>+IFERROR(VLOOKUP(DT$6&amp;"-"&amp;$M22&amp;"_old",Ammortamento_Finanziario!$H:$L,5,FALSE),VLOOKUP($M22,TT_Tabelle_Riferimento!$H$31:$I$50,2,FALSE))</f>
        <v>7</v>
      </c>
      <c r="DU22" s="636">
        <f>+IFERROR(VLOOKUP(DU$6&amp;"-"&amp;$M22&amp;"_old",Ammortamento_Finanziario!$H:$L,5,FALSE),VLOOKUP($M22,TT_Tabelle_Riferimento!$H$31:$I$50,2,FALSE))</f>
        <v>7</v>
      </c>
      <c r="DV22" s="1742">
        <f>+IFERROR(VLOOKUP(DV$6&amp;"-"&amp;$M22&amp;"_old",Ammortamento_Finanziario!$H:$L,5,FALSE),VLOOKUP($M22,TT_Tabelle_Riferimento!$H$31:$I$50,2,FALSE))</f>
        <v>7</v>
      </c>
      <c r="DW22" s="1742">
        <f>+IFERROR(VLOOKUP(DW$6&amp;"-"&amp;$M22&amp;"_old",Ammortamento_Finanziario!$H:$L,5,FALSE),VLOOKUP($M22,TT_Tabelle_Riferimento!$H$31:$I$50,2,FALSE))</f>
        <v>7</v>
      </c>
      <c r="DX22" s="1750">
        <f>+IFERROR(VLOOKUP(DX$6&amp;"-"&amp;$M22&amp;"_old",Ammortamento_Finanziario!$H:$L,5,FALSE),VLOOKUP($M22,TT_Tabelle_Riferimento!$H$31:$I$50,2,FALSE))</f>
        <v>7</v>
      </c>
      <c r="DY22" s="1750">
        <f>+IFERROR(VLOOKUP(DY$6&amp;"-"&amp;$M22&amp;"_old",Ammortamento_Finanziario!$H:$L,5,FALSE),VLOOKUP($M22,TT_Tabelle_Riferimento!$H$31:$I$50,2,FALSE))</f>
        <v>7</v>
      </c>
      <c r="DZ22" s="1750">
        <f>+IFERROR(VLOOKUP(DZ$6&amp;"-"&amp;$M22&amp;"_old",Ammortamento_Finanziario!$H:$L,5,FALSE),VLOOKUP($M22,TT_Tabelle_Riferimento!$H$31:$I$50,2,FALSE))</f>
        <v>7</v>
      </c>
      <c r="EA22" s="1750">
        <f>+IFERROR(VLOOKUP(EA$6&amp;"-"&amp;$M22&amp;"_old",Ammortamento_Finanziario!$H:$L,5,FALSE),VLOOKUP($M22,TT_Tabelle_Riferimento!$H$31:$I$50,2,FALSE))</f>
        <v>7</v>
      </c>
      <c r="EB22" s="1750">
        <f>+IFERROR(VLOOKUP(EB$6&amp;"-"&amp;$M22&amp;"_old",Ammortamento_Finanziario!$H:$L,5,FALSE),VLOOKUP($M22,TT_Tabelle_Riferimento!$H$31:$I$50,2,FALSE))</f>
        <v>7</v>
      </c>
      <c r="EC22" s="1750">
        <f>+IFERROR(VLOOKUP(EC$6&amp;"-"&amp;$M22&amp;"_old",Ammortamento_Finanziario!$H:$L,5,FALSE),VLOOKUP($M22,TT_Tabelle_Riferimento!$H$31:$I$50,2,FALSE))</f>
        <v>7</v>
      </c>
      <c r="ED22" s="636">
        <f>+IFERROR(VLOOKUP(ED$6&amp;"-"&amp;$M22&amp;"_old",Ammortamento_Finanziario!$H:$L,5,FALSE),VLOOKUP($M22,TT_Tabelle_Riferimento!$H$31:$I$50,2,FALSE))</f>
        <v>7</v>
      </c>
      <c r="EE22" s="636">
        <f>+IFERROR(VLOOKUP(EE$6&amp;"-"&amp;$M22&amp;"_old",Ammortamento_Finanziario!$H:$L,5,FALSE),VLOOKUP($M22,TT_Tabelle_Riferimento!$H$31:$I$50,2,FALSE))</f>
        <v>7</v>
      </c>
      <c r="EF22" s="636">
        <f>+IFERROR(VLOOKUP(EF$6&amp;"-"&amp;$M22&amp;"_old",Ammortamento_Finanziario!$H:$L,5,FALSE),VLOOKUP($M22,TT_Tabelle_Riferimento!$H$31:$I$50,2,FALSE))</f>
        <v>7</v>
      </c>
      <c r="EG22" s="636">
        <f>+IFERROR(VLOOKUP(EG$6&amp;"-"&amp;$M22&amp;"_old",Ammortamento_Finanziario!$H:$L,5,FALSE),VLOOKUP($M22,TT_Tabelle_Riferimento!$H$31:$I$50,2,FALSE))</f>
        <v>7</v>
      </c>
      <c r="EH22" s="636">
        <f>+IFERROR(VLOOKUP(EH$6&amp;"-"&amp;$M22&amp;"_old",Ammortamento_Finanziario!$H:$L,5,FALSE),VLOOKUP($M22,TT_Tabelle_Riferimento!$H$31:$I$50,2,FALSE))</f>
        <v>7</v>
      </c>
      <c r="EI22" s="636">
        <f>+IFERROR(VLOOKUP(EI$6&amp;"-"&amp;$M22&amp;"_old",Ammortamento_Finanziario!$H:$L,5,FALSE),VLOOKUP($M22,TT_Tabelle_Riferimento!$H$31:$I$50,2,FALSE))</f>
        <v>7</v>
      </c>
      <c r="EJ22" s="636">
        <f>+IFERROR(VLOOKUP(EJ$6&amp;"-"&amp;$M22&amp;"_old",Ammortamento_Finanziario!$H:$L,5,FALSE),VLOOKUP($M22,TT_Tabelle_Riferimento!$H$31:$I$50,2,FALSE))</f>
        <v>7</v>
      </c>
      <c r="EK22" s="636">
        <f>+IFERROR(VLOOKUP(EK$6&amp;"-"&amp;$M22&amp;"_old",Ammortamento_Finanziario!$H:$L,5,FALSE),VLOOKUP($M22,TT_Tabelle_Riferimento!$H$31:$I$50,2,FALSE))</f>
        <v>7</v>
      </c>
      <c r="EL22" s="636">
        <f>+IFERROR(VLOOKUP(EL$6&amp;"-"&amp;$M22&amp;"_old",Ammortamento_Finanziario!$H:$L,5,FALSE),VLOOKUP($M22,TT_Tabelle_Riferimento!$H$31:$I$50,2,FALSE))</f>
        <v>7</v>
      </c>
      <c r="EM22" s="636">
        <f>+IFERROR(VLOOKUP(EM$6&amp;"-"&amp;$M22&amp;"_old",Ammortamento_Finanziario!$H:$L,5,FALSE),VLOOKUP($M22,TT_Tabelle_Riferimento!$H$31:$I$50,2,FALSE))</f>
        <v>7</v>
      </c>
      <c r="EN22" s="636">
        <f>+IFERROR(VLOOKUP(EN$6&amp;"-"&amp;$M22&amp;"_old",Ammortamento_Finanziario!$H:$L,5,FALSE),VLOOKUP($M22,TT_Tabelle_Riferimento!$H$31:$I$50,2,FALSE))</f>
        <v>7</v>
      </c>
      <c r="EO22" s="636">
        <f>+IFERROR(VLOOKUP(EO$6&amp;"-"&amp;$M22&amp;"_old",Ammortamento_Finanziario!$H:$L,5,FALSE),VLOOKUP($M22,TT_Tabelle_Riferimento!$H$31:$I$50,2,FALSE))</f>
        <v>7</v>
      </c>
      <c r="EP22" s="636">
        <f>+IFERROR(VLOOKUP(EP$6&amp;"-"&amp;$M22&amp;"_old",Ammortamento_Finanziario!$H:$L,5,FALSE),VLOOKUP($M22,TT_Tabelle_Riferimento!$H$31:$I$50,2,FALSE))</f>
        <v>7</v>
      </c>
      <c r="EQ22" s="636">
        <f>+IFERROR(VLOOKUP(EQ$6&amp;"-"&amp;$M22&amp;"_old",Ammortamento_Finanziario!$H:$L,5,FALSE),VLOOKUP($M22,TT_Tabelle_Riferimento!$H$31:$I$50,2,FALSE))</f>
        <v>7</v>
      </c>
      <c r="ER22" s="636">
        <f>+IFERROR(VLOOKUP(ER$6&amp;"-"&amp;$M22&amp;"_old",Ammortamento_Finanziario!$H:$L,5,FALSE),VLOOKUP($M22,TT_Tabelle_Riferimento!$H$31:$I$50,2,FALSE))</f>
        <v>7</v>
      </c>
      <c r="ES22" s="636">
        <f>+IFERROR(VLOOKUP(ES$6&amp;"-"&amp;$M22&amp;"_old",Ammortamento_Finanziario!$H:$L,5,FALSE),VLOOKUP($M22,TT_Tabelle_Riferimento!$H$31:$I$50,2,FALSE))</f>
        <v>7</v>
      </c>
      <c r="ET22" s="636">
        <f>+IFERROR(VLOOKUP(ET$6&amp;"-"&amp;$M22&amp;"_old",Ammortamento_Finanziario!$H:$L,5,FALSE),VLOOKUP($M22,TT_Tabelle_Riferimento!$H$31:$I$50,2,FALSE))</f>
        <v>7</v>
      </c>
      <c r="EU22" s="636">
        <f>+IFERROR(VLOOKUP(EU$6&amp;"-"&amp;$M22&amp;"_old",Ammortamento_Finanziario!$H:$L,5,FALSE),VLOOKUP($M22,TT_Tabelle_Riferimento!$H$31:$I$50,2,FALSE))</f>
        <v>7</v>
      </c>
      <c r="EV22" s="636">
        <f>+IFERROR(VLOOKUP(EV$6&amp;"-"&amp;$M22&amp;"_old",Ammortamento_Finanziario!$H:$L,5,FALSE),VLOOKUP($M22,TT_Tabelle_Riferimento!$H$31:$I$50,2,FALSE))</f>
        <v>7</v>
      </c>
      <c r="EW22" s="1048">
        <f>+IFERROR(VLOOKUP(EW$6&amp;"-"&amp;$M22&amp;"_old",Ammortamento_Finanziario!$H:$L,5,FALSE),VLOOKUP($M22,TT_Tabelle_Riferimento!$H$31:$I$50,2,FALSE))</f>
        <v>7</v>
      </c>
      <c r="EX22" s="1048">
        <f>+IFERROR(VLOOKUP(EX$6&amp;"-"&amp;$M22&amp;"_old",Ammortamento_Finanziario!$H:$L,5,FALSE),VLOOKUP($M22,TT_Tabelle_Riferimento!$H$31:$I$50,2,FALSE))</f>
        <v>7</v>
      </c>
      <c r="EY22" s="1048">
        <f>+IFERROR(VLOOKUP(EY$6&amp;"-"&amp;$M22&amp;"_old",Ammortamento_Finanziario!$H:$L,5,FALSE),VLOOKUP($M22,TT_Tabelle_Riferimento!$H$31:$I$50,2,FALSE))</f>
        <v>7</v>
      </c>
      <c r="EZ22" s="1048">
        <f>+IFERROR(VLOOKUP(EZ$6&amp;"-"&amp;$M22&amp;"_old",Ammortamento_Finanziario!$H:$L,5,FALSE),VLOOKUP($M22,TT_Tabelle_Riferimento!$H$31:$I$50,2,FALSE))</f>
        <v>7</v>
      </c>
      <c r="FA22" s="1048">
        <f>+IFERROR(VLOOKUP(FA$6&amp;"-"&amp;$M22&amp;"_old",Ammortamento_Finanziario!$H:$L,5,FALSE),VLOOKUP($M22,TT_Tabelle_Riferimento!$H$31:$I$50,2,FALSE))</f>
        <v>7</v>
      </c>
      <c r="FB22" s="1743">
        <f>+IFERROR(VLOOKUP(FB$6&amp;"-"&amp;$M22&amp;"_old",Ammortamento_Finanziario!$H:$L,5,FALSE),VLOOKUP($M22,TT_Tabelle_Riferimento!$H$31:$I$50,2,FALSE))</f>
        <v>7</v>
      </c>
      <c r="FC22" s="1743">
        <f>+IFERROR(VLOOKUP(FC$6&amp;"-"&amp;$M22&amp;"_old",Ammortamento_Finanziario!$H:$L,5,FALSE),VLOOKUP($M22,TT_Tabelle_Riferimento!$H$31:$I$50,2,FALSE))</f>
        <v>7</v>
      </c>
      <c r="FD22" s="1751">
        <f>+IFERROR(VLOOKUP(FD$6&amp;"-"&amp;$M22&amp;"_old",Ammortamento_Finanziario!$H:$L,5,FALSE),VLOOKUP($M22,TT_Tabelle_Riferimento!$H$31:$I$50,2,FALSE))</f>
        <v>7</v>
      </c>
      <c r="FE22" s="1751">
        <f>+IFERROR(VLOOKUP(FE$6&amp;"-"&amp;$M22&amp;"_old",Ammortamento_Finanziario!$H:$L,5,FALSE),VLOOKUP($M22,TT_Tabelle_Riferimento!$H$31:$I$50,2,FALSE))</f>
        <v>7</v>
      </c>
      <c r="FF22" s="1751">
        <f>+IFERROR(VLOOKUP(FF$6&amp;"-"&amp;$M22&amp;"_old",Ammortamento_Finanziario!$H:$L,5,FALSE),VLOOKUP($M22,TT_Tabelle_Riferimento!$H$31:$I$50,2,FALSE))</f>
        <v>7</v>
      </c>
      <c r="FG22" s="1751">
        <f>+IFERROR(VLOOKUP(FG$6&amp;"-"&amp;$M22&amp;"_old",Ammortamento_Finanziario!$H:$L,5,FALSE),VLOOKUP($M22,TT_Tabelle_Riferimento!$H$31:$I$50,2,FALSE))</f>
        <v>7</v>
      </c>
      <c r="FH22" s="1751">
        <f>+IFERROR(VLOOKUP(FH$6&amp;"-"&amp;$M22&amp;"_old",Ammortamento_Finanziario!$H:$L,5,FALSE),VLOOKUP($M22,TT_Tabelle_Riferimento!$H$31:$I$50,2,FALSE))</f>
        <v>7</v>
      </c>
      <c r="FI22" s="1751">
        <f>+IFERROR(VLOOKUP(FI$6&amp;"-"&amp;$M22&amp;"_old",Ammortamento_Finanziario!$H:$L,5,FALSE),VLOOKUP($M22,TT_Tabelle_Riferimento!$H$31:$I$50,2,FALSE))</f>
        <v>7</v>
      </c>
      <c r="FJ22" s="629">
        <f>+IFERROR(VLOOKUP(FJ$6&amp;"-"&amp;$M22&amp;"_old",Ammortamento_Finanziario!$H:$L,5,FALSE),VLOOKUP($M22,TT_Tabelle_Riferimento!$H$31:$I$50,2,FALSE))</f>
        <v>7</v>
      </c>
      <c r="FK22" s="629">
        <f>+IFERROR(VLOOKUP(FK$6&amp;"-"&amp;$M22&amp;"_old",Ammortamento_Finanziario!$H:$L,5,FALSE),VLOOKUP($M22,TT_Tabelle_Riferimento!$H$31:$I$50,2,FALSE))</f>
        <v>7</v>
      </c>
      <c r="FL22" s="629">
        <f>+IFERROR(VLOOKUP(FL$6&amp;"-"&amp;$M22&amp;"_old",Ammortamento_Finanziario!$H:$L,5,FALSE),VLOOKUP($M22,TT_Tabelle_Riferimento!$H$31:$I$50,2,FALSE))</f>
        <v>7</v>
      </c>
      <c r="FM22" s="629">
        <f>+IFERROR(VLOOKUP(FM$6&amp;"-"&amp;$M22&amp;"_old",Ammortamento_Finanziario!$H:$L,5,FALSE),VLOOKUP($M22,TT_Tabelle_Riferimento!$H$31:$I$50,2,FALSE))</f>
        <v>7</v>
      </c>
      <c r="FN22" s="629">
        <f>+IFERROR(VLOOKUP(FN$6&amp;"-"&amp;$M22&amp;"_old",Ammortamento_Finanziario!$H:$L,5,FALSE),VLOOKUP($M22,TT_Tabelle_Riferimento!$H$31:$I$50,2,FALSE))</f>
        <v>7</v>
      </c>
      <c r="FO22" s="629">
        <f>+IFERROR(VLOOKUP(FO$6&amp;"-"&amp;$M22&amp;"_old",Ammortamento_Finanziario!$H:$L,5,FALSE),VLOOKUP($M22,TT_Tabelle_Riferimento!$H$31:$I$50,2,FALSE))</f>
        <v>7</v>
      </c>
      <c r="FP22" s="629">
        <f>+IFERROR(VLOOKUP(FP$6&amp;"-"&amp;$M22&amp;"_old",Ammortamento_Finanziario!$H:$L,5,FALSE),VLOOKUP($M22,TT_Tabelle_Riferimento!$H$31:$I$50,2,FALSE))</f>
        <v>7</v>
      </c>
      <c r="FQ22" s="629">
        <f>+IFERROR(VLOOKUP(FQ$6&amp;"-"&amp;$M22&amp;"_old",Ammortamento_Finanziario!$H:$L,5,FALSE),VLOOKUP($M22,TT_Tabelle_Riferimento!$H$31:$I$50,2,FALSE))</f>
        <v>7</v>
      </c>
      <c r="FR22" s="629">
        <f>+IFERROR(VLOOKUP(FR$6&amp;"-"&amp;$M22&amp;"_old",Ammortamento_Finanziario!$H:$L,5,FALSE),VLOOKUP($M22,TT_Tabelle_Riferimento!$H$31:$I$50,2,FALSE))</f>
        <v>7</v>
      </c>
      <c r="FS22" s="629">
        <f>+IFERROR(VLOOKUP(FS$6&amp;"-"&amp;$M22&amp;"_old",Ammortamento_Finanziario!$H:$L,5,FALSE),VLOOKUP($M22,TT_Tabelle_Riferimento!$H$31:$I$50,2,FALSE))</f>
        <v>7</v>
      </c>
      <c r="FT22" s="629">
        <f>+IFERROR(VLOOKUP(FT$6&amp;"-"&amp;$M22&amp;"_old",Ammortamento_Finanziario!$H:$L,5,FALSE),VLOOKUP($M22,TT_Tabelle_Riferimento!$H$31:$I$50,2,FALSE))</f>
        <v>7</v>
      </c>
      <c r="FU22" s="629">
        <f>+IFERROR(VLOOKUP(FU$6&amp;"-"&amp;$M22&amp;"_old",Ammortamento_Finanziario!$H:$L,5,FALSE),VLOOKUP($M22,TT_Tabelle_Riferimento!$H$31:$I$50,2,FALSE))</f>
        <v>7</v>
      </c>
      <c r="FV22" s="629">
        <f>+IFERROR(VLOOKUP(FV$6&amp;"-"&amp;$M22&amp;"_old",Ammortamento_Finanziario!$H:$L,5,FALSE),VLOOKUP($M22,TT_Tabelle_Riferimento!$H$31:$I$50,2,FALSE))</f>
        <v>7</v>
      </c>
      <c r="FW22" s="629">
        <f>+IFERROR(VLOOKUP(FW$6&amp;"-"&amp;$M22&amp;"_old",Ammortamento_Finanziario!$H:$L,5,FALSE),VLOOKUP($M22,TT_Tabelle_Riferimento!$H$31:$I$50,2,FALSE))</f>
        <v>7</v>
      </c>
      <c r="FX22" s="629">
        <f>+IFERROR(VLOOKUP(FX$6&amp;"-"&amp;$M22&amp;"_old",Ammortamento_Finanziario!$H:$L,5,FALSE),VLOOKUP($M22,TT_Tabelle_Riferimento!$H$31:$I$50,2,FALSE))</f>
        <v>7</v>
      </c>
      <c r="FY22" s="629">
        <f>+IFERROR(VLOOKUP(FY$6&amp;"-"&amp;$M22&amp;"_old",Ammortamento_Finanziario!$H:$L,5,FALSE),VLOOKUP($M22,TT_Tabelle_Riferimento!$H$31:$I$50,2,FALSE))</f>
        <v>7</v>
      </c>
      <c r="FZ22" s="629">
        <f>+IFERROR(VLOOKUP(FZ$6&amp;"-"&amp;$M22&amp;"_old",Ammortamento_Finanziario!$H:$L,5,FALSE),VLOOKUP($M22,TT_Tabelle_Riferimento!$H$31:$I$50,2,FALSE))</f>
        <v>7</v>
      </c>
      <c r="GA22" s="629">
        <f>+IFERROR(VLOOKUP(GA$6&amp;"-"&amp;$M22&amp;"_old",Ammortamento_Finanziario!$H:$L,5,FALSE),VLOOKUP($M22,TT_Tabelle_Riferimento!$H$31:$I$50,2,FALSE))</f>
        <v>7</v>
      </c>
      <c r="GB22" s="629">
        <f>+IFERROR(VLOOKUP(GB$6&amp;"-"&amp;$M22&amp;"_old",Ammortamento_Finanziario!$H:$L,5,FALSE),VLOOKUP($M22,TT_Tabelle_Riferimento!$H$31:$I$50,2,FALSE))</f>
        <v>7</v>
      </c>
      <c r="GC22" s="635">
        <f>+IFERROR(VLOOKUP(GC$6&amp;"-"&amp;$M22&amp;"_old",Ammortamento_Finanziario!$H:$L,5,FALSE),VLOOKUP($M22,TT_Tabelle_Riferimento!$H$31:$I$50,2,FALSE))</f>
        <v>7</v>
      </c>
      <c r="GD22" s="635">
        <f>+IFERROR(VLOOKUP(GD$6&amp;"-"&amp;$M22&amp;"_old",Ammortamento_Finanziario!$H:$L,5,FALSE),VLOOKUP($M22,TT_Tabelle_Riferimento!$H$31:$I$50,2,FALSE))</f>
        <v>7</v>
      </c>
      <c r="GE22" s="635">
        <f>+IFERROR(VLOOKUP(GE$6&amp;"-"&amp;$M22&amp;"_old",Ammortamento_Finanziario!$H:$L,5,FALSE),VLOOKUP($M22,TT_Tabelle_Riferimento!$H$31:$I$50,2,FALSE))</f>
        <v>7</v>
      </c>
      <c r="GF22" s="635">
        <f>+IFERROR(VLOOKUP(GF$6&amp;"-"&amp;$M22&amp;"_old",Ammortamento_Finanziario!$H:$L,5,FALSE),VLOOKUP($M22,TT_Tabelle_Riferimento!$H$31:$I$50,2,FALSE))</f>
        <v>7</v>
      </c>
      <c r="GG22" s="1744">
        <f>+IFERROR(VLOOKUP(GG$6&amp;"-"&amp;$M22&amp;"_old",Ammortamento_Finanziario!$H:$L,5,FALSE),VLOOKUP($M22,TT_Tabelle_Riferimento!$H$31:$I$50,2,FALSE))</f>
        <v>7</v>
      </c>
      <c r="GH22" s="1744">
        <f>+IFERROR(VLOOKUP(GH$6&amp;"-"&amp;$M22&amp;"_old",Ammortamento_Finanziario!$H:$L,5,FALSE),VLOOKUP($M22,TT_Tabelle_Riferimento!$H$31:$I$50,2,FALSE))</f>
        <v>7</v>
      </c>
      <c r="GI22" s="1752">
        <f>+IFERROR(VLOOKUP(GI$6&amp;"-"&amp;$M22&amp;"_old",Ammortamento_Finanziario!$H:$L,5,FALSE),VLOOKUP($M22,TT_Tabelle_Riferimento!$H$31:$I$50,2,FALSE))</f>
        <v>7</v>
      </c>
      <c r="GJ22" s="1752">
        <f>+IFERROR(VLOOKUP(GJ$6&amp;"-"&amp;$M22&amp;"_old",Ammortamento_Finanziario!$H:$L,5,FALSE),VLOOKUP($M22,TT_Tabelle_Riferimento!$H$31:$I$50,2,FALSE))</f>
        <v>7</v>
      </c>
      <c r="GK22" s="1752">
        <f>+IFERROR(VLOOKUP(GK$6&amp;"-"&amp;$M22&amp;"_old",Ammortamento_Finanziario!$H:$L,5,FALSE),VLOOKUP($M22,TT_Tabelle_Riferimento!$H$31:$I$50,2,FALSE))</f>
        <v>7</v>
      </c>
      <c r="GL22" s="1752">
        <f>+IFERROR(VLOOKUP(GL$6&amp;"-"&amp;$M22&amp;"_old",Ammortamento_Finanziario!$H:$L,5,FALSE),VLOOKUP($M22,TT_Tabelle_Riferimento!$H$31:$I$50,2,FALSE))</f>
        <v>7</v>
      </c>
      <c r="GM22" s="1752">
        <f>+IFERROR(VLOOKUP(GM$6&amp;"-"&amp;$M22&amp;"_old",Ammortamento_Finanziario!$H:$L,5,FALSE),VLOOKUP($M22,TT_Tabelle_Riferimento!$H$31:$I$50,2,FALSE))</f>
        <v>7</v>
      </c>
      <c r="GN22" s="1752">
        <f>+IFERROR(VLOOKUP(GN$6&amp;"-"&amp;$M22&amp;"_old",Ammortamento_Finanziario!$H:$L,5,FALSE),VLOOKUP($M22,TT_Tabelle_Riferimento!$H$31:$I$50,2,FALSE))</f>
        <v>7</v>
      </c>
      <c r="GO22" s="628">
        <f>+IFERROR(VLOOKUP(GO$6&amp;"-"&amp;$M22&amp;"_old",Ammortamento_Finanziario!$H:$L,5,FALSE),VLOOKUP($M22,TT_Tabelle_Riferimento!$H$31:$I$50,2,FALSE))</f>
        <v>7</v>
      </c>
      <c r="GP22" s="628">
        <f>+IFERROR(VLOOKUP(GP$6&amp;"-"&amp;$M22&amp;"_old",Ammortamento_Finanziario!$H:$L,5,FALSE),VLOOKUP($M22,TT_Tabelle_Riferimento!$H$31:$I$50,2,FALSE))</f>
        <v>7</v>
      </c>
      <c r="GQ22" s="628">
        <f>+IFERROR(VLOOKUP(GQ$6&amp;"-"&amp;$M22&amp;"_old",Ammortamento_Finanziario!$H:$L,5,FALSE),VLOOKUP($M22,TT_Tabelle_Riferimento!$H$31:$I$50,2,FALSE))</f>
        <v>7</v>
      </c>
      <c r="GR22" s="628">
        <f>+IFERROR(VLOOKUP(GR$6&amp;"-"&amp;$M22&amp;"_old",Ammortamento_Finanziario!$H:$L,5,FALSE),VLOOKUP($M22,TT_Tabelle_Riferimento!$H$31:$I$50,2,FALSE))</f>
        <v>7</v>
      </c>
      <c r="GS22" s="628">
        <f>+IFERROR(VLOOKUP(GS$6&amp;"-"&amp;$M22&amp;"_old",Ammortamento_Finanziario!$H:$L,5,FALSE),VLOOKUP($M22,TT_Tabelle_Riferimento!$H$31:$I$50,2,FALSE))</f>
        <v>7</v>
      </c>
      <c r="GT22" s="628">
        <f>+IFERROR(VLOOKUP(GT$6&amp;"-"&amp;$M22&amp;"_old",Ammortamento_Finanziario!$H:$L,5,FALSE),VLOOKUP($M22,TT_Tabelle_Riferimento!$H$31:$I$50,2,FALSE))</f>
        <v>7</v>
      </c>
      <c r="GU22" s="628">
        <f>+IFERROR(VLOOKUP(GU$6&amp;"-"&amp;$M22&amp;"_old",Ammortamento_Finanziario!$H:$L,5,FALSE),VLOOKUP($M22,TT_Tabelle_Riferimento!$H$31:$I$50,2,FALSE))</f>
        <v>7</v>
      </c>
      <c r="GV22" s="628">
        <f>+IFERROR(VLOOKUP(GV$6&amp;"-"&amp;$M22&amp;"_old",Ammortamento_Finanziario!$H:$L,5,FALSE),VLOOKUP($M22,TT_Tabelle_Riferimento!$H$31:$I$50,2,FALSE))</f>
        <v>7</v>
      </c>
      <c r="GW22" s="628">
        <f>+IFERROR(VLOOKUP(GW$6&amp;"-"&amp;$M22&amp;"_old",Ammortamento_Finanziario!$H:$L,5,FALSE),VLOOKUP($M22,TT_Tabelle_Riferimento!$H$31:$I$50,2,FALSE))</f>
        <v>7</v>
      </c>
      <c r="GX22" s="628">
        <f>+IFERROR(VLOOKUP(GX$6&amp;"-"&amp;$M22&amp;"_old",Ammortamento_Finanziario!$H:$L,5,FALSE),VLOOKUP($M22,TT_Tabelle_Riferimento!$H$31:$I$50,2,FALSE))</f>
        <v>7</v>
      </c>
      <c r="GY22" s="628">
        <f>+IFERROR(VLOOKUP(GY$6&amp;"-"&amp;$M22&amp;"_old",Ammortamento_Finanziario!$H:$L,5,FALSE),VLOOKUP($M22,TT_Tabelle_Riferimento!$H$31:$I$50,2,FALSE))</f>
        <v>7</v>
      </c>
      <c r="GZ22" s="628">
        <f>+IFERROR(VLOOKUP(GZ$6&amp;"-"&amp;$M22&amp;"_old",Ammortamento_Finanziario!$H:$L,5,FALSE),VLOOKUP($M22,TT_Tabelle_Riferimento!$H$31:$I$50,2,FALSE))</f>
        <v>7</v>
      </c>
      <c r="HA22" s="628">
        <f>+IFERROR(VLOOKUP(HA$6&amp;"-"&amp;$M22&amp;"_old",Ammortamento_Finanziario!$H:$L,5,FALSE),VLOOKUP($M22,TT_Tabelle_Riferimento!$H$31:$I$50,2,FALSE))</f>
        <v>7</v>
      </c>
      <c r="HB22" s="628">
        <f>+IFERROR(VLOOKUP(HB$6&amp;"-"&amp;$M22&amp;"_old",Ammortamento_Finanziario!$H:$L,5,FALSE),VLOOKUP($M22,TT_Tabelle_Riferimento!$H$31:$I$50,2,FALSE))</f>
        <v>7</v>
      </c>
      <c r="HC22" s="628">
        <f>+IFERROR(VLOOKUP(HC$6&amp;"-"&amp;$M22&amp;"_old",Ammortamento_Finanziario!$H:$L,5,FALSE),VLOOKUP($M22,TT_Tabelle_Riferimento!$H$31:$I$50,2,FALSE))</f>
        <v>7</v>
      </c>
      <c r="HD22" s="628">
        <f>+IFERROR(VLOOKUP(HD$6&amp;"-"&amp;$M22&amp;"_old",Ammortamento_Finanziario!$H:$L,5,FALSE),VLOOKUP($M22,TT_Tabelle_Riferimento!$H$31:$I$50,2,FALSE))</f>
        <v>7</v>
      </c>
      <c r="HE22" s="628">
        <f>+IFERROR(VLOOKUP(HE$6&amp;"-"&amp;$M22&amp;"_old",Ammortamento_Finanziario!$H:$L,5,FALSE),VLOOKUP($M22,TT_Tabelle_Riferimento!$H$31:$I$50,2,FALSE))</f>
        <v>7</v>
      </c>
      <c r="HF22" s="628">
        <f>+IFERROR(VLOOKUP(HF$6&amp;"-"&amp;$M22&amp;"_old",Ammortamento_Finanziario!$H:$L,5,FALSE),VLOOKUP($M22,TT_Tabelle_Riferimento!$H$31:$I$50,2,FALSE))</f>
        <v>7</v>
      </c>
      <c r="HG22" s="628">
        <f>+IFERROR(VLOOKUP(HG$6&amp;"-"&amp;$M22&amp;"_old",Ammortamento_Finanziario!$H:$L,5,FALSE),VLOOKUP($M22,TT_Tabelle_Riferimento!$H$31:$I$50,2,FALSE))</f>
        <v>7</v>
      </c>
      <c r="HH22" s="422">
        <f>+IFERROR(VLOOKUP(HH$6&amp;"-"&amp;$M22&amp;"_old",Ammortamento_Finanziario!$H:$L,5,FALSE),VLOOKUP($M22,TT_Tabelle_Riferimento!$H$31:$I$50,2,FALSE))</f>
        <v>7</v>
      </c>
      <c r="HI22" s="422">
        <f>+IFERROR(VLOOKUP(HI$6&amp;"-"&amp;$M22&amp;"_old",Ammortamento_Finanziario!$H:$L,5,FALSE),VLOOKUP($M22,TT_Tabelle_Riferimento!$H$31:$I$50,2,FALSE))</f>
        <v>7</v>
      </c>
      <c r="HJ22" s="422">
        <f>+IFERROR(VLOOKUP(HJ$6&amp;"-"&amp;$M22&amp;"_old",Ammortamento_Finanziario!$H:$L,5,FALSE),VLOOKUP($M22,TT_Tabelle_Riferimento!$H$31:$I$50,2,FALSE))</f>
        <v>7</v>
      </c>
      <c r="HK22" s="1746">
        <f>+IFERROR(VLOOKUP(HK$6&amp;"-"&amp;$M22&amp;"_old",Ammortamento_Finanziario!$H:$L,5,FALSE),VLOOKUP($M22,TT_Tabelle_Riferimento!$H$31:$I$50,2,FALSE))</f>
        <v>7</v>
      </c>
      <c r="HL22" s="1746">
        <f>+IFERROR(VLOOKUP(HL$6&amp;"-"&amp;$M22&amp;"_old",Ammortamento_Finanziario!$H:$L,5,FALSE),VLOOKUP($M22,TT_Tabelle_Riferimento!$H$31:$I$50,2,FALSE))</f>
        <v>7</v>
      </c>
      <c r="HM22" s="1753">
        <f>+IFERROR(VLOOKUP(HM$6&amp;"-"&amp;$M22&amp;"_old",Ammortamento_Finanziario!$H:$L,5,FALSE),VLOOKUP($M22,TT_Tabelle_Riferimento!$H$31:$I$50,2,FALSE))</f>
        <v>7</v>
      </c>
      <c r="HN22" s="1753">
        <f>+IFERROR(VLOOKUP(HN$6&amp;"-"&amp;$M22&amp;"_old",Ammortamento_Finanziario!$H:$L,5,FALSE),VLOOKUP($M22,TT_Tabelle_Riferimento!$H$31:$I$50,2,FALSE))</f>
        <v>7</v>
      </c>
      <c r="HO22" s="1753">
        <f>+IFERROR(VLOOKUP(HO$6&amp;"-"&amp;$M22&amp;"_old",Ammortamento_Finanziario!$H:$L,5,FALSE),VLOOKUP($M22,TT_Tabelle_Riferimento!$H$31:$I$50,2,FALSE))</f>
        <v>7</v>
      </c>
      <c r="HP22" s="1753">
        <f>+IFERROR(VLOOKUP(HP$6&amp;"-"&amp;$M22&amp;"_old",Ammortamento_Finanziario!$H:$L,5,FALSE),VLOOKUP($M22,TT_Tabelle_Riferimento!$H$31:$I$50,2,FALSE))</f>
        <v>7</v>
      </c>
      <c r="HQ22" s="1753">
        <f>+IFERROR(VLOOKUP(HQ$6&amp;"-"&amp;$M22&amp;"_old",Ammortamento_Finanziario!$H:$L,5,FALSE),VLOOKUP($M22,TT_Tabelle_Riferimento!$H$31:$I$50,2,FALSE))</f>
        <v>7</v>
      </c>
      <c r="HR22" s="1753">
        <f>+IFERROR(VLOOKUP(HR$6&amp;"-"&amp;$M22&amp;"_old",Ammortamento_Finanziario!$H:$L,5,FALSE),VLOOKUP($M22,TT_Tabelle_Riferimento!$H$31:$I$50,2,FALSE))</f>
        <v>7</v>
      </c>
      <c r="HS22" s="422">
        <f>+IFERROR(VLOOKUP(HS$6&amp;"-"&amp;$M22&amp;"_old",Ammortamento_Finanziario!$H:$L,5,FALSE),VLOOKUP($M22,TT_Tabelle_Riferimento!$H$31:$I$50,2,FALSE))</f>
        <v>7</v>
      </c>
      <c r="HT22" s="422">
        <f>+IFERROR(VLOOKUP(HT$6&amp;"-"&amp;$M22&amp;"_old",Ammortamento_Finanziario!$H:$L,5,FALSE),VLOOKUP($M22,TT_Tabelle_Riferimento!$H$31:$I$50,2,FALSE))</f>
        <v>7</v>
      </c>
      <c r="HU22" s="422">
        <f>+IFERROR(VLOOKUP(HU$6&amp;"-"&amp;$M22&amp;"_old",Ammortamento_Finanziario!$H:$L,5,FALSE),VLOOKUP($M22,TT_Tabelle_Riferimento!$H$31:$I$50,2,FALSE))</f>
        <v>7</v>
      </c>
      <c r="HV22" s="422">
        <f>+IFERROR(VLOOKUP(HV$6&amp;"-"&amp;$M22&amp;"_old",Ammortamento_Finanziario!$H:$L,5,FALSE),VLOOKUP($M22,TT_Tabelle_Riferimento!$H$31:$I$50,2,FALSE))</f>
        <v>7</v>
      </c>
      <c r="HW22" s="422">
        <f>+IFERROR(VLOOKUP(HW$6&amp;"-"&amp;$M22&amp;"_old",Ammortamento_Finanziario!$H:$L,5,FALSE),VLOOKUP($M22,TT_Tabelle_Riferimento!$H$31:$I$50,2,FALSE))</f>
        <v>7</v>
      </c>
      <c r="HX22" s="422">
        <f>+IFERROR(VLOOKUP(HX$6&amp;"-"&amp;$M22&amp;"_old",Ammortamento_Finanziario!$H:$L,5,FALSE),VLOOKUP($M22,TT_Tabelle_Riferimento!$H$31:$I$50,2,FALSE))</f>
        <v>7</v>
      </c>
      <c r="HY22" s="422">
        <f>+IFERROR(VLOOKUP(HY$6&amp;"-"&amp;$M22&amp;"_old",Ammortamento_Finanziario!$H:$L,5,FALSE),VLOOKUP($M22,TT_Tabelle_Riferimento!$H$31:$I$50,2,FALSE))</f>
        <v>7</v>
      </c>
      <c r="HZ22" s="422">
        <f>+IFERROR(VLOOKUP(HZ$6&amp;"-"&amp;$M22&amp;"_old",Ammortamento_Finanziario!$H:$L,5,FALSE),VLOOKUP($M22,TT_Tabelle_Riferimento!$H$31:$I$50,2,FALSE))</f>
        <v>7</v>
      </c>
      <c r="IA22" s="422">
        <f>+IFERROR(VLOOKUP(IA$6&amp;"-"&amp;$M22&amp;"_old",Ammortamento_Finanziario!$H:$L,5,FALSE),VLOOKUP($M22,TT_Tabelle_Riferimento!$H$31:$I$50,2,FALSE))</f>
        <v>7</v>
      </c>
      <c r="IB22" s="422">
        <f>+IFERROR(VLOOKUP(IB$6&amp;"-"&amp;$M22&amp;"_old",Ammortamento_Finanziario!$H:$L,5,FALSE),VLOOKUP($M22,TT_Tabelle_Riferimento!$H$31:$I$50,2,FALSE))</f>
        <v>7</v>
      </c>
      <c r="IC22" s="422">
        <f>+IFERROR(VLOOKUP(IC$6&amp;"-"&amp;$M22&amp;"_old",Ammortamento_Finanziario!$H:$L,5,FALSE),VLOOKUP($M22,TT_Tabelle_Riferimento!$H$31:$I$50,2,FALSE))</f>
        <v>7</v>
      </c>
      <c r="ID22" s="422">
        <f>+IFERROR(VLOOKUP(ID$6&amp;"-"&amp;$M22&amp;"_old",Ammortamento_Finanziario!$H:$L,5,FALSE),VLOOKUP($M22,TT_Tabelle_Riferimento!$H$31:$I$50,2,FALSE))</f>
        <v>7</v>
      </c>
      <c r="IE22" s="422">
        <f>+IFERROR(VLOOKUP(IE$6&amp;"-"&amp;$M22&amp;"_old",Ammortamento_Finanziario!$H:$L,5,FALSE),VLOOKUP($M22,TT_Tabelle_Riferimento!$H$31:$I$50,2,FALSE))</f>
        <v>7</v>
      </c>
      <c r="IF22" s="422">
        <f>+IFERROR(VLOOKUP(IF$6&amp;"-"&amp;$M22&amp;"_old",Ammortamento_Finanziario!$H:$L,5,FALSE),VLOOKUP($M22,TT_Tabelle_Riferimento!$H$31:$I$50,2,FALSE))</f>
        <v>7</v>
      </c>
      <c r="IG22" s="422">
        <f>+IFERROR(VLOOKUP(IG$6&amp;"-"&amp;$M22&amp;"_old",Ammortamento_Finanziario!$H:$L,5,FALSE),VLOOKUP($M22,TT_Tabelle_Riferimento!$H$31:$I$50,2,FALSE))</f>
        <v>7</v>
      </c>
      <c r="IH22" s="422">
        <f>+IFERROR(VLOOKUP(IH$6&amp;"-"&amp;$M22&amp;"_old",Ammortamento_Finanziario!$H:$L,5,FALSE),VLOOKUP($M22,TT_Tabelle_Riferimento!$H$31:$I$50,2,FALSE))</f>
        <v>7</v>
      </c>
      <c r="II22" s="422">
        <f>+IFERROR(VLOOKUP(II$6&amp;"-"&amp;$M22&amp;"_old",Ammortamento_Finanziario!$H:$L,5,FALSE),VLOOKUP($M22,TT_Tabelle_Riferimento!$H$31:$I$50,2,FALSE))</f>
        <v>7</v>
      </c>
      <c r="IJ22" s="422">
        <f>+IFERROR(VLOOKUP(IJ$6&amp;"-"&amp;$M22&amp;"_old",Ammortamento_Finanziario!$H:$L,5,FALSE),VLOOKUP($M22,TT_Tabelle_Riferimento!$H$31:$I$50,2,FALSE))</f>
        <v>7</v>
      </c>
      <c r="IK22" s="422">
        <f>+IFERROR(VLOOKUP(IK$6&amp;"-"&amp;$M22&amp;"_old",Ammortamento_Finanziario!$H:$L,5,FALSE),VLOOKUP($M22,TT_Tabelle_Riferimento!$H$31:$I$50,2,FALSE))</f>
        <v>7</v>
      </c>
      <c r="IL22" s="1077">
        <f>+IFERROR(VLOOKUP(IL$6&amp;"-"&amp;$M22&amp;"_old",Ammortamento_Finanziario!$H:$L,5,FALSE),VLOOKUP($M22,TT_Tabelle_Riferimento!$H$31:$I$50,2,FALSE))</f>
        <v>7</v>
      </c>
      <c r="IM22" s="1077">
        <f>+IFERROR(VLOOKUP(IM$6&amp;"-"&amp;$M22&amp;"_old",Ammortamento_Finanziario!$H:$L,5,FALSE),VLOOKUP($M22,TT_Tabelle_Riferimento!$H$31:$I$50,2,FALSE))</f>
        <v>7</v>
      </c>
      <c r="IN22" s="1747">
        <f>+IFERROR(VLOOKUP(IN$6&amp;"-"&amp;$M22&amp;"_old",Ammortamento_Finanziario!$H:$L,5,FALSE),VLOOKUP($M22,TT_Tabelle_Riferimento!$H$31:$I$50,2,FALSE))</f>
        <v>7</v>
      </c>
      <c r="IO22" s="1747">
        <f>+IFERROR(VLOOKUP(IO$6&amp;"-"&amp;$M22&amp;"_old",Ammortamento_Finanziario!$H:$L,5,FALSE),VLOOKUP($M22,TT_Tabelle_Riferimento!$H$31:$I$50,2,FALSE))</f>
        <v>7</v>
      </c>
      <c r="IP22" s="1754">
        <f>+IFERROR(VLOOKUP(IP$6&amp;"-"&amp;$M22&amp;"_old",Ammortamento_Finanziario!$H:$L,5,FALSE),VLOOKUP($M22,TT_Tabelle_Riferimento!$H$31:$I$50,2,FALSE))</f>
        <v>7</v>
      </c>
      <c r="IQ22" s="1754">
        <f>+IFERROR(VLOOKUP(IQ$6&amp;"-"&amp;$M22&amp;"_old",Ammortamento_Finanziario!$H:$L,5,FALSE),VLOOKUP($M22,TT_Tabelle_Riferimento!$H$31:$I$50,2,FALSE))</f>
        <v>7</v>
      </c>
      <c r="IR22" s="1754">
        <f>+IFERROR(VLOOKUP(IR$6&amp;"-"&amp;$M22&amp;"_old",Ammortamento_Finanziario!$H:$L,5,FALSE),VLOOKUP($M22,TT_Tabelle_Riferimento!$H$31:$I$50,2,FALSE))</f>
        <v>7</v>
      </c>
      <c r="IS22" s="1754">
        <f>+IFERROR(VLOOKUP(IS$6&amp;"-"&amp;$M22&amp;"_old",Ammortamento_Finanziario!$H:$L,5,FALSE),VLOOKUP($M22,TT_Tabelle_Riferimento!$H$31:$I$50,2,FALSE))</f>
        <v>7</v>
      </c>
      <c r="IT22" s="1754">
        <f>+IFERROR(VLOOKUP(IT$6&amp;"-"&amp;$M22&amp;"_old",Ammortamento_Finanziario!$H:$L,5,FALSE),VLOOKUP($M22,TT_Tabelle_Riferimento!$H$31:$I$50,2,FALSE))</f>
        <v>7</v>
      </c>
      <c r="IU22" s="1754">
        <f>+IFERROR(VLOOKUP(IU$6&amp;"-"&amp;$M22&amp;"_old",Ammortamento_Finanziario!$H:$L,5,FALSE),VLOOKUP($M22,TT_Tabelle_Riferimento!$H$31:$I$50,2,FALSE))</f>
        <v>7</v>
      </c>
      <c r="IV22" s="1077">
        <f>+IFERROR(VLOOKUP(IV$6&amp;"-"&amp;$M22&amp;"_old",Ammortamento_Finanziario!$H:$L,5,FALSE),VLOOKUP($M22,TT_Tabelle_Riferimento!$H$31:$I$50,2,FALSE))</f>
        <v>7</v>
      </c>
      <c r="IW22" s="1077">
        <f>+IFERROR(VLOOKUP(IW$6&amp;"-"&amp;$M22&amp;"_old",Ammortamento_Finanziario!$H:$L,5,FALSE),VLOOKUP($M22,TT_Tabelle_Riferimento!$H$31:$I$50,2,FALSE))</f>
        <v>7</v>
      </c>
      <c r="IX22" s="1077">
        <f>+IFERROR(VLOOKUP(IX$6&amp;"-"&amp;$M22&amp;"_old",Ammortamento_Finanziario!$H:$L,5,FALSE),VLOOKUP($M22,TT_Tabelle_Riferimento!$H$31:$I$50,2,FALSE))</f>
        <v>7</v>
      </c>
      <c r="IY22" s="1077">
        <f>+IFERROR(VLOOKUP(IY$6&amp;"-"&amp;$M22&amp;"_old",Ammortamento_Finanziario!$H:$L,5,FALSE),VLOOKUP($M22,TT_Tabelle_Riferimento!$H$31:$I$50,2,FALSE))</f>
        <v>7</v>
      </c>
      <c r="IZ22" s="1077">
        <f>+IFERROR(VLOOKUP(IZ$6&amp;"-"&amp;$M22&amp;"_old",Ammortamento_Finanziario!$H:$L,5,FALSE),VLOOKUP($M22,TT_Tabelle_Riferimento!$H$31:$I$50,2,FALSE))</f>
        <v>7</v>
      </c>
      <c r="JA22" s="1077">
        <f>+IFERROR(VLOOKUP(JA$6&amp;"-"&amp;$M22&amp;"_old",Ammortamento_Finanziario!$H:$L,5,FALSE),VLOOKUP($M22,TT_Tabelle_Riferimento!$H$31:$I$50,2,FALSE))</f>
        <v>7</v>
      </c>
      <c r="JB22" s="1077">
        <f>+IFERROR(VLOOKUP(JB$6&amp;"-"&amp;$M22&amp;"_old",Ammortamento_Finanziario!$H:$L,5,FALSE),VLOOKUP($M22,TT_Tabelle_Riferimento!$H$31:$I$50,2,FALSE))</f>
        <v>7</v>
      </c>
      <c r="JC22" s="1077">
        <f>+IFERROR(VLOOKUP(JC$6&amp;"-"&amp;$M22&amp;"_old",Ammortamento_Finanziario!$H:$L,5,FALSE),VLOOKUP($M22,TT_Tabelle_Riferimento!$H$31:$I$50,2,FALSE))</f>
        <v>7</v>
      </c>
      <c r="JD22" s="1077">
        <f>+IFERROR(VLOOKUP(JD$6&amp;"-"&amp;$M22&amp;"_old",Ammortamento_Finanziario!$H:$L,5,FALSE),VLOOKUP($M22,TT_Tabelle_Riferimento!$H$31:$I$50,2,FALSE))</f>
        <v>7</v>
      </c>
      <c r="JE22" s="1077">
        <f>+IFERROR(VLOOKUP(JE$6&amp;"-"&amp;$M22&amp;"_old",Ammortamento_Finanziario!$H:$L,5,FALSE),VLOOKUP($M22,TT_Tabelle_Riferimento!$H$31:$I$50,2,FALSE))</f>
        <v>7</v>
      </c>
      <c r="JF22" s="1077">
        <f>+IFERROR(VLOOKUP(JF$6&amp;"-"&amp;$M22&amp;"_old",Ammortamento_Finanziario!$H:$L,5,FALSE),VLOOKUP($M22,TT_Tabelle_Riferimento!$H$31:$I$50,2,FALSE))</f>
        <v>7</v>
      </c>
      <c r="JG22" s="1077">
        <f>+IFERROR(VLOOKUP(JG$6&amp;"-"&amp;$M22&amp;"_old",Ammortamento_Finanziario!$H:$L,5,FALSE),VLOOKUP($M22,TT_Tabelle_Riferimento!$H$31:$I$50,2,FALSE))</f>
        <v>7</v>
      </c>
      <c r="JH22" s="1077">
        <f>+IFERROR(VLOOKUP(JH$6&amp;"-"&amp;$M22&amp;"_old",Ammortamento_Finanziario!$H:$L,5,FALSE),VLOOKUP($M22,TT_Tabelle_Riferimento!$H$31:$I$50,2,FALSE))</f>
        <v>7</v>
      </c>
      <c r="JI22" s="1077">
        <f>+IFERROR(VLOOKUP(JI$6&amp;"-"&amp;$M22&amp;"_old",Ammortamento_Finanziario!$H:$L,5,FALSE),VLOOKUP($M22,TT_Tabelle_Riferimento!$H$31:$I$50,2,FALSE))</f>
        <v>7</v>
      </c>
      <c r="JJ22" s="1077">
        <f>+IFERROR(VLOOKUP(JJ$6&amp;"-"&amp;$M22&amp;"_old",Ammortamento_Finanziario!$H:$L,5,FALSE),VLOOKUP($M22,TT_Tabelle_Riferimento!$H$31:$I$50,2,FALSE))</f>
        <v>7</v>
      </c>
      <c r="JK22" s="1077">
        <f>+IFERROR(VLOOKUP(JK$6&amp;"-"&amp;$M22&amp;"_old",Ammortamento_Finanziario!$H:$L,5,FALSE),VLOOKUP($M22,TT_Tabelle_Riferimento!$H$31:$I$50,2,FALSE))</f>
        <v>7</v>
      </c>
      <c r="JL22" s="1077">
        <f>+IFERROR(VLOOKUP(JL$6&amp;"-"&amp;$M22&amp;"_old",Ammortamento_Finanziario!$H:$L,5,FALSE),VLOOKUP($M22,TT_Tabelle_Riferimento!$H$31:$I$50,2,FALSE))</f>
        <v>7</v>
      </c>
      <c r="JM22" s="1077">
        <f>+IFERROR(VLOOKUP(JM$6&amp;"-"&amp;$M22&amp;"_old",Ammortamento_Finanziario!$H:$L,5,FALSE),VLOOKUP($M22,TT_Tabelle_Riferimento!$H$31:$I$50,2,FALSE))</f>
        <v>7</v>
      </c>
      <c r="JN22" s="1077">
        <f>+IFERROR(VLOOKUP(JN$6&amp;"-"&amp;$M22&amp;"_old",Ammortamento_Finanziario!$H:$L,5,FALSE),VLOOKUP($M22,TT_Tabelle_Riferimento!$H$31:$I$50,2,FALSE))</f>
        <v>7</v>
      </c>
      <c r="JO22" s="1078">
        <f>+IFERROR(VLOOKUP(JO$6&amp;"-"&amp;$M22&amp;"_old",Ammortamento_Finanziario!$H:$L,5,FALSE),VLOOKUP($M22,TT_Tabelle_Riferimento!$H$31:$I$50,2,FALSE))</f>
        <v>7</v>
      </c>
      <c r="JP22" s="1748">
        <f>+IFERROR(VLOOKUP(JP$6&amp;"-"&amp;$M22&amp;"_old",Ammortamento_Finanziario!$H:$L,5,FALSE),VLOOKUP($M22,TT_Tabelle_Riferimento!$H$31:$I$50,2,FALSE))</f>
        <v>7</v>
      </c>
      <c r="JQ22" s="1748">
        <f>+IFERROR(VLOOKUP(JQ$6&amp;"-"&amp;$M22&amp;"_old",Ammortamento_Finanziario!$H:$L,5,FALSE),VLOOKUP($M22,TT_Tabelle_Riferimento!$H$31:$I$50,2,FALSE))</f>
        <v>7</v>
      </c>
      <c r="JR22" s="1755">
        <f>+IFERROR(VLOOKUP(JR$6&amp;"-"&amp;$M22&amp;"_old",Ammortamento_Finanziario!$H:$L,5,FALSE),VLOOKUP($M22,TT_Tabelle_Riferimento!$H$31:$I$50,2,FALSE))</f>
        <v>7</v>
      </c>
      <c r="JS22" s="1755">
        <f>+IFERROR(VLOOKUP(JS$6&amp;"-"&amp;$M22&amp;"_old",Ammortamento_Finanziario!$H:$L,5,FALSE),VLOOKUP($M22,TT_Tabelle_Riferimento!$H$31:$I$50,2,FALSE))</f>
        <v>7</v>
      </c>
      <c r="JT22" s="1755">
        <f>+IFERROR(VLOOKUP(JT$6&amp;"-"&amp;$M22&amp;"_old",Ammortamento_Finanziario!$H:$L,5,FALSE),VLOOKUP($M22,TT_Tabelle_Riferimento!$H$31:$I$50,2,FALSE))</f>
        <v>7</v>
      </c>
      <c r="JU22" s="1755">
        <f>+IFERROR(VLOOKUP(JU$6&amp;"-"&amp;$M22&amp;"_old",Ammortamento_Finanziario!$H:$L,5,FALSE),VLOOKUP($M22,TT_Tabelle_Riferimento!$H$31:$I$50,2,FALSE))</f>
        <v>7</v>
      </c>
      <c r="JV22" s="1755">
        <f>+IFERROR(VLOOKUP(JV$6&amp;"-"&amp;$M22&amp;"_old",Ammortamento_Finanziario!$H:$L,5,FALSE),VLOOKUP($M22,TT_Tabelle_Riferimento!$H$31:$I$50,2,FALSE))</f>
        <v>7</v>
      </c>
      <c r="JW22" s="1755">
        <f>+IFERROR(VLOOKUP(JW$6&amp;"-"&amp;$M22&amp;"_old",Ammortamento_Finanziario!$H:$L,5,FALSE),VLOOKUP($M22,TT_Tabelle_Riferimento!$H$31:$I$50,2,FALSE))</f>
        <v>7</v>
      </c>
      <c r="JX22" s="1078">
        <f>+IFERROR(VLOOKUP(JX$6&amp;"-"&amp;$M22&amp;"_old",Ammortamento_Finanziario!$H:$L,5,FALSE),VLOOKUP($M22,TT_Tabelle_Riferimento!$H$31:$I$50,2,FALSE))</f>
        <v>7</v>
      </c>
      <c r="JY22" s="1078">
        <f>+IFERROR(VLOOKUP(JY$6&amp;"-"&amp;$M22&amp;"_old",Ammortamento_Finanziario!$H:$L,5,FALSE),VLOOKUP($M22,TT_Tabelle_Riferimento!$H$31:$I$50,2,FALSE))</f>
        <v>7</v>
      </c>
      <c r="JZ22" s="1078">
        <f>+IFERROR(VLOOKUP(JZ$6&amp;"-"&amp;$M22&amp;"_old",Ammortamento_Finanziario!$H:$L,5,FALSE),VLOOKUP($M22,TT_Tabelle_Riferimento!$H$31:$I$50,2,FALSE))</f>
        <v>7</v>
      </c>
      <c r="KA22" s="1078">
        <f>+IFERROR(VLOOKUP(KA$6&amp;"-"&amp;$M22&amp;"_old",Ammortamento_Finanziario!$H:$L,5,FALSE),VLOOKUP($M22,TT_Tabelle_Riferimento!$H$31:$I$50,2,FALSE))</f>
        <v>7</v>
      </c>
      <c r="KB22" s="1078">
        <f>+IFERROR(VLOOKUP(KB$6&amp;"-"&amp;$M22&amp;"_old",Ammortamento_Finanziario!$H:$L,5,FALSE),VLOOKUP($M22,TT_Tabelle_Riferimento!$H$31:$I$50,2,FALSE))</f>
        <v>7</v>
      </c>
      <c r="KC22" s="1078">
        <f>+IFERROR(VLOOKUP(KC$6&amp;"-"&amp;$M22&amp;"_old",Ammortamento_Finanziario!$H:$L,5,FALSE),VLOOKUP($M22,TT_Tabelle_Riferimento!$H$31:$I$50,2,FALSE))</f>
        <v>7</v>
      </c>
      <c r="KD22" s="1078">
        <f>+IFERROR(VLOOKUP(KD$6&amp;"-"&amp;$M22&amp;"_old",Ammortamento_Finanziario!$H:$L,5,FALSE),VLOOKUP($M22,TT_Tabelle_Riferimento!$H$31:$I$50,2,FALSE))</f>
        <v>7</v>
      </c>
      <c r="KE22" s="1078">
        <f>+IFERROR(VLOOKUP(KE$6&amp;"-"&amp;$M22&amp;"_old",Ammortamento_Finanziario!$H:$L,5,FALSE),VLOOKUP($M22,TT_Tabelle_Riferimento!$H$31:$I$50,2,FALSE))</f>
        <v>7</v>
      </c>
      <c r="KF22" s="1078">
        <f>+IFERROR(VLOOKUP(KF$6&amp;"-"&amp;$M22&amp;"_old",Ammortamento_Finanziario!$H:$L,5,FALSE),VLOOKUP($M22,TT_Tabelle_Riferimento!$H$31:$I$50,2,FALSE))</f>
        <v>7</v>
      </c>
      <c r="KG22" s="1078">
        <f>+IFERROR(VLOOKUP(KG$6&amp;"-"&amp;$M22&amp;"_old",Ammortamento_Finanziario!$H:$L,5,FALSE),VLOOKUP($M22,TT_Tabelle_Riferimento!$H$31:$I$50,2,FALSE))</f>
        <v>7</v>
      </c>
      <c r="KH22" s="1078">
        <f>+IFERROR(VLOOKUP(KH$6&amp;"-"&amp;$M22&amp;"_old",Ammortamento_Finanziario!$H:$L,5,FALSE),VLOOKUP($M22,TT_Tabelle_Riferimento!$H$31:$I$50,2,FALSE))</f>
        <v>7</v>
      </c>
      <c r="KI22" s="1078">
        <f>+IFERROR(VLOOKUP(KI$6&amp;"-"&amp;$M22&amp;"_old",Ammortamento_Finanziario!$H:$L,5,FALSE),VLOOKUP($M22,TT_Tabelle_Riferimento!$H$31:$I$50,2,FALSE))</f>
        <v>7</v>
      </c>
      <c r="KJ22" s="1078">
        <f>+IFERROR(VLOOKUP(KJ$6&amp;"-"&amp;$M22&amp;"_old",Ammortamento_Finanziario!$H:$L,5,FALSE),VLOOKUP($M22,TT_Tabelle_Riferimento!$H$31:$I$50,2,FALSE))</f>
        <v>7</v>
      </c>
      <c r="KK22" s="1078">
        <f>+IFERROR(VLOOKUP(KK$6&amp;"-"&amp;$M22&amp;"_old",Ammortamento_Finanziario!$H:$L,5,FALSE),VLOOKUP($M22,TT_Tabelle_Riferimento!$H$31:$I$50,2,FALSE))</f>
        <v>7</v>
      </c>
      <c r="KL22" s="1078">
        <f>+IFERROR(VLOOKUP(KL$6&amp;"-"&amp;$M22&amp;"_old",Ammortamento_Finanziario!$H:$L,5,FALSE),VLOOKUP($M22,TT_Tabelle_Riferimento!$H$31:$I$50,2,FALSE))</f>
        <v>7</v>
      </c>
      <c r="KM22" s="1078">
        <f>+IFERROR(VLOOKUP(KM$6&amp;"-"&amp;$M22&amp;"_old",Ammortamento_Finanziario!$H:$L,5,FALSE),VLOOKUP($M22,TT_Tabelle_Riferimento!$H$31:$I$50,2,FALSE))</f>
        <v>7</v>
      </c>
      <c r="KN22" s="1078">
        <f>+IFERROR(VLOOKUP(KN$6&amp;"-"&amp;$M22&amp;"_old",Ammortamento_Finanziario!$H:$L,5,FALSE),VLOOKUP($M22,TT_Tabelle_Riferimento!$H$31:$I$50,2,FALSE))</f>
        <v>7</v>
      </c>
      <c r="KO22" s="1078">
        <f>+IFERROR(VLOOKUP(KO$6&amp;"-"&amp;$M22&amp;"_old",Ammortamento_Finanziario!$H:$L,5,FALSE),VLOOKUP($M22,TT_Tabelle_Riferimento!$H$31:$I$50,2,FALSE))</f>
        <v>7</v>
      </c>
      <c r="KP22" s="1078">
        <f>+IFERROR(VLOOKUP(KP$6&amp;"-"&amp;$M22&amp;"_old",Ammortamento_Finanziario!$H:$L,5,FALSE),VLOOKUP($M22,TT_Tabelle_Riferimento!$H$31:$I$50,2,FALSE))</f>
        <v>7</v>
      </c>
      <c r="KQ22" s="1748">
        <f>+IFERROR(VLOOKUP(KQ$6&amp;"-"&amp;$M22&amp;"_old",Ammortamento_Finanziario!$H:$L,5,FALSE),VLOOKUP($M22,TT_Tabelle_Riferimento!$H$31:$I$50,2,FALSE))</f>
        <v>7</v>
      </c>
      <c r="KR22" s="1748">
        <f>+IFERROR(VLOOKUP(KR$6&amp;"-"&amp;$M22&amp;"_old",Ammortamento_Finanziario!$H:$L,5,FALSE),VLOOKUP($M22,TT_Tabelle_Riferimento!$H$31:$I$50,2,FALSE))</f>
        <v>7</v>
      </c>
      <c r="KS22" s="1755">
        <f>+IFERROR(VLOOKUP(KS$6&amp;"-"&amp;$M22&amp;"_old",Ammortamento_Finanziario!$H:$L,5,FALSE),VLOOKUP($M22,TT_Tabelle_Riferimento!$H$31:$I$50,2,FALSE))</f>
        <v>7</v>
      </c>
      <c r="KT22" s="1755">
        <f>+IFERROR(VLOOKUP(KT$6&amp;"-"&amp;$M22&amp;"_old",Ammortamento_Finanziario!$H:$L,5,FALSE),VLOOKUP($M22,TT_Tabelle_Riferimento!$H$31:$I$50,2,FALSE))</f>
        <v>7</v>
      </c>
      <c r="KU22" s="1755">
        <f>+IFERROR(VLOOKUP(KU$6&amp;"-"&amp;$M22&amp;"_old",Ammortamento_Finanziario!$H:$L,5,FALSE),VLOOKUP($M22,TT_Tabelle_Riferimento!$H$31:$I$50,2,FALSE))</f>
        <v>7</v>
      </c>
      <c r="KV22" s="1755">
        <f>+IFERROR(VLOOKUP(KV$6&amp;"-"&amp;$M22&amp;"_old",Ammortamento_Finanziario!$H:$L,5,FALSE),VLOOKUP($M22,TT_Tabelle_Riferimento!$H$31:$I$50,2,FALSE))</f>
        <v>7</v>
      </c>
      <c r="KW22" s="1755">
        <f>+IFERROR(VLOOKUP(KW$6&amp;"-"&amp;$M22&amp;"_old",Ammortamento_Finanziario!$H:$L,5,FALSE),VLOOKUP($M22,TT_Tabelle_Riferimento!$H$31:$I$50,2,FALSE))</f>
        <v>7</v>
      </c>
      <c r="KX22" s="1755">
        <f>+IFERROR(VLOOKUP(KX$6&amp;"-"&amp;$M22&amp;"_old",Ammortamento_Finanziario!$H:$L,5,FALSE),VLOOKUP($M22,TT_Tabelle_Riferimento!$H$31:$I$50,2,FALSE))</f>
        <v>7</v>
      </c>
      <c r="KY22" s="1078">
        <f>+IFERROR(VLOOKUP(KY$6&amp;"-"&amp;$M22&amp;"_old",Ammortamento_Finanziario!$H:$L,5,FALSE),VLOOKUP($M22,TT_Tabelle_Riferimento!$H$31:$I$50,2,FALSE))</f>
        <v>7</v>
      </c>
      <c r="KZ22" s="1078">
        <f>+IFERROR(VLOOKUP(KZ$6&amp;"-"&amp;$M22&amp;"_old",Ammortamento_Finanziario!$H:$L,5,FALSE),VLOOKUP($M22,TT_Tabelle_Riferimento!$H$31:$I$50,2,FALSE))</f>
        <v>7</v>
      </c>
      <c r="LA22" s="1078">
        <f>+IFERROR(VLOOKUP(LA$6&amp;"-"&amp;$M22&amp;"_old",Ammortamento_Finanziario!$H:$L,5,FALSE),VLOOKUP($M22,TT_Tabelle_Riferimento!$H$31:$I$50,2,FALSE))</f>
        <v>7</v>
      </c>
      <c r="LB22" s="1078">
        <f>+IFERROR(VLOOKUP(LB$6&amp;"-"&amp;$M22&amp;"_old",Ammortamento_Finanziario!$H:$L,5,FALSE),VLOOKUP($M22,TT_Tabelle_Riferimento!$H$31:$I$50,2,FALSE))</f>
        <v>7</v>
      </c>
      <c r="LC22" s="1078">
        <f>+IFERROR(VLOOKUP(LC$6&amp;"-"&amp;$M22&amp;"_old",Ammortamento_Finanziario!$H:$L,5,FALSE),VLOOKUP($M22,TT_Tabelle_Riferimento!$H$31:$I$50,2,FALSE))</f>
        <v>7</v>
      </c>
      <c r="LD22" s="1078">
        <f>+IFERROR(VLOOKUP(LD$6&amp;"-"&amp;$M22&amp;"_old",Ammortamento_Finanziario!$H:$L,5,FALSE),VLOOKUP($M22,TT_Tabelle_Riferimento!$H$31:$I$50,2,FALSE))</f>
        <v>7</v>
      </c>
      <c r="LE22" s="1078">
        <f>+IFERROR(VLOOKUP(LE$6&amp;"-"&amp;$M22&amp;"_old",Ammortamento_Finanziario!$H:$L,5,FALSE),VLOOKUP($M22,TT_Tabelle_Riferimento!$H$31:$I$50,2,FALSE))</f>
        <v>7</v>
      </c>
      <c r="LF22" s="1078">
        <f>+IFERROR(VLOOKUP(LF$6&amp;"-"&amp;$M22&amp;"_old",Ammortamento_Finanziario!$H:$L,5,FALSE),VLOOKUP($M22,TT_Tabelle_Riferimento!$H$31:$I$50,2,FALSE))</f>
        <v>7</v>
      </c>
      <c r="LG22" s="1078">
        <f>+IFERROR(VLOOKUP(LG$6&amp;"-"&amp;$M22&amp;"_old",Ammortamento_Finanziario!$H:$L,5,FALSE),VLOOKUP($M22,TT_Tabelle_Riferimento!$H$31:$I$50,2,FALSE))</f>
        <v>7</v>
      </c>
      <c r="LH22" s="1078">
        <f>+IFERROR(VLOOKUP(LH$6&amp;"-"&amp;$M22&amp;"_old",Ammortamento_Finanziario!$H:$L,5,FALSE),VLOOKUP($M22,TT_Tabelle_Riferimento!$H$31:$I$50,2,FALSE))</f>
        <v>7</v>
      </c>
      <c r="LI22" s="1078">
        <f>+IFERROR(VLOOKUP(LI$6&amp;"-"&amp;$M22&amp;"_old",Ammortamento_Finanziario!$H:$L,5,FALSE),VLOOKUP($M22,TT_Tabelle_Riferimento!$H$31:$I$50,2,FALSE))</f>
        <v>7</v>
      </c>
      <c r="LJ22" s="1078">
        <f>+IFERROR(VLOOKUP(LJ$6&amp;"-"&amp;$M22&amp;"_old",Ammortamento_Finanziario!$H:$L,5,FALSE),VLOOKUP($M22,TT_Tabelle_Riferimento!$H$31:$I$50,2,FALSE))</f>
        <v>7</v>
      </c>
      <c r="LK22" s="1078">
        <f>+IFERROR(VLOOKUP(LK$6&amp;"-"&amp;$M22&amp;"_old",Ammortamento_Finanziario!$H:$L,5,FALSE),VLOOKUP($M22,TT_Tabelle_Riferimento!$H$31:$I$50,2,FALSE))</f>
        <v>7</v>
      </c>
      <c r="LL22" s="1078">
        <f>+IFERROR(VLOOKUP(LL$6&amp;"-"&amp;$M22&amp;"_old",Ammortamento_Finanziario!$H:$L,5,FALSE),VLOOKUP($M22,TT_Tabelle_Riferimento!$H$31:$I$50,2,FALSE))</f>
        <v>7</v>
      </c>
      <c r="LM22" s="1078">
        <f>+IFERROR(VLOOKUP(LM$6&amp;"-"&amp;$M22&amp;"_old",Ammortamento_Finanziario!$H:$L,5,FALSE),VLOOKUP($M22,TT_Tabelle_Riferimento!$H$31:$I$50,2,FALSE))</f>
        <v>7</v>
      </c>
      <c r="LN22" s="1078">
        <f>+IFERROR(VLOOKUP(LN$6&amp;"-"&amp;$M22&amp;"_old",Ammortamento_Finanziario!$H:$L,5,FALSE),VLOOKUP($M22,TT_Tabelle_Riferimento!$H$31:$I$50,2,FALSE))</f>
        <v>7</v>
      </c>
      <c r="LO22" s="1078">
        <f>+IFERROR(VLOOKUP(LO$6&amp;"-"&amp;$M22&amp;"_old",Ammortamento_Finanziario!$H:$L,5,FALSE),VLOOKUP($M22,TT_Tabelle_Riferimento!$H$31:$I$50,2,FALSE))</f>
        <v>7</v>
      </c>
      <c r="LP22" s="1078">
        <f>+IFERROR(VLOOKUP(LP$6&amp;"-"&amp;$M22&amp;"_old",Ammortamento_Finanziario!$H:$L,5,FALSE),VLOOKUP($M22,TT_Tabelle_Riferimento!$H$31:$I$50,2,FALSE))</f>
        <v>7</v>
      </c>
      <c r="LQ22" s="1078">
        <f>+IFERROR(VLOOKUP(LQ$6&amp;"-"&amp;$M22&amp;"_old",Ammortamento_Finanziario!$H:$L,5,FALSE),VLOOKUP($M22,TT_Tabelle_Riferimento!$H$31:$I$50,2,FALSE))</f>
        <v>7</v>
      </c>
      <c r="LR22" s="1748">
        <f>+IFERROR(VLOOKUP(LR$6&amp;"-"&amp;$M22&amp;"_old",Ammortamento_Finanziario!$H:$L,5,FALSE),VLOOKUP($M22,TT_Tabelle_Riferimento!$H$31:$I$50,2,FALSE))</f>
        <v>7</v>
      </c>
      <c r="LS22" s="1755">
        <f>+IFERROR(VLOOKUP(LS$6&amp;"-"&amp;$M22&amp;"_old",Ammortamento_Finanziario!$H:$L,5,FALSE),VLOOKUP($M22,TT_Tabelle_Riferimento!$H$31:$I$50,2,FALSE))</f>
        <v>7</v>
      </c>
      <c r="LT22" s="1755">
        <f>+IFERROR(VLOOKUP(LT$6&amp;"-"&amp;$M22&amp;"_old",Ammortamento_Finanziario!$H:$L,5,FALSE),VLOOKUP($M22,TT_Tabelle_Riferimento!$H$31:$I$50,2,FALSE))</f>
        <v>7</v>
      </c>
      <c r="LU22" s="1755">
        <f>+IFERROR(VLOOKUP(LU$6&amp;"-"&amp;$M22&amp;"_old",Ammortamento_Finanziario!$H:$L,5,FALSE),VLOOKUP($M22,TT_Tabelle_Riferimento!$H$31:$I$50,2,FALSE))</f>
        <v>7</v>
      </c>
      <c r="LV22" s="1755">
        <f>+IFERROR(VLOOKUP(LV$6&amp;"-"&amp;$M22&amp;"_old",Ammortamento_Finanziario!$H:$L,5,FALSE),VLOOKUP($M22,TT_Tabelle_Riferimento!$H$31:$I$50,2,FALSE))</f>
        <v>7</v>
      </c>
      <c r="LW22" s="1755">
        <f>+IFERROR(VLOOKUP(LW$6&amp;"-"&amp;$M22&amp;"_old",Ammortamento_Finanziario!$H:$L,5,FALSE),VLOOKUP($M22,TT_Tabelle_Riferimento!$H$31:$I$50,2,FALSE))</f>
        <v>7</v>
      </c>
      <c r="LX22" s="1755">
        <f>+IFERROR(VLOOKUP(LX$6&amp;"-"&amp;$M22&amp;"_old",Ammortamento_Finanziario!$H:$L,5,FALSE),VLOOKUP($M22,TT_Tabelle_Riferimento!$H$31:$I$50,2,FALSE))</f>
        <v>7</v>
      </c>
      <c r="LY22" s="1078">
        <f>+IFERROR(VLOOKUP(LY$6&amp;"-"&amp;$M22&amp;"_old",Ammortamento_Finanziario!$H:$L,5,FALSE),VLOOKUP($M22,TT_Tabelle_Riferimento!$H$31:$I$50,2,FALSE))</f>
        <v>7</v>
      </c>
      <c r="LZ22" s="1078">
        <f>+IFERROR(VLOOKUP(LZ$6&amp;"-"&amp;$M22&amp;"_old",Ammortamento_Finanziario!$H:$L,5,FALSE),VLOOKUP($M22,TT_Tabelle_Riferimento!$H$31:$I$50,2,FALSE))</f>
        <v>7</v>
      </c>
      <c r="MA22" s="1078">
        <f>+IFERROR(VLOOKUP(MA$6&amp;"-"&amp;$M22&amp;"_old",Ammortamento_Finanziario!$H:$L,5,FALSE),VLOOKUP($M22,TT_Tabelle_Riferimento!$H$31:$I$50,2,FALSE))</f>
        <v>7</v>
      </c>
      <c r="MB22" s="1078">
        <f>+IFERROR(VLOOKUP(MB$6&amp;"-"&amp;$M22&amp;"_old",Ammortamento_Finanziario!$H:$L,5,FALSE),VLOOKUP($M22,TT_Tabelle_Riferimento!$H$31:$I$50,2,FALSE))</f>
        <v>7</v>
      </c>
      <c r="MC22" s="1078">
        <f>+IFERROR(VLOOKUP(MC$6&amp;"-"&amp;$M22&amp;"_old",Ammortamento_Finanziario!$H:$L,5,FALSE),VLOOKUP($M22,TT_Tabelle_Riferimento!$H$31:$I$50,2,FALSE))</f>
        <v>7</v>
      </c>
      <c r="MD22" s="1078">
        <f>+IFERROR(VLOOKUP(MD$6&amp;"-"&amp;$M22&amp;"_old",Ammortamento_Finanziario!$H:$L,5,FALSE),VLOOKUP($M22,TT_Tabelle_Riferimento!$H$31:$I$50,2,FALSE))</f>
        <v>7</v>
      </c>
      <c r="ME22" s="1078">
        <f>+IFERROR(VLOOKUP(ME$6&amp;"-"&amp;$M22&amp;"_old",Ammortamento_Finanziario!$H:$L,5,FALSE),VLOOKUP($M22,TT_Tabelle_Riferimento!$H$31:$I$50,2,FALSE))</f>
        <v>7</v>
      </c>
      <c r="MF22" s="1078">
        <f>+IFERROR(VLOOKUP(MF$6&amp;"-"&amp;$M22&amp;"_old",Ammortamento_Finanziario!$H:$L,5,FALSE),VLOOKUP($M22,TT_Tabelle_Riferimento!$H$31:$I$50,2,FALSE))</f>
        <v>7</v>
      </c>
      <c r="MG22" s="1078">
        <f>+IFERROR(VLOOKUP(MG$6&amp;"-"&amp;$M22&amp;"_old",Ammortamento_Finanziario!$H:$L,5,FALSE),VLOOKUP($M22,TT_Tabelle_Riferimento!$H$31:$I$50,2,FALSE))</f>
        <v>7</v>
      </c>
      <c r="MH22" s="1078">
        <f>+IFERROR(VLOOKUP(MH$6&amp;"-"&amp;$M22&amp;"_old",Ammortamento_Finanziario!$H:$L,5,FALSE),VLOOKUP($M22,TT_Tabelle_Riferimento!$H$31:$I$50,2,FALSE))</f>
        <v>7</v>
      </c>
      <c r="MI22" s="1078">
        <f>+IFERROR(VLOOKUP(MI$6&amp;"-"&amp;$M22&amp;"_old",Ammortamento_Finanziario!$H:$L,5,FALSE),VLOOKUP($M22,TT_Tabelle_Riferimento!$H$31:$I$50,2,FALSE))</f>
        <v>7</v>
      </c>
      <c r="MJ22" s="1078">
        <f>+IFERROR(VLOOKUP(MJ$6&amp;"-"&amp;$M22&amp;"_old",Ammortamento_Finanziario!$H:$L,5,FALSE),VLOOKUP($M22,TT_Tabelle_Riferimento!$H$31:$I$50,2,FALSE))</f>
        <v>7</v>
      </c>
      <c r="MK22" s="1078">
        <f>+IFERROR(VLOOKUP(MK$6&amp;"-"&amp;$M22&amp;"_old",Ammortamento_Finanziario!$H:$L,5,FALSE),VLOOKUP($M22,TT_Tabelle_Riferimento!$H$31:$I$50,2,FALSE))</f>
        <v>7</v>
      </c>
      <c r="ML22" s="1078">
        <f>+IFERROR(VLOOKUP(ML$6&amp;"-"&amp;$M22&amp;"_old",Ammortamento_Finanziario!$H:$L,5,FALSE),VLOOKUP($M22,TT_Tabelle_Riferimento!$H$31:$I$50,2,FALSE))</f>
        <v>7</v>
      </c>
      <c r="MM22" s="1078">
        <f>+IFERROR(VLOOKUP(MM$6&amp;"-"&amp;$M22&amp;"_old",Ammortamento_Finanziario!$H:$L,5,FALSE),VLOOKUP($M22,TT_Tabelle_Riferimento!$H$31:$I$50,2,FALSE))</f>
        <v>7</v>
      </c>
      <c r="MN22" s="1078">
        <f>+IFERROR(VLOOKUP(MN$6&amp;"-"&amp;$M22&amp;"_old",Ammortamento_Finanziario!$H:$L,5,FALSE),VLOOKUP($M22,TT_Tabelle_Riferimento!$H$31:$I$50,2,FALSE))</f>
        <v>7</v>
      </c>
      <c r="MO22" s="1078">
        <f>+IFERROR(VLOOKUP(MO$6&amp;"-"&amp;$M22&amp;"_old",Ammortamento_Finanziario!$H:$L,5,FALSE),VLOOKUP($M22,TT_Tabelle_Riferimento!$H$31:$I$50,2,FALSE))</f>
        <v>7</v>
      </c>
      <c r="MP22" s="1078">
        <f>+IFERROR(VLOOKUP(MP$6&amp;"-"&amp;$M22&amp;"_old",Ammortamento_Finanziario!$H:$L,5,FALSE),VLOOKUP($M22,TT_Tabelle_Riferimento!$H$31:$I$50,2,FALSE))</f>
        <v>7</v>
      </c>
      <c r="MQ22" s="1078">
        <f>+IFERROR(VLOOKUP(MQ$6&amp;"-"&amp;$M22&amp;"_old",Ammortamento_Finanziario!$H:$L,5,FALSE),VLOOKUP($M22,TT_Tabelle_Riferimento!$H$31:$I$50,2,FALSE))</f>
        <v>7</v>
      </c>
      <c r="MR22" s="1755">
        <f>+IFERROR(VLOOKUP(MR$6&amp;"-"&amp;$M22&amp;"_old",Ammortamento_Finanziario!$H:$L,5,FALSE),VLOOKUP($M22,TT_Tabelle_Riferimento!$H$31:$I$50,2,FALSE))</f>
        <v>7</v>
      </c>
      <c r="MS22" s="1755">
        <f>+IFERROR(VLOOKUP(MS$6&amp;"-"&amp;$M22&amp;"_old",Ammortamento_Finanziario!$H:$L,5,FALSE),VLOOKUP($M22,TT_Tabelle_Riferimento!$H$31:$I$50,2,FALSE))</f>
        <v>7</v>
      </c>
      <c r="MT22" s="1755">
        <f>+IFERROR(VLOOKUP(MT$6&amp;"-"&amp;$M22&amp;"_old",Ammortamento_Finanziario!$H:$L,5,FALSE),VLOOKUP($M22,TT_Tabelle_Riferimento!$H$31:$I$50,2,FALSE))</f>
        <v>7</v>
      </c>
      <c r="MU22" s="1755">
        <f>+IFERROR(VLOOKUP(MU$6&amp;"-"&amp;$M22&amp;"_old",Ammortamento_Finanziario!$H:$L,5,FALSE),VLOOKUP($M22,TT_Tabelle_Riferimento!$H$31:$I$50,2,FALSE))</f>
        <v>7</v>
      </c>
      <c r="MV22" s="1755">
        <f>+IFERROR(VLOOKUP(MV$6&amp;"-"&amp;$M22&amp;"_old",Ammortamento_Finanziario!$H:$L,5,FALSE),VLOOKUP($M22,TT_Tabelle_Riferimento!$H$31:$I$50,2,FALSE))</f>
        <v>7</v>
      </c>
      <c r="MW22" s="1755">
        <f>+IFERROR(VLOOKUP(MW$6&amp;"-"&amp;$M22&amp;"_old",Ammortamento_Finanziario!$H:$L,5,FALSE),VLOOKUP($M22,TT_Tabelle_Riferimento!$H$31:$I$50,2,FALSE))</f>
        <v>7</v>
      </c>
      <c r="MX22" s="1078">
        <f>+IFERROR(VLOOKUP(MX$6&amp;"-"&amp;$M22&amp;"_old",Ammortamento_Finanziario!$H:$L,5,FALSE),VLOOKUP($M22,TT_Tabelle_Riferimento!$H$31:$I$50,2,FALSE))</f>
        <v>7</v>
      </c>
      <c r="MY22" s="1078">
        <f>+IFERROR(VLOOKUP(MY$6&amp;"-"&amp;$M22&amp;"_old",Ammortamento_Finanziario!$H:$L,5,FALSE),VLOOKUP($M22,TT_Tabelle_Riferimento!$H$31:$I$50,2,FALSE))</f>
        <v>7</v>
      </c>
      <c r="MZ22" s="1078">
        <f>+IFERROR(VLOOKUP(MZ$6&amp;"-"&amp;$M22&amp;"_old",Ammortamento_Finanziario!$H:$L,5,FALSE),VLOOKUP($M22,TT_Tabelle_Riferimento!$H$31:$I$50,2,FALSE))</f>
        <v>7</v>
      </c>
      <c r="NA22" s="1078">
        <f>+IFERROR(VLOOKUP(NA$6&amp;"-"&amp;$M22&amp;"_old",Ammortamento_Finanziario!$H:$L,5,FALSE),VLOOKUP($M22,TT_Tabelle_Riferimento!$H$31:$I$50,2,FALSE))</f>
        <v>7</v>
      </c>
      <c r="NB22" s="1078">
        <f>+IFERROR(VLOOKUP(NB$6&amp;"-"&amp;$M22&amp;"_old",Ammortamento_Finanziario!$H:$L,5,FALSE),VLOOKUP($M22,TT_Tabelle_Riferimento!$H$31:$I$50,2,FALSE))</f>
        <v>7</v>
      </c>
      <c r="NC22" s="1078">
        <f>+IFERROR(VLOOKUP(NC$6&amp;"-"&amp;$M22&amp;"_old",Ammortamento_Finanziario!$H:$L,5,FALSE),VLOOKUP($M22,TT_Tabelle_Riferimento!$H$31:$I$50,2,FALSE))</f>
        <v>7</v>
      </c>
      <c r="ND22" s="1078">
        <f>+IFERROR(VLOOKUP(ND$6&amp;"-"&amp;$M22&amp;"_old",Ammortamento_Finanziario!$H:$L,5,FALSE),VLOOKUP($M22,TT_Tabelle_Riferimento!$H$31:$I$50,2,FALSE))</f>
        <v>7</v>
      </c>
      <c r="NE22" s="1078">
        <f>+IFERROR(VLOOKUP(NE$6&amp;"-"&amp;$M22&amp;"_old",Ammortamento_Finanziario!$H:$L,5,FALSE),VLOOKUP($M22,TT_Tabelle_Riferimento!$H$31:$I$50,2,FALSE))</f>
        <v>7</v>
      </c>
      <c r="NF22" s="1078">
        <f>+IFERROR(VLOOKUP(NF$6&amp;"-"&amp;$M22&amp;"_old",Ammortamento_Finanziario!$H:$L,5,FALSE),VLOOKUP($M22,TT_Tabelle_Riferimento!$H$31:$I$50,2,FALSE))</f>
        <v>7</v>
      </c>
      <c r="NG22" s="1078">
        <f>+IFERROR(VLOOKUP(NG$6&amp;"-"&amp;$M22&amp;"_old",Ammortamento_Finanziario!$H:$L,5,FALSE),VLOOKUP($M22,TT_Tabelle_Riferimento!$H$31:$I$50,2,FALSE))</f>
        <v>7</v>
      </c>
      <c r="NH22" s="1078">
        <f>+IFERROR(VLOOKUP(NH$6&amp;"-"&amp;$M22&amp;"_old",Ammortamento_Finanziario!$H:$L,5,FALSE),VLOOKUP($M22,TT_Tabelle_Riferimento!$H$31:$I$50,2,FALSE))</f>
        <v>7</v>
      </c>
      <c r="NI22" s="1078">
        <f>+IFERROR(VLOOKUP(NI$6&amp;"-"&amp;$M22&amp;"_old",Ammortamento_Finanziario!$H:$L,5,FALSE),VLOOKUP($M22,TT_Tabelle_Riferimento!$H$31:$I$50,2,FALSE))</f>
        <v>7</v>
      </c>
      <c r="NJ22" s="1078">
        <f>+IFERROR(VLOOKUP(NJ$6&amp;"-"&amp;$M22&amp;"_old",Ammortamento_Finanziario!$H:$L,5,FALSE),VLOOKUP($M22,TT_Tabelle_Riferimento!$H$31:$I$50,2,FALSE))</f>
        <v>7</v>
      </c>
      <c r="NK22" s="1078">
        <f>+IFERROR(VLOOKUP(NK$6&amp;"-"&amp;$M22&amp;"_old",Ammortamento_Finanziario!$H:$L,5,FALSE),VLOOKUP($M22,TT_Tabelle_Riferimento!$H$31:$I$50,2,FALSE))</f>
        <v>7</v>
      </c>
      <c r="NL22" s="1078">
        <f>+IFERROR(VLOOKUP(NL$6&amp;"-"&amp;$M22&amp;"_old",Ammortamento_Finanziario!$H:$L,5,FALSE),VLOOKUP($M22,TT_Tabelle_Riferimento!$H$31:$I$50,2,FALSE))</f>
        <v>7</v>
      </c>
      <c r="NM22" s="1078">
        <f>+IFERROR(VLOOKUP(NM$6&amp;"-"&amp;$M22&amp;"_old",Ammortamento_Finanziario!$H:$L,5,FALSE),VLOOKUP($M22,TT_Tabelle_Riferimento!$H$31:$I$50,2,FALSE))</f>
        <v>7</v>
      </c>
      <c r="NN22" s="1078">
        <f>+IFERROR(VLOOKUP(NN$6&amp;"-"&amp;$M22&amp;"_old",Ammortamento_Finanziario!$H:$L,5,FALSE),VLOOKUP($M22,TT_Tabelle_Riferimento!$H$31:$I$50,2,FALSE))</f>
        <v>7</v>
      </c>
      <c r="NO22" s="1078">
        <f>+IFERROR(VLOOKUP(NO$6&amp;"-"&amp;$M22&amp;"_old",Ammortamento_Finanziario!$H:$L,5,FALSE),VLOOKUP($M22,TT_Tabelle_Riferimento!$H$31:$I$50,2,FALSE))</f>
        <v>7</v>
      </c>
      <c r="NP22" s="1078">
        <f>+IFERROR(VLOOKUP(NP$6&amp;"-"&amp;$M22&amp;"_old",Ammortamento_Finanziario!$H:$L,5,FALSE),VLOOKUP($M22,TT_Tabelle_Riferimento!$H$31:$I$50,2,FALSE))</f>
        <v>7</v>
      </c>
      <c r="NQ22" s="1755">
        <f>+IFERROR(VLOOKUP(NQ$6&amp;"-"&amp;$M22&amp;"_old",Ammortamento_Finanziario!$H:$L,5,FALSE),VLOOKUP($M22,TT_Tabelle_Riferimento!$H$31:$I$50,2,FALSE))</f>
        <v>7</v>
      </c>
      <c r="NR22" s="1755">
        <f>+IFERROR(VLOOKUP(NR$6&amp;"-"&amp;$M22&amp;"_old",Ammortamento_Finanziario!$H:$L,5,FALSE),VLOOKUP($M22,TT_Tabelle_Riferimento!$H$31:$I$50,2,FALSE))</f>
        <v>7</v>
      </c>
      <c r="NS22" s="1755">
        <f>+IFERROR(VLOOKUP(NS$6&amp;"-"&amp;$M22&amp;"_old",Ammortamento_Finanziario!$H:$L,5,FALSE),VLOOKUP($M22,TT_Tabelle_Riferimento!$H$31:$I$50,2,FALSE))</f>
        <v>7</v>
      </c>
      <c r="NT22" s="1755">
        <f>+IFERROR(VLOOKUP(NT$6&amp;"-"&amp;$M22&amp;"_old",Ammortamento_Finanziario!$H:$L,5,FALSE),VLOOKUP($M22,TT_Tabelle_Riferimento!$H$31:$I$50,2,FALSE))</f>
        <v>7</v>
      </c>
      <c r="NU22" s="1755">
        <f>+IFERROR(VLOOKUP(NU$6&amp;"-"&amp;$M22&amp;"_old",Ammortamento_Finanziario!$H:$L,5,FALSE),VLOOKUP($M22,TT_Tabelle_Riferimento!$H$31:$I$50,2,FALSE))</f>
        <v>7</v>
      </c>
      <c r="NV22" s="1078">
        <f>+IFERROR(VLOOKUP(NV$6&amp;"-"&amp;$M22&amp;"_old",Ammortamento_Finanziario!$H:$L,5,FALSE),VLOOKUP($M22,TT_Tabelle_Riferimento!$H$31:$I$50,2,FALSE))</f>
        <v>7</v>
      </c>
      <c r="NW22" s="1078">
        <f>+IFERROR(VLOOKUP(NW$6&amp;"-"&amp;$M22&amp;"_old",Ammortamento_Finanziario!$H:$L,5,FALSE),VLOOKUP($M22,TT_Tabelle_Riferimento!$H$31:$I$50,2,FALSE))</f>
        <v>7</v>
      </c>
      <c r="NX22" s="1078">
        <f>+IFERROR(VLOOKUP(NX$6&amp;"-"&amp;$M22&amp;"_old",Ammortamento_Finanziario!$H:$L,5,FALSE),VLOOKUP($M22,TT_Tabelle_Riferimento!$H$31:$I$50,2,FALSE))</f>
        <v>7</v>
      </c>
      <c r="NY22" s="1078">
        <f>+IFERROR(VLOOKUP(NY$6&amp;"-"&amp;$M22&amp;"_old",Ammortamento_Finanziario!$H:$L,5,FALSE),VLOOKUP($M22,TT_Tabelle_Riferimento!$H$31:$I$50,2,FALSE))</f>
        <v>7</v>
      </c>
      <c r="NZ22" s="1078">
        <f>+IFERROR(VLOOKUP(NZ$6&amp;"-"&amp;$M22&amp;"_old",Ammortamento_Finanziario!$H:$L,5,FALSE),VLOOKUP($M22,TT_Tabelle_Riferimento!$H$31:$I$50,2,FALSE))</f>
        <v>7</v>
      </c>
      <c r="OA22" s="1078">
        <f>+IFERROR(VLOOKUP(OA$6&amp;"-"&amp;$M22&amp;"_old",Ammortamento_Finanziario!$H:$L,5,FALSE),VLOOKUP($M22,TT_Tabelle_Riferimento!$H$31:$I$50,2,FALSE))</f>
        <v>7</v>
      </c>
      <c r="OB22" s="1078">
        <f>+IFERROR(VLOOKUP(OB$6&amp;"-"&amp;$M22&amp;"_old",Ammortamento_Finanziario!$H:$L,5,FALSE),VLOOKUP($M22,TT_Tabelle_Riferimento!$H$31:$I$50,2,FALSE))</f>
        <v>7</v>
      </c>
      <c r="OC22" s="1078">
        <f>+IFERROR(VLOOKUP(OC$6&amp;"-"&amp;$M22&amp;"_old",Ammortamento_Finanziario!$H:$L,5,FALSE),VLOOKUP($M22,TT_Tabelle_Riferimento!$H$31:$I$50,2,FALSE))</f>
        <v>7</v>
      </c>
      <c r="OD22" s="1078">
        <f>+IFERROR(VLOOKUP(OD$6&amp;"-"&amp;$M22&amp;"_old",Ammortamento_Finanziario!$H:$L,5,FALSE),VLOOKUP($M22,TT_Tabelle_Riferimento!$H$31:$I$50,2,FALSE))</f>
        <v>7</v>
      </c>
      <c r="OE22" s="1078">
        <f>+IFERROR(VLOOKUP(OE$6&amp;"-"&amp;$M22&amp;"_old",Ammortamento_Finanziario!$H:$L,5,FALSE),VLOOKUP($M22,TT_Tabelle_Riferimento!$H$31:$I$50,2,FALSE))</f>
        <v>7</v>
      </c>
      <c r="OF22" s="1078">
        <f>+IFERROR(VLOOKUP(OF$6&amp;"-"&amp;$M22&amp;"_old",Ammortamento_Finanziario!$H:$L,5,FALSE),VLOOKUP($M22,TT_Tabelle_Riferimento!$H$31:$I$50,2,FALSE))</f>
        <v>7</v>
      </c>
      <c r="OG22" s="1078">
        <f>+IFERROR(VLOOKUP(OG$6&amp;"-"&amp;$M22&amp;"_old",Ammortamento_Finanziario!$H:$L,5,FALSE),VLOOKUP($M22,TT_Tabelle_Riferimento!$H$31:$I$50,2,FALSE))</f>
        <v>7</v>
      </c>
      <c r="OH22" s="1078">
        <f>+IFERROR(VLOOKUP(OH$6&amp;"-"&amp;$M22&amp;"_old",Ammortamento_Finanziario!$H:$L,5,FALSE),VLOOKUP($M22,TT_Tabelle_Riferimento!$H$31:$I$50,2,FALSE))</f>
        <v>7</v>
      </c>
      <c r="OI22" s="1078">
        <f>+IFERROR(VLOOKUP(OI$6&amp;"-"&amp;$M22&amp;"_old",Ammortamento_Finanziario!$H:$L,5,FALSE),VLOOKUP($M22,TT_Tabelle_Riferimento!$H$31:$I$50,2,FALSE))</f>
        <v>7</v>
      </c>
      <c r="OJ22" s="1078">
        <f>+IFERROR(VLOOKUP(OJ$6&amp;"-"&amp;$M22&amp;"_old",Ammortamento_Finanziario!$H:$L,5,FALSE),VLOOKUP($M22,TT_Tabelle_Riferimento!$H$31:$I$50,2,FALSE))</f>
        <v>7</v>
      </c>
      <c r="OK22" s="1078">
        <f>+IFERROR(VLOOKUP(OK$6&amp;"-"&amp;$M22&amp;"_old",Ammortamento_Finanziario!$H:$L,5,FALSE),VLOOKUP($M22,TT_Tabelle_Riferimento!$H$31:$I$50,2,FALSE))</f>
        <v>7</v>
      </c>
      <c r="OL22" s="1078">
        <f>+IFERROR(VLOOKUP(OL$6&amp;"-"&amp;$M22&amp;"_old",Ammortamento_Finanziario!$H:$L,5,FALSE),VLOOKUP($M22,TT_Tabelle_Riferimento!$H$31:$I$50,2,FALSE))</f>
        <v>7</v>
      </c>
      <c r="OM22" s="1078">
        <f>+IFERROR(VLOOKUP(OM$6&amp;"-"&amp;$M22&amp;"_old",Ammortamento_Finanziario!$H:$L,5,FALSE),VLOOKUP($M22,TT_Tabelle_Riferimento!$H$31:$I$50,2,FALSE))</f>
        <v>7</v>
      </c>
      <c r="ON22" s="1078">
        <f>+IFERROR(VLOOKUP(ON$6&amp;"-"&amp;$M22&amp;"_old",Ammortamento_Finanziario!$H:$L,5,FALSE),VLOOKUP($M22,TT_Tabelle_Riferimento!$H$31:$I$50,2,FALSE))</f>
        <v>7</v>
      </c>
      <c r="OO22" s="1755">
        <f>+IFERROR(VLOOKUP(OO$6&amp;"-"&amp;$M22&amp;"_old",Ammortamento_Finanziario!$H:$L,5,FALSE),VLOOKUP($M22,TT_Tabelle_Riferimento!$H$31:$I$50,2,FALSE))</f>
        <v>7</v>
      </c>
      <c r="OP22" s="1755">
        <f>+IFERROR(VLOOKUP(OP$6&amp;"-"&amp;$M22&amp;"_old",Ammortamento_Finanziario!$H:$L,5,FALSE),VLOOKUP($M22,TT_Tabelle_Riferimento!$H$31:$I$50,2,FALSE))</f>
        <v>7</v>
      </c>
      <c r="OQ22" s="1755">
        <f>+IFERROR(VLOOKUP(OQ$6&amp;"-"&amp;$M22&amp;"_old",Ammortamento_Finanziario!$H:$L,5,FALSE),VLOOKUP($M22,TT_Tabelle_Riferimento!$H$31:$I$50,2,FALSE))</f>
        <v>7</v>
      </c>
      <c r="OR22" s="1755">
        <f>+IFERROR(VLOOKUP(OR$6&amp;"-"&amp;$M22&amp;"_old",Ammortamento_Finanziario!$H:$L,5,FALSE),VLOOKUP($M22,TT_Tabelle_Riferimento!$H$31:$I$50,2,FALSE))</f>
        <v>7</v>
      </c>
      <c r="OS22" s="1078">
        <f>+IFERROR(VLOOKUP(OS$6&amp;"-"&amp;$M22&amp;"_old",Ammortamento_Finanziario!$H:$L,5,FALSE),VLOOKUP($M22,TT_Tabelle_Riferimento!$H$31:$I$50,2,FALSE))</f>
        <v>7</v>
      </c>
      <c r="OT22" s="1078">
        <f>+IFERROR(VLOOKUP(OT$6&amp;"-"&amp;$M22&amp;"_old",Ammortamento_Finanziario!$H:$L,5,FALSE),VLOOKUP($M22,TT_Tabelle_Riferimento!$H$31:$I$50,2,FALSE))</f>
        <v>7</v>
      </c>
      <c r="OU22" s="1078">
        <f>+IFERROR(VLOOKUP(OU$6&amp;"-"&amp;$M22&amp;"_old",Ammortamento_Finanziario!$H:$L,5,FALSE),VLOOKUP($M22,TT_Tabelle_Riferimento!$H$31:$I$50,2,FALSE))</f>
        <v>7</v>
      </c>
      <c r="OV22" s="1078">
        <f>+IFERROR(VLOOKUP(OV$6&amp;"-"&amp;$M22&amp;"_old",Ammortamento_Finanziario!$H:$L,5,FALSE),VLOOKUP($M22,TT_Tabelle_Riferimento!$H$31:$I$50,2,FALSE))</f>
        <v>7</v>
      </c>
      <c r="OW22" s="1078">
        <f>+IFERROR(VLOOKUP(OW$6&amp;"-"&amp;$M22&amp;"_old",Ammortamento_Finanziario!$H:$L,5,FALSE),VLOOKUP($M22,TT_Tabelle_Riferimento!$H$31:$I$50,2,FALSE))</f>
        <v>7</v>
      </c>
      <c r="OX22" s="1078">
        <f>+IFERROR(VLOOKUP(OX$6&amp;"-"&amp;$M22&amp;"_old",Ammortamento_Finanziario!$H:$L,5,FALSE),VLOOKUP($M22,TT_Tabelle_Riferimento!$H$31:$I$50,2,FALSE))</f>
        <v>7</v>
      </c>
      <c r="OY22" s="1078">
        <f>+IFERROR(VLOOKUP(OY$6&amp;"-"&amp;$M22&amp;"_old",Ammortamento_Finanziario!$H:$L,5,FALSE),VLOOKUP($M22,TT_Tabelle_Riferimento!$H$31:$I$50,2,FALSE))</f>
        <v>7</v>
      </c>
      <c r="OZ22" s="1078">
        <f>+IFERROR(VLOOKUP(OZ$6&amp;"-"&amp;$M22&amp;"_old",Ammortamento_Finanziario!$H:$L,5,FALSE),VLOOKUP($M22,TT_Tabelle_Riferimento!$H$31:$I$50,2,FALSE))</f>
        <v>7</v>
      </c>
      <c r="PA22" s="1078">
        <f>+IFERROR(VLOOKUP(PA$6&amp;"-"&amp;$M22&amp;"_old",Ammortamento_Finanziario!$H:$L,5,FALSE),VLOOKUP($M22,TT_Tabelle_Riferimento!$H$31:$I$50,2,FALSE))</f>
        <v>7</v>
      </c>
      <c r="PB22" s="1078">
        <f>+IFERROR(VLOOKUP(PB$6&amp;"-"&amp;$M22&amp;"_old",Ammortamento_Finanziario!$H:$L,5,FALSE),VLOOKUP($M22,TT_Tabelle_Riferimento!$H$31:$I$50,2,FALSE))</f>
        <v>7</v>
      </c>
      <c r="PC22" s="1078">
        <f>+IFERROR(VLOOKUP(PC$6&amp;"-"&amp;$M22&amp;"_old",Ammortamento_Finanziario!$H:$L,5,FALSE),VLOOKUP($M22,TT_Tabelle_Riferimento!$H$31:$I$50,2,FALSE))</f>
        <v>7</v>
      </c>
      <c r="PD22" s="1078">
        <f>+IFERROR(VLOOKUP(PD$6&amp;"-"&amp;$M22&amp;"_old",Ammortamento_Finanziario!$H:$L,5,FALSE),VLOOKUP($M22,TT_Tabelle_Riferimento!$H$31:$I$50,2,FALSE))</f>
        <v>7</v>
      </c>
      <c r="PE22" s="1078">
        <f>+IFERROR(VLOOKUP(PE$6&amp;"-"&amp;$M22&amp;"_old",Ammortamento_Finanziario!$H:$L,5,FALSE),VLOOKUP($M22,TT_Tabelle_Riferimento!$H$31:$I$50,2,FALSE))</f>
        <v>7</v>
      </c>
      <c r="PF22" s="1078">
        <f>+IFERROR(VLOOKUP(PF$6&amp;"-"&amp;$M22&amp;"_old",Ammortamento_Finanziario!$H:$L,5,FALSE),VLOOKUP($M22,TT_Tabelle_Riferimento!$H$31:$I$50,2,FALSE))</f>
        <v>7</v>
      </c>
      <c r="PG22" s="1078">
        <f>+IFERROR(VLOOKUP(PG$6&amp;"-"&amp;$M22&amp;"_old",Ammortamento_Finanziario!$H:$L,5,FALSE),VLOOKUP($M22,TT_Tabelle_Riferimento!$H$31:$I$50,2,FALSE))</f>
        <v>7</v>
      </c>
      <c r="PH22" s="1078">
        <f>+IFERROR(VLOOKUP(PH$6&amp;"-"&amp;$M22&amp;"_old",Ammortamento_Finanziario!$H:$L,5,FALSE),VLOOKUP($M22,TT_Tabelle_Riferimento!$H$31:$I$50,2,FALSE))</f>
        <v>7</v>
      </c>
      <c r="PI22" s="1078">
        <f>+IFERROR(VLOOKUP(PI$6&amp;"-"&amp;$M22&amp;"_old",Ammortamento_Finanziario!$H:$L,5,FALSE),VLOOKUP($M22,TT_Tabelle_Riferimento!$H$31:$I$50,2,FALSE))</f>
        <v>7</v>
      </c>
      <c r="PJ22" s="1078">
        <f>+IFERROR(VLOOKUP(PJ$6&amp;"-"&amp;$M22&amp;"_old",Ammortamento_Finanziario!$H:$L,5,FALSE),VLOOKUP($M22,TT_Tabelle_Riferimento!$H$31:$I$50,2,FALSE))</f>
        <v>7</v>
      </c>
      <c r="PK22" s="1078">
        <f>+IFERROR(VLOOKUP(PK$6&amp;"-"&amp;$M22&amp;"_old",Ammortamento_Finanziario!$H:$L,5,FALSE),VLOOKUP($M22,TT_Tabelle_Riferimento!$H$31:$I$50,2,FALSE))</f>
        <v>7</v>
      </c>
      <c r="PL22" s="1755">
        <f>+IFERROR(VLOOKUP(PL$6&amp;"-"&amp;$M22&amp;"_old",Ammortamento_Finanziario!$H:$L,5,FALSE),VLOOKUP($M22,TT_Tabelle_Riferimento!$H$31:$I$50,2,FALSE))</f>
        <v>7</v>
      </c>
      <c r="PM22" s="1755">
        <f>+IFERROR(VLOOKUP(PM$6&amp;"-"&amp;$M22&amp;"_old",Ammortamento_Finanziario!$H:$L,5,FALSE),VLOOKUP($M22,TT_Tabelle_Riferimento!$H$31:$I$50,2,FALSE))</f>
        <v>7</v>
      </c>
      <c r="PN22" s="1755">
        <f>+IFERROR(VLOOKUP(PN$6&amp;"-"&amp;$M22&amp;"_old",Ammortamento_Finanziario!$H:$L,5,FALSE),VLOOKUP($M22,TT_Tabelle_Riferimento!$H$31:$I$50,2,FALSE))</f>
        <v>7</v>
      </c>
      <c r="PO22" s="1078">
        <f>+IFERROR(VLOOKUP(PO$6&amp;"-"&amp;$M22&amp;"_old",Ammortamento_Finanziario!$H:$L,5,FALSE),VLOOKUP($M22,TT_Tabelle_Riferimento!$H$31:$I$50,2,FALSE))</f>
        <v>7</v>
      </c>
      <c r="PP22" s="1078">
        <f>+IFERROR(VLOOKUP(PP$6&amp;"-"&amp;$M22&amp;"_old",Ammortamento_Finanziario!$H:$L,5,FALSE),VLOOKUP($M22,TT_Tabelle_Riferimento!$H$31:$I$50,2,FALSE))</f>
        <v>7</v>
      </c>
      <c r="PQ22" s="1078">
        <f>+IFERROR(VLOOKUP(PQ$6&amp;"-"&amp;$M22&amp;"_old",Ammortamento_Finanziario!$H:$L,5,FALSE),VLOOKUP($M22,TT_Tabelle_Riferimento!$H$31:$I$50,2,FALSE))</f>
        <v>7</v>
      </c>
      <c r="PR22" s="1078">
        <f>+IFERROR(VLOOKUP(PR$6&amp;"-"&amp;$M22&amp;"_old",Ammortamento_Finanziario!$H:$L,5,FALSE),VLOOKUP($M22,TT_Tabelle_Riferimento!$H$31:$I$50,2,FALSE))</f>
        <v>7</v>
      </c>
      <c r="PS22" s="1078">
        <f>+IFERROR(VLOOKUP(PS$6&amp;"-"&amp;$M22&amp;"_old",Ammortamento_Finanziario!$H:$L,5,FALSE),VLOOKUP($M22,TT_Tabelle_Riferimento!$H$31:$I$50,2,FALSE))</f>
        <v>7</v>
      </c>
      <c r="PT22" s="1078">
        <f>+IFERROR(VLOOKUP(PT$6&amp;"-"&amp;$M22&amp;"_old",Ammortamento_Finanziario!$H:$L,5,FALSE),VLOOKUP($M22,TT_Tabelle_Riferimento!$H$31:$I$50,2,FALSE))</f>
        <v>7</v>
      </c>
      <c r="PU22" s="1078">
        <f>+IFERROR(VLOOKUP(PU$6&amp;"-"&amp;$M22&amp;"_old",Ammortamento_Finanziario!$H:$L,5,FALSE),VLOOKUP($M22,TT_Tabelle_Riferimento!$H$31:$I$50,2,FALSE))</f>
        <v>7</v>
      </c>
      <c r="PV22" s="1078">
        <f>+IFERROR(VLOOKUP(PV$6&amp;"-"&amp;$M22&amp;"_old",Ammortamento_Finanziario!$H:$L,5,FALSE),VLOOKUP($M22,TT_Tabelle_Riferimento!$H$31:$I$50,2,FALSE))</f>
        <v>7</v>
      </c>
      <c r="PW22" s="1078">
        <f>+IFERROR(VLOOKUP(PW$6&amp;"-"&amp;$M22&amp;"_old",Ammortamento_Finanziario!$H:$L,5,FALSE),VLOOKUP($M22,TT_Tabelle_Riferimento!$H$31:$I$50,2,FALSE))</f>
        <v>7</v>
      </c>
      <c r="PX22" s="1078">
        <f>+IFERROR(VLOOKUP(PX$6&amp;"-"&amp;$M22&amp;"_old",Ammortamento_Finanziario!$H:$L,5,FALSE),VLOOKUP($M22,TT_Tabelle_Riferimento!$H$31:$I$50,2,FALSE))</f>
        <v>7</v>
      </c>
      <c r="PY22" s="1078">
        <f>+IFERROR(VLOOKUP(PY$6&amp;"-"&amp;$M22&amp;"_old",Ammortamento_Finanziario!$H:$L,5,FALSE),VLOOKUP($M22,TT_Tabelle_Riferimento!$H$31:$I$50,2,FALSE))</f>
        <v>7</v>
      </c>
      <c r="PZ22" s="1078">
        <f>+IFERROR(VLOOKUP(PZ$6&amp;"-"&amp;$M22&amp;"_old",Ammortamento_Finanziario!$H:$L,5,FALSE),VLOOKUP($M22,TT_Tabelle_Riferimento!$H$31:$I$50,2,FALSE))</f>
        <v>7</v>
      </c>
      <c r="QA22" s="1078">
        <f>+IFERROR(VLOOKUP(QA$6&amp;"-"&amp;$M22&amp;"_old",Ammortamento_Finanziario!$H:$L,5,FALSE),VLOOKUP($M22,TT_Tabelle_Riferimento!$H$31:$I$50,2,FALSE))</f>
        <v>7</v>
      </c>
      <c r="QB22" s="1078">
        <f>+IFERROR(VLOOKUP(QB$6&amp;"-"&amp;$M22&amp;"_old",Ammortamento_Finanziario!$H:$L,5,FALSE),VLOOKUP($M22,TT_Tabelle_Riferimento!$H$31:$I$50,2,FALSE))</f>
        <v>7</v>
      </c>
      <c r="QC22" s="1078">
        <f>+IFERROR(VLOOKUP(QC$6&amp;"-"&amp;$M22&amp;"_old",Ammortamento_Finanziario!$H:$L,5,FALSE),VLOOKUP($M22,TT_Tabelle_Riferimento!$H$31:$I$50,2,FALSE))</f>
        <v>7</v>
      </c>
      <c r="QD22" s="1078">
        <f>+IFERROR(VLOOKUP(QD$6&amp;"-"&amp;$M22&amp;"_old",Ammortamento_Finanziario!$H:$L,5,FALSE),VLOOKUP($M22,TT_Tabelle_Riferimento!$H$31:$I$50,2,FALSE))</f>
        <v>7</v>
      </c>
      <c r="QE22" s="1078">
        <f>+IFERROR(VLOOKUP(QE$6&amp;"-"&amp;$M22&amp;"_old",Ammortamento_Finanziario!$H:$L,5,FALSE),VLOOKUP($M22,TT_Tabelle_Riferimento!$H$31:$I$50,2,FALSE))</f>
        <v>7</v>
      </c>
      <c r="QF22" s="1078">
        <f>+IFERROR(VLOOKUP(QF$6&amp;"-"&amp;$M22&amp;"_old",Ammortamento_Finanziario!$H:$L,5,FALSE),VLOOKUP($M22,TT_Tabelle_Riferimento!$H$31:$I$50,2,FALSE))</f>
        <v>7</v>
      </c>
      <c r="QG22" s="1078">
        <f>+IFERROR(VLOOKUP(QG$6&amp;"-"&amp;$M22&amp;"_old",Ammortamento_Finanziario!$H:$L,5,FALSE),VLOOKUP($M22,TT_Tabelle_Riferimento!$H$31:$I$50,2,FALSE))</f>
        <v>7</v>
      </c>
      <c r="QH22" s="1755">
        <f>+IFERROR(VLOOKUP(QH$6&amp;"-"&amp;$M22&amp;"_old",Ammortamento_Finanziario!$H:$L,5,FALSE),VLOOKUP($M22,TT_Tabelle_Riferimento!$H$31:$I$50,2,FALSE))</f>
        <v>7</v>
      </c>
      <c r="QI22" s="1755">
        <f>+IFERROR(VLOOKUP(QI$6&amp;"-"&amp;$M22&amp;"_old",Ammortamento_Finanziario!$H:$L,5,FALSE),VLOOKUP($M22,TT_Tabelle_Riferimento!$H$31:$I$50,2,FALSE))</f>
        <v>7</v>
      </c>
      <c r="QJ22" s="1078">
        <f>+IFERROR(VLOOKUP(QJ$6&amp;"-"&amp;$M22&amp;"_old",Ammortamento_Finanziario!$H:$L,5,FALSE),VLOOKUP($M22,TT_Tabelle_Riferimento!$H$31:$I$50,2,FALSE))</f>
        <v>7</v>
      </c>
      <c r="QK22" s="1078">
        <f>+IFERROR(VLOOKUP(QK$6&amp;"-"&amp;$M22&amp;"_old",Ammortamento_Finanziario!$H:$L,5,FALSE),VLOOKUP($M22,TT_Tabelle_Riferimento!$H$31:$I$50,2,FALSE))</f>
        <v>7</v>
      </c>
      <c r="QL22" s="1078">
        <f>+IFERROR(VLOOKUP(QL$6&amp;"-"&amp;$M22&amp;"_old",Ammortamento_Finanziario!$H:$L,5,FALSE),VLOOKUP($M22,TT_Tabelle_Riferimento!$H$31:$I$50,2,FALSE))</f>
        <v>7</v>
      </c>
      <c r="QM22" s="1078">
        <f>+IFERROR(VLOOKUP(QM$6&amp;"-"&amp;$M22&amp;"_old",Ammortamento_Finanziario!$H:$L,5,FALSE),VLOOKUP($M22,TT_Tabelle_Riferimento!$H$31:$I$50,2,FALSE))</f>
        <v>7</v>
      </c>
      <c r="QN22" s="1078">
        <f>+IFERROR(VLOOKUP(QN$6&amp;"-"&amp;$M22&amp;"_old",Ammortamento_Finanziario!$H:$L,5,FALSE),VLOOKUP($M22,TT_Tabelle_Riferimento!$H$31:$I$50,2,FALSE))</f>
        <v>7</v>
      </c>
      <c r="QO22" s="1078">
        <f>+IFERROR(VLOOKUP(QO$6&amp;"-"&amp;$M22&amp;"_old",Ammortamento_Finanziario!$H:$L,5,FALSE),VLOOKUP($M22,TT_Tabelle_Riferimento!$H$31:$I$50,2,FALSE))</f>
        <v>7</v>
      </c>
      <c r="QP22" s="1078">
        <f>+IFERROR(VLOOKUP(QP$6&amp;"-"&amp;$M22&amp;"_old",Ammortamento_Finanziario!$H:$L,5,FALSE),VLOOKUP($M22,TT_Tabelle_Riferimento!$H$31:$I$50,2,FALSE))</f>
        <v>7</v>
      </c>
      <c r="QQ22" s="1078">
        <f>+IFERROR(VLOOKUP(QQ$6&amp;"-"&amp;$M22&amp;"_old",Ammortamento_Finanziario!$H:$L,5,FALSE),VLOOKUP($M22,TT_Tabelle_Riferimento!$H$31:$I$50,2,FALSE))</f>
        <v>7</v>
      </c>
      <c r="QR22" s="1078">
        <f>+IFERROR(VLOOKUP(QR$6&amp;"-"&amp;$M22&amp;"_old",Ammortamento_Finanziario!$H:$L,5,FALSE),VLOOKUP($M22,TT_Tabelle_Riferimento!$H$31:$I$50,2,FALSE))</f>
        <v>7</v>
      </c>
      <c r="QS22" s="1078">
        <f>+IFERROR(VLOOKUP(QS$6&amp;"-"&amp;$M22&amp;"_old",Ammortamento_Finanziario!$H:$L,5,FALSE),VLOOKUP($M22,TT_Tabelle_Riferimento!$H$31:$I$50,2,FALSE))</f>
        <v>7</v>
      </c>
      <c r="QT22" s="1078">
        <f>+IFERROR(VLOOKUP(QT$6&amp;"-"&amp;$M22&amp;"_old",Ammortamento_Finanziario!$H:$L,5,FALSE),VLOOKUP($M22,TT_Tabelle_Riferimento!$H$31:$I$50,2,FALSE))</f>
        <v>7</v>
      </c>
      <c r="QU22" s="1078">
        <f>+IFERROR(VLOOKUP(QU$6&amp;"-"&amp;$M22&amp;"_old",Ammortamento_Finanziario!$H:$L,5,FALSE),VLOOKUP($M22,TT_Tabelle_Riferimento!$H$31:$I$50,2,FALSE))</f>
        <v>7</v>
      </c>
      <c r="QV22" s="1078">
        <f>+IFERROR(VLOOKUP(QV$6&amp;"-"&amp;$M22&amp;"_old",Ammortamento_Finanziario!$H:$L,5,FALSE),VLOOKUP($M22,TT_Tabelle_Riferimento!$H$31:$I$50,2,FALSE))</f>
        <v>7</v>
      </c>
      <c r="QW22" s="1078">
        <f>+IFERROR(VLOOKUP(QW$6&amp;"-"&amp;$M22&amp;"_old",Ammortamento_Finanziario!$H:$L,5,FALSE),VLOOKUP($M22,TT_Tabelle_Riferimento!$H$31:$I$50,2,FALSE))</f>
        <v>7</v>
      </c>
      <c r="QX22" s="1078">
        <f>+IFERROR(VLOOKUP(QX$6&amp;"-"&amp;$M22&amp;"_old",Ammortamento_Finanziario!$H:$L,5,FALSE),VLOOKUP($M22,TT_Tabelle_Riferimento!$H$31:$I$50,2,FALSE))</f>
        <v>7</v>
      </c>
      <c r="QY22" s="1078">
        <f>+IFERROR(VLOOKUP(QY$6&amp;"-"&amp;$M22&amp;"_old",Ammortamento_Finanziario!$H:$L,5,FALSE),VLOOKUP($M22,TT_Tabelle_Riferimento!$H$31:$I$50,2,FALSE))</f>
        <v>7</v>
      </c>
      <c r="QZ22" s="1078">
        <f>+IFERROR(VLOOKUP(QZ$6&amp;"-"&amp;$M22&amp;"_old",Ammortamento_Finanziario!$H:$L,5,FALSE),VLOOKUP($M22,TT_Tabelle_Riferimento!$H$31:$I$50,2,FALSE))</f>
        <v>7</v>
      </c>
      <c r="RA22" s="1078">
        <f>+IFERROR(VLOOKUP(RA$6&amp;"-"&amp;$M22&amp;"_old",Ammortamento_Finanziario!$H:$L,5,FALSE),VLOOKUP($M22,TT_Tabelle_Riferimento!$H$31:$I$50,2,FALSE))</f>
        <v>7</v>
      </c>
      <c r="RB22" s="1078">
        <f>+IFERROR(VLOOKUP(RB$6&amp;"-"&amp;$M22&amp;"_old",Ammortamento_Finanziario!$H:$L,5,FALSE),VLOOKUP($M22,TT_Tabelle_Riferimento!$H$31:$I$50,2,FALSE))</f>
        <v>7</v>
      </c>
      <c r="RC22" s="1755">
        <f>+IFERROR(VLOOKUP(RC$6&amp;"-"&amp;$M22&amp;"_old",Ammortamento_Finanziario!$H:$L,5,FALSE),VLOOKUP($M22,TT_Tabelle_Riferimento!$H$31:$I$50,2,FALSE))</f>
        <v>7</v>
      </c>
      <c r="RD22" s="1078">
        <f>+IFERROR(VLOOKUP(RD$6&amp;"-"&amp;$M22&amp;"_old",Ammortamento_Finanziario!$H:$L,5,FALSE),VLOOKUP($M22,TT_Tabelle_Riferimento!$H$31:$I$50,2,FALSE))</f>
        <v>7</v>
      </c>
      <c r="RE22" s="1078">
        <f>+IFERROR(VLOOKUP(RE$6&amp;"-"&amp;$M22&amp;"_old",Ammortamento_Finanziario!$H:$L,5,FALSE),VLOOKUP($M22,TT_Tabelle_Riferimento!$H$31:$I$50,2,FALSE))</f>
        <v>7</v>
      </c>
      <c r="RF22" s="1078">
        <f>+IFERROR(VLOOKUP(RF$6&amp;"-"&amp;$M22&amp;"_old",Ammortamento_Finanziario!$H:$L,5,FALSE),VLOOKUP($M22,TT_Tabelle_Riferimento!$H$31:$I$50,2,FALSE))</f>
        <v>7</v>
      </c>
      <c r="RG22" s="1078">
        <f>+IFERROR(VLOOKUP(RG$6&amp;"-"&amp;$M22&amp;"_old",Ammortamento_Finanziario!$H:$L,5,FALSE),VLOOKUP($M22,TT_Tabelle_Riferimento!$H$31:$I$50,2,FALSE))</f>
        <v>7</v>
      </c>
      <c r="RH22" s="1078">
        <f>+IFERROR(VLOOKUP(RH$6&amp;"-"&amp;$M22&amp;"_old",Ammortamento_Finanziario!$H:$L,5,FALSE),VLOOKUP($M22,TT_Tabelle_Riferimento!$H$31:$I$50,2,FALSE))</f>
        <v>7</v>
      </c>
      <c r="RI22" s="1078">
        <f>+IFERROR(VLOOKUP(RI$6&amp;"-"&amp;$M22&amp;"_old",Ammortamento_Finanziario!$H:$L,5,FALSE),VLOOKUP($M22,TT_Tabelle_Riferimento!$H$31:$I$50,2,FALSE))</f>
        <v>7</v>
      </c>
      <c r="RJ22" s="1078">
        <f>+IFERROR(VLOOKUP(RJ$6&amp;"-"&amp;$M22&amp;"_old",Ammortamento_Finanziario!$H:$L,5,FALSE),VLOOKUP($M22,TT_Tabelle_Riferimento!$H$31:$I$50,2,FALSE))</f>
        <v>7</v>
      </c>
      <c r="RK22" s="1078">
        <f>+IFERROR(VLOOKUP(RK$6&amp;"-"&amp;$M22&amp;"_old",Ammortamento_Finanziario!$H:$L,5,FALSE),VLOOKUP($M22,TT_Tabelle_Riferimento!$H$31:$I$50,2,FALSE))</f>
        <v>7</v>
      </c>
      <c r="RL22" s="1078">
        <f>+IFERROR(VLOOKUP(RL$6&amp;"-"&amp;$M22&amp;"_old",Ammortamento_Finanziario!$H:$L,5,FALSE),VLOOKUP($M22,TT_Tabelle_Riferimento!$H$31:$I$50,2,FALSE))</f>
        <v>7</v>
      </c>
      <c r="RM22" s="1078">
        <f>+IFERROR(VLOOKUP(RM$6&amp;"-"&amp;$M22&amp;"_old",Ammortamento_Finanziario!$H:$L,5,FALSE),VLOOKUP($M22,TT_Tabelle_Riferimento!$H$31:$I$50,2,FALSE))</f>
        <v>7</v>
      </c>
      <c r="RN22" s="1078">
        <f>+IFERROR(VLOOKUP(RN$6&amp;"-"&amp;$M22&amp;"_old",Ammortamento_Finanziario!$H:$L,5,FALSE),VLOOKUP($M22,TT_Tabelle_Riferimento!$H$31:$I$50,2,FALSE))</f>
        <v>7</v>
      </c>
      <c r="RO22" s="1078">
        <f>+IFERROR(VLOOKUP(RO$6&amp;"-"&amp;$M22&amp;"_old",Ammortamento_Finanziario!$H:$L,5,FALSE),VLOOKUP($M22,TT_Tabelle_Riferimento!$H$31:$I$50,2,FALSE))</f>
        <v>7</v>
      </c>
      <c r="RP22" s="1078">
        <f>+IFERROR(VLOOKUP(RP$6&amp;"-"&amp;$M22&amp;"_old",Ammortamento_Finanziario!$H:$L,5,FALSE),VLOOKUP($M22,TT_Tabelle_Riferimento!$H$31:$I$50,2,FALSE))</f>
        <v>7</v>
      </c>
      <c r="RQ22" s="1078">
        <f>+IFERROR(VLOOKUP(RQ$6&amp;"-"&amp;$M22&amp;"_old",Ammortamento_Finanziario!$H:$L,5,FALSE),VLOOKUP($M22,TT_Tabelle_Riferimento!$H$31:$I$50,2,FALSE))</f>
        <v>7</v>
      </c>
      <c r="RR22" s="1078">
        <f>+IFERROR(VLOOKUP(RR$6&amp;"-"&amp;$M22&amp;"_old",Ammortamento_Finanziario!$H:$L,5,FALSE),VLOOKUP($M22,TT_Tabelle_Riferimento!$H$31:$I$50,2,FALSE))</f>
        <v>7</v>
      </c>
      <c r="RS22" s="1078">
        <f>+IFERROR(VLOOKUP(RS$6&amp;"-"&amp;$M22&amp;"_old",Ammortamento_Finanziario!$H:$L,5,FALSE),VLOOKUP($M22,TT_Tabelle_Riferimento!$H$31:$I$50,2,FALSE))</f>
        <v>7</v>
      </c>
      <c r="RT22" s="1078">
        <f>+IFERROR(VLOOKUP(RT$6&amp;"-"&amp;$M22&amp;"_old",Ammortamento_Finanziario!$H:$L,5,FALSE),VLOOKUP($M22,TT_Tabelle_Riferimento!$H$31:$I$50,2,FALSE))</f>
        <v>7</v>
      </c>
      <c r="RU22" s="1078">
        <f>+IFERROR(VLOOKUP(RU$6&amp;"-"&amp;$M22&amp;"_old",Ammortamento_Finanziario!$H:$L,5,FALSE),VLOOKUP($M22,TT_Tabelle_Riferimento!$H$31:$I$50,2,FALSE))</f>
        <v>7</v>
      </c>
      <c r="RV22" s="1078">
        <f>+IFERROR(VLOOKUP(RV$6&amp;"-"&amp;$M22&amp;"_old",Ammortamento_Finanziario!$H:$L,5,FALSE),VLOOKUP($M22,TT_Tabelle_Riferimento!$H$31:$I$50,2,FALSE))</f>
        <v>7</v>
      </c>
    </row>
    <row r="23" spans="4:490">
      <c r="D23" s="135" t="s">
        <v>22734</v>
      </c>
      <c r="E23" s="1264">
        <f>+SUMIFS(IMN_gestore!V:V,IMN_gestore!$E:$E,"&gt;="&amp;2012,IMN_gestore!$E:$E,"&lt;="&amp;2022)</f>
        <v>0</v>
      </c>
      <c r="F23" s="1264">
        <f>+SUMIFS(IMN_gestore!AG:AG,IMN_gestore!$E:$E,"&gt;="&amp;2012,IMN_gestore!$E:$E,"&lt;="&amp;2023)</f>
        <v>0</v>
      </c>
      <c r="G23" s="1264">
        <f>+SUMIFS(IMN_gestore!AR:AR,IMN_gestore!$E:$E,"&gt;="&amp;2012,IMN_gestore!$E:$E,"&lt;="&amp;2024)</f>
        <v>0</v>
      </c>
      <c r="H23" s="1264">
        <f>+SUMIFS(IMN_gestore!BC:BC,IMN_gestore!$E:$E,"&gt;="&amp;2012,IMN_gestore!$E:$E,"&lt;="&amp;2025)</f>
        <v>0</v>
      </c>
      <c r="I23" s="1264">
        <f>+SUMIFS(IMN_gestore!$BN:$BN,IMN_gestore!$E:$E,"&gt;="&amp;2012,IMN_gestore!$E:$E,"&lt;="&amp;2026)</f>
        <v>0</v>
      </c>
      <c r="J23" s="1264">
        <f>+SUMIFS(IMN_gestore!$BY:$BY,IMN_gestore!$E:$E,"&gt;="&amp;2012,IMN_gestore!$E:$E,"&lt;="&amp;2027)</f>
        <v>0</v>
      </c>
      <c r="K23" s="136"/>
      <c r="L23" s="125"/>
      <c r="M23" s="1876">
        <v>38</v>
      </c>
      <c r="N23" s="904">
        <f>+IFERROR(VLOOKUP(N$6&amp;"-"&amp;$M23&amp;"_old",Ammortamento_Finanziario!$H:$L,5,FALSE),VLOOKUP($M23,TT_Tabelle_Riferimento!$H$31:$I$50,2,FALSE))</f>
        <v>60</v>
      </c>
      <c r="O23" s="904">
        <f>+IFERROR(VLOOKUP(O$6&amp;"-"&amp;$M23&amp;"_old",Ammortamento_Finanziario!$H:$L,5,FALSE),VLOOKUP($M23,TT_Tabelle_Riferimento!$H$31:$I$50,2,FALSE))</f>
        <v>60</v>
      </c>
      <c r="P23" s="904">
        <f>+IFERROR(VLOOKUP(P$6&amp;"-"&amp;$M23&amp;"_old",Ammortamento_Finanziario!$H:$L,5,FALSE),VLOOKUP($M23,TT_Tabelle_Riferimento!$H$31:$I$50,2,FALSE))</f>
        <v>60</v>
      </c>
      <c r="Q23" s="904">
        <f>+IFERROR(VLOOKUP(Q$6&amp;"-"&amp;$M23&amp;"_old",Ammortamento_Finanziario!$H:$L,5,FALSE),VLOOKUP($M23,TT_Tabelle_Riferimento!$H$31:$I$50,2,FALSE))</f>
        <v>60</v>
      </c>
      <c r="R23" s="904">
        <f>+IFERROR(VLOOKUP(R$6&amp;"-"&amp;$M23&amp;"_old",Ammortamento_Finanziario!$H:$L,5,FALSE),VLOOKUP($M23,TT_Tabelle_Riferimento!$H$31:$I$50,2,FALSE))</f>
        <v>60</v>
      </c>
      <c r="S23" s="904">
        <f>+IFERROR(VLOOKUP(S$6&amp;"-"&amp;$M23&amp;"_old",Ammortamento_Finanziario!$H:$L,5,FALSE),VLOOKUP($M23,TT_Tabelle_Riferimento!$H$31:$I$50,2,FALSE))</f>
        <v>60</v>
      </c>
      <c r="T23" s="904">
        <f>+IFERROR(VLOOKUP(T$6&amp;"-"&amp;$M23&amp;"_old",Ammortamento_Finanziario!$H:$L,5,FALSE),VLOOKUP($M23,TT_Tabelle_Riferimento!$H$31:$I$50,2,FALSE))</f>
        <v>60</v>
      </c>
      <c r="U23" s="904">
        <f>+IFERROR(VLOOKUP(U$6&amp;"-"&amp;$M23&amp;"_old",Ammortamento_Finanziario!$H:$L,5,FALSE),VLOOKUP($M23,TT_Tabelle_Riferimento!$H$31:$I$50,2,FALSE))</f>
        <v>60</v>
      </c>
      <c r="V23" s="904">
        <f>+IFERROR(VLOOKUP(V$6&amp;"-"&amp;$M23&amp;"_old",Ammortamento_Finanziario!$H:$L,5,FALSE),VLOOKUP($M23,TT_Tabelle_Riferimento!$H$31:$I$50,2,FALSE))</f>
        <v>60</v>
      </c>
      <c r="W23" s="904">
        <f>+IFERROR(VLOOKUP(W$6&amp;"-"&amp;$M23&amp;"_old",Ammortamento_Finanziario!$H:$L,5,FALSE),VLOOKUP($M23,TT_Tabelle_Riferimento!$H$31:$I$50,2,FALSE))</f>
        <v>60</v>
      </c>
      <c r="X23" s="1739">
        <f>+IFERROR(VLOOKUP(X$6&amp;"-"&amp;$M23&amp;"_old",Ammortamento_Finanziario!$H:$L,5,FALSE),VLOOKUP($M23,TT_Tabelle_Riferimento!$H$31:$I$50,2,FALSE))</f>
        <v>60</v>
      </c>
      <c r="Y23" s="1739">
        <f>+IFERROR(VLOOKUP(Y$6&amp;"-"&amp;$M23&amp;"_old",Ammortamento_Finanziario!$H:$L,5,FALSE),VLOOKUP($M23,TT_Tabelle_Riferimento!$H$31:$I$50,2,FALSE))</f>
        <v>60</v>
      </c>
      <c r="Z23" s="1749">
        <f>+IFERROR(VLOOKUP(Z$6&amp;"-"&amp;$M23&amp;"_old",Ammortamento_Finanziario!$H:$L,5,FALSE),VLOOKUP($M23,TT_Tabelle_Riferimento!$H$31:$I$50,2,FALSE))</f>
        <v>60</v>
      </c>
      <c r="AA23" s="1749">
        <f>+IFERROR(VLOOKUP(AA$6&amp;"-"&amp;$M23&amp;"_old",Ammortamento_Finanziario!$H:$L,5,FALSE),VLOOKUP($M23,TT_Tabelle_Riferimento!$H$31:$I$50,2,FALSE))</f>
        <v>60</v>
      </c>
      <c r="AB23" s="1749">
        <f>+IFERROR(VLOOKUP(AB$6&amp;"-"&amp;$M23&amp;"_old",Ammortamento_Finanziario!$H:$L,5,FALSE),VLOOKUP($M23,TT_Tabelle_Riferimento!$H$31:$I$50,2,FALSE))</f>
        <v>60</v>
      </c>
      <c r="AC23" s="1749">
        <f>+IFERROR(VLOOKUP(AC$6&amp;"-"&amp;$M23&amp;"_old",Ammortamento_Finanziario!$H:$L,5,FALSE),VLOOKUP($M23,TT_Tabelle_Riferimento!$H$31:$I$50,2,FALSE))</f>
        <v>60</v>
      </c>
      <c r="AD23" s="1749">
        <f>+IFERROR(VLOOKUP(AD$6&amp;"-"&amp;$M23&amp;"_old",Ammortamento_Finanziario!$H:$L,5,FALSE),VLOOKUP($M23,TT_Tabelle_Riferimento!$H$31:$I$50,2,FALSE))</f>
        <v>60</v>
      </c>
      <c r="AE23" s="1749">
        <f>+IFERROR(VLOOKUP(AE$6&amp;"-"&amp;$M23&amp;"_old",Ammortamento_Finanziario!$H:$L,5,FALSE),VLOOKUP($M23,TT_Tabelle_Riferimento!$H$31:$I$50,2,FALSE))</f>
        <v>60</v>
      </c>
      <c r="AF23" s="625">
        <f>+IFERROR(VLOOKUP(AF$6&amp;"-"&amp;$M23&amp;"_old",Ammortamento_Finanziario!$H:$L,5,FALSE),VLOOKUP($M23,TT_Tabelle_Riferimento!$H$31:$I$50,2,FALSE))</f>
        <v>60</v>
      </c>
      <c r="AG23" s="625">
        <f>+IFERROR(VLOOKUP(AG$6&amp;"-"&amp;$M23&amp;"_old",Ammortamento_Finanziario!$H:$L,5,FALSE),VLOOKUP($M23,TT_Tabelle_Riferimento!$H$31:$I$50,2,FALSE))</f>
        <v>60</v>
      </c>
      <c r="AH23" s="625">
        <f>+IFERROR(VLOOKUP(AH$6&amp;"-"&amp;$M23&amp;"_old",Ammortamento_Finanziario!$H:$L,5,FALSE),VLOOKUP($M23,TT_Tabelle_Riferimento!$H$31:$I$50,2,FALSE))</f>
        <v>60</v>
      </c>
      <c r="AI23" s="625">
        <f>+IFERROR(VLOOKUP(AI$6&amp;"-"&amp;$M23&amp;"_old",Ammortamento_Finanziario!$H:$L,5,FALSE),VLOOKUP($M23,TT_Tabelle_Riferimento!$H$31:$I$50,2,FALSE))</f>
        <v>60</v>
      </c>
      <c r="AJ23" s="625">
        <f>+IFERROR(VLOOKUP(AJ$6&amp;"-"&amp;$M23&amp;"_old",Ammortamento_Finanziario!$H:$L,5,FALSE),VLOOKUP($M23,TT_Tabelle_Riferimento!$H$31:$I$50,2,FALSE))</f>
        <v>60</v>
      </c>
      <c r="AK23" s="625">
        <f>+IFERROR(VLOOKUP(AK$6&amp;"-"&amp;$M23&amp;"_old",Ammortamento_Finanziario!$H:$L,5,FALSE),VLOOKUP($M23,TT_Tabelle_Riferimento!$H$31:$I$50,2,FALSE))</f>
        <v>60</v>
      </c>
      <c r="AL23" s="625">
        <f>+IFERROR(VLOOKUP(AL$6&amp;"-"&amp;$M23&amp;"_old",Ammortamento_Finanziario!$H:$L,5,FALSE),VLOOKUP($M23,TT_Tabelle_Riferimento!$H$31:$I$50,2,FALSE))</f>
        <v>60</v>
      </c>
      <c r="AM23" s="625">
        <f>+IFERROR(VLOOKUP(AM$6&amp;"-"&amp;$M23&amp;"_old",Ammortamento_Finanziario!$H:$L,5,FALSE),VLOOKUP($M23,TT_Tabelle_Riferimento!$H$31:$I$50,2,FALSE))</f>
        <v>60</v>
      </c>
      <c r="AN23" s="625">
        <f>+IFERROR(VLOOKUP(AN$6&amp;"-"&amp;$M23&amp;"_old",Ammortamento_Finanziario!$H:$L,5,FALSE),VLOOKUP($M23,TT_Tabelle_Riferimento!$H$31:$I$50,2,FALSE))</f>
        <v>60</v>
      </c>
      <c r="AO23" s="625">
        <f>+IFERROR(VLOOKUP(AO$6&amp;"-"&amp;$M23&amp;"_old",Ammortamento_Finanziario!$H:$L,5,FALSE),VLOOKUP($M23,TT_Tabelle_Riferimento!$H$31:$I$50,2,FALSE))</f>
        <v>60</v>
      </c>
      <c r="AP23" s="625">
        <f>+IFERROR(VLOOKUP(AP$6&amp;"-"&amp;$M23&amp;"_old",Ammortamento_Finanziario!$H:$L,5,FALSE),VLOOKUP($M23,TT_Tabelle_Riferimento!$H$31:$I$50,2,FALSE))</f>
        <v>60</v>
      </c>
      <c r="AQ23" s="625">
        <f>+IFERROR(VLOOKUP(AQ$6&amp;"-"&amp;$M23&amp;"_old",Ammortamento_Finanziario!$H:$L,5,FALSE),VLOOKUP($M23,TT_Tabelle_Riferimento!$H$31:$I$50,2,FALSE))</f>
        <v>60</v>
      </c>
      <c r="AR23" s="625">
        <f>+IFERROR(VLOOKUP(AR$6&amp;"-"&amp;$M23&amp;"_old",Ammortamento_Finanziario!$H:$L,5,FALSE),VLOOKUP($M23,TT_Tabelle_Riferimento!$H$31:$I$50,2,FALSE))</f>
        <v>60</v>
      </c>
      <c r="AS23" s="625">
        <f>+IFERROR(VLOOKUP(AS$6&amp;"-"&amp;$M23&amp;"_old",Ammortamento_Finanziario!$H:$L,5,FALSE),VLOOKUP($M23,TT_Tabelle_Riferimento!$H$31:$I$50,2,FALSE))</f>
        <v>60</v>
      </c>
      <c r="AT23" s="625">
        <f>+IFERROR(VLOOKUP(AT$6&amp;"-"&amp;$M23&amp;"_old",Ammortamento_Finanziario!$H:$L,5,FALSE),VLOOKUP($M23,TT_Tabelle_Riferimento!$H$31:$I$50,2,FALSE))</f>
        <v>60</v>
      </c>
      <c r="AU23" s="625">
        <f>+IFERROR(VLOOKUP(AU$6&amp;"-"&amp;$M23&amp;"_old",Ammortamento_Finanziario!$H:$L,5,FALSE),VLOOKUP($M23,TT_Tabelle_Riferimento!$H$31:$I$50,2,FALSE))</f>
        <v>60</v>
      </c>
      <c r="AV23" s="625">
        <f>+IFERROR(VLOOKUP(AV$6&amp;"-"&amp;$M23&amp;"_old",Ammortamento_Finanziario!$H:$L,5,FALSE),VLOOKUP($M23,TT_Tabelle_Riferimento!$H$31:$I$50,2,FALSE))</f>
        <v>60</v>
      </c>
      <c r="AW23" s="625">
        <f>+IFERROR(VLOOKUP(AW$6&amp;"-"&amp;$M23&amp;"_old",Ammortamento_Finanziario!$H:$L,5,FALSE),VLOOKUP($M23,TT_Tabelle_Riferimento!$H$31:$I$50,2,FALSE))</f>
        <v>60</v>
      </c>
      <c r="AX23" s="625">
        <f>+IFERROR(VLOOKUP(AX$6&amp;"-"&amp;$M23&amp;"_old",Ammortamento_Finanziario!$H:$L,5,FALSE),VLOOKUP($M23,TT_Tabelle_Riferimento!$H$31:$I$50,2,FALSE))</f>
        <v>60</v>
      </c>
      <c r="AY23" s="905">
        <f>+IFERROR(VLOOKUP(AY$6&amp;"-"&amp;$M23&amp;"_old",Ammortamento_Finanziario!$H:$L,5,FALSE),VLOOKUP($M23,TT_Tabelle_Riferimento!$H$31:$I$50,2,FALSE))</f>
        <v>60</v>
      </c>
      <c r="AZ23" s="905">
        <f>+IFERROR(VLOOKUP(AZ$6&amp;"-"&amp;$M23&amp;"_old",Ammortamento_Finanziario!$H:$L,5,FALSE),VLOOKUP($M23,TT_Tabelle_Riferimento!$H$31:$I$50,2,FALSE))</f>
        <v>60</v>
      </c>
      <c r="BA23" s="905">
        <f>+IFERROR(VLOOKUP(BA$6&amp;"-"&amp;$M23&amp;"_old",Ammortamento_Finanziario!$H:$L,5,FALSE),VLOOKUP($M23,TT_Tabelle_Riferimento!$H$31:$I$50,2,FALSE))</f>
        <v>60</v>
      </c>
      <c r="BB23" s="905">
        <f>+IFERROR(VLOOKUP(BB$6&amp;"-"&amp;$M23&amp;"_old",Ammortamento_Finanziario!$H:$L,5,FALSE),VLOOKUP($M23,TT_Tabelle_Riferimento!$H$31:$I$50,2,FALSE))</f>
        <v>60</v>
      </c>
      <c r="BC23" s="905">
        <f>+IFERROR(VLOOKUP(BC$6&amp;"-"&amp;$M23&amp;"_old",Ammortamento_Finanziario!$H:$L,5,FALSE),VLOOKUP($M23,TT_Tabelle_Riferimento!$H$31:$I$50,2,FALSE))</f>
        <v>60</v>
      </c>
      <c r="BD23" s="905">
        <f>+IFERROR(VLOOKUP(BD$6&amp;"-"&amp;$M23&amp;"_old",Ammortamento_Finanziario!$H:$L,5,FALSE),VLOOKUP($M23,TT_Tabelle_Riferimento!$H$31:$I$50,2,FALSE))</f>
        <v>60</v>
      </c>
      <c r="BE23" s="905">
        <f>+IFERROR(VLOOKUP(BE$6&amp;"-"&amp;$M23&amp;"_old",Ammortamento_Finanziario!$H:$L,5,FALSE),VLOOKUP($M23,TT_Tabelle_Riferimento!$H$31:$I$50,2,FALSE))</f>
        <v>60</v>
      </c>
      <c r="BF23" s="905">
        <f>+IFERROR(VLOOKUP(BF$6&amp;"-"&amp;$M23&amp;"_old",Ammortamento_Finanziario!$H:$L,5,FALSE),VLOOKUP($M23,TT_Tabelle_Riferimento!$H$31:$I$50,2,FALSE))</f>
        <v>60</v>
      </c>
      <c r="BG23" s="1740">
        <f>+IFERROR(VLOOKUP(BG$6&amp;"-"&amp;$M23&amp;"_old",Ammortamento_Finanziario!$H:$L,5,FALSE),VLOOKUP($M23,TT_Tabelle_Riferimento!$H$31:$I$50,2,FALSE))</f>
        <v>60</v>
      </c>
      <c r="BH23" s="1740">
        <f>+IFERROR(VLOOKUP(BH$6&amp;"-"&amp;$M23&amp;"_old",Ammortamento_Finanziario!$H:$L,5,FALSE),VLOOKUP($M23,TT_Tabelle_Riferimento!$H$31:$I$50,2,FALSE))</f>
        <v>60</v>
      </c>
      <c r="BI23" s="1749">
        <f>+IFERROR(VLOOKUP(BI$6&amp;"-"&amp;$M23&amp;"_old",Ammortamento_Finanziario!$H:$L,5,FALSE),VLOOKUP($M23,TT_Tabelle_Riferimento!$H$31:$I$50,2,FALSE))</f>
        <v>60</v>
      </c>
      <c r="BJ23" s="1749">
        <f>+IFERROR(VLOOKUP(BJ$6&amp;"-"&amp;$M23&amp;"_old",Ammortamento_Finanziario!$H:$L,5,FALSE),VLOOKUP($M23,TT_Tabelle_Riferimento!$H$31:$I$50,2,FALSE))</f>
        <v>60</v>
      </c>
      <c r="BK23" s="1749">
        <f>+IFERROR(VLOOKUP(BK$6&amp;"-"&amp;$M23&amp;"_old",Ammortamento_Finanziario!$H:$L,5,FALSE),VLOOKUP($M23,TT_Tabelle_Riferimento!$H$31:$I$50,2,FALSE))</f>
        <v>60</v>
      </c>
      <c r="BL23" s="1749">
        <f>+IFERROR(VLOOKUP(BL$6&amp;"-"&amp;$M23&amp;"_old",Ammortamento_Finanziario!$H:$L,5,FALSE),VLOOKUP($M23,TT_Tabelle_Riferimento!$H$31:$I$50,2,FALSE))</f>
        <v>60</v>
      </c>
      <c r="BM23" s="1749">
        <f>+IFERROR(VLOOKUP(BM$6&amp;"-"&amp;$M23&amp;"_old",Ammortamento_Finanziario!$H:$L,5,FALSE),VLOOKUP($M23,TT_Tabelle_Riferimento!$H$31:$I$50,2,FALSE))</f>
        <v>60</v>
      </c>
      <c r="BN23" s="1749">
        <f>+IFERROR(VLOOKUP(BN$6&amp;"-"&amp;$M23&amp;"_old",Ammortamento_Finanziario!$H:$L,5,FALSE),VLOOKUP($M23,TT_Tabelle_Riferimento!$H$31:$I$50,2,FALSE))</f>
        <v>60</v>
      </c>
      <c r="BO23" s="625">
        <f>+IFERROR(VLOOKUP(BO$6&amp;"-"&amp;$M23&amp;"_old",Ammortamento_Finanziario!$H:$L,5,FALSE),VLOOKUP($M23,TT_Tabelle_Riferimento!$H$31:$I$50,2,FALSE))</f>
        <v>60</v>
      </c>
      <c r="BP23" s="625">
        <f>+IFERROR(VLOOKUP(BP$6&amp;"-"&amp;$M23&amp;"_old",Ammortamento_Finanziario!$H:$L,5,FALSE),VLOOKUP($M23,TT_Tabelle_Riferimento!$H$31:$I$50,2,FALSE))</f>
        <v>60</v>
      </c>
      <c r="BQ23" s="625">
        <f>+IFERROR(VLOOKUP(BQ$6&amp;"-"&amp;$M23&amp;"_old",Ammortamento_Finanziario!$H:$L,5,FALSE),VLOOKUP($M23,TT_Tabelle_Riferimento!$H$31:$I$50,2,FALSE))</f>
        <v>60</v>
      </c>
      <c r="BR23" s="625">
        <f>+IFERROR(VLOOKUP(BR$6&amp;"-"&amp;$M23&amp;"_old",Ammortamento_Finanziario!$H:$L,5,FALSE),VLOOKUP($M23,TT_Tabelle_Riferimento!$H$31:$I$50,2,FALSE))</f>
        <v>60</v>
      </c>
      <c r="BS23" s="625">
        <f>+IFERROR(VLOOKUP(BS$6&amp;"-"&amp;$M23&amp;"_old",Ammortamento_Finanziario!$H:$L,5,FALSE),VLOOKUP($M23,TT_Tabelle_Riferimento!$H$31:$I$50,2,FALSE))</f>
        <v>60</v>
      </c>
      <c r="BT23" s="625">
        <f>+IFERROR(VLOOKUP(BT$6&amp;"-"&amp;$M23&amp;"_old",Ammortamento_Finanziario!$H:$L,5,FALSE),VLOOKUP($M23,TT_Tabelle_Riferimento!$H$31:$I$50,2,FALSE))</f>
        <v>60</v>
      </c>
      <c r="BU23" s="625">
        <f>+IFERROR(VLOOKUP(BU$6&amp;"-"&amp;$M23&amp;"_old",Ammortamento_Finanziario!$H:$L,5,FALSE),VLOOKUP($M23,TT_Tabelle_Riferimento!$H$31:$I$50,2,FALSE))</f>
        <v>60</v>
      </c>
      <c r="BV23" s="625">
        <f>+IFERROR(VLOOKUP(BV$6&amp;"-"&amp;$M23&amp;"_old",Ammortamento_Finanziario!$H:$L,5,FALSE),VLOOKUP($M23,TT_Tabelle_Riferimento!$H$31:$I$50,2,FALSE))</f>
        <v>60</v>
      </c>
      <c r="BW23" s="625">
        <f>+IFERROR(VLOOKUP(BW$6&amp;"-"&amp;$M23&amp;"_old",Ammortamento_Finanziario!$H:$L,5,FALSE),VLOOKUP($M23,TT_Tabelle_Riferimento!$H$31:$I$50,2,FALSE))</f>
        <v>60</v>
      </c>
      <c r="BX23" s="625">
        <f>+IFERROR(VLOOKUP(BX$6&amp;"-"&amp;$M23&amp;"_old",Ammortamento_Finanziario!$H:$L,5,FALSE),VLOOKUP($M23,TT_Tabelle_Riferimento!$H$31:$I$50,2,FALSE))</f>
        <v>60</v>
      </c>
      <c r="BY23" s="625">
        <f>+IFERROR(VLOOKUP(BY$6&amp;"-"&amp;$M23&amp;"_old",Ammortamento_Finanziario!$H:$L,5,FALSE),VLOOKUP($M23,TT_Tabelle_Riferimento!$H$31:$I$50,2,FALSE))</f>
        <v>60</v>
      </c>
      <c r="BZ23" s="625">
        <f>+IFERROR(VLOOKUP(BZ$6&amp;"-"&amp;$M23&amp;"_old",Ammortamento_Finanziario!$H:$L,5,FALSE),VLOOKUP($M23,TT_Tabelle_Riferimento!$H$31:$I$50,2,FALSE))</f>
        <v>60</v>
      </c>
      <c r="CA23" s="625">
        <f>+IFERROR(VLOOKUP(CA$6&amp;"-"&amp;$M23&amp;"_old",Ammortamento_Finanziario!$H:$L,5,FALSE),VLOOKUP($M23,TT_Tabelle_Riferimento!$H$31:$I$50,2,FALSE))</f>
        <v>60</v>
      </c>
      <c r="CB23" s="625">
        <f>+IFERROR(VLOOKUP(CB$6&amp;"-"&amp;$M23&amp;"_old",Ammortamento_Finanziario!$H:$L,5,FALSE),VLOOKUP($M23,TT_Tabelle_Riferimento!$H$31:$I$50,2,FALSE))</f>
        <v>60</v>
      </c>
      <c r="CC23" s="625">
        <f>+IFERROR(VLOOKUP(CC$6&amp;"-"&amp;$M23&amp;"_old",Ammortamento_Finanziario!$H:$L,5,FALSE),VLOOKUP($M23,TT_Tabelle_Riferimento!$H$31:$I$50,2,FALSE))</f>
        <v>60</v>
      </c>
      <c r="CD23" s="625">
        <f>+IFERROR(VLOOKUP(CD$6&amp;"-"&amp;$M23&amp;"_old",Ammortamento_Finanziario!$H:$L,5,FALSE),VLOOKUP($M23,TT_Tabelle_Riferimento!$H$31:$I$50,2,FALSE))</f>
        <v>60</v>
      </c>
      <c r="CE23" s="625">
        <f>+IFERROR(VLOOKUP(CE$6&amp;"-"&amp;$M23&amp;"_old",Ammortamento_Finanziario!$H:$L,5,FALSE),VLOOKUP($M23,TT_Tabelle_Riferimento!$H$31:$I$50,2,FALSE))</f>
        <v>60</v>
      </c>
      <c r="CF23" s="625">
        <f>+IFERROR(VLOOKUP(CF$6&amp;"-"&amp;$M23&amp;"_old",Ammortamento_Finanziario!$H:$L,5,FALSE),VLOOKUP($M23,TT_Tabelle_Riferimento!$H$31:$I$50,2,FALSE))</f>
        <v>60</v>
      </c>
      <c r="CG23" s="625">
        <f>+IFERROR(VLOOKUP(CG$6&amp;"-"&amp;$M23&amp;"_old",Ammortamento_Finanziario!$H:$L,5,FALSE),VLOOKUP($M23,TT_Tabelle_Riferimento!$H$31:$I$50,2,FALSE))</f>
        <v>60</v>
      </c>
      <c r="CH23" s="905">
        <f>+IFERROR(VLOOKUP(CH$6&amp;"-"&amp;$M23&amp;"_old",Ammortamento_Finanziario!$H:$L,5,FALSE),VLOOKUP($M23,TT_Tabelle_Riferimento!$H$31:$I$50,2,FALSE))</f>
        <v>60</v>
      </c>
      <c r="CI23" s="905">
        <f>+IFERROR(VLOOKUP(CI$6&amp;"-"&amp;$M23&amp;"_old",Ammortamento_Finanziario!$H:$L,5,FALSE),VLOOKUP($M23,TT_Tabelle_Riferimento!$H$31:$I$50,2,FALSE))</f>
        <v>60</v>
      </c>
      <c r="CJ23" s="905">
        <f>+IFERROR(VLOOKUP(CJ$6&amp;"-"&amp;$M23&amp;"_old",Ammortamento_Finanziario!$H:$L,5,FALSE),VLOOKUP($M23,TT_Tabelle_Riferimento!$H$31:$I$50,2,FALSE))</f>
        <v>60</v>
      </c>
      <c r="CK23" s="905">
        <f>+IFERROR(VLOOKUP(CK$6&amp;"-"&amp;$M23&amp;"_old",Ammortamento_Finanziario!$H:$L,5,FALSE),VLOOKUP($M23,TT_Tabelle_Riferimento!$H$31:$I$50,2,FALSE))</f>
        <v>60</v>
      </c>
      <c r="CL23" s="905">
        <f>+IFERROR(VLOOKUP(CL$6&amp;"-"&amp;$M23&amp;"_old",Ammortamento_Finanziario!$H:$L,5,FALSE),VLOOKUP($M23,TT_Tabelle_Riferimento!$H$31:$I$50,2,FALSE))</f>
        <v>60</v>
      </c>
      <c r="CM23" s="905">
        <f>+IFERROR(VLOOKUP(CM$6&amp;"-"&amp;$M23&amp;"_old",Ammortamento_Finanziario!$H:$L,5,FALSE),VLOOKUP($M23,TT_Tabelle_Riferimento!$H$31:$I$50,2,FALSE))</f>
        <v>60</v>
      </c>
      <c r="CN23" s="905">
        <f>+IFERROR(VLOOKUP(CN$6&amp;"-"&amp;$M23&amp;"_old",Ammortamento_Finanziario!$H:$L,5,FALSE),VLOOKUP($M23,TT_Tabelle_Riferimento!$H$31:$I$50,2,FALSE))</f>
        <v>60</v>
      </c>
      <c r="CO23" s="1740">
        <f>+IFERROR(VLOOKUP(CO$6&amp;"-"&amp;$M23&amp;"_old",Ammortamento_Finanziario!$H:$L,5,FALSE),VLOOKUP($M23,TT_Tabelle_Riferimento!$H$31:$I$50,2,FALSE))</f>
        <v>60</v>
      </c>
      <c r="CP23" s="1740">
        <f>+IFERROR(VLOOKUP(CP$6&amp;"-"&amp;$M23&amp;"_old",Ammortamento_Finanziario!$H:$L,5,FALSE),VLOOKUP($M23,TT_Tabelle_Riferimento!$H$31:$I$50,2,FALSE))</f>
        <v>60</v>
      </c>
      <c r="CQ23" s="1749">
        <f>+IFERROR(VLOOKUP(CQ$6&amp;"-"&amp;$M23&amp;"_old",Ammortamento_Finanziario!$H:$L,5,FALSE),VLOOKUP($M23,TT_Tabelle_Riferimento!$H$31:$I$50,2,FALSE))</f>
        <v>60</v>
      </c>
      <c r="CR23" s="1749">
        <f>+IFERROR(VLOOKUP(CR$6&amp;"-"&amp;$M23&amp;"_old",Ammortamento_Finanziario!$H:$L,5,FALSE),VLOOKUP($M23,TT_Tabelle_Riferimento!$H$31:$I$50,2,FALSE))</f>
        <v>60</v>
      </c>
      <c r="CS23" s="1749">
        <f>+IFERROR(VLOOKUP(CS$6&amp;"-"&amp;$M23&amp;"_old",Ammortamento_Finanziario!$H:$L,5,FALSE),VLOOKUP($M23,TT_Tabelle_Riferimento!$H$31:$I$50,2,FALSE))</f>
        <v>60</v>
      </c>
      <c r="CT23" s="1749">
        <f>+IFERROR(VLOOKUP(CT$6&amp;"-"&amp;$M23&amp;"_old",Ammortamento_Finanziario!$H:$L,5,FALSE),VLOOKUP($M23,TT_Tabelle_Riferimento!$H$31:$I$50,2,FALSE))</f>
        <v>60</v>
      </c>
      <c r="CU23" s="1749">
        <f>+IFERROR(VLOOKUP(CU$6&amp;"-"&amp;$M23&amp;"_old",Ammortamento_Finanziario!$H:$L,5,FALSE),VLOOKUP($M23,TT_Tabelle_Riferimento!$H$31:$I$50,2,FALSE))</f>
        <v>60</v>
      </c>
      <c r="CV23" s="1749">
        <f>+IFERROR(VLOOKUP(CV$6&amp;"-"&amp;$M23&amp;"_old",Ammortamento_Finanziario!$H:$L,5,FALSE),VLOOKUP($M23,TT_Tabelle_Riferimento!$H$31:$I$50,2,FALSE))</f>
        <v>60</v>
      </c>
      <c r="CW23" s="625">
        <f>+IFERROR(VLOOKUP(CW$6&amp;"-"&amp;$M23&amp;"_old",Ammortamento_Finanziario!$H:$L,5,FALSE),VLOOKUP($M23,TT_Tabelle_Riferimento!$H$31:$I$50,2,FALSE))</f>
        <v>60</v>
      </c>
      <c r="CX23" s="625">
        <f>+IFERROR(VLOOKUP(CX$6&amp;"-"&amp;$M23&amp;"_old",Ammortamento_Finanziario!$H:$L,5,FALSE),VLOOKUP($M23,TT_Tabelle_Riferimento!$H$31:$I$50,2,FALSE))</f>
        <v>60</v>
      </c>
      <c r="CY23" s="625">
        <f>+IFERROR(VLOOKUP(CY$6&amp;"-"&amp;$M23&amp;"_old",Ammortamento_Finanziario!$H:$L,5,FALSE),VLOOKUP($M23,TT_Tabelle_Riferimento!$H$31:$I$50,2,FALSE))</f>
        <v>60</v>
      </c>
      <c r="CZ23" s="625">
        <f>+IFERROR(VLOOKUP(CZ$6&amp;"-"&amp;$M23&amp;"_old",Ammortamento_Finanziario!$H:$L,5,FALSE),VLOOKUP($M23,TT_Tabelle_Riferimento!$H$31:$I$50,2,FALSE))</f>
        <v>60</v>
      </c>
      <c r="DA23" s="625">
        <f>+IFERROR(VLOOKUP(DA$6&amp;"-"&amp;$M23&amp;"_old",Ammortamento_Finanziario!$H:$L,5,FALSE),VLOOKUP($M23,TT_Tabelle_Riferimento!$H$31:$I$50,2,FALSE))</f>
        <v>60</v>
      </c>
      <c r="DB23" s="625">
        <f>+IFERROR(VLOOKUP(DB$6&amp;"-"&amp;$M23&amp;"_old",Ammortamento_Finanziario!$H:$L,5,FALSE),VLOOKUP($M23,TT_Tabelle_Riferimento!$H$31:$I$50,2,FALSE))</f>
        <v>60</v>
      </c>
      <c r="DC23" s="625">
        <f>+IFERROR(VLOOKUP(DC$6&amp;"-"&amp;$M23&amp;"_old",Ammortamento_Finanziario!$H:$L,5,FALSE),VLOOKUP($M23,TT_Tabelle_Riferimento!$H$31:$I$50,2,FALSE))</f>
        <v>60</v>
      </c>
      <c r="DD23" s="625">
        <f>+IFERROR(VLOOKUP(DD$6&amp;"-"&amp;$M23&amp;"_old",Ammortamento_Finanziario!$H:$L,5,FALSE),VLOOKUP($M23,TT_Tabelle_Riferimento!$H$31:$I$50,2,FALSE))</f>
        <v>60</v>
      </c>
      <c r="DE23" s="625">
        <f>+IFERROR(VLOOKUP(DE$6&amp;"-"&amp;$M23&amp;"_old",Ammortamento_Finanziario!$H:$L,5,FALSE),VLOOKUP($M23,TT_Tabelle_Riferimento!$H$31:$I$50,2,FALSE))</f>
        <v>60</v>
      </c>
      <c r="DF23" s="625">
        <f>+IFERROR(VLOOKUP(DF$6&amp;"-"&amp;$M23&amp;"_old",Ammortamento_Finanziario!$H:$L,5,FALSE),VLOOKUP($M23,TT_Tabelle_Riferimento!$H$31:$I$50,2,FALSE))</f>
        <v>60</v>
      </c>
      <c r="DG23" s="625">
        <f>+IFERROR(VLOOKUP(DG$6&amp;"-"&amp;$M23&amp;"_old",Ammortamento_Finanziario!$H:$L,5,FALSE),VLOOKUP($M23,TT_Tabelle_Riferimento!$H$31:$I$50,2,FALSE))</f>
        <v>60</v>
      </c>
      <c r="DH23" s="625">
        <f>+IFERROR(VLOOKUP(DH$6&amp;"-"&amp;$M23&amp;"_old",Ammortamento_Finanziario!$H:$L,5,FALSE),VLOOKUP($M23,TT_Tabelle_Riferimento!$H$31:$I$50,2,FALSE))</f>
        <v>60</v>
      </c>
      <c r="DI23" s="625">
        <f>+IFERROR(VLOOKUP(DI$6&amp;"-"&amp;$M23&amp;"_old",Ammortamento_Finanziario!$H:$L,5,FALSE),VLOOKUP($M23,TT_Tabelle_Riferimento!$H$31:$I$50,2,FALSE))</f>
        <v>60</v>
      </c>
      <c r="DJ23" s="625">
        <f>+IFERROR(VLOOKUP(DJ$6&amp;"-"&amp;$M23&amp;"_old",Ammortamento_Finanziario!$H:$L,5,FALSE),VLOOKUP($M23,TT_Tabelle_Riferimento!$H$31:$I$50,2,FALSE))</f>
        <v>60</v>
      </c>
      <c r="DK23" s="625">
        <f>+IFERROR(VLOOKUP(DK$6&amp;"-"&amp;$M23&amp;"_old",Ammortamento_Finanziario!$H:$L,5,FALSE),VLOOKUP($M23,TT_Tabelle_Riferimento!$H$31:$I$50,2,FALSE))</f>
        <v>60</v>
      </c>
      <c r="DL23" s="625">
        <f>+IFERROR(VLOOKUP(DL$6&amp;"-"&amp;$M23&amp;"_old",Ammortamento_Finanziario!$H:$L,5,FALSE),VLOOKUP($M23,TT_Tabelle_Riferimento!$H$31:$I$50,2,FALSE))</f>
        <v>60</v>
      </c>
      <c r="DM23" s="625">
        <f>+IFERROR(VLOOKUP(DM$6&amp;"-"&amp;$M23&amp;"_old",Ammortamento_Finanziario!$H:$L,5,FALSE),VLOOKUP($M23,TT_Tabelle_Riferimento!$H$31:$I$50,2,FALSE))</f>
        <v>60</v>
      </c>
      <c r="DN23" s="625">
        <f>+IFERROR(VLOOKUP(DN$6&amp;"-"&amp;$M23&amp;"_old",Ammortamento_Finanziario!$H:$L,5,FALSE),VLOOKUP($M23,TT_Tabelle_Riferimento!$H$31:$I$50,2,FALSE))</f>
        <v>60</v>
      </c>
      <c r="DO23" s="625">
        <f>+IFERROR(VLOOKUP(DO$6&amp;"-"&amp;$M23&amp;"_old",Ammortamento_Finanziario!$H:$L,5,FALSE),VLOOKUP($M23,TT_Tabelle_Riferimento!$H$31:$I$50,2,FALSE))</f>
        <v>60</v>
      </c>
      <c r="DP23" s="636">
        <f>+IFERROR(VLOOKUP(DP$6&amp;"-"&amp;$M23&amp;"_old",Ammortamento_Finanziario!$H:$L,5,FALSE),VLOOKUP($M23,TT_Tabelle_Riferimento!$H$31:$I$50,2,FALSE))</f>
        <v>60</v>
      </c>
      <c r="DQ23" s="636">
        <f>+IFERROR(VLOOKUP(DQ$6&amp;"-"&amp;$M23&amp;"_old",Ammortamento_Finanziario!$H:$L,5,FALSE),VLOOKUP($M23,TT_Tabelle_Riferimento!$H$31:$I$50,2,FALSE))</f>
        <v>60</v>
      </c>
      <c r="DR23" s="636">
        <f>+IFERROR(VLOOKUP(DR$6&amp;"-"&amp;$M23&amp;"_old",Ammortamento_Finanziario!$H:$L,5,FALSE),VLOOKUP($M23,TT_Tabelle_Riferimento!$H$31:$I$50,2,FALSE))</f>
        <v>60</v>
      </c>
      <c r="DS23" s="636">
        <f>+IFERROR(VLOOKUP(DS$6&amp;"-"&amp;$M23&amp;"_old",Ammortamento_Finanziario!$H:$L,5,FALSE),VLOOKUP($M23,TT_Tabelle_Riferimento!$H$31:$I$50,2,FALSE))</f>
        <v>60</v>
      </c>
      <c r="DT23" s="636">
        <f>+IFERROR(VLOOKUP(DT$6&amp;"-"&amp;$M23&amp;"_old",Ammortamento_Finanziario!$H:$L,5,FALSE),VLOOKUP($M23,TT_Tabelle_Riferimento!$H$31:$I$50,2,FALSE))</f>
        <v>60</v>
      </c>
      <c r="DU23" s="636">
        <f>+IFERROR(VLOOKUP(DU$6&amp;"-"&amp;$M23&amp;"_old",Ammortamento_Finanziario!$H:$L,5,FALSE),VLOOKUP($M23,TT_Tabelle_Riferimento!$H$31:$I$50,2,FALSE))</f>
        <v>60</v>
      </c>
      <c r="DV23" s="1742">
        <f>+IFERROR(VLOOKUP(DV$6&amp;"-"&amp;$M23&amp;"_old",Ammortamento_Finanziario!$H:$L,5,FALSE),VLOOKUP($M23,TT_Tabelle_Riferimento!$H$31:$I$50,2,FALSE))</f>
        <v>60</v>
      </c>
      <c r="DW23" s="1742">
        <f>+IFERROR(VLOOKUP(DW$6&amp;"-"&amp;$M23&amp;"_old",Ammortamento_Finanziario!$H:$L,5,FALSE),VLOOKUP($M23,TT_Tabelle_Riferimento!$H$31:$I$50,2,FALSE))</f>
        <v>60</v>
      </c>
      <c r="DX23" s="1750">
        <f>+IFERROR(VLOOKUP(DX$6&amp;"-"&amp;$M23&amp;"_old",Ammortamento_Finanziario!$H:$L,5,FALSE),VLOOKUP($M23,TT_Tabelle_Riferimento!$H$31:$I$50,2,FALSE))</f>
        <v>60</v>
      </c>
      <c r="DY23" s="1750">
        <f>+IFERROR(VLOOKUP(DY$6&amp;"-"&amp;$M23&amp;"_old",Ammortamento_Finanziario!$H:$L,5,FALSE),VLOOKUP($M23,TT_Tabelle_Riferimento!$H$31:$I$50,2,FALSE))</f>
        <v>60</v>
      </c>
      <c r="DZ23" s="1750">
        <f>+IFERROR(VLOOKUP(DZ$6&amp;"-"&amp;$M23&amp;"_old",Ammortamento_Finanziario!$H:$L,5,FALSE),VLOOKUP($M23,TT_Tabelle_Riferimento!$H$31:$I$50,2,FALSE))</f>
        <v>60</v>
      </c>
      <c r="EA23" s="1750">
        <f>+IFERROR(VLOOKUP(EA$6&amp;"-"&amp;$M23&amp;"_old",Ammortamento_Finanziario!$H:$L,5,FALSE),VLOOKUP($M23,TT_Tabelle_Riferimento!$H$31:$I$50,2,FALSE))</f>
        <v>60</v>
      </c>
      <c r="EB23" s="1750">
        <f>+IFERROR(VLOOKUP(EB$6&amp;"-"&amp;$M23&amp;"_old",Ammortamento_Finanziario!$H:$L,5,FALSE),VLOOKUP($M23,TT_Tabelle_Riferimento!$H$31:$I$50,2,FALSE))</f>
        <v>60</v>
      </c>
      <c r="EC23" s="1750">
        <f>+IFERROR(VLOOKUP(EC$6&amp;"-"&amp;$M23&amp;"_old",Ammortamento_Finanziario!$H:$L,5,FALSE),VLOOKUP($M23,TT_Tabelle_Riferimento!$H$31:$I$50,2,FALSE))</f>
        <v>60</v>
      </c>
      <c r="ED23" s="636">
        <f>+IFERROR(VLOOKUP(ED$6&amp;"-"&amp;$M23&amp;"_old",Ammortamento_Finanziario!$H:$L,5,FALSE),VLOOKUP($M23,TT_Tabelle_Riferimento!$H$31:$I$50,2,FALSE))</f>
        <v>60</v>
      </c>
      <c r="EE23" s="636">
        <f>+IFERROR(VLOOKUP(EE$6&amp;"-"&amp;$M23&amp;"_old",Ammortamento_Finanziario!$H:$L,5,FALSE),VLOOKUP($M23,TT_Tabelle_Riferimento!$H$31:$I$50,2,FALSE))</f>
        <v>60</v>
      </c>
      <c r="EF23" s="636">
        <f>+IFERROR(VLOOKUP(EF$6&amp;"-"&amp;$M23&amp;"_old",Ammortamento_Finanziario!$H:$L,5,FALSE),VLOOKUP($M23,TT_Tabelle_Riferimento!$H$31:$I$50,2,FALSE))</f>
        <v>60</v>
      </c>
      <c r="EG23" s="636">
        <f>+IFERROR(VLOOKUP(EG$6&amp;"-"&amp;$M23&amp;"_old",Ammortamento_Finanziario!$H:$L,5,FALSE),VLOOKUP($M23,TT_Tabelle_Riferimento!$H$31:$I$50,2,FALSE))</f>
        <v>60</v>
      </c>
      <c r="EH23" s="636">
        <f>+IFERROR(VLOOKUP(EH$6&amp;"-"&amp;$M23&amp;"_old",Ammortamento_Finanziario!$H:$L,5,FALSE),VLOOKUP($M23,TT_Tabelle_Riferimento!$H$31:$I$50,2,FALSE))</f>
        <v>60</v>
      </c>
      <c r="EI23" s="636">
        <f>+IFERROR(VLOOKUP(EI$6&amp;"-"&amp;$M23&amp;"_old",Ammortamento_Finanziario!$H:$L,5,FALSE),VLOOKUP($M23,TT_Tabelle_Riferimento!$H$31:$I$50,2,FALSE))</f>
        <v>60</v>
      </c>
      <c r="EJ23" s="636">
        <f>+IFERROR(VLOOKUP(EJ$6&amp;"-"&amp;$M23&amp;"_old",Ammortamento_Finanziario!$H:$L,5,FALSE),VLOOKUP($M23,TT_Tabelle_Riferimento!$H$31:$I$50,2,FALSE))</f>
        <v>60</v>
      </c>
      <c r="EK23" s="636">
        <f>+IFERROR(VLOOKUP(EK$6&amp;"-"&amp;$M23&amp;"_old",Ammortamento_Finanziario!$H:$L,5,FALSE),VLOOKUP($M23,TT_Tabelle_Riferimento!$H$31:$I$50,2,FALSE))</f>
        <v>60</v>
      </c>
      <c r="EL23" s="636">
        <f>+IFERROR(VLOOKUP(EL$6&amp;"-"&amp;$M23&amp;"_old",Ammortamento_Finanziario!$H:$L,5,FALSE),VLOOKUP($M23,TT_Tabelle_Riferimento!$H$31:$I$50,2,FALSE))</f>
        <v>60</v>
      </c>
      <c r="EM23" s="636">
        <f>+IFERROR(VLOOKUP(EM$6&amp;"-"&amp;$M23&amp;"_old",Ammortamento_Finanziario!$H:$L,5,FALSE),VLOOKUP($M23,TT_Tabelle_Riferimento!$H$31:$I$50,2,FALSE))</f>
        <v>60</v>
      </c>
      <c r="EN23" s="636">
        <f>+IFERROR(VLOOKUP(EN$6&amp;"-"&amp;$M23&amp;"_old",Ammortamento_Finanziario!$H:$L,5,FALSE),VLOOKUP($M23,TT_Tabelle_Riferimento!$H$31:$I$50,2,FALSE))</f>
        <v>60</v>
      </c>
      <c r="EO23" s="636">
        <f>+IFERROR(VLOOKUP(EO$6&amp;"-"&amp;$M23&amp;"_old",Ammortamento_Finanziario!$H:$L,5,FALSE),VLOOKUP($M23,TT_Tabelle_Riferimento!$H$31:$I$50,2,FALSE))</f>
        <v>60</v>
      </c>
      <c r="EP23" s="636">
        <f>+IFERROR(VLOOKUP(EP$6&amp;"-"&amp;$M23&amp;"_old",Ammortamento_Finanziario!$H:$L,5,FALSE),VLOOKUP($M23,TT_Tabelle_Riferimento!$H$31:$I$50,2,FALSE))</f>
        <v>60</v>
      </c>
      <c r="EQ23" s="636">
        <f>+IFERROR(VLOOKUP(EQ$6&amp;"-"&amp;$M23&amp;"_old",Ammortamento_Finanziario!$H:$L,5,FALSE),VLOOKUP($M23,TT_Tabelle_Riferimento!$H$31:$I$50,2,FALSE))</f>
        <v>60</v>
      </c>
      <c r="ER23" s="636">
        <f>+IFERROR(VLOOKUP(ER$6&amp;"-"&amp;$M23&amp;"_old",Ammortamento_Finanziario!$H:$L,5,FALSE),VLOOKUP($M23,TT_Tabelle_Riferimento!$H$31:$I$50,2,FALSE))</f>
        <v>60</v>
      </c>
      <c r="ES23" s="636">
        <f>+IFERROR(VLOOKUP(ES$6&amp;"-"&amp;$M23&amp;"_old",Ammortamento_Finanziario!$H:$L,5,FALSE),VLOOKUP($M23,TT_Tabelle_Riferimento!$H$31:$I$50,2,FALSE))</f>
        <v>60</v>
      </c>
      <c r="ET23" s="636">
        <f>+IFERROR(VLOOKUP(ET$6&amp;"-"&amp;$M23&amp;"_old",Ammortamento_Finanziario!$H:$L,5,FALSE),VLOOKUP($M23,TT_Tabelle_Riferimento!$H$31:$I$50,2,FALSE))</f>
        <v>60</v>
      </c>
      <c r="EU23" s="636">
        <f>+IFERROR(VLOOKUP(EU$6&amp;"-"&amp;$M23&amp;"_old",Ammortamento_Finanziario!$H:$L,5,FALSE),VLOOKUP($M23,TT_Tabelle_Riferimento!$H$31:$I$50,2,FALSE))</f>
        <v>60</v>
      </c>
      <c r="EV23" s="636">
        <f>+IFERROR(VLOOKUP(EV$6&amp;"-"&amp;$M23&amp;"_old",Ammortamento_Finanziario!$H:$L,5,FALSE),VLOOKUP($M23,TT_Tabelle_Riferimento!$H$31:$I$50,2,FALSE))</f>
        <v>60</v>
      </c>
      <c r="EW23" s="1048">
        <f>+IFERROR(VLOOKUP(EW$6&amp;"-"&amp;$M23&amp;"_old",Ammortamento_Finanziario!$H:$L,5,FALSE),VLOOKUP($M23,TT_Tabelle_Riferimento!$H$31:$I$50,2,FALSE))</f>
        <v>60</v>
      </c>
      <c r="EX23" s="1048">
        <f>+IFERROR(VLOOKUP(EX$6&amp;"-"&amp;$M23&amp;"_old",Ammortamento_Finanziario!$H:$L,5,FALSE),VLOOKUP($M23,TT_Tabelle_Riferimento!$H$31:$I$50,2,FALSE))</f>
        <v>60</v>
      </c>
      <c r="EY23" s="1048">
        <f>+IFERROR(VLOOKUP(EY$6&amp;"-"&amp;$M23&amp;"_old",Ammortamento_Finanziario!$H:$L,5,FALSE),VLOOKUP($M23,TT_Tabelle_Riferimento!$H$31:$I$50,2,FALSE))</f>
        <v>60</v>
      </c>
      <c r="EZ23" s="1048">
        <f>+IFERROR(VLOOKUP(EZ$6&amp;"-"&amp;$M23&amp;"_old",Ammortamento_Finanziario!$H:$L,5,FALSE),VLOOKUP($M23,TT_Tabelle_Riferimento!$H$31:$I$50,2,FALSE))</f>
        <v>60</v>
      </c>
      <c r="FA23" s="1048">
        <f>+IFERROR(VLOOKUP(FA$6&amp;"-"&amp;$M23&amp;"_old",Ammortamento_Finanziario!$H:$L,5,FALSE),VLOOKUP($M23,TT_Tabelle_Riferimento!$H$31:$I$50,2,FALSE))</f>
        <v>60</v>
      </c>
      <c r="FB23" s="1743">
        <f>+IFERROR(VLOOKUP(FB$6&amp;"-"&amp;$M23&amp;"_old",Ammortamento_Finanziario!$H:$L,5,FALSE),VLOOKUP($M23,TT_Tabelle_Riferimento!$H$31:$I$50,2,FALSE))</f>
        <v>60</v>
      </c>
      <c r="FC23" s="1743">
        <f>+IFERROR(VLOOKUP(FC$6&amp;"-"&amp;$M23&amp;"_old",Ammortamento_Finanziario!$H:$L,5,FALSE),VLOOKUP($M23,TT_Tabelle_Riferimento!$H$31:$I$50,2,FALSE))</f>
        <v>60</v>
      </c>
      <c r="FD23" s="1751">
        <f>+IFERROR(VLOOKUP(FD$6&amp;"-"&amp;$M23&amp;"_old",Ammortamento_Finanziario!$H:$L,5,FALSE),VLOOKUP($M23,TT_Tabelle_Riferimento!$H$31:$I$50,2,FALSE))</f>
        <v>60</v>
      </c>
      <c r="FE23" s="1751">
        <f>+IFERROR(VLOOKUP(FE$6&amp;"-"&amp;$M23&amp;"_old",Ammortamento_Finanziario!$H:$L,5,FALSE),VLOOKUP($M23,TT_Tabelle_Riferimento!$H$31:$I$50,2,FALSE))</f>
        <v>60</v>
      </c>
      <c r="FF23" s="1751">
        <f>+IFERROR(VLOOKUP(FF$6&amp;"-"&amp;$M23&amp;"_old",Ammortamento_Finanziario!$H:$L,5,FALSE),VLOOKUP($M23,TT_Tabelle_Riferimento!$H$31:$I$50,2,FALSE))</f>
        <v>60</v>
      </c>
      <c r="FG23" s="1751">
        <f>+IFERROR(VLOOKUP(FG$6&amp;"-"&amp;$M23&amp;"_old",Ammortamento_Finanziario!$H:$L,5,FALSE),VLOOKUP($M23,TT_Tabelle_Riferimento!$H$31:$I$50,2,FALSE))</f>
        <v>60</v>
      </c>
      <c r="FH23" s="1751">
        <f>+IFERROR(VLOOKUP(FH$6&amp;"-"&amp;$M23&amp;"_old",Ammortamento_Finanziario!$H:$L,5,FALSE),VLOOKUP($M23,TT_Tabelle_Riferimento!$H$31:$I$50,2,FALSE))</f>
        <v>60</v>
      </c>
      <c r="FI23" s="1751">
        <f>+IFERROR(VLOOKUP(FI$6&amp;"-"&amp;$M23&amp;"_old",Ammortamento_Finanziario!$H:$L,5,FALSE),VLOOKUP($M23,TT_Tabelle_Riferimento!$H$31:$I$50,2,FALSE))</f>
        <v>60</v>
      </c>
      <c r="FJ23" s="629">
        <f>+IFERROR(VLOOKUP(FJ$6&amp;"-"&amp;$M23&amp;"_old",Ammortamento_Finanziario!$H:$L,5,FALSE),VLOOKUP($M23,TT_Tabelle_Riferimento!$H$31:$I$50,2,FALSE))</f>
        <v>60</v>
      </c>
      <c r="FK23" s="629">
        <f>+IFERROR(VLOOKUP(FK$6&amp;"-"&amp;$M23&amp;"_old",Ammortamento_Finanziario!$H:$L,5,FALSE),VLOOKUP($M23,TT_Tabelle_Riferimento!$H$31:$I$50,2,FALSE))</f>
        <v>60</v>
      </c>
      <c r="FL23" s="629">
        <f>+IFERROR(VLOOKUP(FL$6&amp;"-"&amp;$M23&amp;"_old",Ammortamento_Finanziario!$H:$L,5,FALSE),VLOOKUP($M23,TT_Tabelle_Riferimento!$H$31:$I$50,2,FALSE))</f>
        <v>60</v>
      </c>
      <c r="FM23" s="629">
        <f>+IFERROR(VLOOKUP(FM$6&amp;"-"&amp;$M23&amp;"_old",Ammortamento_Finanziario!$H:$L,5,FALSE),VLOOKUP($M23,TT_Tabelle_Riferimento!$H$31:$I$50,2,FALSE))</f>
        <v>60</v>
      </c>
      <c r="FN23" s="629">
        <f>+IFERROR(VLOOKUP(FN$6&amp;"-"&amp;$M23&amp;"_old",Ammortamento_Finanziario!$H:$L,5,FALSE),VLOOKUP($M23,TT_Tabelle_Riferimento!$H$31:$I$50,2,FALSE))</f>
        <v>60</v>
      </c>
      <c r="FO23" s="629">
        <f>+IFERROR(VLOOKUP(FO$6&amp;"-"&amp;$M23&amp;"_old",Ammortamento_Finanziario!$H:$L,5,FALSE),VLOOKUP($M23,TT_Tabelle_Riferimento!$H$31:$I$50,2,FALSE))</f>
        <v>60</v>
      </c>
      <c r="FP23" s="629">
        <f>+IFERROR(VLOOKUP(FP$6&amp;"-"&amp;$M23&amp;"_old",Ammortamento_Finanziario!$H:$L,5,FALSE),VLOOKUP($M23,TT_Tabelle_Riferimento!$H$31:$I$50,2,FALSE))</f>
        <v>60</v>
      </c>
      <c r="FQ23" s="629">
        <f>+IFERROR(VLOOKUP(FQ$6&amp;"-"&amp;$M23&amp;"_old",Ammortamento_Finanziario!$H:$L,5,FALSE),VLOOKUP($M23,TT_Tabelle_Riferimento!$H$31:$I$50,2,FALSE))</f>
        <v>60</v>
      </c>
      <c r="FR23" s="629">
        <f>+IFERROR(VLOOKUP(FR$6&amp;"-"&amp;$M23&amp;"_old",Ammortamento_Finanziario!$H:$L,5,FALSE),VLOOKUP($M23,TT_Tabelle_Riferimento!$H$31:$I$50,2,FALSE))</f>
        <v>60</v>
      </c>
      <c r="FS23" s="629">
        <f>+IFERROR(VLOOKUP(FS$6&amp;"-"&amp;$M23&amp;"_old",Ammortamento_Finanziario!$H:$L,5,FALSE),VLOOKUP($M23,TT_Tabelle_Riferimento!$H$31:$I$50,2,FALSE))</f>
        <v>60</v>
      </c>
      <c r="FT23" s="629">
        <f>+IFERROR(VLOOKUP(FT$6&amp;"-"&amp;$M23&amp;"_old",Ammortamento_Finanziario!$H:$L,5,FALSE),VLOOKUP($M23,TT_Tabelle_Riferimento!$H$31:$I$50,2,FALSE))</f>
        <v>60</v>
      </c>
      <c r="FU23" s="629">
        <f>+IFERROR(VLOOKUP(FU$6&amp;"-"&amp;$M23&amp;"_old",Ammortamento_Finanziario!$H:$L,5,FALSE),VLOOKUP($M23,TT_Tabelle_Riferimento!$H$31:$I$50,2,FALSE))</f>
        <v>60</v>
      </c>
      <c r="FV23" s="629">
        <f>+IFERROR(VLOOKUP(FV$6&amp;"-"&amp;$M23&amp;"_old",Ammortamento_Finanziario!$H:$L,5,FALSE),VLOOKUP($M23,TT_Tabelle_Riferimento!$H$31:$I$50,2,FALSE))</f>
        <v>60</v>
      </c>
      <c r="FW23" s="629">
        <f>+IFERROR(VLOOKUP(FW$6&amp;"-"&amp;$M23&amp;"_old",Ammortamento_Finanziario!$H:$L,5,FALSE),VLOOKUP($M23,TT_Tabelle_Riferimento!$H$31:$I$50,2,FALSE))</f>
        <v>60</v>
      </c>
      <c r="FX23" s="629">
        <f>+IFERROR(VLOOKUP(FX$6&amp;"-"&amp;$M23&amp;"_old",Ammortamento_Finanziario!$H:$L,5,FALSE),VLOOKUP($M23,TT_Tabelle_Riferimento!$H$31:$I$50,2,FALSE))</f>
        <v>60</v>
      </c>
      <c r="FY23" s="629">
        <f>+IFERROR(VLOOKUP(FY$6&amp;"-"&amp;$M23&amp;"_old",Ammortamento_Finanziario!$H:$L,5,FALSE),VLOOKUP($M23,TT_Tabelle_Riferimento!$H$31:$I$50,2,FALSE))</f>
        <v>60</v>
      </c>
      <c r="FZ23" s="629">
        <f>+IFERROR(VLOOKUP(FZ$6&amp;"-"&amp;$M23&amp;"_old",Ammortamento_Finanziario!$H:$L,5,FALSE),VLOOKUP($M23,TT_Tabelle_Riferimento!$H$31:$I$50,2,FALSE))</f>
        <v>60</v>
      </c>
      <c r="GA23" s="629">
        <f>+IFERROR(VLOOKUP(GA$6&amp;"-"&amp;$M23&amp;"_old",Ammortamento_Finanziario!$H:$L,5,FALSE),VLOOKUP($M23,TT_Tabelle_Riferimento!$H$31:$I$50,2,FALSE))</f>
        <v>60</v>
      </c>
      <c r="GB23" s="629">
        <f>+IFERROR(VLOOKUP(GB$6&amp;"-"&amp;$M23&amp;"_old",Ammortamento_Finanziario!$H:$L,5,FALSE),VLOOKUP($M23,TT_Tabelle_Riferimento!$H$31:$I$50,2,FALSE))</f>
        <v>60</v>
      </c>
      <c r="GC23" s="635">
        <f>+IFERROR(VLOOKUP(GC$6&amp;"-"&amp;$M23&amp;"_old",Ammortamento_Finanziario!$H:$L,5,FALSE),VLOOKUP($M23,TT_Tabelle_Riferimento!$H$31:$I$50,2,FALSE))</f>
        <v>60</v>
      </c>
      <c r="GD23" s="635">
        <f>+IFERROR(VLOOKUP(GD$6&amp;"-"&amp;$M23&amp;"_old",Ammortamento_Finanziario!$H:$L,5,FALSE),VLOOKUP($M23,TT_Tabelle_Riferimento!$H$31:$I$50,2,FALSE))</f>
        <v>60</v>
      </c>
      <c r="GE23" s="635">
        <f>+IFERROR(VLOOKUP(GE$6&amp;"-"&amp;$M23&amp;"_old",Ammortamento_Finanziario!$H:$L,5,FALSE),VLOOKUP($M23,TT_Tabelle_Riferimento!$H$31:$I$50,2,FALSE))</f>
        <v>60</v>
      </c>
      <c r="GF23" s="635">
        <f>+IFERROR(VLOOKUP(GF$6&amp;"-"&amp;$M23&amp;"_old",Ammortamento_Finanziario!$H:$L,5,FALSE),VLOOKUP($M23,TT_Tabelle_Riferimento!$H$31:$I$50,2,FALSE))</f>
        <v>60</v>
      </c>
      <c r="GG23" s="1744">
        <f>+IFERROR(VLOOKUP(GG$6&amp;"-"&amp;$M23&amp;"_old",Ammortamento_Finanziario!$H:$L,5,FALSE),VLOOKUP($M23,TT_Tabelle_Riferimento!$H$31:$I$50,2,FALSE))</f>
        <v>60</v>
      </c>
      <c r="GH23" s="1744">
        <f>+IFERROR(VLOOKUP(GH$6&amp;"-"&amp;$M23&amp;"_old",Ammortamento_Finanziario!$H:$L,5,FALSE),VLOOKUP($M23,TT_Tabelle_Riferimento!$H$31:$I$50,2,FALSE))</f>
        <v>60</v>
      </c>
      <c r="GI23" s="1752">
        <f>+IFERROR(VLOOKUP(GI$6&amp;"-"&amp;$M23&amp;"_old",Ammortamento_Finanziario!$H:$L,5,FALSE),VLOOKUP($M23,TT_Tabelle_Riferimento!$H$31:$I$50,2,FALSE))</f>
        <v>60</v>
      </c>
      <c r="GJ23" s="1752">
        <f>+IFERROR(VLOOKUP(GJ$6&amp;"-"&amp;$M23&amp;"_old",Ammortamento_Finanziario!$H:$L,5,FALSE),VLOOKUP($M23,TT_Tabelle_Riferimento!$H$31:$I$50,2,FALSE))</f>
        <v>60</v>
      </c>
      <c r="GK23" s="1752">
        <f>+IFERROR(VLOOKUP(GK$6&amp;"-"&amp;$M23&amp;"_old",Ammortamento_Finanziario!$H:$L,5,FALSE),VLOOKUP($M23,TT_Tabelle_Riferimento!$H$31:$I$50,2,FALSE))</f>
        <v>60</v>
      </c>
      <c r="GL23" s="1752">
        <f>+IFERROR(VLOOKUP(GL$6&amp;"-"&amp;$M23&amp;"_old",Ammortamento_Finanziario!$H:$L,5,FALSE),VLOOKUP($M23,TT_Tabelle_Riferimento!$H$31:$I$50,2,FALSE))</f>
        <v>60</v>
      </c>
      <c r="GM23" s="1752">
        <f>+IFERROR(VLOOKUP(GM$6&amp;"-"&amp;$M23&amp;"_old",Ammortamento_Finanziario!$H:$L,5,FALSE),VLOOKUP($M23,TT_Tabelle_Riferimento!$H$31:$I$50,2,FALSE))</f>
        <v>60</v>
      </c>
      <c r="GN23" s="1752">
        <f>+IFERROR(VLOOKUP(GN$6&amp;"-"&amp;$M23&amp;"_old",Ammortamento_Finanziario!$H:$L,5,FALSE),VLOOKUP($M23,TT_Tabelle_Riferimento!$H$31:$I$50,2,FALSE))</f>
        <v>60</v>
      </c>
      <c r="GO23" s="628">
        <f>+IFERROR(VLOOKUP(GO$6&amp;"-"&amp;$M23&amp;"_old",Ammortamento_Finanziario!$H:$L,5,FALSE),VLOOKUP($M23,TT_Tabelle_Riferimento!$H$31:$I$50,2,FALSE))</f>
        <v>60</v>
      </c>
      <c r="GP23" s="628">
        <f>+IFERROR(VLOOKUP(GP$6&amp;"-"&amp;$M23&amp;"_old",Ammortamento_Finanziario!$H:$L,5,FALSE),VLOOKUP($M23,TT_Tabelle_Riferimento!$H$31:$I$50,2,FALSE))</f>
        <v>60</v>
      </c>
      <c r="GQ23" s="628">
        <f>+IFERROR(VLOOKUP(GQ$6&amp;"-"&amp;$M23&amp;"_old",Ammortamento_Finanziario!$H:$L,5,FALSE),VLOOKUP($M23,TT_Tabelle_Riferimento!$H$31:$I$50,2,FALSE))</f>
        <v>60</v>
      </c>
      <c r="GR23" s="628">
        <f>+IFERROR(VLOOKUP(GR$6&amp;"-"&amp;$M23&amp;"_old",Ammortamento_Finanziario!$H:$L,5,FALSE),VLOOKUP($M23,TT_Tabelle_Riferimento!$H$31:$I$50,2,FALSE))</f>
        <v>60</v>
      </c>
      <c r="GS23" s="628">
        <f>+IFERROR(VLOOKUP(GS$6&amp;"-"&amp;$M23&amp;"_old",Ammortamento_Finanziario!$H:$L,5,FALSE),VLOOKUP($M23,TT_Tabelle_Riferimento!$H$31:$I$50,2,FALSE))</f>
        <v>60</v>
      </c>
      <c r="GT23" s="628">
        <f>+IFERROR(VLOOKUP(GT$6&amp;"-"&amp;$M23&amp;"_old",Ammortamento_Finanziario!$H:$L,5,FALSE),VLOOKUP($M23,TT_Tabelle_Riferimento!$H$31:$I$50,2,FALSE))</f>
        <v>60</v>
      </c>
      <c r="GU23" s="628">
        <f>+IFERROR(VLOOKUP(GU$6&amp;"-"&amp;$M23&amp;"_old",Ammortamento_Finanziario!$H:$L,5,FALSE),VLOOKUP($M23,TT_Tabelle_Riferimento!$H$31:$I$50,2,FALSE))</f>
        <v>60</v>
      </c>
      <c r="GV23" s="628">
        <f>+IFERROR(VLOOKUP(GV$6&amp;"-"&amp;$M23&amp;"_old",Ammortamento_Finanziario!$H:$L,5,FALSE),VLOOKUP($M23,TT_Tabelle_Riferimento!$H$31:$I$50,2,FALSE))</f>
        <v>60</v>
      </c>
      <c r="GW23" s="628">
        <f>+IFERROR(VLOOKUP(GW$6&amp;"-"&amp;$M23&amp;"_old",Ammortamento_Finanziario!$H:$L,5,FALSE),VLOOKUP($M23,TT_Tabelle_Riferimento!$H$31:$I$50,2,FALSE))</f>
        <v>60</v>
      </c>
      <c r="GX23" s="628">
        <f>+IFERROR(VLOOKUP(GX$6&amp;"-"&amp;$M23&amp;"_old",Ammortamento_Finanziario!$H:$L,5,FALSE),VLOOKUP($M23,TT_Tabelle_Riferimento!$H$31:$I$50,2,FALSE))</f>
        <v>60</v>
      </c>
      <c r="GY23" s="628">
        <f>+IFERROR(VLOOKUP(GY$6&amp;"-"&amp;$M23&amp;"_old",Ammortamento_Finanziario!$H:$L,5,FALSE),VLOOKUP($M23,TT_Tabelle_Riferimento!$H$31:$I$50,2,FALSE))</f>
        <v>60</v>
      </c>
      <c r="GZ23" s="628">
        <f>+IFERROR(VLOOKUP(GZ$6&amp;"-"&amp;$M23&amp;"_old",Ammortamento_Finanziario!$H:$L,5,FALSE),VLOOKUP($M23,TT_Tabelle_Riferimento!$H$31:$I$50,2,FALSE))</f>
        <v>60</v>
      </c>
      <c r="HA23" s="628">
        <f>+IFERROR(VLOOKUP(HA$6&amp;"-"&amp;$M23&amp;"_old",Ammortamento_Finanziario!$H:$L,5,FALSE),VLOOKUP($M23,TT_Tabelle_Riferimento!$H$31:$I$50,2,FALSE))</f>
        <v>60</v>
      </c>
      <c r="HB23" s="628">
        <f>+IFERROR(VLOOKUP(HB$6&amp;"-"&amp;$M23&amp;"_old",Ammortamento_Finanziario!$H:$L,5,FALSE),VLOOKUP($M23,TT_Tabelle_Riferimento!$H$31:$I$50,2,FALSE))</f>
        <v>60</v>
      </c>
      <c r="HC23" s="628">
        <f>+IFERROR(VLOOKUP(HC$6&amp;"-"&amp;$M23&amp;"_old",Ammortamento_Finanziario!$H:$L,5,FALSE),VLOOKUP($M23,TT_Tabelle_Riferimento!$H$31:$I$50,2,FALSE))</f>
        <v>60</v>
      </c>
      <c r="HD23" s="628">
        <f>+IFERROR(VLOOKUP(HD$6&amp;"-"&amp;$M23&amp;"_old",Ammortamento_Finanziario!$H:$L,5,FALSE),VLOOKUP($M23,TT_Tabelle_Riferimento!$H$31:$I$50,2,FALSE))</f>
        <v>60</v>
      </c>
      <c r="HE23" s="628">
        <f>+IFERROR(VLOOKUP(HE$6&amp;"-"&amp;$M23&amp;"_old",Ammortamento_Finanziario!$H:$L,5,FALSE),VLOOKUP($M23,TT_Tabelle_Riferimento!$H$31:$I$50,2,FALSE))</f>
        <v>60</v>
      </c>
      <c r="HF23" s="628">
        <f>+IFERROR(VLOOKUP(HF$6&amp;"-"&amp;$M23&amp;"_old",Ammortamento_Finanziario!$H:$L,5,FALSE),VLOOKUP($M23,TT_Tabelle_Riferimento!$H$31:$I$50,2,FALSE))</f>
        <v>60</v>
      </c>
      <c r="HG23" s="628">
        <f>+IFERROR(VLOOKUP(HG$6&amp;"-"&amp;$M23&amp;"_old",Ammortamento_Finanziario!$H:$L,5,FALSE),VLOOKUP($M23,TT_Tabelle_Riferimento!$H$31:$I$50,2,FALSE))</f>
        <v>60</v>
      </c>
      <c r="HH23" s="422">
        <f>+IFERROR(VLOOKUP(HH$6&amp;"-"&amp;$M23&amp;"_old",Ammortamento_Finanziario!$H:$L,5,FALSE),VLOOKUP($M23,TT_Tabelle_Riferimento!$H$31:$I$50,2,FALSE))</f>
        <v>60</v>
      </c>
      <c r="HI23" s="422">
        <f>+IFERROR(VLOOKUP(HI$6&amp;"-"&amp;$M23&amp;"_old",Ammortamento_Finanziario!$H:$L,5,FALSE),VLOOKUP($M23,TT_Tabelle_Riferimento!$H$31:$I$50,2,FALSE))</f>
        <v>60</v>
      </c>
      <c r="HJ23" s="422">
        <f>+IFERROR(VLOOKUP(HJ$6&amp;"-"&amp;$M23&amp;"_old",Ammortamento_Finanziario!$H:$L,5,FALSE),VLOOKUP($M23,TT_Tabelle_Riferimento!$H$31:$I$50,2,FALSE))</f>
        <v>60</v>
      </c>
      <c r="HK23" s="1746">
        <f>+IFERROR(VLOOKUP(HK$6&amp;"-"&amp;$M23&amp;"_old",Ammortamento_Finanziario!$H:$L,5,FALSE),VLOOKUP($M23,TT_Tabelle_Riferimento!$H$31:$I$50,2,FALSE))</f>
        <v>60</v>
      </c>
      <c r="HL23" s="1746">
        <f>+IFERROR(VLOOKUP(HL$6&amp;"-"&amp;$M23&amp;"_old",Ammortamento_Finanziario!$H:$L,5,FALSE),VLOOKUP($M23,TT_Tabelle_Riferimento!$H$31:$I$50,2,FALSE))</f>
        <v>60</v>
      </c>
      <c r="HM23" s="1753">
        <f>+IFERROR(VLOOKUP(HM$6&amp;"-"&amp;$M23&amp;"_old",Ammortamento_Finanziario!$H:$L,5,FALSE),VLOOKUP($M23,TT_Tabelle_Riferimento!$H$31:$I$50,2,FALSE))</f>
        <v>60</v>
      </c>
      <c r="HN23" s="1753">
        <f>+IFERROR(VLOOKUP(HN$6&amp;"-"&amp;$M23&amp;"_old",Ammortamento_Finanziario!$H:$L,5,FALSE),VLOOKUP($M23,TT_Tabelle_Riferimento!$H$31:$I$50,2,FALSE))</f>
        <v>60</v>
      </c>
      <c r="HO23" s="1753">
        <f>+IFERROR(VLOOKUP(HO$6&amp;"-"&amp;$M23&amp;"_old",Ammortamento_Finanziario!$H:$L,5,FALSE),VLOOKUP($M23,TT_Tabelle_Riferimento!$H$31:$I$50,2,FALSE))</f>
        <v>60</v>
      </c>
      <c r="HP23" s="1753">
        <f>+IFERROR(VLOOKUP(HP$6&amp;"-"&amp;$M23&amp;"_old",Ammortamento_Finanziario!$H:$L,5,FALSE),VLOOKUP($M23,TT_Tabelle_Riferimento!$H$31:$I$50,2,FALSE))</f>
        <v>60</v>
      </c>
      <c r="HQ23" s="1753">
        <f>+IFERROR(VLOOKUP(HQ$6&amp;"-"&amp;$M23&amp;"_old",Ammortamento_Finanziario!$H:$L,5,FALSE),VLOOKUP($M23,TT_Tabelle_Riferimento!$H$31:$I$50,2,FALSE))</f>
        <v>60</v>
      </c>
      <c r="HR23" s="1753">
        <f>+IFERROR(VLOOKUP(HR$6&amp;"-"&amp;$M23&amp;"_old",Ammortamento_Finanziario!$H:$L,5,FALSE),VLOOKUP($M23,TT_Tabelle_Riferimento!$H$31:$I$50,2,FALSE))</f>
        <v>60</v>
      </c>
      <c r="HS23" s="422">
        <f>+IFERROR(VLOOKUP(HS$6&amp;"-"&amp;$M23&amp;"_old",Ammortamento_Finanziario!$H:$L,5,FALSE),VLOOKUP($M23,TT_Tabelle_Riferimento!$H$31:$I$50,2,FALSE))</f>
        <v>60</v>
      </c>
      <c r="HT23" s="422">
        <f>+IFERROR(VLOOKUP(HT$6&amp;"-"&amp;$M23&amp;"_old",Ammortamento_Finanziario!$H:$L,5,FALSE),VLOOKUP($M23,TT_Tabelle_Riferimento!$H$31:$I$50,2,FALSE))</f>
        <v>60</v>
      </c>
      <c r="HU23" s="422">
        <f>+IFERROR(VLOOKUP(HU$6&amp;"-"&amp;$M23&amp;"_old",Ammortamento_Finanziario!$H:$L,5,FALSE),VLOOKUP($M23,TT_Tabelle_Riferimento!$H$31:$I$50,2,FALSE))</f>
        <v>60</v>
      </c>
      <c r="HV23" s="422">
        <f>+IFERROR(VLOOKUP(HV$6&amp;"-"&amp;$M23&amp;"_old",Ammortamento_Finanziario!$H:$L,5,FALSE),VLOOKUP($M23,TT_Tabelle_Riferimento!$H$31:$I$50,2,FALSE))</f>
        <v>60</v>
      </c>
      <c r="HW23" s="422">
        <f>+IFERROR(VLOOKUP(HW$6&amp;"-"&amp;$M23&amp;"_old",Ammortamento_Finanziario!$H:$L,5,FALSE),VLOOKUP($M23,TT_Tabelle_Riferimento!$H$31:$I$50,2,FALSE))</f>
        <v>60</v>
      </c>
      <c r="HX23" s="422">
        <f>+IFERROR(VLOOKUP(HX$6&amp;"-"&amp;$M23&amp;"_old",Ammortamento_Finanziario!$H:$L,5,FALSE),VLOOKUP($M23,TT_Tabelle_Riferimento!$H$31:$I$50,2,FALSE))</f>
        <v>60</v>
      </c>
      <c r="HY23" s="422">
        <f>+IFERROR(VLOOKUP(HY$6&amp;"-"&amp;$M23&amp;"_old",Ammortamento_Finanziario!$H:$L,5,FALSE),VLOOKUP($M23,TT_Tabelle_Riferimento!$H$31:$I$50,2,FALSE))</f>
        <v>60</v>
      </c>
      <c r="HZ23" s="422">
        <f>+IFERROR(VLOOKUP(HZ$6&amp;"-"&amp;$M23&amp;"_old",Ammortamento_Finanziario!$H:$L,5,FALSE),VLOOKUP($M23,TT_Tabelle_Riferimento!$H$31:$I$50,2,FALSE))</f>
        <v>60</v>
      </c>
      <c r="IA23" s="422">
        <f>+IFERROR(VLOOKUP(IA$6&amp;"-"&amp;$M23&amp;"_old",Ammortamento_Finanziario!$H:$L,5,FALSE),VLOOKUP($M23,TT_Tabelle_Riferimento!$H$31:$I$50,2,FALSE))</f>
        <v>60</v>
      </c>
      <c r="IB23" s="422">
        <f>+IFERROR(VLOOKUP(IB$6&amp;"-"&amp;$M23&amp;"_old",Ammortamento_Finanziario!$H:$L,5,FALSE),VLOOKUP($M23,TT_Tabelle_Riferimento!$H$31:$I$50,2,FALSE))</f>
        <v>60</v>
      </c>
      <c r="IC23" s="422">
        <f>+IFERROR(VLOOKUP(IC$6&amp;"-"&amp;$M23&amp;"_old",Ammortamento_Finanziario!$H:$L,5,FALSE),VLOOKUP($M23,TT_Tabelle_Riferimento!$H$31:$I$50,2,FALSE))</f>
        <v>60</v>
      </c>
      <c r="ID23" s="422">
        <f>+IFERROR(VLOOKUP(ID$6&amp;"-"&amp;$M23&amp;"_old",Ammortamento_Finanziario!$H:$L,5,FALSE),VLOOKUP($M23,TT_Tabelle_Riferimento!$H$31:$I$50,2,FALSE))</f>
        <v>60</v>
      </c>
      <c r="IE23" s="422">
        <f>+IFERROR(VLOOKUP(IE$6&amp;"-"&amp;$M23&amp;"_old",Ammortamento_Finanziario!$H:$L,5,FALSE),VLOOKUP($M23,TT_Tabelle_Riferimento!$H$31:$I$50,2,FALSE))</f>
        <v>60</v>
      </c>
      <c r="IF23" s="422">
        <f>+IFERROR(VLOOKUP(IF$6&amp;"-"&amp;$M23&amp;"_old",Ammortamento_Finanziario!$H:$L,5,FALSE),VLOOKUP($M23,TT_Tabelle_Riferimento!$H$31:$I$50,2,FALSE))</f>
        <v>60</v>
      </c>
      <c r="IG23" s="422">
        <f>+IFERROR(VLOOKUP(IG$6&amp;"-"&amp;$M23&amp;"_old",Ammortamento_Finanziario!$H:$L,5,FALSE),VLOOKUP($M23,TT_Tabelle_Riferimento!$H$31:$I$50,2,FALSE))</f>
        <v>60</v>
      </c>
      <c r="IH23" s="422">
        <f>+IFERROR(VLOOKUP(IH$6&amp;"-"&amp;$M23&amp;"_old",Ammortamento_Finanziario!$H:$L,5,FALSE),VLOOKUP($M23,TT_Tabelle_Riferimento!$H$31:$I$50,2,FALSE))</f>
        <v>60</v>
      </c>
      <c r="II23" s="422">
        <f>+IFERROR(VLOOKUP(II$6&amp;"-"&amp;$M23&amp;"_old",Ammortamento_Finanziario!$H:$L,5,FALSE),VLOOKUP($M23,TT_Tabelle_Riferimento!$H$31:$I$50,2,FALSE))</f>
        <v>60</v>
      </c>
      <c r="IJ23" s="422">
        <f>+IFERROR(VLOOKUP(IJ$6&amp;"-"&amp;$M23&amp;"_old",Ammortamento_Finanziario!$H:$L,5,FALSE),VLOOKUP($M23,TT_Tabelle_Riferimento!$H$31:$I$50,2,FALSE))</f>
        <v>60</v>
      </c>
      <c r="IK23" s="422">
        <f>+IFERROR(VLOOKUP(IK$6&amp;"-"&amp;$M23&amp;"_old",Ammortamento_Finanziario!$H:$L,5,FALSE),VLOOKUP($M23,TT_Tabelle_Riferimento!$H$31:$I$50,2,FALSE))</f>
        <v>60</v>
      </c>
      <c r="IL23" s="1077">
        <f>+IFERROR(VLOOKUP(IL$6&amp;"-"&amp;$M23&amp;"_old",Ammortamento_Finanziario!$H:$L,5,FALSE),VLOOKUP($M23,TT_Tabelle_Riferimento!$H$31:$I$50,2,FALSE))</f>
        <v>60</v>
      </c>
      <c r="IM23" s="1077">
        <f>+IFERROR(VLOOKUP(IM$6&amp;"-"&amp;$M23&amp;"_old",Ammortamento_Finanziario!$H:$L,5,FALSE),VLOOKUP($M23,TT_Tabelle_Riferimento!$H$31:$I$50,2,FALSE))</f>
        <v>60</v>
      </c>
      <c r="IN23" s="1747">
        <f>+IFERROR(VLOOKUP(IN$6&amp;"-"&amp;$M23&amp;"_old",Ammortamento_Finanziario!$H:$L,5,FALSE),VLOOKUP($M23,TT_Tabelle_Riferimento!$H$31:$I$50,2,FALSE))</f>
        <v>60</v>
      </c>
      <c r="IO23" s="1747">
        <f>+IFERROR(VLOOKUP(IO$6&amp;"-"&amp;$M23&amp;"_old",Ammortamento_Finanziario!$H:$L,5,FALSE),VLOOKUP($M23,TT_Tabelle_Riferimento!$H$31:$I$50,2,FALSE))</f>
        <v>60</v>
      </c>
      <c r="IP23" s="1754">
        <f>+IFERROR(VLOOKUP(IP$6&amp;"-"&amp;$M23&amp;"_old",Ammortamento_Finanziario!$H:$L,5,FALSE),VLOOKUP($M23,TT_Tabelle_Riferimento!$H$31:$I$50,2,FALSE))</f>
        <v>60</v>
      </c>
      <c r="IQ23" s="1754">
        <f>+IFERROR(VLOOKUP(IQ$6&amp;"-"&amp;$M23&amp;"_old",Ammortamento_Finanziario!$H:$L,5,FALSE),VLOOKUP($M23,TT_Tabelle_Riferimento!$H$31:$I$50,2,FALSE))</f>
        <v>60</v>
      </c>
      <c r="IR23" s="1754">
        <f>+IFERROR(VLOOKUP(IR$6&amp;"-"&amp;$M23&amp;"_old",Ammortamento_Finanziario!$H:$L,5,FALSE),VLOOKUP($M23,TT_Tabelle_Riferimento!$H$31:$I$50,2,FALSE))</f>
        <v>60</v>
      </c>
      <c r="IS23" s="1754">
        <f>+IFERROR(VLOOKUP(IS$6&amp;"-"&amp;$M23&amp;"_old",Ammortamento_Finanziario!$H:$L,5,FALSE),VLOOKUP($M23,TT_Tabelle_Riferimento!$H$31:$I$50,2,FALSE))</f>
        <v>60</v>
      </c>
      <c r="IT23" s="1754">
        <f>+IFERROR(VLOOKUP(IT$6&amp;"-"&amp;$M23&amp;"_old",Ammortamento_Finanziario!$H:$L,5,FALSE),VLOOKUP($M23,TT_Tabelle_Riferimento!$H$31:$I$50,2,FALSE))</f>
        <v>60</v>
      </c>
      <c r="IU23" s="1754">
        <f>+IFERROR(VLOOKUP(IU$6&amp;"-"&amp;$M23&amp;"_old",Ammortamento_Finanziario!$H:$L,5,FALSE),VLOOKUP($M23,TT_Tabelle_Riferimento!$H$31:$I$50,2,FALSE))</f>
        <v>60</v>
      </c>
      <c r="IV23" s="1077">
        <f>+IFERROR(VLOOKUP(IV$6&amp;"-"&amp;$M23&amp;"_old",Ammortamento_Finanziario!$H:$L,5,FALSE),VLOOKUP($M23,TT_Tabelle_Riferimento!$H$31:$I$50,2,FALSE))</f>
        <v>60</v>
      </c>
      <c r="IW23" s="1077">
        <f>+IFERROR(VLOOKUP(IW$6&amp;"-"&amp;$M23&amp;"_old",Ammortamento_Finanziario!$H:$L,5,FALSE),VLOOKUP($M23,TT_Tabelle_Riferimento!$H$31:$I$50,2,FALSE))</f>
        <v>60</v>
      </c>
      <c r="IX23" s="1077">
        <f>+IFERROR(VLOOKUP(IX$6&amp;"-"&amp;$M23&amp;"_old",Ammortamento_Finanziario!$H:$L,5,FALSE),VLOOKUP($M23,TT_Tabelle_Riferimento!$H$31:$I$50,2,FALSE))</f>
        <v>60</v>
      </c>
      <c r="IY23" s="1077">
        <f>+IFERROR(VLOOKUP(IY$6&amp;"-"&amp;$M23&amp;"_old",Ammortamento_Finanziario!$H:$L,5,FALSE),VLOOKUP($M23,TT_Tabelle_Riferimento!$H$31:$I$50,2,FALSE))</f>
        <v>60</v>
      </c>
      <c r="IZ23" s="1077">
        <f>+IFERROR(VLOOKUP(IZ$6&amp;"-"&amp;$M23&amp;"_old",Ammortamento_Finanziario!$H:$L,5,FALSE),VLOOKUP($M23,TT_Tabelle_Riferimento!$H$31:$I$50,2,FALSE))</f>
        <v>60</v>
      </c>
      <c r="JA23" s="1077">
        <f>+IFERROR(VLOOKUP(JA$6&amp;"-"&amp;$M23&amp;"_old",Ammortamento_Finanziario!$H:$L,5,FALSE),VLOOKUP($M23,TT_Tabelle_Riferimento!$H$31:$I$50,2,FALSE))</f>
        <v>60</v>
      </c>
      <c r="JB23" s="1077">
        <f>+IFERROR(VLOOKUP(JB$6&amp;"-"&amp;$M23&amp;"_old",Ammortamento_Finanziario!$H:$L,5,FALSE),VLOOKUP($M23,TT_Tabelle_Riferimento!$H$31:$I$50,2,FALSE))</f>
        <v>60</v>
      </c>
      <c r="JC23" s="1077">
        <f>+IFERROR(VLOOKUP(JC$6&amp;"-"&amp;$M23&amp;"_old",Ammortamento_Finanziario!$H:$L,5,FALSE),VLOOKUP($M23,TT_Tabelle_Riferimento!$H$31:$I$50,2,FALSE))</f>
        <v>60</v>
      </c>
      <c r="JD23" s="1077">
        <f>+IFERROR(VLOOKUP(JD$6&amp;"-"&amp;$M23&amp;"_old",Ammortamento_Finanziario!$H:$L,5,FALSE),VLOOKUP($M23,TT_Tabelle_Riferimento!$H$31:$I$50,2,FALSE))</f>
        <v>60</v>
      </c>
      <c r="JE23" s="1077">
        <f>+IFERROR(VLOOKUP(JE$6&amp;"-"&amp;$M23&amp;"_old",Ammortamento_Finanziario!$H:$L,5,FALSE),VLOOKUP($M23,TT_Tabelle_Riferimento!$H$31:$I$50,2,FALSE))</f>
        <v>60</v>
      </c>
      <c r="JF23" s="1077">
        <f>+IFERROR(VLOOKUP(JF$6&amp;"-"&amp;$M23&amp;"_old",Ammortamento_Finanziario!$H:$L,5,FALSE),VLOOKUP($M23,TT_Tabelle_Riferimento!$H$31:$I$50,2,FALSE))</f>
        <v>60</v>
      </c>
      <c r="JG23" s="1077">
        <f>+IFERROR(VLOOKUP(JG$6&amp;"-"&amp;$M23&amp;"_old",Ammortamento_Finanziario!$H:$L,5,FALSE),VLOOKUP($M23,TT_Tabelle_Riferimento!$H$31:$I$50,2,FALSE))</f>
        <v>60</v>
      </c>
      <c r="JH23" s="1077">
        <f>+IFERROR(VLOOKUP(JH$6&amp;"-"&amp;$M23&amp;"_old",Ammortamento_Finanziario!$H:$L,5,FALSE),VLOOKUP($M23,TT_Tabelle_Riferimento!$H$31:$I$50,2,FALSE))</f>
        <v>60</v>
      </c>
      <c r="JI23" s="1077">
        <f>+IFERROR(VLOOKUP(JI$6&amp;"-"&amp;$M23&amp;"_old",Ammortamento_Finanziario!$H:$L,5,FALSE),VLOOKUP($M23,TT_Tabelle_Riferimento!$H$31:$I$50,2,FALSE))</f>
        <v>60</v>
      </c>
      <c r="JJ23" s="1077">
        <f>+IFERROR(VLOOKUP(JJ$6&amp;"-"&amp;$M23&amp;"_old",Ammortamento_Finanziario!$H:$L,5,FALSE),VLOOKUP($M23,TT_Tabelle_Riferimento!$H$31:$I$50,2,FALSE))</f>
        <v>60</v>
      </c>
      <c r="JK23" s="1077">
        <f>+IFERROR(VLOOKUP(JK$6&amp;"-"&amp;$M23&amp;"_old",Ammortamento_Finanziario!$H:$L,5,FALSE),VLOOKUP($M23,TT_Tabelle_Riferimento!$H$31:$I$50,2,FALSE))</f>
        <v>60</v>
      </c>
      <c r="JL23" s="1077">
        <f>+IFERROR(VLOOKUP(JL$6&amp;"-"&amp;$M23&amp;"_old",Ammortamento_Finanziario!$H:$L,5,FALSE),VLOOKUP($M23,TT_Tabelle_Riferimento!$H$31:$I$50,2,FALSE))</f>
        <v>60</v>
      </c>
      <c r="JM23" s="1077">
        <f>+IFERROR(VLOOKUP(JM$6&amp;"-"&amp;$M23&amp;"_old",Ammortamento_Finanziario!$H:$L,5,FALSE),VLOOKUP($M23,TT_Tabelle_Riferimento!$H$31:$I$50,2,FALSE))</f>
        <v>60</v>
      </c>
      <c r="JN23" s="1077">
        <f>+IFERROR(VLOOKUP(JN$6&amp;"-"&amp;$M23&amp;"_old",Ammortamento_Finanziario!$H:$L,5,FALSE),VLOOKUP($M23,TT_Tabelle_Riferimento!$H$31:$I$50,2,FALSE))</f>
        <v>60</v>
      </c>
      <c r="JO23" s="1078">
        <f>+IFERROR(VLOOKUP(JO$6&amp;"-"&amp;$M23&amp;"_old",Ammortamento_Finanziario!$H:$L,5,FALSE),VLOOKUP($M23,TT_Tabelle_Riferimento!$H$31:$I$50,2,FALSE))</f>
        <v>60</v>
      </c>
      <c r="JP23" s="1748">
        <f>+IFERROR(VLOOKUP(JP$6&amp;"-"&amp;$M23&amp;"_old",Ammortamento_Finanziario!$H:$L,5,FALSE),VLOOKUP($M23,TT_Tabelle_Riferimento!$H$31:$I$50,2,FALSE))</f>
        <v>60</v>
      </c>
      <c r="JQ23" s="1748">
        <f>+IFERROR(VLOOKUP(JQ$6&amp;"-"&amp;$M23&amp;"_old",Ammortamento_Finanziario!$H:$L,5,FALSE),VLOOKUP($M23,TT_Tabelle_Riferimento!$H$31:$I$50,2,FALSE))</f>
        <v>60</v>
      </c>
      <c r="JR23" s="1755">
        <f>+IFERROR(VLOOKUP(JR$6&amp;"-"&amp;$M23&amp;"_old",Ammortamento_Finanziario!$H:$L,5,FALSE),VLOOKUP($M23,TT_Tabelle_Riferimento!$H$31:$I$50,2,FALSE))</f>
        <v>60</v>
      </c>
      <c r="JS23" s="1755">
        <f>+IFERROR(VLOOKUP(JS$6&amp;"-"&amp;$M23&amp;"_old",Ammortamento_Finanziario!$H:$L,5,FALSE),VLOOKUP($M23,TT_Tabelle_Riferimento!$H$31:$I$50,2,FALSE))</f>
        <v>60</v>
      </c>
      <c r="JT23" s="1755">
        <f>+IFERROR(VLOOKUP(JT$6&amp;"-"&amp;$M23&amp;"_old",Ammortamento_Finanziario!$H:$L,5,FALSE),VLOOKUP($M23,TT_Tabelle_Riferimento!$H$31:$I$50,2,FALSE))</f>
        <v>60</v>
      </c>
      <c r="JU23" s="1755">
        <f>+IFERROR(VLOOKUP(JU$6&amp;"-"&amp;$M23&amp;"_old",Ammortamento_Finanziario!$H:$L,5,FALSE),VLOOKUP($M23,TT_Tabelle_Riferimento!$H$31:$I$50,2,FALSE))</f>
        <v>60</v>
      </c>
      <c r="JV23" s="1755">
        <f>+IFERROR(VLOOKUP(JV$6&amp;"-"&amp;$M23&amp;"_old",Ammortamento_Finanziario!$H:$L,5,FALSE),VLOOKUP($M23,TT_Tabelle_Riferimento!$H$31:$I$50,2,FALSE))</f>
        <v>60</v>
      </c>
      <c r="JW23" s="1755">
        <f>+IFERROR(VLOOKUP(JW$6&amp;"-"&amp;$M23&amp;"_old",Ammortamento_Finanziario!$H:$L,5,FALSE),VLOOKUP($M23,TT_Tabelle_Riferimento!$H$31:$I$50,2,FALSE))</f>
        <v>60</v>
      </c>
      <c r="JX23" s="1078">
        <f>+IFERROR(VLOOKUP(JX$6&amp;"-"&amp;$M23&amp;"_old",Ammortamento_Finanziario!$H:$L,5,FALSE),VLOOKUP($M23,TT_Tabelle_Riferimento!$H$31:$I$50,2,FALSE))</f>
        <v>60</v>
      </c>
      <c r="JY23" s="1078">
        <f>+IFERROR(VLOOKUP(JY$6&amp;"-"&amp;$M23&amp;"_old",Ammortamento_Finanziario!$H:$L,5,FALSE),VLOOKUP($M23,TT_Tabelle_Riferimento!$H$31:$I$50,2,FALSE))</f>
        <v>60</v>
      </c>
      <c r="JZ23" s="1078">
        <f>+IFERROR(VLOOKUP(JZ$6&amp;"-"&amp;$M23&amp;"_old",Ammortamento_Finanziario!$H:$L,5,FALSE),VLOOKUP($M23,TT_Tabelle_Riferimento!$H$31:$I$50,2,FALSE))</f>
        <v>60</v>
      </c>
      <c r="KA23" s="1078">
        <f>+IFERROR(VLOOKUP(KA$6&amp;"-"&amp;$M23&amp;"_old",Ammortamento_Finanziario!$H:$L,5,FALSE),VLOOKUP($M23,TT_Tabelle_Riferimento!$H$31:$I$50,2,FALSE))</f>
        <v>60</v>
      </c>
      <c r="KB23" s="1078">
        <f>+IFERROR(VLOOKUP(KB$6&amp;"-"&amp;$M23&amp;"_old",Ammortamento_Finanziario!$H:$L,5,FALSE),VLOOKUP($M23,TT_Tabelle_Riferimento!$H$31:$I$50,2,FALSE))</f>
        <v>60</v>
      </c>
      <c r="KC23" s="1078">
        <f>+IFERROR(VLOOKUP(KC$6&amp;"-"&amp;$M23&amp;"_old",Ammortamento_Finanziario!$H:$L,5,FALSE),VLOOKUP($M23,TT_Tabelle_Riferimento!$H$31:$I$50,2,FALSE))</f>
        <v>60</v>
      </c>
      <c r="KD23" s="1078">
        <f>+IFERROR(VLOOKUP(KD$6&amp;"-"&amp;$M23&amp;"_old",Ammortamento_Finanziario!$H:$L,5,FALSE),VLOOKUP($M23,TT_Tabelle_Riferimento!$H$31:$I$50,2,FALSE))</f>
        <v>60</v>
      </c>
      <c r="KE23" s="1078">
        <f>+IFERROR(VLOOKUP(KE$6&amp;"-"&amp;$M23&amp;"_old",Ammortamento_Finanziario!$H:$L,5,FALSE),VLOOKUP($M23,TT_Tabelle_Riferimento!$H$31:$I$50,2,FALSE))</f>
        <v>60</v>
      </c>
      <c r="KF23" s="1078">
        <f>+IFERROR(VLOOKUP(KF$6&amp;"-"&amp;$M23&amp;"_old",Ammortamento_Finanziario!$H:$L,5,FALSE),VLOOKUP($M23,TT_Tabelle_Riferimento!$H$31:$I$50,2,FALSE))</f>
        <v>60</v>
      </c>
      <c r="KG23" s="1078">
        <f>+IFERROR(VLOOKUP(KG$6&amp;"-"&amp;$M23&amp;"_old",Ammortamento_Finanziario!$H:$L,5,FALSE),VLOOKUP($M23,TT_Tabelle_Riferimento!$H$31:$I$50,2,FALSE))</f>
        <v>60</v>
      </c>
      <c r="KH23" s="1078">
        <f>+IFERROR(VLOOKUP(KH$6&amp;"-"&amp;$M23&amp;"_old",Ammortamento_Finanziario!$H:$L,5,FALSE),VLOOKUP($M23,TT_Tabelle_Riferimento!$H$31:$I$50,2,FALSE))</f>
        <v>60</v>
      </c>
      <c r="KI23" s="1078">
        <f>+IFERROR(VLOOKUP(KI$6&amp;"-"&amp;$M23&amp;"_old",Ammortamento_Finanziario!$H:$L,5,FALSE),VLOOKUP($M23,TT_Tabelle_Riferimento!$H$31:$I$50,2,FALSE))</f>
        <v>60</v>
      </c>
      <c r="KJ23" s="1078">
        <f>+IFERROR(VLOOKUP(KJ$6&amp;"-"&amp;$M23&amp;"_old",Ammortamento_Finanziario!$H:$L,5,FALSE),VLOOKUP($M23,TT_Tabelle_Riferimento!$H$31:$I$50,2,FALSE))</f>
        <v>60</v>
      </c>
      <c r="KK23" s="1078">
        <f>+IFERROR(VLOOKUP(KK$6&amp;"-"&amp;$M23&amp;"_old",Ammortamento_Finanziario!$H:$L,5,FALSE),VLOOKUP($M23,TT_Tabelle_Riferimento!$H$31:$I$50,2,FALSE))</f>
        <v>60</v>
      </c>
      <c r="KL23" s="1078">
        <f>+IFERROR(VLOOKUP(KL$6&amp;"-"&amp;$M23&amp;"_old",Ammortamento_Finanziario!$H:$L,5,FALSE),VLOOKUP($M23,TT_Tabelle_Riferimento!$H$31:$I$50,2,FALSE))</f>
        <v>60</v>
      </c>
      <c r="KM23" s="1078">
        <f>+IFERROR(VLOOKUP(KM$6&amp;"-"&amp;$M23&amp;"_old",Ammortamento_Finanziario!$H:$L,5,FALSE),VLOOKUP($M23,TT_Tabelle_Riferimento!$H$31:$I$50,2,FALSE))</f>
        <v>60</v>
      </c>
      <c r="KN23" s="1078">
        <f>+IFERROR(VLOOKUP(KN$6&amp;"-"&amp;$M23&amp;"_old",Ammortamento_Finanziario!$H:$L,5,FALSE),VLOOKUP($M23,TT_Tabelle_Riferimento!$H$31:$I$50,2,FALSE))</f>
        <v>60</v>
      </c>
      <c r="KO23" s="1078">
        <f>+IFERROR(VLOOKUP(KO$6&amp;"-"&amp;$M23&amp;"_old",Ammortamento_Finanziario!$H:$L,5,FALSE),VLOOKUP($M23,TT_Tabelle_Riferimento!$H$31:$I$50,2,FALSE))</f>
        <v>60</v>
      </c>
      <c r="KP23" s="1078">
        <f>+IFERROR(VLOOKUP(KP$6&amp;"-"&amp;$M23&amp;"_old",Ammortamento_Finanziario!$H:$L,5,FALSE),VLOOKUP($M23,TT_Tabelle_Riferimento!$H$31:$I$50,2,FALSE))</f>
        <v>60</v>
      </c>
      <c r="KQ23" s="1748">
        <f>+IFERROR(VLOOKUP(KQ$6&amp;"-"&amp;$M23&amp;"_old",Ammortamento_Finanziario!$H:$L,5,FALSE),VLOOKUP($M23,TT_Tabelle_Riferimento!$H$31:$I$50,2,FALSE))</f>
        <v>60</v>
      </c>
      <c r="KR23" s="1748">
        <f>+IFERROR(VLOOKUP(KR$6&amp;"-"&amp;$M23&amp;"_old",Ammortamento_Finanziario!$H:$L,5,FALSE),VLOOKUP($M23,TT_Tabelle_Riferimento!$H$31:$I$50,2,FALSE))</f>
        <v>60</v>
      </c>
      <c r="KS23" s="1755">
        <f>+IFERROR(VLOOKUP(KS$6&amp;"-"&amp;$M23&amp;"_old",Ammortamento_Finanziario!$H:$L,5,FALSE),VLOOKUP($M23,TT_Tabelle_Riferimento!$H$31:$I$50,2,FALSE))</f>
        <v>60</v>
      </c>
      <c r="KT23" s="1755">
        <f>+IFERROR(VLOOKUP(KT$6&amp;"-"&amp;$M23&amp;"_old",Ammortamento_Finanziario!$H:$L,5,FALSE),VLOOKUP($M23,TT_Tabelle_Riferimento!$H$31:$I$50,2,FALSE))</f>
        <v>60</v>
      </c>
      <c r="KU23" s="1755">
        <f>+IFERROR(VLOOKUP(KU$6&amp;"-"&amp;$M23&amp;"_old",Ammortamento_Finanziario!$H:$L,5,FALSE),VLOOKUP($M23,TT_Tabelle_Riferimento!$H$31:$I$50,2,FALSE))</f>
        <v>60</v>
      </c>
      <c r="KV23" s="1755">
        <f>+IFERROR(VLOOKUP(KV$6&amp;"-"&amp;$M23&amp;"_old",Ammortamento_Finanziario!$H:$L,5,FALSE),VLOOKUP($M23,TT_Tabelle_Riferimento!$H$31:$I$50,2,FALSE))</f>
        <v>60</v>
      </c>
      <c r="KW23" s="1755">
        <f>+IFERROR(VLOOKUP(KW$6&amp;"-"&amp;$M23&amp;"_old",Ammortamento_Finanziario!$H:$L,5,FALSE),VLOOKUP($M23,TT_Tabelle_Riferimento!$H$31:$I$50,2,FALSE))</f>
        <v>60</v>
      </c>
      <c r="KX23" s="1755">
        <f>+IFERROR(VLOOKUP(KX$6&amp;"-"&amp;$M23&amp;"_old",Ammortamento_Finanziario!$H:$L,5,FALSE),VLOOKUP($M23,TT_Tabelle_Riferimento!$H$31:$I$50,2,FALSE))</f>
        <v>60</v>
      </c>
      <c r="KY23" s="1078">
        <f>+IFERROR(VLOOKUP(KY$6&amp;"-"&amp;$M23&amp;"_old",Ammortamento_Finanziario!$H:$L,5,FALSE),VLOOKUP($M23,TT_Tabelle_Riferimento!$H$31:$I$50,2,FALSE))</f>
        <v>60</v>
      </c>
      <c r="KZ23" s="1078">
        <f>+IFERROR(VLOOKUP(KZ$6&amp;"-"&amp;$M23&amp;"_old",Ammortamento_Finanziario!$H:$L,5,FALSE),VLOOKUP($M23,TT_Tabelle_Riferimento!$H$31:$I$50,2,FALSE))</f>
        <v>60</v>
      </c>
      <c r="LA23" s="1078">
        <f>+IFERROR(VLOOKUP(LA$6&amp;"-"&amp;$M23&amp;"_old",Ammortamento_Finanziario!$H:$L,5,FALSE),VLOOKUP($M23,TT_Tabelle_Riferimento!$H$31:$I$50,2,FALSE))</f>
        <v>60</v>
      </c>
      <c r="LB23" s="1078">
        <f>+IFERROR(VLOOKUP(LB$6&amp;"-"&amp;$M23&amp;"_old",Ammortamento_Finanziario!$H:$L,5,FALSE),VLOOKUP($M23,TT_Tabelle_Riferimento!$H$31:$I$50,2,FALSE))</f>
        <v>60</v>
      </c>
      <c r="LC23" s="1078">
        <f>+IFERROR(VLOOKUP(LC$6&amp;"-"&amp;$M23&amp;"_old",Ammortamento_Finanziario!$H:$L,5,FALSE),VLOOKUP($M23,TT_Tabelle_Riferimento!$H$31:$I$50,2,FALSE))</f>
        <v>60</v>
      </c>
      <c r="LD23" s="1078">
        <f>+IFERROR(VLOOKUP(LD$6&amp;"-"&amp;$M23&amp;"_old",Ammortamento_Finanziario!$H:$L,5,FALSE),VLOOKUP($M23,TT_Tabelle_Riferimento!$H$31:$I$50,2,FALSE))</f>
        <v>60</v>
      </c>
      <c r="LE23" s="1078">
        <f>+IFERROR(VLOOKUP(LE$6&amp;"-"&amp;$M23&amp;"_old",Ammortamento_Finanziario!$H:$L,5,FALSE),VLOOKUP($M23,TT_Tabelle_Riferimento!$H$31:$I$50,2,FALSE))</f>
        <v>60</v>
      </c>
      <c r="LF23" s="1078">
        <f>+IFERROR(VLOOKUP(LF$6&amp;"-"&amp;$M23&amp;"_old",Ammortamento_Finanziario!$H:$L,5,FALSE),VLOOKUP($M23,TT_Tabelle_Riferimento!$H$31:$I$50,2,FALSE))</f>
        <v>60</v>
      </c>
      <c r="LG23" s="1078">
        <f>+IFERROR(VLOOKUP(LG$6&amp;"-"&amp;$M23&amp;"_old",Ammortamento_Finanziario!$H:$L,5,FALSE),VLOOKUP($M23,TT_Tabelle_Riferimento!$H$31:$I$50,2,FALSE))</f>
        <v>60</v>
      </c>
      <c r="LH23" s="1078">
        <f>+IFERROR(VLOOKUP(LH$6&amp;"-"&amp;$M23&amp;"_old",Ammortamento_Finanziario!$H:$L,5,FALSE),VLOOKUP($M23,TT_Tabelle_Riferimento!$H$31:$I$50,2,FALSE))</f>
        <v>60</v>
      </c>
      <c r="LI23" s="1078">
        <f>+IFERROR(VLOOKUP(LI$6&amp;"-"&amp;$M23&amp;"_old",Ammortamento_Finanziario!$H:$L,5,FALSE),VLOOKUP($M23,TT_Tabelle_Riferimento!$H$31:$I$50,2,FALSE))</f>
        <v>60</v>
      </c>
      <c r="LJ23" s="1078">
        <f>+IFERROR(VLOOKUP(LJ$6&amp;"-"&amp;$M23&amp;"_old",Ammortamento_Finanziario!$H:$L,5,FALSE),VLOOKUP($M23,TT_Tabelle_Riferimento!$H$31:$I$50,2,FALSE))</f>
        <v>60</v>
      </c>
      <c r="LK23" s="1078">
        <f>+IFERROR(VLOOKUP(LK$6&amp;"-"&amp;$M23&amp;"_old",Ammortamento_Finanziario!$H:$L,5,FALSE),VLOOKUP($M23,TT_Tabelle_Riferimento!$H$31:$I$50,2,FALSE))</f>
        <v>60</v>
      </c>
      <c r="LL23" s="1078">
        <f>+IFERROR(VLOOKUP(LL$6&amp;"-"&amp;$M23&amp;"_old",Ammortamento_Finanziario!$H:$L,5,FALSE),VLOOKUP($M23,TT_Tabelle_Riferimento!$H$31:$I$50,2,FALSE))</f>
        <v>60</v>
      </c>
      <c r="LM23" s="1078">
        <f>+IFERROR(VLOOKUP(LM$6&amp;"-"&amp;$M23&amp;"_old",Ammortamento_Finanziario!$H:$L,5,FALSE),VLOOKUP($M23,TT_Tabelle_Riferimento!$H$31:$I$50,2,FALSE))</f>
        <v>60</v>
      </c>
      <c r="LN23" s="1078">
        <f>+IFERROR(VLOOKUP(LN$6&amp;"-"&amp;$M23&amp;"_old",Ammortamento_Finanziario!$H:$L,5,FALSE),VLOOKUP($M23,TT_Tabelle_Riferimento!$H$31:$I$50,2,FALSE))</f>
        <v>60</v>
      </c>
      <c r="LO23" s="1078">
        <f>+IFERROR(VLOOKUP(LO$6&amp;"-"&amp;$M23&amp;"_old",Ammortamento_Finanziario!$H:$L,5,FALSE),VLOOKUP($M23,TT_Tabelle_Riferimento!$H$31:$I$50,2,FALSE))</f>
        <v>60</v>
      </c>
      <c r="LP23" s="1078">
        <f>+IFERROR(VLOOKUP(LP$6&amp;"-"&amp;$M23&amp;"_old",Ammortamento_Finanziario!$H:$L,5,FALSE),VLOOKUP($M23,TT_Tabelle_Riferimento!$H$31:$I$50,2,FALSE))</f>
        <v>60</v>
      </c>
      <c r="LQ23" s="1078">
        <f>+IFERROR(VLOOKUP(LQ$6&amp;"-"&amp;$M23&amp;"_old",Ammortamento_Finanziario!$H:$L,5,FALSE),VLOOKUP($M23,TT_Tabelle_Riferimento!$H$31:$I$50,2,FALSE))</f>
        <v>60</v>
      </c>
      <c r="LR23" s="1748">
        <f>+IFERROR(VLOOKUP(LR$6&amp;"-"&amp;$M23&amp;"_old",Ammortamento_Finanziario!$H:$L,5,FALSE),VLOOKUP($M23,TT_Tabelle_Riferimento!$H$31:$I$50,2,FALSE))</f>
        <v>60</v>
      </c>
      <c r="LS23" s="1755">
        <f>+IFERROR(VLOOKUP(LS$6&amp;"-"&amp;$M23&amp;"_old",Ammortamento_Finanziario!$H:$L,5,FALSE),VLOOKUP($M23,TT_Tabelle_Riferimento!$H$31:$I$50,2,FALSE))</f>
        <v>60</v>
      </c>
      <c r="LT23" s="1755">
        <f>+IFERROR(VLOOKUP(LT$6&amp;"-"&amp;$M23&amp;"_old",Ammortamento_Finanziario!$H:$L,5,FALSE),VLOOKUP($M23,TT_Tabelle_Riferimento!$H$31:$I$50,2,FALSE))</f>
        <v>60</v>
      </c>
      <c r="LU23" s="1755">
        <f>+IFERROR(VLOOKUP(LU$6&amp;"-"&amp;$M23&amp;"_old",Ammortamento_Finanziario!$H:$L,5,FALSE),VLOOKUP($M23,TT_Tabelle_Riferimento!$H$31:$I$50,2,FALSE))</f>
        <v>60</v>
      </c>
      <c r="LV23" s="1755">
        <f>+IFERROR(VLOOKUP(LV$6&amp;"-"&amp;$M23&amp;"_old",Ammortamento_Finanziario!$H:$L,5,FALSE),VLOOKUP($M23,TT_Tabelle_Riferimento!$H$31:$I$50,2,FALSE))</f>
        <v>60</v>
      </c>
      <c r="LW23" s="1755">
        <f>+IFERROR(VLOOKUP(LW$6&amp;"-"&amp;$M23&amp;"_old",Ammortamento_Finanziario!$H:$L,5,FALSE),VLOOKUP($M23,TT_Tabelle_Riferimento!$H$31:$I$50,2,FALSE))</f>
        <v>60</v>
      </c>
      <c r="LX23" s="1755">
        <f>+IFERROR(VLOOKUP(LX$6&amp;"-"&amp;$M23&amp;"_old",Ammortamento_Finanziario!$H:$L,5,FALSE),VLOOKUP($M23,TT_Tabelle_Riferimento!$H$31:$I$50,2,FALSE))</f>
        <v>60</v>
      </c>
      <c r="LY23" s="1078">
        <f>+IFERROR(VLOOKUP(LY$6&amp;"-"&amp;$M23&amp;"_old",Ammortamento_Finanziario!$H:$L,5,FALSE),VLOOKUP($M23,TT_Tabelle_Riferimento!$H$31:$I$50,2,FALSE))</f>
        <v>60</v>
      </c>
      <c r="LZ23" s="1078">
        <f>+IFERROR(VLOOKUP(LZ$6&amp;"-"&amp;$M23&amp;"_old",Ammortamento_Finanziario!$H:$L,5,FALSE),VLOOKUP($M23,TT_Tabelle_Riferimento!$H$31:$I$50,2,FALSE))</f>
        <v>60</v>
      </c>
      <c r="MA23" s="1078">
        <f>+IFERROR(VLOOKUP(MA$6&amp;"-"&amp;$M23&amp;"_old",Ammortamento_Finanziario!$H:$L,5,FALSE),VLOOKUP($M23,TT_Tabelle_Riferimento!$H$31:$I$50,2,FALSE))</f>
        <v>60</v>
      </c>
      <c r="MB23" s="1078">
        <f>+IFERROR(VLOOKUP(MB$6&amp;"-"&amp;$M23&amp;"_old",Ammortamento_Finanziario!$H:$L,5,FALSE),VLOOKUP($M23,TT_Tabelle_Riferimento!$H$31:$I$50,2,FALSE))</f>
        <v>60</v>
      </c>
      <c r="MC23" s="1078">
        <f>+IFERROR(VLOOKUP(MC$6&amp;"-"&amp;$M23&amp;"_old",Ammortamento_Finanziario!$H:$L,5,FALSE),VLOOKUP($M23,TT_Tabelle_Riferimento!$H$31:$I$50,2,FALSE))</f>
        <v>60</v>
      </c>
      <c r="MD23" s="1078">
        <f>+IFERROR(VLOOKUP(MD$6&amp;"-"&amp;$M23&amp;"_old",Ammortamento_Finanziario!$H:$L,5,FALSE),VLOOKUP($M23,TT_Tabelle_Riferimento!$H$31:$I$50,2,FALSE))</f>
        <v>60</v>
      </c>
      <c r="ME23" s="1078">
        <f>+IFERROR(VLOOKUP(ME$6&amp;"-"&amp;$M23&amp;"_old",Ammortamento_Finanziario!$H:$L,5,FALSE),VLOOKUP($M23,TT_Tabelle_Riferimento!$H$31:$I$50,2,FALSE))</f>
        <v>60</v>
      </c>
      <c r="MF23" s="1078">
        <f>+IFERROR(VLOOKUP(MF$6&amp;"-"&amp;$M23&amp;"_old",Ammortamento_Finanziario!$H:$L,5,FALSE),VLOOKUP($M23,TT_Tabelle_Riferimento!$H$31:$I$50,2,FALSE))</f>
        <v>60</v>
      </c>
      <c r="MG23" s="1078">
        <f>+IFERROR(VLOOKUP(MG$6&amp;"-"&amp;$M23&amp;"_old",Ammortamento_Finanziario!$H:$L,5,FALSE),VLOOKUP($M23,TT_Tabelle_Riferimento!$H$31:$I$50,2,FALSE))</f>
        <v>60</v>
      </c>
      <c r="MH23" s="1078">
        <f>+IFERROR(VLOOKUP(MH$6&amp;"-"&amp;$M23&amp;"_old",Ammortamento_Finanziario!$H:$L,5,FALSE),VLOOKUP($M23,TT_Tabelle_Riferimento!$H$31:$I$50,2,FALSE))</f>
        <v>60</v>
      </c>
      <c r="MI23" s="1078">
        <f>+IFERROR(VLOOKUP(MI$6&amp;"-"&amp;$M23&amp;"_old",Ammortamento_Finanziario!$H:$L,5,FALSE),VLOOKUP($M23,TT_Tabelle_Riferimento!$H$31:$I$50,2,FALSE))</f>
        <v>60</v>
      </c>
      <c r="MJ23" s="1078">
        <f>+IFERROR(VLOOKUP(MJ$6&amp;"-"&amp;$M23&amp;"_old",Ammortamento_Finanziario!$H:$L,5,FALSE),VLOOKUP($M23,TT_Tabelle_Riferimento!$H$31:$I$50,2,FALSE))</f>
        <v>60</v>
      </c>
      <c r="MK23" s="1078">
        <f>+IFERROR(VLOOKUP(MK$6&amp;"-"&amp;$M23&amp;"_old",Ammortamento_Finanziario!$H:$L,5,FALSE),VLOOKUP($M23,TT_Tabelle_Riferimento!$H$31:$I$50,2,FALSE))</f>
        <v>60</v>
      </c>
      <c r="ML23" s="1078">
        <f>+IFERROR(VLOOKUP(ML$6&amp;"-"&amp;$M23&amp;"_old",Ammortamento_Finanziario!$H:$L,5,FALSE),VLOOKUP($M23,TT_Tabelle_Riferimento!$H$31:$I$50,2,FALSE))</f>
        <v>60</v>
      </c>
      <c r="MM23" s="1078">
        <f>+IFERROR(VLOOKUP(MM$6&amp;"-"&amp;$M23&amp;"_old",Ammortamento_Finanziario!$H:$L,5,FALSE),VLOOKUP($M23,TT_Tabelle_Riferimento!$H$31:$I$50,2,FALSE))</f>
        <v>60</v>
      </c>
      <c r="MN23" s="1078">
        <f>+IFERROR(VLOOKUP(MN$6&amp;"-"&amp;$M23&amp;"_old",Ammortamento_Finanziario!$H:$L,5,FALSE),VLOOKUP($M23,TT_Tabelle_Riferimento!$H$31:$I$50,2,FALSE))</f>
        <v>60</v>
      </c>
      <c r="MO23" s="1078">
        <f>+IFERROR(VLOOKUP(MO$6&amp;"-"&amp;$M23&amp;"_old",Ammortamento_Finanziario!$H:$L,5,FALSE),VLOOKUP($M23,TT_Tabelle_Riferimento!$H$31:$I$50,2,FALSE))</f>
        <v>60</v>
      </c>
      <c r="MP23" s="1078">
        <f>+IFERROR(VLOOKUP(MP$6&amp;"-"&amp;$M23&amp;"_old",Ammortamento_Finanziario!$H:$L,5,FALSE),VLOOKUP($M23,TT_Tabelle_Riferimento!$H$31:$I$50,2,FALSE))</f>
        <v>60</v>
      </c>
      <c r="MQ23" s="1078">
        <f>+IFERROR(VLOOKUP(MQ$6&amp;"-"&amp;$M23&amp;"_old",Ammortamento_Finanziario!$H:$L,5,FALSE),VLOOKUP($M23,TT_Tabelle_Riferimento!$H$31:$I$50,2,FALSE))</f>
        <v>60</v>
      </c>
      <c r="MR23" s="1755">
        <f>+IFERROR(VLOOKUP(MR$6&amp;"-"&amp;$M23&amp;"_old",Ammortamento_Finanziario!$H:$L,5,FALSE),VLOOKUP($M23,TT_Tabelle_Riferimento!$H$31:$I$50,2,FALSE))</f>
        <v>60</v>
      </c>
      <c r="MS23" s="1755">
        <f>+IFERROR(VLOOKUP(MS$6&amp;"-"&amp;$M23&amp;"_old",Ammortamento_Finanziario!$H:$L,5,FALSE),VLOOKUP($M23,TT_Tabelle_Riferimento!$H$31:$I$50,2,FALSE))</f>
        <v>60</v>
      </c>
      <c r="MT23" s="1755">
        <f>+IFERROR(VLOOKUP(MT$6&amp;"-"&amp;$M23&amp;"_old",Ammortamento_Finanziario!$H:$L,5,FALSE),VLOOKUP($M23,TT_Tabelle_Riferimento!$H$31:$I$50,2,FALSE))</f>
        <v>60</v>
      </c>
      <c r="MU23" s="1755">
        <f>+IFERROR(VLOOKUP(MU$6&amp;"-"&amp;$M23&amp;"_old",Ammortamento_Finanziario!$H:$L,5,FALSE),VLOOKUP($M23,TT_Tabelle_Riferimento!$H$31:$I$50,2,FALSE))</f>
        <v>60</v>
      </c>
      <c r="MV23" s="1755">
        <f>+IFERROR(VLOOKUP(MV$6&amp;"-"&amp;$M23&amp;"_old",Ammortamento_Finanziario!$H:$L,5,FALSE),VLOOKUP($M23,TT_Tabelle_Riferimento!$H$31:$I$50,2,FALSE))</f>
        <v>60</v>
      </c>
      <c r="MW23" s="1755">
        <f>+IFERROR(VLOOKUP(MW$6&amp;"-"&amp;$M23&amp;"_old",Ammortamento_Finanziario!$H:$L,5,FALSE),VLOOKUP($M23,TT_Tabelle_Riferimento!$H$31:$I$50,2,FALSE))</f>
        <v>60</v>
      </c>
      <c r="MX23" s="1078">
        <f>+IFERROR(VLOOKUP(MX$6&amp;"-"&amp;$M23&amp;"_old",Ammortamento_Finanziario!$H:$L,5,FALSE),VLOOKUP($M23,TT_Tabelle_Riferimento!$H$31:$I$50,2,FALSE))</f>
        <v>60</v>
      </c>
      <c r="MY23" s="1078">
        <f>+IFERROR(VLOOKUP(MY$6&amp;"-"&amp;$M23&amp;"_old",Ammortamento_Finanziario!$H:$L,5,FALSE),VLOOKUP($M23,TT_Tabelle_Riferimento!$H$31:$I$50,2,FALSE))</f>
        <v>60</v>
      </c>
      <c r="MZ23" s="1078">
        <f>+IFERROR(VLOOKUP(MZ$6&amp;"-"&amp;$M23&amp;"_old",Ammortamento_Finanziario!$H:$L,5,FALSE),VLOOKUP($M23,TT_Tabelle_Riferimento!$H$31:$I$50,2,FALSE))</f>
        <v>60</v>
      </c>
      <c r="NA23" s="1078">
        <f>+IFERROR(VLOOKUP(NA$6&amp;"-"&amp;$M23&amp;"_old",Ammortamento_Finanziario!$H:$L,5,FALSE),VLOOKUP($M23,TT_Tabelle_Riferimento!$H$31:$I$50,2,FALSE))</f>
        <v>60</v>
      </c>
      <c r="NB23" s="1078">
        <f>+IFERROR(VLOOKUP(NB$6&amp;"-"&amp;$M23&amp;"_old",Ammortamento_Finanziario!$H:$L,5,FALSE),VLOOKUP($M23,TT_Tabelle_Riferimento!$H$31:$I$50,2,FALSE))</f>
        <v>60</v>
      </c>
      <c r="NC23" s="1078">
        <f>+IFERROR(VLOOKUP(NC$6&amp;"-"&amp;$M23&amp;"_old",Ammortamento_Finanziario!$H:$L,5,FALSE),VLOOKUP($M23,TT_Tabelle_Riferimento!$H$31:$I$50,2,FALSE))</f>
        <v>60</v>
      </c>
      <c r="ND23" s="1078">
        <f>+IFERROR(VLOOKUP(ND$6&amp;"-"&amp;$M23&amp;"_old",Ammortamento_Finanziario!$H:$L,5,FALSE),VLOOKUP($M23,TT_Tabelle_Riferimento!$H$31:$I$50,2,FALSE))</f>
        <v>60</v>
      </c>
      <c r="NE23" s="1078">
        <f>+IFERROR(VLOOKUP(NE$6&amp;"-"&amp;$M23&amp;"_old",Ammortamento_Finanziario!$H:$L,5,FALSE),VLOOKUP($M23,TT_Tabelle_Riferimento!$H$31:$I$50,2,FALSE))</f>
        <v>60</v>
      </c>
      <c r="NF23" s="1078">
        <f>+IFERROR(VLOOKUP(NF$6&amp;"-"&amp;$M23&amp;"_old",Ammortamento_Finanziario!$H:$L,5,FALSE),VLOOKUP($M23,TT_Tabelle_Riferimento!$H$31:$I$50,2,FALSE))</f>
        <v>60</v>
      </c>
      <c r="NG23" s="1078">
        <f>+IFERROR(VLOOKUP(NG$6&amp;"-"&amp;$M23&amp;"_old",Ammortamento_Finanziario!$H:$L,5,FALSE),VLOOKUP($M23,TT_Tabelle_Riferimento!$H$31:$I$50,2,FALSE))</f>
        <v>60</v>
      </c>
      <c r="NH23" s="1078">
        <f>+IFERROR(VLOOKUP(NH$6&amp;"-"&amp;$M23&amp;"_old",Ammortamento_Finanziario!$H:$L,5,FALSE),VLOOKUP($M23,TT_Tabelle_Riferimento!$H$31:$I$50,2,FALSE))</f>
        <v>60</v>
      </c>
      <c r="NI23" s="1078">
        <f>+IFERROR(VLOOKUP(NI$6&amp;"-"&amp;$M23&amp;"_old",Ammortamento_Finanziario!$H:$L,5,FALSE),VLOOKUP($M23,TT_Tabelle_Riferimento!$H$31:$I$50,2,FALSE))</f>
        <v>60</v>
      </c>
      <c r="NJ23" s="1078">
        <f>+IFERROR(VLOOKUP(NJ$6&amp;"-"&amp;$M23&amp;"_old",Ammortamento_Finanziario!$H:$L,5,FALSE),VLOOKUP($M23,TT_Tabelle_Riferimento!$H$31:$I$50,2,FALSE))</f>
        <v>60</v>
      </c>
      <c r="NK23" s="1078">
        <f>+IFERROR(VLOOKUP(NK$6&amp;"-"&amp;$M23&amp;"_old",Ammortamento_Finanziario!$H:$L,5,FALSE),VLOOKUP($M23,TT_Tabelle_Riferimento!$H$31:$I$50,2,FALSE))</f>
        <v>60</v>
      </c>
      <c r="NL23" s="1078">
        <f>+IFERROR(VLOOKUP(NL$6&amp;"-"&amp;$M23&amp;"_old",Ammortamento_Finanziario!$H:$L,5,FALSE),VLOOKUP($M23,TT_Tabelle_Riferimento!$H$31:$I$50,2,FALSE))</f>
        <v>60</v>
      </c>
      <c r="NM23" s="1078">
        <f>+IFERROR(VLOOKUP(NM$6&amp;"-"&amp;$M23&amp;"_old",Ammortamento_Finanziario!$H:$L,5,FALSE),VLOOKUP($M23,TT_Tabelle_Riferimento!$H$31:$I$50,2,FALSE))</f>
        <v>60</v>
      </c>
      <c r="NN23" s="1078">
        <f>+IFERROR(VLOOKUP(NN$6&amp;"-"&amp;$M23&amp;"_old",Ammortamento_Finanziario!$H:$L,5,FALSE),VLOOKUP($M23,TT_Tabelle_Riferimento!$H$31:$I$50,2,FALSE))</f>
        <v>60</v>
      </c>
      <c r="NO23" s="1078">
        <f>+IFERROR(VLOOKUP(NO$6&amp;"-"&amp;$M23&amp;"_old",Ammortamento_Finanziario!$H:$L,5,FALSE),VLOOKUP($M23,TT_Tabelle_Riferimento!$H$31:$I$50,2,FALSE))</f>
        <v>60</v>
      </c>
      <c r="NP23" s="1078">
        <f>+IFERROR(VLOOKUP(NP$6&amp;"-"&amp;$M23&amp;"_old",Ammortamento_Finanziario!$H:$L,5,FALSE),VLOOKUP($M23,TT_Tabelle_Riferimento!$H$31:$I$50,2,FALSE))</f>
        <v>60</v>
      </c>
      <c r="NQ23" s="1755">
        <f>+IFERROR(VLOOKUP(NQ$6&amp;"-"&amp;$M23&amp;"_old",Ammortamento_Finanziario!$H:$L,5,FALSE),VLOOKUP($M23,TT_Tabelle_Riferimento!$H$31:$I$50,2,FALSE))</f>
        <v>60</v>
      </c>
      <c r="NR23" s="1755">
        <f>+IFERROR(VLOOKUP(NR$6&amp;"-"&amp;$M23&amp;"_old",Ammortamento_Finanziario!$H:$L,5,FALSE),VLOOKUP($M23,TT_Tabelle_Riferimento!$H$31:$I$50,2,FALSE))</f>
        <v>60</v>
      </c>
      <c r="NS23" s="1755">
        <f>+IFERROR(VLOOKUP(NS$6&amp;"-"&amp;$M23&amp;"_old",Ammortamento_Finanziario!$H:$L,5,FALSE),VLOOKUP($M23,TT_Tabelle_Riferimento!$H$31:$I$50,2,FALSE))</f>
        <v>60</v>
      </c>
      <c r="NT23" s="1755">
        <f>+IFERROR(VLOOKUP(NT$6&amp;"-"&amp;$M23&amp;"_old",Ammortamento_Finanziario!$H:$L,5,FALSE),VLOOKUP($M23,TT_Tabelle_Riferimento!$H$31:$I$50,2,FALSE))</f>
        <v>60</v>
      </c>
      <c r="NU23" s="1755">
        <f>+IFERROR(VLOOKUP(NU$6&amp;"-"&amp;$M23&amp;"_old",Ammortamento_Finanziario!$H:$L,5,FALSE),VLOOKUP($M23,TT_Tabelle_Riferimento!$H$31:$I$50,2,FALSE))</f>
        <v>60</v>
      </c>
      <c r="NV23" s="1078">
        <f>+IFERROR(VLOOKUP(NV$6&amp;"-"&amp;$M23&amp;"_old",Ammortamento_Finanziario!$H:$L,5,FALSE),VLOOKUP($M23,TT_Tabelle_Riferimento!$H$31:$I$50,2,FALSE))</f>
        <v>60</v>
      </c>
      <c r="NW23" s="1078">
        <f>+IFERROR(VLOOKUP(NW$6&amp;"-"&amp;$M23&amp;"_old",Ammortamento_Finanziario!$H:$L,5,FALSE),VLOOKUP($M23,TT_Tabelle_Riferimento!$H$31:$I$50,2,FALSE))</f>
        <v>60</v>
      </c>
      <c r="NX23" s="1078">
        <f>+IFERROR(VLOOKUP(NX$6&amp;"-"&amp;$M23&amp;"_old",Ammortamento_Finanziario!$H:$L,5,FALSE),VLOOKUP($M23,TT_Tabelle_Riferimento!$H$31:$I$50,2,FALSE))</f>
        <v>60</v>
      </c>
      <c r="NY23" s="1078">
        <f>+IFERROR(VLOOKUP(NY$6&amp;"-"&amp;$M23&amp;"_old",Ammortamento_Finanziario!$H:$L,5,FALSE),VLOOKUP($M23,TT_Tabelle_Riferimento!$H$31:$I$50,2,FALSE))</f>
        <v>60</v>
      </c>
      <c r="NZ23" s="1078">
        <f>+IFERROR(VLOOKUP(NZ$6&amp;"-"&amp;$M23&amp;"_old",Ammortamento_Finanziario!$H:$L,5,FALSE),VLOOKUP($M23,TT_Tabelle_Riferimento!$H$31:$I$50,2,FALSE))</f>
        <v>60</v>
      </c>
      <c r="OA23" s="1078">
        <f>+IFERROR(VLOOKUP(OA$6&amp;"-"&amp;$M23&amp;"_old",Ammortamento_Finanziario!$H:$L,5,FALSE),VLOOKUP($M23,TT_Tabelle_Riferimento!$H$31:$I$50,2,FALSE))</f>
        <v>60</v>
      </c>
      <c r="OB23" s="1078">
        <f>+IFERROR(VLOOKUP(OB$6&amp;"-"&amp;$M23&amp;"_old",Ammortamento_Finanziario!$H:$L,5,FALSE),VLOOKUP($M23,TT_Tabelle_Riferimento!$H$31:$I$50,2,FALSE))</f>
        <v>60</v>
      </c>
      <c r="OC23" s="1078">
        <f>+IFERROR(VLOOKUP(OC$6&amp;"-"&amp;$M23&amp;"_old",Ammortamento_Finanziario!$H:$L,5,FALSE),VLOOKUP($M23,TT_Tabelle_Riferimento!$H$31:$I$50,2,FALSE))</f>
        <v>60</v>
      </c>
      <c r="OD23" s="1078">
        <f>+IFERROR(VLOOKUP(OD$6&amp;"-"&amp;$M23&amp;"_old",Ammortamento_Finanziario!$H:$L,5,FALSE),VLOOKUP($M23,TT_Tabelle_Riferimento!$H$31:$I$50,2,FALSE))</f>
        <v>60</v>
      </c>
      <c r="OE23" s="1078">
        <f>+IFERROR(VLOOKUP(OE$6&amp;"-"&amp;$M23&amp;"_old",Ammortamento_Finanziario!$H:$L,5,FALSE),VLOOKUP($M23,TT_Tabelle_Riferimento!$H$31:$I$50,2,FALSE))</f>
        <v>60</v>
      </c>
      <c r="OF23" s="1078">
        <f>+IFERROR(VLOOKUP(OF$6&amp;"-"&amp;$M23&amp;"_old",Ammortamento_Finanziario!$H:$L,5,FALSE),VLOOKUP($M23,TT_Tabelle_Riferimento!$H$31:$I$50,2,FALSE))</f>
        <v>60</v>
      </c>
      <c r="OG23" s="1078">
        <f>+IFERROR(VLOOKUP(OG$6&amp;"-"&amp;$M23&amp;"_old",Ammortamento_Finanziario!$H:$L,5,FALSE),VLOOKUP($M23,TT_Tabelle_Riferimento!$H$31:$I$50,2,FALSE))</f>
        <v>60</v>
      </c>
      <c r="OH23" s="1078">
        <f>+IFERROR(VLOOKUP(OH$6&amp;"-"&amp;$M23&amp;"_old",Ammortamento_Finanziario!$H:$L,5,FALSE),VLOOKUP($M23,TT_Tabelle_Riferimento!$H$31:$I$50,2,FALSE))</f>
        <v>60</v>
      </c>
      <c r="OI23" s="1078">
        <f>+IFERROR(VLOOKUP(OI$6&amp;"-"&amp;$M23&amp;"_old",Ammortamento_Finanziario!$H:$L,5,FALSE),VLOOKUP($M23,TT_Tabelle_Riferimento!$H$31:$I$50,2,FALSE))</f>
        <v>60</v>
      </c>
      <c r="OJ23" s="1078">
        <f>+IFERROR(VLOOKUP(OJ$6&amp;"-"&amp;$M23&amp;"_old",Ammortamento_Finanziario!$H:$L,5,FALSE),VLOOKUP($M23,TT_Tabelle_Riferimento!$H$31:$I$50,2,FALSE))</f>
        <v>60</v>
      </c>
      <c r="OK23" s="1078">
        <f>+IFERROR(VLOOKUP(OK$6&amp;"-"&amp;$M23&amp;"_old",Ammortamento_Finanziario!$H:$L,5,FALSE),VLOOKUP($M23,TT_Tabelle_Riferimento!$H$31:$I$50,2,FALSE))</f>
        <v>60</v>
      </c>
      <c r="OL23" s="1078">
        <f>+IFERROR(VLOOKUP(OL$6&amp;"-"&amp;$M23&amp;"_old",Ammortamento_Finanziario!$H:$L,5,FALSE),VLOOKUP($M23,TT_Tabelle_Riferimento!$H$31:$I$50,2,FALSE))</f>
        <v>60</v>
      </c>
      <c r="OM23" s="1078">
        <f>+IFERROR(VLOOKUP(OM$6&amp;"-"&amp;$M23&amp;"_old",Ammortamento_Finanziario!$H:$L,5,FALSE),VLOOKUP($M23,TT_Tabelle_Riferimento!$H$31:$I$50,2,FALSE))</f>
        <v>60</v>
      </c>
      <c r="ON23" s="1078">
        <f>+IFERROR(VLOOKUP(ON$6&amp;"-"&amp;$M23&amp;"_old",Ammortamento_Finanziario!$H:$L,5,FALSE),VLOOKUP($M23,TT_Tabelle_Riferimento!$H$31:$I$50,2,FALSE))</f>
        <v>60</v>
      </c>
      <c r="OO23" s="1755">
        <f>+IFERROR(VLOOKUP(OO$6&amp;"-"&amp;$M23&amp;"_old",Ammortamento_Finanziario!$H:$L,5,FALSE),VLOOKUP($M23,TT_Tabelle_Riferimento!$H$31:$I$50,2,FALSE))</f>
        <v>60</v>
      </c>
      <c r="OP23" s="1755">
        <f>+IFERROR(VLOOKUP(OP$6&amp;"-"&amp;$M23&amp;"_old",Ammortamento_Finanziario!$H:$L,5,FALSE),VLOOKUP($M23,TT_Tabelle_Riferimento!$H$31:$I$50,2,FALSE))</f>
        <v>60</v>
      </c>
      <c r="OQ23" s="1755">
        <f>+IFERROR(VLOOKUP(OQ$6&amp;"-"&amp;$M23&amp;"_old",Ammortamento_Finanziario!$H:$L,5,FALSE),VLOOKUP($M23,TT_Tabelle_Riferimento!$H$31:$I$50,2,FALSE))</f>
        <v>60</v>
      </c>
      <c r="OR23" s="1755">
        <f>+IFERROR(VLOOKUP(OR$6&amp;"-"&amp;$M23&amp;"_old",Ammortamento_Finanziario!$H:$L,5,FALSE),VLOOKUP($M23,TT_Tabelle_Riferimento!$H$31:$I$50,2,FALSE))</f>
        <v>60</v>
      </c>
      <c r="OS23" s="1078">
        <f>+IFERROR(VLOOKUP(OS$6&amp;"-"&amp;$M23&amp;"_old",Ammortamento_Finanziario!$H:$L,5,FALSE),VLOOKUP($M23,TT_Tabelle_Riferimento!$H$31:$I$50,2,FALSE))</f>
        <v>60</v>
      </c>
      <c r="OT23" s="1078">
        <f>+IFERROR(VLOOKUP(OT$6&amp;"-"&amp;$M23&amp;"_old",Ammortamento_Finanziario!$H:$L,5,FALSE),VLOOKUP($M23,TT_Tabelle_Riferimento!$H$31:$I$50,2,FALSE))</f>
        <v>60</v>
      </c>
      <c r="OU23" s="1078">
        <f>+IFERROR(VLOOKUP(OU$6&amp;"-"&amp;$M23&amp;"_old",Ammortamento_Finanziario!$H:$L,5,FALSE),VLOOKUP($M23,TT_Tabelle_Riferimento!$H$31:$I$50,2,FALSE))</f>
        <v>60</v>
      </c>
      <c r="OV23" s="1078">
        <f>+IFERROR(VLOOKUP(OV$6&amp;"-"&amp;$M23&amp;"_old",Ammortamento_Finanziario!$H:$L,5,FALSE),VLOOKUP($M23,TT_Tabelle_Riferimento!$H$31:$I$50,2,FALSE))</f>
        <v>60</v>
      </c>
      <c r="OW23" s="1078">
        <f>+IFERROR(VLOOKUP(OW$6&amp;"-"&amp;$M23&amp;"_old",Ammortamento_Finanziario!$H:$L,5,FALSE),VLOOKUP($M23,TT_Tabelle_Riferimento!$H$31:$I$50,2,FALSE))</f>
        <v>60</v>
      </c>
      <c r="OX23" s="1078">
        <f>+IFERROR(VLOOKUP(OX$6&amp;"-"&amp;$M23&amp;"_old",Ammortamento_Finanziario!$H:$L,5,FALSE),VLOOKUP($M23,TT_Tabelle_Riferimento!$H$31:$I$50,2,FALSE))</f>
        <v>60</v>
      </c>
      <c r="OY23" s="1078">
        <f>+IFERROR(VLOOKUP(OY$6&amp;"-"&amp;$M23&amp;"_old",Ammortamento_Finanziario!$H:$L,5,FALSE),VLOOKUP($M23,TT_Tabelle_Riferimento!$H$31:$I$50,2,FALSE))</f>
        <v>60</v>
      </c>
      <c r="OZ23" s="1078">
        <f>+IFERROR(VLOOKUP(OZ$6&amp;"-"&amp;$M23&amp;"_old",Ammortamento_Finanziario!$H:$L,5,FALSE),VLOOKUP($M23,TT_Tabelle_Riferimento!$H$31:$I$50,2,FALSE))</f>
        <v>60</v>
      </c>
      <c r="PA23" s="1078">
        <f>+IFERROR(VLOOKUP(PA$6&amp;"-"&amp;$M23&amp;"_old",Ammortamento_Finanziario!$H:$L,5,FALSE),VLOOKUP($M23,TT_Tabelle_Riferimento!$H$31:$I$50,2,FALSE))</f>
        <v>60</v>
      </c>
      <c r="PB23" s="1078">
        <f>+IFERROR(VLOOKUP(PB$6&amp;"-"&amp;$M23&amp;"_old",Ammortamento_Finanziario!$H:$L,5,FALSE),VLOOKUP($M23,TT_Tabelle_Riferimento!$H$31:$I$50,2,FALSE))</f>
        <v>60</v>
      </c>
      <c r="PC23" s="1078">
        <f>+IFERROR(VLOOKUP(PC$6&amp;"-"&amp;$M23&amp;"_old",Ammortamento_Finanziario!$H:$L,5,FALSE),VLOOKUP($M23,TT_Tabelle_Riferimento!$H$31:$I$50,2,FALSE))</f>
        <v>60</v>
      </c>
      <c r="PD23" s="1078">
        <f>+IFERROR(VLOOKUP(PD$6&amp;"-"&amp;$M23&amp;"_old",Ammortamento_Finanziario!$H:$L,5,FALSE),VLOOKUP($M23,TT_Tabelle_Riferimento!$H$31:$I$50,2,FALSE))</f>
        <v>60</v>
      </c>
      <c r="PE23" s="1078">
        <f>+IFERROR(VLOOKUP(PE$6&amp;"-"&amp;$M23&amp;"_old",Ammortamento_Finanziario!$H:$L,5,FALSE),VLOOKUP($M23,TT_Tabelle_Riferimento!$H$31:$I$50,2,FALSE))</f>
        <v>60</v>
      </c>
      <c r="PF23" s="1078">
        <f>+IFERROR(VLOOKUP(PF$6&amp;"-"&amp;$M23&amp;"_old",Ammortamento_Finanziario!$H:$L,5,FALSE),VLOOKUP($M23,TT_Tabelle_Riferimento!$H$31:$I$50,2,FALSE))</f>
        <v>60</v>
      </c>
      <c r="PG23" s="1078">
        <f>+IFERROR(VLOOKUP(PG$6&amp;"-"&amp;$M23&amp;"_old",Ammortamento_Finanziario!$H:$L,5,FALSE),VLOOKUP($M23,TT_Tabelle_Riferimento!$H$31:$I$50,2,FALSE))</f>
        <v>60</v>
      </c>
      <c r="PH23" s="1078">
        <f>+IFERROR(VLOOKUP(PH$6&amp;"-"&amp;$M23&amp;"_old",Ammortamento_Finanziario!$H:$L,5,FALSE),VLOOKUP($M23,TT_Tabelle_Riferimento!$H$31:$I$50,2,FALSE))</f>
        <v>60</v>
      </c>
      <c r="PI23" s="1078">
        <f>+IFERROR(VLOOKUP(PI$6&amp;"-"&amp;$M23&amp;"_old",Ammortamento_Finanziario!$H:$L,5,FALSE),VLOOKUP($M23,TT_Tabelle_Riferimento!$H$31:$I$50,2,FALSE))</f>
        <v>60</v>
      </c>
      <c r="PJ23" s="1078">
        <f>+IFERROR(VLOOKUP(PJ$6&amp;"-"&amp;$M23&amp;"_old",Ammortamento_Finanziario!$H:$L,5,FALSE),VLOOKUP($M23,TT_Tabelle_Riferimento!$H$31:$I$50,2,FALSE))</f>
        <v>60</v>
      </c>
      <c r="PK23" s="1078">
        <f>+IFERROR(VLOOKUP(PK$6&amp;"-"&amp;$M23&amp;"_old",Ammortamento_Finanziario!$H:$L,5,FALSE),VLOOKUP($M23,TT_Tabelle_Riferimento!$H$31:$I$50,2,FALSE))</f>
        <v>60</v>
      </c>
      <c r="PL23" s="1755">
        <f>+IFERROR(VLOOKUP(PL$6&amp;"-"&amp;$M23&amp;"_old",Ammortamento_Finanziario!$H:$L,5,FALSE),VLOOKUP($M23,TT_Tabelle_Riferimento!$H$31:$I$50,2,FALSE))</f>
        <v>60</v>
      </c>
      <c r="PM23" s="1755">
        <f>+IFERROR(VLOOKUP(PM$6&amp;"-"&amp;$M23&amp;"_old",Ammortamento_Finanziario!$H:$L,5,FALSE),VLOOKUP($M23,TT_Tabelle_Riferimento!$H$31:$I$50,2,FALSE))</f>
        <v>60</v>
      </c>
      <c r="PN23" s="1755">
        <f>+IFERROR(VLOOKUP(PN$6&amp;"-"&amp;$M23&amp;"_old",Ammortamento_Finanziario!$H:$L,5,FALSE),VLOOKUP($M23,TT_Tabelle_Riferimento!$H$31:$I$50,2,FALSE))</f>
        <v>60</v>
      </c>
      <c r="PO23" s="1078">
        <f>+IFERROR(VLOOKUP(PO$6&amp;"-"&amp;$M23&amp;"_old",Ammortamento_Finanziario!$H:$L,5,FALSE),VLOOKUP($M23,TT_Tabelle_Riferimento!$H$31:$I$50,2,FALSE))</f>
        <v>60</v>
      </c>
      <c r="PP23" s="1078">
        <f>+IFERROR(VLOOKUP(PP$6&amp;"-"&amp;$M23&amp;"_old",Ammortamento_Finanziario!$H:$L,5,FALSE),VLOOKUP($M23,TT_Tabelle_Riferimento!$H$31:$I$50,2,FALSE))</f>
        <v>60</v>
      </c>
      <c r="PQ23" s="1078">
        <f>+IFERROR(VLOOKUP(PQ$6&amp;"-"&amp;$M23&amp;"_old",Ammortamento_Finanziario!$H:$L,5,FALSE),VLOOKUP($M23,TT_Tabelle_Riferimento!$H$31:$I$50,2,FALSE))</f>
        <v>60</v>
      </c>
      <c r="PR23" s="1078">
        <f>+IFERROR(VLOOKUP(PR$6&amp;"-"&amp;$M23&amp;"_old",Ammortamento_Finanziario!$H:$L,5,FALSE),VLOOKUP($M23,TT_Tabelle_Riferimento!$H$31:$I$50,2,FALSE))</f>
        <v>60</v>
      </c>
      <c r="PS23" s="1078">
        <f>+IFERROR(VLOOKUP(PS$6&amp;"-"&amp;$M23&amp;"_old",Ammortamento_Finanziario!$H:$L,5,FALSE),VLOOKUP($M23,TT_Tabelle_Riferimento!$H$31:$I$50,2,FALSE))</f>
        <v>60</v>
      </c>
      <c r="PT23" s="1078">
        <f>+IFERROR(VLOOKUP(PT$6&amp;"-"&amp;$M23&amp;"_old",Ammortamento_Finanziario!$H:$L,5,FALSE),VLOOKUP($M23,TT_Tabelle_Riferimento!$H$31:$I$50,2,FALSE))</f>
        <v>60</v>
      </c>
      <c r="PU23" s="1078">
        <f>+IFERROR(VLOOKUP(PU$6&amp;"-"&amp;$M23&amp;"_old",Ammortamento_Finanziario!$H:$L,5,FALSE),VLOOKUP($M23,TT_Tabelle_Riferimento!$H$31:$I$50,2,FALSE))</f>
        <v>60</v>
      </c>
      <c r="PV23" s="1078">
        <f>+IFERROR(VLOOKUP(PV$6&amp;"-"&amp;$M23&amp;"_old",Ammortamento_Finanziario!$H:$L,5,FALSE),VLOOKUP($M23,TT_Tabelle_Riferimento!$H$31:$I$50,2,FALSE))</f>
        <v>60</v>
      </c>
      <c r="PW23" s="1078">
        <f>+IFERROR(VLOOKUP(PW$6&amp;"-"&amp;$M23&amp;"_old",Ammortamento_Finanziario!$H:$L,5,FALSE),VLOOKUP($M23,TT_Tabelle_Riferimento!$H$31:$I$50,2,FALSE))</f>
        <v>60</v>
      </c>
      <c r="PX23" s="1078">
        <f>+IFERROR(VLOOKUP(PX$6&amp;"-"&amp;$M23&amp;"_old",Ammortamento_Finanziario!$H:$L,5,FALSE),VLOOKUP($M23,TT_Tabelle_Riferimento!$H$31:$I$50,2,FALSE))</f>
        <v>60</v>
      </c>
      <c r="PY23" s="1078">
        <f>+IFERROR(VLOOKUP(PY$6&amp;"-"&amp;$M23&amp;"_old",Ammortamento_Finanziario!$H:$L,5,FALSE),VLOOKUP($M23,TT_Tabelle_Riferimento!$H$31:$I$50,2,FALSE))</f>
        <v>60</v>
      </c>
      <c r="PZ23" s="1078">
        <f>+IFERROR(VLOOKUP(PZ$6&amp;"-"&amp;$M23&amp;"_old",Ammortamento_Finanziario!$H:$L,5,FALSE),VLOOKUP($M23,TT_Tabelle_Riferimento!$H$31:$I$50,2,FALSE))</f>
        <v>60</v>
      </c>
      <c r="QA23" s="1078">
        <f>+IFERROR(VLOOKUP(QA$6&amp;"-"&amp;$M23&amp;"_old",Ammortamento_Finanziario!$H:$L,5,FALSE),VLOOKUP($M23,TT_Tabelle_Riferimento!$H$31:$I$50,2,FALSE))</f>
        <v>60</v>
      </c>
      <c r="QB23" s="1078">
        <f>+IFERROR(VLOOKUP(QB$6&amp;"-"&amp;$M23&amp;"_old",Ammortamento_Finanziario!$H:$L,5,FALSE),VLOOKUP($M23,TT_Tabelle_Riferimento!$H$31:$I$50,2,FALSE))</f>
        <v>60</v>
      </c>
      <c r="QC23" s="1078">
        <f>+IFERROR(VLOOKUP(QC$6&amp;"-"&amp;$M23&amp;"_old",Ammortamento_Finanziario!$H:$L,5,FALSE),VLOOKUP($M23,TT_Tabelle_Riferimento!$H$31:$I$50,2,FALSE))</f>
        <v>60</v>
      </c>
      <c r="QD23" s="1078">
        <f>+IFERROR(VLOOKUP(QD$6&amp;"-"&amp;$M23&amp;"_old",Ammortamento_Finanziario!$H:$L,5,FALSE),VLOOKUP($M23,TT_Tabelle_Riferimento!$H$31:$I$50,2,FALSE))</f>
        <v>60</v>
      </c>
      <c r="QE23" s="1078">
        <f>+IFERROR(VLOOKUP(QE$6&amp;"-"&amp;$M23&amp;"_old",Ammortamento_Finanziario!$H:$L,5,FALSE),VLOOKUP($M23,TT_Tabelle_Riferimento!$H$31:$I$50,2,FALSE))</f>
        <v>60</v>
      </c>
      <c r="QF23" s="1078">
        <f>+IFERROR(VLOOKUP(QF$6&amp;"-"&amp;$M23&amp;"_old",Ammortamento_Finanziario!$H:$L,5,FALSE),VLOOKUP($M23,TT_Tabelle_Riferimento!$H$31:$I$50,2,FALSE))</f>
        <v>60</v>
      </c>
      <c r="QG23" s="1078">
        <f>+IFERROR(VLOOKUP(QG$6&amp;"-"&amp;$M23&amp;"_old",Ammortamento_Finanziario!$H:$L,5,FALSE),VLOOKUP($M23,TT_Tabelle_Riferimento!$H$31:$I$50,2,FALSE))</f>
        <v>60</v>
      </c>
      <c r="QH23" s="1755">
        <f>+IFERROR(VLOOKUP(QH$6&amp;"-"&amp;$M23&amp;"_old",Ammortamento_Finanziario!$H:$L,5,FALSE),VLOOKUP($M23,TT_Tabelle_Riferimento!$H$31:$I$50,2,FALSE))</f>
        <v>60</v>
      </c>
      <c r="QI23" s="1755">
        <f>+IFERROR(VLOOKUP(QI$6&amp;"-"&amp;$M23&amp;"_old",Ammortamento_Finanziario!$H:$L,5,FALSE),VLOOKUP($M23,TT_Tabelle_Riferimento!$H$31:$I$50,2,FALSE))</f>
        <v>60</v>
      </c>
      <c r="QJ23" s="1078">
        <f>+IFERROR(VLOOKUP(QJ$6&amp;"-"&amp;$M23&amp;"_old",Ammortamento_Finanziario!$H:$L,5,FALSE),VLOOKUP($M23,TT_Tabelle_Riferimento!$H$31:$I$50,2,FALSE))</f>
        <v>60</v>
      </c>
      <c r="QK23" s="1078">
        <f>+IFERROR(VLOOKUP(QK$6&amp;"-"&amp;$M23&amp;"_old",Ammortamento_Finanziario!$H:$L,5,FALSE),VLOOKUP($M23,TT_Tabelle_Riferimento!$H$31:$I$50,2,FALSE))</f>
        <v>60</v>
      </c>
      <c r="QL23" s="1078">
        <f>+IFERROR(VLOOKUP(QL$6&amp;"-"&amp;$M23&amp;"_old",Ammortamento_Finanziario!$H:$L,5,FALSE),VLOOKUP($M23,TT_Tabelle_Riferimento!$H$31:$I$50,2,FALSE))</f>
        <v>60</v>
      </c>
      <c r="QM23" s="1078">
        <f>+IFERROR(VLOOKUP(QM$6&amp;"-"&amp;$M23&amp;"_old",Ammortamento_Finanziario!$H:$L,5,FALSE),VLOOKUP($M23,TT_Tabelle_Riferimento!$H$31:$I$50,2,FALSE))</f>
        <v>60</v>
      </c>
      <c r="QN23" s="1078">
        <f>+IFERROR(VLOOKUP(QN$6&amp;"-"&amp;$M23&amp;"_old",Ammortamento_Finanziario!$H:$L,5,FALSE),VLOOKUP($M23,TT_Tabelle_Riferimento!$H$31:$I$50,2,FALSE))</f>
        <v>60</v>
      </c>
      <c r="QO23" s="1078">
        <f>+IFERROR(VLOOKUP(QO$6&amp;"-"&amp;$M23&amp;"_old",Ammortamento_Finanziario!$H:$L,5,FALSE),VLOOKUP($M23,TT_Tabelle_Riferimento!$H$31:$I$50,2,FALSE))</f>
        <v>60</v>
      </c>
      <c r="QP23" s="1078">
        <f>+IFERROR(VLOOKUP(QP$6&amp;"-"&amp;$M23&amp;"_old",Ammortamento_Finanziario!$H:$L,5,FALSE),VLOOKUP($M23,TT_Tabelle_Riferimento!$H$31:$I$50,2,FALSE))</f>
        <v>60</v>
      </c>
      <c r="QQ23" s="1078">
        <f>+IFERROR(VLOOKUP(QQ$6&amp;"-"&amp;$M23&amp;"_old",Ammortamento_Finanziario!$H:$L,5,FALSE),VLOOKUP($M23,TT_Tabelle_Riferimento!$H$31:$I$50,2,FALSE))</f>
        <v>60</v>
      </c>
      <c r="QR23" s="1078">
        <f>+IFERROR(VLOOKUP(QR$6&amp;"-"&amp;$M23&amp;"_old",Ammortamento_Finanziario!$H:$L,5,FALSE),VLOOKUP($M23,TT_Tabelle_Riferimento!$H$31:$I$50,2,FALSE))</f>
        <v>60</v>
      </c>
      <c r="QS23" s="1078">
        <f>+IFERROR(VLOOKUP(QS$6&amp;"-"&amp;$M23&amp;"_old",Ammortamento_Finanziario!$H:$L,5,FALSE),VLOOKUP($M23,TT_Tabelle_Riferimento!$H$31:$I$50,2,FALSE))</f>
        <v>60</v>
      </c>
      <c r="QT23" s="1078">
        <f>+IFERROR(VLOOKUP(QT$6&amp;"-"&amp;$M23&amp;"_old",Ammortamento_Finanziario!$H:$L,5,FALSE),VLOOKUP($M23,TT_Tabelle_Riferimento!$H$31:$I$50,2,FALSE))</f>
        <v>60</v>
      </c>
      <c r="QU23" s="1078">
        <f>+IFERROR(VLOOKUP(QU$6&amp;"-"&amp;$M23&amp;"_old",Ammortamento_Finanziario!$H:$L,5,FALSE),VLOOKUP($M23,TT_Tabelle_Riferimento!$H$31:$I$50,2,FALSE))</f>
        <v>60</v>
      </c>
      <c r="QV23" s="1078">
        <f>+IFERROR(VLOOKUP(QV$6&amp;"-"&amp;$M23&amp;"_old",Ammortamento_Finanziario!$H:$L,5,FALSE),VLOOKUP($M23,TT_Tabelle_Riferimento!$H$31:$I$50,2,FALSE))</f>
        <v>60</v>
      </c>
      <c r="QW23" s="1078">
        <f>+IFERROR(VLOOKUP(QW$6&amp;"-"&amp;$M23&amp;"_old",Ammortamento_Finanziario!$H:$L,5,FALSE),VLOOKUP($M23,TT_Tabelle_Riferimento!$H$31:$I$50,2,FALSE))</f>
        <v>60</v>
      </c>
      <c r="QX23" s="1078">
        <f>+IFERROR(VLOOKUP(QX$6&amp;"-"&amp;$M23&amp;"_old",Ammortamento_Finanziario!$H:$L,5,FALSE),VLOOKUP($M23,TT_Tabelle_Riferimento!$H$31:$I$50,2,FALSE))</f>
        <v>60</v>
      </c>
      <c r="QY23" s="1078">
        <f>+IFERROR(VLOOKUP(QY$6&amp;"-"&amp;$M23&amp;"_old",Ammortamento_Finanziario!$H:$L,5,FALSE),VLOOKUP($M23,TT_Tabelle_Riferimento!$H$31:$I$50,2,FALSE))</f>
        <v>60</v>
      </c>
      <c r="QZ23" s="1078">
        <f>+IFERROR(VLOOKUP(QZ$6&amp;"-"&amp;$M23&amp;"_old",Ammortamento_Finanziario!$H:$L,5,FALSE),VLOOKUP($M23,TT_Tabelle_Riferimento!$H$31:$I$50,2,FALSE))</f>
        <v>60</v>
      </c>
      <c r="RA23" s="1078">
        <f>+IFERROR(VLOOKUP(RA$6&amp;"-"&amp;$M23&amp;"_old",Ammortamento_Finanziario!$H:$L,5,FALSE),VLOOKUP($M23,TT_Tabelle_Riferimento!$H$31:$I$50,2,FALSE))</f>
        <v>60</v>
      </c>
      <c r="RB23" s="1078">
        <f>+IFERROR(VLOOKUP(RB$6&amp;"-"&amp;$M23&amp;"_old",Ammortamento_Finanziario!$H:$L,5,FALSE),VLOOKUP($M23,TT_Tabelle_Riferimento!$H$31:$I$50,2,FALSE))</f>
        <v>60</v>
      </c>
      <c r="RC23" s="1755">
        <f>+IFERROR(VLOOKUP(RC$6&amp;"-"&amp;$M23&amp;"_old",Ammortamento_Finanziario!$H:$L,5,FALSE),VLOOKUP($M23,TT_Tabelle_Riferimento!$H$31:$I$50,2,FALSE))</f>
        <v>60</v>
      </c>
      <c r="RD23" s="1078">
        <f>+IFERROR(VLOOKUP(RD$6&amp;"-"&amp;$M23&amp;"_old",Ammortamento_Finanziario!$H:$L,5,FALSE),VLOOKUP($M23,TT_Tabelle_Riferimento!$H$31:$I$50,2,FALSE))</f>
        <v>60</v>
      </c>
      <c r="RE23" s="1078">
        <f>+IFERROR(VLOOKUP(RE$6&amp;"-"&amp;$M23&amp;"_old",Ammortamento_Finanziario!$H:$L,5,FALSE),VLOOKUP($M23,TT_Tabelle_Riferimento!$H$31:$I$50,2,FALSE))</f>
        <v>60</v>
      </c>
      <c r="RF23" s="1078">
        <f>+IFERROR(VLOOKUP(RF$6&amp;"-"&amp;$M23&amp;"_old",Ammortamento_Finanziario!$H:$L,5,FALSE),VLOOKUP($M23,TT_Tabelle_Riferimento!$H$31:$I$50,2,FALSE))</f>
        <v>60</v>
      </c>
      <c r="RG23" s="1078">
        <f>+IFERROR(VLOOKUP(RG$6&amp;"-"&amp;$M23&amp;"_old",Ammortamento_Finanziario!$H:$L,5,FALSE),VLOOKUP($M23,TT_Tabelle_Riferimento!$H$31:$I$50,2,FALSE))</f>
        <v>60</v>
      </c>
      <c r="RH23" s="1078">
        <f>+IFERROR(VLOOKUP(RH$6&amp;"-"&amp;$M23&amp;"_old",Ammortamento_Finanziario!$H:$L,5,FALSE),VLOOKUP($M23,TT_Tabelle_Riferimento!$H$31:$I$50,2,FALSE))</f>
        <v>60</v>
      </c>
      <c r="RI23" s="1078">
        <f>+IFERROR(VLOOKUP(RI$6&amp;"-"&amp;$M23&amp;"_old",Ammortamento_Finanziario!$H:$L,5,FALSE),VLOOKUP($M23,TT_Tabelle_Riferimento!$H$31:$I$50,2,FALSE))</f>
        <v>60</v>
      </c>
      <c r="RJ23" s="1078">
        <f>+IFERROR(VLOOKUP(RJ$6&amp;"-"&amp;$M23&amp;"_old",Ammortamento_Finanziario!$H:$L,5,FALSE),VLOOKUP($M23,TT_Tabelle_Riferimento!$H$31:$I$50,2,FALSE))</f>
        <v>60</v>
      </c>
      <c r="RK23" s="1078">
        <f>+IFERROR(VLOOKUP(RK$6&amp;"-"&amp;$M23&amp;"_old",Ammortamento_Finanziario!$H:$L,5,FALSE),VLOOKUP($M23,TT_Tabelle_Riferimento!$H$31:$I$50,2,FALSE))</f>
        <v>60</v>
      </c>
      <c r="RL23" s="1078">
        <f>+IFERROR(VLOOKUP(RL$6&amp;"-"&amp;$M23&amp;"_old",Ammortamento_Finanziario!$H:$L,5,FALSE),VLOOKUP($M23,TT_Tabelle_Riferimento!$H$31:$I$50,2,FALSE))</f>
        <v>60</v>
      </c>
      <c r="RM23" s="1078">
        <f>+IFERROR(VLOOKUP(RM$6&amp;"-"&amp;$M23&amp;"_old",Ammortamento_Finanziario!$H:$L,5,FALSE),VLOOKUP($M23,TT_Tabelle_Riferimento!$H$31:$I$50,2,FALSE))</f>
        <v>60</v>
      </c>
      <c r="RN23" s="1078">
        <f>+IFERROR(VLOOKUP(RN$6&amp;"-"&amp;$M23&amp;"_old",Ammortamento_Finanziario!$H:$L,5,FALSE),VLOOKUP($M23,TT_Tabelle_Riferimento!$H$31:$I$50,2,FALSE))</f>
        <v>60</v>
      </c>
      <c r="RO23" s="1078">
        <f>+IFERROR(VLOOKUP(RO$6&amp;"-"&amp;$M23&amp;"_old",Ammortamento_Finanziario!$H:$L,5,FALSE),VLOOKUP($M23,TT_Tabelle_Riferimento!$H$31:$I$50,2,FALSE))</f>
        <v>60</v>
      </c>
      <c r="RP23" s="1078">
        <f>+IFERROR(VLOOKUP(RP$6&amp;"-"&amp;$M23&amp;"_old",Ammortamento_Finanziario!$H:$L,5,FALSE),VLOOKUP($M23,TT_Tabelle_Riferimento!$H$31:$I$50,2,FALSE))</f>
        <v>60</v>
      </c>
      <c r="RQ23" s="1078">
        <f>+IFERROR(VLOOKUP(RQ$6&amp;"-"&amp;$M23&amp;"_old",Ammortamento_Finanziario!$H:$L,5,FALSE),VLOOKUP($M23,TT_Tabelle_Riferimento!$H$31:$I$50,2,FALSE))</f>
        <v>60</v>
      </c>
      <c r="RR23" s="1078">
        <f>+IFERROR(VLOOKUP(RR$6&amp;"-"&amp;$M23&amp;"_old",Ammortamento_Finanziario!$H:$L,5,FALSE),VLOOKUP($M23,TT_Tabelle_Riferimento!$H$31:$I$50,2,FALSE))</f>
        <v>60</v>
      </c>
      <c r="RS23" s="1078">
        <f>+IFERROR(VLOOKUP(RS$6&amp;"-"&amp;$M23&amp;"_old",Ammortamento_Finanziario!$H:$L,5,FALSE),VLOOKUP($M23,TT_Tabelle_Riferimento!$H$31:$I$50,2,FALSE))</f>
        <v>60</v>
      </c>
      <c r="RT23" s="1078">
        <f>+IFERROR(VLOOKUP(RT$6&amp;"-"&amp;$M23&amp;"_old",Ammortamento_Finanziario!$H:$L,5,FALSE),VLOOKUP($M23,TT_Tabelle_Riferimento!$H$31:$I$50,2,FALSE))</f>
        <v>60</v>
      </c>
      <c r="RU23" s="1078">
        <f>+IFERROR(VLOOKUP(RU$6&amp;"-"&amp;$M23&amp;"_old",Ammortamento_Finanziario!$H:$L,5,FALSE),VLOOKUP($M23,TT_Tabelle_Riferimento!$H$31:$I$50,2,FALSE))</f>
        <v>60</v>
      </c>
      <c r="RV23" s="1078">
        <f>+IFERROR(VLOOKUP(RV$6&amp;"-"&amp;$M23&amp;"_old",Ammortamento_Finanziario!$H:$L,5,FALSE),VLOOKUP($M23,TT_Tabelle_Riferimento!$H$31:$I$50,2,FALSE))</f>
        <v>60</v>
      </c>
    </row>
    <row r="24" spans="4:490" ht="15.75">
      <c r="D24" s="135" t="s">
        <v>22702</v>
      </c>
      <c r="E24" s="719">
        <f>+SUMIFS(IMN_gestore!W:W,IMN_gestore!$E:$E,"&gt;="&amp;2012,IMN_gestore!$E:$E,"&lt;="&amp;2022)</f>
        <v>0</v>
      </c>
      <c r="F24" s="719">
        <f>+SUMIFS(IMN_gestore!AH:AH,IMN_gestore!$E:$E,"&gt;="&amp;2012,IMN_gestore!$E:$E,"&lt;="&amp;2023)</f>
        <v>0</v>
      </c>
      <c r="G24" s="719">
        <f>+SUMIFS(IMN_gestore!AS:AS,IMN_gestore!$E:$E,"&gt;="&amp;2012,IMN_gestore!$E:$E,"&lt;="&amp;2024)</f>
        <v>0</v>
      </c>
      <c r="H24" s="719">
        <f>+SUMIFS(IMN_gestore!BD:BD,IMN_gestore!$E:$E,"&gt;="&amp;2012,IMN_gestore!$E:$E,"&lt;="&amp;2025)</f>
        <v>0</v>
      </c>
      <c r="I24" s="719">
        <f>+SUMIFS(IMN_gestore!$BO:$BO,IMN_gestore!$E:$E,"&gt;="&amp;2012,IMN_gestore!$E:$E,"&lt;="&amp;2026)</f>
        <v>0</v>
      </c>
      <c r="J24" s="719">
        <f>+SUMIFS(IMN_gestore!$BZ:$BZ,IMN_gestore!$E:$E,"&gt;="&amp;2012,IMN_gestore!$E:$E,"&lt;="&amp;2027)</f>
        <v>0</v>
      </c>
      <c r="K24" s="136"/>
      <c r="L24" s="136"/>
      <c r="M24" s="420">
        <v>39</v>
      </c>
      <c r="N24" s="904">
        <f>+IFERROR(VLOOKUP(N$6&amp;"-"&amp;$M24&amp;"_old",Ammortamento_Finanziario!$H:$L,5,FALSE),VLOOKUP($M24,TT_Tabelle_Riferimento!$H$31:$I$50,2,FALSE))</f>
        <v>30</v>
      </c>
      <c r="O24" s="904">
        <f>+IFERROR(VLOOKUP(O$6&amp;"-"&amp;$M24&amp;"_old",Ammortamento_Finanziario!$H:$L,5,FALSE),VLOOKUP($M24,TT_Tabelle_Riferimento!$H$31:$I$50,2,FALSE))</f>
        <v>30</v>
      </c>
      <c r="P24" s="904">
        <f>+IFERROR(VLOOKUP(P$6&amp;"-"&amp;$M24&amp;"_old",Ammortamento_Finanziario!$H:$L,5,FALSE),VLOOKUP($M24,TT_Tabelle_Riferimento!$H$31:$I$50,2,FALSE))</f>
        <v>30</v>
      </c>
      <c r="Q24" s="904">
        <f>+IFERROR(VLOOKUP(Q$6&amp;"-"&amp;$M24&amp;"_old",Ammortamento_Finanziario!$H:$L,5,FALSE),VLOOKUP($M24,TT_Tabelle_Riferimento!$H$31:$I$50,2,FALSE))</f>
        <v>30</v>
      </c>
      <c r="R24" s="904">
        <f>+IFERROR(VLOOKUP(R$6&amp;"-"&amp;$M24&amp;"_old",Ammortamento_Finanziario!$H:$L,5,FALSE),VLOOKUP($M24,TT_Tabelle_Riferimento!$H$31:$I$50,2,FALSE))</f>
        <v>30</v>
      </c>
      <c r="S24" s="904">
        <f>+IFERROR(VLOOKUP(S$6&amp;"-"&amp;$M24&amp;"_old",Ammortamento_Finanziario!$H:$L,5,FALSE),VLOOKUP($M24,TT_Tabelle_Riferimento!$H$31:$I$50,2,FALSE))</f>
        <v>30</v>
      </c>
      <c r="T24" s="904">
        <f>+IFERROR(VLOOKUP(T$6&amp;"-"&amp;$M24&amp;"_old",Ammortamento_Finanziario!$H:$L,5,FALSE),VLOOKUP($M24,TT_Tabelle_Riferimento!$H$31:$I$50,2,FALSE))</f>
        <v>30</v>
      </c>
      <c r="U24" s="904">
        <f>+IFERROR(VLOOKUP(U$6&amp;"-"&amp;$M24&amp;"_old",Ammortamento_Finanziario!$H:$L,5,FALSE),VLOOKUP($M24,TT_Tabelle_Riferimento!$H$31:$I$50,2,FALSE))</f>
        <v>30</v>
      </c>
      <c r="V24" s="904">
        <f>+IFERROR(VLOOKUP(V$6&amp;"-"&amp;$M24&amp;"_old",Ammortamento_Finanziario!$H:$L,5,FALSE),VLOOKUP($M24,TT_Tabelle_Riferimento!$H$31:$I$50,2,FALSE))</f>
        <v>30</v>
      </c>
      <c r="W24" s="904">
        <f>+IFERROR(VLOOKUP(W$6&amp;"-"&amp;$M24&amp;"_old",Ammortamento_Finanziario!$H:$L,5,FALSE),VLOOKUP($M24,TT_Tabelle_Riferimento!$H$31:$I$50,2,FALSE))</f>
        <v>30</v>
      </c>
      <c r="X24" s="1739">
        <f>+IFERROR(VLOOKUP(X$6&amp;"-"&amp;$M24&amp;"_old",Ammortamento_Finanziario!$H:$L,5,FALSE),VLOOKUP($M24,TT_Tabelle_Riferimento!$H$31:$I$50,2,FALSE))</f>
        <v>30</v>
      </c>
      <c r="Y24" s="1739">
        <f>+IFERROR(VLOOKUP(Y$6&amp;"-"&amp;$M24&amp;"_old",Ammortamento_Finanziario!$H:$L,5,FALSE),VLOOKUP($M24,TT_Tabelle_Riferimento!$H$31:$I$50,2,FALSE))</f>
        <v>30</v>
      </c>
      <c r="Z24" s="1749">
        <f>+IFERROR(VLOOKUP(Z$6&amp;"-"&amp;$M24&amp;"_old",Ammortamento_Finanziario!$H:$L,5,FALSE),VLOOKUP($M24,TT_Tabelle_Riferimento!$H$31:$I$50,2,FALSE))</f>
        <v>30</v>
      </c>
      <c r="AA24" s="1749">
        <f>+IFERROR(VLOOKUP(AA$6&amp;"-"&amp;$M24&amp;"_old",Ammortamento_Finanziario!$H:$L,5,FALSE),VLOOKUP($M24,TT_Tabelle_Riferimento!$H$31:$I$50,2,FALSE))</f>
        <v>30</v>
      </c>
      <c r="AB24" s="1749">
        <f>+IFERROR(VLOOKUP(AB$6&amp;"-"&amp;$M24&amp;"_old",Ammortamento_Finanziario!$H:$L,5,FALSE),VLOOKUP($M24,TT_Tabelle_Riferimento!$H$31:$I$50,2,FALSE))</f>
        <v>30</v>
      </c>
      <c r="AC24" s="1749">
        <f>+IFERROR(VLOOKUP(AC$6&amp;"-"&amp;$M24&amp;"_old",Ammortamento_Finanziario!$H:$L,5,FALSE),VLOOKUP($M24,TT_Tabelle_Riferimento!$H$31:$I$50,2,FALSE))</f>
        <v>30</v>
      </c>
      <c r="AD24" s="1749">
        <f>+IFERROR(VLOOKUP(AD$6&amp;"-"&amp;$M24&amp;"_old",Ammortamento_Finanziario!$H:$L,5,FALSE),VLOOKUP($M24,TT_Tabelle_Riferimento!$H$31:$I$50,2,FALSE))</f>
        <v>30</v>
      </c>
      <c r="AE24" s="1749">
        <f>+IFERROR(VLOOKUP(AE$6&amp;"-"&amp;$M24&amp;"_old",Ammortamento_Finanziario!$H:$L,5,FALSE),VLOOKUP($M24,TT_Tabelle_Riferimento!$H$31:$I$50,2,FALSE))</f>
        <v>30</v>
      </c>
      <c r="AF24" s="625">
        <f>+IFERROR(VLOOKUP(AF$6&amp;"-"&amp;$M24&amp;"_old",Ammortamento_Finanziario!$H:$L,5,FALSE),VLOOKUP($M24,TT_Tabelle_Riferimento!$H$31:$I$50,2,FALSE))</f>
        <v>30</v>
      </c>
      <c r="AG24" s="625">
        <f>+IFERROR(VLOOKUP(AG$6&amp;"-"&amp;$M24&amp;"_old",Ammortamento_Finanziario!$H:$L,5,FALSE),VLOOKUP($M24,TT_Tabelle_Riferimento!$H$31:$I$50,2,FALSE))</f>
        <v>30</v>
      </c>
      <c r="AH24" s="625">
        <f>+IFERROR(VLOOKUP(AH$6&amp;"-"&amp;$M24&amp;"_old",Ammortamento_Finanziario!$H:$L,5,FALSE),VLOOKUP($M24,TT_Tabelle_Riferimento!$H$31:$I$50,2,FALSE))</f>
        <v>30</v>
      </c>
      <c r="AI24" s="625">
        <f>+IFERROR(VLOOKUP(AI$6&amp;"-"&amp;$M24&amp;"_old",Ammortamento_Finanziario!$H:$L,5,FALSE),VLOOKUP($M24,TT_Tabelle_Riferimento!$H$31:$I$50,2,FALSE))</f>
        <v>30</v>
      </c>
      <c r="AJ24" s="625">
        <f>+IFERROR(VLOOKUP(AJ$6&amp;"-"&amp;$M24&amp;"_old",Ammortamento_Finanziario!$H:$L,5,FALSE),VLOOKUP($M24,TT_Tabelle_Riferimento!$H$31:$I$50,2,FALSE))</f>
        <v>30</v>
      </c>
      <c r="AK24" s="625">
        <f>+IFERROR(VLOOKUP(AK$6&amp;"-"&amp;$M24&amp;"_old",Ammortamento_Finanziario!$H:$L,5,FALSE),VLOOKUP($M24,TT_Tabelle_Riferimento!$H$31:$I$50,2,FALSE))</f>
        <v>30</v>
      </c>
      <c r="AL24" s="625">
        <f>+IFERROR(VLOOKUP(AL$6&amp;"-"&amp;$M24&amp;"_old",Ammortamento_Finanziario!$H:$L,5,FALSE),VLOOKUP($M24,TT_Tabelle_Riferimento!$H$31:$I$50,2,FALSE))</f>
        <v>30</v>
      </c>
      <c r="AM24" s="625">
        <f>+IFERROR(VLOOKUP(AM$6&amp;"-"&amp;$M24&amp;"_old",Ammortamento_Finanziario!$H:$L,5,FALSE),VLOOKUP($M24,TT_Tabelle_Riferimento!$H$31:$I$50,2,FALSE))</f>
        <v>30</v>
      </c>
      <c r="AN24" s="625">
        <f>+IFERROR(VLOOKUP(AN$6&amp;"-"&amp;$M24&amp;"_old",Ammortamento_Finanziario!$H:$L,5,FALSE),VLOOKUP($M24,TT_Tabelle_Riferimento!$H$31:$I$50,2,FALSE))</f>
        <v>30</v>
      </c>
      <c r="AO24" s="625">
        <f>+IFERROR(VLOOKUP(AO$6&amp;"-"&amp;$M24&amp;"_old",Ammortamento_Finanziario!$H:$L,5,FALSE),VLOOKUP($M24,TT_Tabelle_Riferimento!$H$31:$I$50,2,FALSE))</f>
        <v>30</v>
      </c>
      <c r="AP24" s="625">
        <f>+IFERROR(VLOOKUP(AP$6&amp;"-"&amp;$M24&amp;"_old",Ammortamento_Finanziario!$H:$L,5,FALSE),VLOOKUP($M24,TT_Tabelle_Riferimento!$H$31:$I$50,2,FALSE))</f>
        <v>30</v>
      </c>
      <c r="AQ24" s="625">
        <f>+IFERROR(VLOOKUP(AQ$6&amp;"-"&amp;$M24&amp;"_old",Ammortamento_Finanziario!$H:$L,5,FALSE),VLOOKUP($M24,TT_Tabelle_Riferimento!$H$31:$I$50,2,FALSE))</f>
        <v>30</v>
      </c>
      <c r="AR24" s="625">
        <f>+IFERROR(VLOOKUP(AR$6&amp;"-"&amp;$M24&amp;"_old",Ammortamento_Finanziario!$H:$L,5,FALSE),VLOOKUP($M24,TT_Tabelle_Riferimento!$H$31:$I$50,2,FALSE))</f>
        <v>30</v>
      </c>
      <c r="AS24" s="625">
        <f>+IFERROR(VLOOKUP(AS$6&amp;"-"&amp;$M24&amp;"_old",Ammortamento_Finanziario!$H:$L,5,FALSE),VLOOKUP($M24,TT_Tabelle_Riferimento!$H$31:$I$50,2,FALSE))</f>
        <v>30</v>
      </c>
      <c r="AT24" s="625">
        <f>+IFERROR(VLOOKUP(AT$6&amp;"-"&amp;$M24&amp;"_old",Ammortamento_Finanziario!$H:$L,5,FALSE),VLOOKUP($M24,TT_Tabelle_Riferimento!$H$31:$I$50,2,FALSE))</f>
        <v>30</v>
      </c>
      <c r="AU24" s="625">
        <f>+IFERROR(VLOOKUP(AU$6&amp;"-"&amp;$M24&amp;"_old",Ammortamento_Finanziario!$H:$L,5,FALSE),VLOOKUP($M24,TT_Tabelle_Riferimento!$H$31:$I$50,2,FALSE))</f>
        <v>30</v>
      </c>
      <c r="AV24" s="625">
        <f>+IFERROR(VLOOKUP(AV$6&amp;"-"&amp;$M24&amp;"_old",Ammortamento_Finanziario!$H:$L,5,FALSE),VLOOKUP($M24,TT_Tabelle_Riferimento!$H$31:$I$50,2,FALSE))</f>
        <v>30</v>
      </c>
      <c r="AW24" s="625">
        <f>+IFERROR(VLOOKUP(AW$6&amp;"-"&amp;$M24&amp;"_old",Ammortamento_Finanziario!$H:$L,5,FALSE),VLOOKUP($M24,TT_Tabelle_Riferimento!$H$31:$I$50,2,FALSE))</f>
        <v>30</v>
      </c>
      <c r="AX24" s="625">
        <f>+IFERROR(VLOOKUP(AX$6&amp;"-"&amp;$M24&amp;"_old",Ammortamento_Finanziario!$H:$L,5,FALSE),VLOOKUP($M24,TT_Tabelle_Riferimento!$H$31:$I$50,2,FALSE))</f>
        <v>30</v>
      </c>
      <c r="AY24" s="905">
        <f>+IFERROR(VLOOKUP(AY$6&amp;"-"&amp;$M24&amp;"_old",Ammortamento_Finanziario!$H:$L,5,FALSE),VLOOKUP($M24,TT_Tabelle_Riferimento!$H$31:$I$50,2,FALSE))</f>
        <v>30</v>
      </c>
      <c r="AZ24" s="905">
        <f>+IFERROR(VLOOKUP(AZ$6&amp;"-"&amp;$M24&amp;"_old",Ammortamento_Finanziario!$H:$L,5,FALSE),VLOOKUP($M24,TT_Tabelle_Riferimento!$H$31:$I$50,2,FALSE))</f>
        <v>30</v>
      </c>
      <c r="BA24" s="905">
        <f>+IFERROR(VLOOKUP(BA$6&amp;"-"&amp;$M24&amp;"_old",Ammortamento_Finanziario!$H:$L,5,FALSE),VLOOKUP($M24,TT_Tabelle_Riferimento!$H$31:$I$50,2,FALSE))</f>
        <v>30</v>
      </c>
      <c r="BB24" s="905">
        <f>+IFERROR(VLOOKUP(BB$6&amp;"-"&amp;$M24&amp;"_old",Ammortamento_Finanziario!$H:$L,5,FALSE),VLOOKUP($M24,TT_Tabelle_Riferimento!$H$31:$I$50,2,FALSE))</f>
        <v>30</v>
      </c>
      <c r="BC24" s="905">
        <f>+IFERROR(VLOOKUP(BC$6&amp;"-"&amp;$M24&amp;"_old",Ammortamento_Finanziario!$H:$L,5,FALSE),VLOOKUP($M24,TT_Tabelle_Riferimento!$H$31:$I$50,2,FALSE))</f>
        <v>30</v>
      </c>
      <c r="BD24" s="905">
        <f>+IFERROR(VLOOKUP(BD$6&amp;"-"&amp;$M24&amp;"_old",Ammortamento_Finanziario!$H:$L,5,FALSE),VLOOKUP($M24,TT_Tabelle_Riferimento!$H$31:$I$50,2,FALSE))</f>
        <v>30</v>
      </c>
      <c r="BE24" s="905">
        <f>+IFERROR(VLOOKUP(BE$6&amp;"-"&amp;$M24&amp;"_old",Ammortamento_Finanziario!$H:$L,5,FALSE),VLOOKUP($M24,TT_Tabelle_Riferimento!$H$31:$I$50,2,FALSE))</f>
        <v>30</v>
      </c>
      <c r="BF24" s="905">
        <f>+IFERROR(VLOOKUP(BF$6&amp;"-"&amp;$M24&amp;"_old",Ammortamento_Finanziario!$H:$L,5,FALSE),VLOOKUP($M24,TT_Tabelle_Riferimento!$H$31:$I$50,2,FALSE))</f>
        <v>30</v>
      </c>
      <c r="BG24" s="1740">
        <f>+IFERROR(VLOOKUP(BG$6&amp;"-"&amp;$M24&amp;"_old",Ammortamento_Finanziario!$H:$L,5,FALSE),VLOOKUP($M24,TT_Tabelle_Riferimento!$H$31:$I$50,2,FALSE))</f>
        <v>30</v>
      </c>
      <c r="BH24" s="1740">
        <f>+IFERROR(VLOOKUP(BH$6&amp;"-"&amp;$M24&amp;"_old",Ammortamento_Finanziario!$H:$L,5,FALSE),VLOOKUP($M24,TT_Tabelle_Riferimento!$H$31:$I$50,2,FALSE))</f>
        <v>30</v>
      </c>
      <c r="BI24" s="1749">
        <f>+IFERROR(VLOOKUP(BI$6&amp;"-"&amp;$M24&amp;"_old",Ammortamento_Finanziario!$H:$L,5,FALSE),VLOOKUP($M24,TT_Tabelle_Riferimento!$H$31:$I$50,2,FALSE))</f>
        <v>30</v>
      </c>
      <c r="BJ24" s="1749">
        <f>+IFERROR(VLOOKUP(BJ$6&amp;"-"&amp;$M24&amp;"_old",Ammortamento_Finanziario!$H:$L,5,FALSE),VLOOKUP($M24,TT_Tabelle_Riferimento!$H$31:$I$50,2,FALSE))</f>
        <v>30</v>
      </c>
      <c r="BK24" s="1749">
        <f>+IFERROR(VLOOKUP(BK$6&amp;"-"&amp;$M24&amp;"_old",Ammortamento_Finanziario!$H:$L,5,FALSE),VLOOKUP($M24,TT_Tabelle_Riferimento!$H$31:$I$50,2,FALSE))</f>
        <v>30</v>
      </c>
      <c r="BL24" s="1749">
        <f>+IFERROR(VLOOKUP(BL$6&amp;"-"&amp;$M24&amp;"_old",Ammortamento_Finanziario!$H:$L,5,FALSE),VLOOKUP($M24,TT_Tabelle_Riferimento!$H$31:$I$50,2,FALSE))</f>
        <v>30</v>
      </c>
      <c r="BM24" s="1749">
        <f>+IFERROR(VLOOKUP(BM$6&amp;"-"&amp;$M24&amp;"_old",Ammortamento_Finanziario!$H:$L,5,FALSE),VLOOKUP($M24,TT_Tabelle_Riferimento!$H$31:$I$50,2,FALSE))</f>
        <v>30</v>
      </c>
      <c r="BN24" s="1749">
        <f>+IFERROR(VLOOKUP(BN$6&amp;"-"&amp;$M24&amp;"_old",Ammortamento_Finanziario!$H:$L,5,FALSE),VLOOKUP($M24,TT_Tabelle_Riferimento!$H$31:$I$50,2,FALSE))</f>
        <v>30</v>
      </c>
      <c r="BO24" s="625">
        <f>+IFERROR(VLOOKUP(BO$6&amp;"-"&amp;$M24&amp;"_old",Ammortamento_Finanziario!$H:$L,5,FALSE),VLOOKUP($M24,TT_Tabelle_Riferimento!$H$31:$I$50,2,FALSE))</f>
        <v>30</v>
      </c>
      <c r="BP24" s="625">
        <f>+IFERROR(VLOOKUP(BP$6&amp;"-"&amp;$M24&amp;"_old",Ammortamento_Finanziario!$H:$L,5,FALSE),VLOOKUP($M24,TT_Tabelle_Riferimento!$H$31:$I$50,2,FALSE))</f>
        <v>30</v>
      </c>
      <c r="BQ24" s="625">
        <f>+IFERROR(VLOOKUP(BQ$6&amp;"-"&amp;$M24&amp;"_old",Ammortamento_Finanziario!$H:$L,5,FALSE),VLOOKUP($M24,TT_Tabelle_Riferimento!$H$31:$I$50,2,FALSE))</f>
        <v>30</v>
      </c>
      <c r="BR24" s="625">
        <f>+IFERROR(VLOOKUP(BR$6&amp;"-"&amp;$M24&amp;"_old",Ammortamento_Finanziario!$H:$L,5,FALSE),VLOOKUP($M24,TT_Tabelle_Riferimento!$H$31:$I$50,2,FALSE))</f>
        <v>30</v>
      </c>
      <c r="BS24" s="625">
        <f>+IFERROR(VLOOKUP(BS$6&amp;"-"&amp;$M24&amp;"_old",Ammortamento_Finanziario!$H:$L,5,FALSE),VLOOKUP($M24,TT_Tabelle_Riferimento!$H$31:$I$50,2,FALSE))</f>
        <v>30</v>
      </c>
      <c r="BT24" s="625">
        <f>+IFERROR(VLOOKUP(BT$6&amp;"-"&amp;$M24&amp;"_old",Ammortamento_Finanziario!$H:$L,5,FALSE),VLOOKUP($M24,TT_Tabelle_Riferimento!$H$31:$I$50,2,FALSE))</f>
        <v>30</v>
      </c>
      <c r="BU24" s="625">
        <f>+IFERROR(VLOOKUP(BU$6&amp;"-"&amp;$M24&amp;"_old",Ammortamento_Finanziario!$H:$L,5,FALSE),VLOOKUP($M24,TT_Tabelle_Riferimento!$H$31:$I$50,2,FALSE))</f>
        <v>30</v>
      </c>
      <c r="BV24" s="625">
        <f>+IFERROR(VLOOKUP(BV$6&amp;"-"&amp;$M24&amp;"_old",Ammortamento_Finanziario!$H:$L,5,FALSE),VLOOKUP($M24,TT_Tabelle_Riferimento!$H$31:$I$50,2,FALSE))</f>
        <v>30</v>
      </c>
      <c r="BW24" s="625">
        <f>+IFERROR(VLOOKUP(BW$6&amp;"-"&amp;$M24&amp;"_old",Ammortamento_Finanziario!$H:$L,5,FALSE),VLOOKUP($M24,TT_Tabelle_Riferimento!$H$31:$I$50,2,FALSE))</f>
        <v>30</v>
      </c>
      <c r="BX24" s="625">
        <f>+IFERROR(VLOOKUP(BX$6&amp;"-"&amp;$M24&amp;"_old",Ammortamento_Finanziario!$H:$L,5,FALSE),VLOOKUP($M24,TT_Tabelle_Riferimento!$H$31:$I$50,2,FALSE))</f>
        <v>30</v>
      </c>
      <c r="BY24" s="625">
        <f>+IFERROR(VLOOKUP(BY$6&amp;"-"&amp;$M24&amp;"_old",Ammortamento_Finanziario!$H:$L,5,FALSE),VLOOKUP($M24,TT_Tabelle_Riferimento!$H$31:$I$50,2,FALSE))</f>
        <v>30</v>
      </c>
      <c r="BZ24" s="625">
        <f>+IFERROR(VLOOKUP(BZ$6&amp;"-"&amp;$M24&amp;"_old",Ammortamento_Finanziario!$H:$L,5,FALSE),VLOOKUP($M24,TT_Tabelle_Riferimento!$H$31:$I$50,2,FALSE))</f>
        <v>30</v>
      </c>
      <c r="CA24" s="625">
        <f>+IFERROR(VLOOKUP(CA$6&amp;"-"&amp;$M24&amp;"_old",Ammortamento_Finanziario!$H:$L,5,FALSE),VLOOKUP($M24,TT_Tabelle_Riferimento!$H$31:$I$50,2,FALSE))</f>
        <v>30</v>
      </c>
      <c r="CB24" s="625">
        <f>+IFERROR(VLOOKUP(CB$6&amp;"-"&amp;$M24&amp;"_old",Ammortamento_Finanziario!$H:$L,5,FALSE),VLOOKUP($M24,TT_Tabelle_Riferimento!$H$31:$I$50,2,FALSE))</f>
        <v>30</v>
      </c>
      <c r="CC24" s="625">
        <f>+IFERROR(VLOOKUP(CC$6&amp;"-"&amp;$M24&amp;"_old",Ammortamento_Finanziario!$H:$L,5,FALSE),VLOOKUP($M24,TT_Tabelle_Riferimento!$H$31:$I$50,2,FALSE))</f>
        <v>30</v>
      </c>
      <c r="CD24" s="625">
        <f>+IFERROR(VLOOKUP(CD$6&amp;"-"&amp;$M24&amp;"_old",Ammortamento_Finanziario!$H:$L,5,FALSE),VLOOKUP($M24,TT_Tabelle_Riferimento!$H$31:$I$50,2,FALSE))</f>
        <v>30</v>
      </c>
      <c r="CE24" s="625">
        <f>+IFERROR(VLOOKUP(CE$6&amp;"-"&amp;$M24&amp;"_old",Ammortamento_Finanziario!$H:$L,5,FALSE),VLOOKUP($M24,TT_Tabelle_Riferimento!$H$31:$I$50,2,FALSE))</f>
        <v>30</v>
      </c>
      <c r="CF24" s="625">
        <f>+IFERROR(VLOOKUP(CF$6&amp;"-"&amp;$M24&amp;"_old",Ammortamento_Finanziario!$H:$L,5,FALSE),VLOOKUP($M24,TT_Tabelle_Riferimento!$H$31:$I$50,2,FALSE))</f>
        <v>30</v>
      </c>
      <c r="CG24" s="625">
        <f>+IFERROR(VLOOKUP(CG$6&amp;"-"&amp;$M24&amp;"_old",Ammortamento_Finanziario!$H:$L,5,FALSE),VLOOKUP($M24,TT_Tabelle_Riferimento!$H$31:$I$50,2,FALSE))</f>
        <v>30</v>
      </c>
      <c r="CH24" s="905">
        <f>+IFERROR(VLOOKUP(CH$6&amp;"-"&amp;$M24&amp;"_old",Ammortamento_Finanziario!$H:$L,5,FALSE),VLOOKUP($M24,TT_Tabelle_Riferimento!$H$31:$I$50,2,FALSE))</f>
        <v>30</v>
      </c>
      <c r="CI24" s="905">
        <f>+IFERROR(VLOOKUP(CI$6&amp;"-"&amp;$M24&amp;"_old",Ammortamento_Finanziario!$H:$L,5,FALSE),VLOOKUP($M24,TT_Tabelle_Riferimento!$H$31:$I$50,2,FALSE))</f>
        <v>30</v>
      </c>
      <c r="CJ24" s="905">
        <f>+IFERROR(VLOOKUP(CJ$6&amp;"-"&amp;$M24&amp;"_old",Ammortamento_Finanziario!$H:$L,5,FALSE),VLOOKUP($M24,TT_Tabelle_Riferimento!$H$31:$I$50,2,FALSE))</f>
        <v>30</v>
      </c>
      <c r="CK24" s="905">
        <f>+IFERROR(VLOOKUP(CK$6&amp;"-"&amp;$M24&amp;"_old",Ammortamento_Finanziario!$H:$L,5,FALSE),VLOOKUP($M24,TT_Tabelle_Riferimento!$H$31:$I$50,2,FALSE))</f>
        <v>30</v>
      </c>
      <c r="CL24" s="905">
        <f>+IFERROR(VLOOKUP(CL$6&amp;"-"&amp;$M24&amp;"_old",Ammortamento_Finanziario!$H:$L,5,FALSE),VLOOKUP($M24,TT_Tabelle_Riferimento!$H$31:$I$50,2,FALSE))</f>
        <v>30</v>
      </c>
      <c r="CM24" s="905">
        <f>+IFERROR(VLOOKUP(CM$6&amp;"-"&amp;$M24&amp;"_old",Ammortamento_Finanziario!$H:$L,5,FALSE),VLOOKUP($M24,TT_Tabelle_Riferimento!$H$31:$I$50,2,FALSE))</f>
        <v>30</v>
      </c>
      <c r="CN24" s="905">
        <f>+IFERROR(VLOOKUP(CN$6&amp;"-"&amp;$M24&amp;"_old",Ammortamento_Finanziario!$H:$L,5,FALSE),VLOOKUP($M24,TT_Tabelle_Riferimento!$H$31:$I$50,2,FALSE))</f>
        <v>30</v>
      </c>
      <c r="CO24" s="1740">
        <f>+IFERROR(VLOOKUP(CO$6&amp;"-"&amp;$M24&amp;"_old",Ammortamento_Finanziario!$H:$L,5,FALSE),VLOOKUP($M24,TT_Tabelle_Riferimento!$H$31:$I$50,2,FALSE))</f>
        <v>30</v>
      </c>
      <c r="CP24" s="1740">
        <f>+IFERROR(VLOOKUP(CP$6&amp;"-"&amp;$M24&amp;"_old",Ammortamento_Finanziario!$H:$L,5,FALSE),VLOOKUP($M24,TT_Tabelle_Riferimento!$H$31:$I$50,2,FALSE))</f>
        <v>30</v>
      </c>
      <c r="CQ24" s="1749">
        <f>+IFERROR(VLOOKUP(CQ$6&amp;"-"&amp;$M24&amp;"_old",Ammortamento_Finanziario!$H:$L,5,FALSE),VLOOKUP($M24,TT_Tabelle_Riferimento!$H$31:$I$50,2,FALSE))</f>
        <v>30</v>
      </c>
      <c r="CR24" s="1749">
        <f>+IFERROR(VLOOKUP(CR$6&amp;"-"&amp;$M24&amp;"_old",Ammortamento_Finanziario!$H:$L,5,FALSE),VLOOKUP($M24,TT_Tabelle_Riferimento!$H$31:$I$50,2,FALSE))</f>
        <v>30</v>
      </c>
      <c r="CS24" s="1749">
        <f>+IFERROR(VLOOKUP(CS$6&amp;"-"&amp;$M24&amp;"_old",Ammortamento_Finanziario!$H:$L,5,FALSE),VLOOKUP($M24,TT_Tabelle_Riferimento!$H$31:$I$50,2,FALSE))</f>
        <v>30</v>
      </c>
      <c r="CT24" s="1749">
        <f>+IFERROR(VLOOKUP(CT$6&amp;"-"&amp;$M24&amp;"_old",Ammortamento_Finanziario!$H:$L,5,FALSE),VLOOKUP($M24,TT_Tabelle_Riferimento!$H$31:$I$50,2,FALSE))</f>
        <v>30</v>
      </c>
      <c r="CU24" s="1749">
        <f>+IFERROR(VLOOKUP(CU$6&amp;"-"&amp;$M24&amp;"_old",Ammortamento_Finanziario!$H:$L,5,FALSE),VLOOKUP($M24,TT_Tabelle_Riferimento!$H$31:$I$50,2,FALSE))</f>
        <v>30</v>
      </c>
      <c r="CV24" s="1749">
        <f>+IFERROR(VLOOKUP(CV$6&amp;"-"&amp;$M24&amp;"_old",Ammortamento_Finanziario!$H:$L,5,FALSE),VLOOKUP($M24,TT_Tabelle_Riferimento!$H$31:$I$50,2,FALSE))</f>
        <v>30</v>
      </c>
      <c r="CW24" s="625">
        <f>+IFERROR(VLOOKUP(CW$6&amp;"-"&amp;$M24&amp;"_old",Ammortamento_Finanziario!$H:$L,5,FALSE),VLOOKUP($M24,TT_Tabelle_Riferimento!$H$31:$I$50,2,FALSE))</f>
        <v>30</v>
      </c>
      <c r="CX24" s="625">
        <f>+IFERROR(VLOOKUP(CX$6&amp;"-"&amp;$M24&amp;"_old",Ammortamento_Finanziario!$H:$L,5,FALSE),VLOOKUP($M24,TT_Tabelle_Riferimento!$H$31:$I$50,2,FALSE))</f>
        <v>30</v>
      </c>
      <c r="CY24" s="625">
        <f>+IFERROR(VLOOKUP(CY$6&amp;"-"&amp;$M24&amp;"_old",Ammortamento_Finanziario!$H:$L,5,FALSE),VLOOKUP($M24,TT_Tabelle_Riferimento!$H$31:$I$50,2,FALSE))</f>
        <v>30</v>
      </c>
      <c r="CZ24" s="625">
        <f>+IFERROR(VLOOKUP(CZ$6&amp;"-"&amp;$M24&amp;"_old",Ammortamento_Finanziario!$H:$L,5,FALSE),VLOOKUP($M24,TT_Tabelle_Riferimento!$H$31:$I$50,2,FALSE))</f>
        <v>30</v>
      </c>
      <c r="DA24" s="625">
        <f>+IFERROR(VLOOKUP(DA$6&amp;"-"&amp;$M24&amp;"_old",Ammortamento_Finanziario!$H:$L,5,FALSE),VLOOKUP($M24,TT_Tabelle_Riferimento!$H$31:$I$50,2,FALSE))</f>
        <v>30</v>
      </c>
      <c r="DB24" s="625">
        <f>+IFERROR(VLOOKUP(DB$6&amp;"-"&amp;$M24&amp;"_old",Ammortamento_Finanziario!$H:$L,5,FALSE),VLOOKUP($M24,TT_Tabelle_Riferimento!$H$31:$I$50,2,FALSE))</f>
        <v>30</v>
      </c>
      <c r="DC24" s="625">
        <f>+IFERROR(VLOOKUP(DC$6&amp;"-"&amp;$M24&amp;"_old",Ammortamento_Finanziario!$H:$L,5,FALSE),VLOOKUP($M24,TT_Tabelle_Riferimento!$H$31:$I$50,2,FALSE))</f>
        <v>30</v>
      </c>
      <c r="DD24" s="625">
        <f>+IFERROR(VLOOKUP(DD$6&amp;"-"&amp;$M24&amp;"_old",Ammortamento_Finanziario!$H:$L,5,FALSE),VLOOKUP($M24,TT_Tabelle_Riferimento!$H$31:$I$50,2,FALSE))</f>
        <v>30</v>
      </c>
      <c r="DE24" s="625">
        <f>+IFERROR(VLOOKUP(DE$6&amp;"-"&amp;$M24&amp;"_old",Ammortamento_Finanziario!$H:$L,5,FALSE),VLOOKUP($M24,TT_Tabelle_Riferimento!$H$31:$I$50,2,FALSE))</f>
        <v>30</v>
      </c>
      <c r="DF24" s="625">
        <f>+IFERROR(VLOOKUP(DF$6&amp;"-"&amp;$M24&amp;"_old",Ammortamento_Finanziario!$H:$L,5,FALSE),VLOOKUP($M24,TT_Tabelle_Riferimento!$H$31:$I$50,2,FALSE))</f>
        <v>30</v>
      </c>
      <c r="DG24" s="625">
        <f>+IFERROR(VLOOKUP(DG$6&amp;"-"&amp;$M24&amp;"_old",Ammortamento_Finanziario!$H:$L,5,FALSE),VLOOKUP($M24,TT_Tabelle_Riferimento!$H$31:$I$50,2,FALSE))</f>
        <v>30</v>
      </c>
      <c r="DH24" s="625">
        <f>+IFERROR(VLOOKUP(DH$6&amp;"-"&amp;$M24&amp;"_old",Ammortamento_Finanziario!$H:$L,5,FALSE),VLOOKUP($M24,TT_Tabelle_Riferimento!$H$31:$I$50,2,FALSE))</f>
        <v>30</v>
      </c>
      <c r="DI24" s="625">
        <f>+IFERROR(VLOOKUP(DI$6&amp;"-"&amp;$M24&amp;"_old",Ammortamento_Finanziario!$H:$L,5,FALSE),VLOOKUP($M24,TT_Tabelle_Riferimento!$H$31:$I$50,2,FALSE))</f>
        <v>30</v>
      </c>
      <c r="DJ24" s="625">
        <f>+IFERROR(VLOOKUP(DJ$6&amp;"-"&amp;$M24&amp;"_old",Ammortamento_Finanziario!$H:$L,5,FALSE),VLOOKUP($M24,TT_Tabelle_Riferimento!$H$31:$I$50,2,FALSE))</f>
        <v>30</v>
      </c>
      <c r="DK24" s="625">
        <f>+IFERROR(VLOOKUP(DK$6&amp;"-"&amp;$M24&amp;"_old",Ammortamento_Finanziario!$H:$L,5,FALSE),VLOOKUP($M24,TT_Tabelle_Riferimento!$H$31:$I$50,2,FALSE))</f>
        <v>30</v>
      </c>
      <c r="DL24" s="625">
        <f>+IFERROR(VLOOKUP(DL$6&amp;"-"&amp;$M24&amp;"_old",Ammortamento_Finanziario!$H:$L,5,FALSE),VLOOKUP($M24,TT_Tabelle_Riferimento!$H$31:$I$50,2,FALSE))</f>
        <v>30</v>
      </c>
      <c r="DM24" s="625">
        <f>+IFERROR(VLOOKUP(DM$6&amp;"-"&amp;$M24&amp;"_old",Ammortamento_Finanziario!$H:$L,5,FALSE),VLOOKUP($M24,TT_Tabelle_Riferimento!$H$31:$I$50,2,FALSE))</f>
        <v>30</v>
      </c>
      <c r="DN24" s="625">
        <f>+IFERROR(VLOOKUP(DN$6&amp;"-"&amp;$M24&amp;"_old",Ammortamento_Finanziario!$H:$L,5,FALSE),VLOOKUP($M24,TT_Tabelle_Riferimento!$H$31:$I$50,2,FALSE))</f>
        <v>30</v>
      </c>
      <c r="DO24" s="625">
        <f>+IFERROR(VLOOKUP(DO$6&amp;"-"&amp;$M24&amp;"_old",Ammortamento_Finanziario!$H:$L,5,FALSE),VLOOKUP($M24,TT_Tabelle_Riferimento!$H$31:$I$50,2,FALSE))</f>
        <v>30</v>
      </c>
      <c r="DP24" s="636">
        <f>+IFERROR(VLOOKUP(DP$6&amp;"-"&amp;$M24&amp;"_old",Ammortamento_Finanziario!$H:$L,5,FALSE),VLOOKUP($M24,TT_Tabelle_Riferimento!$H$31:$I$50,2,FALSE))</f>
        <v>30</v>
      </c>
      <c r="DQ24" s="636">
        <f>+IFERROR(VLOOKUP(DQ$6&amp;"-"&amp;$M24&amp;"_old",Ammortamento_Finanziario!$H:$L,5,FALSE),VLOOKUP($M24,TT_Tabelle_Riferimento!$H$31:$I$50,2,FALSE))</f>
        <v>30</v>
      </c>
      <c r="DR24" s="636">
        <f>+IFERROR(VLOOKUP(DR$6&amp;"-"&amp;$M24&amp;"_old",Ammortamento_Finanziario!$H:$L,5,FALSE),VLOOKUP($M24,TT_Tabelle_Riferimento!$H$31:$I$50,2,FALSE))</f>
        <v>30</v>
      </c>
      <c r="DS24" s="636">
        <f>+IFERROR(VLOOKUP(DS$6&amp;"-"&amp;$M24&amp;"_old",Ammortamento_Finanziario!$H:$L,5,FALSE),VLOOKUP($M24,TT_Tabelle_Riferimento!$H$31:$I$50,2,FALSE))</f>
        <v>30</v>
      </c>
      <c r="DT24" s="636">
        <f>+IFERROR(VLOOKUP(DT$6&amp;"-"&amp;$M24&amp;"_old",Ammortamento_Finanziario!$H:$L,5,FALSE),VLOOKUP($M24,TT_Tabelle_Riferimento!$H$31:$I$50,2,FALSE))</f>
        <v>30</v>
      </c>
      <c r="DU24" s="636">
        <f>+IFERROR(VLOOKUP(DU$6&amp;"-"&amp;$M24&amp;"_old",Ammortamento_Finanziario!$H:$L,5,FALSE),VLOOKUP($M24,TT_Tabelle_Riferimento!$H$31:$I$50,2,FALSE))</f>
        <v>30</v>
      </c>
      <c r="DV24" s="1742">
        <f>+IFERROR(VLOOKUP(DV$6&amp;"-"&amp;$M24&amp;"_old",Ammortamento_Finanziario!$H:$L,5,FALSE),VLOOKUP($M24,TT_Tabelle_Riferimento!$H$31:$I$50,2,FALSE))</f>
        <v>30</v>
      </c>
      <c r="DW24" s="1742">
        <f>+IFERROR(VLOOKUP(DW$6&amp;"-"&amp;$M24&amp;"_old",Ammortamento_Finanziario!$H:$L,5,FALSE),VLOOKUP($M24,TT_Tabelle_Riferimento!$H$31:$I$50,2,FALSE))</f>
        <v>30</v>
      </c>
      <c r="DX24" s="1750">
        <f>+IFERROR(VLOOKUP(DX$6&amp;"-"&amp;$M24&amp;"_old",Ammortamento_Finanziario!$H:$L,5,FALSE),VLOOKUP($M24,TT_Tabelle_Riferimento!$H$31:$I$50,2,FALSE))</f>
        <v>30</v>
      </c>
      <c r="DY24" s="1750">
        <f>+IFERROR(VLOOKUP(DY$6&amp;"-"&amp;$M24&amp;"_old",Ammortamento_Finanziario!$H:$L,5,FALSE),VLOOKUP($M24,TT_Tabelle_Riferimento!$H$31:$I$50,2,FALSE))</f>
        <v>30</v>
      </c>
      <c r="DZ24" s="1750">
        <f>+IFERROR(VLOOKUP(DZ$6&amp;"-"&amp;$M24&amp;"_old",Ammortamento_Finanziario!$H:$L,5,FALSE),VLOOKUP($M24,TT_Tabelle_Riferimento!$H$31:$I$50,2,FALSE))</f>
        <v>30</v>
      </c>
      <c r="EA24" s="1750">
        <f>+IFERROR(VLOOKUP(EA$6&amp;"-"&amp;$M24&amp;"_old",Ammortamento_Finanziario!$H:$L,5,FALSE),VLOOKUP($M24,TT_Tabelle_Riferimento!$H$31:$I$50,2,FALSE))</f>
        <v>30</v>
      </c>
      <c r="EB24" s="1750">
        <f>+IFERROR(VLOOKUP(EB$6&amp;"-"&amp;$M24&amp;"_old",Ammortamento_Finanziario!$H:$L,5,FALSE),VLOOKUP($M24,TT_Tabelle_Riferimento!$H$31:$I$50,2,FALSE))</f>
        <v>30</v>
      </c>
      <c r="EC24" s="1750">
        <f>+IFERROR(VLOOKUP(EC$6&amp;"-"&amp;$M24&amp;"_old",Ammortamento_Finanziario!$H:$L,5,FALSE),VLOOKUP($M24,TT_Tabelle_Riferimento!$H$31:$I$50,2,FALSE))</f>
        <v>30</v>
      </c>
      <c r="ED24" s="636">
        <f>+IFERROR(VLOOKUP(ED$6&amp;"-"&amp;$M24&amp;"_old",Ammortamento_Finanziario!$H:$L,5,FALSE),VLOOKUP($M24,TT_Tabelle_Riferimento!$H$31:$I$50,2,FALSE))</f>
        <v>30</v>
      </c>
      <c r="EE24" s="636">
        <f>+IFERROR(VLOOKUP(EE$6&amp;"-"&amp;$M24&amp;"_old",Ammortamento_Finanziario!$H:$L,5,FALSE),VLOOKUP($M24,TT_Tabelle_Riferimento!$H$31:$I$50,2,FALSE))</f>
        <v>30</v>
      </c>
      <c r="EF24" s="636">
        <f>+IFERROR(VLOOKUP(EF$6&amp;"-"&amp;$M24&amp;"_old",Ammortamento_Finanziario!$H:$L,5,FALSE),VLOOKUP($M24,TT_Tabelle_Riferimento!$H$31:$I$50,2,FALSE))</f>
        <v>30</v>
      </c>
      <c r="EG24" s="636">
        <f>+IFERROR(VLOOKUP(EG$6&amp;"-"&amp;$M24&amp;"_old",Ammortamento_Finanziario!$H:$L,5,FALSE),VLOOKUP($M24,TT_Tabelle_Riferimento!$H$31:$I$50,2,FALSE))</f>
        <v>30</v>
      </c>
      <c r="EH24" s="636">
        <f>+IFERROR(VLOOKUP(EH$6&amp;"-"&amp;$M24&amp;"_old",Ammortamento_Finanziario!$H:$L,5,FALSE),VLOOKUP($M24,TT_Tabelle_Riferimento!$H$31:$I$50,2,FALSE))</f>
        <v>30</v>
      </c>
      <c r="EI24" s="636">
        <f>+IFERROR(VLOOKUP(EI$6&amp;"-"&amp;$M24&amp;"_old",Ammortamento_Finanziario!$H:$L,5,FALSE),VLOOKUP($M24,TT_Tabelle_Riferimento!$H$31:$I$50,2,FALSE))</f>
        <v>30</v>
      </c>
      <c r="EJ24" s="636">
        <f>+IFERROR(VLOOKUP(EJ$6&amp;"-"&amp;$M24&amp;"_old",Ammortamento_Finanziario!$H:$L,5,FALSE),VLOOKUP($M24,TT_Tabelle_Riferimento!$H$31:$I$50,2,FALSE))</f>
        <v>30</v>
      </c>
      <c r="EK24" s="636">
        <f>+IFERROR(VLOOKUP(EK$6&amp;"-"&amp;$M24&amp;"_old",Ammortamento_Finanziario!$H:$L,5,FALSE),VLOOKUP($M24,TT_Tabelle_Riferimento!$H$31:$I$50,2,FALSE))</f>
        <v>30</v>
      </c>
      <c r="EL24" s="636">
        <f>+IFERROR(VLOOKUP(EL$6&amp;"-"&amp;$M24&amp;"_old",Ammortamento_Finanziario!$H:$L,5,FALSE),VLOOKUP($M24,TT_Tabelle_Riferimento!$H$31:$I$50,2,FALSE))</f>
        <v>30</v>
      </c>
      <c r="EM24" s="636">
        <f>+IFERROR(VLOOKUP(EM$6&amp;"-"&amp;$M24&amp;"_old",Ammortamento_Finanziario!$H:$L,5,FALSE),VLOOKUP($M24,TT_Tabelle_Riferimento!$H$31:$I$50,2,FALSE))</f>
        <v>30</v>
      </c>
      <c r="EN24" s="636">
        <f>+IFERROR(VLOOKUP(EN$6&amp;"-"&amp;$M24&amp;"_old",Ammortamento_Finanziario!$H:$L,5,FALSE),VLOOKUP($M24,TT_Tabelle_Riferimento!$H$31:$I$50,2,FALSE))</f>
        <v>30</v>
      </c>
      <c r="EO24" s="636">
        <f>+IFERROR(VLOOKUP(EO$6&amp;"-"&amp;$M24&amp;"_old",Ammortamento_Finanziario!$H:$L,5,FALSE),VLOOKUP($M24,TT_Tabelle_Riferimento!$H$31:$I$50,2,FALSE))</f>
        <v>30</v>
      </c>
      <c r="EP24" s="636">
        <f>+IFERROR(VLOOKUP(EP$6&amp;"-"&amp;$M24&amp;"_old",Ammortamento_Finanziario!$H:$L,5,FALSE),VLOOKUP($M24,TT_Tabelle_Riferimento!$H$31:$I$50,2,FALSE))</f>
        <v>30</v>
      </c>
      <c r="EQ24" s="636">
        <f>+IFERROR(VLOOKUP(EQ$6&amp;"-"&amp;$M24&amp;"_old",Ammortamento_Finanziario!$H:$L,5,FALSE),VLOOKUP($M24,TT_Tabelle_Riferimento!$H$31:$I$50,2,FALSE))</f>
        <v>30</v>
      </c>
      <c r="ER24" s="636">
        <f>+IFERROR(VLOOKUP(ER$6&amp;"-"&amp;$M24&amp;"_old",Ammortamento_Finanziario!$H:$L,5,FALSE),VLOOKUP($M24,TT_Tabelle_Riferimento!$H$31:$I$50,2,FALSE))</f>
        <v>30</v>
      </c>
      <c r="ES24" s="636">
        <f>+IFERROR(VLOOKUP(ES$6&amp;"-"&amp;$M24&amp;"_old",Ammortamento_Finanziario!$H:$L,5,FALSE),VLOOKUP($M24,TT_Tabelle_Riferimento!$H$31:$I$50,2,FALSE))</f>
        <v>30</v>
      </c>
      <c r="ET24" s="636">
        <f>+IFERROR(VLOOKUP(ET$6&amp;"-"&amp;$M24&amp;"_old",Ammortamento_Finanziario!$H:$L,5,FALSE),VLOOKUP($M24,TT_Tabelle_Riferimento!$H$31:$I$50,2,FALSE))</f>
        <v>30</v>
      </c>
      <c r="EU24" s="636">
        <f>+IFERROR(VLOOKUP(EU$6&amp;"-"&amp;$M24&amp;"_old",Ammortamento_Finanziario!$H:$L,5,FALSE),VLOOKUP($M24,TT_Tabelle_Riferimento!$H$31:$I$50,2,FALSE))</f>
        <v>30</v>
      </c>
      <c r="EV24" s="636">
        <f>+IFERROR(VLOOKUP(EV$6&amp;"-"&amp;$M24&amp;"_old",Ammortamento_Finanziario!$H:$L,5,FALSE),VLOOKUP($M24,TT_Tabelle_Riferimento!$H$31:$I$50,2,FALSE))</f>
        <v>30</v>
      </c>
      <c r="EW24" s="1048">
        <f>+IFERROR(VLOOKUP(EW$6&amp;"-"&amp;$M24&amp;"_old",Ammortamento_Finanziario!$H:$L,5,FALSE),VLOOKUP($M24,TT_Tabelle_Riferimento!$H$31:$I$50,2,FALSE))</f>
        <v>30</v>
      </c>
      <c r="EX24" s="1048">
        <f>+IFERROR(VLOOKUP(EX$6&amp;"-"&amp;$M24&amp;"_old",Ammortamento_Finanziario!$H:$L,5,FALSE),VLOOKUP($M24,TT_Tabelle_Riferimento!$H$31:$I$50,2,FALSE))</f>
        <v>30</v>
      </c>
      <c r="EY24" s="1048">
        <f>+IFERROR(VLOOKUP(EY$6&amp;"-"&amp;$M24&amp;"_old",Ammortamento_Finanziario!$H:$L,5,FALSE),VLOOKUP($M24,TT_Tabelle_Riferimento!$H$31:$I$50,2,FALSE))</f>
        <v>30</v>
      </c>
      <c r="EZ24" s="1048">
        <f>+IFERROR(VLOOKUP(EZ$6&amp;"-"&amp;$M24&amp;"_old",Ammortamento_Finanziario!$H:$L,5,FALSE),VLOOKUP($M24,TT_Tabelle_Riferimento!$H$31:$I$50,2,FALSE))</f>
        <v>30</v>
      </c>
      <c r="FA24" s="1048">
        <f>+IFERROR(VLOOKUP(FA$6&amp;"-"&amp;$M24&amp;"_old",Ammortamento_Finanziario!$H:$L,5,FALSE),VLOOKUP($M24,TT_Tabelle_Riferimento!$H$31:$I$50,2,FALSE))</f>
        <v>30</v>
      </c>
      <c r="FB24" s="1743">
        <f>+IFERROR(VLOOKUP(FB$6&amp;"-"&amp;$M24&amp;"_old",Ammortamento_Finanziario!$H:$L,5,FALSE),VLOOKUP($M24,TT_Tabelle_Riferimento!$H$31:$I$50,2,FALSE))</f>
        <v>30</v>
      </c>
      <c r="FC24" s="1743">
        <f>+IFERROR(VLOOKUP(FC$6&amp;"-"&amp;$M24&amp;"_old",Ammortamento_Finanziario!$H:$L,5,FALSE),VLOOKUP($M24,TT_Tabelle_Riferimento!$H$31:$I$50,2,FALSE))</f>
        <v>30</v>
      </c>
      <c r="FD24" s="1751">
        <f>+IFERROR(VLOOKUP(FD$6&amp;"-"&amp;$M24&amp;"_old",Ammortamento_Finanziario!$H:$L,5,FALSE),VLOOKUP($M24,TT_Tabelle_Riferimento!$H$31:$I$50,2,FALSE))</f>
        <v>30</v>
      </c>
      <c r="FE24" s="1751">
        <f>+IFERROR(VLOOKUP(FE$6&amp;"-"&amp;$M24&amp;"_old",Ammortamento_Finanziario!$H:$L,5,FALSE),VLOOKUP($M24,TT_Tabelle_Riferimento!$H$31:$I$50,2,FALSE))</f>
        <v>30</v>
      </c>
      <c r="FF24" s="1751">
        <f>+IFERROR(VLOOKUP(FF$6&amp;"-"&amp;$M24&amp;"_old",Ammortamento_Finanziario!$H:$L,5,FALSE),VLOOKUP($M24,TT_Tabelle_Riferimento!$H$31:$I$50,2,FALSE))</f>
        <v>30</v>
      </c>
      <c r="FG24" s="1751">
        <f>+IFERROR(VLOOKUP(FG$6&amp;"-"&amp;$M24&amp;"_old",Ammortamento_Finanziario!$H:$L,5,FALSE),VLOOKUP($M24,TT_Tabelle_Riferimento!$H$31:$I$50,2,FALSE))</f>
        <v>30</v>
      </c>
      <c r="FH24" s="1751">
        <f>+IFERROR(VLOOKUP(FH$6&amp;"-"&amp;$M24&amp;"_old",Ammortamento_Finanziario!$H:$L,5,FALSE),VLOOKUP($M24,TT_Tabelle_Riferimento!$H$31:$I$50,2,FALSE))</f>
        <v>30</v>
      </c>
      <c r="FI24" s="1751">
        <f>+IFERROR(VLOOKUP(FI$6&amp;"-"&amp;$M24&amp;"_old",Ammortamento_Finanziario!$H:$L,5,FALSE),VLOOKUP($M24,TT_Tabelle_Riferimento!$H$31:$I$50,2,FALSE))</f>
        <v>30</v>
      </c>
      <c r="FJ24" s="629">
        <f>+IFERROR(VLOOKUP(FJ$6&amp;"-"&amp;$M24&amp;"_old",Ammortamento_Finanziario!$H:$L,5,FALSE),VLOOKUP($M24,TT_Tabelle_Riferimento!$H$31:$I$50,2,FALSE))</f>
        <v>30</v>
      </c>
      <c r="FK24" s="629">
        <f>+IFERROR(VLOOKUP(FK$6&amp;"-"&amp;$M24&amp;"_old",Ammortamento_Finanziario!$H:$L,5,FALSE),VLOOKUP($M24,TT_Tabelle_Riferimento!$H$31:$I$50,2,FALSE))</f>
        <v>30</v>
      </c>
      <c r="FL24" s="629">
        <f>+IFERROR(VLOOKUP(FL$6&amp;"-"&amp;$M24&amp;"_old",Ammortamento_Finanziario!$H:$L,5,FALSE),VLOOKUP($M24,TT_Tabelle_Riferimento!$H$31:$I$50,2,FALSE))</f>
        <v>30</v>
      </c>
      <c r="FM24" s="629">
        <f>+IFERROR(VLOOKUP(FM$6&amp;"-"&amp;$M24&amp;"_old",Ammortamento_Finanziario!$H:$L,5,FALSE),VLOOKUP($M24,TT_Tabelle_Riferimento!$H$31:$I$50,2,FALSE))</f>
        <v>30</v>
      </c>
      <c r="FN24" s="629">
        <f>+IFERROR(VLOOKUP(FN$6&amp;"-"&amp;$M24&amp;"_old",Ammortamento_Finanziario!$H:$L,5,FALSE),VLOOKUP($M24,TT_Tabelle_Riferimento!$H$31:$I$50,2,FALSE))</f>
        <v>30</v>
      </c>
      <c r="FO24" s="629">
        <f>+IFERROR(VLOOKUP(FO$6&amp;"-"&amp;$M24&amp;"_old",Ammortamento_Finanziario!$H:$L,5,FALSE),VLOOKUP($M24,TT_Tabelle_Riferimento!$H$31:$I$50,2,FALSE))</f>
        <v>30</v>
      </c>
      <c r="FP24" s="629">
        <f>+IFERROR(VLOOKUP(FP$6&amp;"-"&amp;$M24&amp;"_old",Ammortamento_Finanziario!$H:$L,5,FALSE),VLOOKUP($M24,TT_Tabelle_Riferimento!$H$31:$I$50,2,FALSE))</f>
        <v>30</v>
      </c>
      <c r="FQ24" s="629">
        <f>+IFERROR(VLOOKUP(FQ$6&amp;"-"&amp;$M24&amp;"_old",Ammortamento_Finanziario!$H:$L,5,FALSE),VLOOKUP($M24,TT_Tabelle_Riferimento!$H$31:$I$50,2,FALSE))</f>
        <v>30</v>
      </c>
      <c r="FR24" s="629">
        <f>+IFERROR(VLOOKUP(FR$6&amp;"-"&amp;$M24&amp;"_old",Ammortamento_Finanziario!$H:$L,5,FALSE),VLOOKUP($M24,TT_Tabelle_Riferimento!$H$31:$I$50,2,FALSE))</f>
        <v>30</v>
      </c>
      <c r="FS24" s="629">
        <f>+IFERROR(VLOOKUP(FS$6&amp;"-"&amp;$M24&amp;"_old",Ammortamento_Finanziario!$H:$L,5,FALSE),VLOOKUP($M24,TT_Tabelle_Riferimento!$H$31:$I$50,2,FALSE))</f>
        <v>30</v>
      </c>
      <c r="FT24" s="629">
        <f>+IFERROR(VLOOKUP(FT$6&amp;"-"&amp;$M24&amp;"_old",Ammortamento_Finanziario!$H:$L,5,FALSE),VLOOKUP($M24,TT_Tabelle_Riferimento!$H$31:$I$50,2,FALSE))</f>
        <v>30</v>
      </c>
      <c r="FU24" s="629">
        <f>+IFERROR(VLOOKUP(FU$6&amp;"-"&amp;$M24&amp;"_old",Ammortamento_Finanziario!$H:$L,5,FALSE),VLOOKUP($M24,TT_Tabelle_Riferimento!$H$31:$I$50,2,FALSE))</f>
        <v>30</v>
      </c>
      <c r="FV24" s="629">
        <f>+IFERROR(VLOOKUP(FV$6&amp;"-"&amp;$M24&amp;"_old",Ammortamento_Finanziario!$H:$L,5,FALSE),VLOOKUP($M24,TT_Tabelle_Riferimento!$H$31:$I$50,2,FALSE))</f>
        <v>30</v>
      </c>
      <c r="FW24" s="629">
        <f>+IFERROR(VLOOKUP(FW$6&amp;"-"&amp;$M24&amp;"_old",Ammortamento_Finanziario!$H:$L,5,FALSE),VLOOKUP($M24,TT_Tabelle_Riferimento!$H$31:$I$50,2,FALSE))</f>
        <v>30</v>
      </c>
      <c r="FX24" s="629">
        <f>+IFERROR(VLOOKUP(FX$6&amp;"-"&amp;$M24&amp;"_old",Ammortamento_Finanziario!$H:$L,5,FALSE),VLOOKUP($M24,TT_Tabelle_Riferimento!$H$31:$I$50,2,FALSE))</f>
        <v>30</v>
      </c>
      <c r="FY24" s="629">
        <f>+IFERROR(VLOOKUP(FY$6&amp;"-"&amp;$M24&amp;"_old",Ammortamento_Finanziario!$H:$L,5,FALSE),VLOOKUP($M24,TT_Tabelle_Riferimento!$H$31:$I$50,2,FALSE))</f>
        <v>30</v>
      </c>
      <c r="FZ24" s="629">
        <f>+IFERROR(VLOOKUP(FZ$6&amp;"-"&amp;$M24&amp;"_old",Ammortamento_Finanziario!$H:$L,5,FALSE),VLOOKUP($M24,TT_Tabelle_Riferimento!$H$31:$I$50,2,FALSE))</f>
        <v>30</v>
      </c>
      <c r="GA24" s="629">
        <f>+IFERROR(VLOOKUP(GA$6&amp;"-"&amp;$M24&amp;"_old",Ammortamento_Finanziario!$H:$L,5,FALSE),VLOOKUP($M24,TT_Tabelle_Riferimento!$H$31:$I$50,2,FALSE))</f>
        <v>30</v>
      </c>
      <c r="GB24" s="629">
        <f>+IFERROR(VLOOKUP(GB$6&amp;"-"&amp;$M24&amp;"_old",Ammortamento_Finanziario!$H:$L,5,FALSE),VLOOKUP($M24,TT_Tabelle_Riferimento!$H$31:$I$50,2,FALSE))</f>
        <v>30</v>
      </c>
      <c r="GC24" s="635">
        <f>+IFERROR(VLOOKUP(GC$6&amp;"-"&amp;$M24&amp;"_old",Ammortamento_Finanziario!$H:$L,5,FALSE),VLOOKUP($M24,TT_Tabelle_Riferimento!$H$31:$I$50,2,FALSE))</f>
        <v>30</v>
      </c>
      <c r="GD24" s="635">
        <f>+IFERROR(VLOOKUP(GD$6&amp;"-"&amp;$M24&amp;"_old",Ammortamento_Finanziario!$H:$L,5,FALSE),VLOOKUP($M24,TT_Tabelle_Riferimento!$H$31:$I$50,2,FALSE))</f>
        <v>30</v>
      </c>
      <c r="GE24" s="635">
        <f>+IFERROR(VLOOKUP(GE$6&amp;"-"&amp;$M24&amp;"_old",Ammortamento_Finanziario!$H:$L,5,FALSE),VLOOKUP($M24,TT_Tabelle_Riferimento!$H$31:$I$50,2,FALSE))</f>
        <v>30</v>
      </c>
      <c r="GF24" s="635">
        <f>+IFERROR(VLOOKUP(GF$6&amp;"-"&amp;$M24&amp;"_old",Ammortamento_Finanziario!$H:$L,5,FALSE),VLOOKUP($M24,TT_Tabelle_Riferimento!$H$31:$I$50,2,FALSE))</f>
        <v>30</v>
      </c>
      <c r="GG24" s="1744">
        <f>+IFERROR(VLOOKUP(GG$6&amp;"-"&amp;$M24&amp;"_old",Ammortamento_Finanziario!$H:$L,5,FALSE),VLOOKUP($M24,TT_Tabelle_Riferimento!$H$31:$I$50,2,FALSE))</f>
        <v>30</v>
      </c>
      <c r="GH24" s="1744">
        <f>+IFERROR(VLOOKUP(GH$6&amp;"-"&amp;$M24&amp;"_old",Ammortamento_Finanziario!$H:$L,5,FALSE),VLOOKUP($M24,TT_Tabelle_Riferimento!$H$31:$I$50,2,FALSE))</f>
        <v>30</v>
      </c>
      <c r="GI24" s="1752">
        <f>+IFERROR(VLOOKUP(GI$6&amp;"-"&amp;$M24&amp;"_old",Ammortamento_Finanziario!$H:$L,5,FALSE),VLOOKUP($M24,TT_Tabelle_Riferimento!$H$31:$I$50,2,FALSE))</f>
        <v>30</v>
      </c>
      <c r="GJ24" s="1752">
        <f>+IFERROR(VLOOKUP(GJ$6&amp;"-"&amp;$M24&amp;"_old",Ammortamento_Finanziario!$H:$L,5,FALSE),VLOOKUP($M24,TT_Tabelle_Riferimento!$H$31:$I$50,2,FALSE))</f>
        <v>30</v>
      </c>
      <c r="GK24" s="1752">
        <f>+IFERROR(VLOOKUP(GK$6&amp;"-"&amp;$M24&amp;"_old",Ammortamento_Finanziario!$H:$L,5,FALSE),VLOOKUP($M24,TT_Tabelle_Riferimento!$H$31:$I$50,2,FALSE))</f>
        <v>30</v>
      </c>
      <c r="GL24" s="1752">
        <f>+IFERROR(VLOOKUP(GL$6&amp;"-"&amp;$M24&amp;"_old",Ammortamento_Finanziario!$H:$L,5,FALSE),VLOOKUP($M24,TT_Tabelle_Riferimento!$H$31:$I$50,2,FALSE))</f>
        <v>30</v>
      </c>
      <c r="GM24" s="1752">
        <f>+IFERROR(VLOOKUP(GM$6&amp;"-"&amp;$M24&amp;"_old",Ammortamento_Finanziario!$H:$L,5,FALSE),VLOOKUP($M24,TT_Tabelle_Riferimento!$H$31:$I$50,2,FALSE))</f>
        <v>30</v>
      </c>
      <c r="GN24" s="1752">
        <f>+IFERROR(VLOOKUP(GN$6&amp;"-"&amp;$M24&amp;"_old",Ammortamento_Finanziario!$H:$L,5,FALSE),VLOOKUP($M24,TT_Tabelle_Riferimento!$H$31:$I$50,2,FALSE))</f>
        <v>30</v>
      </c>
      <c r="GO24" s="628">
        <f>+IFERROR(VLOOKUP(GO$6&amp;"-"&amp;$M24&amp;"_old",Ammortamento_Finanziario!$H:$L,5,FALSE),VLOOKUP($M24,TT_Tabelle_Riferimento!$H$31:$I$50,2,FALSE))</f>
        <v>30</v>
      </c>
      <c r="GP24" s="628">
        <f>+IFERROR(VLOOKUP(GP$6&amp;"-"&amp;$M24&amp;"_old",Ammortamento_Finanziario!$H:$L,5,FALSE),VLOOKUP($M24,TT_Tabelle_Riferimento!$H$31:$I$50,2,FALSE))</f>
        <v>30</v>
      </c>
      <c r="GQ24" s="628">
        <f>+IFERROR(VLOOKUP(GQ$6&amp;"-"&amp;$M24&amp;"_old",Ammortamento_Finanziario!$H:$L,5,FALSE),VLOOKUP($M24,TT_Tabelle_Riferimento!$H$31:$I$50,2,FALSE))</f>
        <v>30</v>
      </c>
      <c r="GR24" s="628">
        <f>+IFERROR(VLOOKUP(GR$6&amp;"-"&amp;$M24&amp;"_old",Ammortamento_Finanziario!$H:$L,5,FALSE),VLOOKUP($M24,TT_Tabelle_Riferimento!$H$31:$I$50,2,FALSE))</f>
        <v>30</v>
      </c>
      <c r="GS24" s="628">
        <f>+IFERROR(VLOOKUP(GS$6&amp;"-"&amp;$M24&amp;"_old",Ammortamento_Finanziario!$H:$L,5,FALSE),VLOOKUP($M24,TT_Tabelle_Riferimento!$H$31:$I$50,2,FALSE))</f>
        <v>30</v>
      </c>
      <c r="GT24" s="628">
        <f>+IFERROR(VLOOKUP(GT$6&amp;"-"&amp;$M24&amp;"_old",Ammortamento_Finanziario!$H:$L,5,FALSE),VLOOKUP($M24,TT_Tabelle_Riferimento!$H$31:$I$50,2,FALSE))</f>
        <v>30</v>
      </c>
      <c r="GU24" s="628">
        <f>+IFERROR(VLOOKUP(GU$6&amp;"-"&amp;$M24&amp;"_old",Ammortamento_Finanziario!$H:$L,5,FALSE),VLOOKUP($M24,TT_Tabelle_Riferimento!$H$31:$I$50,2,FALSE))</f>
        <v>30</v>
      </c>
      <c r="GV24" s="628">
        <f>+IFERROR(VLOOKUP(GV$6&amp;"-"&amp;$M24&amp;"_old",Ammortamento_Finanziario!$H:$L,5,FALSE),VLOOKUP($M24,TT_Tabelle_Riferimento!$H$31:$I$50,2,FALSE))</f>
        <v>30</v>
      </c>
      <c r="GW24" s="628">
        <f>+IFERROR(VLOOKUP(GW$6&amp;"-"&amp;$M24&amp;"_old",Ammortamento_Finanziario!$H:$L,5,FALSE),VLOOKUP($M24,TT_Tabelle_Riferimento!$H$31:$I$50,2,FALSE))</f>
        <v>30</v>
      </c>
      <c r="GX24" s="628">
        <f>+IFERROR(VLOOKUP(GX$6&amp;"-"&amp;$M24&amp;"_old",Ammortamento_Finanziario!$H:$L,5,FALSE),VLOOKUP($M24,TT_Tabelle_Riferimento!$H$31:$I$50,2,FALSE))</f>
        <v>30</v>
      </c>
      <c r="GY24" s="628">
        <f>+IFERROR(VLOOKUP(GY$6&amp;"-"&amp;$M24&amp;"_old",Ammortamento_Finanziario!$H:$L,5,FALSE),VLOOKUP($M24,TT_Tabelle_Riferimento!$H$31:$I$50,2,FALSE))</f>
        <v>30</v>
      </c>
      <c r="GZ24" s="628">
        <f>+IFERROR(VLOOKUP(GZ$6&amp;"-"&amp;$M24&amp;"_old",Ammortamento_Finanziario!$H:$L,5,FALSE),VLOOKUP($M24,TT_Tabelle_Riferimento!$H$31:$I$50,2,FALSE))</f>
        <v>30</v>
      </c>
      <c r="HA24" s="628">
        <f>+IFERROR(VLOOKUP(HA$6&amp;"-"&amp;$M24&amp;"_old",Ammortamento_Finanziario!$H:$L,5,FALSE),VLOOKUP($M24,TT_Tabelle_Riferimento!$H$31:$I$50,2,FALSE))</f>
        <v>30</v>
      </c>
      <c r="HB24" s="628">
        <f>+IFERROR(VLOOKUP(HB$6&amp;"-"&amp;$M24&amp;"_old",Ammortamento_Finanziario!$H:$L,5,FALSE),VLOOKUP($M24,TT_Tabelle_Riferimento!$H$31:$I$50,2,FALSE))</f>
        <v>30</v>
      </c>
      <c r="HC24" s="628">
        <f>+IFERROR(VLOOKUP(HC$6&amp;"-"&amp;$M24&amp;"_old",Ammortamento_Finanziario!$H:$L,5,FALSE),VLOOKUP($M24,TT_Tabelle_Riferimento!$H$31:$I$50,2,FALSE))</f>
        <v>30</v>
      </c>
      <c r="HD24" s="628">
        <f>+IFERROR(VLOOKUP(HD$6&amp;"-"&amp;$M24&amp;"_old",Ammortamento_Finanziario!$H:$L,5,FALSE),VLOOKUP($M24,TT_Tabelle_Riferimento!$H$31:$I$50,2,FALSE))</f>
        <v>30</v>
      </c>
      <c r="HE24" s="628">
        <f>+IFERROR(VLOOKUP(HE$6&amp;"-"&amp;$M24&amp;"_old",Ammortamento_Finanziario!$H:$L,5,FALSE),VLOOKUP($M24,TT_Tabelle_Riferimento!$H$31:$I$50,2,FALSE))</f>
        <v>30</v>
      </c>
      <c r="HF24" s="628">
        <f>+IFERROR(VLOOKUP(HF$6&amp;"-"&amp;$M24&amp;"_old",Ammortamento_Finanziario!$H:$L,5,FALSE),VLOOKUP($M24,TT_Tabelle_Riferimento!$H$31:$I$50,2,FALSE))</f>
        <v>30</v>
      </c>
      <c r="HG24" s="628">
        <f>+IFERROR(VLOOKUP(HG$6&amp;"-"&amp;$M24&amp;"_old",Ammortamento_Finanziario!$H:$L,5,FALSE),VLOOKUP($M24,TT_Tabelle_Riferimento!$H$31:$I$50,2,FALSE))</f>
        <v>30</v>
      </c>
      <c r="HH24" s="422">
        <f>+IFERROR(VLOOKUP(HH$6&amp;"-"&amp;$M24&amp;"_old",Ammortamento_Finanziario!$H:$L,5,FALSE),VLOOKUP($M24,TT_Tabelle_Riferimento!$H$31:$I$50,2,FALSE))</f>
        <v>30</v>
      </c>
      <c r="HI24" s="422">
        <f>+IFERROR(VLOOKUP(HI$6&amp;"-"&amp;$M24&amp;"_old",Ammortamento_Finanziario!$H:$L,5,FALSE),VLOOKUP($M24,TT_Tabelle_Riferimento!$H$31:$I$50,2,FALSE))</f>
        <v>30</v>
      </c>
      <c r="HJ24" s="422">
        <f>+IFERROR(VLOOKUP(HJ$6&amp;"-"&amp;$M24&amp;"_old",Ammortamento_Finanziario!$H:$L,5,FALSE),VLOOKUP($M24,TT_Tabelle_Riferimento!$H$31:$I$50,2,FALSE))</f>
        <v>30</v>
      </c>
      <c r="HK24" s="1746">
        <f>+IFERROR(VLOOKUP(HK$6&amp;"-"&amp;$M24&amp;"_old",Ammortamento_Finanziario!$H:$L,5,FALSE),VLOOKUP($M24,TT_Tabelle_Riferimento!$H$31:$I$50,2,FALSE))</f>
        <v>30</v>
      </c>
      <c r="HL24" s="1746">
        <f>+IFERROR(VLOOKUP(HL$6&amp;"-"&amp;$M24&amp;"_old",Ammortamento_Finanziario!$H:$L,5,FALSE),VLOOKUP($M24,TT_Tabelle_Riferimento!$H$31:$I$50,2,FALSE))</f>
        <v>30</v>
      </c>
      <c r="HM24" s="1753">
        <f>+IFERROR(VLOOKUP(HM$6&amp;"-"&amp;$M24&amp;"_old",Ammortamento_Finanziario!$H:$L,5,FALSE),VLOOKUP($M24,TT_Tabelle_Riferimento!$H$31:$I$50,2,FALSE))</f>
        <v>30</v>
      </c>
      <c r="HN24" s="1753">
        <f>+IFERROR(VLOOKUP(HN$6&amp;"-"&amp;$M24&amp;"_old",Ammortamento_Finanziario!$H:$L,5,FALSE),VLOOKUP($M24,TT_Tabelle_Riferimento!$H$31:$I$50,2,FALSE))</f>
        <v>30</v>
      </c>
      <c r="HO24" s="1753">
        <f>+IFERROR(VLOOKUP(HO$6&amp;"-"&amp;$M24&amp;"_old",Ammortamento_Finanziario!$H:$L,5,FALSE),VLOOKUP($M24,TT_Tabelle_Riferimento!$H$31:$I$50,2,FALSE))</f>
        <v>30</v>
      </c>
      <c r="HP24" s="1753">
        <f>+IFERROR(VLOOKUP(HP$6&amp;"-"&amp;$M24&amp;"_old",Ammortamento_Finanziario!$H:$L,5,FALSE),VLOOKUP($M24,TT_Tabelle_Riferimento!$H$31:$I$50,2,FALSE))</f>
        <v>30</v>
      </c>
      <c r="HQ24" s="1753">
        <f>+IFERROR(VLOOKUP(HQ$6&amp;"-"&amp;$M24&amp;"_old",Ammortamento_Finanziario!$H:$L,5,FALSE),VLOOKUP($M24,TT_Tabelle_Riferimento!$H$31:$I$50,2,FALSE))</f>
        <v>30</v>
      </c>
      <c r="HR24" s="1753">
        <f>+IFERROR(VLOOKUP(HR$6&amp;"-"&amp;$M24&amp;"_old",Ammortamento_Finanziario!$H:$L,5,FALSE),VLOOKUP($M24,TT_Tabelle_Riferimento!$H$31:$I$50,2,FALSE))</f>
        <v>30</v>
      </c>
      <c r="HS24" s="422">
        <f>+IFERROR(VLOOKUP(HS$6&amp;"-"&amp;$M24&amp;"_old",Ammortamento_Finanziario!$H:$L,5,FALSE),VLOOKUP($M24,TT_Tabelle_Riferimento!$H$31:$I$50,2,FALSE))</f>
        <v>30</v>
      </c>
      <c r="HT24" s="422">
        <f>+IFERROR(VLOOKUP(HT$6&amp;"-"&amp;$M24&amp;"_old",Ammortamento_Finanziario!$H:$L,5,FALSE),VLOOKUP($M24,TT_Tabelle_Riferimento!$H$31:$I$50,2,FALSE))</f>
        <v>30</v>
      </c>
      <c r="HU24" s="422">
        <f>+IFERROR(VLOOKUP(HU$6&amp;"-"&amp;$M24&amp;"_old",Ammortamento_Finanziario!$H:$L,5,FALSE),VLOOKUP($M24,TT_Tabelle_Riferimento!$H$31:$I$50,2,FALSE))</f>
        <v>30</v>
      </c>
      <c r="HV24" s="422">
        <f>+IFERROR(VLOOKUP(HV$6&amp;"-"&amp;$M24&amp;"_old",Ammortamento_Finanziario!$H:$L,5,FALSE),VLOOKUP($M24,TT_Tabelle_Riferimento!$H$31:$I$50,2,FALSE))</f>
        <v>30</v>
      </c>
      <c r="HW24" s="422">
        <f>+IFERROR(VLOOKUP(HW$6&amp;"-"&amp;$M24&amp;"_old",Ammortamento_Finanziario!$H:$L,5,FALSE),VLOOKUP($M24,TT_Tabelle_Riferimento!$H$31:$I$50,2,FALSE))</f>
        <v>30</v>
      </c>
      <c r="HX24" s="422">
        <f>+IFERROR(VLOOKUP(HX$6&amp;"-"&amp;$M24&amp;"_old",Ammortamento_Finanziario!$H:$L,5,FALSE),VLOOKUP($M24,TT_Tabelle_Riferimento!$H$31:$I$50,2,FALSE))</f>
        <v>30</v>
      </c>
      <c r="HY24" s="422">
        <f>+IFERROR(VLOOKUP(HY$6&amp;"-"&amp;$M24&amp;"_old",Ammortamento_Finanziario!$H:$L,5,FALSE),VLOOKUP($M24,TT_Tabelle_Riferimento!$H$31:$I$50,2,FALSE))</f>
        <v>30</v>
      </c>
      <c r="HZ24" s="422">
        <f>+IFERROR(VLOOKUP(HZ$6&amp;"-"&amp;$M24&amp;"_old",Ammortamento_Finanziario!$H:$L,5,FALSE),VLOOKUP($M24,TT_Tabelle_Riferimento!$H$31:$I$50,2,FALSE))</f>
        <v>30</v>
      </c>
      <c r="IA24" s="422">
        <f>+IFERROR(VLOOKUP(IA$6&amp;"-"&amp;$M24&amp;"_old",Ammortamento_Finanziario!$H:$L,5,FALSE),VLOOKUP($M24,TT_Tabelle_Riferimento!$H$31:$I$50,2,FALSE))</f>
        <v>30</v>
      </c>
      <c r="IB24" s="422">
        <f>+IFERROR(VLOOKUP(IB$6&amp;"-"&amp;$M24&amp;"_old",Ammortamento_Finanziario!$H:$L,5,FALSE),VLOOKUP($M24,TT_Tabelle_Riferimento!$H$31:$I$50,2,FALSE))</f>
        <v>30</v>
      </c>
      <c r="IC24" s="422">
        <f>+IFERROR(VLOOKUP(IC$6&amp;"-"&amp;$M24&amp;"_old",Ammortamento_Finanziario!$H:$L,5,FALSE),VLOOKUP($M24,TT_Tabelle_Riferimento!$H$31:$I$50,2,FALSE))</f>
        <v>30</v>
      </c>
      <c r="ID24" s="422">
        <f>+IFERROR(VLOOKUP(ID$6&amp;"-"&amp;$M24&amp;"_old",Ammortamento_Finanziario!$H:$L,5,FALSE),VLOOKUP($M24,TT_Tabelle_Riferimento!$H$31:$I$50,2,FALSE))</f>
        <v>30</v>
      </c>
      <c r="IE24" s="422">
        <f>+IFERROR(VLOOKUP(IE$6&amp;"-"&amp;$M24&amp;"_old",Ammortamento_Finanziario!$H:$L,5,FALSE),VLOOKUP($M24,TT_Tabelle_Riferimento!$H$31:$I$50,2,FALSE))</f>
        <v>30</v>
      </c>
      <c r="IF24" s="422">
        <f>+IFERROR(VLOOKUP(IF$6&amp;"-"&amp;$M24&amp;"_old",Ammortamento_Finanziario!$H:$L,5,FALSE),VLOOKUP($M24,TT_Tabelle_Riferimento!$H$31:$I$50,2,FALSE))</f>
        <v>30</v>
      </c>
      <c r="IG24" s="422">
        <f>+IFERROR(VLOOKUP(IG$6&amp;"-"&amp;$M24&amp;"_old",Ammortamento_Finanziario!$H:$L,5,FALSE),VLOOKUP($M24,TT_Tabelle_Riferimento!$H$31:$I$50,2,FALSE))</f>
        <v>30</v>
      </c>
      <c r="IH24" s="422">
        <f>+IFERROR(VLOOKUP(IH$6&amp;"-"&amp;$M24&amp;"_old",Ammortamento_Finanziario!$H:$L,5,FALSE),VLOOKUP($M24,TT_Tabelle_Riferimento!$H$31:$I$50,2,FALSE))</f>
        <v>30</v>
      </c>
      <c r="II24" s="422">
        <f>+IFERROR(VLOOKUP(II$6&amp;"-"&amp;$M24&amp;"_old",Ammortamento_Finanziario!$H:$L,5,FALSE),VLOOKUP($M24,TT_Tabelle_Riferimento!$H$31:$I$50,2,FALSE))</f>
        <v>30</v>
      </c>
      <c r="IJ24" s="422">
        <f>+IFERROR(VLOOKUP(IJ$6&amp;"-"&amp;$M24&amp;"_old",Ammortamento_Finanziario!$H:$L,5,FALSE),VLOOKUP($M24,TT_Tabelle_Riferimento!$H$31:$I$50,2,FALSE))</f>
        <v>30</v>
      </c>
      <c r="IK24" s="422">
        <f>+IFERROR(VLOOKUP(IK$6&amp;"-"&amp;$M24&amp;"_old",Ammortamento_Finanziario!$H:$L,5,FALSE),VLOOKUP($M24,TT_Tabelle_Riferimento!$H$31:$I$50,2,FALSE))</f>
        <v>30</v>
      </c>
      <c r="IL24" s="1077">
        <f>+IFERROR(VLOOKUP(IL$6&amp;"-"&amp;$M24&amp;"_old",Ammortamento_Finanziario!$H:$L,5,FALSE),VLOOKUP($M24,TT_Tabelle_Riferimento!$H$31:$I$50,2,FALSE))</f>
        <v>30</v>
      </c>
      <c r="IM24" s="1077">
        <f>+IFERROR(VLOOKUP(IM$6&amp;"-"&amp;$M24&amp;"_old",Ammortamento_Finanziario!$H:$L,5,FALSE),VLOOKUP($M24,TT_Tabelle_Riferimento!$H$31:$I$50,2,FALSE))</f>
        <v>30</v>
      </c>
      <c r="IN24" s="1747">
        <f>+IFERROR(VLOOKUP(IN$6&amp;"-"&amp;$M24&amp;"_old",Ammortamento_Finanziario!$H:$L,5,FALSE),VLOOKUP($M24,TT_Tabelle_Riferimento!$H$31:$I$50,2,FALSE))</f>
        <v>30</v>
      </c>
      <c r="IO24" s="1747">
        <f>+IFERROR(VLOOKUP(IO$6&amp;"-"&amp;$M24&amp;"_old",Ammortamento_Finanziario!$H:$L,5,FALSE),VLOOKUP($M24,TT_Tabelle_Riferimento!$H$31:$I$50,2,FALSE))</f>
        <v>30</v>
      </c>
      <c r="IP24" s="1754">
        <f>+IFERROR(VLOOKUP(IP$6&amp;"-"&amp;$M24&amp;"_old",Ammortamento_Finanziario!$H:$L,5,FALSE),VLOOKUP($M24,TT_Tabelle_Riferimento!$H$31:$I$50,2,FALSE))</f>
        <v>30</v>
      </c>
      <c r="IQ24" s="1754">
        <f>+IFERROR(VLOOKUP(IQ$6&amp;"-"&amp;$M24&amp;"_old",Ammortamento_Finanziario!$H:$L,5,FALSE),VLOOKUP($M24,TT_Tabelle_Riferimento!$H$31:$I$50,2,FALSE))</f>
        <v>30</v>
      </c>
      <c r="IR24" s="1754">
        <f>+IFERROR(VLOOKUP(IR$6&amp;"-"&amp;$M24&amp;"_old",Ammortamento_Finanziario!$H:$L,5,FALSE),VLOOKUP($M24,TT_Tabelle_Riferimento!$H$31:$I$50,2,FALSE))</f>
        <v>30</v>
      </c>
      <c r="IS24" s="1754">
        <f>+IFERROR(VLOOKUP(IS$6&amp;"-"&amp;$M24&amp;"_old",Ammortamento_Finanziario!$H:$L,5,FALSE),VLOOKUP($M24,TT_Tabelle_Riferimento!$H$31:$I$50,2,FALSE))</f>
        <v>30</v>
      </c>
      <c r="IT24" s="1754">
        <f>+IFERROR(VLOOKUP(IT$6&amp;"-"&amp;$M24&amp;"_old",Ammortamento_Finanziario!$H:$L,5,FALSE),VLOOKUP($M24,TT_Tabelle_Riferimento!$H$31:$I$50,2,FALSE))</f>
        <v>30</v>
      </c>
      <c r="IU24" s="1754">
        <f>+IFERROR(VLOOKUP(IU$6&amp;"-"&amp;$M24&amp;"_old",Ammortamento_Finanziario!$H:$L,5,FALSE),VLOOKUP($M24,TT_Tabelle_Riferimento!$H$31:$I$50,2,FALSE))</f>
        <v>30</v>
      </c>
      <c r="IV24" s="1077">
        <f>+IFERROR(VLOOKUP(IV$6&amp;"-"&amp;$M24&amp;"_old",Ammortamento_Finanziario!$H:$L,5,FALSE),VLOOKUP($M24,TT_Tabelle_Riferimento!$H$31:$I$50,2,FALSE))</f>
        <v>30</v>
      </c>
      <c r="IW24" s="1077">
        <f>+IFERROR(VLOOKUP(IW$6&amp;"-"&amp;$M24&amp;"_old",Ammortamento_Finanziario!$H:$L,5,FALSE),VLOOKUP($M24,TT_Tabelle_Riferimento!$H$31:$I$50,2,FALSE))</f>
        <v>30</v>
      </c>
      <c r="IX24" s="1077">
        <f>+IFERROR(VLOOKUP(IX$6&amp;"-"&amp;$M24&amp;"_old",Ammortamento_Finanziario!$H:$L,5,FALSE),VLOOKUP($M24,TT_Tabelle_Riferimento!$H$31:$I$50,2,FALSE))</f>
        <v>30</v>
      </c>
      <c r="IY24" s="1077">
        <f>+IFERROR(VLOOKUP(IY$6&amp;"-"&amp;$M24&amp;"_old",Ammortamento_Finanziario!$H:$L,5,FALSE),VLOOKUP($M24,TT_Tabelle_Riferimento!$H$31:$I$50,2,FALSE))</f>
        <v>30</v>
      </c>
      <c r="IZ24" s="1077">
        <f>+IFERROR(VLOOKUP(IZ$6&amp;"-"&amp;$M24&amp;"_old",Ammortamento_Finanziario!$H:$L,5,FALSE),VLOOKUP($M24,TT_Tabelle_Riferimento!$H$31:$I$50,2,FALSE))</f>
        <v>30</v>
      </c>
      <c r="JA24" s="1077">
        <f>+IFERROR(VLOOKUP(JA$6&amp;"-"&amp;$M24&amp;"_old",Ammortamento_Finanziario!$H:$L,5,FALSE),VLOOKUP($M24,TT_Tabelle_Riferimento!$H$31:$I$50,2,FALSE))</f>
        <v>30</v>
      </c>
      <c r="JB24" s="1077">
        <f>+IFERROR(VLOOKUP(JB$6&amp;"-"&amp;$M24&amp;"_old",Ammortamento_Finanziario!$H:$L,5,FALSE),VLOOKUP($M24,TT_Tabelle_Riferimento!$H$31:$I$50,2,FALSE))</f>
        <v>30</v>
      </c>
      <c r="JC24" s="1077">
        <f>+IFERROR(VLOOKUP(JC$6&amp;"-"&amp;$M24&amp;"_old",Ammortamento_Finanziario!$H:$L,5,FALSE),VLOOKUP($M24,TT_Tabelle_Riferimento!$H$31:$I$50,2,FALSE))</f>
        <v>30</v>
      </c>
      <c r="JD24" s="1077">
        <f>+IFERROR(VLOOKUP(JD$6&amp;"-"&amp;$M24&amp;"_old",Ammortamento_Finanziario!$H:$L,5,FALSE),VLOOKUP($M24,TT_Tabelle_Riferimento!$H$31:$I$50,2,FALSE))</f>
        <v>30</v>
      </c>
      <c r="JE24" s="1077">
        <f>+IFERROR(VLOOKUP(JE$6&amp;"-"&amp;$M24&amp;"_old",Ammortamento_Finanziario!$H:$L,5,FALSE),VLOOKUP($M24,TT_Tabelle_Riferimento!$H$31:$I$50,2,FALSE))</f>
        <v>30</v>
      </c>
      <c r="JF24" s="1077">
        <f>+IFERROR(VLOOKUP(JF$6&amp;"-"&amp;$M24&amp;"_old",Ammortamento_Finanziario!$H:$L,5,FALSE),VLOOKUP($M24,TT_Tabelle_Riferimento!$H$31:$I$50,2,FALSE))</f>
        <v>30</v>
      </c>
      <c r="JG24" s="1077">
        <f>+IFERROR(VLOOKUP(JG$6&amp;"-"&amp;$M24&amp;"_old",Ammortamento_Finanziario!$H:$L,5,FALSE),VLOOKUP($M24,TT_Tabelle_Riferimento!$H$31:$I$50,2,FALSE))</f>
        <v>30</v>
      </c>
      <c r="JH24" s="1077">
        <f>+IFERROR(VLOOKUP(JH$6&amp;"-"&amp;$M24&amp;"_old",Ammortamento_Finanziario!$H:$L,5,FALSE),VLOOKUP($M24,TT_Tabelle_Riferimento!$H$31:$I$50,2,FALSE))</f>
        <v>30</v>
      </c>
      <c r="JI24" s="1077">
        <f>+IFERROR(VLOOKUP(JI$6&amp;"-"&amp;$M24&amp;"_old",Ammortamento_Finanziario!$H:$L,5,FALSE),VLOOKUP($M24,TT_Tabelle_Riferimento!$H$31:$I$50,2,FALSE))</f>
        <v>30</v>
      </c>
      <c r="JJ24" s="1077">
        <f>+IFERROR(VLOOKUP(JJ$6&amp;"-"&amp;$M24&amp;"_old",Ammortamento_Finanziario!$H:$L,5,FALSE),VLOOKUP($M24,TT_Tabelle_Riferimento!$H$31:$I$50,2,FALSE))</f>
        <v>30</v>
      </c>
      <c r="JK24" s="1077">
        <f>+IFERROR(VLOOKUP(JK$6&amp;"-"&amp;$M24&amp;"_old",Ammortamento_Finanziario!$H:$L,5,FALSE),VLOOKUP($M24,TT_Tabelle_Riferimento!$H$31:$I$50,2,FALSE))</f>
        <v>30</v>
      </c>
      <c r="JL24" s="1077">
        <f>+IFERROR(VLOOKUP(JL$6&amp;"-"&amp;$M24&amp;"_old",Ammortamento_Finanziario!$H:$L,5,FALSE),VLOOKUP($M24,TT_Tabelle_Riferimento!$H$31:$I$50,2,FALSE))</f>
        <v>30</v>
      </c>
      <c r="JM24" s="1077">
        <f>+IFERROR(VLOOKUP(JM$6&amp;"-"&amp;$M24&amp;"_old",Ammortamento_Finanziario!$H:$L,5,FALSE),VLOOKUP($M24,TT_Tabelle_Riferimento!$H$31:$I$50,2,FALSE))</f>
        <v>30</v>
      </c>
      <c r="JN24" s="1077">
        <f>+IFERROR(VLOOKUP(JN$6&amp;"-"&amp;$M24&amp;"_old",Ammortamento_Finanziario!$H:$L,5,FALSE),VLOOKUP($M24,TT_Tabelle_Riferimento!$H$31:$I$50,2,FALSE))</f>
        <v>30</v>
      </c>
      <c r="JO24" s="1078">
        <f>+IFERROR(VLOOKUP(JO$6&amp;"-"&amp;$M24&amp;"_old",Ammortamento_Finanziario!$H:$L,5,FALSE),VLOOKUP($M24,TT_Tabelle_Riferimento!$H$31:$I$50,2,FALSE))</f>
        <v>30</v>
      </c>
      <c r="JP24" s="1748">
        <f>+IFERROR(VLOOKUP(JP$6&amp;"-"&amp;$M24&amp;"_old",Ammortamento_Finanziario!$H:$L,5,FALSE),VLOOKUP($M24,TT_Tabelle_Riferimento!$H$31:$I$50,2,FALSE))</f>
        <v>30</v>
      </c>
      <c r="JQ24" s="1748">
        <f>+IFERROR(VLOOKUP(JQ$6&amp;"-"&amp;$M24&amp;"_old",Ammortamento_Finanziario!$H:$L,5,FALSE),VLOOKUP($M24,TT_Tabelle_Riferimento!$H$31:$I$50,2,FALSE))</f>
        <v>30</v>
      </c>
      <c r="JR24" s="1755">
        <f>+IFERROR(VLOOKUP(JR$6&amp;"-"&amp;$M24&amp;"_old",Ammortamento_Finanziario!$H:$L,5,FALSE),VLOOKUP($M24,TT_Tabelle_Riferimento!$H$31:$I$50,2,FALSE))</f>
        <v>30</v>
      </c>
      <c r="JS24" s="1755">
        <f>+IFERROR(VLOOKUP(JS$6&amp;"-"&amp;$M24&amp;"_old",Ammortamento_Finanziario!$H:$L,5,FALSE),VLOOKUP($M24,TT_Tabelle_Riferimento!$H$31:$I$50,2,FALSE))</f>
        <v>30</v>
      </c>
      <c r="JT24" s="1755">
        <f>+IFERROR(VLOOKUP(JT$6&amp;"-"&amp;$M24&amp;"_old",Ammortamento_Finanziario!$H:$L,5,FALSE),VLOOKUP($M24,TT_Tabelle_Riferimento!$H$31:$I$50,2,FALSE))</f>
        <v>30</v>
      </c>
      <c r="JU24" s="1755">
        <f>+IFERROR(VLOOKUP(JU$6&amp;"-"&amp;$M24&amp;"_old",Ammortamento_Finanziario!$H:$L,5,FALSE),VLOOKUP($M24,TT_Tabelle_Riferimento!$H$31:$I$50,2,FALSE))</f>
        <v>30</v>
      </c>
      <c r="JV24" s="1755">
        <f>+IFERROR(VLOOKUP(JV$6&amp;"-"&amp;$M24&amp;"_old",Ammortamento_Finanziario!$H:$L,5,FALSE),VLOOKUP($M24,TT_Tabelle_Riferimento!$H$31:$I$50,2,FALSE))</f>
        <v>30</v>
      </c>
      <c r="JW24" s="1755">
        <f>+IFERROR(VLOOKUP(JW$6&amp;"-"&amp;$M24&amp;"_old",Ammortamento_Finanziario!$H:$L,5,FALSE),VLOOKUP($M24,TT_Tabelle_Riferimento!$H$31:$I$50,2,FALSE))</f>
        <v>30</v>
      </c>
      <c r="JX24" s="1078">
        <f>+IFERROR(VLOOKUP(JX$6&amp;"-"&amp;$M24&amp;"_old",Ammortamento_Finanziario!$H:$L,5,FALSE),VLOOKUP($M24,TT_Tabelle_Riferimento!$H$31:$I$50,2,FALSE))</f>
        <v>30</v>
      </c>
      <c r="JY24" s="1078">
        <f>+IFERROR(VLOOKUP(JY$6&amp;"-"&amp;$M24&amp;"_old",Ammortamento_Finanziario!$H:$L,5,FALSE),VLOOKUP($M24,TT_Tabelle_Riferimento!$H$31:$I$50,2,FALSE))</f>
        <v>30</v>
      </c>
      <c r="JZ24" s="1078">
        <f>+IFERROR(VLOOKUP(JZ$6&amp;"-"&amp;$M24&amp;"_old",Ammortamento_Finanziario!$H:$L,5,FALSE),VLOOKUP($M24,TT_Tabelle_Riferimento!$H$31:$I$50,2,FALSE))</f>
        <v>30</v>
      </c>
      <c r="KA24" s="1078">
        <f>+IFERROR(VLOOKUP(KA$6&amp;"-"&amp;$M24&amp;"_old",Ammortamento_Finanziario!$H:$L,5,FALSE),VLOOKUP($M24,TT_Tabelle_Riferimento!$H$31:$I$50,2,FALSE))</f>
        <v>30</v>
      </c>
      <c r="KB24" s="1078">
        <f>+IFERROR(VLOOKUP(KB$6&amp;"-"&amp;$M24&amp;"_old",Ammortamento_Finanziario!$H:$L,5,FALSE),VLOOKUP($M24,TT_Tabelle_Riferimento!$H$31:$I$50,2,FALSE))</f>
        <v>30</v>
      </c>
      <c r="KC24" s="1078">
        <f>+IFERROR(VLOOKUP(KC$6&amp;"-"&amp;$M24&amp;"_old",Ammortamento_Finanziario!$H:$L,5,FALSE),VLOOKUP($M24,TT_Tabelle_Riferimento!$H$31:$I$50,2,FALSE))</f>
        <v>30</v>
      </c>
      <c r="KD24" s="1078">
        <f>+IFERROR(VLOOKUP(KD$6&amp;"-"&amp;$M24&amp;"_old",Ammortamento_Finanziario!$H:$L,5,FALSE),VLOOKUP($M24,TT_Tabelle_Riferimento!$H$31:$I$50,2,FALSE))</f>
        <v>30</v>
      </c>
      <c r="KE24" s="1078">
        <f>+IFERROR(VLOOKUP(KE$6&amp;"-"&amp;$M24&amp;"_old",Ammortamento_Finanziario!$H:$L,5,FALSE),VLOOKUP($M24,TT_Tabelle_Riferimento!$H$31:$I$50,2,FALSE))</f>
        <v>30</v>
      </c>
      <c r="KF24" s="1078">
        <f>+IFERROR(VLOOKUP(KF$6&amp;"-"&amp;$M24&amp;"_old",Ammortamento_Finanziario!$H:$L,5,FALSE),VLOOKUP($M24,TT_Tabelle_Riferimento!$H$31:$I$50,2,FALSE))</f>
        <v>30</v>
      </c>
      <c r="KG24" s="1078">
        <f>+IFERROR(VLOOKUP(KG$6&amp;"-"&amp;$M24&amp;"_old",Ammortamento_Finanziario!$H:$L,5,FALSE),VLOOKUP($M24,TT_Tabelle_Riferimento!$H$31:$I$50,2,FALSE))</f>
        <v>30</v>
      </c>
      <c r="KH24" s="1078">
        <f>+IFERROR(VLOOKUP(KH$6&amp;"-"&amp;$M24&amp;"_old",Ammortamento_Finanziario!$H:$L,5,FALSE),VLOOKUP($M24,TT_Tabelle_Riferimento!$H$31:$I$50,2,FALSE))</f>
        <v>30</v>
      </c>
      <c r="KI24" s="1078">
        <f>+IFERROR(VLOOKUP(KI$6&amp;"-"&amp;$M24&amp;"_old",Ammortamento_Finanziario!$H:$L,5,FALSE),VLOOKUP($M24,TT_Tabelle_Riferimento!$H$31:$I$50,2,FALSE))</f>
        <v>30</v>
      </c>
      <c r="KJ24" s="1078">
        <f>+IFERROR(VLOOKUP(KJ$6&amp;"-"&amp;$M24&amp;"_old",Ammortamento_Finanziario!$H:$L,5,FALSE),VLOOKUP($M24,TT_Tabelle_Riferimento!$H$31:$I$50,2,FALSE))</f>
        <v>30</v>
      </c>
      <c r="KK24" s="1078">
        <f>+IFERROR(VLOOKUP(KK$6&amp;"-"&amp;$M24&amp;"_old",Ammortamento_Finanziario!$H:$L,5,FALSE),VLOOKUP($M24,TT_Tabelle_Riferimento!$H$31:$I$50,2,FALSE))</f>
        <v>30</v>
      </c>
      <c r="KL24" s="1078">
        <f>+IFERROR(VLOOKUP(KL$6&amp;"-"&amp;$M24&amp;"_old",Ammortamento_Finanziario!$H:$L,5,FALSE),VLOOKUP($M24,TT_Tabelle_Riferimento!$H$31:$I$50,2,FALSE))</f>
        <v>30</v>
      </c>
      <c r="KM24" s="1078">
        <f>+IFERROR(VLOOKUP(KM$6&amp;"-"&amp;$M24&amp;"_old",Ammortamento_Finanziario!$H:$L,5,FALSE),VLOOKUP($M24,TT_Tabelle_Riferimento!$H$31:$I$50,2,FALSE))</f>
        <v>30</v>
      </c>
      <c r="KN24" s="1078">
        <f>+IFERROR(VLOOKUP(KN$6&amp;"-"&amp;$M24&amp;"_old",Ammortamento_Finanziario!$H:$L,5,FALSE),VLOOKUP($M24,TT_Tabelle_Riferimento!$H$31:$I$50,2,FALSE))</f>
        <v>30</v>
      </c>
      <c r="KO24" s="1078">
        <f>+IFERROR(VLOOKUP(KO$6&amp;"-"&amp;$M24&amp;"_old",Ammortamento_Finanziario!$H:$L,5,FALSE),VLOOKUP($M24,TT_Tabelle_Riferimento!$H$31:$I$50,2,FALSE))</f>
        <v>30</v>
      </c>
      <c r="KP24" s="1078">
        <f>+IFERROR(VLOOKUP(KP$6&amp;"-"&amp;$M24&amp;"_old",Ammortamento_Finanziario!$H:$L,5,FALSE),VLOOKUP($M24,TT_Tabelle_Riferimento!$H$31:$I$50,2,FALSE))</f>
        <v>30</v>
      </c>
      <c r="KQ24" s="1748">
        <f>+IFERROR(VLOOKUP(KQ$6&amp;"-"&amp;$M24&amp;"_old",Ammortamento_Finanziario!$H:$L,5,FALSE),VLOOKUP($M24,TT_Tabelle_Riferimento!$H$31:$I$50,2,FALSE))</f>
        <v>30</v>
      </c>
      <c r="KR24" s="1748">
        <f>+IFERROR(VLOOKUP(KR$6&amp;"-"&amp;$M24&amp;"_old",Ammortamento_Finanziario!$H:$L,5,FALSE),VLOOKUP($M24,TT_Tabelle_Riferimento!$H$31:$I$50,2,FALSE))</f>
        <v>30</v>
      </c>
      <c r="KS24" s="1755">
        <f>+IFERROR(VLOOKUP(KS$6&amp;"-"&amp;$M24&amp;"_old",Ammortamento_Finanziario!$H:$L,5,FALSE),VLOOKUP($M24,TT_Tabelle_Riferimento!$H$31:$I$50,2,FALSE))</f>
        <v>30</v>
      </c>
      <c r="KT24" s="1755">
        <f>+IFERROR(VLOOKUP(KT$6&amp;"-"&amp;$M24&amp;"_old",Ammortamento_Finanziario!$H:$L,5,FALSE),VLOOKUP($M24,TT_Tabelle_Riferimento!$H$31:$I$50,2,FALSE))</f>
        <v>30</v>
      </c>
      <c r="KU24" s="1755">
        <f>+IFERROR(VLOOKUP(KU$6&amp;"-"&amp;$M24&amp;"_old",Ammortamento_Finanziario!$H:$L,5,FALSE),VLOOKUP($M24,TT_Tabelle_Riferimento!$H$31:$I$50,2,FALSE))</f>
        <v>30</v>
      </c>
      <c r="KV24" s="1755">
        <f>+IFERROR(VLOOKUP(KV$6&amp;"-"&amp;$M24&amp;"_old",Ammortamento_Finanziario!$H:$L,5,FALSE),VLOOKUP($M24,TT_Tabelle_Riferimento!$H$31:$I$50,2,FALSE))</f>
        <v>30</v>
      </c>
      <c r="KW24" s="1755">
        <f>+IFERROR(VLOOKUP(KW$6&amp;"-"&amp;$M24&amp;"_old",Ammortamento_Finanziario!$H:$L,5,FALSE),VLOOKUP($M24,TT_Tabelle_Riferimento!$H$31:$I$50,2,FALSE))</f>
        <v>30</v>
      </c>
      <c r="KX24" s="1755">
        <f>+IFERROR(VLOOKUP(KX$6&amp;"-"&amp;$M24&amp;"_old",Ammortamento_Finanziario!$H:$L,5,FALSE),VLOOKUP($M24,TT_Tabelle_Riferimento!$H$31:$I$50,2,FALSE))</f>
        <v>30</v>
      </c>
      <c r="KY24" s="1078">
        <f>+IFERROR(VLOOKUP(KY$6&amp;"-"&amp;$M24&amp;"_old",Ammortamento_Finanziario!$H:$L,5,FALSE),VLOOKUP($M24,TT_Tabelle_Riferimento!$H$31:$I$50,2,FALSE))</f>
        <v>30</v>
      </c>
      <c r="KZ24" s="1078">
        <f>+IFERROR(VLOOKUP(KZ$6&amp;"-"&amp;$M24&amp;"_old",Ammortamento_Finanziario!$H:$L,5,FALSE),VLOOKUP($M24,TT_Tabelle_Riferimento!$H$31:$I$50,2,FALSE))</f>
        <v>30</v>
      </c>
      <c r="LA24" s="1078">
        <f>+IFERROR(VLOOKUP(LA$6&amp;"-"&amp;$M24&amp;"_old",Ammortamento_Finanziario!$H:$L,5,FALSE),VLOOKUP($M24,TT_Tabelle_Riferimento!$H$31:$I$50,2,FALSE))</f>
        <v>30</v>
      </c>
      <c r="LB24" s="1078">
        <f>+IFERROR(VLOOKUP(LB$6&amp;"-"&amp;$M24&amp;"_old",Ammortamento_Finanziario!$H:$L,5,FALSE),VLOOKUP($M24,TT_Tabelle_Riferimento!$H$31:$I$50,2,FALSE))</f>
        <v>30</v>
      </c>
      <c r="LC24" s="1078">
        <f>+IFERROR(VLOOKUP(LC$6&amp;"-"&amp;$M24&amp;"_old",Ammortamento_Finanziario!$H:$L,5,FALSE),VLOOKUP($M24,TT_Tabelle_Riferimento!$H$31:$I$50,2,FALSE))</f>
        <v>30</v>
      </c>
      <c r="LD24" s="1078">
        <f>+IFERROR(VLOOKUP(LD$6&amp;"-"&amp;$M24&amp;"_old",Ammortamento_Finanziario!$H:$L,5,FALSE),VLOOKUP($M24,TT_Tabelle_Riferimento!$H$31:$I$50,2,FALSE))</f>
        <v>30</v>
      </c>
      <c r="LE24" s="1078">
        <f>+IFERROR(VLOOKUP(LE$6&amp;"-"&amp;$M24&amp;"_old",Ammortamento_Finanziario!$H:$L,5,FALSE),VLOOKUP($M24,TT_Tabelle_Riferimento!$H$31:$I$50,2,FALSE))</f>
        <v>30</v>
      </c>
      <c r="LF24" s="1078">
        <f>+IFERROR(VLOOKUP(LF$6&amp;"-"&amp;$M24&amp;"_old",Ammortamento_Finanziario!$H:$L,5,FALSE),VLOOKUP($M24,TT_Tabelle_Riferimento!$H$31:$I$50,2,FALSE))</f>
        <v>30</v>
      </c>
      <c r="LG24" s="1078">
        <f>+IFERROR(VLOOKUP(LG$6&amp;"-"&amp;$M24&amp;"_old",Ammortamento_Finanziario!$H:$L,5,FALSE),VLOOKUP($M24,TT_Tabelle_Riferimento!$H$31:$I$50,2,FALSE))</f>
        <v>30</v>
      </c>
      <c r="LH24" s="1078">
        <f>+IFERROR(VLOOKUP(LH$6&amp;"-"&amp;$M24&amp;"_old",Ammortamento_Finanziario!$H:$L,5,FALSE),VLOOKUP($M24,TT_Tabelle_Riferimento!$H$31:$I$50,2,FALSE))</f>
        <v>30</v>
      </c>
      <c r="LI24" s="1078">
        <f>+IFERROR(VLOOKUP(LI$6&amp;"-"&amp;$M24&amp;"_old",Ammortamento_Finanziario!$H:$L,5,FALSE),VLOOKUP($M24,TT_Tabelle_Riferimento!$H$31:$I$50,2,FALSE))</f>
        <v>30</v>
      </c>
      <c r="LJ24" s="1078">
        <f>+IFERROR(VLOOKUP(LJ$6&amp;"-"&amp;$M24&amp;"_old",Ammortamento_Finanziario!$H:$L,5,FALSE),VLOOKUP($M24,TT_Tabelle_Riferimento!$H$31:$I$50,2,FALSE))</f>
        <v>30</v>
      </c>
      <c r="LK24" s="1078">
        <f>+IFERROR(VLOOKUP(LK$6&amp;"-"&amp;$M24&amp;"_old",Ammortamento_Finanziario!$H:$L,5,FALSE),VLOOKUP($M24,TT_Tabelle_Riferimento!$H$31:$I$50,2,FALSE))</f>
        <v>30</v>
      </c>
      <c r="LL24" s="1078">
        <f>+IFERROR(VLOOKUP(LL$6&amp;"-"&amp;$M24&amp;"_old",Ammortamento_Finanziario!$H:$L,5,FALSE),VLOOKUP($M24,TT_Tabelle_Riferimento!$H$31:$I$50,2,FALSE))</f>
        <v>30</v>
      </c>
      <c r="LM24" s="1078">
        <f>+IFERROR(VLOOKUP(LM$6&amp;"-"&amp;$M24&amp;"_old",Ammortamento_Finanziario!$H:$L,5,FALSE),VLOOKUP($M24,TT_Tabelle_Riferimento!$H$31:$I$50,2,FALSE))</f>
        <v>30</v>
      </c>
      <c r="LN24" s="1078">
        <f>+IFERROR(VLOOKUP(LN$6&amp;"-"&amp;$M24&amp;"_old",Ammortamento_Finanziario!$H:$L,5,FALSE),VLOOKUP($M24,TT_Tabelle_Riferimento!$H$31:$I$50,2,FALSE))</f>
        <v>30</v>
      </c>
      <c r="LO24" s="1078">
        <f>+IFERROR(VLOOKUP(LO$6&amp;"-"&amp;$M24&amp;"_old",Ammortamento_Finanziario!$H:$L,5,FALSE),VLOOKUP($M24,TT_Tabelle_Riferimento!$H$31:$I$50,2,FALSE))</f>
        <v>30</v>
      </c>
      <c r="LP24" s="1078">
        <f>+IFERROR(VLOOKUP(LP$6&amp;"-"&amp;$M24&amp;"_old",Ammortamento_Finanziario!$H:$L,5,FALSE),VLOOKUP($M24,TT_Tabelle_Riferimento!$H$31:$I$50,2,FALSE))</f>
        <v>30</v>
      </c>
      <c r="LQ24" s="1078">
        <f>+IFERROR(VLOOKUP(LQ$6&amp;"-"&amp;$M24&amp;"_old",Ammortamento_Finanziario!$H:$L,5,FALSE),VLOOKUP($M24,TT_Tabelle_Riferimento!$H$31:$I$50,2,FALSE))</f>
        <v>30</v>
      </c>
      <c r="LR24" s="1748">
        <f>+IFERROR(VLOOKUP(LR$6&amp;"-"&amp;$M24&amp;"_old",Ammortamento_Finanziario!$H:$L,5,FALSE),VLOOKUP($M24,TT_Tabelle_Riferimento!$H$31:$I$50,2,FALSE))</f>
        <v>30</v>
      </c>
      <c r="LS24" s="1755">
        <f>+IFERROR(VLOOKUP(LS$6&amp;"-"&amp;$M24&amp;"_old",Ammortamento_Finanziario!$H:$L,5,FALSE),VLOOKUP($M24,TT_Tabelle_Riferimento!$H$31:$I$50,2,FALSE))</f>
        <v>30</v>
      </c>
      <c r="LT24" s="1755">
        <f>+IFERROR(VLOOKUP(LT$6&amp;"-"&amp;$M24&amp;"_old",Ammortamento_Finanziario!$H:$L,5,FALSE),VLOOKUP($M24,TT_Tabelle_Riferimento!$H$31:$I$50,2,FALSE))</f>
        <v>30</v>
      </c>
      <c r="LU24" s="1755">
        <f>+IFERROR(VLOOKUP(LU$6&amp;"-"&amp;$M24&amp;"_old",Ammortamento_Finanziario!$H:$L,5,FALSE),VLOOKUP($M24,TT_Tabelle_Riferimento!$H$31:$I$50,2,FALSE))</f>
        <v>30</v>
      </c>
      <c r="LV24" s="1755">
        <f>+IFERROR(VLOOKUP(LV$6&amp;"-"&amp;$M24&amp;"_old",Ammortamento_Finanziario!$H:$L,5,FALSE),VLOOKUP($M24,TT_Tabelle_Riferimento!$H$31:$I$50,2,FALSE))</f>
        <v>30</v>
      </c>
      <c r="LW24" s="1755">
        <f>+IFERROR(VLOOKUP(LW$6&amp;"-"&amp;$M24&amp;"_old",Ammortamento_Finanziario!$H:$L,5,FALSE),VLOOKUP($M24,TT_Tabelle_Riferimento!$H$31:$I$50,2,FALSE))</f>
        <v>30</v>
      </c>
      <c r="LX24" s="1755">
        <f>+IFERROR(VLOOKUP(LX$6&amp;"-"&amp;$M24&amp;"_old",Ammortamento_Finanziario!$H:$L,5,FALSE),VLOOKUP($M24,TT_Tabelle_Riferimento!$H$31:$I$50,2,FALSE))</f>
        <v>30</v>
      </c>
      <c r="LY24" s="1078">
        <f>+IFERROR(VLOOKUP(LY$6&amp;"-"&amp;$M24&amp;"_old",Ammortamento_Finanziario!$H:$L,5,FALSE),VLOOKUP($M24,TT_Tabelle_Riferimento!$H$31:$I$50,2,FALSE))</f>
        <v>30</v>
      </c>
      <c r="LZ24" s="1078">
        <f>+IFERROR(VLOOKUP(LZ$6&amp;"-"&amp;$M24&amp;"_old",Ammortamento_Finanziario!$H:$L,5,FALSE),VLOOKUP($M24,TT_Tabelle_Riferimento!$H$31:$I$50,2,FALSE))</f>
        <v>30</v>
      </c>
      <c r="MA24" s="1078">
        <f>+IFERROR(VLOOKUP(MA$6&amp;"-"&amp;$M24&amp;"_old",Ammortamento_Finanziario!$H:$L,5,FALSE),VLOOKUP($M24,TT_Tabelle_Riferimento!$H$31:$I$50,2,FALSE))</f>
        <v>30</v>
      </c>
      <c r="MB24" s="1078">
        <f>+IFERROR(VLOOKUP(MB$6&amp;"-"&amp;$M24&amp;"_old",Ammortamento_Finanziario!$H:$L,5,FALSE),VLOOKUP($M24,TT_Tabelle_Riferimento!$H$31:$I$50,2,FALSE))</f>
        <v>30</v>
      </c>
      <c r="MC24" s="1078">
        <f>+IFERROR(VLOOKUP(MC$6&amp;"-"&amp;$M24&amp;"_old",Ammortamento_Finanziario!$H:$L,5,FALSE),VLOOKUP($M24,TT_Tabelle_Riferimento!$H$31:$I$50,2,FALSE))</f>
        <v>30</v>
      </c>
      <c r="MD24" s="1078">
        <f>+IFERROR(VLOOKUP(MD$6&amp;"-"&amp;$M24&amp;"_old",Ammortamento_Finanziario!$H:$L,5,FALSE),VLOOKUP($M24,TT_Tabelle_Riferimento!$H$31:$I$50,2,FALSE))</f>
        <v>30</v>
      </c>
      <c r="ME24" s="1078">
        <f>+IFERROR(VLOOKUP(ME$6&amp;"-"&amp;$M24&amp;"_old",Ammortamento_Finanziario!$H:$L,5,FALSE),VLOOKUP($M24,TT_Tabelle_Riferimento!$H$31:$I$50,2,FALSE))</f>
        <v>30</v>
      </c>
      <c r="MF24" s="1078">
        <f>+IFERROR(VLOOKUP(MF$6&amp;"-"&amp;$M24&amp;"_old",Ammortamento_Finanziario!$H:$L,5,FALSE),VLOOKUP($M24,TT_Tabelle_Riferimento!$H$31:$I$50,2,FALSE))</f>
        <v>30</v>
      </c>
      <c r="MG24" s="1078">
        <f>+IFERROR(VLOOKUP(MG$6&amp;"-"&amp;$M24&amp;"_old",Ammortamento_Finanziario!$H:$L,5,FALSE),VLOOKUP($M24,TT_Tabelle_Riferimento!$H$31:$I$50,2,FALSE))</f>
        <v>30</v>
      </c>
      <c r="MH24" s="1078">
        <f>+IFERROR(VLOOKUP(MH$6&amp;"-"&amp;$M24&amp;"_old",Ammortamento_Finanziario!$H:$L,5,FALSE),VLOOKUP($M24,TT_Tabelle_Riferimento!$H$31:$I$50,2,FALSE))</f>
        <v>30</v>
      </c>
      <c r="MI24" s="1078">
        <f>+IFERROR(VLOOKUP(MI$6&amp;"-"&amp;$M24&amp;"_old",Ammortamento_Finanziario!$H:$L,5,FALSE),VLOOKUP($M24,TT_Tabelle_Riferimento!$H$31:$I$50,2,FALSE))</f>
        <v>30</v>
      </c>
      <c r="MJ24" s="1078">
        <f>+IFERROR(VLOOKUP(MJ$6&amp;"-"&amp;$M24&amp;"_old",Ammortamento_Finanziario!$H:$L,5,FALSE),VLOOKUP($M24,TT_Tabelle_Riferimento!$H$31:$I$50,2,FALSE))</f>
        <v>30</v>
      </c>
      <c r="MK24" s="1078">
        <f>+IFERROR(VLOOKUP(MK$6&amp;"-"&amp;$M24&amp;"_old",Ammortamento_Finanziario!$H:$L,5,FALSE),VLOOKUP($M24,TT_Tabelle_Riferimento!$H$31:$I$50,2,FALSE))</f>
        <v>30</v>
      </c>
      <c r="ML24" s="1078">
        <f>+IFERROR(VLOOKUP(ML$6&amp;"-"&amp;$M24&amp;"_old",Ammortamento_Finanziario!$H:$L,5,FALSE),VLOOKUP($M24,TT_Tabelle_Riferimento!$H$31:$I$50,2,FALSE))</f>
        <v>30</v>
      </c>
      <c r="MM24" s="1078">
        <f>+IFERROR(VLOOKUP(MM$6&amp;"-"&amp;$M24&amp;"_old",Ammortamento_Finanziario!$H:$L,5,FALSE),VLOOKUP($M24,TT_Tabelle_Riferimento!$H$31:$I$50,2,FALSE))</f>
        <v>30</v>
      </c>
      <c r="MN24" s="1078">
        <f>+IFERROR(VLOOKUP(MN$6&amp;"-"&amp;$M24&amp;"_old",Ammortamento_Finanziario!$H:$L,5,FALSE),VLOOKUP($M24,TT_Tabelle_Riferimento!$H$31:$I$50,2,FALSE))</f>
        <v>30</v>
      </c>
      <c r="MO24" s="1078">
        <f>+IFERROR(VLOOKUP(MO$6&amp;"-"&amp;$M24&amp;"_old",Ammortamento_Finanziario!$H:$L,5,FALSE),VLOOKUP($M24,TT_Tabelle_Riferimento!$H$31:$I$50,2,FALSE))</f>
        <v>30</v>
      </c>
      <c r="MP24" s="1078">
        <f>+IFERROR(VLOOKUP(MP$6&amp;"-"&amp;$M24&amp;"_old",Ammortamento_Finanziario!$H:$L,5,FALSE),VLOOKUP($M24,TT_Tabelle_Riferimento!$H$31:$I$50,2,FALSE))</f>
        <v>30</v>
      </c>
      <c r="MQ24" s="1078">
        <f>+IFERROR(VLOOKUP(MQ$6&amp;"-"&amp;$M24&amp;"_old",Ammortamento_Finanziario!$H:$L,5,FALSE),VLOOKUP($M24,TT_Tabelle_Riferimento!$H$31:$I$50,2,FALSE))</f>
        <v>30</v>
      </c>
      <c r="MR24" s="1755">
        <f>+IFERROR(VLOOKUP(MR$6&amp;"-"&amp;$M24&amp;"_old",Ammortamento_Finanziario!$H:$L,5,FALSE),VLOOKUP($M24,TT_Tabelle_Riferimento!$H$31:$I$50,2,FALSE))</f>
        <v>30</v>
      </c>
      <c r="MS24" s="1755">
        <f>+IFERROR(VLOOKUP(MS$6&amp;"-"&amp;$M24&amp;"_old",Ammortamento_Finanziario!$H:$L,5,FALSE),VLOOKUP($M24,TT_Tabelle_Riferimento!$H$31:$I$50,2,FALSE))</f>
        <v>30</v>
      </c>
      <c r="MT24" s="1755">
        <f>+IFERROR(VLOOKUP(MT$6&amp;"-"&amp;$M24&amp;"_old",Ammortamento_Finanziario!$H:$L,5,FALSE),VLOOKUP($M24,TT_Tabelle_Riferimento!$H$31:$I$50,2,FALSE))</f>
        <v>30</v>
      </c>
      <c r="MU24" s="1755">
        <f>+IFERROR(VLOOKUP(MU$6&amp;"-"&amp;$M24&amp;"_old",Ammortamento_Finanziario!$H:$L,5,FALSE),VLOOKUP($M24,TT_Tabelle_Riferimento!$H$31:$I$50,2,FALSE))</f>
        <v>30</v>
      </c>
      <c r="MV24" s="1755">
        <f>+IFERROR(VLOOKUP(MV$6&amp;"-"&amp;$M24&amp;"_old",Ammortamento_Finanziario!$H:$L,5,FALSE),VLOOKUP($M24,TT_Tabelle_Riferimento!$H$31:$I$50,2,FALSE))</f>
        <v>30</v>
      </c>
      <c r="MW24" s="1755">
        <f>+IFERROR(VLOOKUP(MW$6&amp;"-"&amp;$M24&amp;"_old",Ammortamento_Finanziario!$H:$L,5,FALSE),VLOOKUP($M24,TT_Tabelle_Riferimento!$H$31:$I$50,2,FALSE))</f>
        <v>30</v>
      </c>
      <c r="MX24" s="1078">
        <f>+IFERROR(VLOOKUP(MX$6&amp;"-"&amp;$M24&amp;"_old",Ammortamento_Finanziario!$H:$L,5,FALSE),VLOOKUP($M24,TT_Tabelle_Riferimento!$H$31:$I$50,2,FALSE))</f>
        <v>30</v>
      </c>
      <c r="MY24" s="1078">
        <f>+IFERROR(VLOOKUP(MY$6&amp;"-"&amp;$M24&amp;"_old",Ammortamento_Finanziario!$H:$L,5,FALSE),VLOOKUP($M24,TT_Tabelle_Riferimento!$H$31:$I$50,2,FALSE))</f>
        <v>30</v>
      </c>
      <c r="MZ24" s="1078">
        <f>+IFERROR(VLOOKUP(MZ$6&amp;"-"&amp;$M24&amp;"_old",Ammortamento_Finanziario!$H:$L,5,FALSE),VLOOKUP($M24,TT_Tabelle_Riferimento!$H$31:$I$50,2,FALSE))</f>
        <v>30</v>
      </c>
      <c r="NA24" s="1078">
        <f>+IFERROR(VLOOKUP(NA$6&amp;"-"&amp;$M24&amp;"_old",Ammortamento_Finanziario!$H:$L,5,FALSE),VLOOKUP($M24,TT_Tabelle_Riferimento!$H$31:$I$50,2,FALSE))</f>
        <v>30</v>
      </c>
      <c r="NB24" s="1078">
        <f>+IFERROR(VLOOKUP(NB$6&amp;"-"&amp;$M24&amp;"_old",Ammortamento_Finanziario!$H:$L,5,FALSE),VLOOKUP($M24,TT_Tabelle_Riferimento!$H$31:$I$50,2,FALSE))</f>
        <v>30</v>
      </c>
      <c r="NC24" s="1078">
        <f>+IFERROR(VLOOKUP(NC$6&amp;"-"&amp;$M24&amp;"_old",Ammortamento_Finanziario!$H:$L,5,FALSE),VLOOKUP($M24,TT_Tabelle_Riferimento!$H$31:$I$50,2,FALSE))</f>
        <v>30</v>
      </c>
      <c r="ND24" s="1078">
        <f>+IFERROR(VLOOKUP(ND$6&amp;"-"&amp;$M24&amp;"_old",Ammortamento_Finanziario!$H:$L,5,FALSE),VLOOKUP($M24,TT_Tabelle_Riferimento!$H$31:$I$50,2,FALSE))</f>
        <v>30</v>
      </c>
      <c r="NE24" s="1078">
        <f>+IFERROR(VLOOKUP(NE$6&amp;"-"&amp;$M24&amp;"_old",Ammortamento_Finanziario!$H:$L,5,FALSE),VLOOKUP($M24,TT_Tabelle_Riferimento!$H$31:$I$50,2,FALSE))</f>
        <v>30</v>
      </c>
      <c r="NF24" s="1078">
        <f>+IFERROR(VLOOKUP(NF$6&amp;"-"&amp;$M24&amp;"_old",Ammortamento_Finanziario!$H:$L,5,FALSE),VLOOKUP($M24,TT_Tabelle_Riferimento!$H$31:$I$50,2,FALSE))</f>
        <v>30</v>
      </c>
      <c r="NG24" s="1078">
        <f>+IFERROR(VLOOKUP(NG$6&amp;"-"&amp;$M24&amp;"_old",Ammortamento_Finanziario!$H:$L,5,FALSE),VLOOKUP($M24,TT_Tabelle_Riferimento!$H$31:$I$50,2,FALSE))</f>
        <v>30</v>
      </c>
      <c r="NH24" s="1078">
        <f>+IFERROR(VLOOKUP(NH$6&amp;"-"&amp;$M24&amp;"_old",Ammortamento_Finanziario!$H:$L,5,FALSE),VLOOKUP($M24,TT_Tabelle_Riferimento!$H$31:$I$50,2,FALSE))</f>
        <v>30</v>
      </c>
      <c r="NI24" s="1078">
        <f>+IFERROR(VLOOKUP(NI$6&amp;"-"&amp;$M24&amp;"_old",Ammortamento_Finanziario!$H:$L,5,FALSE),VLOOKUP($M24,TT_Tabelle_Riferimento!$H$31:$I$50,2,FALSE))</f>
        <v>30</v>
      </c>
      <c r="NJ24" s="1078">
        <f>+IFERROR(VLOOKUP(NJ$6&amp;"-"&amp;$M24&amp;"_old",Ammortamento_Finanziario!$H:$L,5,FALSE),VLOOKUP($M24,TT_Tabelle_Riferimento!$H$31:$I$50,2,FALSE))</f>
        <v>30</v>
      </c>
      <c r="NK24" s="1078">
        <f>+IFERROR(VLOOKUP(NK$6&amp;"-"&amp;$M24&amp;"_old",Ammortamento_Finanziario!$H:$L,5,FALSE),VLOOKUP($M24,TT_Tabelle_Riferimento!$H$31:$I$50,2,FALSE))</f>
        <v>30</v>
      </c>
      <c r="NL24" s="1078">
        <f>+IFERROR(VLOOKUP(NL$6&amp;"-"&amp;$M24&amp;"_old",Ammortamento_Finanziario!$H:$L,5,FALSE),VLOOKUP($M24,TT_Tabelle_Riferimento!$H$31:$I$50,2,FALSE))</f>
        <v>30</v>
      </c>
      <c r="NM24" s="1078">
        <f>+IFERROR(VLOOKUP(NM$6&amp;"-"&amp;$M24&amp;"_old",Ammortamento_Finanziario!$H:$L,5,FALSE),VLOOKUP($M24,TT_Tabelle_Riferimento!$H$31:$I$50,2,FALSE))</f>
        <v>30</v>
      </c>
      <c r="NN24" s="1078">
        <f>+IFERROR(VLOOKUP(NN$6&amp;"-"&amp;$M24&amp;"_old",Ammortamento_Finanziario!$H:$L,5,FALSE),VLOOKUP($M24,TT_Tabelle_Riferimento!$H$31:$I$50,2,FALSE))</f>
        <v>30</v>
      </c>
      <c r="NO24" s="1078">
        <f>+IFERROR(VLOOKUP(NO$6&amp;"-"&amp;$M24&amp;"_old",Ammortamento_Finanziario!$H:$L,5,FALSE),VLOOKUP($M24,TT_Tabelle_Riferimento!$H$31:$I$50,2,FALSE))</f>
        <v>30</v>
      </c>
      <c r="NP24" s="1078">
        <f>+IFERROR(VLOOKUP(NP$6&amp;"-"&amp;$M24&amp;"_old",Ammortamento_Finanziario!$H:$L,5,FALSE),VLOOKUP($M24,TT_Tabelle_Riferimento!$H$31:$I$50,2,FALSE))</f>
        <v>30</v>
      </c>
      <c r="NQ24" s="1755">
        <f>+IFERROR(VLOOKUP(NQ$6&amp;"-"&amp;$M24&amp;"_old",Ammortamento_Finanziario!$H:$L,5,FALSE),VLOOKUP($M24,TT_Tabelle_Riferimento!$H$31:$I$50,2,FALSE))</f>
        <v>30</v>
      </c>
      <c r="NR24" s="1755">
        <f>+IFERROR(VLOOKUP(NR$6&amp;"-"&amp;$M24&amp;"_old",Ammortamento_Finanziario!$H:$L,5,FALSE),VLOOKUP($M24,TT_Tabelle_Riferimento!$H$31:$I$50,2,FALSE))</f>
        <v>30</v>
      </c>
      <c r="NS24" s="1755">
        <f>+IFERROR(VLOOKUP(NS$6&amp;"-"&amp;$M24&amp;"_old",Ammortamento_Finanziario!$H:$L,5,FALSE),VLOOKUP($M24,TT_Tabelle_Riferimento!$H$31:$I$50,2,FALSE))</f>
        <v>30</v>
      </c>
      <c r="NT24" s="1755">
        <f>+IFERROR(VLOOKUP(NT$6&amp;"-"&amp;$M24&amp;"_old",Ammortamento_Finanziario!$H:$L,5,FALSE),VLOOKUP($M24,TT_Tabelle_Riferimento!$H$31:$I$50,2,FALSE))</f>
        <v>30</v>
      </c>
      <c r="NU24" s="1755">
        <f>+IFERROR(VLOOKUP(NU$6&amp;"-"&amp;$M24&amp;"_old",Ammortamento_Finanziario!$H:$L,5,FALSE),VLOOKUP($M24,TT_Tabelle_Riferimento!$H$31:$I$50,2,FALSE))</f>
        <v>30</v>
      </c>
      <c r="NV24" s="1078">
        <f>+IFERROR(VLOOKUP(NV$6&amp;"-"&amp;$M24&amp;"_old",Ammortamento_Finanziario!$H:$L,5,FALSE),VLOOKUP($M24,TT_Tabelle_Riferimento!$H$31:$I$50,2,FALSE))</f>
        <v>30</v>
      </c>
      <c r="NW24" s="1078">
        <f>+IFERROR(VLOOKUP(NW$6&amp;"-"&amp;$M24&amp;"_old",Ammortamento_Finanziario!$H:$L,5,FALSE),VLOOKUP($M24,TT_Tabelle_Riferimento!$H$31:$I$50,2,FALSE))</f>
        <v>30</v>
      </c>
      <c r="NX24" s="1078">
        <f>+IFERROR(VLOOKUP(NX$6&amp;"-"&amp;$M24&amp;"_old",Ammortamento_Finanziario!$H:$L,5,FALSE),VLOOKUP($M24,TT_Tabelle_Riferimento!$H$31:$I$50,2,FALSE))</f>
        <v>30</v>
      </c>
      <c r="NY24" s="1078">
        <f>+IFERROR(VLOOKUP(NY$6&amp;"-"&amp;$M24&amp;"_old",Ammortamento_Finanziario!$H:$L,5,FALSE),VLOOKUP($M24,TT_Tabelle_Riferimento!$H$31:$I$50,2,FALSE))</f>
        <v>30</v>
      </c>
      <c r="NZ24" s="1078">
        <f>+IFERROR(VLOOKUP(NZ$6&amp;"-"&amp;$M24&amp;"_old",Ammortamento_Finanziario!$H:$L,5,FALSE),VLOOKUP($M24,TT_Tabelle_Riferimento!$H$31:$I$50,2,FALSE))</f>
        <v>30</v>
      </c>
      <c r="OA24" s="1078">
        <f>+IFERROR(VLOOKUP(OA$6&amp;"-"&amp;$M24&amp;"_old",Ammortamento_Finanziario!$H:$L,5,FALSE),VLOOKUP($M24,TT_Tabelle_Riferimento!$H$31:$I$50,2,FALSE))</f>
        <v>30</v>
      </c>
      <c r="OB24" s="1078">
        <f>+IFERROR(VLOOKUP(OB$6&amp;"-"&amp;$M24&amp;"_old",Ammortamento_Finanziario!$H:$L,5,FALSE),VLOOKUP($M24,TT_Tabelle_Riferimento!$H$31:$I$50,2,FALSE))</f>
        <v>30</v>
      </c>
      <c r="OC24" s="1078">
        <f>+IFERROR(VLOOKUP(OC$6&amp;"-"&amp;$M24&amp;"_old",Ammortamento_Finanziario!$H:$L,5,FALSE),VLOOKUP($M24,TT_Tabelle_Riferimento!$H$31:$I$50,2,FALSE))</f>
        <v>30</v>
      </c>
      <c r="OD24" s="1078">
        <f>+IFERROR(VLOOKUP(OD$6&amp;"-"&amp;$M24&amp;"_old",Ammortamento_Finanziario!$H:$L,5,FALSE),VLOOKUP($M24,TT_Tabelle_Riferimento!$H$31:$I$50,2,FALSE))</f>
        <v>30</v>
      </c>
      <c r="OE24" s="1078">
        <f>+IFERROR(VLOOKUP(OE$6&amp;"-"&amp;$M24&amp;"_old",Ammortamento_Finanziario!$H:$L,5,FALSE),VLOOKUP($M24,TT_Tabelle_Riferimento!$H$31:$I$50,2,FALSE))</f>
        <v>30</v>
      </c>
      <c r="OF24" s="1078">
        <f>+IFERROR(VLOOKUP(OF$6&amp;"-"&amp;$M24&amp;"_old",Ammortamento_Finanziario!$H:$L,5,FALSE),VLOOKUP($M24,TT_Tabelle_Riferimento!$H$31:$I$50,2,FALSE))</f>
        <v>30</v>
      </c>
      <c r="OG24" s="1078">
        <f>+IFERROR(VLOOKUP(OG$6&amp;"-"&amp;$M24&amp;"_old",Ammortamento_Finanziario!$H:$L,5,FALSE),VLOOKUP($M24,TT_Tabelle_Riferimento!$H$31:$I$50,2,FALSE))</f>
        <v>30</v>
      </c>
      <c r="OH24" s="1078">
        <f>+IFERROR(VLOOKUP(OH$6&amp;"-"&amp;$M24&amp;"_old",Ammortamento_Finanziario!$H:$L,5,FALSE),VLOOKUP($M24,TT_Tabelle_Riferimento!$H$31:$I$50,2,FALSE))</f>
        <v>30</v>
      </c>
      <c r="OI24" s="1078">
        <f>+IFERROR(VLOOKUP(OI$6&amp;"-"&amp;$M24&amp;"_old",Ammortamento_Finanziario!$H:$L,5,FALSE),VLOOKUP($M24,TT_Tabelle_Riferimento!$H$31:$I$50,2,FALSE))</f>
        <v>30</v>
      </c>
      <c r="OJ24" s="1078">
        <f>+IFERROR(VLOOKUP(OJ$6&amp;"-"&amp;$M24&amp;"_old",Ammortamento_Finanziario!$H:$L,5,FALSE),VLOOKUP($M24,TT_Tabelle_Riferimento!$H$31:$I$50,2,FALSE))</f>
        <v>30</v>
      </c>
      <c r="OK24" s="1078">
        <f>+IFERROR(VLOOKUP(OK$6&amp;"-"&amp;$M24&amp;"_old",Ammortamento_Finanziario!$H:$L,5,FALSE),VLOOKUP($M24,TT_Tabelle_Riferimento!$H$31:$I$50,2,FALSE))</f>
        <v>30</v>
      </c>
      <c r="OL24" s="1078">
        <f>+IFERROR(VLOOKUP(OL$6&amp;"-"&amp;$M24&amp;"_old",Ammortamento_Finanziario!$H:$L,5,FALSE),VLOOKUP($M24,TT_Tabelle_Riferimento!$H$31:$I$50,2,FALSE))</f>
        <v>30</v>
      </c>
      <c r="OM24" s="1078">
        <f>+IFERROR(VLOOKUP(OM$6&amp;"-"&amp;$M24&amp;"_old",Ammortamento_Finanziario!$H:$L,5,FALSE),VLOOKUP($M24,TT_Tabelle_Riferimento!$H$31:$I$50,2,FALSE))</f>
        <v>30</v>
      </c>
      <c r="ON24" s="1078">
        <f>+IFERROR(VLOOKUP(ON$6&amp;"-"&amp;$M24&amp;"_old",Ammortamento_Finanziario!$H:$L,5,FALSE),VLOOKUP($M24,TT_Tabelle_Riferimento!$H$31:$I$50,2,FALSE))</f>
        <v>30</v>
      </c>
      <c r="OO24" s="1755">
        <f>+IFERROR(VLOOKUP(OO$6&amp;"-"&amp;$M24&amp;"_old",Ammortamento_Finanziario!$H:$L,5,FALSE),VLOOKUP($M24,TT_Tabelle_Riferimento!$H$31:$I$50,2,FALSE))</f>
        <v>30</v>
      </c>
      <c r="OP24" s="1755">
        <f>+IFERROR(VLOOKUP(OP$6&amp;"-"&amp;$M24&amp;"_old",Ammortamento_Finanziario!$H:$L,5,FALSE),VLOOKUP($M24,TT_Tabelle_Riferimento!$H$31:$I$50,2,FALSE))</f>
        <v>30</v>
      </c>
      <c r="OQ24" s="1755">
        <f>+IFERROR(VLOOKUP(OQ$6&amp;"-"&amp;$M24&amp;"_old",Ammortamento_Finanziario!$H:$L,5,FALSE),VLOOKUP($M24,TT_Tabelle_Riferimento!$H$31:$I$50,2,FALSE))</f>
        <v>30</v>
      </c>
      <c r="OR24" s="1755">
        <f>+IFERROR(VLOOKUP(OR$6&amp;"-"&amp;$M24&amp;"_old",Ammortamento_Finanziario!$H:$L,5,FALSE),VLOOKUP($M24,TT_Tabelle_Riferimento!$H$31:$I$50,2,FALSE))</f>
        <v>30</v>
      </c>
      <c r="OS24" s="1078">
        <f>+IFERROR(VLOOKUP(OS$6&amp;"-"&amp;$M24&amp;"_old",Ammortamento_Finanziario!$H:$L,5,FALSE),VLOOKUP($M24,TT_Tabelle_Riferimento!$H$31:$I$50,2,FALSE))</f>
        <v>30</v>
      </c>
      <c r="OT24" s="1078">
        <f>+IFERROR(VLOOKUP(OT$6&amp;"-"&amp;$M24&amp;"_old",Ammortamento_Finanziario!$H:$L,5,FALSE),VLOOKUP($M24,TT_Tabelle_Riferimento!$H$31:$I$50,2,FALSE))</f>
        <v>30</v>
      </c>
      <c r="OU24" s="1078">
        <f>+IFERROR(VLOOKUP(OU$6&amp;"-"&amp;$M24&amp;"_old",Ammortamento_Finanziario!$H:$L,5,FALSE),VLOOKUP($M24,TT_Tabelle_Riferimento!$H$31:$I$50,2,FALSE))</f>
        <v>30</v>
      </c>
      <c r="OV24" s="1078">
        <f>+IFERROR(VLOOKUP(OV$6&amp;"-"&amp;$M24&amp;"_old",Ammortamento_Finanziario!$H:$L,5,FALSE),VLOOKUP($M24,TT_Tabelle_Riferimento!$H$31:$I$50,2,FALSE))</f>
        <v>30</v>
      </c>
      <c r="OW24" s="1078">
        <f>+IFERROR(VLOOKUP(OW$6&amp;"-"&amp;$M24&amp;"_old",Ammortamento_Finanziario!$H:$L,5,FALSE),VLOOKUP($M24,TT_Tabelle_Riferimento!$H$31:$I$50,2,FALSE))</f>
        <v>30</v>
      </c>
      <c r="OX24" s="1078">
        <f>+IFERROR(VLOOKUP(OX$6&amp;"-"&amp;$M24&amp;"_old",Ammortamento_Finanziario!$H:$L,5,FALSE),VLOOKUP($M24,TT_Tabelle_Riferimento!$H$31:$I$50,2,FALSE))</f>
        <v>30</v>
      </c>
      <c r="OY24" s="1078">
        <f>+IFERROR(VLOOKUP(OY$6&amp;"-"&amp;$M24&amp;"_old",Ammortamento_Finanziario!$H:$L,5,FALSE),VLOOKUP($M24,TT_Tabelle_Riferimento!$H$31:$I$50,2,FALSE))</f>
        <v>30</v>
      </c>
      <c r="OZ24" s="1078">
        <f>+IFERROR(VLOOKUP(OZ$6&amp;"-"&amp;$M24&amp;"_old",Ammortamento_Finanziario!$H:$L,5,FALSE),VLOOKUP($M24,TT_Tabelle_Riferimento!$H$31:$I$50,2,FALSE))</f>
        <v>30</v>
      </c>
      <c r="PA24" s="1078">
        <f>+IFERROR(VLOOKUP(PA$6&amp;"-"&amp;$M24&amp;"_old",Ammortamento_Finanziario!$H:$L,5,FALSE),VLOOKUP($M24,TT_Tabelle_Riferimento!$H$31:$I$50,2,FALSE))</f>
        <v>30</v>
      </c>
      <c r="PB24" s="1078">
        <f>+IFERROR(VLOOKUP(PB$6&amp;"-"&amp;$M24&amp;"_old",Ammortamento_Finanziario!$H:$L,5,FALSE),VLOOKUP($M24,TT_Tabelle_Riferimento!$H$31:$I$50,2,FALSE))</f>
        <v>30</v>
      </c>
      <c r="PC24" s="1078">
        <f>+IFERROR(VLOOKUP(PC$6&amp;"-"&amp;$M24&amp;"_old",Ammortamento_Finanziario!$H:$L,5,FALSE),VLOOKUP($M24,TT_Tabelle_Riferimento!$H$31:$I$50,2,FALSE))</f>
        <v>30</v>
      </c>
      <c r="PD24" s="1078">
        <f>+IFERROR(VLOOKUP(PD$6&amp;"-"&amp;$M24&amp;"_old",Ammortamento_Finanziario!$H:$L,5,FALSE),VLOOKUP($M24,TT_Tabelle_Riferimento!$H$31:$I$50,2,FALSE))</f>
        <v>30</v>
      </c>
      <c r="PE24" s="1078">
        <f>+IFERROR(VLOOKUP(PE$6&amp;"-"&amp;$M24&amp;"_old",Ammortamento_Finanziario!$H:$L,5,FALSE),VLOOKUP($M24,TT_Tabelle_Riferimento!$H$31:$I$50,2,FALSE))</f>
        <v>30</v>
      </c>
      <c r="PF24" s="1078">
        <f>+IFERROR(VLOOKUP(PF$6&amp;"-"&amp;$M24&amp;"_old",Ammortamento_Finanziario!$H:$L,5,FALSE),VLOOKUP($M24,TT_Tabelle_Riferimento!$H$31:$I$50,2,FALSE))</f>
        <v>30</v>
      </c>
      <c r="PG24" s="1078">
        <f>+IFERROR(VLOOKUP(PG$6&amp;"-"&amp;$M24&amp;"_old",Ammortamento_Finanziario!$H:$L,5,FALSE),VLOOKUP($M24,TT_Tabelle_Riferimento!$H$31:$I$50,2,FALSE))</f>
        <v>30</v>
      </c>
      <c r="PH24" s="1078">
        <f>+IFERROR(VLOOKUP(PH$6&amp;"-"&amp;$M24&amp;"_old",Ammortamento_Finanziario!$H:$L,5,FALSE),VLOOKUP($M24,TT_Tabelle_Riferimento!$H$31:$I$50,2,FALSE))</f>
        <v>30</v>
      </c>
      <c r="PI24" s="1078">
        <f>+IFERROR(VLOOKUP(PI$6&amp;"-"&amp;$M24&amp;"_old",Ammortamento_Finanziario!$H:$L,5,FALSE),VLOOKUP($M24,TT_Tabelle_Riferimento!$H$31:$I$50,2,FALSE))</f>
        <v>30</v>
      </c>
      <c r="PJ24" s="1078">
        <f>+IFERROR(VLOOKUP(PJ$6&amp;"-"&amp;$M24&amp;"_old",Ammortamento_Finanziario!$H:$L,5,FALSE),VLOOKUP($M24,TT_Tabelle_Riferimento!$H$31:$I$50,2,FALSE))</f>
        <v>30</v>
      </c>
      <c r="PK24" s="1078">
        <f>+IFERROR(VLOOKUP(PK$6&amp;"-"&amp;$M24&amp;"_old",Ammortamento_Finanziario!$H:$L,5,FALSE),VLOOKUP($M24,TT_Tabelle_Riferimento!$H$31:$I$50,2,FALSE))</f>
        <v>30</v>
      </c>
      <c r="PL24" s="1755">
        <f>+IFERROR(VLOOKUP(PL$6&amp;"-"&amp;$M24&amp;"_old",Ammortamento_Finanziario!$H:$L,5,FALSE),VLOOKUP($M24,TT_Tabelle_Riferimento!$H$31:$I$50,2,FALSE))</f>
        <v>30</v>
      </c>
      <c r="PM24" s="1755">
        <f>+IFERROR(VLOOKUP(PM$6&amp;"-"&amp;$M24&amp;"_old",Ammortamento_Finanziario!$H:$L,5,FALSE),VLOOKUP($M24,TT_Tabelle_Riferimento!$H$31:$I$50,2,FALSE))</f>
        <v>30</v>
      </c>
      <c r="PN24" s="1755">
        <f>+IFERROR(VLOOKUP(PN$6&amp;"-"&amp;$M24&amp;"_old",Ammortamento_Finanziario!$H:$L,5,FALSE),VLOOKUP($M24,TT_Tabelle_Riferimento!$H$31:$I$50,2,FALSE))</f>
        <v>30</v>
      </c>
      <c r="PO24" s="1078">
        <f>+IFERROR(VLOOKUP(PO$6&amp;"-"&amp;$M24&amp;"_old",Ammortamento_Finanziario!$H:$L,5,FALSE),VLOOKUP($M24,TT_Tabelle_Riferimento!$H$31:$I$50,2,FALSE))</f>
        <v>30</v>
      </c>
      <c r="PP24" s="1078">
        <f>+IFERROR(VLOOKUP(PP$6&amp;"-"&amp;$M24&amp;"_old",Ammortamento_Finanziario!$H:$L,5,FALSE),VLOOKUP($M24,TT_Tabelle_Riferimento!$H$31:$I$50,2,FALSE))</f>
        <v>30</v>
      </c>
      <c r="PQ24" s="1078">
        <f>+IFERROR(VLOOKUP(PQ$6&amp;"-"&amp;$M24&amp;"_old",Ammortamento_Finanziario!$H:$L,5,FALSE),VLOOKUP($M24,TT_Tabelle_Riferimento!$H$31:$I$50,2,FALSE))</f>
        <v>30</v>
      </c>
      <c r="PR24" s="1078">
        <f>+IFERROR(VLOOKUP(PR$6&amp;"-"&amp;$M24&amp;"_old",Ammortamento_Finanziario!$H:$L,5,FALSE),VLOOKUP($M24,TT_Tabelle_Riferimento!$H$31:$I$50,2,FALSE))</f>
        <v>30</v>
      </c>
      <c r="PS24" s="1078">
        <f>+IFERROR(VLOOKUP(PS$6&amp;"-"&amp;$M24&amp;"_old",Ammortamento_Finanziario!$H:$L,5,FALSE),VLOOKUP($M24,TT_Tabelle_Riferimento!$H$31:$I$50,2,FALSE))</f>
        <v>30</v>
      </c>
      <c r="PT24" s="1078">
        <f>+IFERROR(VLOOKUP(PT$6&amp;"-"&amp;$M24&amp;"_old",Ammortamento_Finanziario!$H:$L,5,FALSE),VLOOKUP($M24,TT_Tabelle_Riferimento!$H$31:$I$50,2,FALSE))</f>
        <v>30</v>
      </c>
      <c r="PU24" s="1078">
        <f>+IFERROR(VLOOKUP(PU$6&amp;"-"&amp;$M24&amp;"_old",Ammortamento_Finanziario!$H:$L,5,FALSE),VLOOKUP($M24,TT_Tabelle_Riferimento!$H$31:$I$50,2,FALSE))</f>
        <v>30</v>
      </c>
      <c r="PV24" s="1078">
        <f>+IFERROR(VLOOKUP(PV$6&amp;"-"&amp;$M24&amp;"_old",Ammortamento_Finanziario!$H:$L,5,FALSE),VLOOKUP($M24,TT_Tabelle_Riferimento!$H$31:$I$50,2,FALSE))</f>
        <v>30</v>
      </c>
      <c r="PW24" s="1078">
        <f>+IFERROR(VLOOKUP(PW$6&amp;"-"&amp;$M24&amp;"_old",Ammortamento_Finanziario!$H:$L,5,FALSE),VLOOKUP($M24,TT_Tabelle_Riferimento!$H$31:$I$50,2,FALSE))</f>
        <v>30</v>
      </c>
      <c r="PX24" s="1078">
        <f>+IFERROR(VLOOKUP(PX$6&amp;"-"&amp;$M24&amp;"_old",Ammortamento_Finanziario!$H:$L,5,FALSE),VLOOKUP($M24,TT_Tabelle_Riferimento!$H$31:$I$50,2,FALSE))</f>
        <v>30</v>
      </c>
      <c r="PY24" s="1078">
        <f>+IFERROR(VLOOKUP(PY$6&amp;"-"&amp;$M24&amp;"_old",Ammortamento_Finanziario!$H:$L,5,FALSE),VLOOKUP($M24,TT_Tabelle_Riferimento!$H$31:$I$50,2,FALSE))</f>
        <v>30</v>
      </c>
      <c r="PZ24" s="1078">
        <f>+IFERROR(VLOOKUP(PZ$6&amp;"-"&amp;$M24&amp;"_old",Ammortamento_Finanziario!$H:$L,5,FALSE),VLOOKUP($M24,TT_Tabelle_Riferimento!$H$31:$I$50,2,FALSE))</f>
        <v>30</v>
      </c>
      <c r="QA24" s="1078">
        <f>+IFERROR(VLOOKUP(QA$6&amp;"-"&amp;$M24&amp;"_old",Ammortamento_Finanziario!$H:$L,5,FALSE),VLOOKUP($M24,TT_Tabelle_Riferimento!$H$31:$I$50,2,FALSE))</f>
        <v>30</v>
      </c>
      <c r="QB24" s="1078">
        <f>+IFERROR(VLOOKUP(QB$6&amp;"-"&amp;$M24&amp;"_old",Ammortamento_Finanziario!$H:$L,5,FALSE),VLOOKUP($M24,TT_Tabelle_Riferimento!$H$31:$I$50,2,FALSE))</f>
        <v>30</v>
      </c>
      <c r="QC24" s="1078">
        <f>+IFERROR(VLOOKUP(QC$6&amp;"-"&amp;$M24&amp;"_old",Ammortamento_Finanziario!$H:$L,5,FALSE),VLOOKUP($M24,TT_Tabelle_Riferimento!$H$31:$I$50,2,FALSE))</f>
        <v>30</v>
      </c>
      <c r="QD24" s="1078">
        <f>+IFERROR(VLOOKUP(QD$6&amp;"-"&amp;$M24&amp;"_old",Ammortamento_Finanziario!$H:$L,5,FALSE),VLOOKUP($M24,TT_Tabelle_Riferimento!$H$31:$I$50,2,FALSE))</f>
        <v>30</v>
      </c>
      <c r="QE24" s="1078">
        <f>+IFERROR(VLOOKUP(QE$6&amp;"-"&amp;$M24&amp;"_old",Ammortamento_Finanziario!$H:$L,5,FALSE),VLOOKUP($M24,TT_Tabelle_Riferimento!$H$31:$I$50,2,FALSE))</f>
        <v>30</v>
      </c>
      <c r="QF24" s="1078">
        <f>+IFERROR(VLOOKUP(QF$6&amp;"-"&amp;$M24&amp;"_old",Ammortamento_Finanziario!$H:$L,5,FALSE),VLOOKUP($M24,TT_Tabelle_Riferimento!$H$31:$I$50,2,FALSE))</f>
        <v>30</v>
      </c>
      <c r="QG24" s="1078">
        <f>+IFERROR(VLOOKUP(QG$6&amp;"-"&amp;$M24&amp;"_old",Ammortamento_Finanziario!$H:$L,5,FALSE),VLOOKUP($M24,TT_Tabelle_Riferimento!$H$31:$I$50,2,FALSE))</f>
        <v>30</v>
      </c>
      <c r="QH24" s="1755">
        <f>+IFERROR(VLOOKUP(QH$6&amp;"-"&amp;$M24&amp;"_old",Ammortamento_Finanziario!$H:$L,5,FALSE),VLOOKUP($M24,TT_Tabelle_Riferimento!$H$31:$I$50,2,FALSE))</f>
        <v>30</v>
      </c>
      <c r="QI24" s="1755">
        <f>+IFERROR(VLOOKUP(QI$6&amp;"-"&amp;$M24&amp;"_old",Ammortamento_Finanziario!$H:$L,5,FALSE),VLOOKUP($M24,TT_Tabelle_Riferimento!$H$31:$I$50,2,FALSE))</f>
        <v>30</v>
      </c>
      <c r="QJ24" s="1078">
        <f>+IFERROR(VLOOKUP(QJ$6&amp;"-"&amp;$M24&amp;"_old",Ammortamento_Finanziario!$H:$L,5,FALSE),VLOOKUP($M24,TT_Tabelle_Riferimento!$H$31:$I$50,2,FALSE))</f>
        <v>30</v>
      </c>
      <c r="QK24" s="1078">
        <f>+IFERROR(VLOOKUP(QK$6&amp;"-"&amp;$M24&amp;"_old",Ammortamento_Finanziario!$H:$L,5,FALSE),VLOOKUP($M24,TT_Tabelle_Riferimento!$H$31:$I$50,2,FALSE))</f>
        <v>30</v>
      </c>
      <c r="QL24" s="1078">
        <f>+IFERROR(VLOOKUP(QL$6&amp;"-"&amp;$M24&amp;"_old",Ammortamento_Finanziario!$H:$L,5,FALSE),VLOOKUP($M24,TT_Tabelle_Riferimento!$H$31:$I$50,2,FALSE))</f>
        <v>30</v>
      </c>
      <c r="QM24" s="1078">
        <f>+IFERROR(VLOOKUP(QM$6&amp;"-"&amp;$M24&amp;"_old",Ammortamento_Finanziario!$H:$L,5,FALSE),VLOOKUP($M24,TT_Tabelle_Riferimento!$H$31:$I$50,2,FALSE))</f>
        <v>30</v>
      </c>
      <c r="QN24" s="1078">
        <f>+IFERROR(VLOOKUP(QN$6&amp;"-"&amp;$M24&amp;"_old",Ammortamento_Finanziario!$H:$L,5,FALSE),VLOOKUP($M24,TT_Tabelle_Riferimento!$H$31:$I$50,2,FALSE))</f>
        <v>30</v>
      </c>
      <c r="QO24" s="1078">
        <f>+IFERROR(VLOOKUP(QO$6&amp;"-"&amp;$M24&amp;"_old",Ammortamento_Finanziario!$H:$L,5,FALSE),VLOOKUP($M24,TT_Tabelle_Riferimento!$H$31:$I$50,2,FALSE))</f>
        <v>30</v>
      </c>
      <c r="QP24" s="1078">
        <f>+IFERROR(VLOOKUP(QP$6&amp;"-"&amp;$M24&amp;"_old",Ammortamento_Finanziario!$H:$L,5,FALSE),VLOOKUP($M24,TT_Tabelle_Riferimento!$H$31:$I$50,2,FALSE))</f>
        <v>30</v>
      </c>
      <c r="QQ24" s="1078">
        <f>+IFERROR(VLOOKUP(QQ$6&amp;"-"&amp;$M24&amp;"_old",Ammortamento_Finanziario!$H:$L,5,FALSE),VLOOKUP($M24,TT_Tabelle_Riferimento!$H$31:$I$50,2,FALSE))</f>
        <v>30</v>
      </c>
      <c r="QR24" s="1078">
        <f>+IFERROR(VLOOKUP(QR$6&amp;"-"&amp;$M24&amp;"_old",Ammortamento_Finanziario!$H:$L,5,FALSE),VLOOKUP($M24,TT_Tabelle_Riferimento!$H$31:$I$50,2,FALSE))</f>
        <v>30</v>
      </c>
      <c r="QS24" s="1078">
        <f>+IFERROR(VLOOKUP(QS$6&amp;"-"&amp;$M24&amp;"_old",Ammortamento_Finanziario!$H:$L,5,FALSE),VLOOKUP($M24,TT_Tabelle_Riferimento!$H$31:$I$50,2,FALSE))</f>
        <v>30</v>
      </c>
      <c r="QT24" s="1078">
        <f>+IFERROR(VLOOKUP(QT$6&amp;"-"&amp;$M24&amp;"_old",Ammortamento_Finanziario!$H:$L,5,FALSE),VLOOKUP($M24,TT_Tabelle_Riferimento!$H$31:$I$50,2,FALSE))</f>
        <v>30</v>
      </c>
      <c r="QU24" s="1078">
        <f>+IFERROR(VLOOKUP(QU$6&amp;"-"&amp;$M24&amp;"_old",Ammortamento_Finanziario!$H:$L,5,FALSE),VLOOKUP($M24,TT_Tabelle_Riferimento!$H$31:$I$50,2,FALSE))</f>
        <v>30</v>
      </c>
      <c r="QV24" s="1078">
        <f>+IFERROR(VLOOKUP(QV$6&amp;"-"&amp;$M24&amp;"_old",Ammortamento_Finanziario!$H:$L,5,FALSE),VLOOKUP($M24,TT_Tabelle_Riferimento!$H$31:$I$50,2,FALSE))</f>
        <v>30</v>
      </c>
      <c r="QW24" s="1078">
        <f>+IFERROR(VLOOKUP(QW$6&amp;"-"&amp;$M24&amp;"_old",Ammortamento_Finanziario!$H:$L,5,FALSE),VLOOKUP($M24,TT_Tabelle_Riferimento!$H$31:$I$50,2,FALSE))</f>
        <v>30</v>
      </c>
      <c r="QX24" s="1078">
        <f>+IFERROR(VLOOKUP(QX$6&amp;"-"&amp;$M24&amp;"_old",Ammortamento_Finanziario!$H:$L,5,FALSE),VLOOKUP($M24,TT_Tabelle_Riferimento!$H$31:$I$50,2,FALSE))</f>
        <v>30</v>
      </c>
      <c r="QY24" s="1078">
        <f>+IFERROR(VLOOKUP(QY$6&amp;"-"&amp;$M24&amp;"_old",Ammortamento_Finanziario!$H:$L,5,FALSE),VLOOKUP($M24,TT_Tabelle_Riferimento!$H$31:$I$50,2,FALSE))</f>
        <v>30</v>
      </c>
      <c r="QZ24" s="1078">
        <f>+IFERROR(VLOOKUP(QZ$6&amp;"-"&amp;$M24&amp;"_old",Ammortamento_Finanziario!$H:$L,5,FALSE),VLOOKUP($M24,TT_Tabelle_Riferimento!$H$31:$I$50,2,FALSE))</f>
        <v>30</v>
      </c>
      <c r="RA24" s="1078">
        <f>+IFERROR(VLOOKUP(RA$6&amp;"-"&amp;$M24&amp;"_old",Ammortamento_Finanziario!$H:$L,5,FALSE),VLOOKUP($M24,TT_Tabelle_Riferimento!$H$31:$I$50,2,FALSE))</f>
        <v>30</v>
      </c>
      <c r="RB24" s="1078">
        <f>+IFERROR(VLOOKUP(RB$6&amp;"-"&amp;$M24&amp;"_old",Ammortamento_Finanziario!$H:$L,5,FALSE),VLOOKUP($M24,TT_Tabelle_Riferimento!$H$31:$I$50,2,FALSE))</f>
        <v>30</v>
      </c>
      <c r="RC24" s="1755">
        <f>+IFERROR(VLOOKUP(RC$6&amp;"-"&amp;$M24&amp;"_old",Ammortamento_Finanziario!$H:$L,5,FALSE),VLOOKUP($M24,TT_Tabelle_Riferimento!$H$31:$I$50,2,FALSE))</f>
        <v>30</v>
      </c>
      <c r="RD24" s="1078">
        <f>+IFERROR(VLOOKUP(RD$6&amp;"-"&amp;$M24&amp;"_old",Ammortamento_Finanziario!$H:$L,5,FALSE),VLOOKUP($M24,TT_Tabelle_Riferimento!$H$31:$I$50,2,FALSE))</f>
        <v>30</v>
      </c>
      <c r="RE24" s="1078">
        <f>+IFERROR(VLOOKUP(RE$6&amp;"-"&amp;$M24&amp;"_old",Ammortamento_Finanziario!$H:$L,5,FALSE),VLOOKUP($M24,TT_Tabelle_Riferimento!$H$31:$I$50,2,FALSE))</f>
        <v>30</v>
      </c>
      <c r="RF24" s="1078">
        <f>+IFERROR(VLOOKUP(RF$6&amp;"-"&amp;$M24&amp;"_old",Ammortamento_Finanziario!$H:$L,5,FALSE),VLOOKUP($M24,TT_Tabelle_Riferimento!$H$31:$I$50,2,FALSE))</f>
        <v>30</v>
      </c>
      <c r="RG24" s="1078">
        <f>+IFERROR(VLOOKUP(RG$6&amp;"-"&amp;$M24&amp;"_old",Ammortamento_Finanziario!$H:$L,5,FALSE),VLOOKUP($M24,TT_Tabelle_Riferimento!$H$31:$I$50,2,FALSE))</f>
        <v>30</v>
      </c>
      <c r="RH24" s="1078">
        <f>+IFERROR(VLOOKUP(RH$6&amp;"-"&amp;$M24&amp;"_old",Ammortamento_Finanziario!$H:$L,5,FALSE),VLOOKUP($M24,TT_Tabelle_Riferimento!$H$31:$I$50,2,FALSE))</f>
        <v>30</v>
      </c>
      <c r="RI24" s="1078">
        <f>+IFERROR(VLOOKUP(RI$6&amp;"-"&amp;$M24&amp;"_old",Ammortamento_Finanziario!$H:$L,5,FALSE),VLOOKUP($M24,TT_Tabelle_Riferimento!$H$31:$I$50,2,FALSE))</f>
        <v>30</v>
      </c>
      <c r="RJ24" s="1078">
        <f>+IFERROR(VLOOKUP(RJ$6&amp;"-"&amp;$M24&amp;"_old",Ammortamento_Finanziario!$H:$L,5,FALSE),VLOOKUP($M24,TT_Tabelle_Riferimento!$H$31:$I$50,2,FALSE))</f>
        <v>30</v>
      </c>
      <c r="RK24" s="1078">
        <f>+IFERROR(VLOOKUP(RK$6&amp;"-"&amp;$M24&amp;"_old",Ammortamento_Finanziario!$H:$L,5,FALSE),VLOOKUP($M24,TT_Tabelle_Riferimento!$H$31:$I$50,2,FALSE))</f>
        <v>30</v>
      </c>
      <c r="RL24" s="1078">
        <f>+IFERROR(VLOOKUP(RL$6&amp;"-"&amp;$M24&amp;"_old",Ammortamento_Finanziario!$H:$L,5,FALSE),VLOOKUP($M24,TT_Tabelle_Riferimento!$H$31:$I$50,2,FALSE))</f>
        <v>30</v>
      </c>
      <c r="RM24" s="1078">
        <f>+IFERROR(VLOOKUP(RM$6&amp;"-"&amp;$M24&amp;"_old",Ammortamento_Finanziario!$H:$L,5,FALSE),VLOOKUP($M24,TT_Tabelle_Riferimento!$H$31:$I$50,2,FALSE))</f>
        <v>30</v>
      </c>
      <c r="RN24" s="1078">
        <f>+IFERROR(VLOOKUP(RN$6&amp;"-"&amp;$M24&amp;"_old",Ammortamento_Finanziario!$H:$L,5,FALSE),VLOOKUP($M24,TT_Tabelle_Riferimento!$H$31:$I$50,2,FALSE))</f>
        <v>30</v>
      </c>
      <c r="RO24" s="1078">
        <f>+IFERROR(VLOOKUP(RO$6&amp;"-"&amp;$M24&amp;"_old",Ammortamento_Finanziario!$H:$L,5,FALSE),VLOOKUP($M24,TT_Tabelle_Riferimento!$H$31:$I$50,2,FALSE))</f>
        <v>30</v>
      </c>
      <c r="RP24" s="1078">
        <f>+IFERROR(VLOOKUP(RP$6&amp;"-"&amp;$M24&amp;"_old",Ammortamento_Finanziario!$H:$L,5,FALSE),VLOOKUP($M24,TT_Tabelle_Riferimento!$H$31:$I$50,2,FALSE))</f>
        <v>30</v>
      </c>
      <c r="RQ24" s="1078">
        <f>+IFERROR(VLOOKUP(RQ$6&amp;"-"&amp;$M24&amp;"_old",Ammortamento_Finanziario!$H:$L,5,FALSE),VLOOKUP($M24,TT_Tabelle_Riferimento!$H$31:$I$50,2,FALSE))</f>
        <v>30</v>
      </c>
      <c r="RR24" s="1078">
        <f>+IFERROR(VLOOKUP(RR$6&amp;"-"&amp;$M24&amp;"_old",Ammortamento_Finanziario!$H:$L,5,FALSE),VLOOKUP($M24,TT_Tabelle_Riferimento!$H$31:$I$50,2,FALSE))</f>
        <v>30</v>
      </c>
      <c r="RS24" s="1078">
        <f>+IFERROR(VLOOKUP(RS$6&amp;"-"&amp;$M24&amp;"_old",Ammortamento_Finanziario!$H:$L,5,FALSE),VLOOKUP($M24,TT_Tabelle_Riferimento!$H$31:$I$50,2,FALSE))</f>
        <v>30</v>
      </c>
      <c r="RT24" s="1078">
        <f>+IFERROR(VLOOKUP(RT$6&amp;"-"&amp;$M24&amp;"_old",Ammortamento_Finanziario!$H:$L,5,FALSE),VLOOKUP($M24,TT_Tabelle_Riferimento!$H$31:$I$50,2,FALSE))</f>
        <v>30</v>
      </c>
      <c r="RU24" s="1078">
        <f>+IFERROR(VLOOKUP(RU$6&amp;"-"&amp;$M24&amp;"_old",Ammortamento_Finanziario!$H:$L,5,FALSE),VLOOKUP($M24,TT_Tabelle_Riferimento!$H$31:$I$50,2,FALSE))</f>
        <v>30</v>
      </c>
      <c r="RV24" s="1078">
        <f>+IFERROR(VLOOKUP(RV$6&amp;"-"&amp;$M24&amp;"_old",Ammortamento_Finanziario!$H:$L,5,FALSE),VLOOKUP($M24,TT_Tabelle_Riferimento!$H$31:$I$50,2,FALSE))</f>
        <v>30</v>
      </c>
    </row>
    <row r="25" spans="4:490">
      <c r="D25" s="135" t="s">
        <v>202</v>
      </c>
      <c r="E25" s="1264">
        <f>+SUMIFS(IMN_gestore!X:X,IMN_gestore!$E:$E,"&gt;="&amp;2012,IMN_gestore!$E:$E,"&lt;="&amp;2022)</f>
        <v>0</v>
      </c>
      <c r="F25" s="1264">
        <f>+SUMIFS(IMN_gestore!AI:AI,IMN_gestore!$E:$E,"&gt;="&amp;2012,IMN_gestore!$E:$E,"&lt;="&amp;2023)</f>
        <v>0</v>
      </c>
      <c r="G25" s="1264">
        <f>+SUMIFS(IMN_gestore!AT:AT,IMN_gestore!$E:$E,"&gt;="&amp;2012,IMN_gestore!$E:$E,"&lt;="&amp;2024)</f>
        <v>0</v>
      </c>
      <c r="H25" s="1264">
        <f>+SUMIFS(IMN_gestore!BE:BE,IMN_gestore!$E:$E,"&gt;="&amp;2012,IMN_gestore!$E:$E,"&lt;="&amp;2025)</f>
        <v>0</v>
      </c>
      <c r="I25" s="1264">
        <f>+SUMIFS(IMN_gestore!$BP:$BP,IMN_gestore!$E:$E,"&gt;="&amp;2012,IMN_gestore!$E:$E,"&lt;="&amp;2026)</f>
        <v>0</v>
      </c>
      <c r="J25" s="1264">
        <f>+SUMIFS(IMN_gestore!$CA:$CA,IMN_gestore!$E:$E,"&gt;="&amp;2012,IMN_gestore!$E:$E,"&lt;="&amp;2027)</f>
        <v>0</v>
      </c>
      <c r="K25" s="136"/>
      <c r="L25" s="125"/>
      <c r="M25" s="424"/>
      <c r="N25" s="424"/>
      <c r="O25" s="424"/>
      <c r="P25" s="424"/>
      <c r="Q25" s="424"/>
      <c r="R25" s="424"/>
      <c r="S25" s="424"/>
      <c r="T25" s="424"/>
      <c r="U25" s="424"/>
      <c r="V25" s="424"/>
      <c r="W25" s="424"/>
      <c r="X25" s="424"/>
      <c r="Y25" s="424"/>
      <c r="Z25" s="424"/>
      <c r="AA25" s="424"/>
      <c r="AB25" s="424"/>
      <c r="AC25" s="424"/>
      <c r="AD25" s="424"/>
      <c r="AE25" s="424"/>
      <c r="AF25" s="424"/>
      <c r="AG25" s="424"/>
      <c r="AH25" s="424"/>
      <c r="AI25" s="424"/>
      <c r="AJ25" s="424"/>
      <c r="AK25" s="424"/>
      <c r="AL25" s="424"/>
      <c r="AM25" s="424"/>
      <c r="AN25" s="424"/>
      <c r="AO25" s="424"/>
      <c r="AP25" s="424"/>
      <c r="AQ25" s="424"/>
      <c r="AR25" s="424"/>
      <c r="AS25" s="424"/>
      <c r="AT25" s="424"/>
      <c r="AU25" s="424"/>
      <c r="AV25" s="424"/>
      <c r="AW25" s="424"/>
      <c r="AX25" s="424"/>
      <c r="AY25" s="424"/>
      <c r="AZ25" s="424"/>
      <c r="BA25" s="424"/>
      <c r="BB25" s="424"/>
      <c r="BC25" s="424"/>
      <c r="BD25" s="424"/>
      <c r="BE25" s="424"/>
      <c r="BF25" s="424"/>
      <c r="BG25" s="424"/>
      <c r="BH25" s="424"/>
      <c r="BI25" s="424"/>
      <c r="BJ25" s="424"/>
      <c r="BK25" s="424"/>
      <c r="BL25" s="424"/>
      <c r="BM25" s="424"/>
      <c r="BN25" s="424"/>
      <c r="BO25" s="424"/>
      <c r="BP25" s="424"/>
      <c r="BQ25" s="424"/>
      <c r="BR25" s="424"/>
      <c r="BS25" s="424"/>
      <c r="BT25" s="424"/>
      <c r="BU25" s="424"/>
      <c r="BV25" s="424"/>
      <c r="BW25" s="424"/>
      <c r="BX25" s="424"/>
      <c r="BY25" s="424"/>
      <c r="BZ25" s="424"/>
      <c r="CA25" s="424"/>
      <c r="CB25" s="424"/>
      <c r="CC25" s="424"/>
      <c r="CD25" s="424"/>
      <c r="CE25" s="424"/>
      <c r="CF25" s="424"/>
      <c r="CG25" s="424"/>
      <c r="CH25" s="424"/>
      <c r="CI25" s="424"/>
      <c r="CJ25" s="424"/>
      <c r="CK25" s="424"/>
      <c r="CL25" s="424"/>
      <c r="CM25" s="424"/>
      <c r="CN25" s="424"/>
      <c r="CO25" s="424"/>
      <c r="CP25" s="424"/>
      <c r="CQ25" s="424"/>
      <c r="CR25" s="424"/>
      <c r="CS25" s="424"/>
      <c r="CT25" s="424"/>
      <c r="CU25" s="424"/>
      <c r="CV25" s="424"/>
      <c r="CW25" s="424"/>
      <c r="CX25" s="424"/>
      <c r="CY25" s="424"/>
      <c r="CZ25" s="424"/>
      <c r="DA25" s="424"/>
      <c r="DB25" s="424"/>
      <c r="DC25" s="424"/>
      <c r="DD25" s="424"/>
      <c r="DE25" s="424"/>
      <c r="DF25" s="424"/>
      <c r="DG25" s="424"/>
      <c r="DH25" s="424"/>
      <c r="DI25" s="424"/>
      <c r="DJ25" s="424"/>
      <c r="DK25" s="424"/>
      <c r="DL25" s="424"/>
      <c r="DM25" s="424"/>
      <c r="DN25" s="424"/>
      <c r="DO25" s="424"/>
      <c r="DP25" s="424"/>
      <c r="DQ25" s="424"/>
      <c r="DR25" s="424"/>
      <c r="DS25" s="424"/>
      <c r="DT25" s="424"/>
      <c r="DU25" s="424"/>
      <c r="DV25" s="424"/>
      <c r="DW25" s="424"/>
      <c r="DX25" s="424"/>
      <c r="DY25" s="424"/>
      <c r="DZ25" s="424"/>
      <c r="EA25" s="424"/>
      <c r="EB25" s="424"/>
      <c r="EC25" s="424"/>
      <c r="ED25" s="424"/>
      <c r="EE25" s="424"/>
      <c r="EF25" s="424"/>
      <c r="EG25" s="424"/>
      <c r="EH25" s="424"/>
      <c r="EI25" s="424"/>
      <c r="EJ25" s="424"/>
      <c r="EK25" s="424"/>
      <c r="EL25" s="424"/>
      <c r="EM25" s="424"/>
      <c r="EN25" s="424"/>
      <c r="EO25" s="424"/>
      <c r="EP25" s="424"/>
      <c r="EQ25" s="424"/>
      <c r="ER25" s="424"/>
      <c r="ES25" s="424"/>
      <c r="ET25" s="424"/>
      <c r="EU25" s="424"/>
      <c r="EV25" s="424"/>
      <c r="EW25" s="424"/>
      <c r="EX25" s="424"/>
      <c r="EY25" s="424"/>
      <c r="EZ25" s="424"/>
      <c r="FA25" s="424"/>
      <c r="FB25" s="424"/>
      <c r="FC25" s="424"/>
      <c r="FD25" s="424"/>
      <c r="FE25" s="424"/>
      <c r="FF25" s="424"/>
      <c r="FG25" s="424"/>
      <c r="FH25" s="424"/>
      <c r="FI25" s="424"/>
      <c r="FJ25" s="424"/>
      <c r="FK25" s="424"/>
      <c r="FL25" s="424"/>
      <c r="FM25" s="424"/>
      <c r="FN25" s="424"/>
      <c r="FO25" s="424"/>
      <c r="FP25" s="424"/>
      <c r="FQ25" s="424"/>
      <c r="FR25" s="424"/>
      <c r="FS25" s="424"/>
      <c r="FT25" s="424"/>
      <c r="FU25" s="424"/>
      <c r="FV25" s="424"/>
      <c r="FW25" s="424"/>
      <c r="FX25" s="424"/>
      <c r="FY25" s="424"/>
      <c r="FZ25" s="424"/>
      <c r="GA25" s="424"/>
      <c r="GB25" s="424"/>
      <c r="GC25" s="424"/>
      <c r="GD25" s="424"/>
      <c r="GE25" s="424"/>
      <c r="GF25" s="424"/>
      <c r="GG25" s="424"/>
      <c r="GH25" s="424"/>
      <c r="GI25" s="424"/>
      <c r="GJ25" s="424"/>
      <c r="GK25" s="424"/>
      <c r="GL25" s="424"/>
      <c r="GM25" s="424"/>
      <c r="GN25" s="424"/>
      <c r="GO25" s="424"/>
      <c r="GP25" s="424"/>
      <c r="GQ25" s="424"/>
      <c r="GR25" s="424"/>
      <c r="GS25" s="424"/>
      <c r="GT25" s="424"/>
      <c r="GU25" s="424"/>
      <c r="GV25" s="424"/>
      <c r="GW25" s="424"/>
      <c r="GX25" s="424"/>
      <c r="GY25" s="424"/>
      <c r="GZ25" s="424"/>
      <c r="HA25" s="424"/>
      <c r="HB25" s="424"/>
      <c r="HC25" s="424"/>
      <c r="HD25" s="424"/>
      <c r="HE25" s="424"/>
      <c r="HF25" s="424"/>
      <c r="HG25" s="424"/>
      <c r="HH25" s="424"/>
      <c r="HI25" s="424"/>
      <c r="HJ25" s="424"/>
      <c r="HK25" s="424"/>
      <c r="HL25" s="424"/>
      <c r="HM25" s="424"/>
      <c r="HN25" s="424"/>
      <c r="HO25" s="424"/>
      <c r="HP25" s="424"/>
      <c r="HQ25" s="424"/>
      <c r="HR25" s="424"/>
      <c r="HS25" s="424"/>
      <c r="HT25" s="424"/>
      <c r="HU25" s="424"/>
      <c r="HV25" s="424"/>
      <c r="HW25" s="424"/>
      <c r="HX25" s="424"/>
      <c r="HY25" s="424"/>
      <c r="HZ25" s="424"/>
      <c r="IA25" s="424"/>
      <c r="IB25" s="424"/>
      <c r="IC25" s="424"/>
      <c r="ID25" s="424"/>
      <c r="IE25" s="424"/>
      <c r="IF25" s="424"/>
      <c r="IG25" s="424"/>
      <c r="IH25" s="424"/>
      <c r="II25" s="424"/>
      <c r="IJ25" s="424"/>
      <c r="IK25" s="424"/>
    </row>
    <row r="26" spans="4:490">
      <c r="D26"/>
      <c r="E26"/>
      <c r="F26"/>
      <c r="G26"/>
      <c r="H26"/>
      <c r="I26"/>
      <c r="J26"/>
      <c r="L26" s="136"/>
      <c r="M26" s="339"/>
      <c r="N26" s="425"/>
      <c r="O26" s="425"/>
      <c r="P26" s="425"/>
      <c r="Q26" s="425"/>
      <c r="R26" s="425"/>
      <c r="S26" s="425"/>
      <c r="T26" s="425"/>
      <c r="U26" s="425"/>
      <c r="V26" s="425"/>
      <c r="W26" s="425"/>
      <c r="X26" s="425"/>
      <c r="Y26" s="425"/>
      <c r="Z26" s="425"/>
      <c r="AA26" s="425"/>
      <c r="AB26" s="425"/>
      <c r="AC26" s="425"/>
      <c r="AD26" s="425"/>
      <c r="AE26" s="425"/>
      <c r="AF26" s="425"/>
      <c r="AG26" s="425"/>
      <c r="AH26" s="425"/>
      <c r="AI26" s="425"/>
      <c r="AJ26" s="425"/>
      <c r="AK26" s="425"/>
      <c r="AL26" s="425"/>
      <c r="AM26" s="425"/>
      <c r="AN26" s="425"/>
      <c r="AO26" s="425"/>
      <c r="AP26" s="425"/>
      <c r="AQ26" s="425"/>
      <c r="AR26" s="425"/>
      <c r="AS26" s="425"/>
      <c r="AT26" s="425"/>
      <c r="AU26" s="425"/>
      <c r="AV26" s="425"/>
      <c r="AW26" s="425"/>
      <c r="AX26" s="425"/>
      <c r="AY26" s="339"/>
      <c r="AZ26" s="339"/>
      <c r="BA26" s="339"/>
      <c r="BB26" s="339"/>
      <c r="BC26" s="339"/>
      <c r="BD26" s="339"/>
      <c r="BE26" s="339"/>
      <c r="BF26" s="339"/>
      <c r="BG26" s="339"/>
      <c r="BH26" s="339"/>
      <c r="BI26" s="339"/>
      <c r="BJ26" s="339"/>
      <c r="BK26" s="339"/>
      <c r="BL26" s="339"/>
      <c r="BM26" s="339"/>
      <c r="BN26" s="339"/>
      <c r="BO26" s="339"/>
      <c r="BP26" s="339"/>
      <c r="BQ26" s="339"/>
      <c r="BR26" s="339"/>
      <c r="BS26" s="339"/>
      <c r="BT26" s="339"/>
      <c r="BU26" s="339"/>
      <c r="BV26" s="339"/>
      <c r="BW26" s="339"/>
      <c r="BX26" s="339"/>
      <c r="BY26" s="339"/>
      <c r="BZ26" s="339"/>
      <c r="CA26" s="339"/>
      <c r="CB26" s="339"/>
      <c r="CC26" s="339"/>
      <c r="CD26" s="339"/>
      <c r="CE26" s="339"/>
      <c r="CF26" s="339"/>
      <c r="CG26" s="339"/>
      <c r="CH26" s="339"/>
      <c r="CI26" s="339"/>
      <c r="CJ26" s="339"/>
      <c r="CK26" s="339"/>
      <c r="CL26" s="339"/>
      <c r="CM26" s="339"/>
      <c r="CN26" s="339"/>
      <c r="CO26" s="339"/>
      <c r="CP26" s="339"/>
      <c r="CQ26" s="339"/>
      <c r="CR26" s="339"/>
      <c r="CS26" s="339"/>
      <c r="CT26" s="339"/>
      <c r="CU26" s="339"/>
      <c r="CV26" s="339"/>
      <c r="CW26" s="339"/>
      <c r="CX26" s="339"/>
      <c r="CY26" s="339"/>
      <c r="CZ26" s="339"/>
      <c r="DA26" s="339"/>
      <c r="DB26" s="339"/>
      <c r="DC26" s="339"/>
      <c r="DD26" s="339"/>
      <c r="DE26" s="339"/>
      <c r="DF26" s="339"/>
      <c r="DG26" s="339"/>
      <c r="DH26" s="339"/>
      <c r="DI26" s="339"/>
      <c r="DJ26" s="339"/>
      <c r="DK26" s="339"/>
      <c r="DL26" s="339"/>
      <c r="DM26" s="339"/>
      <c r="DN26" s="339"/>
      <c r="DO26" s="339"/>
      <c r="DP26" s="339"/>
      <c r="DQ26" s="339"/>
      <c r="DR26" s="339"/>
      <c r="DS26" s="339"/>
      <c r="DT26" s="339"/>
      <c r="DU26" s="339"/>
      <c r="DV26" s="339"/>
      <c r="DW26" s="339"/>
      <c r="DX26" s="339"/>
      <c r="DY26" s="339"/>
      <c r="DZ26" s="339"/>
      <c r="EA26" s="339"/>
      <c r="EB26" s="339"/>
      <c r="EC26" s="339"/>
      <c r="ED26" s="339"/>
      <c r="EE26" s="339"/>
      <c r="EF26" s="339"/>
      <c r="EG26" s="339"/>
      <c r="EH26" s="339"/>
      <c r="EI26" s="339"/>
      <c r="EJ26" s="339"/>
      <c r="EK26" s="339"/>
      <c r="EL26" s="339"/>
      <c r="EM26" s="339"/>
      <c r="EN26" s="339"/>
      <c r="EO26" s="339"/>
      <c r="EP26" s="339"/>
      <c r="EQ26" s="339"/>
      <c r="ER26" s="339"/>
      <c r="ES26" s="339"/>
      <c r="ET26" s="339"/>
      <c r="EU26" s="339"/>
      <c r="EV26" s="339"/>
      <c r="EW26" s="339"/>
      <c r="EX26" s="339"/>
      <c r="EY26" s="339"/>
      <c r="EZ26" s="339"/>
      <c r="FA26" s="339"/>
      <c r="FB26" s="339"/>
      <c r="FC26" s="339"/>
      <c r="FD26" s="339"/>
      <c r="FE26" s="339"/>
      <c r="FF26" s="339"/>
      <c r="FG26" s="339"/>
      <c r="FH26" s="339"/>
      <c r="FI26" s="339"/>
      <c r="FJ26" s="339"/>
      <c r="FK26" s="339"/>
      <c r="FL26" s="339"/>
      <c r="FM26" s="339"/>
      <c r="FN26" s="339"/>
      <c r="FO26" s="339"/>
      <c r="FP26" s="339"/>
      <c r="FQ26" s="339"/>
      <c r="FR26" s="339"/>
      <c r="FS26" s="339"/>
      <c r="FT26" s="339"/>
      <c r="FU26" s="339"/>
      <c r="FV26" s="339"/>
      <c r="FW26" s="339"/>
      <c r="FX26" s="339"/>
      <c r="FY26" s="339"/>
      <c r="FZ26" s="339"/>
      <c r="GA26" s="339"/>
      <c r="GB26" s="339"/>
      <c r="GC26" s="339"/>
      <c r="GD26" s="339"/>
      <c r="GE26" s="339"/>
      <c r="GF26" s="339"/>
      <c r="GG26" s="339"/>
      <c r="GH26" s="339"/>
      <c r="GI26" s="339"/>
      <c r="GJ26" s="339"/>
      <c r="GK26" s="339"/>
      <c r="GL26" s="339"/>
      <c r="GM26" s="339"/>
      <c r="GN26" s="339"/>
      <c r="GO26" s="339"/>
      <c r="GP26" s="339"/>
      <c r="GQ26" s="339"/>
      <c r="GR26" s="339"/>
      <c r="GS26" s="339"/>
      <c r="GT26" s="339"/>
      <c r="GU26" s="339"/>
      <c r="GV26" s="339"/>
      <c r="GW26" s="339"/>
      <c r="GX26" s="339"/>
      <c r="GY26" s="339"/>
      <c r="GZ26" s="339"/>
      <c r="HA26" s="339"/>
      <c r="HB26" s="339"/>
      <c r="HC26" s="339"/>
      <c r="HD26" s="339"/>
      <c r="HE26" s="339"/>
      <c r="HF26" s="339"/>
      <c r="HG26" s="339"/>
      <c r="HH26" s="339"/>
      <c r="HI26" s="339"/>
      <c r="HJ26" s="339"/>
      <c r="HK26" s="339"/>
      <c r="HL26" s="339"/>
      <c r="HM26" s="339"/>
      <c r="HN26" s="339"/>
      <c r="HO26" s="339"/>
      <c r="HP26" s="339"/>
      <c r="HQ26" s="339"/>
      <c r="HR26" s="339"/>
      <c r="HS26" s="339"/>
      <c r="HT26" s="339"/>
      <c r="HU26" s="339"/>
      <c r="HV26" s="339"/>
      <c r="HW26" s="339"/>
      <c r="HX26" s="339"/>
      <c r="HY26" s="339"/>
      <c r="HZ26" s="339"/>
      <c r="IA26" s="339"/>
      <c r="IB26" s="339"/>
      <c r="IC26" s="339"/>
      <c r="ID26" s="339"/>
      <c r="IE26" s="339"/>
      <c r="IF26" s="339"/>
      <c r="IG26" s="339"/>
      <c r="IH26" s="339"/>
      <c r="II26" s="339"/>
      <c r="IJ26" s="339"/>
      <c r="IK26" s="339"/>
    </row>
    <row r="27" spans="4:490">
      <c r="D27" s="137"/>
      <c r="E27" s="136"/>
      <c r="F27" s="136"/>
      <c r="G27" s="136"/>
      <c r="H27" s="136"/>
      <c r="I27" s="136"/>
      <c r="J27" s="136"/>
      <c r="K27" s="136"/>
      <c r="L27" s="125"/>
      <c r="M27" s="632" t="s">
        <v>110</v>
      </c>
      <c r="N27" s="623" t="s">
        <v>25134</v>
      </c>
      <c r="O27" s="623" t="s">
        <v>25135</v>
      </c>
      <c r="P27" s="623" t="s">
        <v>25136</v>
      </c>
      <c r="Q27" s="623" t="s">
        <v>25137</v>
      </c>
      <c r="R27" s="623" t="s">
        <v>25138</v>
      </c>
      <c r="S27" s="623" t="s">
        <v>25139</v>
      </c>
      <c r="T27" s="623" t="s">
        <v>25140</v>
      </c>
      <c r="U27" s="623" t="s">
        <v>25141</v>
      </c>
      <c r="V27" s="623" t="s">
        <v>25198</v>
      </c>
      <c r="W27" s="623" t="s">
        <v>25199</v>
      </c>
      <c r="X27" s="623" t="s">
        <v>25200</v>
      </c>
      <c r="Y27" s="623" t="s">
        <v>25201</v>
      </c>
      <c r="Z27" s="623" t="s">
        <v>25202</v>
      </c>
      <c r="AA27" s="623" t="s">
        <v>25203</v>
      </c>
      <c r="AB27" s="623" t="s">
        <v>25204</v>
      </c>
      <c r="AC27" s="623" t="s">
        <v>25205</v>
      </c>
      <c r="AD27" s="623" t="s">
        <v>25206</v>
      </c>
      <c r="AE27" s="623" t="s">
        <v>25207</v>
      </c>
      <c r="AF27" s="623" t="s">
        <v>25208</v>
      </c>
      <c r="AG27" s="623" t="s">
        <v>25209</v>
      </c>
      <c r="AH27" s="623" t="s">
        <v>25210</v>
      </c>
      <c r="AI27" s="623" t="s">
        <v>25211</v>
      </c>
      <c r="AJ27" s="623" t="s">
        <v>25212</v>
      </c>
      <c r="AK27" s="623" t="s">
        <v>25213</v>
      </c>
      <c r="AL27" s="623" t="s">
        <v>25214</v>
      </c>
      <c r="AM27" s="623" t="s">
        <v>25215</v>
      </c>
      <c r="AN27" s="623" t="s">
        <v>25216</v>
      </c>
      <c r="AO27" s="623" t="s">
        <v>25217</v>
      </c>
      <c r="AP27" s="623" t="s">
        <v>25218</v>
      </c>
      <c r="AQ27" s="623" t="s">
        <v>25219</v>
      </c>
      <c r="AR27" s="623" t="s">
        <v>25220</v>
      </c>
      <c r="AS27" s="623" t="s">
        <v>25221</v>
      </c>
      <c r="AT27" s="623" t="s">
        <v>25222</v>
      </c>
      <c r="AU27" s="623" t="s">
        <v>25223</v>
      </c>
      <c r="AV27" s="623" t="s">
        <v>25224</v>
      </c>
      <c r="AW27" s="623" t="s">
        <v>25225</v>
      </c>
      <c r="AX27" s="623" t="s">
        <v>25226</v>
      </c>
      <c r="AY27" s="623" t="s">
        <v>25142</v>
      </c>
      <c r="AZ27" s="623" t="s">
        <v>25143</v>
      </c>
      <c r="BA27" s="623" t="s">
        <v>25144</v>
      </c>
      <c r="BB27" s="623" t="s">
        <v>25145</v>
      </c>
      <c r="BC27" s="623" t="s">
        <v>25146</v>
      </c>
      <c r="BD27" s="623" t="s">
        <v>25147</v>
      </c>
      <c r="BE27" s="623" t="s">
        <v>25227</v>
      </c>
      <c r="BF27" s="623" t="s">
        <v>25228</v>
      </c>
      <c r="BG27" s="623" t="s">
        <v>25229</v>
      </c>
      <c r="BH27" s="623" t="s">
        <v>25230</v>
      </c>
      <c r="BI27" s="623" t="s">
        <v>25231</v>
      </c>
      <c r="BJ27" s="623" t="s">
        <v>25232</v>
      </c>
      <c r="BK27" s="623" t="s">
        <v>25233</v>
      </c>
      <c r="BL27" s="623" t="s">
        <v>25234</v>
      </c>
      <c r="BM27" s="623" t="s">
        <v>25235</v>
      </c>
      <c r="BN27" s="623" t="s">
        <v>25236</v>
      </c>
      <c r="BO27" s="623" t="s">
        <v>25237</v>
      </c>
      <c r="BP27" s="623" t="s">
        <v>25238</v>
      </c>
      <c r="BQ27" s="623" t="s">
        <v>25239</v>
      </c>
      <c r="BR27" s="623" t="s">
        <v>25240</v>
      </c>
      <c r="BS27" s="623" t="s">
        <v>25241</v>
      </c>
      <c r="BT27" s="623" t="s">
        <v>25242</v>
      </c>
      <c r="BU27" s="623" t="s">
        <v>25243</v>
      </c>
      <c r="BV27" s="623" t="s">
        <v>25244</v>
      </c>
      <c r="BW27" s="623" t="s">
        <v>25245</v>
      </c>
      <c r="BX27" s="623" t="s">
        <v>25246</v>
      </c>
      <c r="BY27" s="623" t="s">
        <v>25247</v>
      </c>
      <c r="BZ27" s="623" t="s">
        <v>25248</v>
      </c>
      <c r="CA27" s="623" t="s">
        <v>25249</v>
      </c>
      <c r="CB27" s="623" t="s">
        <v>25250</v>
      </c>
      <c r="CC27" s="623" t="s">
        <v>25251</v>
      </c>
      <c r="CD27" s="623" t="s">
        <v>25252</v>
      </c>
      <c r="CE27" s="623" t="s">
        <v>25253</v>
      </c>
      <c r="CF27" s="623" t="s">
        <v>25254</v>
      </c>
      <c r="CG27" s="623" t="s">
        <v>25255</v>
      </c>
      <c r="CH27" s="623" t="s">
        <v>25148</v>
      </c>
      <c r="CI27" s="623" t="s">
        <v>25149</v>
      </c>
      <c r="CJ27" s="623" t="s">
        <v>25150</v>
      </c>
      <c r="CK27" s="623" t="s">
        <v>25151</v>
      </c>
      <c r="CL27" s="623" t="s">
        <v>25152</v>
      </c>
      <c r="CM27" s="623" t="s">
        <v>25256</v>
      </c>
      <c r="CN27" s="623" t="s">
        <v>25257</v>
      </c>
      <c r="CO27" s="623" t="s">
        <v>25258</v>
      </c>
      <c r="CP27" s="623" t="s">
        <v>25259</v>
      </c>
      <c r="CQ27" s="623" t="s">
        <v>25260</v>
      </c>
      <c r="CR27" s="623" t="s">
        <v>25261</v>
      </c>
      <c r="CS27" s="623" t="s">
        <v>25262</v>
      </c>
      <c r="CT27" s="623" t="s">
        <v>25263</v>
      </c>
      <c r="CU27" s="623" t="s">
        <v>25264</v>
      </c>
      <c r="CV27" s="623" t="s">
        <v>25265</v>
      </c>
      <c r="CW27" s="623" t="s">
        <v>25266</v>
      </c>
      <c r="CX27" s="623" t="s">
        <v>25267</v>
      </c>
      <c r="CY27" s="623" t="s">
        <v>25268</v>
      </c>
      <c r="CZ27" s="623" t="s">
        <v>25269</v>
      </c>
      <c r="DA27" s="623" t="s">
        <v>25270</v>
      </c>
      <c r="DB27" s="623" t="s">
        <v>25271</v>
      </c>
      <c r="DC27" s="623" t="s">
        <v>25272</v>
      </c>
      <c r="DD27" s="623" t="s">
        <v>25273</v>
      </c>
      <c r="DE27" s="623" t="s">
        <v>25274</v>
      </c>
      <c r="DF27" s="623" t="s">
        <v>25275</v>
      </c>
      <c r="DG27" s="623" t="s">
        <v>25276</v>
      </c>
      <c r="DH27" s="623" t="s">
        <v>25277</v>
      </c>
      <c r="DI27" s="623" t="s">
        <v>25278</v>
      </c>
      <c r="DJ27" s="623" t="s">
        <v>25279</v>
      </c>
      <c r="DK27" s="623" t="s">
        <v>25280</v>
      </c>
      <c r="DL27" s="623" t="s">
        <v>25281</v>
      </c>
      <c r="DM27" s="623" t="s">
        <v>25282</v>
      </c>
      <c r="DN27" s="623" t="s">
        <v>25283</v>
      </c>
      <c r="DO27" s="623" t="s">
        <v>25284</v>
      </c>
      <c r="DP27" s="623" t="s">
        <v>25153</v>
      </c>
      <c r="DQ27" s="623" t="s">
        <v>25154</v>
      </c>
      <c r="DR27" s="623" t="s">
        <v>25155</v>
      </c>
      <c r="DS27" s="623" t="s">
        <v>25156</v>
      </c>
      <c r="DT27" s="623" t="s">
        <v>25285</v>
      </c>
      <c r="DU27" s="623" t="s">
        <v>25286</v>
      </c>
      <c r="DV27" s="623" t="s">
        <v>25287</v>
      </c>
      <c r="DW27" s="623" t="s">
        <v>25288</v>
      </c>
      <c r="DX27" s="623" t="s">
        <v>25289</v>
      </c>
      <c r="DY27" s="623" t="s">
        <v>25290</v>
      </c>
      <c r="DZ27" s="623" t="s">
        <v>25291</v>
      </c>
      <c r="EA27" s="623" t="s">
        <v>25292</v>
      </c>
      <c r="EB27" s="623" t="s">
        <v>25293</v>
      </c>
      <c r="EC27" s="623" t="s">
        <v>25294</v>
      </c>
      <c r="ED27" s="623" t="s">
        <v>25295</v>
      </c>
      <c r="EE27" s="623" t="s">
        <v>25296</v>
      </c>
      <c r="EF27" s="623" t="s">
        <v>25297</v>
      </c>
      <c r="EG27" s="623" t="s">
        <v>25298</v>
      </c>
      <c r="EH27" s="623" t="s">
        <v>25299</v>
      </c>
      <c r="EI27" s="623" t="s">
        <v>25300</v>
      </c>
      <c r="EJ27" s="623" t="s">
        <v>25301</v>
      </c>
      <c r="EK27" s="623" t="s">
        <v>25302</v>
      </c>
      <c r="EL27" s="623" t="s">
        <v>25303</v>
      </c>
      <c r="EM27" s="623" t="s">
        <v>25304</v>
      </c>
      <c r="EN27" s="623" t="s">
        <v>25305</v>
      </c>
      <c r="EO27" s="623" t="s">
        <v>25306</v>
      </c>
      <c r="EP27" s="623" t="s">
        <v>25307</v>
      </c>
      <c r="EQ27" s="623" t="s">
        <v>25308</v>
      </c>
      <c r="ER27" s="623" t="s">
        <v>25309</v>
      </c>
      <c r="ES27" s="623" t="s">
        <v>25310</v>
      </c>
      <c r="ET27" s="623" t="s">
        <v>25311</v>
      </c>
      <c r="EU27" s="623" t="s">
        <v>25312</v>
      </c>
      <c r="EV27" s="623" t="s">
        <v>25313</v>
      </c>
      <c r="EW27" s="623" t="s">
        <v>25157</v>
      </c>
      <c r="EX27" s="623" t="s">
        <v>25158</v>
      </c>
      <c r="EY27" s="623" t="s">
        <v>25159</v>
      </c>
      <c r="EZ27" s="623" t="s">
        <v>25314</v>
      </c>
      <c r="FA27" s="623" t="s">
        <v>25315</v>
      </c>
      <c r="FB27" s="623" t="s">
        <v>25316</v>
      </c>
      <c r="FC27" s="623" t="s">
        <v>25317</v>
      </c>
      <c r="FD27" s="623" t="s">
        <v>25318</v>
      </c>
      <c r="FE27" s="623" t="s">
        <v>25319</v>
      </c>
      <c r="FF27" s="623" t="s">
        <v>25320</v>
      </c>
      <c r="FG27" s="623" t="s">
        <v>25321</v>
      </c>
      <c r="FH27" s="623" t="s">
        <v>25322</v>
      </c>
      <c r="FI27" s="623" t="s">
        <v>25323</v>
      </c>
      <c r="FJ27" s="623" t="s">
        <v>25324</v>
      </c>
      <c r="FK27" s="623" t="s">
        <v>25325</v>
      </c>
      <c r="FL27" s="623" t="s">
        <v>25326</v>
      </c>
      <c r="FM27" s="623" t="s">
        <v>25327</v>
      </c>
      <c r="FN27" s="623" t="s">
        <v>25328</v>
      </c>
      <c r="FO27" s="623" t="s">
        <v>25329</v>
      </c>
      <c r="FP27" s="623" t="s">
        <v>25330</v>
      </c>
      <c r="FQ27" s="623" t="s">
        <v>25331</v>
      </c>
      <c r="FR27" s="623" t="s">
        <v>25332</v>
      </c>
      <c r="FS27" s="623" t="s">
        <v>25333</v>
      </c>
      <c r="FT27" s="623" t="s">
        <v>25334</v>
      </c>
      <c r="FU27" s="623" t="s">
        <v>25335</v>
      </c>
      <c r="FV27" s="623" t="s">
        <v>25336</v>
      </c>
      <c r="FW27" s="623" t="s">
        <v>25337</v>
      </c>
      <c r="FX27" s="623" t="s">
        <v>25338</v>
      </c>
      <c r="FY27" s="623" t="s">
        <v>25339</v>
      </c>
      <c r="FZ27" s="623" t="s">
        <v>25340</v>
      </c>
      <c r="GA27" s="623" t="s">
        <v>25341</v>
      </c>
      <c r="GB27" s="623" t="s">
        <v>25342</v>
      </c>
      <c r="GC27" s="623" t="s">
        <v>25160</v>
      </c>
      <c r="GD27" s="623" t="s">
        <v>25132</v>
      </c>
      <c r="GE27" s="623" t="s">
        <v>25343</v>
      </c>
      <c r="GF27" s="623" t="s">
        <v>25344</v>
      </c>
      <c r="GG27" s="623" t="s">
        <v>25345</v>
      </c>
      <c r="GH27" s="623" t="s">
        <v>25346</v>
      </c>
      <c r="GI27" s="623" t="s">
        <v>25347</v>
      </c>
      <c r="GJ27" s="623" t="s">
        <v>25348</v>
      </c>
      <c r="GK27" s="623" t="s">
        <v>25349</v>
      </c>
      <c r="GL27" s="623" t="s">
        <v>25350</v>
      </c>
      <c r="GM27" s="623" t="s">
        <v>25351</v>
      </c>
      <c r="GN27" s="623" t="s">
        <v>25352</v>
      </c>
      <c r="GO27" s="623" t="s">
        <v>25353</v>
      </c>
      <c r="GP27" s="623" t="s">
        <v>25354</v>
      </c>
      <c r="GQ27" s="623" t="s">
        <v>25355</v>
      </c>
      <c r="GR27" s="623" t="s">
        <v>25356</v>
      </c>
      <c r="GS27" s="623" t="s">
        <v>25357</v>
      </c>
      <c r="GT27" s="623" t="s">
        <v>25358</v>
      </c>
      <c r="GU27" s="623" t="s">
        <v>25359</v>
      </c>
      <c r="GV27" s="623" t="s">
        <v>25360</v>
      </c>
      <c r="GW27" s="623" t="s">
        <v>25361</v>
      </c>
      <c r="GX27" s="623" t="s">
        <v>25362</v>
      </c>
      <c r="GY27" s="623" t="s">
        <v>25363</v>
      </c>
      <c r="GZ27" s="623" t="s">
        <v>25364</v>
      </c>
      <c r="HA27" s="623" t="s">
        <v>25365</v>
      </c>
      <c r="HB27" s="623" t="s">
        <v>25366</v>
      </c>
      <c r="HC27" s="623" t="s">
        <v>25367</v>
      </c>
      <c r="HD27" s="623" t="s">
        <v>25368</v>
      </c>
      <c r="HE27" s="623" t="s">
        <v>25369</v>
      </c>
      <c r="HF27" s="623" t="s">
        <v>25370</v>
      </c>
      <c r="HG27" s="623" t="s">
        <v>25371</v>
      </c>
      <c r="HH27" s="623" t="s">
        <v>25161</v>
      </c>
      <c r="HI27" s="623" t="s">
        <v>25372</v>
      </c>
      <c r="HJ27" s="623" t="s">
        <v>25373</v>
      </c>
      <c r="HK27" s="623" t="s">
        <v>25374</v>
      </c>
      <c r="HL27" s="623" t="s">
        <v>25375</v>
      </c>
      <c r="HM27" s="623" t="s">
        <v>25376</v>
      </c>
      <c r="HN27" s="623" t="s">
        <v>25377</v>
      </c>
      <c r="HO27" s="623" t="s">
        <v>25378</v>
      </c>
      <c r="HP27" s="623" t="s">
        <v>25379</v>
      </c>
      <c r="HQ27" s="623" t="s">
        <v>25380</v>
      </c>
      <c r="HR27" s="623" t="s">
        <v>25381</v>
      </c>
      <c r="HS27" s="623" t="s">
        <v>25382</v>
      </c>
      <c r="HT27" s="623" t="s">
        <v>25383</v>
      </c>
      <c r="HU27" s="623" t="s">
        <v>25384</v>
      </c>
      <c r="HV27" s="623" t="s">
        <v>25385</v>
      </c>
      <c r="HW27" s="623" t="s">
        <v>25386</v>
      </c>
      <c r="HX27" s="623" t="s">
        <v>25387</v>
      </c>
      <c r="HY27" s="623" t="s">
        <v>25388</v>
      </c>
      <c r="HZ27" s="623" t="s">
        <v>25389</v>
      </c>
      <c r="IA27" s="623" t="s">
        <v>25390</v>
      </c>
      <c r="IB27" s="623" t="s">
        <v>25391</v>
      </c>
      <c r="IC27" s="623" t="s">
        <v>25392</v>
      </c>
      <c r="ID27" s="623" t="s">
        <v>25393</v>
      </c>
      <c r="IE27" s="623" t="s">
        <v>25394</v>
      </c>
      <c r="IF27" s="623" t="s">
        <v>25395</v>
      </c>
      <c r="IG27" s="623" t="s">
        <v>25396</v>
      </c>
      <c r="IH27" s="623" t="s">
        <v>25397</v>
      </c>
      <c r="II27" s="623" t="s">
        <v>25398</v>
      </c>
      <c r="IJ27" s="623" t="s">
        <v>25399</v>
      </c>
      <c r="IK27" s="623" t="s">
        <v>25400</v>
      </c>
      <c r="IL27" s="623" t="s">
        <v>26646</v>
      </c>
      <c r="IM27" s="623" t="s">
        <v>26647</v>
      </c>
      <c r="IN27" s="623" t="s">
        <v>26648</v>
      </c>
      <c r="IO27" s="623" t="s">
        <v>26649</v>
      </c>
      <c r="IP27" s="623" t="s">
        <v>26650</v>
      </c>
      <c r="IQ27" s="623" t="s">
        <v>26651</v>
      </c>
      <c r="IR27" s="623" t="s">
        <v>26652</v>
      </c>
      <c r="IS27" s="623" t="s">
        <v>26653</v>
      </c>
      <c r="IT27" s="623" t="s">
        <v>26654</v>
      </c>
      <c r="IU27" s="623" t="s">
        <v>26655</v>
      </c>
      <c r="IV27" s="623" t="s">
        <v>26656</v>
      </c>
      <c r="IW27" s="623" t="s">
        <v>26657</v>
      </c>
      <c r="IX27" s="623" t="s">
        <v>26658</v>
      </c>
      <c r="IY27" s="623" t="s">
        <v>26659</v>
      </c>
      <c r="IZ27" s="623" t="s">
        <v>26660</v>
      </c>
      <c r="JA27" s="623" t="s">
        <v>26661</v>
      </c>
      <c r="JB27" s="623" t="s">
        <v>26662</v>
      </c>
      <c r="JC27" s="623" t="s">
        <v>26663</v>
      </c>
      <c r="JD27" s="623" t="s">
        <v>26664</v>
      </c>
      <c r="JE27" s="623" t="s">
        <v>26665</v>
      </c>
      <c r="JF27" s="623" t="s">
        <v>26666</v>
      </c>
      <c r="JG27" s="623" t="s">
        <v>26667</v>
      </c>
      <c r="JH27" s="623" t="s">
        <v>26668</v>
      </c>
      <c r="JI27" s="623" t="s">
        <v>26669</v>
      </c>
      <c r="JJ27" s="623" t="s">
        <v>26670</v>
      </c>
      <c r="JK27" s="623" t="s">
        <v>26671</v>
      </c>
      <c r="JL27" s="623" t="s">
        <v>26672</v>
      </c>
      <c r="JM27" s="623" t="s">
        <v>26673</v>
      </c>
      <c r="JN27" s="623" t="s">
        <v>26674</v>
      </c>
      <c r="JO27" s="623" t="s">
        <v>26675</v>
      </c>
      <c r="JP27" s="623" t="s">
        <v>26676</v>
      </c>
      <c r="JQ27" s="623" t="s">
        <v>26677</v>
      </c>
      <c r="JR27" s="623" t="s">
        <v>26678</v>
      </c>
      <c r="JS27" s="623" t="s">
        <v>26679</v>
      </c>
      <c r="JT27" s="623" t="s">
        <v>26680</v>
      </c>
      <c r="JU27" s="623" t="s">
        <v>26681</v>
      </c>
      <c r="JV27" s="623" t="s">
        <v>26682</v>
      </c>
      <c r="JW27" s="623" t="s">
        <v>26683</v>
      </c>
      <c r="JX27" s="623" t="s">
        <v>26684</v>
      </c>
      <c r="JY27" s="623" t="s">
        <v>26685</v>
      </c>
      <c r="JZ27" s="623" t="s">
        <v>26686</v>
      </c>
      <c r="KA27" s="623" t="s">
        <v>26687</v>
      </c>
      <c r="KB27" s="623" t="s">
        <v>26688</v>
      </c>
      <c r="KC27" s="623" t="s">
        <v>26689</v>
      </c>
      <c r="KD27" s="623" t="s">
        <v>26690</v>
      </c>
      <c r="KE27" s="623" t="s">
        <v>26691</v>
      </c>
      <c r="KF27" s="623" t="s">
        <v>26692</v>
      </c>
      <c r="KG27" s="623" t="s">
        <v>26693</v>
      </c>
      <c r="KH27" s="623" t="s">
        <v>26694</v>
      </c>
      <c r="KI27" s="623" t="s">
        <v>26695</v>
      </c>
      <c r="KJ27" s="623" t="s">
        <v>26696</v>
      </c>
      <c r="KK27" s="623" t="s">
        <v>26697</v>
      </c>
      <c r="KL27" s="623" t="s">
        <v>26698</v>
      </c>
      <c r="KM27" s="623" t="s">
        <v>26699</v>
      </c>
      <c r="KN27" s="623" t="s">
        <v>26700</v>
      </c>
      <c r="KO27" s="623" t="s">
        <v>26701</v>
      </c>
      <c r="KP27" s="623" t="s">
        <v>26702</v>
      </c>
      <c r="KQ27" s="623" t="s">
        <v>26703</v>
      </c>
      <c r="KR27" s="623" t="s">
        <v>26704</v>
      </c>
      <c r="KS27" s="623" t="s">
        <v>26705</v>
      </c>
      <c r="KT27" s="623" t="s">
        <v>26706</v>
      </c>
      <c r="KU27" s="623" t="s">
        <v>26707</v>
      </c>
      <c r="KV27" s="623" t="s">
        <v>26708</v>
      </c>
      <c r="KW27" s="623" t="s">
        <v>26709</v>
      </c>
      <c r="KX27" s="623" t="s">
        <v>26710</v>
      </c>
      <c r="KY27" s="623" t="s">
        <v>26711</v>
      </c>
      <c r="KZ27" s="623" t="s">
        <v>26712</v>
      </c>
      <c r="LA27" s="623" t="s">
        <v>26713</v>
      </c>
      <c r="LB27" s="623" t="s">
        <v>26714</v>
      </c>
      <c r="LC27" s="623" t="s">
        <v>26715</v>
      </c>
      <c r="LD27" s="623" t="s">
        <v>26716</v>
      </c>
      <c r="LE27" s="623" t="s">
        <v>26717</v>
      </c>
      <c r="LF27" s="623" t="s">
        <v>26718</v>
      </c>
      <c r="LG27" s="623" t="s">
        <v>26719</v>
      </c>
      <c r="LH27" s="623" t="s">
        <v>26720</v>
      </c>
      <c r="LI27" s="623" t="s">
        <v>26721</v>
      </c>
      <c r="LJ27" s="623" t="s">
        <v>26722</v>
      </c>
      <c r="LK27" s="623" t="s">
        <v>26723</v>
      </c>
      <c r="LL27" s="623" t="s">
        <v>26724</v>
      </c>
      <c r="LM27" s="623" t="s">
        <v>26725</v>
      </c>
      <c r="LN27" s="623" t="s">
        <v>26726</v>
      </c>
      <c r="LO27" s="623" t="s">
        <v>26727</v>
      </c>
      <c r="LP27" s="623" t="s">
        <v>26728</v>
      </c>
      <c r="LQ27" s="623" t="s">
        <v>26729</v>
      </c>
      <c r="LR27" s="623" t="s">
        <v>26730</v>
      </c>
      <c r="LS27" s="623" t="s">
        <v>26731</v>
      </c>
      <c r="LT27" s="623" t="s">
        <v>26732</v>
      </c>
      <c r="LU27" s="623" t="s">
        <v>26733</v>
      </c>
      <c r="LV27" s="623" t="s">
        <v>26734</v>
      </c>
      <c r="LW27" s="623" t="s">
        <v>26735</v>
      </c>
      <c r="LX27" s="623" t="s">
        <v>26736</v>
      </c>
      <c r="LY27" s="623" t="s">
        <v>26737</v>
      </c>
      <c r="LZ27" s="623" t="s">
        <v>26738</v>
      </c>
      <c r="MA27" s="623" t="s">
        <v>26739</v>
      </c>
      <c r="MB27" s="623" t="s">
        <v>26740</v>
      </c>
      <c r="MC27" s="623" t="s">
        <v>26741</v>
      </c>
      <c r="MD27" s="623" t="s">
        <v>26742</v>
      </c>
      <c r="ME27" s="623" t="s">
        <v>26743</v>
      </c>
      <c r="MF27" s="623" t="s">
        <v>26744</v>
      </c>
      <c r="MG27" s="623" t="s">
        <v>26745</v>
      </c>
      <c r="MH27" s="623" t="s">
        <v>26746</v>
      </c>
      <c r="MI27" s="623" t="s">
        <v>26747</v>
      </c>
      <c r="MJ27" s="623" t="s">
        <v>26748</v>
      </c>
      <c r="MK27" s="623" t="s">
        <v>26749</v>
      </c>
      <c r="ML27" s="623" t="s">
        <v>26750</v>
      </c>
      <c r="MM27" s="623" t="s">
        <v>26751</v>
      </c>
      <c r="MN27" s="623" t="s">
        <v>26752</v>
      </c>
      <c r="MO27" s="623" t="s">
        <v>26753</v>
      </c>
      <c r="MP27" s="623" t="s">
        <v>26754</v>
      </c>
      <c r="MQ27" s="623" t="s">
        <v>26755</v>
      </c>
      <c r="MR27" s="623" t="s">
        <v>30136</v>
      </c>
      <c r="MS27" s="623" t="s">
        <v>30137</v>
      </c>
      <c r="MT27" s="623" t="s">
        <v>30138</v>
      </c>
      <c r="MU27" s="623" t="s">
        <v>30139</v>
      </c>
      <c r="MV27" s="623" t="s">
        <v>30140</v>
      </c>
      <c r="MW27" s="623" t="s">
        <v>30141</v>
      </c>
      <c r="MX27" s="623" t="s">
        <v>30142</v>
      </c>
      <c r="MY27" s="623" t="s">
        <v>30143</v>
      </c>
      <c r="MZ27" s="623" t="s">
        <v>30144</v>
      </c>
      <c r="NA27" s="623" t="s">
        <v>30145</v>
      </c>
      <c r="NB27" s="623" t="s">
        <v>30146</v>
      </c>
      <c r="NC27" s="623" t="s">
        <v>30147</v>
      </c>
      <c r="ND27" s="623" t="s">
        <v>30148</v>
      </c>
      <c r="NE27" s="623" t="s">
        <v>30149</v>
      </c>
      <c r="NF27" s="623" t="s">
        <v>30150</v>
      </c>
      <c r="NG27" s="623" t="s">
        <v>30151</v>
      </c>
      <c r="NH27" s="623" t="s">
        <v>30152</v>
      </c>
      <c r="NI27" s="623" t="s">
        <v>30153</v>
      </c>
      <c r="NJ27" s="623" t="s">
        <v>30154</v>
      </c>
      <c r="NK27" s="623" t="s">
        <v>30155</v>
      </c>
      <c r="NL27" s="623" t="s">
        <v>30156</v>
      </c>
      <c r="NM27" s="623" t="s">
        <v>30157</v>
      </c>
      <c r="NN27" s="623" t="s">
        <v>30158</v>
      </c>
      <c r="NO27" s="623" t="s">
        <v>30159</v>
      </c>
      <c r="NP27" s="623" t="s">
        <v>30135</v>
      </c>
      <c r="NQ27" s="623" t="s">
        <v>30160</v>
      </c>
      <c r="NR27" s="623" t="s">
        <v>30161</v>
      </c>
      <c r="NS27" s="623" t="s">
        <v>30162</v>
      </c>
      <c r="NT27" s="623" t="s">
        <v>30163</v>
      </c>
      <c r="NU27" s="623" t="s">
        <v>30164</v>
      </c>
      <c r="NV27" s="623" t="s">
        <v>30165</v>
      </c>
      <c r="NW27" s="623" t="s">
        <v>30166</v>
      </c>
      <c r="NX27" s="623" t="s">
        <v>30167</v>
      </c>
      <c r="NY27" s="623" t="s">
        <v>30168</v>
      </c>
      <c r="NZ27" s="623" t="s">
        <v>30169</v>
      </c>
      <c r="OA27" s="623" t="s">
        <v>30170</v>
      </c>
      <c r="OB27" s="623" t="s">
        <v>30171</v>
      </c>
      <c r="OC27" s="623" t="s">
        <v>30172</v>
      </c>
      <c r="OD27" s="623" t="s">
        <v>30173</v>
      </c>
      <c r="OE27" s="623" t="s">
        <v>30174</v>
      </c>
      <c r="OF27" s="623" t="s">
        <v>30175</v>
      </c>
      <c r="OG27" s="623" t="s">
        <v>30176</v>
      </c>
      <c r="OH27" s="623" t="s">
        <v>30177</v>
      </c>
      <c r="OI27" s="623" t="s">
        <v>30178</v>
      </c>
      <c r="OJ27" s="623" t="s">
        <v>30179</v>
      </c>
      <c r="OK27" s="623" t="s">
        <v>30180</v>
      </c>
      <c r="OL27" s="623" t="s">
        <v>30181</v>
      </c>
      <c r="OM27" s="623" t="s">
        <v>30182</v>
      </c>
      <c r="ON27" s="623" t="s">
        <v>30183</v>
      </c>
      <c r="OO27" s="623" t="s">
        <v>30184</v>
      </c>
      <c r="OP27" s="623" t="s">
        <v>30185</v>
      </c>
      <c r="OQ27" s="623" t="s">
        <v>30186</v>
      </c>
      <c r="OR27" s="623" t="s">
        <v>30187</v>
      </c>
      <c r="OS27" s="623" t="s">
        <v>30188</v>
      </c>
      <c r="OT27" s="623" t="s">
        <v>30189</v>
      </c>
      <c r="OU27" s="623" t="s">
        <v>30190</v>
      </c>
      <c r="OV27" s="623" t="s">
        <v>30191</v>
      </c>
      <c r="OW27" s="623" t="s">
        <v>30192</v>
      </c>
      <c r="OX27" s="623" t="s">
        <v>30193</v>
      </c>
      <c r="OY27" s="623" t="s">
        <v>30194</v>
      </c>
      <c r="OZ27" s="623" t="s">
        <v>30195</v>
      </c>
      <c r="PA27" s="623" t="s">
        <v>30196</v>
      </c>
      <c r="PB27" s="623" t="s">
        <v>30197</v>
      </c>
      <c r="PC27" s="623" t="s">
        <v>30198</v>
      </c>
      <c r="PD27" s="623" t="s">
        <v>30199</v>
      </c>
      <c r="PE27" s="623" t="s">
        <v>30200</v>
      </c>
      <c r="PF27" s="623" t="s">
        <v>30201</v>
      </c>
      <c r="PG27" s="623" t="s">
        <v>30202</v>
      </c>
      <c r="PH27" s="623" t="s">
        <v>30203</v>
      </c>
      <c r="PI27" s="623" t="s">
        <v>30204</v>
      </c>
      <c r="PJ27" s="623" t="s">
        <v>30205</v>
      </c>
      <c r="PK27" s="623" t="s">
        <v>30206</v>
      </c>
      <c r="PL27" s="623" t="s">
        <v>30207</v>
      </c>
      <c r="PM27" s="623" t="s">
        <v>30208</v>
      </c>
      <c r="PN27" s="1765" t="s">
        <v>30209</v>
      </c>
      <c r="PO27" s="1765" t="s">
        <v>30210</v>
      </c>
      <c r="PP27" s="1765" t="s">
        <v>30211</v>
      </c>
      <c r="PQ27" s="1765" t="s">
        <v>30212</v>
      </c>
      <c r="PR27" s="1765" t="s">
        <v>30213</v>
      </c>
      <c r="PS27" s="1765" t="s">
        <v>30214</v>
      </c>
      <c r="PT27" s="1765" t="s">
        <v>30215</v>
      </c>
      <c r="PU27" s="1765" t="s">
        <v>30216</v>
      </c>
      <c r="PV27" s="1765" t="s">
        <v>30217</v>
      </c>
      <c r="PW27" s="1765" t="s">
        <v>30218</v>
      </c>
      <c r="PX27" s="1765" t="s">
        <v>30219</v>
      </c>
      <c r="PY27" s="1765" t="s">
        <v>30220</v>
      </c>
      <c r="PZ27" s="1765" t="s">
        <v>30221</v>
      </c>
      <c r="QA27" s="1765" t="s">
        <v>30222</v>
      </c>
      <c r="QB27" s="1765" t="s">
        <v>30223</v>
      </c>
      <c r="QC27" s="1765" t="s">
        <v>30224</v>
      </c>
      <c r="QD27" s="1765" t="s">
        <v>30225</v>
      </c>
      <c r="QE27" s="1765" t="s">
        <v>30226</v>
      </c>
      <c r="QF27" s="1765" t="s">
        <v>30227</v>
      </c>
      <c r="QG27" s="1765" t="s">
        <v>30228</v>
      </c>
      <c r="QH27" s="1765" t="s">
        <v>30229</v>
      </c>
      <c r="QI27" s="1765" t="s">
        <v>30230</v>
      </c>
      <c r="QJ27" s="1765" t="s">
        <v>30231</v>
      </c>
      <c r="QK27" s="1765" t="s">
        <v>30232</v>
      </c>
      <c r="QL27" s="1765" t="s">
        <v>30233</v>
      </c>
      <c r="QM27" s="1765" t="s">
        <v>30234</v>
      </c>
      <c r="QN27" s="1765" t="s">
        <v>30235</v>
      </c>
      <c r="QO27" s="1765" t="s">
        <v>30236</v>
      </c>
      <c r="QP27" s="1765" t="s">
        <v>30237</v>
      </c>
      <c r="QQ27" s="1765" t="s">
        <v>30238</v>
      </c>
      <c r="QR27" s="1765" t="s">
        <v>30239</v>
      </c>
      <c r="QS27" s="1765" t="s">
        <v>30240</v>
      </c>
      <c r="QT27" s="1765" t="s">
        <v>30241</v>
      </c>
      <c r="QU27" s="1765" t="s">
        <v>30242</v>
      </c>
      <c r="QV27" s="1765" t="s">
        <v>30243</v>
      </c>
      <c r="QW27" s="1765" t="s">
        <v>30244</v>
      </c>
      <c r="QX27" s="1765" t="s">
        <v>30245</v>
      </c>
      <c r="QY27" s="1765" t="s">
        <v>30246</v>
      </c>
      <c r="QZ27" s="1765" t="s">
        <v>30247</v>
      </c>
      <c r="RA27" s="1765" t="s">
        <v>30248</v>
      </c>
      <c r="RB27" s="1765" t="s">
        <v>30249</v>
      </c>
      <c r="RC27" s="1765" t="s">
        <v>30250</v>
      </c>
      <c r="RD27" s="1765" t="s">
        <v>30251</v>
      </c>
      <c r="RE27" s="1765" t="s">
        <v>30252</v>
      </c>
      <c r="RF27" s="1765" t="s">
        <v>30253</v>
      </c>
      <c r="RG27" s="1765" t="s">
        <v>30254</v>
      </c>
      <c r="RH27" s="1765" t="s">
        <v>30255</v>
      </c>
      <c r="RI27" s="1765" t="s">
        <v>30256</v>
      </c>
      <c r="RJ27" s="1765" t="s">
        <v>30257</v>
      </c>
      <c r="RK27" s="1765" t="s">
        <v>30258</v>
      </c>
      <c r="RL27" s="1765" t="s">
        <v>30259</v>
      </c>
      <c r="RM27" s="1765" t="s">
        <v>30260</v>
      </c>
      <c r="RN27" s="1765" t="s">
        <v>30261</v>
      </c>
      <c r="RO27" s="1765" t="s">
        <v>30262</v>
      </c>
      <c r="RP27" s="1765" t="s">
        <v>30263</v>
      </c>
      <c r="RQ27" s="1765" t="s">
        <v>30264</v>
      </c>
      <c r="RR27" s="1765" t="s">
        <v>30265</v>
      </c>
      <c r="RS27" s="1765" t="s">
        <v>30266</v>
      </c>
      <c r="RT27" s="1765" t="s">
        <v>30267</v>
      </c>
      <c r="RU27" s="1765" t="s">
        <v>30268</v>
      </c>
      <c r="RV27" s="1765" t="s">
        <v>30269</v>
      </c>
    </row>
    <row r="28" spans="4:490">
      <c r="D28" s="126" t="s">
        <v>26769</v>
      </c>
      <c r="E28" s="10"/>
      <c r="F28" s="10"/>
      <c r="G28" s="10"/>
      <c r="H28" s="10"/>
      <c r="I28" s="136"/>
      <c r="J28" s="136"/>
      <c r="K28" s="136"/>
      <c r="L28" s="125"/>
      <c r="M28" s="1756">
        <v>1</v>
      </c>
      <c r="N28" s="1757">
        <v>0</v>
      </c>
      <c r="O28" s="1758">
        <v>0</v>
      </c>
      <c r="P28" s="1758">
        <v>0</v>
      </c>
      <c r="Q28" s="1758">
        <v>0</v>
      </c>
      <c r="R28" s="1758">
        <v>0</v>
      </c>
      <c r="S28" s="1758">
        <v>0</v>
      </c>
      <c r="T28" s="1758">
        <v>0</v>
      </c>
      <c r="U28" s="1758">
        <v>0</v>
      </c>
      <c r="V28" s="1758">
        <v>0</v>
      </c>
      <c r="W28" s="1758">
        <v>0</v>
      </c>
      <c r="X28" s="1758">
        <v>0</v>
      </c>
      <c r="Y28" s="1758">
        <v>0</v>
      </c>
      <c r="Z28" s="1758">
        <v>0</v>
      </c>
      <c r="AA28" s="1758">
        <v>0</v>
      </c>
      <c r="AB28" s="1758">
        <v>0</v>
      </c>
      <c r="AC28" s="1758">
        <v>0</v>
      </c>
      <c r="AD28" s="1758">
        <v>0</v>
      </c>
      <c r="AE28" s="1758">
        <v>0</v>
      </c>
      <c r="AF28" s="1758">
        <v>0</v>
      </c>
      <c r="AG28" s="1758">
        <v>0</v>
      </c>
      <c r="AH28" s="1758">
        <v>0</v>
      </c>
      <c r="AI28" s="1758">
        <v>0</v>
      </c>
      <c r="AJ28" s="1758">
        <v>0</v>
      </c>
      <c r="AK28" s="1758">
        <v>0</v>
      </c>
      <c r="AL28" s="1758">
        <v>0</v>
      </c>
      <c r="AM28" s="1758">
        <v>0</v>
      </c>
      <c r="AN28" s="1758">
        <v>0</v>
      </c>
      <c r="AO28" s="1758">
        <v>0</v>
      </c>
      <c r="AP28" s="1758">
        <v>0</v>
      </c>
      <c r="AQ28" s="1758">
        <v>0</v>
      </c>
      <c r="AR28" s="1758">
        <v>0</v>
      </c>
      <c r="AS28" s="1758">
        <v>0</v>
      </c>
      <c r="AT28" s="1758">
        <v>0</v>
      </c>
      <c r="AU28" s="1758">
        <v>0</v>
      </c>
      <c r="AV28" s="1758">
        <v>0</v>
      </c>
      <c r="AW28" s="1758">
        <v>0</v>
      </c>
      <c r="AX28" s="1758">
        <v>0</v>
      </c>
      <c r="AY28" s="1757">
        <v>0</v>
      </c>
      <c r="AZ28" s="1758">
        <v>0</v>
      </c>
      <c r="BA28" s="1758">
        <v>0</v>
      </c>
      <c r="BB28" s="1758">
        <v>0</v>
      </c>
      <c r="BC28" s="1758">
        <v>0</v>
      </c>
      <c r="BD28" s="1758">
        <v>0</v>
      </c>
      <c r="BE28" s="1758">
        <v>0</v>
      </c>
      <c r="BF28" s="1758">
        <v>0</v>
      </c>
      <c r="BG28" s="1758">
        <v>0</v>
      </c>
      <c r="BH28" s="1758">
        <v>0</v>
      </c>
      <c r="BI28" s="1758">
        <v>0</v>
      </c>
      <c r="BJ28" s="1758">
        <v>0</v>
      </c>
      <c r="BK28" s="1758">
        <v>0</v>
      </c>
      <c r="BL28" s="1758">
        <v>0</v>
      </c>
      <c r="BM28" s="1758">
        <v>0</v>
      </c>
      <c r="BN28" s="1758">
        <v>0</v>
      </c>
      <c r="BO28" s="1758">
        <v>0</v>
      </c>
      <c r="BP28" s="1758">
        <v>0</v>
      </c>
      <c r="BQ28" s="1758">
        <v>0</v>
      </c>
      <c r="BR28" s="1758">
        <v>0</v>
      </c>
      <c r="BS28" s="1758">
        <v>0</v>
      </c>
      <c r="BT28" s="1758">
        <v>0</v>
      </c>
      <c r="BU28" s="1758">
        <v>0</v>
      </c>
      <c r="BV28" s="1758">
        <v>0</v>
      </c>
      <c r="BW28" s="1758">
        <v>0</v>
      </c>
      <c r="BX28" s="1758">
        <v>0</v>
      </c>
      <c r="BY28" s="1758">
        <v>0</v>
      </c>
      <c r="BZ28" s="1758">
        <v>0</v>
      </c>
      <c r="CA28" s="1758">
        <v>0</v>
      </c>
      <c r="CB28" s="1758">
        <v>0</v>
      </c>
      <c r="CC28" s="1758">
        <v>0</v>
      </c>
      <c r="CD28" s="1758">
        <v>0</v>
      </c>
      <c r="CE28" s="1758">
        <v>0</v>
      </c>
      <c r="CF28" s="1758">
        <v>0</v>
      </c>
      <c r="CG28" s="1758">
        <v>0</v>
      </c>
      <c r="CH28" s="1757">
        <v>0</v>
      </c>
      <c r="CI28" s="1758">
        <v>0</v>
      </c>
      <c r="CJ28" s="1758">
        <v>0</v>
      </c>
      <c r="CK28" s="1758">
        <v>0</v>
      </c>
      <c r="CL28" s="1758">
        <v>0</v>
      </c>
      <c r="CM28" s="1758">
        <v>0</v>
      </c>
      <c r="CN28" s="1758">
        <v>0</v>
      </c>
      <c r="CO28" s="1758">
        <v>0</v>
      </c>
      <c r="CP28" s="1758">
        <v>0</v>
      </c>
      <c r="CQ28" s="1758">
        <v>0</v>
      </c>
      <c r="CR28" s="1758">
        <v>0</v>
      </c>
      <c r="CS28" s="1758">
        <v>0</v>
      </c>
      <c r="CT28" s="1758">
        <v>0</v>
      </c>
      <c r="CU28" s="1758">
        <v>0</v>
      </c>
      <c r="CV28" s="1758">
        <v>0</v>
      </c>
      <c r="CW28" s="1758">
        <v>0</v>
      </c>
      <c r="CX28" s="1758">
        <v>0</v>
      </c>
      <c r="CY28" s="1758">
        <v>0</v>
      </c>
      <c r="CZ28" s="1758">
        <v>0</v>
      </c>
      <c r="DA28" s="1758">
        <v>0</v>
      </c>
      <c r="DB28" s="1758">
        <v>0</v>
      </c>
      <c r="DC28" s="1758">
        <v>0</v>
      </c>
      <c r="DD28" s="1758">
        <v>0</v>
      </c>
      <c r="DE28" s="1758">
        <v>0</v>
      </c>
      <c r="DF28" s="1758">
        <v>0</v>
      </c>
      <c r="DG28" s="1758">
        <v>0</v>
      </c>
      <c r="DH28" s="1758">
        <v>0</v>
      </c>
      <c r="DI28" s="1758">
        <v>0</v>
      </c>
      <c r="DJ28" s="1758">
        <v>0</v>
      </c>
      <c r="DK28" s="1758">
        <v>0</v>
      </c>
      <c r="DL28" s="1758">
        <v>0</v>
      </c>
      <c r="DM28" s="1758">
        <v>0</v>
      </c>
      <c r="DN28" s="1758">
        <v>0</v>
      </c>
      <c r="DO28" s="1758">
        <v>0</v>
      </c>
      <c r="DP28" s="1757">
        <v>0</v>
      </c>
      <c r="DQ28" s="1758">
        <v>0</v>
      </c>
      <c r="DR28" s="1758">
        <v>0</v>
      </c>
      <c r="DS28" s="1758">
        <v>0</v>
      </c>
      <c r="DT28" s="1758">
        <v>0</v>
      </c>
      <c r="DU28" s="1758">
        <v>0</v>
      </c>
      <c r="DV28" s="1758">
        <v>0</v>
      </c>
      <c r="DW28" s="1758">
        <v>0</v>
      </c>
      <c r="DX28" s="1758">
        <v>0</v>
      </c>
      <c r="DY28" s="1758">
        <v>0</v>
      </c>
      <c r="DZ28" s="1758">
        <v>0</v>
      </c>
      <c r="EA28" s="1758">
        <v>0</v>
      </c>
      <c r="EB28" s="1758">
        <v>0</v>
      </c>
      <c r="EC28" s="1758">
        <v>0</v>
      </c>
      <c r="ED28" s="1758">
        <v>0</v>
      </c>
      <c r="EE28" s="1758">
        <v>0</v>
      </c>
      <c r="EF28" s="1758">
        <v>0</v>
      </c>
      <c r="EG28" s="1758">
        <v>0</v>
      </c>
      <c r="EH28" s="1758">
        <v>0</v>
      </c>
      <c r="EI28" s="1758">
        <v>0</v>
      </c>
      <c r="EJ28" s="1758">
        <v>0</v>
      </c>
      <c r="EK28" s="1758">
        <v>0</v>
      </c>
      <c r="EL28" s="1758">
        <v>0</v>
      </c>
      <c r="EM28" s="1758">
        <v>0</v>
      </c>
      <c r="EN28" s="1758">
        <v>0</v>
      </c>
      <c r="EO28" s="1758">
        <v>0</v>
      </c>
      <c r="EP28" s="1758">
        <v>0</v>
      </c>
      <c r="EQ28" s="1758">
        <v>0</v>
      </c>
      <c r="ER28" s="1758">
        <v>0</v>
      </c>
      <c r="ES28" s="1758">
        <v>0</v>
      </c>
      <c r="ET28" s="1758">
        <v>0</v>
      </c>
      <c r="EU28" s="1758">
        <v>0</v>
      </c>
      <c r="EV28" s="1758">
        <v>0</v>
      </c>
      <c r="EW28" s="1758">
        <v>0</v>
      </c>
      <c r="EX28" s="1758">
        <v>0</v>
      </c>
      <c r="EY28" s="1758">
        <v>0</v>
      </c>
      <c r="EZ28" s="1758">
        <v>0</v>
      </c>
      <c r="FA28" s="1758">
        <v>0</v>
      </c>
      <c r="FB28" s="1758">
        <v>0</v>
      </c>
      <c r="FC28" s="1758">
        <v>0</v>
      </c>
      <c r="FD28" s="1758">
        <v>0</v>
      </c>
      <c r="FE28" s="1758">
        <v>0</v>
      </c>
      <c r="FF28" s="1758">
        <v>0</v>
      </c>
      <c r="FG28" s="1758">
        <v>0</v>
      </c>
      <c r="FH28" s="1758">
        <v>0</v>
      </c>
      <c r="FI28" s="1758">
        <v>0</v>
      </c>
      <c r="FJ28" s="1758">
        <v>0</v>
      </c>
      <c r="FK28" s="1758">
        <v>0</v>
      </c>
      <c r="FL28" s="1758">
        <v>0</v>
      </c>
      <c r="FM28" s="1758">
        <v>0</v>
      </c>
      <c r="FN28" s="1758">
        <v>0</v>
      </c>
      <c r="FO28" s="1758">
        <v>0</v>
      </c>
      <c r="FP28" s="1758">
        <v>0</v>
      </c>
      <c r="FQ28" s="1758">
        <v>0</v>
      </c>
      <c r="FR28" s="1758">
        <v>0</v>
      </c>
      <c r="FS28" s="1758">
        <v>0</v>
      </c>
      <c r="FT28" s="1758">
        <v>0</v>
      </c>
      <c r="FU28" s="1758">
        <v>0</v>
      </c>
      <c r="FV28" s="1758">
        <v>0</v>
      </c>
      <c r="FW28" s="1758">
        <v>0</v>
      </c>
      <c r="FX28" s="1758">
        <v>0</v>
      </c>
      <c r="FY28" s="1758">
        <v>0</v>
      </c>
      <c r="FZ28" s="1758">
        <v>0</v>
      </c>
      <c r="GA28" s="1758">
        <v>0</v>
      </c>
      <c r="GB28" s="1758">
        <v>0</v>
      </c>
      <c r="GC28" s="1757">
        <v>0</v>
      </c>
      <c r="GD28" s="1758">
        <v>0</v>
      </c>
      <c r="GE28" s="1758">
        <v>0</v>
      </c>
      <c r="GF28" s="1758">
        <v>0</v>
      </c>
      <c r="GG28" s="1758">
        <v>0</v>
      </c>
      <c r="GH28" s="1758">
        <v>0</v>
      </c>
      <c r="GI28" s="1758">
        <v>0</v>
      </c>
      <c r="GJ28" s="1758">
        <v>0</v>
      </c>
      <c r="GK28" s="1758">
        <v>0</v>
      </c>
      <c r="GL28" s="1758">
        <v>0</v>
      </c>
      <c r="GM28" s="1758">
        <v>0</v>
      </c>
      <c r="GN28" s="1758">
        <v>0</v>
      </c>
      <c r="GO28" s="1758">
        <v>0</v>
      </c>
      <c r="GP28" s="1758">
        <v>0</v>
      </c>
      <c r="GQ28" s="1758">
        <v>0</v>
      </c>
      <c r="GR28" s="1758">
        <v>0</v>
      </c>
      <c r="GS28" s="1758">
        <v>0</v>
      </c>
      <c r="GT28" s="1758">
        <v>0</v>
      </c>
      <c r="GU28" s="1758">
        <v>0</v>
      </c>
      <c r="GV28" s="1758">
        <v>0</v>
      </c>
      <c r="GW28" s="1758">
        <v>0</v>
      </c>
      <c r="GX28" s="1758">
        <v>0</v>
      </c>
      <c r="GY28" s="1758">
        <v>0</v>
      </c>
      <c r="GZ28" s="1758">
        <v>0</v>
      </c>
      <c r="HA28" s="1758">
        <v>0</v>
      </c>
      <c r="HB28" s="1758">
        <v>0</v>
      </c>
      <c r="HC28" s="1758">
        <v>0</v>
      </c>
      <c r="HD28" s="1758">
        <v>0</v>
      </c>
      <c r="HE28" s="1758">
        <v>0</v>
      </c>
      <c r="HF28" s="1758">
        <v>0</v>
      </c>
      <c r="HG28" s="1758">
        <v>0</v>
      </c>
      <c r="HH28" s="1757">
        <v>0</v>
      </c>
      <c r="HI28" s="1757">
        <v>0</v>
      </c>
      <c r="HJ28" s="1757">
        <v>0</v>
      </c>
      <c r="HK28" s="1757">
        <v>0</v>
      </c>
      <c r="HL28" s="1757">
        <v>0</v>
      </c>
      <c r="HM28" s="1757">
        <v>0</v>
      </c>
      <c r="HN28" s="1757">
        <v>0</v>
      </c>
      <c r="HO28" s="1757">
        <v>0</v>
      </c>
      <c r="HP28" s="1757">
        <v>0</v>
      </c>
      <c r="HQ28" s="1757">
        <v>0</v>
      </c>
      <c r="HR28" s="1757">
        <v>0</v>
      </c>
      <c r="HS28" s="1757">
        <v>0</v>
      </c>
      <c r="HT28" s="1757">
        <v>0</v>
      </c>
      <c r="HU28" s="1757">
        <v>0</v>
      </c>
      <c r="HV28" s="1757">
        <v>0</v>
      </c>
      <c r="HW28" s="1757">
        <v>0</v>
      </c>
      <c r="HX28" s="1757">
        <v>0</v>
      </c>
      <c r="HY28" s="1757">
        <v>0</v>
      </c>
      <c r="HZ28" s="1757">
        <v>0</v>
      </c>
      <c r="IA28" s="1757">
        <v>0</v>
      </c>
      <c r="IB28" s="1757">
        <v>0</v>
      </c>
      <c r="IC28" s="1757">
        <v>0</v>
      </c>
      <c r="ID28" s="1757">
        <v>0</v>
      </c>
      <c r="IE28" s="1757">
        <v>0</v>
      </c>
      <c r="IF28" s="1757">
        <v>0</v>
      </c>
      <c r="IG28" s="1757">
        <v>0</v>
      </c>
      <c r="IH28" s="1757">
        <v>0</v>
      </c>
      <c r="II28" s="1757">
        <v>0</v>
      </c>
      <c r="IJ28" s="1757">
        <v>0</v>
      </c>
      <c r="IK28" s="1757">
        <v>0</v>
      </c>
      <c r="IL28" s="1757">
        <v>0</v>
      </c>
      <c r="IM28" s="1757">
        <v>0</v>
      </c>
      <c r="IN28" s="1757">
        <v>0</v>
      </c>
      <c r="IO28" s="1757">
        <v>0</v>
      </c>
      <c r="IP28" s="1757">
        <v>0</v>
      </c>
      <c r="IQ28" s="1757">
        <v>0</v>
      </c>
      <c r="IR28" s="1757">
        <v>0</v>
      </c>
      <c r="IS28" s="1757">
        <v>0</v>
      </c>
      <c r="IT28" s="1757">
        <v>0</v>
      </c>
      <c r="IU28" s="1757">
        <v>0</v>
      </c>
      <c r="IV28" s="1757">
        <v>0</v>
      </c>
      <c r="IW28" s="1757">
        <v>0</v>
      </c>
      <c r="IX28" s="1757">
        <v>0</v>
      </c>
      <c r="IY28" s="1757">
        <v>0</v>
      </c>
      <c r="IZ28" s="1757">
        <v>0</v>
      </c>
      <c r="JA28" s="1757">
        <v>0</v>
      </c>
      <c r="JB28" s="1757">
        <v>0</v>
      </c>
      <c r="JC28" s="1757">
        <v>0</v>
      </c>
      <c r="JD28" s="1757">
        <v>0</v>
      </c>
      <c r="JE28" s="1757">
        <v>0</v>
      </c>
      <c r="JF28" s="1757">
        <v>0</v>
      </c>
      <c r="JG28" s="1757">
        <v>0</v>
      </c>
      <c r="JH28" s="1757">
        <v>0</v>
      </c>
      <c r="JI28" s="1757">
        <v>0</v>
      </c>
      <c r="JJ28" s="1757">
        <v>0</v>
      </c>
      <c r="JK28" s="1757">
        <v>0</v>
      </c>
      <c r="JL28" s="1757">
        <v>0</v>
      </c>
      <c r="JM28" s="1757">
        <v>0</v>
      </c>
      <c r="JN28" s="1757">
        <v>0</v>
      </c>
      <c r="JO28" s="1757">
        <v>0</v>
      </c>
      <c r="JP28" s="1757">
        <v>0</v>
      </c>
      <c r="JQ28" s="1757">
        <v>0</v>
      </c>
      <c r="JR28" s="1757">
        <v>0</v>
      </c>
      <c r="JS28" s="1757">
        <v>0</v>
      </c>
      <c r="JT28" s="1757">
        <v>0</v>
      </c>
      <c r="JU28" s="1757">
        <v>0</v>
      </c>
      <c r="JV28" s="1757">
        <v>0</v>
      </c>
      <c r="JW28" s="1757">
        <v>0</v>
      </c>
      <c r="JX28" s="1757">
        <v>0</v>
      </c>
      <c r="JY28" s="1757">
        <v>0</v>
      </c>
      <c r="JZ28" s="1757">
        <v>0</v>
      </c>
      <c r="KA28" s="1757">
        <v>0</v>
      </c>
      <c r="KB28" s="1757">
        <v>0</v>
      </c>
      <c r="KC28" s="1757">
        <v>0</v>
      </c>
      <c r="KD28" s="1757">
        <v>0</v>
      </c>
      <c r="KE28" s="1757">
        <v>0</v>
      </c>
      <c r="KF28" s="1757">
        <v>0</v>
      </c>
      <c r="KG28" s="1757">
        <v>0</v>
      </c>
      <c r="KH28" s="1757">
        <v>0</v>
      </c>
      <c r="KI28" s="1757">
        <v>0</v>
      </c>
      <c r="KJ28" s="1757">
        <v>0</v>
      </c>
      <c r="KK28" s="1757">
        <v>0</v>
      </c>
      <c r="KL28" s="1757">
        <v>0</v>
      </c>
      <c r="KM28" s="1757">
        <v>0</v>
      </c>
      <c r="KN28" s="1757">
        <v>0</v>
      </c>
      <c r="KO28" s="1757">
        <v>0</v>
      </c>
      <c r="KP28" s="1757">
        <v>0</v>
      </c>
      <c r="KQ28" s="1338">
        <v>0</v>
      </c>
      <c r="KR28" s="1338">
        <v>0</v>
      </c>
      <c r="KS28" s="1763">
        <v>0</v>
      </c>
      <c r="KT28" s="1763">
        <v>0</v>
      </c>
      <c r="KU28" s="1763">
        <v>0</v>
      </c>
      <c r="KV28" s="1763">
        <v>0</v>
      </c>
      <c r="KW28" s="1763">
        <v>0</v>
      </c>
      <c r="KX28" s="1763">
        <v>0</v>
      </c>
      <c r="KY28" s="1763">
        <v>0</v>
      </c>
      <c r="KZ28" s="1763">
        <v>0</v>
      </c>
      <c r="LA28" s="1763">
        <v>0</v>
      </c>
      <c r="LB28" s="1763">
        <v>0</v>
      </c>
      <c r="LC28" s="1763">
        <v>0</v>
      </c>
      <c r="LD28" s="1763">
        <v>0</v>
      </c>
      <c r="LE28" s="1763">
        <v>0</v>
      </c>
      <c r="LF28" s="1763">
        <v>0</v>
      </c>
      <c r="LG28" s="1763">
        <v>0</v>
      </c>
      <c r="LH28" s="1763">
        <v>0</v>
      </c>
      <c r="LI28" s="1763">
        <v>0</v>
      </c>
      <c r="LJ28" s="1763">
        <v>0</v>
      </c>
      <c r="LK28" s="1763">
        <v>0</v>
      </c>
      <c r="LL28" s="1763">
        <v>0</v>
      </c>
      <c r="LM28" s="1763">
        <v>0</v>
      </c>
      <c r="LN28" s="1763">
        <v>0</v>
      </c>
      <c r="LO28" s="1763">
        <v>0</v>
      </c>
      <c r="LP28" s="1763">
        <v>0</v>
      </c>
      <c r="LQ28" s="1763">
        <v>0</v>
      </c>
      <c r="LR28" s="1338">
        <v>0</v>
      </c>
      <c r="LS28" s="1763">
        <v>0</v>
      </c>
      <c r="LT28" s="1763">
        <v>0</v>
      </c>
      <c r="LU28" s="1763">
        <v>0</v>
      </c>
      <c r="LV28" s="1763">
        <v>0</v>
      </c>
      <c r="LW28" s="1763">
        <v>0</v>
      </c>
      <c r="LX28" s="1763">
        <v>0</v>
      </c>
      <c r="LY28" s="421">
        <v>0</v>
      </c>
      <c r="LZ28" s="421">
        <v>0</v>
      </c>
      <c r="MA28" s="421">
        <v>0</v>
      </c>
      <c r="MB28" s="421">
        <v>0</v>
      </c>
      <c r="MC28" s="421">
        <v>0</v>
      </c>
      <c r="MD28" s="421">
        <v>0</v>
      </c>
      <c r="ME28" s="421">
        <v>0</v>
      </c>
      <c r="MF28" s="421">
        <v>0</v>
      </c>
      <c r="MG28" s="421">
        <v>0</v>
      </c>
      <c r="MH28" s="421">
        <v>0</v>
      </c>
      <c r="MI28" s="421">
        <v>0</v>
      </c>
      <c r="MJ28" s="421">
        <v>0</v>
      </c>
      <c r="MK28" s="421">
        <v>0</v>
      </c>
      <c r="ML28" s="421">
        <v>0</v>
      </c>
      <c r="MM28" s="421">
        <v>0</v>
      </c>
      <c r="MN28" s="421">
        <v>0</v>
      </c>
      <c r="MO28" s="421">
        <v>0</v>
      </c>
      <c r="MP28" s="421">
        <v>0</v>
      </c>
      <c r="MQ28" s="421">
        <v>0</v>
      </c>
      <c r="MR28" s="1763">
        <v>0</v>
      </c>
      <c r="MS28" s="1763">
        <v>0</v>
      </c>
      <c r="MT28" s="1763">
        <v>0</v>
      </c>
      <c r="MU28" s="1763">
        <v>0</v>
      </c>
      <c r="MV28" s="1763">
        <v>0</v>
      </c>
      <c r="MW28" s="1763">
        <v>0</v>
      </c>
      <c r="MX28" s="421">
        <v>0</v>
      </c>
      <c r="MY28" s="421">
        <v>0</v>
      </c>
      <c r="MZ28" s="421">
        <v>0</v>
      </c>
      <c r="NA28" s="421">
        <v>0</v>
      </c>
      <c r="NB28" s="421">
        <v>0</v>
      </c>
      <c r="NC28" s="421">
        <v>0</v>
      </c>
      <c r="ND28" s="421">
        <v>0</v>
      </c>
      <c r="NE28" s="421">
        <v>0</v>
      </c>
      <c r="NF28" s="421">
        <v>0</v>
      </c>
      <c r="NG28" s="421">
        <v>0</v>
      </c>
      <c r="NH28" s="421">
        <v>0</v>
      </c>
      <c r="NI28" s="421">
        <v>0</v>
      </c>
      <c r="NJ28" s="421">
        <v>0</v>
      </c>
      <c r="NK28" s="421">
        <v>0</v>
      </c>
      <c r="NL28" s="421">
        <v>0</v>
      </c>
      <c r="NM28" s="421">
        <v>0</v>
      </c>
      <c r="NN28" s="421">
        <v>0</v>
      </c>
      <c r="NO28" s="421">
        <v>0</v>
      </c>
      <c r="NP28" s="421">
        <v>0</v>
      </c>
      <c r="NQ28" s="1763">
        <v>0</v>
      </c>
      <c r="NR28" s="1763">
        <v>0</v>
      </c>
      <c r="NS28" s="1763">
        <v>0</v>
      </c>
      <c r="NT28" s="1763">
        <v>0</v>
      </c>
      <c r="NU28" s="1763">
        <v>0</v>
      </c>
      <c r="NV28" s="421">
        <v>0</v>
      </c>
      <c r="NW28" s="421">
        <v>0</v>
      </c>
      <c r="NX28" s="421">
        <v>0</v>
      </c>
      <c r="NY28" s="421">
        <v>0</v>
      </c>
      <c r="NZ28" s="421">
        <v>0</v>
      </c>
      <c r="OA28" s="421">
        <v>0</v>
      </c>
      <c r="OB28" s="421">
        <v>0</v>
      </c>
      <c r="OC28" s="421">
        <v>0</v>
      </c>
      <c r="OD28" s="421">
        <v>0</v>
      </c>
      <c r="OE28" s="421">
        <v>0</v>
      </c>
      <c r="OF28" s="421">
        <v>0</v>
      </c>
      <c r="OG28" s="421">
        <v>0</v>
      </c>
      <c r="OH28" s="421">
        <v>0</v>
      </c>
      <c r="OI28" s="421">
        <v>0</v>
      </c>
      <c r="OJ28" s="421">
        <v>0</v>
      </c>
      <c r="OK28" s="421">
        <v>0</v>
      </c>
      <c r="OL28" s="421">
        <v>0</v>
      </c>
      <c r="OM28" s="421">
        <v>0</v>
      </c>
      <c r="ON28" s="421">
        <v>0</v>
      </c>
      <c r="OO28" s="1763">
        <v>0</v>
      </c>
      <c r="OP28" s="1763">
        <v>0</v>
      </c>
      <c r="OQ28" s="1763">
        <v>0</v>
      </c>
      <c r="OR28" s="1763">
        <v>0</v>
      </c>
      <c r="OS28" s="421">
        <v>0</v>
      </c>
      <c r="OT28" s="421">
        <v>0</v>
      </c>
      <c r="OU28" s="421">
        <v>0</v>
      </c>
      <c r="OV28" s="421">
        <v>0</v>
      </c>
      <c r="OW28" s="421">
        <v>0</v>
      </c>
      <c r="OX28" s="421">
        <v>0</v>
      </c>
      <c r="OY28" s="421">
        <v>0</v>
      </c>
      <c r="OZ28" s="421">
        <v>0</v>
      </c>
      <c r="PA28" s="421">
        <v>0</v>
      </c>
      <c r="PB28" s="421">
        <v>0</v>
      </c>
      <c r="PC28" s="421">
        <v>0</v>
      </c>
      <c r="PD28" s="421">
        <v>0</v>
      </c>
      <c r="PE28" s="421">
        <v>0</v>
      </c>
      <c r="PF28" s="421">
        <v>0</v>
      </c>
      <c r="PG28" s="421">
        <v>0</v>
      </c>
      <c r="PH28" s="421">
        <v>0</v>
      </c>
      <c r="PI28" s="421">
        <v>0</v>
      </c>
      <c r="PJ28" s="421">
        <v>0</v>
      </c>
      <c r="PK28" s="421">
        <v>0</v>
      </c>
      <c r="PL28" s="1763">
        <v>0</v>
      </c>
      <c r="PM28" s="1763">
        <v>0</v>
      </c>
      <c r="PN28" s="1763">
        <v>0</v>
      </c>
      <c r="PO28" s="421">
        <v>0</v>
      </c>
      <c r="PP28" s="421">
        <v>0</v>
      </c>
      <c r="PQ28" s="421">
        <v>0</v>
      </c>
      <c r="PR28" s="421">
        <v>0</v>
      </c>
      <c r="PS28" s="421">
        <v>0</v>
      </c>
      <c r="PT28" s="421">
        <v>0</v>
      </c>
      <c r="PU28" s="421">
        <v>0</v>
      </c>
      <c r="PV28" s="421">
        <v>0</v>
      </c>
      <c r="PW28" s="421">
        <v>0</v>
      </c>
      <c r="PX28" s="421">
        <v>0</v>
      </c>
      <c r="PY28" s="421">
        <v>0</v>
      </c>
      <c r="PZ28" s="421">
        <v>0</v>
      </c>
      <c r="QA28" s="421">
        <v>0</v>
      </c>
      <c r="QB28" s="421">
        <v>0</v>
      </c>
      <c r="QC28" s="421">
        <v>0</v>
      </c>
      <c r="QD28" s="421">
        <v>0</v>
      </c>
      <c r="QE28" s="421">
        <v>0</v>
      </c>
      <c r="QF28" s="421">
        <v>0</v>
      </c>
      <c r="QG28" s="421">
        <v>0</v>
      </c>
      <c r="QH28" s="1763">
        <v>0</v>
      </c>
      <c r="QI28" s="1763">
        <v>0</v>
      </c>
      <c r="QJ28" s="421">
        <v>0</v>
      </c>
      <c r="QK28" s="421">
        <v>0</v>
      </c>
      <c r="QL28" s="421">
        <v>0</v>
      </c>
      <c r="QM28" s="421">
        <v>0</v>
      </c>
      <c r="QN28" s="421">
        <v>0</v>
      </c>
      <c r="QO28" s="421">
        <v>0</v>
      </c>
      <c r="QP28" s="421">
        <v>0</v>
      </c>
      <c r="QQ28" s="421">
        <v>0</v>
      </c>
      <c r="QR28" s="421">
        <v>0</v>
      </c>
      <c r="QS28" s="421">
        <v>0</v>
      </c>
      <c r="QT28" s="421">
        <v>0</v>
      </c>
      <c r="QU28" s="421">
        <v>0</v>
      </c>
      <c r="QV28" s="421">
        <v>0</v>
      </c>
      <c r="QW28" s="421">
        <v>0</v>
      </c>
      <c r="QX28" s="421">
        <v>0</v>
      </c>
      <c r="QY28" s="421">
        <v>0</v>
      </c>
      <c r="QZ28" s="421">
        <v>0</v>
      </c>
      <c r="RA28" s="421">
        <v>0</v>
      </c>
      <c r="RB28" s="421">
        <v>0</v>
      </c>
      <c r="RC28" s="1763">
        <v>0</v>
      </c>
      <c r="RD28" s="421">
        <v>0</v>
      </c>
      <c r="RE28" s="421">
        <v>0</v>
      </c>
      <c r="RF28" s="421">
        <v>0</v>
      </c>
      <c r="RG28" s="421">
        <v>0</v>
      </c>
      <c r="RH28" s="421">
        <v>0</v>
      </c>
      <c r="RI28" s="421">
        <v>0</v>
      </c>
      <c r="RJ28" s="421">
        <v>0</v>
      </c>
      <c r="RK28" s="421">
        <v>0</v>
      </c>
      <c r="RL28" s="421">
        <v>0</v>
      </c>
      <c r="RM28" s="421">
        <v>0</v>
      </c>
      <c r="RN28" s="421">
        <v>0</v>
      </c>
      <c r="RO28" s="421">
        <v>0</v>
      </c>
      <c r="RP28" s="421">
        <v>0</v>
      </c>
      <c r="RQ28" s="421">
        <v>0</v>
      </c>
      <c r="RR28" s="421">
        <v>0</v>
      </c>
      <c r="RS28" s="421">
        <v>0</v>
      </c>
      <c r="RT28" s="421">
        <v>0</v>
      </c>
      <c r="RU28" s="421">
        <v>0</v>
      </c>
      <c r="RV28" s="421">
        <v>0</v>
      </c>
    </row>
    <row r="29" spans="4:490">
      <c r="E29" s="1774">
        <v>2024</v>
      </c>
      <c r="F29" s="1774">
        <v>2025</v>
      </c>
      <c r="G29" s="1771">
        <v>2026</v>
      </c>
      <c r="H29" s="1772">
        <v>2027</v>
      </c>
      <c r="I29" s="1774">
        <v>2028</v>
      </c>
      <c r="J29" s="1774">
        <v>2029</v>
      </c>
      <c r="K29" s="136"/>
      <c r="L29" s="125"/>
      <c r="M29" s="1756">
        <v>2</v>
      </c>
      <c r="N29" s="1759">
        <v>0</v>
      </c>
      <c r="O29" s="1759">
        <v>0</v>
      </c>
      <c r="P29" s="1759">
        <v>0</v>
      </c>
      <c r="Q29" s="1759">
        <v>0</v>
      </c>
      <c r="R29" s="1759">
        <v>0</v>
      </c>
      <c r="S29" s="1759">
        <v>0</v>
      </c>
      <c r="T29" s="1759">
        <v>0</v>
      </c>
      <c r="U29" s="1759">
        <v>0</v>
      </c>
      <c r="V29" s="1759">
        <v>0</v>
      </c>
      <c r="W29" s="1759">
        <v>0</v>
      </c>
      <c r="X29" s="1759">
        <v>0</v>
      </c>
      <c r="Y29" s="1759">
        <v>0</v>
      </c>
      <c r="Z29" s="1759">
        <v>0</v>
      </c>
      <c r="AA29" s="1759">
        <v>0</v>
      </c>
      <c r="AB29" s="1759">
        <v>0</v>
      </c>
      <c r="AC29" s="1759">
        <v>0</v>
      </c>
      <c r="AD29" s="1759">
        <v>0</v>
      </c>
      <c r="AE29" s="1759">
        <v>0</v>
      </c>
      <c r="AF29" s="1759">
        <v>0</v>
      </c>
      <c r="AG29" s="1759">
        <v>0</v>
      </c>
      <c r="AH29" s="1759">
        <v>0</v>
      </c>
      <c r="AI29" s="1759">
        <v>0</v>
      </c>
      <c r="AJ29" s="1759">
        <v>0</v>
      </c>
      <c r="AK29" s="1759">
        <v>0</v>
      </c>
      <c r="AL29" s="1759">
        <v>0</v>
      </c>
      <c r="AM29" s="1759">
        <v>0</v>
      </c>
      <c r="AN29" s="1759">
        <v>0</v>
      </c>
      <c r="AO29" s="1759">
        <v>0</v>
      </c>
      <c r="AP29" s="1759">
        <v>0</v>
      </c>
      <c r="AQ29" s="1759">
        <v>0</v>
      </c>
      <c r="AR29" s="1759">
        <v>0</v>
      </c>
      <c r="AS29" s="1759">
        <v>0</v>
      </c>
      <c r="AT29" s="1759">
        <v>0</v>
      </c>
      <c r="AU29" s="1759">
        <v>0</v>
      </c>
      <c r="AV29" s="1759">
        <v>0</v>
      </c>
      <c r="AW29" s="1759">
        <v>0</v>
      </c>
      <c r="AX29" s="1759">
        <v>0</v>
      </c>
      <c r="AY29" s="1759">
        <v>0</v>
      </c>
      <c r="AZ29" s="1759">
        <v>0</v>
      </c>
      <c r="BA29" s="1759">
        <v>0</v>
      </c>
      <c r="BB29" s="1759">
        <v>0</v>
      </c>
      <c r="BC29" s="1759">
        <v>0</v>
      </c>
      <c r="BD29" s="1759">
        <v>0</v>
      </c>
      <c r="BE29" s="1759">
        <v>0</v>
      </c>
      <c r="BF29" s="1759">
        <v>0</v>
      </c>
      <c r="BG29" s="1759">
        <v>0</v>
      </c>
      <c r="BH29" s="1759">
        <v>0</v>
      </c>
      <c r="BI29" s="1759">
        <v>0</v>
      </c>
      <c r="BJ29" s="1759">
        <v>0</v>
      </c>
      <c r="BK29" s="1759">
        <v>0</v>
      </c>
      <c r="BL29" s="1759">
        <v>0</v>
      </c>
      <c r="BM29" s="1759">
        <v>0</v>
      </c>
      <c r="BN29" s="1759">
        <v>0</v>
      </c>
      <c r="BO29" s="1759">
        <v>0</v>
      </c>
      <c r="BP29" s="1759">
        <v>0</v>
      </c>
      <c r="BQ29" s="1759">
        <v>0</v>
      </c>
      <c r="BR29" s="1759">
        <v>0</v>
      </c>
      <c r="BS29" s="1759">
        <v>0</v>
      </c>
      <c r="BT29" s="1759">
        <v>0</v>
      </c>
      <c r="BU29" s="1759">
        <v>0</v>
      </c>
      <c r="BV29" s="1759">
        <v>0</v>
      </c>
      <c r="BW29" s="1759">
        <v>0</v>
      </c>
      <c r="BX29" s="1759">
        <v>0</v>
      </c>
      <c r="BY29" s="1759">
        <v>0</v>
      </c>
      <c r="BZ29" s="1759">
        <v>0</v>
      </c>
      <c r="CA29" s="1759">
        <v>0</v>
      </c>
      <c r="CB29" s="1759">
        <v>0</v>
      </c>
      <c r="CC29" s="1759">
        <v>0</v>
      </c>
      <c r="CD29" s="1759">
        <v>0</v>
      </c>
      <c r="CE29" s="1759">
        <v>0</v>
      </c>
      <c r="CF29" s="1759">
        <v>0</v>
      </c>
      <c r="CG29" s="1759">
        <v>0</v>
      </c>
      <c r="CH29" s="1759">
        <v>0</v>
      </c>
      <c r="CI29" s="1759">
        <v>0</v>
      </c>
      <c r="CJ29" s="1759">
        <v>0</v>
      </c>
      <c r="CK29" s="1759">
        <v>0</v>
      </c>
      <c r="CL29" s="1759">
        <v>0</v>
      </c>
      <c r="CM29" s="1759">
        <v>0</v>
      </c>
      <c r="CN29" s="1759">
        <v>0</v>
      </c>
      <c r="CO29" s="1759">
        <v>0</v>
      </c>
      <c r="CP29" s="1759">
        <v>0</v>
      </c>
      <c r="CQ29" s="1759">
        <v>0</v>
      </c>
      <c r="CR29" s="1759">
        <v>0</v>
      </c>
      <c r="CS29" s="1759">
        <v>0</v>
      </c>
      <c r="CT29" s="1759">
        <v>0</v>
      </c>
      <c r="CU29" s="1759">
        <v>0</v>
      </c>
      <c r="CV29" s="1759">
        <v>0</v>
      </c>
      <c r="CW29" s="1759">
        <v>0</v>
      </c>
      <c r="CX29" s="1759">
        <v>0</v>
      </c>
      <c r="CY29" s="1759">
        <v>0</v>
      </c>
      <c r="CZ29" s="1759">
        <v>0</v>
      </c>
      <c r="DA29" s="1759">
        <v>0</v>
      </c>
      <c r="DB29" s="1759">
        <v>0</v>
      </c>
      <c r="DC29" s="1759">
        <v>0</v>
      </c>
      <c r="DD29" s="1759">
        <v>0</v>
      </c>
      <c r="DE29" s="1759">
        <v>0</v>
      </c>
      <c r="DF29" s="1759">
        <v>0</v>
      </c>
      <c r="DG29" s="1759">
        <v>0</v>
      </c>
      <c r="DH29" s="1759">
        <v>0</v>
      </c>
      <c r="DI29" s="1759">
        <v>0</v>
      </c>
      <c r="DJ29" s="1759">
        <v>0</v>
      </c>
      <c r="DK29" s="1759">
        <v>0</v>
      </c>
      <c r="DL29" s="1759">
        <v>0</v>
      </c>
      <c r="DM29" s="1759">
        <v>0</v>
      </c>
      <c r="DN29" s="1759">
        <v>0</v>
      </c>
      <c r="DO29" s="1759">
        <v>0</v>
      </c>
      <c r="DP29" s="1759">
        <v>0</v>
      </c>
      <c r="DQ29" s="1759">
        <v>0</v>
      </c>
      <c r="DR29" s="1759">
        <v>0</v>
      </c>
      <c r="DS29" s="1759">
        <v>0</v>
      </c>
      <c r="DT29" s="1759">
        <v>0</v>
      </c>
      <c r="DU29" s="1759">
        <v>0</v>
      </c>
      <c r="DV29" s="1759">
        <v>0</v>
      </c>
      <c r="DW29" s="1759">
        <v>0</v>
      </c>
      <c r="DX29" s="1759">
        <v>0</v>
      </c>
      <c r="DY29" s="1759">
        <v>0</v>
      </c>
      <c r="DZ29" s="1759">
        <v>0</v>
      </c>
      <c r="EA29" s="1759">
        <v>0</v>
      </c>
      <c r="EB29" s="1759">
        <v>0</v>
      </c>
      <c r="EC29" s="1759">
        <v>0</v>
      </c>
      <c r="ED29" s="1759">
        <v>0</v>
      </c>
      <c r="EE29" s="1759">
        <v>0</v>
      </c>
      <c r="EF29" s="1759">
        <v>0</v>
      </c>
      <c r="EG29" s="1759">
        <v>0</v>
      </c>
      <c r="EH29" s="1759">
        <v>0</v>
      </c>
      <c r="EI29" s="1759">
        <v>0</v>
      </c>
      <c r="EJ29" s="1759">
        <v>0</v>
      </c>
      <c r="EK29" s="1759">
        <v>0</v>
      </c>
      <c r="EL29" s="1759">
        <v>0</v>
      </c>
      <c r="EM29" s="1759">
        <v>0</v>
      </c>
      <c r="EN29" s="1759">
        <v>0</v>
      </c>
      <c r="EO29" s="1759">
        <v>0</v>
      </c>
      <c r="EP29" s="1759">
        <v>0</v>
      </c>
      <c r="EQ29" s="1759">
        <v>0</v>
      </c>
      <c r="ER29" s="1759">
        <v>0</v>
      </c>
      <c r="ES29" s="1759">
        <v>0</v>
      </c>
      <c r="ET29" s="1759">
        <v>0</v>
      </c>
      <c r="EU29" s="1759">
        <v>0</v>
      </c>
      <c r="EV29" s="1759">
        <v>0</v>
      </c>
      <c r="EW29" s="1759">
        <v>0</v>
      </c>
      <c r="EX29" s="1759">
        <v>0</v>
      </c>
      <c r="EY29" s="1759">
        <v>0</v>
      </c>
      <c r="EZ29" s="1759">
        <v>0</v>
      </c>
      <c r="FA29" s="1759">
        <v>0</v>
      </c>
      <c r="FB29" s="1759">
        <v>0</v>
      </c>
      <c r="FC29" s="1759">
        <v>0</v>
      </c>
      <c r="FD29" s="1759">
        <v>0</v>
      </c>
      <c r="FE29" s="1759">
        <v>0</v>
      </c>
      <c r="FF29" s="1759">
        <v>0</v>
      </c>
      <c r="FG29" s="1759">
        <v>0</v>
      </c>
      <c r="FH29" s="1759">
        <v>0</v>
      </c>
      <c r="FI29" s="1759">
        <v>0</v>
      </c>
      <c r="FJ29" s="1759">
        <v>0</v>
      </c>
      <c r="FK29" s="1759">
        <v>0</v>
      </c>
      <c r="FL29" s="1759">
        <v>0</v>
      </c>
      <c r="FM29" s="1759">
        <v>0</v>
      </c>
      <c r="FN29" s="1759">
        <v>0</v>
      </c>
      <c r="FO29" s="1759">
        <v>0</v>
      </c>
      <c r="FP29" s="1759">
        <v>0</v>
      </c>
      <c r="FQ29" s="1759">
        <v>0</v>
      </c>
      <c r="FR29" s="1759">
        <v>0</v>
      </c>
      <c r="FS29" s="1759">
        <v>0</v>
      </c>
      <c r="FT29" s="1759">
        <v>0</v>
      </c>
      <c r="FU29" s="1759">
        <v>0</v>
      </c>
      <c r="FV29" s="1759">
        <v>0</v>
      </c>
      <c r="FW29" s="1759">
        <v>0</v>
      </c>
      <c r="FX29" s="1759">
        <v>0</v>
      </c>
      <c r="FY29" s="1759">
        <v>0</v>
      </c>
      <c r="FZ29" s="1759">
        <v>0</v>
      </c>
      <c r="GA29" s="1759">
        <v>0</v>
      </c>
      <c r="GB29" s="1759">
        <v>0</v>
      </c>
      <c r="GC29" s="1759">
        <v>0</v>
      </c>
      <c r="GD29" s="1759">
        <v>0</v>
      </c>
      <c r="GE29" s="1759">
        <v>0</v>
      </c>
      <c r="GF29" s="1759">
        <v>0</v>
      </c>
      <c r="GG29" s="1759">
        <v>0</v>
      </c>
      <c r="GH29" s="1759">
        <v>0</v>
      </c>
      <c r="GI29" s="1759">
        <v>0</v>
      </c>
      <c r="GJ29" s="1759">
        <v>0</v>
      </c>
      <c r="GK29" s="1759">
        <v>0</v>
      </c>
      <c r="GL29" s="1759">
        <v>0</v>
      </c>
      <c r="GM29" s="1759">
        <v>0</v>
      </c>
      <c r="GN29" s="1759">
        <v>0</v>
      </c>
      <c r="GO29" s="1759">
        <v>0</v>
      </c>
      <c r="GP29" s="1759">
        <v>0</v>
      </c>
      <c r="GQ29" s="1759">
        <v>0</v>
      </c>
      <c r="GR29" s="1759">
        <v>0</v>
      </c>
      <c r="GS29" s="1759">
        <v>0</v>
      </c>
      <c r="GT29" s="1759">
        <v>0</v>
      </c>
      <c r="GU29" s="1759">
        <v>0</v>
      </c>
      <c r="GV29" s="1759">
        <v>0</v>
      </c>
      <c r="GW29" s="1759">
        <v>0</v>
      </c>
      <c r="GX29" s="1759">
        <v>0</v>
      </c>
      <c r="GY29" s="1759">
        <v>0</v>
      </c>
      <c r="GZ29" s="1759">
        <v>0</v>
      </c>
      <c r="HA29" s="1759">
        <v>0</v>
      </c>
      <c r="HB29" s="1759">
        <v>0</v>
      </c>
      <c r="HC29" s="1759">
        <v>0</v>
      </c>
      <c r="HD29" s="1759">
        <v>0</v>
      </c>
      <c r="HE29" s="1759">
        <v>0</v>
      </c>
      <c r="HF29" s="1759">
        <v>0</v>
      </c>
      <c r="HG29" s="1759">
        <v>0</v>
      </c>
      <c r="HH29" s="1759">
        <v>0</v>
      </c>
      <c r="HI29" s="1759">
        <v>0</v>
      </c>
      <c r="HJ29" s="1759">
        <v>0</v>
      </c>
      <c r="HK29" s="1759">
        <v>0</v>
      </c>
      <c r="HL29" s="1759">
        <v>0</v>
      </c>
      <c r="HM29" s="1759">
        <v>0</v>
      </c>
      <c r="HN29" s="1759">
        <v>0</v>
      </c>
      <c r="HO29" s="1759">
        <v>0</v>
      </c>
      <c r="HP29" s="1759">
        <v>0</v>
      </c>
      <c r="HQ29" s="1759">
        <v>0</v>
      </c>
      <c r="HR29" s="1759">
        <v>0</v>
      </c>
      <c r="HS29" s="1759">
        <v>0</v>
      </c>
      <c r="HT29" s="1759">
        <v>0</v>
      </c>
      <c r="HU29" s="1759">
        <v>0</v>
      </c>
      <c r="HV29" s="1759">
        <v>0</v>
      </c>
      <c r="HW29" s="1759">
        <v>0</v>
      </c>
      <c r="HX29" s="1759">
        <v>0</v>
      </c>
      <c r="HY29" s="1759">
        <v>0</v>
      </c>
      <c r="HZ29" s="1759">
        <v>0</v>
      </c>
      <c r="IA29" s="1759">
        <v>0</v>
      </c>
      <c r="IB29" s="1759">
        <v>0</v>
      </c>
      <c r="IC29" s="1759">
        <v>0</v>
      </c>
      <c r="ID29" s="1759">
        <v>0</v>
      </c>
      <c r="IE29" s="1759">
        <v>0</v>
      </c>
      <c r="IF29" s="1759">
        <v>0</v>
      </c>
      <c r="IG29" s="1759">
        <v>0</v>
      </c>
      <c r="IH29" s="1759">
        <v>0</v>
      </c>
      <c r="II29" s="1759">
        <v>0</v>
      </c>
      <c r="IJ29" s="1759">
        <v>0</v>
      </c>
      <c r="IK29" s="1759">
        <v>0</v>
      </c>
      <c r="IL29" s="1759">
        <v>0</v>
      </c>
      <c r="IM29" s="1759">
        <v>0</v>
      </c>
      <c r="IN29" s="1759">
        <v>0</v>
      </c>
      <c r="IO29" s="1759">
        <v>0</v>
      </c>
      <c r="IP29" s="1759">
        <v>0</v>
      </c>
      <c r="IQ29" s="1759">
        <v>0</v>
      </c>
      <c r="IR29" s="1759">
        <v>0</v>
      </c>
      <c r="IS29" s="1759">
        <v>0</v>
      </c>
      <c r="IT29" s="1759">
        <v>0</v>
      </c>
      <c r="IU29" s="1759">
        <v>0</v>
      </c>
      <c r="IV29" s="1759">
        <v>0</v>
      </c>
      <c r="IW29" s="1759">
        <v>0</v>
      </c>
      <c r="IX29" s="1759">
        <v>0</v>
      </c>
      <c r="IY29" s="1759">
        <v>0</v>
      </c>
      <c r="IZ29" s="1759">
        <v>0</v>
      </c>
      <c r="JA29" s="1759">
        <v>0</v>
      </c>
      <c r="JB29" s="1759">
        <v>0</v>
      </c>
      <c r="JC29" s="1759">
        <v>0</v>
      </c>
      <c r="JD29" s="1759">
        <v>0</v>
      </c>
      <c r="JE29" s="1759">
        <v>0</v>
      </c>
      <c r="JF29" s="1759">
        <v>0</v>
      </c>
      <c r="JG29" s="1759">
        <v>0</v>
      </c>
      <c r="JH29" s="1759">
        <v>0</v>
      </c>
      <c r="JI29" s="1759">
        <v>0</v>
      </c>
      <c r="JJ29" s="1759">
        <v>0</v>
      </c>
      <c r="JK29" s="1759">
        <v>0</v>
      </c>
      <c r="JL29" s="1759">
        <v>0</v>
      </c>
      <c r="JM29" s="1759">
        <v>0</v>
      </c>
      <c r="JN29" s="1759">
        <v>0</v>
      </c>
      <c r="JO29" s="1759">
        <v>0</v>
      </c>
      <c r="JP29" s="1759">
        <v>0</v>
      </c>
      <c r="JQ29" s="1759">
        <v>0</v>
      </c>
      <c r="JR29" s="1759">
        <v>0</v>
      </c>
      <c r="JS29" s="1759">
        <v>0</v>
      </c>
      <c r="JT29" s="1759">
        <v>0</v>
      </c>
      <c r="JU29" s="1759">
        <v>0</v>
      </c>
      <c r="JV29" s="1759">
        <v>0</v>
      </c>
      <c r="JW29" s="1759">
        <v>0</v>
      </c>
      <c r="JX29" s="1759">
        <v>0</v>
      </c>
      <c r="JY29" s="1759">
        <v>0</v>
      </c>
      <c r="JZ29" s="1759">
        <v>0</v>
      </c>
      <c r="KA29" s="1759">
        <v>0</v>
      </c>
      <c r="KB29" s="1759">
        <v>0</v>
      </c>
      <c r="KC29" s="1759">
        <v>0</v>
      </c>
      <c r="KD29" s="1759">
        <v>0</v>
      </c>
      <c r="KE29" s="1759">
        <v>0</v>
      </c>
      <c r="KF29" s="1759">
        <v>0</v>
      </c>
      <c r="KG29" s="1759">
        <v>0</v>
      </c>
      <c r="KH29" s="1759">
        <v>0</v>
      </c>
      <c r="KI29" s="1759">
        <v>0</v>
      </c>
      <c r="KJ29" s="1759">
        <v>0</v>
      </c>
      <c r="KK29" s="1759">
        <v>0</v>
      </c>
      <c r="KL29" s="1759">
        <v>0</v>
      </c>
      <c r="KM29" s="1759">
        <v>0</v>
      </c>
      <c r="KN29" s="1759">
        <v>0</v>
      </c>
      <c r="KO29" s="1759">
        <v>0</v>
      </c>
      <c r="KP29" s="1759">
        <v>0</v>
      </c>
      <c r="KQ29" s="904">
        <f>+IFERROR(VLOOKUP(KQ$27&amp;"-"&amp;$M29&amp;"_new",Ammortamento_Finanziario!$H:$L,5,FALSE),VLOOKUP($M29,TT_Tabelle_Riferimento!$D$127:$H$164,5,FALSE))</f>
        <v>40</v>
      </c>
      <c r="KR29" s="904">
        <f>+IFERROR(VLOOKUP(KR$27&amp;"-"&amp;$M29&amp;"_new",Ammortamento_Finanziario!$H:$L,5,FALSE),VLOOKUP($M29,TT_Tabelle_Riferimento!$D$127:$H$164,5,FALSE))</f>
        <v>40</v>
      </c>
      <c r="KS29" s="1762">
        <f>+IFERROR(VLOOKUP(KS$27&amp;"-"&amp;$M29&amp;"_new",Ammortamento_Finanziario!$H:$L,5,FALSE),VLOOKUP($M29,TT_Tabelle_Riferimento!$D$127:$H$164,5,FALSE))</f>
        <v>40</v>
      </c>
      <c r="KT29" s="1762">
        <f>+IFERROR(VLOOKUP(KT$27&amp;"-"&amp;$M29&amp;"_new",Ammortamento_Finanziario!$H:$L,5,FALSE),VLOOKUP($M29,TT_Tabelle_Riferimento!$D$127:$H$164,5,FALSE))</f>
        <v>40</v>
      </c>
      <c r="KU29" s="1762">
        <f>+IFERROR(VLOOKUP(KU$27&amp;"-"&amp;$M29&amp;"_new",Ammortamento_Finanziario!$H:$L,5,FALSE),VLOOKUP($M29,TT_Tabelle_Riferimento!$D$127:$H$164,5,FALSE))</f>
        <v>40</v>
      </c>
      <c r="KV29" s="1762">
        <f>+IFERROR(VLOOKUP(KV$27&amp;"-"&amp;$M29&amp;"_new",Ammortamento_Finanziario!$H:$L,5,FALSE),VLOOKUP($M29,TT_Tabelle_Riferimento!$D$127:$H$164,5,FALSE))</f>
        <v>40</v>
      </c>
      <c r="KW29" s="1762">
        <f>+IFERROR(VLOOKUP(KW$27&amp;"-"&amp;$M29&amp;"_new",Ammortamento_Finanziario!$H:$L,5,FALSE),VLOOKUP($M29,TT_Tabelle_Riferimento!$D$127:$H$164,5,FALSE))</f>
        <v>40</v>
      </c>
      <c r="KX29" s="1762">
        <f>+IFERROR(VLOOKUP(KX$27&amp;"-"&amp;$M29&amp;"_new",Ammortamento_Finanziario!$H:$L,5,FALSE),VLOOKUP($M29,TT_Tabelle_Riferimento!$D$127:$H$164,5,FALSE))</f>
        <v>40</v>
      </c>
      <c r="KY29" s="904">
        <f>+IFERROR(VLOOKUP(KY$27&amp;"-"&amp;$M29&amp;"_new",Ammortamento_Finanziario!$H:$L,5,FALSE),VLOOKUP($M29,TT_Tabelle_Riferimento!$D$127:$H$164,5,FALSE))</f>
        <v>40</v>
      </c>
      <c r="KZ29" s="904">
        <f>+IFERROR(VLOOKUP(KZ$27&amp;"-"&amp;$M29&amp;"_new",Ammortamento_Finanziario!$H:$L,5,FALSE),VLOOKUP($M29,TT_Tabelle_Riferimento!$D$127:$H$164,5,FALSE))</f>
        <v>40</v>
      </c>
      <c r="LA29" s="904">
        <f>+IFERROR(VLOOKUP(LA$27&amp;"-"&amp;$M29&amp;"_new",Ammortamento_Finanziario!$H:$L,5,FALSE),VLOOKUP($M29,TT_Tabelle_Riferimento!$D$127:$H$164,5,FALSE))</f>
        <v>40</v>
      </c>
      <c r="LB29" s="904">
        <f>+IFERROR(VLOOKUP(LB$27&amp;"-"&amp;$M29&amp;"_new",Ammortamento_Finanziario!$H:$L,5,FALSE),VLOOKUP($M29,TT_Tabelle_Riferimento!$D$127:$H$164,5,FALSE))</f>
        <v>40</v>
      </c>
      <c r="LC29" s="904">
        <f>+IFERROR(VLOOKUP(LC$27&amp;"-"&amp;$M29&amp;"_new",Ammortamento_Finanziario!$H:$L,5,FALSE),VLOOKUP($M29,TT_Tabelle_Riferimento!$D$127:$H$164,5,FALSE))</f>
        <v>40</v>
      </c>
      <c r="LD29" s="904">
        <f>+IFERROR(VLOOKUP(LD$27&amp;"-"&amp;$M29&amp;"_new",Ammortamento_Finanziario!$H:$L,5,FALSE),VLOOKUP($M29,TT_Tabelle_Riferimento!$D$127:$H$164,5,FALSE))</f>
        <v>40</v>
      </c>
      <c r="LE29" s="904">
        <f>+IFERROR(VLOOKUP(LE$27&amp;"-"&amp;$M29&amp;"_new",Ammortamento_Finanziario!$H:$L,5,FALSE),VLOOKUP($M29,TT_Tabelle_Riferimento!$D$127:$H$164,5,FALSE))</f>
        <v>40</v>
      </c>
      <c r="LF29" s="904">
        <f>+IFERROR(VLOOKUP(LF$27&amp;"-"&amp;$M29&amp;"_new",Ammortamento_Finanziario!$H:$L,5,FALSE),VLOOKUP($M29,TT_Tabelle_Riferimento!$D$127:$H$164,5,FALSE))</f>
        <v>40</v>
      </c>
      <c r="LG29" s="904">
        <f>+IFERROR(VLOOKUP(LG$27&amp;"-"&amp;$M29&amp;"_new",Ammortamento_Finanziario!$H:$L,5,FALSE),VLOOKUP($M29,TT_Tabelle_Riferimento!$D$127:$H$164,5,FALSE))</f>
        <v>40</v>
      </c>
      <c r="LH29" s="904">
        <f>+IFERROR(VLOOKUP(LH$27&amp;"-"&amp;$M29&amp;"_new",Ammortamento_Finanziario!$H:$L,5,FALSE),VLOOKUP($M29,TT_Tabelle_Riferimento!$D$127:$H$164,5,FALSE))</f>
        <v>40</v>
      </c>
      <c r="LI29" s="904">
        <f>+IFERROR(VLOOKUP(LI$27&amp;"-"&amp;$M29&amp;"_new",Ammortamento_Finanziario!$H:$L,5,FALSE),VLOOKUP($M29,TT_Tabelle_Riferimento!$D$127:$H$164,5,FALSE))</f>
        <v>40</v>
      </c>
      <c r="LJ29" s="904">
        <f>+IFERROR(VLOOKUP(LJ$27&amp;"-"&amp;$M29&amp;"_new",Ammortamento_Finanziario!$H:$L,5,FALSE),VLOOKUP($M29,TT_Tabelle_Riferimento!$D$127:$H$164,5,FALSE))</f>
        <v>40</v>
      </c>
      <c r="LK29" s="904">
        <f>+IFERROR(VLOOKUP(LK$27&amp;"-"&amp;$M29&amp;"_new",Ammortamento_Finanziario!$H:$L,5,FALSE),VLOOKUP($M29,TT_Tabelle_Riferimento!$D$127:$H$164,5,FALSE))</f>
        <v>40</v>
      </c>
      <c r="LL29" s="904">
        <f>+IFERROR(VLOOKUP(LL$27&amp;"-"&amp;$M29&amp;"_new",Ammortamento_Finanziario!$H:$L,5,FALSE),VLOOKUP($M29,TT_Tabelle_Riferimento!$D$127:$H$164,5,FALSE))</f>
        <v>40</v>
      </c>
      <c r="LM29" s="904">
        <f>+IFERROR(VLOOKUP(LM$27&amp;"-"&amp;$M29&amp;"_new",Ammortamento_Finanziario!$H:$L,5,FALSE),VLOOKUP($M29,TT_Tabelle_Riferimento!$D$127:$H$164,5,FALSE))</f>
        <v>40</v>
      </c>
      <c r="LN29" s="904">
        <f>+IFERROR(VLOOKUP(LN$27&amp;"-"&amp;$M29&amp;"_new",Ammortamento_Finanziario!$H:$L,5,FALSE),VLOOKUP($M29,TT_Tabelle_Riferimento!$D$127:$H$164,5,FALSE))</f>
        <v>40</v>
      </c>
      <c r="LO29" s="904">
        <f>+IFERROR(VLOOKUP(LO$27&amp;"-"&amp;$M29&amp;"_new",Ammortamento_Finanziario!$H:$L,5,FALSE),VLOOKUP($M29,TT_Tabelle_Riferimento!$D$127:$H$164,5,FALSE))</f>
        <v>40</v>
      </c>
      <c r="LP29" s="904">
        <f>+IFERROR(VLOOKUP(LP$27&amp;"-"&amp;$M29&amp;"_new",Ammortamento_Finanziario!$H:$L,5,FALSE),VLOOKUP($M29,TT_Tabelle_Riferimento!$D$127:$H$164,5,FALSE))</f>
        <v>40</v>
      </c>
      <c r="LQ29" s="904">
        <f>+IFERROR(VLOOKUP(LQ$27&amp;"-"&amp;$M29&amp;"_new",Ammortamento_Finanziario!$H:$L,5,FALSE),VLOOKUP($M29,TT_Tabelle_Riferimento!$D$127:$H$164,5,FALSE))</f>
        <v>40</v>
      </c>
      <c r="LR29" s="904">
        <f>+IFERROR(VLOOKUP(LR$27&amp;"-"&amp;$M29&amp;"_new",Ammortamento_Finanziario!$H:$L,5,FALSE),VLOOKUP($M29,TT_Tabelle_Riferimento!$D$127:$H$164,5,FALSE))</f>
        <v>40</v>
      </c>
      <c r="LS29" s="1762">
        <f>+IFERROR(VLOOKUP(LS$27&amp;"-"&amp;$M29&amp;"_new",Ammortamento_Finanziario!$H:$L,5,FALSE),VLOOKUP($M29,TT_Tabelle_Riferimento!$D$127:$H$164,5,FALSE))</f>
        <v>40</v>
      </c>
      <c r="LT29" s="1762">
        <f>+IFERROR(VLOOKUP(LT$27&amp;"-"&amp;$M29&amp;"_new",Ammortamento_Finanziario!$H:$L,5,FALSE),VLOOKUP($M29,TT_Tabelle_Riferimento!$D$127:$H$164,5,FALSE))</f>
        <v>40</v>
      </c>
      <c r="LU29" s="1762">
        <f>+IFERROR(VLOOKUP(LU$27&amp;"-"&amp;$M29&amp;"_new",Ammortamento_Finanziario!$H:$L,5,FALSE),VLOOKUP($M29,TT_Tabelle_Riferimento!$D$127:$H$164,5,FALSE))</f>
        <v>40</v>
      </c>
      <c r="LV29" s="1762">
        <f>+IFERROR(VLOOKUP(LV$27&amp;"-"&amp;$M29&amp;"_new",Ammortamento_Finanziario!$H:$L,5,FALSE),VLOOKUP($M29,TT_Tabelle_Riferimento!$D$127:$H$164,5,FALSE))</f>
        <v>40</v>
      </c>
      <c r="LW29" s="1762">
        <f>+IFERROR(VLOOKUP(LW$27&amp;"-"&amp;$M29&amp;"_new",Ammortamento_Finanziario!$H:$L,5,FALSE),VLOOKUP($M29,TT_Tabelle_Riferimento!$D$127:$H$164,5,FALSE))</f>
        <v>40</v>
      </c>
      <c r="LX29" s="1762">
        <f>+IFERROR(VLOOKUP(LX$27&amp;"-"&amp;$M29&amp;"_new",Ammortamento_Finanziario!$H:$L,5,FALSE),VLOOKUP($M29,TT_Tabelle_Riferimento!$D$127:$H$164,5,FALSE))</f>
        <v>40</v>
      </c>
      <c r="LY29" s="904">
        <f>+IFERROR(VLOOKUP(LY$27&amp;"-"&amp;$M29&amp;"_new",Ammortamento_Finanziario!$H:$L,5,FALSE),VLOOKUP($M29,TT_Tabelle_Riferimento!$D$127:$H$164,5,FALSE))</f>
        <v>40</v>
      </c>
      <c r="LZ29" s="904">
        <f>+IFERROR(VLOOKUP(LZ$27&amp;"-"&amp;$M29&amp;"_new",Ammortamento_Finanziario!$H:$L,5,FALSE),VLOOKUP($M29,TT_Tabelle_Riferimento!$D$127:$H$164,5,FALSE))</f>
        <v>40</v>
      </c>
      <c r="MA29" s="904">
        <f>+IFERROR(VLOOKUP(MA$27&amp;"-"&amp;$M29&amp;"_new",Ammortamento_Finanziario!$H:$L,5,FALSE),VLOOKUP($M29,TT_Tabelle_Riferimento!$D$127:$H$164,5,FALSE))</f>
        <v>40</v>
      </c>
      <c r="MB29" s="904">
        <f>+IFERROR(VLOOKUP(MB$27&amp;"-"&amp;$M29&amp;"_new",Ammortamento_Finanziario!$H:$L,5,FALSE),VLOOKUP($M29,TT_Tabelle_Riferimento!$D$127:$H$164,5,FALSE))</f>
        <v>40</v>
      </c>
      <c r="MC29" s="904">
        <f>+IFERROR(VLOOKUP(MC$27&amp;"-"&amp;$M29&amp;"_new",Ammortamento_Finanziario!$H:$L,5,FALSE),VLOOKUP($M29,TT_Tabelle_Riferimento!$D$127:$H$164,5,FALSE))</f>
        <v>40</v>
      </c>
      <c r="MD29" s="904">
        <f>+IFERROR(VLOOKUP(MD$27&amp;"-"&amp;$M29&amp;"_new",Ammortamento_Finanziario!$H:$L,5,FALSE),VLOOKUP($M29,TT_Tabelle_Riferimento!$D$127:$H$164,5,FALSE))</f>
        <v>40</v>
      </c>
      <c r="ME29" s="904">
        <f>+IFERROR(VLOOKUP(ME$27&amp;"-"&amp;$M29&amp;"_new",Ammortamento_Finanziario!$H:$L,5,FALSE),VLOOKUP($M29,TT_Tabelle_Riferimento!$D$127:$H$164,5,FALSE))</f>
        <v>40</v>
      </c>
      <c r="MF29" s="904">
        <f>+IFERROR(VLOOKUP(MF$27&amp;"-"&amp;$M29&amp;"_new",Ammortamento_Finanziario!$H:$L,5,FALSE),VLOOKUP($M29,TT_Tabelle_Riferimento!$D$127:$H$164,5,FALSE))</f>
        <v>40</v>
      </c>
      <c r="MG29" s="904">
        <f>+IFERROR(VLOOKUP(MG$27&amp;"-"&amp;$M29&amp;"_new",Ammortamento_Finanziario!$H:$L,5,FALSE),VLOOKUP($M29,TT_Tabelle_Riferimento!$D$127:$H$164,5,FALSE))</f>
        <v>40</v>
      </c>
      <c r="MH29" s="904">
        <f>+IFERROR(VLOOKUP(MH$27&amp;"-"&amp;$M29&amp;"_new",Ammortamento_Finanziario!$H:$L,5,FALSE),VLOOKUP($M29,TT_Tabelle_Riferimento!$D$127:$H$164,5,FALSE))</f>
        <v>40</v>
      </c>
      <c r="MI29" s="904">
        <f>+IFERROR(VLOOKUP(MI$27&amp;"-"&amp;$M29&amp;"_new",Ammortamento_Finanziario!$H:$L,5,FALSE),VLOOKUP($M29,TT_Tabelle_Riferimento!$D$127:$H$164,5,FALSE))</f>
        <v>40</v>
      </c>
      <c r="MJ29" s="904">
        <f>+IFERROR(VLOOKUP(MJ$27&amp;"-"&amp;$M29&amp;"_new",Ammortamento_Finanziario!$H:$L,5,FALSE),VLOOKUP($M29,TT_Tabelle_Riferimento!$D$127:$H$164,5,FALSE))</f>
        <v>40</v>
      </c>
      <c r="MK29" s="904">
        <f>+IFERROR(VLOOKUP(MK$27&amp;"-"&amp;$M29&amp;"_new",Ammortamento_Finanziario!$H:$L,5,FALSE),VLOOKUP($M29,TT_Tabelle_Riferimento!$D$127:$H$164,5,FALSE))</f>
        <v>40</v>
      </c>
      <c r="ML29" s="904">
        <f>+IFERROR(VLOOKUP(ML$27&amp;"-"&amp;$M29&amp;"_new",Ammortamento_Finanziario!$H:$L,5,FALSE),VLOOKUP($M29,TT_Tabelle_Riferimento!$D$127:$H$164,5,FALSE))</f>
        <v>40</v>
      </c>
      <c r="MM29" s="904">
        <f>+IFERROR(VLOOKUP(MM$27&amp;"-"&amp;$M29&amp;"_new",Ammortamento_Finanziario!$H:$L,5,FALSE),VLOOKUP($M29,TT_Tabelle_Riferimento!$D$127:$H$164,5,FALSE))</f>
        <v>40</v>
      </c>
      <c r="MN29" s="904">
        <f>+IFERROR(VLOOKUP(MN$27&amp;"-"&amp;$M29&amp;"_new",Ammortamento_Finanziario!$H:$L,5,FALSE),VLOOKUP($M29,TT_Tabelle_Riferimento!$D$127:$H$164,5,FALSE))</f>
        <v>40</v>
      </c>
      <c r="MO29" s="904">
        <f>+IFERROR(VLOOKUP(MO$27&amp;"-"&amp;$M29&amp;"_new",Ammortamento_Finanziario!$H:$L,5,FALSE),VLOOKUP($M29,TT_Tabelle_Riferimento!$D$127:$H$164,5,FALSE))</f>
        <v>40</v>
      </c>
      <c r="MP29" s="904">
        <f>+IFERROR(VLOOKUP(MP$27&amp;"-"&amp;$M29&amp;"_new",Ammortamento_Finanziario!$H:$L,5,FALSE),VLOOKUP($M29,TT_Tabelle_Riferimento!$D$127:$H$164,5,FALSE))</f>
        <v>40</v>
      </c>
      <c r="MQ29" s="904">
        <f>+IFERROR(VLOOKUP(MQ$27&amp;"-"&amp;$M29&amp;"_new",Ammortamento_Finanziario!$H:$L,5,FALSE),VLOOKUP($M29,TT_Tabelle_Riferimento!$D$127:$H$164,5,FALSE))</f>
        <v>40</v>
      </c>
      <c r="MR29" s="1762">
        <f>+IFERROR(VLOOKUP(MR$27&amp;"-"&amp;$M29&amp;"_new",Ammortamento_Finanziario!$H:$L,5,FALSE),VLOOKUP($M29,TT_Tabelle_Riferimento!$D$127:$H$164,5,FALSE))</f>
        <v>40</v>
      </c>
      <c r="MS29" s="1762">
        <f>+IFERROR(VLOOKUP(MS$27&amp;"-"&amp;$M29&amp;"_new",Ammortamento_Finanziario!$H:$L,5,FALSE),VLOOKUP($M29,TT_Tabelle_Riferimento!$D$127:$H$164,5,FALSE))</f>
        <v>40</v>
      </c>
      <c r="MT29" s="1762">
        <f>+IFERROR(VLOOKUP(MT$27&amp;"-"&amp;$M29&amp;"_new",Ammortamento_Finanziario!$H:$L,5,FALSE),VLOOKUP($M29,TT_Tabelle_Riferimento!$D$127:$H$164,5,FALSE))</f>
        <v>40</v>
      </c>
      <c r="MU29" s="1762">
        <f>+IFERROR(VLOOKUP(MU$27&amp;"-"&amp;$M29&amp;"_new",Ammortamento_Finanziario!$H:$L,5,FALSE),VLOOKUP($M29,TT_Tabelle_Riferimento!$D$127:$H$164,5,FALSE))</f>
        <v>40</v>
      </c>
      <c r="MV29" s="1762">
        <f>+IFERROR(VLOOKUP(MV$27&amp;"-"&amp;$M29&amp;"_new",Ammortamento_Finanziario!$H:$L,5,FALSE),VLOOKUP($M29,TT_Tabelle_Riferimento!$D$127:$H$164,5,FALSE))</f>
        <v>40</v>
      </c>
      <c r="MW29" s="1762">
        <f>+IFERROR(VLOOKUP(MW$27&amp;"-"&amp;$M29&amp;"_new",Ammortamento_Finanziario!$H:$L,5,FALSE),VLOOKUP($M29,TT_Tabelle_Riferimento!$D$127:$H$164,5,FALSE))</f>
        <v>40</v>
      </c>
      <c r="MX29" s="904">
        <f>+IFERROR(VLOOKUP(MX$27&amp;"-"&amp;$M29&amp;"_new",Ammortamento_Finanziario!$H:$L,5,FALSE),VLOOKUP($M29,TT_Tabelle_Riferimento!$D$127:$H$164,5,FALSE))</f>
        <v>40</v>
      </c>
      <c r="MY29" s="904">
        <f>+IFERROR(VLOOKUP(MY$27&amp;"-"&amp;$M29&amp;"_new",Ammortamento_Finanziario!$H:$L,5,FALSE),VLOOKUP($M29,TT_Tabelle_Riferimento!$D$127:$H$164,5,FALSE))</f>
        <v>40</v>
      </c>
      <c r="MZ29" s="904">
        <f>+IFERROR(VLOOKUP(MZ$27&amp;"-"&amp;$M29&amp;"_new",Ammortamento_Finanziario!$H:$L,5,FALSE),VLOOKUP($M29,TT_Tabelle_Riferimento!$D$127:$H$164,5,FALSE))</f>
        <v>40</v>
      </c>
      <c r="NA29" s="904">
        <f>+IFERROR(VLOOKUP(NA$27&amp;"-"&amp;$M29&amp;"_new",Ammortamento_Finanziario!$H:$L,5,FALSE),VLOOKUP($M29,TT_Tabelle_Riferimento!$D$127:$H$164,5,FALSE))</f>
        <v>40</v>
      </c>
      <c r="NB29" s="904">
        <f>+IFERROR(VLOOKUP(NB$27&amp;"-"&amp;$M29&amp;"_new",Ammortamento_Finanziario!$H:$L,5,FALSE),VLOOKUP($M29,TT_Tabelle_Riferimento!$D$127:$H$164,5,FALSE))</f>
        <v>40</v>
      </c>
      <c r="NC29" s="904">
        <f>+IFERROR(VLOOKUP(NC$27&amp;"-"&amp;$M29&amp;"_new",Ammortamento_Finanziario!$H:$L,5,FALSE),VLOOKUP($M29,TT_Tabelle_Riferimento!$D$127:$H$164,5,FALSE))</f>
        <v>40</v>
      </c>
      <c r="ND29" s="904">
        <f>+IFERROR(VLOOKUP(ND$27&amp;"-"&amp;$M29&amp;"_new",Ammortamento_Finanziario!$H:$L,5,FALSE),VLOOKUP($M29,TT_Tabelle_Riferimento!$D$127:$H$164,5,FALSE))</f>
        <v>40</v>
      </c>
      <c r="NE29" s="904">
        <f>+IFERROR(VLOOKUP(NE$27&amp;"-"&amp;$M29&amp;"_new",Ammortamento_Finanziario!$H:$L,5,FALSE),VLOOKUP($M29,TT_Tabelle_Riferimento!$D$127:$H$164,5,FALSE))</f>
        <v>40</v>
      </c>
      <c r="NF29" s="904">
        <f>+IFERROR(VLOOKUP(NF$27&amp;"-"&amp;$M29&amp;"_new",Ammortamento_Finanziario!$H:$L,5,FALSE),VLOOKUP($M29,TT_Tabelle_Riferimento!$D$127:$H$164,5,FALSE))</f>
        <v>40</v>
      </c>
      <c r="NG29" s="904">
        <f>+IFERROR(VLOOKUP(NG$27&amp;"-"&amp;$M29&amp;"_new",Ammortamento_Finanziario!$H:$L,5,FALSE),VLOOKUP($M29,TT_Tabelle_Riferimento!$D$127:$H$164,5,FALSE))</f>
        <v>40</v>
      </c>
      <c r="NH29" s="904">
        <f>+IFERROR(VLOOKUP(NH$27&amp;"-"&amp;$M29&amp;"_new",Ammortamento_Finanziario!$H:$L,5,FALSE),VLOOKUP($M29,TT_Tabelle_Riferimento!$D$127:$H$164,5,FALSE))</f>
        <v>40</v>
      </c>
      <c r="NI29" s="904">
        <f>+IFERROR(VLOOKUP(NI$27&amp;"-"&amp;$M29&amp;"_new",Ammortamento_Finanziario!$H:$L,5,FALSE),VLOOKUP($M29,TT_Tabelle_Riferimento!$D$127:$H$164,5,FALSE))</f>
        <v>40</v>
      </c>
      <c r="NJ29" s="904">
        <f>+IFERROR(VLOOKUP(NJ$27&amp;"-"&amp;$M29&amp;"_new",Ammortamento_Finanziario!$H:$L,5,FALSE),VLOOKUP($M29,TT_Tabelle_Riferimento!$D$127:$H$164,5,FALSE))</f>
        <v>40</v>
      </c>
      <c r="NK29" s="904">
        <f>+IFERROR(VLOOKUP(NK$27&amp;"-"&amp;$M29&amp;"_new",Ammortamento_Finanziario!$H:$L,5,FALSE),VLOOKUP($M29,TT_Tabelle_Riferimento!$D$127:$H$164,5,FALSE))</f>
        <v>40</v>
      </c>
      <c r="NL29" s="904">
        <f>+IFERROR(VLOOKUP(NL$27&amp;"-"&amp;$M29&amp;"_new",Ammortamento_Finanziario!$H:$L,5,FALSE),VLOOKUP($M29,TT_Tabelle_Riferimento!$D$127:$H$164,5,FALSE))</f>
        <v>40</v>
      </c>
      <c r="NM29" s="904">
        <f>+IFERROR(VLOOKUP(NM$27&amp;"-"&amp;$M29&amp;"_new",Ammortamento_Finanziario!$H:$L,5,FALSE),VLOOKUP($M29,TT_Tabelle_Riferimento!$D$127:$H$164,5,FALSE))</f>
        <v>40</v>
      </c>
      <c r="NN29" s="904">
        <f>+IFERROR(VLOOKUP(NN$27&amp;"-"&amp;$M29&amp;"_new",Ammortamento_Finanziario!$H:$L,5,FALSE),VLOOKUP($M29,TT_Tabelle_Riferimento!$D$127:$H$164,5,FALSE))</f>
        <v>40</v>
      </c>
      <c r="NO29" s="904">
        <f>+IFERROR(VLOOKUP(NO$27&amp;"-"&amp;$M29&amp;"_new",Ammortamento_Finanziario!$H:$L,5,FALSE),VLOOKUP($M29,TT_Tabelle_Riferimento!$D$127:$H$164,5,FALSE))</f>
        <v>40</v>
      </c>
      <c r="NP29" s="904">
        <f>+IFERROR(VLOOKUP(NP$27&amp;"-"&amp;$M29&amp;"_new",Ammortamento_Finanziario!$H:$L,5,FALSE),VLOOKUP($M29,TT_Tabelle_Riferimento!$D$127:$H$164,5,FALSE))</f>
        <v>40</v>
      </c>
      <c r="NQ29" s="1762">
        <f>+IFERROR(VLOOKUP(NQ$27&amp;"-"&amp;$M29&amp;"_new",Ammortamento_Finanziario!$H:$L,5,FALSE),VLOOKUP($M29,TT_Tabelle_Riferimento!$D$127:$H$164,5,FALSE))</f>
        <v>40</v>
      </c>
      <c r="NR29" s="1762">
        <f>+IFERROR(VLOOKUP(NR$27&amp;"-"&amp;$M29&amp;"_new",Ammortamento_Finanziario!$H:$L,5,FALSE),VLOOKUP($M29,TT_Tabelle_Riferimento!$D$127:$H$164,5,FALSE))</f>
        <v>40</v>
      </c>
      <c r="NS29" s="1762">
        <f>+IFERROR(VLOOKUP(NS$27&amp;"-"&amp;$M29&amp;"_new",Ammortamento_Finanziario!$H:$L,5,FALSE),VLOOKUP($M29,TT_Tabelle_Riferimento!$D$127:$H$164,5,FALSE))</f>
        <v>40</v>
      </c>
      <c r="NT29" s="1762">
        <f>+IFERROR(VLOOKUP(NT$27&amp;"-"&amp;$M29&amp;"_new",Ammortamento_Finanziario!$H:$L,5,FALSE),VLOOKUP($M29,TT_Tabelle_Riferimento!$D$127:$H$164,5,FALSE))</f>
        <v>40</v>
      </c>
      <c r="NU29" s="1762">
        <f>+IFERROR(VLOOKUP(NU$27&amp;"-"&amp;$M29&amp;"_new",Ammortamento_Finanziario!$H:$L,5,FALSE),VLOOKUP($M29,TT_Tabelle_Riferimento!$D$127:$H$164,5,FALSE))</f>
        <v>40</v>
      </c>
      <c r="NV29" s="904">
        <f>+IFERROR(VLOOKUP(NV$27&amp;"-"&amp;$M29&amp;"_new",Ammortamento_Finanziario!$H:$L,5,FALSE),VLOOKUP($M29,TT_Tabelle_Riferimento!$D$127:$H$164,5,FALSE))</f>
        <v>40</v>
      </c>
      <c r="NW29" s="904">
        <f>+IFERROR(VLOOKUP(NW$27&amp;"-"&amp;$M29&amp;"_new",Ammortamento_Finanziario!$H:$L,5,FALSE),VLOOKUP($M29,TT_Tabelle_Riferimento!$D$127:$H$164,5,FALSE))</f>
        <v>40</v>
      </c>
      <c r="NX29" s="904">
        <f>+IFERROR(VLOOKUP(NX$27&amp;"-"&amp;$M29&amp;"_new",Ammortamento_Finanziario!$H:$L,5,FALSE),VLOOKUP($M29,TT_Tabelle_Riferimento!$D$127:$H$164,5,FALSE))</f>
        <v>40</v>
      </c>
      <c r="NY29" s="904">
        <f>+IFERROR(VLOOKUP(NY$27&amp;"-"&amp;$M29&amp;"_new",Ammortamento_Finanziario!$H:$L,5,FALSE),VLOOKUP($M29,TT_Tabelle_Riferimento!$D$127:$H$164,5,FALSE))</f>
        <v>40</v>
      </c>
      <c r="NZ29" s="904">
        <f>+IFERROR(VLOOKUP(NZ$27&amp;"-"&amp;$M29&amp;"_new",Ammortamento_Finanziario!$H:$L,5,FALSE),VLOOKUP($M29,TT_Tabelle_Riferimento!$D$127:$H$164,5,FALSE))</f>
        <v>40</v>
      </c>
      <c r="OA29" s="904">
        <f>+IFERROR(VLOOKUP(OA$27&amp;"-"&amp;$M29&amp;"_new",Ammortamento_Finanziario!$H:$L,5,FALSE),VLOOKUP($M29,TT_Tabelle_Riferimento!$D$127:$H$164,5,FALSE))</f>
        <v>40</v>
      </c>
      <c r="OB29" s="904">
        <f>+IFERROR(VLOOKUP(OB$27&amp;"-"&amp;$M29&amp;"_new",Ammortamento_Finanziario!$H:$L,5,FALSE),VLOOKUP($M29,TT_Tabelle_Riferimento!$D$127:$H$164,5,FALSE))</f>
        <v>40</v>
      </c>
      <c r="OC29" s="904">
        <f>+IFERROR(VLOOKUP(OC$27&amp;"-"&amp;$M29&amp;"_new",Ammortamento_Finanziario!$H:$L,5,FALSE),VLOOKUP($M29,TT_Tabelle_Riferimento!$D$127:$H$164,5,FALSE))</f>
        <v>40</v>
      </c>
      <c r="OD29" s="904">
        <f>+IFERROR(VLOOKUP(OD$27&amp;"-"&amp;$M29&amp;"_new",Ammortamento_Finanziario!$H:$L,5,FALSE),VLOOKUP($M29,TT_Tabelle_Riferimento!$D$127:$H$164,5,FALSE))</f>
        <v>40</v>
      </c>
      <c r="OE29" s="904">
        <f>+IFERROR(VLOOKUP(OE$27&amp;"-"&amp;$M29&amp;"_new",Ammortamento_Finanziario!$H:$L,5,FALSE),VLOOKUP($M29,TT_Tabelle_Riferimento!$D$127:$H$164,5,FALSE))</f>
        <v>40</v>
      </c>
      <c r="OF29" s="904">
        <f>+IFERROR(VLOOKUP(OF$27&amp;"-"&amp;$M29&amp;"_new",Ammortamento_Finanziario!$H:$L,5,FALSE),VLOOKUP($M29,TT_Tabelle_Riferimento!$D$127:$H$164,5,FALSE))</f>
        <v>40</v>
      </c>
      <c r="OG29" s="904">
        <f>+IFERROR(VLOOKUP(OG$27&amp;"-"&amp;$M29&amp;"_new",Ammortamento_Finanziario!$H:$L,5,FALSE),VLOOKUP($M29,TT_Tabelle_Riferimento!$D$127:$H$164,5,FALSE))</f>
        <v>40</v>
      </c>
      <c r="OH29" s="904">
        <f>+IFERROR(VLOOKUP(OH$27&amp;"-"&amp;$M29&amp;"_new",Ammortamento_Finanziario!$H:$L,5,FALSE),VLOOKUP($M29,TT_Tabelle_Riferimento!$D$127:$H$164,5,FALSE))</f>
        <v>40</v>
      </c>
      <c r="OI29" s="904">
        <f>+IFERROR(VLOOKUP(OI$27&amp;"-"&amp;$M29&amp;"_new",Ammortamento_Finanziario!$H:$L,5,FALSE),VLOOKUP($M29,TT_Tabelle_Riferimento!$D$127:$H$164,5,FALSE))</f>
        <v>40</v>
      </c>
      <c r="OJ29" s="904">
        <f>+IFERROR(VLOOKUP(OJ$27&amp;"-"&amp;$M29&amp;"_new",Ammortamento_Finanziario!$H:$L,5,FALSE),VLOOKUP($M29,TT_Tabelle_Riferimento!$D$127:$H$164,5,FALSE))</f>
        <v>40</v>
      </c>
      <c r="OK29" s="904">
        <f>+IFERROR(VLOOKUP(OK$27&amp;"-"&amp;$M29&amp;"_new",Ammortamento_Finanziario!$H:$L,5,FALSE),VLOOKUP($M29,TT_Tabelle_Riferimento!$D$127:$H$164,5,FALSE))</f>
        <v>40</v>
      </c>
      <c r="OL29" s="904">
        <f>+IFERROR(VLOOKUP(OL$27&amp;"-"&amp;$M29&amp;"_new",Ammortamento_Finanziario!$H:$L,5,FALSE),VLOOKUP($M29,TT_Tabelle_Riferimento!$D$127:$H$164,5,FALSE))</f>
        <v>40</v>
      </c>
      <c r="OM29" s="904">
        <f>+IFERROR(VLOOKUP(OM$27&amp;"-"&amp;$M29&amp;"_new",Ammortamento_Finanziario!$H:$L,5,FALSE),VLOOKUP($M29,TT_Tabelle_Riferimento!$D$127:$H$164,5,FALSE))</f>
        <v>40</v>
      </c>
      <c r="ON29" s="904">
        <f>+IFERROR(VLOOKUP(ON$27&amp;"-"&amp;$M29&amp;"_new",Ammortamento_Finanziario!$H:$L,5,FALSE),VLOOKUP($M29,TT_Tabelle_Riferimento!$D$127:$H$164,5,FALSE))</f>
        <v>40</v>
      </c>
      <c r="OO29" s="1762">
        <f>+IFERROR(VLOOKUP(OO$27&amp;"-"&amp;$M29&amp;"_new",Ammortamento_Finanziario!$H:$L,5,FALSE),VLOOKUP($M29,TT_Tabelle_Riferimento!$D$127:$H$164,5,FALSE))</f>
        <v>40</v>
      </c>
      <c r="OP29" s="1762">
        <f>+IFERROR(VLOOKUP(OP$27&amp;"-"&amp;$M29&amp;"_new",Ammortamento_Finanziario!$H:$L,5,FALSE),VLOOKUP($M29,TT_Tabelle_Riferimento!$D$127:$H$164,5,FALSE))</f>
        <v>40</v>
      </c>
      <c r="OQ29" s="1762">
        <f>+IFERROR(VLOOKUP(OQ$27&amp;"-"&amp;$M29&amp;"_new",Ammortamento_Finanziario!$H:$L,5,FALSE),VLOOKUP($M29,TT_Tabelle_Riferimento!$D$127:$H$164,5,FALSE))</f>
        <v>40</v>
      </c>
      <c r="OR29" s="1762">
        <f>+IFERROR(VLOOKUP(OR$27&amp;"-"&amp;$M29&amp;"_new",Ammortamento_Finanziario!$H:$L,5,FALSE),VLOOKUP($M29,TT_Tabelle_Riferimento!$D$127:$H$164,5,FALSE))</f>
        <v>40</v>
      </c>
      <c r="OS29" s="904">
        <f>+IFERROR(VLOOKUP(OS$27&amp;"-"&amp;$M29&amp;"_new",Ammortamento_Finanziario!$H:$L,5,FALSE),VLOOKUP($M29,TT_Tabelle_Riferimento!$D$127:$H$164,5,FALSE))</f>
        <v>40</v>
      </c>
      <c r="OT29" s="904">
        <f>+IFERROR(VLOOKUP(OT$27&amp;"-"&amp;$M29&amp;"_new",Ammortamento_Finanziario!$H:$L,5,FALSE),VLOOKUP($M29,TT_Tabelle_Riferimento!$D$127:$H$164,5,FALSE))</f>
        <v>40</v>
      </c>
      <c r="OU29" s="904">
        <f>+IFERROR(VLOOKUP(OU$27&amp;"-"&amp;$M29&amp;"_new",Ammortamento_Finanziario!$H:$L,5,FALSE),VLOOKUP($M29,TT_Tabelle_Riferimento!$D$127:$H$164,5,FALSE))</f>
        <v>40</v>
      </c>
      <c r="OV29" s="904">
        <f>+IFERROR(VLOOKUP(OV$27&amp;"-"&amp;$M29&amp;"_new",Ammortamento_Finanziario!$H:$L,5,FALSE),VLOOKUP($M29,TT_Tabelle_Riferimento!$D$127:$H$164,5,FALSE))</f>
        <v>40</v>
      </c>
      <c r="OW29" s="904">
        <f>+IFERROR(VLOOKUP(OW$27&amp;"-"&amp;$M29&amp;"_new",Ammortamento_Finanziario!$H:$L,5,FALSE),VLOOKUP($M29,TT_Tabelle_Riferimento!$D$127:$H$164,5,FALSE))</f>
        <v>40</v>
      </c>
      <c r="OX29" s="904">
        <f>+IFERROR(VLOOKUP(OX$27&amp;"-"&amp;$M29&amp;"_new",Ammortamento_Finanziario!$H:$L,5,FALSE),VLOOKUP($M29,TT_Tabelle_Riferimento!$D$127:$H$164,5,FALSE))</f>
        <v>40</v>
      </c>
      <c r="OY29" s="904">
        <f>+IFERROR(VLOOKUP(OY$27&amp;"-"&amp;$M29&amp;"_new",Ammortamento_Finanziario!$H:$L,5,FALSE),VLOOKUP($M29,TT_Tabelle_Riferimento!$D$127:$H$164,5,FALSE))</f>
        <v>40</v>
      </c>
      <c r="OZ29" s="904">
        <f>+IFERROR(VLOOKUP(OZ$27&amp;"-"&amp;$M29&amp;"_new",Ammortamento_Finanziario!$H:$L,5,FALSE),VLOOKUP($M29,TT_Tabelle_Riferimento!$D$127:$H$164,5,FALSE))</f>
        <v>40</v>
      </c>
      <c r="PA29" s="904">
        <f>+IFERROR(VLOOKUP(PA$27&amp;"-"&amp;$M29&amp;"_new",Ammortamento_Finanziario!$H:$L,5,FALSE),VLOOKUP($M29,TT_Tabelle_Riferimento!$D$127:$H$164,5,FALSE))</f>
        <v>40</v>
      </c>
      <c r="PB29" s="904">
        <f>+IFERROR(VLOOKUP(PB$27&amp;"-"&amp;$M29&amp;"_new",Ammortamento_Finanziario!$H:$L,5,FALSE),VLOOKUP($M29,TT_Tabelle_Riferimento!$D$127:$H$164,5,FALSE))</f>
        <v>40</v>
      </c>
      <c r="PC29" s="904">
        <f>+IFERROR(VLOOKUP(PC$27&amp;"-"&amp;$M29&amp;"_new",Ammortamento_Finanziario!$H:$L,5,FALSE),VLOOKUP($M29,TT_Tabelle_Riferimento!$D$127:$H$164,5,FALSE))</f>
        <v>40</v>
      </c>
      <c r="PD29" s="904">
        <f>+IFERROR(VLOOKUP(PD$27&amp;"-"&amp;$M29&amp;"_new",Ammortamento_Finanziario!$H:$L,5,FALSE),VLOOKUP($M29,TT_Tabelle_Riferimento!$D$127:$H$164,5,FALSE))</f>
        <v>40</v>
      </c>
      <c r="PE29" s="904">
        <f>+IFERROR(VLOOKUP(PE$27&amp;"-"&amp;$M29&amp;"_new",Ammortamento_Finanziario!$H:$L,5,FALSE),VLOOKUP($M29,TT_Tabelle_Riferimento!$D$127:$H$164,5,FALSE))</f>
        <v>40</v>
      </c>
      <c r="PF29" s="904">
        <f>+IFERROR(VLOOKUP(PF$27&amp;"-"&amp;$M29&amp;"_new",Ammortamento_Finanziario!$H:$L,5,FALSE),VLOOKUP($M29,TT_Tabelle_Riferimento!$D$127:$H$164,5,FALSE))</f>
        <v>40</v>
      </c>
      <c r="PG29" s="904">
        <f>+IFERROR(VLOOKUP(PG$27&amp;"-"&amp;$M29&amp;"_new",Ammortamento_Finanziario!$H:$L,5,FALSE),VLOOKUP($M29,TT_Tabelle_Riferimento!$D$127:$H$164,5,FALSE))</f>
        <v>40</v>
      </c>
      <c r="PH29" s="904">
        <f>+IFERROR(VLOOKUP(PH$27&amp;"-"&amp;$M29&amp;"_new",Ammortamento_Finanziario!$H:$L,5,FALSE),VLOOKUP($M29,TT_Tabelle_Riferimento!$D$127:$H$164,5,FALSE))</f>
        <v>40</v>
      </c>
      <c r="PI29" s="904">
        <f>+IFERROR(VLOOKUP(PI$27&amp;"-"&amp;$M29&amp;"_new",Ammortamento_Finanziario!$H:$L,5,FALSE),VLOOKUP($M29,TT_Tabelle_Riferimento!$D$127:$H$164,5,FALSE))</f>
        <v>40</v>
      </c>
      <c r="PJ29" s="904">
        <f>+IFERROR(VLOOKUP(PJ$27&amp;"-"&amp;$M29&amp;"_new",Ammortamento_Finanziario!$H:$L,5,FALSE),VLOOKUP($M29,TT_Tabelle_Riferimento!$D$127:$H$164,5,FALSE))</f>
        <v>40</v>
      </c>
      <c r="PK29" s="904">
        <f>+IFERROR(VLOOKUP(PK$27&amp;"-"&amp;$M29&amp;"_new",Ammortamento_Finanziario!$H:$L,5,FALSE),VLOOKUP($M29,TT_Tabelle_Riferimento!$D$127:$H$164,5,FALSE))</f>
        <v>40</v>
      </c>
      <c r="PL29" s="1762">
        <f>+IFERROR(VLOOKUP(PL$27&amp;"-"&amp;$M29&amp;"_new",Ammortamento_Finanziario!$H:$L,5,FALSE),VLOOKUP($M29,TT_Tabelle_Riferimento!$D$127:$H$164,5,FALSE))</f>
        <v>40</v>
      </c>
      <c r="PM29" s="1762">
        <f>+IFERROR(VLOOKUP(PM$27&amp;"-"&amp;$M29&amp;"_new",Ammortamento_Finanziario!$H:$L,5,FALSE),VLOOKUP($M29,TT_Tabelle_Riferimento!$D$127:$H$164,5,FALSE))</f>
        <v>40</v>
      </c>
      <c r="PN29" s="1762">
        <f>+IFERROR(VLOOKUP(PN$27&amp;"-"&amp;$M29&amp;"_new",Ammortamento_Finanziario!$H:$L,5,FALSE),VLOOKUP($M29,TT_Tabelle_Riferimento!$D$127:$H$164,5,FALSE))</f>
        <v>40</v>
      </c>
      <c r="PO29" s="904">
        <f>+IFERROR(VLOOKUP(PO$27&amp;"-"&amp;$M29&amp;"_new",Ammortamento_Finanziario!$H:$L,5,FALSE),VLOOKUP($M29,TT_Tabelle_Riferimento!$D$127:$H$164,5,FALSE))</f>
        <v>40</v>
      </c>
      <c r="PP29" s="904">
        <f>+IFERROR(VLOOKUP(PP$27&amp;"-"&amp;$M29&amp;"_new",Ammortamento_Finanziario!$H:$L,5,FALSE),VLOOKUP($M29,TT_Tabelle_Riferimento!$D$127:$H$164,5,FALSE))</f>
        <v>40</v>
      </c>
      <c r="PQ29" s="904">
        <f>+IFERROR(VLOOKUP(PQ$27&amp;"-"&amp;$M29&amp;"_new",Ammortamento_Finanziario!$H:$L,5,FALSE),VLOOKUP($M29,TT_Tabelle_Riferimento!$D$127:$H$164,5,FALSE))</f>
        <v>40</v>
      </c>
      <c r="PR29" s="904">
        <f>+IFERROR(VLOOKUP(PR$27&amp;"-"&amp;$M29&amp;"_new",Ammortamento_Finanziario!$H:$L,5,FALSE),VLOOKUP($M29,TT_Tabelle_Riferimento!$D$127:$H$164,5,FALSE))</f>
        <v>40</v>
      </c>
      <c r="PS29" s="904">
        <f>+IFERROR(VLOOKUP(PS$27&amp;"-"&amp;$M29&amp;"_new",Ammortamento_Finanziario!$H:$L,5,FALSE),VLOOKUP($M29,TT_Tabelle_Riferimento!$D$127:$H$164,5,FALSE))</f>
        <v>40</v>
      </c>
      <c r="PT29" s="904">
        <f>+IFERROR(VLOOKUP(PT$27&amp;"-"&amp;$M29&amp;"_new",Ammortamento_Finanziario!$H:$L,5,FALSE),VLOOKUP($M29,TT_Tabelle_Riferimento!$D$127:$H$164,5,FALSE))</f>
        <v>40</v>
      </c>
      <c r="PU29" s="904">
        <f>+IFERROR(VLOOKUP(PU$27&amp;"-"&amp;$M29&amp;"_new",Ammortamento_Finanziario!$H:$L,5,FALSE),VLOOKUP($M29,TT_Tabelle_Riferimento!$D$127:$H$164,5,FALSE))</f>
        <v>40</v>
      </c>
      <c r="PV29" s="904">
        <f>+IFERROR(VLOOKUP(PV$27&amp;"-"&amp;$M29&amp;"_new",Ammortamento_Finanziario!$H:$L,5,FALSE),VLOOKUP($M29,TT_Tabelle_Riferimento!$D$127:$H$164,5,FALSE))</f>
        <v>40</v>
      </c>
      <c r="PW29" s="904">
        <f>+IFERROR(VLOOKUP(PW$27&amp;"-"&amp;$M29&amp;"_new",Ammortamento_Finanziario!$H:$L,5,FALSE),VLOOKUP($M29,TT_Tabelle_Riferimento!$D$127:$H$164,5,FALSE))</f>
        <v>40</v>
      </c>
      <c r="PX29" s="904">
        <f>+IFERROR(VLOOKUP(PX$27&amp;"-"&amp;$M29&amp;"_new",Ammortamento_Finanziario!$H:$L,5,FALSE),VLOOKUP($M29,TT_Tabelle_Riferimento!$D$127:$H$164,5,FALSE))</f>
        <v>40</v>
      </c>
      <c r="PY29" s="904">
        <f>+IFERROR(VLOOKUP(PY$27&amp;"-"&amp;$M29&amp;"_new",Ammortamento_Finanziario!$H:$L,5,FALSE),VLOOKUP($M29,TT_Tabelle_Riferimento!$D$127:$H$164,5,FALSE))</f>
        <v>40</v>
      </c>
      <c r="PZ29" s="904">
        <f>+IFERROR(VLOOKUP(PZ$27&amp;"-"&amp;$M29&amp;"_new",Ammortamento_Finanziario!$H:$L,5,FALSE),VLOOKUP($M29,TT_Tabelle_Riferimento!$D$127:$H$164,5,FALSE))</f>
        <v>40</v>
      </c>
      <c r="QA29" s="904">
        <f>+IFERROR(VLOOKUP(QA$27&amp;"-"&amp;$M29&amp;"_new",Ammortamento_Finanziario!$H:$L,5,FALSE),VLOOKUP($M29,TT_Tabelle_Riferimento!$D$127:$H$164,5,FALSE))</f>
        <v>40</v>
      </c>
      <c r="QB29" s="904">
        <f>+IFERROR(VLOOKUP(QB$27&amp;"-"&amp;$M29&amp;"_new",Ammortamento_Finanziario!$H:$L,5,FALSE),VLOOKUP($M29,TT_Tabelle_Riferimento!$D$127:$H$164,5,FALSE))</f>
        <v>40</v>
      </c>
      <c r="QC29" s="904">
        <f>+IFERROR(VLOOKUP(QC$27&amp;"-"&amp;$M29&amp;"_new",Ammortamento_Finanziario!$H:$L,5,FALSE),VLOOKUP($M29,TT_Tabelle_Riferimento!$D$127:$H$164,5,FALSE))</f>
        <v>40</v>
      </c>
      <c r="QD29" s="904">
        <f>+IFERROR(VLOOKUP(QD$27&amp;"-"&amp;$M29&amp;"_new",Ammortamento_Finanziario!$H:$L,5,FALSE),VLOOKUP($M29,TT_Tabelle_Riferimento!$D$127:$H$164,5,FALSE))</f>
        <v>40</v>
      </c>
      <c r="QE29" s="904">
        <f>+IFERROR(VLOOKUP(QE$27&amp;"-"&amp;$M29&amp;"_new",Ammortamento_Finanziario!$H:$L,5,FALSE),VLOOKUP($M29,TT_Tabelle_Riferimento!$D$127:$H$164,5,FALSE))</f>
        <v>40</v>
      </c>
      <c r="QF29" s="904">
        <f>+IFERROR(VLOOKUP(QF$27&amp;"-"&amp;$M29&amp;"_new",Ammortamento_Finanziario!$H:$L,5,FALSE),VLOOKUP($M29,TT_Tabelle_Riferimento!$D$127:$H$164,5,FALSE))</f>
        <v>40</v>
      </c>
      <c r="QG29" s="904">
        <f>+IFERROR(VLOOKUP(QG$27&amp;"-"&amp;$M29&amp;"_new",Ammortamento_Finanziario!$H:$L,5,FALSE),VLOOKUP($M29,TT_Tabelle_Riferimento!$D$127:$H$164,5,FALSE))</f>
        <v>40</v>
      </c>
      <c r="QH29" s="1762">
        <f>+IFERROR(VLOOKUP(QH$27&amp;"-"&amp;$M29&amp;"_new",Ammortamento_Finanziario!$H:$L,5,FALSE),VLOOKUP($M29,TT_Tabelle_Riferimento!$D$127:$H$164,5,FALSE))</f>
        <v>40</v>
      </c>
      <c r="QI29" s="1762">
        <f>+IFERROR(VLOOKUP(QI$27&amp;"-"&amp;$M29&amp;"_new",Ammortamento_Finanziario!$H:$L,5,FALSE),VLOOKUP($M29,TT_Tabelle_Riferimento!$D$127:$H$164,5,FALSE))</f>
        <v>40</v>
      </c>
      <c r="QJ29" s="904">
        <f>+IFERROR(VLOOKUP(QJ$27&amp;"-"&amp;$M29&amp;"_new",Ammortamento_Finanziario!$H:$L,5,FALSE),VLOOKUP($M29,TT_Tabelle_Riferimento!$D$127:$H$164,5,FALSE))</f>
        <v>40</v>
      </c>
      <c r="QK29" s="904">
        <f>+IFERROR(VLOOKUP(QK$27&amp;"-"&amp;$M29&amp;"_new",Ammortamento_Finanziario!$H:$L,5,FALSE),VLOOKUP($M29,TT_Tabelle_Riferimento!$D$127:$H$164,5,FALSE))</f>
        <v>40</v>
      </c>
      <c r="QL29" s="904">
        <f>+IFERROR(VLOOKUP(QL$27&amp;"-"&amp;$M29&amp;"_new",Ammortamento_Finanziario!$H:$L,5,FALSE),VLOOKUP($M29,TT_Tabelle_Riferimento!$D$127:$H$164,5,FALSE))</f>
        <v>40</v>
      </c>
      <c r="QM29" s="904">
        <f>+IFERROR(VLOOKUP(QM$27&amp;"-"&amp;$M29&amp;"_new",Ammortamento_Finanziario!$H:$L,5,FALSE),VLOOKUP($M29,TT_Tabelle_Riferimento!$D$127:$H$164,5,FALSE))</f>
        <v>40</v>
      </c>
      <c r="QN29" s="904">
        <f>+IFERROR(VLOOKUP(QN$27&amp;"-"&amp;$M29&amp;"_new",Ammortamento_Finanziario!$H:$L,5,FALSE),VLOOKUP($M29,TT_Tabelle_Riferimento!$D$127:$H$164,5,FALSE))</f>
        <v>40</v>
      </c>
      <c r="QO29" s="904">
        <f>+IFERROR(VLOOKUP(QO$27&amp;"-"&amp;$M29&amp;"_new",Ammortamento_Finanziario!$H:$L,5,FALSE),VLOOKUP($M29,TT_Tabelle_Riferimento!$D$127:$H$164,5,FALSE))</f>
        <v>40</v>
      </c>
      <c r="QP29" s="904">
        <f>+IFERROR(VLOOKUP(QP$27&amp;"-"&amp;$M29&amp;"_new",Ammortamento_Finanziario!$H:$L,5,FALSE),VLOOKUP($M29,TT_Tabelle_Riferimento!$D$127:$H$164,5,FALSE))</f>
        <v>40</v>
      </c>
      <c r="QQ29" s="904">
        <f>+IFERROR(VLOOKUP(QQ$27&amp;"-"&amp;$M29&amp;"_new",Ammortamento_Finanziario!$H:$L,5,FALSE),VLOOKUP($M29,TT_Tabelle_Riferimento!$D$127:$H$164,5,FALSE))</f>
        <v>40</v>
      </c>
      <c r="QR29" s="904">
        <f>+IFERROR(VLOOKUP(QR$27&amp;"-"&amp;$M29&amp;"_new",Ammortamento_Finanziario!$H:$L,5,FALSE),VLOOKUP($M29,TT_Tabelle_Riferimento!$D$127:$H$164,5,FALSE))</f>
        <v>40</v>
      </c>
      <c r="QS29" s="904">
        <f>+IFERROR(VLOOKUP(QS$27&amp;"-"&amp;$M29&amp;"_new",Ammortamento_Finanziario!$H:$L,5,FALSE),VLOOKUP($M29,TT_Tabelle_Riferimento!$D$127:$H$164,5,FALSE))</f>
        <v>40</v>
      </c>
      <c r="QT29" s="904">
        <f>+IFERROR(VLOOKUP(QT$27&amp;"-"&amp;$M29&amp;"_new",Ammortamento_Finanziario!$H:$L,5,FALSE),VLOOKUP($M29,TT_Tabelle_Riferimento!$D$127:$H$164,5,FALSE))</f>
        <v>40</v>
      </c>
      <c r="QU29" s="904">
        <f>+IFERROR(VLOOKUP(QU$27&amp;"-"&amp;$M29&amp;"_new",Ammortamento_Finanziario!$H:$L,5,FALSE),VLOOKUP($M29,TT_Tabelle_Riferimento!$D$127:$H$164,5,FALSE))</f>
        <v>40</v>
      </c>
      <c r="QV29" s="904">
        <f>+IFERROR(VLOOKUP(QV$27&amp;"-"&amp;$M29&amp;"_new",Ammortamento_Finanziario!$H:$L,5,FALSE),VLOOKUP($M29,TT_Tabelle_Riferimento!$D$127:$H$164,5,FALSE))</f>
        <v>40</v>
      </c>
      <c r="QW29" s="904">
        <f>+IFERROR(VLOOKUP(QW$27&amp;"-"&amp;$M29&amp;"_new",Ammortamento_Finanziario!$H:$L,5,FALSE),VLOOKUP($M29,TT_Tabelle_Riferimento!$D$127:$H$164,5,FALSE))</f>
        <v>40</v>
      </c>
      <c r="QX29" s="904">
        <f>+IFERROR(VLOOKUP(QX$27&amp;"-"&amp;$M29&amp;"_new",Ammortamento_Finanziario!$H:$L,5,FALSE),VLOOKUP($M29,TT_Tabelle_Riferimento!$D$127:$H$164,5,FALSE))</f>
        <v>40</v>
      </c>
      <c r="QY29" s="904">
        <f>+IFERROR(VLOOKUP(QY$27&amp;"-"&amp;$M29&amp;"_new",Ammortamento_Finanziario!$H:$L,5,FALSE),VLOOKUP($M29,TT_Tabelle_Riferimento!$D$127:$H$164,5,FALSE))</f>
        <v>40</v>
      </c>
      <c r="QZ29" s="904">
        <f>+IFERROR(VLOOKUP(QZ$27&amp;"-"&amp;$M29&amp;"_new",Ammortamento_Finanziario!$H:$L,5,FALSE),VLOOKUP($M29,TT_Tabelle_Riferimento!$D$127:$H$164,5,FALSE))</f>
        <v>40</v>
      </c>
      <c r="RA29" s="904">
        <f>+IFERROR(VLOOKUP(RA$27&amp;"-"&amp;$M29&amp;"_new",Ammortamento_Finanziario!$H:$L,5,FALSE),VLOOKUP($M29,TT_Tabelle_Riferimento!$D$127:$H$164,5,FALSE))</f>
        <v>40</v>
      </c>
      <c r="RB29" s="904">
        <f>+IFERROR(VLOOKUP(RB$27&amp;"-"&amp;$M29&amp;"_new",Ammortamento_Finanziario!$H:$L,5,FALSE),VLOOKUP($M29,TT_Tabelle_Riferimento!$D$127:$H$164,5,FALSE))</f>
        <v>40</v>
      </c>
      <c r="RC29" s="1762">
        <f>+IFERROR(VLOOKUP(RC$27&amp;"-"&amp;$M29&amp;"_new",Ammortamento_Finanziario!$H:$L,5,FALSE),VLOOKUP($M29,TT_Tabelle_Riferimento!$D$127:$H$164,5,FALSE))</f>
        <v>40</v>
      </c>
      <c r="RD29" s="904">
        <f>+IFERROR(VLOOKUP(RD$27&amp;"-"&amp;$M29&amp;"_new",Ammortamento_Finanziario!$H:$L,5,FALSE),VLOOKUP($M29,TT_Tabelle_Riferimento!$D$127:$H$164,5,FALSE))</f>
        <v>40</v>
      </c>
      <c r="RE29" s="904">
        <f>+IFERROR(VLOOKUP(RE$27&amp;"-"&amp;$M29&amp;"_new",Ammortamento_Finanziario!$H:$L,5,FALSE),VLOOKUP($M29,TT_Tabelle_Riferimento!$D$127:$H$164,5,FALSE))</f>
        <v>40</v>
      </c>
      <c r="RF29" s="904">
        <f>+IFERROR(VLOOKUP(RF$27&amp;"-"&amp;$M29&amp;"_new",Ammortamento_Finanziario!$H:$L,5,FALSE),VLOOKUP($M29,TT_Tabelle_Riferimento!$D$127:$H$164,5,FALSE))</f>
        <v>40</v>
      </c>
      <c r="RG29" s="904">
        <f>+IFERROR(VLOOKUP(RG$27&amp;"-"&amp;$M29&amp;"_new",Ammortamento_Finanziario!$H:$L,5,FALSE),VLOOKUP($M29,TT_Tabelle_Riferimento!$D$127:$H$164,5,FALSE))</f>
        <v>40</v>
      </c>
      <c r="RH29" s="904">
        <f>+IFERROR(VLOOKUP(RH$27&amp;"-"&amp;$M29&amp;"_new",Ammortamento_Finanziario!$H:$L,5,FALSE),VLOOKUP($M29,TT_Tabelle_Riferimento!$D$127:$H$164,5,FALSE))</f>
        <v>40</v>
      </c>
      <c r="RI29" s="904">
        <f>+IFERROR(VLOOKUP(RI$27&amp;"-"&amp;$M29&amp;"_new",Ammortamento_Finanziario!$H:$L,5,FALSE),VLOOKUP($M29,TT_Tabelle_Riferimento!$D$127:$H$164,5,FALSE))</f>
        <v>40</v>
      </c>
      <c r="RJ29" s="904">
        <f>+IFERROR(VLOOKUP(RJ$27&amp;"-"&amp;$M29&amp;"_new",Ammortamento_Finanziario!$H:$L,5,FALSE),VLOOKUP($M29,TT_Tabelle_Riferimento!$D$127:$H$164,5,FALSE))</f>
        <v>40</v>
      </c>
      <c r="RK29" s="904">
        <f>+IFERROR(VLOOKUP(RK$27&amp;"-"&amp;$M29&amp;"_new",Ammortamento_Finanziario!$H:$L,5,FALSE),VLOOKUP($M29,TT_Tabelle_Riferimento!$D$127:$H$164,5,FALSE))</f>
        <v>40</v>
      </c>
      <c r="RL29" s="904">
        <f>+IFERROR(VLOOKUP(RL$27&amp;"-"&amp;$M29&amp;"_new",Ammortamento_Finanziario!$H:$L,5,FALSE),VLOOKUP($M29,TT_Tabelle_Riferimento!$D$127:$H$164,5,FALSE))</f>
        <v>40</v>
      </c>
      <c r="RM29" s="904">
        <f>+IFERROR(VLOOKUP(RM$27&amp;"-"&amp;$M29&amp;"_new",Ammortamento_Finanziario!$H:$L,5,FALSE),VLOOKUP($M29,TT_Tabelle_Riferimento!$D$127:$H$164,5,FALSE))</f>
        <v>40</v>
      </c>
      <c r="RN29" s="904">
        <f>+IFERROR(VLOOKUP(RN$27&amp;"-"&amp;$M29&amp;"_new",Ammortamento_Finanziario!$H:$L,5,FALSE),VLOOKUP($M29,TT_Tabelle_Riferimento!$D$127:$H$164,5,FALSE))</f>
        <v>40</v>
      </c>
      <c r="RO29" s="904">
        <f>+IFERROR(VLOOKUP(RO$27&amp;"-"&amp;$M29&amp;"_new",Ammortamento_Finanziario!$H:$L,5,FALSE),VLOOKUP($M29,TT_Tabelle_Riferimento!$D$127:$H$164,5,FALSE))</f>
        <v>40</v>
      </c>
      <c r="RP29" s="904">
        <f>+IFERROR(VLOOKUP(RP$27&amp;"-"&amp;$M29&amp;"_new",Ammortamento_Finanziario!$H:$L,5,FALSE),VLOOKUP($M29,TT_Tabelle_Riferimento!$D$127:$H$164,5,FALSE))</f>
        <v>40</v>
      </c>
      <c r="RQ29" s="904">
        <f>+IFERROR(VLOOKUP(RQ$27&amp;"-"&amp;$M29&amp;"_new",Ammortamento_Finanziario!$H:$L,5,FALSE),VLOOKUP($M29,TT_Tabelle_Riferimento!$D$127:$H$164,5,FALSE))</f>
        <v>40</v>
      </c>
      <c r="RR29" s="904">
        <f>+IFERROR(VLOOKUP(RR$27&amp;"-"&amp;$M29&amp;"_new",Ammortamento_Finanziario!$H:$L,5,FALSE),VLOOKUP($M29,TT_Tabelle_Riferimento!$D$127:$H$164,5,FALSE))</f>
        <v>40</v>
      </c>
      <c r="RS29" s="904">
        <f>+IFERROR(VLOOKUP(RS$27&amp;"-"&amp;$M29&amp;"_new",Ammortamento_Finanziario!$H:$L,5,FALSE),VLOOKUP($M29,TT_Tabelle_Riferimento!$D$127:$H$164,5,FALSE))</f>
        <v>40</v>
      </c>
      <c r="RT29" s="904">
        <f>+IFERROR(VLOOKUP(RT$27&amp;"-"&amp;$M29&amp;"_new",Ammortamento_Finanziario!$H:$L,5,FALSE),VLOOKUP($M29,TT_Tabelle_Riferimento!$D$127:$H$164,5,FALSE))</f>
        <v>40</v>
      </c>
      <c r="RU29" s="904">
        <f>+IFERROR(VLOOKUP(RU$27&amp;"-"&amp;$M29&amp;"_new",Ammortamento_Finanziario!$H:$L,5,FALSE),VLOOKUP($M29,TT_Tabelle_Riferimento!$D$127:$H$164,5,FALSE))</f>
        <v>40</v>
      </c>
      <c r="RV29" s="904">
        <f>+IFERROR(VLOOKUP(RV$27&amp;"-"&amp;$M29&amp;"_new",Ammortamento_Finanziario!$H:$L,5,FALSE),VLOOKUP($M29,TT_Tabelle_Riferimento!$D$127:$H$164,5,FALSE))</f>
        <v>40</v>
      </c>
    </row>
    <row r="30" spans="4:490">
      <c r="D30" s="135" t="s">
        <v>199</v>
      </c>
      <c r="E30" s="719">
        <f>+SUMIF(IMN_gestore!$E:$E,2022,IMN_gestore!$P:$P)</f>
        <v>0</v>
      </c>
      <c r="F30" s="719">
        <f>SUMIF(IMN_gestore!$E:$E,2023,IMN_gestore!$AA:$AA)</f>
        <v>0</v>
      </c>
      <c r="G30" s="719">
        <f>+SUMIF(IMN_gestore!$E:$E,2024,IMN_gestore!$AL:$AL)</f>
        <v>0</v>
      </c>
      <c r="H30" s="719">
        <f>SUMIF(IMN_gestore!$E:$E,2025,IMN_gestore!$AW:$AW)</f>
        <v>0</v>
      </c>
      <c r="I30" s="719">
        <f>SUMIF(IMN_gestore!$E:$E,2026,IMN_gestore!$BH:$BH)</f>
        <v>0</v>
      </c>
      <c r="J30" s="719">
        <f>SUMIF(IMN_gestore!$E:$E,2027,IMN_gestore!$BS:$BS)</f>
        <v>0</v>
      </c>
      <c r="K30" s="136"/>
      <c r="L30" s="125"/>
      <c r="M30" s="1756">
        <v>3</v>
      </c>
      <c r="N30" s="1759">
        <v>0</v>
      </c>
      <c r="O30" s="1759">
        <v>0</v>
      </c>
      <c r="P30" s="1759">
        <v>0</v>
      </c>
      <c r="Q30" s="1759">
        <v>0</v>
      </c>
      <c r="R30" s="1759">
        <v>0</v>
      </c>
      <c r="S30" s="1759">
        <v>0</v>
      </c>
      <c r="T30" s="1759">
        <v>0</v>
      </c>
      <c r="U30" s="1759">
        <v>0</v>
      </c>
      <c r="V30" s="1759">
        <v>0</v>
      </c>
      <c r="W30" s="1759">
        <v>0</v>
      </c>
      <c r="X30" s="1759">
        <v>0</v>
      </c>
      <c r="Y30" s="1759">
        <v>0</v>
      </c>
      <c r="Z30" s="1759">
        <v>0</v>
      </c>
      <c r="AA30" s="1759">
        <v>0</v>
      </c>
      <c r="AB30" s="1759">
        <v>0</v>
      </c>
      <c r="AC30" s="1759">
        <v>0</v>
      </c>
      <c r="AD30" s="1759">
        <v>0</v>
      </c>
      <c r="AE30" s="1759">
        <v>0</v>
      </c>
      <c r="AF30" s="1759">
        <v>0</v>
      </c>
      <c r="AG30" s="1759">
        <v>0</v>
      </c>
      <c r="AH30" s="1759">
        <v>0</v>
      </c>
      <c r="AI30" s="1759">
        <v>0</v>
      </c>
      <c r="AJ30" s="1759">
        <v>0</v>
      </c>
      <c r="AK30" s="1759">
        <v>0</v>
      </c>
      <c r="AL30" s="1759">
        <v>0</v>
      </c>
      <c r="AM30" s="1759">
        <v>0</v>
      </c>
      <c r="AN30" s="1759">
        <v>0</v>
      </c>
      <c r="AO30" s="1759">
        <v>0</v>
      </c>
      <c r="AP30" s="1759">
        <v>0</v>
      </c>
      <c r="AQ30" s="1759">
        <v>0</v>
      </c>
      <c r="AR30" s="1759">
        <v>0</v>
      </c>
      <c r="AS30" s="1759">
        <v>0</v>
      </c>
      <c r="AT30" s="1759">
        <v>0</v>
      </c>
      <c r="AU30" s="1759">
        <v>0</v>
      </c>
      <c r="AV30" s="1759">
        <v>0</v>
      </c>
      <c r="AW30" s="1759">
        <v>0</v>
      </c>
      <c r="AX30" s="1759">
        <v>0</v>
      </c>
      <c r="AY30" s="1759">
        <v>0</v>
      </c>
      <c r="AZ30" s="1759">
        <v>0</v>
      </c>
      <c r="BA30" s="1759">
        <v>0</v>
      </c>
      <c r="BB30" s="1759">
        <v>0</v>
      </c>
      <c r="BC30" s="1759">
        <v>0</v>
      </c>
      <c r="BD30" s="1759">
        <v>0</v>
      </c>
      <c r="BE30" s="1759">
        <v>0</v>
      </c>
      <c r="BF30" s="1759">
        <v>0</v>
      </c>
      <c r="BG30" s="1759">
        <v>0</v>
      </c>
      <c r="BH30" s="1759">
        <v>0</v>
      </c>
      <c r="BI30" s="1759">
        <v>0</v>
      </c>
      <c r="BJ30" s="1759">
        <v>0</v>
      </c>
      <c r="BK30" s="1759">
        <v>0</v>
      </c>
      <c r="BL30" s="1759">
        <v>0</v>
      </c>
      <c r="BM30" s="1759">
        <v>0</v>
      </c>
      <c r="BN30" s="1759">
        <v>0</v>
      </c>
      <c r="BO30" s="1759">
        <v>0</v>
      </c>
      <c r="BP30" s="1759">
        <v>0</v>
      </c>
      <c r="BQ30" s="1759">
        <v>0</v>
      </c>
      <c r="BR30" s="1759">
        <v>0</v>
      </c>
      <c r="BS30" s="1759">
        <v>0</v>
      </c>
      <c r="BT30" s="1759">
        <v>0</v>
      </c>
      <c r="BU30" s="1759">
        <v>0</v>
      </c>
      <c r="BV30" s="1759">
        <v>0</v>
      </c>
      <c r="BW30" s="1759">
        <v>0</v>
      </c>
      <c r="BX30" s="1759">
        <v>0</v>
      </c>
      <c r="BY30" s="1759">
        <v>0</v>
      </c>
      <c r="BZ30" s="1759">
        <v>0</v>
      </c>
      <c r="CA30" s="1759">
        <v>0</v>
      </c>
      <c r="CB30" s="1759">
        <v>0</v>
      </c>
      <c r="CC30" s="1759">
        <v>0</v>
      </c>
      <c r="CD30" s="1759">
        <v>0</v>
      </c>
      <c r="CE30" s="1759">
        <v>0</v>
      </c>
      <c r="CF30" s="1759">
        <v>0</v>
      </c>
      <c r="CG30" s="1759">
        <v>0</v>
      </c>
      <c r="CH30" s="1759">
        <v>0</v>
      </c>
      <c r="CI30" s="1759">
        <v>0</v>
      </c>
      <c r="CJ30" s="1759">
        <v>0</v>
      </c>
      <c r="CK30" s="1759">
        <v>0</v>
      </c>
      <c r="CL30" s="1759">
        <v>0</v>
      </c>
      <c r="CM30" s="1759">
        <v>0</v>
      </c>
      <c r="CN30" s="1759">
        <v>0</v>
      </c>
      <c r="CO30" s="1759">
        <v>0</v>
      </c>
      <c r="CP30" s="1759">
        <v>0</v>
      </c>
      <c r="CQ30" s="1759">
        <v>0</v>
      </c>
      <c r="CR30" s="1759">
        <v>0</v>
      </c>
      <c r="CS30" s="1759">
        <v>0</v>
      </c>
      <c r="CT30" s="1759">
        <v>0</v>
      </c>
      <c r="CU30" s="1759">
        <v>0</v>
      </c>
      <c r="CV30" s="1759">
        <v>0</v>
      </c>
      <c r="CW30" s="1759">
        <v>0</v>
      </c>
      <c r="CX30" s="1759">
        <v>0</v>
      </c>
      <c r="CY30" s="1759">
        <v>0</v>
      </c>
      <c r="CZ30" s="1759">
        <v>0</v>
      </c>
      <c r="DA30" s="1759">
        <v>0</v>
      </c>
      <c r="DB30" s="1759">
        <v>0</v>
      </c>
      <c r="DC30" s="1759">
        <v>0</v>
      </c>
      <c r="DD30" s="1759">
        <v>0</v>
      </c>
      <c r="DE30" s="1759">
        <v>0</v>
      </c>
      <c r="DF30" s="1759">
        <v>0</v>
      </c>
      <c r="DG30" s="1759">
        <v>0</v>
      </c>
      <c r="DH30" s="1759">
        <v>0</v>
      </c>
      <c r="DI30" s="1759">
        <v>0</v>
      </c>
      <c r="DJ30" s="1759">
        <v>0</v>
      </c>
      <c r="DK30" s="1759">
        <v>0</v>
      </c>
      <c r="DL30" s="1759">
        <v>0</v>
      </c>
      <c r="DM30" s="1759">
        <v>0</v>
      </c>
      <c r="DN30" s="1759">
        <v>0</v>
      </c>
      <c r="DO30" s="1759">
        <v>0</v>
      </c>
      <c r="DP30" s="1759">
        <v>0</v>
      </c>
      <c r="DQ30" s="1759">
        <v>0</v>
      </c>
      <c r="DR30" s="1759">
        <v>0</v>
      </c>
      <c r="DS30" s="1759">
        <v>0</v>
      </c>
      <c r="DT30" s="1759">
        <v>0</v>
      </c>
      <c r="DU30" s="1759">
        <v>0</v>
      </c>
      <c r="DV30" s="1759">
        <v>0</v>
      </c>
      <c r="DW30" s="1759">
        <v>0</v>
      </c>
      <c r="DX30" s="1759">
        <v>0</v>
      </c>
      <c r="DY30" s="1759">
        <v>0</v>
      </c>
      <c r="DZ30" s="1759">
        <v>0</v>
      </c>
      <c r="EA30" s="1759">
        <v>0</v>
      </c>
      <c r="EB30" s="1759">
        <v>0</v>
      </c>
      <c r="EC30" s="1759">
        <v>0</v>
      </c>
      <c r="ED30" s="1759">
        <v>0</v>
      </c>
      <c r="EE30" s="1759">
        <v>0</v>
      </c>
      <c r="EF30" s="1759">
        <v>0</v>
      </c>
      <c r="EG30" s="1759">
        <v>0</v>
      </c>
      <c r="EH30" s="1759">
        <v>0</v>
      </c>
      <c r="EI30" s="1759">
        <v>0</v>
      </c>
      <c r="EJ30" s="1759">
        <v>0</v>
      </c>
      <c r="EK30" s="1759">
        <v>0</v>
      </c>
      <c r="EL30" s="1759">
        <v>0</v>
      </c>
      <c r="EM30" s="1759">
        <v>0</v>
      </c>
      <c r="EN30" s="1759">
        <v>0</v>
      </c>
      <c r="EO30" s="1759">
        <v>0</v>
      </c>
      <c r="EP30" s="1759">
        <v>0</v>
      </c>
      <c r="EQ30" s="1759">
        <v>0</v>
      </c>
      <c r="ER30" s="1759">
        <v>0</v>
      </c>
      <c r="ES30" s="1759">
        <v>0</v>
      </c>
      <c r="ET30" s="1759">
        <v>0</v>
      </c>
      <c r="EU30" s="1759">
        <v>0</v>
      </c>
      <c r="EV30" s="1759">
        <v>0</v>
      </c>
      <c r="EW30" s="1759">
        <v>0</v>
      </c>
      <c r="EX30" s="1759">
        <v>0</v>
      </c>
      <c r="EY30" s="1759">
        <v>0</v>
      </c>
      <c r="EZ30" s="1759">
        <v>0</v>
      </c>
      <c r="FA30" s="1759">
        <v>0</v>
      </c>
      <c r="FB30" s="1759">
        <v>0</v>
      </c>
      <c r="FC30" s="1759">
        <v>0</v>
      </c>
      <c r="FD30" s="1759">
        <v>0</v>
      </c>
      <c r="FE30" s="1759">
        <v>0</v>
      </c>
      <c r="FF30" s="1759">
        <v>0</v>
      </c>
      <c r="FG30" s="1759">
        <v>0</v>
      </c>
      <c r="FH30" s="1759">
        <v>0</v>
      </c>
      <c r="FI30" s="1759">
        <v>0</v>
      </c>
      <c r="FJ30" s="1759">
        <v>0</v>
      </c>
      <c r="FK30" s="1759">
        <v>0</v>
      </c>
      <c r="FL30" s="1759">
        <v>0</v>
      </c>
      <c r="FM30" s="1759">
        <v>0</v>
      </c>
      <c r="FN30" s="1759">
        <v>0</v>
      </c>
      <c r="FO30" s="1759">
        <v>0</v>
      </c>
      <c r="FP30" s="1759">
        <v>0</v>
      </c>
      <c r="FQ30" s="1759">
        <v>0</v>
      </c>
      <c r="FR30" s="1759">
        <v>0</v>
      </c>
      <c r="FS30" s="1759">
        <v>0</v>
      </c>
      <c r="FT30" s="1759">
        <v>0</v>
      </c>
      <c r="FU30" s="1759">
        <v>0</v>
      </c>
      <c r="FV30" s="1759">
        <v>0</v>
      </c>
      <c r="FW30" s="1759">
        <v>0</v>
      </c>
      <c r="FX30" s="1759">
        <v>0</v>
      </c>
      <c r="FY30" s="1759">
        <v>0</v>
      </c>
      <c r="FZ30" s="1759">
        <v>0</v>
      </c>
      <c r="GA30" s="1759">
        <v>0</v>
      </c>
      <c r="GB30" s="1759">
        <v>0</v>
      </c>
      <c r="GC30" s="1759">
        <v>0</v>
      </c>
      <c r="GD30" s="1759">
        <v>0</v>
      </c>
      <c r="GE30" s="1759">
        <v>0</v>
      </c>
      <c r="GF30" s="1759">
        <v>0</v>
      </c>
      <c r="GG30" s="1759">
        <v>0</v>
      </c>
      <c r="GH30" s="1759">
        <v>0</v>
      </c>
      <c r="GI30" s="1759">
        <v>0</v>
      </c>
      <c r="GJ30" s="1759">
        <v>0</v>
      </c>
      <c r="GK30" s="1759">
        <v>0</v>
      </c>
      <c r="GL30" s="1759">
        <v>0</v>
      </c>
      <c r="GM30" s="1759">
        <v>0</v>
      </c>
      <c r="GN30" s="1759">
        <v>0</v>
      </c>
      <c r="GO30" s="1759">
        <v>0</v>
      </c>
      <c r="GP30" s="1759">
        <v>0</v>
      </c>
      <c r="GQ30" s="1759">
        <v>0</v>
      </c>
      <c r="GR30" s="1759">
        <v>0</v>
      </c>
      <c r="GS30" s="1759">
        <v>0</v>
      </c>
      <c r="GT30" s="1759">
        <v>0</v>
      </c>
      <c r="GU30" s="1759">
        <v>0</v>
      </c>
      <c r="GV30" s="1759">
        <v>0</v>
      </c>
      <c r="GW30" s="1759">
        <v>0</v>
      </c>
      <c r="GX30" s="1759">
        <v>0</v>
      </c>
      <c r="GY30" s="1759">
        <v>0</v>
      </c>
      <c r="GZ30" s="1759">
        <v>0</v>
      </c>
      <c r="HA30" s="1759">
        <v>0</v>
      </c>
      <c r="HB30" s="1759">
        <v>0</v>
      </c>
      <c r="HC30" s="1759">
        <v>0</v>
      </c>
      <c r="HD30" s="1759">
        <v>0</v>
      </c>
      <c r="HE30" s="1759">
        <v>0</v>
      </c>
      <c r="HF30" s="1759">
        <v>0</v>
      </c>
      <c r="HG30" s="1759">
        <v>0</v>
      </c>
      <c r="HH30" s="1759">
        <v>0</v>
      </c>
      <c r="HI30" s="1759">
        <v>0</v>
      </c>
      <c r="HJ30" s="1759">
        <v>0</v>
      </c>
      <c r="HK30" s="1759">
        <v>0</v>
      </c>
      <c r="HL30" s="1759">
        <v>0</v>
      </c>
      <c r="HM30" s="1759">
        <v>0</v>
      </c>
      <c r="HN30" s="1759">
        <v>0</v>
      </c>
      <c r="HO30" s="1759">
        <v>0</v>
      </c>
      <c r="HP30" s="1759">
        <v>0</v>
      </c>
      <c r="HQ30" s="1759">
        <v>0</v>
      </c>
      <c r="HR30" s="1759">
        <v>0</v>
      </c>
      <c r="HS30" s="1759">
        <v>0</v>
      </c>
      <c r="HT30" s="1759">
        <v>0</v>
      </c>
      <c r="HU30" s="1759">
        <v>0</v>
      </c>
      <c r="HV30" s="1759">
        <v>0</v>
      </c>
      <c r="HW30" s="1759">
        <v>0</v>
      </c>
      <c r="HX30" s="1759">
        <v>0</v>
      </c>
      <c r="HY30" s="1759">
        <v>0</v>
      </c>
      <c r="HZ30" s="1759">
        <v>0</v>
      </c>
      <c r="IA30" s="1759">
        <v>0</v>
      </c>
      <c r="IB30" s="1759">
        <v>0</v>
      </c>
      <c r="IC30" s="1759">
        <v>0</v>
      </c>
      <c r="ID30" s="1759">
        <v>0</v>
      </c>
      <c r="IE30" s="1759">
        <v>0</v>
      </c>
      <c r="IF30" s="1759">
        <v>0</v>
      </c>
      <c r="IG30" s="1759">
        <v>0</v>
      </c>
      <c r="IH30" s="1759">
        <v>0</v>
      </c>
      <c r="II30" s="1759">
        <v>0</v>
      </c>
      <c r="IJ30" s="1759">
        <v>0</v>
      </c>
      <c r="IK30" s="1759">
        <v>0</v>
      </c>
      <c r="IL30" s="1759">
        <v>0</v>
      </c>
      <c r="IM30" s="1759">
        <v>0</v>
      </c>
      <c r="IN30" s="1759">
        <v>0</v>
      </c>
      <c r="IO30" s="1759">
        <v>0</v>
      </c>
      <c r="IP30" s="1759">
        <v>0</v>
      </c>
      <c r="IQ30" s="1759">
        <v>0</v>
      </c>
      <c r="IR30" s="1759">
        <v>0</v>
      </c>
      <c r="IS30" s="1759">
        <v>0</v>
      </c>
      <c r="IT30" s="1759">
        <v>0</v>
      </c>
      <c r="IU30" s="1759">
        <v>0</v>
      </c>
      <c r="IV30" s="1759">
        <v>0</v>
      </c>
      <c r="IW30" s="1759">
        <v>0</v>
      </c>
      <c r="IX30" s="1759">
        <v>0</v>
      </c>
      <c r="IY30" s="1759">
        <v>0</v>
      </c>
      <c r="IZ30" s="1759">
        <v>0</v>
      </c>
      <c r="JA30" s="1759">
        <v>0</v>
      </c>
      <c r="JB30" s="1759">
        <v>0</v>
      </c>
      <c r="JC30" s="1759">
        <v>0</v>
      </c>
      <c r="JD30" s="1759">
        <v>0</v>
      </c>
      <c r="JE30" s="1759">
        <v>0</v>
      </c>
      <c r="JF30" s="1759">
        <v>0</v>
      </c>
      <c r="JG30" s="1759">
        <v>0</v>
      </c>
      <c r="JH30" s="1759">
        <v>0</v>
      </c>
      <c r="JI30" s="1759">
        <v>0</v>
      </c>
      <c r="JJ30" s="1759">
        <v>0</v>
      </c>
      <c r="JK30" s="1759">
        <v>0</v>
      </c>
      <c r="JL30" s="1759">
        <v>0</v>
      </c>
      <c r="JM30" s="1759">
        <v>0</v>
      </c>
      <c r="JN30" s="1759">
        <v>0</v>
      </c>
      <c r="JO30" s="1759">
        <v>0</v>
      </c>
      <c r="JP30" s="1759">
        <v>0</v>
      </c>
      <c r="JQ30" s="1759">
        <v>0</v>
      </c>
      <c r="JR30" s="1759">
        <v>0</v>
      </c>
      <c r="JS30" s="1759">
        <v>0</v>
      </c>
      <c r="JT30" s="1759">
        <v>0</v>
      </c>
      <c r="JU30" s="1759">
        <v>0</v>
      </c>
      <c r="JV30" s="1759">
        <v>0</v>
      </c>
      <c r="JW30" s="1759">
        <v>0</v>
      </c>
      <c r="JX30" s="1759">
        <v>0</v>
      </c>
      <c r="JY30" s="1759">
        <v>0</v>
      </c>
      <c r="JZ30" s="1759">
        <v>0</v>
      </c>
      <c r="KA30" s="1759">
        <v>0</v>
      </c>
      <c r="KB30" s="1759">
        <v>0</v>
      </c>
      <c r="KC30" s="1759">
        <v>0</v>
      </c>
      <c r="KD30" s="1759">
        <v>0</v>
      </c>
      <c r="KE30" s="1759">
        <v>0</v>
      </c>
      <c r="KF30" s="1759">
        <v>0</v>
      </c>
      <c r="KG30" s="1759">
        <v>0</v>
      </c>
      <c r="KH30" s="1759">
        <v>0</v>
      </c>
      <c r="KI30" s="1759">
        <v>0</v>
      </c>
      <c r="KJ30" s="1759">
        <v>0</v>
      </c>
      <c r="KK30" s="1759">
        <v>0</v>
      </c>
      <c r="KL30" s="1759">
        <v>0</v>
      </c>
      <c r="KM30" s="1759">
        <v>0</v>
      </c>
      <c r="KN30" s="1759">
        <v>0</v>
      </c>
      <c r="KO30" s="1759">
        <v>0</v>
      </c>
      <c r="KP30" s="1759">
        <v>0</v>
      </c>
      <c r="KQ30" s="904">
        <f>+IFERROR(VLOOKUP(KQ$27&amp;"-"&amp;$M30&amp;"_new",Ammortamento_Finanziario!$H:$L,5,FALSE),VLOOKUP($M30,TT_Tabelle_Riferimento!$D$127:$H$164,5,FALSE))</f>
        <v>40</v>
      </c>
      <c r="KR30" s="904">
        <f>+IFERROR(VLOOKUP(KR$27&amp;"-"&amp;$M30&amp;"_new",Ammortamento_Finanziario!$H:$L,5,FALSE),VLOOKUP($M30,TT_Tabelle_Riferimento!$D$127:$H$164,5,FALSE))</f>
        <v>40</v>
      </c>
      <c r="KS30" s="1762">
        <f>+IFERROR(VLOOKUP(KS$27&amp;"-"&amp;$M30&amp;"_new",Ammortamento_Finanziario!$H:$L,5,FALSE),VLOOKUP($M30,TT_Tabelle_Riferimento!$D$127:$H$164,5,FALSE))</f>
        <v>40</v>
      </c>
      <c r="KT30" s="1762">
        <f>+IFERROR(VLOOKUP(KT$27&amp;"-"&amp;$M30&amp;"_new",Ammortamento_Finanziario!$H:$L,5,FALSE),VLOOKUP($M30,TT_Tabelle_Riferimento!$D$127:$H$164,5,FALSE))</f>
        <v>40</v>
      </c>
      <c r="KU30" s="1762">
        <f>+IFERROR(VLOOKUP(KU$27&amp;"-"&amp;$M30&amp;"_new",Ammortamento_Finanziario!$H:$L,5,FALSE),VLOOKUP($M30,TT_Tabelle_Riferimento!$D$127:$H$164,5,FALSE))</f>
        <v>40</v>
      </c>
      <c r="KV30" s="1762">
        <f>+IFERROR(VLOOKUP(KV$27&amp;"-"&amp;$M30&amp;"_new",Ammortamento_Finanziario!$H:$L,5,FALSE),VLOOKUP($M30,TT_Tabelle_Riferimento!$D$127:$H$164,5,FALSE))</f>
        <v>40</v>
      </c>
      <c r="KW30" s="1762">
        <f>+IFERROR(VLOOKUP(KW$27&amp;"-"&amp;$M30&amp;"_new",Ammortamento_Finanziario!$H:$L,5,FALSE),VLOOKUP($M30,TT_Tabelle_Riferimento!$D$127:$H$164,5,FALSE))</f>
        <v>40</v>
      </c>
      <c r="KX30" s="1762">
        <f>+IFERROR(VLOOKUP(KX$27&amp;"-"&amp;$M30&amp;"_new",Ammortamento_Finanziario!$H:$L,5,FALSE),VLOOKUP($M30,TT_Tabelle_Riferimento!$D$127:$H$164,5,FALSE))</f>
        <v>40</v>
      </c>
      <c r="KY30" s="904">
        <f>+IFERROR(VLOOKUP(KY$27&amp;"-"&amp;$M30&amp;"_new",Ammortamento_Finanziario!$H:$L,5,FALSE),VLOOKUP($M30,TT_Tabelle_Riferimento!$D$127:$H$164,5,FALSE))</f>
        <v>40</v>
      </c>
      <c r="KZ30" s="904">
        <f>+IFERROR(VLOOKUP(KZ$27&amp;"-"&amp;$M30&amp;"_new",Ammortamento_Finanziario!$H:$L,5,FALSE),VLOOKUP($M30,TT_Tabelle_Riferimento!$D$127:$H$164,5,FALSE))</f>
        <v>40</v>
      </c>
      <c r="LA30" s="904">
        <f>+IFERROR(VLOOKUP(LA$27&amp;"-"&amp;$M30&amp;"_new",Ammortamento_Finanziario!$H:$L,5,FALSE),VLOOKUP($M30,TT_Tabelle_Riferimento!$D$127:$H$164,5,FALSE))</f>
        <v>40</v>
      </c>
      <c r="LB30" s="904">
        <f>+IFERROR(VLOOKUP(LB$27&amp;"-"&amp;$M30&amp;"_new",Ammortamento_Finanziario!$H:$L,5,FALSE),VLOOKUP($M30,TT_Tabelle_Riferimento!$D$127:$H$164,5,FALSE))</f>
        <v>40</v>
      </c>
      <c r="LC30" s="904">
        <f>+IFERROR(VLOOKUP(LC$27&amp;"-"&amp;$M30&amp;"_new",Ammortamento_Finanziario!$H:$L,5,FALSE),VLOOKUP($M30,TT_Tabelle_Riferimento!$D$127:$H$164,5,FALSE))</f>
        <v>40</v>
      </c>
      <c r="LD30" s="904">
        <f>+IFERROR(VLOOKUP(LD$27&amp;"-"&amp;$M30&amp;"_new",Ammortamento_Finanziario!$H:$L,5,FALSE),VLOOKUP($M30,TT_Tabelle_Riferimento!$D$127:$H$164,5,FALSE))</f>
        <v>40</v>
      </c>
      <c r="LE30" s="904">
        <f>+IFERROR(VLOOKUP(LE$27&amp;"-"&amp;$M30&amp;"_new",Ammortamento_Finanziario!$H:$L,5,FALSE),VLOOKUP($M30,TT_Tabelle_Riferimento!$D$127:$H$164,5,FALSE))</f>
        <v>40</v>
      </c>
      <c r="LF30" s="904">
        <f>+IFERROR(VLOOKUP(LF$27&amp;"-"&amp;$M30&amp;"_new",Ammortamento_Finanziario!$H:$L,5,FALSE),VLOOKUP($M30,TT_Tabelle_Riferimento!$D$127:$H$164,5,FALSE))</f>
        <v>40</v>
      </c>
      <c r="LG30" s="904">
        <f>+IFERROR(VLOOKUP(LG$27&amp;"-"&amp;$M30&amp;"_new",Ammortamento_Finanziario!$H:$L,5,FALSE),VLOOKUP($M30,TT_Tabelle_Riferimento!$D$127:$H$164,5,FALSE))</f>
        <v>40</v>
      </c>
      <c r="LH30" s="904">
        <f>+IFERROR(VLOOKUP(LH$27&amp;"-"&amp;$M30&amp;"_new",Ammortamento_Finanziario!$H:$L,5,FALSE),VLOOKUP($M30,TT_Tabelle_Riferimento!$D$127:$H$164,5,FALSE))</f>
        <v>40</v>
      </c>
      <c r="LI30" s="904">
        <f>+IFERROR(VLOOKUP(LI$27&amp;"-"&amp;$M30&amp;"_new",Ammortamento_Finanziario!$H:$L,5,FALSE),VLOOKUP($M30,TT_Tabelle_Riferimento!$D$127:$H$164,5,FALSE))</f>
        <v>40</v>
      </c>
      <c r="LJ30" s="904">
        <f>+IFERROR(VLOOKUP(LJ$27&amp;"-"&amp;$M30&amp;"_new",Ammortamento_Finanziario!$H:$L,5,FALSE),VLOOKUP($M30,TT_Tabelle_Riferimento!$D$127:$H$164,5,FALSE))</f>
        <v>40</v>
      </c>
      <c r="LK30" s="904">
        <f>+IFERROR(VLOOKUP(LK$27&amp;"-"&amp;$M30&amp;"_new",Ammortamento_Finanziario!$H:$L,5,FALSE),VLOOKUP($M30,TT_Tabelle_Riferimento!$D$127:$H$164,5,FALSE))</f>
        <v>40</v>
      </c>
      <c r="LL30" s="904">
        <f>+IFERROR(VLOOKUP(LL$27&amp;"-"&amp;$M30&amp;"_new",Ammortamento_Finanziario!$H:$L,5,FALSE),VLOOKUP($M30,TT_Tabelle_Riferimento!$D$127:$H$164,5,FALSE))</f>
        <v>40</v>
      </c>
      <c r="LM30" s="904">
        <f>+IFERROR(VLOOKUP(LM$27&amp;"-"&amp;$M30&amp;"_new",Ammortamento_Finanziario!$H:$L,5,FALSE),VLOOKUP($M30,TT_Tabelle_Riferimento!$D$127:$H$164,5,FALSE))</f>
        <v>40</v>
      </c>
      <c r="LN30" s="904">
        <f>+IFERROR(VLOOKUP(LN$27&amp;"-"&amp;$M30&amp;"_new",Ammortamento_Finanziario!$H:$L,5,FALSE),VLOOKUP($M30,TT_Tabelle_Riferimento!$D$127:$H$164,5,FALSE))</f>
        <v>40</v>
      </c>
      <c r="LO30" s="904">
        <f>+IFERROR(VLOOKUP(LO$27&amp;"-"&amp;$M30&amp;"_new",Ammortamento_Finanziario!$H:$L,5,FALSE),VLOOKUP($M30,TT_Tabelle_Riferimento!$D$127:$H$164,5,FALSE))</f>
        <v>40</v>
      </c>
      <c r="LP30" s="904">
        <f>+IFERROR(VLOOKUP(LP$27&amp;"-"&amp;$M30&amp;"_new",Ammortamento_Finanziario!$H:$L,5,FALSE),VLOOKUP($M30,TT_Tabelle_Riferimento!$D$127:$H$164,5,FALSE))</f>
        <v>40</v>
      </c>
      <c r="LQ30" s="904">
        <f>+IFERROR(VLOOKUP(LQ$27&amp;"-"&amp;$M30&amp;"_new",Ammortamento_Finanziario!$H:$L,5,FALSE),VLOOKUP($M30,TT_Tabelle_Riferimento!$D$127:$H$164,5,FALSE))</f>
        <v>40</v>
      </c>
      <c r="LR30" s="904">
        <f>+IFERROR(VLOOKUP(LR$27&amp;"-"&amp;$M30&amp;"_new",Ammortamento_Finanziario!$H:$L,5,FALSE),VLOOKUP($M30,TT_Tabelle_Riferimento!$D$127:$H$164,5,FALSE))</f>
        <v>40</v>
      </c>
      <c r="LS30" s="1762">
        <f>+IFERROR(VLOOKUP(LS$27&amp;"-"&amp;$M30&amp;"_new",Ammortamento_Finanziario!$H:$L,5,FALSE),VLOOKUP($M30,TT_Tabelle_Riferimento!$D$127:$H$164,5,FALSE))</f>
        <v>40</v>
      </c>
      <c r="LT30" s="1762">
        <f>+IFERROR(VLOOKUP(LT$27&amp;"-"&amp;$M30&amp;"_new",Ammortamento_Finanziario!$H:$L,5,FALSE),VLOOKUP($M30,TT_Tabelle_Riferimento!$D$127:$H$164,5,FALSE))</f>
        <v>40</v>
      </c>
      <c r="LU30" s="1762">
        <f>+IFERROR(VLOOKUP(LU$27&amp;"-"&amp;$M30&amp;"_new",Ammortamento_Finanziario!$H:$L,5,FALSE),VLOOKUP($M30,TT_Tabelle_Riferimento!$D$127:$H$164,5,FALSE))</f>
        <v>40</v>
      </c>
      <c r="LV30" s="1762">
        <f>+IFERROR(VLOOKUP(LV$27&amp;"-"&amp;$M30&amp;"_new",Ammortamento_Finanziario!$H:$L,5,FALSE),VLOOKUP($M30,TT_Tabelle_Riferimento!$D$127:$H$164,5,FALSE))</f>
        <v>40</v>
      </c>
      <c r="LW30" s="1762">
        <f>+IFERROR(VLOOKUP(LW$27&amp;"-"&amp;$M30&amp;"_new",Ammortamento_Finanziario!$H:$L,5,FALSE),VLOOKUP($M30,TT_Tabelle_Riferimento!$D$127:$H$164,5,FALSE))</f>
        <v>40</v>
      </c>
      <c r="LX30" s="1762">
        <f>+IFERROR(VLOOKUP(LX$27&amp;"-"&amp;$M30&amp;"_new",Ammortamento_Finanziario!$H:$L,5,FALSE),VLOOKUP($M30,TT_Tabelle_Riferimento!$D$127:$H$164,5,FALSE))</f>
        <v>40</v>
      </c>
      <c r="LY30" s="904">
        <f>+IFERROR(VLOOKUP(LY$27&amp;"-"&amp;$M30&amp;"_new",Ammortamento_Finanziario!$H:$L,5,FALSE),VLOOKUP($M30,TT_Tabelle_Riferimento!$D$127:$H$164,5,FALSE))</f>
        <v>40</v>
      </c>
      <c r="LZ30" s="904">
        <f>+IFERROR(VLOOKUP(LZ$27&amp;"-"&amp;$M30&amp;"_new",Ammortamento_Finanziario!$H:$L,5,FALSE),VLOOKUP($M30,TT_Tabelle_Riferimento!$D$127:$H$164,5,FALSE))</f>
        <v>40</v>
      </c>
      <c r="MA30" s="904">
        <f>+IFERROR(VLOOKUP(MA$27&amp;"-"&amp;$M30&amp;"_new",Ammortamento_Finanziario!$H:$L,5,FALSE),VLOOKUP($M30,TT_Tabelle_Riferimento!$D$127:$H$164,5,FALSE))</f>
        <v>40</v>
      </c>
      <c r="MB30" s="904">
        <f>+IFERROR(VLOOKUP(MB$27&amp;"-"&amp;$M30&amp;"_new",Ammortamento_Finanziario!$H:$L,5,FALSE),VLOOKUP($M30,TT_Tabelle_Riferimento!$D$127:$H$164,5,FALSE))</f>
        <v>40</v>
      </c>
      <c r="MC30" s="904">
        <f>+IFERROR(VLOOKUP(MC$27&amp;"-"&amp;$M30&amp;"_new",Ammortamento_Finanziario!$H:$L,5,FALSE),VLOOKUP($M30,TT_Tabelle_Riferimento!$D$127:$H$164,5,FALSE))</f>
        <v>40</v>
      </c>
      <c r="MD30" s="904">
        <f>+IFERROR(VLOOKUP(MD$27&amp;"-"&amp;$M30&amp;"_new",Ammortamento_Finanziario!$H:$L,5,FALSE),VLOOKUP($M30,TT_Tabelle_Riferimento!$D$127:$H$164,5,FALSE))</f>
        <v>40</v>
      </c>
      <c r="ME30" s="904">
        <f>+IFERROR(VLOOKUP(ME$27&amp;"-"&amp;$M30&amp;"_new",Ammortamento_Finanziario!$H:$L,5,FALSE),VLOOKUP($M30,TT_Tabelle_Riferimento!$D$127:$H$164,5,FALSE))</f>
        <v>40</v>
      </c>
      <c r="MF30" s="904">
        <f>+IFERROR(VLOOKUP(MF$27&amp;"-"&amp;$M30&amp;"_new",Ammortamento_Finanziario!$H:$L,5,FALSE),VLOOKUP($M30,TT_Tabelle_Riferimento!$D$127:$H$164,5,FALSE))</f>
        <v>40</v>
      </c>
      <c r="MG30" s="904">
        <f>+IFERROR(VLOOKUP(MG$27&amp;"-"&amp;$M30&amp;"_new",Ammortamento_Finanziario!$H:$L,5,FALSE),VLOOKUP($M30,TT_Tabelle_Riferimento!$D$127:$H$164,5,FALSE))</f>
        <v>40</v>
      </c>
      <c r="MH30" s="904">
        <f>+IFERROR(VLOOKUP(MH$27&amp;"-"&amp;$M30&amp;"_new",Ammortamento_Finanziario!$H:$L,5,FALSE),VLOOKUP($M30,TT_Tabelle_Riferimento!$D$127:$H$164,5,FALSE))</f>
        <v>40</v>
      </c>
      <c r="MI30" s="904">
        <f>+IFERROR(VLOOKUP(MI$27&amp;"-"&amp;$M30&amp;"_new",Ammortamento_Finanziario!$H:$L,5,FALSE),VLOOKUP($M30,TT_Tabelle_Riferimento!$D$127:$H$164,5,FALSE))</f>
        <v>40</v>
      </c>
      <c r="MJ30" s="904">
        <f>+IFERROR(VLOOKUP(MJ$27&amp;"-"&amp;$M30&amp;"_new",Ammortamento_Finanziario!$H:$L,5,FALSE),VLOOKUP($M30,TT_Tabelle_Riferimento!$D$127:$H$164,5,FALSE))</f>
        <v>40</v>
      </c>
      <c r="MK30" s="904">
        <f>+IFERROR(VLOOKUP(MK$27&amp;"-"&amp;$M30&amp;"_new",Ammortamento_Finanziario!$H:$L,5,FALSE),VLOOKUP($M30,TT_Tabelle_Riferimento!$D$127:$H$164,5,FALSE))</f>
        <v>40</v>
      </c>
      <c r="ML30" s="904">
        <f>+IFERROR(VLOOKUP(ML$27&amp;"-"&amp;$M30&amp;"_new",Ammortamento_Finanziario!$H:$L,5,FALSE),VLOOKUP($M30,TT_Tabelle_Riferimento!$D$127:$H$164,5,FALSE))</f>
        <v>40</v>
      </c>
      <c r="MM30" s="904">
        <f>+IFERROR(VLOOKUP(MM$27&amp;"-"&amp;$M30&amp;"_new",Ammortamento_Finanziario!$H:$L,5,FALSE),VLOOKUP($M30,TT_Tabelle_Riferimento!$D$127:$H$164,5,FALSE))</f>
        <v>40</v>
      </c>
      <c r="MN30" s="904">
        <f>+IFERROR(VLOOKUP(MN$27&amp;"-"&amp;$M30&amp;"_new",Ammortamento_Finanziario!$H:$L,5,FALSE),VLOOKUP($M30,TT_Tabelle_Riferimento!$D$127:$H$164,5,FALSE))</f>
        <v>40</v>
      </c>
      <c r="MO30" s="904">
        <f>+IFERROR(VLOOKUP(MO$27&amp;"-"&amp;$M30&amp;"_new",Ammortamento_Finanziario!$H:$L,5,FALSE),VLOOKUP($M30,TT_Tabelle_Riferimento!$D$127:$H$164,5,FALSE))</f>
        <v>40</v>
      </c>
      <c r="MP30" s="904">
        <f>+IFERROR(VLOOKUP(MP$27&amp;"-"&amp;$M30&amp;"_new",Ammortamento_Finanziario!$H:$L,5,FALSE),VLOOKUP($M30,TT_Tabelle_Riferimento!$D$127:$H$164,5,FALSE))</f>
        <v>40</v>
      </c>
      <c r="MQ30" s="904">
        <f>+IFERROR(VLOOKUP(MQ$27&amp;"-"&amp;$M30&amp;"_new",Ammortamento_Finanziario!$H:$L,5,FALSE),VLOOKUP($M30,TT_Tabelle_Riferimento!$D$127:$H$164,5,FALSE))</f>
        <v>40</v>
      </c>
      <c r="MR30" s="1762">
        <f>+IFERROR(VLOOKUP(MR$27&amp;"-"&amp;$M30&amp;"_new",Ammortamento_Finanziario!$H:$L,5,FALSE),VLOOKUP($M30,TT_Tabelle_Riferimento!$D$127:$H$164,5,FALSE))</f>
        <v>40</v>
      </c>
      <c r="MS30" s="1762">
        <f>+IFERROR(VLOOKUP(MS$27&amp;"-"&amp;$M30&amp;"_new",Ammortamento_Finanziario!$H:$L,5,FALSE),VLOOKUP($M30,TT_Tabelle_Riferimento!$D$127:$H$164,5,FALSE))</f>
        <v>40</v>
      </c>
      <c r="MT30" s="1762">
        <f>+IFERROR(VLOOKUP(MT$27&amp;"-"&amp;$M30&amp;"_new",Ammortamento_Finanziario!$H:$L,5,FALSE),VLOOKUP($M30,TT_Tabelle_Riferimento!$D$127:$H$164,5,FALSE))</f>
        <v>40</v>
      </c>
      <c r="MU30" s="1762">
        <f>+IFERROR(VLOOKUP(MU$27&amp;"-"&amp;$M30&amp;"_new",Ammortamento_Finanziario!$H:$L,5,FALSE),VLOOKUP($M30,TT_Tabelle_Riferimento!$D$127:$H$164,5,FALSE))</f>
        <v>40</v>
      </c>
      <c r="MV30" s="1762">
        <f>+IFERROR(VLOOKUP(MV$27&amp;"-"&amp;$M30&amp;"_new",Ammortamento_Finanziario!$H:$L,5,FALSE),VLOOKUP($M30,TT_Tabelle_Riferimento!$D$127:$H$164,5,FALSE))</f>
        <v>40</v>
      </c>
      <c r="MW30" s="1762">
        <f>+IFERROR(VLOOKUP(MW$27&amp;"-"&amp;$M30&amp;"_new",Ammortamento_Finanziario!$H:$L,5,FALSE),VLOOKUP($M30,TT_Tabelle_Riferimento!$D$127:$H$164,5,FALSE))</f>
        <v>40</v>
      </c>
      <c r="MX30" s="904">
        <f>+IFERROR(VLOOKUP(MX$27&amp;"-"&amp;$M30&amp;"_new",Ammortamento_Finanziario!$H:$L,5,FALSE),VLOOKUP($M30,TT_Tabelle_Riferimento!$D$127:$H$164,5,FALSE))</f>
        <v>40</v>
      </c>
      <c r="MY30" s="904">
        <f>+IFERROR(VLOOKUP(MY$27&amp;"-"&amp;$M30&amp;"_new",Ammortamento_Finanziario!$H:$L,5,FALSE),VLOOKUP($M30,TT_Tabelle_Riferimento!$D$127:$H$164,5,FALSE))</f>
        <v>40</v>
      </c>
      <c r="MZ30" s="904">
        <f>+IFERROR(VLOOKUP(MZ$27&amp;"-"&amp;$M30&amp;"_new",Ammortamento_Finanziario!$H:$L,5,FALSE),VLOOKUP($M30,TT_Tabelle_Riferimento!$D$127:$H$164,5,FALSE))</f>
        <v>40</v>
      </c>
      <c r="NA30" s="904">
        <f>+IFERROR(VLOOKUP(NA$27&amp;"-"&amp;$M30&amp;"_new",Ammortamento_Finanziario!$H:$L,5,FALSE),VLOOKUP($M30,TT_Tabelle_Riferimento!$D$127:$H$164,5,FALSE))</f>
        <v>40</v>
      </c>
      <c r="NB30" s="904">
        <f>+IFERROR(VLOOKUP(NB$27&amp;"-"&amp;$M30&amp;"_new",Ammortamento_Finanziario!$H:$L,5,FALSE),VLOOKUP($M30,TT_Tabelle_Riferimento!$D$127:$H$164,5,FALSE))</f>
        <v>40</v>
      </c>
      <c r="NC30" s="904">
        <f>+IFERROR(VLOOKUP(NC$27&amp;"-"&amp;$M30&amp;"_new",Ammortamento_Finanziario!$H:$L,5,FALSE),VLOOKUP($M30,TT_Tabelle_Riferimento!$D$127:$H$164,5,FALSE))</f>
        <v>40</v>
      </c>
      <c r="ND30" s="904">
        <f>+IFERROR(VLOOKUP(ND$27&amp;"-"&amp;$M30&amp;"_new",Ammortamento_Finanziario!$H:$L,5,FALSE),VLOOKUP($M30,TT_Tabelle_Riferimento!$D$127:$H$164,5,FALSE))</f>
        <v>40</v>
      </c>
      <c r="NE30" s="904">
        <f>+IFERROR(VLOOKUP(NE$27&amp;"-"&amp;$M30&amp;"_new",Ammortamento_Finanziario!$H:$L,5,FALSE),VLOOKUP($M30,TT_Tabelle_Riferimento!$D$127:$H$164,5,FALSE))</f>
        <v>40</v>
      </c>
      <c r="NF30" s="904">
        <f>+IFERROR(VLOOKUP(NF$27&amp;"-"&amp;$M30&amp;"_new",Ammortamento_Finanziario!$H:$L,5,FALSE),VLOOKUP($M30,TT_Tabelle_Riferimento!$D$127:$H$164,5,FALSE))</f>
        <v>40</v>
      </c>
      <c r="NG30" s="904">
        <f>+IFERROR(VLOOKUP(NG$27&amp;"-"&amp;$M30&amp;"_new",Ammortamento_Finanziario!$H:$L,5,FALSE),VLOOKUP($M30,TT_Tabelle_Riferimento!$D$127:$H$164,5,FALSE))</f>
        <v>40</v>
      </c>
      <c r="NH30" s="904">
        <f>+IFERROR(VLOOKUP(NH$27&amp;"-"&amp;$M30&amp;"_new",Ammortamento_Finanziario!$H:$L,5,FALSE),VLOOKUP($M30,TT_Tabelle_Riferimento!$D$127:$H$164,5,FALSE))</f>
        <v>40</v>
      </c>
      <c r="NI30" s="904">
        <f>+IFERROR(VLOOKUP(NI$27&amp;"-"&amp;$M30&amp;"_new",Ammortamento_Finanziario!$H:$L,5,FALSE),VLOOKUP($M30,TT_Tabelle_Riferimento!$D$127:$H$164,5,FALSE))</f>
        <v>40</v>
      </c>
      <c r="NJ30" s="904">
        <f>+IFERROR(VLOOKUP(NJ$27&amp;"-"&amp;$M30&amp;"_new",Ammortamento_Finanziario!$H:$L,5,FALSE),VLOOKUP($M30,TT_Tabelle_Riferimento!$D$127:$H$164,5,FALSE))</f>
        <v>40</v>
      </c>
      <c r="NK30" s="904">
        <f>+IFERROR(VLOOKUP(NK$27&amp;"-"&amp;$M30&amp;"_new",Ammortamento_Finanziario!$H:$L,5,FALSE),VLOOKUP($M30,TT_Tabelle_Riferimento!$D$127:$H$164,5,FALSE))</f>
        <v>40</v>
      </c>
      <c r="NL30" s="904">
        <f>+IFERROR(VLOOKUP(NL$27&amp;"-"&amp;$M30&amp;"_new",Ammortamento_Finanziario!$H:$L,5,FALSE),VLOOKUP($M30,TT_Tabelle_Riferimento!$D$127:$H$164,5,FALSE))</f>
        <v>40</v>
      </c>
      <c r="NM30" s="904">
        <f>+IFERROR(VLOOKUP(NM$27&amp;"-"&amp;$M30&amp;"_new",Ammortamento_Finanziario!$H:$L,5,FALSE),VLOOKUP($M30,TT_Tabelle_Riferimento!$D$127:$H$164,5,FALSE))</f>
        <v>40</v>
      </c>
      <c r="NN30" s="904">
        <f>+IFERROR(VLOOKUP(NN$27&amp;"-"&amp;$M30&amp;"_new",Ammortamento_Finanziario!$H:$L,5,FALSE),VLOOKUP($M30,TT_Tabelle_Riferimento!$D$127:$H$164,5,FALSE))</f>
        <v>40</v>
      </c>
      <c r="NO30" s="904">
        <f>+IFERROR(VLOOKUP(NO$27&amp;"-"&amp;$M30&amp;"_new",Ammortamento_Finanziario!$H:$L,5,FALSE),VLOOKUP($M30,TT_Tabelle_Riferimento!$D$127:$H$164,5,FALSE))</f>
        <v>40</v>
      </c>
      <c r="NP30" s="904">
        <f>+IFERROR(VLOOKUP(NP$27&amp;"-"&amp;$M30&amp;"_new",Ammortamento_Finanziario!$H:$L,5,FALSE),VLOOKUP($M30,TT_Tabelle_Riferimento!$D$127:$H$164,5,FALSE))</f>
        <v>40</v>
      </c>
      <c r="NQ30" s="1762">
        <f>+IFERROR(VLOOKUP(NQ$27&amp;"-"&amp;$M30&amp;"_new",Ammortamento_Finanziario!$H:$L,5,FALSE),VLOOKUP($M30,TT_Tabelle_Riferimento!$D$127:$H$164,5,FALSE))</f>
        <v>40</v>
      </c>
      <c r="NR30" s="1762">
        <f>+IFERROR(VLOOKUP(NR$27&amp;"-"&amp;$M30&amp;"_new",Ammortamento_Finanziario!$H:$L,5,FALSE),VLOOKUP($M30,TT_Tabelle_Riferimento!$D$127:$H$164,5,FALSE))</f>
        <v>40</v>
      </c>
      <c r="NS30" s="1762">
        <f>+IFERROR(VLOOKUP(NS$27&amp;"-"&amp;$M30&amp;"_new",Ammortamento_Finanziario!$H:$L,5,FALSE),VLOOKUP($M30,TT_Tabelle_Riferimento!$D$127:$H$164,5,FALSE))</f>
        <v>40</v>
      </c>
      <c r="NT30" s="1762">
        <f>+IFERROR(VLOOKUP(NT$27&amp;"-"&amp;$M30&amp;"_new",Ammortamento_Finanziario!$H:$L,5,FALSE),VLOOKUP($M30,TT_Tabelle_Riferimento!$D$127:$H$164,5,FALSE))</f>
        <v>40</v>
      </c>
      <c r="NU30" s="1762">
        <f>+IFERROR(VLOOKUP(NU$27&amp;"-"&amp;$M30&amp;"_new",Ammortamento_Finanziario!$H:$L,5,FALSE),VLOOKUP($M30,TT_Tabelle_Riferimento!$D$127:$H$164,5,FALSE))</f>
        <v>40</v>
      </c>
      <c r="NV30" s="904">
        <f>+IFERROR(VLOOKUP(NV$27&amp;"-"&amp;$M30&amp;"_new",Ammortamento_Finanziario!$H:$L,5,FALSE),VLOOKUP($M30,TT_Tabelle_Riferimento!$D$127:$H$164,5,FALSE))</f>
        <v>40</v>
      </c>
      <c r="NW30" s="904">
        <f>+IFERROR(VLOOKUP(NW$27&amp;"-"&amp;$M30&amp;"_new",Ammortamento_Finanziario!$H:$L,5,FALSE),VLOOKUP($M30,TT_Tabelle_Riferimento!$D$127:$H$164,5,FALSE))</f>
        <v>40</v>
      </c>
      <c r="NX30" s="904">
        <f>+IFERROR(VLOOKUP(NX$27&amp;"-"&amp;$M30&amp;"_new",Ammortamento_Finanziario!$H:$L,5,FALSE),VLOOKUP($M30,TT_Tabelle_Riferimento!$D$127:$H$164,5,FALSE))</f>
        <v>40</v>
      </c>
      <c r="NY30" s="904">
        <f>+IFERROR(VLOOKUP(NY$27&amp;"-"&amp;$M30&amp;"_new",Ammortamento_Finanziario!$H:$L,5,FALSE),VLOOKUP($M30,TT_Tabelle_Riferimento!$D$127:$H$164,5,FALSE))</f>
        <v>40</v>
      </c>
      <c r="NZ30" s="904">
        <f>+IFERROR(VLOOKUP(NZ$27&amp;"-"&amp;$M30&amp;"_new",Ammortamento_Finanziario!$H:$L,5,FALSE),VLOOKUP($M30,TT_Tabelle_Riferimento!$D$127:$H$164,5,FALSE))</f>
        <v>40</v>
      </c>
      <c r="OA30" s="904">
        <f>+IFERROR(VLOOKUP(OA$27&amp;"-"&amp;$M30&amp;"_new",Ammortamento_Finanziario!$H:$L,5,FALSE),VLOOKUP($M30,TT_Tabelle_Riferimento!$D$127:$H$164,5,FALSE))</f>
        <v>40</v>
      </c>
      <c r="OB30" s="904">
        <f>+IFERROR(VLOOKUP(OB$27&amp;"-"&amp;$M30&amp;"_new",Ammortamento_Finanziario!$H:$L,5,FALSE),VLOOKUP($M30,TT_Tabelle_Riferimento!$D$127:$H$164,5,FALSE))</f>
        <v>40</v>
      </c>
      <c r="OC30" s="904">
        <f>+IFERROR(VLOOKUP(OC$27&amp;"-"&amp;$M30&amp;"_new",Ammortamento_Finanziario!$H:$L,5,FALSE),VLOOKUP($M30,TT_Tabelle_Riferimento!$D$127:$H$164,5,FALSE))</f>
        <v>40</v>
      </c>
      <c r="OD30" s="904">
        <f>+IFERROR(VLOOKUP(OD$27&amp;"-"&amp;$M30&amp;"_new",Ammortamento_Finanziario!$H:$L,5,FALSE),VLOOKUP($M30,TT_Tabelle_Riferimento!$D$127:$H$164,5,FALSE))</f>
        <v>40</v>
      </c>
      <c r="OE30" s="904">
        <f>+IFERROR(VLOOKUP(OE$27&amp;"-"&amp;$M30&amp;"_new",Ammortamento_Finanziario!$H:$L,5,FALSE),VLOOKUP($M30,TT_Tabelle_Riferimento!$D$127:$H$164,5,FALSE))</f>
        <v>40</v>
      </c>
      <c r="OF30" s="904">
        <f>+IFERROR(VLOOKUP(OF$27&amp;"-"&amp;$M30&amp;"_new",Ammortamento_Finanziario!$H:$L,5,FALSE),VLOOKUP($M30,TT_Tabelle_Riferimento!$D$127:$H$164,5,FALSE))</f>
        <v>40</v>
      </c>
      <c r="OG30" s="904">
        <f>+IFERROR(VLOOKUP(OG$27&amp;"-"&amp;$M30&amp;"_new",Ammortamento_Finanziario!$H:$L,5,FALSE),VLOOKUP($M30,TT_Tabelle_Riferimento!$D$127:$H$164,5,FALSE))</f>
        <v>40</v>
      </c>
      <c r="OH30" s="904">
        <f>+IFERROR(VLOOKUP(OH$27&amp;"-"&amp;$M30&amp;"_new",Ammortamento_Finanziario!$H:$L,5,FALSE),VLOOKUP($M30,TT_Tabelle_Riferimento!$D$127:$H$164,5,FALSE))</f>
        <v>40</v>
      </c>
      <c r="OI30" s="904">
        <f>+IFERROR(VLOOKUP(OI$27&amp;"-"&amp;$M30&amp;"_new",Ammortamento_Finanziario!$H:$L,5,FALSE),VLOOKUP($M30,TT_Tabelle_Riferimento!$D$127:$H$164,5,FALSE))</f>
        <v>40</v>
      </c>
      <c r="OJ30" s="904">
        <f>+IFERROR(VLOOKUP(OJ$27&amp;"-"&amp;$M30&amp;"_new",Ammortamento_Finanziario!$H:$L,5,FALSE),VLOOKUP($M30,TT_Tabelle_Riferimento!$D$127:$H$164,5,FALSE))</f>
        <v>40</v>
      </c>
      <c r="OK30" s="904">
        <f>+IFERROR(VLOOKUP(OK$27&amp;"-"&amp;$M30&amp;"_new",Ammortamento_Finanziario!$H:$L,5,FALSE),VLOOKUP($M30,TT_Tabelle_Riferimento!$D$127:$H$164,5,FALSE))</f>
        <v>40</v>
      </c>
      <c r="OL30" s="904">
        <f>+IFERROR(VLOOKUP(OL$27&amp;"-"&amp;$M30&amp;"_new",Ammortamento_Finanziario!$H:$L,5,FALSE),VLOOKUP($M30,TT_Tabelle_Riferimento!$D$127:$H$164,5,FALSE))</f>
        <v>40</v>
      </c>
      <c r="OM30" s="904">
        <f>+IFERROR(VLOOKUP(OM$27&amp;"-"&amp;$M30&amp;"_new",Ammortamento_Finanziario!$H:$L,5,FALSE),VLOOKUP($M30,TT_Tabelle_Riferimento!$D$127:$H$164,5,FALSE))</f>
        <v>40</v>
      </c>
      <c r="ON30" s="904">
        <f>+IFERROR(VLOOKUP(ON$27&amp;"-"&amp;$M30&amp;"_new",Ammortamento_Finanziario!$H:$L,5,FALSE),VLOOKUP($M30,TT_Tabelle_Riferimento!$D$127:$H$164,5,FALSE))</f>
        <v>40</v>
      </c>
      <c r="OO30" s="1762">
        <f>+IFERROR(VLOOKUP(OO$27&amp;"-"&amp;$M30&amp;"_new",Ammortamento_Finanziario!$H:$L,5,FALSE),VLOOKUP($M30,TT_Tabelle_Riferimento!$D$127:$H$164,5,FALSE))</f>
        <v>40</v>
      </c>
      <c r="OP30" s="1762">
        <f>+IFERROR(VLOOKUP(OP$27&amp;"-"&amp;$M30&amp;"_new",Ammortamento_Finanziario!$H:$L,5,FALSE),VLOOKUP($M30,TT_Tabelle_Riferimento!$D$127:$H$164,5,FALSE))</f>
        <v>40</v>
      </c>
      <c r="OQ30" s="1762">
        <f>+IFERROR(VLOOKUP(OQ$27&amp;"-"&amp;$M30&amp;"_new",Ammortamento_Finanziario!$H:$L,5,FALSE),VLOOKUP($M30,TT_Tabelle_Riferimento!$D$127:$H$164,5,FALSE))</f>
        <v>40</v>
      </c>
      <c r="OR30" s="1762">
        <f>+IFERROR(VLOOKUP(OR$27&amp;"-"&amp;$M30&amp;"_new",Ammortamento_Finanziario!$H:$L,5,FALSE),VLOOKUP($M30,TT_Tabelle_Riferimento!$D$127:$H$164,5,FALSE))</f>
        <v>40</v>
      </c>
      <c r="OS30" s="904">
        <f>+IFERROR(VLOOKUP(OS$27&amp;"-"&amp;$M30&amp;"_new",Ammortamento_Finanziario!$H:$L,5,FALSE),VLOOKUP($M30,TT_Tabelle_Riferimento!$D$127:$H$164,5,FALSE))</f>
        <v>40</v>
      </c>
      <c r="OT30" s="904">
        <f>+IFERROR(VLOOKUP(OT$27&amp;"-"&amp;$M30&amp;"_new",Ammortamento_Finanziario!$H:$L,5,FALSE),VLOOKUP($M30,TT_Tabelle_Riferimento!$D$127:$H$164,5,FALSE))</f>
        <v>40</v>
      </c>
      <c r="OU30" s="904">
        <f>+IFERROR(VLOOKUP(OU$27&amp;"-"&amp;$M30&amp;"_new",Ammortamento_Finanziario!$H:$L,5,FALSE),VLOOKUP($M30,TT_Tabelle_Riferimento!$D$127:$H$164,5,FALSE))</f>
        <v>40</v>
      </c>
      <c r="OV30" s="904">
        <f>+IFERROR(VLOOKUP(OV$27&amp;"-"&amp;$M30&amp;"_new",Ammortamento_Finanziario!$H:$L,5,FALSE),VLOOKUP($M30,TT_Tabelle_Riferimento!$D$127:$H$164,5,FALSE))</f>
        <v>40</v>
      </c>
      <c r="OW30" s="904">
        <f>+IFERROR(VLOOKUP(OW$27&amp;"-"&amp;$M30&amp;"_new",Ammortamento_Finanziario!$H:$L,5,FALSE),VLOOKUP($M30,TT_Tabelle_Riferimento!$D$127:$H$164,5,FALSE))</f>
        <v>40</v>
      </c>
      <c r="OX30" s="904">
        <f>+IFERROR(VLOOKUP(OX$27&amp;"-"&amp;$M30&amp;"_new",Ammortamento_Finanziario!$H:$L,5,FALSE),VLOOKUP($M30,TT_Tabelle_Riferimento!$D$127:$H$164,5,FALSE))</f>
        <v>40</v>
      </c>
      <c r="OY30" s="904">
        <f>+IFERROR(VLOOKUP(OY$27&amp;"-"&amp;$M30&amp;"_new",Ammortamento_Finanziario!$H:$L,5,FALSE),VLOOKUP($M30,TT_Tabelle_Riferimento!$D$127:$H$164,5,FALSE))</f>
        <v>40</v>
      </c>
      <c r="OZ30" s="904">
        <f>+IFERROR(VLOOKUP(OZ$27&amp;"-"&amp;$M30&amp;"_new",Ammortamento_Finanziario!$H:$L,5,FALSE),VLOOKUP($M30,TT_Tabelle_Riferimento!$D$127:$H$164,5,FALSE))</f>
        <v>40</v>
      </c>
      <c r="PA30" s="904">
        <f>+IFERROR(VLOOKUP(PA$27&amp;"-"&amp;$M30&amp;"_new",Ammortamento_Finanziario!$H:$L,5,FALSE),VLOOKUP($M30,TT_Tabelle_Riferimento!$D$127:$H$164,5,FALSE))</f>
        <v>40</v>
      </c>
      <c r="PB30" s="904">
        <f>+IFERROR(VLOOKUP(PB$27&amp;"-"&amp;$M30&amp;"_new",Ammortamento_Finanziario!$H:$L,5,FALSE),VLOOKUP($M30,TT_Tabelle_Riferimento!$D$127:$H$164,5,FALSE))</f>
        <v>40</v>
      </c>
      <c r="PC30" s="904">
        <f>+IFERROR(VLOOKUP(PC$27&amp;"-"&amp;$M30&amp;"_new",Ammortamento_Finanziario!$H:$L,5,FALSE),VLOOKUP($M30,TT_Tabelle_Riferimento!$D$127:$H$164,5,FALSE))</f>
        <v>40</v>
      </c>
      <c r="PD30" s="904">
        <f>+IFERROR(VLOOKUP(PD$27&amp;"-"&amp;$M30&amp;"_new",Ammortamento_Finanziario!$H:$L,5,FALSE),VLOOKUP($M30,TT_Tabelle_Riferimento!$D$127:$H$164,5,FALSE))</f>
        <v>40</v>
      </c>
      <c r="PE30" s="904">
        <f>+IFERROR(VLOOKUP(PE$27&amp;"-"&amp;$M30&amp;"_new",Ammortamento_Finanziario!$H:$L,5,FALSE),VLOOKUP($M30,TT_Tabelle_Riferimento!$D$127:$H$164,5,FALSE))</f>
        <v>40</v>
      </c>
      <c r="PF30" s="904">
        <f>+IFERROR(VLOOKUP(PF$27&amp;"-"&amp;$M30&amp;"_new",Ammortamento_Finanziario!$H:$L,5,FALSE),VLOOKUP($M30,TT_Tabelle_Riferimento!$D$127:$H$164,5,FALSE))</f>
        <v>40</v>
      </c>
      <c r="PG30" s="904">
        <f>+IFERROR(VLOOKUP(PG$27&amp;"-"&amp;$M30&amp;"_new",Ammortamento_Finanziario!$H:$L,5,FALSE),VLOOKUP($M30,TT_Tabelle_Riferimento!$D$127:$H$164,5,FALSE))</f>
        <v>40</v>
      </c>
      <c r="PH30" s="904">
        <f>+IFERROR(VLOOKUP(PH$27&amp;"-"&amp;$M30&amp;"_new",Ammortamento_Finanziario!$H:$L,5,FALSE),VLOOKUP($M30,TT_Tabelle_Riferimento!$D$127:$H$164,5,FALSE))</f>
        <v>40</v>
      </c>
      <c r="PI30" s="904">
        <f>+IFERROR(VLOOKUP(PI$27&amp;"-"&amp;$M30&amp;"_new",Ammortamento_Finanziario!$H:$L,5,FALSE),VLOOKUP($M30,TT_Tabelle_Riferimento!$D$127:$H$164,5,FALSE))</f>
        <v>40</v>
      </c>
      <c r="PJ30" s="904">
        <f>+IFERROR(VLOOKUP(PJ$27&amp;"-"&amp;$M30&amp;"_new",Ammortamento_Finanziario!$H:$L,5,FALSE),VLOOKUP($M30,TT_Tabelle_Riferimento!$D$127:$H$164,5,FALSE))</f>
        <v>40</v>
      </c>
      <c r="PK30" s="904">
        <f>+IFERROR(VLOOKUP(PK$27&amp;"-"&amp;$M30&amp;"_new",Ammortamento_Finanziario!$H:$L,5,FALSE),VLOOKUP($M30,TT_Tabelle_Riferimento!$D$127:$H$164,5,FALSE))</f>
        <v>40</v>
      </c>
      <c r="PL30" s="1762">
        <f>+IFERROR(VLOOKUP(PL$27&amp;"-"&amp;$M30&amp;"_new",Ammortamento_Finanziario!$H:$L,5,FALSE),VLOOKUP($M30,TT_Tabelle_Riferimento!$D$127:$H$164,5,FALSE))</f>
        <v>40</v>
      </c>
      <c r="PM30" s="1762">
        <f>+IFERROR(VLOOKUP(PM$27&amp;"-"&amp;$M30&amp;"_new",Ammortamento_Finanziario!$H:$L,5,FALSE),VLOOKUP($M30,TT_Tabelle_Riferimento!$D$127:$H$164,5,FALSE))</f>
        <v>40</v>
      </c>
      <c r="PN30" s="1762">
        <f>+IFERROR(VLOOKUP(PN$27&amp;"-"&amp;$M30&amp;"_new",Ammortamento_Finanziario!$H:$L,5,FALSE),VLOOKUP($M30,TT_Tabelle_Riferimento!$D$127:$H$164,5,FALSE))</f>
        <v>40</v>
      </c>
      <c r="PO30" s="904">
        <f>+IFERROR(VLOOKUP(PO$27&amp;"-"&amp;$M30&amp;"_new",Ammortamento_Finanziario!$H:$L,5,FALSE),VLOOKUP($M30,TT_Tabelle_Riferimento!$D$127:$H$164,5,FALSE))</f>
        <v>40</v>
      </c>
      <c r="PP30" s="904">
        <f>+IFERROR(VLOOKUP(PP$27&amp;"-"&amp;$M30&amp;"_new",Ammortamento_Finanziario!$H:$L,5,FALSE),VLOOKUP($M30,TT_Tabelle_Riferimento!$D$127:$H$164,5,FALSE))</f>
        <v>40</v>
      </c>
      <c r="PQ30" s="904">
        <f>+IFERROR(VLOOKUP(PQ$27&amp;"-"&amp;$M30&amp;"_new",Ammortamento_Finanziario!$H:$L,5,FALSE),VLOOKUP($M30,TT_Tabelle_Riferimento!$D$127:$H$164,5,FALSE))</f>
        <v>40</v>
      </c>
      <c r="PR30" s="904">
        <f>+IFERROR(VLOOKUP(PR$27&amp;"-"&amp;$M30&amp;"_new",Ammortamento_Finanziario!$H:$L,5,FALSE),VLOOKUP($M30,TT_Tabelle_Riferimento!$D$127:$H$164,5,FALSE))</f>
        <v>40</v>
      </c>
      <c r="PS30" s="904">
        <f>+IFERROR(VLOOKUP(PS$27&amp;"-"&amp;$M30&amp;"_new",Ammortamento_Finanziario!$H:$L,5,FALSE),VLOOKUP($M30,TT_Tabelle_Riferimento!$D$127:$H$164,5,FALSE))</f>
        <v>40</v>
      </c>
      <c r="PT30" s="904">
        <f>+IFERROR(VLOOKUP(PT$27&amp;"-"&amp;$M30&amp;"_new",Ammortamento_Finanziario!$H:$L,5,FALSE),VLOOKUP($M30,TT_Tabelle_Riferimento!$D$127:$H$164,5,FALSE))</f>
        <v>40</v>
      </c>
      <c r="PU30" s="904">
        <f>+IFERROR(VLOOKUP(PU$27&amp;"-"&amp;$M30&amp;"_new",Ammortamento_Finanziario!$H:$L,5,FALSE),VLOOKUP($M30,TT_Tabelle_Riferimento!$D$127:$H$164,5,FALSE))</f>
        <v>40</v>
      </c>
      <c r="PV30" s="904">
        <f>+IFERROR(VLOOKUP(PV$27&amp;"-"&amp;$M30&amp;"_new",Ammortamento_Finanziario!$H:$L,5,FALSE),VLOOKUP($M30,TT_Tabelle_Riferimento!$D$127:$H$164,5,FALSE))</f>
        <v>40</v>
      </c>
      <c r="PW30" s="904">
        <f>+IFERROR(VLOOKUP(PW$27&amp;"-"&amp;$M30&amp;"_new",Ammortamento_Finanziario!$H:$L,5,FALSE),VLOOKUP($M30,TT_Tabelle_Riferimento!$D$127:$H$164,5,FALSE))</f>
        <v>40</v>
      </c>
      <c r="PX30" s="904">
        <f>+IFERROR(VLOOKUP(PX$27&amp;"-"&amp;$M30&amp;"_new",Ammortamento_Finanziario!$H:$L,5,FALSE),VLOOKUP($M30,TT_Tabelle_Riferimento!$D$127:$H$164,5,FALSE))</f>
        <v>40</v>
      </c>
      <c r="PY30" s="904">
        <f>+IFERROR(VLOOKUP(PY$27&amp;"-"&amp;$M30&amp;"_new",Ammortamento_Finanziario!$H:$L,5,FALSE),VLOOKUP($M30,TT_Tabelle_Riferimento!$D$127:$H$164,5,FALSE))</f>
        <v>40</v>
      </c>
      <c r="PZ30" s="904">
        <f>+IFERROR(VLOOKUP(PZ$27&amp;"-"&amp;$M30&amp;"_new",Ammortamento_Finanziario!$H:$L,5,FALSE),VLOOKUP($M30,TT_Tabelle_Riferimento!$D$127:$H$164,5,FALSE))</f>
        <v>40</v>
      </c>
      <c r="QA30" s="904">
        <f>+IFERROR(VLOOKUP(QA$27&amp;"-"&amp;$M30&amp;"_new",Ammortamento_Finanziario!$H:$L,5,FALSE),VLOOKUP($M30,TT_Tabelle_Riferimento!$D$127:$H$164,5,FALSE))</f>
        <v>40</v>
      </c>
      <c r="QB30" s="904">
        <f>+IFERROR(VLOOKUP(QB$27&amp;"-"&amp;$M30&amp;"_new",Ammortamento_Finanziario!$H:$L,5,FALSE),VLOOKUP($M30,TT_Tabelle_Riferimento!$D$127:$H$164,5,FALSE))</f>
        <v>40</v>
      </c>
      <c r="QC30" s="904">
        <f>+IFERROR(VLOOKUP(QC$27&amp;"-"&amp;$M30&amp;"_new",Ammortamento_Finanziario!$H:$L,5,FALSE),VLOOKUP($M30,TT_Tabelle_Riferimento!$D$127:$H$164,5,FALSE))</f>
        <v>40</v>
      </c>
      <c r="QD30" s="904">
        <f>+IFERROR(VLOOKUP(QD$27&amp;"-"&amp;$M30&amp;"_new",Ammortamento_Finanziario!$H:$L,5,FALSE),VLOOKUP($M30,TT_Tabelle_Riferimento!$D$127:$H$164,5,FALSE))</f>
        <v>40</v>
      </c>
      <c r="QE30" s="904">
        <f>+IFERROR(VLOOKUP(QE$27&amp;"-"&amp;$M30&amp;"_new",Ammortamento_Finanziario!$H:$L,5,FALSE),VLOOKUP($M30,TT_Tabelle_Riferimento!$D$127:$H$164,5,FALSE))</f>
        <v>40</v>
      </c>
      <c r="QF30" s="904">
        <f>+IFERROR(VLOOKUP(QF$27&amp;"-"&amp;$M30&amp;"_new",Ammortamento_Finanziario!$H:$L,5,FALSE),VLOOKUP($M30,TT_Tabelle_Riferimento!$D$127:$H$164,5,FALSE))</f>
        <v>40</v>
      </c>
      <c r="QG30" s="904">
        <f>+IFERROR(VLOOKUP(QG$27&amp;"-"&amp;$M30&amp;"_new",Ammortamento_Finanziario!$H:$L,5,FALSE),VLOOKUP($M30,TT_Tabelle_Riferimento!$D$127:$H$164,5,FALSE))</f>
        <v>40</v>
      </c>
      <c r="QH30" s="1762">
        <f>+IFERROR(VLOOKUP(QH$27&amp;"-"&amp;$M30&amp;"_new",Ammortamento_Finanziario!$H:$L,5,FALSE),VLOOKUP($M30,TT_Tabelle_Riferimento!$D$127:$H$164,5,FALSE))</f>
        <v>40</v>
      </c>
      <c r="QI30" s="1762">
        <f>+IFERROR(VLOOKUP(QI$27&amp;"-"&amp;$M30&amp;"_new",Ammortamento_Finanziario!$H:$L,5,FALSE),VLOOKUP($M30,TT_Tabelle_Riferimento!$D$127:$H$164,5,FALSE))</f>
        <v>40</v>
      </c>
      <c r="QJ30" s="904">
        <f>+IFERROR(VLOOKUP(QJ$27&amp;"-"&amp;$M30&amp;"_new",Ammortamento_Finanziario!$H:$L,5,FALSE),VLOOKUP($M30,TT_Tabelle_Riferimento!$D$127:$H$164,5,FALSE))</f>
        <v>40</v>
      </c>
      <c r="QK30" s="904">
        <f>+IFERROR(VLOOKUP(QK$27&amp;"-"&amp;$M30&amp;"_new",Ammortamento_Finanziario!$H:$L,5,FALSE),VLOOKUP($M30,TT_Tabelle_Riferimento!$D$127:$H$164,5,FALSE))</f>
        <v>40</v>
      </c>
      <c r="QL30" s="904">
        <f>+IFERROR(VLOOKUP(QL$27&amp;"-"&amp;$M30&amp;"_new",Ammortamento_Finanziario!$H:$L,5,FALSE),VLOOKUP($M30,TT_Tabelle_Riferimento!$D$127:$H$164,5,FALSE))</f>
        <v>40</v>
      </c>
      <c r="QM30" s="904">
        <f>+IFERROR(VLOOKUP(QM$27&amp;"-"&amp;$M30&amp;"_new",Ammortamento_Finanziario!$H:$L,5,FALSE),VLOOKUP($M30,TT_Tabelle_Riferimento!$D$127:$H$164,5,FALSE))</f>
        <v>40</v>
      </c>
      <c r="QN30" s="904">
        <f>+IFERROR(VLOOKUP(QN$27&amp;"-"&amp;$M30&amp;"_new",Ammortamento_Finanziario!$H:$L,5,FALSE),VLOOKUP($M30,TT_Tabelle_Riferimento!$D$127:$H$164,5,FALSE))</f>
        <v>40</v>
      </c>
      <c r="QO30" s="904">
        <f>+IFERROR(VLOOKUP(QO$27&amp;"-"&amp;$M30&amp;"_new",Ammortamento_Finanziario!$H:$L,5,FALSE),VLOOKUP($M30,TT_Tabelle_Riferimento!$D$127:$H$164,5,FALSE))</f>
        <v>40</v>
      </c>
      <c r="QP30" s="904">
        <f>+IFERROR(VLOOKUP(QP$27&amp;"-"&amp;$M30&amp;"_new",Ammortamento_Finanziario!$H:$L,5,FALSE),VLOOKUP($M30,TT_Tabelle_Riferimento!$D$127:$H$164,5,FALSE))</f>
        <v>40</v>
      </c>
      <c r="QQ30" s="904">
        <f>+IFERROR(VLOOKUP(QQ$27&amp;"-"&amp;$M30&amp;"_new",Ammortamento_Finanziario!$H:$L,5,FALSE),VLOOKUP($M30,TT_Tabelle_Riferimento!$D$127:$H$164,5,FALSE))</f>
        <v>40</v>
      </c>
      <c r="QR30" s="904">
        <f>+IFERROR(VLOOKUP(QR$27&amp;"-"&amp;$M30&amp;"_new",Ammortamento_Finanziario!$H:$L,5,FALSE),VLOOKUP($M30,TT_Tabelle_Riferimento!$D$127:$H$164,5,FALSE))</f>
        <v>40</v>
      </c>
      <c r="QS30" s="904">
        <f>+IFERROR(VLOOKUP(QS$27&amp;"-"&amp;$M30&amp;"_new",Ammortamento_Finanziario!$H:$L,5,FALSE),VLOOKUP($M30,TT_Tabelle_Riferimento!$D$127:$H$164,5,FALSE))</f>
        <v>40</v>
      </c>
      <c r="QT30" s="904">
        <f>+IFERROR(VLOOKUP(QT$27&amp;"-"&amp;$M30&amp;"_new",Ammortamento_Finanziario!$H:$L,5,FALSE),VLOOKUP($M30,TT_Tabelle_Riferimento!$D$127:$H$164,5,FALSE))</f>
        <v>40</v>
      </c>
      <c r="QU30" s="904">
        <f>+IFERROR(VLOOKUP(QU$27&amp;"-"&amp;$M30&amp;"_new",Ammortamento_Finanziario!$H:$L,5,FALSE),VLOOKUP($M30,TT_Tabelle_Riferimento!$D$127:$H$164,5,FALSE))</f>
        <v>40</v>
      </c>
      <c r="QV30" s="904">
        <f>+IFERROR(VLOOKUP(QV$27&amp;"-"&amp;$M30&amp;"_new",Ammortamento_Finanziario!$H:$L,5,FALSE),VLOOKUP($M30,TT_Tabelle_Riferimento!$D$127:$H$164,5,FALSE))</f>
        <v>40</v>
      </c>
      <c r="QW30" s="904">
        <f>+IFERROR(VLOOKUP(QW$27&amp;"-"&amp;$M30&amp;"_new",Ammortamento_Finanziario!$H:$L,5,FALSE),VLOOKUP($M30,TT_Tabelle_Riferimento!$D$127:$H$164,5,FALSE))</f>
        <v>40</v>
      </c>
      <c r="QX30" s="904">
        <f>+IFERROR(VLOOKUP(QX$27&amp;"-"&amp;$M30&amp;"_new",Ammortamento_Finanziario!$H:$L,5,FALSE),VLOOKUP($M30,TT_Tabelle_Riferimento!$D$127:$H$164,5,FALSE))</f>
        <v>40</v>
      </c>
      <c r="QY30" s="904">
        <f>+IFERROR(VLOOKUP(QY$27&amp;"-"&amp;$M30&amp;"_new",Ammortamento_Finanziario!$H:$L,5,FALSE),VLOOKUP($M30,TT_Tabelle_Riferimento!$D$127:$H$164,5,FALSE))</f>
        <v>40</v>
      </c>
      <c r="QZ30" s="904">
        <f>+IFERROR(VLOOKUP(QZ$27&amp;"-"&amp;$M30&amp;"_new",Ammortamento_Finanziario!$H:$L,5,FALSE),VLOOKUP($M30,TT_Tabelle_Riferimento!$D$127:$H$164,5,FALSE))</f>
        <v>40</v>
      </c>
      <c r="RA30" s="904">
        <f>+IFERROR(VLOOKUP(RA$27&amp;"-"&amp;$M30&amp;"_new",Ammortamento_Finanziario!$H:$L,5,FALSE),VLOOKUP($M30,TT_Tabelle_Riferimento!$D$127:$H$164,5,FALSE))</f>
        <v>40</v>
      </c>
      <c r="RB30" s="904">
        <f>+IFERROR(VLOOKUP(RB$27&amp;"-"&amp;$M30&amp;"_new",Ammortamento_Finanziario!$H:$L,5,FALSE),VLOOKUP($M30,TT_Tabelle_Riferimento!$D$127:$H$164,5,FALSE))</f>
        <v>40</v>
      </c>
      <c r="RC30" s="1762">
        <f>+IFERROR(VLOOKUP(RC$27&amp;"-"&amp;$M30&amp;"_new",Ammortamento_Finanziario!$H:$L,5,FALSE),VLOOKUP($M30,TT_Tabelle_Riferimento!$D$127:$H$164,5,FALSE))</f>
        <v>40</v>
      </c>
      <c r="RD30" s="904">
        <f>+IFERROR(VLOOKUP(RD$27&amp;"-"&amp;$M30&amp;"_new",Ammortamento_Finanziario!$H:$L,5,FALSE),VLOOKUP($M30,TT_Tabelle_Riferimento!$D$127:$H$164,5,FALSE))</f>
        <v>40</v>
      </c>
      <c r="RE30" s="904">
        <f>+IFERROR(VLOOKUP(RE$27&amp;"-"&amp;$M30&amp;"_new",Ammortamento_Finanziario!$H:$L,5,FALSE),VLOOKUP($M30,TT_Tabelle_Riferimento!$D$127:$H$164,5,FALSE))</f>
        <v>40</v>
      </c>
      <c r="RF30" s="904">
        <f>+IFERROR(VLOOKUP(RF$27&amp;"-"&amp;$M30&amp;"_new",Ammortamento_Finanziario!$H:$L,5,FALSE),VLOOKUP($M30,TT_Tabelle_Riferimento!$D$127:$H$164,5,FALSE))</f>
        <v>40</v>
      </c>
      <c r="RG30" s="904">
        <f>+IFERROR(VLOOKUP(RG$27&amp;"-"&amp;$M30&amp;"_new",Ammortamento_Finanziario!$H:$L,5,FALSE),VLOOKUP($M30,TT_Tabelle_Riferimento!$D$127:$H$164,5,FALSE))</f>
        <v>40</v>
      </c>
      <c r="RH30" s="904">
        <f>+IFERROR(VLOOKUP(RH$27&amp;"-"&amp;$M30&amp;"_new",Ammortamento_Finanziario!$H:$L,5,FALSE),VLOOKUP($M30,TT_Tabelle_Riferimento!$D$127:$H$164,5,FALSE))</f>
        <v>40</v>
      </c>
      <c r="RI30" s="904">
        <f>+IFERROR(VLOOKUP(RI$27&amp;"-"&amp;$M30&amp;"_new",Ammortamento_Finanziario!$H:$L,5,FALSE),VLOOKUP($M30,TT_Tabelle_Riferimento!$D$127:$H$164,5,FALSE))</f>
        <v>40</v>
      </c>
      <c r="RJ30" s="904">
        <f>+IFERROR(VLOOKUP(RJ$27&amp;"-"&amp;$M30&amp;"_new",Ammortamento_Finanziario!$H:$L,5,FALSE),VLOOKUP($M30,TT_Tabelle_Riferimento!$D$127:$H$164,5,FALSE))</f>
        <v>40</v>
      </c>
      <c r="RK30" s="904">
        <f>+IFERROR(VLOOKUP(RK$27&amp;"-"&amp;$M30&amp;"_new",Ammortamento_Finanziario!$H:$L,5,FALSE),VLOOKUP($M30,TT_Tabelle_Riferimento!$D$127:$H$164,5,FALSE))</f>
        <v>40</v>
      </c>
      <c r="RL30" s="904">
        <f>+IFERROR(VLOOKUP(RL$27&amp;"-"&amp;$M30&amp;"_new",Ammortamento_Finanziario!$H:$L,5,FALSE),VLOOKUP($M30,TT_Tabelle_Riferimento!$D$127:$H$164,5,FALSE))</f>
        <v>40</v>
      </c>
      <c r="RM30" s="904">
        <f>+IFERROR(VLOOKUP(RM$27&amp;"-"&amp;$M30&amp;"_new",Ammortamento_Finanziario!$H:$L,5,FALSE),VLOOKUP($M30,TT_Tabelle_Riferimento!$D$127:$H$164,5,FALSE))</f>
        <v>40</v>
      </c>
      <c r="RN30" s="904">
        <f>+IFERROR(VLOOKUP(RN$27&amp;"-"&amp;$M30&amp;"_new",Ammortamento_Finanziario!$H:$L,5,FALSE),VLOOKUP($M30,TT_Tabelle_Riferimento!$D$127:$H$164,5,FALSE))</f>
        <v>40</v>
      </c>
      <c r="RO30" s="904">
        <f>+IFERROR(VLOOKUP(RO$27&amp;"-"&amp;$M30&amp;"_new",Ammortamento_Finanziario!$H:$L,5,FALSE),VLOOKUP($M30,TT_Tabelle_Riferimento!$D$127:$H$164,5,FALSE))</f>
        <v>40</v>
      </c>
      <c r="RP30" s="904">
        <f>+IFERROR(VLOOKUP(RP$27&amp;"-"&amp;$M30&amp;"_new",Ammortamento_Finanziario!$H:$L,5,FALSE),VLOOKUP($M30,TT_Tabelle_Riferimento!$D$127:$H$164,5,FALSE))</f>
        <v>40</v>
      </c>
      <c r="RQ30" s="904">
        <f>+IFERROR(VLOOKUP(RQ$27&amp;"-"&amp;$M30&amp;"_new",Ammortamento_Finanziario!$H:$L,5,FALSE),VLOOKUP($M30,TT_Tabelle_Riferimento!$D$127:$H$164,5,FALSE))</f>
        <v>40</v>
      </c>
      <c r="RR30" s="904">
        <f>+IFERROR(VLOOKUP(RR$27&amp;"-"&amp;$M30&amp;"_new",Ammortamento_Finanziario!$H:$L,5,FALSE),VLOOKUP($M30,TT_Tabelle_Riferimento!$D$127:$H$164,5,FALSE))</f>
        <v>40</v>
      </c>
      <c r="RS30" s="904">
        <f>+IFERROR(VLOOKUP(RS$27&amp;"-"&amp;$M30&amp;"_new",Ammortamento_Finanziario!$H:$L,5,FALSE),VLOOKUP($M30,TT_Tabelle_Riferimento!$D$127:$H$164,5,FALSE))</f>
        <v>40</v>
      </c>
      <c r="RT30" s="904">
        <f>+IFERROR(VLOOKUP(RT$27&amp;"-"&amp;$M30&amp;"_new",Ammortamento_Finanziario!$H:$L,5,FALSE),VLOOKUP($M30,TT_Tabelle_Riferimento!$D$127:$H$164,5,FALSE))</f>
        <v>40</v>
      </c>
      <c r="RU30" s="904">
        <f>+IFERROR(VLOOKUP(RU$27&amp;"-"&amp;$M30&amp;"_new",Ammortamento_Finanziario!$H:$L,5,FALSE),VLOOKUP($M30,TT_Tabelle_Riferimento!$D$127:$H$164,5,FALSE))</f>
        <v>40</v>
      </c>
      <c r="RV30" s="904">
        <f>+IFERROR(VLOOKUP(RV$27&amp;"-"&amp;$M30&amp;"_new",Ammortamento_Finanziario!$H:$L,5,FALSE),VLOOKUP($M30,TT_Tabelle_Riferimento!$D$127:$H$164,5,FALSE))</f>
        <v>40</v>
      </c>
    </row>
    <row r="31" spans="4:490">
      <c r="D31" s="135" t="s">
        <v>224</v>
      </c>
      <c r="E31" s="1264">
        <f>+SUMIF(IMN_gestore!$E:$E,2022,IMN_gestore!$Q:$Q)</f>
        <v>0</v>
      </c>
      <c r="F31" s="1264">
        <f>SUMIF(IMN_gestore!$E:$E,2023,IMN_gestore!$AB:$AB)</f>
        <v>0</v>
      </c>
      <c r="G31" s="1264">
        <f>SUMIF(IMN_gestore!$E:$E,2024,IMN_gestore!$AM:$AM)</f>
        <v>0</v>
      </c>
      <c r="H31" s="1264">
        <f>SUMIF(IMN_gestore!$E:$E,2025,IMN_gestore!$AX:$AX)</f>
        <v>0</v>
      </c>
      <c r="I31" s="1264">
        <f>SUMIF(IMN_gestore!$E:$E,2026,IMN_gestore!$BI:$BI)</f>
        <v>0</v>
      </c>
      <c r="J31" s="1264">
        <f>SUMIF(IMN_gestore!$E:$E,2027,IMN_gestore!$BT:$BT)</f>
        <v>0</v>
      </c>
      <c r="K31" s="136"/>
      <c r="L31" s="125"/>
      <c r="M31" s="1756">
        <v>4</v>
      </c>
      <c r="N31" s="1759">
        <v>0</v>
      </c>
      <c r="O31" s="1759">
        <v>0</v>
      </c>
      <c r="P31" s="1759">
        <v>0</v>
      </c>
      <c r="Q31" s="1759">
        <v>0</v>
      </c>
      <c r="R31" s="1759">
        <v>0</v>
      </c>
      <c r="S31" s="1759">
        <v>0</v>
      </c>
      <c r="T31" s="1759">
        <v>0</v>
      </c>
      <c r="U31" s="1759">
        <v>0</v>
      </c>
      <c r="V31" s="1759">
        <v>0</v>
      </c>
      <c r="W31" s="1759">
        <v>0</v>
      </c>
      <c r="X31" s="1759">
        <v>0</v>
      </c>
      <c r="Y31" s="1759">
        <v>0</v>
      </c>
      <c r="Z31" s="1759">
        <v>0</v>
      </c>
      <c r="AA31" s="1759">
        <v>0</v>
      </c>
      <c r="AB31" s="1759">
        <v>0</v>
      </c>
      <c r="AC31" s="1759">
        <v>0</v>
      </c>
      <c r="AD31" s="1759">
        <v>0</v>
      </c>
      <c r="AE31" s="1759">
        <v>0</v>
      </c>
      <c r="AF31" s="1759">
        <v>0</v>
      </c>
      <c r="AG31" s="1759">
        <v>0</v>
      </c>
      <c r="AH31" s="1759">
        <v>0</v>
      </c>
      <c r="AI31" s="1759">
        <v>0</v>
      </c>
      <c r="AJ31" s="1759">
        <v>0</v>
      </c>
      <c r="AK31" s="1759">
        <v>0</v>
      </c>
      <c r="AL31" s="1759">
        <v>0</v>
      </c>
      <c r="AM31" s="1759">
        <v>0</v>
      </c>
      <c r="AN31" s="1759">
        <v>0</v>
      </c>
      <c r="AO31" s="1759">
        <v>0</v>
      </c>
      <c r="AP31" s="1759">
        <v>0</v>
      </c>
      <c r="AQ31" s="1759">
        <v>0</v>
      </c>
      <c r="AR31" s="1759">
        <v>0</v>
      </c>
      <c r="AS31" s="1759">
        <v>0</v>
      </c>
      <c r="AT31" s="1759">
        <v>0</v>
      </c>
      <c r="AU31" s="1759">
        <v>0</v>
      </c>
      <c r="AV31" s="1759">
        <v>0</v>
      </c>
      <c r="AW31" s="1759">
        <v>0</v>
      </c>
      <c r="AX31" s="1759">
        <v>0</v>
      </c>
      <c r="AY31" s="1759">
        <v>0</v>
      </c>
      <c r="AZ31" s="1759">
        <v>0</v>
      </c>
      <c r="BA31" s="1759">
        <v>0</v>
      </c>
      <c r="BB31" s="1759">
        <v>0</v>
      </c>
      <c r="BC31" s="1759">
        <v>0</v>
      </c>
      <c r="BD31" s="1759">
        <v>0</v>
      </c>
      <c r="BE31" s="1759">
        <v>0</v>
      </c>
      <c r="BF31" s="1759">
        <v>0</v>
      </c>
      <c r="BG31" s="1759">
        <v>0</v>
      </c>
      <c r="BH31" s="1759">
        <v>0</v>
      </c>
      <c r="BI31" s="1759">
        <v>0</v>
      </c>
      <c r="BJ31" s="1759">
        <v>0</v>
      </c>
      <c r="BK31" s="1759">
        <v>0</v>
      </c>
      <c r="BL31" s="1759">
        <v>0</v>
      </c>
      <c r="BM31" s="1759">
        <v>0</v>
      </c>
      <c r="BN31" s="1759">
        <v>0</v>
      </c>
      <c r="BO31" s="1759">
        <v>0</v>
      </c>
      <c r="BP31" s="1759">
        <v>0</v>
      </c>
      <c r="BQ31" s="1759">
        <v>0</v>
      </c>
      <c r="BR31" s="1759">
        <v>0</v>
      </c>
      <c r="BS31" s="1759">
        <v>0</v>
      </c>
      <c r="BT31" s="1759">
        <v>0</v>
      </c>
      <c r="BU31" s="1759">
        <v>0</v>
      </c>
      <c r="BV31" s="1759">
        <v>0</v>
      </c>
      <c r="BW31" s="1759">
        <v>0</v>
      </c>
      <c r="BX31" s="1759">
        <v>0</v>
      </c>
      <c r="BY31" s="1759">
        <v>0</v>
      </c>
      <c r="BZ31" s="1759">
        <v>0</v>
      </c>
      <c r="CA31" s="1759">
        <v>0</v>
      </c>
      <c r="CB31" s="1759">
        <v>0</v>
      </c>
      <c r="CC31" s="1759">
        <v>0</v>
      </c>
      <c r="CD31" s="1759">
        <v>0</v>
      </c>
      <c r="CE31" s="1759">
        <v>0</v>
      </c>
      <c r="CF31" s="1759">
        <v>0</v>
      </c>
      <c r="CG31" s="1759">
        <v>0</v>
      </c>
      <c r="CH31" s="1759">
        <v>0</v>
      </c>
      <c r="CI31" s="1759">
        <v>0</v>
      </c>
      <c r="CJ31" s="1759">
        <v>0</v>
      </c>
      <c r="CK31" s="1759">
        <v>0</v>
      </c>
      <c r="CL31" s="1759">
        <v>0</v>
      </c>
      <c r="CM31" s="1759">
        <v>0</v>
      </c>
      <c r="CN31" s="1759">
        <v>0</v>
      </c>
      <c r="CO31" s="1759">
        <v>0</v>
      </c>
      <c r="CP31" s="1759">
        <v>0</v>
      </c>
      <c r="CQ31" s="1759">
        <v>0</v>
      </c>
      <c r="CR31" s="1759">
        <v>0</v>
      </c>
      <c r="CS31" s="1759">
        <v>0</v>
      </c>
      <c r="CT31" s="1759">
        <v>0</v>
      </c>
      <c r="CU31" s="1759">
        <v>0</v>
      </c>
      <c r="CV31" s="1759">
        <v>0</v>
      </c>
      <c r="CW31" s="1759">
        <v>0</v>
      </c>
      <c r="CX31" s="1759">
        <v>0</v>
      </c>
      <c r="CY31" s="1759">
        <v>0</v>
      </c>
      <c r="CZ31" s="1759">
        <v>0</v>
      </c>
      <c r="DA31" s="1759">
        <v>0</v>
      </c>
      <c r="DB31" s="1759">
        <v>0</v>
      </c>
      <c r="DC31" s="1759">
        <v>0</v>
      </c>
      <c r="DD31" s="1759">
        <v>0</v>
      </c>
      <c r="DE31" s="1759">
        <v>0</v>
      </c>
      <c r="DF31" s="1759">
        <v>0</v>
      </c>
      <c r="DG31" s="1759">
        <v>0</v>
      </c>
      <c r="DH31" s="1759">
        <v>0</v>
      </c>
      <c r="DI31" s="1759">
        <v>0</v>
      </c>
      <c r="DJ31" s="1759">
        <v>0</v>
      </c>
      <c r="DK31" s="1759">
        <v>0</v>
      </c>
      <c r="DL31" s="1759">
        <v>0</v>
      </c>
      <c r="DM31" s="1759">
        <v>0</v>
      </c>
      <c r="DN31" s="1759">
        <v>0</v>
      </c>
      <c r="DO31" s="1759">
        <v>0</v>
      </c>
      <c r="DP31" s="1759">
        <v>0</v>
      </c>
      <c r="DQ31" s="1759">
        <v>0</v>
      </c>
      <c r="DR31" s="1759">
        <v>0</v>
      </c>
      <c r="DS31" s="1759">
        <v>0</v>
      </c>
      <c r="DT31" s="1759">
        <v>0</v>
      </c>
      <c r="DU31" s="1759">
        <v>0</v>
      </c>
      <c r="DV31" s="1759">
        <v>0</v>
      </c>
      <c r="DW31" s="1759">
        <v>0</v>
      </c>
      <c r="DX31" s="1759">
        <v>0</v>
      </c>
      <c r="DY31" s="1759">
        <v>0</v>
      </c>
      <c r="DZ31" s="1759">
        <v>0</v>
      </c>
      <c r="EA31" s="1759">
        <v>0</v>
      </c>
      <c r="EB31" s="1759">
        <v>0</v>
      </c>
      <c r="EC31" s="1759">
        <v>0</v>
      </c>
      <c r="ED31" s="1759">
        <v>0</v>
      </c>
      <c r="EE31" s="1759">
        <v>0</v>
      </c>
      <c r="EF31" s="1759">
        <v>0</v>
      </c>
      <c r="EG31" s="1759">
        <v>0</v>
      </c>
      <c r="EH31" s="1759">
        <v>0</v>
      </c>
      <c r="EI31" s="1759">
        <v>0</v>
      </c>
      <c r="EJ31" s="1759">
        <v>0</v>
      </c>
      <c r="EK31" s="1759">
        <v>0</v>
      </c>
      <c r="EL31" s="1759">
        <v>0</v>
      </c>
      <c r="EM31" s="1759">
        <v>0</v>
      </c>
      <c r="EN31" s="1759">
        <v>0</v>
      </c>
      <c r="EO31" s="1759">
        <v>0</v>
      </c>
      <c r="EP31" s="1759">
        <v>0</v>
      </c>
      <c r="EQ31" s="1759">
        <v>0</v>
      </c>
      <c r="ER31" s="1759">
        <v>0</v>
      </c>
      <c r="ES31" s="1759">
        <v>0</v>
      </c>
      <c r="ET31" s="1759">
        <v>0</v>
      </c>
      <c r="EU31" s="1759">
        <v>0</v>
      </c>
      <c r="EV31" s="1759">
        <v>0</v>
      </c>
      <c r="EW31" s="1759">
        <v>0</v>
      </c>
      <c r="EX31" s="1759">
        <v>0</v>
      </c>
      <c r="EY31" s="1759">
        <v>0</v>
      </c>
      <c r="EZ31" s="1759">
        <v>0</v>
      </c>
      <c r="FA31" s="1759">
        <v>0</v>
      </c>
      <c r="FB31" s="1759">
        <v>0</v>
      </c>
      <c r="FC31" s="1759">
        <v>0</v>
      </c>
      <c r="FD31" s="1759">
        <v>0</v>
      </c>
      <c r="FE31" s="1759">
        <v>0</v>
      </c>
      <c r="FF31" s="1759">
        <v>0</v>
      </c>
      <c r="FG31" s="1759">
        <v>0</v>
      </c>
      <c r="FH31" s="1759">
        <v>0</v>
      </c>
      <c r="FI31" s="1759">
        <v>0</v>
      </c>
      <c r="FJ31" s="1759">
        <v>0</v>
      </c>
      <c r="FK31" s="1759">
        <v>0</v>
      </c>
      <c r="FL31" s="1759">
        <v>0</v>
      </c>
      <c r="FM31" s="1759">
        <v>0</v>
      </c>
      <c r="FN31" s="1759">
        <v>0</v>
      </c>
      <c r="FO31" s="1759">
        <v>0</v>
      </c>
      <c r="FP31" s="1759">
        <v>0</v>
      </c>
      <c r="FQ31" s="1759">
        <v>0</v>
      </c>
      <c r="FR31" s="1759">
        <v>0</v>
      </c>
      <c r="FS31" s="1759">
        <v>0</v>
      </c>
      <c r="FT31" s="1759">
        <v>0</v>
      </c>
      <c r="FU31" s="1759">
        <v>0</v>
      </c>
      <c r="FV31" s="1759">
        <v>0</v>
      </c>
      <c r="FW31" s="1759">
        <v>0</v>
      </c>
      <c r="FX31" s="1759">
        <v>0</v>
      </c>
      <c r="FY31" s="1759">
        <v>0</v>
      </c>
      <c r="FZ31" s="1759">
        <v>0</v>
      </c>
      <c r="GA31" s="1759">
        <v>0</v>
      </c>
      <c r="GB31" s="1759">
        <v>0</v>
      </c>
      <c r="GC31" s="1759">
        <v>0</v>
      </c>
      <c r="GD31" s="1759">
        <v>0</v>
      </c>
      <c r="GE31" s="1759">
        <v>0</v>
      </c>
      <c r="GF31" s="1759">
        <v>0</v>
      </c>
      <c r="GG31" s="1759">
        <v>0</v>
      </c>
      <c r="GH31" s="1759">
        <v>0</v>
      </c>
      <c r="GI31" s="1759">
        <v>0</v>
      </c>
      <c r="GJ31" s="1759">
        <v>0</v>
      </c>
      <c r="GK31" s="1759">
        <v>0</v>
      </c>
      <c r="GL31" s="1759">
        <v>0</v>
      </c>
      <c r="GM31" s="1759">
        <v>0</v>
      </c>
      <c r="GN31" s="1759">
        <v>0</v>
      </c>
      <c r="GO31" s="1759">
        <v>0</v>
      </c>
      <c r="GP31" s="1759">
        <v>0</v>
      </c>
      <c r="GQ31" s="1759">
        <v>0</v>
      </c>
      <c r="GR31" s="1759">
        <v>0</v>
      </c>
      <c r="GS31" s="1759">
        <v>0</v>
      </c>
      <c r="GT31" s="1759">
        <v>0</v>
      </c>
      <c r="GU31" s="1759">
        <v>0</v>
      </c>
      <c r="GV31" s="1759">
        <v>0</v>
      </c>
      <c r="GW31" s="1759">
        <v>0</v>
      </c>
      <c r="GX31" s="1759">
        <v>0</v>
      </c>
      <c r="GY31" s="1759">
        <v>0</v>
      </c>
      <c r="GZ31" s="1759">
        <v>0</v>
      </c>
      <c r="HA31" s="1759">
        <v>0</v>
      </c>
      <c r="HB31" s="1759">
        <v>0</v>
      </c>
      <c r="HC31" s="1759">
        <v>0</v>
      </c>
      <c r="HD31" s="1759">
        <v>0</v>
      </c>
      <c r="HE31" s="1759">
        <v>0</v>
      </c>
      <c r="HF31" s="1759">
        <v>0</v>
      </c>
      <c r="HG31" s="1759">
        <v>0</v>
      </c>
      <c r="HH31" s="1759">
        <v>0</v>
      </c>
      <c r="HI31" s="1759">
        <v>0</v>
      </c>
      <c r="HJ31" s="1759">
        <v>0</v>
      </c>
      <c r="HK31" s="1759">
        <v>0</v>
      </c>
      <c r="HL31" s="1759">
        <v>0</v>
      </c>
      <c r="HM31" s="1759">
        <v>0</v>
      </c>
      <c r="HN31" s="1759">
        <v>0</v>
      </c>
      <c r="HO31" s="1759">
        <v>0</v>
      </c>
      <c r="HP31" s="1759">
        <v>0</v>
      </c>
      <c r="HQ31" s="1759">
        <v>0</v>
      </c>
      <c r="HR31" s="1759">
        <v>0</v>
      </c>
      <c r="HS31" s="1759">
        <v>0</v>
      </c>
      <c r="HT31" s="1759">
        <v>0</v>
      </c>
      <c r="HU31" s="1759">
        <v>0</v>
      </c>
      <c r="HV31" s="1759">
        <v>0</v>
      </c>
      <c r="HW31" s="1759">
        <v>0</v>
      </c>
      <c r="HX31" s="1759">
        <v>0</v>
      </c>
      <c r="HY31" s="1759">
        <v>0</v>
      </c>
      <c r="HZ31" s="1759">
        <v>0</v>
      </c>
      <c r="IA31" s="1759">
        <v>0</v>
      </c>
      <c r="IB31" s="1759">
        <v>0</v>
      </c>
      <c r="IC31" s="1759">
        <v>0</v>
      </c>
      <c r="ID31" s="1759">
        <v>0</v>
      </c>
      <c r="IE31" s="1759">
        <v>0</v>
      </c>
      <c r="IF31" s="1759">
        <v>0</v>
      </c>
      <c r="IG31" s="1759">
        <v>0</v>
      </c>
      <c r="IH31" s="1759">
        <v>0</v>
      </c>
      <c r="II31" s="1759">
        <v>0</v>
      </c>
      <c r="IJ31" s="1759">
        <v>0</v>
      </c>
      <c r="IK31" s="1759">
        <v>0</v>
      </c>
      <c r="IL31" s="1759">
        <v>0</v>
      </c>
      <c r="IM31" s="1759">
        <v>0</v>
      </c>
      <c r="IN31" s="1759">
        <v>0</v>
      </c>
      <c r="IO31" s="1759">
        <v>0</v>
      </c>
      <c r="IP31" s="1759">
        <v>0</v>
      </c>
      <c r="IQ31" s="1759">
        <v>0</v>
      </c>
      <c r="IR31" s="1759">
        <v>0</v>
      </c>
      <c r="IS31" s="1759">
        <v>0</v>
      </c>
      <c r="IT31" s="1759">
        <v>0</v>
      </c>
      <c r="IU31" s="1759">
        <v>0</v>
      </c>
      <c r="IV31" s="1759">
        <v>0</v>
      </c>
      <c r="IW31" s="1759">
        <v>0</v>
      </c>
      <c r="IX31" s="1759">
        <v>0</v>
      </c>
      <c r="IY31" s="1759">
        <v>0</v>
      </c>
      <c r="IZ31" s="1759">
        <v>0</v>
      </c>
      <c r="JA31" s="1759">
        <v>0</v>
      </c>
      <c r="JB31" s="1759">
        <v>0</v>
      </c>
      <c r="JC31" s="1759">
        <v>0</v>
      </c>
      <c r="JD31" s="1759">
        <v>0</v>
      </c>
      <c r="JE31" s="1759">
        <v>0</v>
      </c>
      <c r="JF31" s="1759">
        <v>0</v>
      </c>
      <c r="JG31" s="1759">
        <v>0</v>
      </c>
      <c r="JH31" s="1759">
        <v>0</v>
      </c>
      <c r="JI31" s="1759">
        <v>0</v>
      </c>
      <c r="JJ31" s="1759">
        <v>0</v>
      </c>
      <c r="JK31" s="1759">
        <v>0</v>
      </c>
      <c r="JL31" s="1759">
        <v>0</v>
      </c>
      <c r="JM31" s="1759">
        <v>0</v>
      </c>
      <c r="JN31" s="1759">
        <v>0</v>
      </c>
      <c r="JO31" s="1759">
        <v>0</v>
      </c>
      <c r="JP31" s="1759">
        <v>0</v>
      </c>
      <c r="JQ31" s="1759">
        <v>0</v>
      </c>
      <c r="JR31" s="1759">
        <v>0</v>
      </c>
      <c r="JS31" s="1759">
        <v>0</v>
      </c>
      <c r="JT31" s="1759">
        <v>0</v>
      </c>
      <c r="JU31" s="1759">
        <v>0</v>
      </c>
      <c r="JV31" s="1759">
        <v>0</v>
      </c>
      <c r="JW31" s="1759">
        <v>0</v>
      </c>
      <c r="JX31" s="1759">
        <v>0</v>
      </c>
      <c r="JY31" s="1759">
        <v>0</v>
      </c>
      <c r="JZ31" s="1759">
        <v>0</v>
      </c>
      <c r="KA31" s="1759">
        <v>0</v>
      </c>
      <c r="KB31" s="1759">
        <v>0</v>
      </c>
      <c r="KC31" s="1759">
        <v>0</v>
      </c>
      <c r="KD31" s="1759">
        <v>0</v>
      </c>
      <c r="KE31" s="1759">
        <v>0</v>
      </c>
      <c r="KF31" s="1759">
        <v>0</v>
      </c>
      <c r="KG31" s="1759">
        <v>0</v>
      </c>
      <c r="KH31" s="1759">
        <v>0</v>
      </c>
      <c r="KI31" s="1759">
        <v>0</v>
      </c>
      <c r="KJ31" s="1759">
        <v>0</v>
      </c>
      <c r="KK31" s="1759">
        <v>0</v>
      </c>
      <c r="KL31" s="1759">
        <v>0</v>
      </c>
      <c r="KM31" s="1759">
        <v>0</v>
      </c>
      <c r="KN31" s="1759">
        <v>0</v>
      </c>
      <c r="KO31" s="1759">
        <v>0</v>
      </c>
      <c r="KP31" s="1759">
        <v>0</v>
      </c>
      <c r="KQ31" s="904">
        <f>+IFERROR(VLOOKUP(KQ$27&amp;"-"&amp;$M31&amp;"_new",Ammortamento_Finanziario!$H:$L,5,FALSE),VLOOKUP($M31,TT_Tabelle_Riferimento!$D$127:$H$164,5,FALSE))</f>
        <v>40</v>
      </c>
      <c r="KR31" s="904">
        <f>+IFERROR(VLOOKUP(KR$27&amp;"-"&amp;$M31&amp;"_new",Ammortamento_Finanziario!$H:$L,5,FALSE),VLOOKUP($M31,TT_Tabelle_Riferimento!$D$127:$H$164,5,FALSE))</f>
        <v>40</v>
      </c>
      <c r="KS31" s="1762">
        <f>+IFERROR(VLOOKUP(KS$27&amp;"-"&amp;$M31&amp;"_new",Ammortamento_Finanziario!$H:$L,5,FALSE),VLOOKUP($M31,TT_Tabelle_Riferimento!$D$127:$H$164,5,FALSE))</f>
        <v>40</v>
      </c>
      <c r="KT31" s="1762">
        <f>+IFERROR(VLOOKUP(KT$27&amp;"-"&amp;$M31&amp;"_new",Ammortamento_Finanziario!$H:$L,5,FALSE),VLOOKUP($M31,TT_Tabelle_Riferimento!$D$127:$H$164,5,FALSE))</f>
        <v>40</v>
      </c>
      <c r="KU31" s="1762">
        <f>+IFERROR(VLOOKUP(KU$27&amp;"-"&amp;$M31&amp;"_new",Ammortamento_Finanziario!$H:$L,5,FALSE),VLOOKUP($M31,TT_Tabelle_Riferimento!$D$127:$H$164,5,FALSE))</f>
        <v>40</v>
      </c>
      <c r="KV31" s="1762">
        <f>+IFERROR(VLOOKUP(KV$27&amp;"-"&amp;$M31&amp;"_new",Ammortamento_Finanziario!$H:$L,5,FALSE),VLOOKUP($M31,TT_Tabelle_Riferimento!$D$127:$H$164,5,FALSE))</f>
        <v>40</v>
      </c>
      <c r="KW31" s="1762">
        <f>+IFERROR(VLOOKUP(KW$27&amp;"-"&amp;$M31&amp;"_new",Ammortamento_Finanziario!$H:$L,5,FALSE),VLOOKUP($M31,TT_Tabelle_Riferimento!$D$127:$H$164,5,FALSE))</f>
        <v>40</v>
      </c>
      <c r="KX31" s="1762">
        <f>+IFERROR(VLOOKUP(KX$27&amp;"-"&amp;$M31&amp;"_new",Ammortamento_Finanziario!$H:$L,5,FALSE),VLOOKUP($M31,TT_Tabelle_Riferimento!$D$127:$H$164,5,FALSE))</f>
        <v>40</v>
      </c>
      <c r="KY31" s="904">
        <f>+IFERROR(VLOOKUP(KY$27&amp;"-"&amp;$M31&amp;"_new",Ammortamento_Finanziario!$H:$L,5,FALSE),VLOOKUP($M31,TT_Tabelle_Riferimento!$D$127:$H$164,5,FALSE))</f>
        <v>40</v>
      </c>
      <c r="KZ31" s="904">
        <f>+IFERROR(VLOOKUP(KZ$27&amp;"-"&amp;$M31&amp;"_new",Ammortamento_Finanziario!$H:$L,5,FALSE),VLOOKUP($M31,TT_Tabelle_Riferimento!$D$127:$H$164,5,FALSE))</f>
        <v>40</v>
      </c>
      <c r="LA31" s="904">
        <f>+IFERROR(VLOOKUP(LA$27&amp;"-"&amp;$M31&amp;"_new",Ammortamento_Finanziario!$H:$L,5,FALSE),VLOOKUP($M31,TT_Tabelle_Riferimento!$D$127:$H$164,5,FALSE))</f>
        <v>40</v>
      </c>
      <c r="LB31" s="904">
        <f>+IFERROR(VLOOKUP(LB$27&amp;"-"&amp;$M31&amp;"_new",Ammortamento_Finanziario!$H:$L,5,FALSE),VLOOKUP($M31,TT_Tabelle_Riferimento!$D$127:$H$164,5,FALSE))</f>
        <v>40</v>
      </c>
      <c r="LC31" s="904">
        <f>+IFERROR(VLOOKUP(LC$27&amp;"-"&amp;$M31&amp;"_new",Ammortamento_Finanziario!$H:$L,5,FALSE),VLOOKUP($M31,TT_Tabelle_Riferimento!$D$127:$H$164,5,FALSE))</f>
        <v>40</v>
      </c>
      <c r="LD31" s="904">
        <f>+IFERROR(VLOOKUP(LD$27&amp;"-"&amp;$M31&amp;"_new",Ammortamento_Finanziario!$H:$L,5,FALSE),VLOOKUP($M31,TT_Tabelle_Riferimento!$D$127:$H$164,5,FALSE))</f>
        <v>40</v>
      </c>
      <c r="LE31" s="904">
        <f>+IFERROR(VLOOKUP(LE$27&amp;"-"&amp;$M31&amp;"_new",Ammortamento_Finanziario!$H:$L,5,FALSE),VLOOKUP($M31,TT_Tabelle_Riferimento!$D$127:$H$164,5,FALSE))</f>
        <v>40</v>
      </c>
      <c r="LF31" s="904">
        <f>+IFERROR(VLOOKUP(LF$27&amp;"-"&amp;$M31&amp;"_new",Ammortamento_Finanziario!$H:$L,5,FALSE),VLOOKUP($M31,TT_Tabelle_Riferimento!$D$127:$H$164,5,FALSE))</f>
        <v>40</v>
      </c>
      <c r="LG31" s="904">
        <f>+IFERROR(VLOOKUP(LG$27&amp;"-"&amp;$M31&amp;"_new",Ammortamento_Finanziario!$H:$L,5,FALSE),VLOOKUP($M31,TT_Tabelle_Riferimento!$D$127:$H$164,5,FALSE))</f>
        <v>40</v>
      </c>
      <c r="LH31" s="904">
        <f>+IFERROR(VLOOKUP(LH$27&amp;"-"&amp;$M31&amp;"_new",Ammortamento_Finanziario!$H:$L,5,FALSE),VLOOKUP($M31,TT_Tabelle_Riferimento!$D$127:$H$164,5,FALSE))</f>
        <v>40</v>
      </c>
      <c r="LI31" s="904">
        <f>+IFERROR(VLOOKUP(LI$27&amp;"-"&amp;$M31&amp;"_new",Ammortamento_Finanziario!$H:$L,5,FALSE),VLOOKUP($M31,TT_Tabelle_Riferimento!$D$127:$H$164,5,FALSE))</f>
        <v>40</v>
      </c>
      <c r="LJ31" s="904">
        <f>+IFERROR(VLOOKUP(LJ$27&amp;"-"&amp;$M31&amp;"_new",Ammortamento_Finanziario!$H:$L,5,FALSE),VLOOKUP($M31,TT_Tabelle_Riferimento!$D$127:$H$164,5,FALSE))</f>
        <v>40</v>
      </c>
      <c r="LK31" s="904">
        <f>+IFERROR(VLOOKUP(LK$27&amp;"-"&amp;$M31&amp;"_new",Ammortamento_Finanziario!$H:$L,5,FALSE),VLOOKUP($M31,TT_Tabelle_Riferimento!$D$127:$H$164,5,FALSE))</f>
        <v>40</v>
      </c>
      <c r="LL31" s="904">
        <f>+IFERROR(VLOOKUP(LL$27&amp;"-"&amp;$M31&amp;"_new",Ammortamento_Finanziario!$H:$L,5,FALSE),VLOOKUP($M31,TT_Tabelle_Riferimento!$D$127:$H$164,5,FALSE))</f>
        <v>40</v>
      </c>
      <c r="LM31" s="904">
        <f>+IFERROR(VLOOKUP(LM$27&amp;"-"&amp;$M31&amp;"_new",Ammortamento_Finanziario!$H:$L,5,FALSE),VLOOKUP($M31,TT_Tabelle_Riferimento!$D$127:$H$164,5,FALSE))</f>
        <v>40</v>
      </c>
      <c r="LN31" s="904">
        <f>+IFERROR(VLOOKUP(LN$27&amp;"-"&amp;$M31&amp;"_new",Ammortamento_Finanziario!$H:$L,5,FALSE),VLOOKUP($M31,TT_Tabelle_Riferimento!$D$127:$H$164,5,FALSE))</f>
        <v>40</v>
      </c>
      <c r="LO31" s="904">
        <f>+IFERROR(VLOOKUP(LO$27&amp;"-"&amp;$M31&amp;"_new",Ammortamento_Finanziario!$H:$L,5,FALSE),VLOOKUP($M31,TT_Tabelle_Riferimento!$D$127:$H$164,5,FALSE))</f>
        <v>40</v>
      </c>
      <c r="LP31" s="904">
        <f>+IFERROR(VLOOKUP(LP$27&amp;"-"&amp;$M31&amp;"_new",Ammortamento_Finanziario!$H:$L,5,FALSE),VLOOKUP($M31,TT_Tabelle_Riferimento!$D$127:$H$164,5,FALSE))</f>
        <v>40</v>
      </c>
      <c r="LQ31" s="904">
        <f>+IFERROR(VLOOKUP(LQ$27&amp;"-"&amp;$M31&amp;"_new",Ammortamento_Finanziario!$H:$L,5,FALSE),VLOOKUP($M31,TT_Tabelle_Riferimento!$D$127:$H$164,5,FALSE))</f>
        <v>40</v>
      </c>
      <c r="LR31" s="904">
        <f>+IFERROR(VLOOKUP(LR$27&amp;"-"&amp;$M31&amp;"_new",Ammortamento_Finanziario!$H:$L,5,FALSE),VLOOKUP($M31,TT_Tabelle_Riferimento!$D$127:$H$164,5,FALSE))</f>
        <v>40</v>
      </c>
      <c r="LS31" s="1762">
        <f>+IFERROR(VLOOKUP(LS$27&amp;"-"&amp;$M31&amp;"_new",Ammortamento_Finanziario!$H:$L,5,FALSE),VLOOKUP($M31,TT_Tabelle_Riferimento!$D$127:$H$164,5,FALSE))</f>
        <v>40</v>
      </c>
      <c r="LT31" s="1762">
        <f>+IFERROR(VLOOKUP(LT$27&amp;"-"&amp;$M31&amp;"_new",Ammortamento_Finanziario!$H:$L,5,FALSE),VLOOKUP($M31,TT_Tabelle_Riferimento!$D$127:$H$164,5,FALSE))</f>
        <v>40</v>
      </c>
      <c r="LU31" s="1762">
        <f>+IFERROR(VLOOKUP(LU$27&amp;"-"&amp;$M31&amp;"_new",Ammortamento_Finanziario!$H:$L,5,FALSE),VLOOKUP($M31,TT_Tabelle_Riferimento!$D$127:$H$164,5,FALSE))</f>
        <v>40</v>
      </c>
      <c r="LV31" s="1762">
        <f>+IFERROR(VLOOKUP(LV$27&amp;"-"&amp;$M31&amp;"_new",Ammortamento_Finanziario!$H:$L,5,FALSE),VLOOKUP($M31,TT_Tabelle_Riferimento!$D$127:$H$164,5,FALSE))</f>
        <v>40</v>
      </c>
      <c r="LW31" s="1762">
        <f>+IFERROR(VLOOKUP(LW$27&amp;"-"&amp;$M31&amp;"_new",Ammortamento_Finanziario!$H:$L,5,FALSE),VLOOKUP($M31,TT_Tabelle_Riferimento!$D$127:$H$164,5,FALSE))</f>
        <v>40</v>
      </c>
      <c r="LX31" s="1762">
        <f>+IFERROR(VLOOKUP(LX$27&amp;"-"&amp;$M31&amp;"_new",Ammortamento_Finanziario!$H:$L,5,FALSE),VLOOKUP($M31,TT_Tabelle_Riferimento!$D$127:$H$164,5,FALSE))</f>
        <v>40</v>
      </c>
      <c r="LY31" s="904">
        <f>+IFERROR(VLOOKUP(LY$27&amp;"-"&amp;$M31&amp;"_new",Ammortamento_Finanziario!$H:$L,5,FALSE),VLOOKUP($M31,TT_Tabelle_Riferimento!$D$127:$H$164,5,FALSE))</f>
        <v>40</v>
      </c>
      <c r="LZ31" s="904">
        <f>+IFERROR(VLOOKUP(LZ$27&amp;"-"&amp;$M31&amp;"_new",Ammortamento_Finanziario!$H:$L,5,FALSE),VLOOKUP($M31,TT_Tabelle_Riferimento!$D$127:$H$164,5,FALSE))</f>
        <v>40</v>
      </c>
      <c r="MA31" s="904">
        <f>+IFERROR(VLOOKUP(MA$27&amp;"-"&amp;$M31&amp;"_new",Ammortamento_Finanziario!$H:$L,5,FALSE),VLOOKUP($M31,TT_Tabelle_Riferimento!$D$127:$H$164,5,FALSE))</f>
        <v>40</v>
      </c>
      <c r="MB31" s="904">
        <f>+IFERROR(VLOOKUP(MB$27&amp;"-"&amp;$M31&amp;"_new",Ammortamento_Finanziario!$H:$L,5,FALSE),VLOOKUP($M31,TT_Tabelle_Riferimento!$D$127:$H$164,5,FALSE))</f>
        <v>40</v>
      </c>
      <c r="MC31" s="904">
        <f>+IFERROR(VLOOKUP(MC$27&amp;"-"&amp;$M31&amp;"_new",Ammortamento_Finanziario!$H:$L,5,FALSE),VLOOKUP($M31,TT_Tabelle_Riferimento!$D$127:$H$164,5,FALSE))</f>
        <v>40</v>
      </c>
      <c r="MD31" s="904">
        <f>+IFERROR(VLOOKUP(MD$27&amp;"-"&amp;$M31&amp;"_new",Ammortamento_Finanziario!$H:$L,5,FALSE),VLOOKUP($M31,TT_Tabelle_Riferimento!$D$127:$H$164,5,FALSE))</f>
        <v>40</v>
      </c>
      <c r="ME31" s="904">
        <f>+IFERROR(VLOOKUP(ME$27&amp;"-"&amp;$M31&amp;"_new",Ammortamento_Finanziario!$H:$L,5,FALSE),VLOOKUP($M31,TT_Tabelle_Riferimento!$D$127:$H$164,5,FALSE))</f>
        <v>40</v>
      </c>
      <c r="MF31" s="904">
        <f>+IFERROR(VLOOKUP(MF$27&amp;"-"&amp;$M31&amp;"_new",Ammortamento_Finanziario!$H:$L,5,FALSE),VLOOKUP($M31,TT_Tabelle_Riferimento!$D$127:$H$164,5,FALSE))</f>
        <v>40</v>
      </c>
      <c r="MG31" s="904">
        <f>+IFERROR(VLOOKUP(MG$27&amp;"-"&amp;$M31&amp;"_new",Ammortamento_Finanziario!$H:$L,5,FALSE),VLOOKUP($M31,TT_Tabelle_Riferimento!$D$127:$H$164,5,FALSE))</f>
        <v>40</v>
      </c>
      <c r="MH31" s="904">
        <f>+IFERROR(VLOOKUP(MH$27&amp;"-"&amp;$M31&amp;"_new",Ammortamento_Finanziario!$H:$L,5,FALSE),VLOOKUP($M31,TT_Tabelle_Riferimento!$D$127:$H$164,5,FALSE))</f>
        <v>40</v>
      </c>
      <c r="MI31" s="904">
        <f>+IFERROR(VLOOKUP(MI$27&amp;"-"&amp;$M31&amp;"_new",Ammortamento_Finanziario!$H:$L,5,FALSE),VLOOKUP($M31,TT_Tabelle_Riferimento!$D$127:$H$164,5,FALSE))</f>
        <v>40</v>
      </c>
      <c r="MJ31" s="904">
        <f>+IFERROR(VLOOKUP(MJ$27&amp;"-"&amp;$M31&amp;"_new",Ammortamento_Finanziario!$H:$L,5,FALSE),VLOOKUP($M31,TT_Tabelle_Riferimento!$D$127:$H$164,5,FALSE))</f>
        <v>40</v>
      </c>
      <c r="MK31" s="904">
        <f>+IFERROR(VLOOKUP(MK$27&amp;"-"&amp;$M31&amp;"_new",Ammortamento_Finanziario!$H:$L,5,FALSE),VLOOKUP($M31,TT_Tabelle_Riferimento!$D$127:$H$164,5,FALSE))</f>
        <v>40</v>
      </c>
      <c r="ML31" s="904">
        <f>+IFERROR(VLOOKUP(ML$27&amp;"-"&amp;$M31&amp;"_new",Ammortamento_Finanziario!$H:$L,5,FALSE),VLOOKUP($M31,TT_Tabelle_Riferimento!$D$127:$H$164,5,FALSE))</f>
        <v>40</v>
      </c>
      <c r="MM31" s="904">
        <f>+IFERROR(VLOOKUP(MM$27&amp;"-"&amp;$M31&amp;"_new",Ammortamento_Finanziario!$H:$L,5,FALSE),VLOOKUP($M31,TT_Tabelle_Riferimento!$D$127:$H$164,5,FALSE))</f>
        <v>40</v>
      </c>
      <c r="MN31" s="904">
        <f>+IFERROR(VLOOKUP(MN$27&amp;"-"&amp;$M31&amp;"_new",Ammortamento_Finanziario!$H:$L,5,FALSE),VLOOKUP($M31,TT_Tabelle_Riferimento!$D$127:$H$164,5,FALSE))</f>
        <v>40</v>
      </c>
      <c r="MO31" s="904">
        <f>+IFERROR(VLOOKUP(MO$27&amp;"-"&amp;$M31&amp;"_new",Ammortamento_Finanziario!$H:$L,5,FALSE),VLOOKUP($M31,TT_Tabelle_Riferimento!$D$127:$H$164,5,FALSE))</f>
        <v>40</v>
      </c>
      <c r="MP31" s="904">
        <f>+IFERROR(VLOOKUP(MP$27&amp;"-"&amp;$M31&amp;"_new",Ammortamento_Finanziario!$H:$L,5,FALSE),VLOOKUP($M31,TT_Tabelle_Riferimento!$D$127:$H$164,5,FALSE))</f>
        <v>40</v>
      </c>
      <c r="MQ31" s="904">
        <f>+IFERROR(VLOOKUP(MQ$27&amp;"-"&amp;$M31&amp;"_new",Ammortamento_Finanziario!$H:$L,5,FALSE),VLOOKUP($M31,TT_Tabelle_Riferimento!$D$127:$H$164,5,FALSE))</f>
        <v>40</v>
      </c>
      <c r="MR31" s="1762">
        <f>+IFERROR(VLOOKUP(MR$27&amp;"-"&amp;$M31&amp;"_new",Ammortamento_Finanziario!$H:$L,5,FALSE),VLOOKUP($M31,TT_Tabelle_Riferimento!$D$127:$H$164,5,FALSE))</f>
        <v>40</v>
      </c>
      <c r="MS31" s="1762">
        <f>+IFERROR(VLOOKUP(MS$27&amp;"-"&amp;$M31&amp;"_new",Ammortamento_Finanziario!$H:$L,5,FALSE),VLOOKUP($M31,TT_Tabelle_Riferimento!$D$127:$H$164,5,FALSE))</f>
        <v>40</v>
      </c>
      <c r="MT31" s="1762">
        <f>+IFERROR(VLOOKUP(MT$27&amp;"-"&amp;$M31&amp;"_new",Ammortamento_Finanziario!$H:$L,5,FALSE),VLOOKUP($M31,TT_Tabelle_Riferimento!$D$127:$H$164,5,FALSE))</f>
        <v>40</v>
      </c>
      <c r="MU31" s="1762">
        <f>+IFERROR(VLOOKUP(MU$27&amp;"-"&amp;$M31&amp;"_new",Ammortamento_Finanziario!$H:$L,5,FALSE),VLOOKUP($M31,TT_Tabelle_Riferimento!$D$127:$H$164,5,FALSE))</f>
        <v>40</v>
      </c>
      <c r="MV31" s="1762">
        <f>+IFERROR(VLOOKUP(MV$27&amp;"-"&amp;$M31&amp;"_new",Ammortamento_Finanziario!$H:$L,5,FALSE),VLOOKUP($M31,TT_Tabelle_Riferimento!$D$127:$H$164,5,FALSE))</f>
        <v>40</v>
      </c>
      <c r="MW31" s="1762">
        <f>+IFERROR(VLOOKUP(MW$27&amp;"-"&amp;$M31&amp;"_new",Ammortamento_Finanziario!$H:$L,5,FALSE),VLOOKUP($M31,TT_Tabelle_Riferimento!$D$127:$H$164,5,FALSE))</f>
        <v>40</v>
      </c>
      <c r="MX31" s="904">
        <f>+IFERROR(VLOOKUP(MX$27&amp;"-"&amp;$M31&amp;"_new",Ammortamento_Finanziario!$H:$L,5,FALSE),VLOOKUP($M31,TT_Tabelle_Riferimento!$D$127:$H$164,5,FALSE))</f>
        <v>40</v>
      </c>
      <c r="MY31" s="904">
        <f>+IFERROR(VLOOKUP(MY$27&amp;"-"&amp;$M31&amp;"_new",Ammortamento_Finanziario!$H:$L,5,FALSE),VLOOKUP($M31,TT_Tabelle_Riferimento!$D$127:$H$164,5,FALSE))</f>
        <v>40</v>
      </c>
      <c r="MZ31" s="904">
        <f>+IFERROR(VLOOKUP(MZ$27&amp;"-"&amp;$M31&amp;"_new",Ammortamento_Finanziario!$H:$L,5,FALSE),VLOOKUP($M31,TT_Tabelle_Riferimento!$D$127:$H$164,5,FALSE))</f>
        <v>40</v>
      </c>
      <c r="NA31" s="904">
        <f>+IFERROR(VLOOKUP(NA$27&amp;"-"&amp;$M31&amp;"_new",Ammortamento_Finanziario!$H:$L,5,FALSE),VLOOKUP($M31,TT_Tabelle_Riferimento!$D$127:$H$164,5,FALSE))</f>
        <v>40</v>
      </c>
      <c r="NB31" s="904">
        <f>+IFERROR(VLOOKUP(NB$27&amp;"-"&amp;$M31&amp;"_new",Ammortamento_Finanziario!$H:$L,5,FALSE),VLOOKUP($M31,TT_Tabelle_Riferimento!$D$127:$H$164,5,FALSE))</f>
        <v>40</v>
      </c>
      <c r="NC31" s="904">
        <f>+IFERROR(VLOOKUP(NC$27&amp;"-"&amp;$M31&amp;"_new",Ammortamento_Finanziario!$H:$L,5,FALSE),VLOOKUP($M31,TT_Tabelle_Riferimento!$D$127:$H$164,5,FALSE))</f>
        <v>40</v>
      </c>
      <c r="ND31" s="904">
        <f>+IFERROR(VLOOKUP(ND$27&amp;"-"&amp;$M31&amp;"_new",Ammortamento_Finanziario!$H:$L,5,FALSE),VLOOKUP($M31,TT_Tabelle_Riferimento!$D$127:$H$164,5,FALSE))</f>
        <v>40</v>
      </c>
      <c r="NE31" s="904">
        <f>+IFERROR(VLOOKUP(NE$27&amp;"-"&amp;$M31&amp;"_new",Ammortamento_Finanziario!$H:$L,5,FALSE),VLOOKUP($M31,TT_Tabelle_Riferimento!$D$127:$H$164,5,FALSE))</f>
        <v>40</v>
      </c>
      <c r="NF31" s="904">
        <f>+IFERROR(VLOOKUP(NF$27&amp;"-"&amp;$M31&amp;"_new",Ammortamento_Finanziario!$H:$L,5,FALSE),VLOOKUP($M31,TT_Tabelle_Riferimento!$D$127:$H$164,5,FALSE))</f>
        <v>40</v>
      </c>
      <c r="NG31" s="904">
        <f>+IFERROR(VLOOKUP(NG$27&amp;"-"&amp;$M31&amp;"_new",Ammortamento_Finanziario!$H:$L,5,FALSE),VLOOKUP($M31,TT_Tabelle_Riferimento!$D$127:$H$164,5,FALSE))</f>
        <v>40</v>
      </c>
      <c r="NH31" s="904">
        <f>+IFERROR(VLOOKUP(NH$27&amp;"-"&amp;$M31&amp;"_new",Ammortamento_Finanziario!$H:$L,5,FALSE),VLOOKUP($M31,TT_Tabelle_Riferimento!$D$127:$H$164,5,FALSE))</f>
        <v>40</v>
      </c>
      <c r="NI31" s="904">
        <f>+IFERROR(VLOOKUP(NI$27&amp;"-"&amp;$M31&amp;"_new",Ammortamento_Finanziario!$H:$L,5,FALSE),VLOOKUP($M31,TT_Tabelle_Riferimento!$D$127:$H$164,5,FALSE))</f>
        <v>40</v>
      </c>
      <c r="NJ31" s="904">
        <f>+IFERROR(VLOOKUP(NJ$27&amp;"-"&amp;$M31&amp;"_new",Ammortamento_Finanziario!$H:$L,5,FALSE),VLOOKUP($M31,TT_Tabelle_Riferimento!$D$127:$H$164,5,FALSE))</f>
        <v>40</v>
      </c>
      <c r="NK31" s="904">
        <f>+IFERROR(VLOOKUP(NK$27&amp;"-"&amp;$M31&amp;"_new",Ammortamento_Finanziario!$H:$L,5,FALSE),VLOOKUP($M31,TT_Tabelle_Riferimento!$D$127:$H$164,5,FALSE))</f>
        <v>40</v>
      </c>
      <c r="NL31" s="904">
        <f>+IFERROR(VLOOKUP(NL$27&amp;"-"&amp;$M31&amp;"_new",Ammortamento_Finanziario!$H:$L,5,FALSE),VLOOKUP($M31,TT_Tabelle_Riferimento!$D$127:$H$164,5,FALSE))</f>
        <v>40</v>
      </c>
      <c r="NM31" s="904">
        <f>+IFERROR(VLOOKUP(NM$27&amp;"-"&amp;$M31&amp;"_new",Ammortamento_Finanziario!$H:$L,5,FALSE),VLOOKUP($M31,TT_Tabelle_Riferimento!$D$127:$H$164,5,FALSE))</f>
        <v>40</v>
      </c>
      <c r="NN31" s="904">
        <f>+IFERROR(VLOOKUP(NN$27&amp;"-"&amp;$M31&amp;"_new",Ammortamento_Finanziario!$H:$L,5,FALSE),VLOOKUP($M31,TT_Tabelle_Riferimento!$D$127:$H$164,5,FALSE))</f>
        <v>40</v>
      </c>
      <c r="NO31" s="904">
        <f>+IFERROR(VLOOKUP(NO$27&amp;"-"&amp;$M31&amp;"_new",Ammortamento_Finanziario!$H:$L,5,FALSE),VLOOKUP($M31,TT_Tabelle_Riferimento!$D$127:$H$164,5,FALSE))</f>
        <v>40</v>
      </c>
      <c r="NP31" s="904">
        <f>+IFERROR(VLOOKUP(NP$27&amp;"-"&amp;$M31&amp;"_new",Ammortamento_Finanziario!$H:$L,5,FALSE),VLOOKUP($M31,TT_Tabelle_Riferimento!$D$127:$H$164,5,FALSE))</f>
        <v>40</v>
      </c>
      <c r="NQ31" s="1762">
        <f>+IFERROR(VLOOKUP(NQ$27&amp;"-"&amp;$M31&amp;"_new",Ammortamento_Finanziario!$H:$L,5,FALSE),VLOOKUP($M31,TT_Tabelle_Riferimento!$D$127:$H$164,5,FALSE))</f>
        <v>40</v>
      </c>
      <c r="NR31" s="1762">
        <f>+IFERROR(VLOOKUP(NR$27&amp;"-"&amp;$M31&amp;"_new",Ammortamento_Finanziario!$H:$L,5,FALSE),VLOOKUP($M31,TT_Tabelle_Riferimento!$D$127:$H$164,5,FALSE))</f>
        <v>40</v>
      </c>
      <c r="NS31" s="1762">
        <f>+IFERROR(VLOOKUP(NS$27&amp;"-"&amp;$M31&amp;"_new",Ammortamento_Finanziario!$H:$L,5,FALSE),VLOOKUP($M31,TT_Tabelle_Riferimento!$D$127:$H$164,5,FALSE))</f>
        <v>40</v>
      </c>
      <c r="NT31" s="1762">
        <f>+IFERROR(VLOOKUP(NT$27&amp;"-"&amp;$M31&amp;"_new",Ammortamento_Finanziario!$H:$L,5,FALSE),VLOOKUP($M31,TT_Tabelle_Riferimento!$D$127:$H$164,5,FALSE))</f>
        <v>40</v>
      </c>
      <c r="NU31" s="1762">
        <f>+IFERROR(VLOOKUP(NU$27&amp;"-"&amp;$M31&amp;"_new",Ammortamento_Finanziario!$H:$L,5,FALSE),VLOOKUP($M31,TT_Tabelle_Riferimento!$D$127:$H$164,5,FALSE))</f>
        <v>40</v>
      </c>
      <c r="NV31" s="904">
        <f>+IFERROR(VLOOKUP(NV$27&amp;"-"&amp;$M31&amp;"_new",Ammortamento_Finanziario!$H:$L,5,FALSE),VLOOKUP($M31,TT_Tabelle_Riferimento!$D$127:$H$164,5,FALSE))</f>
        <v>40</v>
      </c>
      <c r="NW31" s="904">
        <f>+IFERROR(VLOOKUP(NW$27&amp;"-"&amp;$M31&amp;"_new",Ammortamento_Finanziario!$H:$L,5,FALSE),VLOOKUP($M31,TT_Tabelle_Riferimento!$D$127:$H$164,5,FALSE))</f>
        <v>40</v>
      </c>
      <c r="NX31" s="904">
        <f>+IFERROR(VLOOKUP(NX$27&amp;"-"&amp;$M31&amp;"_new",Ammortamento_Finanziario!$H:$L,5,FALSE),VLOOKUP($M31,TT_Tabelle_Riferimento!$D$127:$H$164,5,FALSE))</f>
        <v>40</v>
      </c>
      <c r="NY31" s="904">
        <f>+IFERROR(VLOOKUP(NY$27&amp;"-"&amp;$M31&amp;"_new",Ammortamento_Finanziario!$H:$L,5,FALSE),VLOOKUP($M31,TT_Tabelle_Riferimento!$D$127:$H$164,5,FALSE))</f>
        <v>40</v>
      </c>
      <c r="NZ31" s="904">
        <f>+IFERROR(VLOOKUP(NZ$27&amp;"-"&amp;$M31&amp;"_new",Ammortamento_Finanziario!$H:$L,5,FALSE),VLOOKUP($M31,TT_Tabelle_Riferimento!$D$127:$H$164,5,FALSE))</f>
        <v>40</v>
      </c>
      <c r="OA31" s="904">
        <f>+IFERROR(VLOOKUP(OA$27&amp;"-"&amp;$M31&amp;"_new",Ammortamento_Finanziario!$H:$L,5,FALSE),VLOOKUP($M31,TT_Tabelle_Riferimento!$D$127:$H$164,5,FALSE))</f>
        <v>40</v>
      </c>
      <c r="OB31" s="904">
        <f>+IFERROR(VLOOKUP(OB$27&amp;"-"&amp;$M31&amp;"_new",Ammortamento_Finanziario!$H:$L,5,FALSE),VLOOKUP($M31,TT_Tabelle_Riferimento!$D$127:$H$164,5,FALSE))</f>
        <v>40</v>
      </c>
      <c r="OC31" s="904">
        <f>+IFERROR(VLOOKUP(OC$27&amp;"-"&amp;$M31&amp;"_new",Ammortamento_Finanziario!$H:$L,5,FALSE),VLOOKUP($M31,TT_Tabelle_Riferimento!$D$127:$H$164,5,FALSE))</f>
        <v>40</v>
      </c>
      <c r="OD31" s="904">
        <f>+IFERROR(VLOOKUP(OD$27&amp;"-"&amp;$M31&amp;"_new",Ammortamento_Finanziario!$H:$L,5,FALSE),VLOOKUP($M31,TT_Tabelle_Riferimento!$D$127:$H$164,5,FALSE))</f>
        <v>40</v>
      </c>
      <c r="OE31" s="904">
        <f>+IFERROR(VLOOKUP(OE$27&amp;"-"&amp;$M31&amp;"_new",Ammortamento_Finanziario!$H:$L,5,FALSE),VLOOKUP($M31,TT_Tabelle_Riferimento!$D$127:$H$164,5,FALSE))</f>
        <v>40</v>
      </c>
      <c r="OF31" s="904">
        <f>+IFERROR(VLOOKUP(OF$27&amp;"-"&amp;$M31&amp;"_new",Ammortamento_Finanziario!$H:$L,5,FALSE),VLOOKUP($M31,TT_Tabelle_Riferimento!$D$127:$H$164,5,FALSE))</f>
        <v>40</v>
      </c>
      <c r="OG31" s="904">
        <f>+IFERROR(VLOOKUP(OG$27&amp;"-"&amp;$M31&amp;"_new",Ammortamento_Finanziario!$H:$L,5,FALSE),VLOOKUP($M31,TT_Tabelle_Riferimento!$D$127:$H$164,5,FALSE))</f>
        <v>40</v>
      </c>
      <c r="OH31" s="904">
        <f>+IFERROR(VLOOKUP(OH$27&amp;"-"&amp;$M31&amp;"_new",Ammortamento_Finanziario!$H:$L,5,FALSE),VLOOKUP($M31,TT_Tabelle_Riferimento!$D$127:$H$164,5,FALSE))</f>
        <v>40</v>
      </c>
      <c r="OI31" s="904">
        <f>+IFERROR(VLOOKUP(OI$27&amp;"-"&amp;$M31&amp;"_new",Ammortamento_Finanziario!$H:$L,5,FALSE),VLOOKUP($M31,TT_Tabelle_Riferimento!$D$127:$H$164,5,FALSE))</f>
        <v>40</v>
      </c>
      <c r="OJ31" s="904">
        <f>+IFERROR(VLOOKUP(OJ$27&amp;"-"&amp;$M31&amp;"_new",Ammortamento_Finanziario!$H:$L,5,FALSE),VLOOKUP($M31,TT_Tabelle_Riferimento!$D$127:$H$164,5,FALSE))</f>
        <v>40</v>
      </c>
      <c r="OK31" s="904">
        <f>+IFERROR(VLOOKUP(OK$27&amp;"-"&amp;$M31&amp;"_new",Ammortamento_Finanziario!$H:$L,5,FALSE),VLOOKUP($M31,TT_Tabelle_Riferimento!$D$127:$H$164,5,FALSE))</f>
        <v>40</v>
      </c>
      <c r="OL31" s="904">
        <f>+IFERROR(VLOOKUP(OL$27&amp;"-"&amp;$M31&amp;"_new",Ammortamento_Finanziario!$H:$L,5,FALSE),VLOOKUP($M31,TT_Tabelle_Riferimento!$D$127:$H$164,5,FALSE))</f>
        <v>40</v>
      </c>
      <c r="OM31" s="904">
        <f>+IFERROR(VLOOKUP(OM$27&amp;"-"&amp;$M31&amp;"_new",Ammortamento_Finanziario!$H:$L,5,FALSE),VLOOKUP($M31,TT_Tabelle_Riferimento!$D$127:$H$164,5,FALSE))</f>
        <v>40</v>
      </c>
      <c r="ON31" s="904">
        <f>+IFERROR(VLOOKUP(ON$27&amp;"-"&amp;$M31&amp;"_new",Ammortamento_Finanziario!$H:$L,5,FALSE),VLOOKUP($M31,TT_Tabelle_Riferimento!$D$127:$H$164,5,FALSE))</f>
        <v>40</v>
      </c>
      <c r="OO31" s="1762">
        <f>+IFERROR(VLOOKUP(OO$27&amp;"-"&amp;$M31&amp;"_new",Ammortamento_Finanziario!$H:$L,5,FALSE),VLOOKUP($M31,TT_Tabelle_Riferimento!$D$127:$H$164,5,FALSE))</f>
        <v>40</v>
      </c>
      <c r="OP31" s="1762">
        <f>+IFERROR(VLOOKUP(OP$27&amp;"-"&amp;$M31&amp;"_new",Ammortamento_Finanziario!$H:$L,5,FALSE),VLOOKUP($M31,TT_Tabelle_Riferimento!$D$127:$H$164,5,FALSE))</f>
        <v>40</v>
      </c>
      <c r="OQ31" s="1762">
        <f>+IFERROR(VLOOKUP(OQ$27&amp;"-"&amp;$M31&amp;"_new",Ammortamento_Finanziario!$H:$L,5,FALSE),VLOOKUP($M31,TT_Tabelle_Riferimento!$D$127:$H$164,5,FALSE))</f>
        <v>40</v>
      </c>
      <c r="OR31" s="1762">
        <f>+IFERROR(VLOOKUP(OR$27&amp;"-"&amp;$M31&amp;"_new",Ammortamento_Finanziario!$H:$L,5,FALSE),VLOOKUP($M31,TT_Tabelle_Riferimento!$D$127:$H$164,5,FALSE))</f>
        <v>40</v>
      </c>
      <c r="OS31" s="904">
        <f>+IFERROR(VLOOKUP(OS$27&amp;"-"&amp;$M31&amp;"_new",Ammortamento_Finanziario!$H:$L,5,FALSE),VLOOKUP($M31,TT_Tabelle_Riferimento!$D$127:$H$164,5,FALSE))</f>
        <v>40</v>
      </c>
      <c r="OT31" s="904">
        <f>+IFERROR(VLOOKUP(OT$27&amp;"-"&amp;$M31&amp;"_new",Ammortamento_Finanziario!$H:$L,5,FALSE),VLOOKUP($M31,TT_Tabelle_Riferimento!$D$127:$H$164,5,FALSE))</f>
        <v>40</v>
      </c>
      <c r="OU31" s="904">
        <f>+IFERROR(VLOOKUP(OU$27&amp;"-"&amp;$M31&amp;"_new",Ammortamento_Finanziario!$H:$L,5,FALSE),VLOOKUP($M31,TT_Tabelle_Riferimento!$D$127:$H$164,5,FALSE))</f>
        <v>40</v>
      </c>
      <c r="OV31" s="904">
        <f>+IFERROR(VLOOKUP(OV$27&amp;"-"&amp;$M31&amp;"_new",Ammortamento_Finanziario!$H:$L,5,FALSE),VLOOKUP($M31,TT_Tabelle_Riferimento!$D$127:$H$164,5,FALSE))</f>
        <v>40</v>
      </c>
      <c r="OW31" s="904">
        <f>+IFERROR(VLOOKUP(OW$27&amp;"-"&amp;$M31&amp;"_new",Ammortamento_Finanziario!$H:$L,5,FALSE),VLOOKUP($M31,TT_Tabelle_Riferimento!$D$127:$H$164,5,FALSE))</f>
        <v>40</v>
      </c>
      <c r="OX31" s="904">
        <f>+IFERROR(VLOOKUP(OX$27&amp;"-"&amp;$M31&amp;"_new",Ammortamento_Finanziario!$H:$L,5,FALSE),VLOOKUP($M31,TT_Tabelle_Riferimento!$D$127:$H$164,5,FALSE))</f>
        <v>40</v>
      </c>
      <c r="OY31" s="904">
        <f>+IFERROR(VLOOKUP(OY$27&amp;"-"&amp;$M31&amp;"_new",Ammortamento_Finanziario!$H:$L,5,FALSE),VLOOKUP($M31,TT_Tabelle_Riferimento!$D$127:$H$164,5,FALSE))</f>
        <v>40</v>
      </c>
      <c r="OZ31" s="904">
        <f>+IFERROR(VLOOKUP(OZ$27&amp;"-"&amp;$M31&amp;"_new",Ammortamento_Finanziario!$H:$L,5,FALSE),VLOOKUP($M31,TT_Tabelle_Riferimento!$D$127:$H$164,5,FALSE))</f>
        <v>40</v>
      </c>
      <c r="PA31" s="904">
        <f>+IFERROR(VLOOKUP(PA$27&amp;"-"&amp;$M31&amp;"_new",Ammortamento_Finanziario!$H:$L,5,FALSE),VLOOKUP($M31,TT_Tabelle_Riferimento!$D$127:$H$164,5,FALSE))</f>
        <v>40</v>
      </c>
      <c r="PB31" s="904">
        <f>+IFERROR(VLOOKUP(PB$27&amp;"-"&amp;$M31&amp;"_new",Ammortamento_Finanziario!$H:$L,5,FALSE),VLOOKUP($M31,TT_Tabelle_Riferimento!$D$127:$H$164,5,FALSE))</f>
        <v>40</v>
      </c>
      <c r="PC31" s="904">
        <f>+IFERROR(VLOOKUP(PC$27&amp;"-"&amp;$M31&amp;"_new",Ammortamento_Finanziario!$H:$L,5,FALSE),VLOOKUP($M31,TT_Tabelle_Riferimento!$D$127:$H$164,5,FALSE))</f>
        <v>40</v>
      </c>
      <c r="PD31" s="904">
        <f>+IFERROR(VLOOKUP(PD$27&amp;"-"&amp;$M31&amp;"_new",Ammortamento_Finanziario!$H:$L,5,FALSE),VLOOKUP($M31,TT_Tabelle_Riferimento!$D$127:$H$164,5,FALSE))</f>
        <v>40</v>
      </c>
      <c r="PE31" s="904">
        <f>+IFERROR(VLOOKUP(PE$27&amp;"-"&amp;$M31&amp;"_new",Ammortamento_Finanziario!$H:$L,5,FALSE),VLOOKUP($M31,TT_Tabelle_Riferimento!$D$127:$H$164,5,FALSE))</f>
        <v>40</v>
      </c>
      <c r="PF31" s="904">
        <f>+IFERROR(VLOOKUP(PF$27&amp;"-"&amp;$M31&amp;"_new",Ammortamento_Finanziario!$H:$L,5,FALSE),VLOOKUP($M31,TT_Tabelle_Riferimento!$D$127:$H$164,5,FALSE))</f>
        <v>40</v>
      </c>
      <c r="PG31" s="904">
        <f>+IFERROR(VLOOKUP(PG$27&amp;"-"&amp;$M31&amp;"_new",Ammortamento_Finanziario!$H:$L,5,FALSE),VLOOKUP($M31,TT_Tabelle_Riferimento!$D$127:$H$164,5,FALSE))</f>
        <v>40</v>
      </c>
      <c r="PH31" s="904">
        <f>+IFERROR(VLOOKUP(PH$27&amp;"-"&amp;$M31&amp;"_new",Ammortamento_Finanziario!$H:$L,5,FALSE),VLOOKUP($M31,TT_Tabelle_Riferimento!$D$127:$H$164,5,FALSE))</f>
        <v>40</v>
      </c>
      <c r="PI31" s="904">
        <f>+IFERROR(VLOOKUP(PI$27&amp;"-"&amp;$M31&amp;"_new",Ammortamento_Finanziario!$H:$L,5,FALSE),VLOOKUP($M31,TT_Tabelle_Riferimento!$D$127:$H$164,5,FALSE))</f>
        <v>40</v>
      </c>
      <c r="PJ31" s="904">
        <f>+IFERROR(VLOOKUP(PJ$27&amp;"-"&amp;$M31&amp;"_new",Ammortamento_Finanziario!$H:$L,5,FALSE),VLOOKUP($M31,TT_Tabelle_Riferimento!$D$127:$H$164,5,FALSE))</f>
        <v>40</v>
      </c>
      <c r="PK31" s="904">
        <f>+IFERROR(VLOOKUP(PK$27&amp;"-"&amp;$M31&amp;"_new",Ammortamento_Finanziario!$H:$L,5,FALSE),VLOOKUP($M31,TT_Tabelle_Riferimento!$D$127:$H$164,5,FALSE))</f>
        <v>40</v>
      </c>
      <c r="PL31" s="1762">
        <f>+IFERROR(VLOOKUP(PL$27&amp;"-"&amp;$M31&amp;"_new",Ammortamento_Finanziario!$H:$L,5,FALSE),VLOOKUP($M31,TT_Tabelle_Riferimento!$D$127:$H$164,5,FALSE))</f>
        <v>40</v>
      </c>
      <c r="PM31" s="1762">
        <f>+IFERROR(VLOOKUP(PM$27&amp;"-"&amp;$M31&amp;"_new",Ammortamento_Finanziario!$H:$L,5,FALSE),VLOOKUP($M31,TT_Tabelle_Riferimento!$D$127:$H$164,5,FALSE))</f>
        <v>40</v>
      </c>
      <c r="PN31" s="1762">
        <f>+IFERROR(VLOOKUP(PN$27&amp;"-"&amp;$M31&amp;"_new",Ammortamento_Finanziario!$H:$L,5,FALSE),VLOOKUP($M31,TT_Tabelle_Riferimento!$D$127:$H$164,5,FALSE))</f>
        <v>40</v>
      </c>
      <c r="PO31" s="904">
        <f>+IFERROR(VLOOKUP(PO$27&amp;"-"&amp;$M31&amp;"_new",Ammortamento_Finanziario!$H:$L,5,FALSE),VLOOKUP($M31,TT_Tabelle_Riferimento!$D$127:$H$164,5,FALSE))</f>
        <v>40</v>
      </c>
      <c r="PP31" s="904">
        <f>+IFERROR(VLOOKUP(PP$27&amp;"-"&amp;$M31&amp;"_new",Ammortamento_Finanziario!$H:$L,5,FALSE),VLOOKUP($M31,TT_Tabelle_Riferimento!$D$127:$H$164,5,FALSE))</f>
        <v>40</v>
      </c>
      <c r="PQ31" s="904">
        <f>+IFERROR(VLOOKUP(PQ$27&amp;"-"&amp;$M31&amp;"_new",Ammortamento_Finanziario!$H:$L,5,FALSE),VLOOKUP($M31,TT_Tabelle_Riferimento!$D$127:$H$164,5,FALSE))</f>
        <v>40</v>
      </c>
      <c r="PR31" s="904">
        <f>+IFERROR(VLOOKUP(PR$27&amp;"-"&amp;$M31&amp;"_new",Ammortamento_Finanziario!$H:$L,5,FALSE),VLOOKUP($M31,TT_Tabelle_Riferimento!$D$127:$H$164,5,FALSE))</f>
        <v>40</v>
      </c>
      <c r="PS31" s="904">
        <f>+IFERROR(VLOOKUP(PS$27&amp;"-"&amp;$M31&amp;"_new",Ammortamento_Finanziario!$H:$L,5,FALSE),VLOOKUP($M31,TT_Tabelle_Riferimento!$D$127:$H$164,5,FALSE))</f>
        <v>40</v>
      </c>
      <c r="PT31" s="904">
        <f>+IFERROR(VLOOKUP(PT$27&amp;"-"&amp;$M31&amp;"_new",Ammortamento_Finanziario!$H:$L,5,FALSE),VLOOKUP($M31,TT_Tabelle_Riferimento!$D$127:$H$164,5,FALSE))</f>
        <v>40</v>
      </c>
      <c r="PU31" s="904">
        <f>+IFERROR(VLOOKUP(PU$27&amp;"-"&amp;$M31&amp;"_new",Ammortamento_Finanziario!$H:$L,5,FALSE),VLOOKUP($M31,TT_Tabelle_Riferimento!$D$127:$H$164,5,FALSE))</f>
        <v>40</v>
      </c>
      <c r="PV31" s="904">
        <f>+IFERROR(VLOOKUP(PV$27&amp;"-"&amp;$M31&amp;"_new",Ammortamento_Finanziario!$H:$L,5,FALSE),VLOOKUP($M31,TT_Tabelle_Riferimento!$D$127:$H$164,5,FALSE))</f>
        <v>40</v>
      </c>
      <c r="PW31" s="904">
        <f>+IFERROR(VLOOKUP(PW$27&amp;"-"&amp;$M31&amp;"_new",Ammortamento_Finanziario!$H:$L,5,FALSE),VLOOKUP($M31,TT_Tabelle_Riferimento!$D$127:$H$164,5,FALSE))</f>
        <v>40</v>
      </c>
      <c r="PX31" s="904">
        <f>+IFERROR(VLOOKUP(PX$27&amp;"-"&amp;$M31&amp;"_new",Ammortamento_Finanziario!$H:$L,5,FALSE),VLOOKUP($M31,TT_Tabelle_Riferimento!$D$127:$H$164,5,FALSE))</f>
        <v>40</v>
      </c>
      <c r="PY31" s="904">
        <f>+IFERROR(VLOOKUP(PY$27&amp;"-"&amp;$M31&amp;"_new",Ammortamento_Finanziario!$H:$L,5,FALSE),VLOOKUP($M31,TT_Tabelle_Riferimento!$D$127:$H$164,5,FALSE))</f>
        <v>40</v>
      </c>
      <c r="PZ31" s="904">
        <f>+IFERROR(VLOOKUP(PZ$27&amp;"-"&amp;$M31&amp;"_new",Ammortamento_Finanziario!$H:$L,5,FALSE),VLOOKUP($M31,TT_Tabelle_Riferimento!$D$127:$H$164,5,FALSE))</f>
        <v>40</v>
      </c>
      <c r="QA31" s="904">
        <f>+IFERROR(VLOOKUP(QA$27&amp;"-"&amp;$M31&amp;"_new",Ammortamento_Finanziario!$H:$L,5,FALSE),VLOOKUP($M31,TT_Tabelle_Riferimento!$D$127:$H$164,5,FALSE))</f>
        <v>40</v>
      </c>
      <c r="QB31" s="904">
        <f>+IFERROR(VLOOKUP(QB$27&amp;"-"&amp;$M31&amp;"_new",Ammortamento_Finanziario!$H:$L,5,FALSE),VLOOKUP($M31,TT_Tabelle_Riferimento!$D$127:$H$164,5,FALSE))</f>
        <v>40</v>
      </c>
      <c r="QC31" s="904">
        <f>+IFERROR(VLOOKUP(QC$27&amp;"-"&amp;$M31&amp;"_new",Ammortamento_Finanziario!$H:$L,5,FALSE),VLOOKUP($M31,TT_Tabelle_Riferimento!$D$127:$H$164,5,FALSE))</f>
        <v>40</v>
      </c>
      <c r="QD31" s="904">
        <f>+IFERROR(VLOOKUP(QD$27&amp;"-"&amp;$M31&amp;"_new",Ammortamento_Finanziario!$H:$L,5,FALSE),VLOOKUP($M31,TT_Tabelle_Riferimento!$D$127:$H$164,5,FALSE))</f>
        <v>40</v>
      </c>
      <c r="QE31" s="904">
        <f>+IFERROR(VLOOKUP(QE$27&amp;"-"&amp;$M31&amp;"_new",Ammortamento_Finanziario!$H:$L,5,FALSE),VLOOKUP($M31,TT_Tabelle_Riferimento!$D$127:$H$164,5,FALSE))</f>
        <v>40</v>
      </c>
      <c r="QF31" s="904">
        <f>+IFERROR(VLOOKUP(QF$27&amp;"-"&amp;$M31&amp;"_new",Ammortamento_Finanziario!$H:$L,5,FALSE),VLOOKUP($M31,TT_Tabelle_Riferimento!$D$127:$H$164,5,FALSE))</f>
        <v>40</v>
      </c>
      <c r="QG31" s="904">
        <f>+IFERROR(VLOOKUP(QG$27&amp;"-"&amp;$M31&amp;"_new",Ammortamento_Finanziario!$H:$L,5,FALSE),VLOOKUP($M31,TT_Tabelle_Riferimento!$D$127:$H$164,5,FALSE))</f>
        <v>40</v>
      </c>
      <c r="QH31" s="1762">
        <f>+IFERROR(VLOOKUP(QH$27&amp;"-"&amp;$M31&amp;"_new",Ammortamento_Finanziario!$H:$L,5,FALSE),VLOOKUP($M31,TT_Tabelle_Riferimento!$D$127:$H$164,5,FALSE))</f>
        <v>40</v>
      </c>
      <c r="QI31" s="1762">
        <f>+IFERROR(VLOOKUP(QI$27&amp;"-"&amp;$M31&amp;"_new",Ammortamento_Finanziario!$H:$L,5,FALSE),VLOOKUP($M31,TT_Tabelle_Riferimento!$D$127:$H$164,5,FALSE))</f>
        <v>40</v>
      </c>
      <c r="QJ31" s="904">
        <f>+IFERROR(VLOOKUP(QJ$27&amp;"-"&amp;$M31&amp;"_new",Ammortamento_Finanziario!$H:$L,5,FALSE),VLOOKUP($M31,TT_Tabelle_Riferimento!$D$127:$H$164,5,FALSE))</f>
        <v>40</v>
      </c>
      <c r="QK31" s="904">
        <f>+IFERROR(VLOOKUP(QK$27&amp;"-"&amp;$M31&amp;"_new",Ammortamento_Finanziario!$H:$L,5,FALSE),VLOOKUP($M31,TT_Tabelle_Riferimento!$D$127:$H$164,5,FALSE))</f>
        <v>40</v>
      </c>
      <c r="QL31" s="904">
        <f>+IFERROR(VLOOKUP(QL$27&amp;"-"&amp;$M31&amp;"_new",Ammortamento_Finanziario!$H:$L,5,FALSE),VLOOKUP($M31,TT_Tabelle_Riferimento!$D$127:$H$164,5,FALSE))</f>
        <v>40</v>
      </c>
      <c r="QM31" s="904">
        <f>+IFERROR(VLOOKUP(QM$27&amp;"-"&amp;$M31&amp;"_new",Ammortamento_Finanziario!$H:$L,5,FALSE),VLOOKUP($M31,TT_Tabelle_Riferimento!$D$127:$H$164,5,FALSE))</f>
        <v>40</v>
      </c>
      <c r="QN31" s="904">
        <f>+IFERROR(VLOOKUP(QN$27&amp;"-"&amp;$M31&amp;"_new",Ammortamento_Finanziario!$H:$L,5,FALSE),VLOOKUP($M31,TT_Tabelle_Riferimento!$D$127:$H$164,5,FALSE))</f>
        <v>40</v>
      </c>
      <c r="QO31" s="904">
        <f>+IFERROR(VLOOKUP(QO$27&amp;"-"&amp;$M31&amp;"_new",Ammortamento_Finanziario!$H:$L,5,FALSE),VLOOKUP($M31,TT_Tabelle_Riferimento!$D$127:$H$164,5,FALSE))</f>
        <v>40</v>
      </c>
      <c r="QP31" s="904">
        <f>+IFERROR(VLOOKUP(QP$27&amp;"-"&amp;$M31&amp;"_new",Ammortamento_Finanziario!$H:$L,5,FALSE),VLOOKUP($M31,TT_Tabelle_Riferimento!$D$127:$H$164,5,FALSE))</f>
        <v>40</v>
      </c>
      <c r="QQ31" s="904">
        <f>+IFERROR(VLOOKUP(QQ$27&amp;"-"&amp;$M31&amp;"_new",Ammortamento_Finanziario!$H:$L,5,FALSE),VLOOKUP($M31,TT_Tabelle_Riferimento!$D$127:$H$164,5,FALSE))</f>
        <v>40</v>
      </c>
      <c r="QR31" s="904">
        <f>+IFERROR(VLOOKUP(QR$27&amp;"-"&amp;$M31&amp;"_new",Ammortamento_Finanziario!$H:$L,5,FALSE),VLOOKUP($M31,TT_Tabelle_Riferimento!$D$127:$H$164,5,FALSE))</f>
        <v>40</v>
      </c>
      <c r="QS31" s="904">
        <f>+IFERROR(VLOOKUP(QS$27&amp;"-"&amp;$M31&amp;"_new",Ammortamento_Finanziario!$H:$L,5,FALSE),VLOOKUP($M31,TT_Tabelle_Riferimento!$D$127:$H$164,5,FALSE))</f>
        <v>40</v>
      </c>
      <c r="QT31" s="904">
        <f>+IFERROR(VLOOKUP(QT$27&amp;"-"&amp;$M31&amp;"_new",Ammortamento_Finanziario!$H:$L,5,FALSE),VLOOKUP($M31,TT_Tabelle_Riferimento!$D$127:$H$164,5,FALSE))</f>
        <v>40</v>
      </c>
      <c r="QU31" s="904">
        <f>+IFERROR(VLOOKUP(QU$27&amp;"-"&amp;$M31&amp;"_new",Ammortamento_Finanziario!$H:$L,5,FALSE),VLOOKUP($M31,TT_Tabelle_Riferimento!$D$127:$H$164,5,FALSE))</f>
        <v>40</v>
      </c>
      <c r="QV31" s="904">
        <f>+IFERROR(VLOOKUP(QV$27&amp;"-"&amp;$M31&amp;"_new",Ammortamento_Finanziario!$H:$L,5,FALSE),VLOOKUP($M31,TT_Tabelle_Riferimento!$D$127:$H$164,5,FALSE))</f>
        <v>40</v>
      </c>
      <c r="QW31" s="904">
        <f>+IFERROR(VLOOKUP(QW$27&amp;"-"&amp;$M31&amp;"_new",Ammortamento_Finanziario!$H:$L,5,FALSE),VLOOKUP($M31,TT_Tabelle_Riferimento!$D$127:$H$164,5,FALSE))</f>
        <v>40</v>
      </c>
      <c r="QX31" s="904">
        <f>+IFERROR(VLOOKUP(QX$27&amp;"-"&amp;$M31&amp;"_new",Ammortamento_Finanziario!$H:$L,5,FALSE),VLOOKUP($M31,TT_Tabelle_Riferimento!$D$127:$H$164,5,FALSE))</f>
        <v>40</v>
      </c>
      <c r="QY31" s="904">
        <f>+IFERROR(VLOOKUP(QY$27&amp;"-"&amp;$M31&amp;"_new",Ammortamento_Finanziario!$H:$L,5,FALSE),VLOOKUP($M31,TT_Tabelle_Riferimento!$D$127:$H$164,5,FALSE))</f>
        <v>40</v>
      </c>
      <c r="QZ31" s="904">
        <f>+IFERROR(VLOOKUP(QZ$27&amp;"-"&amp;$M31&amp;"_new",Ammortamento_Finanziario!$H:$L,5,FALSE),VLOOKUP($M31,TT_Tabelle_Riferimento!$D$127:$H$164,5,FALSE))</f>
        <v>40</v>
      </c>
      <c r="RA31" s="904">
        <f>+IFERROR(VLOOKUP(RA$27&amp;"-"&amp;$M31&amp;"_new",Ammortamento_Finanziario!$H:$L,5,FALSE),VLOOKUP($M31,TT_Tabelle_Riferimento!$D$127:$H$164,5,FALSE))</f>
        <v>40</v>
      </c>
      <c r="RB31" s="904">
        <f>+IFERROR(VLOOKUP(RB$27&amp;"-"&amp;$M31&amp;"_new",Ammortamento_Finanziario!$H:$L,5,FALSE),VLOOKUP($M31,TT_Tabelle_Riferimento!$D$127:$H$164,5,FALSE))</f>
        <v>40</v>
      </c>
      <c r="RC31" s="1762">
        <f>+IFERROR(VLOOKUP(RC$27&amp;"-"&amp;$M31&amp;"_new",Ammortamento_Finanziario!$H:$L,5,FALSE),VLOOKUP($M31,TT_Tabelle_Riferimento!$D$127:$H$164,5,FALSE))</f>
        <v>40</v>
      </c>
      <c r="RD31" s="904">
        <f>+IFERROR(VLOOKUP(RD$27&amp;"-"&amp;$M31&amp;"_new",Ammortamento_Finanziario!$H:$L,5,FALSE),VLOOKUP($M31,TT_Tabelle_Riferimento!$D$127:$H$164,5,FALSE))</f>
        <v>40</v>
      </c>
      <c r="RE31" s="904">
        <f>+IFERROR(VLOOKUP(RE$27&amp;"-"&amp;$M31&amp;"_new",Ammortamento_Finanziario!$H:$L,5,FALSE),VLOOKUP($M31,TT_Tabelle_Riferimento!$D$127:$H$164,5,FALSE))</f>
        <v>40</v>
      </c>
      <c r="RF31" s="904">
        <f>+IFERROR(VLOOKUP(RF$27&amp;"-"&amp;$M31&amp;"_new",Ammortamento_Finanziario!$H:$L,5,FALSE),VLOOKUP($M31,TT_Tabelle_Riferimento!$D$127:$H$164,5,FALSE))</f>
        <v>40</v>
      </c>
      <c r="RG31" s="904">
        <f>+IFERROR(VLOOKUP(RG$27&amp;"-"&amp;$M31&amp;"_new",Ammortamento_Finanziario!$H:$L,5,FALSE),VLOOKUP($M31,TT_Tabelle_Riferimento!$D$127:$H$164,5,FALSE))</f>
        <v>40</v>
      </c>
      <c r="RH31" s="904">
        <f>+IFERROR(VLOOKUP(RH$27&amp;"-"&amp;$M31&amp;"_new",Ammortamento_Finanziario!$H:$L,5,FALSE),VLOOKUP($M31,TT_Tabelle_Riferimento!$D$127:$H$164,5,FALSE))</f>
        <v>40</v>
      </c>
      <c r="RI31" s="904">
        <f>+IFERROR(VLOOKUP(RI$27&amp;"-"&amp;$M31&amp;"_new",Ammortamento_Finanziario!$H:$L,5,FALSE),VLOOKUP($M31,TT_Tabelle_Riferimento!$D$127:$H$164,5,FALSE))</f>
        <v>40</v>
      </c>
      <c r="RJ31" s="904">
        <f>+IFERROR(VLOOKUP(RJ$27&amp;"-"&amp;$M31&amp;"_new",Ammortamento_Finanziario!$H:$L,5,FALSE),VLOOKUP($M31,TT_Tabelle_Riferimento!$D$127:$H$164,5,FALSE))</f>
        <v>40</v>
      </c>
      <c r="RK31" s="904">
        <f>+IFERROR(VLOOKUP(RK$27&amp;"-"&amp;$M31&amp;"_new",Ammortamento_Finanziario!$H:$L,5,FALSE),VLOOKUP($M31,TT_Tabelle_Riferimento!$D$127:$H$164,5,FALSE))</f>
        <v>40</v>
      </c>
      <c r="RL31" s="904">
        <f>+IFERROR(VLOOKUP(RL$27&amp;"-"&amp;$M31&amp;"_new",Ammortamento_Finanziario!$H:$L,5,FALSE),VLOOKUP($M31,TT_Tabelle_Riferimento!$D$127:$H$164,5,FALSE))</f>
        <v>40</v>
      </c>
      <c r="RM31" s="904">
        <f>+IFERROR(VLOOKUP(RM$27&amp;"-"&amp;$M31&amp;"_new",Ammortamento_Finanziario!$H:$L,5,FALSE),VLOOKUP($M31,TT_Tabelle_Riferimento!$D$127:$H$164,5,FALSE))</f>
        <v>40</v>
      </c>
      <c r="RN31" s="904">
        <f>+IFERROR(VLOOKUP(RN$27&amp;"-"&amp;$M31&amp;"_new",Ammortamento_Finanziario!$H:$L,5,FALSE),VLOOKUP($M31,TT_Tabelle_Riferimento!$D$127:$H$164,5,FALSE))</f>
        <v>40</v>
      </c>
      <c r="RO31" s="904">
        <f>+IFERROR(VLOOKUP(RO$27&amp;"-"&amp;$M31&amp;"_new",Ammortamento_Finanziario!$H:$L,5,FALSE),VLOOKUP($M31,TT_Tabelle_Riferimento!$D$127:$H$164,5,FALSE))</f>
        <v>40</v>
      </c>
      <c r="RP31" s="904">
        <f>+IFERROR(VLOOKUP(RP$27&amp;"-"&amp;$M31&amp;"_new",Ammortamento_Finanziario!$H:$L,5,FALSE),VLOOKUP($M31,TT_Tabelle_Riferimento!$D$127:$H$164,5,FALSE))</f>
        <v>40</v>
      </c>
      <c r="RQ31" s="904">
        <f>+IFERROR(VLOOKUP(RQ$27&amp;"-"&amp;$M31&amp;"_new",Ammortamento_Finanziario!$H:$L,5,FALSE),VLOOKUP($M31,TT_Tabelle_Riferimento!$D$127:$H$164,5,FALSE))</f>
        <v>40</v>
      </c>
      <c r="RR31" s="904">
        <f>+IFERROR(VLOOKUP(RR$27&amp;"-"&amp;$M31&amp;"_new",Ammortamento_Finanziario!$H:$L,5,FALSE),VLOOKUP($M31,TT_Tabelle_Riferimento!$D$127:$H$164,5,FALSE))</f>
        <v>40</v>
      </c>
      <c r="RS31" s="904">
        <f>+IFERROR(VLOOKUP(RS$27&amp;"-"&amp;$M31&amp;"_new",Ammortamento_Finanziario!$H:$L,5,FALSE),VLOOKUP($M31,TT_Tabelle_Riferimento!$D$127:$H$164,5,FALSE))</f>
        <v>40</v>
      </c>
      <c r="RT31" s="904">
        <f>+IFERROR(VLOOKUP(RT$27&amp;"-"&amp;$M31&amp;"_new",Ammortamento_Finanziario!$H:$L,5,FALSE),VLOOKUP($M31,TT_Tabelle_Riferimento!$D$127:$H$164,5,FALSE))</f>
        <v>40</v>
      </c>
      <c r="RU31" s="904">
        <f>+IFERROR(VLOOKUP(RU$27&amp;"-"&amp;$M31&amp;"_new",Ammortamento_Finanziario!$H:$L,5,FALSE),VLOOKUP($M31,TT_Tabelle_Riferimento!$D$127:$H$164,5,FALSE))</f>
        <v>40</v>
      </c>
      <c r="RV31" s="904">
        <f>+IFERROR(VLOOKUP(RV$27&amp;"-"&amp;$M31&amp;"_new",Ammortamento_Finanziario!$H:$L,5,FALSE),VLOOKUP($M31,TT_Tabelle_Riferimento!$D$127:$H$164,5,FALSE))</f>
        <v>40</v>
      </c>
    </row>
    <row r="32" spans="4:490">
      <c r="D32" s="135" t="s">
        <v>200</v>
      </c>
      <c r="E32" s="719">
        <f>+SUMIF(IMN_gestore!$E:$E,2022,IMN_gestore!$R:$R)</f>
        <v>0</v>
      </c>
      <c r="F32" s="719">
        <f>SUMIF(IMN_gestore!$E:$E,2023,IMN_gestore!$AC:$AC)</f>
        <v>0</v>
      </c>
      <c r="G32" s="719">
        <f>+SUMIF(IMN_gestore!$E:$E,2024,IMN_gestore!$AN:$AN)</f>
        <v>0</v>
      </c>
      <c r="H32" s="719">
        <f>SUMIF(IMN_gestore!$E:$E,2025,IMN_gestore!$AY:$AY)</f>
        <v>0</v>
      </c>
      <c r="I32" s="719">
        <f>SUMIF(IMN_gestore!$E:$E,2026,IMN_gestore!$BJ:$BJ)</f>
        <v>0</v>
      </c>
      <c r="J32" s="719">
        <f>SUMIF(IMN_gestore!$E:$E,2027,IMN_gestore!$BU:$BU)</f>
        <v>0</v>
      </c>
      <c r="K32" s="136"/>
      <c r="L32" s="125"/>
      <c r="M32" s="1756">
        <v>5</v>
      </c>
      <c r="N32" s="1759">
        <v>0</v>
      </c>
      <c r="O32" s="1759">
        <v>0</v>
      </c>
      <c r="P32" s="1759">
        <v>0</v>
      </c>
      <c r="Q32" s="1759">
        <v>0</v>
      </c>
      <c r="R32" s="1759">
        <v>0</v>
      </c>
      <c r="S32" s="1759">
        <v>0</v>
      </c>
      <c r="T32" s="1759">
        <v>0</v>
      </c>
      <c r="U32" s="1759">
        <v>0</v>
      </c>
      <c r="V32" s="1759">
        <v>0</v>
      </c>
      <c r="W32" s="1759">
        <v>0</v>
      </c>
      <c r="X32" s="1759">
        <v>0</v>
      </c>
      <c r="Y32" s="1759">
        <v>0</v>
      </c>
      <c r="Z32" s="1759">
        <v>0</v>
      </c>
      <c r="AA32" s="1759">
        <v>0</v>
      </c>
      <c r="AB32" s="1759">
        <v>0</v>
      </c>
      <c r="AC32" s="1759">
        <v>0</v>
      </c>
      <c r="AD32" s="1759">
        <v>0</v>
      </c>
      <c r="AE32" s="1759">
        <v>0</v>
      </c>
      <c r="AF32" s="1759">
        <v>0</v>
      </c>
      <c r="AG32" s="1759">
        <v>0</v>
      </c>
      <c r="AH32" s="1759">
        <v>0</v>
      </c>
      <c r="AI32" s="1759">
        <v>0</v>
      </c>
      <c r="AJ32" s="1759">
        <v>0</v>
      </c>
      <c r="AK32" s="1759">
        <v>0</v>
      </c>
      <c r="AL32" s="1759">
        <v>0</v>
      </c>
      <c r="AM32" s="1759">
        <v>0</v>
      </c>
      <c r="AN32" s="1759">
        <v>0</v>
      </c>
      <c r="AO32" s="1759">
        <v>0</v>
      </c>
      <c r="AP32" s="1759">
        <v>0</v>
      </c>
      <c r="AQ32" s="1759">
        <v>0</v>
      </c>
      <c r="AR32" s="1759">
        <v>0</v>
      </c>
      <c r="AS32" s="1759">
        <v>0</v>
      </c>
      <c r="AT32" s="1759">
        <v>0</v>
      </c>
      <c r="AU32" s="1759">
        <v>0</v>
      </c>
      <c r="AV32" s="1759">
        <v>0</v>
      </c>
      <c r="AW32" s="1759">
        <v>0</v>
      </c>
      <c r="AX32" s="1759">
        <v>0</v>
      </c>
      <c r="AY32" s="1759">
        <v>0</v>
      </c>
      <c r="AZ32" s="1759">
        <v>0</v>
      </c>
      <c r="BA32" s="1759">
        <v>0</v>
      </c>
      <c r="BB32" s="1759">
        <v>0</v>
      </c>
      <c r="BC32" s="1759">
        <v>0</v>
      </c>
      <c r="BD32" s="1759">
        <v>0</v>
      </c>
      <c r="BE32" s="1759">
        <v>0</v>
      </c>
      <c r="BF32" s="1759">
        <v>0</v>
      </c>
      <c r="BG32" s="1759">
        <v>0</v>
      </c>
      <c r="BH32" s="1759">
        <v>0</v>
      </c>
      <c r="BI32" s="1759">
        <v>0</v>
      </c>
      <c r="BJ32" s="1759">
        <v>0</v>
      </c>
      <c r="BK32" s="1759">
        <v>0</v>
      </c>
      <c r="BL32" s="1759">
        <v>0</v>
      </c>
      <c r="BM32" s="1759">
        <v>0</v>
      </c>
      <c r="BN32" s="1759">
        <v>0</v>
      </c>
      <c r="BO32" s="1759">
        <v>0</v>
      </c>
      <c r="BP32" s="1759">
        <v>0</v>
      </c>
      <c r="BQ32" s="1759">
        <v>0</v>
      </c>
      <c r="BR32" s="1759">
        <v>0</v>
      </c>
      <c r="BS32" s="1759">
        <v>0</v>
      </c>
      <c r="BT32" s="1759">
        <v>0</v>
      </c>
      <c r="BU32" s="1759">
        <v>0</v>
      </c>
      <c r="BV32" s="1759">
        <v>0</v>
      </c>
      <c r="BW32" s="1759">
        <v>0</v>
      </c>
      <c r="BX32" s="1759">
        <v>0</v>
      </c>
      <c r="BY32" s="1759">
        <v>0</v>
      </c>
      <c r="BZ32" s="1759">
        <v>0</v>
      </c>
      <c r="CA32" s="1759">
        <v>0</v>
      </c>
      <c r="CB32" s="1759">
        <v>0</v>
      </c>
      <c r="CC32" s="1759">
        <v>0</v>
      </c>
      <c r="CD32" s="1759">
        <v>0</v>
      </c>
      <c r="CE32" s="1759">
        <v>0</v>
      </c>
      <c r="CF32" s="1759">
        <v>0</v>
      </c>
      <c r="CG32" s="1759">
        <v>0</v>
      </c>
      <c r="CH32" s="1759">
        <v>0</v>
      </c>
      <c r="CI32" s="1759">
        <v>0</v>
      </c>
      <c r="CJ32" s="1759">
        <v>0</v>
      </c>
      <c r="CK32" s="1759">
        <v>0</v>
      </c>
      <c r="CL32" s="1759">
        <v>0</v>
      </c>
      <c r="CM32" s="1759">
        <v>0</v>
      </c>
      <c r="CN32" s="1759">
        <v>0</v>
      </c>
      <c r="CO32" s="1759">
        <v>0</v>
      </c>
      <c r="CP32" s="1759">
        <v>0</v>
      </c>
      <c r="CQ32" s="1759">
        <v>0</v>
      </c>
      <c r="CR32" s="1759">
        <v>0</v>
      </c>
      <c r="CS32" s="1759">
        <v>0</v>
      </c>
      <c r="CT32" s="1759">
        <v>0</v>
      </c>
      <c r="CU32" s="1759">
        <v>0</v>
      </c>
      <c r="CV32" s="1759">
        <v>0</v>
      </c>
      <c r="CW32" s="1759">
        <v>0</v>
      </c>
      <c r="CX32" s="1759">
        <v>0</v>
      </c>
      <c r="CY32" s="1759">
        <v>0</v>
      </c>
      <c r="CZ32" s="1759">
        <v>0</v>
      </c>
      <c r="DA32" s="1759">
        <v>0</v>
      </c>
      <c r="DB32" s="1759">
        <v>0</v>
      </c>
      <c r="DC32" s="1759">
        <v>0</v>
      </c>
      <c r="DD32" s="1759">
        <v>0</v>
      </c>
      <c r="DE32" s="1759">
        <v>0</v>
      </c>
      <c r="DF32" s="1759">
        <v>0</v>
      </c>
      <c r="DG32" s="1759">
        <v>0</v>
      </c>
      <c r="DH32" s="1759">
        <v>0</v>
      </c>
      <c r="DI32" s="1759">
        <v>0</v>
      </c>
      <c r="DJ32" s="1759">
        <v>0</v>
      </c>
      <c r="DK32" s="1759">
        <v>0</v>
      </c>
      <c r="DL32" s="1759">
        <v>0</v>
      </c>
      <c r="DM32" s="1759">
        <v>0</v>
      </c>
      <c r="DN32" s="1759">
        <v>0</v>
      </c>
      <c r="DO32" s="1759">
        <v>0</v>
      </c>
      <c r="DP32" s="1759">
        <v>0</v>
      </c>
      <c r="DQ32" s="1759">
        <v>0</v>
      </c>
      <c r="DR32" s="1759">
        <v>0</v>
      </c>
      <c r="DS32" s="1759">
        <v>0</v>
      </c>
      <c r="DT32" s="1759">
        <v>0</v>
      </c>
      <c r="DU32" s="1759">
        <v>0</v>
      </c>
      <c r="DV32" s="1759">
        <v>0</v>
      </c>
      <c r="DW32" s="1759">
        <v>0</v>
      </c>
      <c r="DX32" s="1759">
        <v>0</v>
      </c>
      <c r="DY32" s="1759">
        <v>0</v>
      </c>
      <c r="DZ32" s="1759">
        <v>0</v>
      </c>
      <c r="EA32" s="1759">
        <v>0</v>
      </c>
      <c r="EB32" s="1759">
        <v>0</v>
      </c>
      <c r="EC32" s="1759">
        <v>0</v>
      </c>
      <c r="ED32" s="1759">
        <v>0</v>
      </c>
      <c r="EE32" s="1759">
        <v>0</v>
      </c>
      <c r="EF32" s="1759">
        <v>0</v>
      </c>
      <c r="EG32" s="1759">
        <v>0</v>
      </c>
      <c r="EH32" s="1759">
        <v>0</v>
      </c>
      <c r="EI32" s="1759">
        <v>0</v>
      </c>
      <c r="EJ32" s="1759">
        <v>0</v>
      </c>
      <c r="EK32" s="1759">
        <v>0</v>
      </c>
      <c r="EL32" s="1759">
        <v>0</v>
      </c>
      <c r="EM32" s="1759">
        <v>0</v>
      </c>
      <c r="EN32" s="1759">
        <v>0</v>
      </c>
      <c r="EO32" s="1759">
        <v>0</v>
      </c>
      <c r="EP32" s="1759">
        <v>0</v>
      </c>
      <c r="EQ32" s="1759">
        <v>0</v>
      </c>
      <c r="ER32" s="1759">
        <v>0</v>
      </c>
      <c r="ES32" s="1759">
        <v>0</v>
      </c>
      <c r="ET32" s="1759">
        <v>0</v>
      </c>
      <c r="EU32" s="1759">
        <v>0</v>
      </c>
      <c r="EV32" s="1759">
        <v>0</v>
      </c>
      <c r="EW32" s="1759">
        <v>0</v>
      </c>
      <c r="EX32" s="1759">
        <v>0</v>
      </c>
      <c r="EY32" s="1759">
        <v>0</v>
      </c>
      <c r="EZ32" s="1759">
        <v>0</v>
      </c>
      <c r="FA32" s="1759">
        <v>0</v>
      </c>
      <c r="FB32" s="1759">
        <v>0</v>
      </c>
      <c r="FC32" s="1759">
        <v>0</v>
      </c>
      <c r="FD32" s="1759">
        <v>0</v>
      </c>
      <c r="FE32" s="1759">
        <v>0</v>
      </c>
      <c r="FF32" s="1759">
        <v>0</v>
      </c>
      <c r="FG32" s="1759">
        <v>0</v>
      </c>
      <c r="FH32" s="1759">
        <v>0</v>
      </c>
      <c r="FI32" s="1759">
        <v>0</v>
      </c>
      <c r="FJ32" s="1759">
        <v>0</v>
      </c>
      <c r="FK32" s="1759">
        <v>0</v>
      </c>
      <c r="FL32" s="1759">
        <v>0</v>
      </c>
      <c r="FM32" s="1759">
        <v>0</v>
      </c>
      <c r="FN32" s="1759">
        <v>0</v>
      </c>
      <c r="FO32" s="1759">
        <v>0</v>
      </c>
      <c r="FP32" s="1759">
        <v>0</v>
      </c>
      <c r="FQ32" s="1759">
        <v>0</v>
      </c>
      <c r="FR32" s="1759">
        <v>0</v>
      </c>
      <c r="FS32" s="1759">
        <v>0</v>
      </c>
      <c r="FT32" s="1759">
        <v>0</v>
      </c>
      <c r="FU32" s="1759">
        <v>0</v>
      </c>
      <c r="FV32" s="1759">
        <v>0</v>
      </c>
      <c r="FW32" s="1759">
        <v>0</v>
      </c>
      <c r="FX32" s="1759">
        <v>0</v>
      </c>
      <c r="FY32" s="1759">
        <v>0</v>
      </c>
      <c r="FZ32" s="1759">
        <v>0</v>
      </c>
      <c r="GA32" s="1759">
        <v>0</v>
      </c>
      <c r="GB32" s="1759">
        <v>0</v>
      </c>
      <c r="GC32" s="1759">
        <v>0</v>
      </c>
      <c r="GD32" s="1759">
        <v>0</v>
      </c>
      <c r="GE32" s="1759">
        <v>0</v>
      </c>
      <c r="GF32" s="1759">
        <v>0</v>
      </c>
      <c r="GG32" s="1759">
        <v>0</v>
      </c>
      <c r="GH32" s="1759">
        <v>0</v>
      </c>
      <c r="GI32" s="1759">
        <v>0</v>
      </c>
      <c r="GJ32" s="1759">
        <v>0</v>
      </c>
      <c r="GK32" s="1759">
        <v>0</v>
      </c>
      <c r="GL32" s="1759">
        <v>0</v>
      </c>
      <c r="GM32" s="1759">
        <v>0</v>
      </c>
      <c r="GN32" s="1759">
        <v>0</v>
      </c>
      <c r="GO32" s="1759">
        <v>0</v>
      </c>
      <c r="GP32" s="1759">
        <v>0</v>
      </c>
      <c r="GQ32" s="1759">
        <v>0</v>
      </c>
      <c r="GR32" s="1759">
        <v>0</v>
      </c>
      <c r="GS32" s="1759">
        <v>0</v>
      </c>
      <c r="GT32" s="1759">
        <v>0</v>
      </c>
      <c r="GU32" s="1759">
        <v>0</v>
      </c>
      <c r="GV32" s="1759">
        <v>0</v>
      </c>
      <c r="GW32" s="1759">
        <v>0</v>
      </c>
      <c r="GX32" s="1759">
        <v>0</v>
      </c>
      <c r="GY32" s="1759">
        <v>0</v>
      </c>
      <c r="GZ32" s="1759">
        <v>0</v>
      </c>
      <c r="HA32" s="1759">
        <v>0</v>
      </c>
      <c r="HB32" s="1759">
        <v>0</v>
      </c>
      <c r="HC32" s="1759">
        <v>0</v>
      </c>
      <c r="HD32" s="1759">
        <v>0</v>
      </c>
      <c r="HE32" s="1759">
        <v>0</v>
      </c>
      <c r="HF32" s="1759">
        <v>0</v>
      </c>
      <c r="HG32" s="1759">
        <v>0</v>
      </c>
      <c r="HH32" s="1759">
        <v>0</v>
      </c>
      <c r="HI32" s="1759">
        <v>0</v>
      </c>
      <c r="HJ32" s="1759">
        <v>0</v>
      </c>
      <c r="HK32" s="1759">
        <v>0</v>
      </c>
      <c r="HL32" s="1759">
        <v>0</v>
      </c>
      <c r="HM32" s="1759">
        <v>0</v>
      </c>
      <c r="HN32" s="1759">
        <v>0</v>
      </c>
      <c r="HO32" s="1759">
        <v>0</v>
      </c>
      <c r="HP32" s="1759">
        <v>0</v>
      </c>
      <c r="HQ32" s="1759">
        <v>0</v>
      </c>
      <c r="HR32" s="1759">
        <v>0</v>
      </c>
      <c r="HS32" s="1759">
        <v>0</v>
      </c>
      <c r="HT32" s="1759">
        <v>0</v>
      </c>
      <c r="HU32" s="1759">
        <v>0</v>
      </c>
      <c r="HV32" s="1759">
        <v>0</v>
      </c>
      <c r="HW32" s="1759">
        <v>0</v>
      </c>
      <c r="HX32" s="1759">
        <v>0</v>
      </c>
      <c r="HY32" s="1759">
        <v>0</v>
      </c>
      <c r="HZ32" s="1759">
        <v>0</v>
      </c>
      <c r="IA32" s="1759">
        <v>0</v>
      </c>
      <c r="IB32" s="1759">
        <v>0</v>
      </c>
      <c r="IC32" s="1759">
        <v>0</v>
      </c>
      <c r="ID32" s="1759">
        <v>0</v>
      </c>
      <c r="IE32" s="1759">
        <v>0</v>
      </c>
      <c r="IF32" s="1759">
        <v>0</v>
      </c>
      <c r="IG32" s="1759">
        <v>0</v>
      </c>
      <c r="IH32" s="1759">
        <v>0</v>
      </c>
      <c r="II32" s="1759">
        <v>0</v>
      </c>
      <c r="IJ32" s="1759">
        <v>0</v>
      </c>
      <c r="IK32" s="1759">
        <v>0</v>
      </c>
      <c r="IL32" s="1759">
        <v>0</v>
      </c>
      <c r="IM32" s="1759">
        <v>0</v>
      </c>
      <c r="IN32" s="1759">
        <v>0</v>
      </c>
      <c r="IO32" s="1759">
        <v>0</v>
      </c>
      <c r="IP32" s="1759">
        <v>0</v>
      </c>
      <c r="IQ32" s="1759">
        <v>0</v>
      </c>
      <c r="IR32" s="1759">
        <v>0</v>
      </c>
      <c r="IS32" s="1759">
        <v>0</v>
      </c>
      <c r="IT32" s="1759">
        <v>0</v>
      </c>
      <c r="IU32" s="1759">
        <v>0</v>
      </c>
      <c r="IV32" s="1759">
        <v>0</v>
      </c>
      <c r="IW32" s="1759">
        <v>0</v>
      </c>
      <c r="IX32" s="1759">
        <v>0</v>
      </c>
      <c r="IY32" s="1759">
        <v>0</v>
      </c>
      <c r="IZ32" s="1759">
        <v>0</v>
      </c>
      <c r="JA32" s="1759">
        <v>0</v>
      </c>
      <c r="JB32" s="1759">
        <v>0</v>
      </c>
      <c r="JC32" s="1759">
        <v>0</v>
      </c>
      <c r="JD32" s="1759">
        <v>0</v>
      </c>
      <c r="JE32" s="1759">
        <v>0</v>
      </c>
      <c r="JF32" s="1759">
        <v>0</v>
      </c>
      <c r="JG32" s="1759">
        <v>0</v>
      </c>
      <c r="JH32" s="1759">
        <v>0</v>
      </c>
      <c r="JI32" s="1759">
        <v>0</v>
      </c>
      <c r="JJ32" s="1759">
        <v>0</v>
      </c>
      <c r="JK32" s="1759">
        <v>0</v>
      </c>
      <c r="JL32" s="1759">
        <v>0</v>
      </c>
      <c r="JM32" s="1759">
        <v>0</v>
      </c>
      <c r="JN32" s="1759">
        <v>0</v>
      </c>
      <c r="JO32" s="1759">
        <v>0</v>
      </c>
      <c r="JP32" s="1759">
        <v>0</v>
      </c>
      <c r="JQ32" s="1759">
        <v>0</v>
      </c>
      <c r="JR32" s="1759">
        <v>0</v>
      </c>
      <c r="JS32" s="1759">
        <v>0</v>
      </c>
      <c r="JT32" s="1759">
        <v>0</v>
      </c>
      <c r="JU32" s="1759">
        <v>0</v>
      </c>
      <c r="JV32" s="1759">
        <v>0</v>
      </c>
      <c r="JW32" s="1759">
        <v>0</v>
      </c>
      <c r="JX32" s="1759">
        <v>0</v>
      </c>
      <c r="JY32" s="1759">
        <v>0</v>
      </c>
      <c r="JZ32" s="1759">
        <v>0</v>
      </c>
      <c r="KA32" s="1759">
        <v>0</v>
      </c>
      <c r="KB32" s="1759">
        <v>0</v>
      </c>
      <c r="KC32" s="1759">
        <v>0</v>
      </c>
      <c r="KD32" s="1759">
        <v>0</v>
      </c>
      <c r="KE32" s="1759">
        <v>0</v>
      </c>
      <c r="KF32" s="1759">
        <v>0</v>
      </c>
      <c r="KG32" s="1759">
        <v>0</v>
      </c>
      <c r="KH32" s="1759">
        <v>0</v>
      </c>
      <c r="KI32" s="1759">
        <v>0</v>
      </c>
      <c r="KJ32" s="1759">
        <v>0</v>
      </c>
      <c r="KK32" s="1759">
        <v>0</v>
      </c>
      <c r="KL32" s="1759">
        <v>0</v>
      </c>
      <c r="KM32" s="1759">
        <v>0</v>
      </c>
      <c r="KN32" s="1759">
        <v>0</v>
      </c>
      <c r="KO32" s="1759">
        <v>0</v>
      </c>
      <c r="KP32" s="1759">
        <v>0</v>
      </c>
      <c r="KQ32" s="904">
        <f>+IFERROR(VLOOKUP(KQ$27&amp;"-"&amp;$M32&amp;"_new",Ammortamento_Finanziario!$H:$L,5,FALSE),VLOOKUP($M32,TT_Tabelle_Riferimento!$D$127:$H$164,5,FALSE))</f>
        <v>8</v>
      </c>
      <c r="KR32" s="904">
        <f>+IFERROR(VLOOKUP(KR$27&amp;"-"&amp;$M32&amp;"_new",Ammortamento_Finanziario!$H:$L,5,FALSE),VLOOKUP($M32,TT_Tabelle_Riferimento!$D$127:$H$164,5,FALSE))</f>
        <v>8</v>
      </c>
      <c r="KS32" s="1762">
        <f>+IFERROR(VLOOKUP(KS$27&amp;"-"&amp;$M32&amp;"_new",Ammortamento_Finanziario!$H:$L,5,FALSE),VLOOKUP($M32,TT_Tabelle_Riferimento!$D$127:$H$164,5,FALSE))</f>
        <v>8</v>
      </c>
      <c r="KT32" s="1762">
        <f>+IFERROR(VLOOKUP(KT$27&amp;"-"&amp;$M32&amp;"_new",Ammortamento_Finanziario!$H:$L,5,FALSE),VLOOKUP($M32,TT_Tabelle_Riferimento!$D$127:$H$164,5,FALSE))</f>
        <v>8</v>
      </c>
      <c r="KU32" s="1762">
        <f>+IFERROR(VLOOKUP(KU$27&amp;"-"&amp;$M32&amp;"_new",Ammortamento_Finanziario!$H:$L,5,FALSE),VLOOKUP($M32,TT_Tabelle_Riferimento!$D$127:$H$164,5,FALSE))</f>
        <v>8</v>
      </c>
      <c r="KV32" s="1762">
        <f>+IFERROR(VLOOKUP(KV$27&amp;"-"&amp;$M32&amp;"_new",Ammortamento_Finanziario!$H:$L,5,FALSE),VLOOKUP($M32,TT_Tabelle_Riferimento!$D$127:$H$164,5,FALSE))</f>
        <v>8</v>
      </c>
      <c r="KW32" s="1762">
        <f>+IFERROR(VLOOKUP(KW$27&amp;"-"&amp;$M32&amp;"_new",Ammortamento_Finanziario!$H:$L,5,FALSE),VLOOKUP($M32,TT_Tabelle_Riferimento!$D$127:$H$164,5,FALSE))</f>
        <v>8</v>
      </c>
      <c r="KX32" s="1762">
        <f>+IFERROR(VLOOKUP(KX$27&amp;"-"&amp;$M32&amp;"_new",Ammortamento_Finanziario!$H:$L,5,FALSE),VLOOKUP($M32,TT_Tabelle_Riferimento!$D$127:$H$164,5,FALSE))</f>
        <v>8</v>
      </c>
      <c r="KY32" s="904">
        <f>+IFERROR(VLOOKUP(KY$27&amp;"-"&amp;$M32&amp;"_new",Ammortamento_Finanziario!$H:$L,5,FALSE),VLOOKUP($M32,TT_Tabelle_Riferimento!$D$127:$H$164,5,FALSE))</f>
        <v>8</v>
      </c>
      <c r="KZ32" s="904">
        <f>+IFERROR(VLOOKUP(KZ$27&amp;"-"&amp;$M32&amp;"_new",Ammortamento_Finanziario!$H:$L,5,FALSE),VLOOKUP($M32,TT_Tabelle_Riferimento!$D$127:$H$164,5,FALSE))</f>
        <v>8</v>
      </c>
      <c r="LA32" s="904">
        <f>+IFERROR(VLOOKUP(LA$27&amp;"-"&amp;$M32&amp;"_new",Ammortamento_Finanziario!$H:$L,5,FALSE),VLOOKUP($M32,TT_Tabelle_Riferimento!$D$127:$H$164,5,FALSE))</f>
        <v>8</v>
      </c>
      <c r="LB32" s="904">
        <f>+IFERROR(VLOOKUP(LB$27&amp;"-"&amp;$M32&amp;"_new",Ammortamento_Finanziario!$H:$L,5,FALSE),VLOOKUP($M32,TT_Tabelle_Riferimento!$D$127:$H$164,5,FALSE))</f>
        <v>8</v>
      </c>
      <c r="LC32" s="904">
        <f>+IFERROR(VLOOKUP(LC$27&amp;"-"&amp;$M32&amp;"_new",Ammortamento_Finanziario!$H:$L,5,FALSE),VLOOKUP($M32,TT_Tabelle_Riferimento!$D$127:$H$164,5,FALSE))</f>
        <v>8</v>
      </c>
      <c r="LD32" s="904">
        <f>+IFERROR(VLOOKUP(LD$27&amp;"-"&amp;$M32&amp;"_new",Ammortamento_Finanziario!$H:$L,5,FALSE),VLOOKUP($M32,TT_Tabelle_Riferimento!$D$127:$H$164,5,FALSE))</f>
        <v>8</v>
      </c>
      <c r="LE32" s="904">
        <f>+IFERROR(VLOOKUP(LE$27&amp;"-"&amp;$M32&amp;"_new",Ammortamento_Finanziario!$H:$L,5,FALSE),VLOOKUP($M32,TT_Tabelle_Riferimento!$D$127:$H$164,5,FALSE))</f>
        <v>8</v>
      </c>
      <c r="LF32" s="904">
        <f>+IFERROR(VLOOKUP(LF$27&amp;"-"&amp;$M32&amp;"_new",Ammortamento_Finanziario!$H:$L,5,FALSE),VLOOKUP($M32,TT_Tabelle_Riferimento!$D$127:$H$164,5,FALSE))</f>
        <v>8</v>
      </c>
      <c r="LG32" s="904">
        <f>+IFERROR(VLOOKUP(LG$27&amp;"-"&amp;$M32&amp;"_new",Ammortamento_Finanziario!$H:$L,5,FALSE),VLOOKUP($M32,TT_Tabelle_Riferimento!$D$127:$H$164,5,FALSE))</f>
        <v>8</v>
      </c>
      <c r="LH32" s="904">
        <f>+IFERROR(VLOOKUP(LH$27&amp;"-"&amp;$M32&amp;"_new",Ammortamento_Finanziario!$H:$L,5,FALSE),VLOOKUP($M32,TT_Tabelle_Riferimento!$D$127:$H$164,5,FALSE))</f>
        <v>8</v>
      </c>
      <c r="LI32" s="904">
        <f>+IFERROR(VLOOKUP(LI$27&amp;"-"&amp;$M32&amp;"_new",Ammortamento_Finanziario!$H:$L,5,FALSE),VLOOKUP($M32,TT_Tabelle_Riferimento!$D$127:$H$164,5,FALSE))</f>
        <v>8</v>
      </c>
      <c r="LJ32" s="904">
        <f>+IFERROR(VLOOKUP(LJ$27&amp;"-"&amp;$M32&amp;"_new",Ammortamento_Finanziario!$H:$L,5,FALSE),VLOOKUP($M32,TT_Tabelle_Riferimento!$D$127:$H$164,5,FALSE))</f>
        <v>8</v>
      </c>
      <c r="LK32" s="904">
        <f>+IFERROR(VLOOKUP(LK$27&amp;"-"&amp;$M32&amp;"_new",Ammortamento_Finanziario!$H:$L,5,FALSE),VLOOKUP($M32,TT_Tabelle_Riferimento!$D$127:$H$164,5,FALSE))</f>
        <v>8</v>
      </c>
      <c r="LL32" s="904">
        <f>+IFERROR(VLOOKUP(LL$27&amp;"-"&amp;$M32&amp;"_new",Ammortamento_Finanziario!$H:$L,5,FALSE),VLOOKUP($M32,TT_Tabelle_Riferimento!$D$127:$H$164,5,FALSE))</f>
        <v>8</v>
      </c>
      <c r="LM32" s="904">
        <f>+IFERROR(VLOOKUP(LM$27&amp;"-"&amp;$M32&amp;"_new",Ammortamento_Finanziario!$H:$L,5,FALSE),VLOOKUP($M32,TT_Tabelle_Riferimento!$D$127:$H$164,5,FALSE))</f>
        <v>8</v>
      </c>
      <c r="LN32" s="904">
        <f>+IFERROR(VLOOKUP(LN$27&amp;"-"&amp;$M32&amp;"_new",Ammortamento_Finanziario!$H:$L,5,FALSE),VLOOKUP($M32,TT_Tabelle_Riferimento!$D$127:$H$164,5,FALSE))</f>
        <v>8</v>
      </c>
      <c r="LO32" s="904">
        <f>+IFERROR(VLOOKUP(LO$27&amp;"-"&amp;$M32&amp;"_new",Ammortamento_Finanziario!$H:$L,5,FALSE),VLOOKUP($M32,TT_Tabelle_Riferimento!$D$127:$H$164,5,FALSE))</f>
        <v>8</v>
      </c>
      <c r="LP32" s="904">
        <f>+IFERROR(VLOOKUP(LP$27&amp;"-"&amp;$M32&amp;"_new",Ammortamento_Finanziario!$H:$L,5,FALSE),VLOOKUP($M32,TT_Tabelle_Riferimento!$D$127:$H$164,5,FALSE))</f>
        <v>8</v>
      </c>
      <c r="LQ32" s="904">
        <f>+IFERROR(VLOOKUP(LQ$27&amp;"-"&amp;$M32&amp;"_new",Ammortamento_Finanziario!$H:$L,5,FALSE),VLOOKUP($M32,TT_Tabelle_Riferimento!$D$127:$H$164,5,FALSE))</f>
        <v>8</v>
      </c>
      <c r="LR32" s="904">
        <f>+IFERROR(VLOOKUP(LR$27&amp;"-"&amp;$M32&amp;"_new",Ammortamento_Finanziario!$H:$L,5,FALSE),VLOOKUP($M32,TT_Tabelle_Riferimento!$D$127:$H$164,5,FALSE))</f>
        <v>8</v>
      </c>
      <c r="LS32" s="1762">
        <f>+IFERROR(VLOOKUP(LS$27&amp;"-"&amp;$M32&amp;"_new",Ammortamento_Finanziario!$H:$L,5,FALSE),VLOOKUP($M32,TT_Tabelle_Riferimento!$D$127:$H$164,5,FALSE))</f>
        <v>8</v>
      </c>
      <c r="LT32" s="1762">
        <f>+IFERROR(VLOOKUP(LT$27&amp;"-"&amp;$M32&amp;"_new",Ammortamento_Finanziario!$H:$L,5,FALSE),VLOOKUP($M32,TT_Tabelle_Riferimento!$D$127:$H$164,5,FALSE))</f>
        <v>8</v>
      </c>
      <c r="LU32" s="1762">
        <f>+IFERROR(VLOOKUP(LU$27&amp;"-"&amp;$M32&amp;"_new",Ammortamento_Finanziario!$H:$L,5,FALSE),VLOOKUP($M32,TT_Tabelle_Riferimento!$D$127:$H$164,5,FALSE))</f>
        <v>8</v>
      </c>
      <c r="LV32" s="1762">
        <f>+IFERROR(VLOOKUP(LV$27&amp;"-"&amp;$M32&amp;"_new",Ammortamento_Finanziario!$H:$L,5,FALSE),VLOOKUP($M32,TT_Tabelle_Riferimento!$D$127:$H$164,5,FALSE))</f>
        <v>8</v>
      </c>
      <c r="LW32" s="1762">
        <f>+IFERROR(VLOOKUP(LW$27&amp;"-"&amp;$M32&amp;"_new",Ammortamento_Finanziario!$H:$L,5,FALSE),VLOOKUP($M32,TT_Tabelle_Riferimento!$D$127:$H$164,5,FALSE))</f>
        <v>8</v>
      </c>
      <c r="LX32" s="1762">
        <f>+IFERROR(VLOOKUP(LX$27&amp;"-"&amp;$M32&amp;"_new",Ammortamento_Finanziario!$H:$L,5,FALSE),VLOOKUP($M32,TT_Tabelle_Riferimento!$D$127:$H$164,5,FALSE))</f>
        <v>8</v>
      </c>
      <c r="LY32" s="904">
        <f>+IFERROR(VLOOKUP(LY$27&amp;"-"&amp;$M32&amp;"_new",Ammortamento_Finanziario!$H:$L,5,FALSE),VLOOKUP($M32,TT_Tabelle_Riferimento!$D$127:$H$164,5,FALSE))</f>
        <v>8</v>
      </c>
      <c r="LZ32" s="904">
        <f>+IFERROR(VLOOKUP(LZ$27&amp;"-"&amp;$M32&amp;"_new",Ammortamento_Finanziario!$H:$L,5,FALSE),VLOOKUP($M32,TT_Tabelle_Riferimento!$D$127:$H$164,5,FALSE))</f>
        <v>8</v>
      </c>
      <c r="MA32" s="904">
        <f>+IFERROR(VLOOKUP(MA$27&amp;"-"&amp;$M32&amp;"_new",Ammortamento_Finanziario!$H:$L,5,FALSE),VLOOKUP($M32,TT_Tabelle_Riferimento!$D$127:$H$164,5,FALSE))</f>
        <v>8</v>
      </c>
      <c r="MB32" s="904">
        <f>+IFERROR(VLOOKUP(MB$27&amp;"-"&amp;$M32&amp;"_new",Ammortamento_Finanziario!$H:$L,5,FALSE),VLOOKUP($M32,TT_Tabelle_Riferimento!$D$127:$H$164,5,FALSE))</f>
        <v>8</v>
      </c>
      <c r="MC32" s="904">
        <f>+IFERROR(VLOOKUP(MC$27&amp;"-"&amp;$M32&amp;"_new",Ammortamento_Finanziario!$H:$L,5,FALSE),VLOOKUP($M32,TT_Tabelle_Riferimento!$D$127:$H$164,5,FALSE))</f>
        <v>8</v>
      </c>
      <c r="MD32" s="904">
        <f>+IFERROR(VLOOKUP(MD$27&amp;"-"&amp;$M32&amp;"_new",Ammortamento_Finanziario!$H:$L,5,FALSE),VLOOKUP($M32,TT_Tabelle_Riferimento!$D$127:$H$164,5,FALSE))</f>
        <v>8</v>
      </c>
      <c r="ME32" s="904">
        <f>+IFERROR(VLOOKUP(ME$27&amp;"-"&amp;$M32&amp;"_new",Ammortamento_Finanziario!$H:$L,5,FALSE),VLOOKUP($M32,TT_Tabelle_Riferimento!$D$127:$H$164,5,FALSE))</f>
        <v>8</v>
      </c>
      <c r="MF32" s="904">
        <f>+IFERROR(VLOOKUP(MF$27&amp;"-"&amp;$M32&amp;"_new",Ammortamento_Finanziario!$H:$L,5,FALSE),VLOOKUP($M32,TT_Tabelle_Riferimento!$D$127:$H$164,5,FALSE))</f>
        <v>8</v>
      </c>
      <c r="MG32" s="904">
        <f>+IFERROR(VLOOKUP(MG$27&amp;"-"&amp;$M32&amp;"_new",Ammortamento_Finanziario!$H:$L,5,FALSE),VLOOKUP($M32,TT_Tabelle_Riferimento!$D$127:$H$164,5,FALSE))</f>
        <v>8</v>
      </c>
      <c r="MH32" s="904">
        <f>+IFERROR(VLOOKUP(MH$27&amp;"-"&amp;$M32&amp;"_new",Ammortamento_Finanziario!$H:$L,5,FALSE),VLOOKUP($M32,TT_Tabelle_Riferimento!$D$127:$H$164,5,FALSE))</f>
        <v>8</v>
      </c>
      <c r="MI32" s="904">
        <f>+IFERROR(VLOOKUP(MI$27&amp;"-"&amp;$M32&amp;"_new",Ammortamento_Finanziario!$H:$L,5,FALSE),VLOOKUP($M32,TT_Tabelle_Riferimento!$D$127:$H$164,5,FALSE))</f>
        <v>8</v>
      </c>
      <c r="MJ32" s="904">
        <f>+IFERROR(VLOOKUP(MJ$27&amp;"-"&amp;$M32&amp;"_new",Ammortamento_Finanziario!$H:$L,5,FALSE),VLOOKUP($M32,TT_Tabelle_Riferimento!$D$127:$H$164,5,FALSE))</f>
        <v>8</v>
      </c>
      <c r="MK32" s="904">
        <f>+IFERROR(VLOOKUP(MK$27&amp;"-"&amp;$M32&amp;"_new",Ammortamento_Finanziario!$H:$L,5,FALSE),VLOOKUP($M32,TT_Tabelle_Riferimento!$D$127:$H$164,5,FALSE))</f>
        <v>8</v>
      </c>
      <c r="ML32" s="904">
        <f>+IFERROR(VLOOKUP(ML$27&amp;"-"&amp;$M32&amp;"_new",Ammortamento_Finanziario!$H:$L,5,FALSE),VLOOKUP($M32,TT_Tabelle_Riferimento!$D$127:$H$164,5,FALSE))</f>
        <v>8</v>
      </c>
      <c r="MM32" s="904">
        <f>+IFERROR(VLOOKUP(MM$27&amp;"-"&amp;$M32&amp;"_new",Ammortamento_Finanziario!$H:$L,5,FALSE),VLOOKUP($M32,TT_Tabelle_Riferimento!$D$127:$H$164,5,FALSE))</f>
        <v>8</v>
      </c>
      <c r="MN32" s="904">
        <f>+IFERROR(VLOOKUP(MN$27&amp;"-"&amp;$M32&amp;"_new",Ammortamento_Finanziario!$H:$L,5,FALSE),VLOOKUP($M32,TT_Tabelle_Riferimento!$D$127:$H$164,5,FALSE))</f>
        <v>8</v>
      </c>
      <c r="MO32" s="904">
        <f>+IFERROR(VLOOKUP(MO$27&amp;"-"&amp;$M32&amp;"_new",Ammortamento_Finanziario!$H:$L,5,FALSE),VLOOKUP($M32,TT_Tabelle_Riferimento!$D$127:$H$164,5,FALSE))</f>
        <v>8</v>
      </c>
      <c r="MP32" s="904">
        <f>+IFERROR(VLOOKUP(MP$27&amp;"-"&amp;$M32&amp;"_new",Ammortamento_Finanziario!$H:$L,5,FALSE),VLOOKUP($M32,TT_Tabelle_Riferimento!$D$127:$H$164,5,FALSE))</f>
        <v>8</v>
      </c>
      <c r="MQ32" s="904">
        <f>+IFERROR(VLOOKUP(MQ$27&amp;"-"&amp;$M32&amp;"_new",Ammortamento_Finanziario!$H:$L,5,FALSE),VLOOKUP($M32,TT_Tabelle_Riferimento!$D$127:$H$164,5,FALSE))</f>
        <v>8</v>
      </c>
      <c r="MR32" s="1762">
        <f>+IFERROR(VLOOKUP(MR$27&amp;"-"&amp;$M32&amp;"_new",Ammortamento_Finanziario!$H:$L,5,FALSE),VLOOKUP($M32,TT_Tabelle_Riferimento!$D$127:$H$164,5,FALSE))</f>
        <v>8</v>
      </c>
      <c r="MS32" s="1762">
        <f>+IFERROR(VLOOKUP(MS$27&amp;"-"&amp;$M32&amp;"_new",Ammortamento_Finanziario!$H:$L,5,FALSE),VLOOKUP($M32,TT_Tabelle_Riferimento!$D$127:$H$164,5,FALSE))</f>
        <v>8</v>
      </c>
      <c r="MT32" s="1762">
        <f>+IFERROR(VLOOKUP(MT$27&amp;"-"&amp;$M32&amp;"_new",Ammortamento_Finanziario!$H:$L,5,FALSE),VLOOKUP($M32,TT_Tabelle_Riferimento!$D$127:$H$164,5,FALSE))</f>
        <v>8</v>
      </c>
      <c r="MU32" s="1762">
        <f>+IFERROR(VLOOKUP(MU$27&amp;"-"&amp;$M32&amp;"_new",Ammortamento_Finanziario!$H:$L,5,FALSE),VLOOKUP($M32,TT_Tabelle_Riferimento!$D$127:$H$164,5,FALSE))</f>
        <v>8</v>
      </c>
      <c r="MV32" s="1762">
        <f>+IFERROR(VLOOKUP(MV$27&amp;"-"&amp;$M32&amp;"_new",Ammortamento_Finanziario!$H:$L,5,FALSE),VLOOKUP($M32,TT_Tabelle_Riferimento!$D$127:$H$164,5,FALSE))</f>
        <v>8</v>
      </c>
      <c r="MW32" s="1762">
        <f>+IFERROR(VLOOKUP(MW$27&amp;"-"&amp;$M32&amp;"_new",Ammortamento_Finanziario!$H:$L,5,FALSE),VLOOKUP($M32,TT_Tabelle_Riferimento!$D$127:$H$164,5,FALSE))</f>
        <v>8</v>
      </c>
      <c r="MX32" s="904">
        <f>+IFERROR(VLOOKUP(MX$27&amp;"-"&amp;$M32&amp;"_new",Ammortamento_Finanziario!$H:$L,5,FALSE),VLOOKUP($M32,TT_Tabelle_Riferimento!$D$127:$H$164,5,FALSE))</f>
        <v>8</v>
      </c>
      <c r="MY32" s="904">
        <f>+IFERROR(VLOOKUP(MY$27&amp;"-"&amp;$M32&amp;"_new",Ammortamento_Finanziario!$H:$L,5,FALSE),VLOOKUP($M32,TT_Tabelle_Riferimento!$D$127:$H$164,5,FALSE))</f>
        <v>8</v>
      </c>
      <c r="MZ32" s="904">
        <f>+IFERROR(VLOOKUP(MZ$27&amp;"-"&amp;$M32&amp;"_new",Ammortamento_Finanziario!$H:$L,5,FALSE),VLOOKUP($M32,TT_Tabelle_Riferimento!$D$127:$H$164,5,FALSE))</f>
        <v>8</v>
      </c>
      <c r="NA32" s="904">
        <f>+IFERROR(VLOOKUP(NA$27&amp;"-"&amp;$M32&amp;"_new",Ammortamento_Finanziario!$H:$L,5,FALSE),VLOOKUP($M32,TT_Tabelle_Riferimento!$D$127:$H$164,5,FALSE))</f>
        <v>8</v>
      </c>
      <c r="NB32" s="904">
        <f>+IFERROR(VLOOKUP(NB$27&amp;"-"&amp;$M32&amp;"_new",Ammortamento_Finanziario!$H:$L,5,FALSE),VLOOKUP($M32,TT_Tabelle_Riferimento!$D$127:$H$164,5,FALSE))</f>
        <v>8</v>
      </c>
      <c r="NC32" s="904">
        <f>+IFERROR(VLOOKUP(NC$27&amp;"-"&amp;$M32&amp;"_new",Ammortamento_Finanziario!$H:$L,5,FALSE),VLOOKUP($M32,TT_Tabelle_Riferimento!$D$127:$H$164,5,FALSE))</f>
        <v>8</v>
      </c>
      <c r="ND32" s="904">
        <f>+IFERROR(VLOOKUP(ND$27&amp;"-"&amp;$M32&amp;"_new",Ammortamento_Finanziario!$H:$L,5,FALSE),VLOOKUP($M32,TT_Tabelle_Riferimento!$D$127:$H$164,5,FALSE))</f>
        <v>8</v>
      </c>
      <c r="NE32" s="904">
        <f>+IFERROR(VLOOKUP(NE$27&amp;"-"&amp;$M32&amp;"_new",Ammortamento_Finanziario!$H:$L,5,FALSE),VLOOKUP($M32,TT_Tabelle_Riferimento!$D$127:$H$164,5,FALSE))</f>
        <v>8</v>
      </c>
      <c r="NF32" s="904">
        <f>+IFERROR(VLOOKUP(NF$27&amp;"-"&amp;$M32&amp;"_new",Ammortamento_Finanziario!$H:$L,5,FALSE),VLOOKUP($M32,TT_Tabelle_Riferimento!$D$127:$H$164,5,FALSE))</f>
        <v>8</v>
      </c>
      <c r="NG32" s="904">
        <f>+IFERROR(VLOOKUP(NG$27&amp;"-"&amp;$M32&amp;"_new",Ammortamento_Finanziario!$H:$L,5,FALSE),VLOOKUP($M32,TT_Tabelle_Riferimento!$D$127:$H$164,5,FALSE))</f>
        <v>8</v>
      </c>
      <c r="NH32" s="904">
        <f>+IFERROR(VLOOKUP(NH$27&amp;"-"&amp;$M32&amp;"_new",Ammortamento_Finanziario!$H:$L,5,FALSE),VLOOKUP($M32,TT_Tabelle_Riferimento!$D$127:$H$164,5,FALSE))</f>
        <v>8</v>
      </c>
      <c r="NI32" s="904">
        <f>+IFERROR(VLOOKUP(NI$27&amp;"-"&amp;$M32&amp;"_new",Ammortamento_Finanziario!$H:$L,5,FALSE),VLOOKUP($M32,TT_Tabelle_Riferimento!$D$127:$H$164,5,FALSE))</f>
        <v>8</v>
      </c>
      <c r="NJ32" s="904">
        <f>+IFERROR(VLOOKUP(NJ$27&amp;"-"&amp;$M32&amp;"_new",Ammortamento_Finanziario!$H:$L,5,FALSE),VLOOKUP($M32,TT_Tabelle_Riferimento!$D$127:$H$164,5,FALSE))</f>
        <v>8</v>
      </c>
      <c r="NK32" s="904">
        <f>+IFERROR(VLOOKUP(NK$27&amp;"-"&amp;$M32&amp;"_new",Ammortamento_Finanziario!$H:$L,5,FALSE),VLOOKUP($M32,TT_Tabelle_Riferimento!$D$127:$H$164,5,FALSE))</f>
        <v>8</v>
      </c>
      <c r="NL32" s="904">
        <f>+IFERROR(VLOOKUP(NL$27&amp;"-"&amp;$M32&amp;"_new",Ammortamento_Finanziario!$H:$L,5,FALSE),VLOOKUP($M32,TT_Tabelle_Riferimento!$D$127:$H$164,5,FALSE))</f>
        <v>8</v>
      </c>
      <c r="NM32" s="904">
        <f>+IFERROR(VLOOKUP(NM$27&amp;"-"&amp;$M32&amp;"_new",Ammortamento_Finanziario!$H:$L,5,FALSE),VLOOKUP($M32,TT_Tabelle_Riferimento!$D$127:$H$164,5,FALSE))</f>
        <v>8</v>
      </c>
      <c r="NN32" s="904">
        <f>+IFERROR(VLOOKUP(NN$27&amp;"-"&amp;$M32&amp;"_new",Ammortamento_Finanziario!$H:$L,5,FALSE),VLOOKUP($M32,TT_Tabelle_Riferimento!$D$127:$H$164,5,FALSE))</f>
        <v>8</v>
      </c>
      <c r="NO32" s="904">
        <f>+IFERROR(VLOOKUP(NO$27&amp;"-"&amp;$M32&amp;"_new",Ammortamento_Finanziario!$H:$L,5,FALSE),VLOOKUP($M32,TT_Tabelle_Riferimento!$D$127:$H$164,5,FALSE))</f>
        <v>8</v>
      </c>
      <c r="NP32" s="904">
        <f>+IFERROR(VLOOKUP(NP$27&amp;"-"&amp;$M32&amp;"_new",Ammortamento_Finanziario!$H:$L,5,FALSE),VLOOKUP($M32,TT_Tabelle_Riferimento!$D$127:$H$164,5,FALSE))</f>
        <v>8</v>
      </c>
      <c r="NQ32" s="1762">
        <f>+IFERROR(VLOOKUP(NQ$27&amp;"-"&amp;$M32&amp;"_new",Ammortamento_Finanziario!$H:$L,5,FALSE),VLOOKUP($M32,TT_Tabelle_Riferimento!$D$127:$H$164,5,FALSE))</f>
        <v>8</v>
      </c>
      <c r="NR32" s="1762">
        <f>+IFERROR(VLOOKUP(NR$27&amp;"-"&amp;$M32&amp;"_new",Ammortamento_Finanziario!$H:$L,5,FALSE),VLOOKUP($M32,TT_Tabelle_Riferimento!$D$127:$H$164,5,FALSE))</f>
        <v>8</v>
      </c>
      <c r="NS32" s="1762">
        <f>+IFERROR(VLOOKUP(NS$27&amp;"-"&amp;$M32&amp;"_new",Ammortamento_Finanziario!$H:$L,5,FALSE),VLOOKUP($M32,TT_Tabelle_Riferimento!$D$127:$H$164,5,FALSE))</f>
        <v>8</v>
      </c>
      <c r="NT32" s="1762">
        <f>+IFERROR(VLOOKUP(NT$27&amp;"-"&amp;$M32&amp;"_new",Ammortamento_Finanziario!$H:$L,5,FALSE),VLOOKUP($M32,TT_Tabelle_Riferimento!$D$127:$H$164,5,FALSE))</f>
        <v>8</v>
      </c>
      <c r="NU32" s="1762">
        <f>+IFERROR(VLOOKUP(NU$27&amp;"-"&amp;$M32&amp;"_new",Ammortamento_Finanziario!$H:$L,5,FALSE),VLOOKUP($M32,TT_Tabelle_Riferimento!$D$127:$H$164,5,FALSE))</f>
        <v>8</v>
      </c>
      <c r="NV32" s="904">
        <f>+IFERROR(VLOOKUP(NV$27&amp;"-"&amp;$M32&amp;"_new",Ammortamento_Finanziario!$H:$L,5,FALSE),VLOOKUP($M32,TT_Tabelle_Riferimento!$D$127:$H$164,5,FALSE))</f>
        <v>8</v>
      </c>
      <c r="NW32" s="904">
        <f>+IFERROR(VLOOKUP(NW$27&amp;"-"&amp;$M32&amp;"_new",Ammortamento_Finanziario!$H:$L,5,FALSE),VLOOKUP($M32,TT_Tabelle_Riferimento!$D$127:$H$164,5,FALSE))</f>
        <v>8</v>
      </c>
      <c r="NX32" s="904">
        <f>+IFERROR(VLOOKUP(NX$27&amp;"-"&amp;$M32&amp;"_new",Ammortamento_Finanziario!$H:$L,5,FALSE),VLOOKUP($M32,TT_Tabelle_Riferimento!$D$127:$H$164,5,FALSE))</f>
        <v>8</v>
      </c>
      <c r="NY32" s="904">
        <f>+IFERROR(VLOOKUP(NY$27&amp;"-"&amp;$M32&amp;"_new",Ammortamento_Finanziario!$H:$L,5,FALSE),VLOOKUP($M32,TT_Tabelle_Riferimento!$D$127:$H$164,5,FALSE))</f>
        <v>8</v>
      </c>
      <c r="NZ32" s="904">
        <f>+IFERROR(VLOOKUP(NZ$27&amp;"-"&amp;$M32&amp;"_new",Ammortamento_Finanziario!$H:$L,5,FALSE),VLOOKUP($M32,TT_Tabelle_Riferimento!$D$127:$H$164,5,FALSE))</f>
        <v>8</v>
      </c>
      <c r="OA32" s="904">
        <f>+IFERROR(VLOOKUP(OA$27&amp;"-"&amp;$M32&amp;"_new",Ammortamento_Finanziario!$H:$L,5,FALSE),VLOOKUP($M32,TT_Tabelle_Riferimento!$D$127:$H$164,5,FALSE))</f>
        <v>8</v>
      </c>
      <c r="OB32" s="904">
        <f>+IFERROR(VLOOKUP(OB$27&amp;"-"&amp;$M32&amp;"_new",Ammortamento_Finanziario!$H:$L,5,FALSE),VLOOKUP($M32,TT_Tabelle_Riferimento!$D$127:$H$164,5,FALSE))</f>
        <v>8</v>
      </c>
      <c r="OC32" s="904">
        <f>+IFERROR(VLOOKUP(OC$27&amp;"-"&amp;$M32&amp;"_new",Ammortamento_Finanziario!$H:$L,5,FALSE),VLOOKUP($M32,TT_Tabelle_Riferimento!$D$127:$H$164,5,FALSE))</f>
        <v>8</v>
      </c>
      <c r="OD32" s="904">
        <f>+IFERROR(VLOOKUP(OD$27&amp;"-"&amp;$M32&amp;"_new",Ammortamento_Finanziario!$H:$L,5,FALSE),VLOOKUP($M32,TT_Tabelle_Riferimento!$D$127:$H$164,5,FALSE))</f>
        <v>8</v>
      </c>
      <c r="OE32" s="904">
        <f>+IFERROR(VLOOKUP(OE$27&amp;"-"&amp;$M32&amp;"_new",Ammortamento_Finanziario!$H:$L,5,FALSE),VLOOKUP($M32,TT_Tabelle_Riferimento!$D$127:$H$164,5,FALSE))</f>
        <v>8</v>
      </c>
      <c r="OF32" s="904">
        <f>+IFERROR(VLOOKUP(OF$27&amp;"-"&amp;$M32&amp;"_new",Ammortamento_Finanziario!$H:$L,5,FALSE),VLOOKUP($M32,TT_Tabelle_Riferimento!$D$127:$H$164,5,FALSE))</f>
        <v>8</v>
      </c>
      <c r="OG32" s="904">
        <f>+IFERROR(VLOOKUP(OG$27&amp;"-"&amp;$M32&amp;"_new",Ammortamento_Finanziario!$H:$L,5,FALSE),VLOOKUP($M32,TT_Tabelle_Riferimento!$D$127:$H$164,5,FALSE))</f>
        <v>8</v>
      </c>
      <c r="OH32" s="904">
        <f>+IFERROR(VLOOKUP(OH$27&amp;"-"&amp;$M32&amp;"_new",Ammortamento_Finanziario!$H:$L,5,FALSE),VLOOKUP($M32,TT_Tabelle_Riferimento!$D$127:$H$164,5,FALSE))</f>
        <v>8</v>
      </c>
      <c r="OI32" s="904">
        <f>+IFERROR(VLOOKUP(OI$27&amp;"-"&amp;$M32&amp;"_new",Ammortamento_Finanziario!$H:$L,5,FALSE),VLOOKUP($M32,TT_Tabelle_Riferimento!$D$127:$H$164,5,FALSE))</f>
        <v>8</v>
      </c>
      <c r="OJ32" s="904">
        <f>+IFERROR(VLOOKUP(OJ$27&amp;"-"&amp;$M32&amp;"_new",Ammortamento_Finanziario!$H:$L,5,FALSE),VLOOKUP($M32,TT_Tabelle_Riferimento!$D$127:$H$164,5,FALSE))</f>
        <v>8</v>
      </c>
      <c r="OK32" s="904">
        <f>+IFERROR(VLOOKUP(OK$27&amp;"-"&amp;$M32&amp;"_new",Ammortamento_Finanziario!$H:$L,5,FALSE),VLOOKUP($M32,TT_Tabelle_Riferimento!$D$127:$H$164,5,FALSE))</f>
        <v>8</v>
      </c>
      <c r="OL32" s="904">
        <f>+IFERROR(VLOOKUP(OL$27&amp;"-"&amp;$M32&amp;"_new",Ammortamento_Finanziario!$H:$L,5,FALSE),VLOOKUP($M32,TT_Tabelle_Riferimento!$D$127:$H$164,5,FALSE))</f>
        <v>8</v>
      </c>
      <c r="OM32" s="904">
        <f>+IFERROR(VLOOKUP(OM$27&amp;"-"&amp;$M32&amp;"_new",Ammortamento_Finanziario!$H:$L,5,FALSE),VLOOKUP($M32,TT_Tabelle_Riferimento!$D$127:$H$164,5,FALSE))</f>
        <v>8</v>
      </c>
      <c r="ON32" s="904">
        <f>+IFERROR(VLOOKUP(ON$27&amp;"-"&amp;$M32&amp;"_new",Ammortamento_Finanziario!$H:$L,5,FALSE),VLOOKUP($M32,TT_Tabelle_Riferimento!$D$127:$H$164,5,FALSE))</f>
        <v>8</v>
      </c>
      <c r="OO32" s="1762">
        <f>+IFERROR(VLOOKUP(OO$27&amp;"-"&amp;$M32&amp;"_new",Ammortamento_Finanziario!$H:$L,5,FALSE),VLOOKUP($M32,TT_Tabelle_Riferimento!$D$127:$H$164,5,FALSE))</f>
        <v>8</v>
      </c>
      <c r="OP32" s="1762">
        <f>+IFERROR(VLOOKUP(OP$27&amp;"-"&amp;$M32&amp;"_new",Ammortamento_Finanziario!$H:$L,5,FALSE),VLOOKUP($M32,TT_Tabelle_Riferimento!$D$127:$H$164,5,FALSE))</f>
        <v>8</v>
      </c>
      <c r="OQ32" s="1762">
        <f>+IFERROR(VLOOKUP(OQ$27&amp;"-"&amp;$M32&amp;"_new",Ammortamento_Finanziario!$H:$L,5,FALSE),VLOOKUP($M32,TT_Tabelle_Riferimento!$D$127:$H$164,5,FALSE))</f>
        <v>8</v>
      </c>
      <c r="OR32" s="1762">
        <f>+IFERROR(VLOOKUP(OR$27&amp;"-"&amp;$M32&amp;"_new",Ammortamento_Finanziario!$H:$L,5,FALSE),VLOOKUP($M32,TT_Tabelle_Riferimento!$D$127:$H$164,5,FALSE))</f>
        <v>8</v>
      </c>
      <c r="OS32" s="904">
        <f>+IFERROR(VLOOKUP(OS$27&amp;"-"&amp;$M32&amp;"_new",Ammortamento_Finanziario!$H:$L,5,FALSE),VLOOKUP($M32,TT_Tabelle_Riferimento!$D$127:$H$164,5,FALSE))</f>
        <v>8</v>
      </c>
      <c r="OT32" s="904">
        <f>+IFERROR(VLOOKUP(OT$27&amp;"-"&amp;$M32&amp;"_new",Ammortamento_Finanziario!$H:$L,5,FALSE),VLOOKUP($M32,TT_Tabelle_Riferimento!$D$127:$H$164,5,FALSE))</f>
        <v>8</v>
      </c>
      <c r="OU32" s="904">
        <f>+IFERROR(VLOOKUP(OU$27&amp;"-"&amp;$M32&amp;"_new",Ammortamento_Finanziario!$H:$L,5,FALSE),VLOOKUP($M32,TT_Tabelle_Riferimento!$D$127:$H$164,5,FALSE))</f>
        <v>8</v>
      </c>
      <c r="OV32" s="904">
        <f>+IFERROR(VLOOKUP(OV$27&amp;"-"&amp;$M32&amp;"_new",Ammortamento_Finanziario!$H:$L,5,FALSE),VLOOKUP($M32,TT_Tabelle_Riferimento!$D$127:$H$164,5,FALSE))</f>
        <v>8</v>
      </c>
      <c r="OW32" s="904">
        <f>+IFERROR(VLOOKUP(OW$27&amp;"-"&amp;$M32&amp;"_new",Ammortamento_Finanziario!$H:$L,5,FALSE),VLOOKUP($M32,TT_Tabelle_Riferimento!$D$127:$H$164,5,FALSE))</f>
        <v>8</v>
      </c>
      <c r="OX32" s="904">
        <f>+IFERROR(VLOOKUP(OX$27&amp;"-"&amp;$M32&amp;"_new",Ammortamento_Finanziario!$H:$L,5,FALSE),VLOOKUP($M32,TT_Tabelle_Riferimento!$D$127:$H$164,5,FALSE))</f>
        <v>8</v>
      </c>
      <c r="OY32" s="904">
        <f>+IFERROR(VLOOKUP(OY$27&amp;"-"&amp;$M32&amp;"_new",Ammortamento_Finanziario!$H:$L,5,FALSE),VLOOKUP($M32,TT_Tabelle_Riferimento!$D$127:$H$164,5,FALSE))</f>
        <v>8</v>
      </c>
      <c r="OZ32" s="904">
        <f>+IFERROR(VLOOKUP(OZ$27&amp;"-"&amp;$M32&amp;"_new",Ammortamento_Finanziario!$H:$L,5,FALSE),VLOOKUP($M32,TT_Tabelle_Riferimento!$D$127:$H$164,5,FALSE))</f>
        <v>8</v>
      </c>
      <c r="PA32" s="904">
        <f>+IFERROR(VLOOKUP(PA$27&amp;"-"&amp;$M32&amp;"_new",Ammortamento_Finanziario!$H:$L,5,FALSE),VLOOKUP($M32,TT_Tabelle_Riferimento!$D$127:$H$164,5,FALSE))</f>
        <v>8</v>
      </c>
      <c r="PB32" s="904">
        <f>+IFERROR(VLOOKUP(PB$27&amp;"-"&amp;$M32&amp;"_new",Ammortamento_Finanziario!$H:$L,5,FALSE),VLOOKUP($M32,TT_Tabelle_Riferimento!$D$127:$H$164,5,FALSE))</f>
        <v>8</v>
      </c>
      <c r="PC32" s="904">
        <f>+IFERROR(VLOOKUP(PC$27&amp;"-"&amp;$M32&amp;"_new",Ammortamento_Finanziario!$H:$L,5,FALSE),VLOOKUP($M32,TT_Tabelle_Riferimento!$D$127:$H$164,5,FALSE))</f>
        <v>8</v>
      </c>
      <c r="PD32" s="904">
        <f>+IFERROR(VLOOKUP(PD$27&amp;"-"&amp;$M32&amp;"_new",Ammortamento_Finanziario!$H:$L,5,FALSE),VLOOKUP($M32,TT_Tabelle_Riferimento!$D$127:$H$164,5,FALSE))</f>
        <v>8</v>
      </c>
      <c r="PE32" s="904">
        <f>+IFERROR(VLOOKUP(PE$27&amp;"-"&amp;$M32&amp;"_new",Ammortamento_Finanziario!$H:$L,5,FALSE),VLOOKUP($M32,TT_Tabelle_Riferimento!$D$127:$H$164,5,FALSE))</f>
        <v>8</v>
      </c>
      <c r="PF32" s="904">
        <f>+IFERROR(VLOOKUP(PF$27&amp;"-"&amp;$M32&amp;"_new",Ammortamento_Finanziario!$H:$L,5,FALSE),VLOOKUP($M32,TT_Tabelle_Riferimento!$D$127:$H$164,5,FALSE))</f>
        <v>8</v>
      </c>
      <c r="PG32" s="904">
        <f>+IFERROR(VLOOKUP(PG$27&amp;"-"&amp;$M32&amp;"_new",Ammortamento_Finanziario!$H:$L,5,FALSE),VLOOKUP($M32,TT_Tabelle_Riferimento!$D$127:$H$164,5,FALSE))</f>
        <v>8</v>
      </c>
      <c r="PH32" s="904">
        <f>+IFERROR(VLOOKUP(PH$27&amp;"-"&amp;$M32&amp;"_new",Ammortamento_Finanziario!$H:$L,5,FALSE),VLOOKUP($M32,TT_Tabelle_Riferimento!$D$127:$H$164,5,FALSE))</f>
        <v>8</v>
      </c>
      <c r="PI32" s="904">
        <f>+IFERROR(VLOOKUP(PI$27&amp;"-"&amp;$M32&amp;"_new",Ammortamento_Finanziario!$H:$L,5,FALSE),VLOOKUP($M32,TT_Tabelle_Riferimento!$D$127:$H$164,5,FALSE))</f>
        <v>8</v>
      </c>
      <c r="PJ32" s="904">
        <f>+IFERROR(VLOOKUP(PJ$27&amp;"-"&amp;$M32&amp;"_new",Ammortamento_Finanziario!$H:$L,5,FALSE),VLOOKUP($M32,TT_Tabelle_Riferimento!$D$127:$H$164,5,FALSE))</f>
        <v>8</v>
      </c>
      <c r="PK32" s="904">
        <f>+IFERROR(VLOOKUP(PK$27&amp;"-"&amp;$M32&amp;"_new",Ammortamento_Finanziario!$H:$L,5,FALSE),VLOOKUP($M32,TT_Tabelle_Riferimento!$D$127:$H$164,5,FALSE))</f>
        <v>8</v>
      </c>
      <c r="PL32" s="1762">
        <f>+IFERROR(VLOOKUP(PL$27&amp;"-"&amp;$M32&amp;"_new",Ammortamento_Finanziario!$H:$L,5,FALSE),VLOOKUP($M32,TT_Tabelle_Riferimento!$D$127:$H$164,5,FALSE))</f>
        <v>8</v>
      </c>
      <c r="PM32" s="1762">
        <f>+IFERROR(VLOOKUP(PM$27&amp;"-"&amp;$M32&amp;"_new",Ammortamento_Finanziario!$H:$L,5,FALSE),VLOOKUP($M32,TT_Tabelle_Riferimento!$D$127:$H$164,5,FALSE))</f>
        <v>8</v>
      </c>
      <c r="PN32" s="1762">
        <f>+IFERROR(VLOOKUP(PN$27&amp;"-"&amp;$M32&amp;"_new",Ammortamento_Finanziario!$H:$L,5,FALSE),VLOOKUP($M32,TT_Tabelle_Riferimento!$D$127:$H$164,5,FALSE))</f>
        <v>8</v>
      </c>
      <c r="PO32" s="904">
        <f>+IFERROR(VLOOKUP(PO$27&amp;"-"&amp;$M32&amp;"_new",Ammortamento_Finanziario!$H:$L,5,FALSE),VLOOKUP($M32,TT_Tabelle_Riferimento!$D$127:$H$164,5,FALSE))</f>
        <v>8</v>
      </c>
      <c r="PP32" s="904">
        <f>+IFERROR(VLOOKUP(PP$27&amp;"-"&amp;$M32&amp;"_new",Ammortamento_Finanziario!$H:$L,5,FALSE),VLOOKUP($M32,TT_Tabelle_Riferimento!$D$127:$H$164,5,FALSE))</f>
        <v>8</v>
      </c>
      <c r="PQ32" s="904">
        <f>+IFERROR(VLOOKUP(PQ$27&amp;"-"&amp;$M32&amp;"_new",Ammortamento_Finanziario!$H:$L,5,FALSE),VLOOKUP($M32,TT_Tabelle_Riferimento!$D$127:$H$164,5,FALSE))</f>
        <v>8</v>
      </c>
      <c r="PR32" s="904">
        <f>+IFERROR(VLOOKUP(PR$27&amp;"-"&amp;$M32&amp;"_new",Ammortamento_Finanziario!$H:$L,5,FALSE),VLOOKUP($M32,TT_Tabelle_Riferimento!$D$127:$H$164,5,FALSE))</f>
        <v>8</v>
      </c>
      <c r="PS32" s="904">
        <f>+IFERROR(VLOOKUP(PS$27&amp;"-"&amp;$M32&amp;"_new",Ammortamento_Finanziario!$H:$L,5,FALSE),VLOOKUP($M32,TT_Tabelle_Riferimento!$D$127:$H$164,5,FALSE))</f>
        <v>8</v>
      </c>
      <c r="PT32" s="904">
        <f>+IFERROR(VLOOKUP(PT$27&amp;"-"&amp;$M32&amp;"_new",Ammortamento_Finanziario!$H:$L,5,FALSE),VLOOKUP($M32,TT_Tabelle_Riferimento!$D$127:$H$164,5,FALSE))</f>
        <v>8</v>
      </c>
      <c r="PU32" s="904">
        <f>+IFERROR(VLOOKUP(PU$27&amp;"-"&amp;$M32&amp;"_new",Ammortamento_Finanziario!$H:$L,5,FALSE),VLOOKUP($M32,TT_Tabelle_Riferimento!$D$127:$H$164,5,FALSE))</f>
        <v>8</v>
      </c>
      <c r="PV32" s="904">
        <f>+IFERROR(VLOOKUP(PV$27&amp;"-"&amp;$M32&amp;"_new",Ammortamento_Finanziario!$H:$L,5,FALSE),VLOOKUP($M32,TT_Tabelle_Riferimento!$D$127:$H$164,5,FALSE))</f>
        <v>8</v>
      </c>
      <c r="PW32" s="904">
        <f>+IFERROR(VLOOKUP(PW$27&amp;"-"&amp;$M32&amp;"_new",Ammortamento_Finanziario!$H:$L,5,FALSE),VLOOKUP($M32,TT_Tabelle_Riferimento!$D$127:$H$164,5,FALSE))</f>
        <v>8</v>
      </c>
      <c r="PX32" s="904">
        <f>+IFERROR(VLOOKUP(PX$27&amp;"-"&amp;$M32&amp;"_new",Ammortamento_Finanziario!$H:$L,5,FALSE),VLOOKUP($M32,TT_Tabelle_Riferimento!$D$127:$H$164,5,FALSE))</f>
        <v>8</v>
      </c>
      <c r="PY32" s="904">
        <f>+IFERROR(VLOOKUP(PY$27&amp;"-"&amp;$M32&amp;"_new",Ammortamento_Finanziario!$H:$L,5,FALSE),VLOOKUP($M32,TT_Tabelle_Riferimento!$D$127:$H$164,5,FALSE))</f>
        <v>8</v>
      </c>
      <c r="PZ32" s="904">
        <f>+IFERROR(VLOOKUP(PZ$27&amp;"-"&amp;$M32&amp;"_new",Ammortamento_Finanziario!$H:$L,5,FALSE),VLOOKUP($M32,TT_Tabelle_Riferimento!$D$127:$H$164,5,FALSE))</f>
        <v>8</v>
      </c>
      <c r="QA32" s="904">
        <f>+IFERROR(VLOOKUP(QA$27&amp;"-"&amp;$M32&amp;"_new",Ammortamento_Finanziario!$H:$L,5,FALSE),VLOOKUP($M32,TT_Tabelle_Riferimento!$D$127:$H$164,5,FALSE))</f>
        <v>8</v>
      </c>
      <c r="QB32" s="904">
        <f>+IFERROR(VLOOKUP(QB$27&amp;"-"&amp;$M32&amp;"_new",Ammortamento_Finanziario!$H:$L,5,FALSE),VLOOKUP($M32,TT_Tabelle_Riferimento!$D$127:$H$164,5,FALSE))</f>
        <v>8</v>
      </c>
      <c r="QC32" s="904">
        <f>+IFERROR(VLOOKUP(QC$27&amp;"-"&amp;$M32&amp;"_new",Ammortamento_Finanziario!$H:$L,5,FALSE),VLOOKUP($M32,TT_Tabelle_Riferimento!$D$127:$H$164,5,FALSE))</f>
        <v>8</v>
      </c>
      <c r="QD32" s="904">
        <f>+IFERROR(VLOOKUP(QD$27&amp;"-"&amp;$M32&amp;"_new",Ammortamento_Finanziario!$H:$L,5,FALSE),VLOOKUP($M32,TT_Tabelle_Riferimento!$D$127:$H$164,5,FALSE))</f>
        <v>8</v>
      </c>
      <c r="QE32" s="904">
        <f>+IFERROR(VLOOKUP(QE$27&amp;"-"&amp;$M32&amp;"_new",Ammortamento_Finanziario!$H:$L,5,FALSE),VLOOKUP($M32,TT_Tabelle_Riferimento!$D$127:$H$164,5,FALSE))</f>
        <v>8</v>
      </c>
      <c r="QF32" s="904">
        <f>+IFERROR(VLOOKUP(QF$27&amp;"-"&amp;$M32&amp;"_new",Ammortamento_Finanziario!$H:$L,5,FALSE),VLOOKUP($M32,TT_Tabelle_Riferimento!$D$127:$H$164,5,FALSE))</f>
        <v>8</v>
      </c>
      <c r="QG32" s="904">
        <f>+IFERROR(VLOOKUP(QG$27&amp;"-"&amp;$M32&amp;"_new",Ammortamento_Finanziario!$H:$L,5,FALSE),VLOOKUP($M32,TT_Tabelle_Riferimento!$D$127:$H$164,5,FALSE))</f>
        <v>8</v>
      </c>
      <c r="QH32" s="1762">
        <f>+IFERROR(VLOOKUP(QH$27&amp;"-"&amp;$M32&amp;"_new",Ammortamento_Finanziario!$H:$L,5,FALSE),VLOOKUP($M32,TT_Tabelle_Riferimento!$D$127:$H$164,5,FALSE))</f>
        <v>8</v>
      </c>
      <c r="QI32" s="1762">
        <f>+IFERROR(VLOOKUP(QI$27&amp;"-"&amp;$M32&amp;"_new",Ammortamento_Finanziario!$H:$L,5,FALSE),VLOOKUP($M32,TT_Tabelle_Riferimento!$D$127:$H$164,5,FALSE))</f>
        <v>8</v>
      </c>
      <c r="QJ32" s="904">
        <f>+IFERROR(VLOOKUP(QJ$27&amp;"-"&amp;$M32&amp;"_new",Ammortamento_Finanziario!$H:$L,5,FALSE),VLOOKUP($M32,TT_Tabelle_Riferimento!$D$127:$H$164,5,FALSE))</f>
        <v>8</v>
      </c>
      <c r="QK32" s="904">
        <f>+IFERROR(VLOOKUP(QK$27&amp;"-"&amp;$M32&amp;"_new",Ammortamento_Finanziario!$H:$L,5,FALSE),VLOOKUP($M32,TT_Tabelle_Riferimento!$D$127:$H$164,5,FALSE))</f>
        <v>8</v>
      </c>
      <c r="QL32" s="904">
        <f>+IFERROR(VLOOKUP(QL$27&amp;"-"&amp;$M32&amp;"_new",Ammortamento_Finanziario!$H:$L,5,FALSE),VLOOKUP($M32,TT_Tabelle_Riferimento!$D$127:$H$164,5,FALSE))</f>
        <v>8</v>
      </c>
      <c r="QM32" s="904">
        <f>+IFERROR(VLOOKUP(QM$27&amp;"-"&amp;$M32&amp;"_new",Ammortamento_Finanziario!$H:$L,5,FALSE),VLOOKUP($M32,TT_Tabelle_Riferimento!$D$127:$H$164,5,FALSE))</f>
        <v>8</v>
      </c>
      <c r="QN32" s="904">
        <f>+IFERROR(VLOOKUP(QN$27&amp;"-"&amp;$M32&amp;"_new",Ammortamento_Finanziario!$H:$L,5,FALSE),VLOOKUP($M32,TT_Tabelle_Riferimento!$D$127:$H$164,5,FALSE))</f>
        <v>8</v>
      </c>
      <c r="QO32" s="904">
        <f>+IFERROR(VLOOKUP(QO$27&amp;"-"&amp;$M32&amp;"_new",Ammortamento_Finanziario!$H:$L,5,FALSE),VLOOKUP($M32,TT_Tabelle_Riferimento!$D$127:$H$164,5,FALSE))</f>
        <v>8</v>
      </c>
      <c r="QP32" s="904">
        <f>+IFERROR(VLOOKUP(QP$27&amp;"-"&amp;$M32&amp;"_new",Ammortamento_Finanziario!$H:$L,5,FALSE),VLOOKUP($M32,TT_Tabelle_Riferimento!$D$127:$H$164,5,FALSE))</f>
        <v>8</v>
      </c>
      <c r="QQ32" s="904">
        <f>+IFERROR(VLOOKUP(QQ$27&amp;"-"&amp;$M32&amp;"_new",Ammortamento_Finanziario!$H:$L,5,FALSE),VLOOKUP($M32,TT_Tabelle_Riferimento!$D$127:$H$164,5,FALSE))</f>
        <v>8</v>
      </c>
      <c r="QR32" s="904">
        <f>+IFERROR(VLOOKUP(QR$27&amp;"-"&amp;$M32&amp;"_new",Ammortamento_Finanziario!$H:$L,5,FALSE),VLOOKUP($M32,TT_Tabelle_Riferimento!$D$127:$H$164,5,FALSE))</f>
        <v>8</v>
      </c>
      <c r="QS32" s="904">
        <f>+IFERROR(VLOOKUP(QS$27&amp;"-"&amp;$M32&amp;"_new",Ammortamento_Finanziario!$H:$L,5,FALSE),VLOOKUP($M32,TT_Tabelle_Riferimento!$D$127:$H$164,5,FALSE))</f>
        <v>8</v>
      </c>
      <c r="QT32" s="904">
        <f>+IFERROR(VLOOKUP(QT$27&amp;"-"&amp;$M32&amp;"_new",Ammortamento_Finanziario!$H:$L,5,FALSE),VLOOKUP($M32,TT_Tabelle_Riferimento!$D$127:$H$164,5,FALSE))</f>
        <v>8</v>
      </c>
      <c r="QU32" s="904">
        <f>+IFERROR(VLOOKUP(QU$27&amp;"-"&amp;$M32&amp;"_new",Ammortamento_Finanziario!$H:$L,5,FALSE),VLOOKUP($M32,TT_Tabelle_Riferimento!$D$127:$H$164,5,FALSE))</f>
        <v>8</v>
      </c>
      <c r="QV32" s="904">
        <f>+IFERROR(VLOOKUP(QV$27&amp;"-"&amp;$M32&amp;"_new",Ammortamento_Finanziario!$H:$L,5,FALSE),VLOOKUP($M32,TT_Tabelle_Riferimento!$D$127:$H$164,5,FALSE))</f>
        <v>8</v>
      </c>
      <c r="QW32" s="904">
        <f>+IFERROR(VLOOKUP(QW$27&amp;"-"&amp;$M32&amp;"_new",Ammortamento_Finanziario!$H:$L,5,FALSE),VLOOKUP($M32,TT_Tabelle_Riferimento!$D$127:$H$164,5,FALSE))</f>
        <v>8</v>
      </c>
      <c r="QX32" s="904">
        <f>+IFERROR(VLOOKUP(QX$27&amp;"-"&amp;$M32&amp;"_new",Ammortamento_Finanziario!$H:$L,5,FALSE),VLOOKUP($M32,TT_Tabelle_Riferimento!$D$127:$H$164,5,FALSE))</f>
        <v>8</v>
      </c>
      <c r="QY32" s="904">
        <f>+IFERROR(VLOOKUP(QY$27&amp;"-"&amp;$M32&amp;"_new",Ammortamento_Finanziario!$H:$L,5,FALSE),VLOOKUP($M32,TT_Tabelle_Riferimento!$D$127:$H$164,5,FALSE))</f>
        <v>8</v>
      </c>
      <c r="QZ32" s="904">
        <f>+IFERROR(VLOOKUP(QZ$27&amp;"-"&amp;$M32&amp;"_new",Ammortamento_Finanziario!$H:$L,5,FALSE),VLOOKUP($M32,TT_Tabelle_Riferimento!$D$127:$H$164,5,FALSE))</f>
        <v>8</v>
      </c>
      <c r="RA32" s="904">
        <f>+IFERROR(VLOOKUP(RA$27&amp;"-"&amp;$M32&amp;"_new",Ammortamento_Finanziario!$H:$L,5,FALSE),VLOOKUP($M32,TT_Tabelle_Riferimento!$D$127:$H$164,5,FALSE))</f>
        <v>8</v>
      </c>
      <c r="RB32" s="904">
        <f>+IFERROR(VLOOKUP(RB$27&amp;"-"&amp;$M32&amp;"_new",Ammortamento_Finanziario!$H:$L,5,FALSE),VLOOKUP($M32,TT_Tabelle_Riferimento!$D$127:$H$164,5,FALSE))</f>
        <v>8</v>
      </c>
      <c r="RC32" s="1762">
        <f>+IFERROR(VLOOKUP(RC$27&amp;"-"&amp;$M32&amp;"_new",Ammortamento_Finanziario!$H:$L,5,FALSE),VLOOKUP($M32,TT_Tabelle_Riferimento!$D$127:$H$164,5,FALSE))</f>
        <v>8</v>
      </c>
      <c r="RD32" s="904">
        <f>+IFERROR(VLOOKUP(RD$27&amp;"-"&amp;$M32&amp;"_new",Ammortamento_Finanziario!$H:$L,5,FALSE),VLOOKUP($M32,TT_Tabelle_Riferimento!$D$127:$H$164,5,FALSE))</f>
        <v>8</v>
      </c>
      <c r="RE32" s="904">
        <f>+IFERROR(VLOOKUP(RE$27&amp;"-"&amp;$M32&amp;"_new",Ammortamento_Finanziario!$H:$L,5,FALSE),VLOOKUP($M32,TT_Tabelle_Riferimento!$D$127:$H$164,5,FALSE))</f>
        <v>8</v>
      </c>
      <c r="RF32" s="904">
        <f>+IFERROR(VLOOKUP(RF$27&amp;"-"&amp;$M32&amp;"_new",Ammortamento_Finanziario!$H:$L,5,FALSE),VLOOKUP($M32,TT_Tabelle_Riferimento!$D$127:$H$164,5,FALSE))</f>
        <v>8</v>
      </c>
      <c r="RG32" s="904">
        <f>+IFERROR(VLOOKUP(RG$27&amp;"-"&amp;$M32&amp;"_new",Ammortamento_Finanziario!$H:$L,5,FALSE),VLOOKUP($M32,TT_Tabelle_Riferimento!$D$127:$H$164,5,FALSE))</f>
        <v>8</v>
      </c>
      <c r="RH32" s="904">
        <f>+IFERROR(VLOOKUP(RH$27&amp;"-"&amp;$M32&amp;"_new",Ammortamento_Finanziario!$H:$L,5,FALSE),VLOOKUP($M32,TT_Tabelle_Riferimento!$D$127:$H$164,5,FALSE))</f>
        <v>8</v>
      </c>
      <c r="RI32" s="904">
        <f>+IFERROR(VLOOKUP(RI$27&amp;"-"&amp;$M32&amp;"_new",Ammortamento_Finanziario!$H:$L,5,FALSE),VLOOKUP($M32,TT_Tabelle_Riferimento!$D$127:$H$164,5,FALSE))</f>
        <v>8</v>
      </c>
      <c r="RJ32" s="904">
        <f>+IFERROR(VLOOKUP(RJ$27&amp;"-"&amp;$M32&amp;"_new",Ammortamento_Finanziario!$H:$L,5,FALSE),VLOOKUP($M32,TT_Tabelle_Riferimento!$D$127:$H$164,5,FALSE))</f>
        <v>8</v>
      </c>
      <c r="RK32" s="904">
        <f>+IFERROR(VLOOKUP(RK$27&amp;"-"&amp;$M32&amp;"_new",Ammortamento_Finanziario!$H:$L,5,FALSE),VLOOKUP($M32,TT_Tabelle_Riferimento!$D$127:$H$164,5,FALSE))</f>
        <v>8</v>
      </c>
      <c r="RL32" s="904">
        <f>+IFERROR(VLOOKUP(RL$27&amp;"-"&amp;$M32&amp;"_new",Ammortamento_Finanziario!$H:$L,5,FALSE),VLOOKUP($M32,TT_Tabelle_Riferimento!$D$127:$H$164,5,FALSE))</f>
        <v>8</v>
      </c>
      <c r="RM32" s="904">
        <f>+IFERROR(VLOOKUP(RM$27&amp;"-"&amp;$M32&amp;"_new",Ammortamento_Finanziario!$H:$L,5,FALSE),VLOOKUP($M32,TT_Tabelle_Riferimento!$D$127:$H$164,5,FALSE))</f>
        <v>8</v>
      </c>
      <c r="RN32" s="904">
        <f>+IFERROR(VLOOKUP(RN$27&amp;"-"&amp;$M32&amp;"_new",Ammortamento_Finanziario!$H:$L,5,FALSE),VLOOKUP($M32,TT_Tabelle_Riferimento!$D$127:$H$164,5,FALSE))</f>
        <v>8</v>
      </c>
      <c r="RO32" s="904">
        <f>+IFERROR(VLOOKUP(RO$27&amp;"-"&amp;$M32&amp;"_new",Ammortamento_Finanziario!$H:$L,5,FALSE),VLOOKUP($M32,TT_Tabelle_Riferimento!$D$127:$H$164,5,FALSE))</f>
        <v>8</v>
      </c>
      <c r="RP32" s="904">
        <f>+IFERROR(VLOOKUP(RP$27&amp;"-"&amp;$M32&amp;"_new",Ammortamento_Finanziario!$H:$L,5,FALSE),VLOOKUP($M32,TT_Tabelle_Riferimento!$D$127:$H$164,5,FALSE))</f>
        <v>8</v>
      </c>
      <c r="RQ32" s="904">
        <f>+IFERROR(VLOOKUP(RQ$27&amp;"-"&amp;$M32&amp;"_new",Ammortamento_Finanziario!$H:$L,5,FALSE),VLOOKUP($M32,TT_Tabelle_Riferimento!$D$127:$H$164,5,FALSE))</f>
        <v>8</v>
      </c>
      <c r="RR32" s="904">
        <f>+IFERROR(VLOOKUP(RR$27&amp;"-"&amp;$M32&amp;"_new",Ammortamento_Finanziario!$H:$L,5,FALSE),VLOOKUP($M32,TT_Tabelle_Riferimento!$D$127:$H$164,5,FALSE))</f>
        <v>8</v>
      </c>
      <c r="RS32" s="904">
        <f>+IFERROR(VLOOKUP(RS$27&amp;"-"&amp;$M32&amp;"_new",Ammortamento_Finanziario!$H:$L,5,FALSE),VLOOKUP($M32,TT_Tabelle_Riferimento!$D$127:$H$164,5,FALSE))</f>
        <v>8</v>
      </c>
      <c r="RT32" s="904">
        <f>+IFERROR(VLOOKUP(RT$27&amp;"-"&amp;$M32&amp;"_new",Ammortamento_Finanziario!$H:$L,5,FALSE),VLOOKUP($M32,TT_Tabelle_Riferimento!$D$127:$H$164,5,FALSE))</f>
        <v>8</v>
      </c>
      <c r="RU32" s="904">
        <f>+IFERROR(VLOOKUP(RU$27&amp;"-"&amp;$M32&amp;"_new",Ammortamento_Finanziario!$H:$L,5,FALSE),VLOOKUP($M32,TT_Tabelle_Riferimento!$D$127:$H$164,5,FALSE))</f>
        <v>8</v>
      </c>
      <c r="RV32" s="904">
        <f>+IFERROR(VLOOKUP(RV$27&amp;"-"&amp;$M32&amp;"_new",Ammortamento_Finanziario!$H:$L,5,FALSE),VLOOKUP($M32,TT_Tabelle_Riferimento!$D$127:$H$164,5,FALSE))</f>
        <v>8</v>
      </c>
    </row>
    <row r="33" spans="4:490">
      <c r="D33" s="135" t="s">
        <v>201</v>
      </c>
      <c r="E33" s="1264">
        <f>+SUMIF(IMN_gestore!$E:$E,2022,IMN_gestore!$T:$T)</f>
        <v>0</v>
      </c>
      <c r="F33" s="1264">
        <f>SUMIF(IMN_gestore!$E:$E,2023,IMN_gestore!$AE:$AE)</f>
        <v>0</v>
      </c>
      <c r="G33" s="1264">
        <f>+SUMIF(IMN_gestore!$E:$E,2024,IMN_gestore!$AP:$AP)</f>
        <v>0</v>
      </c>
      <c r="H33" s="1264">
        <f>SUMIF(IMN_gestore!$E:$E,2025,IMN_gestore!$BA:$BA)</f>
        <v>0</v>
      </c>
      <c r="I33" s="1264">
        <f>SUMIF(IMN_gestore!$E:$E,2026,IMN_gestore!$BL:$BL)</f>
        <v>0</v>
      </c>
      <c r="J33" s="1264">
        <f>SUMIF(IMN_gestore!$E:$E,2027,IMN_gestore!$BW:$BW)</f>
        <v>0</v>
      </c>
      <c r="K33" s="136"/>
      <c r="M33" s="1756">
        <v>6</v>
      </c>
      <c r="N33" s="1759">
        <v>0</v>
      </c>
      <c r="O33" s="1759">
        <v>0</v>
      </c>
      <c r="P33" s="1759">
        <v>0</v>
      </c>
      <c r="Q33" s="1759">
        <v>0</v>
      </c>
      <c r="R33" s="1759">
        <v>0</v>
      </c>
      <c r="S33" s="1759">
        <v>0</v>
      </c>
      <c r="T33" s="1759">
        <v>0</v>
      </c>
      <c r="U33" s="1759">
        <v>0</v>
      </c>
      <c r="V33" s="1759">
        <v>0</v>
      </c>
      <c r="W33" s="1759">
        <v>0</v>
      </c>
      <c r="X33" s="1759">
        <v>0</v>
      </c>
      <c r="Y33" s="1759">
        <v>0</v>
      </c>
      <c r="Z33" s="1759">
        <v>0</v>
      </c>
      <c r="AA33" s="1759">
        <v>0</v>
      </c>
      <c r="AB33" s="1759">
        <v>0</v>
      </c>
      <c r="AC33" s="1759">
        <v>0</v>
      </c>
      <c r="AD33" s="1759">
        <v>0</v>
      </c>
      <c r="AE33" s="1759">
        <v>0</v>
      </c>
      <c r="AF33" s="1759">
        <v>0</v>
      </c>
      <c r="AG33" s="1759">
        <v>0</v>
      </c>
      <c r="AH33" s="1759">
        <v>0</v>
      </c>
      <c r="AI33" s="1759">
        <v>0</v>
      </c>
      <c r="AJ33" s="1759">
        <v>0</v>
      </c>
      <c r="AK33" s="1759">
        <v>0</v>
      </c>
      <c r="AL33" s="1759">
        <v>0</v>
      </c>
      <c r="AM33" s="1759">
        <v>0</v>
      </c>
      <c r="AN33" s="1759">
        <v>0</v>
      </c>
      <c r="AO33" s="1759">
        <v>0</v>
      </c>
      <c r="AP33" s="1759">
        <v>0</v>
      </c>
      <c r="AQ33" s="1759">
        <v>0</v>
      </c>
      <c r="AR33" s="1759">
        <v>0</v>
      </c>
      <c r="AS33" s="1759">
        <v>0</v>
      </c>
      <c r="AT33" s="1759">
        <v>0</v>
      </c>
      <c r="AU33" s="1759">
        <v>0</v>
      </c>
      <c r="AV33" s="1759">
        <v>0</v>
      </c>
      <c r="AW33" s="1759">
        <v>0</v>
      </c>
      <c r="AX33" s="1759">
        <v>0</v>
      </c>
      <c r="AY33" s="1759">
        <v>0</v>
      </c>
      <c r="AZ33" s="1759">
        <v>0</v>
      </c>
      <c r="BA33" s="1759">
        <v>0</v>
      </c>
      <c r="BB33" s="1759">
        <v>0</v>
      </c>
      <c r="BC33" s="1759">
        <v>0</v>
      </c>
      <c r="BD33" s="1759">
        <v>0</v>
      </c>
      <c r="BE33" s="1759">
        <v>0</v>
      </c>
      <c r="BF33" s="1759">
        <v>0</v>
      </c>
      <c r="BG33" s="1759">
        <v>0</v>
      </c>
      <c r="BH33" s="1759">
        <v>0</v>
      </c>
      <c r="BI33" s="1759">
        <v>0</v>
      </c>
      <c r="BJ33" s="1759">
        <v>0</v>
      </c>
      <c r="BK33" s="1759">
        <v>0</v>
      </c>
      <c r="BL33" s="1759">
        <v>0</v>
      </c>
      <c r="BM33" s="1759">
        <v>0</v>
      </c>
      <c r="BN33" s="1759">
        <v>0</v>
      </c>
      <c r="BO33" s="1759">
        <v>0</v>
      </c>
      <c r="BP33" s="1759">
        <v>0</v>
      </c>
      <c r="BQ33" s="1759">
        <v>0</v>
      </c>
      <c r="BR33" s="1759">
        <v>0</v>
      </c>
      <c r="BS33" s="1759">
        <v>0</v>
      </c>
      <c r="BT33" s="1759">
        <v>0</v>
      </c>
      <c r="BU33" s="1759">
        <v>0</v>
      </c>
      <c r="BV33" s="1759">
        <v>0</v>
      </c>
      <c r="BW33" s="1759">
        <v>0</v>
      </c>
      <c r="BX33" s="1759">
        <v>0</v>
      </c>
      <c r="BY33" s="1759">
        <v>0</v>
      </c>
      <c r="BZ33" s="1759">
        <v>0</v>
      </c>
      <c r="CA33" s="1759">
        <v>0</v>
      </c>
      <c r="CB33" s="1759">
        <v>0</v>
      </c>
      <c r="CC33" s="1759">
        <v>0</v>
      </c>
      <c r="CD33" s="1759">
        <v>0</v>
      </c>
      <c r="CE33" s="1759">
        <v>0</v>
      </c>
      <c r="CF33" s="1759">
        <v>0</v>
      </c>
      <c r="CG33" s="1759">
        <v>0</v>
      </c>
      <c r="CH33" s="1759">
        <v>0</v>
      </c>
      <c r="CI33" s="1759">
        <v>0</v>
      </c>
      <c r="CJ33" s="1759">
        <v>0</v>
      </c>
      <c r="CK33" s="1759">
        <v>0</v>
      </c>
      <c r="CL33" s="1759">
        <v>0</v>
      </c>
      <c r="CM33" s="1759">
        <v>0</v>
      </c>
      <c r="CN33" s="1759">
        <v>0</v>
      </c>
      <c r="CO33" s="1759">
        <v>0</v>
      </c>
      <c r="CP33" s="1759">
        <v>0</v>
      </c>
      <c r="CQ33" s="1759">
        <v>0</v>
      </c>
      <c r="CR33" s="1759">
        <v>0</v>
      </c>
      <c r="CS33" s="1759">
        <v>0</v>
      </c>
      <c r="CT33" s="1759">
        <v>0</v>
      </c>
      <c r="CU33" s="1759">
        <v>0</v>
      </c>
      <c r="CV33" s="1759">
        <v>0</v>
      </c>
      <c r="CW33" s="1759">
        <v>0</v>
      </c>
      <c r="CX33" s="1759">
        <v>0</v>
      </c>
      <c r="CY33" s="1759">
        <v>0</v>
      </c>
      <c r="CZ33" s="1759">
        <v>0</v>
      </c>
      <c r="DA33" s="1759">
        <v>0</v>
      </c>
      <c r="DB33" s="1759">
        <v>0</v>
      </c>
      <c r="DC33" s="1759">
        <v>0</v>
      </c>
      <c r="DD33" s="1759">
        <v>0</v>
      </c>
      <c r="DE33" s="1759">
        <v>0</v>
      </c>
      <c r="DF33" s="1759">
        <v>0</v>
      </c>
      <c r="DG33" s="1759">
        <v>0</v>
      </c>
      <c r="DH33" s="1759">
        <v>0</v>
      </c>
      <c r="DI33" s="1759">
        <v>0</v>
      </c>
      <c r="DJ33" s="1759">
        <v>0</v>
      </c>
      <c r="DK33" s="1759">
        <v>0</v>
      </c>
      <c r="DL33" s="1759">
        <v>0</v>
      </c>
      <c r="DM33" s="1759">
        <v>0</v>
      </c>
      <c r="DN33" s="1759">
        <v>0</v>
      </c>
      <c r="DO33" s="1759">
        <v>0</v>
      </c>
      <c r="DP33" s="1759">
        <v>0</v>
      </c>
      <c r="DQ33" s="1759">
        <v>0</v>
      </c>
      <c r="DR33" s="1759">
        <v>0</v>
      </c>
      <c r="DS33" s="1759">
        <v>0</v>
      </c>
      <c r="DT33" s="1759">
        <v>0</v>
      </c>
      <c r="DU33" s="1759">
        <v>0</v>
      </c>
      <c r="DV33" s="1759">
        <v>0</v>
      </c>
      <c r="DW33" s="1759">
        <v>0</v>
      </c>
      <c r="DX33" s="1759">
        <v>0</v>
      </c>
      <c r="DY33" s="1759">
        <v>0</v>
      </c>
      <c r="DZ33" s="1759">
        <v>0</v>
      </c>
      <c r="EA33" s="1759">
        <v>0</v>
      </c>
      <c r="EB33" s="1759">
        <v>0</v>
      </c>
      <c r="EC33" s="1759">
        <v>0</v>
      </c>
      <c r="ED33" s="1759">
        <v>0</v>
      </c>
      <c r="EE33" s="1759">
        <v>0</v>
      </c>
      <c r="EF33" s="1759">
        <v>0</v>
      </c>
      <c r="EG33" s="1759">
        <v>0</v>
      </c>
      <c r="EH33" s="1759">
        <v>0</v>
      </c>
      <c r="EI33" s="1759">
        <v>0</v>
      </c>
      <c r="EJ33" s="1759">
        <v>0</v>
      </c>
      <c r="EK33" s="1759">
        <v>0</v>
      </c>
      <c r="EL33" s="1759">
        <v>0</v>
      </c>
      <c r="EM33" s="1759">
        <v>0</v>
      </c>
      <c r="EN33" s="1759">
        <v>0</v>
      </c>
      <c r="EO33" s="1759">
        <v>0</v>
      </c>
      <c r="EP33" s="1759">
        <v>0</v>
      </c>
      <c r="EQ33" s="1759">
        <v>0</v>
      </c>
      <c r="ER33" s="1759">
        <v>0</v>
      </c>
      <c r="ES33" s="1759">
        <v>0</v>
      </c>
      <c r="ET33" s="1759">
        <v>0</v>
      </c>
      <c r="EU33" s="1759">
        <v>0</v>
      </c>
      <c r="EV33" s="1759">
        <v>0</v>
      </c>
      <c r="EW33" s="1759">
        <v>0</v>
      </c>
      <c r="EX33" s="1759">
        <v>0</v>
      </c>
      <c r="EY33" s="1759">
        <v>0</v>
      </c>
      <c r="EZ33" s="1759">
        <v>0</v>
      </c>
      <c r="FA33" s="1759">
        <v>0</v>
      </c>
      <c r="FB33" s="1759">
        <v>0</v>
      </c>
      <c r="FC33" s="1759">
        <v>0</v>
      </c>
      <c r="FD33" s="1759">
        <v>0</v>
      </c>
      <c r="FE33" s="1759">
        <v>0</v>
      </c>
      <c r="FF33" s="1759">
        <v>0</v>
      </c>
      <c r="FG33" s="1759">
        <v>0</v>
      </c>
      <c r="FH33" s="1759">
        <v>0</v>
      </c>
      <c r="FI33" s="1759">
        <v>0</v>
      </c>
      <c r="FJ33" s="1759">
        <v>0</v>
      </c>
      <c r="FK33" s="1759">
        <v>0</v>
      </c>
      <c r="FL33" s="1759">
        <v>0</v>
      </c>
      <c r="FM33" s="1759">
        <v>0</v>
      </c>
      <c r="FN33" s="1759">
        <v>0</v>
      </c>
      <c r="FO33" s="1759">
        <v>0</v>
      </c>
      <c r="FP33" s="1759">
        <v>0</v>
      </c>
      <c r="FQ33" s="1759">
        <v>0</v>
      </c>
      <c r="FR33" s="1759">
        <v>0</v>
      </c>
      <c r="FS33" s="1759">
        <v>0</v>
      </c>
      <c r="FT33" s="1759">
        <v>0</v>
      </c>
      <c r="FU33" s="1759">
        <v>0</v>
      </c>
      <c r="FV33" s="1759">
        <v>0</v>
      </c>
      <c r="FW33" s="1759">
        <v>0</v>
      </c>
      <c r="FX33" s="1759">
        <v>0</v>
      </c>
      <c r="FY33" s="1759">
        <v>0</v>
      </c>
      <c r="FZ33" s="1759">
        <v>0</v>
      </c>
      <c r="GA33" s="1759">
        <v>0</v>
      </c>
      <c r="GB33" s="1759">
        <v>0</v>
      </c>
      <c r="GC33" s="1759">
        <v>0</v>
      </c>
      <c r="GD33" s="1759">
        <v>0</v>
      </c>
      <c r="GE33" s="1759">
        <v>0</v>
      </c>
      <c r="GF33" s="1759">
        <v>0</v>
      </c>
      <c r="GG33" s="1759">
        <v>0</v>
      </c>
      <c r="GH33" s="1759">
        <v>0</v>
      </c>
      <c r="GI33" s="1759">
        <v>0</v>
      </c>
      <c r="GJ33" s="1759">
        <v>0</v>
      </c>
      <c r="GK33" s="1759">
        <v>0</v>
      </c>
      <c r="GL33" s="1759">
        <v>0</v>
      </c>
      <c r="GM33" s="1759">
        <v>0</v>
      </c>
      <c r="GN33" s="1759">
        <v>0</v>
      </c>
      <c r="GO33" s="1759">
        <v>0</v>
      </c>
      <c r="GP33" s="1759">
        <v>0</v>
      </c>
      <c r="GQ33" s="1759">
        <v>0</v>
      </c>
      <c r="GR33" s="1759">
        <v>0</v>
      </c>
      <c r="GS33" s="1759">
        <v>0</v>
      </c>
      <c r="GT33" s="1759">
        <v>0</v>
      </c>
      <c r="GU33" s="1759">
        <v>0</v>
      </c>
      <c r="GV33" s="1759">
        <v>0</v>
      </c>
      <c r="GW33" s="1759">
        <v>0</v>
      </c>
      <c r="GX33" s="1759">
        <v>0</v>
      </c>
      <c r="GY33" s="1759">
        <v>0</v>
      </c>
      <c r="GZ33" s="1759">
        <v>0</v>
      </c>
      <c r="HA33" s="1759">
        <v>0</v>
      </c>
      <c r="HB33" s="1759">
        <v>0</v>
      </c>
      <c r="HC33" s="1759">
        <v>0</v>
      </c>
      <c r="HD33" s="1759">
        <v>0</v>
      </c>
      <c r="HE33" s="1759">
        <v>0</v>
      </c>
      <c r="HF33" s="1759">
        <v>0</v>
      </c>
      <c r="HG33" s="1759">
        <v>0</v>
      </c>
      <c r="HH33" s="1759">
        <v>0</v>
      </c>
      <c r="HI33" s="1759">
        <v>0</v>
      </c>
      <c r="HJ33" s="1759">
        <v>0</v>
      </c>
      <c r="HK33" s="1759">
        <v>0</v>
      </c>
      <c r="HL33" s="1759">
        <v>0</v>
      </c>
      <c r="HM33" s="1759">
        <v>0</v>
      </c>
      <c r="HN33" s="1759">
        <v>0</v>
      </c>
      <c r="HO33" s="1759">
        <v>0</v>
      </c>
      <c r="HP33" s="1759">
        <v>0</v>
      </c>
      <c r="HQ33" s="1759">
        <v>0</v>
      </c>
      <c r="HR33" s="1759">
        <v>0</v>
      </c>
      <c r="HS33" s="1759">
        <v>0</v>
      </c>
      <c r="HT33" s="1759">
        <v>0</v>
      </c>
      <c r="HU33" s="1759">
        <v>0</v>
      </c>
      <c r="HV33" s="1759">
        <v>0</v>
      </c>
      <c r="HW33" s="1759">
        <v>0</v>
      </c>
      <c r="HX33" s="1759">
        <v>0</v>
      </c>
      <c r="HY33" s="1759">
        <v>0</v>
      </c>
      <c r="HZ33" s="1759">
        <v>0</v>
      </c>
      <c r="IA33" s="1759">
        <v>0</v>
      </c>
      <c r="IB33" s="1759">
        <v>0</v>
      </c>
      <c r="IC33" s="1759">
        <v>0</v>
      </c>
      <c r="ID33" s="1759">
        <v>0</v>
      </c>
      <c r="IE33" s="1759">
        <v>0</v>
      </c>
      <c r="IF33" s="1759">
        <v>0</v>
      </c>
      <c r="IG33" s="1759">
        <v>0</v>
      </c>
      <c r="IH33" s="1759">
        <v>0</v>
      </c>
      <c r="II33" s="1759">
        <v>0</v>
      </c>
      <c r="IJ33" s="1759">
        <v>0</v>
      </c>
      <c r="IK33" s="1759">
        <v>0</v>
      </c>
      <c r="IL33" s="1759">
        <v>0</v>
      </c>
      <c r="IM33" s="1759">
        <v>0</v>
      </c>
      <c r="IN33" s="1759">
        <v>0</v>
      </c>
      <c r="IO33" s="1759">
        <v>0</v>
      </c>
      <c r="IP33" s="1759">
        <v>0</v>
      </c>
      <c r="IQ33" s="1759">
        <v>0</v>
      </c>
      <c r="IR33" s="1759">
        <v>0</v>
      </c>
      <c r="IS33" s="1759">
        <v>0</v>
      </c>
      <c r="IT33" s="1759">
        <v>0</v>
      </c>
      <c r="IU33" s="1759">
        <v>0</v>
      </c>
      <c r="IV33" s="1759">
        <v>0</v>
      </c>
      <c r="IW33" s="1759">
        <v>0</v>
      </c>
      <c r="IX33" s="1759">
        <v>0</v>
      </c>
      <c r="IY33" s="1759">
        <v>0</v>
      </c>
      <c r="IZ33" s="1759">
        <v>0</v>
      </c>
      <c r="JA33" s="1759">
        <v>0</v>
      </c>
      <c r="JB33" s="1759">
        <v>0</v>
      </c>
      <c r="JC33" s="1759">
        <v>0</v>
      </c>
      <c r="JD33" s="1759">
        <v>0</v>
      </c>
      <c r="JE33" s="1759">
        <v>0</v>
      </c>
      <c r="JF33" s="1759">
        <v>0</v>
      </c>
      <c r="JG33" s="1759">
        <v>0</v>
      </c>
      <c r="JH33" s="1759">
        <v>0</v>
      </c>
      <c r="JI33" s="1759">
        <v>0</v>
      </c>
      <c r="JJ33" s="1759">
        <v>0</v>
      </c>
      <c r="JK33" s="1759">
        <v>0</v>
      </c>
      <c r="JL33" s="1759">
        <v>0</v>
      </c>
      <c r="JM33" s="1759">
        <v>0</v>
      </c>
      <c r="JN33" s="1759">
        <v>0</v>
      </c>
      <c r="JO33" s="1759">
        <v>0</v>
      </c>
      <c r="JP33" s="1759">
        <v>0</v>
      </c>
      <c r="JQ33" s="1759">
        <v>0</v>
      </c>
      <c r="JR33" s="1759">
        <v>0</v>
      </c>
      <c r="JS33" s="1759">
        <v>0</v>
      </c>
      <c r="JT33" s="1759">
        <v>0</v>
      </c>
      <c r="JU33" s="1759">
        <v>0</v>
      </c>
      <c r="JV33" s="1759">
        <v>0</v>
      </c>
      <c r="JW33" s="1759">
        <v>0</v>
      </c>
      <c r="JX33" s="1759">
        <v>0</v>
      </c>
      <c r="JY33" s="1759">
        <v>0</v>
      </c>
      <c r="JZ33" s="1759">
        <v>0</v>
      </c>
      <c r="KA33" s="1759">
        <v>0</v>
      </c>
      <c r="KB33" s="1759">
        <v>0</v>
      </c>
      <c r="KC33" s="1759">
        <v>0</v>
      </c>
      <c r="KD33" s="1759">
        <v>0</v>
      </c>
      <c r="KE33" s="1759">
        <v>0</v>
      </c>
      <c r="KF33" s="1759">
        <v>0</v>
      </c>
      <c r="KG33" s="1759">
        <v>0</v>
      </c>
      <c r="KH33" s="1759">
        <v>0</v>
      </c>
      <c r="KI33" s="1759">
        <v>0</v>
      </c>
      <c r="KJ33" s="1759">
        <v>0</v>
      </c>
      <c r="KK33" s="1759">
        <v>0</v>
      </c>
      <c r="KL33" s="1759">
        <v>0</v>
      </c>
      <c r="KM33" s="1759">
        <v>0</v>
      </c>
      <c r="KN33" s="1759">
        <v>0</v>
      </c>
      <c r="KO33" s="1759">
        <v>0</v>
      </c>
      <c r="KP33" s="1759">
        <v>0</v>
      </c>
      <c r="KQ33" s="904">
        <f>+IFERROR(VLOOKUP(KQ$27&amp;"-"&amp;$M33&amp;"_new",Ammortamento_Finanziario!$H:$L,5,FALSE),VLOOKUP($M33,TT_Tabelle_Riferimento!$D$127:$H$164,5,FALSE))</f>
        <v>20</v>
      </c>
      <c r="KR33" s="904">
        <f>+IFERROR(VLOOKUP(KR$27&amp;"-"&amp;$M33&amp;"_new",Ammortamento_Finanziario!$H:$L,5,FALSE),VLOOKUP($M33,TT_Tabelle_Riferimento!$D$127:$H$164,5,FALSE))</f>
        <v>20</v>
      </c>
      <c r="KS33" s="1762">
        <f>+IFERROR(VLOOKUP(KS$27&amp;"-"&amp;$M33&amp;"_new",Ammortamento_Finanziario!$H:$L,5,FALSE),VLOOKUP($M33,TT_Tabelle_Riferimento!$D$127:$H$164,5,FALSE))</f>
        <v>20</v>
      </c>
      <c r="KT33" s="1762">
        <f>+IFERROR(VLOOKUP(KT$27&amp;"-"&amp;$M33&amp;"_new",Ammortamento_Finanziario!$H:$L,5,FALSE),VLOOKUP($M33,TT_Tabelle_Riferimento!$D$127:$H$164,5,FALSE))</f>
        <v>20</v>
      </c>
      <c r="KU33" s="1762">
        <f>+IFERROR(VLOOKUP(KU$27&amp;"-"&amp;$M33&amp;"_new",Ammortamento_Finanziario!$H:$L,5,FALSE),VLOOKUP($M33,TT_Tabelle_Riferimento!$D$127:$H$164,5,FALSE))</f>
        <v>20</v>
      </c>
      <c r="KV33" s="1762">
        <f>+IFERROR(VLOOKUP(KV$27&amp;"-"&amp;$M33&amp;"_new",Ammortamento_Finanziario!$H:$L,5,FALSE),VLOOKUP($M33,TT_Tabelle_Riferimento!$D$127:$H$164,5,FALSE))</f>
        <v>20</v>
      </c>
      <c r="KW33" s="1762">
        <f>+IFERROR(VLOOKUP(KW$27&amp;"-"&amp;$M33&amp;"_new",Ammortamento_Finanziario!$H:$L,5,FALSE),VLOOKUP($M33,TT_Tabelle_Riferimento!$D$127:$H$164,5,FALSE))</f>
        <v>20</v>
      </c>
      <c r="KX33" s="1762">
        <f>+IFERROR(VLOOKUP(KX$27&amp;"-"&amp;$M33&amp;"_new",Ammortamento_Finanziario!$H:$L,5,FALSE),VLOOKUP($M33,TT_Tabelle_Riferimento!$D$127:$H$164,5,FALSE))</f>
        <v>20</v>
      </c>
      <c r="KY33" s="904">
        <f>+IFERROR(VLOOKUP(KY$27&amp;"-"&amp;$M33&amp;"_new",Ammortamento_Finanziario!$H:$L,5,FALSE),VLOOKUP($M33,TT_Tabelle_Riferimento!$D$127:$H$164,5,FALSE))</f>
        <v>20</v>
      </c>
      <c r="KZ33" s="904">
        <f>+IFERROR(VLOOKUP(KZ$27&amp;"-"&amp;$M33&amp;"_new",Ammortamento_Finanziario!$H:$L,5,FALSE),VLOOKUP($M33,TT_Tabelle_Riferimento!$D$127:$H$164,5,FALSE))</f>
        <v>20</v>
      </c>
      <c r="LA33" s="904">
        <f>+IFERROR(VLOOKUP(LA$27&amp;"-"&amp;$M33&amp;"_new",Ammortamento_Finanziario!$H:$L,5,FALSE),VLOOKUP($M33,TT_Tabelle_Riferimento!$D$127:$H$164,5,FALSE))</f>
        <v>20</v>
      </c>
      <c r="LB33" s="904">
        <f>+IFERROR(VLOOKUP(LB$27&amp;"-"&amp;$M33&amp;"_new",Ammortamento_Finanziario!$H:$L,5,FALSE),VLOOKUP($M33,TT_Tabelle_Riferimento!$D$127:$H$164,5,FALSE))</f>
        <v>20</v>
      </c>
      <c r="LC33" s="904">
        <f>+IFERROR(VLOOKUP(LC$27&amp;"-"&amp;$M33&amp;"_new",Ammortamento_Finanziario!$H:$L,5,FALSE),VLOOKUP($M33,TT_Tabelle_Riferimento!$D$127:$H$164,5,FALSE))</f>
        <v>20</v>
      </c>
      <c r="LD33" s="904">
        <f>+IFERROR(VLOOKUP(LD$27&amp;"-"&amp;$M33&amp;"_new",Ammortamento_Finanziario!$H:$L,5,FALSE),VLOOKUP($M33,TT_Tabelle_Riferimento!$D$127:$H$164,5,FALSE))</f>
        <v>20</v>
      </c>
      <c r="LE33" s="904">
        <f>+IFERROR(VLOOKUP(LE$27&amp;"-"&amp;$M33&amp;"_new",Ammortamento_Finanziario!$H:$L,5,FALSE),VLOOKUP($M33,TT_Tabelle_Riferimento!$D$127:$H$164,5,FALSE))</f>
        <v>20</v>
      </c>
      <c r="LF33" s="904">
        <f>+IFERROR(VLOOKUP(LF$27&amp;"-"&amp;$M33&amp;"_new",Ammortamento_Finanziario!$H:$L,5,FALSE),VLOOKUP($M33,TT_Tabelle_Riferimento!$D$127:$H$164,5,FALSE))</f>
        <v>20</v>
      </c>
      <c r="LG33" s="904">
        <f>+IFERROR(VLOOKUP(LG$27&amp;"-"&amp;$M33&amp;"_new",Ammortamento_Finanziario!$H:$L,5,FALSE),VLOOKUP($M33,TT_Tabelle_Riferimento!$D$127:$H$164,5,FALSE))</f>
        <v>20</v>
      </c>
      <c r="LH33" s="904">
        <f>+IFERROR(VLOOKUP(LH$27&amp;"-"&amp;$M33&amp;"_new",Ammortamento_Finanziario!$H:$L,5,FALSE),VLOOKUP($M33,TT_Tabelle_Riferimento!$D$127:$H$164,5,FALSE))</f>
        <v>20</v>
      </c>
      <c r="LI33" s="904">
        <f>+IFERROR(VLOOKUP(LI$27&amp;"-"&amp;$M33&amp;"_new",Ammortamento_Finanziario!$H:$L,5,FALSE),VLOOKUP($M33,TT_Tabelle_Riferimento!$D$127:$H$164,5,FALSE))</f>
        <v>20</v>
      </c>
      <c r="LJ33" s="904">
        <f>+IFERROR(VLOOKUP(LJ$27&amp;"-"&amp;$M33&amp;"_new",Ammortamento_Finanziario!$H:$L,5,FALSE),VLOOKUP($M33,TT_Tabelle_Riferimento!$D$127:$H$164,5,FALSE))</f>
        <v>20</v>
      </c>
      <c r="LK33" s="904">
        <f>+IFERROR(VLOOKUP(LK$27&amp;"-"&amp;$M33&amp;"_new",Ammortamento_Finanziario!$H:$L,5,FALSE),VLOOKUP($M33,TT_Tabelle_Riferimento!$D$127:$H$164,5,FALSE))</f>
        <v>20</v>
      </c>
      <c r="LL33" s="904">
        <f>+IFERROR(VLOOKUP(LL$27&amp;"-"&amp;$M33&amp;"_new",Ammortamento_Finanziario!$H:$L,5,FALSE),VLOOKUP($M33,TT_Tabelle_Riferimento!$D$127:$H$164,5,FALSE))</f>
        <v>20</v>
      </c>
      <c r="LM33" s="904">
        <f>+IFERROR(VLOOKUP(LM$27&amp;"-"&amp;$M33&amp;"_new",Ammortamento_Finanziario!$H:$L,5,FALSE),VLOOKUP($M33,TT_Tabelle_Riferimento!$D$127:$H$164,5,FALSE))</f>
        <v>20</v>
      </c>
      <c r="LN33" s="904">
        <f>+IFERROR(VLOOKUP(LN$27&amp;"-"&amp;$M33&amp;"_new",Ammortamento_Finanziario!$H:$L,5,FALSE),VLOOKUP($M33,TT_Tabelle_Riferimento!$D$127:$H$164,5,FALSE))</f>
        <v>20</v>
      </c>
      <c r="LO33" s="904">
        <f>+IFERROR(VLOOKUP(LO$27&amp;"-"&amp;$M33&amp;"_new",Ammortamento_Finanziario!$H:$L,5,FALSE),VLOOKUP($M33,TT_Tabelle_Riferimento!$D$127:$H$164,5,FALSE))</f>
        <v>20</v>
      </c>
      <c r="LP33" s="904">
        <f>+IFERROR(VLOOKUP(LP$27&amp;"-"&amp;$M33&amp;"_new",Ammortamento_Finanziario!$H:$L,5,FALSE),VLOOKUP($M33,TT_Tabelle_Riferimento!$D$127:$H$164,5,FALSE))</f>
        <v>20</v>
      </c>
      <c r="LQ33" s="904">
        <f>+IFERROR(VLOOKUP(LQ$27&amp;"-"&amp;$M33&amp;"_new",Ammortamento_Finanziario!$H:$L,5,FALSE),VLOOKUP($M33,TT_Tabelle_Riferimento!$D$127:$H$164,5,FALSE))</f>
        <v>20</v>
      </c>
      <c r="LR33" s="904">
        <f>+IFERROR(VLOOKUP(LR$27&amp;"-"&amp;$M33&amp;"_new",Ammortamento_Finanziario!$H:$L,5,FALSE),VLOOKUP($M33,TT_Tabelle_Riferimento!$D$127:$H$164,5,FALSE))</f>
        <v>20</v>
      </c>
      <c r="LS33" s="1762">
        <f>+IFERROR(VLOOKUP(LS$27&amp;"-"&amp;$M33&amp;"_new",Ammortamento_Finanziario!$H:$L,5,FALSE),VLOOKUP($M33,TT_Tabelle_Riferimento!$D$127:$H$164,5,FALSE))</f>
        <v>20</v>
      </c>
      <c r="LT33" s="1762">
        <f>+IFERROR(VLOOKUP(LT$27&amp;"-"&amp;$M33&amp;"_new",Ammortamento_Finanziario!$H:$L,5,FALSE),VLOOKUP($M33,TT_Tabelle_Riferimento!$D$127:$H$164,5,FALSE))</f>
        <v>20</v>
      </c>
      <c r="LU33" s="1762">
        <f>+IFERROR(VLOOKUP(LU$27&amp;"-"&amp;$M33&amp;"_new",Ammortamento_Finanziario!$H:$L,5,FALSE),VLOOKUP($M33,TT_Tabelle_Riferimento!$D$127:$H$164,5,FALSE))</f>
        <v>20</v>
      </c>
      <c r="LV33" s="1762">
        <f>+IFERROR(VLOOKUP(LV$27&amp;"-"&amp;$M33&amp;"_new",Ammortamento_Finanziario!$H:$L,5,FALSE),VLOOKUP($M33,TT_Tabelle_Riferimento!$D$127:$H$164,5,FALSE))</f>
        <v>20</v>
      </c>
      <c r="LW33" s="1762">
        <f>+IFERROR(VLOOKUP(LW$27&amp;"-"&amp;$M33&amp;"_new",Ammortamento_Finanziario!$H:$L,5,FALSE),VLOOKUP($M33,TT_Tabelle_Riferimento!$D$127:$H$164,5,FALSE))</f>
        <v>20</v>
      </c>
      <c r="LX33" s="1762">
        <f>+IFERROR(VLOOKUP(LX$27&amp;"-"&amp;$M33&amp;"_new",Ammortamento_Finanziario!$H:$L,5,FALSE),VLOOKUP($M33,TT_Tabelle_Riferimento!$D$127:$H$164,5,FALSE))</f>
        <v>20</v>
      </c>
      <c r="LY33" s="904">
        <f>+IFERROR(VLOOKUP(LY$27&amp;"-"&amp;$M33&amp;"_new",Ammortamento_Finanziario!$H:$L,5,FALSE),VLOOKUP($M33,TT_Tabelle_Riferimento!$D$127:$H$164,5,FALSE))</f>
        <v>20</v>
      </c>
      <c r="LZ33" s="904">
        <f>+IFERROR(VLOOKUP(LZ$27&amp;"-"&amp;$M33&amp;"_new",Ammortamento_Finanziario!$H:$L,5,FALSE),VLOOKUP($M33,TT_Tabelle_Riferimento!$D$127:$H$164,5,FALSE))</f>
        <v>20</v>
      </c>
      <c r="MA33" s="904">
        <f>+IFERROR(VLOOKUP(MA$27&amp;"-"&amp;$M33&amp;"_new",Ammortamento_Finanziario!$H:$L,5,FALSE),VLOOKUP($M33,TT_Tabelle_Riferimento!$D$127:$H$164,5,FALSE))</f>
        <v>20</v>
      </c>
      <c r="MB33" s="904">
        <f>+IFERROR(VLOOKUP(MB$27&amp;"-"&amp;$M33&amp;"_new",Ammortamento_Finanziario!$H:$L,5,FALSE),VLOOKUP($M33,TT_Tabelle_Riferimento!$D$127:$H$164,5,FALSE))</f>
        <v>20</v>
      </c>
      <c r="MC33" s="904">
        <f>+IFERROR(VLOOKUP(MC$27&amp;"-"&amp;$M33&amp;"_new",Ammortamento_Finanziario!$H:$L,5,FALSE),VLOOKUP($M33,TT_Tabelle_Riferimento!$D$127:$H$164,5,FALSE))</f>
        <v>20</v>
      </c>
      <c r="MD33" s="904">
        <f>+IFERROR(VLOOKUP(MD$27&amp;"-"&amp;$M33&amp;"_new",Ammortamento_Finanziario!$H:$L,5,FALSE),VLOOKUP($M33,TT_Tabelle_Riferimento!$D$127:$H$164,5,FALSE))</f>
        <v>20</v>
      </c>
      <c r="ME33" s="904">
        <f>+IFERROR(VLOOKUP(ME$27&amp;"-"&amp;$M33&amp;"_new",Ammortamento_Finanziario!$H:$L,5,FALSE),VLOOKUP($M33,TT_Tabelle_Riferimento!$D$127:$H$164,5,FALSE))</f>
        <v>20</v>
      </c>
      <c r="MF33" s="904">
        <f>+IFERROR(VLOOKUP(MF$27&amp;"-"&amp;$M33&amp;"_new",Ammortamento_Finanziario!$H:$L,5,FALSE),VLOOKUP($M33,TT_Tabelle_Riferimento!$D$127:$H$164,5,FALSE))</f>
        <v>20</v>
      </c>
      <c r="MG33" s="904">
        <f>+IFERROR(VLOOKUP(MG$27&amp;"-"&amp;$M33&amp;"_new",Ammortamento_Finanziario!$H:$L,5,FALSE),VLOOKUP($M33,TT_Tabelle_Riferimento!$D$127:$H$164,5,FALSE))</f>
        <v>20</v>
      </c>
      <c r="MH33" s="904">
        <f>+IFERROR(VLOOKUP(MH$27&amp;"-"&amp;$M33&amp;"_new",Ammortamento_Finanziario!$H:$L,5,FALSE),VLOOKUP($M33,TT_Tabelle_Riferimento!$D$127:$H$164,5,FALSE))</f>
        <v>20</v>
      </c>
      <c r="MI33" s="904">
        <f>+IFERROR(VLOOKUP(MI$27&amp;"-"&amp;$M33&amp;"_new",Ammortamento_Finanziario!$H:$L,5,FALSE),VLOOKUP($M33,TT_Tabelle_Riferimento!$D$127:$H$164,5,FALSE))</f>
        <v>20</v>
      </c>
      <c r="MJ33" s="904">
        <f>+IFERROR(VLOOKUP(MJ$27&amp;"-"&amp;$M33&amp;"_new",Ammortamento_Finanziario!$H:$L,5,FALSE),VLOOKUP($M33,TT_Tabelle_Riferimento!$D$127:$H$164,5,FALSE))</f>
        <v>20</v>
      </c>
      <c r="MK33" s="904">
        <f>+IFERROR(VLOOKUP(MK$27&amp;"-"&amp;$M33&amp;"_new",Ammortamento_Finanziario!$H:$L,5,FALSE),VLOOKUP($M33,TT_Tabelle_Riferimento!$D$127:$H$164,5,FALSE))</f>
        <v>20</v>
      </c>
      <c r="ML33" s="904">
        <f>+IFERROR(VLOOKUP(ML$27&amp;"-"&amp;$M33&amp;"_new",Ammortamento_Finanziario!$H:$L,5,FALSE),VLOOKUP($M33,TT_Tabelle_Riferimento!$D$127:$H$164,5,FALSE))</f>
        <v>20</v>
      </c>
      <c r="MM33" s="904">
        <f>+IFERROR(VLOOKUP(MM$27&amp;"-"&amp;$M33&amp;"_new",Ammortamento_Finanziario!$H:$L,5,FALSE),VLOOKUP($M33,TT_Tabelle_Riferimento!$D$127:$H$164,5,FALSE))</f>
        <v>20</v>
      </c>
      <c r="MN33" s="904">
        <f>+IFERROR(VLOOKUP(MN$27&amp;"-"&amp;$M33&amp;"_new",Ammortamento_Finanziario!$H:$L,5,FALSE),VLOOKUP($M33,TT_Tabelle_Riferimento!$D$127:$H$164,5,FALSE))</f>
        <v>20</v>
      </c>
      <c r="MO33" s="904">
        <f>+IFERROR(VLOOKUP(MO$27&amp;"-"&amp;$M33&amp;"_new",Ammortamento_Finanziario!$H:$L,5,FALSE),VLOOKUP($M33,TT_Tabelle_Riferimento!$D$127:$H$164,5,FALSE))</f>
        <v>20</v>
      </c>
      <c r="MP33" s="904">
        <f>+IFERROR(VLOOKUP(MP$27&amp;"-"&amp;$M33&amp;"_new",Ammortamento_Finanziario!$H:$L,5,FALSE),VLOOKUP($M33,TT_Tabelle_Riferimento!$D$127:$H$164,5,FALSE))</f>
        <v>20</v>
      </c>
      <c r="MQ33" s="904">
        <f>+IFERROR(VLOOKUP(MQ$27&amp;"-"&amp;$M33&amp;"_new",Ammortamento_Finanziario!$H:$L,5,FALSE),VLOOKUP($M33,TT_Tabelle_Riferimento!$D$127:$H$164,5,FALSE))</f>
        <v>20</v>
      </c>
      <c r="MR33" s="1762">
        <f>+IFERROR(VLOOKUP(MR$27&amp;"-"&amp;$M33&amp;"_new",Ammortamento_Finanziario!$H:$L,5,FALSE),VLOOKUP($M33,TT_Tabelle_Riferimento!$D$127:$H$164,5,FALSE))</f>
        <v>20</v>
      </c>
      <c r="MS33" s="1762">
        <f>+IFERROR(VLOOKUP(MS$27&amp;"-"&amp;$M33&amp;"_new",Ammortamento_Finanziario!$H:$L,5,FALSE),VLOOKUP($M33,TT_Tabelle_Riferimento!$D$127:$H$164,5,FALSE))</f>
        <v>20</v>
      </c>
      <c r="MT33" s="1762">
        <f>+IFERROR(VLOOKUP(MT$27&amp;"-"&amp;$M33&amp;"_new",Ammortamento_Finanziario!$H:$L,5,FALSE),VLOOKUP($M33,TT_Tabelle_Riferimento!$D$127:$H$164,5,FALSE))</f>
        <v>20</v>
      </c>
      <c r="MU33" s="1762">
        <f>+IFERROR(VLOOKUP(MU$27&amp;"-"&amp;$M33&amp;"_new",Ammortamento_Finanziario!$H:$L,5,FALSE),VLOOKUP($M33,TT_Tabelle_Riferimento!$D$127:$H$164,5,FALSE))</f>
        <v>20</v>
      </c>
      <c r="MV33" s="1762">
        <f>+IFERROR(VLOOKUP(MV$27&amp;"-"&amp;$M33&amp;"_new",Ammortamento_Finanziario!$H:$L,5,FALSE),VLOOKUP($M33,TT_Tabelle_Riferimento!$D$127:$H$164,5,FALSE))</f>
        <v>20</v>
      </c>
      <c r="MW33" s="1762">
        <f>+IFERROR(VLOOKUP(MW$27&amp;"-"&amp;$M33&amp;"_new",Ammortamento_Finanziario!$H:$L,5,FALSE),VLOOKUP($M33,TT_Tabelle_Riferimento!$D$127:$H$164,5,FALSE))</f>
        <v>20</v>
      </c>
      <c r="MX33" s="904">
        <f>+IFERROR(VLOOKUP(MX$27&amp;"-"&amp;$M33&amp;"_new",Ammortamento_Finanziario!$H:$L,5,FALSE),VLOOKUP($M33,TT_Tabelle_Riferimento!$D$127:$H$164,5,FALSE))</f>
        <v>20</v>
      </c>
      <c r="MY33" s="904">
        <f>+IFERROR(VLOOKUP(MY$27&amp;"-"&amp;$M33&amp;"_new",Ammortamento_Finanziario!$H:$L,5,FALSE),VLOOKUP($M33,TT_Tabelle_Riferimento!$D$127:$H$164,5,FALSE))</f>
        <v>20</v>
      </c>
      <c r="MZ33" s="904">
        <f>+IFERROR(VLOOKUP(MZ$27&amp;"-"&amp;$M33&amp;"_new",Ammortamento_Finanziario!$H:$L,5,FALSE),VLOOKUP($M33,TT_Tabelle_Riferimento!$D$127:$H$164,5,FALSE))</f>
        <v>20</v>
      </c>
      <c r="NA33" s="904">
        <f>+IFERROR(VLOOKUP(NA$27&amp;"-"&amp;$M33&amp;"_new",Ammortamento_Finanziario!$H:$L,5,FALSE),VLOOKUP($M33,TT_Tabelle_Riferimento!$D$127:$H$164,5,FALSE))</f>
        <v>20</v>
      </c>
      <c r="NB33" s="904">
        <f>+IFERROR(VLOOKUP(NB$27&amp;"-"&amp;$M33&amp;"_new",Ammortamento_Finanziario!$H:$L,5,FALSE),VLOOKUP($M33,TT_Tabelle_Riferimento!$D$127:$H$164,5,FALSE))</f>
        <v>20</v>
      </c>
      <c r="NC33" s="904">
        <f>+IFERROR(VLOOKUP(NC$27&amp;"-"&amp;$M33&amp;"_new",Ammortamento_Finanziario!$H:$L,5,FALSE),VLOOKUP($M33,TT_Tabelle_Riferimento!$D$127:$H$164,5,FALSE))</f>
        <v>20</v>
      </c>
      <c r="ND33" s="904">
        <f>+IFERROR(VLOOKUP(ND$27&amp;"-"&amp;$M33&amp;"_new",Ammortamento_Finanziario!$H:$L,5,FALSE),VLOOKUP($M33,TT_Tabelle_Riferimento!$D$127:$H$164,5,FALSE))</f>
        <v>20</v>
      </c>
      <c r="NE33" s="904">
        <f>+IFERROR(VLOOKUP(NE$27&amp;"-"&amp;$M33&amp;"_new",Ammortamento_Finanziario!$H:$L,5,FALSE),VLOOKUP($M33,TT_Tabelle_Riferimento!$D$127:$H$164,5,FALSE))</f>
        <v>20</v>
      </c>
      <c r="NF33" s="904">
        <f>+IFERROR(VLOOKUP(NF$27&amp;"-"&amp;$M33&amp;"_new",Ammortamento_Finanziario!$H:$L,5,FALSE),VLOOKUP($M33,TT_Tabelle_Riferimento!$D$127:$H$164,5,FALSE))</f>
        <v>20</v>
      </c>
      <c r="NG33" s="904">
        <f>+IFERROR(VLOOKUP(NG$27&amp;"-"&amp;$M33&amp;"_new",Ammortamento_Finanziario!$H:$L,5,FALSE),VLOOKUP($M33,TT_Tabelle_Riferimento!$D$127:$H$164,5,FALSE))</f>
        <v>20</v>
      </c>
      <c r="NH33" s="904">
        <f>+IFERROR(VLOOKUP(NH$27&amp;"-"&amp;$M33&amp;"_new",Ammortamento_Finanziario!$H:$L,5,FALSE),VLOOKUP($M33,TT_Tabelle_Riferimento!$D$127:$H$164,5,FALSE))</f>
        <v>20</v>
      </c>
      <c r="NI33" s="904">
        <f>+IFERROR(VLOOKUP(NI$27&amp;"-"&amp;$M33&amp;"_new",Ammortamento_Finanziario!$H:$L,5,FALSE),VLOOKUP($M33,TT_Tabelle_Riferimento!$D$127:$H$164,5,FALSE))</f>
        <v>20</v>
      </c>
      <c r="NJ33" s="904">
        <f>+IFERROR(VLOOKUP(NJ$27&amp;"-"&amp;$M33&amp;"_new",Ammortamento_Finanziario!$H:$L,5,FALSE),VLOOKUP($M33,TT_Tabelle_Riferimento!$D$127:$H$164,5,FALSE))</f>
        <v>20</v>
      </c>
      <c r="NK33" s="904">
        <f>+IFERROR(VLOOKUP(NK$27&amp;"-"&amp;$M33&amp;"_new",Ammortamento_Finanziario!$H:$L,5,FALSE),VLOOKUP($M33,TT_Tabelle_Riferimento!$D$127:$H$164,5,FALSE))</f>
        <v>20</v>
      </c>
      <c r="NL33" s="904">
        <f>+IFERROR(VLOOKUP(NL$27&amp;"-"&amp;$M33&amp;"_new",Ammortamento_Finanziario!$H:$L,5,FALSE),VLOOKUP($M33,TT_Tabelle_Riferimento!$D$127:$H$164,5,FALSE))</f>
        <v>20</v>
      </c>
      <c r="NM33" s="904">
        <f>+IFERROR(VLOOKUP(NM$27&amp;"-"&amp;$M33&amp;"_new",Ammortamento_Finanziario!$H:$L,5,FALSE),VLOOKUP($M33,TT_Tabelle_Riferimento!$D$127:$H$164,5,FALSE))</f>
        <v>20</v>
      </c>
      <c r="NN33" s="904">
        <f>+IFERROR(VLOOKUP(NN$27&amp;"-"&amp;$M33&amp;"_new",Ammortamento_Finanziario!$H:$L,5,FALSE),VLOOKUP($M33,TT_Tabelle_Riferimento!$D$127:$H$164,5,FALSE))</f>
        <v>20</v>
      </c>
      <c r="NO33" s="904">
        <f>+IFERROR(VLOOKUP(NO$27&amp;"-"&amp;$M33&amp;"_new",Ammortamento_Finanziario!$H:$L,5,FALSE),VLOOKUP($M33,TT_Tabelle_Riferimento!$D$127:$H$164,5,FALSE))</f>
        <v>20</v>
      </c>
      <c r="NP33" s="904">
        <f>+IFERROR(VLOOKUP(NP$27&amp;"-"&amp;$M33&amp;"_new",Ammortamento_Finanziario!$H:$L,5,FALSE),VLOOKUP($M33,TT_Tabelle_Riferimento!$D$127:$H$164,5,FALSE))</f>
        <v>20</v>
      </c>
      <c r="NQ33" s="1762">
        <f>+IFERROR(VLOOKUP(NQ$27&amp;"-"&amp;$M33&amp;"_new",Ammortamento_Finanziario!$H:$L,5,FALSE),VLOOKUP($M33,TT_Tabelle_Riferimento!$D$127:$H$164,5,FALSE))</f>
        <v>20</v>
      </c>
      <c r="NR33" s="1762">
        <f>+IFERROR(VLOOKUP(NR$27&amp;"-"&amp;$M33&amp;"_new",Ammortamento_Finanziario!$H:$L,5,FALSE),VLOOKUP($M33,TT_Tabelle_Riferimento!$D$127:$H$164,5,FALSE))</f>
        <v>20</v>
      </c>
      <c r="NS33" s="1762">
        <f>+IFERROR(VLOOKUP(NS$27&amp;"-"&amp;$M33&amp;"_new",Ammortamento_Finanziario!$H:$L,5,FALSE),VLOOKUP($M33,TT_Tabelle_Riferimento!$D$127:$H$164,5,FALSE))</f>
        <v>20</v>
      </c>
      <c r="NT33" s="1762">
        <f>+IFERROR(VLOOKUP(NT$27&amp;"-"&amp;$M33&amp;"_new",Ammortamento_Finanziario!$H:$L,5,FALSE),VLOOKUP($M33,TT_Tabelle_Riferimento!$D$127:$H$164,5,FALSE))</f>
        <v>20</v>
      </c>
      <c r="NU33" s="1762">
        <f>+IFERROR(VLOOKUP(NU$27&amp;"-"&amp;$M33&amp;"_new",Ammortamento_Finanziario!$H:$L,5,FALSE),VLOOKUP($M33,TT_Tabelle_Riferimento!$D$127:$H$164,5,FALSE))</f>
        <v>20</v>
      </c>
      <c r="NV33" s="904">
        <f>+IFERROR(VLOOKUP(NV$27&amp;"-"&amp;$M33&amp;"_new",Ammortamento_Finanziario!$H:$L,5,FALSE),VLOOKUP($M33,TT_Tabelle_Riferimento!$D$127:$H$164,5,FALSE))</f>
        <v>20</v>
      </c>
      <c r="NW33" s="904">
        <f>+IFERROR(VLOOKUP(NW$27&amp;"-"&amp;$M33&amp;"_new",Ammortamento_Finanziario!$H:$L,5,FALSE),VLOOKUP($M33,TT_Tabelle_Riferimento!$D$127:$H$164,5,FALSE))</f>
        <v>20</v>
      </c>
      <c r="NX33" s="904">
        <f>+IFERROR(VLOOKUP(NX$27&amp;"-"&amp;$M33&amp;"_new",Ammortamento_Finanziario!$H:$L,5,FALSE),VLOOKUP($M33,TT_Tabelle_Riferimento!$D$127:$H$164,5,FALSE))</f>
        <v>20</v>
      </c>
      <c r="NY33" s="904">
        <f>+IFERROR(VLOOKUP(NY$27&amp;"-"&amp;$M33&amp;"_new",Ammortamento_Finanziario!$H:$L,5,FALSE),VLOOKUP($M33,TT_Tabelle_Riferimento!$D$127:$H$164,5,FALSE))</f>
        <v>20</v>
      </c>
      <c r="NZ33" s="904">
        <f>+IFERROR(VLOOKUP(NZ$27&amp;"-"&amp;$M33&amp;"_new",Ammortamento_Finanziario!$H:$L,5,FALSE),VLOOKUP($M33,TT_Tabelle_Riferimento!$D$127:$H$164,5,FALSE))</f>
        <v>20</v>
      </c>
      <c r="OA33" s="904">
        <f>+IFERROR(VLOOKUP(OA$27&amp;"-"&amp;$M33&amp;"_new",Ammortamento_Finanziario!$H:$L,5,FALSE),VLOOKUP($M33,TT_Tabelle_Riferimento!$D$127:$H$164,5,FALSE))</f>
        <v>20</v>
      </c>
      <c r="OB33" s="904">
        <f>+IFERROR(VLOOKUP(OB$27&amp;"-"&amp;$M33&amp;"_new",Ammortamento_Finanziario!$H:$L,5,FALSE),VLOOKUP($M33,TT_Tabelle_Riferimento!$D$127:$H$164,5,FALSE))</f>
        <v>20</v>
      </c>
      <c r="OC33" s="904">
        <f>+IFERROR(VLOOKUP(OC$27&amp;"-"&amp;$M33&amp;"_new",Ammortamento_Finanziario!$H:$L,5,FALSE),VLOOKUP($M33,TT_Tabelle_Riferimento!$D$127:$H$164,5,FALSE))</f>
        <v>20</v>
      </c>
      <c r="OD33" s="904">
        <f>+IFERROR(VLOOKUP(OD$27&amp;"-"&amp;$M33&amp;"_new",Ammortamento_Finanziario!$H:$L,5,FALSE),VLOOKUP($M33,TT_Tabelle_Riferimento!$D$127:$H$164,5,FALSE))</f>
        <v>20</v>
      </c>
      <c r="OE33" s="904">
        <f>+IFERROR(VLOOKUP(OE$27&amp;"-"&amp;$M33&amp;"_new",Ammortamento_Finanziario!$H:$L,5,FALSE),VLOOKUP($M33,TT_Tabelle_Riferimento!$D$127:$H$164,5,FALSE))</f>
        <v>20</v>
      </c>
      <c r="OF33" s="904">
        <f>+IFERROR(VLOOKUP(OF$27&amp;"-"&amp;$M33&amp;"_new",Ammortamento_Finanziario!$H:$L,5,FALSE),VLOOKUP($M33,TT_Tabelle_Riferimento!$D$127:$H$164,5,FALSE))</f>
        <v>20</v>
      </c>
      <c r="OG33" s="904">
        <f>+IFERROR(VLOOKUP(OG$27&amp;"-"&amp;$M33&amp;"_new",Ammortamento_Finanziario!$H:$L,5,FALSE),VLOOKUP($M33,TT_Tabelle_Riferimento!$D$127:$H$164,5,FALSE))</f>
        <v>20</v>
      </c>
      <c r="OH33" s="904">
        <f>+IFERROR(VLOOKUP(OH$27&amp;"-"&amp;$M33&amp;"_new",Ammortamento_Finanziario!$H:$L,5,FALSE),VLOOKUP($M33,TT_Tabelle_Riferimento!$D$127:$H$164,5,FALSE))</f>
        <v>20</v>
      </c>
      <c r="OI33" s="904">
        <f>+IFERROR(VLOOKUP(OI$27&amp;"-"&amp;$M33&amp;"_new",Ammortamento_Finanziario!$H:$L,5,FALSE),VLOOKUP($M33,TT_Tabelle_Riferimento!$D$127:$H$164,5,FALSE))</f>
        <v>20</v>
      </c>
      <c r="OJ33" s="904">
        <f>+IFERROR(VLOOKUP(OJ$27&amp;"-"&amp;$M33&amp;"_new",Ammortamento_Finanziario!$H:$L,5,FALSE),VLOOKUP($M33,TT_Tabelle_Riferimento!$D$127:$H$164,5,FALSE))</f>
        <v>20</v>
      </c>
      <c r="OK33" s="904">
        <f>+IFERROR(VLOOKUP(OK$27&amp;"-"&amp;$M33&amp;"_new",Ammortamento_Finanziario!$H:$L,5,FALSE),VLOOKUP($M33,TT_Tabelle_Riferimento!$D$127:$H$164,5,FALSE))</f>
        <v>20</v>
      </c>
      <c r="OL33" s="904">
        <f>+IFERROR(VLOOKUP(OL$27&amp;"-"&amp;$M33&amp;"_new",Ammortamento_Finanziario!$H:$L,5,FALSE),VLOOKUP($M33,TT_Tabelle_Riferimento!$D$127:$H$164,5,FALSE))</f>
        <v>20</v>
      </c>
      <c r="OM33" s="904">
        <f>+IFERROR(VLOOKUP(OM$27&amp;"-"&amp;$M33&amp;"_new",Ammortamento_Finanziario!$H:$L,5,FALSE),VLOOKUP($M33,TT_Tabelle_Riferimento!$D$127:$H$164,5,FALSE))</f>
        <v>20</v>
      </c>
      <c r="ON33" s="904">
        <f>+IFERROR(VLOOKUP(ON$27&amp;"-"&amp;$M33&amp;"_new",Ammortamento_Finanziario!$H:$L,5,FALSE),VLOOKUP($M33,TT_Tabelle_Riferimento!$D$127:$H$164,5,FALSE))</f>
        <v>20</v>
      </c>
      <c r="OO33" s="1762">
        <f>+IFERROR(VLOOKUP(OO$27&amp;"-"&amp;$M33&amp;"_new",Ammortamento_Finanziario!$H:$L,5,FALSE),VLOOKUP($M33,TT_Tabelle_Riferimento!$D$127:$H$164,5,FALSE))</f>
        <v>20</v>
      </c>
      <c r="OP33" s="1762">
        <f>+IFERROR(VLOOKUP(OP$27&amp;"-"&amp;$M33&amp;"_new",Ammortamento_Finanziario!$H:$L,5,FALSE),VLOOKUP($M33,TT_Tabelle_Riferimento!$D$127:$H$164,5,FALSE))</f>
        <v>20</v>
      </c>
      <c r="OQ33" s="1762">
        <f>+IFERROR(VLOOKUP(OQ$27&amp;"-"&amp;$M33&amp;"_new",Ammortamento_Finanziario!$H:$L,5,FALSE),VLOOKUP($M33,TT_Tabelle_Riferimento!$D$127:$H$164,5,FALSE))</f>
        <v>20</v>
      </c>
      <c r="OR33" s="1762">
        <f>+IFERROR(VLOOKUP(OR$27&amp;"-"&amp;$M33&amp;"_new",Ammortamento_Finanziario!$H:$L,5,FALSE),VLOOKUP($M33,TT_Tabelle_Riferimento!$D$127:$H$164,5,FALSE))</f>
        <v>20</v>
      </c>
      <c r="OS33" s="904">
        <f>+IFERROR(VLOOKUP(OS$27&amp;"-"&amp;$M33&amp;"_new",Ammortamento_Finanziario!$H:$L,5,FALSE),VLOOKUP($M33,TT_Tabelle_Riferimento!$D$127:$H$164,5,FALSE))</f>
        <v>20</v>
      </c>
      <c r="OT33" s="904">
        <f>+IFERROR(VLOOKUP(OT$27&amp;"-"&amp;$M33&amp;"_new",Ammortamento_Finanziario!$H:$L,5,FALSE),VLOOKUP($M33,TT_Tabelle_Riferimento!$D$127:$H$164,5,FALSE))</f>
        <v>20</v>
      </c>
      <c r="OU33" s="904">
        <f>+IFERROR(VLOOKUP(OU$27&amp;"-"&amp;$M33&amp;"_new",Ammortamento_Finanziario!$H:$L,5,FALSE),VLOOKUP($M33,TT_Tabelle_Riferimento!$D$127:$H$164,5,FALSE))</f>
        <v>20</v>
      </c>
      <c r="OV33" s="904">
        <f>+IFERROR(VLOOKUP(OV$27&amp;"-"&amp;$M33&amp;"_new",Ammortamento_Finanziario!$H:$L,5,FALSE),VLOOKUP($M33,TT_Tabelle_Riferimento!$D$127:$H$164,5,FALSE))</f>
        <v>20</v>
      </c>
      <c r="OW33" s="904">
        <f>+IFERROR(VLOOKUP(OW$27&amp;"-"&amp;$M33&amp;"_new",Ammortamento_Finanziario!$H:$L,5,FALSE),VLOOKUP($M33,TT_Tabelle_Riferimento!$D$127:$H$164,5,FALSE))</f>
        <v>20</v>
      </c>
      <c r="OX33" s="904">
        <f>+IFERROR(VLOOKUP(OX$27&amp;"-"&amp;$M33&amp;"_new",Ammortamento_Finanziario!$H:$L,5,FALSE),VLOOKUP($M33,TT_Tabelle_Riferimento!$D$127:$H$164,5,FALSE))</f>
        <v>20</v>
      </c>
      <c r="OY33" s="904">
        <f>+IFERROR(VLOOKUP(OY$27&amp;"-"&amp;$M33&amp;"_new",Ammortamento_Finanziario!$H:$L,5,FALSE),VLOOKUP($M33,TT_Tabelle_Riferimento!$D$127:$H$164,5,FALSE))</f>
        <v>20</v>
      </c>
      <c r="OZ33" s="904">
        <f>+IFERROR(VLOOKUP(OZ$27&amp;"-"&amp;$M33&amp;"_new",Ammortamento_Finanziario!$H:$L,5,FALSE),VLOOKUP($M33,TT_Tabelle_Riferimento!$D$127:$H$164,5,FALSE))</f>
        <v>20</v>
      </c>
      <c r="PA33" s="904">
        <f>+IFERROR(VLOOKUP(PA$27&amp;"-"&amp;$M33&amp;"_new",Ammortamento_Finanziario!$H:$L,5,FALSE),VLOOKUP($M33,TT_Tabelle_Riferimento!$D$127:$H$164,5,FALSE))</f>
        <v>20</v>
      </c>
      <c r="PB33" s="904">
        <f>+IFERROR(VLOOKUP(PB$27&amp;"-"&amp;$M33&amp;"_new",Ammortamento_Finanziario!$H:$L,5,FALSE),VLOOKUP($M33,TT_Tabelle_Riferimento!$D$127:$H$164,5,FALSE))</f>
        <v>20</v>
      </c>
      <c r="PC33" s="904">
        <f>+IFERROR(VLOOKUP(PC$27&amp;"-"&amp;$M33&amp;"_new",Ammortamento_Finanziario!$H:$L,5,FALSE),VLOOKUP($M33,TT_Tabelle_Riferimento!$D$127:$H$164,5,FALSE))</f>
        <v>20</v>
      </c>
      <c r="PD33" s="904">
        <f>+IFERROR(VLOOKUP(PD$27&amp;"-"&amp;$M33&amp;"_new",Ammortamento_Finanziario!$H:$L,5,FALSE),VLOOKUP($M33,TT_Tabelle_Riferimento!$D$127:$H$164,5,FALSE))</f>
        <v>20</v>
      </c>
      <c r="PE33" s="904">
        <f>+IFERROR(VLOOKUP(PE$27&amp;"-"&amp;$M33&amp;"_new",Ammortamento_Finanziario!$H:$L,5,FALSE),VLOOKUP($M33,TT_Tabelle_Riferimento!$D$127:$H$164,5,FALSE))</f>
        <v>20</v>
      </c>
      <c r="PF33" s="904">
        <f>+IFERROR(VLOOKUP(PF$27&amp;"-"&amp;$M33&amp;"_new",Ammortamento_Finanziario!$H:$L,5,FALSE),VLOOKUP($M33,TT_Tabelle_Riferimento!$D$127:$H$164,5,FALSE))</f>
        <v>20</v>
      </c>
      <c r="PG33" s="904">
        <f>+IFERROR(VLOOKUP(PG$27&amp;"-"&amp;$M33&amp;"_new",Ammortamento_Finanziario!$H:$L,5,FALSE),VLOOKUP($M33,TT_Tabelle_Riferimento!$D$127:$H$164,5,FALSE))</f>
        <v>20</v>
      </c>
      <c r="PH33" s="904">
        <f>+IFERROR(VLOOKUP(PH$27&amp;"-"&amp;$M33&amp;"_new",Ammortamento_Finanziario!$H:$L,5,FALSE),VLOOKUP($M33,TT_Tabelle_Riferimento!$D$127:$H$164,5,FALSE))</f>
        <v>20</v>
      </c>
      <c r="PI33" s="904">
        <f>+IFERROR(VLOOKUP(PI$27&amp;"-"&amp;$M33&amp;"_new",Ammortamento_Finanziario!$H:$L,5,FALSE),VLOOKUP($M33,TT_Tabelle_Riferimento!$D$127:$H$164,5,FALSE))</f>
        <v>20</v>
      </c>
      <c r="PJ33" s="904">
        <f>+IFERROR(VLOOKUP(PJ$27&amp;"-"&amp;$M33&amp;"_new",Ammortamento_Finanziario!$H:$L,5,FALSE),VLOOKUP($M33,TT_Tabelle_Riferimento!$D$127:$H$164,5,FALSE))</f>
        <v>20</v>
      </c>
      <c r="PK33" s="904">
        <f>+IFERROR(VLOOKUP(PK$27&amp;"-"&amp;$M33&amp;"_new",Ammortamento_Finanziario!$H:$L,5,FALSE),VLOOKUP($M33,TT_Tabelle_Riferimento!$D$127:$H$164,5,FALSE))</f>
        <v>20</v>
      </c>
      <c r="PL33" s="1762">
        <f>+IFERROR(VLOOKUP(PL$27&amp;"-"&amp;$M33&amp;"_new",Ammortamento_Finanziario!$H:$L,5,FALSE),VLOOKUP($M33,TT_Tabelle_Riferimento!$D$127:$H$164,5,FALSE))</f>
        <v>20</v>
      </c>
      <c r="PM33" s="1762">
        <f>+IFERROR(VLOOKUP(PM$27&amp;"-"&amp;$M33&amp;"_new",Ammortamento_Finanziario!$H:$L,5,FALSE),VLOOKUP($M33,TT_Tabelle_Riferimento!$D$127:$H$164,5,FALSE))</f>
        <v>20</v>
      </c>
      <c r="PN33" s="1762">
        <f>+IFERROR(VLOOKUP(PN$27&amp;"-"&amp;$M33&amp;"_new",Ammortamento_Finanziario!$H:$L,5,FALSE),VLOOKUP($M33,TT_Tabelle_Riferimento!$D$127:$H$164,5,FALSE))</f>
        <v>20</v>
      </c>
      <c r="PO33" s="904">
        <f>+IFERROR(VLOOKUP(PO$27&amp;"-"&amp;$M33&amp;"_new",Ammortamento_Finanziario!$H:$L,5,FALSE),VLOOKUP($M33,TT_Tabelle_Riferimento!$D$127:$H$164,5,FALSE))</f>
        <v>20</v>
      </c>
      <c r="PP33" s="904">
        <f>+IFERROR(VLOOKUP(PP$27&amp;"-"&amp;$M33&amp;"_new",Ammortamento_Finanziario!$H:$L,5,FALSE),VLOOKUP($M33,TT_Tabelle_Riferimento!$D$127:$H$164,5,FALSE))</f>
        <v>20</v>
      </c>
      <c r="PQ33" s="904">
        <f>+IFERROR(VLOOKUP(PQ$27&amp;"-"&amp;$M33&amp;"_new",Ammortamento_Finanziario!$H:$L,5,FALSE),VLOOKUP($M33,TT_Tabelle_Riferimento!$D$127:$H$164,5,FALSE))</f>
        <v>20</v>
      </c>
      <c r="PR33" s="904">
        <f>+IFERROR(VLOOKUP(PR$27&amp;"-"&amp;$M33&amp;"_new",Ammortamento_Finanziario!$H:$L,5,FALSE),VLOOKUP($M33,TT_Tabelle_Riferimento!$D$127:$H$164,5,FALSE))</f>
        <v>20</v>
      </c>
      <c r="PS33" s="904">
        <f>+IFERROR(VLOOKUP(PS$27&amp;"-"&amp;$M33&amp;"_new",Ammortamento_Finanziario!$H:$L,5,FALSE),VLOOKUP($M33,TT_Tabelle_Riferimento!$D$127:$H$164,5,FALSE))</f>
        <v>20</v>
      </c>
      <c r="PT33" s="904">
        <f>+IFERROR(VLOOKUP(PT$27&amp;"-"&amp;$M33&amp;"_new",Ammortamento_Finanziario!$H:$L,5,FALSE),VLOOKUP($M33,TT_Tabelle_Riferimento!$D$127:$H$164,5,FALSE))</f>
        <v>20</v>
      </c>
      <c r="PU33" s="904">
        <f>+IFERROR(VLOOKUP(PU$27&amp;"-"&amp;$M33&amp;"_new",Ammortamento_Finanziario!$H:$L,5,FALSE),VLOOKUP($M33,TT_Tabelle_Riferimento!$D$127:$H$164,5,FALSE))</f>
        <v>20</v>
      </c>
      <c r="PV33" s="904">
        <f>+IFERROR(VLOOKUP(PV$27&amp;"-"&amp;$M33&amp;"_new",Ammortamento_Finanziario!$H:$L,5,FALSE),VLOOKUP($M33,TT_Tabelle_Riferimento!$D$127:$H$164,5,FALSE))</f>
        <v>20</v>
      </c>
      <c r="PW33" s="904">
        <f>+IFERROR(VLOOKUP(PW$27&amp;"-"&amp;$M33&amp;"_new",Ammortamento_Finanziario!$H:$L,5,FALSE),VLOOKUP($M33,TT_Tabelle_Riferimento!$D$127:$H$164,5,FALSE))</f>
        <v>20</v>
      </c>
      <c r="PX33" s="904">
        <f>+IFERROR(VLOOKUP(PX$27&amp;"-"&amp;$M33&amp;"_new",Ammortamento_Finanziario!$H:$L,5,FALSE),VLOOKUP($M33,TT_Tabelle_Riferimento!$D$127:$H$164,5,FALSE))</f>
        <v>20</v>
      </c>
      <c r="PY33" s="904">
        <f>+IFERROR(VLOOKUP(PY$27&amp;"-"&amp;$M33&amp;"_new",Ammortamento_Finanziario!$H:$L,5,FALSE),VLOOKUP($M33,TT_Tabelle_Riferimento!$D$127:$H$164,5,FALSE))</f>
        <v>20</v>
      </c>
      <c r="PZ33" s="904">
        <f>+IFERROR(VLOOKUP(PZ$27&amp;"-"&amp;$M33&amp;"_new",Ammortamento_Finanziario!$H:$L,5,FALSE),VLOOKUP($M33,TT_Tabelle_Riferimento!$D$127:$H$164,5,FALSE))</f>
        <v>20</v>
      </c>
      <c r="QA33" s="904">
        <f>+IFERROR(VLOOKUP(QA$27&amp;"-"&amp;$M33&amp;"_new",Ammortamento_Finanziario!$H:$L,5,FALSE),VLOOKUP($M33,TT_Tabelle_Riferimento!$D$127:$H$164,5,FALSE))</f>
        <v>20</v>
      </c>
      <c r="QB33" s="904">
        <f>+IFERROR(VLOOKUP(QB$27&amp;"-"&amp;$M33&amp;"_new",Ammortamento_Finanziario!$H:$L,5,FALSE),VLOOKUP($M33,TT_Tabelle_Riferimento!$D$127:$H$164,5,FALSE))</f>
        <v>20</v>
      </c>
      <c r="QC33" s="904">
        <f>+IFERROR(VLOOKUP(QC$27&amp;"-"&amp;$M33&amp;"_new",Ammortamento_Finanziario!$H:$L,5,FALSE),VLOOKUP($M33,TT_Tabelle_Riferimento!$D$127:$H$164,5,FALSE))</f>
        <v>20</v>
      </c>
      <c r="QD33" s="904">
        <f>+IFERROR(VLOOKUP(QD$27&amp;"-"&amp;$M33&amp;"_new",Ammortamento_Finanziario!$H:$L,5,FALSE),VLOOKUP($M33,TT_Tabelle_Riferimento!$D$127:$H$164,5,FALSE))</f>
        <v>20</v>
      </c>
      <c r="QE33" s="904">
        <f>+IFERROR(VLOOKUP(QE$27&amp;"-"&amp;$M33&amp;"_new",Ammortamento_Finanziario!$H:$L,5,FALSE),VLOOKUP($M33,TT_Tabelle_Riferimento!$D$127:$H$164,5,FALSE))</f>
        <v>20</v>
      </c>
      <c r="QF33" s="904">
        <f>+IFERROR(VLOOKUP(QF$27&amp;"-"&amp;$M33&amp;"_new",Ammortamento_Finanziario!$H:$L,5,FALSE),VLOOKUP($M33,TT_Tabelle_Riferimento!$D$127:$H$164,5,FALSE))</f>
        <v>20</v>
      </c>
      <c r="QG33" s="904">
        <f>+IFERROR(VLOOKUP(QG$27&amp;"-"&amp;$M33&amp;"_new",Ammortamento_Finanziario!$H:$L,5,FALSE),VLOOKUP($M33,TT_Tabelle_Riferimento!$D$127:$H$164,5,FALSE))</f>
        <v>20</v>
      </c>
      <c r="QH33" s="1762">
        <f>+IFERROR(VLOOKUP(QH$27&amp;"-"&amp;$M33&amp;"_new",Ammortamento_Finanziario!$H:$L,5,FALSE),VLOOKUP($M33,TT_Tabelle_Riferimento!$D$127:$H$164,5,FALSE))</f>
        <v>20</v>
      </c>
      <c r="QI33" s="1762">
        <f>+IFERROR(VLOOKUP(QI$27&amp;"-"&amp;$M33&amp;"_new",Ammortamento_Finanziario!$H:$L,5,FALSE),VLOOKUP($M33,TT_Tabelle_Riferimento!$D$127:$H$164,5,FALSE))</f>
        <v>20</v>
      </c>
      <c r="QJ33" s="904">
        <f>+IFERROR(VLOOKUP(QJ$27&amp;"-"&amp;$M33&amp;"_new",Ammortamento_Finanziario!$H:$L,5,FALSE),VLOOKUP($M33,TT_Tabelle_Riferimento!$D$127:$H$164,5,FALSE))</f>
        <v>20</v>
      </c>
      <c r="QK33" s="904">
        <f>+IFERROR(VLOOKUP(QK$27&amp;"-"&amp;$M33&amp;"_new",Ammortamento_Finanziario!$H:$L,5,FALSE),VLOOKUP($M33,TT_Tabelle_Riferimento!$D$127:$H$164,5,FALSE))</f>
        <v>20</v>
      </c>
      <c r="QL33" s="904">
        <f>+IFERROR(VLOOKUP(QL$27&amp;"-"&amp;$M33&amp;"_new",Ammortamento_Finanziario!$H:$L,5,FALSE),VLOOKUP($M33,TT_Tabelle_Riferimento!$D$127:$H$164,5,FALSE))</f>
        <v>20</v>
      </c>
      <c r="QM33" s="904">
        <f>+IFERROR(VLOOKUP(QM$27&amp;"-"&amp;$M33&amp;"_new",Ammortamento_Finanziario!$H:$L,5,FALSE),VLOOKUP($M33,TT_Tabelle_Riferimento!$D$127:$H$164,5,FALSE))</f>
        <v>20</v>
      </c>
      <c r="QN33" s="904">
        <f>+IFERROR(VLOOKUP(QN$27&amp;"-"&amp;$M33&amp;"_new",Ammortamento_Finanziario!$H:$L,5,FALSE),VLOOKUP($M33,TT_Tabelle_Riferimento!$D$127:$H$164,5,FALSE))</f>
        <v>20</v>
      </c>
      <c r="QO33" s="904">
        <f>+IFERROR(VLOOKUP(QO$27&amp;"-"&amp;$M33&amp;"_new",Ammortamento_Finanziario!$H:$L,5,FALSE),VLOOKUP($M33,TT_Tabelle_Riferimento!$D$127:$H$164,5,FALSE))</f>
        <v>20</v>
      </c>
      <c r="QP33" s="904">
        <f>+IFERROR(VLOOKUP(QP$27&amp;"-"&amp;$M33&amp;"_new",Ammortamento_Finanziario!$H:$L,5,FALSE),VLOOKUP($M33,TT_Tabelle_Riferimento!$D$127:$H$164,5,FALSE))</f>
        <v>20</v>
      </c>
      <c r="QQ33" s="904">
        <f>+IFERROR(VLOOKUP(QQ$27&amp;"-"&amp;$M33&amp;"_new",Ammortamento_Finanziario!$H:$L,5,FALSE),VLOOKUP($M33,TT_Tabelle_Riferimento!$D$127:$H$164,5,FALSE))</f>
        <v>20</v>
      </c>
      <c r="QR33" s="904">
        <f>+IFERROR(VLOOKUP(QR$27&amp;"-"&amp;$M33&amp;"_new",Ammortamento_Finanziario!$H:$L,5,FALSE),VLOOKUP($M33,TT_Tabelle_Riferimento!$D$127:$H$164,5,FALSE))</f>
        <v>20</v>
      </c>
      <c r="QS33" s="904">
        <f>+IFERROR(VLOOKUP(QS$27&amp;"-"&amp;$M33&amp;"_new",Ammortamento_Finanziario!$H:$L,5,FALSE),VLOOKUP($M33,TT_Tabelle_Riferimento!$D$127:$H$164,5,FALSE))</f>
        <v>20</v>
      </c>
      <c r="QT33" s="904">
        <f>+IFERROR(VLOOKUP(QT$27&amp;"-"&amp;$M33&amp;"_new",Ammortamento_Finanziario!$H:$L,5,FALSE),VLOOKUP($M33,TT_Tabelle_Riferimento!$D$127:$H$164,5,FALSE))</f>
        <v>20</v>
      </c>
      <c r="QU33" s="904">
        <f>+IFERROR(VLOOKUP(QU$27&amp;"-"&amp;$M33&amp;"_new",Ammortamento_Finanziario!$H:$L,5,FALSE),VLOOKUP($M33,TT_Tabelle_Riferimento!$D$127:$H$164,5,FALSE))</f>
        <v>20</v>
      </c>
      <c r="QV33" s="904">
        <f>+IFERROR(VLOOKUP(QV$27&amp;"-"&amp;$M33&amp;"_new",Ammortamento_Finanziario!$H:$L,5,FALSE),VLOOKUP($M33,TT_Tabelle_Riferimento!$D$127:$H$164,5,FALSE))</f>
        <v>20</v>
      </c>
      <c r="QW33" s="904">
        <f>+IFERROR(VLOOKUP(QW$27&amp;"-"&amp;$M33&amp;"_new",Ammortamento_Finanziario!$H:$L,5,FALSE),VLOOKUP($M33,TT_Tabelle_Riferimento!$D$127:$H$164,5,FALSE))</f>
        <v>20</v>
      </c>
      <c r="QX33" s="904">
        <f>+IFERROR(VLOOKUP(QX$27&amp;"-"&amp;$M33&amp;"_new",Ammortamento_Finanziario!$H:$L,5,FALSE),VLOOKUP($M33,TT_Tabelle_Riferimento!$D$127:$H$164,5,FALSE))</f>
        <v>20</v>
      </c>
      <c r="QY33" s="904">
        <f>+IFERROR(VLOOKUP(QY$27&amp;"-"&amp;$M33&amp;"_new",Ammortamento_Finanziario!$H:$L,5,FALSE),VLOOKUP($M33,TT_Tabelle_Riferimento!$D$127:$H$164,5,FALSE))</f>
        <v>20</v>
      </c>
      <c r="QZ33" s="904">
        <f>+IFERROR(VLOOKUP(QZ$27&amp;"-"&amp;$M33&amp;"_new",Ammortamento_Finanziario!$H:$L,5,FALSE),VLOOKUP($M33,TT_Tabelle_Riferimento!$D$127:$H$164,5,FALSE))</f>
        <v>20</v>
      </c>
      <c r="RA33" s="904">
        <f>+IFERROR(VLOOKUP(RA$27&amp;"-"&amp;$M33&amp;"_new",Ammortamento_Finanziario!$H:$L,5,FALSE),VLOOKUP($M33,TT_Tabelle_Riferimento!$D$127:$H$164,5,FALSE))</f>
        <v>20</v>
      </c>
      <c r="RB33" s="904">
        <f>+IFERROR(VLOOKUP(RB$27&amp;"-"&amp;$M33&amp;"_new",Ammortamento_Finanziario!$H:$L,5,FALSE),VLOOKUP($M33,TT_Tabelle_Riferimento!$D$127:$H$164,5,FALSE))</f>
        <v>20</v>
      </c>
      <c r="RC33" s="1762">
        <f>+IFERROR(VLOOKUP(RC$27&amp;"-"&amp;$M33&amp;"_new",Ammortamento_Finanziario!$H:$L,5,FALSE),VLOOKUP($M33,TT_Tabelle_Riferimento!$D$127:$H$164,5,FALSE))</f>
        <v>20</v>
      </c>
      <c r="RD33" s="904">
        <f>+IFERROR(VLOOKUP(RD$27&amp;"-"&amp;$M33&amp;"_new",Ammortamento_Finanziario!$H:$L,5,FALSE),VLOOKUP($M33,TT_Tabelle_Riferimento!$D$127:$H$164,5,FALSE))</f>
        <v>20</v>
      </c>
      <c r="RE33" s="904">
        <f>+IFERROR(VLOOKUP(RE$27&amp;"-"&amp;$M33&amp;"_new",Ammortamento_Finanziario!$H:$L,5,FALSE),VLOOKUP($M33,TT_Tabelle_Riferimento!$D$127:$H$164,5,FALSE))</f>
        <v>20</v>
      </c>
      <c r="RF33" s="904">
        <f>+IFERROR(VLOOKUP(RF$27&amp;"-"&amp;$M33&amp;"_new",Ammortamento_Finanziario!$H:$L,5,FALSE),VLOOKUP($M33,TT_Tabelle_Riferimento!$D$127:$H$164,5,FALSE))</f>
        <v>20</v>
      </c>
      <c r="RG33" s="904">
        <f>+IFERROR(VLOOKUP(RG$27&amp;"-"&amp;$M33&amp;"_new",Ammortamento_Finanziario!$H:$L,5,FALSE),VLOOKUP($M33,TT_Tabelle_Riferimento!$D$127:$H$164,5,FALSE))</f>
        <v>20</v>
      </c>
      <c r="RH33" s="904">
        <f>+IFERROR(VLOOKUP(RH$27&amp;"-"&amp;$M33&amp;"_new",Ammortamento_Finanziario!$H:$L,5,FALSE),VLOOKUP($M33,TT_Tabelle_Riferimento!$D$127:$H$164,5,FALSE))</f>
        <v>20</v>
      </c>
      <c r="RI33" s="904">
        <f>+IFERROR(VLOOKUP(RI$27&amp;"-"&amp;$M33&amp;"_new",Ammortamento_Finanziario!$H:$L,5,FALSE),VLOOKUP($M33,TT_Tabelle_Riferimento!$D$127:$H$164,5,FALSE))</f>
        <v>20</v>
      </c>
      <c r="RJ33" s="904">
        <f>+IFERROR(VLOOKUP(RJ$27&amp;"-"&amp;$M33&amp;"_new",Ammortamento_Finanziario!$H:$L,5,FALSE),VLOOKUP($M33,TT_Tabelle_Riferimento!$D$127:$H$164,5,FALSE))</f>
        <v>20</v>
      </c>
      <c r="RK33" s="904">
        <f>+IFERROR(VLOOKUP(RK$27&amp;"-"&amp;$M33&amp;"_new",Ammortamento_Finanziario!$H:$L,5,FALSE),VLOOKUP($M33,TT_Tabelle_Riferimento!$D$127:$H$164,5,FALSE))</f>
        <v>20</v>
      </c>
      <c r="RL33" s="904">
        <f>+IFERROR(VLOOKUP(RL$27&amp;"-"&amp;$M33&amp;"_new",Ammortamento_Finanziario!$H:$L,5,FALSE),VLOOKUP($M33,TT_Tabelle_Riferimento!$D$127:$H$164,5,FALSE))</f>
        <v>20</v>
      </c>
      <c r="RM33" s="904">
        <f>+IFERROR(VLOOKUP(RM$27&amp;"-"&amp;$M33&amp;"_new",Ammortamento_Finanziario!$H:$L,5,FALSE),VLOOKUP($M33,TT_Tabelle_Riferimento!$D$127:$H$164,5,FALSE))</f>
        <v>20</v>
      </c>
      <c r="RN33" s="904">
        <f>+IFERROR(VLOOKUP(RN$27&amp;"-"&amp;$M33&amp;"_new",Ammortamento_Finanziario!$H:$L,5,FALSE),VLOOKUP($M33,TT_Tabelle_Riferimento!$D$127:$H$164,5,FALSE))</f>
        <v>20</v>
      </c>
      <c r="RO33" s="904">
        <f>+IFERROR(VLOOKUP(RO$27&amp;"-"&amp;$M33&amp;"_new",Ammortamento_Finanziario!$H:$L,5,FALSE),VLOOKUP($M33,TT_Tabelle_Riferimento!$D$127:$H$164,5,FALSE))</f>
        <v>20</v>
      </c>
      <c r="RP33" s="904">
        <f>+IFERROR(VLOOKUP(RP$27&amp;"-"&amp;$M33&amp;"_new",Ammortamento_Finanziario!$H:$L,5,FALSE),VLOOKUP($M33,TT_Tabelle_Riferimento!$D$127:$H$164,5,FALSE))</f>
        <v>20</v>
      </c>
      <c r="RQ33" s="904">
        <f>+IFERROR(VLOOKUP(RQ$27&amp;"-"&amp;$M33&amp;"_new",Ammortamento_Finanziario!$H:$L,5,FALSE),VLOOKUP($M33,TT_Tabelle_Riferimento!$D$127:$H$164,5,FALSE))</f>
        <v>20</v>
      </c>
      <c r="RR33" s="904">
        <f>+IFERROR(VLOOKUP(RR$27&amp;"-"&amp;$M33&amp;"_new",Ammortamento_Finanziario!$H:$L,5,FALSE),VLOOKUP($M33,TT_Tabelle_Riferimento!$D$127:$H$164,5,FALSE))</f>
        <v>20</v>
      </c>
      <c r="RS33" s="904">
        <f>+IFERROR(VLOOKUP(RS$27&amp;"-"&amp;$M33&amp;"_new",Ammortamento_Finanziario!$H:$L,5,FALSE),VLOOKUP($M33,TT_Tabelle_Riferimento!$D$127:$H$164,5,FALSE))</f>
        <v>20</v>
      </c>
      <c r="RT33" s="904">
        <f>+IFERROR(VLOOKUP(RT$27&amp;"-"&amp;$M33&amp;"_new",Ammortamento_Finanziario!$H:$L,5,FALSE),VLOOKUP($M33,TT_Tabelle_Riferimento!$D$127:$H$164,5,FALSE))</f>
        <v>20</v>
      </c>
      <c r="RU33" s="904">
        <f>+IFERROR(VLOOKUP(RU$27&amp;"-"&amp;$M33&amp;"_new",Ammortamento_Finanziario!$H:$L,5,FALSE),VLOOKUP($M33,TT_Tabelle_Riferimento!$D$127:$H$164,5,FALSE))</f>
        <v>20</v>
      </c>
      <c r="RV33" s="904">
        <f>+IFERROR(VLOOKUP(RV$27&amp;"-"&amp;$M33&amp;"_new",Ammortamento_Finanziario!$H:$L,5,FALSE),VLOOKUP($M33,TT_Tabelle_Riferimento!$D$127:$H$164,5,FALSE))</f>
        <v>20</v>
      </c>
    </row>
    <row r="34" spans="4:490">
      <c r="D34" s="135" t="s">
        <v>22700</v>
      </c>
      <c r="E34" s="719">
        <f>+SUMIF(IMN_gestore!$E:$E,2022,IMN_gestore!$U:$U)</f>
        <v>0</v>
      </c>
      <c r="F34" s="719">
        <f>SUMIF(IMN_gestore!$E:$E,2023,IMN_gestore!$AF:$AF)</f>
        <v>0</v>
      </c>
      <c r="G34" s="719">
        <f>+SUMIF(IMN_gestore!$E:$E,2024,IMN_gestore!$AQ:$AQ)</f>
        <v>0</v>
      </c>
      <c r="H34" s="719">
        <f>SUMIF(IMN_gestore!$E:$E,2025,IMN_gestore!$BB:$BB)</f>
        <v>0</v>
      </c>
      <c r="I34" s="719">
        <f>SUMIF(IMN_gestore!$E:$E,2026,IMN_gestore!$BM:$BM)</f>
        <v>0</v>
      </c>
      <c r="J34" s="719">
        <f>SUMIF(IMN_gestore!$E:$E,2027,IMN_gestore!$BX:$BX)</f>
        <v>0</v>
      </c>
      <c r="K34" s="136"/>
      <c r="M34" s="1756">
        <v>7</v>
      </c>
      <c r="N34" s="1759">
        <v>0</v>
      </c>
      <c r="O34" s="1759">
        <v>0</v>
      </c>
      <c r="P34" s="1759">
        <v>0</v>
      </c>
      <c r="Q34" s="1759">
        <v>0</v>
      </c>
      <c r="R34" s="1759">
        <v>0</v>
      </c>
      <c r="S34" s="1759">
        <v>0</v>
      </c>
      <c r="T34" s="1759">
        <v>0</v>
      </c>
      <c r="U34" s="1759">
        <v>0</v>
      </c>
      <c r="V34" s="1759">
        <v>0</v>
      </c>
      <c r="W34" s="1759">
        <v>0</v>
      </c>
      <c r="X34" s="1759">
        <v>0</v>
      </c>
      <c r="Y34" s="1759">
        <v>0</v>
      </c>
      <c r="Z34" s="1759">
        <v>0</v>
      </c>
      <c r="AA34" s="1759">
        <v>0</v>
      </c>
      <c r="AB34" s="1759">
        <v>0</v>
      </c>
      <c r="AC34" s="1759">
        <v>0</v>
      </c>
      <c r="AD34" s="1759">
        <v>0</v>
      </c>
      <c r="AE34" s="1759">
        <v>0</v>
      </c>
      <c r="AF34" s="1759">
        <v>0</v>
      </c>
      <c r="AG34" s="1759">
        <v>0</v>
      </c>
      <c r="AH34" s="1759">
        <v>0</v>
      </c>
      <c r="AI34" s="1759">
        <v>0</v>
      </c>
      <c r="AJ34" s="1759">
        <v>0</v>
      </c>
      <c r="AK34" s="1759">
        <v>0</v>
      </c>
      <c r="AL34" s="1759">
        <v>0</v>
      </c>
      <c r="AM34" s="1759">
        <v>0</v>
      </c>
      <c r="AN34" s="1759">
        <v>0</v>
      </c>
      <c r="AO34" s="1759">
        <v>0</v>
      </c>
      <c r="AP34" s="1759">
        <v>0</v>
      </c>
      <c r="AQ34" s="1759">
        <v>0</v>
      </c>
      <c r="AR34" s="1759">
        <v>0</v>
      </c>
      <c r="AS34" s="1759">
        <v>0</v>
      </c>
      <c r="AT34" s="1759">
        <v>0</v>
      </c>
      <c r="AU34" s="1759">
        <v>0</v>
      </c>
      <c r="AV34" s="1759">
        <v>0</v>
      </c>
      <c r="AW34" s="1759">
        <v>0</v>
      </c>
      <c r="AX34" s="1759">
        <v>0</v>
      </c>
      <c r="AY34" s="1759">
        <v>0</v>
      </c>
      <c r="AZ34" s="1759">
        <v>0</v>
      </c>
      <c r="BA34" s="1759">
        <v>0</v>
      </c>
      <c r="BB34" s="1759">
        <v>0</v>
      </c>
      <c r="BC34" s="1759">
        <v>0</v>
      </c>
      <c r="BD34" s="1759">
        <v>0</v>
      </c>
      <c r="BE34" s="1759">
        <v>0</v>
      </c>
      <c r="BF34" s="1759">
        <v>0</v>
      </c>
      <c r="BG34" s="1759">
        <v>0</v>
      </c>
      <c r="BH34" s="1759">
        <v>0</v>
      </c>
      <c r="BI34" s="1759">
        <v>0</v>
      </c>
      <c r="BJ34" s="1759">
        <v>0</v>
      </c>
      <c r="BK34" s="1759">
        <v>0</v>
      </c>
      <c r="BL34" s="1759">
        <v>0</v>
      </c>
      <c r="BM34" s="1759">
        <v>0</v>
      </c>
      <c r="BN34" s="1759">
        <v>0</v>
      </c>
      <c r="BO34" s="1759">
        <v>0</v>
      </c>
      <c r="BP34" s="1759">
        <v>0</v>
      </c>
      <c r="BQ34" s="1759">
        <v>0</v>
      </c>
      <c r="BR34" s="1759">
        <v>0</v>
      </c>
      <c r="BS34" s="1759">
        <v>0</v>
      </c>
      <c r="BT34" s="1759">
        <v>0</v>
      </c>
      <c r="BU34" s="1759">
        <v>0</v>
      </c>
      <c r="BV34" s="1759">
        <v>0</v>
      </c>
      <c r="BW34" s="1759">
        <v>0</v>
      </c>
      <c r="BX34" s="1759">
        <v>0</v>
      </c>
      <c r="BY34" s="1759">
        <v>0</v>
      </c>
      <c r="BZ34" s="1759">
        <v>0</v>
      </c>
      <c r="CA34" s="1759">
        <v>0</v>
      </c>
      <c r="CB34" s="1759">
        <v>0</v>
      </c>
      <c r="CC34" s="1759">
        <v>0</v>
      </c>
      <c r="CD34" s="1759">
        <v>0</v>
      </c>
      <c r="CE34" s="1759">
        <v>0</v>
      </c>
      <c r="CF34" s="1759">
        <v>0</v>
      </c>
      <c r="CG34" s="1759">
        <v>0</v>
      </c>
      <c r="CH34" s="1759">
        <v>0</v>
      </c>
      <c r="CI34" s="1759">
        <v>0</v>
      </c>
      <c r="CJ34" s="1759">
        <v>0</v>
      </c>
      <c r="CK34" s="1759">
        <v>0</v>
      </c>
      <c r="CL34" s="1759">
        <v>0</v>
      </c>
      <c r="CM34" s="1759">
        <v>0</v>
      </c>
      <c r="CN34" s="1759">
        <v>0</v>
      </c>
      <c r="CO34" s="1759">
        <v>0</v>
      </c>
      <c r="CP34" s="1759">
        <v>0</v>
      </c>
      <c r="CQ34" s="1759">
        <v>0</v>
      </c>
      <c r="CR34" s="1759">
        <v>0</v>
      </c>
      <c r="CS34" s="1759">
        <v>0</v>
      </c>
      <c r="CT34" s="1759">
        <v>0</v>
      </c>
      <c r="CU34" s="1759">
        <v>0</v>
      </c>
      <c r="CV34" s="1759">
        <v>0</v>
      </c>
      <c r="CW34" s="1759">
        <v>0</v>
      </c>
      <c r="CX34" s="1759">
        <v>0</v>
      </c>
      <c r="CY34" s="1759">
        <v>0</v>
      </c>
      <c r="CZ34" s="1759">
        <v>0</v>
      </c>
      <c r="DA34" s="1759">
        <v>0</v>
      </c>
      <c r="DB34" s="1759">
        <v>0</v>
      </c>
      <c r="DC34" s="1759">
        <v>0</v>
      </c>
      <c r="DD34" s="1759">
        <v>0</v>
      </c>
      <c r="DE34" s="1759">
        <v>0</v>
      </c>
      <c r="DF34" s="1759">
        <v>0</v>
      </c>
      <c r="DG34" s="1759">
        <v>0</v>
      </c>
      <c r="DH34" s="1759">
        <v>0</v>
      </c>
      <c r="DI34" s="1759">
        <v>0</v>
      </c>
      <c r="DJ34" s="1759">
        <v>0</v>
      </c>
      <c r="DK34" s="1759">
        <v>0</v>
      </c>
      <c r="DL34" s="1759">
        <v>0</v>
      </c>
      <c r="DM34" s="1759">
        <v>0</v>
      </c>
      <c r="DN34" s="1759">
        <v>0</v>
      </c>
      <c r="DO34" s="1759">
        <v>0</v>
      </c>
      <c r="DP34" s="1759">
        <v>0</v>
      </c>
      <c r="DQ34" s="1759">
        <v>0</v>
      </c>
      <c r="DR34" s="1759">
        <v>0</v>
      </c>
      <c r="DS34" s="1759">
        <v>0</v>
      </c>
      <c r="DT34" s="1759">
        <v>0</v>
      </c>
      <c r="DU34" s="1759">
        <v>0</v>
      </c>
      <c r="DV34" s="1759">
        <v>0</v>
      </c>
      <c r="DW34" s="1759">
        <v>0</v>
      </c>
      <c r="DX34" s="1759">
        <v>0</v>
      </c>
      <c r="DY34" s="1759">
        <v>0</v>
      </c>
      <c r="DZ34" s="1759">
        <v>0</v>
      </c>
      <c r="EA34" s="1759">
        <v>0</v>
      </c>
      <c r="EB34" s="1759">
        <v>0</v>
      </c>
      <c r="EC34" s="1759">
        <v>0</v>
      </c>
      <c r="ED34" s="1759">
        <v>0</v>
      </c>
      <c r="EE34" s="1759">
        <v>0</v>
      </c>
      <c r="EF34" s="1759">
        <v>0</v>
      </c>
      <c r="EG34" s="1759">
        <v>0</v>
      </c>
      <c r="EH34" s="1759">
        <v>0</v>
      </c>
      <c r="EI34" s="1759">
        <v>0</v>
      </c>
      <c r="EJ34" s="1759">
        <v>0</v>
      </c>
      <c r="EK34" s="1759">
        <v>0</v>
      </c>
      <c r="EL34" s="1759">
        <v>0</v>
      </c>
      <c r="EM34" s="1759">
        <v>0</v>
      </c>
      <c r="EN34" s="1759">
        <v>0</v>
      </c>
      <c r="EO34" s="1759">
        <v>0</v>
      </c>
      <c r="EP34" s="1759">
        <v>0</v>
      </c>
      <c r="EQ34" s="1759">
        <v>0</v>
      </c>
      <c r="ER34" s="1759">
        <v>0</v>
      </c>
      <c r="ES34" s="1759">
        <v>0</v>
      </c>
      <c r="ET34" s="1759">
        <v>0</v>
      </c>
      <c r="EU34" s="1759">
        <v>0</v>
      </c>
      <c r="EV34" s="1759">
        <v>0</v>
      </c>
      <c r="EW34" s="1759">
        <v>0</v>
      </c>
      <c r="EX34" s="1759">
        <v>0</v>
      </c>
      <c r="EY34" s="1759">
        <v>0</v>
      </c>
      <c r="EZ34" s="1759">
        <v>0</v>
      </c>
      <c r="FA34" s="1759">
        <v>0</v>
      </c>
      <c r="FB34" s="1759">
        <v>0</v>
      </c>
      <c r="FC34" s="1759">
        <v>0</v>
      </c>
      <c r="FD34" s="1759">
        <v>0</v>
      </c>
      <c r="FE34" s="1759">
        <v>0</v>
      </c>
      <c r="FF34" s="1759">
        <v>0</v>
      </c>
      <c r="FG34" s="1759">
        <v>0</v>
      </c>
      <c r="FH34" s="1759">
        <v>0</v>
      </c>
      <c r="FI34" s="1759">
        <v>0</v>
      </c>
      <c r="FJ34" s="1759">
        <v>0</v>
      </c>
      <c r="FK34" s="1759">
        <v>0</v>
      </c>
      <c r="FL34" s="1759">
        <v>0</v>
      </c>
      <c r="FM34" s="1759">
        <v>0</v>
      </c>
      <c r="FN34" s="1759">
        <v>0</v>
      </c>
      <c r="FO34" s="1759">
        <v>0</v>
      </c>
      <c r="FP34" s="1759">
        <v>0</v>
      </c>
      <c r="FQ34" s="1759">
        <v>0</v>
      </c>
      <c r="FR34" s="1759">
        <v>0</v>
      </c>
      <c r="FS34" s="1759">
        <v>0</v>
      </c>
      <c r="FT34" s="1759">
        <v>0</v>
      </c>
      <c r="FU34" s="1759">
        <v>0</v>
      </c>
      <c r="FV34" s="1759">
        <v>0</v>
      </c>
      <c r="FW34" s="1759">
        <v>0</v>
      </c>
      <c r="FX34" s="1759">
        <v>0</v>
      </c>
      <c r="FY34" s="1759">
        <v>0</v>
      </c>
      <c r="FZ34" s="1759">
        <v>0</v>
      </c>
      <c r="GA34" s="1759">
        <v>0</v>
      </c>
      <c r="GB34" s="1759">
        <v>0</v>
      </c>
      <c r="GC34" s="1759">
        <v>0</v>
      </c>
      <c r="GD34" s="1759">
        <v>0</v>
      </c>
      <c r="GE34" s="1759">
        <v>0</v>
      </c>
      <c r="GF34" s="1759">
        <v>0</v>
      </c>
      <c r="GG34" s="1759">
        <v>0</v>
      </c>
      <c r="GH34" s="1759">
        <v>0</v>
      </c>
      <c r="GI34" s="1759">
        <v>0</v>
      </c>
      <c r="GJ34" s="1759">
        <v>0</v>
      </c>
      <c r="GK34" s="1759">
        <v>0</v>
      </c>
      <c r="GL34" s="1759">
        <v>0</v>
      </c>
      <c r="GM34" s="1759">
        <v>0</v>
      </c>
      <c r="GN34" s="1759">
        <v>0</v>
      </c>
      <c r="GO34" s="1759">
        <v>0</v>
      </c>
      <c r="GP34" s="1759">
        <v>0</v>
      </c>
      <c r="GQ34" s="1759">
        <v>0</v>
      </c>
      <c r="GR34" s="1759">
        <v>0</v>
      </c>
      <c r="GS34" s="1759">
        <v>0</v>
      </c>
      <c r="GT34" s="1759">
        <v>0</v>
      </c>
      <c r="GU34" s="1759">
        <v>0</v>
      </c>
      <c r="GV34" s="1759">
        <v>0</v>
      </c>
      <c r="GW34" s="1759">
        <v>0</v>
      </c>
      <c r="GX34" s="1759">
        <v>0</v>
      </c>
      <c r="GY34" s="1759">
        <v>0</v>
      </c>
      <c r="GZ34" s="1759">
        <v>0</v>
      </c>
      <c r="HA34" s="1759">
        <v>0</v>
      </c>
      <c r="HB34" s="1759">
        <v>0</v>
      </c>
      <c r="HC34" s="1759">
        <v>0</v>
      </c>
      <c r="HD34" s="1759">
        <v>0</v>
      </c>
      <c r="HE34" s="1759">
        <v>0</v>
      </c>
      <c r="HF34" s="1759">
        <v>0</v>
      </c>
      <c r="HG34" s="1759">
        <v>0</v>
      </c>
      <c r="HH34" s="1759">
        <v>0</v>
      </c>
      <c r="HI34" s="1759">
        <v>0</v>
      </c>
      <c r="HJ34" s="1759">
        <v>0</v>
      </c>
      <c r="HK34" s="1759">
        <v>0</v>
      </c>
      <c r="HL34" s="1759">
        <v>0</v>
      </c>
      <c r="HM34" s="1759">
        <v>0</v>
      </c>
      <c r="HN34" s="1759">
        <v>0</v>
      </c>
      <c r="HO34" s="1759">
        <v>0</v>
      </c>
      <c r="HP34" s="1759">
        <v>0</v>
      </c>
      <c r="HQ34" s="1759">
        <v>0</v>
      </c>
      <c r="HR34" s="1759">
        <v>0</v>
      </c>
      <c r="HS34" s="1759">
        <v>0</v>
      </c>
      <c r="HT34" s="1759">
        <v>0</v>
      </c>
      <c r="HU34" s="1759">
        <v>0</v>
      </c>
      <c r="HV34" s="1759">
        <v>0</v>
      </c>
      <c r="HW34" s="1759">
        <v>0</v>
      </c>
      <c r="HX34" s="1759">
        <v>0</v>
      </c>
      <c r="HY34" s="1759">
        <v>0</v>
      </c>
      <c r="HZ34" s="1759">
        <v>0</v>
      </c>
      <c r="IA34" s="1759">
        <v>0</v>
      </c>
      <c r="IB34" s="1759">
        <v>0</v>
      </c>
      <c r="IC34" s="1759">
        <v>0</v>
      </c>
      <c r="ID34" s="1759">
        <v>0</v>
      </c>
      <c r="IE34" s="1759">
        <v>0</v>
      </c>
      <c r="IF34" s="1759">
        <v>0</v>
      </c>
      <c r="IG34" s="1759">
        <v>0</v>
      </c>
      <c r="IH34" s="1759">
        <v>0</v>
      </c>
      <c r="II34" s="1759">
        <v>0</v>
      </c>
      <c r="IJ34" s="1759">
        <v>0</v>
      </c>
      <c r="IK34" s="1759">
        <v>0</v>
      </c>
      <c r="IL34" s="1759">
        <v>0</v>
      </c>
      <c r="IM34" s="1759">
        <v>0</v>
      </c>
      <c r="IN34" s="1759">
        <v>0</v>
      </c>
      <c r="IO34" s="1759">
        <v>0</v>
      </c>
      <c r="IP34" s="1759">
        <v>0</v>
      </c>
      <c r="IQ34" s="1759">
        <v>0</v>
      </c>
      <c r="IR34" s="1759">
        <v>0</v>
      </c>
      <c r="IS34" s="1759">
        <v>0</v>
      </c>
      <c r="IT34" s="1759">
        <v>0</v>
      </c>
      <c r="IU34" s="1759">
        <v>0</v>
      </c>
      <c r="IV34" s="1759">
        <v>0</v>
      </c>
      <c r="IW34" s="1759">
        <v>0</v>
      </c>
      <c r="IX34" s="1759">
        <v>0</v>
      </c>
      <c r="IY34" s="1759">
        <v>0</v>
      </c>
      <c r="IZ34" s="1759">
        <v>0</v>
      </c>
      <c r="JA34" s="1759">
        <v>0</v>
      </c>
      <c r="JB34" s="1759">
        <v>0</v>
      </c>
      <c r="JC34" s="1759">
        <v>0</v>
      </c>
      <c r="JD34" s="1759">
        <v>0</v>
      </c>
      <c r="JE34" s="1759">
        <v>0</v>
      </c>
      <c r="JF34" s="1759">
        <v>0</v>
      </c>
      <c r="JG34" s="1759">
        <v>0</v>
      </c>
      <c r="JH34" s="1759">
        <v>0</v>
      </c>
      <c r="JI34" s="1759">
        <v>0</v>
      </c>
      <c r="JJ34" s="1759">
        <v>0</v>
      </c>
      <c r="JK34" s="1759">
        <v>0</v>
      </c>
      <c r="JL34" s="1759">
        <v>0</v>
      </c>
      <c r="JM34" s="1759">
        <v>0</v>
      </c>
      <c r="JN34" s="1759">
        <v>0</v>
      </c>
      <c r="JO34" s="1759">
        <v>0</v>
      </c>
      <c r="JP34" s="1759">
        <v>0</v>
      </c>
      <c r="JQ34" s="1759">
        <v>0</v>
      </c>
      <c r="JR34" s="1759">
        <v>0</v>
      </c>
      <c r="JS34" s="1759">
        <v>0</v>
      </c>
      <c r="JT34" s="1759">
        <v>0</v>
      </c>
      <c r="JU34" s="1759">
        <v>0</v>
      </c>
      <c r="JV34" s="1759">
        <v>0</v>
      </c>
      <c r="JW34" s="1759">
        <v>0</v>
      </c>
      <c r="JX34" s="1759">
        <v>0</v>
      </c>
      <c r="JY34" s="1759">
        <v>0</v>
      </c>
      <c r="JZ34" s="1759">
        <v>0</v>
      </c>
      <c r="KA34" s="1759">
        <v>0</v>
      </c>
      <c r="KB34" s="1759">
        <v>0</v>
      </c>
      <c r="KC34" s="1759">
        <v>0</v>
      </c>
      <c r="KD34" s="1759">
        <v>0</v>
      </c>
      <c r="KE34" s="1759">
        <v>0</v>
      </c>
      <c r="KF34" s="1759">
        <v>0</v>
      </c>
      <c r="KG34" s="1759">
        <v>0</v>
      </c>
      <c r="KH34" s="1759">
        <v>0</v>
      </c>
      <c r="KI34" s="1759">
        <v>0</v>
      </c>
      <c r="KJ34" s="1759">
        <v>0</v>
      </c>
      <c r="KK34" s="1759">
        <v>0</v>
      </c>
      <c r="KL34" s="1759">
        <v>0</v>
      </c>
      <c r="KM34" s="1759">
        <v>0</v>
      </c>
      <c r="KN34" s="1759">
        <v>0</v>
      </c>
      <c r="KO34" s="1759">
        <v>0</v>
      </c>
      <c r="KP34" s="1759">
        <v>0</v>
      </c>
      <c r="KQ34" s="904">
        <f>+IFERROR(VLOOKUP(KQ$27&amp;"-"&amp;$M34&amp;"_new",Ammortamento_Finanziario!$H:$L,5,FALSE),VLOOKUP($M34,TT_Tabelle_Riferimento!$D$127:$H$164,5,FALSE))</f>
        <v>12</v>
      </c>
      <c r="KR34" s="904">
        <f>+IFERROR(VLOOKUP(KR$27&amp;"-"&amp;$M34&amp;"_new",Ammortamento_Finanziario!$H:$L,5,FALSE),VLOOKUP($M34,TT_Tabelle_Riferimento!$D$127:$H$164,5,FALSE))</f>
        <v>12</v>
      </c>
      <c r="KS34" s="1762">
        <f>+IFERROR(VLOOKUP(KS$27&amp;"-"&amp;$M34&amp;"_new",Ammortamento_Finanziario!$H:$L,5,FALSE),VLOOKUP($M34,TT_Tabelle_Riferimento!$D$127:$H$164,5,FALSE))</f>
        <v>12</v>
      </c>
      <c r="KT34" s="1762">
        <f>+IFERROR(VLOOKUP(KT$27&amp;"-"&amp;$M34&amp;"_new",Ammortamento_Finanziario!$H:$L,5,FALSE),VLOOKUP($M34,TT_Tabelle_Riferimento!$D$127:$H$164,5,FALSE))</f>
        <v>12</v>
      </c>
      <c r="KU34" s="1762">
        <f>+IFERROR(VLOOKUP(KU$27&amp;"-"&amp;$M34&amp;"_new",Ammortamento_Finanziario!$H:$L,5,FALSE),VLOOKUP($M34,TT_Tabelle_Riferimento!$D$127:$H$164,5,FALSE))</f>
        <v>12</v>
      </c>
      <c r="KV34" s="1762">
        <f>+IFERROR(VLOOKUP(KV$27&amp;"-"&amp;$M34&amp;"_new",Ammortamento_Finanziario!$H:$L,5,FALSE),VLOOKUP($M34,TT_Tabelle_Riferimento!$D$127:$H$164,5,FALSE))</f>
        <v>12</v>
      </c>
      <c r="KW34" s="1762">
        <f>+IFERROR(VLOOKUP(KW$27&amp;"-"&amp;$M34&amp;"_new",Ammortamento_Finanziario!$H:$L,5,FALSE),VLOOKUP($M34,TT_Tabelle_Riferimento!$D$127:$H$164,5,FALSE))</f>
        <v>12</v>
      </c>
      <c r="KX34" s="1762">
        <f>+IFERROR(VLOOKUP(KX$27&amp;"-"&amp;$M34&amp;"_new",Ammortamento_Finanziario!$H:$L,5,FALSE),VLOOKUP($M34,TT_Tabelle_Riferimento!$D$127:$H$164,5,FALSE))</f>
        <v>12</v>
      </c>
      <c r="KY34" s="904">
        <f>+IFERROR(VLOOKUP(KY$27&amp;"-"&amp;$M34&amp;"_new",Ammortamento_Finanziario!$H:$L,5,FALSE),VLOOKUP($M34,TT_Tabelle_Riferimento!$D$127:$H$164,5,FALSE))</f>
        <v>12</v>
      </c>
      <c r="KZ34" s="904">
        <f>+IFERROR(VLOOKUP(KZ$27&amp;"-"&amp;$M34&amp;"_new",Ammortamento_Finanziario!$H:$L,5,FALSE),VLOOKUP($M34,TT_Tabelle_Riferimento!$D$127:$H$164,5,FALSE))</f>
        <v>12</v>
      </c>
      <c r="LA34" s="904">
        <f>+IFERROR(VLOOKUP(LA$27&amp;"-"&amp;$M34&amp;"_new",Ammortamento_Finanziario!$H:$L,5,FALSE),VLOOKUP($M34,TT_Tabelle_Riferimento!$D$127:$H$164,5,FALSE))</f>
        <v>12</v>
      </c>
      <c r="LB34" s="904">
        <f>+IFERROR(VLOOKUP(LB$27&amp;"-"&amp;$M34&amp;"_new",Ammortamento_Finanziario!$H:$L,5,FALSE),VLOOKUP($M34,TT_Tabelle_Riferimento!$D$127:$H$164,5,FALSE))</f>
        <v>12</v>
      </c>
      <c r="LC34" s="904">
        <f>+IFERROR(VLOOKUP(LC$27&amp;"-"&amp;$M34&amp;"_new",Ammortamento_Finanziario!$H:$L,5,FALSE),VLOOKUP($M34,TT_Tabelle_Riferimento!$D$127:$H$164,5,FALSE))</f>
        <v>12</v>
      </c>
      <c r="LD34" s="904">
        <f>+IFERROR(VLOOKUP(LD$27&amp;"-"&amp;$M34&amp;"_new",Ammortamento_Finanziario!$H:$L,5,FALSE),VLOOKUP($M34,TT_Tabelle_Riferimento!$D$127:$H$164,5,FALSE))</f>
        <v>12</v>
      </c>
      <c r="LE34" s="904">
        <f>+IFERROR(VLOOKUP(LE$27&amp;"-"&amp;$M34&amp;"_new",Ammortamento_Finanziario!$H:$L,5,FALSE),VLOOKUP($M34,TT_Tabelle_Riferimento!$D$127:$H$164,5,FALSE))</f>
        <v>12</v>
      </c>
      <c r="LF34" s="904">
        <f>+IFERROR(VLOOKUP(LF$27&amp;"-"&amp;$M34&amp;"_new",Ammortamento_Finanziario!$H:$L,5,FALSE),VLOOKUP($M34,TT_Tabelle_Riferimento!$D$127:$H$164,5,FALSE))</f>
        <v>12</v>
      </c>
      <c r="LG34" s="904">
        <f>+IFERROR(VLOOKUP(LG$27&amp;"-"&amp;$M34&amp;"_new",Ammortamento_Finanziario!$H:$L,5,FALSE),VLOOKUP($M34,TT_Tabelle_Riferimento!$D$127:$H$164,5,FALSE))</f>
        <v>12</v>
      </c>
      <c r="LH34" s="904">
        <f>+IFERROR(VLOOKUP(LH$27&amp;"-"&amp;$M34&amp;"_new",Ammortamento_Finanziario!$H:$L,5,FALSE),VLOOKUP($M34,TT_Tabelle_Riferimento!$D$127:$H$164,5,FALSE))</f>
        <v>12</v>
      </c>
      <c r="LI34" s="904">
        <f>+IFERROR(VLOOKUP(LI$27&amp;"-"&amp;$M34&amp;"_new",Ammortamento_Finanziario!$H:$L,5,FALSE),VLOOKUP($M34,TT_Tabelle_Riferimento!$D$127:$H$164,5,FALSE))</f>
        <v>12</v>
      </c>
      <c r="LJ34" s="904">
        <f>+IFERROR(VLOOKUP(LJ$27&amp;"-"&amp;$M34&amp;"_new",Ammortamento_Finanziario!$H:$L,5,FALSE),VLOOKUP($M34,TT_Tabelle_Riferimento!$D$127:$H$164,5,FALSE))</f>
        <v>12</v>
      </c>
      <c r="LK34" s="904">
        <f>+IFERROR(VLOOKUP(LK$27&amp;"-"&amp;$M34&amp;"_new",Ammortamento_Finanziario!$H:$L,5,FALSE),VLOOKUP($M34,TT_Tabelle_Riferimento!$D$127:$H$164,5,FALSE))</f>
        <v>12</v>
      </c>
      <c r="LL34" s="904">
        <f>+IFERROR(VLOOKUP(LL$27&amp;"-"&amp;$M34&amp;"_new",Ammortamento_Finanziario!$H:$L,5,FALSE),VLOOKUP($M34,TT_Tabelle_Riferimento!$D$127:$H$164,5,FALSE))</f>
        <v>12</v>
      </c>
      <c r="LM34" s="904">
        <f>+IFERROR(VLOOKUP(LM$27&amp;"-"&amp;$M34&amp;"_new",Ammortamento_Finanziario!$H:$L,5,FALSE),VLOOKUP($M34,TT_Tabelle_Riferimento!$D$127:$H$164,5,FALSE))</f>
        <v>12</v>
      </c>
      <c r="LN34" s="904">
        <f>+IFERROR(VLOOKUP(LN$27&amp;"-"&amp;$M34&amp;"_new",Ammortamento_Finanziario!$H:$L,5,FALSE),VLOOKUP($M34,TT_Tabelle_Riferimento!$D$127:$H$164,5,FALSE))</f>
        <v>12</v>
      </c>
      <c r="LO34" s="904">
        <f>+IFERROR(VLOOKUP(LO$27&amp;"-"&amp;$M34&amp;"_new",Ammortamento_Finanziario!$H:$L,5,FALSE),VLOOKUP($M34,TT_Tabelle_Riferimento!$D$127:$H$164,5,FALSE))</f>
        <v>12</v>
      </c>
      <c r="LP34" s="904">
        <f>+IFERROR(VLOOKUP(LP$27&amp;"-"&amp;$M34&amp;"_new",Ammortamento_Finanziario!$H:$L,5,FALSE),VLOOKUP($M34,TT_Tabelle_Riferimento!$D$127:$H$164,5,FALSE))</f>
        <v>12</v>
      </c>
      <c r="LQ34" s="904">
        <f>+IFERROR(VLOOKUP(LQ$27&amp;"-"&amp;$M34&amp;"_new",Ammortamento_Finanziario!$H:$L,5,FALSE),VLOOKUP($M34,TT_Tabelle_Riferimento!$D$127:$H$164,5,FALSE))</f>
        <v>12</v>
      </c>
      <c r="LR34" s="904">
        <f>+IFERROR(VLOOKUP(LR$27&amp;"-"&amp;$M34&amp;"_new",Ammortamento_Finanziario!$H:$L,5,FALSE),VLOOKUP($M34,TT_Tabelle_Riferimento!$D$127:$H$164,5,FALSE))</f>
        <v>12</v>
      </c>
      <c r="LS34" s="1762">
        <f>+IFERROR(VLOOKUP(LS$27&amp;"-"&amp;$M34&amp;"_new",Ammortamento_Finanziario!$H:$L,5,FALSE),VLOOKUP($M34,TT_Tabelle_Riferimento!$D$127:$H$164,5,FALSE))</f>
        <v>12</v>
      </c>
      <c r="LT34" s="1762">
        <f>+IFERROR(VLOOKUP(LT$27&amp;"-"&amp;$M34&amp;"_new",Ammortamento_Finanziario!$H:$L,5,FALSE),VLOOKUP($M34,TT_Tabelle_Riferimento!$D$127:$H$164,5,FALSE))</f>
        <v>12</v>
      </c>
      <c r="LU34" s="1762">
        <f>+IFERROR(VLOOKUP(LU$27&amp;"-"&amp;$M34&amp;"_new",Ammortamento_Finanziario!$H:$L,5,FALSE),VLOOKUP($M34,TT_Tabelle_Riferimento!$D$127:$H$164,5,FALSE))</f>
        <v>12</v>
      </c>
      <c r="LV34" s="1762">
        <f>+IFERROR(VLOOKUP(LV$27&amp;"-"&amp;$M34&amp;"_new",Ammortamento_Finanziario!$H:$L,5,FALSE),VLOOKUP($M34,TT_Tabelle_Riferimento!$D$127:$H$164,5,FALSE))</f>
        <v>12</v>
      </c>
      <c r="LW34" s="1762">
        <f>+IFERROR(VLOOKUP(LW$27&amp;"-"&amp;$M34&amp;"_new",Ammortamento_Finanziario!$H:$L,5,FALSE),VLOOKUP($M34,TT_Tabelle_Riferimento!$D$127:$H$164,5,FALSE))</f>
        <v>12</v>
      </c>
      <c r="LX34" s="1762">
        <f>+IFERROR(VLOOKUP(LX$27&amp;"-"&amp;$M34&amp;"_new",Ammortamento_Finanziario!$H:$L,5,FALSE),VLOOKUP($M34,TT_Tabelle_Riferimento!$D$127:$H$164,5,FALSE))</f>
        <v>12</v>
      </c>
      <c r="LY34" s="904">
        <f>+IFERROR(VLOOKUP(LY$27&amp;"-"&amp;$M34&amp;"_new",Ammortamento_Finanziario!$H:$L,5,FALSE),VLOOKUP($M34,TT_Tabelle_Riferimento!$D$127:$H$164,5,FALSE))</f>
        <v>12</v>
      </c>
      <c r="LZ34" s="904">
        <f>+IFERROR(VLOOKUP(LZ$27&amp;"-"&amp;$M34&amp;"_new",Ammortamento_Finanziario!$H:$L,5,FALSE),VLOOKUP($M34,TT_Tabelle_Riferimento!$D$127:$H$164,5,FALSE))</f>
        <v>12</v>
      </c>
      <c r="MA34" s="904">
        <f>+IFERROR(VLOOKUP(MA$27&amp;"-"&amp;$M34&amp;"_new",Ammortamento_Finanziario!$H:$L,5,FALSE),VLOOKUP($M34,TT_Tabelle_Riferimento!$D$127:$H$164,5,FALSE))</f>
        <v>12</v>
      </c>
      <c r="MB34" s="904">
        <f>+IFERROR(VLOOKUP(MB$27&amp;"-"&amp;$M34&amp;"_new",Ammortamento_Finanziario!$H:$L,5,FALSE),VLOOKUP($M34,TT_Tabelle_Riferimento!$D$127:$H$164,5,FALSE))</f>
        <v>12</v>
      </c>
      <c r="MC34" s="904">
        <f>+IFERROR(VLOOKUP(MC$27&amp;"-"&amp;$M34&amp;"_new",Ammortamento_Finanziario!$H:$L,5,FALSE),VLOOKUP($M34,TT_Tabelle_Riferimento!$D$127:$H$164,5,FALSE))</f>
        <v>12</v>
      </c>
      <c r="MD34" s="904">
        <f>+IFERROR(VLOOKUP(MD$27&amp;"-"&amp;$M34&amp;"_new",Ammortamento_Finanziario!$H:$L,5,FALSE),VLOOKUP($M34,TT_Tabelle_Riferimento!$D$127:$H$164,5,FALSE))</f>
        <v>12</v>
      </c>
      <c r="ME34" s="904">
        <f>+IFERROR(VLOOKUP(ME$27&amp;"-"&amp;$M34&amp;"_new",Ammortamento_Finanziario!$H:$L,5,FALSE),VLOOKUP($M34,TT_Tabelle_Riferimento!$D$127:$H$164,5,FALSE))</f>
        <v>12</v>
      </c>
      <c r="MF34" s="904">
        <f>+IFERROR(VLOOKUP(MF$27&amp;"-"&amp;$M34&amp;"_new",Ammortamento_Finanziario!$H:$L,5,FALSE),VLOOKUP($M34,TT_Tabelle_Riferimento!$D$127:$H$164,5,FALSE))</f>
        <v>12</v>
      </c>
      <c r="MG34" s="904">
        <f>+IFERROR(VLOOKUP(MG$27&amp;"-"&amp;$M34&amp;"_new",Ammortamento_Finanziario!$H:$L,5,FALSE),VLOOKUP($M34,TT_Tabelle_Riferimento!$D$127:$H$164,5,FALSE))</f>
        <v>12</v>
      </c>
      <c r="MH34" s="904">
        <f>+IFERROR(VLOOKUP(MH$27&amp;"-"&amp;$M34&amp;"_new",Ammortamento_Finanziario!$H:$L,5,FALSE),VLOOKUP($M34,TT_Tabelle_Riferimento!$D$127:$H$164,5,FALSE))</f>
        <v>12</v>
      </c>
      <c r="MI34" s="904">
        <f>+IFERROR(VLOOKUP(MI$27&amp;"-"&amp;$M34&amp;"_new",Ammortamento_Finanziario!$H:$L,5,FALSE),VLOOKUP($M34,TT_Tabelle_Riferimento!$D$127:$H$164,5,FALSE))</f>
        <v>12</v>
      </c>
      <c r="MJ34" s="904">
        <f>+IFERROR(VLOOKUP(MJ$27&amp;"-"&amp;$M34&amp;"_new",Ammortamento_Finanziario!$H:$L,5,FALSE),VLOOKUP($M34,TT_Tabelle_Riferimento!$D$127:$H$164,5,FALSE))</f>
        <v>12</v>
      </c>
      <c r="MK34" s="904">
        <f>+IFERROR(VLOOKUP(MK$27&amp;"-"&amp;$M34&amp;"_new",Ammortamento_Finanziario!$H:$L,5,FALSE),VLOOKUP($M34,TT_Tabelle_Riferimento!$D$127:$H$164,5,FALSE))</f>
        <v>12</v>
      </c>
      <c r="ML34" s="904">
        <f>+IFERROR(VLOOKUP(ML$27&amp;"-"&amp;$M34&amp;"_new",Ammortamento_Finanziario!$H:$L,5,FALSE),VLOOKUP($M34,TT_Tabelle_Riferimento!$D$127:$H$164,5,FALSE))</f>
        <v>12</v>
      </c>
      <c r="MM34" s="904">
        <f>+IFERROR(VLOOKUP(MM$27&amp;"-"&amp;$M34&amp;"_new",Ammortamento_Finanziario!$H:$L,5,FALSE),VLOOKUP($M34,TT_Tabelle_Riferimento!$D$127:$H$164,5,FALSE))</f>
        <v>12</v>
      </c>
      <c r="MN34" s="904">
        <f>+IFERROR(VLOOKUP(MN$27&amp;"-"&amp;$M34&amp;"_new",Ammortamento_Finanziario!$H:$L,5,FALSE),VLOOKUP($M34,TT_Tabelle_Riferimento!$D$127:$H$164,5,FALSE))</f>
        <v>12</v>
      </c>
      <c r="MO34" s="904">
        <f>+IFERROR(VLOOKUP(MO$27&amp;"-"&amp;$M34&amp;"_new",Ammortamento_Finanziario!$H:$L,5,FALSE),VLOOKUP($M34,TT_Tabelle_Riferimento!$D$127:$H$164,5,FALSE))</f>
        <v>12</v>
      </c>
      <c r="MP34" s="904">
        <f>+IFERROR(VLOOKUP(MP$27&amp;"-"&amp;$M34&amp;"_new",Ammortamento_Finanziario!$H:$L,5,FALSE),VLOOKUP($M34,TT_Tabelle_Riferimento!$D$127:$H$164,5,FALSE))</f>
        <v>12</v>
      </c>
      <c r="MQ34" s="904">
        <f>+IFERROR(VLOOKUP(MQ$27&amp;"-"&amp;$M34&amp;"_new",Ammortamento_Finanziario!$H:$L,5,FALSE),VLOOKUP($M34,TT_Tabelle_Riferimento!$D$127:$H$164,5,FALSE))</f>
        <v>12</v>
      </c>
      <c r="MR34" s="1762">
        <f>+IFERROR(VLOOKUP(MR$27&amp;"-"&amp;$M34&amp;"_new",Ammortamento_Finanziario!$H:$L,5,FALSE),VLOOKUP($M34,TT_Tabelle_Riferimento!$D$127:$H$164,5,FALSE))</f>
        <v>12</v>
      </c>
      <c r="MS34" s="1762">
        <f>+IFERROR(VLOOKUP(MS$27&amp;"-"&amp;$M34&amp;"_new",Ammortamento_Finanziario!$H:$L,5,FALSE),VLOOKUP($M34,TT_Tabelle_Riferimento!$D$127:$H$164,5,FALSE))</f>
        <v>12</v>
      </c>
      <c r="MT34" s="1762">
        <f>+IFERROR(VLOOKUP(MT$27&amp;"-"&amp;$M34&amp;"_new",Ammortamento_Finanziario!$H:$L,5,FALSE),VLOOKUP($M34,TT_Tabelle_Riferimento!$D$127:$H$164,5,FALSE))</f>
        <v>12</v>
      </c>
      <c r="MU34" s="1762">
        <f>+IFERROR(VLOOKUP(MU$27&amp;"-"&amp;$M34&amp;"_new",Ammortamento_Finanziario!$H:$L,5,FALSE),VLOOKUP($M34,TT_Tabelle_Riferimento!$D$127:$H$164,5,FALSE))</f>
        <v>12</v>
      </c>
      <c r="MV34" s="1762">
        <f>+IFERROR(VLOOKUP(MV$27&amp;"-"&amp;$M34&amp;"_new",Ammortamento_Finanziario!$H:$L,5,FALSE),VLOOKUP($M34,TT_Tabelle_Riferimento!$D$127:$H$164,5,FALSE))</f>
        <v>12</v>
      </c>
      <c r="MW34" s="1762">
        <f>+IFERROR(VLOOKUP(MW$27&amp;"-"&amp;$M34&amp;"_new",Ammortamento_Finanziario!$H:$L,5,FALSE),VLOOKUP($M34,TT_Tabelle_Riferimento!$D$127:$H$164,5,FALSE))</f>
        <v>12</v>
      </c>
      <c r="MX34" s="904">
        <f>+IFERROR(VLOOKUP(MX$27&amp;"-"&amp;$M34&amp;"_new",Ammortamento_Finanziario!$H:$L,5,FALSE),VLOOKUP($M34,TT_Tabelle_Riferimento!$D$127:$H$164,5,FALSE))</f>
        <v>12</v>
      </c>
      <c r="MY34" s="904">
        <f>+IFERROR(VLOOKUP(MY$27&amp;"-"&amp;$M34&amp;"_new",Ammortamento_Finanziario!$H:$L,5,FALSE),VLOOKUP($M34,TT_Tabelle_Riferimento!$D$127:$H$164,5,FALSE))</f>
        <v>12</v>
      </c>
      <c r="MZ34" s="904">
        <f>+IFERROR(VLOOKUP(MZ$27&amp;"-"&amp;$M34&amp;"_new",Ammortamento_Finanziario!$H:$L,5,FALSE),VLOOKUP($M34,TT_Tabelle_Riferimento!$D$127:$H$164,5,FALSE))</f>
        <v>12</v>
      </c>
      <c r="NA34" s="904">
        <f>+IFERROR(VLOOKUP(NA$27&amp;"-"&amp;$M34&amp;"_new",Ammortamento_Finanziario!$H:$L,5,FALSE),VLOOKUP($M34,TT_Tabelle_Riferimento!$D$127:$H$164,5,FALSE))</f>
        <v>12</v>
      </c>
      <c r="NB34" s="904">
        <f>+IFERROR(VLOOKUP(NB$27&amp;"-"&amp;$M34&amp;"_new",Ammortamento_Finanziario!$H:$L,5,FALSE),VLOOKUP($M34,TT_Tabelle_Riferimento!$D$127:$H$164,5,FALSE))</f>
        <v>12</v>
      </c>
      <c r="NC34" s="904">
        <f>+IFERROR(VLOOKUP(NC$27&amp;"-"&amp;$M34&amp;"_new",Ammortamento_Finanziario!$H:$L,5,FALSE),VLOOKUP($M34,TT_Tabelle_Riferimento!$D$127:$H$164,5,FALSE))</f>
        <v>12</v>
      </c>
      <c r="ND34" s="904">
        <f>+IFERROR(VLOOKUP(ND$27&amp;"-"&amp;$M34&amp;"_new",Ammortamento_Finanziario!$H:$L,5,FALSE),VLOOKUP($M34,TT_Tabelle_Riferimento!$D$127:$H$164,5,FALSE))</f>
        <v>12</v>
      </c>
      <c r="NE34" s="904">
        <f>+IFERROR(VLOOKUP(NE$27&amp;"-"&amp;$M34&amp;"_new",Ammortamento_Finanziario!$H:$L,5,FALSE),VLOOKUP($M34,TT_Tabelle_Riferimento!$D$127:$H$164,5,FALSE))</f>
        <v>12</v>
      </c>
      <c r="NF34" s="904">
        <f>+IFERROR(VLOOKUP(NF$27&amp;"-"&amp;$M34&amp;"_new",Ammortamento_Finanziario!$H:$L,5,FALSE),VLOOKUP($M34,TT_Tabelle_Riferimento!$D$127:$H$164,5,FALSE))</f>
        <v>12</v>
      </c>
      <c r="NG34" s="904">
        <f>+IFERROR(VLOOKUP(NG$27&amp;"-"&amp;$M34&amp;"_new",Ammortamento_Finanziario!$H:$L,5,FALSE),VLOOKUP($M34,TT_Tabelle_Riferimento!$D$127:$H$164,5,FALSE))</f>
        <v>12</v>
      </c>
      <c r="NH34" s="904">
        <f>+IFERROR(VLOOKUP(NH$27&amp;"-"&amp;$M34&amp;"_new",Ammortamento_Finanziario!$H:$L,5,FALSE),VLOOKUP($M34,TT_Tabelle_Riferimento!$D$127:$H$164,5,FALSE))</f>
        <v>12</v>
      </c>
      <c r="NI34" s="904">
        <f>+IFERROR(VLOOKUP(NI$27&amp;"-"&amp;$M34&amp;"_new",Ammortamento_Finanziario!$H:$L,5,FALSE),VLOOKUP($M34,TT_Tabelle_Riferimento!$D$127:$H$164,5,FALSE))</f>
        <v>12</v>
      </c>
      <c r="NJ34" s="904">
        <f>+IFERROR(VLOOKUP(NJ$27&amp;"-"&amp;$M34&amp;"_new",Ammortamento_Finanziario!$H:$L,5,FALSE),VLOOKUP($M34,TT_Tabelle_Riferimento!$D$127:$H$164,5,FALSE))</f>
        <v>12</v>
      </c>
      <c r="NK34" s="904">
        <f>+IFERROR(VLOOKUP(NK$27&amp;"-"&amp;$M34&amp;"_new",Ammortamento_Finanziario!$H:$L,5,FALSE),VLOOKUP($M34,TT_Tabelle_Riferimento!$D$127:$H$164,5,FALSE))</f>
        <v>12</v>
      </c>
      <c r="NL34" s="904">
        <f>+IFERROR(VLOOKUP(NL$27&amp;"-"&amp;$M34&amp;"_new",Ammortamento_Finanziario!$H:$L,5,FALSE),VLOOKUP($M34,TT_Tabelle_Riferimento!$D$127:$H$164,5,FALSE))</f>
        <v>12</v>
      </c>
      <c r="NM34" s="904">
        <f>+IFERROR(VLOOKUP(NM$27&amp;"-"&amp;$M34&amp;"_new",Ammortamento_Finanziario!$H:$L,5,FALSE),VLOOKUP($M34,TT_Tabelle_Riferimento!$D$127:$H$164,5,FALSE))</f>
        <v>12</v>
      </c>
      <c r="NN34" s="904">
        <f>+IFERROR(VLOOKUP(NN$27&amp;"-"&amp;$M34&amp;"_new",Ammortamento_Finanziario!$H:$L,5,FALSE),VLOOKUP($M34,TT_Tabelle_Riferimento!$D$127:$H$164,5,FALSE))</f>
        <v>12</v>
      </c>
      <c r="NO34" s="904">
        <f>+IFERROR(VLOOKUP(NO$27&amp;"-"&amp;$M34&amp;"_new",Ammortamento_Finanziario!$H:$L,5,FALSE),VLOOKUP($M34,TT_Tabelle_Riferimento!$D$127:$H$164,5,FALSE))</f>
        <v>12</v>
      </c>
      <c r="NP34" s="904">
        <f>+IFERROR(VLOOKUP(NP$27&amp;"-"&amp;$M34&amp;"_new",Ammortamento_Finanziario!$H:$L,5,FALSE),VLOOKUP($M34,TT_Tabelle_Riferimento!$D$127:$H$164,5,FALSE))</f>
        <v>12</v>
      </c>
      <c r="NQ34" s="1762">
        <f>+IFERROR(VLOOKUP(NQ$27&amp;"-"&amp;$M34&amp;"_new",Ammortamento_Finanziario!$H:$L,5,FALSE),VLOOKUP($M34,TT_Tabelle_Riferimento!$D$127:$H$164,5,FALSE))</f>
        <v>12</v>
      </c>
      <c r="NR34" s="1762">
        <f>+IFERROR(VLOOKUP(NR$27&amp;"-"&amp;$M34&amp;"_new",Ammortamento_Finanziario!$H:$L,5,FALSE),VLOOKUP($M34,TT_Tabelle_Riferimento!$D$127:$H$164,5,FALSE))</f>
        <v>12</v>
      </c>
      <c r="NS34" s="1762">
        <f>+IFERROR(VLOOKUP(NS$27&amp;"-"&amp;$M34&amp;"_new",Ammortamento_Finanziario!$H:$L,5,FALSE),VLOOKUP($M34,TT_Tabelle_Riferimento!$D$127:$H$164,5,FALSE))</f>
        <v>12</v>
      </c>
      <c r="NT34" s="1762">
        <f>+IFERROR(VLOOKUP(NT$27&amp;"-"&amp;$M34&amp;"_new",Ammortamento_Finanziario!$H:$L,5,FALSE),VLOOKUP($M34,TT_Tabelle_Riferimento!$D$127:$H$164,5,FALSE))</f>
        <v>12</v>
      </c>
      <c r="NU34" s="1762">
        <f>+IFERROR(VLOOKUP(NU$27&amp;"-"&amp;$M34&amp;"_new",Ammortamento_Finanziario!$H:$L,5,FALSE),VLOOKUP($M34,TT_Tabelle_Riferimento!$D$127:$H$164,5,FALSE))</f>
        <v>12</v>
      </c>
      <c r="NV34" s="904">
        <f>+IFERROR(VLOOKUP(NV$27&amp;"-"&amp;$M34&amp;"_new",Ammortamento_Finanziario!$H:$L,5,FALSE),VLOOKUP($M34,TT_Tabelle_Riferimento!$D$127:$H$164,5,FALSE))</f>
        <v>12</v>
      </c>
      <c r="NW34" s="904">
        <f>+IFERROR(VLOOKUP(NW$27&amp;"-"&amp;$M34&amp;"_new",Ammortamento_Finanziario!$H:$L,5,FALSE),VLOOKUP($M34,TT_Tabelle_Riferimento!$D$127:$H$164,5,FALSE))</f>
        <v>12</v>
      </c>
      <c r="NX34" s="904">
        <f>+IFERROR(VLOOKUP(NX$27&amp;"-"&amp;$M34&amp;"_new",Ammortamento_Finanziario!$H:$L,5,FALSE),VLOOKUP($M34,TT_Tabelle_Riferimento!$D$127:$H$164,5,FALSE))</f>
        <v>12</v>
      </c>
      <c r="NY34" s="904">
        <f>+IFERROR(VLOOKUP(NY$27&amp;"-"&amp;$M34&amp;"_new",Ammortamento_Finanziario!$H:$L,5,FALSE),VLOOKUP($M34,TT_Tabelle_Riferimento!$D$127:$H$164,5,FALSE))</f>
        <v>12</v>
      </c>
      <c r="NZ34" s="904">
        <f>+IFERROR(VLOOKUP(NZ$27&amp;"-"&amp;$M34&amp;"_new",Ammortamento_Finanziario!$H:$L,5,FALSE),VLOOKUP($M34,TT_Tabelle_Riferimento!$D$127:$H$164,5,FALSE))</f>
        <v>12</v>
      </c>
      <c r="OA34" s="904">
        <f>+IFERROR(VLOOKUP(OA$27&amp;"-"&amp;$M34&amp;"_new",Ammortamento_Finanziario!$H:$L,5,FALSE),VLOOKUP($M34,TT_Tabelle_Riferimento!$D$127:$H$164,5,FALSE))</f>
        <v>12</v>
      </c>
      <c r="OB34" s="904">
        <f>+IFERROR(VLOOKUP(OB$27&amp;"-"&amp;$M34&amp;"_new",Ammortamento_Finanziario!$H:$L,5,FALSE),VLOOKUP($M34,TT_Tabelle_Riferimento!$D$127:$H$164,5,FALSE))</f>
        <v>12</v>
      </c>
      <c r="OC34" s="904">
        <f>+IFERROR(VLOOKUP(OC$27&amp;"-"&amp;$M34&amp;"_new",Ammortamento_Finanziario!$H:$L,5,FALSE),VLOOKUP($M34,TT_Tabelle_Riferimento!$D$127:$H$164,5,FALSE))</f>
        <v>12</v>
      </c>
      <c r="OD34" s="904">
        <f>+IFERROR(VLOOKUP(OD$27&amp;"-"&amp;$M34&amp;"_new",Ammortamento_Finanziario!$H:$L,5,FALSE),VLOOKUP($M34,TT_Tabelle_Riferimento!$D$127:$H$164,5,FALSE))</f>
        <v>12</v>
      </c>
      <c r="OE34" s="904">
        <f>+IFERROR(VLOOKUP(OE$27&amp;"-"&amp;$M34&amp;"_new",Ammortamento_Finanziario!$H:$L,5,FALSE),VLOOKUP($M34,TT_Tabelle_Riferimento!$D$127:$H$164,5,FALSE))</f>
        <v>12</v>
      </c>
      <c r="OF34" s="904">
        <f>+IFERROR(VLOOKUP(OF$27&amp;"-"&amp;$M34&amp;"_new",Ammortamento_Finanziario!$H:$L,5,FALSE),VLOOKUP($M34,TT_Tabelle_Riferimento!$D$127:$H$164,5,FALSE))</f>
        <v>12</v>
      </c>
      <c r="OG34" s="904">
        <f>+IFERROR(VLOOKUP(OG$27&amp;"-"&amp;$M34&amp;"_new",Ammortamento_Finanziario!$H:$L,5,FALSE),VLOOKUP($M34,TT_Tabelle_Riferimento!$D$127:$H$164,5,FALSE))</f>
        <v>12</v>
      </c>
      <c r="OH34" s="904">
        <f>+IFERROR(VLOOKUP(OH$27&amp;"-"&amp;$M34&amp;"_new",Ammortamento_Finanziario!$H:$L,5,FALSE),VLOOKUP($M34,TT_Tabelle_Riferimento!$D$127:$H$164,5,FALSE))</f>
        <v>12</v>
      </c>
      <c r="OI34" s="904">
        <f>+IFERROR(VLOOKUP(OI$27&amp;"-"&amp;$M34&amp;"_new",Ammortamento_Finanziario!$H:$L,5,FALSE),VLOOKUP($M34,TT_Tabelle_Riferimento!$D$127:$H$164,5,FALSE))</f>
        <v>12</v>
      </c>
      <c r="OJ34" s="904">
        <f>+IFERROR(VLOOKUP(OJ$27&amp;"-"&amp;$M34&amp;"_new",Ammortamento_Finanziario!$H:$L,5,FALSE),VLOOKUP($M34,TT_Tabelle_Riferimento!$D$127:$H$164,5,FALSE))</f>
        <v>12</v>
      </c>
      <c r="OK34" s="904">
        <f>+IFERROR(VLOOKUP(OK$27&amp;"-"&amp;$M34&amp;"_new",Ammortamento_Finanziario!$H:$L,5,FALSE),VLOOKUP($M34,TT_Tabelle_Riferimento!$D$127:$H$164,5,FALSE))</f>
        <v>12</v>
      </c>
      <c r="OL34" s="904">
        <f>+IFERROR(VLOOKUP(OL$27&amp;"-"&amp;$M34&amp;"_new",Ammortamento_Finanziario!$H:$L,5,FALSE),VLOOKUP($M34,TT_Tabelle_Riferimento!$D$127:$H$164,5,FALSE))</f>
        <v>12</v>
      </c>
      <c r="OM34" s="904">
        <f>+IFERROR(VLOOKUP(OM$27&amp;"-"&amp;$M34&amp;"_new",Ammortamento_Finanziario!$H:$L,5,FALSE),VLOOKUP($M34,TT_Tabelle_Riferimento!$D$127:$H$164,5,FALSE))</f>
        <v>12</v>
      </c>
      <c r="ON34" s="904">
        <f>+IFERROR(VLOOKUP(ON$27&amp;"-"&amp;$M34&amp;"_new",Ammortamento_Finanziario!$H:$L,5,FALSE),VLOOKUP($M34,TT_Tabelle_Riferimento!$D$127:$H$164,5,FALSE))</f>
        <v>12</v>
      </c>
      <c r="OO34" s="1762">
        <f>+IFERROR(VLOOKUP(OO$27&amp;"-"&amp;$M34&amp;"_new",Ammortamento_Finanziario!$H:$L,5,FALSE),VLOOKUP($M34,TT_Tabelle_Riferimento!$D$127:$H$164,5,FALSE))</f>
        <v>12</v>
      </c>
      <c r="OP34" s="1762">
        <f>+IFERROR(VLOOKUP(OP$27&amp;"-"&amp;$M34&amp;"_new",Ammortamento_Finanziario!$H:$L,5,FALSE),VLOOKUP($M34,TT_Tabelle_Riferimento!$D$127:$H$164,5,FALSE))</f>
        <v>12</v>
      </c>
      <c r="OQ34" s="1762">
        <f>+IFERROR(VLOOKUP(OQ$27&amp;"-"&amp;$M34&amp;"_new",Ammortamento_Finanziario!$H:$L,5,FALSE),VLOOKUP($M34,TT_Tabelle_Riferimento!$D$127:$H$164,5,FALSE))</f>
        <v>12</v>
      </c>
      <c r="OR34" s="1762">
        <f>+IFERROR(VLOOKUP(OR$27&amp;"-"&amp;$M34&amp;"_new",Ammortamento_Finanziario!$H:$L,5,FALSE),VLOOKUP($M34,TT_Tabelle_Riferimento!$D$127:$H$164,5,FALSE))</f>
        <v>12</v>
      </c>
      <c r="OS34" s="904">
        <f>+IFERROR(VLOOKUP(OS$27&amp;"-"&amp;$M34&amp;"_new",Ammortamento_Finanziario!$H:$L,5,FALSE),VLOOKUP($M34,TT_Tabelle_Riferimento!$D$127:$H$164,5,FALSE))</f>
        <v>12</v>
      </c>
      <c r="OT34" s="904">
        <f>+IFERROR(VLOOKUP(OT$27&amp;"-"&amp;$M34&amp;"_new",Ammortamento_Finanziario!$H:$L,5,FALSE),VLOOKUP($M34,TT_Tabelle_Riferimento!$D$127:$H$164,5,FALSE))</f>
        <v>12</v>
      </c>
      <c r="OU34" s="904">
        <f>+IFERROR(VLOOKUP(OU$27&amp;"-"&amp;$M34&amp;"_new",Ammortamento_Finanziario!$H:$L,5,FALSE),VLOOKUP($M34,TT_Tabelle_Riferimento!$D$127:$H$164,5,FALSE))</f>
        <v>12</v>
      </c>
      <c r="OV34" s="904">
        <f>+IFERROR(VLOOKUP(OV$27&amp;"-"&amp;$M34&amp;"_new",Ammortamento_Finanziario!$H:$L,5,FALSE),VLOOKUP($M34,TT_Tabelle_Riferimento!$D$127:$H$164,5,FALSE))</f>
        <v>12</v>
      </c>
      <c r="OW34" s="904">
        <f>+IFERROR(VLOOKUP(OW$27&amp;"-"&amp;$M34&amp;"_new",Ammortamento_Finanziario!$H:$L,5,FALSE),VLOOKUP($M34,TT_Tabelle_Riferimento!$D$127:$H$164,5,FALSE))</f>
        <v>12</v>
      </c>
      <c r="OX34" s="904">
        <f>+IFERROR(VLOOKUP(OX$27&amp;"-"&amp;$M34&amp;"_new",Ammortamento_Finanziario!$H:$L,5,FALSE),VLOOKUP($M34,TT_Tabelle_Riferimento!$D$127:$H$164,5,FALSE))</f>
        <v>12</v>
      </c>
      <c r="OY34" s="904">
        <f>+IFERROR(VLOOKUP(OY$27&amp;"-"&amp;$M34&amp;"_new",Ammortamento_Finanziario!$H:$L,5,FALSE),VLOOKUP($M34,TT_Tabelle_Riferimento!$D$127:$H$164,5,FALSE))</f>
        <v>12</v>
      </c>
      <c r="OZ34" s="904">
        <f>+IFERROR(VLOOKUP(OZ$27&amp;"-"&amp;$M34&amp;"_new",Ammortamento_Finanziario!$H:$L,5,FALSE),VLOOKUP($M34,TT_Tabelle_Riferimento!$D$127:$H$164,5,FALSE))</f>
        <v>12</v>
      </c>
      <c r="PA34" s="904">
        <f>+IFERROR(VLOOKUP(PA$27&amp;"-"&amp;$M34&amp;"_new",Ammortamento_Finanziario!$H:$L,5,FALSE),VLOOKUP($M34,TT_Tabelle_Riferimento!$D$127:$H$164,5,FALSE))</f>
        <v>12</v>
      </c>
      <c r="PB34" s="904">
        <f>+IFERROR(VLOOKUP(PB$27&amp;"-"&amp;$M34&amp;"_new",Ammortamento_Finanziario!$H:$L,5,FALSE),VLOOKUP($M34,TT_Tabelle_Riferimento!$D$127:$H$164,5,FALSE))</f>
        <v>12</v>
      </c>
      <c r="PC34" s="904">
        <f>+IFERROR(VLOOKUP(PC$27&amp;"-"&amp;$M34&amp;"_new",Ammortamento_Finanziario!$H:$L,5,FALSE),VLOOKUP($M34,TT_Tabelle_Riferimento!$D$127:$H$164,5,FALSE))</f>
        <v>12</v>
      </c>
      <c r="PD34" s="904">
        <f>+IFERROR(VLOOKUP(PD$27&amp;"-"&amp;$M34&amp;"_new",Ammortamento_Finanziario!$H:$L,5,FALSE),VLOOKUP($M34,TT_Tabelle_Riferimento!$D$127:$H$164,5,FALSE))</f>
        <v>12</v>
      </c>
      <c r="PE34" s="904">
        <f>+IFERROR(VLOOKUP(PE$27&amp;"-"&amp;$M34&amp;"_new",Ammortamento_Finanziario!$H:$L,5,FALSE),VLOOKUP($M34,TT_Tabelle_Riferimento!$D$127:$H$164,5,FALSE))</f>
        <v>12</v>
      </c>
      <c r="PF34" s="904">
        <f>+IFERROR(VLOOKUP(PF$27&amp;"-"&amp;$M34&amp;"_new",Ammortamento_Finanziario!$H:$L,5,FALSE),VLOOKUP($M34,TT_Tabelle_Riferimento!$D$127:$H$164,5,FALSE))</f>
        <v>12</v>
      </c>
      <c r="PG34" s="904">
        <f>+IFERROR(VLOOKUP(PG$27&amp;"-"&amp;$M34&amp;"_new",Ammortamento_Finanziario!$H:$L,5,FALSE),VLOOKUP($M34,TT_Tabelle_Riferimento!$D$127:$H$164,5,FALSE))</f>
        <v>12</v>
      </c>
      <c r="PH34" s="904">
        <f>+IFERROR(VLOOKUP(PH$27&amp;"-"&amp;$M34&amp;"_new",Ammortamento_Finanziario!$H:$L,5,FALSE),VLOOKUP($M34,TT_Tabelle_Riferimento!$D$127:$H$164,5,FALSE))</f>
        <v>12</v>
      </c>
      <c r="PI34" s="904">
        <f>+IFERROR(VLOOKUP(PI$27&amp;"-"&amp;$M34&amp;"_new",Ammortamento_Finanziario!$H:$L,5,FALSE),VLOOKUP($M34,TT_Tabelle_Riferimento!$D$127:$H$164,5,FALSE))</f>
        <v>12</v>
      </c>
      <c r="PJ34" s="904">
        <f>+IFERROR(VLOOKUP(PJ$27&amp;"-"&amp;$M34&amp;"_new",Ammortamento_Finanziario!$H:$L,5,FALSE),VLOOKUP($M34,TT_Tabelle_Riferimento!$D$127:$H$164,5,FALSE))</f>
        <v>12</v>
      </c>
      <c r="PK34" s="904">
        <f>+IFERROR(VLOOKUP(PK$27&amp;"-"&amp;$M34&amp;"_new",Ammortamento_Finanziario!$H:$L,5,FALSE),VLOOKUP($M34,TT_Tabelle_Riferimento!$D$127:$H$164,5,FALSE))</f>
        <v>12</v>
      </c>
      <c r="PL34" s="1762">
        <f>+IFERROR(VLOOKUP(PL$27&amp;"-"&amp;$M34&amp;"_new",Ammortamento_Finanziario!$H:$L,5,FALSE),VLOOKUP($M34,TT_Tabelle_Riferimento!$D$127:$H$164,5,FALSE))</f>
        <v>12</v>
      </c>
      <c r="PM34" s="1762">
        <f>+IFERROR(VLOOKUP(PM$27&amp;"-"&amp;$M34&amp;"_new",Ammortamento_Finanziario!$H:$L,5,FALSE),VLOOKUP($M34,TT_Tabelle_Riferimento!$D$127:$H$164,5,FALSE))</f>
        <v>12</v>
      </c>
      <c r="PN34" s="1762">
        <f>+IFERROR(VLOOKUP(PN$27&amp;"-"&amp;$M34&amp;"_new",Ammortamento_Finanziario!$H:$L,5,FALSE),VLOOKUP($M34,TT_Tabelle_Riferimento!$D$127:$H$164,5,FALSE))</f>
        <v>12</v>
      </c>
      <c r="PO34" s="904">
        <f>+IFERROR(VLOOKUP(PO$27&amp;"-"&amp;$M34&amp;"_new",Ammortamento_Finanziario!$H:$L,5,FALSE),VLOOKUP($M34,TT_Tabelle_Riferimento!$D$127:$H$164,5,FALSE))</f>
        <v>12</v>
      </c>
      <c r="PP34" s="904">
        <f>+IFERROR(VLOOKUP(PP$27&amp;"-"&amp;$M34&amp;"_new",Ammortamento_Finanziario!$H:$L,5,FALSE),VLOOKUP($M34,TT_Tabelle_Riferimento!$D$127:$H$164,5,FALSE))</f>
        <v>12</v>
      </c>
      <c r="PQ34" s="904">
        <f>+IFERROR(VLOOKUP(PQ$27&amp;"-"&amp;$M34&amp;"_new",Ammortamento_Finanziario!$H:$L,5,FALSE),VLOOKUP($M34,TT_Tabelle_Riferimento!$D$127:$H$164,5,FALSE))</f>
        <v>12</v>
      </c>
      <c r="PR34" s="904">
        <f>+IFERROR(VLOOKUP(PR$27&amp;"-"&amp;$M34&amp;"_new",Ammortamento_Finanziario!$H:$L,5,FALSE),VLOOKUP($M34,TT_Tabelle_Riferimento!$D$127:$H$164,5,FALSE))</f>
        <v>12</v>
      </c>
      <c r="PS34" s="904">
        <f>+IFERROR(VLOOKUP(PS$27&amp;"-"&amp;$M34&amp;"_new",Ammortamento_Finanziario!$H:$L,5,FALSE),VLOOKUP($M34,TT_Tabelle_Riferimento!$D$127:$H$164,5,FALSE))</f>
        <v>12</v>
      </c>
      <c r="PT34" s="904">
        <f>+IFERROR(VLOOKUP(PT$27&amp;"-"&amp;$M34&amp;"_new",Ammortamento_Finanziario!$H:$L,5,FALSE),VLOOKUP($M34,TT_Tabelle_Riferimento!$D$127:$H$164,5,FALSE))</f>
        <v>12</v>
      </c>
      <c r="PU34" s="904">
        <f>+IFERROR(VLOOKUP(PU$27&amp;"-"&amp;$M34&amp;"_new",Ammortamento_Finanziario!$H:$L,5,FALSE),VLOOKUP($M34,TT_Tabelle_Riferimento!$D$127:$H$164,5,FALSE))</f>
        <v>12</v>
      </c>
      <c r="PV34" s="904">
        <f>+IFERROR(VLOOKUP(PV$27&amp;"-"&amp;$M34&amp;"_new",Ammortamento_Finanziario!$H:$L,5,FALSE),VLOOKUP($M34,TT_Tabelle_Riferimento!$D$127:$H$164,5,FALSE))</f>
        <v>12</v>
      </c>
      <c r="PW34" s="904">
        <f>+IFERROR(VLOOKUP(PW$27&amp;"-"&amp;$M34&amp;"_new",Ammortamento_Finanziario!$H:$L,5,FALSE),VLOOKUP($M34,TT_Tabelle_Riferimento!$D$127:$H$164,5,FALSE))</f>
        <v>12</v>
      </c>
      <c r="PX34" s="904">
        <f>+IFERROR(VLOOKUP(PX$27&amp;"-"&amp;$M34&amp;"_new",Ammortamento_Finanziario!$H:$L,5,FALSE),VLOOKUP($M34,TT_Tabelle_Riferimento!$D$127:$H$164,5,FALSE))</f>
        <v>12</v>
      </c>
      <c r="PY34" s="904">
        <f>+IFERROR(VLOOKUP(PY$27&amp;"-"&amp;$M34&amp;"_new",Ammortamento_Finanziario!$H:$L,5,FALSE),VLOOKUP($M34,TT_Tabelle_Riferimento!$D$127:$H$164,5,FALSE))</f>
        <v>12</v>
      </c>
      <c r="PZ34" s="904">
        <f>+IFERROR(VLOOKUP(PZ$27&amp;"-"&amp;$M34&amp;"_new",Ammortamento_Finanziario!$H:$L,5,FALSE),VLOOKUP($M34,TT_Tabelle_Riferimento!$D$127:$H$164,5,FALSE))</f>
        <v>12</v>
      </c>
      <c r="QA34" s="904">
        <f>+IFERROR(VLOOKUP(QA$27&amp;"-"&amp;$M34&amp;"_new",Ammortamento_Finanziario!$H:$L,5,FALSE),VLOOKUP($M34,TT_Tabelle_Riferimento!$D$127:$H$164,5,FALSE))</f>
        <v>12</v>
      </c>
      <c r="QB34" s="904">
        <f>+IFERROR(VLOOKUP(QB$27&amp;"-"&amp;$M34&amp;"_new",Ammortamento_Finanziario!$H:$L,5,FALSE),VLOOKUP($M34,TT_Tabelle_Riferimento!$D$127:$H$164,5,FALSE))</f>
        <v>12</v>
      </c>
      <c r="QC34" s="904">
        <f>+IFERROR(VLOOKUP(QC$27&amp;"-"&amp;$M34&amp;"_new",Ammortamento_Finanziario!$H:$L,5,FALSE),VLOOKUP($M34,TT_Tabelle_Riferimento!$D$127:$H$164,5,FALSE))</f>
        <v>12</v>
      </c>
      <c r="QD34" s="904">
        <f>+IFERROR(VLOOKUP(QD$27&amp;"-"&amp;$M34&amp;"_new",Ammortamento_Finanziario!$H:$L,5,FALSE),VLOOKUP($M34,TT_Tabelle_Riferimento!$D$127:$H$164,5,FALSE))</f>
        <v>12</v>
      </c>
      <c r="QE34" s="904">
        <f>+IFERROR(VLOOKUP(QE$27&amp;"-"&amp;$M34&amp;"_new",Ammortamento_Finanziario!$H:$L,5,FALSE),VLOOKUP($M34,TT_Tabelle_Riferimento!$D$127:$H$164,5,FALSE))</f>
        <v>12</v>
      </c>
      <c r="QF34" s="904">
        <f>+IFERROR(VLOOKUP(QF$27&amp;"-"&amp;$M34&amp;"_new",Ammortamento_Finanziario!$H:$L,5,FALSE),VLOOKUP($M34,TT_Tabelle_Riferimento!$D$127:$H$164,5,FALSE))</f>
        <v>12</v>
      </c>
      <c r="QG34" s="904">
        <f>+IFERROR(VLOOKUP(QG$27&amp;"-"&amp;$M34&amp;"_new",Ammortamento_Finanziario!$H:$L,5,FALSE),VLOOKUP($M34,TT_Tabelle_Riferimento!$D$127:$H$164,5,FALSE))</f>
        <v>12</v>
      </c>
      <c r="QH34" s="1762">
        <f>+IFERROR(VLOOKUP(QH$27&amp;"-"&amp;$M34&amp;"_new",Ammortamento_Finanziario!$H:$L,5,FALSE),VLOOKUP($M34,TT_Tabelle_Riferimento!$D$127:$H$164,5,FALSE))</f>
        <v>12</v>
      </c>
      <c r="QI34" s="1762">
        <f>+IFERROR(VLOOKUP(QI$27&amp;"-"&amp;$M34&amp;"_new",Ammortamento_Finanziario!$H:$L,5,FALSE),VLOOKUP($M34,TT_Tabelle_Riferimento!$D$127:$H$164,5,FALSE))</f>
        <v>12</v>
      </c>
      <c r="QJ34" s="904">
        <f>+IFERROR(VLOOKUP(QJ$27&amp;"-"&amp;$M34&amp;"_new",Ammortamento_Finanziario!$H:$L,5,FALSE),VLOOKUP($M34,TT_Tabelle_Riferimento!$D$127:$H$164,5,FALSE))</f>
        <v>12</v>
      </c>
      <c r="QK34" s="904">
        <f>+IFERROR(VLOOKUP(QK$27&amp;"-"&amp;$M34&amp;"_new",Ammortamento_Finanziario!$H:$L,5,FALSE),VLOOKUP($M34,TT_Tabelle_Riferimento!$D$127:$H$164,5,FALSE))</f>
        <v>12</v>
      </c>
      <c r="QL34" s="904">
        <f>+IFERROR(VLOOKUP(QL$27&amp;"-"&amp;$M34&amp;"_new",Ammortamento_Finanziario!$H:$L,5,FALSE),VLOOKUP($M34,TT_Tabelle_Riferimento!$D$127:$H$164,5,FALSE))</f>
        <v>12</v>
      </c>
      <c r="QM34" s="904">
        <f>+IFERROR(VLOOKUP(QM$27&amp;"-"&amp;$M34&amp;"_new",Ammortamento_Finanziario!$H:$L,5,FALSE),VLOOKUP($M34,TT_Tabelle_Riferimento!$D$127:$H$164,5,FALSE))</f>
        <v>12</v>
      </c>
      <c r="QN34" s="904">
        <f>+IFERROR(VLOOKUP(QN$27&amp;"-"&amp;$M34&amp;"_new",Ammortamento_Finanziario!$H:$L,5,FALSE),VLOOKUP($M34,TT_Tabelle_Riferimento!$D$127:$H$164,5,FALSE))</f>
        <v>12</v>
      </c>
      <c r="QO34" s="904">
        <f>+IFERROR(VLOOKUP(QO$27&amp;"-"&amp;$M34&amp;"_new",Ammortamento_Finanziario!$H:$L,5,FALSE),VLOOKUP($M34,TT_Tabelle_Riferimento!$D$127:$H$164,5,FALSE))</f>
        <v>12</v>
      </c>
      <c r="QP34" s="904">
        <f>+IFERROR(VLOOKUP(QP$27&amp;"-"&amp;$M34&amp;"_new",Ammortamento_Finanziario!$H:$L,5,FALSE),VLOOKUP($M34,TT_Tabelle_Riferimento!$D$127:$H$164,5,FALSE))</f>
        <v>12</v>
      </c>
      <c r="QQ34" s="904">
        <f>+IFERROR(VLOOKUP(QQ$27&amp;"-"&amp;$M34&amp;"_new",Ammortamento_Finanziario!$H:$L,5,FALSE),VLOOKUP($M34,TT_Tabelle_Riferimento!$D$127:$H$164,5,FALSE))</f>
        <v>12</v>
      </c>
      <c r="QR34" s="904">
        <f>+IFERROR(VLOOKUP(QR$27&amp;"-"&amp;$M34&amp;"_new",Ammortamento_Finanziario!$H:$L,5,FALSE),VLOOKUP($M34,TT_Tabelle_Riferimento!$D$127:$H$164,5,FALSE))</f>
        <v>12</v>
      </c>
      <c r="QS34" s="904">
        <f>+IFERROR(VLOOKUP(QS$27&amp;"-"&amp;$M34&amp;"_new",Ammortamento_Finanziario!$H:$L,5,FALSE),VLOOKUP($M34,TT_Tabelle_Riferimento!$D$127:$H$164,5,FALSE))</f>
        <v>12</v>
      </c>
      <c r="QT34" s="904">
        <f>+IFERROR(VLOOKUP(QT$27&amp;"-"&amp;$M34&amp;"_new",Ammortamento_Finanziario!$H:$L,5,FALSE),VLOOKUP($M34,TT_Tabelle_Riferimento!$D$127:$H$164,5,FALSE))</f>
        <v>12</v>
      </c>
      <c r="QU34" s="904">
        <f>+IFERROR(VLOOKUP(QU$27&amp;"-"&amp;$M34&amp;"_new",Ammortamento_Finanziario!$H:$L,5,FALSE),VLOOKUP($M34,TT_Tabelle_Riferimento!$D$127:$H$164,5,FALSE))</f>
        <v>12</v>
      </c>
      <c r="QV34" s="904">
        <f>+IFERROR(VLOOKUP(QV$27&amp;"-"&amp;$M34&amp;"_new",Ammortamento_Finanziario!$H:$L,5,FALSE),VLOOKUP($M34,TT_Tabelle_Riferimento!$D$127:$H$164,5,FALSE))</f>
        <v>12</v>
      </c>
      <c r="QW34" s="904">
        <f>+IFERROR(VLOOKUP(QW$27&amp;"-"&amp;$M34&amp;"_new",Ammortamento_Finanziario!$H:$L,5,FALSE),VLOOKUP($M34,TT_Tabelle_Riferimento!$D$127:$H$164,5,FALSE))</f>
        <v>12</v>
      </c>
      <c r="QX34" s="904">
        <f>+IFERROR(VLOOKUP(QX$27&amp;"-"&amp;$M34&amp;"_new",Ammortamento_Finanziario!$H:$L,5,FALSE),VLOOKUP($M34,TT_Tabelle_Riferimento!$D$127:$H$164,5,FALSE))</f>
        <v>12</v>
      </c>
      <c r="QY34" s="904">
        <f>+IFERROR(VLOOKUP(QY$27&amp;"-"&amp;$M34&amp;"_new",Ammortamento_Finanziario!$H:$L,5,FALSE),VLOOKUP($M34,TT_Tabelle_Riferimento!$D$127:$H$164,5,FALSE))</f>
        <v>12</v>
      </c>
      <c r="QZ34" s="904">
        <f>+IFERROR(VLOOKUP(QZ$27&amp;"-"&amp;$M34&amp;"_new",Ammortamento_Finanziario!$H:$L,5,FALSE),VLOOKUP($M34,TT_Tabelle_Riferimento!$D$127:$H$164,5,FALSE))</f>
        <v>12</v>
      </c>
      <c r="RA34" s="904">
        <f>+IFERROR(VLOOKUP(RA$27&amp;"-"&amp;$M34&amp;"_new",Ammortamento_Finanziario!$H:$L,5,FALSE),VLOOKUP($M34,TT_Tabelle_Riferimento!$D$127:$H$164,5,FALSE))</f>
        <v>12</v>
      </c>
      <c r="RB34" s="904">
        <f>+IFERROR(VLOOKUP(RB$27&amp;"-"&amp;$M34&amp;"_new",Ammortamento_Finanziario!$H:$L,5,FALSE),VLOOKUP($M34,TT_Tabelle_Riferimento!$D$127:$H$164,5,FALSE))</f>
        <v>12</v>
      </c>
      <c r="RC34" s="1762">
        <f>+IFERROR(VLOOKUP(RC$27&amp;"-"&amp;$M34&amp;"_new",Ammortamento_Finanziario!$H:$L,5,FALSE),VLOOKUP($M34,TT_Tabelle_Riferimento!$D$127:$H$164,5,FALSE))</f>
        <v>12</v>
      </c>
      <c r="RD34" s="904">
        <f>+IFERROR(VLOOKUP(RD$27&amp;"-"&amp;$M34&amp;"_new",Ammortamento_Finanziario!$H:$L,5,FALSE),VLOOKUP($M34,TT_Tabelle_Riferimento!$D$127:$H$164,5,FALSE))</f>
        <v>12</v>
      </c>
      <c r="RE34" s="904">
        <f>+IFERROR(VLOOKUP(RE$27&amp;"-"&amp;$M34&amp;"_new",Ammortamento_Finanziario!$H:$L,5,FALSE),VLOOKUP($M34,TT_Tabelle_Riferimento!$D$127:$H$164,5,FALSE))</f>
        <v>12</v>
      </c>
      <c r="RF34" s="904">
        <f>+IFERROR(VLOOKUP(RF$27&amp;"-"&amp;$M34&amp;"_new",Ammortamento_Finanziario!$H:$L,5,FALSE),VLOOKUP($M34,TT_Tabelle_Riferimento!$D$127:$H$164,5,FALSE))</f>
        <v>12</v>
      </c>
      <c r="RG34" s="904">
        <f>+IFERROR(VLOOKUP(RG$27&amp;"-"&amp;$M34&amp;"_new",Ammortamento_Finanziario!$H:$L,5,FALSE),VLOOKUP($M34,TT_Tabelle_Riferimento!$D$127:$H$164,5,FALSE))</f>
        <v>12</v>
      </c>
      <c r="RH34" s="904">
        <f>+IFERROR(VLOOKUP(RH$27&amp;"-"&amp;$M34&amp;"_new",Ammortamento_Finanziario!$H:$L,5,FALSE),VLOOKUP($M34,TT_Tabelle_Riferimento!$D$127:$H$164,5,FALSE))</f>
        <v>12</v>
      </c>
      <c r="RI34" s="904">
        <f>+IFERROR(VLOOKUP(RI$27&amp;"-"&amp;$M34&amp;"_new",Ammortamento_Finanziario!$H:$L,5,FALSE),VLOOKUP($M34,TT_Tabelle_Riferimento!$D$127:$H$164,5,FALSE))</f>
        <v>12</v>
      </c>
      <c r="RJ34" s="904">
        <f>+IFERROR(VLOOKUP(RJ$27&amp;"-"&amp;$M34&amp;"_new",Ammortamento_Finanziario!$H:$L,5,FALSE),VLOOKUP($M34,TT_Tabelle_Riferimento!$D$127:$H$164,5,FALSE))</f>
        <v>12</v>
      </c>
      <c r="RK34" s="904">
        <f>+IFERROR(VLOOKUP(RK$27&amp;"-"&amp;$M34&amp;"_new",Ammortamento_Finanziario!$H:$L,5,FALSE),VLOOKUP($M34,TT_Tabelle_Riferimento!$D$127:$H$164,5,FALSE))</f>
        <v>12</v>
      </c>
      <c r="RL34" s="904">
        <f>+IFERROR(VLOOKUP(RL$27&amp;"-"&amp;$M34&amp;"_new",Ammortamento_Finanziario!$H:$L,5,FALSE),VLOOKUP($M34,TT_Tabelle_Riferimento!$D$127:$H$164,5,FALSE))</f>
        <v>12</v>
      </c>
      <c r="RM34" s="904">
        <f>+IFERROR(VLOOKUP(RM$27&amp;"-"&amp;$M34&amp;"_new",Ammortamento_Finanziario!$H:$L,5,FALSE),VLOOKUP($M34,TT_Tabelle_Riferimento!$D$127:$H$164,5,FALSE))</f>
        <v>12</v>
      </c>
      <c r="RN34" s="904">
        <f>+IFERROR(VLOOKUP(RN$27&amp;"-"&amp;$M34&amp;"_new",Ammortamento_Finanziario!$H:$L,5,FALSE),VLOOKUP($M34,TT_Tabelle_Riferimento!$D$127:$H$164,5,FALSE))</f>
        <v>12</v>
      </c>
      <c r="RO34" s="904">
        <f>+IFERROR(VLOOKUP(RO$27&amp;"-"&amp;$M34&amp;"_new",Ammortamento_Finanziario!$H:$L,5,FALSE),VLOOKUP($M34,TT_Tabelle_Riferimento!$D$127:$H$164,5,FALSE))</f>
        <v>12</v>
      </c>
      <c r="RP34" s="904">
        <f>+IFERROR(VLOOKUP(RP$27&amp;"-"&amp;$M34&amp;"_new",Ammortamento_Finanziario!$H:$L,5,FALSE),VLOOKUP($M34,TT_Tabelle_Riferimento!$D$127:$H$164,5,FALSE))</f>
        <v>12</v>
      </c>
      <c r="RQ34" s="904">
        <f>+IFERROR(VLOOKUP(RQ$27&amp;"-"&amp;$M34&amp;"_new",Ammortamento_Finanziario!$H:$L,5,FALSE),VLOOKUP($M34,TT_Tabelle_Riferimento!$D$127:$H$164,5,FALSE))</f>
        <v>12</v>
      </c>
      <c r="RR34" s="904">
        <f>+IFERROR(VLOOKUP(RR$27&amp;"-"&amp;$M34&amp;"_new",Ammortamento_Finanziario!$H:$L,5,FALSE),VLOOKUP($M34,TT_Tabelle_Riferimento!$D$127:$H$164,5,FALSE))</f>
        <v>12</v>
      </c>
      <c r="RS34" s="904">
        <f>+IFERROR(VLOOKUP(RS$27&amp;"-"&amp;$M34&amp;"_new",Ammortamento_Finanziario!$H:$L,5,FALSE),VLOOKUP($M34,TT_Tabelle_Riferimento!$D$127:$H$164,5,FALSE))</f>
        <v>12</v>
      </c>
      <c r="RT34" s="904">
        <f>+IFERROR(VLOOKUP(RT$27&amp;"-"&amp;$M34&amp;"_new",Ammortamento_Finanziario!$H:$L,5,FALSE),VLOOKUP($M34,TT_Tabelle_Riferimento!$D$127:$H$164,5,FALSE))</f>
        <v>12</v>
      </c>
      <c r="RU34" s="904">
        <f>+IFERROR(VLOOKUP(RU$27&amp;"-"&amp;$M34&amp;"_new",Ammortamento_Finanziario!$H:$L,5,FALSE),VLOOKUP($M34,TT_Tabelle_Riferimento!$D$127:$H$164,5,FALSE))</f>
        <v>12</v>
      </c>
      <c r="RV34" s="904">
        <f>+IFERROR(VLOOKUP(RV$27&amp;"-"&amp;$M34&amp;"_new",Ammortamento_Finanziario!$H:$L,5,FALSE),VLOOKUP($M34,TT_Tabelle_Riferimento!$D$127:$H$164,5,FALSE))</f>
        <v>12</v>
      </c>
    </row>
    <row r="35" spans="4:490">
      <c r="D35" s="135" t="s">
        <v>22734</v>
      </c>
      <c r="E35" s="1264">
        <f>+SUMIF(IMN_gestore!$E:$E,2022,IMN_gestore!$V:$V)</f>
        <v>0</v>
      </c>
      <c r="F35" s="1264">
        <f>SUMIF(IMN_gestore!$E:$E,2023,IMN_gestore!$AG:$AG)</f>
        <v>0</v>
      </c>
      <c r="G35" s="1264">
        <f>+SUMIF(IMN_gestore!$E:$E,2024,IMN_gestore!$AR:$AR)</f>
        <v>0</v>
      </c>
      <c r="H35" s="1264">
        <f>SUMIF(IMN_gestore!$E:$E,2025,IMN_gestore!$BC:$BC)</f>
        <v>0</v>
      </c>
      <c r="I35" s="1264">
        <f>SUMIF(IMN_gestore!$E:$E,2026,IMN_gestore!$BN:$BN)</f>
        <v>0</v>
      </c>
      <c r="J35" s="1264">
        <f>SUMIF(IMN_gestore!$E:$E,2027,IMN_gestore!$BY:$BY)</f>
        <v>0</v>
      </c>
      <c r="K35" s="136"/>
      <c r="M35" s="1756">
        <v>8</v>
      </c>
      <c r="N35" s="1759">
        <v>0</v>
      </c>
      <c r="O35" s="1759">
        <v>0</v>
      </c>
      <c r="P35" s="1759">
        <v>0</v>
      </c>
      <c r="Q35" s="1759">
        <v>0</v>
      </c>
      <c r="R35" s="1759">
        <v>0</v>
      </c>
      <c r="S35" s="1759">
        <v>0</v>
      </c>
      <c r="T35" s="1759">
        <v>0</v>
      </c>
      <c r="U35" s="1759">
        <v>0</v>
      </c>
      <c r="V35" s="1759">
        <v>0</v>
      </c>
      <c r="W35" s="1759">
        <v>0</v>
      </c>
      <c r="X35" s="1759">
        <v>0</v>
      </c>
      <c r="Y35" s="1759">
        <v>0</v>
      </c>
      <c r="Z35" s="1759">
        <v>0</v>
      </c>
      <c r="AA35" s="1759">
        <v>0</v>
      </c>
      <c r="AB35" s="1759">
        <v>0</v>
      </c>
      <c r="AC35" s="1759">
        <v>0</v>
      </c>
      <c r="AD35" s="1759">
        <v>0</v>
      </c>
      <c r="AE35" s="1759">
        <v>0</v>
      </c>
      <c r="AF35" s="1759">
        <v>0</v>
      </c>
      <c r="AG35" s="1759">
        <v>0</v>
      </c>
      <c r="AH35" s="1759">
        <v>0</v>
      </c>
      <c r="AI35" s="1759">
        <v>0</v>
      </c>
      <c r="AJ35" s="1759">
        <v>0</v>
      </c>
      <c r="AK35" s="1759">
        <v>0</v>
      </c>
      <c r="AL35" s="1759">
        <v>0</v>
      </c>
      <c r="AM35" s="1759">
        <v>0</v>
      </c>
      <c r="AN35" s="1759">
        <v>0</v>
      </c>
      <c r="AO35" s="1759">
        <v>0</v>
      </c>
      <c r="AP35" s="1759">
        <v>0</v>
      </c>
      <c r="AQ35" s="1759">
        <v>0</v>
      </c>
      <c r="AR35" s="1759">
        <v>0</v>
      </c>
      <c r="AS35" s="1759">
        <v>0</v>
      </c>
      <c r="AT35" s="1759">
        <v>0</v>
      </c>
      <c r="AU35" s="1759">
        <v>0</v>
      </c>
      <c r="AV35" s="1759">
        <v>0</v>
      </c>
      <c r="AW35" s="1759">
        <v>0</v>
      </c>
      <c r="AX35" s="1759">
        <v>0</v>
      </c>
      <c r="AY35" s="1759">
        <v>0</v>
      </c>
      <c r="AZ35" s="1759">
        <v>0</v>
      </c>
      <c r="BA35" s="1759">
        <v>0</v>
      </c>
      <c r="BB35" s="1759">
        <v>0</v>
      </c>
      <c r="BC35" s="1759">
        <v>0</v>
      </c>
      <c r="BD35" s="1759">
        <v>0</v>
      </c>
      <c r="BE35" s="1759">
        <v>0</v>
      </c>
      <c r="BF35" s="1759">
        <v>0</v>
      </c>
      <c r="BG35" s="1759">
        <v>0</v>
      </c>
      <c r="BH35" s="1759">
        <v>0</v>
      </c>
      <c r="BI35" s="1759">
        <v>0</v>
      </c>
      <c r="BJ35" s="1759">
        <v>0</v>
      </c>
      <c r="BK35" s="1759">
        <v>0</v>
      </c>
      <c r="BL35" s="1759">
        <v>0</v>
      </c>
      <c r="BM35" s="1759">
        <v>0</v>
      </c>
      <c r="BN35" s="1759">
        <v>0</v>
      </c>
      <c r="BO35" s="1759">
        <v>0</v>
      </c>
      <c r="BP35" s="1759">
        <v>0</v>
      </c>
      <c r="BQ35" s="1759">
        <v>0</v>
      </c>
      <c r="BR35" s="1759">
        <v>0</v>
      </c>
      <c r="BS35" s="1759">
        <v>0</v>
      </c>
      <c r="BT35" s="1759">
        <v>0</v>
      </c>
      <c r="BU35" s="1759">
        <v>0</v>
      </c>
      <c r="BV35" s="1759">
        <v>0</v>
      </c>
      <c r="BW35" s="1759">
        <v>0</v>
      </c>
      <c r="BX35" s="1759">
        <v>0</v>
      </c>
      <c r="BY35" s="1759">
        <v>0</v>
      </c>
      <c r="BZ35" s="1759">
        <v>0</v>
      </c>
      <c r="CA35" s="1759">
        <v>0</v>
      </c>
      <c r="CB35" s="1759">
        <v>0</v>
      </c>
      <c r="CC35" s="1759">
        <v>0</v>
      </c>
      <c r="CD35" s="1759">
        <v>0</v>
      </c>
      <c r="CE35" s="1759">
        <v>0</v>
      </c>
      <c r="CF35" s="1759">
        <v>0</v>
      </c>
      <c r="CG35" s="1759">
        <v>0</v>
      </c>
      <c r="CH35" s="1759">
        <v>0</v>
      </c>
      <c r="CI35" s="1759">
        <v>0</v>
      </c>
      <c r="CJ35" s="1759">
        <v>0</v>
      </c>
      <c r="CK35" s="1759">
        <v>0</v>
      </c>
      <c r="CL35" s="1759">
        <v>0</v>
      </c>
      <c r="CM35" s="1759">
        <v>0</v>
      </c>
      <c r="CN35" s="1759">
        <v>0</v>
      </c>
      <c r="CO35" s="1759">
        <v>0</v>
      </c>
      <c r="CP35" s="1759">
        <v>0</v>
      </c>
      <c r="CQ35" s="1759">
        <v>0</v>
      </c>
      <c r="CR35" s="1759">
        <v>0</v>
      </c>
      <c r="CS35" s="1759">
        <v>0</v>
      </c>
      <c r="CT35" s="1759">
        <v>0</v>
      </c>
      <c r="CU35" s="1759">
        <v>0</v>
      </c>
      <c r="CV35" s="1759">
        <v>0</v>
      </c>
      <c r="CW35" s="1759">
        <v>0</v>
      </c>
      <c r="CX35" s="1759">
        <v>0</v>
      </c>
      <c r="CY35" s="1759">
        <v>0</v>
      </c>
      <c r="CZ35" s="1759">
        <v>0</v>
      </c>
      <c r="DA35" s="1759">
        <v>0</v>
      </c>
      <c r="DB35" s="1759">
        <v>0</v>
      </c>
      <c r="DC35" s="1759">
        <v>0</v>
      </c>
      <c r="DD35" s="1759">
        <v>0</v>
      </c>
      <c r="DE35" s="1759">
        <v>0</v>
      </c>
      <c r="DF35" s="1759">
        <v>0</v>
      </c>
      <c r="DG35" s="1759">
        <v>0</v>
      </c>
      <c r="DH35" s="1759">
        <v>0</v>
      </c>
      <c r="DI35" s="1759">
        <v>0</v>
      </c>
      <c r="DJ35" s="1759">
        <v>0</v>
      </c>
      <c r="DK35" s="1759">
        <v>0</v>
      </c>
      <c r="DL35" s="1759">
        <v>0</v>
      </c>
      <c r="DM35" s="1759">
        <v>0</v>
      </c>
      <c r="DN35" s="1759">
        <v>0</v>
      </c>
      <c r="DO35" s="1759">
        <v>0</v>
      </c>
      <c r="DP35" s="1759">
        <v>0</v>
      </c>
      <c r="DQ35" s="1759">
        <v>0</v>
      </c>
      <c r="DR35" s="1759">
        <v>0</v>
      </c>
      <c r="DS35" s="1759">
        <v>0</v>
      </c>
      <c r="DT35" s="1759">
        <v>0</v>
      </c>
      <c r="DU35" s="1759">
        <v>0</v>
      </c>
      <c r="DV35" s="1759">
        <v>0</v>
      </c>
      <c r="DW35" s="1759">
        <v>0</v>
      </c>
      <c r="DX35" s="1759">
        <v>0</v>
      </c>
      <c r="DY35" s="1759">
        <v>0</v>
      </c>
      <c r="DZ35" s="1759">
        <v>0</v>
      </c>
      <c r="EA35" s="1759">
        <v>0</v>
      </c>
      <c r="EB35" s="1759">
        <v>0</v>
      </c>
      <c r="EC35" s="1759">
        <v>0</v>
      </c>
      <c r="ED35" s="1759">
        <v>0</v>
      </c>
      <c r="EE35" s="1759">
        <v>0</v>
      </c>
      <c r="EF35" s="1759">
        <v>0</v>
      </c>
      <c r="EG35" s="1759">
        <v>0</v>
      </c>
      <c r="EH35" s="1759">
        <v>0</v>
      </c>
      <c r="EI35" s="1759">
        <v>0</v>
      </c>
      <c r="EJ35" s="1759">
        <v>0</v>
      </c>
      <c r="EK35" s="1759">
        <v>0</v>
      </c>
      <c r="EL35" s="1759">
        <v>0</v>
      </c>
      <c r="EM35" s="1759">
        <v>0</v>
      </c>
      <c r="EN35" s="1759">
        <v>0</v>
      </c>
      <c r="EO35" s="1759">
        <v>0</v>
      </c>
      <c r="EP35" s="1759">
        <v>0</v>
      </c>
      <c r="EQ35" s="1759">
        <v>0</v>
      </c>
      <c r="ER35" s="1759">
        <v>0</v>
      </c>
      <c r="ES35" s="1759">
        <v>0</v>
      </c>
      <c r="ET35" s="1759">
        <v>0</v>
      </c>
      <c r="EU35" s="1759">
        <v>0</v>
      </c>
      <c r="EV35" s="1759">
        <v>0</v>
      </c>
      <c r="EW35" s="1759">
        <v>0</v>
      </c>
      <c r="EX35" s="1759">
        <v>0</v>
      </c>
      <c r="EY35" s="1759">
        <v>0</v>
      </c>
      <c r="EZ35" s="1759">
        <v>0</v>
      </c>
      <c r="FA35" s="1759">
        <v>0</v>
      </c>
      <c r="FB35" s="1759">
        <v>0</v>
      </c>
      <c r="FC35" s="1759">
        <v>0</v>
      </c>
      <c r="FD35" s="1759">
        <v>0</v>
      </c>
      <c r="FE35" s="1759">
        <v>0</v>
      </c>
      <c r="FF35" s="1759">
        <v>0</v>
      </c>
      <c r="FG35" s="1759">
        <v>0</v>
      </c>
      <c r="FH35" s="1759">
        <v>0</v>
      </c>
      <c r="FI35" s="1759">
        <v>0</v>
      </c>
      <c r="FJ35" s="1759">
        <v>0</v>
      </c>
      <c r="FK35" s="1759">
        <v>0</v>
      </c>
      <c r="FL35" s="1759">
        <v>0</v>
      </c>
      <c r="FM35" s="1759">
        <v>0</v>
      </c>
      <c r="FN35" s="1759">
        <v>0</v>
      </c>
      <c r="FO35" s="1759">
        <v>0</v>
      </c>
      <c r="FP35" s="1759">
        <v>0</v>
      </c>
      <c r="FQ35" s="1759">
        <v>0</v>
      </c>
      <c r="FR35" s="1759">
        <v>0</v>
      </c>
      <c r="FS35" s="1759">
        <v>0</v>
      </c>
      <c r="FT35" s="1759">
        <v>0</v>
      </c>
      <c r="FU35" s="1759">
        <v>0</v>
      </c>
      <c r="FV35" s="1759">
        <v>0</v>
      </c>
      <c r="FW35" s="1759">
        <v>0</v>
      </c>
      <c r="FX35" s="1759">
        <v>0</v>
      </c>
      <c r="FY35" s="1759">
        <v>0</v>
      </c>
      <c r="FZ35" s="1759">
        <v>0</v>
      </c>
      <c r="GA35" s="1759">
        <v>0</v>
      </c>
      <c r="GB35" s="1759">
        <v>0</v>
      </c>
      <c r="GC35" s="1759">
        <v>0</v>
      </c>
      <c r="GD35" s="1759">
        <v>0</v>
      </c>
      <c r="GE35" s="1759">
        <v>0</v>
      </c>
      <c r="GF35" s="1759">
        <v>0</v>
      </c>
      <c r="GG35" s="1759">
        <v>0</v>
      </c>
      <c r="GH35" s="1759">
        <v>0</v>
      </c>
      <c r="GI35" s="1759">
        <v>0</v>
      </c>
      <c r="GJ35" s="1759">
        <v>0</v>
      </c>
      <c r="GK35" s="1759">
        <v>0</v>
      </c>
      <c r="GL35" s="1759">
        <v>0</v>
      </c>
      <c r="GM35" s="1759">
        <v>0</v>
      </c>
      <c r="GN35" s="1759">
        <v>0</v>
      </c>
      <c r="GO35" s="1759">
        <v>0</v>
      </c>
      <c r="GP35" s="1759">
        <v>0</v>
      </c>
      <c r="GQ35" s="1759">
        <v>0</v>
      </c>
      <c r="GR35" s="1759">
        <v>0</v>
      </c>
      <c r="GS35" s="1759">
        <v>0</v>
      </c>
      <c r="GT35" s="1759">
        <v>0</v>
      </c>
      <c r="GU35" s="1759">
        <v>0</v>
      </c>
      <c r="GV35" s="1759">
        <v>0</v>
      </c>
      <c r="GW35" s="1759">
        <v>0</v>
      </c>
      <c r="GX35" s="1759">
        <v>0</v>
      </c>
      <c r="GY35" s="1759">
        <v>0</v>
      </c>
      <c r="GZ35" s="1759">
        <v>0</v>
      </c>
      <c r="HA35" s="1759">
        <v>0</v>
      </c>
      <c r="HB35" s="1759">
        <v>0</v>
      </c>
      <c r="HC35" s="1759">
        <v>0</v>
      </c>
      <c r="HD35" s="1759">
        <v>0</v>
      </c>
      <c r="HE35" s="1759">
        <v>0</v>
      </c>
      <c r="HF35" s="1759">
        <v>0</v>
      </c>
      <c r="HG35" s="1759">
        <v>0</v>
      </c>
      <c r="HH35" s="1759">
        <v>0</v>
      </c>
      <c r="HI35" s="1759">
        <v>0</v>
      </c>
      <c r="HJ35" s="1759">
        <v>0</v>
      </c>
      <c r="HK35" s="1759">
        <v>0</v>
      </c>
      <c r="HL35" s="1759">
        <v>0</v>
      </c>
      <c r="HM35" s="1759">
        <v>0</v>
      </c>
      <c r="HN35" s="1759">
        <v>0</v>
      </c>
      <c r="HO35" s="1759">
        <v>0</v>
      </c>
      <c r="HP35" s="1759">
        <v>0</v>
      </c>
      <c r="HQ35" s="1759">
        <v>0</v>
      </c>
      <c r="HR35" s="1759">
        <v>0</v>
      </c>
      <c r="HS35" s="1759">
        <v>0</v>
      </c>
      <c r="HT35" s="1759">
        <v>0</v>
      </c>
      <c r="HU35" s="1759">
        <v>0</v>
      </c>
      <c r="HV35" s="1759">
        <v>0</v>
      </c>
      <c r="HW35" s="1759">
        <v>0</v>
      </c>
      <c r="HX35" s="1759">
        <v>0</v>
      </c>
      <c r="HY35" s="1759">
        <v>0</v>
      </c>
      <c r="HZ35" s="1759">
        <v>0</v>
      </c>
      <c r="IA35" s="1759">
        <v>0</v>
      </c>
      <c r="IB35" s="1759">
        <v>0</v>
      </c>
      <c r="IC35" s="1759">
        <v>0</v>
      </c>
      <c r="ID35" s="1759">
        <v>0</v>
      </c>
      <c r="IE35" s="1759">
        <v>0</v>
      </c>
      <c r="IF35" s="1759">
        <v>0</v>
      </c>
      <c r="IG35" s="1759">
        <v>0</v>
      </c>
      <c r="IH35" s="1759">
        <v>0</v>
      </c>
      <c r="II35" s="1759">
        <v>0</v>
      </c>
      <c r="IJ35" s="1759">
        <v>0</v>
      </c>
      <c r="IK35" s="1759">
        <v>0</v>
      </c>
      <c r="IL35" s="1759">
        <v>0</v>
      </c>
      <c r="IM35" s="1759">
        <v>0</v>
      </c>
      <c r="IN35" s="1759">
        <v>0</v>
      </c>
      <c r="IO35" s="1759">
        <v>0</v>
      </c>
      <c r="IP35" s="1759">
        <v>0</v>
      </c>
      <c r="IQ35" s="1759">
        <v>0</v>
      </c>
      <c r="IR35" s="1759">
        <v>0</v>
      </c>
      <c r="IS35" s="1759">
        <v>0</v>
      </c>
      <c r="IT35" s="1759">
        <v>0</v>
      </c>
      <c r="IU35" s="1759">
        <v>0</v>
      </c>
      <c r="IV35" s="1759">
        <v>0</v>
      </c>
      <c r="IW35" s="1759">
        <v>0</v>
      </c>
      <c r="IX35" s="1759">
        <v>0</v>
      </c>
      <c r="IY35" s="1759">
        <v>0</v>
      </c>
      <c r="IZ35" s="1759">
        <v>0</v>
      </c>
      <c r="JA35" s="1759">
        <v>0</v>
      </c>
      <c r="JB35" s="1759">
        <v>0</v>
      </c>
      <c r="JC35" s="1759">
        <v>0</v>
      </c>
      <c r="JD35" s="1759">
        <v>0</v>
      </c>
      <c r="JE35" s="1759">
        <v>0</v>
      </c>
      <c r="JF35" s="1759">
        <v>0</v>
      </c>
      <c r="JG35" s="1759">
        <v>0</v>
      </c>
      <c r="JH35" s="1759">
        <v>0</v>
      </c>
      <c r="JI35" s="1759">
        <v>0</v>
      </c>
      <c r="JJ35" s="1759">
        <v>0</v>
      </c>
      <c r="JK35" s="1759">
        <v>0</v>
      </c>
      <c r="JL35" s="1759">
        <v>0</v>
      </c>
      <c r="JM35" s="1759">
        <v>0</v>
      </c>
      <c r="JN35" s="1759">
        <v>0</v>
      </c>
      <c r="JO35" s="1759">
        <v>0</v>
      </c>
      <c r="JP35" s="1759">
        <v>0</v>
      </c>
      <c r="JQ35" s="1759">
        <v>0</v>
      </c>
      <c r="JR35" s="1759">
        <v>0</v>
      </c>
      <c r="JS35" s="1759">
        <v>0</v>
      </c>
      <c r="JT35" s="1759">
        <v>0</v>
      </c>
      <c r="JU35" s="1759">
        <v>0</v>
      </c>
      <c r="JV35" s="1759">
        <v>0</v>
      </c>
      <c r="JW35" s="1759">
        <v>0</v>
      </c>
      <c r="JX35" s="1759">
        <v>0</v>
      </c>
      <c r="JY35" s="1759">
        <v>0</v>
      </c>
      <c r="JZ35" s="1759">
        <v>0</v>
      </c>
      <c r="KA35" s="1759">
        <v>0</v>
      </c>
      <c r="KB35" s="1759">
        <v>0</v>
      </c>
      <c r="KC35" s="1759">
        <v>0</v>
      </c>
      <c r="KD35" s="1759">
        <v>0</v>
      </c>
      <c r="KE35" s="1759">
        <v>0</v>
      </c>
      <c r="KF35" s="1759">
        <v>0</v>
      </c>
      <c r="KG35" s="1759">
        <v>0</v>
      </c>
      <c r="KH35" s="1759">
        <v>0</v>
      </c>
      <c r="KI35" s="1759">
        <v>0</v>
      </c>
      <c r="KJ35" s="1759">
        <v>0</v>
      </c>
      <c r="KK35" s="1759">
        <v>0</v>
      </c>
      <c r="KL35" s="1759">
        <v>0</v>
      </c>
      <c r="KM35" s="1759">
        <v>0</v>
      </c>
      <c r="KN35" s="1759">
        <v>0</v>
      </c>
      <c r="KO35" s="1759">
        <v>0</v>
      </c>
      <c r="KP35" s="1759">
        <v>0</v>
      </c>
      <c r="KQ35" s="904">
        <f>+IFERROR(VLOOKUP(KQ$27&amp;"-"&amp;$M35&amp;"_new",Ammortamento_Finanziario!$H:$L,5,FALSE),VLOOKUP($M35,TT_Tabelle_Riferimento!$D$127:$H$164,5,FALSE))</f>
        <v>10</v>
      </c>
      <c r="KR35" s="904">
        <f>+IFERROR(VLOOKUP(KR$27&amp;"-"&amp;$M35&amp;"_new",Ammortamento_Finanziario!$H:$L,5,FALSE),VLOOKUP($M35,TT_Tabelle_Riferimento!$D$127:$H$164,5,FALSE))</f>
        <v>10</v>
      </c>
      <c r="KS35" s="1762">
        <f>+IFERROR(VLOOKUP(KS$27&amp;"-"&amp;$M35&amp;"_new",Ammortamento_Finanziario!$H:$L,5,FALSE),VLOOKUP($M35,TT_Tabelle_Riferimento!$D$127:$H$164,5,FALSE))</f>
        <v>10</v>
      </c>
      <c r="KT35" s="1762">
        <f>+IFERROR(VLOOKUP(KT$27&amp;"-"&amp;$M35&amp;"_new",Ammortamento_Finanziario!$H:$L,5,FALSE),VLOOKUP($M35,TT_Tabelle_Riferimento!$D$127:$H$164,5,FALSE))</f>
        <v>10</v>
      </c>
      <c r="KU35" s="1762">
        <f>+IFERROR(VLOOKUP(KU$27&amp;"-"&amp;$M35&amp;"_new",Ammortamento_Finanziario!$H:$L,5,FALSE),VLOOKUP($M35,TT_Tabelle_Riferimento!$D$127:$H$164,5,FALSE))</f>
        <v>10</v>
      </c>
      <c r="KV35" s="1762">
        <f>+IFERROR(VLOOKUP(KV$27&amp;"-"&amp;$M35&amp;"_new",Ammortamento_Finanziario!$H:$L,5,FALSE),VLOOKUP($M35,TT_Tabelle_Riferimento!$D$127:$H$164,5,FALSE))</f>
        <v>10</v>
      </c>
      <c r="KW35" s="1762">
        <f>+IFERROR(VLOOKUP(KW$27&amp;"-"&amp;$M35&amp;"_new",Ammortamento_Finanziario!$H:$L,5,FALSE),VLOOKUP($M35,TT_Tabelle_Riferimento!$D$127:$H$164,5,FALSE))</f>
        <v>10</v>
      </c>
      <c r="KX35" s="1762">
        <f>+IFERROR(VLOOKUP(KX$27&amp;"-"&amp;$M35&amp;"_new",Ammortamento_Finanziario!$H:$L,5,FALSE),VLOOKUP($M35,TT_Tabelle_Riferimento!$D$127:$H$164,5,FALSE))</f>
        <v>10</v>
      </c>
      <c r="KY35" s="904">
        <f>+IFERROR(VLOOKUP(KY$27&amp;"-"&amp;$M35&amp;"_new",Ammortamento_Finanziario!$H:$L,5,FALSE),VLOOKUP($M35,TT_Tabelle_Riferimento!$D$127:$H$164,5,FALSE))</f>
        <v>10</v>
      </c>
      <c r="KZ35" s="904">
        <f>+IFERROR(VLOOKUP(KZ$27&amp;"-"&amp;$M35&amp;"_new",Ammortamento_Finanziario!$H:$L,5,FALSE),VLOOKUP($M35,TT_Tabelle_Riferimento!$D$127:$H$164,5,FALSE))</f>
        <v>10</v>
      </c>
      <c r="LA35" s="904">
        <f>+IFERROR(VLOOKUP(LA$27&amp;"-"&amp;$M35&amp;"_new",Ammortamento_Finanziario!$H:$L,5,FALSE),VLOOKUP($M35,TT_Tabelle_Riferimento!$D$127:$H$164,5,FALSE))</f>
        <v>10</v>
      </c>
      <c r="LB35" s="904">
        <f>+IFERROR(VLOOKUP(LB$27&amp;"-"&amp;$M35&amp;"_new",Ammortamento_Finanziario!$H:$L,5,FALSE),VLOOKUP($M35,TT_Tabelle_Riferimento!$D$127:$H$164,5,FALSE))</f>
        <v>10</v>
      </c>
      <c r="LC35" s="904">
        <f>+IFERROR(VLOOKUP(LC$27&amp;"-"&amp;$M35&amp;"_new",Ammortamento_Finanziario!$H:$L,5,FALSE),VLOOKUP($M35,TT_Tabelle_Riferimento!$D$127:$H$164,5,FALSE))</f>
        <v>10</v>
      </c>
      <c r="LD35" s="904">
        <f>+IFERROR(VLOOKUP(LD$27&amp;"-"&amp;$M35&amp;"_new",Ammortamento_Finanziario!$H:$L,5,FALSE),VLOOKUP($M35,TT_Tabelle_Riferimento!$D$127:$H$164,5,FALSE))</f>
        <v>10</v>
      </c>
      <c r="LE35" s="904">
        <f>+IFERROR(VLOOKUP(LE$27&amp;"-"&amp;$M35&amp;"_new",Ammortamento_Finanziario!$H:$L,5,FALSE),VLOOKUP($M35,TT_Tabelle_Riferimento!$D$127:$H$164,5,FALSE))</f>
        <v>10</v>
      </c>
      <c r="LF35" s="904">
        <f>+IFERROR(VLOOKUP(LF$27&amp;"-"&amp;$M35&amp;"_new",Ammortamento_Finanziario!$H:$L,5,FALSE),VLOOKUP($M35,TT_Tabelle_Riferimento!$D$127:$H$164,5,FALSE))</f>
        <v>10</v>
      </c>
      <c r="LG35" s="904">
        <f>+IFERROR(VLOOKUP(LG$27&amp;"-"&amp;$M35&amp;"_new",Ammortamento_Finanziario!$H:$L,5,FALSE),VLOOKUP($M35,TT_Tabelle_Riferimento!$D$127:$H$164,5,FALSE))</f>
        <v>10</v>
      </c>
      <c r="LH35" s="904">
        <f>+IFERROR(VLOOKUP(LH$27&amp;"-"&amp;$M35&amp;"_new",Ammortamento_Finanziario!$H:$L,5,FALSE),VLOOKUP($M35,TT_Tabelle_Riferimento!$D$127:$H$164,5,FALSE))</f>
        <v>10</v>
      </c>
      <c r="LI35" s="904">
        <f>+IFERROR(VLOOKUP(LI$27&amp;"-"&amp;$M35&amp;"_new",Ammortamento_Finanziario!$H:$L,5,FALSE),VLOOKUP($M35,TT_Tabelle_Riferimento!$D$127:$H$164,5,FALSE))</f>
        <v>10</v>
      </c>
      <c r="LJ35" s="904">
        <f>+IFERROR(VLOOKUP(LJ$27&amp;"-"&amp;$M35&amp;"_new",Ammortamento_Finanziario!$H:$L,5,FALSE),VLOOKUP($M35,TT_Tabelle_Riferimento!$D$127:$H$164,5,FALSE))</f>
        <v>10</v>
      </c>
      <c r="LK35" s="904">
        <f>+IFERROR(VLOOKUP(LK$27&amp;"-"&amp;$M35&amp;"_new",Ammortamento_Finanziario!$H:$L,5,FALSE),VLOOKUP($M35,TT_Tabelle_Riferimento!$D$127:$H$164,5,FALSE))</f>
        <v>10</v>
      </c>
      <c r="LL35" s="904">
        <f>+IFERROR(VLOOKUP(LL$27&amp;"-"&amp;$M35&amp;"_new",Ammortamento_Finanziario!$H:$L,5,FALSE),VLOOKUP($M35,TT_Tabelle_Riferimento!$D$127:$H$164,5,FALSE))</f>
        <v>10</v>
      </c>
      <c r="LM35" s="904">
        <f>+IFERROR(VLOOKUP(LM$27&amp;"-"&amp;$M35&amp;"_new",Ammortamento_Finanziario!$H:$L,5,FALSE),VLOOKUP($M35,TT_Tabelle_Riferimento!$D$127:$H$164,5,FALSE))</f>
        <v>10</v>
      </c>
      <c r="LN35" s="904">
        <f>+IFERROR(VLOOKUP(LN$27&amp;"-"&amp;$M35&amp;"_new",Ammortamento_Finanziario!$H:$L,5,FALSE),VLOOKUP($M35,TT_Tabelle_Riferimento!$D$127:$H$164,5,FALSE))</f>
        <v>10</v>
      </c>
      <c r="LO35" s="904">
        <f>+IFERROR(VLOOKUP(LO$27&amp;"-"&amp;$M35&amp;"_new",Ammortamento_Finanziario!$H:$L,5,FALSE),VLOOKUP($M35,TT_Tabelle_Riferimento!$D$127:$H$164,5,FALSE))</f>
        <v>10</v>
      </c>
      <c r="LP35" s="904">
        <f>+IFERROR(VLOOKUP(LP$27&amp;"-"&amp;$M35&amp;"_new",Ammortamento_Finanziario!$H:$L,5,FALSE),VLOOKUP($M35,TT_Tabelle_Riferimento!$D$127:$H$164,5,FALSE))</f>
        <v>10</v>
      </c>
      <c r="LQ35" s="904">
        <f>+IFERROR(VLOOKUP(LQ$27&amp;"-"&amp;$M35&amp;"_new",Ammortamento_Finanziario!$H:$L,5,FALSE),VLOOKUP($M35,TT_Tabelle_Riferimento!$D$127:$H$164,5,FALSE))</f>
        <v>10</v>
      </c>
      <c r="LR35" s="904">
        <f>+IFERROR(VLOOKUP(LR$27&amp;"-"&amp;$M35&amp;"_new",Ammortamento_Finanziario!$H:$L,5,FALSE),VLOOKUP($M35,TT_Tabelle_Riferimento!$D$127:$H$164,5,FALSE))</f>
        <v>10</v>
      </c>
      <c r="LS35" s="1762">
        <f>+IFERROR(VLOOKUP(LS$27&amp;"-"&amp;$M35&amp;"_new",Ammortamento_Finanziario!$H:$L,5,FALSE),VLOOKUP($M35,TT_Tabelle_Riferimento!$D$127:$H$164,5,FALSE))</f>
        <v>10</v>
      </c>
      <c r="LT35" s="1762">
        <f>+IFERROR(VLOOKUP(LT$27&amp;"-"&amp;$M35&amp;"_new",Ammortamento_Finanziario!$H:$L,5,FALSE),VLOOKUP($M35,TT_Tabelle_Riferimento!$D$127:$H$164,5,FALSE))</f>
        <v>10</v>
      </c>
      <c r="LU35" s="1762">
        <f>+IFERROR(VLOOKUP(LU$27&amp;"-"&amp;$M35&amp;"_new",Ammortamento_Finanziario!$H:$L,5,FALSE),VLOOKUP($M35,TT_Tabelle_Riferimento!$D$127:$H$164,5,FALSE))</f>
        <v>10</v>
      </c>
      <c r="LV35" s="1762">
        <f>+IFERROR(VLOOKUP(LV$27&amp;"-"&amp;$M35&amp;"_new",Ammortamento_Finanziario!$H:$L,5,FALSE),VLOOKUP($M35,TT_Tabelle_Riferimento!$D$127:$H$164,5,FALSE))</f>
        <v>10</v>
      </c>
      <c r="LW35" s="1762">
        <f>+IFERROR(VLOOKUP(LW$27&amp;"-"&amp;$M35&amp;"_new",Ammortamento_Finanziario!$H:$L,5,FALSE),VLOOKUP($M35,TT_Tabelle_Riferimento!$D$127:$H$164,5,FALSE))</f>
        <v>10</v>
      </c>
      <c r="LX35" s="1762">
        <f>+IFERROR(VLOOKUP(LX$27&amp;"-"&amp;$M35&amp;"_new",Ammortamento_Finanziario!$H:$L,5,FALSE),VLOOKUP($M35,TT_Tabelle_Riferimento!$D$127:$H$164,5,FALSE))</f>
        <v>10</v>
      </c>
      <c r="LY35" s="904">
        <f>+IFERROR(VLOOKUP(LY$27&amp;"-"&amp;$M35&amp;"_new",Ammortamento_Finanziario!$H:$L,5,FALSE),VLOOKUP($M35,TT_Tabelle_Riferimento!$D$127:$H$164,5,FALSE))</f>
        <v>10</v>
      </c>
      <c r="LZ35" s="904">
        <f>+IFERROR(VLOOKUP(LZ$27&amp;"-"&amp;$M35&amp;"_new",Ammortamento_Finanziario!$H:$L,5,FALSE),VLOOKUP($M35,TT_Tabelle_Riferimento!$D$127:$H$164,5,FALSE))</f>
        <v>10</v>
      </c>
      <c r="MA35" s="904">
        <f>+IFERROR(VLOOKUP(MA$27&amp;"-"&amp;$M35&amp;"_new",Ammortamento_Finanziario!$H:$L,5,FALSE),VLOOKUP($M35,TT_Tabelle_Riferimento!$D$127:$H$164,5,FALSE))</f>
        <v>10</v>
      </c>
      <c r="MB35" s="904">
        <f>+IFERROR(VLOOKUP(MB$27&amp;"-"&amp;$M35&amp;"_new",Ammortamento_Finanziario!$H:$L,5,FALSE),VLOOKUP($M35,TT_Tabelle_Riferimento!$D$127:$H$164,5,FALSE))</f>
        <v>10</v>
      </c>
      <c r="MC35" s="904">
        <f>+IFERROR(VLOOKUP(MC$27&amp;"-"&amp;$M35&amp;"_new",Ammortamento_Finanziario!$H:$L,5,FALSE),VLOOKUP($M35,TT_Tabelle_Riferimento!$D$127:$H$164,5,FALSE))</f>
        <v>10</v>
      </c>
      <c r="MD35" s="904">
        <f>+IFERROR(VLOOKUP(MD$27&amp;"-"&amp;$M35&amp;"_new",Ammortamento_Finanziario!$H:$L,5,FALSE),VLOOKUP($M35,TT_Tabelle_Riferimento!$D$127:$H$164,5,FALSE))</f>
        <v>10</v>
      </c>
      <c r="ME35" s="904">
        <f>+IFERROR(VLOOKUP(ME$27&amp;"-"&amp;$M35&amp;"_new",Ammortamento_Finanziario!$H:$L,5,FALSE),VLOOKUP($M35,TT_Tabelle_Riferimento!$D$127:$H$164,5,FALSE))</f>
        <v>10</v>
      </c>
      <c r="MF35" s="904">
        <f>+IFERROR(VLOOKUP(MF$27&amp;"-"&amp;$M35&amp;"_new",Ammortamento_Finanziario!$H:$L,5,FALSE),VLOOKUP($M35,TT_Tabelle_Riferimento!$D$127:$H$164,5,FALSE))</f>
        <v>10</v>
      </c>
      <c r="MG35" s="904">
        <f>+IFERROR(VLOOKUP(MG$27&amp;"-"&amp;$M35&amp;"_new",Ammortamento_Finanziario!$H:$L,5,FALSE),VLOOKUP($M35,TT_Tabelle_Riferimento!$D$127:$H$164,5,FALSE))</f>
        <v>10</v>
      </c>
      <c r="MH35" s="904">
        <f>+IFERROR(VLOOKUP(MH$27&amp;"-"&amp;$M35&amp;"_new",Ammortamento_Finanziario!$H:$L,5,FALSE),VLOOKUP($M35,TT_Tabelle_Riferimento!$D$127:$H$164,5,FALSE))</f>
        <v>10</v>
      </c>
      <c r="MI35" s="904">
        <f>+IFERROR(VLOOKUP(MI$27&amp;"-"&amp;$M35&amp;"_new",Ammortamento_Finanziario!$H:$L,5,FALSE),VLOOKUP($M35,TT_Tabelle_Riferimento!$D$127:$H$164,5,FALSE))</f>
        <v>10</v>
      </c>
      <c r="MJ35" s="904">
        <f>+IFERROR(VLOOKUP(MJ$27&amp;"-"&amp;$M35&amp;"_new",Ammortamento_Finanziario!$H:$L,5,FALSE),VLOOKUP($M35,TT_Tabelle_Riferimento!$D$127:$H$164,5,FALSE))</f>
        <v>10</v>
      </c>
      <c r="MK35" s="904">
        <f>+IFERROR(VLOOKUP(MK$27&amp;"-"&amp;$M35&amp;"_new",Ammortamento_Finanziario!$H:$L,5,FALSE),VLOOKUP($M35,TT_Tabelle_Riferimento!$D$127:$H$164,5,FALSE))</f>
        <v>10</v>
      </c>
      <c r="ML35" s="904">
        <f>+IFERROR(VLOOKUP(ML$27&amp;"-"&amp;$M35&amp;"_new",Ammortamento_Finanziario!$H:$L,5,FALSE),VLOOKUP($M35,TT_Tabelle_Riferimento!$D$127:$H$164,5,FALSE))</f>
        <v>10</v>
      </c>
      <c r="MM35" s="904">
        <f>+IFERROR(VLOOKUP(MM$27&amp;"-"&amp;$M35&amp;"_new",Ammortamento_Finanziario!$H:$L,5,FALSE),VLOOKUP($M35,TT_Tabelle_Riferimento!$D$127:$H$164,5,FALSE))</f>
        <v>10</v>
      </c>
      <c r="MN35" s="904">
        <f>+IFERROR(VLOOKUP(MN$27&amp;"-"&amp;$M35&amp;"_new",Ammortamento_Finanziario!$H:$L,5,FALSE),VLOOKUP($M35,TT_Tabelle_Riferimento!$D$127:$H$164,5,FALSE))</f>
        <v>10</v>
      </c>
      <c r="MO35" s="904">
        <f>+IFERROR(VLOOKUP(MO$27&amp;"-"&amp;$M35&amp;"_new",Ammortamento_Finanziario!$H:$L,5,FALSE),VLOOKUP($M35,TT_Tabelle_Riferimento!$D$127:$H$164,5,FALSE))</f>
        <v>10</v>
      </c>
      <c r="MP35" s="904">
        <f>+IFERROR(VLOOKUP(MP$27&amp;"-"&amp;$M35&amp;"_new",Ammortamento_Finanziario!$H:$L,5,FALSE),VLOOKUP($M35,TT_Tabelle_Riferimento!$D$127:$H$164,5,FALSE))</f>
        <v>10</v>
      </c>
      <c r="MQ35" s="904">
        <f>+IFERROR(VLOOKUP(MQ$27&amp;"-"&amp;$M35&amp;"_new",Ammortamento_Finanziario!$H:$L,5,FALSE),VLOOKUP($M35,TT_Tabelle_Riferimento!$D$127:$H$164,5,FALSE))</f>
        <v>10</v>
      </c>
      <c r="MR35" s="1762">
        <f>+IFERROR(VLOOKUP(MR$27&amp;"-"&amp;$M35&amp;"_new",Ammortamento_Finanziario!$H:$L,5,FALSE),VLOOKUP($M35,TT_Tabelle_Riferimento!$D$127:$H$164,5,FALSE))</f>
        <v>10</v>
      </c>
      <c r="MS35" s="1762">
        <f>+IFERROR(VLOOKUP(MS$27&amp;"-"&amp;$M35&amp;"_new",Ammortamento_Finanziario!$H:$L,5,FALSE),VLOOKUP($M35,TT_Tabelle_Riferimento!$D$127:$H$164,5,FALSE))</f>
        <v>10</v>
      </c>
      <c r="MT35" s="1762">
        <f>+IFERROR(VLOOKUP(MT$27&amp;"-"&amp;$M35&amp;"_new",Ammortamento_Finanziario!$H:$L,5,FALSE),VLOOKUP($M35,TT_Tabelle_Riferimento!$D$127:$H$164,5,FALSE))</f>
        <v>10</v>
      </c>
      <c r="MU35" s="1762">
        <f>+IFERROR(VLOOKUP(MU$27&amp;"-"&amp;$M35&amp;"_new",Ammortamento_Finanziario!$H:$L,5,FALSE),VLOOKUP($M35,TT_Tabelle_Riferimento!$D$127:$H$164,5,FALSE))</f>
        <v>10</v>
      </c>
      <c r="MV35" s="1762">
        <f>+IFERROR(VLOOKUP(MV$27&amp;"-"&amp;$M35&amp;"_new",Ammortamento_Finanziario!$H:$L,5,FALSE),VLOOKUP($M35,TT_Tabelle_Riferimento!$D$127:$H$164,5,FALSE))</f>
        <v>10</v>
      </c>
      <c r="MW35" s="1762">
        <f>+IFERROR(VLOOKUP(MW$27&amp;"-"&amp;$M35&amp;"_new",Ammortamento_Finanziario!$H:$L,5,FALSE),VLOOKUP($M35,TT_Tabelle_Riferimento!$D$127:$H$164,5,FALSE))</f>
        <v>10</v>
      </c>
      <c r="MX35" s="904">
        <f>+IFERROR(VLOOKUP(MX$27&amp;"-"&amp;$M35&amp;"_new",Ammortamento_Finanziario!$H:$L,5,FALSE),VLOOKUP($M35,TT_Tabelle_Riferimento!$D$127:$H$164,5,FALSE))</f>
        <v>10</v>
      </c>
      <c r="MY35" s="904">
        <f>+IFERROR(VLOOKUP(MY$27&amp;"-"&amp;$M35&amp;"_new",Ammortamento_Finanziario!$H:$L,5,FALSE),VLOOKUP($M35,TT_Tabelle_Riferimento!$D$127:$H$164,5,FALSE))</f>
        <v>10</v>
      </c>
      <c r="MZ35" s="904">
        <f>+IFERROR(VLOOKUP(MZ$27&amp;"-"&amp;$M35&amp;"_new",Ammortamento_Finanziario!$H:$L,5,FALSE),VLOOKUP($M35,TT_Tabelle_Riferimento!$D$127:$H$164,5,FALSE))</f>
        <v>10</v>
      </c>
      <c r="NA35" s="904">
        <f>+IFERROR(VLOOKUP(NA$27&amp;"-"&amp;$M35&amp;"_new",Ammortamento_Finanziario!$H:$L,5,FALSE),VLOOKUP($M35,TT_Tabelle_Riferimento!$D$127:$H$164,5,FALSE))</f>
        <v>10</v>
      </c>
      <c r="NB35" s="904">
        <f>+IFERROR(VLOOKUP(NB$27&amp;"-"&amp;$M35&amp;"_new",Ammortamento_Finanziario!$H:$L,5,FALSE),VLOOKUP($M35,TT_Tabelle_Riferimento!$D$127:$H$164,5,FALSE))</f>
        <v>10</v>
      </c>
      <c r="NC35" s="904">
        <f>+IFERROR(VLOOKUP(NC$27&amp;"-"&amp;$M35&amp;"_new",Ammortamento_Finanziario!$H:$L,5,FALSE),VLOOKUP($M35,TT_Tabelle_Riferimento!$D$127:$H$164,5,FALSE))</f>
        <v>10</v>
      </c>
      <c r="ND35" s="904">
        <f>+IFERROR(VLOOKUP(ND$27&amp;"-"&amp;$M35&amp;"_new",Ammortamento_Finanziario!$H:$L,5,FALSE),VLOOKUP($M35,TT_Tabelle_Riferimento!$D$127:$H$164,5,FALSE))</f>
        <v>10</v>
      </c>
      <c r="NE35" s="904">
        <f>+IFERROR(VLOOKUP(NE$27&amp;"-"&amp;$M35&amp;"_new",Ammortamento_Finanziario!$H:$L,5,FALSE),VLOOKUP($M35,TT_Tabelle_Riferimento!$D$127:$H$164,5,FALSE))</f>
        <v>10</v>
      </c>
      <c r="NF35" s="904">
        <f>+IFERROR(VLOOKUP(NF$27&amp;"-"&amp;$M35&amp;"_new",Ammortamento_Finanziario!$H:$L,5,FALSE),VLOOKUP($M35,TT_Tabelle_Riferimento!$D$127:$H$164,5,FALSE))</f>
        <v>10</v>
      </c>
      <c r="NG35" s="904">
        <f>+IFERROR(VLOOKUP(NG$27&amp;"-"&amp;$M35&amp;"_new",Ammortamento_Finanziario!$H:$L,5,FALSE),VLOOKUP($M35,TT_Tabelle_Riferimento!$D$127:$H$164,5,FALSE))</f>
        <v>10</v>
      </c>
      <c r="NH35" s="904">
        <f>+IFERROR(VLOOKUP(NH$27&amp;"-"&amp;$M35&amp;"_new",Ammortamento_Finanziario!$H:$L,5,FALSE),VLOOKUP($M35,TT_Tabelle_Riferimento!$D$127:$H$164,5,FALSE))</f>
        <v>10</v>
      </c>
      <c r="NI35" s="904">
        <f>+IFERROR(VLOOKUP(NI$27&amp;"-"&amp;$M35&amp;"_new",Ammortamento_Finanziario!$H:$L,5,FALSE),VLOOKUP($M35,TT_Tabelle_Riferimento!$D$127:$H$164,5,FALSE))</f>
        <v>10</v>
      </c>
      <c r="NJ35" s="904">
        <f>+IFERROR(VLOOKUP(NJ$27&amp;"-"&amp;$M35&amp;"_new",Ammortamento_Finanziario!$H:$L,5,FALSE),VLOOKUP($M35,TT_Tabelle_Riferimento!$D$127:$H$164,5,FALSE))</f>
        <v>10</v>
      </c>
      <c r="NK35" s="904">
        <f>+IFERROR(VLOOKUP(NK$27&amp;"-"&amp;$M35&amp;"_new",Ammortamento_Finanziario!$H:$L,5,FALSE),VLOOKUP($M35,TT_Tabelle_Riferimento!$D$127:$H$164,5,FALSE))</f>
        <v>10</v>
      </c>
      <c r="NL35" s="904">
        <f>+IFERROR(VLOOKUP(NL$27&amp;"-"&amp;$M35&amp;"_new",Ammortamento_Finanziario!$H:$L,5,FALSE),VLOOKUP($M35,TT_Tabelle_Riferimento!$D$127:$H$164,5,FALSE))</f>
        <v>10</v>
      </c>
      <c r="NM35" s="904">
        <f>+IFERROR(VLOOKUP(NM$27&amp;"-"&amp;$M35&amp;"_new",Ammortamento_Finanziario!$H:$L,5,FALSE),VLOOKUP($M35,TT_Tabelle_Riferimento!$D$127:$H$164,5,FALSE))</f>
        <v>10</v>
      </c>
      <c r="NN35" s="904">
        <f>+IFERROR(VLOOKUP(NN$27&amp;"-"&amp;$M35&amp;"_new",Ammortamento_Finanziario!$H:$L,5,FALSE),VLOOKUP($M35,TT_Tabelle_Riferimento!$D$127:$H$164,5,FALSE))</f>
        <v>10</v>
      </c>
      <c r="NO35" s="904">
        <f>+IFERROR(VLOOKUP(NO$27&amp;"-"&amp;$M35&amp;"_new",Ammortamento_Finanziario!$H:$L,5,FALSE),VLOOKUP($M35,TT_Tabelle_Riferimento!$D$127:$H$164,5,FALSE))</f>
        <v>10</v>
      </c>
      <c r="NP35" s="904">
        <f>+IFERROR(VLOOKUP(NP$27&amp;"-"&amp;$M35&amp;"_new",Ammortamento_Finanziario!$H:$L,5,FALSE),VLOOKUP($M35,TT_Tabelle_Riferimento!$D$127:$H$164,5,FALSE))</f>
        <v>10</v>
      </c>
      <c r="NQ35" s="1762">
        <f>+IFERROR(VLOOKUP(NQ$27&amp;"-"&amp;$M35&amp;"_new",Ammortamento_Finanziario!$H:$L,5,FALSE),VLOOKUP($M35,TT_Tabelle_Riferimento!$D$127:$H$164,5,FALSE))</f>
        <v>10</v>
      </c>
      <c r="NR35" s="1762">
        <f>+IFERROR(VLOOKUP(NR$27&amp;"-"&amp;$M35&amp;"_new",Ammortamento_Finanziario!$H:$L,5,FALSE),VLOOKUP($M35,TT_Tabelle_Riferimento!$D$127:$H$164,5,FALSE))</f>
        <v>10</v>
      </c>
      <c r="NS35" s="1762">
        <f>+IFERROR(VLOOKUP(NS$27&amp;"-"&amp;$M35&amp;"_new",Ammortamento_Finanziario!$H:$L,5,FALSE),VLOOKUP($M35,TT_Tabelle_Riferimento!$D$127:$H$164,5,FALSE))</f>
        <v>10</v>
      </c>
      <c r="NT35" s="1762">
        <f>+IFERROR(VLOOKUP(NT$27&amp;"-"&amp;$M35&amp;"_new",Ammortamento_Finanziario!$H:$L,5,FALSE),VLOOKUP($M35,TT_Tabelle_Riferimento!$D$127:$H$164,5,FALSE))</f>
        <v>10</v>
      </c>
      <c r="NU35" s="1762">
        <f>+IFERROR(VLOOKUP(NU$27&amp;"-"&amp;$M35&amp;"_new",Ammortamento_Finanziario!$H:$L,5,FALSE),VLOOKUP($M35,TT_Tabelle_Riferimento!$D$127:$H$164,5,FALSE))</f>
        <v>10</v>
      </c>
      <c r="NV35" s="904">
        <f>+IFERROR(VLOOKUP(NV$27&amp;"-"&amp;$M35&amp;"_new",Ammortamento_Finanziario!$H:$L,5,FALSE),VLOOKUP($M35,TT_Tabelle_Riferimento!$D$127:$H$164,5,FALSE))</f>
        <v>10</v>
      </c>
      <c r="NW35" s="904">
        <f>+IFERROR(VLOOKUP(NW$27&amp;"-"&amp;$M35&amp;"_new",Ammortamento_Finanziario!$H:$L,5,FALSE),VLOOKUP($M35,TT_Tabelle_Riferimento!$D$127:$H$164,5,FALSE))</f>
        <v>10</v>
      </c>
      <c r="NX35" s="904">
        <f>+IFERROR(VLOOKUP(NX$27&amp;"-"&amp;$M35&amp;"_new",Ammortamento_Finanziario!$H:$L,5,FALSE),VLOOKUP($M35,TT_Tabelle_Riferimento!$D$127:$H$164,5,FALSE))</f>
        <v>10</v>
      </c>
      <c r="NY35" s="904">
        <f>+IFERROR(VLOOKUP(NY$27&amp;"-"&amp;$M35&amp;"_new",Ammortamento_Finanziario!$H:$L,5,FALSE),VLOOKUP($M35,TT_Tabelle_Riferimento!$D$127:$H$164,5,FALSE))</f>
        <v>10</v>
      </c>
      <c r="NZ35" s="904">
        <f>+IFERROR(VLOOKUP(NZ$27&amp;"-"&amp;$M35&amp;"_new",Ammortamento_Finanziario!$H:$L,5,FALSE),VLOOKUP($M35,TT_Tabelle_Riferimento!$D$127:$H$164,5,FALSE))</f>
        <v>10</v>
      </c>
      <c r="OA35" s="904">
        <f>+IFERROR(VLOOKUP(OA$27&amp;"-"&amp;$M35&amp;"_new",Ammortamento_Finanziario!$H:$L,5,FALSE),VLOOKUP($M35,TT_Tabelle_Riferimento!$D$127:$H$164,5,FALSE))</f>
        <v>10</v>
      </c>
      <c r="OB35" s="904">
        <f>+IFERROR(VLOOKUP(OB$27&amp;"-"&amp;$M35&amp;"_new",Ammortamento_Finanziario!$H:$L,5,FALSE),VLOOKUP($M35,TT_Tabelle_Riferimento!$D$127:$H$164,5,FALSE))</f>
        <v>10</v>
      </c>
      <c r="OC35" s="904">
        <f>+IFERROR(VLOOKUP(OC$27&amp;"-"&amp;$M35&amp;"_new",Ammortamento_Finanziario!$H:$L,5,FALSE),VLOOKUP($M35,TT_Tabelle_Riferimento!$D$127:$H$164,5,FALSE))</f>
        <v>10</v>
      </c>
      <c r="OD35" s="904">
        <f>+IFERROR(VLOOKUP(OD$27&amp;"-"&amp;$M35&amp;"_new",Ammortamento_Finanziario!$H:$L,5,FALSE),VLOOKUP($M35,TT_Tabelle_Riferimento!$D$127:$H$164,5,FALSE))</f>
        <v>10</v>
      </c>
      <c r="OE35" s="904">
        <f>+IFERROR(VLOOKUP(OE$27&amp;"-"&amp;$M35&amp;"_new",Ammortamento_Finanziario!$H:$L,5,FALSE),VLOOKUP($M35,TT_Tabelle_Riferimento!$D$127:$H$164,5,FALSE))</f>
        <v>10</v>
      </c>
      <c r="OF35" s="904">
        <f>+IFERROR(VLOOKUP(OF$27&amp;"-"&amp;$M35&amp;"_new",Ammortamento_Finanziario!$H:$L,5,FALSE),VLOOKUP($M35,TT_Tabelle_Riferimento!$D$127:$H$164,5,FALSE))</f>
        <v>10</v>
      </c>
      <c r="OG35" s="904">
        <f>+IFERROR(VLOOKUP(OG$27&amp;"-"&amp;$M35&amp;"_new",Ammortamento_Finanziario!$H:$L,5,FALSE),VLOOKUP($M35,TT_Tabelle_Riferimento!$D$127:$H$164,5,FALSE))</f>
        <v>10</v>
      </c>
      <c r="OH35" s="904">
        <f>+IFERROR(VLOOKUP(OH$27&amp;"-"&amp;$M35&amp;"_new",Ammortamento_Finanziario!$H:$L,5,FALSE),VLOOKUP($M35,TT_Tabelle_Riferimento!$D$127:$H$164,5,FALSE))</f>
        <v>10</v>
      </c>
      <c r="OI35" s="904">
        <f>+IFERROR(VLOOKUP(OI$27&amp;"-"&amp;$M35&amp;"_new",Ammortamento_Finanziario!$H:$L,5,FALSE),VLOOKUP($M35,TT_Tabelle_Riferimento!$D$127:$H$164,5,FALSE))</f>
        <v>10</v>
      </c>
      <c r="OJ35" s="904">
        <f>+IFERROR(VLOOKUP(OJ$27&amp;"-"&amp;$M35&amp;"_new",Ammortamento_Finanziario!$H:$L,5,FALSE),VLOOKUP($M35,TT_Tabelle_Riferimento!$D$127:$H$164,5,FALSE))</f>
        <v>10</v>
      </c>
      <c r="OK35" s="904">
        <f>+IFERROR(VLOOKUP(OK$27&amp;"-"&amp;$M35&amp;"_new",Ammortamento_Finanziario!$H:$L,5,FALSE),VLOOKUP($M35,TT_Tabelle_Riferimento!$D$127:$H$164,5,FALSE))</f>
        <v>10</v>
      </c>
      <c r="OL35" s="904">
        <f>+IFERROR(VLOOKUP(OL$27&amp;"-"&amp;$M35&amp;"_new",Ammortamento_Finanziario!$H:$L,5,FALSE),VLOOKUP($M35,TT_Tabelle_Riferimento!$D$127:$H$164,5,FALSE))</f>
        <v>10</v>
      </c>
      <c r="OM35" s="904">
        <f>+IFERROR(VLOOKUP(OM$27&amp;"-"&amp;$M35&amp;"_new",Ammortamento_Finanziario!$H:$L,5,FALSE),VLOOKUP($M35,TT_Tabelle_Riferimento!$D$127:$H$164,5,FALSE))</f>
        <v>10</v>
      </c>
      <c r="ON35" s="904">
        <f>+IFERROR(VLOOKUP(ON$27&amp;"-"&amp;$M35&amp;"_new",Ammortamento_Finanziario!$H:$L,5,FALSE),VLOOKUP($M35,TT_Tabelle_Riferimento!$D$127:$H$164,5,FALSE))</f>
        <v>10</v>
      </c>
      <c r="OO35" s="1762">
        <f>+IFERROR(VLOOKUP(OO$27&amp;"-"&amp;$M35&amp;"_new",Ammortamento_Finanziario!$H:$L,5,FALSE),VLOOKUP($M35,TT_Tabelle_Riferimento!$D$127:$H$164,5,FALSE))</f>
        <v>10</v>
      </c>
      <c r="OP35" s="1762">
        <f>+IFERROR(VLOOKUP(OP$27&amp;"-"&amp;$M35&amp;"_new",Ammortamento_Finanziario!$H:$L,5,FALSE),VLOOKUP($M35,TT_Tabelle_Riferimento!$D$127:$H$164,5,FALSE))</f>
        <v>10</v>
      </c>
      <c r="OQ35" s="1762">
        <f>+IFERROR(VLOOKUP(OQ$27&amp;"-"&amp;$M35&amp;"_new",Ammortamento_Finanziario!$H:$L,5,FALSE),VLOOKUP($M35,TT_Tabelle_Riferimento!$D$127:$H$164,5,FALSE))</f>
        <v>10</v>
      </c>
      <c r="OR35" s="1762">
        <f>+IFERROR(VLOOKUP(OR$27&amp;"-"&amp;$M35&amp;"_new",Ammortamento_Finanziario!$H:$L,5,FALSE),VLOOKUP($M35,TT_Tabelle_Riferimento!$D$127:$H$164,5,FALSE))</f>
        <v>10</v>
      </c>
      <c r="OS35" s="904">
        <f>+IFERROR(VLOOKUP(OS$27&amp;"-"&amp;$M35&amp;"_new",Ammortamento_Finanziario!$H:$L,5,FALSE),VLOOKUP($M35,TT_Tabelle_Riferimento!$D$127:$H$164,5,FALSE))</f>
        <v>10</v>
      </c>
      <c r="OT35" s="904">
        <f>+IFERROR(VLOOKUP(OT$27&amp;"-"&amp;$M35&amp;"_new",Ammortamento_Finanziario!$H:$L,5,FALSE),VLOOKUP($M35,TT_Tabelle_Riferimento!$D$127:$H$164,5,FALSE))</f>
        <v>10</v>
      </c>
      <c r="OU35" s="904">
        <f>+IFERROR(VLOOKUP(OU$27&amp;"-"&amp;$M35&amp;"_new",Ammortamento_Finanziario!$H:$L,5,FALSE),VLOOKUP($M35,TT_Tabelle_Riferimento!$D$127:$H$164,5,FALSE))</f>
        <v>10</v>
      </c>
      <c r="OV35" s="904">
        <f>+IFERROR(VLOOKUP(OV$27&amp;"-"&amp;$M35&amp;"_new",Ammortamento_Finanziario!$H:$L,5,FALSE),VLOOKUP($M35,TT_Tabelle_Riferimento!$D$127:$H$164,5,FALSE))</f>
        <v>10</v>
      </c>
      <c r="OW35" s="904">
        <f>+IFERROR(VLOOKUP(OW$27&amp;"-"&amp;$M35&amp;"_new",Ammortamento_Finanziario!$H:$L,5,FALSE),VLOOKUP($M35,TT_Tabelle_Riferimento!$D$127:$H$164,5,FALSE))</f>
        <v>10</v>
      </c>
      <c r="OX35" s="904">
        <f>+IFERROR(VLOOKUP(OX$27&amp;"-"&amp;$M35&amp;"_new",Ammortamento_Finanziario!$H:$L,5,FALSE),VLOOKUP($M35,TT_Tabelle_Riferimento!$D$127:$H$164,5,FALSE))</f>
        <v>10</v>
      </c>
      <c r="OY35" s="904">
        <f>+IFERROR(VLOOKUP(OY$27&amp;"-"&amp;$M35&amp;"_new",Ammortamento_Finanziario!$H:$L,5,FALSE),VLOOKUP($M35,TT_Tabelle_Riferimento!$D$127:$H$164,5,FALSE))</f>
        <v>10</v>
      </c>
      <c r="OZ35" s="904">
        <f>+IFERROR(VLOOKUP(OZ$27&amp;"-"&amp;$M35&amp;"_new",Ammortamento_Finanziario!$H:$L,5,FALSE),VLOOKUP($M35,TT_Tabelle_Riferimento!$D$127:$H$164,5,FALSE))</f>
        <v>10</v>
      </c>
      <c r="PA35" s="904">
        <f>+IFERROR(VLOOKUP(PA$27&amp;"-"&amp;$M35&amp;"_new",Ammortamento_Finanziario!$H:$L,5,FALSE),VLOOKUP($M35,TT_Tabelle_Riferimento!$D$127:$H$164,5,FALSE))</f>
        <v>10</v>
      </c>
      <c r="PB35" s="904">
        <f>+IFERROR(VLOOKUP(PB$27&amp;"-"&amp;$M35&amp;"_new",Ammortamento_Finanziario!$H:$L,5,FALSE),VLOOKUP($M35,TT_Tabelle_Riferimento!$D$127:$H$164,5,FALSE))</f>
        <v>10</v>
      </c>
      <c r="PC35" s="904">
        <f>+IFERROR(VLOOKUP(PC$27&amp;"-"&amp;$M35&amp;"_new",Ammortamento_Finanziario!$H:$L,5,FALSE),VLOOKUP($M35,TT_Tabelle_Riferimento!$D$127:$H$164,5,FALSE))</f>
        <v>10</v>
      </c>
      <c r="PD35" s="904">
        <f>+IFERROR(VLOOKUP(PD$27&amp;"-"&amp;$M35&amp;"_new",Ammortamento_Finanziario!$H:$L,5,FALSE),VLOOKUP($M35,TT_Tabelle_Riferimento!$D$127:$H$164,5,FALSE))</f>
        <v>10</v>
      </c>
      <c r="PE35" s="904">
        <f>+IFERROR(VLOOKUP(PE$27&amp;"-"&amp;$M35&amp;"_new",Ammortamento_Finanziario!$H:$L,5,FALSE),VLOOKUP($M35,TT_Tabelle_Riferimento!$D$127:$H$164,5,FALSE))</f>
        <v>10</v>
      </c>
      <c r="PF35" s="904">
        <f>+IFERROR(VLOOKUP(PF$27&amp;"-"&amp;$M35&amp;"_new",Ammortamento_Finanziario!$H:$L,5,FALSE),VLOOKUP($M35,TT_Tabelle_Riferimento!$D$127:$H$164,5,FALSE))</f>
        <v>10</v>
      </c>
      <c r="PG35" s="904">
        <f>+IFERROR(VLOOKUP(PG$27&amp;"-"&amp;$M35&amp;"_new",Ammortamento_Finanziario!$H:$L,5,FALSE),VLOOKUP($M35,TT_Tabelle_Riferimento!$D$127:$H$164,5,FALSE))</f>
        <v>10</v>
      </c>
      <c r="PH35" s="904">
        <f>+IFERROR(VLOOKUP(PH$27&amp;"-"&amp;$M35&amp;"_new",Ammortamento_Finanziario!$H:$L,5,FALSE),VLOOKUP($M35,TT_Tabelle_Riferimento!$D$127:$H$164,5,FALSE))</f>
        <v>10</v>
      </c>
      <c r="PI35" s="904">
        <f>+IFERROR(VLOOKUP(PI$27&amp;"-"&amp;$M35&amp;"_new",Ammortamento_Finanziario!$H:$L,5,FALSE),VLOOKUP($M35,TT_Tabelle_Riferimento!$D$127:$H$164,5,FALSE))</f>
        <v>10</v>
      </c>
      <c r="PJ35" s="904">
        <f>+IFERROR(VLOOKUP(PJ$27&amp;"-"&amp;$M35&amp;"_new",Ammortamento_Finanziario!$H:$L,5,FALSE),VLOOKUP($M35,TT_Tabelle_Riferimento!$D$127:$H$164,5,FALSE))</f>
        <v>10</v>
      </c>
      <c r="PK35" s="904">
        <f>+IFERROR(VLOOKUP(PK$27&amp;"-"&amp;$M35&amp;"_new",Ammortamento_Finanziario!$H:$L,5,FALSE),VLOOKUP($M35,TT_Tabelle_Riferimento!$D$127:$H$164,5,FALSE))</f>
        <v>10</v>
      </c>
      <c r="PL35" s="1762">
        <f>+IFERROR(VLOOKUP(PL$27&amp;"-"&amp;$M35&amp;"_new",Ammortamento_Finanziario!$H:$L,5,FALSE),VLOOKUP($M35,TT_Tabelle_Riferimento!$D$127:$H$164,5,FALSE))</f>
        <v>10</v>
      </c>
      <c r="PM35" s="1762">
        <f>+IFERROR(VLOOKUP(PM$27&amp;"-"&amp;$M35&amp;"_new",Ammortamento_Finanziario!$H:$L,5,FALSE),VLOOKUP($M35,TT_Tabelle_Riferimento!$D$127:$H$164,5,FALSE))</f>
        <v>10</v>
      </c>
      <c r="PN35" s="1762">
        <f>+IFERROR(VLOOKUP(PN$27&amp;"-"&amp;$M35&amp;"_new",Ammortamento_Finanziario!$H:$L,5,FALSE),VLOOKUP($M35,TT_Tabelle_Riferimento!$D$127:$H$164,5,FALSE))</f>
        <v>10</v>
      </c>
      <c r="PO35" s="904">
        <f>+IFERROR(VLOOKUP(PO$27&amp;"-"&amp;$M35&amp;"_new",Ammortamento_Finanziario!$H:$L,5,FALSE),VLOOKUP($M35,TT_Tabelle_Riferimento!$D$127:$H$164,5,FALSE))</f>
        <v>10</v>
      </c>
      <c r="PP35" s="904">
        <f>+IFERROR(VLOOKUP(PP$27&amp;"-"&amp;$M35&amp;"_new",Ammortamento_Finanziario!$H:$L,5,FALSE),VLOOKUP($M35,TT_Tabelle_Riferimento!$D$127:$H$164,5,FALSE))</f>
        <v>10</v>
      </c>
      <c r="PQ35" s="904">
        <f>+IFERROR(VLOOKUP(PQ$27&amp;"-"&amp;$M35&amp;"_new",Ammortamento_Finanziario!$H:$L,5,FALSE),VLOOKUP($M35,TT_Tabelle_Riferimento!$D$127:$H$164,5,FALSE))</f>
        <v>10</v>
      </c>
      <c r="PR35" s="904">
        <f>+IFERROR(VLOOKUP(PR$27&amp;"-"&amp;$M35&amp;"_new",Ammortamento_Finanziario!$H:$L,5,FALSE),VLOOKUP($M35,TT_Tabelle_Riferimento!$D$127:$H$164,5,FALSE))</f>
        <v>10</v>
      </c>
      <c r="PS35" s="904">
        <f>+IFERROR(VLOOKUP(PS$27&amp;"-"&amp;$M35&amp;"_new",Ammortamento_Finanziario!$H:$L,5,FALSE),VLOOKUP($M35,TT_Tabelle_Riferimento!$D$127:$H$164,5,FALSE))</f>
        <v>10</v>
      </c>
      <c r="PT35" s="904">
        <f>+IFERROR(VLOOKUP(PT$27&amp;"-"&amp;$M35&amp;"_new",Ammortamento_Finanziario!$H:$L,5,FALSE),VLOOKUP($M35,TT_Tabelle_Riferimento!$D$127:$H$164,5,FALSE))</f>
        <v>10</v>
      </c>
      <c r="PU35" s="904">
        <f>+IFERROR(VLOOKUP(PU$27&amp;"-"&amp;$M35&amp;"_new",Ammortamento_Finanziario!$H:$L,5,FALSE),VLOOKUP($M35,TT_Tabelle_Riferimento!$D$127:$H$164,5,FALSE))</f>
        <v>10</v>
      </c>
      <c r="PV35" s="904">
        <f>+IFERROR(VLOOKUP(PV$27&amp;"-"&amp;$M35&amp;"_new",Ammortamento_Finanziario!$H:$L,5,FALSE),VLOOKUP($M35,TT_Tabelle_Riferimento!$D$127:$H$164,5,FALSE))</f>
        <v>10</v>
      </c>
      <c r="PW35" s="904">
        <f>+IFERROR(VLOOKUP(PW$27&amp;"-"&amp;$M35&amp;"_new",Ammortamento_Finanziario!$H:$L,5,FALSE),VLOOKUP($M35,TT_Tabelle_Riferimento!$D$127:$H$164,5,FALSE))</f>
        <v>10</v>
      </c>
      <c r="PX35" s="904">
        <f>+IFERROR(VLOOKUP(PX$27&amp;"-"&amp;$M35&amp;"_new",Ammortamento_Finanziario!$H:$L,5,FALSE),VLOOKUP($M35,TT_Tabelle_Riferimento!$D$127:$H$164,5,FALSE))</f>
        <v>10</v>
      </c>
      <c r="PY35" s="904">
        <f>+IFERROR(VLOOKUP(PY$27&amp;"-"&amp;$M35&amp;"_new",Ammortamento_Finanziario!$H:$L,5,FALSE),VLOOKUP($M35,TT_Tabelle_Riferimento!$D$127:$H$164,5,FALSE))</f>
        <v>10</v>
      </c>
      <c r="PZ35" s="904">
        <f>+IFERROR(VLOOKUP(PZ$27&amp;"-"&amp;$M35&amp;"_new",Ammortamento_Finanziario!$H:$L,5,FALSE),VLOOKUP($M35,TT_Tabelle_Riferimento!$D$127:$H$164,5,FALSE))</f>
        <v>10</v>
      </c>
      <c r="QA35" s="904">
        <f>+IFERROR(VLOOKUP(QA$27&amp;"-"&amp;$M35&amp;"_new",Ammortamento_Finanziario!$H:$L,5,FALSE),VLOOKUP($M35,TT_Tabelle_Riferimento!$D$127:$H$164,5,FALSE))</f>
        <v>10</v>
      </c>
      <c r="QB35" s="904">
        <f>+IFERROR(VLOOKUP(QB$27&amp;"-"&amp;$M35&amp;"_new",Ammortamento_Finanziario!$H:$L,5,FALSE),VLOOKUP($M35,TT_Tabelle_Riferimento!$D$127:$H$164,5,FALSE))</f>
        <v>10</v>
      </c>
      <c r="QC35" s="904">
        <f>+IFERROR(VLOOKUP(QC$27&amp;"-"&amp;$M35&amp;"_new",Ammortamento_Finanziario!$H:$L,5,FALSE),VLOOKUP($M35,TT_Tabelle_Riferimento!$D$127:$H$164,5,FALSE))</f>
        <v>10</v>
      </c>
      <c r="QD35" s="904">
        <f>+IFERROR(VLOOKUP(QD$27&amp;"-"&amp;$M35&amp;"_new",Ammortamento_Finanziario!$H:$L,5,FALSE),VLOOKUP($M35,TT_Tabelle_Riferimento!$D$127:$H$164,5,FALSE))</f>
        <v>10</v>
      </c>
      <c r="QE35" s="904">
        <f>+IFERROR(VLOOKUP(QE$27&amp;"-"&amp;$M35&amp;"_new",Ammortamento_Finanziario!$H:$L,5,FALSE),VLOOKUP($M35,TT_Tabelle_Riferimento!$D$127:$H$164,5,FALSE))</f>
        <v>10</v>
      </c>
      <c r="QF35" s="904">
        <f>+IFERROR(VLOOKUP(QF$27&amp;"-"&amp;$M35&amp;"_new",Ammortamento_Finanziario!$H:$L,5,FALSE),VLOOKUP($M35,TT_Tabelle_Riferimento!$D$127:$H$164,5,FALSE))</f>
        <v>10</v>
      </c>
      <c r="QG35" s="904">
        <f>+IFERROR(VLOOKUP(QG$27&amp;"-"&amp;$M35&amp;"_new",Ammortamento_Finanziario!$H:$L,5,FALSE),VLOOKUP($M35,TT_Tabelle_Riferimento!$D$127:$H$164,5,FALSE))</f>
        <v>10</v>
      </c>
      <c r="QH35" s="1762">
        <f>+IFERROR(VLOOKUP(QH$27&amp;"-"&amp;$M35&amp;"_new",Ammortamento_Finanziario!$H:$L,5,FALSE),VLOOKUP($M35,TT_Tabelle_Riferimento!$D$127:$H$164,5,FALSE))</f>
        <v>10</v>
      </c>
      <c r="QI35" s="1762">
        <f>+IFERROR(VLOOKUP(QI$27&amp;"-"&amp;$M35&amp;"_new",Ammortamento_Finanziario!$H:$L,5,FALSE),VLOOKUP($M35,TT_Tabelle_Riferimento!$D$127:$H$164,5,FALSE))</f>
        <v>10</v>
      </c>
      <c r="QJ35" s="904">
        <f>+IFERROR(VLOOKUP(QJ$27&amp;"-"&amp;$M35&amp;"_new",Ammortamento_Finanziario!$H:$L,5,FALSE),VLOOKUP($M35,TT_Tabelle_Riferimento!$D$127:$H$164,5,FALSE))</f>
        <v>10</v>
      </c>
      <c r="QK35" s="904">
        <f>+IFERROR(VLOOKUP(QK$27&amp;"-"&amp;$M35&amp;"_new",Ammortamento_Finanziario!$H:$L,5,FALSE),VLOOKUP($M35,TT_Tabelle_Riferimento!$D$127:$H$164,5,FALSE))</f>
        <v>10</v>
      </c>
      <c r="QL35" s="904">
        <f>+IFERROR(VLOOKUP(QL$27&amp;"-"&amp;$M35&amp;"_new",Ammortamento_Finanziario!$H:$L,5,FALSE),VLOOKUP($M35,TT_Tabelle_Riferimento!$D$127:$H$164,5,FALSE))</f>
        <v>10</v>
      </c>
      <c r="QM35" s="904">
        <f>+IFERROR(VLOOKUP(QM$27&amp;"-"&amp;$M35&amp;"_new",Ammortamento_Finanziario!$H:$L,5,FALSE),VLOOKUP($M35,TT_Tabelle_Riferimento!$D$127:$H$164,5,FALSE))</f>
        <v>10</v>
      </c>
      <c r="QN35" s="904">
        <f>+IFERROR(VLOOKUP(QN$27&amp;"-"&amp;$M35&amp;"_new",Ammortamento_Finanziario!$H:$L,5,FALSE),VLOOKUP($M35,TT_Tabelle_Riferimento!$D$127:$H$164,5,FALSE))</f>
        <v>10</v>
      </c>
      <c r="QO35" s="904">
        <f>+IFERROR(VLOOKUP(QO$27&amp;"-"&amp;$M35&amp;"_new",Ammortamento_Finanziario!$H:$L,5,FALSE),VLOOKUP($M35,TT_Tabelle_Riferimento!$D$127:$H$164,5,FALSE))</f>
        <v>10</v>
      </c>
      <c r="QP35" s="904">
        <f>+IFERROR(VLOOKUP(QP$27&amp;"-"&amp;$M35&amp;"_new",Ammortamento_Finanziario!$H:$L,5,FALSE),VLOOKUP($M35,TT_Tabelle_Riferimento!$D$127:$H$164,5,FALSE))</f>
        <v>10</v>
      </c>
      <c r="QQ35" s="904">
        <f>+IFERROR(VLOOKUP(QQ$27&amp;"-"&amp;$M35&amp;"_new",Ammortamento_Finanziario!$H:$L,5,FALSE),VLOOKUP($M35,TT_Tabelle_Riferimento!$D$127:$H$164,5,FALSE))</f>
        <v>10</v>
      </c>
      <c r="QR35" s="904">
        <f>+IFERROR(VLOOKUP(QR$27&amp;"-"&amp;$M35&amp;"_new",Ammortamento_Finanziario!$H:$L,5,FALSE),VLOOKUP($M35,TT_Tabelle_Riferimento!$D$127:$H$164,5,FALSE))</f>
        <v>10</v>
      </c>
      <c r="QS35" s="904">
        <f>+IFERROR(VLOOKUP(QS$27&amp;"-"&amp;$M35&amp;"_new",Ammortamento_Finanziario!$H:$L,5,FALSE),VLOOKUP($M35,TT_Tabelle_Riferimento!$D$127:$H$164,5,FALSE))</f>
        <v>10</v>
      </c>
      <c r="QT35" s="904">
        <f>+IFERROR(VLOOKUP(QT$27&amp;"-"&amp;$M35&amp;"_new",Ammortamento_Finanziario!$H:$L,5,FALSE),VLOOKUP($M35,TT_Tabelle_Riferimento!$D$127:$H$164,5,FALSE))</f>
        <v>10</v>
      </c>
      <c r="QU35" s="904">
        <f>+IFERROR(VLOOKUP(QU$27&amp;"-"&amp;$M35&amp;"_new",Ammortamento_Finanziario!$H:$L,5,FALSE),VLOOKUP($M35,TT_Tabelle_Riferimento!$D$127:$H$164,5,FALSE))</f>
        <v>10</v>
      </c>
      <c r="QV35" s="904">
        <f>+IFERROR(VLOOKUP(QV$27&amp;"-"&amp;$M35&amp;"_new",Ammortamento_Finanziario!$H:$L,5,FALSE),VLOOKUP($M35,TT_Tabelle_Riferimento!$D$127:$H$164,5,FALSE))</f>
        <v>10</v>
      </c>
      <c r="QW35" s="904">
        <f>+IFERROR(VLOOKUP(QW$27&amp;"-"&amp;$M35&amp;"_new",Ammortamento_Finanziario!$H:$L,5,FALSE),VLOOKUP($M35,TT_Tabelle_Riferimento!$D$127:$H$164,5,FALSE))</f>
        <v>10</v>
      </c>
      <c r="QX35" s="904">
        <f>+IFERROR(VLOOKUP(QX$27&amp;"-"&amp;$M35&amp;"_new",Ammortamento_Finanziario!$H:$L,5,FALSE),VLOOKUP($M35,TT_Tabelle_Riferimento!$D$127:$H$164,5,FALSE))</f>
        <v>10</v>
      </c>
      <c r="QY35" s="904">
        <f>+IFERROR(VLOOKUP(QY$27&amp;"-"&amp;$M35&amp;"_new",Ammortamento_Finanziario!$H:$L,5,FALSE),VLOOKUP($M35,TT_Tabelle_Riferimento!$D$127:$H$164,5,FALSE))</f>
        <v>10</v>
      </c>
      <c r="QZ35" s="904">
        <f>+IFERROR(VLOOKUP(QZ$27&amp;"-"&amp;$M35&amp;"_new",Ammortamento_Finanziario!$H:$L,5,FALSE),VLOOKUP($M35,TT_Tabelle_Riferimento!$D$127:$H$164,5,FALSE))</f>
        <v>10</v>
      </c>
      <c r="RA35" s="904">
        <f>+IFERROR(VLOOKUP(RA$27&amp;"-"&amp;$M35&amp;"_new",Ammortamento_Finanziario!$H:$L,5,FALSE),VLOOKUP($M35,TT_Tabelle_Riferimento!$D$127:$H$164,5,FALSE))</f>
        <v>10</v>
      </c>
      <c r="RB35" s="904">
        <f>+IFERROR(VLOOKUP(RB$27&amp;"-"&amp;$M35&amp;"_new",Ammortamento_Finanziario!$H:$L,5,FALSE),VLOOKUP($M35,TT_Tabelle_Riferimento!$D$127:$H$164,5,FALSE))</f>
        <v>10</v>
      </c>
      <c r="RC35" s="1762">
        <f>+IFERROR(VLOOKUP(RC$27&amp;"-"&amp;$M35&amp;"_new",Ammortamento_Finanziario!$H:$L,5,FALSE),VLOOKUP($M35,TT_Tabelle_Riferimento!$D$127:$H$164,5,FALSE))</f>
        <v>10</v>
      </c>
      <c r="RD35" s="904">
        <f>+IFERROR(VLOOKUP(RD$27&amp;"-"&amp;$M35&amp;"_new",Ammortamento_Finanziario!$H:$L,5,FALSE),VLOOKUP($M35,TT_Tabelle_Riferimento!$D$127:$H$164,5,FALSE))</f>
        <v>10</v>
      </c>
      <c r="RE35" s="904">
        <f>+IFERROR(VLOOKUP(RE$27&amp;"-"&amp;$M35&amp;"_new",Ammortamento_Finanziario!$H:$L,5,FALSE),VLOOKUP($M35,TT_Tabelle_Riferimento!$D$127:$H$164,5,FALSE))</f>
        <v>10</v>
      </c>
      <c r="RF35" s="904">
        <f>+IFERROR(VLOOKUP(RF$27&amp;"-"&amp;$M35&amp;"_new",Ammortamento_Finanziario!$H:$L,5,FALSE),VLOOKUP($M35,TT_Tabelle_Riferimento!$D$127:$H$164,5,FALSE))</f>
        <v>10</v>
      </c>
      <c r="RG35" s="904">
        <f>+IFERROR(VLOOKUP(RG$27&amp;"-"&amp;$M35&amp;"_new",Ammortamento_Finanziario!$H:$L,5,FALSE),VLOOKUP($M35,TT_Tabelle_Riferimento!$D$127:$H$164,5,FALSE))</f>
        <v>10</v>
      </c>
      <c r="RH35" s="904">
        <f>+IFERROR(VLOOKUP(RH$27&amp;"-"&amp;$M35&amp;"_new",Ammortamento_Finanziario!$H:$L,5,FALSE),VLOOKUP($M35,TT_Tabelle_Riferimento!$D$127:$H$164,5,FALSE))</f>
        <v>10</v>
      </c>
      <c r="RI35" s="904">
        <f>+IFERROR(VLOOKUP(RI$27&amp;"-"&amp;$M35&amp;"_new",Ammortamento_Finanziario!$H:$L,5,FALSE),VLOOKUP($M35,TT_Tabelle_Riferimento!$D$127:$H$164,5,FALSE))</f>
        <v>10</v>
      </c>
      <c r="RJ35" s="904">
        <f>+IFERROR(VLOOKUP(RJ$27&amp;"-"&amp;$M35&amp;"_new",Ammortamento_Finanziario!$H:$L,5,FALSE),VLOOKUP($M35,TT_Tabelle_Riferimento!$D$127:$H$164,5,FALSE))</f>
        <v>10</v>
      </c>
      <c r="RK35" s="904">
        <f>+IFERROR(VLOOKUP(RK$27&amp;"-"&amp;$M35&amp;"_new",Ammortamento_Finanziario!$H:$L,5,FALSE),VLOOKUP($M35,TT_Tabelle_Riferimento!$D$127:$H$164,5,FALSE))</f>
        <v>10</v>
      </c>
      <c r="RL35" s="904">
        <f>+IFERROR(VLOOKUP(RL$27&amp;"-"&amp;$M35&amp;"_new",Ammortamento_Finanziario!$H:$L,5,FALSE),VLOOKUP($M35,TT_Tabelle_Riferimento!$D$127:$H$164,5,FALSE))</f>
        <v>10</v>
      </c>
      <c r="RM35" s="904">
        <f>+IFERROR(VLOOKUP(RM$27&amp;"-"&amp;$M35&amp;"_new",Ammortamento_Finanziario!$H:$L,5,FALSE),VLOOKUP($M35,TT_Tabelle_Riferimento!$D$127:$H$164,5,FALSE))</f>
        <v>10</v>
      </c>
      <c r="RN35" s="904">
        <f>+IFERROR(VLOOKUP(RN$27&amp;"-"&amp;$M35&amp;"_new",Ammortamento_Finanziario!$H:$L,5,FALSE),VLOOKUP($M35,TT_Tabelle_Riferimento!$D$127:$H$164,5,FALSE))</f>
        <v>10</v>
      </c>
      <c r="RO35" s="904">
        <f>+IFERROR(VLOOKUP(RO$27&amp;"-"&amp;$M35&amp;"_new",Ammortamento_Finanziario!$H:$L,5,FALSE),VLOOKUP($M35,TT_Tabelle_Riferimento!$D$127:$H$164,5,FALSE))</f>
        <v>10</v>
      </c>
      <c r="RP35" s="904">
        <f>+IFERROR(VLOOKUP(RP$27&amp;"-"&amp;$M35&amp;"_new",Ammortamento_Finanziario!$H:$L,5,FALSE),VLOOKUP($M35,TT_Tabelle_Riferimento!$D$127:$H$164,5,FALSE))</f>
        <v>10</v>
      </c>
      <c r="RQ35" s="904">
        <f>+IFERROR(VLOOKUP(RQ$27&amp;"-"&amp;$M35&amp;"_new",Ammortamento_Finanziario!$H:$L,5,FALSE),VLOOKUP($M35,TT_Tabelle_Riferimento!$D$127:$H$164,5,FALSE))</f>
        <v>10</v>
      </c>
      <c r="RR35" s="904">
        <f>+IFERROR(VLOOKUP(RR$27&amp;"-"&amp;$M35&amp;"_new",Ammortamento_Finanziario!$H:$L,5,FALSE),VLOOKUP($M35,TT_Tabelle_Riferimento!$D$127:$H$164,5,FALSE))</f>
        <v>10</v>
      </c>
      <c r="RS35" s="904">
        <f>+IFERROR(VLOOKUP(RS$27&amp;"-"&amp;$M35&amp;"_new",Ammortamento_Finanziario!$H:$L,5,FALSE),VLOOKUP($M35,TT_Tabelle_Riferimento!$D$127:$H$164,5,FALSE))</f>
        <v>10</v>
      </c>
      <c r="RT35" s="904">
        <f>+IFERROR(VLOOKUP(RT$27&amp;"-"&amp;$M35&amp;"_new",Ammortamento_Finanziario!$H:$L,5,FALSE),VLOOKUP($M35,TT_Tabelle_Riferimento!$D$127:$H$164,5,FALSE))</f>
        <v>10</v>
      </c>
      <c r="RU35" s="904">
        <f>+IFERROR(VLOOKUP(RU$27&amp;"-"&amp;$M35&amp;"_new",Ammortamento_Finanziario!$H:$L,5,FALSE),VLOOKUP($M35,TT_Tabelle_Riferimento!$D$127:$H$164,5,FALSE))</f>
        <v>10</v>
      </c>
      <c r="RV35" s="904">
        <f>+IFERROR(VLOOKUP(RV$27&amp;"-"&amp;$M35&amp;"_new",Ammortamento_Finanziario!$H:$L,5,FALSE),VLOOKUP($M35,TT_Tabelle_Riferimento!$D$127:$H$164,5,FALSE))</f>
        <v>10</v>
      </c>
    </row>
    <row r="36" spans="4:490" ht="15.75">
      <c r="D36" s="135" t="s">
        <v>22702</v>
      </c>
      <c r="E36" s="719">
        <f>+SUMIF(IMN_gestore!$E:$E,2022,IMN_gestore!$W:$W)</f>
        <v>0</v>
      </c>
      <c r="F36" s="719">
        <f>SUMIF(IMN_gestore!$E:$E,2023,IMN_gestore!$AH:$AH)</f>
        <v>0</v>
      </c>
      <c r="G36" s="719">
        <f>+SUMIF(IMN_gestore!$E:$E,2024,IMN_gestore!$AS:$AS)</f>
        <v>0</v>
      </c>
      <c r="H36" s="719">
        <f>SUMIF(IMN_gestore!$E:$E,2025,IMN_gestore!$BD:$BD)</f>
        <v>0</v>
      </c>
      <c r="I36" s="719">
        <f>SUMIF(IMN_gestore!$E:$E,2026,IMN_gestore!$BO:$BO)</f>
        <v>0</v>
      </c>
      <c r="J36" s="719">
        <f>SUMIF(IMN_gestore!$E:$E,2027,IMN_gestore!$BZ:$BZ)</f>
        <v>0</v>
      </c>
      <c r="K36" s="136"/>
      <c r="M36" s="1756">
        <v>9</v>
      </c>
      <c r="N36" s="1759">
        <v>0</v>
      </c>
      <c r="O36" s="1759">
        <v>0</v>
      </c>
      <c r="P36" s="1759">
        <v>0</v>
      </c>
      <c r="Q36" s="1759">
        <v>0</v>
      </c>
      <c r="R36" s="1759">
        <v>0</v>
      </c>
      <c r="S36" s="1759">
        <v>0</v>
      </c>
      <c r="T36" s="1759">
        <v>0</v>
      </c>
      <c r="U36" s="1759">
        <v>0</v>
      </c>
      <c r="V36" s="1759">
        <v>0</v>
      </c>
      <c r="W36" s="1759">
        <v>0</v>
      </c>
      <c r="X36" s="1759">
        <v>0</v>
      </c>
      <c r="Y36" s="1759">
        <v>0</v>
      </c>
      <c r="Z36" s="1759">
        <v>0</v>
      </c>
      <c r="AA36" s="1759">
        <v>0</v>
      </c>
      <c r="AB36" s="1759">
        <v>0</v>
      </c>
      <c r="AC36" s="1759">
        <v>0</v>
      </c>
      <c r="AD36" s="1759">
        <v>0</v>
      </c>
      <c r="AE36" s="1759">
        <v>0</v>
      </c>
      <c r="AF36" s="1759">
        <v>0</v>
      </c>
      <c r="AG36" s="1759">
        <v>0</v>
      </c>
      <c r="AH36" s="1759">
        <v>0</v>
      </c>
      <c r="AI36" s="1759">
        <v>0</v>
      </c>
      <c r="AJ36" s="1759">
        <v>0</v>
      </c>
      <c r="AK36" s="1759">
        <v>0</v>
      </c>
      <c r="AL36" s="1759">
        <v>0</v>
      </c>
      <c r="AM36" s="1759">
        <v>0</v>
      </c>
      <c r="AN36" s="1759">
        <v>0</v>
      </c>
      <c r="AO36" s="1759">
        <v>0</v>
      </c>
      <c r="AP36" s="1759">
        <v>0</v>
      </c>
      <c r="AQ36" s="1759">
        <v>0</v>
      </c>
      <c r="AR36" s="1759">
        <v>0</v>
      </c>
      <c r="AS36" s="1759">
        <v>0</v>
      </c>
      <c r="AT36" s="1759">
        <v>0</v>
      </c>
      <c r="AU36" s="1759">
        <v>0</v>
      </c>
      <c r="AV36" s="1759">
        <v>0</v>
      </c>
      <c r="AW36" s="1759">
        <v>0</v>
      </c>
      <c r="AX36" s="1759">
        <v>0</v>
      </c>
      <c r="AY36" s="1759">
        <v>0</v>
      </c>
      <c r="AZ36" s="1759">
        <v>0</v>
      </c>
      <c r="BA36" s="1759">
        <v>0</v>
      </c>
      <c r="BB36" s="1759">
        <v>0</v>
      </c>
      <c r="BC36" s="1759">
        <v>0</v>
      </c>
      <c r="BD36" s="1759">
        <v>0</v>
      </c>
      <c r="BE36" s="1759">
        <v>0</v>
      </c>
      <c r="BF36" s="1759">
        <v>0</v>
      </c>
      <c r="BG36" s="1759">
        <v>0</v>
      </c>
      <c r="BH36" s="1759">
        <v>0</v>
      </c>
      <c r="BI36" s="1759">
        <v>0</v>
      </c>
      <c r="BJ36" s="1759">
        <v>0</v>
      </c>
      <c r="BK36" s="1759">
        <v>0</v>
      </c>
      <c r="BL36" s="1759">
        <v>0</v>
      </c>
      <c r="BM36" s="1759">
        <v>0</v>
      </c>
      <c r="BN36" s="1759">
        <v>0</v>
      </c>
      <c r="BO36" s="1759">
        <v>0</v>
      </c>
      <c r="BP36" s="1759">
        <v>0</v>
      </c>
      <c r="BQ36" s="1759">
        <v>0</v>
      </c>
      <c r="BR36" s="1759">
        <v>0</v>
      </c>
      <c r="BS36" s="1759">
        <v>0</v>
      </c>
      <c r="BT36" s="1759">
        <v>0</v>
      </c>
      <c r="BU36" s="1759">
        <v>0</v>
      </c>
      <c r="BV36" s="1759">
        <v>0</v>
      </c>
      <c r="BW36" s="1759">
        <v>0</v>
      </c>
      <c r="BX36" s="1759">
        <v>0</v>
      </c>
      <c r="BY36" s="1759">
        <v>0</v>
      </c>
      <c r="BZ36" s="1759">
        <v>0</v>
      </c>
      <c r="CA36" s="1759">
        <v>0</v>
      </c>
      <c r="CB36" s="1759">
        <v>0</v>
      </c>
      <c r="CC36" s="1759">
        <v>0</v>
      </c>
      <c r="CD36" s="1759">
        <v>0</v>
      </c>
      <c r="CE36" s="1759">
        <v>0</v>
      </c>
      <c r="CF36" s="1759">
        <v>0</v>
      </c>
      <c r="CG36" s="1759">
        <v>0</v>
      </c>
      <c r="CH36" s="1759">
        <v>0</v>
      </c>
      <c r="CI36" s="1759">
        <v>0</v>
      </c>
      <c r="CJ36" s="1759">
        <v>0</v>
      </c>
      <c r="CK36" s="1759">
        <v>0</v>
      </c>
      <c r="CL36" s="1759">
        <v>0</v>
      </c>
      <c r="CM36" s="1759">
        <v>0</v>
      </c>
      <c r="CN36" s="1759">
        <v>0</v>
      </c>
      <c r="CO36" s="1759">
        <v>0</v>
      </c>
      <c r="CP36" s="1759">
        <v>0</v>
      </c>
      <c r="CQ36" s="1759">
        <v>0</v>
      </c>
      <c r="CR36" s="1759">
        <v>0</v>
      </c>
      <c r="CS36" s="1759">
        <v>0</v>
      </c>
      <c r="CT36" s="1759">
        <v>0</v>
      </c>
      <c r="CU36" s="1759">
        <v>0</v>
      </c>
      <c r="CV36" s="1759">
        <v>0</v>
      </c>
      <c r="CW36" s="1759">
        <v>0</v>
      </c>
      <c r="CX36" s="1759">
        <v>0</v>
      </c>
      <c r="CY36" s="1759">
        <v>0</v>
      </c>
      <c r="CZ36" s="1759">
        <v>0</v>
      </c>
      <c r="DA36" s="1759">
        <v>0</v>
      </c>
      <c r="DB36" s="1759">
        <v>0</v>
      </c>
      <c r="DC36" s="1759">
        <v>0</v>
      </c>
      <c r="DD36" s="1759">
        <v>0</v>
      </c>
      <c r="DE36" s="1759">
        <v>0</v>
      </c>
      <c r="DF36" s="1759">
        <v>0</v>
      </c>
      <c r="DG36" s="1759">
        <v>0</v>
      </c>
      <c r="DH36" s="1759">
        <v>0</v>
      </c>
      <c r="DI36" s="1759">
        <v>0</v>
      </c>
      <c r="DJ36" s="1759">
        <v>0</v>
      </c>
      <c r="DK36" s="1759">
        <v>0</v>
      </c>
      <c r="DL36" s="1759">
        <v>0</v>
      </c>
      <c r="DM36" s="1759">
        <v>0</v>
      </c>
      <c r="DN36" s="1759">
        <v>0</v>
      </c>
      <c r="DO36" s="1759">
        <v>0</v>
      </c>
      <c r="DP36" s="1759">
        <v>0</v>
      </c>
      <c r="DQ36" s="1759">
        <v>0</v>
      </c>
      <c r="DR36" s="1759">
        <v>0</v>
      </c>
      <c r="DS36" s="1759">
        <v>0</v>
      </c>
      <c r="DT36" s="1759">
        <v>0</v>
      </c>
      <c r="DU36" s="1759">
        <v>0</v>
      </c>
      <c r="DV36" s="1759">
        <v>0</v>
      </c>
      <c r="DW36" s="1759">
        <v>0</v>
      </c>
      <c r="DX36" s="1759">
        <v>0</v>
      </c>
      <c r="DY36" s="1759">
        <v>0</v>
      </c>
      <c r="DZ36" s="1759">
        <v>0</v>
      </c>
      <c r="EA36" s="1759">
        <v>0</v>
      </c>
      <c r="EB36" s="1759">
        <v>0</v>
      </c>
      <c r="EC36" s="1759">
        <v>0</v>
      </c>
      <c r="ED36" s="1759">
        <v>0</v>
      </c>
      <c r="EE36" s="1759">
        <v>0</v>
      </c>
      <c r="EF36" s="1759">
        <v>0</v>
      </c>
      <c r="EG36" s="1759">
        <v>0</v>
      </c>
      <c r="EH36" s="1759">
        <v>0</v>
      </c>
      <c r="EI36" s="1759">
        <v>0</v>
      </c>
      <c r="EJ36" s="1759">
        <v>0</v>
      </c>
      <c r="EK36" s="1759">
        <v>0</v>
      </c>
      <c r="EL36" s="1759">
        <v>0</v>
      </c>
      <c r="EM36" s="1759">
        <v>0</v>
      </c>
      <c r="EN36" s="1759">
        <v>0</v>
      </c>
      <c r="EO36" s="1759">
        <v>0</v>
      </c>
      <c r="EP36" s="1759">
        <v>0</v>
      </c>
      <c r="EQ36" s="1759">
        <v>0</v>
      </c>
      <c r="ER36" s="1759">
        <v>0</v>
      </c>
      <c r="ES36" s="1759">
        <v>0</v>
      </c>
      <c r="ET36" s="1759">
        <v>0</v>
      </c>
      <c r="EU36" s="1759">
        <v>0</v>
      </c>
      <c r="EV36" s="1759">
        <v>0</v>
      </c>
      <c r="EW36" s="1759">
        <v>0</v>
      </c>
      <c r="EX36" s="1759">
        <v>0</v>
      </c>
      <c r="EY36" s="1759">
        <v>0</v>
      </c>
      <c r="EZ36" s="1759">
        <v>0</v>
      </c>
      <c r="FA36" s="1759">
        <v>0</v>
      </c>
      <c r="FB36" s="1759">
        <v>0</v>
      </c>
      <c r="FC36" s="1759">
        <v>0</v>
      </c>
      <c r="FD36" s="1759">
        <v>0</v>
      </c>
      <c r="FE36" s="1759">
        <v>0</v>
      </c>
      <c r="FF36" s="1759">
        <v>0</v>
      </c>
      <c r="FG36" s="1759">
        <v>0</v>
      </c>
      <c r="FH36" s="1759">
        <v>0</v>
      </c>
      <c r="FI36" s="1759">
        <v>0</v>
      </c>
      <c r="FJ36" s="1759">
        <v>0</v>
      </c>
      <c r="FK36" s="1759">
        <v>0</v>
      </c>
      <c r="FL36" s="1759">
        <v>0</v>
      </c>
      <c r="FM36" s="1759">
        <v>0</v>
      </c>
      <c r="FN36" s="1759">
        <v>0</v>
      </c>
      <c r="FO36" s="1759">
        <v>0</v>
      </c>
      <c r="FP36" s="1759">
        <v>0</v>
      </c>
      <c r="FQ36" s="1759">
        <v>0</v>
      </c>
      <c r="FR36" s="1759">
        <v>0</v>
      </c>
      <c r="FS36" s="1759">
        <v>0</v>
      </c>
      <c r="FT36" s="1759">
        <v>0</v>
      </c>
      <c r="FU36" s="1759">
        <v>0</v>
      </c>
      <c r="FV36" s="1759">
        <v>0</v>
      </c>
      <c r="FW36" s="1759">
        <v>0</v>
      </c>
      <c r="FX36" s="1759">
        <v>0</v>
      </c>
      <c r="FY36" s="1759">
        <v>0</v>
      </c>
      <c r="FZ36" s="1759">
        <v>0</v>
      </c>
      <c r="GA36" s="1759">
        <v>0</v>
      </c>
      <c r="GB36" s="1759">
        <v>0</v>
      </c>
      <c r="GC36" s="1759">
        <v>0</v>
      </c>
      <c r="GD36" s="1759">
        <v>0</v>
      </c>
      <c r="GE36" s="1759">
        <v>0</v>
      </c>
      <c r="GF36" s="1759">
        <v>0</v>
      </c>
      <c r="GG36" s="1759">
        <v>0</v>
      </c>
      <c r="GH36" s="1759">
        <v>0</v>
      </c>
      <c r="GI36" s="1759">
        <v>0</v>
      </c>
      <c r="GJ36" s="1759">
        <v>0</v>
      </c>
      <c r="GK36" s="1759">
        <v>0</v>
      </c>
      <c r="GL36" s="1759">
        <v>0</v>
      </c>
      <c r="GM36" s="1759">
        <v>0</v>
      </c>
      <c r="GN36" s="1759">
        <v>0</v>
      </c>
      <c r="GO36" s="1759">
        <v>0</v>
      </c>
      <c r="GP36" s="1759">
        <v>0</v>
      </c>
      <c r="GQ36" s="1759">
        <v>0</v>
      </c>
      <c r="GR36" s="1759">
        <v>0</v>
      </c>
      <c r="GS36" s="1759">
        <v>0</v>
      </c>
      <c r="GT36" s="1759">
        <v>0</v>
      </c>
      <c r="GU36" s="1759">
        <v>0</v>
      </c>
      <c r="GV36" s="1759">
        <v>0</v>
      </c>
      <c r="GW36" s="1759">
        <v>0</v>
      </c>
      <c r="GX36" s="1759">
        <v>0</v>
      </c>
      <c r="GY36" s="1759">
        <v>0</v>
      </c>
      <c r="GZ36" s="1759">
        <v>0</v>
      </c>
      <c r="HA36" s="1759">
        <v>0</v>
      </c>
      <c r="HB36" s="1759">
        <v>0</v>
      </c>
      <c r="HC36" s="1759">
        <v>0</v>
      </c>
      <c r="HD36" s="1759">
        <v>0</v>
      </c>
      <c r="HE36" s="1759">
        <v>0</v>
      </c>
      <c r="HF36" s="1759">
        <v>0</v>
      </c>
      <c r="HG36" s="1759">
        <v>0</v>
      </c>
      <c r="HH36" s="1759">
        <v>0</v>
      </c>
      <c r="HI36" s="1759">
        <v>0</v>
      </c>
      <c r="HJ36" s="1759">
        <v>0</v>
      </c>
      <c r="HK36" s="1759">
        <v>0</v>
      </c>
      <c r="HL36" s="1759">
        <v>0</v>
      </c>
      <c r="HM36" s="1759">
        <v>0</v>
      </c>
      <c r="HN36" s="1759">
        <v>0</v>
      </c>
      <c r="HO36" s="1759">
        <v>0</v>
      </c>
      <c r="HP36" s="1759">
        <v>0</v>
      </c>
      <c r="HQ36" s="1759">
        <v>0</v>
      </c>
      <c r="HR36" s="1759">
        <v>0</v>
      </c>
      <c r="HS36" s="1759">
        <v>0</v>
      </c>
      <c r="HT36" s="1759">
        <v>0</v>
      </c>
      <c r="HU36" s="1759">
        <v>0</v>
      </c>
      <c r="HV36" s="1759">
        <v>0</v>
      </c>
      <c r="HW36" s="1759">
        <v>0</v>
      </c>
      <c r="HX36" s="1759">
        <v>0</v>
      </c>
      <c r="HY36" s="1759">
        <v>0</v>
      </c>
      <c r="HZ36" s="1759">
        <v>0</v>
      </c>
      <c r="IA36" s="1759">
        <v>0</v>
      </c>
      <c r="IB36" s="1759">
        <v>0</v>
      </c>
      <c r="IC36" s="1759">
        <v>0</v>
      </c>
      <c r="ID36" s="1759">
        <v>0</v>
      </c>
      <c r="IE36" s="1759">
        <v>0</v>
      </c>
      <c r="IF36" s="1759">
        <v>0</v>
      </c>
      <c r="IG36" s="1759">
        <v>0</v>
      </c>
      <c r="IH36" s="1759">
        <v>0</v>
      </c>
      <c r="II36" s="1759">
        <v>0</v>
      </c>
      <c r="IJ36" s="1759">
        <v>0</v>
      </c>
      <c r="IK36" s="1759">
        <v>0</v>
      </c>
      <c r="IL36" s="1759">
        <v>0</v>
      </c>
      <c r="IM36" s="1759">
        <v>0</v>
      </c>
      <c r="IN36" s="1759">
        <v>0</v>
      </c>
      <c r="IO36" s="1759">
        <v>0</v>
      </c>
      <c r="IP36" s="1759">
        <v>0</v>
      </c>
      <c r="IQ36" s="1759">
        <v>0</v>
      </c>
      <c r="IR36" s="1759">
        <v>0</v>
      </c>
      <c r="IS36" s="1759">
        <v>0</v>
      </c>
      <c r="IT36" s="1759">
        <v>0</v>
      </c>
      <c r="IU36" s="1759">
        <v>0</v>
      </c>
      <c r="IV36" s="1759">
        <v>0</v>
      </c>
      <c r="IW36" s="1759">
        <v>0</v>
      </c>
      <c r="IX36" s="1759">
        <v>0</v>
      </c>
      <c r="IY36" s="1759">
        <v>0</v>
      </c>
      <c r="IZ36" s="1759">
        <v>0</v>
      </c>
      <c r="JA36" s="1759">
        <v>0</v>
      </c>
      <c r="JB36" s="1759">
        <v>0</v>
      </c>
      <c r="JC36" s="1759">
        <v>0</v>
      </c>
      <c r="JD36" s="1759">
        <v>0</v>
      </c>
      <c r="JE36" s="1759">
        <v>0</v>
      </c>
      <c r="JF36" s="1759">
        <v>0</v>
      </c>
      <c r="JG36" s="1759">
        <v>0</v>
      </c>
      <c r="JH36" s="1759">
        <v>0</v>
      </c>
      <c r="JI36" s="1759">
        <v>0</v>
      </c>
      <c r="JJ36" s="1759">
        <v>0</v>
      </c>
      <c r="JK36" s="1759">
        <v>0</v>
      </c>
      <c r="JL36" s="1759">
        <v>0</v>
      </c>
      <c r="JM36" s="1759">
        <v>0</v>
      </c>
      <c r="JN36" s="1759">
        <v>0</v>
      </c>
      <c r="JO36" s="1759">
        <v>0</v>
      </c>
      <c r="JP36" s="1759">
        <v>0</v>
      </c>
      <c r="JQ36" s="1759">
        <v>0</v>
      </c>
      <c r="JR36" s="1759">
        <v>0</v>
      </c>
      <c r="JS36" s="1759">
        <v>0</v>
      </c>
      <c r="JT36" s="1759">
        <v>0</v>
      </c>
      <c r="JU36" s="1759">
        <v>0</v>
      </c>
      <c r="JV36" s="1759">
        <v>0</v>
      </c>
      <c r="JW36" s="1759">
        <v>0</v>
      </c>
      <c r="JX36" s="1759">
        <v>0</v>
      </c>
      <c r="JY36" s="1759">
        <v>0</v>
      </c>
      <c r="JZ36" s="1759">
        <v>0</v>
      </c>
      <c r="KA36" s="1759">
        <v>0</v>
      </c>
      <c r="KB36" s="1759">
        <v>0</v>
      </c>
      <c r="KC36" s="1759">
        <v>0</v>
      </c>
      <c r="KD36" s="1759">
        <v>0</v>
      </c>
      <c r="KE36" s="1759">
        <v>0</v>
      </c>
      <c r="KF36" s="1759">
        <v>0</v>
      </c>
      <c r="KG36" s="1759">
        <v>0</v>
      </c>
      <c r="KH36" s="1759">
        <v>0</v>
      </c>
      <c r="KI36" s="1759">
        <v>0</v>
      </c>
      <c r="KJ36" s="1759">
        <v>0</v>
      </c>
      <c r="KK36" s="1759">
        <v>0</v>
      </c>
      <c r="KL36" s="1759">
        <v>0</v>
      </c>
      <c r="KM36" s="1759">
        <v>0</v>
      </c>
      <c r="KN36" s="1759">
        <v>0</v>
      </c>
      <c r="KO36" s="1759">
        <v>0</v>
      </c>
      <c r="KP36" s="1759">
        <v>0</v>
      </c>
      <c r="KQ36" s="904">
        <f>+IFERROR(VLOOKUP(KQ$27&amp;"-"&amp;$M36&amp;"_new",Ammortamento_Finanziario!$H:$L,5,FALSE),VLOOKUP($M36,TT_Tabelle_Riferimento!$D$127:$H$164,5,FALSE))</f>
        <v>5</v>
      </c>
      <c r="KR36" s="904">
        <f>+IFERROR(VLOOKUP(KR$27&amp;"-"&amp;$M36&amp;"_new",Ammortamento_Finanziario!$H:$L,5,FALSE),VLOOKUP($M36,TT_Tabelle_Riferimento!$D$127:$H$164,5,FALSE))</f>
        <v>5</v>
      </c>
      <c r="KS36" s="1762">
        <f>+IFERROR(VLOOKUP(KS$27&amp;"-"&amp;$M36&amp;"_new",Ammortamento_Finanziario!$H:$L,5,FALSE),VLOOKUP($M36,TT_Tabelle_Riferimento!$D$127:$H$164,5,FALSE))</f>
        <v>5</v>
      </c>
      <c r="KT36" s="1762">
        <f>+IFERROR(VLOOKUP(KT$27&amp;"-"&amp;$M36&amp;"_new",Ammortamento_Finanziario!$H:$L,5,FALSE),VLOOKUP($M36,TT_Tabelle_Riferimento!$D$127:$H$164,5,FALSE))</f>
        <v>5</v>
      </c>
      <c r="KU36" s="1762">
        <f>+IFERROR(VLOOKUP(KU$27&amp;"-"&amp;$M36&amp;"_new",Ammortamento_Finanziario!$H:$L,5,FALSE),VLOOKUP($M36,TT_Tabelle_Riferimento!$D$127:$H$164,5,FALSE))</f>
        <v>5</v>
      </c>
      <c r="KV36" s="1762">
        <f>+IFERROR(VLOOKUP(KV$27&amp;"-"&amp;$M36&amp;"_new",Ammortamento_Finanziario!$H:$L,5,FALSE),VLOOKUP($M36,TT_Tabelle_Riferimento!$D$127:$H$164,5,FALSE))</f>
        <v>5</v>
      </c>
      <c r="KW36" s="1762">
        <f>+IFERROR(VLOOKUP(KW$27&amp;"-"&amp;$M36&amp;"_new",Ammortamento_Finanziario!$H:$L,5,FALSE),VLOOKUP($M36,TT_Tabelle_Riferimento!$D$127:$H$164,5,FALSE))</f>
        <v>5</v>
      </c>
      <c r="KX36" s="1762">
        <f>+IFERROR(VLOOKUP(KX$27&amp;"-"&amp;$M36&amp;"_new",Ammortamento_Finanziario!$H:$L,5,FALSE),VLOOKUP($M36,TT_Tabelle_Riferimento!$D$127:$H$164,5,FALSE))</f>
        <v>5</v>
      </c>
      <c r="KY36" s="904">
        <f>+IFERROR(VLOOKUP(KY$27&amp;"-"&amp;$M36&amp;"_new",Ammortamento_Finanziario!$H:$L,5,FALSE),VLOOKUP($M36,TT_Tabelle_Riferimento!$D$127:$H$164,5,FALSE))</f>
        <v>5</v>
      </c>
      <c r="KZ36" s="904">
        <f>+IFERROR(VLOOKUP(KZ$27&amp;"-"&amp;$M36&amp;"_new",Ammortamento_Finanziario!$H:$L,5,FALSE),VLOOKUP($M36,TT_Tabelle_Riferimento!$D$127:$H$164,5,FALSE))</f>
        <v>5</v>
      </c>
      <c r="LA36" s="904">
        <f>+IFERROR(VLOOKUP(LA$27&amp;"-"&amp;$M36&amp;"_new",Ammortamento_Finanziario!$H:$L,5,FALSE),VLOOKUP($M36,TT_Tabelle_Riferimento!$D$127:$H$164,5,FALSE))</f>
        <v>5</v>
      </c>
      <c r="LB36" s="904">
        <f>+IFERROR(VLOOKUP(LB$27&amp;"-"&amp;$M36&amp;"_new",Ammortamento_Finanziario!$H:$L,5,FALSE),VLOOKUP($M36,TT_Tabelle_Riferimento!$D$127:$H$164,5,FALSE))</f>
        <v>5</v>
      </c>
      <c r="LC36" s="904">
        <f>+IFERROR(VLOOKUP(LC$27&amp;"-"&amp;$M36&amp;"_new",Ammortamento_Finanziario!$H:$L,5,FALSE),VLOOKUP($M36,TT_Tabelle_Riferimento!$D$127:$H$164,5,FALSE))</f>
        <v>5</v>
      </c>
      <c r="LD36" s="904">
        <f>+IFERROR(VLOOKUP(LD$27&amp;"-"&amp;$M36&amp;"_new",Ammortamento_Finanziario!$H:$L,5,FALSE),VLOOKUP($M36,TT_Tabelle_Riferimento!$D$127:$H$164,5,FALSE))</f>
        <v>5</v>
      </c>
      <c r="LE36" s="904">
        <f>+IFERROR(VLOOKUP(LE$27&amp;"-"&amp;$M36&amp;"_new",Ammortamento_Finanziario!$H:$L,5,FALSE),VLOOKUP($M36,TT_Tabelle_Riferimento!$D$127:$H$164,5,FALSE))</f>
        <v>5</v>
      </c>
      <c r="LF36" s="904">
        <f>+IFERROR(VLOOKUP(LF$27&amp;"-"&amp;$M36&amp;"_new",Ammortamento_Finanziario!$H:$L,5,FALSE),VLOOKUP($M36,TT_Tabelle_Riferimento!$D$127:$H$164,5,FALSE))</f>
        <v>5</v>
      </c>
      <c r="LG36" s="904">
        <f>+IFERROR(VLOOKUP(LG$27&amp;"-"&amp;$M36&amp;"_new",Ammortamento_Finanziario!$H:$L,5,FALSE),VLOOKUP($M36,TT_Tabelle_Riferimento!$D$127:$H$164,5,FALSE))</f>
        <v>5</v>
      </c>
      <c r="LH36" s="904">
        <f>+IFERROR(VLOOKUP(LH$27&amp;"-"&amp;$M36&amp;"_new",Ammortamento_Finanziario!$H:$L,5,FALSE),VLOOKUP($M36,TT_Tabelle_Riferimento!$D$127:$H$164,5,FALSE))</f>
        <v>5</v>
      </c>
      <c r="LI36" s="904">
        <f>+IFERROR(VLOOKUP(LI$27&amp;"-"&amp;$M36&amp;"_new",Ammortamento_Finanziario!$H:$L,5,FALSE),VLOOKUP($M36,TT_Tabelle_Riferimento!$D$127:$H$164,5,FALSE))</f>
        <v>5</v>
      </c>
      <c r="LJ36" s="904">
        <f>+IFERROR(VLOOKUP(LJ$27&amp;"-"&amp;$M36&amp;"_new",Ammortamento_Finanziario!$H:$L,5,FALSE),VLOOKUP($M36,TT_Tabelle_Riferimento!$D$127:$H$164,5,FALSE))</f>
        <v>5</v>
      </c>
      <c r="LK36" s="904">
        <f>+IFERROR(VLOOKUP(LK$27&amp;"-"&amp;$M36&amp;"_new",Ammortamento_Finanziario!$H:$L,5,FALSE),VLOOKUP($M36,TT_Tabelle_Riferimento!$D$127:$H$164,5,FALSE))</f>
        <v>5</v>
      </c>
      <c r="LL36" s="904">
        <f>+IFERROR(VLOOKUP(LL$27&amp;"-"&amp;$M36&amp;"_new",Ammortamento_Finanziario!$H:$L,5,FALSE),VLOOKUP($M36,TT_Tabelle_Riferimento!$D$127:$H$164,5,FALSE))</f>
        <v>5</v>
      </c>
      <c r="LM36" s="904">
        <f>+IFERROR(VLOOKUP(LM$27&amp;"-"&amp;$M36&amp;"_new",Ammortamento_Finanziario!$H:$L,5,FALSE),VLOOKUP($M36,TT_Tabelle_Riferimento!$D$127:$H$164,5,FALSE))</f>
        <v>5</v>
      </c>
      <c r="LN36" s="904">
        <f>+IFERROR(VLOOKUP(LN$27&amp;"-"&amp;$M36&amp;"_new",Ammortamento_Finanziario!$H:$L,5,FALSE),VLOOKUP($M36,TT_Tabelle_Riferimento!$D$127:$H$164,5,FALSE))</f>
        <v>5</v>
      </c>
      <c r="LO36" s="904">
        <f>+IFERROR(VLOOKUP(LO$27&amp;"-"&amp;$M36&amp;"_new",Ammortamento_Finanziario!$H:$L,5,FALSE),VLOOKUP($M36,TT_Tabelle_Riferimento!$D$127:$H$164,5,FALSE))</f>
        <v>5</v>
      </c>
      <c r="LP36" s="904">
        <f>+IFERROR(VLOOKUP(LP$27&amp;"-"&amp;$M36&amp;"_new",Ammortamento_Finanziario!$H:$L,5,FALSE),VLOOKUP($M36,TT_Tabelle_Riferimento!$D$127:$H$164,5,FALSE))</f>
        <v>5</v>
      </c>
      <c r="LQ36" s="904">
        <f>+IFERROR(VLOOKUP(LQ$27&amp;"-"&amp;$M36&amp;"_new",Ammortamento_Finanziario!$H:$L,5,FALSE),VLOOKUP($M36,TT_Tabelle_Riferimento!$D$127:$H$164,5,FALSE))</f>
        <v>5</v>
      </c>
      <c r="LR36" s="904">
        <f>+IFERROR(VLOOKUP(LR$27&amp;"-"&amp;$M36&amp;"_new",Ammortamento_Finanziario!$H:$L,5,FALSE),VLOOKUP($M36,TT_Tabelle_Riferimento!$D$127:$H$164,5,FALSE))</f>
        <v>5</v>
      </c>
      <c r="LS36" s="1762">
        <f>+IFERROR(VLOOKUP(LS$27&amp;"-"&amp;$M36&amp;"_new",Ammortamento_Finanziario!$H:$L,5,FALSE),VLOOKUP($M36,TT_Tabelle_Riferimento!$D$127:$H$164,5,FALSE))</f>
        <v>5</v>
      </c>
      <c r="LT36" s="1762">
        <f>+IFERROR(VLOOKUP(LT$27&amp;"-"&amp;$M36&amp;"_new",Ammortamento_Finanziario!$H:$L,5,FALSE),VLOOKUP($M36,TT_Tabelle_Riferimento!$D$127:$H$164,5,FALSE))</f>
        <v>5</v>
      </c>
      <c r="LU36" s="1762">
        <f>+IFERROR(VLOOKUP(LU$27&amp;"-"&amp;$M36&amp;"_new",Ammortamento_Finanziario!$H:$L,5,FALSE),VLOOKUP($M36,TT_Tabelle_Riferimento!$D$127:$H$164,5,FALSE))</f>
        <v>5</v>
      </c>
      <c r="LV36" s="1762">
        <f>+IFERROR(VLOOKUP(LV$27&amp;"-"&amp;$M36&amp;"_new",Ammortamento_Finanziario!$H:$L,5,FALSE),VLOOKUP($M36,TT_Tabelle_Riferimento!$D$127:$H$164,5,FALSE))</f>
        <v>5</v>
      </c>
      <c r="LW36" s="1762">
        <f>+IFERROR(VLOOKUP(LW$27&amp;"-"&amp;$M36&amp;"_new",Ammortamento_Finanziario!$H:$L,5,FALSE),VLOOKUP($M36,TT_Tabelle_Riferimento!$D$127:$H$164,5,FALSE))</f>
        <v>5</v>
      </c>
      <c r="LX36" s="1762">
        <f>+IFERROR(VLOOKUP(LX$27&amp;"-"&amp;$M36&amp;"_new",Ammortamento_Finanziario!$H:$L,5,FALSE),VLOOKUP($M36,TT_Tabelle_Riferimento!$D$127:$H$164,5,FALSE))</f>
        <v>5</v>
      </c>
      <c r="LY36" s="904">
        <f>+IFERROR(VLOOKUP(LY$27&amp;"-"&amp;$M36&amp;"_new",Ammortamento_Finanziario!$H:$L,5,FALSE),VLOOKUP($M36,TT_Tabelle_Riferimento!$D$127:$H$164,5,FALSE))</f>
        <v>5</v>
      </c>
      <c r="LZ36" s="904">
        <f>+IFERROR(VLOOKUP(LZ$27&amp;"-"&amp;$M36&amp;"_new",Ammortamento_Finanziario!$H:$L,5,FALSE),VLOOKUP($M36,TT_Tabelle_Riferimento!$D$127:$H$164,5,FALSE))</f>
        <v>5</v>
      </c>
      <c r="MA36" s="904">
        <f>+IFERROR(VLOOKUP(MA$27&amp;"-"&amp;$M36&amp;"_new",Ammortamento_Finanziario!$H:$L,5,FALSE),VLOOKUP($M36,TT_Tabelle_Riferimento!$D$127:$H$164,5,FALSE))</f>
        <v>5</v>
      </c>
      <c r="MB36" s="904">
        <f>+IFERROR(VLOOKUP(MB$27&amp;"-"&amp;$M36&amp;"_new",Ammortamento_Finanziario!$H:$L,5,FALSE),VLOOKUP($M36,TT_Tabelle_Riferimento!$D$127:$H$164,5,FALSE))</f>
        <v>5</v>
      </c>
      <c r="MC36" s="904">
        <f>+IFERROR(VLOOKUP(MC$27&amp;"-"&amp;$M36&amp;"_new",Ammortamento_Finanziario!$H:$L,5,FALSE),VLOOKUP($M36,TT_Tabelle_Riferimento!$D$127:$H$164,5,FALSE))</f>
        <v>5</v>
      </c>
      <c r="MD36" s="904">
        <f>+IFERROR(VLOOKUP(MD$27&amp;"-"&amp;$M36&amp;"_new",Ammortamento_Finanziario!$H:$L,5,FALSE),VLOOKUP($M36,TT_Tabelle_Riferimento!$D$127:$H$164,5,FALSE))</f>
        <v>5</v>
      </c>
      <c r="ME36" s="904">
        <f>+IFERROR(VLOOKUP(ME$27&amp;"-"&amp;$M36&amp;"_new",Ammortamento_Finanziario!$H:$L,5,FALSE),VLOOKUP($M36,TT_Tabelle_Riferimento!$D$127:$H$164,5,FALSE))</f>
        <v>5</v>
      </c>
      <c r="MF36" s="904">
        <f>+IFERROR(VLOOKUP(MF$27&amp;"-"&amp;$M36&amp;"_new",Ammortamento_Finanziario!$H:$L,5,FALSE),VLOOKUP($M36,TT_Tabelle_Riferimento!$D$127:$H$164,5,FALSE))</f>
        <v>5</v>
      </c>
      <c r="MG36" s="904">
        <f>+IFERROR(VLOOKUP(MG$27&amp;"-"&amp;$M36&amp;"_new",Ammortamento_Finanziario!$H:$L,5,FALSE),VLOOKUP($M36,TT_Tabelle_Riferimento!$D$127:$H$164,5,FALSE))</f>
        <v>5</v>
      </c>
      <c r="MH36" s="904">
        <f>+IFERROR(VLOOKUP(MH$27&amp;"-"&amp;$M36&amp;"_new",Ammortamento_Finanziario!$H:$L,5,FALSE),VLOOKUP($M36,TT_Tabelle_Riferimento!$D$127:$H$164,5,FALSE))</f>
        <v>5</v>
      </c>
      <c r="MI36" s="904">
        <f>+IFERROR(VLOOKUP(MI$27&amp;"-"&amp;$M36&amp;"_new",Ammortamento_Finanziario!$H:$L,5,FALSE),VLOOKUP($M36,TT_Tabelle_Riferimento!$D$127:$H$164,5,FALSE))</f>
        <v>5</v>
      </c>
      <c r="MJ36" s="904">
        <f>+IFERROR(VLOOKUP(MJ$27&amp;"-"&amp;$M36&amp;"_new",Ammortamento_Finanziario!$H:$L,5,FALSE),VLOOKUP($M36,TT_Tabelle_Riferimento!$D$127:$H$164,5,FALSE))</f>
        <v>5</v>
      </c>
      <c r="MK36" s="904">
        <f>+IFERROR(VLOOKUP(MK$27&amp;"-"&amp;$M36&amp;"_new",Ammortamento_Finanziario!$H:$L,5,FALSE),VLOOKUP($M36,TT_Tabelle_Riferimento!$D$127:$H$164,5,FALSE))</f>
        <v>5</v>
      </c>
      <c r="ML36" s="904">
        <f>+IFERROR(VLOOKUP(ML$27&amp;"-"&amp;$M36&amp;"_new",Ammortamento_Finanziario!$H:$L,5,FALSE),VLOOKUP($M36,TT_Tabelle_Riferimento!$D$127:$H$164,5,FALSE))</f>
        <v>5</v>
      </c>
      <c r="MM36" s="904">
        <f>+IFERROR(VLOOKUP(MM$27&amp;"-"&amp;$M36&amp;"_new",Ammortamento_Finanziario!$H:$L,5,FALSE),VLOOKUP($M36,TT_Tabelle_Riferimento!$D$127:$H$164,5,FALSE))</f>
        <v>5</v>
      </c>
      <c r="MN36" s="904">
        <f>+IFERROR(VLOOKUP(MN$27&amp;"-"&amp;$M36&amp;"_new",Ammortamento_Finanziario!$H:$L,5,FALSE),VLOOKUP($M36,TT_Tabelle_Riferimento!$D$127:$H$164,5,FALSE))</f>
        <v>5</v>
      </c>
      <c r="MO36" s="904">
        <f>+IFERROR(VLOOKUP(MO$27&amp;"-"&amp;$M36&amp;"_new",Ammortamento_Finanziario!$H:$L,5,FALSE),VLOOKUP($M36,TT_Tabelle_Riferimento!$D$127:$H$164,5,FALSE))</f>
        <v>5</v>
      </c>
      <c r="MP36" s="904">
        <f>+IFERROR(VLOOKUP(MP$27&amp;"-"&amp;$M36&amp;"_new",Ammortamento_Finanziario!$H:$L,5,FALSE),VLOOKUP($M36,TT_Tabelle_Riferimento!$D$127:$H$164,5,FALSE))</f>
        <v>5</v>
      </c>
      <c r="MQ36" s="904">
        <f>+IFERROR(VLOOKUP(MQ$27&amp;"-"&amp;$M36&amp;"_new",Ammortamento_Finanziario!$H:$L,5,FALSE),VLOOKUP($M36,TT_Tabelle_Riferimento!$D$127:$H$164,5,FALSE))</f>
        <v>5</v>
      </c>
      <c r="MR36" s="1762">
        <f>+IFERROR(VLOOKUP(MR$27&amp;"-"&amp;$M36&amp;"_new",Ammortamento_Finanziario!$H:$L,5,FALSE),VLOOKUP($M36,TT_Tabelle_Riferimento!$D$127:$H$164,5,FALSE))</f>
        <v>5</v>
      </c>
      <c r="MS36" s="1762">
        <f>+IFERROR(VLOOKUP(MS$27&amp;"-"&amp;$M36&amp;"_new",Ammortamento_Finanziario!$H:$L,5,FALSE),VLOOKUP($M36,TT_Tabelle_Riferimento!$D$127:$H$164,5,FALSE))</f>
        <v>5</v>
      </c>
      <c r="MT36" s="1762">
        <f>+IFERROR(VLOOKUP(MT$27&amp;"-"&amp;$M36&amp;"_new",Ammortamento_Finanziario!$H:$L,5,FALSE),VLOOKUP($M36,TT_Tabelle_Riferimento!$D$127:$H$164,5,FALSE))</f>
        <v>5</v>
      </c>
      <c r="MU36" s="1762">
        <f>+IFERROR(VLOOKUP(MU$27&amp;"-"&amp;$M36&amp;"_new",Ammortamento_Finanziario!$H:$L,5,FALSE),VLOOKUP($M36,TT_Tabelle_Riferimento!$D$127:$H$164,5,FALSE))</f>
        <v>5</v>
      </c>
      <c r="MV36" s="1762">
        <f>+IFERROR(VLOOKUP(MV$27&amp;"-"&amp;$M36&amp;"_new",Ammortamento_Finanziario!$H:$L,5,FALSE),VLOOKUP($M36,TT_Tabelle_Riferimento!$D$127:$H$164,5,FALSE))</f>
        <v>5</v>
      </c>
      <c r="MW36" s="1762">
        <f>+IFERROR(VLOOKUP(MW$27&amp;"-"&amp;$M36&amp;"_new",Ammortamento_Finanziario!$H:$L,5,FALSE),VLOOKUP($M36,TT_Tabelle_Riferimento!$D$127:$H$164,5,FALSE))</f>
        <v>5</v>
      </c>
      <c r="MX36" s="904">
        <f>+IFERROR(VLOOKUP(MX$27&amp;"-"&amp;$M36&amp;"_new",Ammortamento_Finanziario!$H:$L,5,FALSE),VLOOKUP($M36,TT_Tabelle_Riferimento!$D$127:$H$164,5,FALSE))</f>
        <v>5</v>
      </c>
      <c r="MY36" s="904">
        <f>+IFERROR(VLOOKUP(MY$27&amp;"-"&amp;$M36&amp;"_new",Ammortamento_Finanziario!$H:$L,5,FALSE),VLOOKUP($M36,TT_Tabelle_Riferimento!$D$127:$H$164,5,FALSE))</f>
        <v>5</v>
      </c>
      <c r="MZ36" s="904">
        <f>+IFERROR(VLOOKUP(MZ$27&amp;"-"&amp;$M36&amp;"_new",Ammortamento_Finanziario!$H:$L,5,FALSE),VLOOKUP($M36,TT_Tabelle_Riferimento!$D$127:$H$164,5,FALSE))</f>
        <v>5</v>
      </c>
      <c r="NA36" s="904">
        <f>+IFERROR(VLOOKUP(NA$27&amp;"-"&amp;$M36&amp;"_new",Ammortamento_Finanziario!$H:$L,5,FALSE),VLOOKUP($M36,TT_Tabelle_Riferimento!$D$127:$H$164,5,FALSE))</f>
        <v>5</v>
      </c>
      <c r="NB36" s="904">
        <f>+IFERROR(VLOOKUP(NB$27&amp;"-"&amp;$M36&amp;"_new",Ammortamento_Finanziario!$H:$L,5,FALSE),VLOOKUP($M36,TT_Tabelle_Riferimento!$D$127:$H$164,5,FALSE))</f>
        <v>5</v>
      </c>
      <c r="NC36" s="904">
        <f>+IFERROR(VLOOKUP(NC$27&amp;"-"&amp;$M36&amp;"_new",Ammortamento_Finanziario!$H:$L,5,FALSE),VLOOKUP($M36,TT_Tabelle_Riferimento!$D$127:$H$164,5,FALSE))</f>
        <v>5</v>
      </c>
      <c r="ND36" s="904">
        <f>+IFERROR(VLOOKUP(ND$27&amp;"-"&amp;$M36&amp;"_new",Ammortamento_Finanziario!$H:$L,5,FALSE),VLOOKUP($M36,TT_Tabelle_Riferimento!$D$127:$H$164,5,FALSE))</f>
        <v>5</v>
      </c>
      <c r="NE36" s="904">
        <f>+IFERROR(VLOOKUP(NE$27&amp;"-"&amp;$M36&amp;"_new",Ammortamento_Finanziario!$H:$L,5,FALSE),VLOOKUP($M36,TT_Tabelle_Riferimento!$D$127:$H$164,5,FALSE))</f>
        <v>5</v>
      </c>
      <c r="NF36" s="904">
        <f>+IFERROR(VLOOKUP(NF$27&amp;"-"&amp;$M36&amp;"_new",Ammortamento_Finanziario!$H:$L,5,FALSE),VLOOKUP($M36,TT_Tabelle_Riferimento!$D$127:$H$164,5,FALSE))</f>
        <v>5</v>
      </c>
      <c r="NG36" s="904">
        <f>+IFERROR(VLOOKUP(NG$27&amp;"-"&amp;$M36&amp;"_new",Ammortamento_Finanziario!$H:$L,5,FALSE),VLOOKUP($M36,TT_Tabelle_Riferimento!$D$127:$H$164,5,FALSE))</f>
        <v>5</v>
      </c>
      <c r="NH36" s="904">
        <f>+IFERROR(VLOOKUP(NH$27&amp;"-"&amp;$M36&amp;"_new",Ammortamento_Finanziario!$H:$L,5,FALSE),VLOOKUP($M36,TT_Tabelle_Riferimento!$D$127:$H$164,5,FALSE))</f>
        <v>5</v>
      </c>
      <c r="NI36" s="904">
        <f>+IFERROR(VLOOKUP(NI$27&amp;"-"&amp;$M36&amp;"_new",Ammortamento_Finanziario!$H:$L,5,FALSE),VLOOKUP($M36,TT_Tabelle_Riferimento!$D$127:$H$164,5,FALSE))</f>
        <v>5</v>
      </c>
      <c r="NJ36" s="904">
        <f>+IFERROR(VLOOKUP(NJ$27&amp;"-"&amp;$M36&amp;"_new",Ammortamento_Finanziario!$H:$L,5,FALSE),VLOOKUP($M36,TT_Tabelle_Riferimento!$D$127:$H$164,5,FALSE))</f>
        <v>5</v>
      </c>
      <c r="NK36" s="904">
        <f>+IFERROR(VLOOKUP(NK$27&amp;"-"&amp;$M36&amp;"_new",Ammortamento_Finanziario!$H:$L,5,FALSE),VLOOKUP($M36,TT_Tabelle_Riferimento!$D$127:$H$164,5,FALSE))</f>
        <v>5</v>
      </c>
      <c r="NL36" s="904">
        <f>+IFERROR(VLOOKUP(NL$27&amp;"-"&amp;$M36&amp;"_new",Ammortamento_Finanziario!$H:$L,5,FALSE),VLOOKUP($M36,TT_Tabelle_Riferimento!$D$127:$H$164,5,FALSE))</f>
        <v>5</v>
      </c>
      <c r="NM36" s="904">
        <f>+IFERROR(VLOOKUP(NM$27&amp;"-"&amp;$M36&amp;"_new",Ammortamento_Finanziario!$H:$L,5,FALSE),VLOOKUP($M36,TT_Tabelle_Riferimento!$D$127:$H$164,5,FALSE))</f>
        <v>5</v>
      </c>
      <c r="NN36" s="904">
        <f>+IFERROR(VLOOKUP(NN$27&amp;"-"&amp;$M36&amp;"_new",Ammortamento_Finanziario!$H:$L,5,FALSE),VLOOKUP($M36,TT_Tabelle_Riferimento!$D$127:$H$164,5,FALSE))</f>
        <v>5</v>
      </c>
      <c r="NO36" s="904">
        <f>+IFERROR(VLOOKUP(NO$27&amp;"-"&amp;$M36&amp;"_new",Ammortamento_Finanziario!$H:$L,5,FALSE),VLOOKUP($M36,TT_Tabelle_Riferimento!$D$127:$H$164,5,FALSE))</f>
        <v>5</v>
      </c>
      <c r="NP36" s="904">
        <f>+IFERROR(VLOOKUP(NP$27&amp;"-"&amp;$M36&amp;"_new",Ammortamento_Finanziario!$H:$L,5,FALSE),VLOOKUP($M36,TT_Tabelle_Riferimento!$D$127:$H$164,5,FALSE))</f>
        <v>5</v>
      </c>
      <c r="NQ36" s="1762">
        <f>+IFERROR(VLOOKUP(NQ$27&amp;"-"&amp;$M36&amp;"_new",Ammortamento_Finanziario!$H:$L,5,FALSE),VLOOKUP($M36,TT_Tabelle_Riferimento!$D$127:$H$164,5,FALSE))</f>
        <v>5</v>
      </c>
      <c r="NR36" s="1762">
        <f>+IFERROR(VLOOKUP(NR$27&amp;"-"&amp;$M36&amp;"_new",Ammortamento_Finanziario!$H:$L,5,FALSE),VLOOKUP($M36,TT_Tabelle_Riferimento!$D$127:$H$164,5,FALSE))</f>
        <v>5</v>
      </c>
      <c r="NS36" s="1762">
        <f>+IFERROR(VLOOKUP(NS$27&amp;"-"&amp;$M36&amp;"_new",Ammortamento_Finanziario!$H:$L,5,FALSE),VLOOKUP($M36,TT_Tabelle_Riferimento!$D$127:$H$164,5,FALSE))</f>
        <v>5</v>
      </c>
      <c r="NT36" s="1762">
        <f>+IFERROR(VLOOKUP(NT$27&amp;"-"&amp;$M36&amp;"_new",Ammortamento_Finanziario!$H:$L,5,FALSE),VLOOKUP($M36,TT_Tabelle_Riferimento!$D$127:$H$164,5,FALSE))</f>
        <v>5</v>
      </c>
      <c r="NU36" s="1762">
        <f>+IFERROR(VLOOKUP(NU$27&amp;"-"&amp;$M36&amp;"_new",Ammortamento_Finanziario!$H:$L,5,FALSE),VLOOKUP($M36,TT_Tabelle_Riferimento!$D$127:$H$164,5,FALSE))</f>
        <v>5</v>
      </c>
      <c r="NV36" s="904">
        <f>+IFERROR(VLOOKUP(NV$27&amp;"-"&amp;$M36&amp;"_new",Ammortamento_Finanziario!$H:$L,5,FALSE),VLOOKUP($M36,TT_Tabelle_Riferimento!$D$127:$H$164,5,FALSE))</f>
        <v>5</v>
      </c>
      <c r="NW36" s="904">
        <f>+IFERROR(VLOOKUP(NW$27&amp;"-"&amp;$M36&amp;"_new",Ammortamento_Finanziario!$H:$L,5,FALSE),VLOOKUP($M36,TT_Tabelle_Riferimento!$D$127:$H$164,5,FALSE))</f>
        <v>5</v>
      </c>
      <c r="NX36" s="904">
        <f>+IFERROR(VLOOKUP(NX$27&amp;"-"&amp;$M36&amp;"_new",Ammortamento_Finanziario!$H:$L,5,FALSE),VLOOKUP($M36,TT_Tabelle_Riferimento!$D$127:$H$164,5,FALSE))</f>
        <v>5</v>
      </c>
      <c r="NY36" s="904">
        <f>+IFERROR(VLOOKUP(NY$27&amp;"-"&amp;$M36&amp;"_new",Ammortamento_Finanziario!$H:$L,5,FALSE),VLOOKUP($M36,TT_Tabelle_Riferimento!$D$127:$H$164,5,FALSE))</f>
        <v>5</v>
      </c>
      <c r="NZ36" s="904">
        <f>+IFERROR(VLOOKUP(NZ$27&amp;"-"&amp;$M36&amp;"_new",Ammortamento_Finanziario!$H:$L,5,FALSE),VLOOKUP($M36,TT_Tabelle_Riferimento!$D$127:$H$164,5,FALSE))</f>
        <v>5</v>
      </c>
      <c r="OA36" s="904">
        <f>+IFERROR(VLOOKUP(OA$27&amp;"-"&amp;$M36&amp;"_new",Ammortamento_Finanziario!$H:$L,5,FALSE),VLOOKUP($M36,TT_Tabelle_Riferimento!$D$127:$H$164,5,FALSE))</f>
        <v>5</v>
      </c>
      <c r="OB36" s="904">
        <f>+IFERROR(VLOOKUP(OB$27&amp;"-"&amp;$M36&amp;"_new",Ammortamento_Finanziario!$H:$L,5,FALSE),VLOOKUP($M36,TT_Tabelle_Riferimento!$D$127:$H$164,5,FALSE))</f>
        <v>5</v>
      </c>
      <c r="OC36" s="904">
        <f>+IFERROR(VLOOKUP(OC$27&amp;"-"&amp;$M36&amp;"_new",Ammortamento_Finanziario!$H:$L,5,FALSE),VLOOKUP($M36,TT_Tabelle_Riferimento!$D$127:$H$164,5,FALSE))</f>
        <v>5</v>
      </c>
      <c r="OD36" s="904">
        <f>+IFERROR(VLOOKUP(OD$27&amp;"-"&amp;$M36&amp;"_new",Ammortamento_Finanziario!$H:$L,5,FALSE),VLOOKUP($M36,TT_Tabelle_Riferimento!$D$127:$H$164,5,FALSE))</f>
        <v>5</v>
      </c>
      <c r="OE36" s="904">
        <f>+IFERROR(VLOOKUP(OE$27&amp;"-"&amp;$M36&amp;"_new",Ammortamento_Finanziario!$H:$L,5,FALSE),VLOOKUP($M36,TT_Tabelle_Riferimento!$D$127:$H$164,5,FALSE))</f>
        <v>5</v>
      </c>
      <c r="OF36" s="904">
        <f>+IFERROR(VLOOKUP(OF$27&amp;"-"&amp;$M36&amp;"_new",Ammortamento_Finanziario!$H:$L,5,FALSE),VLOOKUP($M36,TT_Tabelle_Riferimento!$D$127:$H$164,5,FALSE))</f>
        <v>5</v>
      </c>
      <c r="OG36" s="904">
        <f>+IFERROR(VLOOKUP(OG$27&amp;"-"&amp;$M36&amp;"_new",Ammortamento_Finanziario!$H:$L,5,FALSE),VLOOKUP($M36,TT_Tabelle_Riferimento!$D$127:$H$164,5,FALSE))</f>
        <v>5</v>
      </c>
      <c r="OH36" s="904">
        <f>+IFERROR(VLOOKUP(OH$27&amp;"-"&amp;$M36&amp;"_new",Ammortamento_Finanziario!$H:$L,5,FALSE),VLOOKUP($M36,TT_Tabelle_Riferimento!$D$127:$H$164,5,FALSE))</f>
        <v>5</v>
      </c>
      <c r="OI36" s="904">
        <f>+IFERROR(VLOOKUP(OI$27&amp;"-"&amp;$M36&amp;"_new",Ammortamento_Finanziario!$H:$L,5,FALSE),VLOOKUP($M36,TT_Tabelle_Riferimento!$D$127:$H$164,5,FALSE))</f>
        <v>5</v>
      </c>
      <c r="OJ36" s="904">
        <f>+IFERROR(VLOOKUP(OJ$27&amp;"-"&amp;$M36&amp;"_new",Ammortamento_Finanziario!$H:$L,5,FALSE),VLOOKUP($M36,TT_Tabelle_Riferimento!$D$127:$H$164,5,FALSE))</f>
        <v>5</v>
      </c>
      <c r="OK36" s="904">
        <f>+IFERROR(VLOOKUP(OK$27&amp;"-"&amp;$M36&amp;"_new",Ammortamento_Finanziario!$H:$L,5,FALSE),VLOOKUP($M36,TT_Tabelle_Riferimento!$D$127:$H$164,5,FALSE))</f>
        <v>5</v>
      </c>
      <c r="OL36" s="904">
        <f>+IFERROR(VLOOKUP(OL$27&amp;"-"&amp;$M36&amp;"_new",Ammortamento_Finanziario!$H:$L,5,FALSE),VLOOKUP($M36,TT_Tabelle_Riferimento!$D$127:$H$164,5,FALSE))</f>
        <v>5</v>
      </c>
      <c r="OM36" s="904">
        <f>+IFERROR(VLOOKUP(OM$27&amp;"-"&amp;$M36&amp;"_new",Ammortamento_Finanziario!$H:$L,5,FALSE),VLOOKUP($M36,TT_Tabelle_Riferimento!$D$127:$H$164,5,FALSE))</f>
        <v>5</v>
      </c>
      <c r="ON36" s="904">
        <f>+IFERROR(VLOOKUP(ON$27&amp;"-"&amp;$M36&amp;"_new",Ammortamento_Finanziario!$H:$L,5,FALSE),VLOOKUP($M36,TT_Tabelle_Riferimento!$D$127:$H$164,5,FALSE))</f>
        <v>5</v>
      </c>
      <c r="OO36" s="1762">
        <f>+IFERROR(VLOOKUP(OO$27&amp;"-"&amp;$M36&amp;"_new",Ammortamento_Finanziario!$H:$L,5,FALSE),VLOOKUP($M36,TT_Tabelle_Riferimento!$D$127:$H$164,5,FALSE))</f>
        <v>5</v>
      </c>
      <c r="OP36" s="1762">
        <f>+IFERROR(VLOOKUP(OP$27&amp;"-"&amp;$M36&amp;"_new",Ammortamento_Finanziario!$H:$L,5,FALSE),VLOOKUP($M36,TT_Tabelle_Riferimento!$D$127:$H$164,5,FALSE))</f>
        <v>5</v>
      </c>
      <c r="OQ36" s="1762">
        <f>+IFERROR(VLOOKUP(OQ$27&amp;"-"&amp;$M36&amp;"_new",Ammortamento_Finanziario!$H:$L,5,FALSE),VLOOKUP($M36,TT_Tabelle_Riferimento!$D$127:$H$164,5,FALSE))</f>
        <v>5</v>
      </c>
      <c r="OR36" s="1762">
        <f>+IFERROR(VLOOKUP(OR$27&amp;"-"&amp;$M36&amp;"_new",Ammortamento_Finanziario!$H:$L,5,FALSE),VLOOKUP($M36,TT_Tabelle_Riferimento!$D$127:$H$164,5,FALSE))</f>
        <v>5</v>
      </c>
      <c r="OS36" s="904">
        <f>+IFERROR(VLOOKUP(OS$27&amp;"-"&amp;$M36&amp;"_new",Ammortamento_Finanziario!$H:$L,5,FALSE),VLOOKUP($M36,TT_Tabelle_Riferimento!$D$127:$H$164,5,FALSE))</f>
        <v>5</v>
      </c>
      <c r="OT36" s="904">
        <f>+IFERROR(VLOOKUP(OT$27&amp;"-"&amp;$M36&amp;"_new",Ammortamento_Finanziario!$H:$L,5,FALSE),VLOOKUP($M36,TT_Tabelle_Riferimento!$D$127:$H$164,5,FALSE))</f>
        <v>5</v>
      </c>
      <c r="OU36" s="904">
        <f>+IFERROR(VLOOKUP(OU$27&amp;"-"&amp;$M36&amp;"_new",Ammortamento_Finanziario!$H:$L,5,FALSE),VLOOKUP($M36,TT_Tabelle_Riferimento!$D$127:$H$164,5,FALSE))</f>
        <v>5</v>
      </c>
      <c r="OV36" s="904">
        <f>+IFERROR(VLOOKUP(OV$27&amp;"-"&amp;$M36&amp;"_new",Ammortamento_Finanziario!$H:$L,5,FALSE),VLOOKUP($M36,TT_Tabelle_Riferimento!$D$127:$H$164,5,FALSE))</f>
        <v>5</v>
      </c>
      <c r="OW36" s="904">
        <f>+IFERROR(VLOOKUP(OW$27&amp;"-"&amp;$M36&amp;"_new",Ammortamento_Finanziario!$H:$L,5,FALSE),VLOOKUP($M36,TT_Tabelle_Riferimento!$D$127:$H$164,5,FALSE))</f>
        <v>5</v>
      </c>
      <c r="OX36" s="904">
        <f>+IFERROR(VLOOKUP(OX$27&amp;"-"&amp;$M36&amp;"_new",Ammortamento_Finanziario!$H:$L,5,FALSE),VLOOKUP($M36,TT_Tabelle_Riferimento!$D$127:$H$164,5,FALSE))</f>
        <v>5</v>
      </c>
      <c r="OY36" s="904">
        <f>+IFERROR(VLOOKUP(OY$27&amp;"-"&amp;$M36&amp;"_new",Ammortamento_Finanziario!$H:$L,5,FALSE),VLOOKUP($M36,TT_Tabelle_Riferimento!$D$127:$H$164,5,FALSE))</f>
        <v>5</v>
      </c>
      <c r="OZ36" s="904">
        <f>+IFERROR(VLOOKUP(OZ$27&amp;"-"&amp;$M36&amp;"_new",Ammortamento_Finanziario!$H:$L,5,FALSE),VLOOKUP($M36,TT_Tabelle_Riferimento!$D$127:$H$164,5,FALSE))</f>
        <v>5</v>
      </c>
      <c r="PA36" s="904">
        <f>+IFERROR(VLOOKUP(PA$27&amp;"-"&amp;$M36&amp;"_new",Ammortamento_Finanziario!$H:$L,5,FALSE),VLOOKUP($M36,TT_Tabelle_Riferimento!$D$127:$H$164,5,FALSE))</f>
        <v>5</v>
      </c>
      <c r="PB36" s="904">
        <f>+IFERROR(VLOOKUP(PB$27&amp;"-"&amp;$M36&amp;"_new",Ammortamento_Finanziario!$H:$L,5,FALSE),VLOOKUP($M36,TT_Tabelle_Riferimento!$D$127:$H$164,5,FALSE))</f>
        <v>5</v>
      </c>
      <c r="PC36" s="904">
        <f>+IFERROR(VLOOKUP(PC$27&amp;"-"&amp;$M36&amp;"_new",Ammortamento_Finanziario!$H:$L,5,FALSE),VLOOKUP($M36,TT_Tabelle_Riferimento!$D$127:$H$164,5,FALSE))</f>
        <v>5</v>
      </c>
      <c r="PD36" s="904">
        <f>+IFERROR(VLOOKUP(PD$27&amp;"-"&amp;$M36&amp;"_new",Ammortamento_Finanziario!$H:$L,5,FALSE),VLOOKUP($M36,TT_Tabelle_Riferimento!$D$127:$H$164,5,FALSE))</f>
        <v>5</v>
      </c>
      <c r="PE36" s="904">
        <f>+IFERROR(VLOOKUP(PE$27&amp;"-"&amp;$M36&amp;"_new",Ammortamento_Finanziario!$H:$L,5,FALSE),VLOOKUP($M36,TT_Tabelle_Riferimento!$D$127:$H$164,5,FALSE))</f>
        <v>5</v>
      </c>
      <c r="PF36" s="904">
        <f>+IFERROR(VLOOKUP(PF$27&amp;"-"&amp;$M36&amp;"_new",Ammortamento_Finanziario!$H:$L,5,FALSE),VLOOKUP($M36,TT_Tabelle_Riferimento!$D$127:$H$164,5,FALSE))</f>
        <v>5</v>
      </c>
      <c r="PG36" s="904">
        <f>+IFERROR(VLOOKUP(PG$27&amp;"-"&amp;$M36&amp;"_new",Ammortamento_Finanziario!$H:$L,5,FALSE),VLOOKUP($M36,TT_Tabelle_Riferimento!$D$127:$H$164,5,FALSE))</f>
        <v>5</v>
      </c>
      <c r="PH36" s="904">
        <f>+IFERROR(VLOOKUP(PH$27&amp;"-"&amp;$M36&amp;"_new",Ammortamento_Finanziario!$H:$L,5,FALSE),VLOOKUP($M36,TT_Tabelle_Riferimento!$D$127:$H$164,5,FALSE))</f>
        <v>5</v>
      </c>
      <c r="PI36" s="904">
        <f>+IFERROR(VLOOKUP(PI$27&amp;"-"&amp;$M36&amp;"_new",Ammortamento_Finanziario!$H:$L,5,FALSE),VLOOKUP($M36,TT_Tabelle_Riferimento!$D$127:$H$164,5,FALSE))</f>
        <v>5</v>
      </c>
      <c r="PJ36" s="904">
        <f>+IFERROR(VLOOKUP(PJ$27&amp;"-"&amp;$M36&amp;"_new",Ammortamento_Finanziario!$H:$L,5,FALSE),VLOOKUP($M36,TT_Tabelle_Riferimento!$D$127:$H$164,5,FALSE))</f>
        <v>5</v>
      </c>
      <c r="PK36" s="904">
        <f>+IFERROR(VLOOKUP(PK$27&amp;"-"&amp;$M36&amp;"_new",Ammortamento_Finanziario!$H:$L,5,FALSE),VLOOKUP($M36,TT_Tabelle_Riferimento!$D$127:$H$164,5,FALSE))</f>
        <v>5</v>
      </c>
      <c r="PL36" s="1762">
        <f>+IFERROR(VLOOKUP(PL$27&amp;"-"&amp;$M36&amp;"_new",Ammortamento_Finanziario!$H:$L,5,FALSE),VLOOKUP($M36,TT_Tabelle_Riferimento!$D$127:$H$164,5,FALSE))</f>
        <v>5</v>
      </c>
      <c r="PM36" s="1762">
        <f>+IFERROR(VLOOKUP(PM$27&amp;"-"&amp;$M36&amp;"_new",Ammortamento_Finanziario!$H:$L,5,FALSE),VLOOKUP($M36,TT_Tabelle_Riferimento!$D$127:$H$164,5,FALSE))</f>
        <v>5</v>
      </c>
      <c r="PN36" s="1762">
        <f>+IFERROR(VLOOKUP(PN$27&amp;"-"&amp;$M36&amp;"_new",Ammortamento_Finanziario!$H:$L,5,FALSE),VLOOKUP($M36,TT_Tabelle_Riferimento!$D$127:$H$164,5,FALSE))</f>
        <v>5</v>
      </c>
      <c r="PO36" s="904">
        <f>+IFERROR(VLOOKUP(PO$27&amp;"-"&amp;$M36&amp;"_new",Ammortamento_Finanziario!$H:$L,5,FALSE),VLOOKUP($M36,TT_Tabelle_Riferimento!$D$127:$H$164,5,FALSE))</f>
        <v>5</v>
      </c>
      <c r="PP36" s="904">
        <f>+IFERROR(VLOOKUP(PP$27&amp;"-"&amp;$M36&amp;"_new",Ammortamento_Finanziario!$H:$L,5,FALSE),VLOOKUP($M36,TT_Tabelle_Riferimento!$D$127:$H$164,5,FALSE))</f>
        <v>5</v>
      </c>
      <c r="PQ36" s="904">
        <f>+IFERROR(VLOOKUP(PQ$27&amp;"-"&amp;$M36&amp;"_new",Ammortamento_Finanziario!$H:$L,5,FALSE),VLOOKUP($M36,TT_Tabelle_Riferimento!$D$127:$H$164,5,FALSE))</f>
        <v>5</v>
      </c>
      <c r="PR36" s="904">
        <f>+IFERROR(VLOOKUP(PR$27&amp;"-"&amp;$M36&amp;"_new",Ammortamento_Finanziario!$H:$L,5,FALSE),VLOOKUP($M36,TT_Tabelle_Riferimento!$D$127:$H$164,5,FALSE))</f>
        <v>5</v>
      </c>
      <c r="PS36" s="904">
        <f>+IFERROR(VLOOKUP(PS$27&amp;"-"&amp;$M36&amp;"_new",Ammortamento_Finanziario!$H:$L,5,FALSE),VLOOKUP($M36,TT_Tabelle_Riferimento!$D$127:$H$164,5,FALSE))</f>
        <v>5</v>
      </c>
      <c r="PT36" s="904">
        <f>+IFERROR(VLOOKUP(PT$27&amp;"-"&amp;$M36&amp;"_new",Ammortamento_Finanziario!$H:$L,5,FALSE),VLOOKUP($M36,TT_Tabelle_Riferimento!$D$127:$H$164,5,FALSE))</f>
        <v>5</v>
      </c>
      <c r="PU36" s="904">
        <f>+IFERROR(VLOOKUP(PU$27&amp;"-"&amp;$M36&amp;"_new",Ammortamento_Finanziario!$H:$L,5,FALSE),VLOOKUP($M36,TT_Tabelle_Riferimento!$D$127:$H$164,5,FALSE))</f>
        <v>5</v>
      </c>
      <c r="PV36" s="904">
        <f>+IFERROR(VLOOKUP(PV$27&amp;"-"&amp;$M36&amp;"_new",Ammortamento_Finanziario!$H:$L,5,FALSE),VLOOKUP($M36,TT_Tabelle_Riferimento!$D$127:$H$164,5,FALSE))</f>
        <v>5</v>
      </c>
      <c r="PW36" s="904">
        <f>+IFERROR(VLOOKUP(PW$27&amp;"-"&amp;$M36&amp;"_new",Ammortamento_Finanziario!$H:$L,5,FALSE),VLOOKUP($M36,TT_Tabelle_Riferimento!$D$127:$H$164,5,FALSE))</f>
        <v>5</v>
      </c>
      <c r="PX36" s="904">
        <f>+IFERROR(VLOOKUP(PX$27&amp;"-"&amp;$M36&amp;"_new",Ammortamento_Finanziario!$H:$L,5,FALSE),VLOOKUP($M36,TT_Tabelle_Riferimento!$D$127:$H$164,5,FALSE))</f>
        <v>5</v>
      </c>
      <c r="PY36" s="904">
        <f>+IFERROR(VLOOKUP(PY$27&amp;"-"&amp;$M36&amp;"_new",Ammortamento_Finanziario!$H:$L,5,FALSE),VLOOKUP($M36,TT_Tabelle_Riferimento!$D$127:$H$164,5,FALSE))</f>
        <v>5</v>
      </c>
      <c r="PZ36" s="904">
        <f>+IFERROR(VLOOKUP(PZ$27&amp;"-"&amp;$M36&amp;"_new",Ammortamento_Finanziario!$H:$L,5,FALSE),VLOOKUP($M36,TT_Tabelle_Riferimento!$D$127:$H$164,5,FALSE))</f>
        <v>5</v>
      </c>
      <c r="QA36" s="904">
        <f>+IFERROR(VLOOKUP(QA$27&amp;"-"&amp;$M36&amp;"_new",Ammortamento_Finanziario!$H:$L,5,FALSE),VLOOKUP($M36,TT_Tabelle_Riferimento!$D$127:$H$164,5,FALSE))</f>
        <v>5</v>
      </c>
      <c r="QB36" s="904">
        <f>+IFERROR(VLOOKUP(QB$27&amp;"-"&amp;$M36&amp;"_new",Ammortamento_Finanziario!$H:$L,5,FALSE),VLOOKUP($M36,TT_Tabelle_Riferimento!$D$127:$H$164,5,FALSE))</f>
        <v>5</v>
      </c>
      <c r="QC36" s="904">
        <f>+IFERROR(VLOOKUP(QC$27&amp;"-"&amp;$M36&amp;"_new",Ammortamento_Finanziario!$H:$L,5,FALSE),VLOOKUP($M36,TT_Tabelle_Riferimento!$D$127:$H$164,5,FALSE))</f>
        <v>5</v>
      </c>
      <c r="QD36" s="904">
        <f>+IFERROR(VLOOKUP(QD$27&amp;"-"&amp;$M36&amp;"_new",Ammortamento_Finanziario!$H:$L,5,FALSE),VLOOKUP($M36,TT_Tabelle_Riferimento!$D$127:$H$164,5,FALSE))</f>
        <v>5</v>
      </c>
      <c r="QE36" s="904">
        <f>+IFERROR(VLOOKUP(QE$27&amp;"-"&amp;$M36&amp;"_new",Ammortamento_Finanziario!$H:$L,5,FALSE),VLOOKUP($M36,TT_Tabelle_Riferimento!$D$127:$H$164,5,FALSE))</f>
        <v>5</v>
      </c>
      <c r="QF36" s="904">
        <f>+IFERROR(VLOOKUP(QF$27&amp;"-"&amp;$M36&amp;"_new",Ammortamento_Finanziario!$H:$L,5,FALSE),VLOOKUP($M36,TT_Tabelle_Riferimento!$D$127:$H$164,5,FALSE))</f>
        <v>5</v>
      </c>
      <c r="QG36" s="904">
        <f>+IFERROR(VLOOKUP(QG$27&amp;"-"&amp;$M36&amp;"_new",Ammortamento_Finanziario!$H:$L,5,FALSE),VLOOKUP($M36,TT_Tabelle_Riferimento!$D$127:$H$164,5,FALSE))</f>
        <v>5</v>
      </c>
      <c r="QH36" s="1762">
        <f>+IFERROR(VLOOKUP(QH$27&amp;"-"&amp;$M36&amp;"_new",Ammortamento_Finanziario!$H:$L,5,FALSE),VLOOKUP($M36,TT_Tabelle_Riferimento!$D$127:$H$164,5,FALSE))</f>
        <v>5</v>
      </c>
      <c r="QI36" s="1762">
        <f>+IFERROR(VLOOKUP(QI$27&amp;"-"&amp;$M36&amp;"_new",Ammortamento_Finanziario!$H:$L,5,FALSE),VLOOKUP($M36,TT_Tabelle_Riferimento!$D$127:$H$164,5,FALSE))</f>
        <v>5</v>
      </c>
      <c r="QJ36" s="904">
        <f>+IFERROR(VLOOKUP(QJ$27&amp;"-"&amp;$M36&amp;"_new",Ammortamento_Finanziario!$H:$L,5,FALSE),VLOOKUP($M36,TT_Tabelle_Riferimento!$D$127:$H$164,5,FALSE))</f>
        <v>5</v>
      </c>
      <c r="QK36" s="904">
        <f>+IFERROR(VLOOKUP(QK$27&amp;"-"&amp;$M36&amp;"_new",Ammortamento_Finanziario!$H:$L,5,FALSE),VLOOKUP($M36,TT_Tabelle_Riferimento!$D$127:$H$164,5,FALSE))</f>
        <v>5</v>
      </c>
      <c r="QL36" s="904">
        <f>+IFERROR(VLOOKUP(QL$27&amp;"-"&amp;$M36&amp;"_new",Ammortamento_Finanziario!$H:$L,5,FALSE),VLOOKUP($M36,TT_Tabelle_Riferimento!$D$127:$H$164,5,FALSE))</f>
        <v>5</v>
      </c>
      <c r="QM36" s="904">
        <f>+IFERROR(VLOOKUP(QM$27&amp;"-"&amp;$M36&amp;"_new",Ammortamento_Finanziario!$H:$L,5,FALSE),VLOOKUP($M36,TT_Tabelle_Riferimento!$D$127:$H$164,5,FALSE))</f>
        <v>5</v>
      </c>
      <c r="QN36" s="904">
        <f>+IFERROR(VLOOKUP(QN$27&amp;"-"&amp;$M36&amp;"_new",Ammortamento_Finanziario!$H:$L,5,FALSE),VLOOKUP($M36,TT_Tabelle_Riferimento!$D$127:$H$164,5,FALSE))</f>
        <v>5</v>
      </c>
      <c r="QO36" s="904">
        <f>+IFERROR(VLOOKUP(QO$27&amp;"-"&amp;$M36&amp;"_new",Ammortamento_Finanziario!$H:$L,5,FALSE),VLOOKUP($M36,TT_Tabelle_Riferimento!$D$127:$H$164,5,FALSE))</f>
        <v>5</v>
      </c>
      <c r="QP36" s="904">
        <f>+IFERROR(VLOOKUP(QP$27&amp;"-"&amp;$M36&amp;"_new",Ammortamento_Finanziario!$H:$L,5,FALSE),VLOOKUP($M36,TT_Tabelle_Riferimento!$D$127:$H$164,5,FALSE))</f>
        <v>5</v>
      </c>
      <c r="QQ36" s="904">
        <f>+IFERROR(VLOOKUP(QQ$27&amp;"-"&amp;$M36&amp;"_new",Ammortamento_Finanziario!$H:$L,5,FALSE),VLOOKUP($M36,TT_Tabelle_Riferimento!$D$127:$H$164,5,FALSE))</f>
        <v>5</v>
      </c>
      <c r="QR36" s="904">
        <f>+IFERROR(VLOOKUP(QR$27&amp;"-"&amp;$M36&amp;"_new",Ammortamento_Finanziario!$H:$L,5,FALSE),VLOOKUP($M36,TT_Tabelle_Riferimento!$D$127:$H$164,5,FALSE))</f>
        <v>5</v>
      </c>
      <c r="QS36" s="904">
        <f>+IFERROR(VLOOKUP(QS$27&amp;"-"&amp;$M36&amp;"_new",Ammortamento_Finanziario!$H:$L,5,FALSE),VLOOKUP($M36,TT_Tabelle_Riferimento!$D$127:$H$164,5,FALSE))</f>
        <v>5</v>
      </c>
      <c r="QT36" s="904">
        <f>+IFERROR(VLOOKUP(QT$27&amp;"-"&amp;$M36&amp;"_new",Ammortamento_Finanziario!$H:$L,5,FALSE),VLOOKUP($M36,TT_Tabelle_Riferimento!$D$127:$H$164,5,FALSE))</f>
        <v>5</v>
      </c>
      <c r="QU36" s="904">
        <f>+IFERROR(VLOOKUP(QU$27&amp;"-"&amp;$M36&amp;"_new",Ammortamento_Finanziario!$H:$L,5,FALSE),VLOOKUP($M36,TT_Tabelle_Riferimento!$D$127:$H$164,5,FALSE))</f>
        <v>5</v>
      </c>
      <c r="QV36" s="904">
        <f>+IFERROR(VLOOKUP(QV$27&amp;"-"&amp;$M36&amp;"_new",Ammortamento_Finanziario!$H:$L,5,FALSE),VLOOKUP($M36,TT_Tabelle_Riferimento!$D$127:$H$164,5,FALSE))</f>
        <v>5</v>
      </c>
      <c r="QW36" s="904">
        <f>+IFERROR(VLOOKUP(QW$27&amp;"-"&amp;$M36&amp;"_new",Ammortamento_Finanziario!$H:$L,5,FALSE),VLOOKUP($M36,TT_Tabelle_Riferimento!$D$127:$H$164,5,FALSE))</f>
        <v>5</v>
      </c>
      <c r="QX36" s="904">
        <f>+IFERROR(VLOOKUP(QX$27&amp;"-"&amp;$M36&amp;"_new",Ammortamento_Finanziario!$H:$L,5,FALSE),VLOOKUP($M36,TT_Tabelle_Riferimento!$D$127:$H$164,5,FALSE))</f>
        <v>5</v>
      </c>
      <c r="QY36" s="904">
        <f>+IFERROR(VLOOKUP(QY$27&amp;"-"&amp;$M36&amp;"_new",Ammortamento_Finanziario!$H:$L,5,FALSE),VLOOKUP($M36,TT_Tabelle_Riferimento!$D$127:$H$164,5,FALSE))</f>
        <v>5</v>
      </c>
      <c r="QZ36" s="904">
        <f>+IFERROR(VLOOKUP(QZ$27&amp;"-"&amp;$M36&amp;"_new",Ammortamento_Finanziario!$H:$L,5,FALSE),VLOOKUP($M36,TT_Tabelle_Riferimento!$D$127:$H$164,5,FALSE))</f>
        <v>5</v>
      </c>
      <c r="RA36" s="904">
        <f>+IFERROR(VLOOKUP(RA$27&amp;"-"&amp;$M36&amp;"_new",Ammortamento_Finanziario!$H:$L,5,FALSE),VLOOKUP($M36,TT_Tabelle_Riferimento!$D$127:$H$164,5,FALSE))</f>
        <v>5</v>
      </c>
      <c r="RB36" s="904">
        <f>+IFERROR(VLOOKUP(RB$27&amp;"-"&amp;$M36&amp;"_new",Ammortamento_Finanziario!$H:$L,5,FALSE),VLOOKUP($M36,TT_Tabelle_Riferimento!$D$127:$H$164,5,FALSE))</f>
        <v>5</v>
      </c>
      <c r="RC36" s="1762">
        <f>+IFERROR(VLOOKUP(RC$27&amp;"-"&amp;$M36&amp;"_new",Ammortamento_Finanziario!$H:$L,5,FALSE),VLOOKUP($M36,TT_Tabelle_Riferimento!$D$127:$H$164,5,FALSE))</f>
        <v>5</v>
      </c>
      <c r="RD36" s="904">
        <f>+IFERROR(VLOOKUP(RD$27&amp;"-"&amp;$M36&amp;"_new",Ammortamento_Finanziario!$H:$L,5,FALSE),VLOOKUP($M36,TT_Tabelle_Riferimento!$D$127:$H$164,5,FALSE))</f>
        <v>5</v>
      </c>
      <c r="RE36" s="904">
        <f>+IFERROR(VLOOKUP(RE$27&amp;"-"&amp;$M36&amp;"_new",Ammortamento_Finanziario!$H:$L,5,FALSE),VLOOKUP($M36,TT_Tabelle_Riferimento!$D$127:$H$164,5,FALSE))</f>
        <v>5</v>
      </c>
      <c r="RF36" s="904">
        <f>+IFERROR(VLOOKUP(RF$27&amp;"-"&amp;$M36&amp;"_new",Ammortamento_Finanziario!$H:$L,5,FALSE),VLOOKUP($M36,TT_Tabelle_Riferimento!$D$127:$H$164,5,FALSE))</f>
        <v>5</v>
      </c>
      <c r="RG36" s="904">
        <f>+IFERROR(VLOOKUP(RG$27&amp;"-"&amp;$M36&amp;"_new",Ammortamento_Finanziario!$H:$L,5,FALSE),VLOOKUP($M36,TT_Tabelle_Riferimento!$D$127:$H$164,5,FALSE))</f>
        <v>5</v>
      </c>
      <c r="RH36" s="904">
        <f>+IFERROR(VLOOKUP(RH$27&amp;"-"&amp;$M36&amp;"_new",Ammortamento_Finanziario!$H:$L,5,FALSE),VLOOKUP($M36,TT_Tabelle_Riferimento!$D$127:$H$164,5,FALSE))</f>
        <v>5</v>
      </c>
      <c r="RI36" s="904">
        <f>+IFERROR(VLOOKUP(RI$27&amp;"-"&amp;$M36&amp;"_new",Ammortamento_Finanziario!$H:$L,5,FALSE),VLOOKUP($M36,TT_Tabelle_Riferimento!$D$127:$H$164,5,FALSE))</f>
        <v>5</v>
      </c>
      <c r="RJ36" s="904">
        <f>+IFERROR(VLOOKUP(RJ$27&amp;"-"&amp;$M36&amp;"_new",Ammortamento_Finanziario!$H:$L,5,FALSE),VLOOKUP($M36,TT_Tabelle_Riferimento!$D$127:$H$164,5,FALSE))</f>
        <v>5</v>
      </c>
      <c r="RK36" s="904">
        <f>+IFERROR(VLOOKUP(RK$27&amp;"-"&amp;$M36&amp;"_new",Ammortamento_Finanziario!$H:$L,5,FALSE),VLOOKUP($M36,TT_Tabelle_Riferimento!$D$127:$H$164,5,FALSE))</f>
        <v>5</v>
      </c>
      <c r="RL36" s="904">
        <f>+IFERROR(VLOOKUP(RL$27&amp;"-"&amp;$M36&amp;"_new",Ammortamento_Finanziario!$H:$L,5,FALSE),VLOOKUP($M36,TT_Tabelle_Riferimento!$D$127:$H$164,5,FALSE))</f>
        <v>5</v>
      </c>
      <c r="RM36" s="904">
        <f>+IFERROR(VLOOKUP(RM$27&amp;"-"&amp;$M36&amp;"_new",Ammortamento_Finanziario!$H:$L,5,FALSE),VLOOKUP($M36,TT_Tabelle_Riferimento!$D$127:$H$164,5,FALSE))</f>
        <v>5</v>
      </c>
      <c r="RN36" s="904">
        <f>+IFERROR(VLOOKUP(RN$27&amp;"-"&amp;$M36&amp;"_new",Ammortamento_Finanziario!$H:$L,5,FALSE),VLOOKUP($M36,TT_Tabelle_Riferimento!$D$127:$H$164,5,FALSE))</f>
        <v>5</v>
      </c>
      <c r="RO36" s="904">
        <f>+IFERROR(VLOOKUP(RO$27&amp;"-"&amp;$M36&amp;"_new",Ammortamento_Finanziario!$H:$L,5,FALSE),VLOOKUP($M36,TT_Tabelle_Riferimento!$D$127:$H$164,5,FALSE))</f>
        <v>5</v>
      </c>
      <c r="RP36" s="904">
        <f>+IFERROR(VLOOKUP(RP$27&amp;"-"&amp;$M36&amp;"_new",Ammortamento_Finanziario!$H:$L,5,FALSE),VLOOKUP($M36,TT_Tabelle_Riferimento!$D$127:$H$164,5,FALSE))</f>
        <v>5</v>
      </c>
      <c r="RQ36" s="904">
        <f>+IFERROR(VLOOKUP(RQ$27&amp;"-"&amp;$M36&amp;"_new",Ammortamento_Finanziario!$H:$L,5,FALSE),VLOOKUP($M36,TT_Tabelle_Riferimento!$D$127:$H$164,5,FALSE))</f>
        <v>5</v>
      </c>
      <c r="RR36" s="904">
        <f>+IFERROR(VLOOKUP(RR$27&amp;"-"&amp;$M36&amp;"_new",Ammortamento_Finanziario!$H:$L,5,FALSE),VLOOKUP($M36,TT_Tabelle_Riferimento!$D$127:$H$164,5,FALSE))</f>
        <v>5</v>
      </c>
      <c r="RS36" s="904">
        <f>+IFERROR(VLOOKUP(RS$27&amp;"-"&amp;$M36&amp;"_new",Ammortamento_Finanziario!$H:$L,5,FALSE),VLOOKUP($M36,TT_Tabelle_Riferimento!$D$127:$H$164,5,FALSE))</f>
        <v>5</v>
      </c>
      <c r="RT36" s="904">
        <f>+IFERROR(VLOOKUP(RT$27&amp;"-"&amp;$M36&amp;"_new",Ammortamento_Finanziario!$H:$L,5,FALSE),VLOOKUP($M36,TT_Tabelle_Riferimento!$D$127:$H$164,5,FALSE))</f>
        <v>5</v>
      </c>
      <c r="RU36" s="904">
        <f>+IFERROR(VLOOKUP(RU$27&amp;"-"&amp;$M36&amp;"_new",Ammortamento_Finanziario!$H:$L,5,FALSE),VLOOKUP($M36,TT_Tabelle_Riferimento!$D$127:$H$164,5,FALSE))</f>
        <v>5</v>
      </c>
      <c r="RV36" s="904">
        <f>+IFERROR(VLOOKUP(RV$27&amp;"-"&amp;$M36&amp;"_new",Ammortamento_Finanziario!$H:$L,5,FALSE),VLOOKUP($M36,TT_Tabelle_Riferimento!$D$127:$H$164,5,FALSE))</f>
        <v>5</v>
      </c>
    </row>
    <row r="37" spans="4:490">
      <c r="D37" s="135" t="s">
        <v>202</v>
      </c>
      <c r="E37" s="1264">
        <f>+SUMIF(IMN_gestore!$E:$E,2022,IMN_gestore!$X:$X)</f>
        <v>0</v>
      </c>
      <c r="F37" s="1264">
        <f>SUMIF(IMN_gestore!$E:$E,2023,IMN_gestore!$AI:$AI)</f>
        <v>0</v>
      </c>
      <c r="G37" s="1264">
        <f>+SUMIF(IMN_gestore!$E:$E,2024,IMN_gestore!$AT:$AT)</f>
        <v>0</v>
      </c>
      <c r="H37" s="1264">
        <f>SUMIF(IMN_gestore!$E:$E,2025,IMN_gestore!$BE:$BE)</f>
        <v>0</v>
      </c>
      <c r="I37" s="1264">
        <f>SUMIF(IMN_gestore!$E:$E,2026,IMN_gestore!$BP:$BP)</f>
        <v>0</v>
      </c>
      <c r="J37" s="1264">
        <f>SUMIF(IMN_gestore!$E:$E,2027,IMN_gestore!$CA:$CA)</f>
        <v>0</v>
      </c>
      <c r="K37" s="136"/>
      <c r="M37" s="1756">
        <v>10</v>
      </c>
      <c r="N37" s="1759">
        <v>0</v>
      </c>
      <c r="O37" s="1759">
        <v>0</v>
      </c>
      <c r="P37" s="1759">
        <v>0</v>
      </c>
      <c r="Q37" s="1759">
        <v>0</v>
      </c>
      <c r="R37" s="1759">
        <v>0</v>
      </c>
      <c r="S37" s="1759">
        <v>0</v>
      </c>
      <c r="T37" s="1759">
        <v>0</v>
      </c>
      <c r="U37" s="1759">
        <v>0</v>
      </c>
      <c r="V37" s="1759">
        <v>0</v>
      </c>
      <c r="W37" s="1759">
        <v>0</v>
      </c>
      <c r="X37" s="1759">
        <v>0</v>
      </c>
      <c r="Y37" s="1759">
        <v>0</v>
      </c>
      <c r="Z37" s="1759">
        <v>0</v>
      </c>
      <c r="AA37" s="1759">
        <v>0</v>
      </c>
      <c r="AB37" s="1759">
        <v>0</v>
      </c>
      <c r="AC37" s="1759">
        <v>0</v>
      </c>
      <c r="AD37" s="1759">
        <v>0</v>
      </c>
      <c r="AE37" s="1759">
        <v>0</v>
      </c>
      <c r="AF37" s="1759">
        <v>0</v>
      </c>
      <c r="AG37" s="1759">
        <v>0</v>
      </c>
      <c r="AH37" s="1759">
        <v>0</v>
      </c>
      <c r="AI37" s="1759">
        <v>0</v>
      </c>
      <c r="AJ37" s="1759">
        <v>0</v>
      </c>
      <c r="AK37" s="1759">
        <v>0</v>
      </c>
      <c r="AL37" s="1759">
        <v>0</v>
      </c>
      <c r="AM37" s="1759">
        <v>0</v>
      </c>
      <c r="AN37" s="1759">
        <v>0</v>
      </c>
      <c r="AO37" s="1759">
        <v>0</v>
      </c>
      <c r="AP37" s="1759">
        <v>0</v>
      </c>
      <c r="AQ37" s="1759">
        <v>0</v>
      </c>
      <c r="AR37" s="1759">
        <v>0</v>
      </c>
      <c r="AS37" s="1759">
        <v>0</v>
      </c>
      <c r="AT37" s="1759">
        <v>0</v>
      </c>
      <c r="AU37" s="1759">
        <v>0</v>
      </c>
      <c r="AV37" s="1759">
        <v>0</v>
      </c>
      <c r="AW37" s="1759">
        <v>0</v>
      </c>
      <c r="AX37" s="1759">
        <v>0</v>
      </c>
      <c r="AY37" s="1759">
        <v>0</v>
      </c>
      <c r="AZ37" s="1759">
        <v>0</v>
      </c>
      <c r="BA37" s="1759">
        <v>0</v>
      </c>
      <c r="BB37" s="1759">
        <v>0</v>
      </c>
      <c r="BC37" s="1759">
        <v>0</v>
      </c>
      <c r="BD37" s="1759">
        <v>0</v>
      </c>
      <c r="BE37" s="1759">
        <v>0</v>
      </c>
      <c r="BF37" s="1759">
        <v>0</v>
      </c>
      <c r="BG37" s="1759">
        <v>0</v>
      </c>
      <c r="BH37" s="1759">
        <v>0</v>
      </c>
      <c r="BI37" s="1759">
        <v>0</v>
      </c>
      <c r="BJ37" s="1759">
        <v>0</v>
      </c>
      <c r="BK37" s="1759">
        <v>0</v>
      </c>
      <c r="BL37" s="1759">
        <v>0</v>
      </c>
      <c r="BM37" s="1759">
        <v>0</v>
      </c>
      <c r="BN37" s="1759">
        <v>0</v>
      </c>
      <c r="BO37" s="1759">
        <v>0</v>
      </c>
      <c r="BP37" s="1759">
        <v>0</v>
      </c>
      <c r="BQ37" s="1759">
        <v>0</v>
      </c>
      <c r="BR37" s="1759">
        <v>0</v>
      </c>
      <c r="BS37" s="1759">
        <v>0</v>
      </c>
      <c r="BT37" s="1759">
        <v>0</v>
      </c>
      <c r="BU37" s="1759">
        <v>0</v>
      </c>
      <c r="BV37" s="1759">
        <v>0</v>
      </c>
      <c r="BW37" s="1759">
        <v>0</v>
      </c>
      <c r="BX37" s="1759">
        <v>0</v>
      </c>
      <c r="BY37" s="1759">
        <v>0</v>
      </c>
      <c r="BZ37" s="1759">
        <v>0</v>
      </c>
      <c r="CA37" s="1759">
        <v>0</v>
      </c>
      <c r="CB37" s="1759">
        <v>0</v>
      </c>
      <c r="CC37" s="1759">
        <v>0</v>
      </c>
      <c r="CD37" s="1759">
        <v>0</v>
      </c>
      <c r="CE37" s="1759">
        <v>0</v>
      </c>
      <c r="CF37" s="1759">
        <v>0</v>
      </c>
      <c r="CG37" s="1759">
        <v>0</v>
      </c>
      <c r="CH37" s="1759">
        <v>0</v>
      </c>
      <c r="CI37" s="1759">
        <v>0</v>
      </c>
      <c r="CJ37" s="1759">
        <v>0</v>
      </c>
      <c r="CK37" s="1759">
        <v>0</v>
      </c>
      <c r="CL37" s="1759">
        <v>0</v>
      </c>
      <c r="CM37" s="1759">
        <v>0</v>
      </c>
      <c r="CN37" s="1759">
        <v>0</v>
      </c>
      <c r="CO37" s="1759">
        <v>0</v>
      </c>
      <c r="CP37" s="1759">
        <v>0</v>
      </c>
      <c r="CQ37" s="1759">
        <v>0</v>
      </c>
      <c r="CR37" s="1759">
        <v>0</v>
      </c>
      <c r="CS37" s="1759">
        <v>0</v>
      </c>
      <c r="CT37" s="1759">
        <v>0</v>
      </c>
      <c r="CU37" s="1759">
        <v>0</v>
      </c>
      <c r="CV37" s="1759">
        <v>0</v>
      </c>
      <c r="CW37" s="1759">
        <v>0</v>
      </c>
      <c r="CX37" s="1759">
        <v>0</v>
      </c>
      <c r="CY37" s="1759">
        <v>0</v>
      </c>
      <c r="CZ37" s="1759">
        <v>0</v>
      </c>
      <c r="DA37" s="1759">
        <v>0</v>
      </c>
      <c r="DB37" s="1759">
        <v>0</v>
      </c>
      <c r="DC37" s="1759">
        <v>0</v>
      </c>
      <c r="DD37" s="1759">
        <v>0</v>
      </c>
      <c r="DE37" s="1759">
        <v>0</v>
      </c>
      <c r="DF37" s="1759">
        <v>0</v>
      </c>
      <c r="DG37" s="1759">
        <v>0</v>
      </c>
      <c r="DH37" s="1759">
        <v>0</v>
      </c>
      <c r="DI37" s="1759">
        <v>0</v>
      </c>
      <c r="DJ37" s="1759">
        <v>0</v>
      </c>
      <c r="DK37" s="1759">
        <v>0</v>
      </c>
      <c r="DL37" s="1759">
        <v>0</v>
      </c>
      <c r="DM37" s="1759">
        <v>0</v>
      </c>
      <c r="DN37" s="1759">
        <v>0</v>
      </c>
      <c r="DO37" s="1759">
        <v>0</v>
      </c>
      <c r="DP37" s="1759">
        <v>0</v>
      </c>
      <c r="DQ37" s="1759">
        <v>0</v>
      </c>
      <c r="DR37" s="1759">
        <v>0</v>
      </c>
      <c r="DS37" s="1759">
        <v>0</v>
      </c>
      <c r="DT37" s="1759">
        <v>0</v>
      </c>
      <c r="DU37" s="1759">
        <v>0</v>
      </c>
      <c r="DV37" s="1759">
        <v>0</v>
      </c>
      <c r="DW37" s="1759">
        <v>0</v>
      </c>
      <c r="DX37" s="1759">
        <v>0</v>
      </c>
      <c r="DY37" s="1759">
        <v>0</v>
      </c>
      <c r="DZ37" s="1759">
        <v>0</v>
      </c>
      <c r="EA37" s="1759">
        <v>0</v>
      </c>
      <c r="EB37" s="1759">
        <v>0</v>
      </c>
      <c r="EC37" s="1759">
        <v>0</v>
      </c>
      <c r="ED37" s="1759">
        <v>0</v>
      </c>
      <c r="EE37" s="1759">
        <v>0</v>
      </c>
      <c r="EF37" s="1759">
        <v>0</v>
      </c>
      <c r="EG37" s="1759">
        <v>0</v>
      </c>
      <c r="EH37" s="1759">
        <v>0</v>
      </c>
      <c r="EI37" s="1759">
        <v>0</v>
      </c>
      <c r="EJ37" s="1759">
        <v>0</v>
      </c>
      <c r="EK37" s="1759">
        <v>0</v>
      </c>
      <c r="EL37" s="1759">
        <v>0</v>
      </c>
      <c r="EM37" s="1759">
        <v>0</v>
      </c>
      <c r="EN37" s="1759">
        <v>0</v>
      </c>
      <c r="EO37" s="1759">
        <v>0</v>
      </c>
      <c r="EP37" s="1759">
        <v>0</v>
      </c>
      <c r="EQ37" s="1759">
        <v>0</v>
      </c>
      <c r="ER37" s="1759">
        <v>0</v>
      </c>
      <c r="ES37" s="1759">
        <v>0</v>
      </c>
      <c r="ET37" s="1759">
        <v>0</v>
      </c>
      <c r="EU37" s="1759">
        <v>0</v>
      </c>
      <c r="EV37" s="1759">
        <v>0</v>
      </c>
      <c r="EW37" s="1759">
        <v>0</v>
      </c>
      <c r="EX37" s="1759">
        <v>0</v>
      </c>
      <c r="EY37" s="1759">
        <v>0</v>
      </c>
      <c r="EZ37" s="1759">
        <v>0</v>
      </c>
      <c r="FA37" s="1759">
        <v>0</v>
      </c>
      <c r="FB37" s="1759">
        <v>0</v>
      </c>
      <c r="FC37" s="1759">
        <v>0</v>
      </c>
      <c r="FD37" s="1759">
        <v>0</v>
      </c>
      <c r="FE37" s="1759">
        <v>0</v>
      </c>
      <c r="FF37" s="1759">
        <v>0</v>
      </c>
      <c r="FG37" s="1759">
        <v>0</v>
      </c>
      <c r="FH37" s="1759">
        <v>0</v>
      </c>
      <c r="FI37" s="1759">
        <v>0</v>
      </c>
      <c r="FJ37" s="1759">
        <v>0</v>
      </c>
      <c r="FK37" s="1759">
        <v>0</v>
      </c>
      <c r="FL37" s="1759">
        <v>0</v>
      </c>
      <c r="FM37" s="1759">
        <v>0</v>
      </c>
      <c r="FN37" s="1759">
        <v>0</v>
      </c>
      <c r="FO37" s="1759">
        <v>0</v>
      </c>
      <c r="FP37" s="1759">
        <v>0</v>
      </c>
      <c r="FQ37" s="1759">
        <v>0</v>
      </c>
      <c r="FR37" s="1759">
        <v>0</v>
      </c>
      <c r="FS37" s="1759">
        <v>0</v>
      </c>
      <c r="FT37" s="1759">
        <v>0</v>
      </c>
      <c r="FU37" s="1759">
        <v>0</v>
      </c>
      <c r="FV37" s="1759">
        <v>0</v>
      </c>
      <c r="FW37" s="1759">
        <v>0</v>
      </c>
      <c r="FX37" s="1759">
        <v>0</v>
      </c>
      <c r="FY37" s="1759">
        <v>0</v>
      </c>
      <c r="FZ37" s="1759">
        <v>0</v>
      </c>
      <c r="GA37" s="1759">
        <v>0</v>
      </c>
      <c r="GB37" s="1759">
        <v>0</v>
      </c>
      <c r="GC37" s="1759">
        <v>0</v>
      </c>
      <c r="GD37" s="1759">
        <v>0</v>
      </c>
      <c r="GE37" s="1759">
        <v>0</v>
      </c>
      <c r="GF37" s="1759">
        <v>0</v>
      </c>
      <c r="GG37" s="1759">
        <v>0</v>
      </c>
      <c r="GH37" s="1759">
        <v>0</v>
      </c>
      <c r="GI37" s="1759">
        <v>0</v>
      </c>
      <c r="GJ37" s="1759">
        <v>0</v>
      </c>
      <c r="GK37" s="1759">
        <v>0</v>
      </c>
      <c r="GL37" s="1759">
        <v>0</v>
      </c>
      <c r="GM37" s="1759">
        <v>0</v>
      </c>
      <c r="GN37" s="1759">
        <v>0</v>
      </c>
      <c r="GO37" s="1759">
        <v>0</v>
      </c>
      <c r="GP37" s="1759">
        <v>0</v>
      </c>
      <c r="GQ37" s="1759">
        <v>0</v>
      </c>
      <c r="GR37" s="1759">
        <v>0</v>
      </c>
      <c r="GS37" s="1759">
        <v>0</v>
      </c>
      <c r="GT37" s="1759">
        <v>0</v>
      </c>
      <c r="GU37" s="1759">
        <v>0</v>
      </c>
      <c r="GV37" s="1759">
        <v>0</v>
      </c>
      <c r="GW37" s="1759">
        <v>0</v>
      </c>
      <c r="GX37" s="1759">
        <v>0</v>
      </c>
      <c r="GY37" s="1759">
        <v>0</v>
      </c>
      <c r="GZ37" s="1759">
        <v>0</v>
      </c>
      <c r="HA37" s="1759">
        <v>0</v>
      </c>
      <c r="HB37" s="1759">
        <v>0</v>
      </c>
      <c r="HC37" s="1759">
        <v>0</v>
      </c>
      <c r="HD37" s="1759">
        <v>0</v>
      </c>
      <c r="HE37" s="1759">
        <v>0</v>
      </c>
      <c r="HF37" s="1759">
        <v>0</v>
      </c>
      <c r="HG37" s="1759">
        <v>0</v>
      </c>
      <c r="HH37" s="1759">
        <v>0</v>
      </c>
      <c r="HI37" s="1759">
        <v>0</v>
      </c>
      <c r="HJ37" s="1759">
        <v>0</v>
      </c>
      <c r="HK37" s="1759">
        <v>0</v>
      </c>
      <c r="HL37" s="1759">
        <v>0</v>
      </c>
      <c r="HM37" s="1759">
        <v>0</v>
      </c>
      <c r="HN37" s="1759">
        <v>0</v>
      </c>
      <c r="HO37" s="1759">
        <v>0</v>
      </c>
      <c r="HP37" s="1759">
        <v>0</v>
      </c>
      <c r="HQ37" s="1759">
        <v>0</v>
      </c>
      <c r="HR37" s="1759">
        <v>0</v>
      </c>
      <c r="HS37" s="1759">
        <v>0</v>
      </c>
      <c r="HT37" s="1759">
        <v>0</v>
      </c>
      <c r="HU37" s="1759">
        <v>0</v>
      </c>
      <c r="HV37" s="1759">
        <v>0</v>
      </c>
      <c r="HW37" s="1759">
        <v>0</v>
      </c>
      <c r="HX37" s="1759">
        <v>0</v>
      </c>
      <c r="HY37" s="1759">
        <v>0</v>
      </c>
      <c r="HZ37" s="1759">
        <v>0</v>
      </c>
      <c r="IA37" s="1759">
        <v>0</v>
      </c>
      <c r="IB37" s="1759">
        <v>0</v>
      </c>
      <c r="IC37" s="1759">
        <v>0</v>
      </c>
      <c r="ID37" s="1759">
        <v>0</v>
      </c>
      <c r="IE37" s="1759">
        <v>0</v>
      </c>
      <c r="IF37" s="1759">
        <v>0</v>
      </c>
      <c r="IG37" s="1759">
        <v>0</v>
      </c>
      <c r="IH37" s="1759">
        <v>0</v>
      </c>
      <c r="II37" s="1759">
        <v>0</v>
      </c>
      <c r="IJ37" s="1759">
        <v>0</v>
      </c>
      <c r="IK37" s="1759">
        <v>0</v>
      </c>
      <c r="IL37" s="1759">
        <v>0</v>
      </c>
      <c r="IM37" s="1759">
        <v>0</v>
      </c>
      <c r="IN37" s="1759">
        <v>0</v>
      </c>
      <c r="IO37" s="1759">
        <v>0</v>
      </c>
      <c r="IP37" s="1759">
        <v>0</v>
      </c>
      <c r="IQ37" s="1759">
        <v>0</v>
      </c>
      <c r="IR37" s="1759">
        <v>0</v>
      </c>
      <c r="IS37" s="1759">
        <v>0</v>
      </c>
      <c r="IT37" s="1759">
        <v>0</v>
      </c>
      <c r="IU37" s="1759">
        <v>0</v>
      </c>
      <c r="IV37" s="1759">
        <v>0</v>
      </c>
      <c r="IW37" s="1759">
        <v>0</v>
      </c>
      <c r="IX37" s="1759">
        <v>0</v>
      </c>
      <c r="IY37" s="1759">
        <v>0</v>
      </c>
      <c r="IZ37" s="1759">
        <v>0</v>
      </c>
      <c r="JA37" s="1759">
        <v>0</v>
      </c>
      <c r="JB37" s="1759">
        <v>0</v>
      </c>
      <c r="JC37" s="1759">
        <v>0</v>
      </c>
      <c r="JD37" s="1759">
        <v>0</v>
      </c>
      <c r="JE37" s="1759">
        <v>0</v>
      </c>
      <c r="JF37" s="1759">
        <v>0</v>
      </c>
      <c r="JG37" s="1759">
        <v>0</v>
      </c>
      <c r="JH37" s="1759">
        <v>0</v>
      </c>
      <c r="JI37" s="1759">
        <v>0</v>
      </c>
      <c r="JJ37" s="1759">
        <v>0</v>
      </c>
      <c r="JK37" s="1759">
        <v>0</v>
      </c>
      <c r="JL37" s="1759">
        <v>0</v>
      </c>
      <c r="JM37" s="1759">
        <v>0</v>
      </c>
      <c r="JN37" s="1759">
        <v>0</v>
      </c>
      <c r="JO37" s="1759">
        <v>0</v>
      </c>
      <c r="JP37" s="1759">
        <v>0</v>
      </c>
      <c r="JQ37" s="1759">
        <v>0</v>
      </c>
      <c r="JR37" s="1759">
        <v>0</v>
      </c>
      <c r="JS37" s="1759">
        <v>0</v>
      </c>
      <c r="JT37" s="1759">
        <v>0</v>
      </c>
      <c r="JU37" s="1759">
        <v>0</v>
      </c>
      <c r="JV37" s="1759">
        <v>0</v>
      </c>
      <c r="JW37" s="1759">
        <v>0</v>
      </c>
      <c r="JX37" s="1759">
        <v>0</v>
      </c>
      <c r="JY37" s="1759">
        <v>0</v>
      </c>
      <c r="JZ37" s="1759">
        <v>0</v>
      </c>
      <c r="KA37" s="1759">
        <v>0</v>
      </c>
      <c r="KB37" s="1759">
        <v>0</v>
      </c>
      <c r="KC37" s="1759">
        <v>0</v>
      </c>
      <c r="KD37" s="1759">
        <v>0</v>
      </c>
      <c r="KE37" s="1759">
        <v>0</v>
      </c>
      <c r="KF37" s="1759">
        <v>0</v>
      </c>
      <c r="KG37" s="1759">
        <v>0</v>
      </c>
      <c r="KH37" s="1759">
        <v>0</v>
      </c>
      <c r="KI37" s="1759">
        <v>0</v>
      </c>
      <c r="KJ37" s="1759">
        <v>0</v>
      </c>
      <c r="KK37" s="1759">
        <v>0</v>
      </c>
      <c r="KL37" s="1759">
        <v>0</v>
      </c>
      <c r="KM37" s="1759">
        <v>0</v>
      </c>
      <c r="KN37" s="1759">
        <v>0</v>
      </c>
      <c r="KO37" s="1759">
        <v>0</v>
      </c>
      <c r="KP37" s="1759">
        <v>0</v>
      </c>
      <c r="KQ37" s="904">
        <f>+IFERROR(VLOOKUP(KQ$27&amp;"-"&amp;$M37&amp;"_new",Ammortamento_Finanziario!$H:$L,5,FALSE),VLOOKUP($M37,TT_Tabelle_Riferimento!$D$127:$H$164,5,FALSE))</f>
        <v>8</v>
      </c>
      <c r="KR37" s="904">
        <f>+IFERROR(VLOOKUP(KR$27&amp;"-"&amp;$M37&amp;"_new",Ammortamento_Finanziario!$H:$L,5,FALSE),VLOOKUP($M37,TT_Tabelle_Riferimento!$D$127:$H$164,5,FALSE))</f>
        <v>8</v>
      </c>
      <c r="KS37" s="1762">
        <f>+IFERROR(VLOOKUP(KS$27&amp;"-"&amp;$M37&amp;"_new",Ammortamento_Finanziario!$H:$L,5,FALSE),VLOOKUP($M37,TT_Tabelle_Riferimento!$D$127:$H$164,5,FALSE))</f>
        <v>8</v>
      </c>
      <c r="KT37" s="1762">
        <f>+IFERROR(VLOOKUP(KT$27&amp;"-"&amp;$M37&amp;"_new",Ammortamento_Finanziario!$H:$L,5,FALSE),VLOOKUP($M37,TT_Tabelle_Riferimento!$D$127:$H$164,5,FALSE))</f>
        <v>8</v>
      </c>
      <c r="KU37" s="1762">
        <f>+IFERROR(VLOOKUP(KU$27&amp;"-"&amp;$M37&amp;"_new",Ammortamento_Finanziario!$H:$L,5,FALSE),VLOOKUP($M37,TT_Tabelle_Riferimento!$D$127:$H$164,5,FALSE))</f>
        <v>8</v>
      </c>
      <c r="KV37" s="1762">
        <f>+IFERROR(VLOOKUP(KV$27&amp;"-"&amp;$M37&amp;"_new",Ammortamento_Finanziario!$H:$L,5,FALSE),VLOOKUP($M37,TT_Tabelle_Riferimento!$D$127:$H$164,5,FALSE))</f>
        <v>8</v>
      </c>
      <c r="KW37" s="1762">
        <f>+IFERROR(VLOOKUP(KW$27&amp;"-"&amp;$M37&amp;"_new",Ammortamento_Finanziario!$H:$L,5,FALSE),VLOOKUP($M37,TT_Tabelle_Riferimento!$D$127:$H$164,5,FALSE))</f>
        <v>8</v>
      </c>
      <c r="KX37" s="1762">
        <f>+IFERROR(VLOOKUP(KX$27&amp;"-"&amp;$M37&amp;"_new",Ammortamento_Finanziario!$H:$L,5,FALSE),VLOOKUP($M37,TT_Tabelle_Riferimento!$D$127:$H$164,5,FALSE))</f>
        <v>8</v>
      </c>
      <c r="KY37" s="904">
        <f>+IFERROR(VLOOKUP(KY$27&amp;"-"&amp;$M37&amp;"_new",Ammortamento_Finanziario!$H:$L,5,FALSE),VLOOKUP($M37,TT_Tabelle_Riferimento!$D$127:$H$164,5,FALSE))</f>
        <v>8</v>
      </c>
      <c r="KZ37" s="904">
        <f>+IFERROR(VLOOKUP(KZ$27&amp;"-"&amp;$M37&amp;"_new",Ammortamento_Finanziario!$H:$L,5,FALSE),VLOOKUP($M37,TT_Tabelle_Riferimento!$D$127:$H$164,5,FALSE))</f>
        <v>8</v>
      </c>
      <c r="LA37" s="904">
        <f>+IFERROR(VLOOKUP(LA$27&amp;"-"&amp;$M37&amp;"_new",Ammortamento_Finanziario!$H:$L,5,FALSE),VLOOKUP($M37,TT_Tabelle_Riferimento!$D$127:$H$164,5,FALSE))</f>
        <v>8</v>
      </c>
      <c r="LB37" s="904">
        <f>+IFERROR(VLOOKUP(LB$27&amp;"-"&amp;$M37&amp;"_new",Ammortamento_Finanziario!$H:$L,5,FALSE),VLOOKUP($M37,TT_Tabelle_Riferimento!$D$127:$H$164,5,FALSE))</f>
        <v>8</v>
      </c>
      <c r="LC37" s="904">
        <f>+IFERROR(VLOOKUP(LC$27&amp;"-"&amp;$M37&amp;"_new",Ammortamento_Finanziario!$H:$L,5,FALSE),VLOOKUP($M37,TT_Tabelle_Riferimento!$D$127:$H$164,5,FALSE))</f>
        <v>8</v>
      </c>
      <c r="LD37" s="904">
        <f>+IFERROR(VLOOKUP(LD$27&amp;"-"&amp;$M37&amp;"_new",Ammortamento_Finanziario!$H:$L,5,FALSE),VLOOKUP($M37,TT_Tabelle_Riferimento!$D$127:$H$164,5,FALSE))</f>
        <v>8</v>
      </c>
      <c r="LE37" s="904">
        <f>+IFERROR(VLOOKUP(LE$27&amp;"-"&amp;$M37&amp;"_new",Ammortamento_Finanziario!$H:$L,5,FALSE),VLOOKUP($M37,TT_Tabelle_Riferimento!$D$127:$H$164,5,FALSE))</f>
        <v>8</v>
      </c>
      <c r="LF37" s="904">
        <f>+IFERROR(VLOOKUP(LF$27&amp;"-"&amp;$M37&amp;"_new",Ammortamento_Finanziario!$H:$L,5,FALSE),VLOOKUP($M37,TT_Tabelle_Riferimento!$D$127:$H$164,5,FALSE))</f>
        <v>8</v>
      </c>
      <c r="LG37" s="904">
        <f>+IFERROR(VLOOKUP(LG$27&amp;"-"&amp;$M37&amp;"_new",Ammortamento_Finanziario!$H:$L,5,FALSE),VLOOKUP($M37,TT_Tabelle_Riferimento!$D$127:$H$164,5,FALSE))</f>
        <v>8</v>
      </c>
      <c r="LH37" s="904">
        <f>+IFERROR(VLOOKUP(LH$27&amp;"-"&amp;$M37&amp;"_new",Ammortamento_Finanziario!$H:$L,5,FALSE),VLOOKUP($M37,TT_Tabelle_Riferimento!$D$127:$H$164,5,FALSE))</f>
        <v>8</v>
      </c>
      <c r="LI37" s="904">
        <f>+IFERROR(VLOOKUP(LI$27&amp;"-"&amp;$M37&amp;"_new",Ammortamento_Finanziario!$H:$L,5,FALSE),VLOOKUP($M37,TT_Tabelle_Riferimento!$D$127:$H$164,5,FALSE))</f>
        <v>8</v>
      </c>
      <c r="LJ37" s="904">
        <f>+IFERROR(VLOOKUP(LJ$27&amp;"-"&amp;$M37&amp;"_new",Ammortamento_Finanziario!$H:$L,5,FALSE),VLOOKUP($M37,TT_Tabelle_Riferimento!$D$127:$H$164,5,FALSE))</f>
        <v>8</v>
      </c>
      <c r="LK37" s="904">
        <f>+IFERROR(VLOOKUP(LK$27&amp;"-"&amp;$M37&amp;"_new",Ammortamento_Finanziario!$H:$L,5,FALSE),VLOOKUP($M37,TT_Tabelle_Riferimento!$D$127:$H$164,5,FALSE))</f>
        <v>8</v>
      </c>
      <c r="LL37" s="904">
        <f>+IFERROR(VLOOKUP(LL$27&amp;"-"&amp;$M37&amp;"_new",Ammortamento_Finanziario!$H:$L,5,FALSE),VLOOKUP($M37,TT_Tabelle_Riferimento!$D$127:$H$164,5,FALSE))</f>
        <v>8</v>
      </c>
      <c r="LM37" s="904">
        <f>+IFERROR(VLOOKUP(LM$27&amp;"-"&amp;$M37&amp;"_new",Ammortamento_Finanziario!$H:$L,5,FALSE),VLOOKUP($M37,TT_Tabelle_Riferimento!$D$127:$H$164,5,FALSE))</f>
        <v>8</v>
      </c>
      <c r="LN37" s="904">
        <f>+IFERROR(VLOOKUP(LN$27&amp;"-"&amp;$M37&amp;"_new",Ammortamento_Finanziario!$H:$L,5,FALSE),VLOOKUP($M37,TT_Tabelle_Riferimento!$D$127:$H$164,5,FALSE))</f>
        <v>8</v>
      </c>
      <c r="LO37" s="904">
        <f>+IFERROR(VLOOKUP(LO$27&amp;"-"&amp;$M37&amp;"_new",Ammortamento_Finanziario!$H:$L,5,FALSE),VLOOKUP($M37,TT_Tabelle_Riferimento!$D$127:$H$164,5,FALSE))</f>
        <v>8</v>
      </c>
      <c r="LP37" s="904">
        <f>+IFERROR(VLOOKUP(LP$27&amp;"-"&amp;$M37&amp;"_new",Ammortamento_Finanziario!$H:$L,5,FALSE),VLOOKUP($M37,TT_Tabelle_Riferimento!$D$127:$H$164,5,FALSE))</f>
        <v>8</v>
      </c>
      <c r="LQ37" s="904">
        <f>+IFERROR(VLOOKUP(LQ$27&amp;"-"&amp;$M37&amp;"_new",Ammortamento_Finanziario!$H:$L,5,FALSE),VLOOKUP($M37,TT_Tabelle_Riferimento!$D$127:$H$164,5,FALSE))</f>
        <v>8</v>
      </c>
      <c r="LR37" s="904">
        <f>+IFERROR(VLOOKUP(LR$27&amp;"-"&amp;$M37&amp;"_new",Ammortamento_Finanziario!$H:$L,5,FALSE),VLOOKUP($M37,TT_Tabelle_Riferimento!$D$127:$H$164,5,FALSE))</f>
        <v>8</v>
      </c>
      <c r="LS37" s="1762">
        <f>+IFERROR(VLOOKUP(LS$27&amp;"-"&amp;$M37&amp;"_new",Ammortamento_Finanziario!$H:$L,5,FALSE),VLOOKUP($M37,TT_Tabelle_Riferimento!$D$127:$H$164,5,FALSE))</f>
        <v>8</v>
      </c>
      <c r="LT37" s="1762">
        <f>+IFERROR(VLOOKUP(LT$27&amp;"-"&amp;$M37&amp;"_new",Ammortamento_Finanziario!$H:$L,5,FALSE),VLOOKUP($M37,TT_Tabelle_Riferimento!$D$127:$H$164,5,FALSE))</f>
        <v>8</v>
      </c>
      <c r="LU37" s="1762">
        <f>+IFERROR(VLOOKUP(LU$27&amp;"-"&amp;$M37&amp;"_new",Ammortamento_Finanziario!$H:$L,5,FALSE),VLOOKUP($M37,TT_Tabelle_Riferimento!$D$127:$H$164,5,FALSE))</f>
        <v>8</v>
      </c>
      <c r="LV37" s="1762">
        <f>+IFERROR(VLOOKUP(LV$27&amp;"-"&amp;$M37&amp;"_new",Ammortamento_Finanziario!$H:$L,5,FALSE),VLOOKUP($M37,TT_Tabelle_Riferimento!$D$127:$H$164,5,FALSE))</f>
        <v>8</v>
      </c>
      <c r="LW37" s="1762">
        <f>+IFERROR(VLOOKUP(LW$27&amp;"-"&amp;$M37&amp;"_new",Ammortamento_Finanziario!$H:$L,5,FALSE),VLOOKUP($M37,TT_Tabelle_Riferimento!$D$127:$H$164,5,FALSE))</f>
        <v>8</v>
      </c>
      <c r="LX37" s="1762">
        <f>+IFERROR(VLOOKUP(LX$27&amp;"-"&amp;$M37&amp;"_new",Ammortamento_Finanziario!$H:$L,5,FALSE),VLOOKUP($M37,TT_Tabelle_Riferimento!$D$127:$H$164,5,FALSE))</f>
        <v>8</v>
      </c>
      <c r="LY37" s="904">
        <f>+IFERROR(VLOOKUP(LY$27&amp;"-"&amp;$M37&amp;"_new",Ammortamento_Finanziario!$H:$L,5,FALSE),VLOOKUP($M37,TT_Tabelle_Riferimento!$D$127:$H$164,5,FALSE))</f>
        <v>8</v>
      </c>
      <c r="LZ37" s="904">
        <f>+IFERROR(VLOOKUP(LZ$27&amp;"-"&amp;$M37&amp;"_new",Ammortamento_Finanziario!$H:$L,5,FALSE),VLOOKUP($M37,TT_Tabelle_Riferimento!$D$127:$H$164,5,FALSE))</f>
        <v>8</v>
      </c>
      <c r="MA37" s="904">
        <f>+IFERROR(VLOOKUP(MA$27&amp;"-"&amp;$M37&amp;"_new",Ammortamento_Finanziario!$H:$L,5,FALSE),VLOOKUP($M37,TT_Tabelle_Riferimento!$D$127:$H$164,5,FALSE))</f>
        <v>8</v>
      </c>
      <c r="MB37" s="904">
        <f>+IFERROR(VLOOKUP(MB$27&amp;"-"&amp;$M37&amp;"_new",Ammortamento_Finanziario!$H:$L,5,FALSE),VLOOKUP($M37,TT_Tabelle_Riferimento!$D$127:$H$164,5,FALSE))</f>
        <v>8</v>
      </c>
      <c r="MC37" s="904">
        <f>+IFERROR(VLOOKUP(MC$27&amp;"-"&amp;$M37&amp;"_new",Ammortamento_Finanziario!$H:$L,5,FALSE),VLOOKUP($M37,TT_Tabelle_Riferimento!$D$127:$H$164,5,FALSE))</f>
        <v>8</v>
      </c>
      <c r="MD37" s="904">
        <f>+IFERROR(VLOOKUP(MD$27&amp;"-"&amp;$M37&amp;"_new",Ammortamento_Finanziario!$H:$L,5,FALSE),VLOOKUP($M37,TT_Tabelle_Riferimento!$D$127:$H$164,5,FALSE))</f>
        <v>8</v>
      </c>
      <c r="ME37" s="904">
        <f>+IFERROR(VLOOKUP(ME$27&amp;"-"&amp;$M37&amp;"_new",Ammortamento_Finanziario!$H:$L,5,FALSE),VLOOKUP($M37,TT_Tabelle_Riferimento!$D$127:$H$164,5,FALSE))</f>
        <v>8</v>
      </c>
      <c r="MF37" s="904">
        <f>+IFERROR(VLOOKUP(MF$27&amp;"-"&amp;$M37&amp;"_new",Ammortamento_Finanziario!$H:$L,5,FALSE),VLOOKUP($M37,TT_Tabelle_Riferimento!$D$127:$H$164,5,FALSE))</f>
        <v>8</v>
      </c>
      <c r="MG37" s="904">
        <f>+IFERROR(VLOOKUP(MG$27&amp;"-"&amp;$M37&amp;"_new",Ammortamento_Finanziario!$H:$L,5,FALSE),VLOOKUP($M37,TT_Tabelle_Riferimento!$D$127:$H$164,5,FALSE))</f>
        <v>8</v>
      </c>
      <c r="MH37" s="904">
        <f>+IFERROR(VLOOKUP(MH$27&amp;"-"&amp;$M37&amp;"_new",Ammortamento_Finanziario!$H:$L,5,FALSE),VLOOKUP($M37,TT_Tabelle_Riferimento!$D$127:$H$164,5,FALSE))</f>
        <v>8</v>
      </c>
      <c r="MI37" s="904">
        <f>+IFERROR(VLOOKUP(MI$27&amp;"-"&amp;$M37&amp;"_new",Ammortamento_Finanziario!$H:$L,5,FALSE),VLOOKUP($M37,TT_Tabelle_Riferimento!$D$127:$H$164,5,FALSE))</f>
        <v>8</v>
      </c>
      <c r="MJ37" s="904">
        <f>+IFERROR(VLOOKUP(MJ$27&amp;"-"&amp;$M37&amp;"_new",Ammortamento_Finanziario!$H:$L,5,FALSE),VLOOKUP($M37,TT_Tabelle_Riferimento!$D$127:$H$164,5,FALSE))</f>
        <v>8</v>
      </c>
      <c r="MK37" s="904">
        <f>+IFERROR(VLOOKUP(MK$27&amp;"-"&amp;$M37&amp;"_new",Ammortamento_Finanziario!$H:$L,5,FALSE),VLOOKUP($M37,TT_Tabelle_Riferimento!$D$127:$H$164,5,FALSE))</f>
        <v>8</v>
      </c>
      <c r="ML37" s="904">
        <f>+IFERROR(VLOOKUP(ML$27&amp;"-"&amp;$M37&amp;"_new",Ammortamento_Finanziario!$H:$L,5,FALSE),VLOOKUP($M37,TT_Tabelle_Riferimento!$D$127:$H$164,5,FALSE))</f>
        <v>8</v>
      </c>
      <c r="MM37" s="904">
        <f>+IFERROR(VLOOKUP(MM$27&amp;"-"&amp;$M37&amp;"_new",Ammortamento_Finanziario!$H:$L,5,FALSE),VLOOKUP($M37,TT_Tabelle_Riferimento!$D$127:$H$164,5,FALSE))</f>
        <v>8</v>
      </c>
      <c r="MN37" s="904">
        <f>+IFERROR(VLOOKUP(MN$27&amp;"-"&amp;$M37&amp;"_new",Ammortamento_Finanziario!$H:$L,5,FALSE),VLOOKUP($M37,TT_Tabelle_Riferimento!$D$127:$H$164,5,FALSE))</f>
        <v>8</v>
      </c>
      <c r="MO37" s="904">
        <f>+IFERROR(VLOOKUP(MO$27&amp;"-"&amp;$M37&amp;"_new",Ammortamento_Finanziario!$H:$L,5,FALSE),VLOOKUP($M37,TT_Tabelle_Riferimento!$D$127:$H$164,5,FALSE))</f>
        <v>8</v>
      </c>
      <c r="MP37" s="904">
        <f>+IFERROR(VLOOKUP(MP$27&amp;"-"&amp;$M37&amp;"_new",Ammortamento_Finanziario!$H:$L,5,FALSE),VLOOKUP($M37,TT_Tabelle_Riferimento!$D$127:$H$164,5,FALSE))</f>
        <v>8</v>
      </c>
      <c r="MQ37" s="904">
        <f>+IFERROR(VLOOKUP(MQ$27&amp;"-"&amp;$M37&amp;"_new",Ammortamento_Finanziario!$H:$L,5,FALSE),VLOOKUP($M37,TT_Tabelle_Riferimento!$D$127:$H$164,5,FALSE))</f>
        <v>8</v>
      </c>
      <c r="MR37" s="1762">
        <f>+IFERROR(VLOOKUP(MR$27&amp;"-"&amp;$M37&amp;"_new",Ammortamento_Finanziario!$H:$L,5,FALSE),VLOOKUP($M37,TT_Tabelle_Riferimento!$D$127:$H$164,5,FALSE))</f>
        <v>8</v>
      </c>
      <c r="MS37" s="1762">
        <f>+IFERROR(VLOOKUP(MS$27&amp;"-"&amp;$M37&amp;"_new",Ammortamento_Finanziario!$H:$L,5,FALSE),VLOOKUP($M37,TT_Tabelle_Riferimento!$D$127:$H$164,5,FALSE))</f>
        <v>8</v>
      </c>
      <c r="MT37" s="1762">
        <f>+IFERROR(VLOOKUP(MT$27&amp;"-"&amp;$M37&amp;"_new",Ammortamento_Finanziario!$H:$L,5,FALSE),VLOOKUP($M37,TT_Tabelle_Riferimento!$D$127:$H$164,5,FALSE))</f>
        <v>8</v>
      </c>
      <c r="MU37" s="1762">
        <f>+IFERROR(VLOOKUP(MU$27&amp;"-"&amp;$M37&amp;"_new",Ammortamento_Finanziario!$H:$L,5,FALSE),VLOOKUP($M37,TT_Tabelle_Riferimento!$D$127:$H$164,5,FALSE))</f>
        <v>8</v>
      </c>
      <c r="MV37" s="1762">
        <f>+IFERROR(VLOOKUP(MV$27&amp;"-"&amp;$M37&amp;"_new",Ammortamento_Finanziario!$H:$L,5,FALSE),VLOOKUP($M37,TT_Tabelle_Riferimento!$D$127:$H$164,5,FALSE))</f>
        <v>8</v>
      </c>
      <c r="MW37" s="1762">
        <f>+IFERROR(VLOOKUP(MW$27&amp;"-"&amp;$M37&amp;"_new",Ammortamento_Finanziario!$H:$L,5,FALSE),VLOOKUP($M37,TT_Tabelle_Riferimento!$D$127:$H$164,5,FALSE))</f>
        <v>8</v>
      </c>
      <c r="MX37" s="904">
        <f>+IFERROR(VLOOKUP(MX$27&amp;"-"&amp;$M37&amp;"_new",Ammortamento_Finanziario!$H:$L,5,FALSE),VLOOKUP($M37,TT_Tabelle_Riferimento!$D$127:$H$164,5,FALSE))</f>
        <v>8</v>
      </c>
      <c r="MY37" s="904">
        <f>+IFERROR(VLOOKUP(MY$27&amp;"-"&amp;$M37&amp;"_new",Ammortamento_Finanziario!$H:$L,5,FALSE),VLOOKUP($M37,TT_Tabelle_Riferimento!$D$127:$H$164,5,FALSE))</f>
        <v>8</v>
      </c>
      <c r="MZ37" s="904">
        <f>+IFERROR(VLOOKUP(MZ$27&amp;"-"&amp;$M37&amp;"_new",Ammortamento_Finanziario!$H:$L,5,FALSE),VLOOKUP($M37,TT_Tabelle_Riferimento!$D$127:$H$164,5,FALSE))</f>
        <v>8</v>
      </c>
      <c r="NA37" s="904">
        <f>+IFERROR(VLOOKUP(NA$27&amp;"-"&amp;$M37&amp;"_new",Ammortamento_Finanziario!$H:$L,5,FALSE),VLOOKUP($M37,TT_Tabelle_Riferimento!$D$127:$H$164,5,FALSE))</f>
        <v>8</v>
      </c>
      <c r="NB37" s="904">
        <f>+IFERROR(VLOOKUP(NB$27&amp;"-"&amp;$M37&amp;"_new",Ammortamento_Finanziario!$H:$L,5,FALSE),VLOOKUP($M37,TT_Tabelle_Riferimento!$D$127:$H$164,5,FALSE))</f>
        <v>8</v>
      </c>
      <c r="NC37" s="904">
        <f>+IFERROR(VLOOKUP(NC$27&amp;"-"&amp;$M37&amp;"_new",Ammortamento_Finanziario!$H:$L,5,FALSE),VLOOKUP($M37,TT_Tabelle_Riferimento!$D$127:$H$164,5,FALSE))</f>
        <v>8</v>
      </c>
      <c r="ND37" s="904">
        <f>+IFERROR(VLOOKUP(ND$27&amp;"-"&amp;$M37&amp;"_new",Ammortamento_Finanziario!$H:$L,5,FALSE),VLOOKUP($M37,TT_Tabelle_Riferimento!$D$127:$H$164,5,FALSE))</f>
        <v>8</v>
      </c>
      <c r="NE37" s="904">
        <f>+IFERROR(VLOOKUP(NE$27&amp;"-"&amp;$M37&amp;"_new",Ammortamento_Finanziario!$H:$L,5,FALSE),VLOOKUP($M37,TT_Tabelle_Riferimento!$D$127:$H$164,5,FALSE))</f>
        <v>8</v>
      </c>
      <c r="NF37" s="904">
        <f>+IFERROR(VLOOKUP(NF$27&amp;"-"&amp;$M37&amp;"_new",Ammortamento_Finanziario!$H:$L,5,FALSE),VLOOKUP($M37,TT_Tabelle_Riferimento!$D$127:$H$164,5,FALSE))</f>
        <v>8</v>
      </c>
      <c r="NG37" s="904">
        <f>+IFERROR(VLOOKUP(NG$27&amp;"-"&amp;$M37&amp;"_new",Ammortamento_Finanziario!$H:$L,5,FALSE),VLOOKUP($M37,TT_Tabelle_Riferimento!$D$127:$H$164,5,FALSE))</f>
        <v>8</v>
      </c>
      <c r="NH37" s="904">
        <f>+IFERROR(VLOOKUP(NH$27&amp;"-"&amp;$M37&amp;"_new",Ammortamento_Finanziario!$H:$L,5,FALSE),VLOOKUP($M37,TT_Tabelle_Riferimento!$D$127:$H$164,5,FALSE))</f>
        <v>8</v>
      </c>
      <c r="NI37" s="904">
        <f>+IFERROR(VLOOKUP(NI$27&amp;"-"&amp;$M37&amp;"_new",Ammortamento_Finanziario!$H:$L,5,FALSE),VLOOKUP($M37,TT_Tabelle_Riferimento!$D$127:$H$164,5,FALSE))</f>
        <v>8</v>
      </c>
      <c r="NJ37" s="904">
        <f>+IFERROR(VLOOKUP(NJ$27&amp;"-"&amp;$M37&amp;"_new",Ammortamento_Finanziario!$H:$L,5,FALSE),VLOOKUP($M37,TT_Tabelle_Riferimento!$D$127:$H$164,5,FALSE))</f>
        <v>8</v>
      </c>
      <c r="NK37" s="904">
        <f>+IFERROR(VLOOKUP(NK$27&amp;"-"&amp;$M37&amp;"_new",Ammortamento_Finanziario!$H:$L,5,FALSE),VLOOKUP($M37,TT_Tabelle_Riferimento!$D$127:$H$164,5,FALSE))</f>
        <v>8</v>
      </c>
      <c r="NL37" s="904">
        <f>+IFERROR(VLOOKUP(NL$27&amp;"-"&amp;$M37&amp;"_new",Ammortamento_Finanziario!$H:$L,5,FALSE),VLOOKUP($M37,TT_Tabelle_Riferimento!$D$127:$H$164,5,FALSE))</f>
        <v>8</v>
      </c>
      <c r="NM37" s="904">
        <f>+IFERROR(VLOOKUP(NM$27&amp;"-"&amp;$M37&amp;"_new",Ammortamento_Finanziario!$H:$L,5,FALSE),VLOOKUP($M37,TT_Tabelle_Riferimento!$D$127:$H$164,5,FALSE))</f>
        <v>8</v>
      </c>
      <c r="NN37" s="904">
        <f>+IFERROR(VLOOKUP(NN$27&amp;"-"&amp;$M37&amp;"_new",Ammortamento_Finanziario!$H:$L,5,FALSE),VLOOKUP($M37,TT_Tabelle_Riferimento!$D$127:$H$164,5,FALSE))</f>
        <v>8</v>
      </c>
      <c r="NO37" s="904">
        <f>+IFERROR(VLOOKUP(NO$27&amp;"-"&amp;$M37&amp;"_new",Ammortamento_Finanziario!$H:$L,5,FALSE),VLOOKUP($M37,TT_Tabelle_Riferimento!$D$127:$H$164,5,FALSE))</f>
        <v>8</v>
      </c>
      <c r="NP37" s="904">
        <f>+IFERROR(VLOOKUP(NP$27&amp;"-"&amp;$M37&amp;"_new",Ammortamento_Finanziario!$H:$L,5,FALSE),VLOOKUP($M37,TT_Tabelle_Riferimento!$D$127:$H$164,5,FALSE))</f>
        <v>8</v>
      </c>
      <c r="NQ37" s="1762">
        <f>+IFERROR(VLOOKUP(NQ$27&amp;"-"&amp;$M37&amp;"_new",Ammortamento_Finanziario!$H:$L,5,FALSE),VLOOKUP($M37,TT_Tabelle_Riferimento!$D$127:$H$164,5,FALSE))</f>
        <v>8</v>
      </c>
      <c r="NR37" s="1762">
        <f>+IFERROR(VLOOKUP(NR$27&amp;"-"&amp;$M37&amp;"_new",Ammortamento_Finanziario!$H:$L,5,FALSE),VLOOKUP($M37,TT_Tabelle_Riferimento!$D$127:$H$164,5,FALSE))</f>
        <v>8</v>
      </c>
      <c r="NS37" s="1762">
        <f>+IFERROR(VLOOKUP(NS$27&amp;"-"&amp;$M37&amp;"_new",Ammortamento_Finanziario!$H:$L,5,FALSE),VLOOKUP($M37,TT_Tabelle_Riferimento!$D$127:$H$164,5,FALSE))</f>
        <v>8</v>
      </c>
      <c r="NT37" s="1762">
        <f>+IFERROR(VLOOKUP(NT$27&amp;"-"&amp;$M37&amp;"_new",Ammortamento_Finanziario!$H:$L,5,FALSE),VLOOKUP($M37,TT_Tabelle_Riferimento!$D$127:$H$164,5,FALSE))</f>
        <v>8</v>
      </c>
      <c r="NU37" s="1762">
        <f>+IFERROR(VLOOKUP(NU$27&amp;"-"&amp;$M37&amp;"_new",Ammortamento_Finanziario!$H:$L,5,FALSE),VLOOKUP($M37,TT_Tabelle_Riferimento!$D$127:$H$164,5,FALSE))</f>
        <v>8</v>
      </c>
      <c r="NV37" s="904">
        <f>+IFERROR(VLOOKUP(NV$27&amp;"-"&amp;$M37&amp;"_new",Ammortamento_Finanziario!$H:$L,5,FALSE),VLOOKUP($M37,TT_Tabelle_Riferimento!$D$127:$H$164,5,FALSE))</f>
        <v>8</v>
      </c>
      <c r="NW37" s="904">
        <f>+IFERROR(VLOOKUP(NW$27&amp;"-"&amp;$M37&amp;"_new",Ammortamento_Finanziario!$H:$L,5,FALSE),VLOOKUP($M37,TT_Tabelle_Riferimento!$D$127:$H$164,5,FALSE))</f>
        <v>8</v>
      </c>
      <c r="NX37" s="904">
        <f>+IFERROR(VLOOKUP(NX$27&amp;"-"&amp;$M37&amp;"_new",Ammortamento_Finanziario!$H:$L,5,FALSE),VLOOKUP($M37,TT_Tabelle_Riferimento!$D$127:$H$164,5,FALSE))</f>
        <v>8</v>
      </c>
      <c r="NY37" s="904">
        <f>+IFERROR(VLOOKUP(NY$27&amp;"-"&amp;$M37&amp;"_new",Ammortamento_Finanziario!$H:$L,5,FALSE),VLOOKUP($M37,TT_Tabelle_Riferimento!$D$127:$H$164,5,FALSE))</f>
        <v>8</v>
      </c>
      <c r="NZ37" s="904">
        <f>+IFERROR(VLOOKUP(NZ$27&amp;"-"&amp;$M37&amp;"_new",Ammortamento_Finanziario!$H:$L,5,FALSE),VLOOKUP($M37,TT_Tabelle_Riferimento!$D$127:$H$164,5,FALSE))</f>
        <v>8</v>
      </c>
      <c r="OA37" s="904">
        <f>+IFERROR(VLOOKUP(OA$27&amp;"-"&amp;$M37&amp;"_new",Ammortamento_Finanziario!$H:$L,5,FALSE),VLOOKUP($M37,TT_Tabelle_Riferimento!$D$127:$H$164,5,FALSE))</f>
        <v>8</v>
      </c>
      <c r="OB37" s="904">
        <f>+IFERROR(VLOOKUP(OB$27&amp;"-"&amp;$M37&amp;"_new",Ammortamento_Finanziario!$H:$L,5,FALSE),VLOOKUP($M37,TT_Tabelle_Riferimento!$D$127:$H$164,5,FALSE))</f>
        <v>8</v>
      </c>
      <c r="OC37" s="904">
        <f>+IFERROR(VLOOKUP(OC$27&amp;"-"&amp;$M37&amp;"_new",Ammortamento_Finanziario!$H:$L,5,FALSE),VLOOKUP($M37,TT_Tabelle_Riferimento!$D$127:$H$164,5,FALSE))</f>
        <v>8</v>
      </c>
      <c r="OD37" s="904">
        <f>+IFERROR(VLOOKUP(OD$27&amp;"-"&amp;$M37&amp;"_new",Ammortamento_Finanziario!$H:$L,5,FALSE),VLOOKUP($M37,TT_Tabelle_Riferimento!$D$127:$H$164,5,FALSE))</f>
        <v>8</v>
      </c>
      <c r="OE37" s="904">
        <f>+IFERROR(VLOOKUP(OE$27&amp;"-"&amp;$M37&amp;"_new",Ammortamento_Finanziario!$H:$L,5,FALSE),VLOOKUP($M37,TT_Tabelle_Riferimento!$D$127:$H$164,5,FALSE))</f>
        <v>8</v>
      </c>
      <c r="OF37" s="904">
        <f>+IFERROR(VLOOKUP(OF$27&amp;"-"&amp;$M37&amp;"_new",Ammortamento_Finanziario!$H:$L,5,FALSE),VLOOKUP($M37,TT_Tabelle_Riferimento!$D$127:$H$164,5,FALSE))</f>
        <v>8</v>
      </c>
      <c r="OG37" s="904">
        <f>+IFERROR(VLOOKUP(OG$27&amp;"-"&amp;$M37&amp;"_new",Ammortamento_Finanziario!$H:$L,5,FALSE),VLOOKUP($M37,TT_Tabelle_Riferimento!$D$127:$H$164,5,FALSE))</f>
        <v>8</v>
      </c>
      <c r="OH37" s="904">
        <f>+IFERROR(VLOOKUP(OH$27&amp;"-"&amp;$M37&amp;"_new",Ammortamento_Finanziario!$H:$L,5,FALSE),VLOOKUP($M37,TT_Tabelle_Riferimento!$D$127:$H$164,5,FALSE))</f>
        <v>8</v>
      </c>
      <c r="OI37" s="904">
        <f>+IFERROR(VLOOKUP(OI$27&amp;"-"&amp;$M37&amp;"_new",Ammortamento_Finanziario!$H:$L,5,FALSE),VLOOKUP($M37,TT_Tabelle_Riferimento!$D$127:$H$164,5,FALSE))</f>
        <v>8</v>
      </c>
      <c r="OJ37" s="904">
        <f>+IFERROR(VLOOKUP(OJ$27&amp;"-"&amp;$M37&amp;"_new",Ammortamento_Finanziario!$H:$L,5,FALSE),VLOOKUP($M37,TT_Tabelle_Riferimento!$D$127:$H$164,5,FALSE))</f>
        <v>8</v>
      </c>
      <c r="OK37" s="904">
        <f>+IFERROR(VLOOKUP(OK$27&amp;"-"&amp;$M37&amp;"_new",Ammortamento_Finanziario!$H:$L,5,FALSE),VLOOKUP($M37,TT_Tabelle_Riferimento!$D$127:$H$164,5,FALSE))</f>
        <v>8</v>
      </c>
      <c r="OL37" s="904">
        <f>+IFERROR(VLOOKUP(OL$27&amp;"-"&amp;$M37&amp;"_new",Ammortamento_Finanziario!$H:$L,5,FALSE),VLOOKUP($M37,TT_Tabelle_Riferimento!$D$127:$H$164,5,FALSE))</f>
        <v>8</v>
      </c>
      <c r="OM37" s="904">
        <f>+IFERROR(VLOOKUP(OM$27&amp;"-"&amp;$M37&amp;"_new",Ammortamento_Finanziario!$H:$L,5,FALSE),VLOOKUP($M37,TT_Tabelle_Riferimento!$D$127:$H$164,5,FALSE))</f>
        <v>8</v>
      </c>
      <c r="ON37" s="904">
        <f>+IFERROR(VLOOKUP(ON$27&amp;"-"&amp;$M37&amp;"_new",Ammortamento_Finanziario!$H:$L,5,FALSE),VLOOKUP($M37,TT_Tabelle_Riferimento!$D$127:$H$164,5,FALSE))</f>
        <v>8</v>
      </c>
      <c r="OO37" s="1762">
        <f>+IFERROR(VLOOKUP(OO$27&amp;"-"&amp;$M37&amp;"_new",Ammortamento_Finanziario!$H:$L,5,FALSE),VLOOKUP($M37,TT_Tabelle_Riferimento!$D$127:$H$164,5,FALSE))</f>
        <v>8</v>
      </c>
      <c r="OP37" s="1762">
        <f>+IFERROR(VLOOKUP(OP$27&amp;"-"&amp;$M37&amp;"_new",Ammortamento_Finanziario!$H:$L,5,FALSE),VLOOKUP($M37,TT_Tabelle_Riferimento!$D$127:$H$164,5,FALSE))</f>
        <v>8</v>
      </c>
      <c r="OQ37" s="1762">
        <f>+IFERROR(VLOOKUP(OQ$27&amp;"-"&amp;$M37&amp;"_new",Ammortamento_Finanziario!$H:$L,5,FALSE),VLOOKUP($M37,TT_Tabelle_Riferimento!$D$127:$H$164,5,FALSE))</f>
        <v>8</v>
      </c>
      <c r="OR37" s="1762">
        <f>+IFERROR(VLOOKUP(OR$27&amp;"-"&amp;$M37&amp;"_new",Ammortamento_Finanziario!$H:$L,5,FALSE),VLOOKUP($M37,TT_Tabelle_Riferimento!$D$127:$H$164,5,FALSE))</f>
        <v>8</v>
      </c>
      <c r="OS37" s="904">
        <f>+IFERROR(VLOOKUP(OS$27&amp;"-"&amp;$M37&amp;"_new",Ammortamento_Finanziario!$H:$L,5,FALSE),VLOOKUP($M37,TT_Tabelle_Riferimento!$D$127:$H$164,5,FALSE))</f>
        <v>8</v>
      </c>
      <c r="OT37" s="904">
        <f>+IFERROR(VLOOKUP(OT$27&amp;"-"&amp;$M37&amp;"_new",Ammortamento_Finanziario!$H:$L,5,FALSE),VLOOKUP($M37,TT_Tabelle_Riferimento!$D$127:$H$164,5,FALSE))</f>
        <v>8</v>
      </c>
      <c r="OU37" s="904">
        <f>+IFERROR(VLOOKUP(OU$27&amp;"-"&amp;$M37&amp;"_new",Ammortamento_Finanziario!$H:$L,5,FALSE),VLOOKUP($M37,TT_Tabelle_Riferimento!$D$127:$H$164,5,FALSE))</f>
        <v>8</v>
      </c>
      <c r="OV37" s="904">
        <f>+IFERROR(VLOOKUP(OV$27&amp;"-"&amp;$M37&amp;"_new",Ammortamento_Finanziario!$H:$L,5,FALSE),VLOOKUP($M37,TT_Tabelle_Riferimento!$D$127:$H$164,5,FALSE))</f>
        <v>8</v>
      </c>
      <c r="OW37" s="904">
        <f>+IFERROR(VLOOKUP(OW$27&amp;"-"&amp;$M37&amp;"_new",Ammortamento_Finanziario!$H:$L,5,FALSE),VLOOKUP($M37,TT_Tabelle_Riferimento!$D$127:$H$164,5,FALSE))</f>
        <v>8</v>
      </c>
      <c r="OX37" s="904">
        <f>+IFERROR(VLOOKUP(OX$27&amp;"-"&amp;$M37&amp;"_new",Ammortamento_Finanziario!$H:$L,5,FALSE),VLOOKUP($M37,TT_Tabelle_Riferimento!$D$127:$H$164,5,FALSE))</f>
        <v>8</v>
      </c>
      <c r="OY37" s="904">
        <f>+IFERROR(VLOOKUP(OY$27&amp;"-"&amp;$M37&amp;"_new",Ammortamento_Finanziario!$H:$L,5,FALSE),VLOOKUP($M37,TT_Tabelle_Riferimento!$D$127:$H$164,5,FALSE))</f>
        <v>8</v>
      </c>
      <c r="OZ37" s="904">
        <f>+IFERROR(VLOOKUP(OZ$27&amp;"-"&amp;$M37&amp;"_new",Ammortamento_Finanziario!$H:$L,5,FALSE),VLOOKUP($M37,TT_Tabelle_Riferimento!$D$127:$H$164,5,FALSE))</f>
        <v>8</v>
      </c>
      <c r="PA37" s="904">
        <f>+IFERROR(VLOOKUP(PA$27&amp;"-"&amp;$M37&amp;"_new",Ammortamento_Finanziario!$H:$L,5,FALSE),VLOOKUP($M37,TT_Tabelle_Riferimento!$D$127:$H$164,5,FALSE))</f>
        <v>8</v>
      </c>
      <c r="PB37" s="904">
        <f>+IFERROR(VLOOKUP(PB$27&amp;"-"&amp;$M37&amp;"_new",Ammortamento_Finanziario!$H:$L,5,FALSE),VLOOKUP($M37,TT_Tabelle_Riferimento!$D$127:$H$164,5,FALSE))</f>
        <v>8</v>
      </c>
      <c r="PC37" s="904">
        <f>+IFERROR(VLOOKUP(PC$27&amp;"-"&amp;$M37&amp;"_new",Ammortamento_Finanziario!$H:$L,5,FALSE),VLOOKUP($M37,TT_Tabelle_Riferimento!$D$127:$H$164,5,FALSE))</f>
        <v>8</v>
      </c>
      <c r="PD37" s="904">
        <f>+IFERROR(VLOOKUP(PD$27&amp;"-"&amp;$M37&amp;"_new",Ammortamento_Finanziario!$H:$L,5,FALSE),VLOOKUP($M37,TT_Tabelle_Riferimento!$D$127:$H$164,5,FALSE))</f>
        <v>8</v>
      </c>
      <c r="PE37" s="904">
        <f>+IFERROR(VLOOKUP(PE$27&amp;"-"&amp;$M37&amp;"_new",Ammortamento_Finanziario!$H:$L,5,FALSE),VLOOKUP($M37,TT_Tabelle_Riferimento!$D$127:$H$164,5,FALSE))</f>
        <v>8</v>
      </c>
      <c r="PF37" s="904">
        <f>+IFERROR(VLOOKUP(PF$27&amp;"-"&amp;$M37&amp;"_new",Ammortamento_Finanziario!$H:$L,5,FALSE),VLOOKUP($M37,TT_Tabelle_Riferimento!$D$127:$H$164,5,FALSE))</f>
        <v>8</v>
      </c>
      <c r="PG37" s="904">
        <f>+IFERROR(VLOOKUP(PG$27&amp;"-"&amp;$M37&amp;"_new",Ammortamento_Finanziario!$H:$L,5,FALSE),VLOOKUP($M37,TT_Tabelle_Riferimento!$D$127:$H$164,5,FALSE))</f>
        <v>8</v>
      </c>
      <c r="PH37" s="904">
        <f>+IFERROR(VLOOKUP(PH$27&amp;"-"&amp;$M37&amp;"_new",Ammortamento_Finanziario!$H:$L,5,FALSE),VLOOKUP($M37,TT_Tabelle_Riferimento!$D$127:$H$164,5,FALSE))</f>
        <v>8</v>
      </c>
      <c r="PI37" s="904">
        <f>+IFERROR(VLOOKUP(PI$27&amp;"-"&amp;$M37&amp;"_new",Ammortamento_Finanziario!$H:$L,5,FALSE),VLOOKUP($M37,TT_Tabelle_Riferimento!$D$127:$H$164,5,FALSE))</f>
        <v>8</v>
      </c>
      <c r="PJ37" s="904">
        <f>+IFERROR(VLOOKUP(PJ$27&amp;"-"&amp;$M37&amp;"_new",Ammortamento_Finanziario!$H:$L,5,FALSE),VLOOKUP($M37,TT_Tabelle_Riferimento!$D$127:$H$164,5,FALSE))</f>
        <v>8</v>
      </c>
      <c r="PK37" s="904">
        <f>+IFERROR(VLOOKUP(PK$27&amp;"-"&amp;$M37&amp;"_new",Ammortamento_Finanziario!$H:$L,5,FALSE),VLOOKUP($M37,TT_Tabelle_Riferimento!$D$127:$H$164,5,FALSE))</f>
        <v>8</v>
      </c>
      <c r="PL37" s="1762">
        <f>+IFERROR(VLOOKUP(PL$27&amp;"-"&amp;$M37&amp;"_new",Ammortamento_Finanziario!$H:$L,5,FALSE),VLOOKUP($M37,TT_Tabelle_Riferimento!$D$127:$H$164,5,FALSE))</f>
        <v>8</v>
      </c>
      <c r="PM37" s="1762">
        <f>+IFERROR(VLOOKUP(PM$27&amp;"-"&amp;$M37&amp;"_new",Ammortamento_Finanziario!$H:$L,5,FALSE),VLOOKUP($M37,TT_Tabelle_Riferimento!$D$127:$H$164,5,FALSE))</f>
        <v>8</v>
      </c>
      <c r="PN37" s="1762">
        <f>+IFERROR(VLOOKUP(PN$27&amp;"-"&amp;$M37&amp;"_new",Ammortamento_Finanziario!$H:$L,5,FALSE),VLOOKUP($M37,TT_Tabelle_Riferimento!$D$127:$H$164,5,FALSE))</f>
        <v>8</v>
      </c>
      <c r="PO37" s="904">
        <f>+IFERROR(VLOOKUP(PO$27&amp;"-"&amp;$M37&amp;"_new",Ammortamento_Finanziario!$H:$L,5,FALSE),VLOOKUP($M37,TT_Tabelle_Riferimento!$D$127:$H$164,5,FALSE))</f>
        <v>8</v>
      </c>
      <c r="PP37" s="904">
        <f>+IFERROR(VLOOKUP(PP$27&amp;"-"&amp;$M37&amp;"_new",Ammortamento_Finanziario!$H:$L,5,FALSE),VLOOKUP($M37,TT_Tabelle_Riferimento!$D$127:$H$164,5,FALSE))</f>
        <v>8</v>
      </c>
      <c r="PQ37" s="904">
        <f>+IFERROR(VLOOKUP(PQ$27&amp;"-"&amp;$M37&amp;"_new",Ammortamento_Finanziario!$H:$L,5,FALSE),VLOOKUP($M37,TT_Tabelle_Riferimento!$D$127:$H$164,5,FALSE))</f>
        <v>8</v>
      </c>
      <c r="PR37" s="904">
        <f>+IFERROR(VLOOKUP(PR$27&amp;"-"&amp;$M37&amp;"_new",Ammortamento_Finanziario!$H:$L,5,FALSE),VLOOKUP($M37,TT_Tabelle_Riferimento!$D$127:$H$164,5,FALSE))</f>
        <v>8</v>
      </c>
      <c r="PS37" s="904">
        <f>+IFERROR(VLOOKUP(PS$27&amp;"-"&amp;$M37&amp;"_new",Ammortamento_Finanziario!$H:$L,5,FALSE),VLOOKUP($M37,TT_Tabelle_Riferimento!$D$127:$H$164,5,FALSE))</f>
        <v>8</v>
      </c>
      <c r="PT37" s="904">
        <f>+IFERROR(VLOOKUP(PT$27&amp;"-"&amp;$M37&amp;"_new",Ammortamento_Finanziario!$H:$L,5,FALSE),VLOOKUP($M37,TT_Tabelle_Riferimento!$D$127:$H$164,5,FALSE))</f>
        <v>8</v>
      </c>
      <c r="PU37" s="904">
        <f>+IFERROR(VLOOKUP(PU$27&amp;"-"&amp;$M37&amp;"_new",Ammortamento_Finanziario!$H:$L,5,FALSE),VLOOKUP($M37,TT_Tabelle_Riferimento!$D$127:$H$164,5,FALSE))</f>
        <v>8</v>
      </c>
      <c r="PV37" s="904">
        <f>+IFERROR(VLOOKUP(PV$27&amp;"-"&amp;$M37&amp;"_new",Ammortamento_Finanziario!$H:$L,5,FALSE),VLOOKUP($M37,TT_Tabelle_Riferimento!$D$127:$H$164,5,FALSE))</f>
        <v>8</v>
      </c>
      <c r="PW37" s="904">
        <f>+IFERROR(VLOOKUP(PW$27&amp;"-"&amp;$M37&amp;"_new",Ammortamento_Finanziario!$H:$L,5,FALSE),VLOOKUP($M37,TT_Tabelle_Riferimento!$D$127:$H$164,5,FALSE))</f>
        <v>8</v>
      </c>
      <c r="PX37" s="904">
        <f>+IFERROR(VLOOKUP(PX$27&amp;"-"&amp;$M37&amp;"_new",Ammortamento_Finanziario!$H:$L,5,FALSE),VLOOKUP($M37,TT_Tabelle_Riferimento!$D$127:$H$164,5,FALSE))</f>
        <v>8</v>
      </c>
      <c r="PY37" s="904">
        <f>+IFERROR(VLOOKUP(PY$27&amp;"-"&amp;$M37&amp;"_new",Ammortamento_Finanziario!$H:$L,5,FALSE),VLOOKUP($M37,TT_Tabelle_Riferimento!$D$127:$H$164,5,FALSE))</f>
        <v>8</v>
      </c>
      <c r="PZ37" s="904">
        <f>+IFERROR(VLOOKUP(PZ$27&amp;"-"&amp;$M37&amp;"_new",Ammortamento_Finanziario!$H:$L,5,FALSE),VLOOKUP($M37,TT_Tabelle_Riferimento!$D$127:$H$164,5,FALSE))</f>
        <v>8</v>
      </c>
      <c r="QA37" s="904">
        <f>+IFERROR(VLOOKUP(QA$27&amp;"-"&amp;$M37&amp;"_new",Ammortamento_Finanziario!$H:$L,5,FALSE),VLOOKUP($M37,TT_Tabelle_Riferimento!$D$127:$H$164,5,FALSE))</f>
        <v>8</v>
      </c>
      <c r="QB37" s="904">
        <f>+IFERROR(VLOOKUP(QB$27&amp;"-"&amp;$M37&amp;"_new",Ammortamento_Finanziario!$H:$L,5,FALSE),VLOOKUP($M37,TT_Tabelle_Riferimento!$D$127:$H$164,5,FALSE))</f>
        <v>8</v>
      </c>
      <c r="QC37" s="904">
        <f>+IFERROR(VLOOKUP(QC$27&amp;"-"&amp;$M37&amp;"_new",Ammortamento_Finanziario!$H:$L,5,FALSE),VLOOKUP($M37,TT_Tabelle_Riferimento!$D$127:$H$164,5,FALSE))</f>
        <v>8</v>
      </c>
      <c r="QD37" s="904">
        <f>+IFERROR(VLOOKUP(QD$27&amp;"-"&amp;$M37&amp;"_new",Ammortamento_Finanziario!$H:$L,5,FALSE),VLOOKUP($M37,TT_Tabelle_Riferimento!$D$127:$H$164,5,FALSE))</f>
        <v>8</v>
      </c>
      <c r="QE37" s="904">
        <f>+IFERROR(VLOOKUP(QE$27&amp;"-"&amp;$M37&amp;"_new",Ammortamento_Finanziario!$H:$L,5,FALSE),VLOOKUP($M37,TT_Tabelle_Riferimento!$D$127:$H$164,5,FALSE))</f>
        <v>8</v>
      </c>
      <c r="QF37" s="904">
        <f>+IFERROR(VLOOKUP(QF$27&amp;"-"&amp;$M37&amp;"_new",Ammortamento_Finanziario!$H:$L,5,FALSE),VLOOKUP($M37,TT_Tabelle_Riferimento!$D$127:$H$164,5,FALSE))</f>
        <v>8</v>
      </c>
      <c r="QG37" s="904">
        <f>+IFERROR(VLOOKUP(QG$27&amp;"-"&amp;$M37&amp;"_new",Ammortamento_Finanziario!$H:$L,5,FALSE),VLOOKUP($M37,TT_Tabelle_Riferimento!$D$127:$H$164,5,FALSE))</f>
        <v>8</v>
      </c>
      <c r="QH37" s="1762">
        <f>+IFERROR(VLOOKUP(QH$27&amp;"-"&amp;$M37&amp;"_new",Ammortamento_Finanziario!$H:$L,5,FALSE),VLOOKUP($M37,TT_Tabelle_Riferimento!$D$127:$H$164,5,FALSE))</f>
        <v>8</v>
      </c>
      <c r="QI37" s="1762">
        <f>+IFERROR(VLOOKUP(QI$27&amp;"-"&amp;$M37&amp;"_new",Ammortamento_Finanziario!$H:$L,5,FALSE),VLOOKUP($M37,TT_Tabelle_Riferimento!$D$127:$H$164,5,FALSE))</f>
        <v>8</v>
      </c>
      <c r="QJ37" s="904">
        <f>+IFERROR(VLOOKUP(QJ$27&amp;"-"&amp;$M37&amp;"_new",Ammortamento_Finanziario!$H:$L,5,FALSE),VLOOKUP($M37,TT_Tabelle_Riferimento!$D$127:$H$164,5,FALSE))</f>
        <v>8</v>
      </c>
      <c r="QK37" s="904">
        <f>+IFERROR(VLOOKUP(QK$27&amp;"-"&amp;$M37&amp;"_new",Ammortamento_Finanziario!$H:$L,5,FALSE),VLOOKUP($M37,TT_Tabelle_Riferimento!$D$127:$H$164,5,FALSE))</f>
        <v>8</v>
      </c>
      <c r="QL37" s="904">
        <f>+IFERROR(VLOOKUP(QL$27&amp;"-"&amp;$M37&amp;"_new",Ammortamento_Finanziario!$H:$L,5,FALSE),VLOOKUP($M37,TT_Tabelle_Riferimento!$D$127:$H$164,5,FALSE))</f>
        <v>8</v>
      </c>
      <c r="QM37" s="904">
        <f>+IFERROR(VLOOKUP(QM$27&amp;"-"&amp;$M37&amp;"_new",Ammortamento_Finanziario!$H:$L,5,FALSE),VLOOKUP($M37,TT_Tabelle_Riferimento!$D$127:$H$164,5,FALSE))</f>
        <v>8</v>
      </c>
      <c r="QN37" s="904">
        <f>+IFERROR(VLOOKUP(QN$27&amp;"-"&amp;$M37&amp;"_new",Ammortamento_Finanziario!$H:$L,5,FALSE),VLOOKUP($M37,TT_Tabelle_Riferimento!$D$127:$H$164,5,FALSE))</f>
        <v>8</v>
      </c>
      <c r="QO37" s="904">
        <f>+IFERROR(VLOOKUP(QO$27&amp;"-"&amp;$M37&amp;"_new",Ammortamento_Finanziario!$H:$L,5,FALSE),VLOOKUP($M37,TT_Tabelle_Riferimento!$D$127:$H$164,5,FALSE))</f>
        <v>8</v>
      </c>
      <c r="QP37" s="904">
        <f>+IFERROR(VLOOKUP(QP$27&amp;"-"&amp;$M37&amp;"_new",Ammortamento_Finanziario!$H:$L,5,FALSE),VLOOKUP($M37,TT_Tabelle_Riferimento!$D$127:$H$164,5,FALSE))</f>
        <v>8</v>
      </c>
      <c r="QQ37" s="904">
        <f>+IFERROR(VLOOKUP(QQ$27&amp;"-"&amp;$M37&amp;"_new",Ammortamento_Finanziario!$H:$L,5,FALSE),VLOOKUP($M37,TT_Tabelle_Riferimento!$D$127:$H$164,5,FALSE))</f>
        <v>8</v>
      </c>
      <c r="QR37" s="904">
        <f>+IFERROR(VLOOKUP(QR$27&amp;"-"&amp;$M37&amp;"_new",Ammortamento_Finanziario!$H:$L,5,FALSE),VLOOKUP($M37,TT_Tabelle_Riferimento!$D$127:$H$164,5,FALSE))</f>
        <v>8</v>
      </c>
      <c r="QS37" s="904">
        <f>+IFERROR(VLOOKUP(QS$27&amp;"-"&amp;$M37&amp;"_new",Ammortamento_Finanziario!$H:$L,5,FALSE),VLOOKUP($M37,TT_Tabelle_Riferimento!$D$127:$H$164,5,FALSE))</f>
        <v>8</v>
      </c>
      <c r="QT37" s="904">
        <f>+IFERROR(VLOOKUP(QT$27&amp;"-"&amp;$M37&amp;"_new",Ammortamento_Finanziario!$H:$L,5,FALSE),VLOOKUP($M37,TT_Tabelle_Riferimento!$D$127:$H$164,5,FALSE))</f>
        <v>8</v>
      </c>
      <c r="QU37" s="904">
        <f>+IFERROR(VLOOKUP(QU$27&amp;"-"&amp;$M37&amp;"_new",Ammortamento_Finanziario!$H:$L,5,FALSE),VLOOKUP($M37,TT_Tabelle_Riferimento!$D$127:$H$164,5,FALSE))</f>
        <v>8</v>
      </c>
      <c r="QV37" s="904">
        <f>+IFERROR(VLOOKUP(QV$27&amp;"-"&amp;$M37&amp;"_new",Ammortamento_Finanziario!$H:$L,5,FALSE),VLOOKUP($M37,TT_Tabelle_Riferimento!$D$127:$H$164,5,FALSE))</f>
        <v>8</v>
      </c>
      <c r="QW37" s="904">
        <f>+IFERROR(VLOOKUP(QW$27&amp;"-"&amp;$M37&amp;"_new",Ammortamento_Finanziario!$H:$L,5,FALSE),VLOOKUP($M37,TT_Tabelle_Riferimento!$D$127:$H$164,5,FALSE))</f>
        <v>8</v>
      </c>
      <c r="QX37" s="904">
        <f>+IFERROR(VLOOKUP(QX$27&amp;"-"&amp;$M37&amp;"_new",Ammortamento_Finanziario!$H:$L,5,FALSE),VLOOKUP($M37,TT_Tabelle_Riferimento!$D$127:$H$164,5,FALSE))</f>
        <v>8</v>
      </c>
      <c r="QY37" s="904">
        <f>+IFERROR(VLOOKUP(QY$27&amp;"-"&amp;$M37&amp;"_new",Ammortamento_Finanziario!$H:$L,5,FALSE),VLOOKUP($M37,TT_Tabelle_Riferimento!$D$127:$H$164,5,FALSE))</f>
        <v>8</v>
      </c>
      <c r="QZ37" s="904">
        <f>+IFERROR(VLOOKUP(QZ$27&amp;"-"&amp;$M37&amp;"_new",Ammortamento_Finanziario!$H:$L,5,FALSE),VLOOKUP($M37,TT_Tabelle_Riferimento!$D$127:$H$164,5,FALSE))</f>
        <v>8</v>
      </c>
      <c r="RA37" s="904">
        <f>+IFERROR(VLOOKUP(RA$27&amp;"-"&amp;$M37&amp;"_new",Ammortamento_Finanziario!$H:$L,5,FALSE),VLOOKUP($M37,TT_Tabelle_Riferimento!$D$127:$H$164,5,FALSE))</f>
        <v>8</v>
      </c>
      <c r="RB37" s="904">
        <f>+IFERROR(VLOOKUP(RB$27&amp;"-"&amp;$M37&amp;"_new",Ammortamento_Finanziario!$H:$L,5,FALSE),VLOOKUP($M37,TT_Tabelle_Riferimento!$D$127:$H$164,5,FALSE))</f>
        <v>8</v>
      </c>
      <c r="RC37" s="1762">
        <f>+IFERROR(VLOOKUP(RC$27&amp;"-"&amp;$M37&amp;"_new",Ammortamento_Finanziario!$H:$L,5,FALSE),VLOOKUP($M37,TT_Tabelle_Riferimento!$D$127:$H$164,5,FALSE))</f>
        <v>8</v>
      </c>
      <c r="RD37" s="904">
        <f>+IFERROR(VLOOKUP(RD$27&amp;"-"&amp;$M37&amp;"_new",Ammortamento_Finanziario!$H:$L,5,FALSE),VLOOKUP($M37,TT_Tabelle_Riferimento!$D$127:$H$164,5,FALSE))</f>
        <v>8</v>
      </c>
      <c r="RE37" s="904">
        <f>+IFERROR(VLOOKUP(RE$27&amp;"-"&amp;$M37&amp;"_new",Ammortamento_Finanziario!$H:$L,5,FALSE),VLOOKUP($M37,TT_Tabelle_Riferimento!$D$127:$H$164,5,FALSE))</f>
        <v>8</v>
      </c>
      <c r="RF37" s="904">
        <f>+IFERROR(VLOOKUP(RF$27&amp;"-"&amp;$M37&amp;"_new",Ammortamento_Finanziario!$H:$L,5,FALSE),VLOOKUP($M37,TT_Tabelle_Riferimento!$D$127:$H$164,5,FALSE))</f>
        <v>8</v>
      </c>
      <c r="RG37" s="904">
        <f>+IFERROR(VLOOKUP(RG$27&amp;"-"&amp;$M37&amp;"_new",Ammortamento_Finanziario!$H:$L,5,FALSE),VLOOKUP($M37,TT_Tabelle_Riferimento!$D$127:$H$164,5,FALSE))</f>
        <v>8</v>
      </c>
      <c r="RH37" s="904">
        <f>+IFERROR(VLOOKUP(RH$27&amp;"-"&amp;$M37&amp;"_new",Ammortamento_Finanziario!$H:$L,5,FALSE),VLOOKUP($M37,TT_Tabelle_Riferimento!$D$127:$H$164,5,FALSE))</f>
        <v>8</v>
      </c>
      <c r="RI37" s="904">
        <f>+IFERROR(VLOOKUP(RI$27&amp;"-"&amp;$M37&amp;"_new",Ammortamento_Finanziario!$H:$L,5,FALSE),VLOOKUP($M37,TT_Tabelle_Riferimento!$D$127:$H$164,5,FALSE))</f>
        <v>8</v>
      </c>
      <c r="RJ37" s="904">
        <f>+IFERROR(VLOOKUP(RJ$27&amp;"-"&amp;$M37&amp;"_new",Ammortamento_Finanziario!$H:$L,5,FALSE),VLOOKUP($M37,TT_Tabelle_Riferimento!$D$127:$H$164,5,FALSE))</f>
        <v>8</v>
      </c>
      <c r="RK37" s="904">
        <f>+IFERROR(VLOOKUP(RK$27&amp;"-"&amp;$M37&amp;"_new",Ammortamento_Finanziario!$H:$L,5,FALSE),VLOOKUP($M37,TT_Tabelle_Riferimento!$D$127:$H$164,5,FALSE))</f>
        <v>8</v>
      </c>
      <c r="RL37" s="904">
        <f>+IFERROR(VLOOKUP(RL$27&amp;"-"&amp;$M37&amp;"_new",Ammortamento_Finanziario!$H:$L,5,FALSE),VLOOKUP($M37,TT_Tabelle_Riferimento!$D$127:$H$164,5,FALSE))</f>
        <v>8</v>
      </c>
      <c r="RM37" s="904">
        <f>+IFERROR(VLOOKUP(RM$27&amp;"-"&amp;$M37&amp;"_new",Ammortamento_Finanziario!$H:$L,5,FALSE),VLOOKUP($M37,TT_Tabelle_Riferimento!$D$127:$H$164,5,FALSE))</f>
        <v>8</v>
      </c>
      <c r="RN37" s="904">
        <f>+IFERROR(VLOOKUP(RN$27&amp;"-"&amp;$M37&amp;"_new",Ammortamento_Finanziario!$H:$L,5,FALSE),VLOOKUP($M37,TT_Tabelle_Riferimento!$D$127:$H$164,5,FALSE))</f>
        <v>8</v>
      </c>
      <c r="RO37" s="904">
        <f>+IFERROR(VLOOKUP(RO$27&amp;"-"&amp;$M37&amp;"_new",Ammortamento_Finanziario!$H:$L,5,FALSE),VLOOKUP($M37,TT_Tabelle_Riferimento!$D$127:$H$164,5,FALSE))</f>
        <v>8</v>
      </c>
      <c r="RP37" s="904">
        <f>+IFERROR(VLOOKUP(RP$27&amp;"-"&amp;$M37&amp;"_new",Ammortamento_Finanziario!$H:$L,5,FALSE),VLOOKUP($M37,TT_Tabelle_Riferimento!$D$127:$H$164,5,FALSE))</f>
        <v>8</v>
      </c>
      <c r="RQ37" s="904">
        <f>+IFERROR(VLOOKUP(RQ$27&amp;"-"&amp;$M37&amp;"_new",Ammortamento_Finanziario!$H:$L,5,FALSE),VLOOKUP($M37,TT_Tabelle_Riferimento!$D$127:$H$164,5,FALSE))</f>
        <v>8</v>
      </c>
      <c r="RR37" s="904">
        <f>+IFERROR(VLOOKUP(RR$27&amp;"-"&amp;$M37&amp;"_new",Ammortamento_Finanziario!$H:$L,5,FALSE),VLOOKUP($M37,TT_Tabelle_Riferimento!$D$127:$H$164,5,FALSE))</f>
        <v>8</v>
      </c>
      <c r="RS37" s="904">
        <f>+IFERROR(VLOOKUP(RS$27&amp;"-"&amp;$M37&amp;"_new",Ammortamento_Finanziario!$H:$L,5,FALSE),VLOOKUP($M37,TT_Tabelle_Riferimento!$D$127:$H$164,5,FALSE))</f>
        <v>8</v>
      </c>
      <c r="RT37" s="904">
        <f>+IFERROR(VLOOKUP(RT$27&amp;"-"&amp;$M37&amp;"_new",Ammortamento_Finanziario!$H:$L,5,FALSE),VLOOKUP($M37,TT_Tabelle_Riferimento!$D$127:$H$164,5,FALSE))</f>
        <v>8</v>
      </c>
      <c r="RU37" s="904">
        <f>+IFERROR(VLOOKUP(RU$27&amp;"-"&amp;$M37&amp;"_new",Ammortamento_Finanziario!$H:$L,5,FALSE),VLOOKUP($M37,TT_Tabelle_Riferimento!$D$127:$H$164,5,FALSE))</f>
        <v>8</v>
      </c>
      <c r="RV37" s="904">
        <f>+IFERROR(VLOOKUP(RV$27&amp;"-"&amp;$M37&amp;"_new",Ammortamento_Finanziario!$H:$L,5,FALSE),VLOOKUP($M37,TT_Tabelle_Riferimento!$D$127:$H$164,5,FALSE))</f>
        <v>8</v>
      </c>
    </row>
    <row r="38" spans="4:490">
      <c r="D38" s="137"/>
      <c r="E38" s="136"/>
      <c r="F38" s="136"/>
      <c r="G38" s="136"/>
      <c r="H38" s="136"/>
      <c r="I38" s="136"/>
      <c r="J38" s="136"/>
      <c r="K38" s="136"/>
      <c r="M38" s="1756">
        <v>11</v>
      </c>
      <c r="N38" s="1759">
        <v>0</v>
      </c>
      <c r="O38" s="1759">
        <v>0</v>
      </c>
      <c r="P38" s="1759">
        <v>0</v>
      </c>
      <c r="Q38" s="1759">
        <v>0</v>
      </c>
      <c r="R38" s="1759">
        <v>0</v>
      </c>
      <c r="S38" s="1759">
        <v>0</v>
      </c>
      <c r="T38" s="1759">
        <v>0</v>
      </c>
      <c r="U38" s="1759">
        <v>0</v>
      </c>
      <c r="V38" s="1759">
        <v>0</v>
      </c>
      <c r="W38" s="1759">
        <v>0</v>
      </c>
      <c r="X38" s="1759">
        <v>0</v>
      </c>
      <c r="Y38" s="1759">
        <v>0</v>
      </c>
      <c r="Z38" s="1759">
        <v>0</v>
      </c>
      <c r="AA38" s="1759">
        <v>0</v>
      </c>
      <c r="AB38" s="1759">
        <v>0</v>
      </c>
      <c r="AC38" s="1759">
        <v>0</v>
      </c>
      <c r="AD38" s="1759">
        <v>0</v>
      </c>
      <c r="AE38" s="1759">
        <v>0</v>
      </c>
      <c r="AF38" s="1759">
        <v>0</v>
      </c>
      <c r="AG38" s="1759">
        <v>0</v>
      </c>
      <c r="AH38" s="1759">
        <v>0</v>
      </c>
      <c r="AI38" s="1759">
        <v>0</v>
      </c>
      <c r="AJ38" s="1759">
        <v>0</v>
      </c>
      <c r="AK38" s="1759">
        <v>0</v>
      </c>
      <c r="AL38" s="1759">
        <v>0</v>
      </c>
      <c r="AM38" s="1759">
        <v>0</v>
      </c>
      <c r="AN38" s="1759">
        <v>0</v>
      </c>
      <c r="AO38" s="1759">
        <v>0</v>
      </c>
      <c r="AP38" s="1759">
        <v>0</v>
      </c>
      <c r="AQ38" s="1759">
        <v>0</v>
      </c>
      <c r="AR38" s="1759">
        <v>0</v>
      </c>
      <c r="AS38" s="1759">
        <v>0</v>
      </c>
      <c r="AT38" s="1759">
        <v>0</v>
      </c>
      <c r="AU38" s="1759">
        <v>0</v>
      </c>
      <c r="AV38" s="1759">
        <v>0</v>
      </c>
      <c r="AW38" s="1759">
        <v>0</v>
      </c>
      <c r="AX38" s="1759">
        <v>0</v>
      </c>
      <c r="AY38" s="1759">
        <v>0</v>
      </c>
      <c r="AZ38" s="1759">
        <v>0</v>
      </c>
      <c r="BA38" s="1759">
        <v>0</v>
      </c>
      <c r="BB38" s="1759">
        <v>0</v>
      </c>
      <c r="BC38" s="1759">
        <v>0</v>
      </c>
      <c r="BD38" s="1759">
        <v>0</v>
      </c>
      <c r="BE38" s="1759">
        <v>0</v>
      </c>
      <c r="BF38" s="1759">
        <v>0</v>
      </c>
      <c r="BG38" s="1759">
        <v>0</v>
      </c>
      <c r="BH38" s="1759">
        <v>0</v>
      </c>
      <c r="BI38" s="1759">
        <v>0</v>
      </c>
      <c r="BJ38" s="1759">
        <v>0</v>
      </c>
      <c r="BK38" s="1759">
        <v>0</v>
      </c>
      <c r="BL38" s="1759">
        <v>0</v>
      </c>
      <c r="BM38" s="1759">
        <v>0</v>
      </c>
      <c r="BN38" s="1759">
        <v>0</v>
      </c>
      <c r="BO38" s="1759">
        <v>0</v>
      </c>
      <c r="BP38" s="1759">
        <v>0</v>
      </c>
      <c r="BQ38" s="1759">
        <v>0</v>
      </c>
      <c r="BR38" s="1759">
        <v>0</v>
      </c>
      <c r="BS38" s="1759">
        <v>0</v>
      </c>
      <c r="BT38" s="1759">
        <v>0</v>
      </c>
      <c r="BU38" s="1759">
        <v>0</v>
      </c>
      <c r="BV38" s="1759">
        <v>0</v>
      </c>
      <c r="BW38" s="1759">
        <v>0</v>
      </c>
      <c r="BX38" s="1759">
        <v>0</v>
      </c>
      <c r="BY38" s="1759">
        <v>0</v>
      </c>
      <c r="BZ38" s="1759">
        <v>0</v>
      </c>
      <c r="CA38" s="1759">
        <v>0</v>
      </c>
      <c r="CB38" s="1759">
        <v>0</v>
      </c>
      <c r="CC38" s="1759">
        <v>0</v>
      </c>
      <c r="CD38" s="1759">
        <v>0</v>
      </c>
      <c r="CE38" s="1759">
        <v>0</v>
      </c>
      <c r="CF38" s="1759">
        <v>0</v>
      </c>
      <c r="CG38" s="1759">
        <v>0</v>
      </c>
      <c r="CH38" s="1759">
        <v>0</v>
      </c>
      <c r="CI38" s="1759">
        <v>0</v>
      </c>
      <c r="CJ38" s="1759">
        <v>0</v>
      </c>
      <c r="CK38" s="1759">
        <v>0</v>
      </c>
      <c r="CL38" s="1759">
        <v>0</v>
      </c>
      <c r="CM38" s="1759">
        <v>0</v>
      </c>
      <c r="CN38" s="1759">
        <v>0</v>
      </c>
      <c r="CO38" s="1759">
        <v>0</v>
      </c>
      <c r="CP38" s="1759">
        <v>0</v>
      </c>
      <c r="CQ38" s="1759">
        <v>0</v>
      </c>
      <c r="CR38" s="1759">
        <v>0</v>
      </c>
      <c r="CS38" s="1759">
        <v>0</v>
      </c>
      <c r="CT38" s="1759">
        <v>0</v>
      </c>
      <c r="CU38" s="1759">
        <v>0</v>
      </c>
      <c r="CV38" s="1759">
        <v>0</v>
      </c>
      <c r="CW38" s="1759">
        <v>0</v>
      </c>
      <c r="CX38" s="1759">
        <v>0</v>
      </c>
      <c r="CY38" s="1759">
        <v>0</v>
      </c>
      <c r="CZ38" s="1759">
        <v>0</v>
      </c>
      <c r="DA38" s="1759">
        <v>0</v>
      </c>
      <c r="DB38" s="1759">
        <v>0</v>
      </c>
      <c r="DC38" s="1759">
        <v>0</v>
      </c>
      <c r="DD38" s="1759">
        <v>0</v>
      </c>
      <c r="DE38" s="1759">
        <v>0</v>
      </c>
      <c r="DF38" s="1759">
        <v>0</v>
      </c>
      <c r="DG38" s="1759">
        <v>0</v>
      </c>
      <c r="DH38" s="1759">
        <v>0</v>
      </c>
      <c r="DI38" s="1759">
        <v>0</v>
      </c>
      <c r="DJ38" s="1759">
        <v>0</v>
      </c>
      <c r="DK38" s="1759">
        <v>0</v>
      </c>
      <c r="DL38" s="1759">
        <v>0</v>
      </c>
      <c r="DM38" s="1759">
        <v>0</v>
      </c>
      <c r="DN38" s="1759">
        <v>0</v>
      </c>
      <c r="DO38" s="1759">
        <v>0</v>
      </c>
      <c r="DP38" s="1759">
        <v>0</v>
      </c>
      <c r="DQ38" s="1759">
        <v>0</v>
      </c>
      <c r="DR38" s="1759">
        <v>0</v>
      </c>
      <c r="DS38" s="1759">
        <v>0</v>
      </c>
      <c r="DT38" s="1759">
        <v>0</v>
      </c>
      <c r="DU38" s="1759">
        <v>0</v>
      </c>
      <c r="DV38" s="1759">
        <v>0</v>
      </c>
      <c r="DW38" s="1759">
        <v>0</v>
      </c>
      <c r="DX38" s="1759">
        <v>0</v>
      </c>
      <c r="DY38" s="1759">
        <v>0</v>
      </c>
      <c r="DZ38" s="1759">
        <v>0</v>
      </c>
      <c r="EA38" s="1759">
        <v>0</v>
      </c>
      <c r="EB38" s="1759">
        <v>0</v>
      </c>
      <c r="EC38" s="1759">
        <v>0</v>
      </c>
      <c r="ED38" s="1759">
        <v>0</v>
      </c>
      <c r="EE38" s="1759">
        <v>0</v>
      </c>
      <c r="EF38" s="1759">
        <v>0</v>
      </c>
      <c r="EG38" s="1759">
        <v>0</v>
      </c>
      <c r="EH38" s="1759">
        <v>0</v>
      </c>
      <c r="EI38" s="1759">
        <v>0</v>
      </c>
      <c r="EJ38" s="1759">
        <v>0</v>
      </c>
      <c r="EK38" s="1759">
        <v>0</v>
      </c>
      <c r="EL38" s="1759">
        <v>0</v>
      </c>
      <c r="EM38" s="1759">
        <v>0</v>
      </c>
      <c r="EN38" s="1759">
        <v>0</v>
      </c>
      <c r="EO38" s="1759">
        <v>0</v>
      </c>
      <c r="EP38" s="1759">
        <v>0</v>
      </c>
      <c r="EQ38" s="1759">
        <v>0</v>
      </c>
      <c r="ER38" s="1759">
        <v>0</v>
      </c>
      <c r="ES38" s="1759">
        <v>0</v>
      </c>
      <c r="ET38" s="1759">
        <v>0</v>
      </c>
      <c r="EU38" s="1759">
        <v>0</v>
      </c>
      <c r="EV38" s="1759">
        <v>0</v>
      </c>
      <c r="EW38" s="1759">
        <v>0</v>
      </c>
      <c r="EX38" s="1759">
        <v>0</v>
      </c>
      <c r="EY38" s="1759">
        <v>0</v>
      </c>
      <c r="EZ38" s="1759">
        <v>0</v>
      </c>
      <c r="FA38" s="1759">
        <v>0</v>
      </c>
      <c r="FB38" s="1759">
        <v>0</v>
      </c>
      <c r="FC38" s="1759">
        <v>0</v>
      </c>
      <c r="FD38" s="1759">
        <v>0</v>
      </c>
      <c r="FE38" s="1759">
        <v>0</v>
      </c>
      <c r="FF38" s="1759">
        <v>0</v>
      </c>
      <c r="FG38" s="1759">
        <v>0</v>
      </c>
      <c r="FH38" s="1759">
        <v>0</v>
      </c>
      <c r="FI38" s="1759">
        <v>0</v>
      </c>
      <c r="FJ38" s="1759">
        <v>0</v>
      </c>
      <c r="FK38" s="1759">
        <v>0</v>
      </c>
      <c r="FL38" s="1759">
        <v>0</v>
      </c>
      <c r="FM38" s="1759">
        <v>0</v>
      </c>
      <c r="FN38" s="1759">
        <v>0</v>
      </c>
      <c r="FO38" s="1759">
        <v>0</v>
      </c>
      <c r="FP38" s="1759">
        <v>0</v>
      </c>
      <c r="FQ38" s="1759">
        <v>0</v>
      </c>
      <c r="FR38" s="1759">
        <v>0</v>
      </c>
      <c r="FS38" s="1759">
        <v>0</v>
      </c>
      <c r="FT38" s="1759">
        <v>0</v>
      </c>
      <c r="FU38" s="1759">
        <v>0</v>
      </c>
      <c r="FV38" s="1759">
        <v>0</v>
      </c>
      <c r="FW38" s="1759">
        <v>0</v>
      </c>
      <c r="FX38" s="1759">
        <v>0</v>
      </c>
      <c r="FY38" s="1759">
        <v>0</v>
      </c>
      <c r="FZ38" s="1759">
        <v>0</v>
      </c>
      <c r="GA38" s="1759">
        <v>0</v>
      </c>
      <c r="GB38" s="1759">
        <v>0</v>
      </c>
      <c r="GC38" s="1759">
        <v>0</v>
      </c>
      <c r="GD38" s="1759">
        <v>0</v>
      </c>
      <c r="GE38" s="1759">
        <v>0</v>
      </c>
      <c r="GF38" s="1759">
        <v>0</v>
      </c>
      <c r="GG38" s="1759">
        <v>0</v>
      </c>
      <c r="GH38" s="1759">
        <v>0</v>
      </c>
      <c r="GI38" s="1759">
        <v>0</v>
      </c>
      <c r="GJ38" s="1759">
        <v>0</v>
      </c>
      <c r="GK38" s="1759">
        <v>0</v>
      </c>
      <c r="GL38" s="1759">
        <v>0</v>
      </c>
      <c r="GM38" s="1759">
        <v>0</v>
      </c>
      <c r="GN38" s="1759">
        <v>0</v>
      </c>
      <c r="GO38" s="1759">
        <v>0</v>
      </c>
      <c r="GP38" s="1759">
        <v>0</v>
      </c>
      <c r="GQ38" s="1759">
        <v>0</v>
      </c>
      <c r="GR38" s="1759">
        <v>0</v>
      </c>
      <c r="GS38" s="1759">
        <v>0</v>
      </c>
      <c r="GT38" s="1759">
        <v>0</v>
      </c>
      <c r="GU38" s="1759">
        <v>0</v>
      </c>
      <c r="GV38" s="1759">
        <v>0</v>
      </c>
      <c r="GW38" s="1759">
        <v>0</v>
      </c>
      <c r="GX38" s="1759">
        <v>0</v>
      </c>
      <c r="GY38" s="1759">
        <v>0</v>
      </c>
      <c r="GZ38" s="1759">
        <v>0</v>
      </c>
      <c r="HA38" s="1759">
        <v>0</v>
      </c>
      <c r="HB38" s="1759">
        <v>0</v>
      </c>
      <c r="HC38" s="1759">
        <v>0</v>
      </c>
      <c r="HD38" s="1759">
        <v>0</v>
      </c>
      <c r="HE38" s="1759">
        <v>0</v>
      </c>
      <c r="HF38" s="1759">
        <v>0</v>
      </c>
      <c r="HG38" s="1759">
        <v>0</v>
      </c>
      <c r="HH38" s="1759">
        <v>0</v>
      </c>
      <c r="HI38" s="1759">
        <v>0</v>
      </c>
      <c r="HJ38" s="1759">
        <v>0</v>
      </c>
      <c r="HK38" s="1759">
        <v>0</v>
      </c>
      <c r="HL38" s="1759">
        <v>0</v>
      </c>
      <c r="HM38" s="1759">
        <v>0</v>
      </c>
      <c r="HN38" s="1759">
        <v>0</v>
      </c>
      <c r="HO38" s="1759">
        <v>0</v>
      </c>
      <c r="HP38" s="1759">
        <v>0</v>
      </c>
      <c r="HQ38" s="1759">
        <v>0</v>
      </c>
      <c r="HR38" s="1759">
        <v>0</v>
      </c>
      <c r="HS38" s="1759">
        <v>0</v>
      </c>
      <c r="HT38" s="1759">
        <v>0</v>
      </c>
      <c r="HU38" s="1759">
        <v>0</v>
      </c>
      <c r="HV38" s="1759">
        <v>0</v>
      </c>
      <c r="HW38" s="1759">
        <v>0</v>
      </c>
      <c r="HX38" s="1759">
        <v>0</v>
      </c>
      <c r="HY38" s="1759">
        <v>0</v>
      </c>
      <c r="HZ38" s="1759">
        <v>0</v>
      </c>
      <c r="IA38" s="1759">
        <v>0</v>
      </c>
      <c r="IB38" s="1759">
        <v>0</v>
      </c>
      <c r="IC38" s="1759">
        <v>0</v>
      </c>
      <c r="ID38" s="1759">
        <v>0</v>
      </c>
      <c r="IE38" s="1759">
        <v>0</v>
      </c>
      <c r="IF38" s="1759">
        <v>0</v>
      </c>
      <c r="IG38" s="1759">
        <v>0</v>
      </c>
      <c r="IH38" s="1759">
        <v>0</v>
      </c>
      <c r="II38" s="1759">
        <v>0</v>
      </c>
      <c r="IJ38" s="1759">
        <v>0</v>
      </c>
      <c r="IK38" s="1759">
        <v>0</v>
      </c>
      <c r="IL38" s="1759">
        <v>0</v>
      </c>
      <c r="IM38" s="1759">
        <v>0</v>
      </c>
      <c r="IN38" s="1759">
        <v>0</v>
      </c>
      <c r="IO38" s="1759">
        <v>0</v>
      </c>
      <c r="IP38" s="1759">
        <v>0</v>
      </c>
      <c r="IQ38" s="1759">
        <v>0</v>
      </c>
      <c r="IR38" s="1759">
        <v>0</v>
      </c>
      <c r="IS38" s="1759">
        <v>0</v>
      </c>
      <c r="IT38" s="1759">
        <v>0</v>
      </c>
      <c r="IU38" s="1759">
        <v>0</v>
      </c>
      <c r="IV38" s="1759">
        <v>0</v>
      </c>
      <c r="IW38" s="1759">
        <v>0</v>
      </c>
      <c r="IX38" s="1759">
        <v>0</v>
      </c>
      <c r="IY38" s="1759">
        <v>0</v>
      </c>
      <c r="IZ38" s="1759">
        <v>0</v>
      </c>
      <c r="JA38" s="1759">
        <v>0</v>
      </c>
      <c r="JB38" s="1759">
        <v>0</v>
      </c>
      <c r="JC38" s="1759">
        <v>0</v>
      </c>
      <c r="JD38" s="1759">
        <v>0</v>
      </c>
      <c r="JE38" s="1759">
        <v>0</v>
      </c>
      <c r="JF38" s="1759">
        <v>0</v>
      </c>
      <c r="JG38" s="1759">
        <v>0</v>
      </c>
      <c r="JH38" s="1759">
        <v>0</v>
      </c>
      <c r="JI38" s="1759">
        <v>0</v>
      </c>
      <c r="JJ38" s="1759">
        <v>0</v>
      </c>
      <c r="JK38" s="1759">
        <v>0</v>
      </c>
      <c r="JL38" s="1759">
        <v>0</v>
      </c>
      <c r="JM38" s="1759">
        <v>0</v>
      </c>
      <c r="JN38" s="1759">
        <v>0</v>
      </c>
      <c r="JO38" s="1759">
        <v>0</v>
      </c>
      <c r="JP38" s="1759">
        <v>0</v>
      </c>
      <c r="JQ38" s="1759">
        <v>0</v>
      </c>
      <c r="JR38" s="1759">
        <v>0</v>
      </c>
      <c r="JS38" s="1759">
        <v>0</v>
      </c>
      <c r="JT38" s="1759">
        <v>0</v>
      </c>
      <c r="JU38" s="1759">
        <v>0</v>
      </c>
      <c r="JV38" s="1759">
        <v>0</v>
      </c>
      <c r="JW38" s="1759">
        <v>0</v>
      </c>
      <c r="JX38" s="1759">
        <v>0</v>
      </c>
      <c r="JY38" s="1759">
        <v>0</v>
      </c>
      <c r="JZ38" s="1759">
        <v>0</v>
      </c>
      <c r="KA38" s="1759">
        <v>0</v>
      </c>
      <c r="KB38" s="1759">
        <v>0</v>
      </c>
      <c r="KC38" s="1759">
        <v>0</v>
      </c>
      <c r="KD38" s="1759">
        <v>0</v>
      </c>
      <c r="KE38" s="1759">
        <v>0</v>
      </c>
      <c r="KF38" s="1759">
        <v>0</v>
      </c>
      <c r="KG38" s="1759">
        <v>0</v>
      </c>
      <c r="KH38" s="1759">
        <v>0</v>
      </c>
      <c r="KI38" s="1759">
        <v>0</v>
      </c>
      <c r="KJ38" s="1759">
        <v>0</v>
      </c>
      <c r="KK38" s="1759">
        <v>0</v>
      </c>
      <c r="KL38" s="1759">
        <v>0</v>
      </c>
      <c r="KM38" s="1759">
        <v>0</v>
      </c>
      <c r="KN38" s="1759">
        <v>0</v>
      </c>
      <c r="KO38" s="1759">
        <v>0</v>
      </c>
      <c r="KP38" s="1759">
        <v>0</v>
      </c>
      <c r="KQ38" s="904">
        <f>+IFERROR(VLOOKUP(KQ$27&amp;"-"&amp;$M38&amp;"_new",Ammortamento_Finanziario!$H:$L,5,FALSE),VLOOKUP($M38,TT_Tabelle_Riferimento!$D$127:$H$164,5,FALSE))</f>
        <v>50</v>
      </c>
      <c r="KR38" s="904">
        <f>+IFERROR(VLOOKUP(KR$27&amp;"-"&amp;$M38&amp;"_new",Ammortamento_Finanziario!$H:$L,5,FALSE),VLOOKUP($M38,TT_Tabelle_Riferimento!$D$127:$H$164,5,FALSE))</f>
        <v>50</v>
      </c>
      <c r="KS38" s="1762">
        <f>+IFERROR(VLOOKUP(KS$27&amp;"-"&amp;$M38&amp;"_new",Ammortamento_Finanziario!$H:$L,5,FALSE),VLOOKUP($M38,TT_Tabelle_Riferimento!$D$127:$H$164,5,FALSE))</f>
        <v>50</v>
      </c>
      <c r="KT38" s="1762">
        <f>+IFERROR(VLOOKUP(KT$27&amp;"-"&amp;$M38&amp;"_new",Ammortamento_Finanziario!$H:$L,5,FALSE),VLOOKUP($M38,TT_Tabelle_Riferimento!$D$127:$H$164,5,FALSE))</f>
        <v>50</v>
      </c>
      <c r="KU38" s="1762">
        <f>+IFERROR(VLOOKUP(KU$27&amp;"-"&amp;$M38&amp;"_new",Ammortamento_Finanziario!$H:$L,5,FALSE),VLOOKUP($M38,TT_Tabelle_Riferimento!$D$127:$H$164,5,FALSE))</f>
        <v>50</v>
      </c>
      <c r="KV38" s="1762">
        <f>+IFERROR(VLOOKUP(KV$27&amp;"-"&amp;$M38&amp;"_new",Ammortamento_Finanziario!$H:$L,5,FALSE),VLOOKUP($M38,TT_Tabelle_Riferimento!$D$127:$H$164,5,FALSE))</f>
        <v>50</v>
      </c>
      <c r="KW38" s="1762">
        <f>+IFERROR(VLOOKUP(KW$27&amp;"-"&amp;$M38&amp;"_new",Ammortamento_Finanziario!$H:$L,5,FALSE),VLOOKUP($M38,TT_Tabelle_Riferimento!$D$127:$H$164,5,FALSE))</f>
        <v>50</v>
      </c>
      <c r="KX38" s="1762">
        <f>+IFERROR(VLOOKUP(KX$27&amp;"-"&amp;$M38&amp;"_new",Ammortamento_Finanziario!$H:$L,5,FALSE),VLOOKUP($M38,TT_Tabelle_Riferimento!$D$127:$H$164,5,FALSE))</f>
        <v>50</v>
      </c>
      <c r="KY38" s="904">
        <f>+IFERROR(VLOOKUP(KY$27&amp;"-"&amp;$M38&amp;"_new",Ammortamento_Finanziario!$H:$L,5,FALSE),VLOOKUP($M38,TT_Tabelle_Riferimento!$D$127:$H$164,5,FALSE))</f>
        <v>50</v>
      </c>
      <c r="KZ38" s="904">
        <f>+IFERROR(VLOOKUP(KZ$27&amp;"-"&amp;$M38&amp;"_new",Ammortamento_Finanziario!$H:$L,5,FALSE),VLOOKUP($M38,TT_Tabelle_Riferimento!$D$127:$H$164,5,FALSE))</f>
        <v>50</v>
      </c>
      <c r="LA38" s="904">
        <f>+IFERROR(VLOOKUP(LA$27&amp;"-"&amp;$M38&amp;"_new",Ammortamento_Finanziario!$H:$L,5,FALSE),VLOOKUP($M38,TT_Tabelle_Riferimento!$D$127:$H$164,5,FALSE))</f>
        <v>50</v>
      </c>
      <c r="LB38" s="904">
        <f>+IFERROR(VLOOKUP(LB$27&amp;"-"&amp;$M38&amp;"_new",Ammortamento_Finanziario!$H:$L,5,FALSE),VLOOKUP($M38,TT_Tabelle_Riferimento!$D$127:$H$164,5,FALSE))</f>
        <v>50</v>
      </c>
      <c r="LC38" s="904">
        <f>+IFERROR(VLOOKUP(LC$27&amp;"-"&amp;$M38&amp;"_new",Ammortamento_Finanziario!$H:$L,5,FALSE),VLOOKUP($M38,TT_Tabelle_Riferimento!$D$127:$H$164,5,FALSE))</f>
        <v>50</v>
      </c>
      <c r="LD38" s="904">
        <f>+IFERROR(VLOOKUP(LD$27&amp;"-"&amp;$M38&amp;"_new",Ammortamento_Finanziario!$H:$L,5,FALSE),VLOOKUP($M38,TT_Tabelle_Riferimento!$D$127:$H$164,5,FALSE))</f>
        <v>50</v>
      </c>
      <c r="LE38" s="904">
        <f>+IFERROR(VLOOKUP(LE$27&amp;"-"&amp;$M38&amp;"_new",Ammortamento_Finanziario!$H:$L,5,FALSE),VLOOKUP($M38,TT_Tabelle_Riferimento!$D$127:$H$164,5,FALSE))</f>
        <v>50</v>
      </c>
      <c r="LF38" s="904">
        <f>+IFERROR(VLOOKUP(LF$27&amp;"-"&amp;$M38&amp;"_new",Ammortamento_Finanziario!$H:$L,5,FALSE),VLOOKUP($M38,TT_Tabelle_Riferimento!$D$127:$H$164,5,FALSE))</f>
        <v>50</v>
      </c>
      <c r="LG38" s="904">
        <f>+IFERROR(VLOOKUP(LG$27&amp;"-"&amp;$M38&amp;"_new",Ammortamento_Finanziario!$H:$L,5,FALSE),VLOOKUP($M38,TT_Tabelle_Riferimento!$D$127:$H$164,5,FALSE))</f>
        <v>50</v>
      </c>
      <c r="LH38" s="904">
        <f>+IFERROR(VLOOKUP(LH$27&amp;"-"&amp;$M38&amp;"_new",Ammortamento_Finanziario!$H:$L,5,FALSE),VLOOKUP($M38,TT_Tabelle_Riferimento!$D$127:$H$164,5,FALSE))</f>
        <v>50</v>
      </c>
      <c r="LI38" s="904">
        <f>+IFERROR(VLOOKUP(LI$27&amp;"-"&amp;$M38&amp;"_new",Ammortamento_Finanziario!$H:$L,5,FALSE),VLOOKUP($M38,TT_Tabelle_Riferimento!$D$127:$H$164,5,FALSE))</f>
        <v>50</v>
      </c>
      <c r="LJ38" s="904">
        <f>+IFERROR(VLOOKUP(LJ$27&amp;"-"&amp;$M38&amp;"_new",Ammortamento_Finanziario!$H:$L,5,FALSE),VLOOKUP($M38,TT_Tabelle_Riferimento!$D$127:$H$164,5,FALSE))</f>
        <v>50</v>
      </c>
      <c r="LK38" s="904">
        <f>+IFERROR(VLOOKUP(LK$27&amp;"-"&amp;$M38&amp;"_new",Ammortamento_Finanziario!$H:$L,5,FALSE),VLOOKUP($M38,TT_Tabelle_Riferimento!$D$127:$H$164,5,FALSE))</f>
        <v>50</v>
      </c>
      <c r="LL38" s="904">
        <f>+IFERROR(VLOOKUP(LL$27&amp;"-"&amp;$M38&amp;"_new",Ammortamento_Finanziario!$H:$L,5,FALSE),VLOOKUP($M38,TT_Tabelle_Riferimento!$D$127:$H$164,5,FALSE))</f>
        <v>50</v>
      </c>
      <c r="LM38" s="904">
        <f>+IFERROR(VLOOKUP(LM$27&amp;"-"&amp;$M38&amp;"_new",Ammortamento_Finanziario!$H:$L,5,FALSE),VLOOKUP($M38,TT_Tabelle_Riferimento!$D$127:$H$164,5,FALSE))</f>
        <v>50</v>
      </c>
      <c r="LN38" s="904">
        <f>+IFERROR(VLOOKUP(LN$27&amp;"-"&amp;$M38&amp;"_new",Ammortamento_Finanziario!$H:$L,5,FALSE),VLOOKUP($M38,TT_Tabelle_Riferimento!$D$127:$H$164,5,FALSE))</f>
        <v>50</v>
      </c>
      <c r="LO38" s="904">
        <f>+IFERROR(VLOOKUP(LO$27&amp;"-"&amp;$M38&amp;"_new",Ammortamento_Finanziario!$H:$L,5,FALSE),VLOOKUP($M38,TT_Tabelle_Riferimento!$D$127:$H$164,5,FALSE))</f>
        <v>50</v>
      </c>
      <c r="LP38" s="904">
        <f>+IFERROR(VLOOKUP(LP$27&amp;"-"&amp;$M38&amp;"_new",Ammortamento_Finanziario!$H:$L,5,FALSE),VLOOKUP($M38,TT_Tabelle_Riferimento!$D$127:$H$164,5,FALSE))</f>
        <v>50</v>
      </c>
      <c r="LQ38" s="904">
        <f>+IFERROR(VLOOKUP(LQ$27&amp;"-"&amp;$M38&amp;"_new",Ammortamento_Finanziario!$H:$L,5,FALSE),VLOOKUP($M38,TT_Tabelle_Riferimento!$D$127:$H$164,5,FALSE))</f>
        <v>50</v>
      </c>
      <c r="LR38" s="904">
        <f>+IFERROR(VLOOKUP(LR$27&amp;"-"&amp;$M38&amp;"_new",Ammortamento_Finanziario!$H:$L,5,FALSE),VLOOKUP($M38,TT_Tabelle_Riferimento!$D$127:$H$164,5,FALSE))</f>
        <v>50</v>
      </c>
      <c r="LS38" s="1762">
        <f>+IFERROR(VLOOKUP(LS$27&amp;"-"&amp;$M38&amp;"_new",Ammortamento_Finanziario!$H:$L,5,FALSE),VLOOKUP($M38,TT_Tabelle_Riferimento!$D$127:$H$164,5,FALSE))</f>
        <v>50</v>
      </c>
      <c r="LT38" s="1762">
        <f>+IFERROR(VLOOKUP(LT$27&amp;"-"&amp;$M38&amp;"_new",Ammortamento_Finanziario!$H:$L,5,FALSE),VLOOKUP($M38,TT_Tabelle_Riferimento!$D$127:$H$164,5,FALSE))</f>
        <v>50</v>
      </c>
      <c r="LU38" s="1762">
        <f>+IFERROR(VLOOKUP(LU$27&amp;"-"&amp;$M38&amp;"_new",Ammortamento_Finanziario!$H:$L,5,FALSE),VLOOKUP($M38,TT_Tabelle_Riferimento!$D$127:$H$164,5,FALSE))</f>
        <v>50</v>
      </c>
      <c r="LV38" s="1762">
        <f>+IFERROR(VLOOKUP(LV$27&amp;"-"&amp;$M38&amp;"_new",Ammortamento_Finanziario!$H:$L,5,FALSE),VLOOKUP($M38,TT_Tabelle_Riferimento!$D$127:$H$164,5,FALSE))</f>
        <v>50</v>
      </c>
      <c r="LW38" s="1762">
        <f>+IFERROR(VLOOKUP(LW$27&amp;"-"&amp;$M38&amp;"_new",Ammortamento_Finanziario!$H:$L,5,FALSE),VLOOKUP($M38,TT_Tabelle_Riferimento!$D$127:$H$164,5,FALSE))</f>
        <v>50</v>
      </c>
      <c r="LX38" s="1762">
        <f>+IFERROR(VLOOKUP(LX$27&amp;"-"&amp;$M38&amp;"_new",Ammortamento_Finanziario!$H:$L,5,FALSE),VLOOKUP($M38,TT_Tabelle_Riferimento!$D$127:$H$164,5,FALSE))</f>
        <v>50</v>
      </c>
      <c r="LY38" s="904">
        <f>+IFERROR(VLOOKUP(LY$27&amp;"-"&amp;$M38&amp;"_new",Ammortamento_Finanziario!$H:$L,5,FALSE),VLOOKUP($M38,TT_Tabelle_Riferimento!$D$127:$H$164,5,FALSE))</f>
        <v>50</v>
      </c>
      <c r="LZ38" s="904">
        <f>+IFERROR(VLOOKUP(LZ$27&amp;"-"&amp;$M38&amp;"_new",Ammortamento_Finanziario!$H:$L,5,FALSE),VLOOKUP($M38,TT_Tabelle_Riferimento!$D$127:$H$164,5,FALSE))</f>
        <v>50</v>
      </c>
      <c r="MA38" s="904">
        <f>+IFERROR(VLOOKUP(MA$27&amp;"-"&amp;$M38&amp;"_new",Ammortamento_Finanziario!$H:$L,5,FALSE),VLOOKUP($M38,TT_Tabelle_Riferimento!$D$127:$H$164,5,FALSE))</f>
        <v>50</v>
      </c>
      <c r="MB38" s="904">
        <f>+IFERROR(VLOOKUP(MB$27&amp;"-"&amp;$M38&amp;"_new",Ammortamento_Finanziario!$H:$L,5,FALSE),VLOOKUP($M38,TT_Tabelle_Riferimento!$D$127:$H$164,5,FALSE))</f>
        <v>50</v>
      </c>
      <c r="MC38" s="904">
        <f>+IFERROR(VLOOKUP(MC$27&amp;"-"&amp;$M38&amp;"_new",Ammortamento_Finanziario!$H:$L,5,FALSE),VLOOKUP($M38,TT_Tabelle_Riferimento!$D$127:$H$164,5,FALSE))</f>
        <v>50</v>
      </c>
      <c r="MD38" s="904">
        <f>+IFERROR(VLOOKUP(MD$27&amp;"-"&amp;$M38&amp;"_new",Ammortamento_Finanziario!$H:$L,5,FALSE),VLOOKUP($M38,TT_Tabelle_Riferimento!$D$127:$H$164,5,FALSE))</f>
        <v>50</v>
      </c>
      <c r="ME38" s="904">
        <f>+IFERROR(VLOOKUP(ME$27&amp;"-"&amp;$M38&amp;"_new",Ammortamento_Finanziario!$H:$L,5,FALSE),VLOOKUP($M38,TT_Tabelle_Riferimento!$D$127:$H$164,5,FALSE))</f>
        <v>50</v>
      </c>
      <c r="MF38" s="904">
        <f>+IFERROR(VLOOKUP(MF$27&amp;"-"&amp;$M38&amp;"_new",Ammortamento_Finanziario!$H:$L,5,FALSE),VLOOKUP($M38,TT_Tabelle_Riferimento!$D$127:$H$164,5,FALSE))</f>
        <v>50</v>
      </c>
      <c r="MG38" s="904">
        <f>+IFERROR(VLOOKUP(MG$27&amp;"-"&amp;$M38&amp;"_new",Ammortamento_Finanziario!$H:$L,5,FALSE),VLOOKUP($M38,TT_Tabelle_Riferimento!$D$127:$H$164,5,FALSE))</f>
        <v>50</v>
      </c>
      <c r="MH38" s="904">
        <f>+IFERROR(VLOOKUP(MH$27&amp;"-"&amp;$M38&amp;"_new",Ammortamento_Finanziario!$H:$L,5,FALSE),VLOOKUP($M38,TT_Tabelle_Riferimento!$D$127:$H$164,5,FALSE))</f>
        <v>50</v>
      </c>
      <c r="MI38" s="904">
        <f>+IFERROR(VLOOKUP(MI$27&amp;"-"&amp;$M38&amp;"_new",Ammortamento_Finanziario!$H:$L,5,FALSE),VLOOKUP($M38,TT_Tabelle_Riferimento!$D$127:$H$164,5,FALSE))</f>
        <v>50</v>
      </c>
      <c r="MJ38" s="904">
        <f>+IFERROR(VLOOKUP(MJ$27&amp;"-"&amp;$M38&amp;"_new",Ammortamento_Finanziario!$H:$L,5,FALSE),VLOOKUP($M38,TT_Tabelle_Riferimento!$D$127:$H$164,5,FALSE))</f>
        <v>50</v>
      </c>
      <c r="MK38" s="904">
        <f>+IFERROR(VLOOKUP(MK$27&amp;"-"&amp;$M38&amp;"_new",Ammortamento_Finanziario!$H:$L,5,FALSE),VLOOKUP($M38,TT_Tabelle_Riferimento!$D$127:$H$164,5,FALSE))</f>
        <v>50</v>
      </c>
      <c r="ML38" s="904">
        <f>+IFERROR(VLOOKUP(ML$27&amp;"-"&amp;$M38&amp;"_new",Ammortamento_Finanziario!$H:$L,5,FALSE),VLOOKUP($M38,TT_Tabelle_Riferimento!$D$127:$H$164,5,FALSE))</f>
        <v>50</v>
      </c>
      <c r="MM38" s="904">
        <f>+IFERROR(VLOOKUP(MM$27&amp;"-"&amp;$M38&amp;"_new",Ammortamento_Finanziario!$H:$L,5,FALSE),VLOOKUP($M38,TT_Tabelle_Riferimento!$D$127:$H$164,5,FALSE))</f>
        <v>50</v>
      </c>
      <c r="MN38" s="904">
        <f>+IFERROR(VLOOKUP(MN$27&amp;"-"&amp;$M38&amp;"_new",Ammortamento_Finanziario!$H:$L,5,FALSE),VLOOKUP($M38,TT_Tabelle_Riferimento!$D$127:$H$164,5,FALSE))</f>
        <v>50</v>
      </c>
      <c r="MO38" s="904">
        <f>+IFERROR(VLOOKUP(MO$27&amp;"-"&amp;$M38&amp;"_new",Ammortamento_Finanziario!$H:$L,5,FALSE),VLOOKUP($M38,TT_Tabelle_Riferimento!$D$127:$H$164,5,FALSE))</f>
        <v>50</v>
      </c>
      <c r="MP38" s="904">
        <f>+IFERROR(VLOOKUP(MP$27&amp;"-"&amp;$M38&amp;"_new",Ammortamento_Finanziario!$H:$L,5,FALSE),VLOOKUP($M38,TT_Tabelle_Riferimento!$D$127:$H$164,5,FALSE))</f>
        <v>50</v>
      </c>
      <c r="MQ38" s="904">
        <f>+IFERROR(VLOOKUP(MQ$27&amp;"-"&amp;$M38&amp;"_new",Ammortamento_Finanziario!$H:$L,5,FALSE),VLOOKUP($M38,TT_Tabelle_Riferimento!$D$127:$H$164,5,FALSE))</f>
        <v>50</v>
      </c>
      <c r="MR38" s="1762">
        <f>+IFERROR(VLOOKUP(MR$27&amp;"-"&amp;$M38&amp;"_new",Ammortamento_Finanziario!$H:$L,5,FALSE),VLOOKUP($M38,TT_Tabelle_Riferimento!$D$127:$H$164,5,FALSE))</f>
        <v>50</v>
      </c>
      <c r="MS38" s="1762">
        <f>+IFERROR(VLOOKUP(MS$27&amp;"-"&amp;$M38&amp;"_new",Ammortamento_Finanziario!$H:$L,5,FALSE),VLOOKUP($M38,TT_Tabelle_Riferimento!$D$127:$H$164,5,FALSE))</f>
        <v>50</v>
      </c>
      <c r="MT38" s="1762">
        <f>+IFERROR(VLOOKUP(MT$27&amp;"-"&amp;$M38&amp;"_new",Ammortamento_Finanziario!$H:$L,5,FALSE),VLOOKUP($M38,TT_Tabelle_Riferimento!$D$127:$H$164,5,FALSE))</f>
        <v>50</v>
      </c>
      <c r="MU38" s="1762">
        <f>+IFERROR(VLOOKUP(MU$27&amp;"-"&amp;$M38&amp;"_new",Ammortamento_Finanziario!$H:$L,5,FALSE),VLOOKUP($M38,TT_Tabelle_Riferimento!$D$127:$H$164,5,FALSE))</f>
        <v>50</v>
      </c>
      <c r="MV38" s="1762">
        <f>+IFERROR(VLOOKUP(MV$27&amp;"-"&amp;$M38&amp;"_new",Ammortamento_Finanziario!$H:$L,5,FALSE),VLOOKUP($M38,TT_Tabelle_Riferimento!$D$127:$H$164,5,FALSE))</f>
        <v>50</v>
      </c>
      <c r="MW38" s="1762">
        <f>+IFERROR(VLOOKUP(MW$27&amp;"-"&amp;$M38&amp;"_new",Ammortamento_Finanziario!$H:$L,5,FALSE),VLOOKUP($M38,TT_Tabelle_Riferimento!$D$127:$H$164,5,FALSE))</f>
        <v>50</v>
      </c>
      <c r="MX38" s="904">
        <f>+IFERROR(VLOOKUP(MX$27&amp;"-"&amp;$M38&amp;"_new",Ammortamento_Finanziario!$H:$L,5,FALSE),VLOOKUP($M38,TT_Tabelle_Riferimento!$D$127:$H$164,5,FALSE))</f>
        <v>50</v>
      </c>
      <c r="MY38" s="904">
        <f>+IFERROR(VLOOKUP(MY$27&amp;"-"&amp;$M38&amp;"_new",Ammortamento_Finanziario!$H:$L,5,FALSE),VLOOKUP($M38,TT_Tabelle_Riferimento!$D$127:$H$164,5,FALSE))</f>
        <v>50</v>
      </c>
      <c r="MZ38" s="904">
        <f>+IFERROR(VLOOKUP(MZ$27&amp;"-"&amp;$M38&amp;"_new",Ammortamento_Finanziario!$H:$L,5,FALSE),VLOOKUP($M38,TT_Tabelle_Riferimento!$D$127:$H$164,5,FALSE))</f>
        <v>50</v>
      </c>
      <c r="NA38" s="904">
        <f>+IFERROR(VLOOKUP(NA$27&amp;"-"&amp;$M38&amp;"_new",Ammortamento_Finanziario!$H:$L,5,FALSE),VLOOKUP($M38,TT_Tabelle_Riferimento!$D$127:$H$164,5,FALSE))</f>
        <v>50</v>
      </c>
      <c r="NB38" s="904">
        <f>+IFERROR(VLOOKUP(NB$27&amp;"-"&amp;$M38&amp;"_new",Ammortamento_Finanziario!$H:$L,5,FALSE),VLOOKUP($M38,TT_Tabelle_Riferimento!$D$127:$H$164,5,FALSE))</f>
        <v>50</v>
      </c>
      <c r="NC38" s="904">
        <f>+IFERROR(VLOOKUP(NC$27&amp;"-"&amp;$M38&amp;"_new",Ammortamento_Finanziario!$H:$L,5,FALSE),VLOOKUP($M38,TT_Tabelle_Riferimento!$D$127:$H$164,5,FALSE))</f>
        <v>50</v>
      </c>
      <c r="ND38" s="904">
        <f>+IFERROR(VLOOKUP(ND$27&amp;"-"&amp;$M38&amp;"_new",Ammortamento_Finanziario!$H:$L,5,FALSE),VLOOKUP($M38,TT_Tabelle_Riferimento!$D$127:$H$164,5,FALSE))</f>
        <v>50</v>
      </c>
      <c r="NE38" s="904">
        <f>+IFERROR(VLOOKUP(NE$27&amp;"-"&amp;$M38&amp;"_new",Ammortamento_Finanziario!$H:$L,5,FALSE),VLOOKUP($M38,TT_Tabelle_Riferimento!$D$127:$H$164,5,FALSE))</f>
        <v>50</v>
      </c>
      <c r="NF38" s="904">
        <f>+IFERROR(VLOOKUP(NF$27&amp;"-"&amp;$M38&amp;"_new",Ammortamento_Finanziario!$H:$L,5,FALSE),VLOOKUP($M38,TT_Tabelle_Riferimento!$D$127:$H$164,5,FALSE))</f>
        <v>50</v>
      </c>
      <c r="NG38" s="904">
        <f>+IFERROR(VLOOKUP(NG$27&amp;"-"&amp;$M38&amp;"_new",Ammortamento_Finanziario!$H:$L,5,FALSE),VLOOKUP($M38,TT_Tabelle_Riferimento!$D$127:$H$164,5,FALSE))</f>
        <v>50</v>
      </c>
      <c r="NH38" s="904">
        <f>+IFERROR(VLOOKUP(NH$27&amp;"-"&amp;$M38&amp;"_new",Ammortamento_Finanziario!$H:$L,5,FALSE),VLOOKUP($M38,TT_Tabelle_Riferimento!$D$127:$H$164,5,FALSE))</f>
        <v>50</v>
      </c>
      <c r="NI38" s="904">
        <f>+IFERROR(VLOOKUP(NI$27&amp;"-"&amp;$M38&amp;"_new",Ammortamento_Finanziario!$H:$L,5,FALSE),VLOOKUP($M38,TT_Tabelle_Riferimento!$D$127:$H$164,5,FALSE))</f>
        <v>50</v>
      </c>
      <c r="NJ38" s="904">
        <f>+IFERROR(VLOOKUP(NJ$27&amp;"-"&amp;$M38&amp;"_new",Ammortamento_Finanziario!$H:$L,5,FALSE),VLOOKUP($M38,TT_Tabelle_Riferimento!$D$127:$H$164,5,FALSE))</f>
        <v>50</v>
      </c>
      <c r="NK38" s="904">
        <f>+IFERROR(VLOOKUP(NK$27&amp;"-"&amp;$M38&amp;"_new",Ammortamento_Finanziario!$H:$L,5,FALSE),VLOOKUP($M38,TT_Tabelle_Riferimento!$D$127:$H$164,5,FALSE))</f>
        <v>50</v>
      </c>
      <c r="NL38" s="904">
        <f>+IFERROR(VLOOKUP(NL$27&amp;"-"&amp;$M38&amp;"_new",Ammortamento_Finanziario!$H:$L,5,FALSE),VLOOKUP($M38,TT_Tabelle_Riferimento!$D$127:$H$164,5,FALSE))</f>
        <v>50</v>
      </c>
      <c r="NM38" s="904">
        <f>+IFERROR(VLOOKUP(NM$27&amp;"-"&amp;$M38&amp;"_new",Ammortamento_Finanziario!$H:$L,5,FALSE),VLOOKUP($M38,TT_Tabelle_Riferimento!$D$127:$H$164,5,FALSE))</f>
        <v>50</v>
      </c>
      <c r="NN38" s="904">
        <f>+IFERROR(VLOOKUP(NN$27&amp;"-"&amp;$M38&amp;"_new",Ammortamento_Finanziario!$H:$L,5,FALSE),VLOOKUP($M38,TT_Tabelle_Riferimento!$D$127:$H$164,5,FALSE))</f>
        <v>50</v>
      </c>
      <c r="NO38" s="904">
        <f>+IFERROR(VLOOKUP(NO$27&amp;"-"&amp;$M38&amp;"_new",Ammortamento_Finanziario!$H:$L,5,FALSE),VLOOKUP($M38,TT_Tabelle_Riferimento!$D$127:$H$164,5,FALSE))</f>
        <v>50</v>
      </c>
      <c r="NP38" s="904">
        <f>+IFERROR(VLOOKUP(NP$27&amp;"-"&amp;$M38&amp;"_new",Ammortamento_Finanziario!$H:$L,5,FALSE),VLOOKUP($M38,TT_Tabelle_Riferimento!$D$127:$H$164,5,FALSE))</f>
        <v>50</v>
      </c>
      <c r="NQ38" s="1762">
        <f>+IFERROR(VLOOKUP(NQ$27&amp;"-"&amp;$M38&amp;"_new",Ammortamento_Finanziario!$H:$L,5,FALSE),VLOOKUP($M38,TT_Tabelle_Riferimento!$D$127:$H$164,5,FALSE))</f>
        <v>50</v>
      </c>
      <c r="NR38" s="1762">
        <f>+IFERROR(VLOOKUP(NR$27&amp;"-"&amp;$M38&amp;"_new",Ammortamento_Finanziario!$H:$L,5,FALSE),VLOOKUP($M38,TT_Tabelle_Riferimento!$D$127:$H$164,5,FALSE))</f>
        <v>50</v>
      </c>
      <c r="NS38" s="1762">
        <f>+IFERROR(VLOOKUP(NS$27&amp;"-"&amp;$M38&amp;"_new",Ammortamento_Finanziario!$H:$L,5,FALSE),VLOOKUP($M38,TT_Tabelle_Riferimento!$D$127:$H$164,5,FALSE))</f>
        <v>50</v>
      </c>
      <c r="NT38" s="1762">
        <f>+IFERROR(VLOOKUP(NT$27&amp;"-"&amp;$M38&amp;"_new",Ammortamento_Finanziario!$H:$L,5,FALSE),VLOOKUP($M38,TT_Tabelle_Riferimento!$D$127:$H$164,5,FALSE))</f>
        <v>50</v>
      </c>
      <c r="NU38" s="1762">
        <f>+IFERROR(VLOOKUP(NU$27&amp;"-"&amp;$M38&amp;"_new",Ammortamento_Finanziario!$H:$L,5,FALSE),VLOOKUP($M38,TT_Tabelle_Riferimento!$D$127:$H$164,5,FALSE))</f>
        <v>50</v>
      </c>
      <c r="NV38" s="904">
        <f>+IFERROR(VLOOKUP(NV$27&amp;"-"&amp;$M38&amp;"_new",Ammortamento_Finanziario!$H:$L,5,FALSE),VLOOKUP($M38,TT_Tabelle_Riferimento!$D$127:$H$164,5,FALSE))</f>
        <v>50</v>
      </c>
      <c r="NW38" s="904">
        <f>+IFERROR(VLOOKUP(NW$27&amp;"-"&amp;$M38&amp;"_new",Ammortamento_Finanziario!$H:$L,5,FALSE),VLOOKUP($M38,TT_Tabelle_Riferimento!$D$127:$H$164,5,FALSE))</f>
        <v>50</v>
      </c>
      <c r="NX38" s="904">
        <f>+IFERROR(VLOOKUP(NX$27&amp;"-"&amp;$M38&amp;"_new",Ammortamento_Finanziario!$H:$L,5,FALSE),VLOOKUP($M38,TT_Tabelle_Riferimento!$D$127:$H$164,5,FALSE))</f>
        <v>50</v>
      </c>
      <c r="NY38" s="904">
        <f>+IFERROR(VLOOKUP(NY$27&amp;"-"&amp;$M38&amp;"_new",Ammortamento_Finanziario!$H:$L,5,FALSE),VLOOKUP($M38,TT_Tabelle_Riferimento!$D$127:$H$164,5,FALSE))</f>
        <v>50</v>
      </c>
      <c r="NZ38" s="904">
        <f>+IFERROR(VLOOKUP(NZ$27&amp;"-"&amp;$M38&amp;"_new",Ammortamento_Finanziario!$H:$L,5,FALSE),VLOOKUP($M38,TT_Tabelle_Riferimento!$D$127:$H$164,5,FALSE))</f>
        <v>50</v>
      </c>
      <c r="OA38" s="904">
        <f>+IFERROR(VLOOKUP(OA$27&amp;"-"&amp;$M38&amp;"_new",Ammortamento_Finanziario!$H:$L,5,FALSE),VLOOKUP($M38,TT_Tabelle_Riferimento!$D$127:$H$164,5,FALSE))</f>
        <v>50</v>
      </c>
      <c r="OB38" s="904">
        <f>+IFERROR(VLOOKUP(OB$27&amp;"-"&amp;$M38&amp;"_new",Ammortamento_Finanziario!$H:$L,5,FALSE),VLOOKUP($M38,TT_Tabelle_Riferimento!$D$127:$H$164,5,FALSE))</f>
        <v>50</v>
      </c>
      <c r="OC38" s="904">
        <f>+IFERROR(VLOOKUP(OC$27&amp;"-"&amp;$M38&amp;"_new",Ammortamento_Finanziario!$H:$L,5,FALSE),VLOOKUP($M38,TT_Tabelle_Riferimento!$D$127:$H$164,5,FALSE))</f>
        <v>50</v>
      </c>
      <c r="OD38" s="904">
        <f>+IFERROR(VLOOKUP(OD$27&amp;"-"&amp;$M38&amp;"_new",Ammortamento_Finanziario!$H:$L,5,FALSE),VLOOKUP($M38,TT_Tabelle_Riferimento!$D$127:$H$164,5,FALSE))</f>
        <v>50</v>
      </c>
      <c r="OE38" s="904">
        <f>+IFERROR(VLOOKUP(OE$27&amp;"-"&amp;$M38&amp;"_new",Ammortamento_Finanziario!$H:$L,5,FALSE),VLOOKUP($M38,TT_Tabelle_Riferimento!$D$127:$H$164,5,FALSE))</f>
        <v>50</v>
      </c>
      <c r="OF38" s="904">
        <f>+IFERROR(VLOOKUP(OF$27&amp;"-"&amp;$M38&amp;"_new",Ammortamento_Finanziario!$H:$L,5,FALSE),VLOOKUP($M38,TT_Tabelle_Riferimento!$D$127:$H$164,5,FALSE))</f>
        <v>50</v>
      </c>
      <c r="OG38" s="904">
        <f>+IFERROR(VLOOKUP(OG$27&amp;"-"&amp;$M38&amp;"_new",Ammortamento_Finanziario!$H:$L,5,FALSE),VLOOKUP($M38,TT_Tabelle_Riferimento!$D$127:$H$164,5,FALSE))</f>
        <v>50</v>
      </c>
      <c r="OH38" s="904">
        <f>+IFERROR(VLOOKUP(OH$27&amp;"-"&amp;$M38&amp;"_new",Ammortamento_Finanziario!$H:$L,5,FALSE),VLOOKUP($M38,TT_Tabelle_Riferimento!$D$127:$H$164,5,FALSE))</f>
        <v>50</v>
      </c>
      <c r="OI38" s="904">
        <f>+IFERROR(VLOOKUP(OI$27&amp;"-"&amp;$M38&amp;"_new",Ammortamento_Finanziario!$H:$L,5,FALSE),VLOOKUP($M38,TT_Tabelle_Riferimento!$D$127:$H$164,5,FALSE))</f>
        <v>50</v>
      </c>
      <c r="OJ38" s="904">
        <f>+IFERROR(VLOOKUP(OJ$27&amp;"-"&amp;$M38&amp;"_new",Ammortamento_Finanziario!$H:$L,5,FALSE),VLOOKUP($M38,TT_Tabelle_Riferimento!$D$127:$H$164,5,FALSE))</f>
        <v>50</v>
      </c>
      <c r="OK38" s="904">
        <f>+IFERROR(VLOOKUP(OK$27&amp;"-"&amp;$M38&amp;"_new",Ammortamento_Finanziario!$H:$L,5,FALSE),VLOOKUP($M38,TT_Tabelle_Riferimento!$D$127:$H$164,5,FALSE))</f>
        <v>50</v>
      </c>
      <c r="OL38" s="904">
        <f>+IFERROR(VLOOKUP(OL$27&amp;"-"&amp;$M38&amp;"_new",Ammortamento_Finanziario!$H:$L,5,FALSE),VLOOKUP($M38,TT_Tabelle_Riferimento!$D$127:$H$164,5,FALSE))</f>
        <v>50</v>
      </c>
      <c r="OM38" s="904">
        <f>+IFERROR(VLOOKUP(OM$27&amp;"-"&amp;$M38&amp;"_new",Ammortamento_Finanziario!$H:$L,5,FALSE),VLOOKUP($M38,TT_Tabelle_Riferimento!$D$127:$H$164,5,FALSE))</f>
        <v>50</v>
      </c>
      <c r="ON38" s="904">
        <f>+IFERROR(VLOOKUP(ON$27&amp;"-"&amp;$M38&amp;"_new",Ammortamento_Finanziario!$H:$L,5,FALSE),VLOOKUP($M38,TT_Tabelle_Riferimento!$D$127:$H$164,5,FALSE))</f>
        <v>50</v>
      </c>
      <c r="OO38" s="1762">
        <f>+IFERROR(VLOOKUP(OO$27&amp;"-"&amp;$M38&amp;"_new",Ammortamento_Finanziario!$H:$L,5,FALSE),VLOOKUP($M38,TT_Tabelle_Riferimento!$D$127:$H$164,5,FALSE))</f>
        <v>50</v>
      </c>
      <c r="OP38" s="1762">
        <f>+IFERROR(VLOOKUP(OP$27&amp;"-"&amp;$M38&amp;"_new",Ammortamento_Finanziario!$H:$L,5,FALSE),VLOOKUP($M38,TT_Tabelle_Riferimento!$D$127:$H$164,5,FALSE))</f>
        <v>50</v>
      </c>
      <c r="OQ38" s="1762">
        <f>+IFERROR(VLOOKUP(OQ$27&amp;"-"&amp;$M38&amp;"_new",Ammortamento_Finanziario!$H:$L,5,FALSE),VLOOKUP($M38,TT_Tabelle_Riferimento!$D$127:$H$164,5,FALSE))</f>
        <v>50</v>
      </c>
      <c r="OR38" s="1762">
        <f>+IFERROR(VLOOKUP(OR$27&amp;"-"&amp;$M38&amp;"_new",Ammortamento_Finanziario!$H:$L,5,FALSE),VLOOKUP($M38,TT_Tabelle_Riferimento!$D$127:$H$164,5,FALSE))</f>
        <v>50</v>
      </c>
      <c r="OS38" s="904">
        <f>+IFERROR(VLOOKUP(OS$27&amp;"-"&amp;$M38&amp;"_new",Ammortamento_Finanziario!$H:$L,5,FALSE),VLOOKUP($M38,TT_Tabelle_Riferimento!$D$127:$H$164,5,FALSE))</f>
        <v>50</v>
      </c>
      <c r="OT38" s="904">
        <f>+IFERROR(VLOOKUP(OT$27&amp;"-"&amp;$M38&amp;"_new",Ammortamento_Finanziario!$H:$L,5,FALSE),VLOOKUP($M38,TT_Tabelle_Riferimento!$D$127:$H$164,5,FALSE))</f>
        <v>50</v>
      </c>
      <c r="OU38" s="904">
        <f>+IFERROR(VLOOKUP(OU$27&amp;"-"&amp;$M38&amp;"_new",Ammortamento_Finanziario!$H:$L,5,FALSE),VLOOKUP($M38,TT_Tabelle_Riferimento!$D$127:$H$164,5,FALSE))</f>
        <v>50</v>
      </c>
      <c r="OV38" s="904">
        <f>+IFERROR(VLOOKUP(OV$27&amp;"-"&amp;$M38&amp;"_new",Ammortamento_Finanziario!$H:$L,5,FALSE),VLOOKUP($M38,TT_Tabelle_Riferimento!$D$127:$H$164,5,FALSE))</f>
        <v>50</v>
      </c>
      <c r="OW38" s="904">
        <f>+IFERROR(VLOOKUP(OW$27&amp;"-"&amp;$M38&amp;"_new",Ammortamento_Finanziario!$H:$L,5,FALSE),VLOOKUP($M38,TT_Tabelle_Riferimento!$D$127:$H$164,5,FALSE))</f>
        <v>50</v>
      </c>
      <c r="OX38" s="904">
        <f>+IFERROR(VLOOKUP(OX$27&amp;"-"&amp;$M38&amp;"_new",Ammortamento_Finanziario!$H:$L,5,FALSE),VLOOKUP($M38,TT_Tabelle_Riferimento!$D$127:$H$164,5,FALSE))</f>
        <v>50</v>
      </c>
      <c r="OY38" s="904">
        <f>+IFERROR(VLOOKUP(OY$27&amp;"-"&amp;$M38&amp;"_new",Ammortamento_Finanziario!$H:$L,5,FALSE),VLOOKUP($M38,TT_Tabelle_Riferimento!$D$127:$H$164,5,FALSE))</f>
        <v>50</v>
      </c>
      <c r="OZ38" s="904">
        <f>+IFERROR(VLOOKUP(OZ$27&amp;"-"&amp;$M38&amp;"_new",Ammortamento_Finanziario!$H:$L,5,FALSE),VLOOKUP($M38,TT_Tabelle_Riferimento!$D$127:$H$164,5,FALSE))</f>
        <v>50</v>
      </c>
      <c r="PA38" s="904">
        <f>+IFERROR(VLOOKUP(PA$27&amp;"-"&amp;$M38&amp;"_new",Ammortamento_Finanziario!$H:$L,5,FALSE),VLOOKUP($M38,TT_Tabelle_Riferimento!$D$127:$H$164,5,FALSE))</f>
        <v>50</v>
      </c>
      <c r="PB38" s="904">
        <f>+IFERROR(VLOOKUP(PB$27&amp;"-"&amp;$M38&amp;"_new",Ammortamento_Finanziario!$H:$L,5,FALSE),VLOOKUP($M38,TT_Tabelle_Riferimento!$D$127:$H$164,5,FALSE))</f>
        <v>50</v>
      </c>
      <c r="PC38" s="904">
        <f>+IFERROR(VLOOKUP(PC$27&amp;"-"&amp;$M38&amp;"_new",Ammortamento_Finanziario!$H:$L,5,FALSE),VLOOKUP($M38,TT_Tabelle_Riferimento!$D$127:$H$164,5,FALSE))</f>
        <v>50</v>
      </c>
      <c r="PD38" s="904">
        <f>+IFERROR(VLOOKUP(PD$27&amp;"-"&amp;$M38&amp;"_new",Ammortamento_Finanziario!$H:$L,5,FALSE),VLOOKUP($M38,TT_Tabelle_Riferimento!$D$127:$H$164,5,FALSE))</f>
        <v>50</v>
      </c>
      <c r="PE38" s="904">
        <f>+IFERROR(VLOOKUP(PE$27&amp;"-"&amp;$M38&amp;"_new",Ammortamento_Finanziario!$H:$L,5,FALSE),VLOOKUP($M38,TT_Tabelle_Riferimento!$D$127:$H$164,5,FALSE))</f>
        <v>50</v>
      </c>
      <c r="PF38" s="904">
        <f>+IFERROR(VLOOKUP(PF$27&amp;"-"&amp;$M38&amp;"_new",Ammortamento_Finanziario!$H:$L,5,FALSE),VLOOKUP($M38,TT_Tabelle_Riferimento!$D$127:$H$164,5,FALSE))</f>
        <v>50</v>
      </c>
      <c r="PG38" s="904">
        <f>+IFERROR(VLOOKUP(PG$27&amp;"-"&amp;$M38&amp;"_new",Ammortamento_Finanziario!$H:$L,5,FALSE),VLOOKUP($M38,TT_Tabelle_Riferimento!$D$127:$H$164,5,FALSE))</f>
        <v>50</v>
      </c>
      <c r="PH38" s="904">
        <f>+IFERROR(VLOOKUP(PH$27&amp;"-"&amp;$M38&amp;"_new",Ammortamento_Finanziario!$H:$L,5,FALSE),VLOOKUP($M38,TT_Tabelle_Riferimento!$D$127:$H$164,5,FALSE))</f>
        <v>50</v>
      </c>
      <c r="PI38" s="904">
        <f>+IFERROR(VLOOKUP(PI$27&amp;"-"&amp;$M38&amp;"_new",Ammortamento_Finanziario!$H:$L,5,FALSE),VLOOKUP($M38,TT_Tabelle_Riferimento!$D$127:$H$164,5,FALSE))</f>
        <v>50</v>
      </c>
      <c r="PJ38" s="904">
        <f>+IFERROR(VLOOKUP(PJ$27&amp;"-"&amp;$M38&amp;"_new",Ammortamento_Finanziario!$H:$L,5,FALSE),VLOOKUP($M38,TT_Tabelle_Riferimento!$D$127:$H$164,5,FALSE))</f>
        <v>50</v>
      </c>
      <c r="PK38" s="904">
        <f>+IFERROR(VLOOKUP(PK$27&amp;"-"&amp;$M38&amp;"_new",Ammortamento_Finanziario!$H:$L,5,FALSE),VLOOKUP($M38,TT_Tabelle_Riferimento!$D$127:$H$164,5,FALSE))</f>
        <v>50</v>
      </c>
      <c r="PL38" s="1762">
        <f>+IFERROR(VLOOKUP(PL$27&amp;"-"&amp;$M38&amp;"_new",Ammortamento_Finanziario!$H:$L,5,FALSE),VLOOKUP($M38,TT_Tabelle_Riferimento!$D$127:$H$164,5,FALSE))</f>
        <v>50</v>
      </c>
      <c r="PM38" s="1762">
        <f>+IFERROR(VLOOKUP(PM$27&amp;"-"&amp;$M38&amp;"_new",Ammortamento_Finanziario!$H:$L,5,FALSE),VLOOKUP($M38,TT_Tabelle_Riferimento!$D$127:$H$164,5,FALSE))</f>
        <v>50</v>
      </c>
      <c r="PN38" s="1762">
        <f>+IFERROR(VLOOKUP(PN$27&amp;"-"&amp;$M38&amp;"_new",Ammortamento_Finanziario!$H:$L,5,FALSE),VLOOKUP($M38,TT_Tabelle_Riferimento!$D$127:$H$164,5,FALSE))</f>
        <v>50</v>
      </c>
      <c r="PO38" s="904">
        <f>+IFERROR(VLOOKUP(PO$27&amp;"-"&amp;$M38&amp;"_new",Ammortamento_Finanziario!$H:$L,5,FALSE),VLOOKUP($M38,TT_Tabelle_Riferimento!$D$127:$H$164,5,FALSE))</f>
        <v>50</v>
      </c>
      <c r="PP38" s="904">
        <f>+IFERROR(VLOOKUP(PP$27&amp;"-"&amp;$M38&amp;"_new",Ammortamento_Finanziario!$H:$L,5,FALSE),VLOOKUP($M38,TT_Tabelle_Riferimento!$D$127:$H$164,5,FALSE))</f>
        <v>50</v>
      </c>
      <c r="PQ38" s="904">
        <f>+IFERROR(VLOOKUP(PQ$27&amp;"-"&amp;$M38&amp;"_new",Ammortamento_Finanziario!$H:$L,5,FALSE),VLOOKUP($M38,TT_Tabelle_Riferimento!$D$127:$H$164,5,FALSE))</f>
        <v>50</v>
      </c>
      <c r="PR38" s="904">
        <f>+IFERROR(VLOOKUP(PR$27&amp;"-"&amp;$M38&amp;"_new",Ammortamento_Finanziario!$H:$L,5,FALSE),VLOOKUP($M38,TT_Tabelle_Riferimento!$D$127:$H$164,5,FALSE))</f>
        <v>50</v>
      </c>
      <c r="PS38" s="904">
        <f>+IFERROR(VLOOKUP(PS$27&amp;"-"&amp;$M38&amp;"_new",Ammortamento_Finanziario!$H:$L,5,FALSE),VLOOKUP($M38,TT_Tabelle_Riferimento!$D$127:$H$164,5,FALSE))</f>
        <v>50</v>
      </c>
      <c r="PT38" s="904">
        <f>+IFERROR(VLOOKUP(PT$27&amp;"-"&amp;$M38&amp;"_new",Ammortamento_Finanziario!$H:$L,5,FALSE),VLOOKUP($M38,TT_Tabelle_Riferimento!$D$127:$H$164,5,FALSE))</f>
        <v>50</v>
      </c>
      <c r="PU38" s="904">
        <f>+IFERROR(VLOOKUP(PU$27&amp;"-"&amp;$M38&amp;"_new",Ammortamento_Finanziario!$H:$L,5,FALSE),VLOOKUP($M38,TT_Tabelle_Riferimento!$D$127:$H$164,5,FALSE))</f>
        <v>50</v>
      </c>
      <c r="PV38" s="904">
        <f>+IFERROR(VLOOKUP(PV$27&amp;"-"&amp;$M38&amp;"_new",Ammortamento_Finanziario!$H:$L,5,FALSE),VLOOKUP($M38,TT_Tabelle_Riferimento!$D$127:$H$164,5,FALSE))</f>
        <v>50</v>
      </c>
      <c r="PW38" s="904">
        <f>+IFERROR(VLOOKUP(PW$27&amp;"-"&amp;$M38&amp;"_new",Ammortamento_Finanziario!$H:$L,5,FALSE),VLOOKUP($M38,TT_Tabelle_Riferimento!$D$127:$H$164,5,FALSE))</f>
        <v>50</v>
      </c>
      <c r="PX38" s="904">
        <f>+IFERROR(VLOOKUP(PX$27&amp;"-"&amp;$M38&amp;"_new",Ammortamento_Finanziario!$H:$L,5,FALSE),VLOOKUP($M38,TT_Tabelle_Riferimento!$D$127:$H$164,5,FALSE))</f>
        <v>50</v>
      </c>
      <c r="PY38" s="904">
        <f>+IFERROR(VLOOKUP(PY$27&amp;"-"&amp;$M38&amp;"_new",Ammortamento_Finanziario!$H:$L,5,FALSE),VLOOKUP($M38,TT_Tabelle_Riferimento!$D$127:$H$164,5,FALSE))</f>
        <v>50</v>
      </c>
      <c r="PZ38" s="904">
        <f>+IFERROR(VLOOKUP(PZ$27&amp;"-"&amp;$M38&amp;"_new",Ammortamento_Finanziario!$H:$L,5,FALSE),VLOOKUP($M38,TT_Tabelle_Riferimento!$D$127:$H$164,5,FALSE))</f>
        <v>50</v>
      </c>
      <c r="QA38" s="904">
        <f>+IFERROR(VLOOKUP(QA$27&amp;"-"&amp;$M38&amp;"_new",Ammortamento_Finanziario!$H:$L,5,FALSE),VLOOKUP($M38,TT_Tabelle_Riferimento!$D$127:$H$164,5,FALSE))</f>
        <v>50</v>
      </c>
      <c r="QB38" s="904">
        <f>+IFERROR(VLOOKUP(QB$27&amp;"-"&amp;$M38&amp;"_new",Ammortamento_Finanziario!$H:$L,5,FALSE),VLOOKUP($M38,TT_Tabelle_Riferimento!$D$127:$H$164,5,FALSE))</f>
        <v>50</v>
      </c>
      <c r="QC38" s="904">
        <f>+IFERROR(VLOOKUP(QC$27&amp;"-"&amp;$M38&amp;"_new",Ammortamento_Finanziario!$H:$L,5,FALSE),VLOOKUP($M38,TT_Tabelle_Riferimento!$D$127:$H$164,5,FALSE))</f>
        <v>50</v>
      </c>
      <c r="QD38" s="904">
        <f>+IFERROR(VLOOKUP(QD$27&amp;"-"&amp;$M38&amp;"_new",Ammortamento_Finanziario!$H:$L,5,FALSE),VLOOKUP($M38,TT_Tabelle_Riferimento!$D$127:$H$164,5,FALSE))</f>
        <v>50</v>
      </c>
      <c r="QE38" s="904">
        <f>+IFERROR(VLOOKUP(QE$27&amp;"-"&amp;$M38&amp;"_new",Ammortamento_Finanziario!$H:$L,5,FALSE),VLOOKUP($M38,TT_Tabelle_Riferimento!$D$127:$H$164,5,FALSE))</f>
        <v>50</v>
      </c>
      <c r="QF38" s="904">
        <f>+IFERROR(VLOOKUP(QF$27&amp;"-"&amp;$M38&amp;"_new",Ammortamento_Finanziario!$H:$L,5,FALSE),VLOOKUP($M38,TT_Tabelle_Riferimento!$D$127:$H$164,5,FALSE))</f>
        <v>50</v>
      </c>
      <c r="QG38" s="904">
        <f>+IFERROR(VLOOKUP(QG$27&amp;"-"&amp;$M38&amp;"_new",Ammortamento_Finanziario!$H:$L,5,FALSE),VLOOKUP($M38,TT_Tabelle_Riferimento!$D$127:$H$164,5,FALSE))</f>
        <v>50</v>
      </c>
      <c r="QH38" s="1762">
        <f>+IFERROR(VLOOKUP(QH$27&amp;"-"&amp;$M38&amp;"_new",Ammortamento_Finanziario!$H:$L,5,FALSE),VLOOKUP($M38,TT_Tabelle_Riferimento!$D$127:$H$164,5,FALSE))</f>
        <v>50</v>
      </c>
      <c r="QI38" s="1762">
        <f>+IFERROR(VLOOKUP(QI$27&amp;"-"&amp;$M38&amp;"_new",Ammortamento_Finanziario!$H:$L,5,FALSE),VLOOKUP($M38,TT_Tabelle_Riferimento!$D$127:$H$164,5,FALSE))</f>
        <v>50</v>
      </c>
      <c r="QJ38" s="904">
        <f>+IFERROR(VLOOKUP(QJ$27&amp;"-"&amp;$M38&amp;"_new",Ammortamento_Finanziario!$H:$L,5,FALSE),VLOOKUP($M38,TT_Tabelle_Riferimento!$D$127:$H$164,5,FALSE))</f>
        <v>50</v>
      </c>
      <c r="QK38" s="904">
        <f>+IFERROR(VLOOKUP(QK$27&amp;"-"&amp;$M38&amp;"_new",Ammortamento_Finanziario!$H:$L,5,FALSE),VLOOKUP($M38,TT_Tabelle_Riferimento!$D$127:$H$164,5,FALSE))</f>
        <v>50</v>
      </c>
      <c r="QL38" s="904">
        <f>+IFERROR(VLOOKUP(QL$27&amp;"-"&amp;$M38&amp;"_new",Ammortamento_Finanziario!$H:$L,5,FALSE),VLOOKUP($M38,TT_Tabelle_Riferimento!$D$127:$H$164,5,FALSE))</f>
        <v>50</v>
      </c>
      <c r="QM38" s="904">
        <f>+IFERROR(VLOOKUP(QM$27&amp;"-"&amp;$M38&amp;"_new",Ammortamento_Finanziario!$H:$L,5,FALSE),VLOOKUP($M38,TT_Tabelle_Riferimento!$D$127:$H$164,5,FALSE))</f>
        <v>50</v>
      </c>
      <c r="QN38" s="904">
        <f>+IFERROR(VLOOKUP(QN$27&amp;"-"&amp;$M38&amp;"_new",Ammortamento_Finanziario!$H:$L,5,FALSE),VLOOKUP($M38,TT_Tabelle_Riferimento!$D$127:$H$164,5,FALSE))</f>
        <v>50</v>
      </c>
      <c r="QO38" s="904">
        <f>+IFERROR(VLOOKUP(QO$27&amp;"-"&amp;$M38&amp;"_new",Ammortamento_Finanziario!$H:$L,5,FALSE),VLOOKUP($M38,TT_Tabelle_Riferimento!$D$127:$H$164,5,FALSE))</f>
        <v>50</v>
      </c>
      <c r="QP38" s="904">
        <f>+IFERROR(VLOOKUP(QP$27&amp;"-"&amp;$M38&amp;"_new",Ammortamento_Finanziario!$H:$L,5,FALSE),VLOOKUP($M38,TT_Tabelle_Riferimento!$D$127:$H$164,5,FALSE))</f>
        <v>50</v>
      </c>
      <c r="QQ38" s="904">
        <f>+IFERROR(VLOOKUP(QQ$27&amp;"-"&amp;$M38&amp;"_new",Ammortamento_Finanziario!$H:$L,5,FALSE),VLOOKUP($M38,TT_Tabelle_Riferimento!$D$127:$H$164,5,FALSE))</f>
        <v>50</v>
      </c>
      <c r="QR38" s="904">
        <f>+IFERROR(VLOOKUP(QR$27&amp;"-"&amp;$M38&amp;"_new",Ammortamento_Finanziario!$H:$L,5,FALSE),VLOOKUP($M38,TT_Tabelle_Riferimento!$D$127:$H$164,5,FALSE))</f>
        <v>50</v>
      </c>
      <c r="QS38" s="904">
        <f>+IFERROR(VLOOKUP(QS$27&amp;"-"&amp;$M38&amp;"_new",Ammortamento_Finanziario!$H:$L,5,FALSE),VLOOKUP($M38,TT_Tabelle_Riferimento!$D$127:$H$164,5,FALSE))</f>
        <v>50</v>
      </c>
      <c r="QT38" s="904">
        <f>+IFERROR(VLOOKUP(QT$27&amp;"-"&amp;$M38&amp;"_new",Ammortamento_Finanziario!$H:$L,5,FALSE),VLOOKUP($M38,TT_Tabelle_Riferimento!$D$127:$H$164,5,FALSE))</f>
        <v>50</v>
      </c>
      <c r="QU38" s="904">
        <f>+IFERROR(VLOOKUP(QU$27&amp;"-"&amp;$M38&amp;"_new",Ammortamento_Finanziario!$H:$L,5,FALSE),VLOOKUP($M38,TT_Tabelle_Riferimento!$D$127:$H$164,5,FALSE))</f>
        <v>50</v>
      </c>
      <c r="QV38" s="904">
        <f>+IFERROR(VLOOKUP(QV$27&amp;"-"&amp;$M38&amp;"_new",Ammortamento_Finanziario!$H:$L,5,FALSE),VLOOKUP($M38,TT_Tabelle_Riferimento!$D$127:$H$164,5,FALSE))</f>
        <v>50</v>
      </c>
      <c r="QW38" s="904">
        <f>+IFERROR(VLOOKUP(QW$27&amp;"-"&amp;$M38&amp;"_new",Ammortamento_Finanziario!$H:$L,5,FALSE),VLOOKUP($M38,TT_Tabelle_Riferimento!$D$127:$H$164,5,FALSE))</f>
        <v>50</v>
      </c>
      <c r="QX38" s="904">
        <f>+IFERROR(VLOOKUP(QX$27&amp;"-"&amp;$M38&amp;"_new",Ammortamento_Finanziario!$H:$L,5,FALSE),VLOOKUP($M38,TT_Tabelle_Riferimento!$D$127:$H$164,5,FALSE))</f>
        <v>50</v>
      </c>
      <c r="QY38" s="904">
        <f>+IFERROR(VLOOKUP(QY$27&amp;"-"&amp;$M38&amp;"_new",Ammortamento_Finanziario!$H:$L,5,FALSE),VLOOKUP($M38,TT_Tabelle_Riferimento!$D$127:$H$164,5,FALSE))</f>
        <v>50</v>
      </c>
      <c r="QZ38" s="904">
        <f>+IFERROR(VLOOKUP(QZ$27&amp;"-"&amp;$M38&amp;"_new",Ammortamento_Finanziario!$H:$L,5,FALSE),VLOOKUP($M38,TT_Tabelle_Riferimento!$D$127:$H$164,5,FALSE))</f>
        <v>50</v>
      </c>
      <c r="RA38" s="904">
        <f>+IFERROR(VLOOKUP(RA$27&amp;"-"&amp;$M38&amp;"_new",Ammortamento_Finanziario!$H:$L,5,FALSE),VLOOKUP($M38,TT_Tabelle_Riferimento!$D$127:$H$164,5,FALSE))</f>
        <v>50</v>
      </c>
      <c r="RB38" s="904">
        <f>+IFERROR(VLOOKUP(RB$27&amp;"-"&amp;$M38&amp;"_new",Ammortamento_Finanziario!$H:$L,5,FALSE),VLOOKUP($M38,TT_Tabelle_Riferimento!$D$127:$H$164,5,FALSE))</f>
        <v>50</v>
      </c>
      <c r="RC38" s="1762">
        <f>+IFERROR(VLOOKUP(RC$27&amp;"-"&amp;$M38&amp;"_new",Ammortamento_Finanziario!$H:$L,5,FALSE),VLOOKUP($M38,TT_Tabelle_Riferimento!$D$127:$H$164,5,FALSE))</f>
        <v>50</v>
      </c>
      <c r="RD38" s="904">
        <f>+IFERROR(VLOOKUP(RD$27&amp;"-"&amp;$M38&amp;"_new",Ammortamento_Finanziario!$H:$L,5,FALSE),VLOOKUP($M38,TT_Tabelle_Riferimento!$D$127:$H$164,5,FALSE))</f>
        <v>50</v>
      </c>
      <c r="RE38" s="904">
        <f>+IFERROR(VLOOKUP(RE$27&amp;"-"&amp;$M38&amp;"_new",Ammortamento_Finanziario!$H:$L,5,FALSE),VLOOKUP($M38,TT_Tabelle_Riferimento!$D$127:$H$164,5,FALSE))</f>
        <v>50</v>
      </c>
      <c r="RF38" s="904">
        <f>+IFERROR(VLOOKUP(RF$27&amp;"-"&amp;$M38&amp;"_new",Ammortamento_Finanziario!$H:$L,5,FALSE),VLOOKUP($M38,TT_Tabelle_Riferimento!$D$127:$H$164,5,FALSE))</f>
        <v>50</v>
      </c>
      <c r="RG38" s="904">
        <f>+IFERROR(VLOOKUP(RG$27&amp;"-"&amp;$M38&amp;"_new",Ammortamento_Finanziario!$H:$L,5,FALSE),VLOOKUP($M38,TT_Tabelle_Riferimento!$D$127:$H$164,5,FALSE))</f>
        <v>50</v>
      </c>
      <c r="RH38" s="904">
        <f>+IFERROR(VLOOKUP(RH$27&amp;"-"&amp;$M38&amp;"_new",Ammortamento_Finanziario!$H:$L,5,FALSE),VLOOKUP($M38,TT_Tabelle_Riferimento!$D$127:$H$164,5,FALSE))</f>
        <v>50</v>
      </c>
      <c r="RI38" s="904">
        <f>+IFERROR(VLOOKUP(RI$27&amp;"-"&amp;$M38&amp;"_new",Ammortamento_Finanziario!$H:$L,5,FALSE),VLOOKUP($M38,TT_Tabelle_Riferimento!$D$127:$H$164,5,FALSE))</f>
        <v>50</v>
      </c>
      <c r="RJ38" s="904">
        <f>+IFERROR(VLOOKUP(RJ$27&amp;"-"&amp;$M38&amp;"_new",Ammortamento_Finanziario!$H:$L,5,FALSE),VLOOKUP($M38,TT_Tabelle_Riferimento!$D$127:$H$164,5,FALSE))</f>
        <v>50</v>
      </c>
      <c r="RK38" s="904">
        <f>+IFERROR(VLOOKUP(RK$27&amp;"-"&amp;$M38&amp;"_new",Ammortamento_Finanziario!$H:$L,5,FALSE),VLOOKUP($M38,TT_Tabelle_Riferimento!$D$127:$H$164,5,FALSE))</f>
        <v>50</v>
      </c>
      <c r="RL38" s="904">
        <f>+IFERROR(VLOOKUP(RL$27&amp;"-"&amp;$M38&amp;"_new",Ammortamento_Finanziario!$H:$L,5,FALSE),VLOOKUP($M38,TT_Tabelle_Riferimento!$D$127:$H$164,5,FALSE))</f>
        <v>50</v>
      </c>
      <c r="RM38" s="904">
        <f>+IFERROR(VLOOKUP(RM$27&amp;"-"&amp;$M38&amp;"_new",Ammortamento_Finanziario!$H:$L,5,FALSE),VLOOKUP($M38,TT_Tabelle_Riferimento!$D$127:$H$164,5,FALSE))</f>
        <v>50</v>
      </c>
      <c r="RN38" s="904">
        <f>+IFERROR(VLOOKUP(RN$27&amp;"-"&amp;$M38&amp;"_new",Ammortamento_Finanziario!$H:$L,5,FALSE),VLOOKUP($M38,TT_Tabelle_Riferimento!$D$127:$H$164,5,FALSE))</f>
        <v>50</v>
      </c>
      <c r="RO38" s="904">
        <f>+IFERROR(VLOOKUP(RO$27&amp;"-"&amp;$M38&amp;"_new",Ammortamento_Finanziario!$H:$L,5,FALSE),VLOOKUP($M38,TT_Tabelle_Riferimento!$D$127:$H$164,5,FALSE))</f>
        <v>50</v>
      </c>
      <c r="RP38" s="904">
        <f>+IFERROR(VLOOKUP(RP$27&amp;"-"&amp;$M38&amp;"_new",Ammortamento_Finanziario!$H:$L,5,FALSE),VLOOKUP($M38,TT_Tabelle_Riferimento!$D$127:$H$164,5,FALSE))</f>
        <v>50</v>
      </c>
      <c r="RQ38" s="904">
        <f>+IFERROR(VLOOKUP(RQ$27&amp;"-"&amp;$M38&amp;"_new",Ammortamento_Finanziario!$H:$L,5,FALSE),VLOOKUP($M38,TT_Tabelle_Riferimento!$D$127:$H$164,5,FALSE))</f>
        <v>50</v>
      </c>
      <c r="RR38" s="904">
        <f>+IFERROR(VLOOKUP(RR$27&amp;"-"&amp;$M38&amp;"_new",Ammortamento_Finanziario!$H:$L,5,FALSE),VLOOKUP($M38,TT_Tabelle_Riferimento!$D$127:$H$164,5,FALSE))</f>
        <v>50</v>
      </c>
      <c r="RS38" s="904">
        <f>+IFERROR(VLOOKUP(RS$27&amp;"-"&amp;$M38&amp;"_new",Ammortamento_Finanziario!$H:$L,5,FALSE),VLOOKUP($M38,TT_Tabelle_Riferimento!$D$127:$H$164,5,FALSE))</f>
        <v>50</v>
      </c>
      <c r="RT38" s="904">
        <f>+IFERROR(VLOOKUP(RT$27&amp;"-"&amp;$M38&amp;"_new",Ammortamento_Finanziario!$H:$L,5,FALSE),VLOOKUP($M38,TT_Tabelle_Riferimento!$D$127:$H$164,5,FALSE))</f>
        <v>50</v>
      </c>
      <c r="RU38" s="904">
        <f>+IFERROR(VLOOKUP(RU$27&amp;"-"&amp;$M38&amp;"_new",Ammortamento_Finanziario!$H:$L,5,FALSE),VLOOKUP($M38,TT_Tabelle_Riferimento!$D$127:$H$164,5,FALSE))</f>
        <v>50</v>
      </c>
      <c r="RV38" s="904">
        <f>+IFERROR(VLOOKUP(RV$27&amp;"-"&amp;$M38&amp;"_new",Ammortamento_Finanziario!$H:$L,5,FALSE),VLOOKUP($M38,TT_Tabelle_Riferimento!$D$127:$H$164,5,FALSE))</f>
        <v>50</v>
      </c>
    </row>
    <row r="39" spans="4:490">
      <c r="M39" s="1756">
        <v>12</v>
      </c>
      <c r="N39" s="1759">
        <v>0</v>
      </c>
      <c r="O39" s="1759">
        <v>0</v>
      </c>
      <c r="P39" s="1759">
        <v>0</v>
      </c>
      <c r="Q39" s="1759">
        <v>0</v>
      </c>
      <c r="R39" s="1759">
        <v>0</v>
      </c>
      <c r="S39" s="1759">
        <v>0</v>
      </c>
      <c r="T39" s="1759">
        <v>0</v>
      </c>
      <c r="U39" s="1759">
        <v>0</v>
      </c>
      <c r="V39" s="1759">
        <v>0</v>
      </c>
      <c r="W39" s="1759">
        <v>0</v>
      </c>
      <c r="X39" s="1759">
        <v>0</v>
      </c>
      <c r="Y39" s="1759">
        <v>0</v>
      </c>
      <c r="Z39" s="1759">
        <v>0</v>
      </c>
      <c r="AA39" s="1759">
        <v>0</v>
      </c>
      <c r="AB39" s="1759">
        <v>0</v>
      </c>
      <c r="AC39" s="1759">
        <v>0</v>
      </c>
      <c r="AD39" s="1759">
        <v>0</v>
      </c>
      <c r="AE39" s="1759">
        <v>0</v>
      </c>
      <c r="AF39" s="1759">
        <v>0</v>
      </c>
      <c r="AG39" s="1759">
        <v>0</v>
      </c>
      <c r="AH39" s="1759">
        <v>0</v>
      </c>
      <c r="AI39" s="1759">
        <v>0</v>
      </c>
      <c r="AJ39" s="1759">
        <v>0</v>
      </c>
      <c r="AK39" s="1759">
        <v>0</v>
      </c>
      <c r="AL39" s="1759">
        <v>0</v>
      </c>
      <c r="AM39" s="1759">
        <v>0</v>
      </c>
      <c r="AN39" s="1759">
        <v>0</v>
      </c>
      <c r="AO39" s="1759">
        <v>0</v>
      </c>
      <c r="AP39" s="1759">
        <v>0</v>
      </c>
      <c r="AQ39" s="1759">
        <v>0</v>
      </c>
      <c r="AR39" s="1759">
        <v>0</v>
      </c>
      <c r="AS39" s="1759">
        <v>0</v>
      </c>
      <c r="AT39" s="1759">
        <v>0</v>
      </c>
      <c r="AU39" s="1759">
        <v>0</v>
      </c>
      <c r="AV39" s="1759">
        <v>0</v>
      </c>
      <c r="AW39" s="1759">
        <v>0</v>
      </c>
      <c r="AX39" s="1759">
        <v>0</v>
      </c>
      <c r="AY39" s="1759">
        <v>0</v>
      </c>
      <c r="AZ39" s="1759">
        <v>0</v>
      </c>
      <c r="BA39" s="1759">
        <v>0</v>
      </c>
      <c r="BB39" s="1759">
        <v>0</v>
      </c>
      <c r="BC39" s="1759">
        <v>0</v>
      </c>
      <c r="BD39" s="1759">
        <v>0</v>
      </c>
      <c r="BE39" s="1759">
        <v>0</v>
      </c>
      <c r="BF39" s="1759">
        <v>0</v>
      </c>
      <c r="BG39" s="1759">
        <v>0</v>
      </c>
      <c r="BH39" s="1759">
        <v>0</v>
      </c>
      <c r="BI39" s="1759">
        <v>0</v>
      </c>
      <c r="BJ39" s="1759">
        <v>0</v>
      </c>
      <c r="BK39" s="1759">
        <v>0</v>
      </c>
      <c r="BL39" s="1759">
        <v>0</v>
      </c>
      <c r="BM39" s="1759">
        <v>0</v>
      </c>
      <c r="BN39" s="1759">
        <v>0</v>
      </c>
      <c r="BO39" s="1759">
        <v>0</v>
      </c>
      <c r="BP39" s="1759">
        <v>0</v>
      </c>
      <c r="BQ39" s="1759">
        <v>0</v>
      </c>
      <c r="BR39" s="1759">
        <v>0</v>
      </c>
      <c r="BS39" s="1759">
        <v>0</v>
      </c>
      <c r="BT39" s="1759">
        <v>0</v>
      </c>
      <c r="BU39" s="1759">
        <v>0</v>
      </c>
      <c r="BV39" s="1759">
        <v>0</v>
      </c>
      <c r="BW39" s="1759">
        <v>0</v>
      </c>
      <c r="BX39" s="1759">
        <v>0</v>
      </c>
      <c r="BY39" s="1759">
        <v>0</v>
      </c>
      <c r="BZ39" s="1759">
        <v>0</v>
      </c>
      <c r="CA39" s="1759">
        <v>0</v>
      </c>
      <c r="CB39" s="1759">
        <v>0</v>
      </c>
      <c r="CC39" s="1759">
        <v>0</v>
      </c>
      <c r="CD39" s="1759">
        <v>0</v>
      </c>
      <c r="CE39" s="1759">
        <v>0</v>
      </c>
      <c r="CF39" s="1759">
        <v>0</v>
      </c>
      <c r="CG39" s="1759">
        <v>0</v>
      </c>
      <c r="CH39" s="1759">
        <v>0</v>
      </c>
      <c r="CI39" s="1759">
        <v>0</v>
      </c>
      <c r="CJ39" s="1759">
        <v>0</v>
      </c>
      <c r="CK39" s="1759">
        <v>0</v>
      </c>
      <c r="CL39" s="1759">
        <v>0</v>
      </c>
      <c r="CM39" s="1759">
        <v>0</v>
      </c>
      <c r="CN39" s="1759">
        <v>0</v>
      </c>
      <c r="CO39" s="1759">
        <v>0</v>
      </c>
      <c r="CP39" s="1759">
        <v>0</v>
      </c>
      <c r="CQ39" s="1759">
        <v>0</v>
      </c>
      <c r="CR39" s="1759">
        <v>0</v>
      </c>
      <c r="CS39" s="1759">
        <v>0</v>
      </c>
      <c r="CT39" s="1759">
        <v>0</v>
      </c>
      <c r="CU39" s="1759">
        <v>0</v>
      </c>
      <c r="CV39" s="1759">
        <v>0</v>
      </c>
      <c r="CW39" s="1759">
        <v>0</v>
      </c>
      <c r="CX39" s="1759">
        <v>0</v>
      </c>
      <c r="CY39" s="1759">
        <v>0</v>
      </c>
      <c r="CZ39" s="1759">
        <v>0</v>
      </c>
      <c r="DA39" s="1759">
        <v>0</v>
      </c>
      <c r="DB39" s="1759">
        <v>0</v>
      </c>
      <c r="DC39" s="1759">
        <v>0</v>
      </c>
      <c r="DD39" s="1759">
        <v>0</v>
      </c>
      <c r="DE39" s="1759">
        <v>0</v>
      </c>
      <c r="DF39" s="1759">
        <v>0</v>
      </c>
      <c r="DG39" s="1759">
        <v>0</v>
      </c>
      <c r="DH39" s="1759">
        <v>0</v>
      </c>
      <c r="DI39" s="1759">
        <v>0</v>
      </c>
      <c r="DJ39" s="1759">
        <v>0</v>
      </c>
      <c r="DK39" s="1759">
        <v>0</v>
      </c>
      <c r="DL39" s="1759">
        <v>0</v>
      </c>
      <c r="DM39" s="1759">
        <v>0</v>
      </c>
      <c r="DN39" s="1759">
        <v>0</v>
      </c>
      <c r="DO39" s="1759">
        <v>0</v>
      </c>
      <c r="DP39" s="1759">
        <v>0</v>
      </c>
      <c r="DQ39" s="1759">
        <v>0</v>
      </c>
      <c r="DR39" s="1759">
        <v>0</v>
      </c>
      <c r="DS39" s="1759">
        <v>0</v>
      </c>
      <c r="DT39" s="1759">
        <v>0</v>
      </c>
      <c r="DU39" s="1759">
        <v>0</v>
      </c>
      <c r="DV39" s="1759">
        <v>0</v>
      </c>
      <c r="DW39" s="1759">
        <v>0</v>
      </c>
      <c r="DX39" s="1759">
        <v>0</v>
      </c>
      <c r="DY39" s="1759">
        <v>0</v>
      </c>
      <c r="DZ39" s="1759">
        <v>0</v>
      </c>
      <c r="EA39" s="1759">
        <v>0</v>
      </c>
      <c r="EB39" s="1759">
        <v>0</v>
      </c>
      <c r="EC39" s="1759">
        <v>0</v>
      </c>
      <c r="ED39" s="1759">
        <v>0</v>
      </c>
      <c r="EE39" s="1759">
        <v>0</v>
      </c>
      <c r="EF39" s="1759">
        <v>0</v>
      </c>
      <c r="EG39" s="1759">
        <v>0</v>
      </c>
      <c r="EH39" s="1759">
        <v>0</v>
      </c>
      <c r="EI39" s="1759">
        <v>0</v>
      </c>
      <c r="EJ39" s="1759">
        <v>0</v>
      </c>
      <c r="EK39" s="1759">
        <v>0</v>
      </c>
      <c r="EL39" s="1759">
        <v>0</v>
      </c>
      <c r="EM39" s="1759">
        <v>0</v>
      </c>
      <c r="EN39" s="1759">
        <v>0</v>
      </c>
      <c r="EO39" s="1759">
        <v>0</v>
      </c>
      <c r="EP39" s="1759">
        <v>0</v>
      </c>
      <c r="EQ39" s="1759">
        <v>0</v>
      </c>
      <c r="ER39" s="1759">
        <v>0</v>
      </c>
      <c r="ES39" s="1759">
        <v>0</v>
      </c>
      <c r="ET39" s="1759">
        <v>0</v>
      </c>
      <c r="EU39" s="1759">
        <v>0</v>
      </c>
      <c r="EV39" s="1759">
        <v>0</v>
      </c>
      <c r="EW39" s="1759">
        <v>0</v>
      </c>
      <c r="EX39" s="1759">
        <v>0</v>
      </c>
      <c r="EY39" s="1759">
        <v>0</v>
      </c>
      <c r="EZ39" s="1759">
        <v>0</v>
      </c>
      <c r="FA39" s="1759">
        <v>0</v>
      </c>
      <c r="FB39" s="1759">
        <v>0</v>
      </c>
      <c r="FC39" s="1759">
        <v>0</v>
      </c>
      <c r="FD39" s="1759">
        <v>0</v>
      </c>
      <c r="FE39" s="1759">
        <v>0</v>
      </c>
      <c r="FF39" s="1759">
        <v>0</v>
      </c>
      <c r="FG39" s="1759">
        <v>0</v>
      </c>
      <c r="FH39" s="1759">
        <v>0</v>
      </c>
      <c r="FI39" s="1759">
        <v>0</v>
      </c>
      <c r="FJ39" s="1759">
        <v>0</v>
      </c>
      <c r="FK39" s="1759">
        <v>0</v>
      </c>
      <c r="FL39" s="1759">
        <v>0</v>
      </c>
      <c r="FM39" s="1759">
        <v>0</v>
      </c>
      <c r="FN39" s="1759">
        <v>0</v>
      </c>
      <c r="FO39" s="1759">
        <v>0</v>
      </c>
      <c r="FP39" s="1759">
        <v>0</v>
      </c>
      <c r="FQ39" s="1759">
        <v>0</v>
      </c>
      <c r="FR39" s="1759">
        <v>0</v>
      </c>
      <c r="FS39" s="1759">
        <v>0</v>
      </c>
      <c r="FT39" s="1759">
        <v>0</v>
      </c>
      <c r="FU39" s="1759">
        <v>0</v>
      </c>
      <c r="FV39" s="1759">
        <v>0</v>
      </c>
      <c r="FW39" s="1759">
        <v>0</v>
      </c>
      <c r="FX39" s="1759">
        <v>0</v>
      </c>
      <c r="FY39" s="1759">
        <v>0</v>
      </c>
      <c r="FZ39" s="1759">
        <v>0</v>
      </c>
      <c r="GA39" s="1759">
        <v>0</v>
      </c>
      <c r="GB39" s="1759">
        <v>0</v>
      </c>
      <c r="GC39" s="1759">
        <v>0</v>
      </c>
      <c r="GD39" s="1759">
        <v>0</v>
      </c>
      <c r="GE39" s="1759">
        <v>0</v>
      </c>
      <c r="GF39" s="1759">
        <v>0</v>
      </c>
      <c r="GG39" s="1759">
        <v>0</v>
      </c>
      <c r="GH39" s="1759">
        <v>0</v>
      </c>
      <c r="GI39" s="1759">
        <v>0</v>
      </c>
      <c r="GJ39" s="1759">
        <v>0</v>
      </c>
      <c r="GK39" s="1759">
        <v>0</v>
      </c>
      <c r="GL39" s="1759">
        <v>0</v>
      </c>
      <c r="GM39" s="1759">
        <v>0</v>
      </c>
      <c r="GN39" s="1759">
        <v>0</v>
      </c>
      <c r="GO39" s="1759">
        <v>0</v>
      </c>
      <c r="GP39" s="1759">
        <v>0</v>
      </c>
      <c r="GQ39" s="1759">
        <v>0</v>
      </c>
      <c r="GR39" s="1759">
        <v>0</v>
      </c>
      <c r="GS39" s="1759">
        <v>0</v>
      </c>
      <c r="GT39" s="1759">
        <v>0</v>
      </c>
      <c r="GU39" s="1759">
        <v>0</v>
      </c>
      <c r="GV39" s="1759">
        <v>0</v>
      </c>
      <c r="GW39" s="1759">
        <v>0</v>
      </c>
      <c r="GX39" s="1759">
        <v>0</v>
      </c>
      <c r="GY39" s="1759">
        <v>0</v>
      </c>
      <c r="GZ39" s="1759">
        <v>0</v>
      </c>
      <c r="HA39" s="1759">
        <v>0</v>
      </c>
      <c r="HB39" s="1759">
        <v>0</v>
      </c>
      <c r="HC39" s="1759">
        <v>0</v>
      </c>
      <c r="HD39" s="1759">
        <v>0</v>
      </c>
      <c r="HE39" s="1759">
        <v>0</v>
      </c>
      <c r="HF39" s="1759">
        <v>0</v>
      </c>
      <c r="HG39" s="1759">
        <v>0</v>
      </c>
      <c r="HH39" s="1759">
        <v>0</v>
      </c>
      <c r="HI39" s="1759">
        <v>0</v>
      </c>
      <c r="HJ39" s="1759">
        <v>0</v>
      </c>
      <c r="HK39" s="1759">
        <v>0</v>
      </c>
      <c r="HL39" s="1759">
        <v>0</v>
      </c>
      <c r="HM39" s="1759">
        <v>0</v>
      </c>
      <c r="HN39" s="1759">
        <v>0</v>
      </c>
      <c r="HO39" s="1759">
        <v>0</v>
      </c>
      <c r="HP39" s="1759">
        <v>0</v>
      </c>
      <c r="HQ39" s="1759">
        <v>0</v>
      </c>
      <c r="HR39" s="1759">
        <v>0</v>
      </c>
      <c r="HS39" s="1759">
        <v>0</v>
      </c>
      <c r="HT39" s="1759">
        <v>0</v>
      </c>
      <c r="HU39" s="1759">
        <v>0</v>
      </c>
      <c r="HV39" s="1759">
        <v>0</v>
      </c>
      <c r="HW39" s="1759">
        <v>0</v>
      </c>
      <c r="HX39" s="1759">
        <v>0</v>
      </c>
      <c r="HY39" s="1759">
        <v>0</v>
      </c>
      <c r="HZ39" s="1759">
        <v>0</v>
      </c>
      <c r="IA39" s="1759">
        <v>0</v>
      </c>
      <c r="IB39" s="1759">
        <v>0</v>
      </c>
      <c r="IC39" s="1759">
        <v>0</v>
      </c>
      <c r="ID39" s="1759">
        <v>0</v>
      </c>
      <c r="IE39" s="1759">
        <v>0</v>
      </c>
      <c r="IF39" s="1759">
        <v>0</v>
      </c>
      <c r="IG39" s="1759">
        <v>0</v>
      </c>
      <c r="IH39" s="1759">
        <v>0</v>
      </c>
      <c r="II39" s="1759">
        <v>0</v>
      </c>
      <c r="IJ39" s="1759">
        <v>0</v>
      </c>
      <c r="IK39" s="1759">
        <v>0</v>
      </c>
      <c r="IL39" s="1759">
        <v>0</v>
      </c>
      <c r="IM39" s="1759">
        <v>0</v>
      </c>
      <c r="IN39" s="1759">
        <v>0</v>
      </c>
      <c r="IO39" s="1759">
        <v>0</v>
      </c>
      <c r="IP39" s="1759">
        <v>0</v>
      </c>
      <c r="IQ39" s="1759">
        <v>0</v>
      </c>
      <c r="IR39" s="1759">
        <v>0</v>
      </c>
      <c r="IS39" s="1759">
        <v>0</v>
      </c>
      <c r="IT39" s="1759">
        <v>0</v>
      </c>
      <c r="IU39" s="1759">
        <v>0</v>
      </c>
      <c r="IV39" s="1759">
        <v>0</v>
      </c>
      <c r="IW39" s="1759">
        <v>0</v>
      </c>
      <c r="IX39" s="1759">
        <v>0</v>
      </c>
      <c r="IY39" s="1759">
        <v>0</v>
      </c>
      <c r="IZ39" s="1759">
        <v>0</v>
      </c>
      <c r="JA39" s="1759">
        <v>0</v>
      </c>
      <c r="JB39" s="1759">
        <v>0</v>
      </c>
      <c r="JC39" s="1759">
        <v>0</v>
      </c>
      <c r="JD39" s="1759">
        <v>0</v>
      </c>
      <c r="JE39" s="1759">
        <v>0</v>
      </c>
      <c r="JF39" s="1759">
        <v>0</v>
      </c>
      <c r="JG39" s="1759">
        <v>0</v>
      </c>
      <c r="JH39" s="1759">
        <v>0</v>
      </c>
      <c r="JI39" s="1759">
        <v>0</v>
      </c>
      <c r="JJ39" s="1759">
        <v>0</v>
      </c>
      <c r="JK39" s="1759">
        <v>0</v>
      </c>
      <c r="JL39" s="1759">
        <v>0</v>
      </c>
      <c r="JM39" s="1759">
        <v>0</v>
      </c>
      <c r="JN39" s="1759">
        <v>0</v>
      </c>
      <c r="JO39" s="1759">
        <v>0</v>
      </c>
      <c r="JP39" s="1759">
        <v>0</v>
      </c>
      <c r="JQ39" s="1759">
        <v>0</v>
      </c>
      <c r="JR39" s="1759">
        <v>0</v>
      </c>
      <c r="JS39" s="1759">
        <v>0</v>
      </c>
      <c r="JT39" s="1759">
        <v>0</v>
      </c>
      <c r="JU39" s="1759">
        <v>0</v>
      </c>
      <c r="JV39" s="1759">
        <v>0</v>
      </c>
      <c r="JW39" s="1759">
        <v>0</v>
      </c>
      <c r="JX39" s="1759">
        <v>0</v>
      </c>
      <c r="JY39" s="1759">
        <v>0</v>
      </c>
      <c r="JZ39" s="1759">
        <v>0</v>
      </c>
      <c r="KA39" s="1759">
        <v>0</v>
      </c>
      <c r="KB39" s="1759">
        <v>0</v>
      </c>
      <c r="KC39" s="1759">
        <v>0</v>
      </c>
      <c r="KD39" s="1759">
        <v>0</v>
      </c>
      <c r="KE39" s="1759">
        <v>0</v>
      </c>
      <c r="KF39" s="1759">
        <v>0</v>
      </c>
      <c r="KG39" s="1759">
        <v>0</v>
      </c>
      <c r="KH39" s="1759">
        <v>0</v>
      </c>
      <c r="KI39" s="1759">
        <v>0</v>
      </c>
      <c r="KJ39" s="1759">
        <v>0</v>
      </c>
      <c r="KK39" s="1759">
        <v>0</v>
      </c>
      <c r="KL39" s="1759">
        <v>0</v>
      </c>
      <c r="KM39" s="1759">
        <v>0</v>
      </c>
      <c r="KN39" s="1759">
        <v>0</v>
      </c>
      <c r="KO39" s="1759">
        <v>0</v>
      </c>
      <c r="KP39" s="1759">
        <v>0</v>
      </c>
      <c r="KQ39" s="904">
        <f>+IFERROR(VLOOKUP(KQ$27&amp;"-"&amp;$M39&amp;"_new",Ammortamento_Finanziario!$H:$L,5,FALSE),VLOOKUP($M39,TT_Tabelle_Riferimento!$D$127:$H$164,5,FALSE))</f>
        <v>40</v>
      </c>
      <c r="KR39" s="904">
        <f>+IFERROR(VLOOKUP(KR$27&amp;"-"&amp;$M39&amp;"_new",Ammortamento_Finanziario!$H:$L,5,FALSE),VLOOKUP($M39,TT_Tabelle_Riferimento!$D$127:$H$164,5,FALSE))</f>
        <v>40</v>
      </c>
      <c r="KS39" s="1762">
        <f>+IFERROR(VLOOKUP(KS$27&amp;"-"&amp;$M39&amp;"_new",Ammortamento_Finanziario!$H:$L,5,FALSE),VLOOKUP($M39,TT_Tabelle_Riferimento!$D$127:$H$164,5,FALSE))</f>
        <v>40</v>
      </c>
      <c r="KT39" s="1762">
        <f>+IFERROR(VLOOKUP(KT$27&amp;"-"&amp;$M39&amp;"_new",Ammortamento_Finanziario!$H:$L,5,FALSE),VLOOKUP($M39,TT_Tabelle_Riferimento!$D$127:$H$164,5,FALSE))</f>
        <v>40</v>
      </c>
      <c r="KU39" s="1762">
        <f>+IFERROR(VLOOKUP(KU$27&amp;"-"&amp;$M39&amp;"_new",Ammortamento_Finanziario!$H:$L,5,FALSE),VLOOKUP($M39,TT_Tabelle_Riferimento!$D$127:$H$164,5,FALSE))</f>
        <v>40</v>
      </c>
      <c r="KV39" s="1762">
        <f>+IFERROR(VLOOKUP(KV$27&amp;"-"&amp;$M39&amp;"_new",Ammortamento_Finanziario!$H:$L,5,FALSE),VLOOKUP($M39,TT_Tabelle_Riferimento!$D$127:$H$164,5,FALSE))</f>
        <v>40</v>
      </c>
      <c r="KW39" s="1762">
        <f>+IFERROR(VLOOKUP(KW$27&amp;"-"&amp;$M39&amp;"_new",Ammortamento_Finanziario!$H:$L,5,FALSE),VLOOKUP($M39,TT_Tabelle_Riferimento!$D$127:$H$164,5,FALSE))</f>
        <v>40</v>
      </c>
      <c r="KX39" s="1762">
        <f>+IFERROR(VLOOKUP(KX$27&amp;"-"&amp;$M39&amp;"_new",Ammortamento_Finanziario!$H:$L,5,FALSE),VLOOKUP($M39,TT_Tabelle_Riferimento!$D$127:$H$164,5,FALSE))</f>
        <v>40</v>
      </c>
      <c r="KY39" s="904">
        <f>+IFERROR(VLOOKUP(KY$27&amp;"-"&amp;$M39&amp;"_new",Ammortamento_Finanziario!$H:$L,5,FALSE),VLOOKUP($M39,TT_Tabelle_Riferimento!$D$127:$H$164,5,FALSE))</f>
        <v>40</v>
      </c>
      <c r="KZ39" s="904">
        <f>+IFERROR(VLOOKUP(KZ$27&amp;"-"&amp;$M39&amp;"_new",Ammortamento_Finanziario!$H:$L,5,FALSE),VLOOKUP($M39,TT_Tabelle_Riferimento!$D$127:$H$164,5,FALSE))</f>
        <v>40</v>
      </c>
      <c r="LA39" s="904">
        <f>+IFERROR(VLOOKUP(LA$27&amp;"-"&amp;$M39&amp;"_new",Ammortamento_Finanziario!$H:$L,5,FALSE),VLOOKUP($M39,TT_Tabelle_Riferimento!$D$127:$H$164,5,FALSE))</f>
        <v>40</v>
      </c>
      <c r="LB39" s="904">
        <f>+IFERROR(VLOOKUP(LB$27&amp;"-"&amp;$M39&amp;"_new",Ammortamento_Finanziario!$H:$L,5,FALSE),VLOOKUP($M39,TT_Tabelle_Riferimento!$D$127:$H$164,5,FALSE))</f>
        <v>40</v>
      </c>
      <c r="LC39" s="904">
        <f>+IFERROR(VLOOKUP(LC$27&amp;"-"&amp;$M39&amp;"_new",Ammortamento_Finanziario!$H:$L,5,FALSE),VLOOKUP($M39,TT_Tabelle_Riferimento!$D$127:$H$164,5,FALSE))</f>
        <v>40</v>
      </c>
      <c r="LD39" s="904">
        <f>+IFERROR(VLOOKUP(LD$27&amp;"-"&amp;$M39&amp;"_new",Ammortamento_Finanziario!$H:$L,5,FALSE),VLOOKUP($M39,TT_Tabelle_Riferimento!$D$127:$H$164,5,FALSE))</f>
        <v>40</v>
      </c>
      <c r="LE39" s="904">
        <f>+IFERROR(VLOOKUP(LE$27&amp;"-"&amp;$M39&amp;"_new",Ammortamento_Finanziario!$H:$L,5,FALSE),VLOOKUP($M39,TT_Tabelle_Riferimento!$D$127:$H$164,5,FALSE))</f>
        <v>40</v>
      </c>
      <c r="LF39" s="904">
        <f>+IFERROR(VLOOKUP(LF$27&amp;"-"&amp;$M39&amp;"_new",Ammortamento_Finanziario!$H:$L,5,FALSE),VLOOKUP($M39,TT_Tabelle_Riferimento!$D$127:$H$164,5,FALSE))</f>
        <v>40</v>
      </c>
      <c r="LG39" s="904">
        <f>+IFERROR(VLOOKUP(LG$27&amp;"-"&amp;$M39&amp;"_new",Ammortamento_Finanziario!$H:$L,5,FALSE),VLOOKUP($M39,TT_Tabelle_Riferimento!$D$127:$H$164,5,FALSE))</f>
        <v>40</v>
      </c>
      <c r="LH39" s="904">
        <f>+IFERROR(VLOOKUP(LH$27&amp;"-"&amp;$M39&amp;"_new",Ammortamento_Finanziario!$H:$L,5,FALSE),VLOOKUP($M39,TT_Tabelle_Riferimento!$D$127:$H$164,5,FALSE))</f>
        <v>40</v>
      </c>
      <c r="LI39" s="904">
        <f>+IFERROR(VLOOKUP(LI$27&amp;"-"&amp;$M39&amp;"_new",Ammortamento_Finanziario!$H:$L,5,FALSE),VLOOKUP($M39,TT_Tabelle_Riferimento!$D$127:$H$164,5,FALSE))</f>
        <v>40</v>
      </c>
      <c r="LJ39" s="904">
        <f>+IFERROR(VLOOKUP(LJ$27&amp;"-"&amp;$M39&amp;"_new",Ammortamento_Finanziario!$H:$L,5,FALSE),VLOOKUP($M39,TT_Tabelle_Riferimento!$D$127:$H$164,5,FALSE))</f>
        <v>40</v>
      </c>
      <c r="LK39" s="904">
        <f>+IFERROR(VLOOKUP(LK$27&amp;"-"&amp;$M39&amp;"_new",Ammortamento_Finanziario!$H:$L,5,FALSE),VLOOKUP($M39,TT_Tabelle_Riferimento!$D$127:$H$164,5,FALSE))</f>
        <v>40</v>
      </c>
      <c r="LL39" s="904">
        <f>+IFERROR(VLOOKUP(LL$27&amp;"-"&amp;$M39&amp;"_new",Ammortamento_Finanziario!$H:$L,5,FALSE),VLOOKUP($M39,TT_Tabelle_Riferimento!$D$127:$H$164,5,FALSE))</f>
        <v>40</v>
      </c>
      <c r="LM39" s="904">
        <f>+IFERROR(VLOOKUP(LM$27&amp;"-"&amp;$M39&amp;"_new",Ammortamento_Finanziario!$H:$L,5,FALSE),VLOOKUP($M39,TT_Tabelle_Riferimento!$D$127:$H$164,5,FALSE))</f>
        <v>40</v>
      </c>
      <c r="LN39" s="904">
        <f>+IFERROR(VLOOKUP(LN$27&amp;"-"&amp;$M39&amp;"_new",Ammortamento_Finanziario!$H:$L,5,FALSE),VLOOKUP($M39,TT_Tabelle_Riferimento!$D$127:$H$164,5,FALSE))</f>
        <v>40</v>
      </c>
      <c r="LO39" s="904">
        <f>+IFERROR(VLOOKUP(LO$27&amp;"-"&amp;$M39&amp;"_new",Ammortamento_Finanziario!$H:$L,5,FALSE),VLOOKUP($M39,TT_Tabelle_Riferimento!$D$127:$H$164,5,FALSE))</f>
        <v>40</v>
      </c>
      <c r="LP39" s="904">
        <f>+IFERROR(VLOOKUP(LP$27&amp;"-"&amp;$M39&amp;"_new",Ammortamento_Finanziario!$H:$L,5,FALSE),VLOOKUP($M39,TT_Tabelle_Riferimento!$D$127:$H$164,5,FALSE))</f>
        <v>40</v>
      </c>
      <c r="LQ39" s="904">
        <f>+IFERROR(VLOOKUP(LQ$27&amp;"-"&amp;$M39&amp;"_new",Ammortamento_Finanziario!$H:$L,5,FALSE),VLOOKUP($M39,TT_Tabelle_Riferimento!$D$127:$H$164,5,FALSE))</f>
        <v>40</v>
      </c>
      <c r="LR39" s="904">
        <f>+IFERROR(VLOOKUP(LR$27&amp;"-"&amp;$M39&amp;"_new",Ammortamento_Finanziario!$H:$L,5,FALSE),VLOOKUP($M39,TT_Tabelle_Riferimento!$D$127:$H$164,5,FALSE))</f>
        <v>40</v>
      </c>
      <c r="LS39" s="1762">
        <f>+IFERROR(VLOOKUP(LS$27&amp;"-"&amp;$M39&amp;"_new",Ammortamento_Finanziario!$H:$L,5,FALSE),VLOOKUP($M39,TT_Tabelle_Riferimento!$D$127:$H$164,5,FALSE))</f>
        <v>40</v>
      </c>
      <c r="LT39" s="1762">
        <f>+IFERROR(VLOOKUP(LT$27&amp;"-"&amp;$M39&amp;"_new",Ammortamento_Finanziario!$H:$L,5,FALSE),VLOOKUP($M39,TT_Tabelle_Riferimento!$D$127:$H$164,5,FALSE))</f>
        <v>40</v>
      </c>
      <c r="LU39" s="1762">
        <f>+IFERROR(VLOOKUP(LU$27&amp;"-"&amp;$M39&amp;"_new",Ammortamento_Finanziario!$H:$L,5,FALSE),VLOOKUP($M39,TT_Tabelle_Riferimento!$D$127:$H$164,5,FALSE))</f>
        <v>40</v>
      </c>
      <c r="LV39" s="1762">
        <f>+IFERROR(VLOOKUP(LV$27&amp;"-"&amp;$M39&amp;"_new",Ammortamento_Finanziario!$H:$L,5,FALSE),VLOOKUP($M39,TT_Tabelle_Riferimento!$D$127:$H$164,5,FALSE))</f>
        <v>40</v>
      </c>
      <c r="LW39" s="1762">
        <f>+IFERROR(VLOOKUP(LW$27&amp;"-"&amp;$M39&amp;"_new",Ammortamento_Finanziario!$H:$L,5,FALSE),VLOOKUP($M39,TT_Tabelle_Riferimento!$D$127:$H$164,5,FALSE))</f>
        <v>40</v>
      </c>
      <c r="LX39" s="1762">
        <f>+IFERROR(VLOOKUP(LX$27&amp;"-"&amp;$M39&amp;"_new",Ammortamento_Finanziario!$H:$L,5,FALSE),VLOOKUP($M39,TT_Tabelle_Riferimento!$D$127:$H$164,5,FALSE))</f>
        <v>40</v>
      </c>
      <c r="LY39" s="904">
        <f>+IFERROR(VLOOKUP(LY$27&amp;"-"&amp;$M39&amp;"_new",Ammortamento_Finanziario!$H:$L,5,FALSE),VLOOKUP($M39,TT_Tabelle_Riferimento!$D$127:$H$164,5,FALSE))</f>
        <v>40</v>
      </c>
      <c r="LZ39" s="904">
        <f>+IFERROR(VLOOKUP(LZ$27&amp;"-"&amp;$M39&amp;"_new",Ammortamento_Finanziario!$H:$L,5,FALSE),VLOOKUP($M39,TT_Tabelle_Riferimento!$D$127:$H$164,5,FALSE))</f>
        <v>40</v>
      </c>
      <c r="MA39" s="904">
        <f>+IFERROR(VLOOKUP(MA$27&amp;"-"&amp;$M39&amp;"_new",Ammortamento_Finanziario!$H:$L,5,FALSE),VLOOKUP($M39,TT_Tabelle_Riferimento!$D$127:$H$164,5,FALSE))</f>
        <v>40</v>
      </c>
      <c r="MB39" s="904">
        <f>+IFERROR(VLOOKUP(MB$27&amp;"-"&amp;$M39&amp;"_new",Ammortamento_Finanziario!$H:$L,5,FALSE),VLOOKUP($M39,TT_Tabelle_Riferimento!$D$127:$H$164,5,FALSE))</f>
        <v>40</v>
      </c>
      <c r="MC39" s="904">
        <f>+IFERROR(VLOOKUP(MC$27&amp;"-"&amp;$M39&amp;"_new",Ammortamento_Finanziario!$H:$L,5,FALSE),VLOOKUP($M39,TT_Tabelle_Riferimento!$D$127:$H$164,5,FALSE))</f>
        <v>40</v>
      </c>
      <c r="MD39" s="904">
        <f>+IFERROR(VLOOKUP(MD$27&amp;"-"&amp;$M39&amp;"_new",Ammortamento_Finanziario!$H:$L,5,FALSE),VLOOKUP($M39,TT_Tabelle_Riferimento!$D$127:$H$164,5,FALSE))</f>
        <v>40</v>
      </c>
      <c r="ME39" s="904">
        <f>+IFERROR(VLOOKUP(ME$27&amp;"-"&amp;$M39&amp;"_new",Ammortamento_Finanziario!$H:$L,5,FALSE),VLOOKUP($M39,TT_Tabelle_Riferimento!$D$127:$H$164,5,FALSE))</f>
        <v>40</v>
      </c>
      <c r="MF39" s="904">
        <f>+IFERROR(VLOOKUP(MF$27&amp;"-"&amp;$M39&amp;"_new",Ammortamento_Finanziario!$H:$L,5,FALSE),VLOOKUP($M39,TT_Tabelle_Riferimento!$D$127:$H$164,5,FALSE))</f>
        <v>40</v>
      </c>
      <c r="MG39" s="904">
        <f>+IFERROR(VLOOKUP(MG$27&amp;"-"&amp;$M39&amp;"_new",Ammortamento_Finanziario!$H:$L,5,FALSE),VLOOKUP($M39,TT_Tabelle_Riferimento!$D$127:$H$164,5,FALSE))</f>
        <v>40</v>
      </c>
      <c r="MH39" s="904">
        <f>+IFERROR(VLOOKUP(MH$27&amp;"-"&amp;$M39&amp;"_new",Ammortamento_Finanziario!$H:$L,5,FALSE),VLOOKUP($M39,TT_Tabelle_Riferimento!$D$127:$H$164,5,FALSE))</f>
        <v>40</v>
      </c>
      <c r="MI39" s="904">
        <f>+IFERROR(VLOOKUP(MI$27&amp;"-"&amp;$M39&amp;"_new",Ammortamento_Finanziario!$H:$L,5,FALSE),VLOOKUP($M39,TT_Tabelle_Riferimento!$D$127:$H$164,5,FALSE))</f>
        <v>40</v>
      </c>
      <c r="MJ39" s="904">
        <f>+IFERROR(VLOOKUP(MJ$27&amp;"-"&amp;$M39&amp;"_new",Ammortamento_Finanziario!$H:$L,5,FALSE),VLOOKUP($M39,TT_Tabelle_Riferimento!$D$127:$H$164,5,FALSE))</f>
        <v>40</v>
      </c>
      <c r="MK39" s="904">
        <f>+IFERROR(VLOOKUP(MK$27&amp;"-"&amp;$M39&amp;"_new",Ammortamento_Finanziario!$H:$L,5,FALSE),VLOOKUP($M39,TT_Tabelle_Riferimento!$D$127:$H$164,5,FALSE))</f>
        <v>40</v>
      </c>
      <c r="ML39" s="904">
        <f>+IFERROR(VLOOKUP(ML$27&amp;"-"&amp;$M39&amp;"_new",Ammortamento_Finanziario!$H:$L,5,FALSE),VLOOKUP($M39,TT_Tabelle_Riferimento!$D$127:$H$164,5,FALSE))</f>
        <v>40</v>
      </c>
      <c r="MM39" s="904">
        <f>+IFERROR(VLOOKUP(MM$27&amp;"-"&amp;$M39&amp;"_new",Ammortamento_Finanziario!$H:$L,5,FALSE),VLOOKUP($M39,TT_Tabelle_Riferimento!$D$127:$H$164,5,FALSE))</f>
        <v>40</v>
      </c>
      <c r="MN39" s="904">
        <f>+IFERROR(VLOOKUP(MN$27&amp;"-"&amp;$M39&amp;"_new",Ammortamento_Finanziario!$H:$L,5,FALSE),VLOOKUP($M39,TT_Tabelle_Riferimento!$D$127:$H$164,5,FALSE))</f>
        <v>40</v>
      </c>
      <c r="MO39" s="904">
        <f>+IFERROR(VLOOKUP(MO$27&amp;"-"&amp;$M39&amp;"_new",Ammortamento_Finanziario!$H:$L,5,FALSE),VLOOKUP($M39,TT_Tabelle_Riferimento!$D$127:$H$164,5,FALSE))</f>
        <v>40</v>
      </c>
      <c r="MP39" s="904">
        <f>+IFERROR(VLOOKUP(MP$27&amp;"-"&amp;$M39&amp;"_new",Ammortamento_Finanziario!$H:$L,5,FALSE),VLOOKUP($M39,TT_Tabelle_Riferimento!$D$127:$H$164,5,FALSE))</f>
        <v>40</v>
      </c>
      <c r="MQ39" s="904">
        <f>+IFERROR(VLOOKUP(MQ$27&amp;"-"&amp;$M39&amp;"_new",Ammortamento_Finanziario!$H:$L,5,FALSE),VLOOKUP($M39,TT_Tabelle_Riferimento!$D$127:$H$164,5,FALSE))</f>
        <v>40</v>
      </c>
      <c r="MR39" s="1762">
        <f>+IFERROR(VLOOKUP(MR$27&amp;"-"&amp;$M39&amp;"_new",Ammortamento_Finanziario!$H:$L,5,FALSE),VLOOKUP($M39,TT_Tabelle_Riferimento!$D$127:$H$164,5,FALSE))</f>
        <v>40</v>
      </c>
      <c r="MS39" s="1762">
        <f>+IFERROR(VLOOKUP(MS$27&amp;"-"&amp;$M39&amp;"_new",Ammortamento_Finanziario!$H:$L,5,FALSE),VLOOKUP($M39,TT_Tabelle_Riferimento!$D$127:$H$164,5,FALSE))</f>
        <v>40</v>
      </c>
      <c r="MT39" s="1762">
        <f>+IFERROR(VLOOKUP(MT$27&amp;"-"&amp;$M39&amp;"_new",Ammortamento_Finanziario!$H:$L,5,FALSE),VLOOKUP($M39,TT_Tabelle_Riferimento!$D$127:$H$164,5,FALSE))</f>
        <v>40</v>
      </c>
      <c r="MU39" s="1762">
        <f>+IFERROR(VLOOKUP(MU$27&amp;"-"&amp;$M39&amp;"_new",Ammortamento_Finanziario!$H:$L,5,FALSE),VLOOKUP($M39,TT_Tabelle_Riferimento!$D$127:$H$164,5,FALSE))</f>
        <v>40</v>
      </c>
      <c r="MV39" s="1762">
        <f>+IFERROR(VLOOKUP(MV$27&amp;"-"&amp;$M39&amp;"_new",Ammortamento_Finanziario!$H:$L,5,FALSE),VLOOKUP($M39,TT_Tabelle_Riferimento!$D$127:$H$164,5,FALSE))</f>
        <v>40</v>
      </c>
      <c r="MW39" s="1762">
        <f>+IFERROR(VLOOKUP(MW$27&amp;"-"&amp;$M39&amp;"_new",Ammortamento_Finanziario!$H:$L,5,FALSE),VLOOKUP($M39,TT_Tabelle_Riferimento!$D$127:$H$164,5,FALSE))</f>
        <v>40</v>
      </c>
      <c r="MX39" s="904">
        <f>+IFERROR(VLOOKUP(MX$27&amp;"-"&amp;$M39&amp;"_new",Ammortamento_Finanziario!$H:$L,5,FALSE),VLOOKUP($M39,TT_Tabelle_Riferimento!$D$127:$H$164,5,FALSE))</f>
        <v>40</v>
      </c>
      <c r="MY39" s="904">
        <f>+IFERROR(VLOOKUP(MY$27&amp;"-"&amp;$M39&amp;"_new",Ammortamento_Finanziario!$H:$L,5,FALSE),VLOOKUP($M39,TT_Tabelle_Riferimento!$D$127:$H$164,5,FALSE))</f>
        <v>40</v>
      </c>
      <c r="MZ39" s="904">
        <f>+IFERROR(VLOOKUP(MZ$27&amp;"-"&amp;$M39&amp;"_new",Ammortamento_Finanziario!$H:$L,5,FALSE),VLOOKUP($M39,TT_Tabelle_Riferimento!$D$127:$H$164,5,FALSE))</f>
        <v>40</v>
      </c>
      <c r="NA39" s="904">
        <f>+IFERROR(VLOOKUP(NA$27&amp;"-"&amp;$M39&amp;"_new",Ammortamento_Finanziario!$H:$L,5,FALSE),VLOOKUP($M39,TT_Tabelle_Riferimento!$D$127:$H$164,5,FALSE))</f>
        <v>40</v>
      </c>
      <c r="NB39" s="904">
        <f>+IFERROR(VLOOKUP(NB$27&amp;"-"&amp;$M39&amp;"_new",Ammortamento_Finanziario!$H:$L,5,FALSE),VLOOKUP($M39,TT_Tabelle_Riferimento!$D$127:$H$164,5,FALSE))</f>
        <v>40</v>
      </c>
      <c r="NC39" s="904">
        <f>+IFERROR(VLOOKUP(NC$27&amp;"-"&amp;$M39&amp;"_new",Ammortamento_Finanziario!$H:$L,5,FALSE),VLOOKUP($M39,TT_Tabelle_Riferimento!$D$127:$H$164,5,FALSE))</f>
        <v>40</v>
      </c>
      <c r="ND39" s="904">
        <f>+IFERROR(VLOOKUP(ND$27&amp;"-"&amp;$M39&amp;"_new",Ammortamento_Finanziario!$H:$L,5,FALSE),VLOOKUP($M39,TT_Tabelle_Riferimento!$D$127:$H$164,5,FALSE))</f>
        <v>40</v>
      </c>
      <c r="NE39" s="904">
        <f>+IFERROR(VLOOKUP(NE$27&amp;"-"&amp;$M39&amp;"_new",Ammortamento_Finanziario!$H:$L,5,FALSE),VLOOKUP($M39,TT_Tabelle_Riferimento!$D$127:$H$164,5,FALSE))</f>
        <v>40</v>
      </c>
      <c r="NF39" s="904">
        <f>+IFERROR(VLOOKUP(NF$27&amp;"-"&amp;$M39&amp;"_new",Ammortamento_Finanziario!$H:$L,5,FALSE),VLOOKUP($M39,TT_Tabelle_Riferimento!$D$127:$H$164,5,FALSE))</f>
        <v>40</v>
      </c>
      <c r="NG39" s="904">
        <f>+IFERROR(VLOOKUP(NG$27&amp;"-"&amp;$M39&amp;"_new",Ammortamento_Finanziario!$H:$L,5,FALSE),VLOOKUP($M39,TT_Tabelle_Riferimento!$D$127:$H$164,5,FALSE))</f>
        <v>40</v>
      </c>
      <c r="NH39" s="904">
        <f>+IFERROR(VLOOKUP(NH$27&amp;"-"&amp;$M39&amp;"_new",Ammortamento_Finanziario!$H:$L,5,FALSE),VLOOKUP($M39,TT_Tabelle_Riferimento!$D$127:$H$164,5,FALSE))</f>
        <v>40</v>
      </c>
      <c r="NI39" s="904">
        <f>+IFERROR(VLOOKUP(NI$27&amp;"-"&amp;$M39&amp;"_new",Ammortamento_Finanziario!$H:$L,5,FALSE),VLOOKUP($M39,TT_Tabelle_Riferimento!$D$127:$H$164,5,FALSE))</f>
        <v>40</v>
      </c>
      <c r="NJ39" s="904">
        <f>+IFERROR(VLOOKUP(NJ$27&amp;"-"&amp;$M39&amp;"_new",Ammortamento_Finanziario!$H:$L,5,FALSE),VLOOKUP($M39,TT_Tabelle_Riferimento!$D$127:$H$164,5,FALSE))</f>
        <v>40</v>
      </c>
      <c r="NK39" s="904">
        <f>+IFERROR(VLOOKUP(NK$27&amp;"-"&amp;$M39&amp;"_new",Ammortamento_Finanziario!$H:$L,5,FALSE),VLOOKUP($M39,TT_Tabelle_Riferimento!$D$127:$H$164,5,FALSE))</f>
        <v>40</v>
      </c>
      <c r="NL39" s="904">
        <f>+IFERROR(VLOOKUP(NL$27&amp;"-"&amp;$M39&amp;"_new",Ammortamento_Finanziario!$H:$L,5,FALSE),VLOOKUP($M39,TT_Tabelle_Riferimento!$D$127:$H$164,5,FALSE))</f>
        <v>40</v>
      </c>
      <c r="NM39" s="904">
        <f>+IFERROR(VLOOKUP(NM$27&amp;"-"&amp;$M39&amp;"_new",Ammortamento_Finanziario!$H:$L,5,FALSE),VLOOKUP($M39,TT_Tabelle_Riferimento!$D$127:$H$164,5,FALSE))</f>
        <v>40</v>
      </c>
      <c r="NN39" s="904">
        <f>+IFERROR(VLOOKUP(NN$27&amp;"-"&amp;$M39&amp;"_new",Ammortamento_Finanziario!$H:$L,5,FALSE),VLOOKUP($M39,TT_Tabelle_Riferimento!$D$127:$H$164,5,FALSE))</f>
        <v>40</v>
      </c>
      <c r="NO39" s="904">
        <f>+IFERROR(VLOOKUP(NO$27&amp;"-"&amp;$M39&amp;"_new",Ammortamento_Finanziario!$H:$L,5,FALSE),VLOOKUP($M39,TT_Tabelle_Riferimento!$D$127:$H$164,5,FALSE))</f>
        <v>40</v>
      </c>
      <c r="NP39" s="904">
        <f>+IFERROR(VLOOKUP(NP$27&amp;"-"&amp;$M39&amp;"_new",Ammortamento_Finanziario!$H:$L,5,FALSE),VLOOKUP($M39,TT_Tabelle_Riferimento!$D$127:$H$164,5,FALSE))</f>
        <v>40</v>
      </c>
      <c r="NQ39" s="1762">
        <f>+IFERROR(VLOOKUP(NQ$27&amp;"-"&amp;$M39&amp;"_new",Ammortamento_Finanziario!$H:$L,5,FALSE),VLOOKUP($M39,TT_Tabelle_Riferimento!$D$127:$H$164,5,FALSE))</f>
        <v>40</v>
      </c>
      <c r="NR39" s="1762">
        <f>+IFERROR(VLOOKUP(NR$27&amp;"-"&amp;$M39&amp;"_new",Ammortamento_Finanziario!$H:$L,5,FALSE),VLOOKUP($M39,TT_Tabelle_Riferimento!$D$127:$H$164,5,FALSE))</f>
        <v>40</v>
      </c>
      <c r="NS39" s="1762">
        <f>+IFERROR(VLOOKUP(NS$27&amp;"-"&amp;$M39&amp;"_new",Ammortamento_Finanziario!$H:$L,5,FALSE),VLOOKUP($M39,TT_Tabelle_Riferimento!$D$127:$H$164,5,FALSE))</f>
        <v>40</v>
      </c>
      <c r="NT39" s="1762">
        <f>+IFERROR(VLOOKUP(NT$27&amp;"-"&amp;$M39&amp;"_new",Ammortamento_Finanziario!$H:$L,5,FALSE),VLOOKUP($M39,TT_Tabelle_Riferimento!$D$127:$H$164,5,FALSE))</f>
        <v>40</v>
      </c>
      <c r="NU39" s="1762">
        <f>+IFERROR(VLOOKUP(NU$27&amp;"-"&amp;$M39&amp;"_new",Ammortamento_Finanziario!$H:$L,5,FALSE),VLOOKUP($M39,TT_Tabelle_Riferimento!$D$127:$H$164,5,FALSE))</f>
        <v>40</v>
      </c>
      <c r="NV39" s="904">
        <f>+IFERROR(VLOOKUP(NV$27&amp;"-"&amp;$M39&amp;"_new",Ammortamento_Finanziario!$H:$L,5,FALSE),VLOOKUP($M39,TT_Tabelle_Riferimento!$D$127:$H$164,5,FALSE))</f>
        <v>40</v>
      </c>
      <c r="NW39" s="904">
        <f>+IFERROR(VLOOKUP(NW$27&amp;"-"&amp;$M39&amp;"_new",Ammortamento_Finanziario!$H:$L,5,FALSE),VLOOKUP($M39,TT_Tabelle_Riferimento!$D$127:$H$164,5,FALSE))</f>
        <v>40</v>
      </c>
      <c r="NX39" s="904">
        <f>+IFERROR(VLOOKUP(NX$27&amp;"-"&amp;$M39&amp;"_new",Ammortamento_Finanziario!$H:$L,5,FALSE),VLOOKUP($M39,TT_Tabelle_Riferimento!$D$127:$H$164,5,FALSE))</f>
        <v>40</v>
      </c>
      <c r="NY39" s="904">
        <f>+IFERROR(VLOOKUP(NY$27&amp;"-"&amp;$M39&amp;"_new",Ammortamento_Finanziario!$H:$L,5,FALSE),VLOOKUP($M39,TT_Tabelle_Riferimento!$D$127:$H$164,5,FALSE))</f>
        <v>40</v>
      </c>
      <c r="NZ39" s="904">
        <f>+IFERROR(VLOOKUP(NZ$27&amp;"-"&amp;$M39&amp;"_new",Ammortamento_Finanziario!$H:$L,5,FALSE),VLOOKUP($M39,TT_Tabelle_Riferimento!$D$127:$H$164,5,FALSE))</f>
        <v>40</v>
      </c>
      <c r="OA39" s="904">
        <f>+IFERROR(VLOOKUP(OA$27&amp;"-"&amp;$M39&amp;"_new",Ammortamento_Finanziario!$H:$L,5,FALSE),VLOOKUP($M39,TT_Tabelle_Riferimento!$D$127:$H$164,5,FALSE))</f>
        <v>40</v>
      </c>
      <c r="OB39" s="904">
        <f>+IFERROR(VLOOKUP(OB$27&amp;"-"&amp;$M39&amp;"_new",Ammortamento_Finanziario!$H:$L,5,FALSE),VLOOKUP($M39,TT_Tabelle_Riferimento!$D$127:$H$164,5,FALSE))</f>
        <v>40</v>
      </c>
      <c r="OC39" s="904">
        <f>+IFERROR(VLOOKUP(OC$27&amp;"-"&amp;$M39&amp;"_new",Ammortamento_Finanziario!$H:$L,5,FALSE),VLOOKUP($M39,TT_Tabelle_Riferimento!$D$127:$H$164,5,FALSE))</f>
        <v>40</v>
      </c>
      <c r="OD39" s="904">
        <f>+IFERROR(VLOOKUP(OD$27&amp;"-"&amp;$M39&amp;"_new",Ammortamento_Finanziario!$H:$L,5,FALSE),VLOOKUP($M39,TT_Tabelle_Riferimento!$D$127:$H$164,5,FALSE))</f>
        <v>40</v>
      </c>
      <c r="OE39" s="904">
        <f>+IFERROR(VLOOKUP(OE$27&amp;"-"&amp;$M39&amp;"_new",Ammortamento_Finanziario!$H:$L,5,FALSE),VLOOKUP($M39,TT_Tabelle_Riferimento!$D$127:$H$164,5,FALSE))</f>
        <v>40</v>
      </c>
      <c r="OF39" s="904">
        <f>+IFERROR(VLOOKUP(OF$27&amp;"-"&amp;$M39&amp;"_new",Ammortamento_Finanziario!$H:$L,5,FALSE),VLOOKUP($M39,TT_Tabelle_Riferimento!$D$127:$H$164,5,FALSE))</f>
        <v>40</v>
      </c>
      <c r="OG39" s="904">
        <f>+IFERROR(VLOOKUP(OG$27&amp;"-"&amp;$M39&amp;"_new",Ammortamento_Finanziario!$H:$L,5,FALSE),VLOOKUP($M39,TT_Tabelle_Riferimento!$D$127:$H$164,5,FALSE))</f>
        <v>40</v>
      </c>
      <c r="OH39" s="904">
        <f>+IFERROR(VLOOKUP(OH$27&amp;"-"&amp;$M39&amp;"_new",Ammortamento_Finanziario!$H:$L,5,FALSE),VLOOKUP($M39,TT_Tabelle_Riferimento!$D$127:$H$164,5,FALSE))</f>
        <v>40</v>
      </c>
      <c r="OI39" s="904">
        <f>+IFERROR(VLOOKUP(OI$27&amp;"-"&amp;$M39&amp;"_new",Ammortamento_Finanziario!$H:$L,5,FALSE),VLOOKUP($M39,TT_Tabelle_Riferimento!$D$127:$H$164,5,FALSE))</f>
        <v>40</v>
      </c>
      <c r="OJ39" s="904">
        <f>+IFERROR(VLOOKUP(OJ$27&amp;"-"&amp;$M39&amp;"_new",Ammortamento_Finanziario!$H:$L,5,FALSE),VLOOKUP($M39,TT_Tabelle_Riferimento!$D$127:$H$164,5,FALSE))</f>
        <v>40</v>
      </c>
      <c r="OK39" s="904">
        <f>+IFERROR(VLOOKUP(OK$27&amp;"-"&amp;$M39&amp;"_new",Ammortamento_Finanziario!$H:$L,5,FALSE),VLOOKUP($M39,TT_Tabelle_Riferimento!$D$127:$H$164,5,FALSE))</f>
        <v>40</v>
      </c>
      <c r="OL39" s="904">
        <f>+IFERROR(VLOOKUP(OL$27&amp;"-"&amp;$M39&amp;"_new",Ammortamento_Finanziario!$H:$L,5,FALSE),VLOOKUP($M39,TT_Tabelle_Riferimento!$D$127:$H$164,5,FALSE))</f>
        <v>40</v>
      </c>
      <c r="OM39" s="904">
        <f>+IFERROR(VLOOKUP(OM$27&amp;"-"&amp;$M39&amp;"_new",Ammortamento_Finanziario!$H:$L,5,FALSE),VLOOKUP($M39,TT_Tabelle_Riferimento!$D$127:$H$164,5,FALSE))</f>
        <v>40</v>
      </c>
      <c r="ON39" s="904">
        <f>+IFERROR(VLOOKUP(ON$27&amp;"-"&amp;$M39&amp;"_new",Ammortamento_Finanziario!$H:$L,5,FALSE),VLOOKUP($M39,TT_Tabelle_Riferimento!$D$127:$H$164,5,FALSE))</f>
        <v>40</v>
      </c>
      <c r="OO39" s="1762">
        <f>+IFERROR(VLOOKUP(OO$27&amp;"-"&amp;$M39&amp;"_new",Ammortamento_Finanziario!$H:$L,5,FALSE),VLOOKUP($M39,TT_Tabelle_Riferimento!$D$127:$H$164,5,FALSE))</f>
        <v>40</v>
      </c>
      <c r="OP39" s="1762">
        <f>+IFERROR(VLOOKUP(OP$27&amp;"-"&amp;$M39&amp;"_new",Ammortamento_Finanziario!$H:$L,5,FALSE),VLOOKUP($M39,TT_Tabelle_Riferimento!$D$127:$H$164,5,FALSE))</f>
        <v>40</v>
      </c>
      <c r="OQ39" s="1762">
        <f>+IFERROR(VLOOKUP(OQ$27&amp;"-"&amp;$M39&amp;"_new",Ammortamento_Finanziario!$H:$L,5,FALSE),VLOOKUP($M39,TT_Tabelle_Riferimento!$D$127:$H$164,5,FALSE))</f>
        <v>40</v>
      </c>
      <c r="OR39" s="1762">
        <f>+IFERROR(VLOOKUP(OR$27&amp;"-"&amp;$M39&amp;"_new",Ammortamento_Finanziario!$H:$L,5,FALSE),VLOOKUP($M39,TT_Tabelle_Riferimento!$D$127:$H$164,5,FALSE))</f>
        <v>40</v>
      </c>
      <c r="OS39" s="904">
        <f>+IFERROR(VLOOKUP(OS$27&amp;"-"&amp;$M39&amp;"_new",Ammortamento_Finanziario!$H:$L,5,FALSE),VLOOKUP($M39,TT_Tabelle_Riferimento!$D$127:$H$164,5,FALSE))</f>
        <v>40</v>
      </c>
      <c r="OT39" s="904">
        <f>+IFERROR(VLOOKUP(OT$27&amp;"-"&amp;$M39&amp;"_new",Ammortamento_Finanziario!$H:$L,5,FALSE),VLOOKUP($M39,TT_Tabelle_Riferimento!$D$127:$H$164,5,FALSE))</f>
        <v>40</v>
      </c>
      <c r="OU39" s="904">
        <f>+IFERROR(VLOOKUP(OU$27&amp;"-"&amp;$M39&amp;"_new",Ammortamento_Finanziario!$H:$L,5,FALSE),VLOOKUP($M39,TT_Tabelle_Riferimento!$D$127:$H$164,5,FALSE))</f>
        <v>40</v>
      </c>
      <c r="OV39" s="904">
        <f>+IFERROR(VLOOKUP(OV$27&amp;"-"&amp;$M39&amp;"_new",Ammortamento_Finanziario!$H:$L,5,FALSE),VLOOKUP($M39,TT_Tabelle_Riferimento!$D$127:$H$164,5,FALSE))</f>
        <v>40</v>
      </c>
      <c r="OW39" s="904">
        <f>+IFERROR(VLOOKUP(OW$27&amp;"-"&amp;$M39&amp;"_new",Ammortamento_Finanziario!$H:$L,5,FALSE),VLOOKUP($M39,TT_Tabelle_Riferimento!$D$127:$H$164,5,FALSE))</f>
        <v>40</v>
      </c>
      <c r="OX39" s="904">
        <f>+IFERROR(VLOOKUP(OX$27&amp;"-"&amp;$M39&amp;"_new",Ammortamento_Finanziario!$H:$L,5,FALSE),VLOOKUP($M39,TT_Tabelle_Riferimento!$D$127:$H$164,5,FALSE))</f>
        <v>40</v>
      </c>
      <c r="OY39" s="904">
        <f>+IFERROR(VLOOKUP(OY$27&amp;"-"&amp;$M39&amp;"_new",Ammortamento_Finanziario!$H:$L,5,FALSE),VLOOKUP($M39,TT_Tabelle_Riferimento!$D$127:$H$164,5,FALSE))</f>
        <v>40</v>
      </c>
      <c r="OZ39" s="904">
        <f>+IFERROR(VLOOKUP(OZ$27&amp;"-"&amp;$M39&amp;"_new",Ammortamento_Finanziario!$H:$L,5,FALSE),VLOOKUP($M39,TT_Tabelle_Riferimento!$D$127:$H$164,5,FALSE))</f>
        <v>40</v>
      </c>
      <c r="PA39" s="904">
        <f>+IFERROR(VLOOKUP(PA$27&amp;"-"&amp;$M39&amp;"_new",Ammortamento_Finanziario!$H:$L,5,FALSE),VLOOKUP($M39,TT_Tabelle_Riferimento!$D$127:$H$164,5,FALSE))</f>
        <v>40</v>
      </c>
      <c r="PB39" s="904">
        <f>+IFERROR(VLOOKUP(PB$27&amp;"-"&amp;$M39&amp;"_new",Ammortamento_Finanziario!$H:$L,5,FALSE),VLOOKUP($M39,TT_Tabelle_Riferimento!$D$127:$H$164,5,FALSE))</f>
        <v>40</v>
      </c>
      <c r="PC39" s="904">
        <f>+IFERROR(VLOOKUP(PC$27&amp;"-"&amp;$M39&amp;"_new",Ammortamento_Finanziario!$H:$L,5,FALSE),VLOOKUP($M39,TT_Tabelle_Riferimento!$D$127:$H$164,5,FALSE))</f>
        <v>40</v>
      </c>
      <c r="PD39" s="904">
        <f>+IFERROR(VLOOKUP(PD$27&amp;"-"&amp;$M39&amp;"_new",Ammortamento_Finanziario!$H:$L,5,FALSE),VLOOKUP($M39,TT_Tabelle_Riferimento!$D$127:$H$164,5,FALSE))</f>
        <v>40</v>
      </c>
      <c r="PE39" s="904">
        <f>+IFERROR(VLOOKUP(PE$27&amp;"-"&amp;$M39&amp;"_new",Ammortamento_Finanziario!$H:$L,5,FALSE),VLOOKUP($M39,TT_Tabelle_Riferimento!$D$127:$H$164,5,FALSE))</f>
        <v>40</v>
      </c>
      <c r="PF39" s="904">
        <f>+IFERROR(VLOOKUP(PF$27&amp;"-"&amp;$M39&amp;"_new",Ammortamento_Finanziario!$H:$L,5,FALSE),VLOOKUP($M39,TT_Tabelle_Riferimento!$D$127:$H$164,5,FALSE))</f>
        <v>40</v>
      </c>
      <c r="PG39" s="904">
        <f>+IFERROR(VLOOKUP(PG$27&amp;"-"&amp;$M39&amp;"_new",Ammortamento_Finanziario!$H:$L,5,FALSE),VLOOKUP($M39,TT_Tabelle_Riferimento!$D$127:$H$164,5,FALSE))</f>
        <v>40</v>
      </c>
      <c r="PH39" s="904">
        <f>+IFERROR(VLOOKUP(PH$27&amp;"-"&amp;$M39&amp;"_new",Ammortamento_Finanziario!$H:$L,5,FALSE),VLOOKUP($M39,TT_Tabelle_Riferimento!$D$127:$H$164,5,FALSE))</f>
        <v>40</v>
      </c>
      <c r="PI39" s="904">
        <f>+IFERROR(VLOOKUP(PI$27&amp;"-"&amp;$M39&amp;"_new",Ammortamento_Finanziario!$H:$L,5,FALSE),VLOOKUP($M39,TT_Tabelle_Riferimento!$D$127:$H$164,5,FALSE))</f>
        <v>40</v>
      </c>
      <c r="PJ39" s="904">
        <f>+IFERROR(VLOOKUP(PJ$27&amp;"-"&amp;$M39&amp;"_new",Ammortamento_Finanziario!$H:$L,5,FALSE),VLOOKUP($M39,TT_Tabelle_Riferimento!$D$127:$H$164,5,FALSE))</f>
        <v>40</v>
      </c>
      <c r="PK39" s="904">
        <f>+IFERROR(VLOOKUP(PK$27&amp;"-"&amp;$M39&amp;"_new",Ammortamento_Finanziario!$H:$L,5,FALSE),VLOOKUP($M39,TT_Tabelle_Riferimento!$D$127:$H$164,5,FALSE))</f>
        <v>40</v>
      </c>
      <c r="PL39" s="1762">
        <f>+IFERROR(VLOOKUP(PL$27&amp;"-"&amp;$M39&amp;"_new",Ammortamento_Finanziario!$H:$L,5,FALSE),VLOOKUP($M39,TT_Tabelle_Riferimento!$D$127:$H$164,5,FALSE))</f>
        <v>40</v>
      </c>
      <c r="PM39" s="1762">
        <f>+IFERROR(VLOOKUP(PM$27&amp;"-"&amp;$M39&amp;"_new",Ammortamento_Finanziario!$H:$L,5,FALSE),VLOOKUP($M39,TT_Tabelle_Riferimento!$D$127:$H$164,5,FALSE))</f>
        <v>40</v>
      </c>
      <c r="PN39" s="1762">
        <f>+IFERROR(VLOOKUP(PN$27&amp;"-"&amp;$M39&amp;"_new",Ammortamento_Finanziario!$H:$L,5,FALSE),VLOOKUP($M39,TT_Tabelle_Riferimento!$D$127:$H$164,5,FALSE))</f>
        <v>40</v>
      </c>
      <c r="PO39" s="904">
        <f>+IFERROR(VLOOKUP(PO$27&amp;"-"&amp;$M39&amp;"_new",Ammortamento_Finanziario!$H:$L,5,FALSE),VLOOKUP($M39,TT_Tabelle_Riferimento!$D$127:$H$164,5,FALSE))</f>
        <v>40</v>
      </c>
      <c r="PP39" s="904">
        <f>+IFERROR(VLOOKUP(PP$27&amp;"-"&amp;$M39&amp;"_new",Ammortamento_Finanziario!$H:$L,5,FALSE),VLOOKUP($M39,TT_Tabelle_Riferimento!$D$127:$H$164,5,FALSE))</f>
        <v>40</v>
      </c>
      <c r="PQ39" s="904">
        <f>+IFERROR(VLOOKUP(PQ$27&amp;"-"&amp;$M39&amp;"_new",Ammortamento_Finanziario!$H:$L,5,FALSE),VLOOKUP($M39,TT_Tabelle_Riferimento!$D$127:$H$164,5,FALSE))</f>
        <v>40</v>
      </c>
      <c r="PR39" s="904">
        <f>+IFERROR(VLOOKUP(PR$27&amp;"-"&amp;$M39&amp;"_new",Ammortamento_Finanziario!$H:$L,5,FALSE),VLOOKUP($M39,TT_Tabelle_Riferimento!$D$127:$H$164,5,FALSE))</f>
        <v>40</v>
      </c>
      <c r="PS39" s="904">
        <f>+IFERROR(VLOOKUP(PS$27&amp;"-"&amp;$M39&amp;"_new",Ammortamento_Finanziario!$H:$L,5,FALSE),VLOOKUP($M39,TT_Tabelle_Riferimento!$D$127:$H$164,5,FALSE))</f>
        <v>40</v>
      </c>
      <c r="PT39" s="904">
        <f>+IFERROR(VLOOKUP(PT$27&amp;"-"&amp;$M39&amp;"_new",Ammortamento_Finanziario!$H:$L,5,FALSE),VLOOKUP($M39,TT_Tabelle_Riferimento!$D$127:$H$164,5,FALSE))</f>
        <v>40</v>
      </c>
      <c r="PU39" s="904">
        <f>+IFERROR(VLOOKUP(PU$27&amp;"-"&amp;$M39&amp;"_new",Ammortamento_Finanziario!$H:$L,5,FALSE),VLOOKUP($M39,TT_Tabelle_Riferimento!$D$127:$H$164,5,FALSE))</f>
        <v>40</v>
      </c>
      <c r="PV39" s="904">
        <f>+IFERROR(VLOOKUP(PV$27&amp;"-"&amp;$M39&amp;"_new",Ammortamento_Finanziario!$H:$L,5,FALSE),VLOOKUP($M39,TT_Tabelle_Riferimento!$D$127:$H$164,5,FALSE))</f>
        <v>40</v>
      </c>
      <c r="PW39" s="904">
        <f>+IFERROR(VLOOKUP(PW$27&amp;"-"&amp;$M39&amp;"_new",Ammortamento_Finanziario!$H:$L,5,FALSE),VLOOKUP($M39,TT_Tabelle_Riferimento!$D$127:$H$164,5,FALSE))</f>
        <v>40</v>
      </c>
      <c r="PX39" s="904">
        <f>+IFERROR(VLOOKUP(PX$27&amp;"-"&amp;$M39&amp;"_new",Ammortamento_Finanziario!$H:$L,5,FALSE),VLOOKUP($M39,TT_Tabelle_Riferimento!$D$127:$H$164,5,FALSE))</f>
        <v>40</v>
      </c>
      <c r="PY39" s="904">
        <f>+IFERROR(VLOOKUP(PY$27&amp;"-"&amp;$M39&amp;"_new",Ammortamento_Finanziario!$H:$L,5,FALSE),VLOOKUP($M39,TT_Tabelle_Riferimento!$D$127:$H$164,5,FALSE))</f>
        <v>40</v>
      </c>
      <c r="PZ39" s="904">
        <f>+IFERROR(VLOOKUP(PZ$27&amp;"-"&amp;$M39&amp;"_new",Ammortamento_Finanziario!$H:$L,5,FALSE),VLOOKUP($M39,TT_Tabelle_Riferimento!$D$127:$H$164,5,FALSE))</f>
        <v>40</v>
      </c>
      <c r="QA39" s="904">
        <f>+IFERROR(VLOOKUP(QA$27&amp;"-"&amp;$M39&amp;"_new",Ammortamento_Finanziario!$H:$L,5,FALSE),VLOOKUP($M39,TT_Tabelle_Riferimento!$D$127:$H$164,5,FALSE))</f>
        <v>40</v>
      </c>
      <c r="QB39" s="904">
        <f>+IFERROR(VLOOKUP(QB$27&amp;"-"&amp;$M39&amp;"_new",Ammortamento_Finanziario!$H:$L,5,FALSE),VLOOKUP($M39,TT_Tabelle_Riferimento!$D$127:$H$164,5,FALSE))</f>
        <v>40</v>
      </c>
      <c r="QC39" s="904">
        <f>+IFERROR(VLOOKUP(QC$27&amp;"-"&amp;$M39&amp;"_new",Ammortamento_Finanziario!$H:$L,5,FALSE),VLOOKUP($M39,TT_Tabelle_Riferimento!$D$127:$H$164,5,FALSE))</f>
        <v>40</v>
      </c>
      <c r="QD39" s="904">
        <f>+IFERROR(VLOOKUP(QD$27&amp;"-"&amp;$M39&amp;"_new",Ammortamento_Finanziario!$H:$L,5,FALSE),VLOOKUP($M39,TT_Tabelle_Riferimento!$D$127:$H$164,5,FALSE))</f>
        <v>40</v>
      </c>
      <c r="QE39" s="904">
        <f>+IFERROR(VLOOKUP(QE$27&amp;"-"&amp;$M39&amp;"_new",Ammortamento_Finanziario!$H:$L,5,FALSE),VLOOKUP($M39,TT_Tabelle_Riferimento!$D$127:$H$164,5,FALSE))</f>
        <v>40</v>
      </c>
      <c r="QF39" s="904">
        <f>+IFERROR(VLOOKUP(QF$27&amp;"-"&amp;$M39&amp;"_new",Ammortamento_Finanziario!$H:$L,5,FALSE),VLOOKUP($M39,TT_Tabelle_Riferimento!$D$127:$H$164,5,FALSE))</f>
        <v>40</v>
      </c>
      <c r="QG39" s="904">
        <f>+IFERROR(VLOOKUP(QG$27&amp;"-"&amp;$M39&amp;"_new",Ammortamento_Finanziario!$H:$L,5,FALSE),VLOOKUP($M39,TT_Tabelle_Riferimento!$D$127:$H$164,5,FALSE))</f>
        <v>40</v>
      </c>
      <c r="QH39" s="1762">
        <f>+IFERROR(VLOOKUP(QH$27&amp;"-"&amp;$M39&amp;"_new",Ammortamento_Finanziario!$H:$L,5,FALSE),VLOOKUP($M39,TT_Tabelle_Riferimento!$D$127:$H$164,5,FALSE))</f>
        <v>40</v>
      </c>
      <c r="QI39" s="1762">
        <f>+IFERROR(VLOOKUP(QI$27&amp;"-"&amp;$M39&amp;"_new",Ammortamento_Finanziario!$H:$L,5,FALSE),VLOOKUP($M39,TT_Tabelle_Riferimento!$D$127:$H$164,5,FALSE))</f>
        <v>40</v>
      </c>
      <c r="QJ39" s="904">
        <f>+IFERROR(VLOOKUP(QJ$27&amp;"-"&amp;$M39&amp;"_new",Ammortamento_Finanziario!$H:$L,5,FALSE),VLOOKUP($M39,TT_Tabelle_Riferimento!$D$127:$H$164,5,FALSE))</f>
        <v>40</v>
      </c>
      <c r="QK39" s="904">
        <f>+IFERROR(VLOOKUP(QK$27&amp;"-"&amp;$M39&amp;"_new",Ammortamento_Finanziario!$H:$L,5,FALSE),VLOOKUP($M39,TT_Tabelle_Riferimento!$D$127:$H$164,5,FALSE))</f>
        <v>40</v>
      </c>
      <c r="QL39" s="904">
        <f>+IFERROR(VLOOKUP(QL$27&amp;"-"&amp;$M39&amp;"_new",Ammortamento_Finanziario!$H:$L,5,FALSE),VLOOKUP($M39,TT_Tabelle_Riferimento!$D$127:$H$164,5,FALSE))</f>
        <v>40</v>
      </c>
      <c r="QM39" s="904">
        <f>+IFERROR(VLOOKUP(QM$27&amp;"-"&amp;$M39&amp;"_new",Ammortamento_Finanziario!$H:$L,5,FALSE),VLOOKUP($M39,TT_Tabelle_Riferimento!$D$127:$H$164,5,FALSE))</f>
        <v>40</v>
      </c>
      <c r="QN39" s="904">
        <f>+IFERROR(VLOOKUP(QN$27&amp;"-"&amp;$M39&amp;"_new",Ammortamento_Finanziario!$H:$L,5,FALSE),VLOOKUP($M39,TT_Tabelle_Riferimento!$D$127:$H$164,5,FALSE))</f>
        <v>40</v>
      </c>
      <c r="QO39" s="904">
        <f>+IFERROR(VLOOKUP(QO$27&amp;"-"&amp;$M39&amp;"_new",Ammortamento_Finanziario!$H:$L,5,FALSE),VLOOKUP($M39,TT_Tabelle_Riferimento!$D$127:$H$164,5,FALSE))</f>
        <v>40</v>
      </c>
      <c r="QP39" s="904">
        <f>+IFERROR(VLOOKUP(QP$27&amp;"-"&amp;$M39&amp;"_new",Ammortamento_Finanziario!$H:$L,5,FALSE),VLOOKUP($M39,TT_Tabelle_Riferimento!$D$127:$H$164,5,FALSE))</f>
        <v>40</v>
      </c>
      <c r="QQ39" s="904">
        <f>+IFERROR(VLOOKUP(QQ$27&amp;"-"&amp;$M39&amp;"_new",Ammortamento_Finanziario!$H:$L,5,FALSE),VLOOKUP($M39,TT_Tabelle_Riferimento!$D$127:$H$164,5,FALSE))</f>
        <v>40</v>
      </c>
      <c r="QR39" s="904">
        <f>+IFERROR(VLOOKUP(QR$27&amp;"-"&amp;$M39&amp;"_new",Ammortamento_Finanziario!$H:$L,5,FALSE),VLOOKUP($M39,TT_Tabelle_Riferimento!$D$127:$H$164,5,FALSE))</f>
        <v>40</v>
      </c>
      <c r="QS39" s="904">
        <f>+IFERROR(VLOOKUP(QS$27&amp;"-"&amp;$M39&amp;"_new",Ammortamento_Finanziario!$H:$L,5,FALSE),VLOOKUP($M39,TT_Tabelle_Riferimento!$D$127:$H$164,5,FALSE))</f>
        <v>40</v>
      </c>
      <c r="QT39" s="904">
        <f>+IFERROR(VLOOKUP(QT$27&amp;"-"&amp;$M39&amp;"_new",Ammortamento_Finanziario!$H:$L,5,FALSE),VLOOKUP($M39,TT_Tabelle_Riferimento!$D$127:$H$164,5,FALSE))</f>
        <v>40</v>
      </c>
      <c r="QU39" s="904">
        <f>+IFERROR(VLOOKUP(QU$27&amp;"-"&amp;$M39&amp;"_new",Ammortamento_Finanziario!$H:$L,5,FALSE),VLOOKUP($M39,TT_Tabelle_Riferimento!$D$127:$H$164,5,FALSE))</f>
        <v>40</v>
      </c>
      <c r="QV39" s="904">
        <f>+IFERROR(VLOOKUP(QV$27&amp;"-"&amp;$M39&amp;"_new",Ammortamento_Finanziario!$H:$L,5,FALSE),VLOOKUP($M39,TT_Tabelle_Riferimento!$D$127:$H$164,5,FALSE))</f>
        <v>40</v>
      </c>
      <c r="QW39" s="904">
        <f>+IFERROR(VLOOKUP(QW$27&amp;"-"&amp;$M39&amp;"_new",Ammortamento_Finanziario!$H:$L,5,FALSE),VLOOKUP($M39,TT_Tabelle_Riferimento!$D$127:$H$164,5,FALSE))</f>
        <v>40</v>
      </c>
      <c r="QX39" s="904">
        <f>+IFERROR(VLOOKUP(QX$27&amp;"-"&amp;$M39&amp;"_new",Ammortamento_Finanziario!$H:$L,5,FALSE),VLOOKUP($M39,TT_Tabelle_Riferimento!$D$127:$H$164,5,FALSE))</f>
        <v>40</v>
      </c>
      <c r="QY39" s="904">
        <f>+IFERROR(VLOOKUP(QY$27&amp;"-"&amp;$M39&amp;"_new",Ammortamento_Finanziario!$H:$L,5,FALSE),VLOOKUP($M39,TT_Tabelle_Riferimento!$D$127:$H$164,5,FALSE))</f>
        <v>40</v>
      </c>
      <c r="QZ39" s="904">
        <f>+IFERROR(VLOOKUP(QZ$27&amp;"-"&amp;$M39&amp;"_new",Ammortamento_Finanziario!$H:$L,5,FALSE),VLOOKUP($M39,TT_Tabelle_Riferimento!$D$127:$H$164,5,FALSE))</f>
        <v>40</v>
      </c>
      <c r="RA39" s="904">
        <f>+IFERROR(VLOOKUP(RA$27&amp;"-"&amp;$M39&amp;"_new",Ammortamento_Finanziario!$H:$L,5,FALSE),VLOOKUP($M39,TT_Tabelle_Riferimento!$D$127:$H$164,5,FALSE))</f>
        <v>40</v>
      </c>
      <c r="RB39" s="904">
        <f>+IFERROR(VLOOKUP(RB$27&amp;"-"&amp;$M39&amp;"_new",Ammortamento_Finanziario!$H:$L,5,FALSE),VLOOKUP($M39,TT_Tabelle_Riferimento!$D$127:$H$164,5,FALSE))</f>
        <v>40</v>
      </c>
      <c r="RC39" s="1762">
        <f>+IFERROR(VLOOKUP(RC$27&amp;"-"&amp;$M39&amp;"_new",Ammortamento_Finanziario!$H:$L,5,FALSE),VLOOKUP($M39,TT_Tabelle_Riferimento!$D$127:$H$164,5,FALSE))</f>
        <v>40</v>
      </c>
      <c r="RD39" s="904">
        <f>+IFERROR(VLOOKUP(RD$27&amp;"-"&amp;$M39&amp;"_new",Ammortamento_Finanziario!$H:$L,5,FALSE),VLOOKUP($M39,TT_Tabelle_Riferimento!$D$127:$H$164,5,FALSE))</f>
        <v>40</v>
      </c>
      <c r="RE39" s="904">
        <f>+IFERROR(VLOOKUP(RE$27&amp;"-"&amp;$M39&amp;"_new",Ammortamento_Finanziario!$H:$L,5,FALSE),VLOOKUP($M39,TT_Tabelle_Riferimento!$D$127:$H$164,5,FALSE))</f>
        <v>40</v>
      </c>
      <c r="RF39" s="904">
        <f>+IFERROR(VLOOKUP(RF$27&amp;"-"&amp;$M39&amp;"_new",Ammortamento_Finanziario!$H:$L,5,FALSE),VLOOKUP($M39,TT_Tabelle_Riferimento!$D$127:$H$164,5,FALSE))</f>
        <v>40</v>
      </c>
      <c r="RG39" s="904">
        <f>+IFERROR(VLOOKUP(RG$27&amp;"-"&amp;$M39&amp;"_new",Ammortamento_Finanziario!$H:$L,5,FALSE),VLOOKUP($M39,TT_Tabelle_Riferimento!$D$127:$H$164,5,FALSE))</f>
        <v>40</v>
      </c>
      <c r="RH39" s="904">
        <f>+IFERROR(VLOOKUP(RH$27&amp;"-"&amp;$M39&amp;"_new",Ammortamento_Finanziario!$H:$L,5,FALSE),VLOOKUP($M39,TT_Tabelle_Riferimento!$D$127:$H$164,5,FALSE))</f>
        <v>40</v>
      </c>
      <c r="RI39" s="904">
        <f>+IFERROR(VLOOKUP(RI$27&amp;"-"&amp;$M39&amp;"_new",Ammortamento_Finanziario!$H:$L,5,FALSE),VLOOKUP($M39,TT_Tabelle_Riferimento!$D$127:$H$164,5,FALSE))</f>
        <v>40</v>
      </c>
      <c r="RJ39" s="904">
        <f>+IFERROR(VLOOKUP(RJ$27&amp;"-"&amp;$M39&amp;"_new",Ammortamento_Finanziario!$H:$L,5,FALSE),VLOOKUP($M39,TT_Tabelle_Riferimento!$D$127:$H$164,5,FALSE))</f>
        <v>40</v>
      </c>
      <c r="RK39" s="904">
        <f>+IFERROR(VLOOKUP(RK$27&amp;"-"&amp;$M39&amp;"_new",Ammortamento_Finanziario!$H:$L,5,FALSE),VLOOKUP($M39,TT_Tabelle_Riferimento!$D$127:$H$164,5,FALSE))</f>
        <v>40</v>
      </c>
      <c r="RL39" s="904">
        <f>+IFERROR(VLOOKUP(RL$27&amp;"-"&amp;$M39&amp;"_new",Ammortamento_Finanziario!$H:$L,5,FALSE),VLOOKUP($M39,TT_Tabelle_Riferimento!$D$127:$H$164,5,FALSE))</f>
        <v>40</v>
      </c>
      <c r="RM39" s="904">
        <f>+IFERROR(VLOOKUP(RM$27&amp;"-"&amp;$M39&amp;"_new",Ammortamento_Finanziario!$H:$L,5,FALSE),VLOOKUP($M39,TT_Tabelle_Riferimento!$D$127:$H$164,5,FALSE))</f>
        <v>40</v>
      </c>
      <c r="RN39" s="904">
        <f>+IFERROR(VLOOKUP(RN$27&amp;"-"&amp;$M39&amp;"_new",Ammortamento_Finanziario!$H:$L,5,FALSE),VLOOKUP($M39,TT_Tabelle_Riferimento!$D$127:$H$164,5,FALSE))</f>
        <v>40</v>
      </c>
      <c r="RO39" s="904">
        <f>+IFERROR(VLOOKUP(RO$27&amp;"-"&amp;$M39&amp;"_new",Ammortamento_Finanziario!$H:$L,5,FALSE),VLOOKUP($M39,TT_Tabelle_Riferimento!$D$127:$H$164,5,FALSE))</f>
        <v>40</v>
      </c>
      <c r="RP39" s="904">
        <f>+IFERROR(VLOOKUP(RP$27&amp;"-"&amp;$M39&amp;"_new",Ammortamento_Finanziario!$H:$L,5,FALSE),VLOOKUP($M39,TT_Tabelle_Riferimento!$D$127:$H$164,5,FALSE))</f>
        <v>40</v>
      </c>
      <c r="RQ39" s="904">
        <f>+IFERROR(VLOOKUP(RQ$27&amp;"-"&amp;$M39&amp;"_new",Ammortamento_Finanziario!$H:$L,5,FALSE),VLOOKUP($M39,TT_Tabelle_Riferimento!$D$127:$H$164,5,FALSE))</f>
        <v>40</v>
      </c>
      <c r="RR39" s="904">
        <f>+IFERROR(VLOOKUP(RR$27&amp;"-"&amp;$M39&amp;"_new",Ammortamento_Finanziario!$H:$L,5,FALSE),VLOOKUP($M39,TT_Tabelle_Riferimento!$D$127:$H$164,5,FALSE))</f>
        <v>40</v>
      </c>
      <c r="RS39" s="904">
        <f>+IFERROR(VLOOKUP(RS$27&amp;"-"&amp;$M39&amp;"_new",Ammortamento_Finanziario!$H:$L,5,FALSE),VLOOKUP($M39,TT_Tabelle_Riferimento!$D$127:$H$164,5,FALSE))</f>
        <v>40</v>
      </c>
      <c r="RT39" s="904">
        <f>+IFERROR(VLOOKUP(RT$27&amp;"-"&amp;$M39&amp;"_new",Ammortamento_Finanziario!$H:$L,5,FALSE),VLOOKUP($M39,TT_Tabelle_Riferimento!$D$127:$H$164,5,FALSE))</f>
        <v>40</v>
      </c>
      <c r="RU39" s="904">
        <f>+IFERROR(VLOOKUP(RU$27&amp;"-"&amp;$M39&amp;"_new",Ammortamento_Finanziario!$H:$L,5,FALSE),VLOOKUP($M39,TT_Tabelle_Riferimento!$D$127:$H$164,5,FALSE))</f>
        <v>40</v>
      </c>
      <c r="RV39" s="904">
        <f>+IFERROR(VLOOKUP(RV$27&amp;"-"&amp;$M39&amp;"_new",Ammortamento_Finanziario!$H:$L,5,FALSE),VLOOKUP($M39,TT_Tabelle_Riferimento!$D$127:$H$164,5,FALSE))</f>
        <v>40</v>
      </c>
    </row>
    <row r="40" spans="4:490" ht="15.75">
      <c r="D40" s="126" t="s">
        <v>30414</v>
      </c>
      <c r="E40" s="10"/>
      <c r="F40" s="10"/>
      <c r="G40" s="10"/>
      <c r="H40" s="10"/>
      <c r="M40" s="1756">
        <v>13</v>
      </c>
      <c r="N40" s="1759">
        <v>0</v>
      </c>
      <c r="O40" s="1759">
        <v>0</v>
      </c>
      <c r="P40" s="1759">
        <v>0</v>
      </c>
      <c r="Q40" s="1759">
        <v>0</v>
      </c>
      <c r="R40" s="1759">
        <v>0</v>
      </c>
      <c r="S40" s="1759">
        <v>0</v>
      </c>
      <c r="T40" s="1759">
        <v>0</v>
      </c>
      <c r="U40" s="1759">
        <v>0</v>
      </c>
      <c r="V40" s="1759">
        <v>0</v>
      </c>
      <c r="W40" s="1759">
        <v>0</v>
      </c>
      <c r="X40" s="1759">
        <v>0</v>
      </c>
      <c r="Y40" s="1759">
        <v>0</v>
      </c>
      <c r="Z40" s="1759">
        <v>0</v>
      </c>
      <c r="AA40" s="1759">
        <v>0</v>
      </c>
      <c r="AB40" s="1759">
        <v>0</v>
      </c>
      <c r="AC40" s="1759">
        <v>0</v>
      </c>
      <c r="AD40" s="1759">
        <v>0</v>
      </c>
      <c r="AE40" s="1759">
        <v>0</v>
      </c>
      <c r="AF40" s="1759">
        <v>0</v>
      </c>
      <c r="AG40" s="1759">
        <v>0</v>
      </c>
      <c r="AH40" s="1759">
        <v>0</v>
      </c>
      <c r="AI40" s="1759">
        <v>0</v>
      </c>
      <c r="AJ40" s="1759">
        <v>0</v>
      </c>
      <c r="AK40" s="1759">
        <v>0</v>
      </c>
      <c r="AL40" s="1759">
        <v>0</v>
      </c>
      <c r="AM40" s="1759">
        <v>0</v>
      </c>
      <c r="AN40" s="1759">
        <v>0</v>
      </c>
      <c r="AO40" s="1759">
        <v>0</v>
      </c>
      <c r="AP40" s="1759">
        <v>0</v>
      </c>
      <c r="AQ40" s="1759">
        <v>0</v>
      </c>
      <c r="AR40" s="1759">
        <v>0</v>
      </c>
      <c r="AS40" s="1759">
        <v>0</v>
      </c>
      <c r="AT40" s="1759">
        <v>0</v>
      </c>
      <c r="AU40" s="1759">
        <v>0</v>
      </c>
      <c r="AV40" s="1759">
        <v>0</v>
      </c>
      <c r="AW40" s="1759">
        <v>0</v>
      </c>
      <c r="AX40" s="1759">
        <v>0</v>
      </c>
      <c r="AY40" s="1759">
        <v>0</v>
      </c>
      <c r="AZ40" s="1759">
        <v>0</v>
      </c>
      <c r="BA40" s="1759">
        <v>0</v>
      </c>
      <c r="BB40" s="1759">
        <v>0</v>
      </c>
      <c r="BC40" s="1759">
        <v>0</v>
      </c>
      <c r="BD40" s="1759">
        <v>0</v>
      </c>
      <c r="BE40" s="1759">
        <v>0</v>
      </c>
      <c r="BF40" s="1759">
        <v>0</v>
      </c>
      <c r="BG40" s="1759">
        <v>0</v>
      </c>
      <c r="BH40" s="1759">
        <v>0</v>
      </c>
      <c r="BI40" s="1759">
        <v>0</v>
      </c>
      <c r="BJ40" s="1759">
        <v>0</v>
      </c>
      <c r="BK40" s="1759">
        <v>0</v>
      </c>
      <c r="BL40" s="1759">
        <v>0</v>
      </c>
      <c r="BM40" s="1759">
        <v>0</v>
      </c>
      <c r="BN40" s="1759">
        <v>0</v>
      </c>
      <c r="BO40" s="1759">
        <v>0</v>
      </c>
      <c r="BP40" s="1759">
        <v>0</v>
      </c>
      <c r="BQ40" s="1759">
        <v>0</v>
      </c>
      <c r="BR40" s="1759">
        <v>0</v>
      </c>
      <c r="BS40" s="1759">
        <v>0</v>
      </c>
      <c r="BT40" s="1759">
        <v>0</v>
      </c>
      <c r="BU40" s="1759">
        <v>0</v>
      </c>
      <c r="BV40" s="1759">
        <v>0</v>
      </c>
      <c r="BW40" s="1759">
        <v>0</v>
      </c>
      <c r="BX40" s="1759">
        <v>0</v>
      </c>
      <c r="BY40" s="1759">
        <v>0</v>
      </c>
      <c r="BZ40" s="1759">
        <v>0</v>
      </c>
      <c r="CA40" s="1759">
        <v>0</v>
      </c>
      <c r="CB40" s="1759">
        <v>0</v>
      </c>
      <c r="CC40" s="1759">
        <v>0</v>
      </c>
      <c r="CD40" s="1759">
        <v>0</v>
      </c>
      <c r="CE40" s="1759">
        <v>0</v>
      </c>
      <c r="CF40" s="1759">
        <v>0</v>
      </c>
      <c r="CG40" s="1759">
        <v>0</v>
      </c>
      <c r="CH40" s="1759">
        <v>0</v>
      </c>
      <c r="CI40" s="1759">
        <v>0</v>
      </c>
      <c r="CJ40" s="1759">
        <v>0</v>
      </c>
      <c r="CK40" s="1759">
        <v>0</v>
      </c>
      <c r="CL40" s="1759">
        <v>0</v>
      </c>
      <c r="CM40" s="1759">
        <v>0</v>
      </c>
      <c r="CN40" s="1759">
        <v>0</v>
      </c>
      <c r="CO40" s="1759">
        <v>0</v>
      </c>
      <c r="CP40" s="1759">
        <v>0</v>
      </c>
      <c r="CQ40" s="1759">
        <v>0</v>
      </c>
      <c r="CR40" s="1759">
        <v>0</v>
      </c>
      <c r="CS40" s="1759">
        <v>0</v>
      </c>
      <c r="CT40" s="1759">
        <v>0</v>
      </c>
      <c r="CU40" s="1759">
        <v>0</v>
      </c>
      <c r="CV40" s="1759">
        <v>0</v>
      </c>
      <c r="CW40" s="1759">
        <v>0</v>
      </c>
      <c r="CX40" s="1759">
        <v>0</v>
      </c>
      <c r="CY40" s="1759">
        <v>0</v>
      </c>
      <c r="CZ40" s="1759">
        <v>0</v>
      </c>
      <c r="DA40" s="1759">
        <v>0</v>
      </c>
      <c r="DB40" s="1759">
        <v>0</v>
      </c>
      <c r="DC40" s="1759">
        <v>0</v>
      </c>
      <c r="DD40" s="1759">
        <v>0</v>
      </c>
      <c r="DE40" s="1759">
        <v>0</v>
      </c>
      <c r="DF40" s="1759">
        <v>0</v>
      </c>
      <c r="DG40" s="1759">
        <v>0</v>
      </c>
      <c r="DH40" s="1759">
        <v>0</v>
      </c>
      <c r="DI40" s="1759">
        <v>0</v>
      </c>
      <c r="DJ40" s="1759">
        <v>0</v>
      </c>
      <c r="DK40" s="1759">
        <v>0</v>
      </c>
      <c r="DL40" s="1759">
        <v>0</v>
      </c>
      <c r="DM40" s="1759">
        <v>0</v>
      </c>
      <c r="DN40" s="1759">
        <v>0</v>
      </c>
      <c r="DO40" s="1759">
        <v>0</v>
      </c>
      <c r="DP40" s="1759">
        <v>0</v>
      </c>
      <c r="DQ40" s="1759">
        <v>0</v>
      </c>
      <c r="DR40" s="1759">
        <v>0</v>
      </c>
      <c r="DS40" s="1759">
        <v>0</v>
      </c>
      <c r="DT40" s="1759">
        <v>0</v>
      </c>
      <c r="DU40" s="1759">
        <v>0</v>
      </c>
      <c r="DV40" s="1759">
        <v>0</v>
      </c>
      <c r="DW40" s="1759">
        <v>0</v>
      </c>
      <c r="DX40" s="1759">
        <v>0</v>
      </c>
      <c r="DY40" s="1759">
        <v>0</v>
      </c>
      <c r="DZ40" s="1759">
        <v>0</v>
      </c>
      <c r="EA40" s="1759">
        <v>0</v>
      </c>
      <c r="EB40" s="1759">
        <v>0</v>
      </c>
      <c r="EC40" s="1759">
        <v>0</v>
      </c>
      <c r="ED40" s="1759">
        <v>0</v>
      </c>
      <c r="EE40" s="1759">
        <v>0</v>
      </c>
      <c r="EF40" s="1759">
        <v>0</v>
      </c>
      <c r="EG40" s="1759">
        <v>0</v>
      </c>
      <c r="EH40" s="1759">
        <v>0</v>
      </c>
      <c r="EI40" s="1759">
        <v>0</v>
      </c>
      <c r="EJ40" s="1759">
        <v>0</v>
      </c>
      <c r="EK40" s="1759">
        <v>0</v>
      </c>
      <c r="EL40" s="1759">
        <v>0</v>
      </c>
      <c r="EM40" s="1759">
        <v>0</v>
      </c>
      <c r="EN40" s="1759">
        <v>0</v>
      </c>
      <c r="EO40" s="1759">
        <v>0</v>
      </c>
      <c r="EP40" s="1759">
        <v>0</v>
      </c>
      <c r="EQ40" s="1759">
        <v>0</v>
      </c>
      <c r="ER40" s="1759">
        <v>0</v>
      </c>
      <c r="ES40" s="1759">
        <v>0</v>
      </c>
      <c r="ET40" s="1759">
        <v>0</v>
      </c>
      <c r="EU40" s="1759">
        <v>0</v>
      </c>
      <c r="EV40" s="1759">
        <v>0</v>
      </c>
      <c r="EW40" s="1759">
        <v>0</v>
      </c>
      <c r="EX40" s="1759">
        <v>0</v>
      </c>
      <c r="EY40" s="1759">
        <v>0</v>
      </c>
      <c r="EZ40" s="1759">
        <v>0</v>
      </c>
      <c r="FA40" s="1759">
        <v>0</v>
      </c>
      <c r="FB40" s="1759">
        <v>0</v>
      </c>
      <c r="FC40" s="1759">
        <v>0</v>
      </c>
      <c r="FD40" s="1759">
        <v>0</v>
      </c>
      <c r="FE40" s="1759">
        <v>0</v>
      </c>
      <c r="FF40" s="1759">
        <v>0</v>
      </c>
      <c r="FG40" s="1759">
        <v>0</v>
      </c>
      <c r="FH40" s="1759">
        <v>0</v>
      </c>
      <c r="FI40" s="1759">
        <v>0</v>
      </c>
      <c r="FJ40" s="1759">
        <v>0</v>
      </c>
      <c r="FK40" s="1759">
        <v>0</v>
      </c>
      <c r="FL40" s="1759">
        <v>0</v>
      </c>
      <c r="FM40" s="1759">
        <v>0</v>
      </c>
      <c r="FN40" s="1759">
        <v>0</v>
      </c>
      <c r="FO40" s="1759">
        <v>0</v>
      </c>
      <c r="FP40" s="1759">
        <v>0</v>
      </c>
      <c r="FQ40" s="1759">
        <v>0</v>
      </c>
      <c r="FR40" s="1759">
        <v>0</v>
      </c>
      <c r="FS40" s="1759">
        <v>0</v>
      </c>
      <c r="FT40" s="1759">
        <v>0</v>
      </c>
      <c r="FU40" s="1759">
        <v>0</v>
      </c>
      <c r="FV40" s="1759">
        <v>0</v>
      </c>
      <c r="FW40" s="1759">
        <v>0</v>
      </c>
      <c r="FX40" s="1759">
        <v>0</v>
      </c>
      <c r="FY40" s="1759">
        <v>0</v>
      </c>
      <c r="FZ40" s="1759">
        <v>0</v>
      </c>
      <c r="GA40" s="1759">
        <v>0</v>
      </c>
      <c r="GB40" s="1759">
        <v>0</v>
      </c>
      <c r="GC40" s="1759">
        <v>0</v>
      </c>
      <c r="GD40" s="1759">
        <v>0</v>
      </c>
      <c r="GE40" s="1759">
        <v>0</v>
      </c>
      <c r="GF40" s="1759">
        <v>0</v>
      </c>
      <c r="GG40" s="1759">
        <v>0</v>
      </c>
      <c r="GH40" s="1759">
        <v>0</v>
      </c>
      <c r="GI40" s="1759">
        <v>0</v>
      </c>
      <c r="GJ40" s="1759">
        <v>0</v>
      </c>
      <c r="GK40" s="1759">
        <v>0</v>
      </c>
      <c r="GL40" s="1759">
        <v>0</v>
      </c>
      <c r="GM40" s="1759">
        <v>0</v>
      </c>
      <c r="GN40" s="1759">
        <v>0</v>
      </c>
      <c r="GO40" s="1759">
        <v>0</v>
      </c>
      <c r="GP40" s="1759">
        <v>0</v>
      </c>
      <c r="GQ40" s="1759">
        <v>0</v>
      </c>
      <c r="GR40" s="1759">
        <v>0</v>
      </c>
      <c r="GS40" s="1759">
        <v>0</v>
      </c>
      <c r="GT40" s="1759">
        <v>0</v>
      </c>
      <c r="GU40" s="1759">
        <v>0</v>
      </c>
      <c r="GV40" s="1759">
        <v>0</v>
      </c>
      <c r="GW40" s="1759">
        <v>0</v>
      </c>
      <c r="GX40" s="1759">
        <v>0</v>
      </c>
      <c r="GY40" s="1759">
        <v>0</v>
      </c>
      <c r="GZ40" s="1759">
        <v>0</v>
      </c>
      <c r="HA40" s="1759">
        <v>0</v>
      </c>
      <c r="HB40" s="1759">
        <v>0</v>
      </c>
      <c r="HC40" s="1759">
        <v>0</v>
      </c>
      <c r="HD40" s="1759">
        <v>0</v>
      </c>
      <c r="HE40" s="1759">
        <v>0</v>
      </c>
      <c r="HF40" s="1759">
        <v>0</v>
      </c>
      <c r="HG40" s="1759">
        <v>0</v>
      </c>
      <c r="HH40" s="1759">
        <v>0</v>
      </c>
      <c r="HI40" s="1759">
        <v>0</v>
      </c>
      <c r="HJ40" s="1759">
        <v>0</v>
      </c>
      <c r="HK40" s="1759">
        <v>0</v>
      </c>
      <c r="HL40" s="1759">
        <v>0</v>
      </c>
      <c r="HM40" s="1759">
        <v>0</v>
      </c>
      <c r="HN40" s="1759">
        <v>0</v>
      </c>
      <c r="HO40" s="1759">
        <v>0</v>
      </c>
      <c r="HP40" s="1759">
        <v>0</v>
      </c>
      <c r="HQ40" s="1759">
        <v>0</v>
      </c>
      <c r="HR40" s="1759">
        <v>0</v>
      </c>
      <c r="HS40" s="1759">
        <v>0</v>
      </c>
      <c r="HT40" s="1759">
        <v>0</v>
      </c>
      <c r="HU40" s="1759">
        <v>0</v>
      </c>
      <c r="HV40" s="1759">
        <v>0</v>
      </c>
      <c r="HW40" s="1759">
        <v>0</v>
      </c>
      <c r="HX40" s="1759">
        <v>0</v>
      </c>
      <c r="HY40" s="1759">
        <v>0</v>
      </c>
      <c r="HZ40" s="1759">
        <v>0</v>
      </c>
      <c r="IA40" s="1759">
        <v>0</v>
      </c>
      <c r="IB40" s="1759">
        <v>0</v>
      </c>
      <c r="IC40" s="1759">
        <v>0</v>
      </c>
      <c r="ID40" s="1759">
        <v>0</v>
      </c>
      <c r="IE40" s="1759">
        <v>0</v>
      </c>
      <c r="IF40" s="1759">
        <v>0</v>
      </c>
      <c r="IG40" s="1759">
        <v>0</v>
      </c>
      <c r="IH40" s="1759">
        <v>0</v>
      </c>
      <c r="II40" s="1759">
        <v>0</v>
      </c>
      <c r="IJ40" s="1759">
        <v>0</v>
      </c>
      <c r="IK40" s="1759">
        <v>0</v>
      </c>
      <c r="IL40" s="1759">
        <v>0</v>
      </c>
      <c r="IM40" s="1759">
        <v>0</v>
      </c>
      <c r="IN40" s="1759">
        <v>0</v>
      </c>
      <c r="IO40" s="1759">
        <v>0</v>
      </c>
      <c r="IP40" s="1759">
        <v>0</v>
      </c>
      <c r="IQ40" s="1759">
        <v>0</v>
      </c>
      <c r="IR40" s="1759">
        <v>0</v>
      </c>
      <c r="IS40" s="1759">
        <v>0</v>
      </c>
      <c r="IT40" s="1759">
        <v>0</v>
      </c>
      <c r="IU40" s="1759">
        <v>0</v>
      </c>
      <c r="IV40" s="1759">
        <v>0</v>
      </c>
      <c r="IW40" s="1759">
        <v>0</v>
      </c>
      <c r="IX40" s="1759">
        <v>0</v>
      </c>
      <c r="IY40" s="1759">
        <v>0</v>
      </c>
      <c r="IZ40" s="1759">
        <v>0</v>
      </c>
      <c r="JA40" s="1759">
        <v>0</v>
      </c>
      <c r="JB40" s="1759">
        <v>0</v>
      </c>
      <c r="JC40" s="1759">
        <v>0</v>
      </c>
      <c r="JD40" s="1759">
        <v>0</v>
      </c>
      <c r="JE40" s="1759">
        <v>0</v>
      </c>
      <c r="JF40" s="1759">
        <v>0</v>
      </c>
      <c r="JG40" s="1759">
        <v>0</v>
      </c>
      <c r="JH40" s="1759">
        <v>0</v>
      </c>
      <c r="JI40" s="1759">
        <v>0</v>
      </c>
      <c r="JJ40" s="1759">
        <v>0</v>
      </c>
      <c r="JK40" s="1759">
        <v>0</v>
      </c>
      <c r="JL40" s="1759">
        <v>0</v>
      </c>
      <c r="JM40" s="1759">
        <v>0</v>
      </c>
      <c r="JN40" s="1759">
        <v>0</v>
      </c>
      <c r="JO40" s="1759">
        <v>0</v>
      </c>
      <c r="JP40" s="1759">
        <v>0</v>
      </c>
      <c r="JQ40" s="1759">
        <v>0</v>
      </c>
      <c r="JR40" s="1759">
        <v>0</v>
      </c>
      <c r="JS40" s="1759">
        <v>0</v>
      </c>
      <c r="JT40" s="1759">
        <v>0</v>
      </c>
      <c r="JU40" s="1759">
        <v>0</v>
      </c>
      <c r="JV40" s="1759">
        <v>0</v>
      </c>
      <c r="JW40" s="1759">
        <v>0</v>
      </c>
      <c r="JX40" s="1759">
        <v>0</v>
      </c>
      <c r="JY40" s="1759">
        <v>0</v>
      </c>
      <c r="JZ40" s="1759">
        <v>0</v>
      </c>
      <c r="KA40" s="1759">
        <v>0</v>
      </c>
      <c r="KB40" s="1759">
        <v>0</v>
      </c>
      <c r="KC40" s="1759">
        <v>0</v>
      </c>
      <c r="KD40" s="1759">
        <v>0</v>
      </c>
      <c r="KE40" s="1759">
        <v>0</v>
      </c>
      <c r="KF40" s="1759">
        <v>0</v>
      </c>
      <c r="KG40" s="1759">
        <v>0</v>
      </c>
      <c r="KH40" s="1759">
        <v>0</v>
      </c>
      <c r="KI40" s="1759">
        <v>0</v>
      </c>
      <c r="KJ40" s="1759">
        <v>0</v>
      </c>
      <c r="KK40" s="1759">
        <v>0</v>
      </c>
      <c r="KL40" s="1759">
        <v>0</v>
      </c>
      <c r="KM40" s="1759">
        <v>0</v>
      </c>
      <c r="KN40" s="1759">
        <v>0</v>
      </c>
      <c r="KO40" s="1759">
        <v>0</v>
      </c>
      <c r="KP40" s="1759">
        <v>0</v>
      </c>
      <c r="KQ40" s="904">
        <f>+IFERROR(VLOOKUP(KQ$27&amp;"-"&amp;$M40&amp;"_new",Ammortamento_Finanziario!$H:$L,5,FALSE),VLOOKUP($M40,TT_Tabelle_Riferimento!$D$127:$H$164,5,FALSE))</f>
        <v>40</v>
      </c>
      <c r="KR40" s="904">
        <f>+IFERROR(VLOOKUP(KR$27&amp;"-"&amp;$M40&amp;"_new",Ammortamento_Finanziario!$H:$L,5,FALSE),VLOOKUP($M40,TT_Tabelle_Riferimento!$D$127:$H$164,5,FALSE))</f>
        <v>40</v>
      </c>
      <c r="KS40" s="1762">
        <f>+IFERROR(VLOOKUP(KS$27&amp;"-"&amp;$M40&amp;"_new",Ammortamento_Finanziario!$H:$L,5,FALSE),VLOOKUP($M40,TT_Tabelle_Riferimento!$D$127:$H$164,5,FALSE))</f>
        <v>40</v>
      </c>
      <c r="KT40" s="1762">
        <f>+IFERROR(VLOOKUP(KT$27&amp;"-"&amp;$M40&amp;"_new",Ammortamento_Finanziario!$H:$L,5,FALSE),VLOOKUP($M40,TT_Tabelle_Riferimento!$D$127:$H$164,5,FALSE))</f>
        <v>40</v>
      </c>
      <c r="KU40" s="1762">
        <f>+IFERROR(VLOOKUP(KU$27&amp;"-"&amp;$M40&amp;"_new",Ammortamento_Finanziario!$H:$L,5,FALSE),VLOOKUP($M40,TT_Tabelle_Riferimento!$D$127:$H$164,5,FALSE))</f>
        <v>40</v>
      </c>
      <c r="KV40" s="1762">
        <f>+IFERROR(VLOOKUP(KV$27&amp;"-"&amp;$M40&amp;"_new",Ammortamento_Finanziario!$H:$L,5,FALSE),VLOOKUP($M40,TT_Tabelle_Riferimento!$D$127:$H$164,5,FALSE))</f>
        <v>40</v>
      </c>
      <c r="KW40" s="1762">
        <f>+IFERROR(VLOOKUP(KW$27&amp;"-"&amp;$M40&amp;"_new",Ammortamento_Finanziario!$H:$L,5,FALSE),VLOOKUP($M40,TT_Tabelle_Riferimento!$D$127:$H$164,5,FALSE))</f>
        <v>40</v>
      </c>
      <c r="KX40" s="1762">
        <f>+IFERROR(VLOOKUP(KX$27&amp;"-"&amp;$M40&amp;"_new",Ammortamento_Finanziario!$H:$L,5,FALSE),VLOOKUP($M40,TT_Tabelle_Riferimento!$D$127:$H$164,5,FALSE))</f>
        <v>40</v>
      </c>
      <c r="KY40" s="904">
        <f>+IFERROR(VLOOKUP(KY$27&amp;"-"&amp;$M40&amp;"_new",Ammortamento_Finanziario!$H:$L,5,FALSE),VLOOKUP($M40,TT_Tabelle_Riferimento!$D$127:$H$164,5,FALSE))</f>
        <v>40</v>
      </c>
      <c r="KZ40" s="904">
        <f>+IFERROR(VLOOKUP(KZ$27&amp;"-"&amp;$M40&amp;"_new",Ammortamento_Finanziario!$H:$L,5,FALSE),VLOOKUP($M40,TT_Tabelle_Riferimento!$D$127:$H$164,5,FALSE))</f>
        <v>40</v>
      </c>
      <c r="LA40" s="904">
        <f>+IFERROR(VLOOKUP(LA$27&amp;"-"&amp;$M40&amp;"_new",Ammortamento_Finanziario!$H:$L,5,FALSE),VLOOKUP($M40,TT_Tabelle_Riferimento!$D$127:$H$164,5,FALSE))</f>
        <v>40</v>
      </c>
      <c r="LB40" s="904">
        <f>+IFERROR(VLOOKUP(LB$27&amp;"-"&amp;$M40&amp;"_new",Ammortamento_Finanziario!$H:$L,5,FALSE),VLOOKUP($M40,TT_Tabelle_Riferimento!$D$127:$H$164,5,FALSE))</f>
        <v>40</v>
      </c>
      <c r="LC40" s="904">
        <f>+IFERROR(VLOOKUP(LC$27&amp;"-"&amp;$M40&amp;"_new",Ammortamento_Finanziario!$H:$L,5,FALSE),VLOOKUP($M40,TT_Tabelle_Riferimento!$D$127:$H$164,5,FALSE))</f>
        <v>40</v>
      </c>
      <c r="LD40" s="904">
        <f>+IFERROR(VLOOKUP(LD$27&amp;"-"&amp;$M40&amp;"_new",Ammortamento_Finanziario!$H:$L,5,FALSE),VLOOKUP($M40,TT_Tabelle_Riferimento!$D$127:$H$164,5,FALSE))</f>
        <v>40</v>
      </c>
      <c r="LE40" s="904">
        <f>+IFERROR(VLOOKUP(LE$27&amp;"-"&amp;$M40&amp;"_new",Ammortamento_Finanziario!$H:$L,5,FALSE),VLOOKUP($M40,TT_Tabelle_Riferimento!$D$127:$H$164,5,FALSE))</f>
        <v>40</v>
      </c>
      <c r="LF40" s="904">
        <f>+IFERROR(VLOOKUP(LF$27&amp;"-"&amp;$M40&amp;"_new",Ammortamento_Finanziario!$H:$L,5,FALSE),VLOOKUP($M40,TT_Tabelle_Riferimento!$D$127:$H$164,5,FALSE))</f>
        <v>40</v>
      </c>
      <c r="LG40" s="904">
        <f>+IFERROR(VLOOKUP(LG$27&amp;"-"&amp;$M40&amp;"_new",Ammortamento_Finanziario!$H:$L,5,FALSE),VLOOKUP($M40,TT_Tabelle_Riferimento!$D$127:$H$164,5,FALSE))</f>
        <v>40</v>
      </c>
      <c r="LH40" s="904">
        <f>+IFERROR(VLOOKUP(LH$27&amp;"-"&amp;$M40&amp;"_new",Ammortamento_Finanziario!$H:$L,5,FALSE),VLOOKUP($M40,TT_Tabelle_Riferimento!$D$127:$H$164,5,FALSE))</f>
        <v>40</v>
      </c>
      <c r="LI40" s="904">
        <f>+IFERROR(VLOOKUP(LI$27&amp;"-"&amp;$M40&amp;"_new",Ammortamento_Finanziario!$H:$L,5,FALSE),VLOOKUP($M40,TT_Tabelle_Riferimento!$D$127:$H$164,5,FALSE))</f>
        <v>40</v>
      </c>
      <c r="LJ40" s="904">
        <f>+IFERROR(VLOOKUP(LJ$27&amp;"-"&amp;$M40&amp;"_new",Ammortamento_Finanziario!$H:$L,5,FALSE),VLOOKUP($M40,TT_Tabelle_Riferimento!$D$127:$H$164,5,FALSE))</f>
        <v>40</v>
      </c>
      <c r="LK40" s="904">
        <f>+IFERROR(VLOOKUP(LK$27&amp;"-"&amp;$M40&amp;"_new",Ammortamento_Finanziario!$H:$L,5,FALSE),VLOOKUP($M40,TT_Tabelle_Riferimento!$D$127:$H$164,5,FALSE))</f>
        <v>40</v>
      </c>
      <c r="LL40" s="904">
        <f>+IFERROR(VLOOKUP(LL$27&amp;"-"&amp;$M40&amp;"_new",Ammortamento_Finanziario!$H:$L,5,FALSE),VLOOKUP($M40,TT_Tabelle_Riferimento!$D$127:$H$164,5,FALSE))</f>
        <v>40</v>
      </c>
      <c r="LM40" s="904">
        <f>+IFERROR(VLOOKUP(LM$27&amp;"-"&amp;$M40&amp;"_new",Ammortamento_Finanziario!$H:$L,5,FALSE),VLOOKUP($M40,TT_Tabelle_Riferimento!$D$127:$H$164,5,FALSE))</f>
        <v>40</v>
      </c>
      <c r="LN40" s="904">
        <f>+IFERROR(VLOOKUP(LN$27&amp;"-"&amp;$M40&amp;"_new",Ammortamento_Finanziario!$H:$L,5,FALSE),VLOOKUP($M40,TT_Tabelle_Riferimento!$D$127:$H$164,5,FALSE))</f>
        <v>40</v>
      </c>
      <c r="LO40" s="904">
        <f>+IFERROR(VLOOKUP(LO$27&amp;"-"&amp;$M40&amp;"_new",Ammortamento_Finanziario!$H:$L,5,FALSE),VLOOKUP($M40,TT_Tabelle_Riferimento!$D$127:$H$164,5,FALSE))</f>
        <v>40</v>
      </c>
      <c r="LP40" s="904">
        <f>+IFERROR(VLOOKUP(LP$27&amp;"-"&amp;$M40&amp;"_new",Ammortamento_Finanziario!$H:$L,5,FALSE),VLOOKUP($M40,TT_Tabelle_Riferimento!$D$127:$H$164,5,FALSE))</f>
        <v>40</v>
      </c>
      <c r="LQ40" s="904">
        <f>+IFERROR(VLOOKUP(LQ$27&amp;"-"&amp;$M40&amp;"_new",Ammortamento_Finanziario!$H:$L,5,FALSE),VLOOKUP($M40,TT_Tabelle_Riferimento!$D$127:$H$164,5,FALSE))</f>
        <v>40</v>
      </c>
      <c r="LR40" s="904">
        <f>+IFERROR(VLOOKUP(LR$27&amp;"-"&amp;$M40&amp;"_new",Ammortamento_Finanziario!$H:$L,5,FALSE),VLOOKUP($M40,TT_Tabelle_Riferimento!$D$127:$H$164,5,FALSE))</f>
        <v>40</v>
      </c>
      <c r="LS40" s="1762">
        <f>+IFERROR(VLOOKUP(LS$27&amp;"-"&amp;$M40&amp;"_new",Ammortamento_Finanziario!$H:$L,5,FALSE),VLOOKUP($M40,TT_Tabelle_Riferimento!$D$127:$H$164,5,FALSE))</f>
        <v>40</v>
      </c>
      <c r="LT40" s="1762">
        <f>+IFERROR(VLOOKUP(LT$27&amp;"-"&amp;$M40&amp;"_new",Ammortamento_Finanziario!$H:$L,5,FALSE),VLOOKUP($M40,TT_Tabelle_Riferimento!$D$127:$H$164,5,FALSE))</f>
        <v>40</v>
      </c>
      <c r="LU40" s="1762">
        <f>+IFERROR(VLOOKUP(LU$27&amp;"-"&amp;$M40&amp;"_new",Ammortamento_Finanziario!$H:$L,5,FALSE),VLOOKUP($M40,TT_Tabelle_Riferimento!$D$127:$H$164,5,FALSE))</f>
        <v>40</v>
      </c>
      <c r="LV40" s="1762">
        <f>+IFERROR(VLOOKUP(LV$27&amp;"-"&amp;$M40&amp;"_new",Ammortamento_Finanziario!$H:$L,5,FALSE),VLOOKUP($M40,TT_Tabelle_Riferimento!$D$127:$H$164,5,FALSE))</f>
        <v>40</v>
      </c>
      <c r="LW40" s="1762">
        <f>+IFERROR(VLOOKUP(LW$27&amp;"-"&amp;$M40&amp;"_new",Ammortamento_Finanziario!$H:$L,5,FALSE),VLOOKUP($M40,TT_Tabelle_Riferimento!$D$127:$H$164,5,FALSE))</f>
        <v>40</v>
      </c>
      <c r="LX40" s="1762">
        <f>+IFERROR(VLOOKUP(LX$27&amp;"-"&amp;$M40&amp;"_new",Ammortamento_Finanziario!$H:$L,5,FALSE),VLOOKUP($M40,TT_Tabelle_Riferimento!$D$127:$H$164,5,FALSE))</f>
        <v>40</v>
      </c>
      <c r="LY40" s="904">
        <f>+IFERROR(VLOOKUP(LY$27&amp;"-"&amp;$M40&amp;"_new",Ammortamento_Finanziario!$H:$L,5,FALSE),VLOOKUP($M40,TT_Tabelle_Riferimento!$D$127:$H$164,5,FALSE))</f>
        <v>40</v>
      </c>
      <c r="LZ40" s="904">
        <f>+IFERROR(VLOOKUP(LZ$27&amp;"-"&amp;$M40&amp;"_new",Ammortamento_Finanziario!$H:$L,5,FALSE),VLOOKUP($M40,TT_Tabelle_Riferimento!$D$127:$H$164,5,FALSE))</f>
        <v>40</v>
      </c>
      <c r="MA40" s="904">
        <f>+IFERROR(VLOOKUP(MA$27&amp;"-"&amp;$M40&amp;"_new",Ammortamento_Finanziario!$H:$L,5,FALSE),VLOOKUP($M40,TT_Tabelle_Riferimento!$D$127:$H$164,5,FALSE))</f>
        <v>40</v>
      </c>
      <c r="MB40" s="904">
        <f>+IFERROR(VLOOKUP(MB$27&amp;"-"&amp;$M40&amp;"_new",Ammortamento_Finanziario!$H:$L,5,FALSE),VLOOKUP($M40,TT_Tabelle_Riferimento!$D$127:$H$164,5,FALSE))</f>
        <v>40</v>
      </c>
      <c r="MC40" s="904">
        <f>+IFERROR(VLOOKUP(MC$27&amp;"-"&amp;$M40&amp;"_new",Ammortamento_Finanziario!$H:$L,5,FALSE),VLOOKUP($M40,TT_Tabelle_Riferimento!$D$127:$H$164,5,FALSE))</f>
        <v>40</v>
      </c>
      <c r="MD40" s="904">
        <f>+IFERROR(VLOOKUP(MD$27&amp;"-"&amp;$M40&amp;"_new",Ammortamento_Finanziario!$H:$L,5,FALSE),VLOOKUP($M40,TT_Tabelle_Riferimento!$D$127:$H$164,5,FALSE))</f>
        <v>40</v>
      </c>
      <c r="ME40" s="904">
        <f>+IFERROR(VLOOKUP(ME$27&amp;"-"&amp;$M40&amp;"_new",Ammortamento_Finanziario!$H:$L,5,FALSE),VLOOKUP($M40,TT_Tabelle_Riferimento!$D$127:$H$164,5,FALSE))</f>
        <v>40</v>
      </c>
      <c r="MF40" s="904">
        <f>+IFERROR(VLOOKUP(MF$27&amp;"-"&amp;$M40&amp;"_new",Ammortamento_Finanziario!$H:$L,5,FALSE),VLOOKUP($M40,TT_Tabelle_Riferimento!$D$127:$H$164,5,FALSE))</f>
        <v>40</v>
      </c>
      <c r="MG40" s="904">
        <f>+IFERROR(VLOOKUP(MG$27&amp;"-"&amp;$M40&amp;"_new",Ammortamento_Finanziario!$H:$L,5,FALSE),VLOOKUP($M40,TT_Tabelle_Riferimento!$D$127:$H$164,5,FALSE))</f>
        <v>40</v>
      </c>
      <c r="MH40" s="904">
        <f>+IFERROR(VLOOKUP(MH$27&amp;"-"&amp;$M40&amp;"_new",Ammortamento_Finanziario!$H:$L,5,FALSE),VLOOKUP($M40,TT_Tabelle_Riferimento!$D$127:$H$164,5,FALSE))</f>
        <v>40</v>
      </c>
      <c r="MI40" s="904">
        <f>+IFERROR(VLOOKUP(MI$27&amp;"-"&amp;$M40&amp;"_new",Ammortamento_Finanziario!$H:$L,5,FALSE),VLOOKUP($M40,TT_Tabelle_Riferimento!$D$127:$H$164,5,FALSE))</f>
        <v>40</v>
      </c>
      <c r="MJ40" s="904">
        <f>+IFERROR(VLOOKUP(MJ$27&amp;"-"&amp;$M40&amp;"_new",Ammortamento_Finanziario!$H:$L,5,FALSE),VLOOKUP($M40,TT_Tabelle_Riferimento!$D$127:$H$164,5,FALSE))</f>
        <v>40</v>
      </c>
      <c r="MK40" s="904">
        <f>+IFERROR(VLOOKUP(MK$27&amp;"-"&amp;$M40&amp;"_new",Ammortamento_Finanziario!$H:$L,5,FALSE),VLOOKUP($M40,TT_Tabelle_Riferimento!$D$127:$H$164,5,FALSE))</f>
        <v>40</v>
      </c>
      <c r="ML40" s="904">
        <f>+IFERROR(VLOOKUP(ML$27&amp;"-"&amp;$M40&amp;"_new",Ammortamento_Finanziario!$H:$L,5,FALSE),VLOOKUP($M40,TT_Tabelle_Riferimento!$D$127:$H$164,5,FALSE))</f>
        <v>40</v>
      </c>
      <c r="MM40" s="904">
        <f>+IFERROR(VLOOKUP(MM$27&amp;"-"&amp;$M40&amp;"_new",Ammortamento_Finanziario!$H:$L,5,FALSE),VLOOKUP($M40,TT_Tabelle_Riferimento!$D$127:$H$164,5,FALSE))</f>
        <v>40</v>
      </c>
      <c r="MN40" s="904">
        <f>+IFERROR(VLOOKUP(MN$27&amp;"-"&amp;$M40&amp;"_new",Ammortamento_Finanziario!$H:$L,5,FALSE),VLOOKUP($M40,TT_Tabelle_Riferimento!$D$127:$H$164,5,FALSE))</f>
        <v>40</v>
      </c>
      <c r="MO40" s="904">
        <f>+IFERROR(VLOOKUP(MO$27&amp;"-"&amp;$M40&amp;"_new",Ammortamento_Finanziario!$H:$L,5,FALSE),VLOOKUP($M40,TT_Tabelle_Riferimento!$D$127:$H$164,5,FALSE))</f>
        <v>40</v>
      </c>
      <c r="MP40" s="904">
        <f>+IFERROR(VLOOKUP(MP$27&amp;"-"&amp;$M40&amp;"_new",Ammortamento_Finanziario!$H:$L,5,FALSE),VLOOKUP($M40,TT_Tabelle_Riferimento!$D$127:$H$164,5,FALSE))</f>
        <v>40</v>
      </c>
      <c r="MQ40" s="904">
        <f>+IFERROR(VLOOKUP(MQ$27&amp;"-"&amp;$M40&amp;"_new",Ammortamento_Finanziario!$H:$L,5,FALSE),VLOOKUP($M40,TT_Tabelle_Riferimento!$D$127:$H$164,5,FALSE))</f>
        <v>40</v>
      </c>
      <c r="MR40" s="1762">
        <f>+IFERROR(VLOOKUP(MR$27&amp;"-"&amp;$M40&amp;"_new",Ammortamento_Finanziario!$H:$L,5,FALSE),VLOOKUP($M40,TT_Tabelle_Riferimento!$D$127:$H$164,5,FALSE))</f>
        <v>40</v>
      </c>
      <c r="MS40" s="1762">
        <f>+IFERROR(VLOOKUP(MS$27&amp;"-"&amp;$M40&amp;"_new",Ammortamento_Finanziario!$H:$L,5,FALSE),VLOOKUP($M40,TT_Tabelle_Riferimento!$D$127:$H$164,5,FALSE))</f>
        <v>40</v>
      </c>
      <c r="MT40" s="1762">
        <f>+IFERROR(VLOOKUP(MT$27&amp;"-"&amp;$M40&amp;"_new",Ammortamento_Finanziario!$H:$L,5,FALSE),VLOOKUP($M40,TT_Tabelle_Riferimento!$D$127:$H$164,5,FALSE))</f>
        <v>40</v>
      </c>
      <c r="MU40" s="1762">
        <f>+IFERROR(VLOOKUP(MU$27&amp;"-"&amp;$M40&amp;"_new",Ammortamento_Finanziario!$H:$L,5,FALSE),VLOOKUP($M40,TT_Tabelle_Riferimento!$D$127:$H$164,5,FALSE))</f>
        <v>40</v>
      </c>
      <c r="MV40" s="1762">
        <f>+IFERROR(VLOOKUP(MV$27&amp;"-"&amp;$M40&amp;"_new",Ammortamento_Finanziario!$H:$L,5,FALSE),VLOOKUP($M40,TT_Tabelle_Riferimento!$D$127:$H$164,5,FALSE))</f>
        <v>40</v>
      </c>
      <c r="MW40" s="1762">
        <f>+IFERROR(VLOOKUP(MW$27&amp;"-"&amp;$M40&amp;"_new",Ammortamento_Finanziario!$H:$L,5,FALSE),VLOOKUP($M40,TT_Tabelle_Riferimento!$D$127:$H$164,5,FALSE))</f>
        <v>40</v>
      </c>
      <c r="MX40" s="904">
        <f>+IFERROR(VLOOKUP(MX$27&amp;"-"&amp;$M40&amp;"_new",Ammortamento_Finanziario!$H:$L,5,FALSE),VLOOKUP($M40,TT_Tabelle_Riferimento!$D$127:$H$164,5,FALSE))</f>
        <v>40</v>
      </c>
      <c r="MY40" s="904">
        <f>+IFERROR(VLOOKUP(MY$27&amp;"-"&amp;$M40&amp;"_new",Ammortamento_Finanziario!$H:$L,5,FALSE),VLOOKUP($M40,TT_Tabelle_Riferimento!$D$127:$H$164,5,FALSE))</f>
        <v>40</v>
      </c>
      <c r="MZ40" s="904">
        <f>+IFERROR(VLOOKUP(MZ$27&amp;"-"&amp;$M40&amp;"_new",Ammortamento_Finanziario!$H:$L,5,FALSE),VLOOKUP($M40,TT_Tabelle_Riferimento!$D$127:$H$164,5,FALSE))</f>
        <v>40</v>
      </c>
      <c r="NA40" s="904">
        <f>+IFERROR(VLOOKUP(NA$27&amp;"-"&amp;$M40&amp;"_new",Ammortamento_Finanziario!$H:$L,5,FALSE),VLOOKUP($M40,TT_Tabelle_Riferimento!$D$127:$H$164,5,FALSE))</f>
        <v>40</v>
      </c>
      <c r="NB40" s="904">
        <f>+IFERROR(VLOOKUP(NB$27&amp;"-"&amp;$M40&amp;"_new",Ammortamento_Finanziario!$H:$L,5,FALSE),VLOOKUP($M40,TT_Tabelle_Riferimento!$D$127:$H$164,5,FALSE))</f>
        <v>40</v>
      </c>
      <c r="NC40" s="904">
        <f>+IFERROR(VLOOKUP(NC$27&amp;"-"&amp;$M40&amp;"_new",Ammortamento_Finanziario!$H:$L,5,FALSE),VLOOKUP($M40,TT_Tabelle_Riferimento!$D$127:$H$164,5,FALSE))</f>
        <v>40</v>
      </c>
      <c r="ND40" s="904">
        <f>+IFERROR(VLOOKUP(ND$27&amp;"-"&amp;$M40&amp;"_new",Ammortamento_Finanziario!$H:$L,5,FALSE),VLOOKUP($M40,TT_Tabelle_Riferimento!$D$127:$H$164,5,FALSE))</f>
        <v>40</v>
      </c>
      <c r="NE40" s="904">
        <f>+IFERROR(VLOOKUP(NE$27&amp;"-"&amp;$M40&amp;"_new",Ammortamento_Finanziario!$H:$L,5,FALSE),VLOOKUP($M40,TT_Tabelle_Riferimento!$D$127:$H$164,5,FALSE))</f>
        <v>40</v>
      </c>
      <c r="NF40" s="904">
        <f>+IFERROR(VLOOKUP(NF$27&amp;"-"&amp;$M40&amp;"_new",Ammortamento_Finanziario!$H:$L,5,FALSE),VLOOKUP($M40,TT_Tabelle_Riferimento!$D$127:$H$164,5,FALSE))</f>
        <v>40</v>
      </c>
      <c r="NG40" s="904">
        <f>+IFERROR(VLOOKUP(NG$27&amp;"-"&amp;$M40&amp;"_new",Ammortamento_Finanziario!$H:$L,5,FALSE),VLOOKUP($M40,TT_Tabelle_Riferimento!$D$127:$H$164,5,FALSE))</f>
        <v>40</v>
      </c>
      <c r="NH40" s="904">
        <f>+IFERROR(VLOOKUP(NH$27&amp;"-"&amp;$M40&amp;"_new",Ammortamento_Finanziario!$H:$L,5,FALSE),VLOOKUP($M40,TT_Tabelle_Riferimento!$D$127:$H$164,5,FALSE))</f>
        <v>40</v>
      </c>
      <c r="NI40" s="904">
        <f>+IFERROR(VLOOKUP(NI$27&amp;"-"&amp;$M40&amp;"_new",Ammortamento_Finanziario!$H:$L,5,FALSE),VLOOKUP($M40,TT_Tabelle_Riferimento!$D$127:$H$164,5,FALSE))</f>
        <v>40</v>
      </c>
      <c r="NJ40" s="904">
        <f>+IFERROR(VLOOKUP(NJ$27&amp;"-"&amp;$M40&amp;"_new",Ammortamento_Finanziario!$H:$L,5,FALSE),VLOOKUP($M40,TT_Tabelle_Riferimento!$D$127:$H$164,5,FALSE))</f>
        <v>40</v>
      </c>
      <c r="NK40" s="904">
        <f>+IFERROR(VLOOKUP(NK$27&amp;"-"&amp;$M40&amp;"_new",Ammortamento_Finanziario!$H:$L,5,FALSE),VLOOKUP($M40,TT_Tabelle_Riferimento!$D$127:$H$164,5,FALSE))</f>
        <v>40</v>
      </c>
      <c r="NL40" s="904">
        <f>+IFERROR(VLOOKUP(NL$27&amp;"-"&amp;$M40&amp;"_new",Ammortamento_Finanziario!$H:$L,5,FALSE),VLOOKUP($M40,TT_Tabelle_Riferimento!$D$127:$H$164,5,FALSE))</f>
        <v>40</v>
      </c>
      <c r="NM40" s="904">
        <f>+IFERROR(VLOOKUP(NM$27&amp;"-"&amp;$M40&amp;"_new",Ammortamento_Finanziario!$H:$L,5,FALSE),VLOOKUP($M40,TT_Tabelle_Riferimento!$D$127:$H$164,5,FALSE))</f>
        <v>40</v>
      </c>
      <c r="NN40" s="904">
        <f>+IFERROR(VLOOKUP(NN$27&amp;"-"&amp;$M40&amp;"_new",Ammortamento_Finanziario!$H:$L,5,FALSE),VLOOKUP($M40,TT_Tabelle_Riferimento!$D$127:$H$164,5,FALSE))</f>
        <v>40</v>
      </c>
      <c r="NO40" s="904">
        <f>+IFERROR(VLOOKUP(NO$27&amp;"-"&amp;$M40&amp;"_new",Ammortamento_Finanziario!$H:$L,5,FALSE),VLOOKUP($M40,TT_Tabelle_Riferimento!$D$127:$H$164,5,FALSE))</f>
        <v>40</v>
      </c>
      <c r="NP40" s="904">
        <f>+IFERROR(VLOOKUP(NP$27&amp;"-"&amp;$M40&amp;"_new",Ammortamento_Finanziario!$H:$L,5,FALSE),VLOOKUP($M40,TT_Tabelle_Riferimento!$D$127:$H$164,5,FALSE))</f>
        <v>40</v>
      </c>
      <c r="NQ40" s="1762">
        <f>+IFERROR(VLOOKUP(NQ$27&amp;"-"&amp;$M40&amp;"_new",Ammortamento_Finanziario!$H:$L,5,FALSE),VLOOKUP($M40,TT_Tabelle_Riferimento!$D$127:$H$164,5,FALSE))</f>
        <v>40</v>
      </c>
      <c r="NR40" s="1762">
        <f>+IFERROR(VLOOKUP(NR$27&amp;"-"&amp;$M40&amp;"_new",Ammortamento_Finanziario!$H:$L,5,FALSE),VLOOKUP($M40,TT_Tabelle_Riferimento!$D$127:$H$164,5,FALSE))</f>
        <v>40</v>
      </c>
      <c r="NS40" s="1762">
        <f>+IFERROR(VLOOKUP(NS$27&amp;"-"&amp;$M40&amp;"_new",Ammortamento_Finanziario!$H:$L,5,FALSE),VLOOKUP($M40,TT_Tabelle_Riferimento!$D$127:$H$164,5,FALSE))</f>
        <v>40</v>
      </c>
      <c r="NT40" s="1762">
        <f>+IFERROR(VLOOKUP(NT$27&amp;"-"&amp;$M40&amp;"_new",Ammortamento_Finanziario!$H:$L,5,FALSE),VLOOKUP($M40,TT_Tabelle_Riferimento!$D$127:$H$164,5,FALSE))</f>
        <v>40</v>
      </c>
      <c r="NU40" s="1762">
        <f>+IFERROR(VLOOKUP(NU$27&amp;"-"&amp;$M40&amp;"_new",Ammortamento_Finanziario!$H:$L,5,FALSE),VLOOKUP($M40,TT_Tabelle_Riferimento!$D$127:$H$164,5,FALSE))</f>
        <v>40</v>
      </c>
      <c r="NV40" s="904">
        <f>+IFERROR(VLOOKUP(NV$27&amp;"-"&amp;$M40&amp;"_new",Ammortamento_Finanziario!$H:$L,5,FALSE),VLOOKUP($M40,TT_Tabelle_Riferimento!$D$127:$H$164,5,FALSE))</f>
        <v>40</v>
      </c>
      <c r="NW40" s="904">
        <f>+IFERROR(VLOOKUP(NW$27&amp;"-"&amp;$M40&amp;"_new",Ammortamento_Finanziario!$H:$L,5,FALSE),VLOOKUP($M40,TT_Tabelle_Riferimento!$D$127:$H$164,5,FALSE))</f>
        <v>40</v>
      </c>
      <c r="NX40" s="904">
        <f>+IFERROR(VLOOKUP(NX$27&amp;"-"&amp;$M40&amp;"_new",Ammortamento_Finanziario!$H:$L,5,FALSE),VLOOKUP($M40,TT_Tabelle_Riferimento!$D$127:$H$164,5,FALSE))</f>
        <v>40</v>
      </c>
      <c r="NY40" s="904">
        <f>+IFERROR(VLOOKUP(NY$27&amp;"-"&amp;$M40&amp;"_new",Ammortamento_Finanziario!$H:$L,5,FALSE),VLOOKUP($M40,TT_Tabelle_Riferimento!$D$127:$H$164,5,FALSE))</f>
        <v>40</v>
      </c>
      <c r="NZ40" s="904">
        <f>+IFERROR(VLOOKUP(NZ$27&amp;"-"&amp;$M40&amp;"_new",Ammortamento_Finanziario!$H:$L,5,FALSE),VLOOKUP($M40,TT_Tabelle_Riferimento!$D$127:$H$164,5,FALSE))</f>
        <v>40</v>
      </c>
      <c r="OA40" s="904">
        <f>+IFERROR(VLOOKUP(OA$27&amp;"-"&amp;$M40&amp;"_new",Ammortamento_Finanziario!$H:$L,5,FALSE),VLOOKUP($M40,TT_Tabelle_Riferimento!$D$127:$H$164,5,FALSE))</f>
        <v>40</v>
      </c>
      <c r="OB40" s="904">
        <f>+IFERROR(VLOOKUP(OB$27&amp;"-"&amp;$M40&amp;"_new",Ammortamento_Finanziario!$H:$L,5,FALSE),VLOOKUP($M40,TT_Tabelle_Riferimento!$D$127:$H$164,5,FALSE))</f>
        <v>40</v>
      </c>
      <c r="OC40" s="904">
        <f>+IFERROR(VLOOKUP(OC$27&amp;"-"&amp;$M40&amp;"_new",Ammortamento_Finanziario!$H:$L,5,FALSE),VLOOKUP($M40,TT_Tabelle_Riferimento!$D$127:$H$164,5,FALSE))</f>
        <v>40</v>
      </c>
      <c r="OD40" s="904">
        <f>+IFERROR(VLOOKUP(OD$27&amp;"-"&amp;$M40&amp;"_new",Ammortamento_Finanziario!$H:$L,5,FALSE),VLOOKUP($M40,TT_Tabelle_Riferimento!$D$127:$H$164,5,FALSE))</f>
        <v>40</v>
      </c>
      <c r="OE40" s="904">
        <f>+IFERROR(VLOOKUP(OE$27&amp;"-"&amp;$M40&amp;"_new",Ammortamento_Finanziario!$H:$L,5,FALSE),VLOOKUP($M40,TT_Tabelle_Riferimento!$D$127:$H$164,5,FALSE))</f>
        <v>40</v>
      </c>
      <c r="OF40" s="904">
        <f>+IFERROR(VLOOKUP(OF$27&amp;"-"&amp;$M40&amp;"_new",Ammortamento_Finanziario!$H:$L,5,FALSE),VLOOKUP($M40,TT_Tabelle_Riferimento!$D$127:$H$164,5,FALSE))</f>
        <v>40</v>
      </c>
      <c r="OG40" s="904">
        <f>+IFERROR(VLOOKUP(OG$27&amp;"-"&amp;$M40&amp;"_new",Ammortamento_Finanziario!$H:$L,5,FALSE),VLOOKUP($M40,TT_Tabelle_Riferimento!$D$127:$H$164,5,FALSE))</f>
        <v>40</v>
      </c>
      <c r="OH40" s="904">
        <f>+IFERROR(VLOOKUP(OH$27&amp;"-"&amp;$M40&amp;"_new",Ammortamento_Finanziario!$H:$L,5,FALSE),VLOOKUP($M40,TT_Tabelle_Riferimento!$D$127:$H$164,5,FALSE))</f>
        <v>40</v>
      </c>
      <c r="OI40" s="904">
        <f>+IFERROR(VLOOKUP(OI$27&amp;"-"&amp;$M40&amp;"_new",Ammortamento_Finanziario!$H:$L,5,FALSE),VLOOKUP($M40,TT_Tabelle_Riferimento!$D$127:$H$164,5,FALSE))</f>
        <v>40</v>
      </c>
      <c r="OJ40" s="904">
        <f>+IFERROR(VLOOKUP(OJ$27&amp;"-"&amp;$M40&amp;"_new",Ammortamento_Finanziario!$H:$L,5,FALSE),VLOOKUP($M40,TT_Tabelle_Riferimento!$D$127:$H$164,5,FALSE))</f>
        <v>40</v>
      </c>
      <c r="OK40" s="904">
        <f>+IFERROR(VLOOKUP(OK$27&amp;"-"&amp;$M40&amp;"_new",Ammortamento_Finanziario!$H:$L,5,FALSE),VLOOKUP($M40,TT_Tabelle_Riferimento!$D$127:$H$164,5,FALSE))</f>
        <v>40</v>
      </c>
      <c r="OL40" s="904">
        <f>+IFERROR(VLOOKUP(OL$27&amp;"-"&amp;$M40&amp;"_new",Ammortamento_Finanziario!$H:$L,5,FALSE),VLOOKUP($M40,TT_Tabelle_Riferimento!$D$127:$H$164,5,FALSE))</f>
        <v>40</v>
      </c>
      <c r="OM40" s="904">
        <f>+IFERROR(VLOOKUP(OM$27&amp;"-"&amp;$M40&amp;"_new",Ammortamento_Finanziario!$H:$L,5,FALSE),VLOOKUP($M40,TT_Tabelle_Riferimento!$D$127:$H$164,5,FALSE))</f>
        <v>40</v>
      </c>
      <c r="ON40" s="904">
        <f>+IFERROR(VLOOKUP(ON$27&amp;"-"&amp;$M40&amp;"_new",Ammortamento_Finanziario!$H:$L,5,FALSE),VLOOKUP($M40,TT_Tabelle_Riferimento!$D$127:$H$164,5,FALSE))</f>
        <v>40</v>
      </c>
      <c r="OO40" s="1762">
        <f>+IFERROR(VLOOKUP(OO$27&amp;"-"&amp;$M40&amp;"_new",Ammortamento_Finanziario!$H:$L,5,FALSE),VLOOKUP($M40,TT_Tabelle_Riferimento!$D$127:$H$164,5,FALSE))</f>
        <v>40</v>
      </c>
      <c r="OP40" s="1762">
        <f>+IFERROR(VLOOKUP(OP$27&amp;"-"&amp;$M40&amp;"_new",Ammortamento_Finanziario!$H:$L,5,FALSE),VLOOKUP($M40,TT_Tabelle_Riferimento!$D$127:$H$164,5,FALSE))</f>
        <v>40</v>
      </c>
      <c r="OQ40" s="1762">
        <f>+IFERROR(VLOOKUP(OQ$27&amp;"-"&amp;$M40&amp;"_new",Ammortamento_Finanziario!$H:$L,5,FALSE),VLOOKUP($M40,TT_Tabelle_Riferimento!$D$127:$H$164,5,FALSE))</f>
        <v>40</v>
      </c>
      <c r="OR40" s="1762">
        <f>+IFERROR(VLOOKUP(OR$27&amp;"-"&amp;$M40&amp;"_new",Ammortamento_Finanziario!$H:$L,5,FALSE),VLOOKUP($M40,TT_Tabelle_Riferimento!$D$127:$H$164,5,FALSE))</f>
        <v>40</v>
      </c>
      <c r="OS40" s="904">
        <f>+IFERROR(VLOOKUP(OS$27&amp;"-"&amp;$M40&amp;"_new",Ammortamento_Finanziario!$H:$L,5,FALSE),VLOOKUP($M40,TT_Tabelle_Riferimento!$D$127:$H$164,5,FALSE))</f>
        <v>40</v>
      </c>
      <c r="OT40" s="904">
        <f>+IFERROR(VLOOKUP(OT$27&amp;"-"&amp;$M40&amp;"_new",Ammortamento_Finanziario!$H:$L,5,FALSE),VLOOKUP($M40,TT_Tabelle_Riferimento!$D$127:$H$164,5,FALSE))</f>
        <v>40</v>
      </c>
      <c r="OU40" s="904">
        <f>+IFERROR(VLOOKUP(OU$27&amp;"-"&amp;$M40&amp;"_new",Ammortamento_Finanziario!$H:$L,5,FALSE),VLOOKUP($M40,TT_Tabelle_Riferimento!$D$127:$H$164,5,FALSE))</f>
        <v>40</v>
      </c>
      <c r="OV40" s="904">
        <f>+IFERROR(VLOOKUP(OV$27&amp;"-"&amp;$M40&amp;"_new",Ammortamento_Finanziario!$H:$L,5,FALSE),VLOOKUP($M40,TT_Tabelle_Riferimento!$D$127:$H$164,5,FALSE))</f>
        <v>40</v>
      </c>
      <c r="OW40" s="904">
        <f>+IFERROR(VLOOKUP(OW$27&amp;"-"&amp;$M40&amp;"_new",Ammortamento_Finanziario!$H:$L,5,FALSE),VLOOKUP($M40,TT_Tabelle_Riferimento!$D$127:$H$164,5,FALSE))</f>
        <v>40</v>
      </c>
      <c r="OX40" s="904">
        <f>+IFERROR(VLOOKUP(OX$27&amp;"-"&amp;$M40&amp;"_new",Ammortamento_Finanziario!$H:$L,5,FALSE),VLOOKUP($M40,TT_Tabelle_Riferimento!$D$127:$H$164,5,FALSE))</f>
        <v>40</v>
      </c>
      <c r="OY40" s="904">
        <f>+IFERROR(VLOOKUP(OY$27&amp;"-"&amp;$M40&amp;"_new",Ammortamento_Finanziario!$H:$L,5,FALSE),VLOOKUP($M40,TT_Tabelle_Riferimento!$D$127:$H$164,5,FALSE))</f>
        <v>40</v>
      </c>
      <c r="OZ40" s="904">
        <f>+IFERROR(VLOOKUP(OZ$27&amp;"-"&amp;$M40&amp;"_new",Ammortamento_Finanziario!$H:$L,5,FALSE),VLOOKUP($M40,TT_Tabelle_Riferimento!$D$127:$H$164,5,FALSE))</f>
        <v>40</v>
      </c>
      <c r="PA40" s="904">
        <f>+IFERROR(VLOOKUP(PA$27&amp;"-"&amp;$M40&amp;"_new",Ammortamento_Finanziario!$H:$L,5,FALSE),VLOOKUP($M40,TT_Tabelle_Riferimento!$D$127:$H$164,5,FALSE))</f>
        <v>40</v>
      </c>
      <c r="PB40" s="904">
        <f>+IFERROR(VLOOKUP(PB$27&amp;"-"&amp;$M40&amp;"_new",Ammortamento_Finanziario!$H:$L,5,FALSE),VLOOKUP($M40,TT_Tabelle_Riferimento!$D$127:$H$164,5,FALSE))</f>
        <v>40</v>
      </c>
      <c r="PC40" s="904">
        <f>+IFERROR(VLOOKUP(PC$27&amp;"-"&amp;$M40&amp;"_new",Ammortamento_Finanziario!$H:$L,5,FALSE),VLOOKUP($M40,TT_Tabelle_Riferimento!$D$127:$H$164,5,FALSE))</f>
        <v>40</v>
      </c>
      <c r="PD40" s="904">
        <f>+IFERROR(VLOOKUP(PD$27&amp;"-"&amp;$M40&amp;"_new",Ammortamento_Finanziario!$H:$L,5,FALSE),VLOOKUP($M40,TT_Tabelle_Riferimento!$D$127:$H$164,5,FALSE))</f>
        <v>40</v>
      </c>
      <c r="PE40" s="904">
        <f>+IFERROR(VLOOKUP(PE$27&amp;"-"&amp;$M40&amp;"_new",Ammortamento_Finanziario!$H:$L,5,FALSE),VLOOKUP($M40,TT_Tabelle_Riferimento!$D$127:$H$164,5,FALSE))</f>
        <v>40</v>
      </c>
      <c r="PF40" s="904">
        <f>+IFERROR(VLOOKUP(PF$27&amp;"-"&amp;$M40&amp;"_new",Ammortamento_Finanziario!$H:$L,5,FALSE),VLOOKUP($M40,TT_Tabelle_Riferimento!$D$127:$H$164,5,FALSE))</f>
        <v>40</v>
      </c>
      <c r="PG40" s="904">
        <f>+IFERROR(VLOOKUP(PG$27&amp;"-"&amp;$M40&amp;"_new",Ammortamento_Finanziario!$H:$L,5,FALSE),VLOOKUP($M40,TT_Tabelle_Riferimento!$D$127:$H$164,5,FALSE))</f>
        <v>40</v>
      </c>
      <c r="PH40" s="904">
        <f>+IFERROR(VLOOKUP(PH$27&amp;"-"&amp;$M40&amp;"_new",Ammortamento_Finanziario!$H:$L,5,FALSE),VLOOKUP($M40,TT_Tabelle_Riferimento!$D$127:$H$164,5,FALSE))</f>
        <v>40</v>
      </c>
      <c r="PI40" s="904">
        <f>+IFERROR(VLOOKUP(PI$27&amp;"-"&amp;$M40&amp;"_new",Ammortamento_Finanziario!$H:$L,5,FALSE),VLOOKUP($M40,TT_Tabelle_Riferimento!$D$127:$H$164,5,FALSE))</f>
        <v>40</v>
      </c>
      <c r="PJ40" s="904">
        <f>+IFERROR(VLOOKUP(PJ$27&amp;"-"&amp;$M40&amp;"_new",Ammortamento_Finanziario!$H:$L,5,FALSE),VLOOKUP($M40,TT_Tabelle_Riferimento!$D$127:$H$164,5,FALSE))</f>
        <v>40</v>
      </c>
      <c r="PK40" s="904">
        <f>+IFERROR(VLOOKUP(PK$27&amp;"-"&amp;$M40&amp;"_new",Ammortamento_Finanziario!$H:$L,5,FALSE),VLOOKUP($M40,TT_Tabelle_Riferimento!$D$127:$H$164,5,FALSE))</f>
        <v>40</v>
      </c>
      <c r="PL40" s="1762">
        <f>+IFERROR(VLOOKUP(PL$27&amp;"-"&amp;$M40&amp;"_new",Ammortamento_Finanziario!$H:$L,5,FALSE),VLOOKUP($M40,TT_Tabelle_Riferimento!$D$127:$H$164,5,FALSE))</f>
        <v>40</v>
      </c>
      <c r="PM40" s="1762">
        <f>+IFERROR(VLOOKUP(PM$27&amp;"-"&amp;$M40&amp;"_new",Ammortamento_Finanziario!$H:$L,5,FALSE),VLOOKUP($M40,TT_Tabelle_Riferimento!$D$127:$H$164,5,FALSE))</f>
        <v>40</v>
      </c>
      <c r="PN40" s="1762">
        <f>+IFERROR(VLOOKUP(PN$27&amp;"-"&amp;$M40&amp;"_new",Ammortamento_Finanziario!$H:$L,5,FALSE),VLOOKUP($M40,TT_Tabelle_Riferimento!$D$127:$H$164,5,FALSE))</f>
        <v>40</v>
      </c>
      <c r="PO40" s="904">
        <f>+IFERROR(VLOOKUP(PO$27&amp;"-"&amp;$M40&amp;"_new",Ammortamento_Finanziario!$H:$L,5,FALSE),VLOOKUP($M40,TT_Tabelle_Riferimento!$D$127:$H$164,5,FALSE))</f>
        <v>40</v>
      </c>
      <c r="PP40" s="904">
        <f>+IFERROR(VLOOKUP(PP$27&amp;"-"&amp;$M40&amp;"_new",Ammortamento_Finanziario!$H:$L,5,FALSE),VLOOKUP($M40,TT_Tabelle_Riferimento!$D$127:$H$164,5,FALSE))</f>
        <v>40</v>
      </c>
      <c r="PQ40" s="904">
        <f>+IFERROR(VLOOKUP(PQ$27&amp;"-"&amp;$M40&amp;"_new",Ammortamento_Finanziario!$H:$L,5,FALSE),VLOOKUP($M40,TT_Tabelle_Riferimento!$D$127:$H$164,5,FALSE))</f>
        <v>40</v>
      </c>
      <c r="PR40" s="904">
        <f>+IFERROR(VLOOKUP(PR$27&amp;"-"&amp;$M40&amp;"_new",Ammortamento_Finanziario!$H:$L,5,FALSE),VLOOKUP($M40,TT_Tabelle_Riferimento!$D$127:$H$164,5,FALSE))</f>
        <v>40</v>
      </c>
      <c r="PS40" s="904">
        <f>+IFERROR(VLOOKUP(PS$27&amp;"-"&amp;$M40&amp;"_new",Ammortamento_Finanziario!$H:$L,5,FALSE),VLOOKUP($M40,TT_Tabelle_Riferimento!$D$127:$H$164,5,FALSE))</f>
        <v>40</v>
      </c>
      <c r="PT40" s="904">
        <f>+IFERROR(VLOOKUP(PT$27&amp;"-"&amp;$M40&amp;"_new",Ammortamento_Finanziario!$H:$L,5,FALSE),VLOOKUP($M40,TT_Tabelle_Riferimento!$D$127:$H$164,5,FALSE))</f>
        <v>40</v>
      </c>
      <c r="PU40" s="904">
        <f>+IFERROR(VLOOKUP(PU$27&amp;"-"&amp;$M40&amp;"_new",Ammortamento_Finanziario!$H:$L,5,FALSE),VLOOKUP($M40,TT_Tabelle_Riferimento!$D$127:$H$164,5,FALSE))</f>
        <v>40</v>
      </c>
      <c r="PV40" s="904">
        <f>+IFERROR(VLOOKUP(PV$27&amp;"-"&amp;$M40&amp;"_new",Ammortamento_Finanziario!$H:$L,5,FALSE),VLOOKUP($M40,TT_Tabelle_Riferimento!$D$127:$H$164,5,FALSE))</f>
        <v>40</v>
      </c>
      <c r="PW40" s="904">
        <f>+IFERROR(VLOOKUP(PW$27&amp;"-"&amp;$M40&amp;"_new",Ammortamento_Finanziario!$H:$L,5,FALSE),VLOOKUP($M40,TT_Tabelle_Riferimento!$D$127:$H$164,5,FALSE))</f>
        <v>40</v>
      </c>
      <c r="PX40" s="904">
        <f>+IFERROR(VLOOKUP(PX$27&amp;"-"&amp;$M40&amp;"_new",Ammortamento_Finanziario!$H:$L,5,FALSE),VLOOKUP($M40,TT_Tabelle_Riferimento!$D$127:$H$164,5,FALSE))</f>
        <v>40</v>
      </c>
      <c r="PY40" s="904">
        <f>+IFERROR(VLOOKUP(PY$27&amp;"-"&amp;$M40&amp;"_new",Ammortamento_Finanziario!$H:$L,5,FALSE),VLOOKUP($M40,TT_Tabelle_Riferimento!$D$127:$H$164,5,FALSE))</f>
        <v>40</v>
      </c>
      <c r="PZ40" s="904">
        <f>+IFERROR(VLOOKUP(PZ$27&amp;"-"&amp;$M40&amp;"_new",Ammortamento_Finanziario!$H:$L,5,FALSE),VLOOKUP($M40,TT_Tabelle_Riferimento!$D$127:$H$164,5,FALSE))</f>
        <v>40</v>
      </c>
      <c r="QA40" s="904">
        <f>+IFERROR(VLOOKUP(QA$27&amp;"-"&amp;$M40&amp;"_new",Ammortamento_Finanziario!$H:$L,5,FALSE),VLOOKUP($M40,TT_Tabelle_Riferimento!$D$127:$H$164,5,FALSE))</f>
        <v>40</v>
      </c>
      <c r="QB40" s="904">
        <f>+IFERROR(VLOOKUP(QB$27&amp;"-"&amp;$M40&amp;"_new",Ammortamento_Finanziario!$H:$L,5,FALSE),VLOOKUP($M40,TT_Tabelle_Riferimento!$D$127:$H$164,5,FALSE))</f>
        <v>40</v>
      </c>
      <c r="QC40" s="904">
        <f>+IFERROR(VLOOKUP(QC$27&amp;"-"&amp;$M40&amp;"_new",Ammortamento_Finanziario!$H:$L,5,FALSE),VLOOKUP($M40,TT_Tabelle_Riferimento!$D$127:$H$164,5,FALSE))</f>
        <v>40</v>
      </c>
      <c r="QD40" s="904">
        <f>+IFERROR(VLOOKUP(QD$27&amp;"-"&amp;$M40&amp;"_new",Ammortamento_Finanziario!$H:$L,5,FALSE),VLOOKUP($M40,TT_Tabelle_Riferimento!$D$127:$H$164,5,FALSE))</f>
        <v>40</v>
      </c>
      <c r="QE40" s="904">
        <f>+IFERROR(VLOOKUP(QE$27&amp;"-"&amp;$M40&amp;"_new",Ammortamento_Finanziario!$H:$L,5,FALSE),VLOOKUP($M40,TT_Tabelle_Riferimento!$D$127:$H$164,5,FALSE))</f>
        <v>40</v>
      </c>
      <c r="QF40" s="904">
        <f>+IFERROR(VLOOKUP(QF$27&amp;"-"&amp;$M40&amp;"_new",Ammortamento_Finanziario!$H:$L,5,FALSE),VLOOKUP($M40,TT_Tabelle_Riferimento!$D$127:$H$164,5,FALSE))</f>
        <v>40</v>
      </c>
      <c r="QG40" s="904">
        <f>+IFERROR(VLOOKUP(QG$27&amp;"-"&amp;$M40&amp;"_new",Ammortamento_Finanziario!$H:$L,5,FALSE),VLOOKUP($M40,TT_Tabelle_Riferimento!$D$127:$H$164,5,FALSE))</f>
        <v>40</v>
      </c>
      <c r="QH40" s="1762">
        <f>+IFERROR(VLOOKUP(QH$27&amp;"-"&amp;$M40&amp;"_new",Ammortamento_Finanziario!$H:$L,5,FALSE),VLOOKUP($M40,TT_Tabelle_Riferimento!$D$127:$H$164,5,FALSE))</f>
        <v>40</v>
      </c>
      <c r="QI40" s="1762">
        <f>+IFERROR(VLOOKUP(QI$27&amp;"-"&amp;$M40&amp;"_new",Ammortamento_Finanziario!$H:$L,5,FALSE),VLOOKUP($M40,TT_Tabelle_Riferimento!$D$127:$H$164,5,FALSE))</f>
        <v>40</v>
      </c>
      <c r="QJ40" s="904">
        <f>+IFERROR(VLOOKUP(QJ$27&amp;"-"&amp;$M40&amp;"_new",Ammortamento_Finanziario!$H:$L,5,FALSE),VLOOKUP($M40,TT_Tabelle_Riferimento!$D$127:$H$164,5,FALSE))</f>
        <v>40</v>
      </c>
      <c r="QK40" s="904">
        <f>+IFERROR(VLOOKUP(QK$27&amp;"-"&amp;$M40&amp;"_new",Ammortamento_Finanziario!$H:$L,5,FALSE),VLOOKUP($M40,TT_Tabelle_Riferimento!$D$127:$H$164,5,FALSE))</f>
        <v>40</v>
      </c>
      <c r="QL40" s="904">
        <f>+IFERROR(VLOOKUP(QL$27&amp;"-"&amp;$M40&amp;"_new",Ammortamento_Finanziario!$H:$L,5,FALSE),VLOOKUP($M40,TT_Tabelle_Riferimento!$D$127:$H$164,5,FALSE))</f>
        <v>40</v>
      </c>
      <c r="QM40" s="904">
        <f>+IFERROR(VLOOKUP(QM$27&amp;"-"&amp;$M40&amp;"_new",Ammortamento_Finanziario!$H:$L,5,FALSE),VLOOKUP($M40,TT_Tabelle_Riferimento!$D$127:$H$164,5,FALSE))</f>
        <v>40</v>
      </c>
      <c r="QN40" s="904">
        <f>+IFERROR(VLOOKUP(QN$27&amp;"-"&amp;$M40&amp;"_new",Ammortamento_Finanziario!$H:$L,5,FALSE),VLOOKUP($M40,TT_Tabelle_Riferimento!$D$127:$H$164,5,FALSE))</f>
        <v>40</v>
      </c>
      <c r="QO40" s="904">
        <f>+IFERROR(VLOOKUP(QO$27&amp;"-"&amp;$M40&amp;"_new",Ammortamento_Finanziario!$H:$L,5,FALSE),VLOOKUP($M40,TT_Tabelle_Riferimento!$D$127:$H$164,5,FALSE))</f>
        <v>40</v>
      </c>
      <c r="QP40" s="904">
        <f>+IFERROR(VLOOKUP(QP$27&amp;"-"&amp;$M40&amp;"_new",Ammortamento_Finanziario!$H:$L,5,FALSE),VLOOKUP($M40,TT_Tabelle_Riferimento!$D$127:$H$164,5,FALSE))</f>
        <v>40</v>
      </c>
      <c r="QQ40" s="904">
        <f>+IFERROR(VLOOKUP(QQ$27&amp;"-"&amp;$M40&amp;"_new",Ammortamento_Finanziario!$H:$L,5,FALSE),VLOOKUP($M40,TT_Tabelle_Riferimento!$D$127:$H$164,5,FALSE))</f>
        <v>40</v>
      </c>
      <c r="QR40" s="904">
        <f>+IFERROR(VLOOKUP(QR$27&amp;"-"&amp;$M40&amp;"_new",Ammortamento_Finanziario!$H:$L,5,FALSE),VLOOKUP($M40,TT_Tabelle_Riferimento!$D$127:$H$164,5,FALSE))</f>
        <v>40</v>
      </c>
      <c r="QS40" s="904">
        <f>+IFERROR(VLOOKUP(QS$27&amp;"-"&amp;$M40&amp;"_new",Ammortamento_Finanziario!$H:$L,5,FALSE),VLOOKUP($M40,TT_Tabelle_Riferimento!$D$127:$H$164,5,FALSE))</f>
        <v>40</v>
      </c>
      <c r="QT40" s="904">
        <f>+IFERROR(VLOOKUP(QT$27&amp;"-"&amp;$M40&amp;"_new",Ammortamento_Finanziario!$H:$L,5,FALSE),VLOOKUP($M40,TT_Tabelle_Riferimento!$D$127:$H$164,5,FALSE))</f>
        <v>40</v>
      </c>
      <c r="QU40" s="904">
        <f>+IFERROR(VLOOKUP(QU$27&amp;"-"&amp;$M40&amp;"_new",Ammortamento_Finanziario!$H:$L,5,FALSE),VLOOKUP($M40,TT_Tabelle_Riferimento!$D$127:$H$164,5,FALSE))</f>
        <v>40</v>
      </c>
      <c r="QV40" s="904">
        <f>+IFERROR(VLOOKUP(QV$27&amp;"-"&amp;$M40&amp;"_new",Ammortamento_Finanziario!$H:$L,5,FALSE),VLOOKUP($M40,TT_Tabelle_Riferimento!$D$127:$H$164,5,FALSE))</f>
        <v>40</v>
      </c>
      <c r="QW40" s="904">
        <f>+IFERROR(VLOOKUP(QW$27&amp;"-"&amp;$M40&amp;"_new",Ammortamento_Finanziario!$H:$L,5,FALSE),VLOOKUP($M40,TT_Tabelle_Riferimento!$D$127:$H$164,5,FALSE))</f>
        <v>40</v>
      </c>
      <c r="QX40" s="904">
        <f>+IFERROR(VLOOKUP(QX$27&amp;"-"&amp;$M40&amp;"_new",Ammortamento_Finanziario!$H:$L,5,FALSE),VLOOKUP($M40,TT_Tabelle_Riferimento!$D$127:$H$164,5,FALSE))</f>
        <v>40</v>
      </c>
      <c r="QY40" s="904">
        <f>+IFERROR(VLOOKUP(QY$27&amp;"-"&amp;$M40&amp;"_new",Ammortamento_Finanziario!$H:$L,5,FALSE),VLOOKUP($M40,TT_Tabelle_Riferimento!$D$127:$H$164,5,FALSE))</f>
        <v>40</v>
      </c>
      <c r="QZ40" s="904">
        <f>+IFERROR(VLOOKUP(QZ$27&amp;"-"&amp;$M40&amp;"_new",Ammortamento_Finanziario!$H:$L,5,FALSE),VLOOKUP($M40,TT_Tabelle_Riferimento!$D$127:$H$164,5,FALSE))</f>
        <v>40</v>
      </c>
      <c r="RA40" s="904">
        <f>+IFERROR(VLOOKUP(RA$27&amp;"-"&amp;$M40&amp;"_new",Ammortamento_Finanziario!$H:$L,5,FALSE),VLOOKUP($M40,TT_Tabelle_Riferimento!$D$127:$H$164,5,FALSE))</f>
        <v>40</v>
      </c>
      <c r="RB40" s="904">
        <f>+IFERROR(VLOOKUP(RB$27&amp;"-"&amp;$M40&amp;"_new",Ammortamento_Finanziario!$H:$L,5,FALSE),VLOOKUP($M40,TT_Tabelle_Riferimento!$D$127:$H$164,5,FALSE))</f>
        <v>40</v>
      </c>
      <c r="RC40" s="1762">
        <f>+IFERROR(VLOOKUP(RC$27&amp;"-"&amp;$M40&amp;"_new",Ammortamento_Finanziario!$H:$L,5,FALSE),VLOOKUP($M40,TT_Tabelle_Riferimento!$D$127:$H$164,5,FALSE))</f>
        <v>40</v>
      </c>
      <c r="RD40" s="904">
        <f>+IFERROR(VLOOKUP(RD$27&amp;"-"&amp;$M40&amp;"_new",Ammortamento_Finanziario!$H:$L,5,FALSE),VLOOKUP($M40,TT_Tabelle_Riferimento!$D$127:$H$164,5,FALSE))</f>
        <v>40</v>
      </c>
      <c r="RE40" s="904">
        <f>+IFERROR(VLOOKUP(RE$27&amp;"-"&amp;$M40&amp;"_new",Ammortamento_Finanziario!$H:$L,5,FALSE),VLOOKUP($M40,TT_Tabelle_Riferimento!$D$127:$H$164,5,FALSE))</f>
        <v>40</v>
      </c>
      <c r="RF40" s="904">
        <f>+IFERROR(VLOOKUP(RF$27&amp;"-"&amp;$M40&amp;"_new",Ammortamento_Finanziario!$H:$L,5,FALSE),VLOOKUP($M40,TT_Tabelle_Riferimento!$D$127:$H$164,5,FALSE))</f>
        <v>40</v>
      </c>
      <c r="RG40" s="904">
        <f>+IFERROR(VLOOKUP(RG$27&amp;"-"&amp;$M40&amp;"_new",Ammortamento_Finanziario!$H:$L,5,FALSE),VLOOKUP($M40,TT_Tabelle_Riferimento!$D$127:$H$164,5,FALSE))</f>
        <v>40</v>
      </c>
      <c r="RH40" s="904">
        <f>+IFERROR(VLOOKUP(RH$27&amp;"-"&amp;$M40&amp;"_new",Ammortamento_Finanziario!$H:$L,5,FALSE),VLOOKUP($M40,TT_Tabelle_Riferimento!$D$127:$H$164,5,FALSE))</f>
        <v>40</v>
      </c>
      <c r="RI40" s="904">
        <f>+IFERROR(VLOOKUP(RI$27&amp;"-"&amp;$M40&amp;"_new",Ammortamento_Finanziario!$H:$L,5,FALSE),VLOOKUP($M40,TT_Tabelle_Riferimento!$D$127:$H$164,5,FALSE))</f>
        <v>40</v>
      </c>
      <c r="RJ40" s="904">
        <f>+IFERROR(VLOOKUP(RJ$27&amp;"-"&amp;$M40&amp;"_new",Ammortamento_Finanziario!$H:$L,5,FALSE),VLOOKUP($M40,TT_Tabelle_Riferimento!$D$127:$H$164,5,FALSE))</f>
        <v>40</v>
      </c>
      <c r="RK40" s="904">
        <f>+IFERROR(VLOOKUP(RK$27&amp;"-"&amp;$M40&amp;"_new",Ammortamento_Finanziario!$H:$L,5,FALSE),VLOOKUP($M40,TT_Tabelle_Riferimento!$D$127:$H$164,5,FALSE))</f>
        <v>40</v>
      </c>
      <c r="RL40" s="904">
        <f>+IFERROR(VLOOKUP(RL$27&amp;"-"&amp;$M40&amp;"_new",Ammortamento_Finanziario!$H:$L,5,FALSE),VLOOKUP($M40,TT_Tabelle_Riferimento!$D$127:$H$164,5,FALSE))</f>
        <v>40</v>
      </c>
      <c r="RM40" s="904">
        <f>+IFERROR(VLOOKUP(RM$27&amp;"-"&amp;$M40&amp;"_new",Ammortamento_Finanziario!$H:$L,5,FALSE),VLOOKUP($M40,TT_Tabelle_Riferimento!$D$127:$H$164,5,FALSE))</f>
        <v>40</v>
      </c>
      <c r="RN40" s="904">
        <f>+IFERROR(VLOOKUP(RN$27&amp;"-"&amp;$M40&amp;"_new",Ammortamento_Finanziario!$H:$L,5,FALSE),VLOOKUP($M40,TT_Tabelle_Riferimento!$D$127:$H$164,5,FALSE))</f>
        <v>40</v>
      </c>
      <c r="RO40" s="904">
        <f>+IFERROR(VLOOKUP(RO$27&amp;"-"&amp;$M40&amp;"_new",Ammortamento_Finanziario!$H:$L,5,FALSE),VLOOKUP($M40,TT_Tabelle_Riferimento!$D$127:$H$164,5,FALSE))</f>
        <v>40</v>
      </c>
      <c r="RP40" s="904">
        <f>+IFERROR(VLOOKUP(RP$27&amp;"-"&amp;$M40&amp;"_new",Ammortamento_Finanziario!$H:$L,5,FALSE),VLOOKUP($M40,TT_Tabelle_Riferimento!$D$127:$H$164,5,FALSE))</f>
        <v>40</v>
      </c>
      <c r="RQ40" s="904">
        <f>+IFERROR(VLOOKUP(RQ$27&amp;"-"&amp;$M40&amp;"_new",Ammortamento_Finanziario!$H:$L,5,FALSE),VLOOKUP($M40,TT_Tabelle_Riferimento!$D$127:$H$164,5,FALSE))</f>
        <v>40</v>
      </c>
      <c r="RR40" s="904">
        <f>+IFERROR(VLOOKUP(RR$27&amp;"-"&amp;$M40&amp;"_new",Ammortamento_Finanziario!$H:$L,5,FALSE),VLOOKUP($M40,TT_Tabelle_Riferimento!$D$127:$H$164,5,FALSE))</f>
        <v>40</v>
      </c>
      <c r="RS40" s="904">
        <f>+IFERROR(VLOOKUP(RS$27&amp;"-"&amp;$M40&amp;"_new",Ammortamento_Finanziario!$H:$L,5,FALSE),VLOOKUP($M40,TT_Tabelle_Riferimento!$D$127:$H$164,5,FALSE))</f>
        <v>40</v>
      </c>
      <c r="RT40" s="904">
        <f>+IFERROR(VLOOKUP(RT$27&amp;"-"&amp;$M40&amp;"_new",Ammortamento_Finanziario!$H:$L,5,FALSE),VLOOKUP($M40,TT_Tabelle_Riferimento!$D$127:$H$164,5,FALSE))</f>
        <v>40</v>
      </c>
      <c r="RU40" s="904">
        <f>+IFERROR(VLOOKUP(RU$27&amp;"-"&amp;$M40&amp;"_new",Ammortamento_Finanziario!$H:$L,5,FALSE),VLOOKUP($M40,TT_Tabelle_Riferimento!$D$127:$H$164,5,FALSE))</f>
        <v>40</v>
      </c>
      <c r="RV40" s="904">
        <f>+IFERROR(VLOOKUP(RV$27&amp;"-"&amp;$M40&amp;"_new",Ammortamento_Finanziario!$H:$L,5,FALSE),VLOOKUP($M40,TT_Tabelle_Riferimento!$D$127:$H$164,5,FALSE))</f>
        <v>40</v>
      </c>
    </row>
    <row r="41" spans="4:490">
      <c r="E41" s="1774">
        <v>2024</v>
      </c>
      <c r="F41" s="1774">
        <v>2025</v>
      </c>
      <c r="G41" s="1771">
        <v>2026</v>
      </c>
      <c r="H41" s="1772">
        <v>2027</v>
      </c>
      <c r="I41" s="1774">
        <v>2028</v>
      </c>
      <c r="J41" s="1774">
        <v>2029</v>
      </c>
      <c r="M41" s="1756">
        <v>14</v>
      </c>
      <c r="N41" s="1759">
        <v>0</v>
      </c>
      <c r="O41" s="1759">
        <v>0</v>
      </c>
      <c r="P41" s="1759">
        <v>0</v>
      </c>
      <c r="Q41" s="1759">
        <v>0</v>
      </c>
      <c r="R41" s="1759">
        <v>0</v>
      </c>
      <c r="S41" s="1759">
        <v>0</v>
      </c>
      <c r="T41" s="1759">
        <v>0</v>
      </c>
      <c r="U41" s="1759">
        <v>0</v>
      </c>
      <c r="V41" s="1759">
        <v>0</v>
      </c>
      <c r="W41" s="1759">
        <v>0</v>
      </c>
      <c r="X41" s="1759">
        <v>0</v>
      </c>
      <c r="Y41" s="1759">
        <v>0</v>
      </c>
      <c r="Z41" s="1759">
        <v>0</v>
      </c>
      <c r="AA41" s="1759">
        <v>0</v>
      </c>
      <c r="AB41" s="1759">
        <v>0</v>
      </c>
      <c r="AC41" s="1759">
        <v>0</v>
      </c>
      <c r="AD41" s="1759">
        <v>0</v>
      </c>
      <c r="AE41" s="1759">
        <v>0</v>
      </c>
      <c r="AF41" s="1759">
        <v>0</v>
      </c>
      <c r="AG41" s="1759">
        <v>0</v>
      </c>
      <c r="AH41" s="1759">
        <v>0</v>
      </c>
      <c r="AI41" s="1759">
        <v>0</v>
      </c>
      <c r="AJ41" s="1759">
        <v>0</v>
      </c>
      <c r="AK41" s="1759">
        <v>0</v>
      </c>
      <c r="AL41" s="1759">
        <v>0</v>
      </c>
      <c r="AM41" s="1759">
        <v>0</v>
      </c>
      <c r="AN41" s="1759">
        <v>0</v>
      </c>
      <c r="AO41" s="1759">
        <v>0</v>
      </c>
      <c r="AP41" s="1759">
        <v>0</v>
      </c>
      <c r="AQ41" s="1759">
        <v>0</v>
      </c>
      <c r="AR41" s="1759">
        <v>0</v>
      </c>
      <c r="AS41" s="1759">
        <v>0</v>
      </c>
      <c r="AT41" s="1759">
        <v>0</v>
      </c>
      <c r="AU41" s="1759">
        <v>0</v>
      </c>
      <c r="AV41" s="1759">
        <v>0</v>
      </c>
      <c r="AW41" s="1759">
        <v>0</v>
      </c>
      <c r="AX41" s="1759">
        <v>0</v>
      </c>
      <c r="AY41" s="1759">
        <v>0</v>
      </c>
      <c r="AZ41" s="1759">
        <v>0</v>
      </c>
      <c r="BA41" s="1759">
        <v>0</v>
      </c>
      <c r="BB41" s="1759">
        <v>0</v>
      </c>
      <c r="BC41" s="1759">
        <v>0</v>
      </c>
      <c r="BD41" s="1759">
        <v>0</v>
      </c>
      <c r="BE41" s="1759">
        <v>0</v>
      </c>
      <c r="BF41" s="1759">
        <v>0</v>
      </c>
      <c r="BG41" s="1759">
        <v>0</v>
      </c>
      <c r="BH41" s="1759">
        <v>0</v>
      </c>
      <c r="BI41" s="1759">
        <v>0</v>
      </c>
      <c r="BJ41" s="1759">
        <v>0</v>
      </c>
      <c r="BK41" s="1759">
        <v>0</v>
      </c>
      <c r="BL41" s="1759">
        <v>0</v>
      </c>
      <c r="BM41" s="1759">
        <v>0</v>
      </c>
      <c r="BN41" s="1759">
        <v>0</v>
      </c>
      <c r="BO41" s="1759">
        <v>0</v>
      </c>
      <c r="BP41" s="1759">
        <v>0</v>
      </c>
      <c r="BQ41" s="1759">
        <v>0</v>
      </c>
      <c r="BR41" s="1759">
        <v>0</v>
      </c>
      <c r="BS41" s="1759">
        <v>0</v>
      </c>
      <c r="BT41" s="1759">
        <v>0</v>
      </c>
      <c r="BU41" s="1759">
        <v>0</v>
      </c>
      <c r="BV41" s="1759">
        <v>0</v>
      </c>
      <c r="BW41" s="1759">
        <v>0</v>
      </c>
      <c r="BX41" s="1759">
        <v>0</v>
      </c>
      <c r="BY41" s="1759">
        <v>0</v>
      </c>
      <c r="BZ41" s="1759">
        <v>0</v>
      </c>
      <c r="CA41" s="1759">
        <v>0</v>
      </c>
      <c r="CB41" s="1759">
        <v>0</v>
      </c>
      <c r="CC41" s="1759">
        <v>0</v>
      </c>
      <c r="CD41" s="1759">
        <v>0</v>
      </c>
      <c r="CE41" s="1759">
        <v>0</v>
      </c>
      <c r="CF41" s="1759">
        <v>0</v>
      </c>
      <c r="CG41" s="1759">
        <v>0</v>
      </c>
      <c r="CH41" s="1759">
        <v>0</v>
      </c>
      <c r="CI41" s="1759">
        <v>0</v>
      </c>
      <c r="CJ41" s="1759">
        <v>0</v>
      </c>
      <c r="CK41" s="1759">
        <v>0</v>
      </c>
      <c r="CL41" s="1759">
        <v>0</v>
      </c>
      <c r="CM41" s="1759">
        <v>0</v>
      </c>
      <c r="CN41" s="1759">
        <v>0</v>
      </c>
      <c r="CO41" s="1759">
        <v>0</v>
      </c>
      <c r="CP41" s="1759">
        <v>0</v>
      </c>
      <c r="CQ41" s="1759">
        <v>0</v>
      </c>
      <c r="CR41" s="1759">
        <v>0</v>
      </c>
      <c r="CS41" s="1759">
        <v>0</v>
      </c>
      <c r="CT41" s="1759">
        <v>0</v>
      </c>
      <c r="CU41" s="1759">
        <v>0</v>
      </c>
      <c r="CV41" s="1759">
        <v>0</v>
      </c>
      <c r="CW41" s="1759">
        <v>0</v>
      </c>
      <c r="CX41" s="1759">
        <v>0</v>
      </c>
      <c r="CY41" s="1759">
        <v>0</v>
      </c>
      <c r="CZ41" s="1759">
        <v>0</v>
      </c>
      <c r="DA41" s="1759">
        <v>0</v>
      </c>
      <c r="DB41" s="1759">
        <v>0</v>
      </c>
      <c r="DC41" s="1759">
        <v>0</v>
      </c>
      <c r="DD41" s="1759">
        <v>0</v>
      </c>
      <c r="DE41" s="1759">
        <v>0</v>
      </c>
      <c r="DF41" s="1759">
        <v>0</v>
      </c>
      <c r="DG41" s="1759">
        <v>0</v>
      </c>
      <c r="DH41" s="1759">
        <v>0</v>
      </c>
      <c r="DI41" s="1759">
        <v>0</v>
      </c>
      <c r="DJ41" s="1759">
        <v>0</v>
      </c>
      <c r="DK41" s="1759">
        <v>0</v>
      </c>
      <c r="DL41" s="1759">
        <v>0</v>
      </c>
      <c r="DM41" s="1759">
        <v>0</v>
      </c>
      <c r="DN41" s="1759">
        <v>0</v>
      </c>
      <c r="DO41" s="1759">
        <v>0</v>
      </c>
      <c r="DP41" s="1759">
        <v>0</v>
      </c>
      <c r="DQ41" s="1759">
        <v>0</v>
      </c>
      <c r="DR41" s="1759">
        <v>0</v>
      </c>
      <c r="DS41" s="1759">
        <v>0</v>
      </c>
      <c r="DT41" s="1759">
        <v>0</v>
      </c>
      <c r="DU41" s="1759">
        <v>0</v>
      </c>
      <c r="DV41" s="1759">
        <v>0</v>
      </c>
      <c r="DW41" s="1759">
        <v>0</v>
      </c>
      <c r="DX41" s="1759">
        <v>0</v>
      </c>
      <c r="DY41" s="1759">
        <v>0</v>
      </c>
      <c r="DZ41" s="1759">
        <v>0</v>
      </c>
      <c r="EA41" s="1759">
        <v>0</v>
      </c>
      <c r="EB41" s="1759">
        <v>0</v>
      </c>
      <c r="EC41" s="1759">
        <v>0</v>
      </c>
      <c r="ED41" s="1759">
        <v>0</v>
      </c>
      <c r="EE41" s="1759">
        <v>0</v>
      </c>
      <c r="EF41" s="1759">
        <v>0</v>
      </c>
      <c r="EG41" s="1759">
        <v>0</v>
      </c>
      <c r="EH41" s="1759">
        <v>0</v>
      </c>
      <c r="EI41" s="1759">
        <v>0</v>
      </c>
      <c r="EJ41" s="1759">
        <v>0</v>
      </c>
      <c r="EK41" s="1759">
        <v>0</v>
      </c>
      <c r="EL41" s="1759">
        <v>0</v>
      </c>
      <c r="EM41" s="1759">
        <v>0</v>
      </c>
      <c r="EN41" s="1759">
        <v>0</v>
      </c>
      <c r="EO41" s="1759">
        <v>0</v>
      </c>
      <c r="EP41" s="1759">
        <v>0</v>
      </c>
      <c r="EQ41" s="1759">
        <v>0</v>
      </c>
      <c r="ER41" s="1759">
        <v>0</v>
      </c>
      <c r="ES41" s="1759">
        <v>0</v>
      </c>
      <c r="ET41" s="1759">
        <v>0</v>
      </c>
      <c r="EU41" s="1759">
        <v>0</v>
      </c>
      <c r="EV41" s="1759">
        <v>0</v>
      </c>
      <c r="EW41" s="1759">
        <v>0</v>
      </c>
      <c r="EX41" s="1759">
        <v>0</v>
      </c>
      <c r="EY41" s="1759">
        <v>0</v>
      </c>
      <c r="EZ41" s="1759">
        <v>0</v>
      </c>
      <c r="FA41" s="1759">
        <v>0</v>
      </c>
      <c r="FB41" s="1759">
        <v>0</v>
      </c>
      <c r="FC41" s="1759">
        <v>0</v>
      </c>
      <c r="FD41" s="1759">
        <v>0</v>
      </c>
      <c r="FE41" s="1759">
        <v>0</v>
      </c>
      <c r="FF41" s="1759">
        <v>0</v>
      </c>
      <c r="FG41" s="1759">
        <v>0</v>
      </c>
      <c r="FH41" s="1759">
        <v>0</v>
      </c>
      <c r="FI41" s="1759">
        <v>0</v>
      </c>
      <c r="FJ41" s="1759">
        <v>0</v>
      </c>
      <c r="FK41" s="1759">
        <v>0</v>
      </c>
      <c r="FL41" s="1759">
        <v>0</v>
      </c>
      <c r="FM41" s="1759">
        <v>0</v>
      </c>
      <c r="FN41" s="1759">
        <v>0</v>
      </c>
      <c r="FO41" s="1759">
        <v>0</v>
      </c>
      <c r="FP41" s="1759">
        <v>0</v>
      </c>
      <c r="FQ41" s="1759">
        <v>0</v>
      </c>
      <c r="FR41" s="1759">
        <v>0</v>
      </c>
      <c r="FS41" s="1759">
        <v>0</v>
      </c>
      <c r="FT41" s="1759">
        <v>0</v>
      </c>
      <c r="FU41" s="1759">
        <v>0</v>
      </c>
      <c r="FV41" s="1759">
        <v>0</v>
      </c>
      <c r="FW41" s="1759">
        <v>0</v>
      </c>
      <c r="FX41" s="1759">
        <v>0</v>
      </c>
      <c r="FY41" s="1759">
        <v>0</v>
      </c>
      <c r="FZ41" s="1759">
        <v>0</v>
      </c>
      <c r="GA41" s="1759">
        <v>0</v>
      </c>
      <c r="GB41" s="1759">
        <v>0</v>
      </c>
      <c r="GC41" s="1759">
        <v>0</v>
      </c>
      <c r="GD41" s="1759">
        <v>0</v>
      </c>
      <c r="GE41" s="1759">
        <v>0</v>
      </c>
      <c r="GF41" s="1759">
        <v>0</v>
      </c>
      <c r="GG41" s="1759">
        <v>0</v>
      </c>
      <c r="GH41" s="1759">
        <v>0</v>
      </c>
      <c r="GI41" s="1759">
        <v>0</v>
      </c>
      <c r="GJ41" s="1759">
        <v>0</v>
      </c>
      <c r="GK41" s="1759">
        <v>0</v>
      </c>
      <c r="GL41" s="1759">
        <v>0</v>
      </c>
      <c r="GM41" s="1759">
        <v>0</v>
      </c>
      <c r="GN41" s="1759">
        <v>0</v>
      </c>
      <c r="GO41" s="1759">
        <v>0</v>
      </c>
      <c r="GP41" s="1759">
        <v>0</v>
      </c>
      <c r="GQ41" s="1759">
        <v>0</v>
      </c>
      <c r="GR41" s="1759">
        <v>0</v>
      </c>
      <c r="GS41" s="1759">
        <v>0</v>
      </c>
      <c r="GT41" s="1759">
        <v>0</v>
      </c>
      <c r="GU41" s="1759">
        <v>0</v>
      </c>
      <c r="GV41" s="1759">
        <v>0</v>
      </c>
      <c r="GW41" s="1759">
        <v>0</v>
      </c>
      <c r="GX41" s="1759">
        <v>0</v>
      </c>
      <c r="GY41" s="1759">
        <v>0</v>
      </c>
      <c r="GZ41" s="1759">
        <v>0</v>
      </c>
      <c r="HA41" s="1759">
        <v>0</v>
      </c>
      <c r="HB41" s="1759">
        <v>0</v>
      </c>
      <c r="HC41" s="1759">
        <v>0</v>
      </c>
      <c r="HD41" s="1759">
        <v>0</v>
      </c>
      <c r="HE41" s="1759">
        <v>0</v>
      </c>
      <c r="HF41" s="1759">
        <v>0</v>
      </c>
      <c r="HG41" s="1759">
        <v>0</v>
      </c>
      <c r="HH41" s="1759">
        <v>0</v>
      </c>
      <c r="HI41" s="1759">
        <v>0</v>
      </c>
      <c r="HJ41" s="1759">
        <v>0</v>
      </c>
      <c r="HK41" s="1759">
        <v>0</v>
      </c>
      <c r="HL41" s="1759">
        <v>0</v>
      </c>
      <c r="HM41" s="1759">
        <v>0</v>
      </c>
      <c r="HN41" s="1759">
        <v>0</v>
      </c>
      <c r="HO41" s="1759">
        <v>0</v>
      </c>
      <c r="HP41" s="1759">
        <v>0</v>
      </c>
      <c r="HQ41" s="1759">
        <v>0</v>
      </c>
      <c r="HR41" s="1759">
        <v>0</v>
      </c>
      <c r="HS41" s="1759">
        <v>0</v>
      </c>
      <c r="HT41" s="1759">
        <v>0</v>
      </c>
      <c r="HU41" s="1759">
        <v>0</v>
      </c>
      <c r="HV41" s="1759">
        <v>0</v>
      </c>
      <c r="HW41" s="1759">
        <v>0</v>
      </c>
      <c r="HX41" s="1759">
        <v>0</v>
      </c>
      <c r="HY41" s="1759">
        <v>0</v>
      </c>
      <c r="HZ41" s="1759">
        <v>0</v>
      </c>
      <c r="IA41" s="1759">
        <v>0</v>
      </c>
      <c r="IB41" s="1759">
        <v>0</v>
      </c>
      <c r="IC41" s="1759">
        <v>0</v>
      </c>
      <c r="ID41" s="1759">
        <v>0</v>
      </c>
      <c r="IE41" s="1759">
        <v>0</v>
      </c>
      <c r="IF41" s="1759">
        <v>0</v>
      </c>
      <c r="IG41" s="1759">
        <v>0</v>
      </c>
      <c r="IH41" s="1759">
        <v>0</v>
      </c>
      <c r="II41" s="1759">
        <v>0</v>
      </c>
      <c r="IJ41" s="1759">
        <v>0</v>
      </c>
      <c r="IK41" s="1759">
        <v>0</v>
      </c>
      <c r="IL41" s="1759">
        <v>0</v>
      </c>
      <c r="IM41" s="1759">
        <v>0</v>
      </c>
      <c r="IN41" s="1759">
        <v>0</v>
      </c>
      <c r="IO41" s="1759">
        <v>0</v>
      </c>
      <c r="IP41" s="1759">
        <v>0</v>
      </c>
      <c r="IQ41" s="1759">
        <v>0</v>
      </c>
      <c r="IR41" s="1759">
        <v>0</v>
      </c>
      <c r="IS41" s="1759">
        <v>0</v>
      </c>
      <c r="IT41" s="1759">
        <v>0</v>
      </c>
      <c r="IU41" s="1759">
        <v>0</v>
      </c>
      <c r="IV41" s="1759">
        <v>0</v>
      </c>
      <c r="IW41" s="1759">
        <v>0</v>
      </c>
      <c r="IX41" s="1759">
        <v>0</v>
      </c>
      <c r="IY41" s="1759">
        <v>0</v>
      </c>
      <c r="IZ41" s="1759">
        <v>0</v>
      </c>
      <c r="JA41" s="1759">
        <v>0</v>
      </c>
      <c r="JB41" s="1759">
        <v>0</v>
      </c>
      <c r="JC41" s="1759">
        <v>0</v>
      </c>
      <c r="JD41" s="1759">
        <v>0</v>
      </c>
      <c r="JE41" s="1759">
        <v>0</v>
      </c>
      <c r="JF41" s="1759">
        <v>0</v>
      </c>
      <c r="JG41" s="1759">
        <v>0</v>
      </c>
      <c r="JH41" s="1759">
        <v>0</v>
      </c>
      <c r="JI41" s="1759">
        <v>0</v>
      </c>
      <c r="JJ41" s="1759">
        <v>0</v>
      </c>
      <c r="JK41" s="1759">
        <v>0</v>
      </c>
      <c r="JL41" s="1759">
        <v>0</v>
      </c>
      <c r="JM41" s="1759">
        <v>0</v>
      </c>
      <c r="JN41" s="1759">
        <v>0</v>
      </c>
      <c r="JO41" s="1759">
        <v>0</v>
      </c>
      <c r="JP41" s="1759">
        <v>0</v>
      </c>
      <c r="JQ41" s="1759">
        <v>0</v>
      </c>
      <c r="JR41" s="1759">
        <v>0</v>
      </c>
      <c r="JS41" s="1759">
        <v>0</v>
      </c>
      <c r="JT41" s="1759">
        <v>0</v>
      </c>
      <c r="JU41" s="1759">
        <v>0</v>
      </c>
      <c r="JV41" s="1759">
        <v>0</v>
      </c>
      <c r="JW41" s="1759">
        <v>0</v>
      </c>
      <c r="JX41" s="1759">
        <v>0</v>
      </c>
      <c r="JY41" s="1759">
        <v>0</v>
      </c>
      <c r="JZ41" s="1759">
        <v>0</v>
      </c>
      <c r="KA41" s="1759">
        <v>0</v>
      </c>
      <c r="KB41" s="1759">
        <v>0</v>
      </c>
      <c r="KC41" s="1759">
        <v>0</v>
      </c>
      <c r="KD41" s="1759">
        <v>0</v>
      </c>
      <c r="KE41" s="1759">
        <v>0</v>
      </c>
      <c r="KF41" s="1759">
        <v>0</v>
      </c>
      <c r="KG41" s="1759">
        <v>0</v>
      </c>
      <c r="KH41" s="1759">
        <v>0</v>
      </c>
      <c r="KI41" s="1759">
        <v>0</v>
      </c>
      <c r="KJ41" s="1759">
        <v>0</v>
      </c>
      <c r="KK41" s="1759">
        <v>0</v>
      </c>
      <c r="KL41" s="1759">
        <v>0</v>
      </c>
      <c r="KM41" s="1759">
        <v>0</v>
      </c>
      <c r="KN41" s="1759">
        <v>0</v>
      </c>
      <c r="KO41" s="1759">
        <v>0</v>
      </c>
      <c r="KP41" s="1759">
        <v>0</v>
      </c>
      <c r="KQ41" s="904">
        <f>+IFERROR(VLOOKUP(KQ$27&amp;"-"&amp;$M41&amp;"_new",Ammortamento_Finanziario!$H:$L,5,FALSE),VLOOKUP($M41,TT_Tabelle_Riferimento!$D$127:$H$164,5,FALSE))</f>
        <v>8</v>
      </c>
      <c r="KR41" s="904">
        <f>+IFERROR(VLOOKUP(KR$27&amp;"-"&amp;$M41&amp;"_new",Ammortamento_Finanziario!$H:$L,5,FALSE),VLOOKUP($M41,TT_Tabelle_Riferimento!$D$127:$H$164,5,FALSE))</f>
        <v>8</v>
      </c>
      <c r="KS41" s="1762">
        <f>+IFERROR(VLOOKUP(KS$27&amp;"-"&amp;$M41&amp;"_new",Ammortamento_Finanziario!$H:$L,5,FALSE),VLOOKUP($M41,TT_Tabelle_Riferimento!$D$127:$H$164,5,FALSE))</f>
        <v>8</v>
      </c>
      <c r="KT41" s="1762">
        <f>+IFERROR(VLOOKUP(KT$27&amp;"-"&amp;$M41&amp;"_new",Ammortamento_Finanziario!$H:$L,5,FALSE),VLOOKUP($M41,TT_Tabelle_Riferimento!$D$127:$H$164,5,FALSE))</f>
        <v>8</v>
      </c>
      <c r="KU41" s="1762">
        <f>+IFERROR(VLOOKUP(KU$27&amp;"-"&amp;$M41&amp;"_new",Ammortamento_Finanziario!$H:$L,5,FALSE),VLOOKUP($M41,TT_Tabelle_Riferimento!$D$127:$H$164,5,FALSE))</f>
        <v>8</v>
      </c>
      <c r="KV41" s="1762">
        <f>+IFERROR(VLOOKUP(KV$27&amp;"-"&amp;$M41&amp;"_new",Ammortamento_Finanziario!$H:$L,5,FALSE),VLOOKUP($M41,TT_Tabelle_Riferimento!$D$127:$H$164,5,FALSE))</f>
        <v>8</v>
      </c>
      <c r="KW41" s="1762">
        <f>+IFERROR(VLOOKUP(KW$27&amp;"-"&amp;$M41&amp;"_new",Ammortamento_Finanziario!$H:$L,5,FALSE),VLOOKUP($M41,TT_Tabelle_Riferimento!$D$127:$H$164,5,FALSE))</f>
        <v>8</v>
      </c>
      <c r="KX41" s="1762">
        <f>+IFERROR(VLOOKUP(KX$27&amp;"-"&amp;$M41&amp;"_new",Ammortamento_Finanziario!$H:$L,5,FALSE),VLOOKUP($M41,TT_Tabelle_Riferimento!$D$127:$H$164,5,FALSE))</f>
        <v>8</v>
      </c>
      <c r="KY41" s="904">
        <f>+IFERROR(VLOOKUP(KY$27&amp;"-"&amp;$M41&amp;"_new",Ammortamento_Finanziario!$H:$L,5,FALSE),VLOOKUP($M41,TT_Tabelle_Riferimento!$D$127:$H$164,5,FALSE))</f>
        <v>8</v>
      </c>
      <c r="KZ41" s="904">
        <f>+IFERROR(VLOOKUP(KZ$27&amp;"-"&amp;$M41&amp;"_new",Ammortamento_Finanziario!$H:$L,5,FALSE),VLOOKUP($M41,TT_Tabelle_Riferimento!$D$127:$H$164,5,FALSE))</f>
        <v>8</v>
      </c>
      <c r="LA41" s="904">
        <f>+IFERROR(VLOOKUP(LA$27&amp;"-"&amp;$M41&amp;"_new",Ammortamento_Finanziario!$H:$L,5,FALSE),VLOOKUP($M41,TT_Tabelle_Riferimento!$D$127:$H$164,5,FALSE))</f>
        <v>8</v>
      </c>
      <c r="LB41" s="904">
        <f>+IFERROR(VLOOKUP(LB$27&amp;"-"&amp;$M41&amp;"_new",Ammortamento_Finanziario!$H:$L,5,FALSE),VLOOKUP($M41,TT_Tabelle_Riferimento!$D$127:$H$164,5,FALSE))</f>
        <v>8</v>
      </c>
      <c r="LC41" s="904">
        <f>+IFERROR(VLOOKUP(LC$27&amp;"-"&amp;$M41&amp;"_new",Ammortamento_Finanziario!$H:$L,5,FALSE),VLOOKUP($M41,TT_Tabelle_Riferimento!$D$127:$H$164,5,FALSE))</f>
        <v>8</v>
      </c>
      <c r="LD41" s="904">
        <f>+IFERROR(VLOOKUP(LD$27&amp;"-"&amp;$M41&amp;"_new",Ammortamento_Finanziario!$H:$L,5,FALSE),VLOOKUP($M41,TT_Tabelle_Riferimento!$D$127:$H$164,5,FALSE))</f>
        <v>8</v>
      </c>
      <c r="LE41" s="904">
        <f>+IFERROR(VLOOKUP(LE$27&amp;"-"&amp;$M41&amp;"_new",Ammortamento_Finanziario!$H:$L,5,FALSE),VLOOKUP($M41,TT_Tabelle_Riferimento!$D$127:$H$164,5,FALSE))</f>
        <v>8</v>
      </c>
      <c r="LF41" s="904">
        <f>+IFERROR(VLOOKUP(LF$27&amp;"-"&amp;$M41&amp;"_new",Ammortamento_Finanziario!$H:$L,5,FALSE),VLOOKUP($M41,TT_Tabelle_Riferimento!$D$127:$H$164,5,FALSE))</f>
        <v>8</v>
      </c>
      <c r="LG41" s="904">
        <f>+IFERROR(VLOOKUP(LG$27&amp;"-"&amp;$M41&amp;"_new",Ammortamento_Finanziario!$H:$L,5,FALSE),VLOOKUP($M41,TT_Tabelle_Riferimento!$D$127:$H$164,5,FALSE))</f>
        <v>8</v>
      </c>
      <c r="LH41" s="904">
        <f>+IFERROR(VLOOKUP(LH$27&amp;"-"&amp;$M41&amp;"_new",Ammortamento_Finanziario!$H:$L,5,FALSE),VLOOKUP($M41,TT_Tabelle_Riferimento!$D$127:$H$164,5,FALSE))</f>
        <v>8</v>
      </c>
      <c r="LI41" s="904">
        <f>+IFERROR(VLOOKUP(LI$27&amp;"-"&amp;$M41&amp;"_new",Ammortamento_Finanziario!$H:$L,5,FALSE),VLOOKUP($M41,TT_Tabelle_Riferimento!$D$127:$H$164,5,FALSE))</f>
        <v>8</v>
      </c>
      <c r="LJ41" s="904">
        <f>+IFERROR(VLOOKUP(LJ$27&amp;"-"&amp;$M41&amp;"_new",Ammortamento_Finanziario!$H:$L,5,FALSE),VLOOKUP($M41,TT_Tabelle_Riferimento!$D$127:$H$164,5,FALSE))</f>
        <v>8</v>
      </c>
      <c r="LK41" s="904">
        <f>+IFERROR(VLOOKUP(LK$27&amp;"-"&amp;$M41&amp;"_new",Ammortamento_Finanziario!$H:$L,5,FALSE),VLOOKUP($M41,TT_Tabelle_Riferimento!$D$127:$H$164,5,FALSE))</f>
        <v>8</v>
      </c>
      <c r="LL41" s="904">
        <f>+IFERROR(VLOOKUP(LL$27&amp;"-"&amp;$M41&amp;"_new",Ammortamento_Finanziario!$H:$L,5,FALSE),VLOOKUP($M41,TT_Tabelle_Riferimento!$D$127:$H$164,5,FALSE))</f>
        <v>8</v>
      </c>
      <c r="LM41" s="904">
        <f>+IFERROR(VLOOKUP(LM$27&amp;"-"&amp;$M41&amp;"_new",Ammortamento_Finanziario!$H:$L,5,FALSE),VLOOKUP($M41,TT_Tabelle_Riferimento!$D$127:$H$164,5,FALSE))</f>
        <v>8</v>
      </c>
      <c r="LN41" s="904">
        <f>+IFERROR(VLOOKUP(LN$27&amp;"-"&amp;$M41&amp;"_new",Ammortamento_Finanziario!$H:$L,5,FALSE),VLOOKUP($M41,TT_Tabelle_Riferimento!$D$127:$H$164,5,FALSE))</f>
        <v>8</v>
      </c>
      <c r="LO41" s="904">
        <f>+IFERROR(VLOOKUP(LO$27&amp;"-"&amp;$M41&amp;"_new",Ammortamento_Finanziario!$H:$L,5,FALSE),VLOOKUP($M41,TT_Tabelle_Riferimento!$D$127:$H$164,5,FALSE))</f>
        <v>8</v>
      </c>
      <c r="LP41" s="904">
        <f>+IFERROR(VLOOKUP(LP$27&amp;"-"&amp;$M41&amp;"_new",Ammortamento_Finanziario!$H:$L,5,FALSE),VLOOKUP($M41,TT_Tabelle_Riferimento!$D$127:$H$164,5,FALSE))</f>
        <v>8</v>
      </c>
      <c r="LQ41" s="904">
        <f>+IFERROR(VLOOKUP(LQ$27&amp;"-"&amp;$M41&amp;"_new",Ammortamento_Finanziario!$H:$L,5,FALSE),VLOOKUP($M41,TT_Tabelle_Riferimento!$D$127:$H$164,5,FALSE))</f>
        <v>8</v>
      </c>
      <c r="LR41" s="904">
        <f>+IFERROR(VLOOKUP(LR$27&amp;"-"&amp;$M41&amp;"_new",Ammortamento_Finanziario!$H:$L,5,FALSE),VLOOKUP($M41,TT_Tabelle_Riferimento!$D$127:$H$164,5,FALSE))</f>
        <v>8</v>
      </c>
      <c r="LS41" s="1762">
        <f>+IFERROR(VLOOKUP(LS$27&amp;"-"&amp;$M41&amp;"_new",Ammortamento_Finanziario!$H:$L,5,FALSE),VLOOKUP($M41,TT_Tabelle_Riferimento!$D$127:$H$164,5,FALSE))</f>
        <v>8</v>
      </c>
      <c r="LT41" s="1762">
        <f>+IFERROR(VLOOKUP(LT$27&amp;"-"&amp;$M41&amp;"_new",Ammortamento_Finanziario!$H:$L,5,FALSE),VLOOKUP($M41,TT_Tabelle_Riferimento!$D$127:$H$164,5,FALSE))</f>
        <v>8</v>
      </c>
      <c r="LU41" s="1762">
        <f>+IFERROR(VLOOKUP(LU$27&amp;"-"&amp;$M41&amp;"_new",Ammortamento_Finanziario!$H:$L,5,FALSE),VLOOKUP($M41,TT_Tabelle_Riferimento!$D$127:$H$164,5,FALSE))</f>
        <v>8</v>
      </c>
      <c r="LV41" s="1762">
        <f>+IFERROR(VLOOKUP(LV$27&amp;"-"&amp;$M41&amp;"_new",Ammortamento_Finanziario!$H:$L,5,FALSE),VLOOKUP($M41,TT_Tabelle_Riferimento!$D$127:$H$164,5,FALSE))</f>
        <v>8</v>
      </c>
      <c r="LW41" s="1762">
        <f>+IFERROR(VLOOKUP(LW$27&amp;"-"&amp;$M41&amp;"_new",Ammortamento_Finanziario!$H:$L,5,FALSE),VLOOKUP($M41,TT_Tabelle_Riferimento!$D$127:$H$164,5,FALSE))</f>
        <v>8</v>
      </c>
      <c r="LX41" s="1762">
        <f>+IFERROR(VLOOKUP(LX$27&amp;"-"&amp;$M41&amp;"_new",Ammortamento_Finanziario!$H:$L,5,FALSE),VLOOKUP($M41,TT_Tabelle_Riferimento!$D$127:$H$164,5,FALSE))</f>
        <v>8</v>
      </c>
      <c r="LY41" s="904">
        <f>+IFERROR(VLOOKUP(LY$27&amp;"-"&amp;$M41&amp;"_new",Ammortamento_Finanziario!$H:$L,5,FALSE),VLOOKUP($M41,TT_Tabelle_Riferimento!$D$127:$H$164,5,FALSE))</f>
        <v>8</v>
      </c>
      <c r="LZ41" s="904">
        <f>+IFERROR(VLOOKUP(LZ$27&amp;"-"&amp;$M41&amp;"_new",Ammortamento_Finanziario!$H:$L,5,FALSE),VLOOKUP($M41,TT_Tabelle_Riferimento!$D$127:$H$164,5,FALSE))</f>
        <v>8</v>
      </c>
      <c r="MA41" s="904">
        <f>+IFERROR(VLOOKUP(MA$27&amp;"-"&amp;$M41&amp;"_new",Ammortamento_Finanziario!$H:$L,5,FALSE),VLOOKUP($M41,TT_Tabelle_Riferimento!$D$127:$H$164,5,FALSE))</f>
        <v>8</v>
      </c>
      <c r="MB41" s="904">
        <f>+IFERROR(VLOOKUP(MB$27&amp;"-"&amp;$M41&amp;"_new",Ammortamento_Finanziario!$H:$L,5,FALSE),VLOOKUP($M41,TT_Tabelle_Riferimento!$D$127:$H$164,5,FALSE))</f>
        <v>8</v>
      </c>
      <c r="MC41" s="904">
        <f>+IFERROR(VLOOKUP(MC$27&amp;"-"&amp;$M41&amp;"_new",Ammortamento_Finanziario!$H:$L,5,FALSE),VLOOKUP($M41,TT_Tabelle_Riferimento!$D$127:$H$164,5,FALSE))</f>
        <v>8</v>
      </c>
      <c r="MD41" s="904">
        <f>+IFERROR(VLOOKUP(MD$27&amp;"-"&amp;$M41&amp;"_new",Ammortamento_Finanziario!$H:$L,5,FALSE),VLOOKUP($M41,TT_Tabelle_Riferimento!$D$127:$H$164,5,FALSE))</f>
        <v>8</v>
      </c>
      <c r="ME41" s="904">
        <f>+IFERROR(VLOOKUP(ME$27&amp;"-"&amp;$M41&amp;"_new",Ammortamento_Finanziario!$H:$L,5,FALSE),VLOOKUP($M41,TT_Tabelle_Riferimento!$D$127:$H$164,5,FALSE))</f>
        <v>8</v>
      </c>
      <c r="MF41" s="904">
        <f>+IFERROR(VLOOKUP(MF$27&amp;"-"&amp;$M41&amp;"_new",Ammortamento_Finanziario!$H:$L,5,FALSE),VLOOKUP($M41,TT_Tabelle_Riferimento!$D$127:$H$164,5,FALSE))</f>
        <v>8</v>
      </c>
      <c r="MG41" s="904">
        <f>+IFERROR(VLOOKUP(MG$27&amp;"-"&amp;$M41&amp;"_new",Ammortamento_Finanziario!$H:$L,5,FALSE),VLOOKUP($M41,TT_Tabelle_Riferimento!$D$127:$H$164,5,FALSE))</f>
        <v>8</v>
      </c>
      <c r="MH41" s="904">
        <f>+IFERROR(VLOOKUP(MH$27&amp;"-"&amp;$M41&amp;"_new",Ammortamento_Finanziario!$H:$L,5,FALSE),VLOOKUP($M41,TT_Tabelle_Riferimento!$D$127:$H$164,5,FALSE))</f>
        <v>8</v>
      </c>
      <c r="MI41" s="904">
        <f>+IFERROR(VLOOKUP(MI$27&amp;"-"&amp;$M41&amp;"_new",Ammortamento_Finanziario!$H:$L,5,FALSE),VLOOKUP($M41,TT_Tabelle_Riferimento!$D$127:$H$164,5,FALSE))</f>
        <v>8</v>
      </c>
      <c r="MJ41" s="904">
        <f>+IFERROR(VLOOKUP(MJ$27&amp;"-"&amp;$M41&amp;"_new",Ammortamento_Finanziario!$H:$L,5,FALSE),VLOOKUP($M41,TT_Tabelle_Riferimento!$D$127:$H$164,5,FALSE))</f>
        <v>8</v>
      </c>
      <c r="MK41" s="904">
        <f>+IFERROR(VLOOKUP(MK$27&amp;"-"&amp;$M41&amp;"_new",Ammortamento_Finanziario!$H:$L,5,FALSE),VLOOKUP($M41,TT_Tabelle_Riferimento!$D$127:$H$164,5,FALSE))</f>
        <v>8</v>
      </c>
      <c r="ML41" s="904">
        <f>+IFERROR(VLOOKUP(ML$27&amp;"-"&amp;$M41&amp;"_new",Ammortamento_Finanziario!$H:$L,5,FALSE),VLOOKUP($M41,TT_Tabelle_Riferimento!$D$127:$H$164,5,FALSE))</f>
        <v>8</v>
      </c>
      <c r="MM41" s="904">
        <f>+IFERROR(VLOOKUP(MM$27&amp;"-"&amp;$M41&amp;"_new",Ammortamento_Finanziario!$H:$L,5,FALSE),VLOOKUP($M41,TT_Tabelle_Riferimento!$D$127:$H$164,5,FALSE))</f>
        <v>8</v>
      </c>
      <c r="MN41" s="904">
        <f>+IFERROR(VLOOKUP(MN$27&amp;"-"&amp;$M41&amp;"_new",Ammortamento_Finanziario!$H:$L,5,FALSE),VLOOKUP($M41,TT_Tabelle_Riferimento!$D$127:$H$164,5,FALSE))</f>
        <v>8</v>
      </c>
      <c r="MO41" s="904">
        <f>+IFERROR(VLOOKUP(MO$27&amp;"-"&amp;$M41&amp;"_new",Ammortamento_Finanziario!$H:$L,5,FALSE),VLOOKUP($M41,TT_Tabelle_Riferimento!$D$127:$H$164,5,FALSE))</f>
        <v>8</v>
      </c>
      <c r="MP41" s="904">
        <f>+IFERROR(VLOOKUP(MP$27&amp;"-"&amp;$M41&amp;"_new",Ammortamento_Finanziario!$H:$L,5,FALSE),VLOOKUP($M41,TT_Tabelle_Riferimento!$D$127:$H$164,5,FALSE))</f>
        <v>8</v>
      </c>
      <c r="MQ41" s="904">
        <f>+IFERROR(VLOOKUP(MQ$27&amp;"-"&amp;$M41&amp;"_new",Ammortamento_Finanziario!$H:$L,5,FALSE),VLOOKUP($M41,TT_Tabelle_Riferimento!$D$127:$H$164,5,FALSE))</f>
        <v>8</v>
      </c>
      <c r="MR41" s="1762">
        <f>+IFERROR(VLOOKUP(MR$27&amp;"-"&amp;$M41&amp;"_new",Ammortamento_Finanziario!$H:$L,5,FALSE),VLOOKUP($M41,TT_Tabelle_Riferimento!$D$127:$H$164,5,FALSE))</f>
        <v>8</v>
      </c>
      <c r="MS41" s="1762">
        <f>+IFERROR(VLOOKUP(MS$27&amp;"-"&amp;$M41&amp;"_new",Ammortamento_Finanziario!$H:$L,5,FALSE),VLOOKUP($M41,TT_Tabelle_Riferimento!$D$127:$H$164,5,FALSE))</f>
        <v>8</v>
      </c>
      <c r="MT41" s="1762">
        <f>+IFERROR(VLOOKUP(MT$27&amp;"-"&amp;$M41&amp;"_new",Ammortamento_Finanziario!$H:$L,5,FALSE),VLOOKUP($M41,TT_Tabelle_Riferimento!$D$127:$H$164,5,FALSE))</f>
        <v>8</v>
      </c>
      <c r="MU41" s="1762">
        <f>+IFERROR(VLOOKUP(MU$27&amp;"-"&amp;$M41&amp;"_new",Ammortamento_Finanziario!$H:$L,5,FALSE),VLOOKUP($M41,TT_Tabelle_Riferimento!$D$127:$H$164,5,FALSE))</f>
        <v>8</v>
      </c>
      <c r="MV41" s="1762">
        <f>+IFERROR(VLOOKUP(MV$27&amp;"-"&amp;$M41&amp;"_new",Ammortamento_Finanziario!$H:$L,5,FALSE),VLOOKUP($M41,TT_Tabelle_Riferimento!$D$127:$H$164,5,FALSE))</f>
        <v>8</v>
      </c>
      <c r="MW41" s="1762">
        <f>+IFERROR(VLOOKUP(MW$27&amp;"-"&amp;$M41&amp;"_new",Ammortamento_Finanziario!$H:$L,5,FALSE),VLOOKUP($M41,TT_Tabelle_Riferimento!$D$127:$H$164,5,FALSE))</f>
        <v>8</v>
      </c>
      <c r="MX41" s="904">
        <f>+IFERROR(VLOOKUP(MX$27&amp;"-"&amp;$M41&amp;"_new",Ammortamento_Finanziario!$H:$L,5,FALSE),VLOOKUP($M41,TT_Tabelle_Riferimento!$D$127:$H$164,5,FALSE))</f>
        <v>8</v>
      </c>
      <c r="MY41" s="904">
        <f>+IFERROR(VLOOKUP(MY$27&amp;"-"&amp;$M41&amp;"_new",Ammortamento_Finanziario!$H:$L,5,FALSE),VLOOKUP($M41,TT_Tabelle_Riferimento!$D$127:$H$164,5,FALSE))</f>
        <v>8</v>
      </c>
      <c r="MZ41" s="904">
        <f>+IFERROR(VLOOKUP(MZ$27&amp;"-"&amp;$M41&amp;"_new",Ammortamento_Finanziario!$H:$L,5,FALSE),VLOOKUP($M41,TT_Tabelle_Riferimento!$D$127:$H$164,5,FALSE))</f>
        <v>8</v>
      </c>
      <c r="NA41" s="904">
        <f>+IFERROR(VLOOKUP(NA$27&amp;"-"&amp;$M41&amp;"_new",Ammortamento_Finanziario!$H:$L,5,FALSE),VLOOKUP($M41,TT_Tabelle_Riferimento!$D$127:$H$164,5,FALSE))</f>
        <v>8</v>
      </c>
      <c r="NB41" s="904">
        <f>+IFERROR(VLOOKUP(NB$27&amp;"-"&amp;$M41&amp;"_new",Ammortamento_Finanziario!$H:$L,5,FALSE),VLOOKUP($M41,TT_Tabelle_Riferimento!$D$127:$H$164,5,FALSE))</f>
        <v>8</v>
      </c>
      <c r="NC41" s="904">
        <f>+IFERROR(VLOOKUP(NC$27&amp;"-"&amp;$M41&amp;"_new",Ammortamento_Finanziario!$H:$L,5,FALSE),VLOOKUP($M41,TT_Tabelle_Riferimento!$D$127:$H$164,5,FALSE))</f>
        <v>8</v>
      </c>
      <c r="ND41" s="904">
        <f>+IFERROR(VLOOKUP(ND$27&amp;"-"&amp;$M41&amp;"_new",Ammortamento_Finanziario!$H:$L,5,FALSE),VLOOKUP($M41,TT_Tabelle_Riferimento!$D$127:$H$164,5,FALSE))</f>
        <v>8</v>
      </c>
      <c r="NE41" s="904">
        <f>+IFERROR(VLOOKUP(NE$27&amp;"-"&amp;$M41&amp;"_new",Ammortamento_Finanziario!$H:$L,5,FALSE),VLOOKUP($M41,TT_Tabelle_Riferimento!$D$127:$H$164,5,FALSE))</f>
        <v>8</v>
      </c>
      <c r="NF41" s="904">
        <f>+IFERROR(VLOOKUP(NF$27&amp;"-"&amp;$M41&amp;"_new",Ammortamento_Finanziario!$H:$L,5,FALSE),VLOOKUP($M41,TT_Tabelle_Riferimento!$D$127:$H$164,5,FALSE))</f>
        <v>8</v>
      </c>
      <c r="NG41" s="904">
        <f>+IFERROR(VLOOKUP(NG$27&amp;"-"&amp;$M41&amp;"_new",Ammortamento_Finanziario!$H:$L,5,FALSE),VLOOKUP($M41,TT_Tabelle_Riferimento!$D$127:$H$164,5,FALSE))</f>
        <v>8</v>
      </c>
      <c r="NH41" s="904">
        <f>+IFERROR(VLOOKUP(NH$27&amp;"-"&amp;$M41&amp;"_new",Ammortamento_Finanziario!$H:$L,5,FALSE),VLOOKUP($M41,TT_Tabelle_Riferimento!$D$127:$H$164,5,FALSE))</f>
        <v>8</v>
      </c>
      <c r="NI41" s="904">
        <f>+IFERROR(VLOOKUP(NI$27&amp;"-"&amp;$M41&amp;"_new",Ammortamento_Finanziario!$H:$L,5,FALSE),VLOOKUP($M41,TT_Tabelle_Riferimento!$D$127:$H$164,5,FALSE))</f>
        <v>8</v>
      </c>
      <c r="NJ41" s="904">
        <f>+IFERROR(VLOOKUP(NJ$27&amp;"-"&amp;$M41&amp;"_new",Ammortamento_Finanziario!$H:$L,5,FALSE),VLOOKUP($M41,TT_Tabelle_Riferimento!$D$127:$H$164,5,FALSE))</f>
        <v>8</v>
      </c>
      <c r="NK41" s="904">
        <f>+IFERROR(VLOOKUP(NK$27&amp;"-"&amp;$M41&amp;"_new",Ammortamento_Finanziario!$H:$L,5,FALSE),VLOOKUP($M41,TT_Tabelle_Riferimento!$D$127:$H$164,5,FALSE))</f>
        <v>8</v>
      </c>
      <c r="NL41" s="904">
        <f>+IFERROR(VLOOKUP(NL$27&amp;"-"&amp;$M41&amp;"_new",Ammortamento_Finanziario!$H:$L,5,FALSE),VLOOKUP($M41,TT_Tabelle_Riferimento!$D$127:$H$164,5,FALSE))</f>
        <v>8</v>
      </c>
      <c r="NM41" s="904">
        <f>+IFERROR(VLOOKUP(NM$27&amp;"-"&amp;$M41&amp;"_new",Ammortamento_Finanziario!$H:$L,5,FALSE),VLOOKUP($M41,TT_Tabelle_Riferimento!$D$127:$H$164,5,FALSE))</f>
        <v>8</v>
      </c>
      <c r="NN41" s="904">
        <f>+IFERROR(VLOOKUP(NN$27&amp;"-"&amp;$M41&amp;"_new",Ammortamento_Finanziario!$H:$L,5,FALSE),VLOOKUP($M41,TT_Tabelle_Riferimento!$D$127:$H$164,5,FALSE))</f>
        <v>8</v>
      </c>
      <c r="NO41" s="904">
        <f>+IFERROR(VLOOKUP(NO$27&amp;"-"&amp;$M41&amp;"_new",Ammortamento_Finanziario!$H:$L,5,FALSE),VLOOKUP($M41,TT_Tabelle_Riferimento!$D$127:$H$164,5,FALSE))</f>
        <v>8</v>
      </c>
      <c r="NP41" s="904">
        <f>+IFERROR(VLOOKUP(NP$27&amp;"-"&amp;$M41&amp;"_new",Ammortamento_Finanziario!$H:$L,5,FALSE),VLOOKUP($M41,TT_Tabelle_Riferimento!$D$127:$H$164,5,FALSE))</f>
        <v>8</v>
      </c>
      <c r="NQ41" s="1762">
        <f>+IFERROR(VLOOKUP(NQ$27&amp;"-"&amp;$M41&amp;"_new",Ammortamento_Finanziario!$H:$L,5,FALSE),VLOOKUP($M41,TT_Tabelle_Riferimento!$D$127:$H$164,5,FALSE))</f>
        <v>8</v>
      </c>
      <c r="NR41" s="1762">
        <f>+IFERROR(VLOOKUP(NR$27&amp;"-"&amp;$M41&amp;"_new",Ammortamento_Finanziario!$H:$L,5,FALSE),VLOOKUP($M41,TT_Tabelle_Riferimento!$D$127:$H$164,5,FALSE))</f>
        <v>8</v>
      </c>
      <c r="NS41" s="1762">
        <f>+IFERROR(VLOOKUP(NS$27&amp;"-"&amp;$M41&amp;"_new",Ammortamento_Finanziario!$H:$L,5,FALSE),VLOOKUP($M41,TT_Tabelle_Riferimento!$D$127:$H$164,5,FALSE))</f>
        <v>8</v>
      </c>
      <c r="NT41" s="1762">
        <f>+IFERROR(VLOOKUP(NT$27&amp;"-"&amp;$M41&amp;"_new",Ammortamento_Finanziario!$H:$L,5,FALSE),VLOOKUP($M41,TT_Tabelle_Riferimento!$D$127:$H$164,5,FALSE))</f>
        <v>8</v>
      </c>
      <c r="NU41" s="1762">
        <f>+IFERROR(VLOOKUP(NU$27&amp;"-"&amp;$M41&amp;"_new",Ammortamento_Finanziario!$H:$L,5,FALSE),VLOOKUP($M41,TT_Tabelle_Riferimento!$D$127:$H$164,5,FALSE))</f>
        <v>8</v>
      </c>
      <c r="NV41" s="904">
        <f>+IFERROR(VLOOKUP(NV$27&amp;"-"&amp;$M41&amp;"_new",Ammortamento_Finanziario!$H:$L,5,FALSE),VLOOKUP($M41,TT_Tabelle_Riferimento!$D$127:$H$164,5,FALSE))</f>
        <v>8</v>
      </c>
      <c r="NW41" s="904">
        <f>+IFERROR(VLOOKUP(NW$27&amp;"-"&amp;$M41&amp;"_new",Ammortamento_Finanziario!$H:$L,5,FALSE),VLOOKUP($M41,TT_Tabelle_Riferimento!$D$127:$H$164,5,FALSE))</f>
        <v>8</v>
      </c>
      <c r="NX41" s="904">
        <f>+IFERROR(VLOOKUP(NX$27&amp;"-"&amp;$M41&amp;"_new",Ammortamento_Finanziario!$H:$L,5,FALSE),VLOOKUP($M41,TT_Tabelle_Riferimento!$D$127:$H$164,5,FALSE))</f>
        <v>8</v>
      </c>
      <c r="NY41" s="904">
        <f>+IFERROR(VLOOKUP(NY$27&amp;"-"&amp;$M41&amp;"_new",Ammortamento_Finanziario!$H:$L,5,FALSE),VLOOKUP($M41,TT_Tabelle_Riferimento!$D$127:$H$164,5,FALSE))</f>
        <v>8</v>
      </c>
      <c r="NZ41" s="904">
        <f>+IFERROR(VLOOKUP(NZ$27&amp;"-"&amp;$M41&amp;"_new",Ammortamento_Finanziario!$H:$L,5,FALSE),VLOOKUP($M41,TT_Tabelle_Riferimento!$D$127:$H$164,5,FALSE))</f>
        <v>8</v>
      </c>
      <c r="OA41" s="904">
        <f>+IFERROR(VLOOKUP(OA$27&amp;"-"&amp;$M41&amp;"_new",Ammortamento_Finanziario!$H:$L,5,FALSE),VLOOKUP($M41,TT_Tabelle_Riferimento!$D$127:$H$164,5,FALSE))</f>
        <v>8</v>
      </c>
      <c r="OB41" s="904">
        <f>+IFERROR(VLOOKUP(OB$27&amp;"-"&amp;$M41&amp;"_new",Ammortamento_Finanziario!$H:$L,5,FALSE),VLOOKUP($M41,TT_Tabelle_Riferimento!$D$127:$H$164,5,FALSE))</f>
        <v>8</v>
      </c>
      <c r="OC41" s="904">
        <f>+IFERROR(VLOOKUP(OC$27&amp;"-"&amp;$M41&amp;"_new",Ammortamento_Finanziario!$H:$L,5,FALSE),VLOOKUP($M41,TT_Tabelle_Riferimento!$D$127:$H$164,5,FALSE))</f>
        <v>8</v>
      </c>
      <c r="OD41" s="904">
        <f>+IFERROR(VLOOKUP(OD$27&amp;"-"&amp;$M41&amp;"_new",Ammortamento_Finanziario!$H:$L,5,FALSE),VLOOKUP($M41,TT_Tabelle_Riferimento!$D$127:$H$164,5,FALSE))</f>
        <v>8</v>
      </c>
      <c r="OE41" s="904">
        <f>+IFERROR(VLOOKUP(OE$27&amp;"-"&amp;$M41&amp;"_new",Ammortamento_Finanziario!$H:$L,5,FALSE),VLOOKUP($M41,TT_Tabelle_Riferimento!$D$127:$H$164,5,FALSE))</f>
        <v>8</v>
      </c>
      <c r="OF41" s="904">
        <f>+IFERROR(VLOOKUP(OF$27&amp;"-"&amp;$M41&amp;"_new",Ammortamento_Finanziario!$H:$L,5,FALSE),VLOOKUP($M41,TT_Tabelle_Riferimento!$D$127:$H$164,5,FALSE))</f>
        <v>8</v>
      </c>
      <c r="OG41" s="904">
        <f>+IFERROR(VLOOKUP(OG$27&amp;"-"&amp;$M41&amp;"_new",Ammortamento_Finanziario!$H:$L,5,FALSE),VLOOKUP($M41,TT_Tabelle_Riferimento!$D$127:$H$164,5,FALSE))</f>
        <v>8</v>
      </c>
      <c r="OH41" s="904">
        <f>+IFERROR(VLOOKUP(OH$27&amp;"-"&amp;$M41&amp;"_new",Ammortamento_Finanziario!$H:$L,5,FALSE),VLOOKUP($M41,TT_Tabelle_Riferimento!$D$127:$H$164,5,FALSE))</f>
        <v>8</v>
      </c>
      <c r="OI41" s="904">
        <f>+IFERROR(VLOOKUP(OI$27&amp;"-"&amp;$M41&amp;"_new",Ammortamento_Finanziario!$H:$L,5,FALSE),VLOOKUP($M41,TT_Tabelle_Riferimento!$D$127:$H$164,5,FALSE))</f>
        <v>8</v>
      </c>
      <c r="OJ41" s="904">
        <f>+IFERROR(VLOOKUP(OJ$27&amp;"-"&amp;$M41&amp;"_new",Ammortamento_Finanziario!$H:$L,5,FALSE),VLOOKUP($M41,TT_Tabelle_Riferimento!$D$127:$H$164,5,FALSE))</f>
        <v>8</v>
      </c>
      <c r="OK41" s="904">
        <f>+IFERROR(VLOOKUP(OK$27&amp;"-"&amp;$M41&amp;"_new",Ammortamento_Finanziario!$H:$L,5,FALSE),VLOOKUP($M41,TT_Tabelle_Riferimento!$D$127:$H$164,5,FALSE))</f>
        <v>8</v>
      </c>
      <c r="OL41" s="904">
        <f>+IFERROR(VLOOKUP(OL$27&amp;"-"&amp;$M41&amp;"_new",Ammortamento_Finanziario!$H:$L,5,FALSE),VLOOKUP($M41,TT_Tabelle_Riferimento!$D$127:$H$164,5,FALSE))</f>
        <v>8</v>
      </c>
      <c r="OM41" s="904">
        <f>+IFERROR(VLOOKUP(OM$27&amp;"-"&amp;$M41&amp;"_new",Ammortamento_Finanziario!$H:$L,5,FALSE),VLOOKUP($M41,TT_Tabelle_Riferimento!$D$127:$H$164,5,FALSE))</f>
        <v>8</v>
      </c>
      <c r="ON41" s="904">
        <f>+IFERROR(VLOOKUP(ON$27&amp;"-"&amp;$M41&amp;"_new",Ammortamento_Finanziario!$H:$L,5,FALSE),VLOOKUP($M41,TT_Tabelle_Riferimento!$D$127:$H$164,5,FALSE))</f>
        <v>8</v>
      </c>
      <c r="OO41" s="1762">
        <f>+IFERROR(VLOOKUP(OO$27&amp;"-"&amp;$M41&amp;"_new",Ammortamento_Finanziario!$H:$L,5,FALSE),VLOOKUP($M41,TT_Tabelle_Riferimento!$D$127:$H$164,5,FALSE))</f>
        <v>8</v>
      </c>
      <c r="OP41" s="1762">
        <f>+IFERROR(VLOOKUP(OP$27&amp;"-"&amp;$M41&amp;"_new",Ammortamento_Finanziario!$H:$L,5,FALSE),VLOOKUP($M41,TT_Tabelle_Riferimento!$D$127:$H$164,5,FALSE))</f>
        <v>8</v>
      </c>
      <c r="OQ41" s="1762">
        <f>+IFERROR(VLOOKUP(OQ$27&amp;"-"&amp;$M41&amp;"_new",Ammortamento_Finanziario!$H:$L,5,FALSE),VLOOKUP($M41,TT_Tabelle_Riferimento!$D$127:$H$164,5,FALSE))</f>
        <v>8</v>
      </c>
      <c r="OR41" s="1762">
        <f>+IFERROR(VLOOKUP(OR$27&amp;"-"&amp;$M41&amp;"_new",Ammortamento_Finanziario!$H:$L,5,FALSE),VLOOKUP($M41,TT_Tabelle_Riferimento!$D$127:$H$164,5,FALSE))</f>
        <v>8</v>
      </c>
      <c r="OS41" s="904">
        <f>+IFERROR(VLOOKUP(OS$27&amp;"-"&amp;$M41&amp;"_new",Ammortamento_Finanziario!$H:$L,5,FALSE),VLOOKUP($M41,TT_Tabelle_Riferimento!$D$127:$H$164,5,FALSE))</f>
        <v>8</v>
      </c>
      <c r="OT41" s="904">
        <f>+IFERROR(VLOOKUP(OT$27&amp;"-"&amp;$M41&amp;"_new",Ammortamento_Finanziario!$H:$L,5,FALSE),VLOOKUP($M41,TT_Tabelle_Riferimento!$D$127:$H$164,5,FALSE))</f>
        <v>8</v>
      </c>
      <c r="OU41" s="904">
        <f>+IFERROR(VLOOKUP(OU$27&amp;"-"&amp;$M41&amp;"_new",Ammortamento_Finanziario!$H:$L,5,FALSE),VLOOKUP($M41,TT_Tabelle_Riferimento!$D$127:$H$164,5,FALSE))</f>
        <v>8</v>
      </c>
      <c r="OV41" s="904">
        <f>+IFERROR(VLOOKUP(OV$27&amp;"-"&amp;$M41&amp;"_new",Ammortamento_Finanziario!$H:$L,5,FALSE),VLOOKUP($M41,TT_Tabelle_Riferimento!$D$127:$H$164,5,FALSE))</f>
        <v>8</v>
      </c>
      <c r="OW41" s="904">
        <f>+IFERROR(VLOOKUP(OW$27&amp;"-"&amp;$M41&amp;"_new",Ammortamento_Finanziario!$H:$L,5,FALSE),VLOOKUP($M41,TT_Tabelle_Riferimento!$D$127:$H$164,5,FALSE))</f>
        <v>8</v>
      </c>
      <c r="OX41" s="904">
        <f>+IFERROR(VLOOKUP(OX$27&amp;"-"&amp;$M41&amp;"_new",Ammortamento_Finanziario!$H:$L,5,FALSE),VLOOKUP($M41,TT_Tabelle_Riferimento!$D$127:$H$164,5,FALSE))</f>
        <v>8</v>
      </c>
      <c r="OY41" s="904">
        <f>+IFERROR(VLOOKUP(OY$27&amp;"-"&amp;$M41&amp;"_new",Ammortamento_Finanziario!$H:$L,5,FALSE),VLOOKUP($M41,TT_Tabelle_Riferimento!$D$127:$H$164,5,FALSE))</f>
        <v>8</v>
      </c>
      <c r="OZ41" s="904">
        <f>+IFERROR(VLOOKUP(OZ$27&amp;"-"&amp;$M41&amp;"_new",Ammortamento_Finanziario!$H:$L,5,FALSE),VLOOKUP($M41,TT_Tabelle_Riferimento!$D$127:$H$164,5,FALSE))</f>
        <v>8</v>
      </c>
      <c r="PA41" s="904">
        <f>+IFERROR(VLOOKUP(PA$27&amp;"-"&amp;$M41&amp;"_new",Ammortamento_Finanziario!$H:$L,5,FALSE),VLOOKUP($M41,TT_Tabelle_Riferimento!$D$127:$H$164,5,FALSE))</f>
        <v>8</v>
      </c>
      <c r="PB41" s="904">
        <f>+IFERROR(VLOOKUP(PB$27&amp;"-"&amp;$M41&amp;"_new",Ammortamento_Finanziario!$H:$L,5,FALSE),VLOOKUP($M41,TT_Tabelle_Riferimento!$D$127:$H$164,5,FALSE))</f>
        <v>8</v>
      </c>
      <c r="PC41" s="904">
        <f>+IFERROR(VLOOKUP(PC$27&amp;"-"&amp;$M41&amp;"_new",Ammortamento_Finanziario!$H:$L,5,FALSE),VLOOKUP($M41,TT_Tabelle_Riferimento!$D$127:$H$164,5,FALSE))</f>
        <v>8</v>
      </c>
      <c r="PD41" s="904">
        <f>+IFERROR(VLOOKUP(PD$27&amp;"-"&amp;$M41&amp;"_new",Ammortamento_Finanziario!$H:$L,5,FALSE),VLOOKUP($M41,TT_Tabelle_Riferimento!$D$127:$H$164,5,FALSE))</f>
        <v>8</v>
      </c>
      <c r="PE41" s="904">
        <f>+IFERROR(VLOOKUP(PE$27&amp;"-"&amp;$M41&amp;"_new",Ammortamento_Finanziario!$H:$L,5,FALSE),VLOOKUP($M41,TT_Tabelle_Riferimento!$D$127:$H$164,5,FALSE))</f>
        <v>8</v>
      </c>
      <c r="PF41" s="904">
        <f>+IFERROR(VLOOKUP(PF$27&amp;"-"&amp;$M41&amp;"_new",Ammortamento_Finanziario!$H:$L,5,FALSE),VLOOKUP($M41,TT_Tabelle_Riferimento!$D$127:$H$164,5,FALSE))</f>
        <v>8</v>
      </c>
      <c r="PG41" s="904">
        <f>+IFERROR(VLOOKUP(PG$27&amp;"-"&amp;$M41&amp;"_new",Ammortamento_Finanziario!$H:$L,5,FALSE),VLOOKUP($M41,TT_Tabelle_Riferimento!$D$127:$H$164,5,FALSE))</f>
        <v>8</v>
      </c>
      <c r="PH41" s="904">
        <f>+IFERROR(VLOOKUP(PH$27&amp;"-"&amp;$M41&amp;"_new",Ammortamento_Finanziario!$H:$L,5,FALSE),VLOOKUP($M41,TT_Tabelle_Riferimento!$D$127:$H$164,5,FALSE))</f>
        <v>8</v>
      </c>
      <c r="PI41" s="904">
        <f>+IFERROR(VLOOKUP(PI$27&amp;"-"&amp;$M41&amp;"_new",Ammortamento_Finanziario!$H:$L,5,FALSE),VLOOKUP($M41,TT_Tabelle_Riferimento!$D$127:$H$164,5,FALSE))</f>
        <v>8</v>
      </c>
      <c r="PJ41" s="904">
        <f>+IFERROR(VLOOKUP(PJ$27&amp;"-"&amp;$M41&amp;"_new",Ammortamento_Finanziario!$H:$L,5,FALSE),VLOOKUP($M41,TT_Tabelle_Riferimento!$D$127:$H$164,5,FALSE))</f>
        <v>8</v>
      </c>
      <c r="PK41" s="904">
        <f>+IFERROR(VLOOKUP(PK$27&amp;"-"&amp;$M41&amp;"_new",Ammortamento_Finanziario!$H:$L,5,FALSE),VLOOKUP($M41,TT_Tabelle_Riferimento!$D$127:$H$164,5,FALSE))</f>
        <v>8</v>
      </c>
      <c r="PL41" s="1762">
        <f>+IFERROR(VLOOKUP(PL$27&amp;"-"&amp;$M41&amp;"_new",Ammortamento_Finanziario!$H:$L,5,FALSE),VLOOKUP($M41,TT_Tabelle_Riferimento!$D$127:$H$164,5,FALSE))</f>
        <v>8</v>
      </c>
      <c r="PM41" s="1762">
        <f>+IFERROR(VLOOKUP(PM$27&amp;"-"&amp;$M41&amp;"_new",Ammortamento_Finanziario!$H:$L,5,FALSE),VLOOKUP($M41,TT_Tabelle_Riferimento!$D$127:$H$164,5,FALSE))</f>
        <v>8</v>
      </c>
      <c r="PN41" s="1762">
        <f>+IFERROR(VLOOKUP(PN$27&amp;"-"&amp;$M41&amp;"_new",Ammortamento_Finanziario!$H:$L,5,FALSE),VLOOKUP($M41,TT_Tabelle_Riferimento!$D$127:$H$164,5,FALSE))</f>
        <v>8</v>
      </c>
      <c r="PO41" s="904">
        <f>+IFERROR(VLOOKUP(PO$27&amp;"-"&amp;$M41&amp;"_new",Ammortamento_Finanziario!$H:$L,5,FALSE),VLOOKUP($M41,TT_Tabelle_Riferimento!$D$127:$H$164,5,FALSE))</f>
        <v>8</v>
      </c>
      <c r="PP41" s="904">
        <f>+IFERROR(VLOOKUP(PP$27&amp;"-"&amp;$M41&amp;"_new",Ammortamento_Finanziario!$H:$L,5,FALSE),VLOOKUP($M41,TT_Tabelle_Riferimento!$D$127:$H$164,5,FALSE))</f>
        <v>8</v>
      </c>
      <c r="PQ41" s="904">
        <f>+IFERROR(VLOOKUP(PQ$27&amp;"-"&amp;$M41&amp;"_new",Ammortamento_Finanziario!$H:$L,5,FALSE),VLOOKUP($M41,TT_Tabelle_Riferimento!$D$127:$H$164,5,FALSE))</f>
        <v>8</v>
      </c>
      <c r="PR41" s="904">
        <f>+IFERROR(VLOOKUP(PR$27&amp;"-"&amp;$M41&amp;"_new",Ammortamento_Finanziario!$H:$L,5,FALSE),VLOOKUP($M41,TT_Tabelle_Riferimento!$D$127:$H$164,5,FALSE))</f>
        <v>8</v>
      </c>
      <c r="PS41" s="904">
        <f>+IFERROR(VLOOKUP(PS$27&amp;"-"&amp;$M41&amp;"_new",Ammortamento_Finanziario!$H:$L,5,FALSE),VLOOKUP($M41,TT_Tabelle_Riferimento!$D$127:$H$164,5,FALSE))</f>
        <v>8</v>
      </c>
      <c r="PT41" s="904">
        <f>+IFERROR(VLOOKUP(PT$27&amp;"-"&amp;$M41&amp;"_new",Ammortamento_Finanziario!$H:$L,5,FALSE),VLOOKUP($M41,TT_Tabelle_Riferimento!$D$127:$H$164,5,FALSE))</f>
        <v>8</v>
      </c>
      <c r="PU41" s="904">
        <f>+IFERROR(VLOOKUP(PU$27&amp;"-"&amp;$M41&amp;"_new",Ammortamento_Finanziario!$H:$L,5,FALSE),VLOOKUP($M41,TT_Tabelle_Riferimento!$D$127:$H$164,5,FALSE))</f>
        <v>8</v>
      </c>
      <c r="PV41" s="904">
        <f>+IFERROR(VLOOKUP(PV$27&amp;"-"&amp;$M41&amp;"_new",Ammortamento_Finanziario!$H:$L,5,FALSE),VLOOKUP($M41,TT_Tabelle_Riferimento!$D$127:$H$164,5,FALSE))</f>
        <v>8</v>
      </c>
      <c r="PW41" s="904">
        <f>+IFERROR(VLOOKUP(PW$27&amp;"-"&amp;$M41&amp;"_new",Ammortamento_Finanziario!$H:$L,5,FALSE),VLOOKUP($M41,TT_Tabelle_Riferimento!$D$127:$H$164,5,FALSE))</f>
        <v>8</v>
      </c>
      <c r="PX41" s="904">
        <f>+IFERROR(VLOOKUP(PX$27&amp;"-"&amp;$M41&amp;"_new",Ammortamento_Finanziario!$H:$L,5,FALSE),VLOOKUP($M41,TT_Tabelle_Riferimento!$D$127:$H$164,5,FALSE))</f>
        <v>8</v>
      </c>
      <c r="PY41" s="904">
        <f>+IFERROR(VLOOKUP(PY$27&amp;"-"&amp;$M41&amp;"_new",Ammortamento_Finanziario!$H:$L,5,FALSE),VLOOKUP($M41,TT_Tabelle_Riferimento!$D$127:$H$164,5,FALSE))</f>
        <v>8</v>
      </c>
      <c r="PZ41" s="904">
        <f>+IFERROR(VLOOKUP(PZ$27&amp;"-"&amp;$M41&amp;"_new",Ammortamento_Finanziario!$H:$L,5,FALSE),VLOOKUP($M41,TT_Tabelle_Riferimento!$D$127:$H$164,5,FALSE))</f>
        <v>8</v>
      </c>
      <c r="QA41" s="904">
        <f>+IFERROR(VLOOKUP(QA$27&amp;"-"&amp;$M41&amp;"_new",Ammortamento_Finanziario!$H:$L,5,FALSE),VLOOKUP($M41,TT_Tabelle_Riferimento!$D$127:$H$164,5,FALSE))</f>
        <v>8</v>
      </c>
      <c r="QB41" s="904">
        <f>+IFERROR(VLOOKUP(QB$27&amp;"-"&amp;$M41&amp;"_new",Ammortamento_Finanziario!$H:$L,5,FALSE),VLOOKUP($M41,TT_Tabelle_Riferimento!$D$127:$H$164,5,FALSE))</f>
        <v>8</v>
      </c>
      <c r="QC41" s="904">
        <f>+IFERROR(VLOOKUP(QC$27&amp;"-"&amp;$M41&amp;"_new",Ammortamento_Finanziario!$H:$L,5,FALSE),VLOOKUP($M41,TT_Tabelle_Riferimento!$D$127:$H$164,5,FALSE))</f>
        <v>8</v>
      </c>
      <c r="QD41" s="904">
        <f>+IFERROR(VLOOKUP(QD$27&amp;"-"&amp;$M41&amp;"_new",Ammortamento_Finanziario!$H:$L,5,FALSE),VLOOKUP($M41,TT_Tabelle_Riferimento!$D$127:$H$164,5,FALSE))</f>
        <v>8</v>
      </c>
      <c r="QE41" s="904">
        <f>+IFERROR(VLOOKUP(QE$27&amp;"-"&amp;$M41&amp;"_new",Ammortamento_Finanziario!$H:$L,5,FALSE),VLOOKUP($M41,TT_Tabelle_Riferimento!$D$127:$H$164,5,FALSE))</f>
        <v>8</v>
      </c>
      <c r="QF41" s="904">
        <f>+IFERROR(VLOOKUP(QF$27&amp;"-"&amp;$M41&amp;"_new",Ammortamento_Finanziario!$H:$L,5,FALSE),VLOOKUP($M41,TT_Tabelle_Riferimento!$D$127:$H$164,5,FALSE))</f>
        <v>8</v>
      </c>
      <c r="QG41" s="904">
        <f>+IFERROR(VLOOKUP(QG$27&amp;"-"&amp;$M41&amp;"_new",Ammortamento_Finanziario!$H:$L,5,FALSE),VLOOKUP($M41,TT_Tabelle_Riferimento!$D$127:$H$164,5,FALSE))</f>
        <v>8</v>
      </c>
      <c r="QH41" s="1762">
        <f>+IFERROR(VLOOKUP(QH$27&amp;"-"&amp;$M41&amp;"_new",Ammortamento_Finanziario!$H:$L,5,FALSE),VLOOKUP($M41,TT_Tabelle_Riferimento!$D$127:$H$164,5,FALSE))</f>
        <v>8</v>
      </c>
      <c r="QI41" s="1762">
        <f>+IFERROR(VLOOKUP(QI$27&amp;"-"&amp;$M41&amp;"_new",Ammortamento_Finanziario!$H:$L,5,FALSE),VLOOKUP($M41,TT_Tabelle_Riferimento!$D$127:$H$164,5,FALSE))</f>
        <v>8</v>
      </c>
      <c r="QJ41" s="904">
        <f>+IFERROR(VLOOKUP(QJ$27&amp;"-"&amp;$M41&amp;"_new",Ammortamento_Finanziario!$H:$L,5,FALSE),VLOOKUP($M41,TT_Tabelle_Riferimento!$D$127:$H$164,5,FALSE))</f>
        <v>8</v>
      </c>
      <c r="QK41" s="904">
        <f>+IFERROR(VLOOKUP(QK$27&amp;"-"&amp;$M41&amp;"_new",Ammortamento_Finanziario!$H:$L,5,FALSE),VLOOKUP($M41,TT_Tabelle_Riferimento!$D$127:$H$164,5,FALSE))</f>
        <v>8</v>
      </c>
      <c r="QL41" s="904">
        <f>+IFERROR(VLOOKUP(QL$27&amp;"-"&amp;$M41&amp;"_new",Ammortamento_Finanziario!$H:$L,5,FALSE),VLOOKUP($M41,TT_Tabelle_Riferimento!$D$127:$H$164,5,FALSE))</f>
        <v>8</v>
      </c>
      <c r="QM41" s="904">
        <f>+IFERROR(VLOOKUP(QM$27&amp;"-"&amp;$M41&amp;"_new",Ammortamento_Finanziario!$H:$L,5,FALSE),VLOOKUP($M41,TT_Tabelle_Riferimento!$D$127:$H$164,5,FALSE))</f>
        <v>8</v>
      </c>
      <c r="QN41" s="904">
        <f>+IFERROR(VLOOKUP(QN$27&amp;"-"&amp;$M41&amp;"_new",Ammortamento_Finanziario!$H:$L,5,FALSE),VLOOKUP($M41,TT_Tabelle_Riferimento!$D$127:$H$164,5,FALSE))</f>
        <v>8</v>
      </c>
      <c r="QO41" s="904">
        <f>+IFERROR(VLOOKUP(QO$27&amp;"-"&amp;$M41&amp;"_new",Ammortamento_Finanziario!$H:$L,5,FALSE),VLOOKUP($M41,TT_Tabelle_Riferimento!$D$127:$H$164,5,FALSE))</f>
        <v>8</v>
      </c>
      <c r="QP41" s="904">
        <f>+IFERROR(VLOOKUP(QP$27&amp;"-"&amp;$M41&amp;"_new",Ammortamento_Finanziario!$H:$L,5,FALSE),VLOOKUP($M41,TT_Tabelle_Riferimento!$D$127:$H$164,5,FALSE))</f>
        <v>8</v>
      </c>
      <c r="QQ41" s="904">
        <f>+IFERROR(VLOOKUP(QQ$27&amp;"-"&amp;$M41&amp;"_new",Ammortamento_Finanziario!$H:$L,5,FALSE),VLOOKUP($M41,TT_Tabelle_Riferimento!$D$127:$H$164,5,FALSE))</f>
        <v>8</v>
      </c>
      <c r="QR41" s="904">
        <f>+IFERROR(VLOOKUP(QR$27&amp;"-"&amp;$M41&amp;"_new",Ammortamento_Finanziario!$H:$L,5,FALSE),VLOOKUP($M41,TT_Tabelle_Riferimento!$D$127:$H$164,5,FALSE))</f>
        <v>8</v>
      </c>
      <c r="QS41" s="904">
        <f>+IFERROR(VLOOKUP(QS$27&amp;"-"&amp;$M41&amp;"_new",Ammortamento_Finanziario!$H:$L,5,FALSE),VLOOKUP($M41,TT_Tabelle_Riferimento!$D$127:$H$164,5,FALSE))</f>
        <v>8</v>
      </c>
      <c r="QT41" s="904">
        <f>+IFERROR(VLOOKUP(QT$27&amp;"-"&amp;$M41&amp;"_new",Ammortamento_Finanziario!$H:$L,5,FALSE),VLOOKUP($M41,TT_Tabelle_Riferimento!$D$127:$H$164,5,FALSE))</f>
        <v>8</v>
      </c>
      <c r="QU41" s="904">
        <f>+IFERROR(VLOOKUP(QU$27&amp;"-"&amp;$M41&amp;"_new",Ammortamento_Finanziario!$H:$L,5,FALSE),VLOOKUP($M41,TT_Tabelle_Riferimento!$D$127:$H$164,5,FALSE))</f>
        <v>8</v>
      </c>
      <c r="QV41" s="904">
        <f>+IFERROR(VLOOKUP(QV$27&amp;"-"&amp;$M41&amp;"_new",Ammortamento_Finanziario!$H:$L,5,FALSE),VLOOKUP($M41,TT_Tabelle_Riferimento!$D$127:$H$164,5,FALSE))</f>
        <v>8</v>
      </c>
      <c r="QW41" s="904">
        <f>+IFERROR(VLOOKUP(QW$27&amp;"-"&amp;$M41&amp;"_new",Ammortamento_Finanziario!$H:$L,5,FALSE),VLOOKUP($M41,TT_Tabelle_Riferimento!$D$127:$H$164,5,FALSE))</f>
        <v>8</v>
      </c>
      <c r="QX41" s="904">
        <f>+IFERROR(VLOOKUP(QX$27&amp;"-"&amp;$M41&amp;"_new",Ammortamento_Finanziario!$H:$L,5,FALSE),VLOOKUP($M41,TT_Tabelle_Riferimento!$D$127:$H$164,5,FALSE))</f>
        <v>8</v>
      </c>
      <c r="QY41" s="904">
        <f>+IFERROR(VLOOKUP(QY$27&amp;"-"&amp;$M41&amp;"_new",Ammortamento_Finanziario!$H:$L,5,FALSE),VLOOKUP($M41,TT_Tabelle_Riferimento!$D$127:$H$164,5,FALSE))</f>
        <v>8</v>
      </c>
      <c r="QZ41" s="904">
        <f>+IFERROR(VLOOKUP(QZ$27&amp;"-"&amp;$M41&amp;"_new",Ammortamento_Finanziario!$H:$L,5,FALSE),VLOOKUP($M41,TT_Tabelle_Riferimento!$D$127:$H$164,5,FALSE))</f>
        <v>8</v>
      </c>
      <c r="RA41" s="904">
        <f>+IFERROR(VLOOKUP(RA$27&amp;"-"&amp;$M41&amp;"_new",Ammortamento_Finanziario!$H:$L,5,FALSE),VLOOKUP($M41,TT_Tabelle_Riferimento!$D$127:$H$164,5,FALSE))</f>
        <v>8</v>
      </c>
      <c r="RB41" s="904">
        <f>+IFERROR(VLOOKUP(RB$27&amp;"-"&amp;$M41&amp;"_new",Ammortamento_Finanziario!$H:$L,5,FALSE),VLOOKUP($M41,TT_Tabelle_Riferimento!$D$127:$H$164,5,FALSE))</f>
        <v>8</v>
      </c>
      <c r="RC41" s="1762">
        <f>+IFERROR(VLOOKUP(RC$27&amp;"-"&amp;$M41&amp;"_new",Ammortamento_Finanziario!$H:$L,5,FALSE),VLOOKUP($M41,TT_Tabelle_Riferimento!$D$127:$H$164,5,FALSE))</f>
        <v>8</v>
      </c>
      <c r="RD41" s="904">
        <f>+IFERROR(VLOOKUP(RD$27&amp;"-"&amp;$M41&amp;"_new",Ammortamento_Finanziario!$H:$L,5,FALSE),VLOOKUP($M41,TT_Tabelle_Riferimento!$D$127:$H$164,5,FALSE))</f>
        <v>8</v>
      </c>
      <c r="RE41" s="904">
        <f>+IFERROR(VLOOKUP(RE$27&amp;"-"&amp;$M41&amp;"_new",Ammortamento_Finanziario!$H:$L,5,FALSE),VLOOKUP($M41,TT_Tabelle_Riferimento!$D$127:$H$164,5,FALSE))</f>
        <v>8</v>
      </c>
      <c r="RF41" s="904">
        <f>+IFERROR(VLOOKUP(RF$27&amp;"-"&amp;$M41&amp;"_new",Ammortamento_Finanziario!$H:$L,5,FALSE),VLOOKUP($M41,TT_Tabelle_Riferimento!$D$127:$H$164,5,FALSE))</f>
        <v>8</v>
      </c>
      <c r="RG41" s="904">
        <f>+IFERROR(VLOOKUP(RG$27&amp;"-"&amp;$M41&amp;"_new",Ammortamento_Finanziario!$H:$L,5,FALSE),VLOOKUP($M41,TT_Tabelle_Riferimento!$D$127:$H$164,5,FALSE))</f>
        <v>8</v>
      </c>
      <c r="RH41" s="904">
        <f>+IFERROR(VLOOKUP(RH$27&amp;"-"&amp;$M41&amp;"_new",Ammortamento_Finanziario!$H:$L,5,FALSE),VLOOKUP($M41,TT_Tabelle_Riferimento!$D$127:$H$164,5,FALSE))</f>
        <v>8</v>
      </c>
      <c r="RI41" s="904">
        <f>+IFERROR(VLOOKUP(RI$27&amp;"-"&amp;$M41&amp;"_new",Ammortamento_Finanziario!$H:$L,5,FALSE),VLOOKUP($M41,TT_Tabelle_Riferimento!$D$127:$H$164,5,FALSE))</f>
        <v>8</v>
      </c>
      <c r="RJ41" s="904">
        <f>+IFERROR(VLOOKUP(RJ$27&amp;"-"&amp;$M41&amp;"_new",Ammortamento_Finanziario!$H:$L,5,FALSE),VLOOKUP($M41,TT_Tabelle_Riferimento!$D$127:$H$164,5,FALSE))</f>
        <v>8</v>
      </c>
      <c r="RK41" s="904">
        <f>+IFERROR(VLOOKUP(RK$27&amp;"-"&amp;$M41&amp;"_new",Ammortamento_Finanziario!$H:$L,5,FALSE),VLOOKUP($M41,TT_Tabelle_Riferimento!$D$127:$H$164,5,FALSE))</f>
        <v>8</v>
      </c>
      <c r="RL41" s="904">
        <f>+IFERROR(VLOOKUP(RL$27&amp;"-"&amp;$M41&amp;"_new",Ammortamento_Finanziario!$H:$L,5,FALSE),VLOOKUP($M41,TT_Tabelle_Riferimento!$D$127:$H$164,5,FALSE))</f>
        <v>8</v>
      </c>
      <c r="RM41" s="904">
        <f>+IFERROR(VLOOKUP(RM$27&amp;"-"&amp;$M41&amp;"_new",Ammortamento_Finanziario!$H:$L,5,FALSE),VLOOKUP($M41,TT_Tabelle_Riferimento!$D$127:$H$164,5,FALSE))</f>
        <v>8</v>
      </c>
      <c r="RN41" s="904">
        <f>+IFERROR(VLOOKUP(RN$27&amp;"-"&amp;$M41&amp;"_new",Ammortamento_Finanziario!$H:$L,5,FALSE),VLOOKUP($M41,TT_Tabelle_Riferimento!$D$127:$H$164,5,FALSE))</f>
        <v>8</v>
      </c>
      <c r="RO41" s="904">
        <f>+IFERROR(VLOOKUP(RO$27&amp;"-"&amp;$M41&amp;"_new",Ammortamento_Finanziario!$H:$L,5,FALSE),VLOOKUP($M41,TT_Tabelle_Riferimento!$D$127:$H$164,5,FALSE))</f>
        <v>8</v>
      </c>
      <c r="RP41" s="904">
        <f>+IFERROR(VLOOKUP(RP$27&amp;"-"&amp;$M41&amp;"_new",Ammortamento_Finanziario!$H:$L,5,FALSE),VLOOKUP($M41,TT_Tabelle_Riferimento!$D$127:$H$164,5,FALSE))</f>
        <v>8</v>
      </c>
      <c r="RQ41" s="904">
        <f>+IFERROR(VLOOKUP(RQ$27&amp;"-"&amp;$M41&amp;"_new",Ammortamento_Finanziario!$H:$L,5,FALSE),VLOOKUP($M41,TT_Tabelle_Riferimento!$D$127:$H$164,5,FALSE))</f>
        <v>8</v>
      </c>
      <c r="RR41" s="904">
        <f>+IFERROR(VLOOKUP(RR$27&amp;"-"&amp;$M41&amp;"_new",Ammortamento_Finanziario!$H:$L,5,FALSE),VLOOKUP($M41,TT_Tabelle_Riferimento!$D$127:$H$164,5,FALSE))</f>
        <v>8</v>
      </c>
      <c r="RS41" s="904">
        <f>+IFERROR(VLOOKUP(RS$27&amp;"-"&amp;$M41&amp;"_new",Ammortamento_Finanziario!$H:$L,5,FALSE),VLOOKUP($M41,TT_Tabelle_Riferimento!$D$127:$H$164,5,FALSE))</f>
        <v>8</v>
      </c>
      <c r="RT41" s="904">
        <f>+IFERROR(VLOOKUP(RT$27&amp;"-"&amp;$M41&amp;"_new",Ammortamento_Finanziario!$H:$L,5,FALSE),VLOOKUP($M41,TT_Tabelle_Riferimento!$D$127:$H$164,5,FALSE))</f>
        <v>8</v>
      </c>
      <c r="RU41" s="904">
        <f>+IFERROR(VLOOKUP(RU$27&amp;"-"&amp;$M41&amp;"_new",Ammortamento_Finanziario!$H:$L,5,FALSE),VLOOKUP($M41,TT_Tabelle_Riferimento!$D$127:$H$164,5,FALSE))</f>
        <v>8</v>
      </c>
      <c r="RV41" s="904">
        <f>+IFERROR(VLOOKUP(RV$27&amp;"-"&amp;$M41&amp;"_new",Ammortamento_Finanziario!$H:$L,5,FALSE),VLOOKUP($M41,TT_Tabelle_Riferimento!$D$127:$H$164,5,FALSE))</f>
        <v>8</v>
      </c>
    </row>
    <row r="42" spans="4:490">
      <c r="D42" s="135" t="s">
        <v>199</v>
      </c>
      <c r="E42" s="719">
        <f>+SUMIFS(IMN_gestore!P:P,IMN_gestore!$G:$G,"Env")</f>
        <v>0</v>
      </c>
      <c r="F42" s="719">
        <f>+SUMIFS(IMN_gestore!AA:AA,IMN_gestore!$G:$G,"Env")</f>
        <v>0</v>
      </c>
      <c r="G42" s="719">
        <f>+SUMIFS(IMN_gestore!AL:AL,IMN_gestore!$G:$G,"Env")</f>
        <v>0</v>
      </c>
      <c r="H42" s="719">
        <f>+SUMIFS(IMN_gestore!AW:AW,IMN_gestore!$G:$G,"Env")</f>
        <v>0</v>
      </c>
      <c r="I42" s="719">
        <f>+SUMIFS(IMN_gestore!$BH:$BH,IMN_gestore!$G:$G,"Env")</f>
        <v>0</v>
      </c>
      <c r="J42" s="719">
        <f>+SUMIFS(IMN_gestore!$BS:$BS,IMN_gestore!$G:$G,"Env")</f>
        <v>0</v>
      </c>
      <c r="M42" s="1756">
        <v>15</v>
      </c>
      <c r="N42" s="1759">
        <v>0</v>
      </c>
      <c r="O42" s="1759">
        <v>0</v>
      </c>
      <c r="P42" s="1759">
        <v>0</v>
      </c>
      <c r="Q42" s="1759">
        <v>0</v>
      </c>
      <c r="R42" s="1759">
        <v>0</v>
      </c>
      <c r="S42" s="1759">
        <v>0</v>
      </c>
      <c r="T42" s="1759">
        <v>0</v>
      </c>
      <c r="U42" s="1759">
        <v>0</v>
      </c>
      <c r="V42" s="1759">
        <v>0</v>
      </c>
      <c r="W42" s="1759">
        <v>0</v>
      </c>
      <c r="X42" s="1759">
        <v>0</v>
      </c>
      <c r="Y42" s="1759">
        <v>0</v>
      </c>
      <c r="Z42" s="1759">
        <v>0</v>
      </c>
      <c r="AA42" s="1759">
        <v>0</v>
      </c>
      <c r="AB42" s="1759">
        <v>0</v>
      </c>
      <c r="AC42" s="1759">
        <v>0</v>
      </c>
      <c r="AD42" s="1759">
        <v>0</v>
      </c>
      <c r="AE42" s="1759">
        <v>0</v>
      </c>
      <c r="AF42" s="1759">
        <v>0</v>
      </c>
      <c r="AG42" s="1759">
        <v>0</v>
      </c>
      <c r="AH42" s="1759">
        <v>0</v>
      </c>
      <c r="AI42" s="1759">
        <v>0</v>
      </c>
      <c r="AJ42" s="1759">
        <v>0</v>
      </c>
      <c r="AK42" s="1759">
        <v>0</v>
      </c>
      <c r="AL42" s="1759">
        <v>0</v>
      </c>
      <c r="AM42" s="1759">
        <v>0</v>
      </c>
      <c r="AN42" s="1759">
        <v>0</v>
      </c>
      <c r="AO42" s="1759">
        <v>0</v>
      </c>
      <c r="AP42" s="1759">
        <v>0</v>
      </c>
      <c r="AQ42" s="1759">
        <v>0</v>
      </c>
      <c r="AR42" s="1759">
        <v>0</v>
      </c>
      <c r="AS42" s="1759">
        <v>0</v>
      </c>
      <c r="AT42" s="1759">
        <v>0</v>
      </c>
      <c r="AU42" s="1759">
        <v>0</v>
      </c>
      <c r="AV42" s="1759">
        <v>0</v>
      </c>
      <c r="AW42" s="1759">
        <v>0</v>
      </c>
      <c r="AX42" s="1759">
        <v>0</v>
      </c>
      <c r="AY42" s="1759">
        <v>0</v>
      </c>
      <c r="AZ42" s="1759">
        <v>0</v>
      </c>
      <c r="BA42" s="1759">
        <v>0</v>
      </c>
      <c r="BB42" s="1759">
        <v>0</v>
      </c>
      <c r="BC42" s="1759">
        <v>0</v>
      </c>
      <c r="BD42" s="1759">
        <v>0</v>
      </c>
      <c r="BE42" s="1759">
        <v>0</v>
      </c>
      <c r="BF42" s="1759">
        <v>0</v>
      </c>
      <c r="BG42" s="1759">
        <v>0</v>
      </c>
      <c r="BH42" s="1759">
        <v>0</v>
      </c>
      <c r="BI42" s="1759">
        <v>0</v>
      </c>
      <c r="BJ42" s="1759">
        <v>0</v>
      </c>
      <c r="BK42" s="1759">
        <v>0</v>
      </c>
      <c r="BL42" s="1759">
        <v>0</v>
      </c>
      <c r="BM42" s="1759">
        <v>0</v>
      </c>
      <c r="BN42" s="1759">
        <v>0</v>
      </c>
      <c r="BO42" s="1759">
        <v>0</v>
      </c>
      <c r="BP42" s="1759">
        <v>0</v>
      </c>
      <c r="BQ42" s="1759">
        <v>0</v>
      </c>
      <c r="BR42" s="1759">
        <v>0</v>
      </c>
      <c r="BS42" s="1759">
        <v>0</v>
      </c>
      <c r="BT42" s="1759">
        <v>0</v>
      </c>
      <c r="BU42" s="1759">
        <v>0</v>
      </c>
      <c r="BV42" s="1759">
        <v>0</v>
      </c>
      <c r="BW42" s="1759">
        <v>0</v>
      </c>
      <c r="BX42" s="1759">
        <v>0</v>
      </c>
      <c r="BY42" s="1759">
        <v>0</v>
      </c>
      <c r="BZ42" s="1759">
        <v>0</v>
      </c>
      <c r="CA42" s="1759">
        <v>0</v>
      </c>
      <c r="CB42" s="1759">
        <v>0</v>
      </c>
      <c r="CC42" s="1759">
        <v>0</v>
      </c>
      <c r="CD42" s="1759">
        <v>0</v>
      </c>
      <c r="CE42" s="1759">
        <v>0</v>
      </c>
      <c r="CF42" s="1759">
        <v>0</v>
      </c>
      <c r="CG42" s="1759">
        <v>0</v>
      </c>
      <c r="CH42" s="1759">
        <v>0</v>
      </c>
      <c r="CI42" s="1759">
        <v>0</v>
      </c>
      <c r="CJ42" s="1759">
        <v>0</v>
      </c>
      <c r="CK42" s="1759">
        <v>0</v>
      </c>
      <c r="CL42" s="1759">
        <v>0</v>
      </c>
      <c r="CM42" s="1759">
        <v>0</v>
      </c>
      <c r="CN42" s="1759">
        <v>0</v>
      </c>
      <c r="CO42" s="1759">
        <v>0</v>
      </c>
      <c r="CP42" s="1759">
        <v>0</v>
      </c>
      <c r="CQ42" s="1759">
        <v>0</v>
      </c>
      <c r="CR42" s="1759">
        <v>0</v>
      </c>
      <c r="CS42" s="1759">
        <v>0</v>
      </c>
      <c r="CT42" s="1759">
        <v>0</v>
      </c>
      <c r="CU42" s="1759">
        <v>0</v>
      </c>
      <c r="CV42" s="1759">
        <v>0</v>
      </c>
      <c r="CW42" s="1759">
        <v>0</v>
      </c>
      <c r="CX42" s="1759">
        <v>0</v>
      </c>
      <c r="CY42" s="1759">
        <v>0</v>
      </c>
      <c r="CZ42" s="1759">
        <v>0</v>
      </c>
      <c r="DA42" s="1759">
        <v>0</v>
      </c>
      <c r="DB42" s="1759">
        <v>0</v>
      </c>
      <c r="DC42" s="1759">
        <v>0</v>
      </c>
      <c r="DD42" s="1759">
        <v>0</v>
      </c>
      <c r="DE42" s="1759">
        <v>0</v>
      </c>
      <c r="DF42" s="1759">
        <v>0</v>
      </c>
      <c r="DG42" s="1759">
        <v>0</v>
      </c>
      <c r="DH42" s="1759">
        <v>0</v>
      </c>
      <c r="DI42" s="1759">
        <v>0</v>
      </c>
      <c r="DJ42" s="1759">
        <v>0</v>
      </c>
      <c r="DK42" s="1759">
        <v>0</v>
      </c>
      <c r="DL42" s="1759">
        <v>0</v>
      </c>
      <c r="DM42" s="1759">
        <v>0</v>
      </c>
      <c r="DN42" s="1759">
        <v>0</v>
      </c>
      <c r="DO42" s="1759">
        <v>0</v>
      </c>
      <c r="DP42" s="1759">
        <v>0</v>
      </c>
      <c r="DQ42" s="1759">
        <v>0</v>
      </c>
      <c r="DR42" s="1759">
        <v>0</v>
      </c>
      <c r="DS42" s="1759">
        <v>0</v>
      </c>
      <c r="DT42" s="1759">
        <v>0</v>
      </c>
      <c r="DU42" s="1759">
        <v>0</v>
      </c>
      <c r="DV42" s="1759">
        <v>0</v>
      </c>
      <c r="DW42" s="1759">
        <v>0</v>
      </c>
      <c r="DX42" s="1759">
        <v>0</v>
      </c>
      <c r="DY42" s="1759">
        <v>0</v>
      </c>
      <c r="DZ42" s="1759">
        <v>0</v>
      </c>
      <c r="EA42" s="1759">
        <v>0</v>
      </c>
      <c r="EB42" s="1759">
        <v>0</v>
      </c>
      <c r="EC42" s="1759">
        <v>0</v>
      </c>
      <c r="ED42" s="1759">
        <v>0</v>
      </c>
      <c r="EE42" s="1759">
        <v>0</v>
      </c>
      <c r="EF42" s="1759">
        <v>0</v>
      </c>
      <c r="EG42" s="1759">
        <v>0</v>
      </c>
      <c r="EH42" s="1759">
        <v>0</v>
      </c>
      <c r="EI42" s="1759">
        <v>0</v>
      </c>
      <c r="EJ42" s="1759">
        <v>0</v>
      </c>
      <c r="EK42" s="1759">
        <v>0</v>
      </c>
      <c r="EL42" s="1759">
        <v>0</v>
      </c>
      <c r="EM42" s="1759">
        <v>0</v>
      </c>
      <c r="EN42" s="1759">
        <v>0</v>
      </c>
      <c r="EO42" s="1759">
        <v>0</v>
      </c>
      <c r="EP42" s="1759">
        <v>0</v>
      </c>
      <c r="EQ42" s="1759">
        <v>0</v>
      </c>
      <c r="ER42" s="1759">
        <v>0</v>
      </c>
      <c r="ES42" s="1759">
        <v>0</v>
      </c>
      <c r="ET42" s="1759">
        <v>0</v>
      </c>
      <c r="EU42" s="1759">
        <v>0</v>
      </c>
      <c r="EV42" s="1759">
        <v>0</v>
      </c>
      <c r="EW42" s="1759">
        <v>0</v>
      </c>
      <c r="EX42" s="1759">
        <v>0</v>
      </c>
      <c r="EY42" s="1759">
        <v>0</v>
      </c>
      <c r="EZ42" s="1759">
        <v>0</v>
      </c>
      <c r="FA42" s="1759">
        <v>0</v>
      </c>
      <c r="FB42" s="1759">
        <v>0</v>
      </c>
      <c r="FC42" s="1759">
        <v>0</v>
      </c>
      <c r="FD42" s="1759">
        <v>0</v>
      </c>
      <c r="FE42" s="1759">
        <v>0</v>
      </c>
      <c r="FF42" s="1759">
        <v>0</v>
      </c>
      <c r="FG42" s="1759">
        <v>0</v>
      </c>
      <c r="FH42" s="1759">
        <v>0</v>
      </c>
      <c r="FI42" s="1759">
        <v>0</v>
      </c>
      <c r="FJ42" s="1759">
        <v>0</v>
      </c>
      <c r="FK42" s="1759">
        <v>0</v>
      </c>
      <c r="FL42" s="1759">
        <v>0</v>
      </c>
      <c r="FM42" s="1759">
        <v>0</v>
      </c>
      <c r="FN42" s="1759">
        <v>0</v>
      </c>
      <c r="FO42" s="1759">
        <v>0</v>
      </c>
      <c r="FP42" s="1759">
        <v>0</v>
      </c>
      <c r="FQ42" s="1759">
        <v>0</v>
      </c>
      <c r="FR42" s="1759">
        <v>0</v>
      </c>
      <c r="FS42" s="1759">
        <v>0</v>
      </c>
      <c r="FT42" s="1759">
        <v>0</v>
      </c>
      <c r="FU42" s="1759">
        <v>0</v>
      </c>
      <c r="FV42" s="1759">
        <v>0</v>
      </c>
      <c r="FW42" s="1759">
        <v>0</v>
      </c>
      <c r="FX42" s="1759">
        <v>0</v>
      </c>
      <c r="FY42" s="1759">
        <v>0</v>
      </c>
      <c r="FZ42" s="1759">
        <v>0</v>
      </c>
      <c r="GA42" s="1759">
        <v>0</v>
      </c>
      <c r="GB42" s="1759">
        <v>0</v>
      </c>
      <c r="GC42" s="1759">
        <v>0</v>
      </c>
      <c r="GD42" s="1759">
        <v>0</v>
      </c>
      <c r="GE42" s="1759">
        <v>0</v>
      </c>
      <c r="GF42" s="1759">
        <v>0</v>
      </c>
      <c r="GG42" s="1759">
        <v>0</v>
      </c>
      <c r="GH42" s="1759">
        <v>0</v>
      </c>
      <c r="GI42" s="1759">
        <v>0</v>
      </c>
      <c r="GJ42" s="1759">
        <v>0</v>
      </c>
      <c r="GK42" s="1759">
        <v>0</v>
      </c>
      <c r="GL42" s="1759">
        <v>0</v>
      </c>
      <c r="GM42" s="1759">
        <v>0</v>
      </c>
      <c r="GN42" s="1759">
        <v>0</v>
      </c>
      <c r="GO42" s="1759">
        <v>0</v>
      </c>
      <c r="GP42" s="1759">
        <v>0</v>
      </c>
      <c r="GQ42" s="1759">
        <v>0</v>
      </c>
      <c r="GR42" s="1759">
        <v>0</v>
      </c>
      <c r="GS42" s="1759">
        <v>0</v>
      </c>
      <c r="GT42" s="1759">
        <v>0</v>
      </c>
      <c r="GU42" s="1759">
        <v>0</v>
      </c>
      <c r="GV42" s="1759">
        <v>0</v>
      </c>
      <c r="GW42" s="1759">
        <v>0</v>
      </c>
      <c r="GX42" s="1759">
        <v>0</v>
      </c>
      <c r="GY42" s="1759">
        <v>0</v>
      </c>
      <c r="GZ42" s="1759">
        <v>0</v>
      </c>
      <c r="HA42" s="1759">
        <v>0</v>
      </c>
      <c r="HB42" s="1759">
        <v>0</v>
      </c>
      <c r="HC42" s="1759">
        <v>0</v>
      </c>
      <c r="HD42" s="1759">
        <v>0</v>
      </c>
      <c r="HE42" s="1759">
        <v>0</v>
      </c>
      <c r="HF42" s="1759">
        <v>0</v>
      </c>
      <c r="HG42" s="1759">
        <v>0</v>
      </c>
      <c r="HH42" s="1759">
        <v>0</v>
      </c>
      <c r="HI42" s="1759">
        <v>0</v>
      </c>
      <c r="HJ42" s="1759">
        <v>0</v>
      </c>
      <c r="HK42" s="1759">
        <v>0</v>
      </c>
      <c r="HL42" s="1759">
        <v>0</v>
      </c>
      <c r="HM42" s="1759">
        <v>0</v>
      </c>
      <c r="HN42" s="1759">
        <v>0</v>
      </c>
      <c r="HO42" s="1759">
        <v>0</v>
      </c>
      <c r="HP42" s="1759">
        <v>0</v>
      </c>
      <c r="HQ42" s="1759">
        <v>0</v>
      </c>
      <c r="HR42" s="1759">
        <v>0</v>
      </c>
      <c r="HS42" s="1759">
        <v>0</v>
      </c>
      <c r="HT42" s="1759">
        <v>0</v>
      </c>
      <c r="HU42" s="1759">
        <v>0</v>
      </c>
      <c r="HV42" s="1759">
        <v>0</v>
      </c>
      <c r="HW42" s="1759">
        <v>0</v>
      </c>
      <c r="HX42" s="1759">
        <v>0</v>
      </c>
      <c r="HY42" s="1759">
        <v>0</v>
      </c>
      <c r="HZ42" s="1759">
        <v>0</v>
      </c>
      <c r="IA42" s="1759">
        <v>0</v>
      </c>
      <c r="IB42" s="1759">
        <v>0</v>
      </c>
      <c r="IC42" s="1759">
        <v>0</v>
      </c>
      <c r="ID42" s="1759">
        <v>0</v>
      </c>
      <c r="IE42" s="1759">
        <v>0</v>
      </c>
      <c r="IF42" s="1759">
        <v>0</v>
      </c>
      <c r="IG42" s="1759">
        <v>0</v>
      </c>
      <c r="IH42" s="1759">
        <v>0</v>
      </c>
      <c r="II42" s="1759">
        <v>0</v>
      </c>
      <c r="IJ42" s="1759">
        <v>0</v>
      </c>
      <c r="IK42" s="1759">
        <v>0</v>
      </c>
      <c r="IL42" s="1759">
        <v>0</v>
      </c>
      <c r="IM42" s="1759">
        <v>0</v>
      </c>
      <c r="IN42" s="1759">
        <v>0</v>
      </c>
      <c r="IO42" s="1759">
        <v>0</v>
      </c>
      <c r="IP42" s="1759">
        <v>0</v>
      </c>
      <c r="IQ42" s="1759">
        <v>0</v>
      </c>
      <c r="IR42" s="1759">
        <v>0</v>
      </c>
      <c r="IS42" s="1759">
        <v>0</v>
      </c>
      <c r="IT42" s="1759">
        <v>0</v>
      </c>
      <c r="IU42" s="1759">
        <v>0</v>
      </c>
      <c r="IV42" s="1759">
        <v>0</v>
      </c>
      <c r="IW42" s="1759">
        <v>0</v>
      </c>
      <c r="IX42" s="1759">
        <v>0</v>
      </c>
      <c r="IY42" s="1759">
        <v>0</v>
      </c>
      <c r="IZ42" s="1759">
        <v>0</v>
      </c>
      <c r="JA42" s="1759">
        <v>0</v>
      </c>
      <c r="JB42" s="1759">
        <v>0</v>
      </c>
      <c r="JC42" s="1759">
        <v>0</v>
      </c>
      <c r="JD42" s="1759">
        <v>0</v>
      </c>
      <c r="JE42" s="1759">
        <v>0</v>
      </c>
      <c r="JF42" s="1759">
        <v>0</v>
      </c>
      <c r="JG42" s="1759">
        <v>0</v>
      </c>
      <c r="JH42" s="1759">
        <v>0</v>
      </c>
      <c r="JI42" s="1759">
        <v>0</v>
      </c>
      <c r="JJ42" s="1759">
        <v>0</v>
      </c>
      <c r="JK42" s="1759">
        <v>0</v>
      </c>
      <c r="JL42" s="1759">
        <v>0</v>
      </c>
      <c r="JM42" s="1759">
        <v>0</v>
      </c>
      <c r="JN42" s="1759">
        <v>0</v>
      </c>
      <c r="JO42" s="1759">
        <v>0</v>
      </c>
      <c r="JP42" s="1759">
        <v>0</v>
      </c>
      <c r="JQ42" s="1759">
        <v>0</v>
      </c>
      <c r="JR42" s="1759">
        <v>0</v>
      </c>
      <c r="JS42" s="1759">
        <v>0</v>
      </c>
      <c r="JT42" s="1759">
        <v>0</v>
      </c>
      <c r="JU42" s="1759">
        <v>0</v>
      </c>
      <c r="JV42" s="1759">
        <v>0</v>
      </c>
      <c r="JW42" s="1759">
        <v>0</v>
      </c>
      <c r="JX42" s="1759">
        <v>0</v>
      </c>
      <c r="JY42" s="1759">
        <v>0</v>
      </c>
      <c r="JZ42" s="1759">
        <v>0</v>
      </c>
      <c r="KA42" s="1759">
        <v>0</v>
      </c>
      <c r="KB42" s="1759">
        <v>0</v>
      </c>
      <c r="KC42" s="1759">
        <v>0</v>
      </c>
      <c r="KD42" s="1759">
        <v>0</v>
      </c>
      <c r="KE42" s="1759">
        <v>0</v>
      </c>
      <c r="KF42" s="1759">
        <v>0</v>
      </c>
      <c r="KG42" s="1759">
        <v>0</v>
      </c>
      <c r="KH42" s="1759">
        <v>0</v>
      </c>
      <c r="KI42" s="1759">
        <v>0</v>
      </c>
      <c r="KJ42" s="1759">
        <v>0</v>
      </c>
      <c r="KK42" s="1759">
        <v>0</v>
      </c>
      <c r="KL42" s="1759">
        <v>0</v>
      </c>
      <c r="KM42" s="1759">
        <v>0</v>
      </c>
      <c r="KN42" s="1759">
        <v>0</v>
      </c>
      <c r="KO42" s="1759">
        <v>0</v>
      </c>
      <c r="KP42" s="1759">
        <v>0</v>
      </c>
      <c r="KQ42" s="904">
        <f>+IFERROR(VLOOKUP(KQ$27&amp;"-"&amp;$M42&amp;"_new",Ammortamento_Finanziario!$H:$L,5,FALSE),VLOOKUP($M42,TT_Tabelle_Riferimento!$D$127:$H$164,5,FALSE))</f>
        <v>10</v>
      </c>
      <c r="KR42" s="904">
        <f>+IFERROR(VLOOKUP(KR$27&amp;"-"&amp;$M42&amp;"_new",Ammortamento_Finanziario!$H:$L,5,FALSE),VLOOKUP($M42,TT_Tabelle_Riferimento!$D$127:$H$164,5,FALSE))</f>
        <v>10</v>
      </c>
      <c r="KS42" s="1762">
        <f>+IFERROR(VLOOKUP(KS$27&amp;"-"&amp;$M42&amp;"_new",Ammortamento_Finanziario!$H:$L,5,FALSE),VLOOKUP($M42,TT_Tabelle_Riferimento!$D$127:$H$164,5,FALSE))</f>
        <v>10</v>
      </c>
      <c r="KT42" s="1762">
        <f>+IFERROR(VLOOKUP(KT$27&amp;"-"&amp;$M42&amp;"_new",Ammortamento_Finanziario!$H:$L,5,FALSE),VLOOKUP($M42,TT_Tabelle_Riferimento!$D$127:$H$164,5,FALSE))</f>
        <v>10</v>
      </c>
      <c r="KU42" s="1762">
        <f>+IFERROR(VLOOKUP(KU$27&amp;"-"&amp;$M42&amp;"_new",Ammortamento_Finanziario!$H:$L,5,FALSE),VLOOKUP($M42,TT_Tabelle_Riferimento!$D$127:$H$164,5,FALSE))</f>
        <v>10</v>
      </c>
      <c r="KV42" s="1762">
        <f>+IFERROR(VLOOKUP(KV$27&amp;"-"&amp;$M42&amp;"_new",Ammortamento_Finanziario!$H:$L,5,FALSE),VLOOKUP($M42,TT_Tabelle_Riferimento!$D$127:$H$164,5,FALSE))</f>
        <v>10</v>
      </c>
      <c r="KW42" s="1762">
        <f>+IFERROR(VLOOKUP(KW$27&amp;"-"&amp;$M42&amp;"_new",Ammortamento_Finanziario!$H:$L,5,FALSE),VLOOKUP($M42,TT_Tabelle_Riferimento!$D$127:$H$164,5,FALSE))</f>
        <v>10</v>
      </c>
      <c r="KX42" s="1762">
        <f>+IFERROR(VLOOKUP(KX$27&amp;"-"&amp;$M42&amp;"_new",Ammortamento_Finanziario!$H:$L,5,FALSE),VLOOKUP($M42,TT_Tabelle_Riferimento!$D$127:$H$164,5,FALSE))</f>
        <v>10</v>
      </c>
      <c r="KY42" s="904">
        <f>+IFERROR(VLOOKUP(KY$27&amp;"-"&amp;$M42&amp;"_new",Ammortamento_Finanziario!$H:$L,5,FALSE),VLOOKUP($M42,TT_Tabelle_Riferimento!$D$127:$H$164,5,FALSE))</f>
        <v>10</v>
      </c>
      <c r="KZ42" s="904">
        <f>+IFERROR(VLOOKUP(KZ$27&amp;"-"&amp;$M42&amp;"_new",Ammortamento_Finanziario!$H:$L,5,FALSE),VLOOKUP($M42,TT_Tabelle_Riferimento!$D$127:$H$164,5,FALSE))</f>
        <v>10</v>
      </c>
      <c r="LA42" s="904">
        <f>+IFERROR(VLOOKUP(LA$27&amp;"-"&amp;$M42&amp;"_new",Ammortamento_Finanziario!$H:$L,5,FALSE),VLOOKUP($M42,TT_Tabelle_Riferimento!$D$127:$H$164,5,FALSE))</f>
        <v>10</v>
      </c>
      <c r="LB42" s="904">
        <f>+IFERROR(VLOOKUP(LB$27&amp;"-"&amp;$M42&amp;"_new",Ammortamento_Finanziario!$H:$L,5,FALSE),VLOOKUP($M42,TT_Tabelle_Riferimento!$D$127:$H$164,5,FALSE))</f>
        <v>10</v>
      </c>
      <c r="LC42" s="904">
        <f>+IFERROR(VLOOKUP(LC$27&amp;"-"&amp;$M42&amp;"_new",Ammortamento_Finanziario!$H:$L,5,FALSE),VLOOKUP($M42,TT_Tabelle_Riferimento!$D$127:$H$164,5,FALSE))</f>
        <v>10</v>
      </c>
      <c r="LD42" s="904">
        <f>+IFERROR(VLOOKUP(LD$27&amp;"-"&amp;$M42&amp;"_new",Ammortamento_Finanziario!$H:$L,5,FALSE),VLOOKUP($M42,TT_Tabelle_Riferimento!$D$127:$H$164,5,FALSE))</f>
        <v>10</v>
      </c>
      <c r="LE42" s="904">
        <f>+IFERROR(VLOOKUP(LE$27&amp;"-"&amp;$M42&amp;"_new",Ammortamento_Finanziario!$H:$L,5,FALSE),VLOOKUP($M42,TT_Tabelle_Riferimento!$D$127:$H$164,5,FALSE))</f>
        <v>10</v>
      </c>
      <c r="LF42" s="904">
        <f>+IFERROR(VLOOKUP(LF$27&amp;"-"&amp;$M42&amp;"_new",Ammortamento_Finanziario!$H:$L,5,FALSE),VLOOKUP($M42,TT_Tabelle_Riferimento!$D$127:$H$164,5,FALSE))</f>
        <v>10</v>
      </c>
      <c r="LG42" s="904">
        <f>+IFERROR(VLOOKUP(LG$27&amp;"-"&amp;$M42&amp;"_new",Ammortamento_Finanziario!$H:$L,5,FALSE),VLOOKUP($M42,TT_Tabelle_Riferimento!$D$127:$H$164,5,FALSE))</f>
        <v>10</v>
      </c>
      <c r="LH42" s="904">
        <f>+IFERROR(VLOOKUP(LH$27&amp;"-"&amp;$M42&amp;"_new",Ammortamento_Finanziario!$H:$L,5,FALSE),VLOOKUP($M42,TT_Tabelle_Riferimento!$D$127:$H$164,5,FALSE))</f>
        <v>10</v>
      </c>
      <c r="LI42" s="904">
        <f>+IFERROR(VLOOKUP(LI$27&amp;"-"&amp;$M42&amp;"_new",Ammortamento_Finanziario!$H:$L,5,FALSE),VLOOKUP($M42,TT_Tabelle_Riferimento!$D$127:$H$164,5,FALSE))</f>
        <v>10</v>
      </c>
      <c r="LJ42" s="904">
        <f>+IFERROR(VLOOKUP(LJ$27&amp;"-"&amp;$M42&amp;"_new",Ammortamento_Finanziario!$H:$L,5,FALSE),VLOOKUP($M42,TT_Tabelle_Riferimento!$D$127:$H$164,5,FALSE))</f>
        <v>10</v>
      </c>
      <c r="LK42" s="904">
        <f>+IFERROR(VLOOKUP(LK$27&amp;"-"&amp;$M42&amp;"_new",Ammortamento_Finanziario!$H:$L,5,FALSE),VLOOKUP($M42,TT_Tabelle_Riferimento!$D$127:$H$164,5,FALSE))</f>
        <v>10</v>
      </c>
      <c r="LL42" s="904">
        <f>+IFERROR(VLOOKUP(LL$27&amp;"-"&amp;$M42&amp;"_new",Ammortamento_Finanziario!$H:$L,5,FALSE),VLOOKUP($M42,TT_Tabelle_Riferimento!$D$127:$H$164,5,FALSE))</f>
        <v>10</v>
      </c>
      <c r="LM42" s="904">
        <f>+IFERROR(VLOOKUP(LM$27&amp;"-"&amp;$M42&amp;"_new",Ammortamento_Finanziario!$H:$L,5,FALSE),VLOOKUP($M42,TT_Tabelle_Riferimento!$D$127:$H$164,5,FALSE))</f>
        <v>10</v>
      </c>
      <c r="LN42" s="904">
        <f>+IFERROR(VLOOKUP(LN$27&amp;"-"&amp;$M42&amp;"_new",Ammortamento_Finanziario!$H:$L,5,FALSE),VLOOKUP($M42,TT_Tabelle_Riferimento!$D$127:$H$164,5,FALSE))</f>
        <v>10</v>
      </c>
      <c r="LO42" s="904">
        <f>+IFERROR(VLOOKUP(LO$27&amp;"-"&amp;$M42&amp;"_new",Ammortamento_Finanziario!$H:$L,5,FALSE),VLOOKUP($M42,TT_Tabelle_Riferimento!$D$127:$H$164,5,FALSE))</f>
        <v>10</v>
      </c>
      <c r="LP42" s="904">
        <f>+IFERROR(VLOOKUP(LP$27&amp;"-"&amp;$M42&amp;"_new",Ammortamento_Finanziario!$H:$L,5,FALSE),VLOOKUP($M42,TT_Tabelle_Riferimento!$D$127:$H$164,5,FALSE))</f>
        <v>10</v>
      </c>
      <c r="LQ42" s="904">
        <f>+IFERROR(VLOOKUP(LQ$27&amp;"-"&amp;$M42&amp;"_new",Ammortamento_Finanziario!$H:$L,5,FALSE),VLOOKUP($M42,TT_Tabelle_Riferimento!$D$127:$H$164,5,FALSE))</f>
        <v>10</v>
      </c>
      <c r="LR42" s="904">
        <f>+IFERROR(VLOOKUP(LR$27&amp;"-"&amp;$M42&amp;"_new",Ammortamento_Finanziario!$H:$L,5,FALSE),VLOOKUP($M42,TT_Tabelle_Riferimento!$D$127:$H$164,5,FALSE))</f>
        <v>10</v>
      </c>
      <c r="LS42" s="1762">
        <f>+IFERROR(VLOOKUP(LS$27&amp;"-"&amp;$M42&amp;"_new",Ammortamento_Finanziario!$H:$L,5,FALSE),VLOOKUP($M42,TT_Tabelle_Riferimento!$D$127:$H$164,5,FALSE))</f>
        <v>10</v>
      </c>
      <c r="LT42" s="1762">
        <f>+IFERROR(VLOOKUP(LT$27&amp;"-"&amp;$M42&amp;"_new",Ammortamento_Finanziario!$H:$L,5,FALSE),VLOOKUP($M42,TT_Tabelle_Riferimento!$D$127:$H$164,5,FALSE))</f>
        <v>10</v>
      </c>
      <c r="LU42" s="1762">
        <f>+IFERROR(VLOOKUP(LU$27&amp;"-"&amp;$M42&amp;"_new",Ammortamento_Finanziario!$H:$L,5,FALSE),VLOOKUP($M42,TT_Tabelle_Riferimento!$D$127:$H$164,5,FALSE))</f>
        <v>10</v>
      </c>
      <c r="LV42" s="1762">
        <f>+IFERROR(VLOOKUP(LV$27&amp;"-"&amp;$M42&amp;"_new",Ammortamento_Finanziario!$H:$L,5,FALSE),VLOOKUP($M42,TT_Tabelle_Riferimento!$D$127:$H$164,5,FALSE))</f>
        <v>10</v>
      </c>
      <c r="LW42" s="1762">
        <f>+IFERROR(VLOOKUP(LW$27&amp;"-"&amp;$M42&amp;"_new",Ammortamento_Finanziario!$H:$L,5,FALSE),VLOOKUP($M42,TT_Tabelle_Riferimento!$D$127:$H$164,5,FALSE))</f>
        <v>10</v>
      </c>
      <c r="LX42" s="1762">
        <f>+IFERROR(VLOOKUP(LX$27&amp;"-"&amp;$M42&amp;"_new",Ammortamento_Finanziario!$H:$L,5,FALSE),VLOOKUP($M42,TT_Tabelle_Riferimento!$D$127:$H$164,5,FALSE))</f>
        <v>10</v>
      </c>
      <c r="LY42" s="904">
        <f>+IFERROR(VLOOKUP(LY$27&amp;"-"&amp;$M42&amp;"_new",Ammortamento_Finanziario!$H:$L,5,FALSE),VLOOKUP($M42,TT_Tabelle_Riferimento!$D$127:$H$164,5,FALSE))</f>
        <v>10</v>
      </c>
      <c r="LZ42" s="904">
        <f>+IFERROR(VLOOKUP(LZ$27&amp;"-"&amp;$M42&amp;"_new",Ammortamento_Finanziario!$H:$L,5,FALSE),VLOOKUP($M42,TT_Tabelle_Riferimento!$D$127:$H$164,5,FALSE))</f>
        <v>10</v>
      </c>
      <c r="MA42" s="904">
        <f>+IFERROR(VLOOKUP(MA$27&amp;"-"&amp;$M42&amp;"_new",Ammortamento_Finanziario!$H:$L,5,FALSE),VLOOKUP($M42,TT_Tabelle_Riferimento!$D$127:$H$164,5,FALSE))</f>
        <v>10</v>
      </c>
      <c r="MB42" s="904">
        <f>+IFERROR(VLOOKUP(MB$27&amp;"-"&amp;$M42&amp;"_new",Ammortamento_Finanziario!$H:$L,5,FALSE),VLOOKUP($M42,TT_Tabelle_Riferimento!$D$127:$H$164,5,FALSE))</f>
        <v>10</v>
      </c>
      <c r="MC42" s="904">
        <f>+IFERROR(VLOOKUP(MC$27&amp;"-"&amp;$M42&amp;"_new",Ammortamento_Finanziario!$H:$L,5,FALSE),VLOOKUP($M42,TT_Tabelle_Riferimento!$D$127:$H$164,5,FALSE))</f>
        <v>10</v>
      </c>
      <c r="MD42" s="904">
        <f>+IFERROR(VLOOKUP(MD$27&amp;"-"&amp;$M42&amp;"_new",Ammortamento_Finanziario!$H:$L,5,FALSE),VLOOKUP($M42,TT_Tabelle_Riferimento!$D$127:$H$164,5,FALSE))</f>
        <v>10</v>
      </c>
      <c r="ME42" s="904">
        <f>+IFERROR(VLOOKUP(ME$27&amp;"-"&amp;$M42&amp;"_new",Ammortamento_Finanziario!$H:$L,5,FALSE),VLOOKUP($M42,TT_Tabelle_Riferimento!$D$127:$H$164,5,FALSE))</f>
        <v>10</v>
      </c>
      <c r="MF42" s="904">
        <f>+IFERROR(VLOOKUP(MF$27&amp;"-"&amp;$M42&amp;"_new",Ammortamento_Finanziario!$H:$L,5,FALSE),VLOOKUP($M42,TT_Tabelle_Riferimento!$D$127:$H$164,5,FALSE))</f>
        <v>10</v>
      </c>
      <c r="MG42" s="904">
        <f>+IFERROR(VLOOKUP(MG$27&amp;"-"&amp;$M42&amp;"_new",Ammortamento_Finanziario!$H:$L,5,FALSE),VLOOKUP($M42,TT_Tabelle_Riferimento!$D$127:$H$164,5,FALSE))</f>
        <v>10</v>
      </c>
      <c r="MH42" s="904">
        <f>+IFERROR(VLOOKUP(MH$27&amp;"-"&amp;$M42&amp;"_new",Ammortamento_Finanziario!$H:$L,5,FALSE),VLOOKUP($M42,TT_Tabelle_Riferimento!$D$127:$H$164,5,FALSE))</f>
        <v>10</v>
      </c>
      <c r="MI42" s="904">
        <f>+IFERROR(VLOOKUP(MI$27&amp;"-"&amp;$M42&amp;"_new",Ammortamento_Finanziario!$H:$L,5,FALSE),VLOOKUP($M42,TT_Tabelle_Riferimento!$D$127:$H$164,5,FALSE))</f>
        <v>10</v>
      </c>
      <c r="MJ42" s="904">
        <f>+IFERROR(VLOOKUP(MJ$27&amp;"-"&amp;$M42&amp;"_new",Ammortamento_Finanziario!$H:$L,5,FALSE),VLOOKUP($M42,TT_Tabelle_Riferimento!$D$127:$H$164,5,FALSE))</f>
        <v>10</v>
      </c>
      <c r="MK42" s="904">
        <f>+IFERROR(VLOOKUP(MK$27&amp;"-"&amp;$M42&amp;"_new",Ammortamento_Finanziario!$H:$L,5,FALSE),VLOOKUP($M42,TT_Tabelle_Riferimento!$D$127:$H$164,5,FALSE))</f>
        <v>10</v>
      </c>
      <c r="ML42" s="904">
        <f>+IFERROR(VLOOKUP(ML$27&amp;"-"&amp;$M42&amp;"_new",Ammortamento_Finanziario!$H:$L,5,FALSE),VLOOKUP($M42,TT_Tabelle_Riferimento!$D$127:$H$164,5,FALSE))</f>
        <v>10</v>
      </c>
      <c r="MM42" s="904">
        <f>+IFERROR(VLOOKUP(MM$27&amp;"-"&amp;$M42&amp;"_new",Ammortamento_Finanziario!$H:$L,5,FALSE),VLOOKUP($M42,TT_Tabelle_Riferimento!$D$127:$H$164,5,FALSE))</f>
        <v>10</v>
      </c>
      <c r="MN42" s="904">
        <f>+IFERROR(VLOOKUP(MN$27&amp;"-"&amp;$M42&amp;"_new",Ammortamento_Finanziario!$H:$L,5,FALSE),VLOOKUP($M42,TT_Tabelle_Riferimento!$D$127:$H$164,5,FALSE))</f>
        <v>10</v>
      </c>
      <c r="MO42" s="904">
        <f>+IFERROR(VLOOKUP(MO$27&amp;"-"&amp;$M42&amp;"_new",Ammortamento_Finanziario!$H:$L,5,FALSE),VLOOKUP($M42,TT_Tabelle_Riferimento!$D$127:$H$164,5,FALSE))</f>
        <v>10</v>
      </c>
      <c r="MP42" s="904">
        <f>+IFERROR(VLOOKUP(MP$27&amp;"-"&amp;$M42&amp;"_new",Ammortamento_Finanziario!$H:$L,5,FALSE),VLOOKUP($M42,TT_Tabelle_Riferimento!$D$127:$H$164,5,FALSE))</f>
        <v>10</v>
      </c>
      <c r="MQ42" s="904">
        <f>+IFERROR(VLOOKUP(MQ$27&amp;"-"&amp;$M42&amp;"_new",Ammortamento_Finanziario!$H:$L,5,FALSE),VLOOKUP($M42,TT_Tabelle_Riferimento!$D$127:$H$164,5,FALSE))</f>
        <v>10</v>
      </c>
      <c r="MR42" s="1762">
        <f>+IFERROR(VLOOKUP(MR$27&amp;"-"&amp;$M42&amp;"_new",Ammortamento_Finanziario!$H:$L,5,FALSE),VLOOKUP($M42,TT_Tabelle_Riferimento!$D$127:$H$164,5,FALSE))</f>
        <v>10</v>
      </c>
      <c r="MS42" s="1762">
        <f>+IFERROR(VLOOKUP(MS$27&amp;"-"&amp;$M42&amp;"_new",Ammortamento_Finanziario!$H:$L,5,FALSE),VLOOKUP($M42,TT_Tabelle_Riferimento!$D$127:$H$164,5,FALSE))</f>
        <v>10</v>
      </c>
      <c r="MT42" s="1762">
        <f>+IFERROR(VLOOKUP(MT$27&amp;"-"&amp;$M42&amp;"_new",Ammortamento_Finanziario!$H:$L,5,FALSE),VLOOKUP($M42,TT_Tabelle_Riferimento!$D$127:$H$164,5,FALSE))</f>
        <v>10</v>
      </c>
      <c r="MU42" s="1762">
        <f>+IFERROR(VLOOKUP(MU$27&amp;"-"&amp;$M42&amp;"_new",Ammortamento_Finanziario!$H:$L,5,FALSE),VLOOKUP($M42,TT_Tabelle_Riferimento!$D$127:$H$164,5,FALSE))</f>
        <v>10</v>
      </c>
      <c r="MV42" s="1762">
        <f>+IFERROR(VLOOKUP(MV$27&amp;"-"&amp;$M42&amp;"_new",Ammortamento_Finanziario!$H:$L,5,FALSE),VLOOKUP($M42,TT_Tabelle_Riferimento!$D$127:$H$164,5,FALSE))</f>
        <v>10</v>
      </c>
      <c r="MW42" s="1762">
        <f>+IFERROR(VLOOKUP(MW$27&amp;"-"&amp;$M42&amp;"_new",Ammortamento_Finanziario!$H:$L,5,FALSE),VLOOKUP($M42,TT_Tabelle_Riferimento!$D$127:$H$164,5,FALSE))</f>
        <v>10</v>
      </c>
      <c r="MX42" s="904">
        <f>+IFERROR(VLOOKUP(MX$27&amp;"-"&amp;$M42&amp;"_new",Ammortamento_Finanziario!$H:$L,5,FALSE),VLOOKUP($M42,TT_Tabelle_Riferimento!$D$127:$H$164,5,FALSE))</f>
        <v>10</v>
      </c>
      <c r="MY42" s="904">
        <f>+IFERROR(VLOOKUP(MY$27&amp;"-"&amp;$M42&amp;"_new",Ammortamento_Finanziario!$H:$L,5,FALSE),VLOOKUP($M42,TT_Tabelle_Riferimento!$D$127:$H$164,5,FALSE))</f>
        <v>10</v>
      </c>
      <c r="MZ42" s="904">
        <f>+IFERROR(VLOOKUP(MZ$27&amp;"-"&amp;$M42&amp;"_new",Ammortamento_Finanziario!$H:$L,5,FALSE),VLOOKUP($M42,TT_Tabelle_Riferimento!$D$127:$H$164,5,FALSE))</f>
        <v>10</v>
      </c>
      <c r="NA42" s="904">
        <f>+IFERROR(VLOOKUP(NA$27&amp;"-"&amp;$M42&amp;"_new",Ammortamento_Finanziario!$H:$L,5,FALSE),VLOOKUP($M42,TT_Tabelle_Riferimento!$D$127:$H$164,5,FALSE))</f>
        <v>10</v>
      </c>
      <c r="NB42" s="904">
        <f>+IFERROR(VLOOKUP(NB$27&amp;"-"&amp;$M42&amp;"_new",Ammortamento_Finanziario!$H:$L,5,FALSE),VLOOKUP($M42,TT_Tabelle_Riferimento!$D$127:$H$164,5,FALSE))</f>
        <v>10</v>
      </c>
      <c r="NC42" s="904">
        <f>+IFERROR(VLOOKUP(NC$27&amp;"-"&amp;$M42&amp;"_new",Ammortamento_Finanziario!$H:$L,5,FALSE),VLOOKUP($M42,TT_Tabelle_Riferimento!$D$127:$H$164,5,FALSE))</f>
        <v>10</v>
      </c>
      <c r="ND42" s="904">
        <f>+IFERROR(VLOOKUP(ND$27&amp;"-"&amp;$M42&amp;"_new",Ammortamento_Finanziario!$H:$L,5,FALSE),VLOOKUP($M42,TT_Tabelle_Riferimento!$D$127:$H$164,5,FALSE))</f>
        <v>10</v>
      </c>
      <c r="NE42" s="904">
        <f>+IFERROR(VLOOKUP(NE$27&amp;"-"&amp;$M42&amp;"_new",Ammortamento_Finanziario!$H:$L,5,FALSE),VLOOKUP($M42,TT_Tabelle_Riferimento!$D$127:$H$164,5,FALSE))</f>
        <v>10</v>
      </c>
      <c r="NF42" s="904">
        <f>+IFERROR(VLOOKUP(NF$27&amp;"-"&amp;$M42&amp;"_new",Ammortamento_Finanziario!$H:$L,5,FALSE),VLOOKUP($M42,TT_Tabelle_Riferimento!$D$127:$H$164,5,FALSE))</f>
        <v>10</v>
      </c>
      <c r="NG42" s="904">
        <f>+IFERROR(VLOOKUP(NG$27&amp;"-"&amp;$M42&amp;"_new",Ammortamento_Finanziario!$H:$L,5,FALSE),VLOOKUP($M42,TT_Tabelle_Riferimento!$D$127:$H$164,5,FALSE))</f>
        <v>10</v>
      </c>
      <c r="NH42" s="904">
        <f>+IFERROR(VLOOKUP(NH$27&amp;"-"&amp;$M42&amp;"_new",Ammortamento_Finanziario!$H:$L,5,FALSE),VLOOKUP($M42,TT_Tabelle_Riferimento!$D$127:$H$164,5,FALSE))</f>
        <v>10</v>
      </c>
      <c r="NI42" s="904">
        <f>+IFERROR(VLOOKUP(NI$27&amp;"-"&amp;$M42&amp;"_new",Ammortamento_Finanziario!$H:$L,5,FALSE),VLOOKUP($M42,TT_Tabelle_Riferimento!$D$127:$H$164,5,FALSE))</f>
        <v>10</v>
      </c>
      <c r="NJ42" s="904">
        <f>+IFERROR(VLOOKUP(NJ$27&amp;"-"&amp;$M42&amp;"_new",Ammortamento_Finanziario!$H:$L,5,FALSE),VLOOKUP($M42,TT_Tabelle_Riferimento!$D$127:$H$164,5,FALSE))</f>
        <v>10</v>
      </c>
      <c r="NK42" s="904">
        <f>+IFERROR(VLOOKUP(NK$27&amp;"-"&amp;$M42&amp;"_new",Ammortamento_Finanziario!$H:$L,5,FALSE),VLOOKUP($M42,TT_Tabelle_Riferimento!$D$127:$H$164,5,FALSE))</f>
        <v>10</v>
      </c>
      <c r="NL42" s="904">
        <f>+IFERROR(VLOOKUP(NL$27&amp;"-"&amp;$M42&amp;"_new",Ammortamento_Finanziario!$H:$L,5,FALSE),VLOOKUP($M42,TT_Tabelle_Riferimento!$D$127:$H$164,5,FALSE))</f>
        <v>10</v>
      </c>
      <c r="NM42" s="904">
        <f>+IFERROR(VLOOKUP(NM$27&amp;"-"&amp;$M42&amp;"_new",Ammortamento_Finanziario!$H:$L,5,FALSE),VLOOKUP($M42,TT_Tabelle_Riferimento!$D$127:$H$164,5,FALSE))</f>
        <v>10</v>
      </c>
      <c r="NN42" s="904">
        <f>+IFERROR(VLOOKUP(NN$27&amp;"-"&amp;$M42&amp;"_new",Ammortamento_Finanziario!$H:$L,5,FALSE),VLOOKUP($M42,TT_Tabelle_Riferimento!$D$127:$H$164,5,FALSE))</f>
        <v>10</v>
      </c>
      <c r="NO42" s="904">
        <f>+IFERROR(VLOOKUP(NO$27&amp;"-"&amp;$M42&amp;"_new",Ammortamento_Finanziario!$H:$L,5,FALSE),VLOOKUP($M42,TT_Tabelle_Riferimento!$D$127:$H$164,5,FALSE))</f>
        <v>10</v>
      </c>
      <c r="NP42" s="904">
        <f>+IFERROR(VLOOKUP(NP$27&amp;"-"&amp;$M42&amp;"_new",Ammortamento_Finanziario!$H:$L,5,FALSE),VLOOKUP($M42,TT_Tabelle_Riferimento!$D$127:$H$164,5,FALSE))</f>
        <v>10</v>
      </c>
      <c r="NQ42" s="1762">
        <f>+IFERROR(VLOOKUP(NQ$27&amp;"-"&amp;$M42&amp;"_new",Ammortamento_Finanziario!$H:$L,5,FALSE),VLOOKUP($M42,TT_Tabelle_Riferimento!$D$127:$H$164,5,FALSE))</f>
        <v>10</v>
      </c>
      <c r="NR42" s="1762">
        <f>+IFERROR(VLOOKUP(NR$27&amp;"-"&amp;$M42&amp;"_new",Ammortamento_Finanziario!$H:$L,5,FALSE),VLOOKUP($M42,TT_Tabelle_Riferimento!$D$127:$H$164,5,FALSE))</f>
        <v>10</v>
      </c>
      <c r="NS42" s="1762">
        <f>+IFERROR(VLOOKUP(NS$27&amp;"-"&amp;$M42&amp;"_new",Ammortamento_Finanziario!$H:$L,5,FALSE),VLOOKUP($M42,TT_Tabelle_Riferimento!$D$127:$H$164,5,FALSE))</f>
        <v>10</v>
      </c>
      <c r="NT42" s="1762">
        <f>+IFERROR(VLOOKUP(NT$27&amp;"-"&amp;$M42&amp;"_new",Ammortamento_Finanziario!$H:$L,5,FALSE),VLOOKUP($M42,TT_Tabelle_Riferimento!$D$127:$H$164,5,FALSE))</f>
        <v>10</v>
      </c>
      <c r="NU42" s="1762">
        <f>+IFERROR(VLOOKUP(NU$27&amp;"-"&amp;$M42&amp;"_new",Ammortamento_Finanziario!$H:$L,5,FALSE),VLOOKUP($M42,TT_Tabelle_Riferimento!$D$127:$H$164,5,FALSE))</f>
        <v>10</v>
      </c>
      <c r="NV42" s="904">
        <f>+IFERROR(VLOOKUP(NV$27&amp;"-"&amp;$M42&amp;"_new",Ammortamento_Finanziario!$H:$L,5,FALSE),VLOOKUP($M42,TT_Tabelle_Riferimento!$D$127:$H$164,5,FALSE))</f>
        <v>10</v>
      </c>
      <c r="NW42" s="904">
        <f>+IFERROR(VLOOKUP(NW$27&amp;"-"&amp;$M42&amp;"_new",Ammortamento_Finanziario!$H:$L,5,FALSE),VLOOKUP($M42,TT_Tabelle_Riferimento!$D$127:$H$164,5,FALSE))</f>
        <v>10</v>
      </c>
      <c r="NX42" s="904">
        <f>+IFERROR(VLOOKUP(NX$27&amp;"-"&amp;$M42&amp;"_new",Ammortamento_Finanziario!$H:$L,5,FALSE),VLOOKUP($M42,TT_Tabelle_Riferimento!$D$127:$H$164,5,FALSE))</f>
        <v>10</v>
      </c>
      <c r="NY42" s="904">
        <f>+IFERROR(VLOOKUP(NY$27&amp;"-"&amp;$M42&amp;"_new",Ammortamento_Finanziario!$H:$L,5,FALSE),VLOOKUP($M42,TT_Tabelle_Riferimento!$D$127:$H$164,5,FALSE))</f>
        <v>10</v>
      </c>
      <c r="NZ42" s="904">
        <f>+IFERROR(VLOOKUP(NZ$27&amp;"-"&amp;$M42&amp;"_new",Ammortamento_Finanziario!$H:$L,5,FALSE),VLOOKUP($M42,TT_Tabelle_Riferimento!$D$127:$H$164,5,FALSE))</f>
        <v>10</v>
      </c>
      <c r="OA42" s="904">
        <f>+IFERROR(VLOOKUP(OA$27&amp;"-"&amp;$M42&amp;"_new",Ammortamento_Finanziario!$H:$L,5,FALSE),VLOOKUP($M42,TT_Tabelle_Riferimento!$D$127:$H$164,5,FALSE))</f>
        <v>10</v>
      </c>
      <c r="OB42" s="904">
        <f>+IFERROR(VLOOKUP(OB$27&amp;"-"&amp;$M42&amp;"_new",Ammortamento_Finanziario!$H:$L,5,FALSE),VLOOKUP($M42,TT_Tabelle_Riferimento!$D$127:$H$164,5,FALSE))</f>
        <v>10</v>
      </c>
      <c r="OC42" s="904">
        <f>+IFERROR(VLOOKUP(OC$27&amp;"-"&amp;$M42&amp;"_new",Ammortamento_Finanziario!$H:$L,5,FALSE),VLOOKUP($M42,TT_Tabelle_Riferimento!$D$127:$H$164,5,FALSE))</f>
        <v>10</v>
      </c>
      <c r="OD42" s="904">
        <f>+IFERROR(VLOOKUP(OD$27&amp;"-"&amp;$M42&amp;"_new",Ammortamento_Finanziario!$H:$L,5,FALSE),VLOOKUP($M42,TT_Tabelle_Riferimento!$D$127:$H$164,5,FALSE))</f>
        <v>10</v>
      </c>
      <c r="OE42" s="904">
        <f>+IFERROR(VLOOKUP(OE$27&amp;"-"&amp;$M42&amp;"_new",Ammortamento_Finanziario!$H:$L,5,FALSE),VLOOKUP($M42,TT_Tabelle_Riferimento!$D$127:$H$164,5,FALSE))</f>
        <v>10</v>
      </c>
      <c r="OF42" s="904">
        <f>+IFERROR(VLOOKUP(OF$27&amp;"-"&amp;$M42&amp;"_new",Ammortamento_Finanziario!$H:$L,5,FALSE),VLOOKUP($M42,TT_Tabelle_Riferimento!$D$127:$H$164,5,FALSE))</f>
        <v>10</v>
      </c>
      <c r="OG42" s="904">
        <f>+IFERROR(VLOOKUP(OG$27&amp;"-"&amp;$M42&amp;"_new",Ammortamento_Finanziario!$H:$L,5,FALSE),VLOOKUP($M42,TT_Tabelle_Riferimento!$D$127:$H$164,5,FALSE))</f>
        <v>10</v>
      </c>
      <c r="OH42" s="904">
        <f>+IFERROR(VLOOKUP(OH$27&amp;"-"&amp;$M42&amp;"_new",Ammortamento_Finanziario!$H:$L,5,FALSE),VLOOKUP($M42,TT_Tabelle_Riferimento!$D$127:$H$164,5,FALSE))</f>
        <v>10</v>
      </c>
      <c r="OI42" s="904">
        <f>+IFERROR(VLOOKUP(OI$27&amp;"-"&amp;$M42&amp;"_new",Ammortamento_Finanziario!$H:$L,5,FALSE),VLOOKUP($M42,TT_Tabelle_Riferimento!$D$127:$H$164,5,FALSE))</f>
        <v>10</v>
      </c>
      <c r="OJ42" s="904">
        <f>+IFERROR(VLOOKUP(OJ$27&amp;"-"&amp;$M42&amp;"_new",Ammortamento_Finanziario!$H:$L,5,FALSE),VLOOKUP($M42,TT_Tabelle_Riferimento!$D$127:$H$164,5,FALSE))</f>
        <v>10</v>
      </c>
      <c r="OK42" s="904">
        <f>+IFERROR(VLOOKUP(OK$27&amp;"-"&amp;$M42&amp;"_new",Ammortamento_Finanziario!$H:$L,5,FALSE),VLOOKUP($M42,TT_Tabelle_Riferimento!$D$127:$H$164,5,FALSE))</f>
        <v>10</v>
      </c>
      <c r="OL42" s="904">
        <f>+IFERROR(VLOOKUP(OL$27&amp;"-"&amp;$M42&amp;"_new",Ammortamento_Finanziario!$H:$L,5,FALSE),VLOOKUP($M42,TT_Tabelle_Riferimento!$D$127:$H$164,5,FALSE))</f>
        <v>10</v>
      </c>
      <c r="OM42" s="904">
        <f>+IFERROR(VLOOKUP(OM$27&amp;"-"&amp;$M42&amp;"_new",Ammortamento_Finanziario!$H:$L,5,FALSE),VLOOKUP($M42,TT_Tabelle_Riferimento!$D$127:$H$164,5,FALSE))</f>
        <v>10</v>
      </c>
      <c r="ON42" s="904">
        <f>+IFERROR(VLOOKUP(ON$27&amp;"-"&amp;$M42&amp;"_new",Ammortamento_Finanziario!$H:$L,5,FALSE),VLOOKUP($M42,TT_Tabelle_Riferimento!$D$127:$H$164,5,FALSE))</f>
        <v>10</v>
      </c>
      <c r="OO42" s="1762">
        <f>+IFERROR(VLOOKUP(OO$27&amp;"-"&amp;$M42&amp;"_new",Ammortamento_Finanziario!$H:$L,5,FALSE),VLOOKUP($M42,TT_Tabelle_Riferimento!$D$127:$H$164,5,FALSE))</f>
        <v>10</v>
      </c>
      <c r="OP42" s="1762">
        <f>+IFERROR(VLOOKUP(OP$27&amp;"-"&amp;$M42&amp;"_new",Ammortamento_Finanziario!$H:$L,5,FALSE),VLOOKUP($M42,TT_Tabelle_Riferimento!$D$127:$H$164,5,FALSE))</f>
        <v>10</v>
      </c>
      <c r="OQ42" s="1762">
        <f>+IFERROR(VLOOKUP(OQ$27&amp;"-"&amp;$M42&amp;"_new",Ammortamento_Finanziario!$H:$L,5,FALSE),VLOOKUP($M42,TT_Tabelle_Riferimento!$D$127:$H$164,5,FALSE))</f>
        <v>10</v>
      </c>
      <c r="OR42" s="1762">
        <f>+IFERROR(VLOOKUP(OR$27&amp;"-"&amp;$M42&amp;"_new",Ammortamento_Finanziario!$H:$L,5,FALSE),VLOOKUP($M42,TT_Tabelle_Riferimento!$D$127:$H$164,5,FALSE))</f>
        <v>10</v>
      </c>
      <c r="OS42" s="904">
        <f>+IFERROR(VLOOKUP(OS$27&amp;"-"&amp;$M42&amp;"_new",Ammortamento_Finanziario!$H:$L,5,FALSE),VLOOKUP($M42,TT_Tabelle_Riferimento!$D$127:$H$164,5,FALSE))</f>
        <v>10</v>
      </c>
      <c r="OT42" s="904">
        <f>+IFERROR(VLOOKUP(OT$27&amp;"-"&amp;$M42&amp;"_new",Ammortamento_Finanziario!$H:$L,5,FALSE),VLOOKUP($M42,TT_Tabelle_Riferimento!$D$127:$H$164,5,FALSE))</f>
        <v>10</v>
      </c>
      <c r="OU42" s="904">
        <f>+IFERROR(VLOOKUP(OU$27&amp;"-"&amp;$M42&amp;"_new",Ammortamento_Finanziario!$H:$L,5,FALSE),VLOOKUP($M42,TT_Tabelle_Riferimento!$D$127:$H$164,5,FALSE))</f>
        <v>10</v>
      </c>
      <c r="OV42" s="904">
        <f>+IFERROR(VLOOKUP(OV$27&amp;"-"&amp;$M42&amp;"_new",Ammortamento_Finanziario!$H:$L,5,FALSE),VLOOKUP($M42,TT_Tabelle_Riferimento!$D$127:$H$164,5,FALSE))</f>
        <v>10</v>
      </c>
      <c r="OW42" s="904">
        <f>+IFERROR(VLOOKUP(OW$27&amp;"-"&amp;$M42&amp;"_new",Ammortamento_Finanziario!$H:$L,5,FALSE),VLOOKUP($M42,TT_Tabelle_Riferimento!$D$127:$H$164,5,FALSE))</f>
        <v>10</v>
      </c>
      <c r="OX42" s="904">
        <f>+IFERROR(VLOOKUP(OX$27&amp;"-"&amp;$M42&amp;"_new",Ammortamento_Finanziario!$H:$L,5,FALSE),VLOOKUP($M42,TT_Tabelle_Riferimento!$D$127:$H$164,5,FALSE))</f>
        <v>10</v>
      </c>
      <c r="OY42" s="904">
        <f>+IFERROR(VLOOKUP(OY$27&amp;"-"&amp;$M42&amp;"_new",Ammortamento_Finanziario!$H:$L,5,FALSE),VLOOKUP($M42,TT_Tabelle_Riferimento!$D$127:$H$164,5,FALSE))</f>
        <v>10</v>
      </c>
      <c r="OZ42" s="904">
        <f>+IFERROR(VLOOKUP(OZ$27&amp;"-"&amp;$M42&amp;"_new",Ammortamento_Finanziario!$H:$L,5,FALSE),VLOOKUP($M42,TT_Tabelle_Riferimento!$D$127:$H$164,5,FALSE))</f>
        <v>10</v>
      </c>
      <c r="PA42" s="904">
        <f>+IFERROR(VLOOKUP(PA$27&amp;"-"&amp;$M42&amp;"_new",Ammortamento_Finanziario!$H:$L,5,FALSE),VLOOKUP($M42,TT_Tabelle_Riferimento!$D$127:$H$164,5,FALSE))</f>
        <v>10</v>
      </c>
      <c r="PB42" s="904">
        <f>+IFERROR(VLOOKUP(PB$27&amp;"-"&amp;$M42&amp;"_new",Ammortamento_Finanziario!$H:$L,5,FALSE),VLOOKUP($M42,TT_Tabelle_Riferimento!$D$127:$H$164,5,FALSE))</f>
        <v>10</v>
      </c>
      <c r="PC42" s="904">
        <f>+IFERROR(VLOOKUP(PC$27&amp;"-"&amp;$M42&amp;"_new",Ammortamento_Finanziario!$H:$L,5,FALSE),VLOOKUP($M42,TT_Tabelle_Riferimento!$D$127:$H$164,5,FALSE))</f>
        <v>10</v>
      </c>
      <c r="PD42" s="904">
        <f>+IFERROR(VLOOKUP(PD$27&amp;"-"&amp;$M42&amp;"_new",Ammortamento_Finanziario!$H:$L,5,FALSE),VLOOKUP($M42,TT_Tabelle_Riferimento!$D$127:$H$164,5,FALSE))</f>
        <v>10</v>
      </c>
      <c r="PE42" s="904">
        <f>+IFERROR(VLOOKUP(PE$27&amp;"-"&amp;$M42&amp;"_new",Ammortamento_Finanziario!$H:$L,5,FALSE),VLOOKUP($M42,TT_Tabelle_Riferimento!$D$127:$H$164,5,FALSE))</f>
        <v>10</v>
      </c>
      <c r="PF42" s="904">
        <f>+IFERROR(VLOOKUP(PF$27&amp;"-"&amp;$M42&amp;"_new",Ammortamento_Finanziario!$H:$L,5,FALSE),VLOOKUP($M42,TT_Tabelle_Riferimento!$D$127:$H$164,5,FALSE))</f>
        <v>10</v>
      </c>
      <c r="PG42" s="904">
        <f>+IFERROR(VLOOKUP(PG$27&amp;"-"&amp;$M42&amp;"_new",Ammortamento_Finanziario!$H:$L,5,FALSE),VLOOKUP($M42,TT_Tabelle_Riferimento!$D$127:$H$164,5,FALSE))</f>
        <v>10</v>
      </c>
      <c r="PH42" s="904">
        <f>+IFERROR(VLOOKUP(PH$27&amp;"-"&amp;$M42&amp;"_new",Ammortamento_Finanziario!$H:$L,5,FALSE),VLOOKUP($M42,TT_Tabelle_Riferimento!$D$127:$H$164,5,FALSE))</f>
        <v>10</v>
      </c>
      <c r="PI42" s="904">
        <f>+IFERROR(VLOOKUP(PI$27&amp;"-"&amp;$M42&amp;"_new",Ammortamento_Finanziario!$H:$L,5,FALSE),VLOOKUP($M42,TT_Tabelle_Riferimento!$D$127:$H$164,5,FALSE))</f>
        <v>10</v>
      </c>
      <c r="PJ42" s="904">
        <f>+IFERROR(VLOOKUP(PJ$27&amp;"-"&amp;$M42&amp;"_new",Ammortamento_Finanziario!$H:$L,5,FALSE),VLOOKUP($M42,TT_Tabelle_Riferimento!$D$127:$H$164,5,FALSE))</f>
        <v>10</v>
      </c>
      <c r="PK42" s="904">
        <f>+IFERROR(VLOOKUP(PK$27&amp;"-"&amp;$M42&amp;"_new",Ammortamento_Finanziario!$H:$L,5,FALSE),VLOOKUP($M42,TT_Tabelle_Riferimento!$D$127:$H$164,5,FALSE))</f>
        <v>10</v>
      </c>
      <c r="PL42" s="1762">
        <f>+IFERROR(VLOOKUP(PL$27&amp;"-"&amp;$M42&amp;"_new",Ammortamento_Finanziario!$H:$L,5,FALSE),VLOOKUP($M42,TT_Tabelle_Riferimento!$D$127:$H$164,5,FALSE))</f>
        <v>10</v>
      </c>
      <c r="PM42" s="1762">
        <f>+IFERROR(VLOOKUP(PM$27&amp;"-"&amp;$M42&amp;"_new",Ammortamento_Finanziario!$H:$L,5,FALSE),VLOOKUP($M42,TT_Tabelle_Riferimento!$D$127:$H$164,5,FALSE))</f>
        <v>10</v>
      </c>
      <c r="PN42" s="1762">
        <f>+IFERROR(VLOOKUP(PN$27&amp;"-"&amp;$M42&amp;"_new",Ammortamento_Finanziario!$H:$L,5,FALSE),VLOOKUP($M42,TT_Tabelle_Riferimento!$D$127:$H$164,5,FALSE))</f>
        <v>10</v>
      </c>
      <c r="PO42" s="904">
        <f>+IFERROR(VLOOKUP(PO$27&amp;"-"&amp;$M42&amp;"_new",Ammortamento_Finanziario!$H:$L,5,FALSE),VLOOKUP($M42,TT_Tabelle_Riferimento!$D$127:$H$164,5,FALSE))</f>
        <v>10</v>
      </c>
      <c r="PP42" s="904">
        <f>+IFERROR(VLOOKUP(PP$27&amp;"-"&amp;$M42&amp;"_new",Ammortamento_Finanziario!$H:$L,5,FALSE),VLOOKUP($M42,TT_Tabelle_Riferimento!$D$127:$H$164,5,FALSE))</f>
        <v>10</v>
      </c>
      <c r="PQ42" s="904">
        <f>+IFERROR(VLOOKUP(PQ$27&amp;"-"&amp;$M42&amp;"_new",Ammortamento_Finanziario!$H:$L,5,FALSE),VLOOKUP($M42,TT_Tabelle_Riferimento!$D$127:$H$164,5,FALSE))</f>
        <v>10</v>
      </c>
      <c r="PR42" s="904">
        <f>+IFERROR(VLOOKUP(PR$27&amp;"-"&amp;$M42&amp;"_new",Ammortamento_Finanziario!$H:$L,5,FALSE),VLOOKUP($M42,TT_Tabelle_Riferimento!$D$127:$H$164,5,FALSE))</f>
        <v>10</v>
      </c>
      <c r="PS42" s="904">
        <f>+IFERROR(VLOOKUP(PS$27&amp;"-"&amp;$M42&amp;"_new",Ammortamento_Finanziario!$H:$L,5,FALSE),VLOOKUP($M42,TT_Tabelle_Riferimento!$D$127:$H$164,5,FALSE))</f>
        <v>10</v>
      </c>
      <c r="PT42" s="904">
        <f>+IFERROR(VLOOKUP(PT$27&amp;"-"&amp;$M42&amp;"_new",Ammortamento_Finanziario!$H:$L,5,FALSE),VLOOKUP($M42,TT_Tabelle_Riferimento!$D$127:$H$164,5,FALSE))</f>
        <v>10</v>
      </c>
      <c r="PU42" s="904">
        <f>+IFERROR(VLOOKUP(PU$27&amp;"-"&amp;$M42&amp;"_new",Ammortamento_Finanziario!$H:$L,5,FALSE),VLOOKUP($M42,TT_Tabelle_Riferimento!$D$127:$H$164,5,FALSE))</f>
        <v>10</v>
      </c>
      <c r="PV42" s="904">
        <f>+IFERROR(VLOOKUP(PV$27&amp;"-"&amp;$M42&amp;"_new",Ammortamento_Finanziario!$H:$L,5,FALSE),VLOOKUP($M42,TT_Tabelle_Riferimento!$D$127:$H$164,5,FALSE))</f>
        <v>10</v>
      </c>
      <c r="PW42" s="904">
        <f>+IFERROR(VLOOKUP(PW$27&amp;"-"&amp;$M42&amp;"_new",Ammortamento_Finanziario!$H:$L,5,FALSE),VLOOKUP($M42,TT_Tabelle_Riferimento!$D$127:$H$164,5,FALSE))</f>
        <v>10</v>
      </c>
      <c r="PX42" s="904">
        <f>+IFERROR(VLOOKUP(PX$27&amp;"-"&amp;$M42&amp;"_new",Ammortamento_Finanziario!$H:$L,5,FALSE),VLOOKUP($M42,TT_Tabelle_Riferimento!$D$127:$H$164,5,FALSE))</f>
        <v>10</v>
      </c>
      <c r="PY42" s="904">
        <f>+IFERROR(VLOOKUP(PY$27&amp;"-"&amp;$M42&amp;"_new",Ammortamento_Finanziario!$H:$L,5,FALSE),VLOOKUP($M42,TT_Tabelle_Riferimento!$D$127:$H$164,5,FALSE))</f>
        <v>10</v>
      </c>
      <c r="PZ42" s="904">
        <f>+IFERROR(VLOOKUP(PZ$27&amp;"-"&amp;$M42&amp;"_new",Ammortamento_Finanziario!$H:$L,5,FALSE),VLOOKUP($M42,TT_Tabelle_Riferimento!$D$127:$H$164,5,FALSE))</f>
        <v>10</v>
      </c>
      <c r="QA42" s="904">
        <f>+IFERROR(VLOOKUP(QA$27&amp;"-"&amp;$M42&amp;"_new",Ammortamento_Finanziario!$H:$L,5,FALSE),VLOOKUP($M42,TT_Tabelle_Riferimento!$D$127:$H$164,5,FALSE))</f>
        <v>10</v>
      </c>
      <c r="QB42" s="904">
        <f>+IFERROR(VLOOKUP(QB$27&amp;"-"&amp;$M42&amp;"_new",Ammortamento_Finanziario!$H:$L,5,FALSE),VLOOKUP($M42,TT_Tabelle_Riferimento!$D$127:$H$164,5,FALSE))</f>
        <v>10</v>
      </c>
      <c r="QC42" s="904">
        <f>+IFERROR(VLOOKUP(QC$27&amp;"-"&amp;$M42&amp;"_new",Ammortamento_Finanziario!$H:$L,5,FALSE),VLOOKUP($M42,TT_Tabelle_Riferimento!$D$127:$H$164,5,FALSE))</f>
        <v>10</v>
      </c>
      <c r="QD42" s="904">
        <f>+IFERROR(VLOOKUP(QD$27&amp;"-"&amp;$M42&amp;"_new",Ammortamento_Finanziario!$H:$L,5,FALSE),VLOOKUP($M42,TT_Tabelle_Riferimento!$D$127:$H$164,5,FALSE))</f>
        <v>10</v>
      </c>
      <c r="QE42" s="904">
        <f>+IFERROR(VLOOKUP(QE$27&amp;"-"&amp;$M42&amp;"_new",Ammortamento_Finanziario!$H:$L,5,FALSE),VLOOKUP($M42,TT_Tabelle_Riferimento!$D$127:$H$164,5,FALSE))</f>
        <v>10</v>
      </c>
      <c r="QF42" s="904">
        <f>+IFERROR(VLOOKUP(QF$27&amp;"-"&amp;$M42&amp;"_new",Ammortamento_Finanziario!$H:$L,5,FALSE),VLOOKUP($M42,TT_Tabelle_Riferimento!$D$127:$H$164,5,FALSE))</f>
        <v>10</v>
      </c>
      <c r="QG42" s="904">
        <f>+IFERROR(VLOOKUP(QG$27&amp;"-"&amp;$M42&amp;"_new",Ammortamento_Finanziario!$H:$L,5,FALSE),VLOOKUP($M42,TT_Tabelle_Riferimento!$D$127:$H$164,5,FALSE))</f>
        <v>10</v>
      </c>
      <c r="QH42" s="1762">
        <f>+IFERROR(VLOOKUP(QH$27&amp;"-"&amp;$M42&amp;"_new",Ammortamento_Finanziario!$H:$L,5,FALSE),VLOOKUP($M42,TT_Tabelle_Riferimento!$D$127:$H$164,5,FALSE))</f>
        <v>10</v>
      </c>
      <c r="QI42" s="1762">
        <f>+IFERROR(VLOOKUP(QI$27&amp;"-"&amp;$M42&amp;"_new",Ammortamento_Finanziario!$H:$L,5,FALSE),VLOOKUP($M42,TT_Tabelle_Riferimento!$D$127:$H$164,5,FALSE))</f>
        <v>10</v>
      </c>
      <c r="QJ42" s="904">
        <f>+IFERROR(VLOOKUP(QJ$27&amp;"-"&amp;$M42&amp;"_new",Ammortamento_Finanziario!$H:$L,5,FALSE),VLOOKUP($M42,TT_Tabelle_Riferimento!$D$127:$H$164,5,FALSE))</f>
        <v>10</v>
      </c>
      <c r="QK42" s="904">
        <f>+IFERROR(VLOOKUP(QK$27&amp;"-"&amp;$M42&amp;"_new",Ammortamento_Finanziario!$H:$L,5,FALSE),VLOOKUP($M42,TT_Tabelle_Riferimento!$D$127:$H$164,5,FALSE))</f>
        <v>10</v>
      </c>
      <c r="QL42" s="904">
        <f>+IFERROR(VLOOKUP(QL$27&amp;"-"&amp;$M42&amp;"_new",Ammortamento_Finanziario!$H:$L,5,FALSE),VLOOKUP($M42,TT_Tabelle_Riferimento!$D$127:$H$164,5,FALSE))</f>
        <v>10</v>
      </c>
      <c r="QM42" s="904">
        <f>+IFERROR(VLOOKUP(QM$27&amp;"-"&amp;$M42&amp;"_new",Ammortamento_Finanziario!$H:$L,5,FALSE),VLOOKUP($M42,TT_Tabelle_Riferimento!$D$127:$H$164,5,FALSE))</f>
        <v>10</v>
      </c>
      <c r="QN42" s="904">
        <f>+IFERROR(VLOOKUP(QN$27&amp;"-"&amp;$M42&amp;"_new",Ammortamento_Finanziario!$H:$L,5,FALSE),VLOOKUP($M42,TT_Tabelle_Riferimento!$D$127:$H$164,5,FALSE))</f>
        <v>10</v>
      </c>
      <c r="QO42" s="904">
        <f>+IFERROR(VLOOKUP(QO$27&amp;"-"&amp;$M42&amp;"_new",Ammortamento_Finanziario!$H:$L,5,FALSE),VLOOKUP($M42,TT_Tabelle_Riferimento!$D$127:$H$164,5,FALSE))</f>
        <v>10</v>
      </c>
      <c r="QP42" s="904">
        <f>+IFERROR(VLOOKUP(QP$27&amp;"-"&amp;$M42&amp;"_new",Ammortamento_Finanziario!$H:$L,5,FALSE),VLOOKUP($M42,TT_Tabelle_Riferimento!$D$127:$H$164,5,FALSE))</f>
        <v>10</v>
      </c>
      <c r="QQ42" s="904">
        <f>+IFERROR(VLOOKUP(QQ$27&amp;"-"&amp;$M42&amp;"_new",Ammortamento_Finanziario!$H:$L,5,FALSE),VLOOKUP($M42,TT_Tabelle_Riferimento!$D$127:$H$164,5,FALSE))</f>
        <v>10</v>
      </c>
      <c r="QR42" s="904">
        <f>+IFERROR(VLOOKUP(QR$27&amp;"-"&amp;$M42&amp;"_new",Ammortamento_Finanziario!$H:$L,5,FALSE),VLOOKUP($M42,TT_Tabelle_Riferimento!$D$127:$H$164,5,FALSE))</f>
        <v>10</v>
      </c>
      <c r="QS42" s="904">
        <f>+IFERROR(VLOOKUP(QS$27&amp;"-"&amp;$M42&amp;"_new",Ammortamento_Finanziario!$H:$L,5,FALSE),VLOOKUP($M42,TT_Tabelle_Riferimento!$D$127:$H$164,5,FALSE))</f>
        <v>10</v>
      </c>
      <c r="QT42" s="904">
        <f>+IFERROR(VLOOKUP(QT$27&amp;"-"&amp;$M42&amp;"_new",Ammortamento_Finanziario!$H:$L,5,FALSE),VLOOKUP($M42,TT_Tabelle_Riferimento!$D$127:$H$164,5,FALSE))</f>
        <v>10</v>
      </c>
      <c r="QU42" s="904">
        <f>+IFERROR(VLOOKUP(QU$27&amp;"-"&amp;$M42&amp;"_new",Ammortamento_Finanziario!$H:$L,5,FALSE),VLOOKUP($M42,TT_Tabelle_Riferimento!$D$127:$H$164,5,FALSE))</f>
        <v>10</v>
      </c>
      <c r="QV42" s="904">
        <f>+IFERROR(VLOOKUP(QV$27&amp;"-"&amp;$M42&amp;"_new",Ammortamento_Finanziario!$H:$L,5,FALSE),VLOOKUP($M42,TT_Tabelle_Riferimento!$D$127:$H$164,5,FALSE))</f>
        <v>10</v>
      </c>
      <c r="QW42" s="904">
        <f>+IFERROR(VLOOKUP(QW$27&amp;"-"&amp;$M42&amp;"_new",Ammortamento_Finanziario!$H:$L,5,FALSE),VLOOKUP($M42,TT_Tabelle_Riferimento!$D$127:$H$164,5,FALSE))</f>
        <v>10</v>
      </c>
      <c r="QX42" s="904">
        <f>+IFERROR(VLOOKUP(QX$27&amp;"-"&amp;$M42&amp;"_new",Ammortamento_Finanziario!$H:$L,5,FALSE),VLOOKUP($M42,TT_Tabelle_Riferimento!$D$127:$H$164,5,FALSE))</f>
        <v>10</v>
      </c>
      <c r="QY42" s="904">
        <f>+IFERROR(VLOOKUP(QY$27&amp;"-"&amp;$M42&amp;"_new",Ammortamento_Finanziario!$H:$L,5,FALSE),VLOOKUP($M42,TT_Tabelle_Riferimento!$D$127:$H$164,5,FALSE))</f>
        <v>10</v>
      </c>
      <c r="QZ42" s="904">
        <f>+IFERROR(VLOOKUP(QZ$27&amp;"-"&amp;$M42&amp;"_new",Ammortamento_Finanziario!$H:$L,5,FALSE),VLOOKUP($M42,TT_Tabelle_Riferimento!$D$127:$H$164,5,FALSE))</f>
        <v>10</v>
      </c>
      <c r="RA42" s="904">
        <f>+IFERROR(VLOOKUP(RA$27&amp;"-"&amp;$M42&amp;"_new",Ammortamento_Finanziario!$H:$L,5,FALSE),VLOOKUP($M42,TT_Tabelle_Riferimento!$D$127:$H$164,5,FALSE))</f>
        <v>10</v>
      </c>
      <c r="RB42" s="904">
        <f>+IFERROR(VLOOKUP(RB$27&amp;"-"&amp;$M42&amp;"_new",Ammortamento_Finanziario!$H:$L,5,FALSE),VLOOKUP($M42,TT_Tabelle_Riferimento!$D$127:$H$164,5,FALSE))</f>
        <v>10</v>
      </c>
      <c r="RC42" s="1762">
        <f>+IFERROR(VLOOKUP(RC$27&amp;"-"&amp;$M42&amp;"_new",Ammortamento_Finanziario!$H:$L,5,FALSE),VLOOKUP($M42,TT_Tabelle_Riferimento!$D$127:$H$164,5,FALSE))</f>
        <v>10</v>
      </c>
      <c r="RD42" s="904">
        <f>+IFERROR(VLOOKUP(RD$27&amp;"-"&amp;$M42&amp;"_new",Ammortamento_Finanziario!$H:$L,5,FALSE),VLOOKUP($M42,TT_Tabelle_Riferimento!$D$127:$H$164,5,FALSE))</f>
        <v>10</v>
      </c>
      <c r="RE42" s="904">
        <f>+IFERROR(VLOOKUP(RE$27&amp;"-"&amp;$M42&amp;"_new",Ammortamento_Finanziario!$H:$L,5,FALSE),VLOOKUP($M42,TT_Tabelle_Riferimento!$D$127:$H$164,5,FALSE))</f>
        <v>10</v>
      </c>
      <c r="RF42" s="904">
        <f>+IFERROR(VLOOKUP(RF$27&amp;"-"&amp;$M42&amp;"_new",Ammortamento_Finanziario!$H:$L,5,FALSE),VLOOKUP($M42,TT_Tabelle_Riferimento!$D$127:$H$164,5,FALSE))</f>
        <v>10</v>
      </c>
      <c r="RG42" s="904">
        <f>+IFERROR(VLOOKUP(RG$27&amp;"-"&amp;$M42&amp;"_new",Ammortamento_Finanziario!$H:$L,5,FALSE),VLOOKUP($M42,TT_Tabelle_Riferimento!$D$127:$H$164,5,FALSE))</f>
        <v>10</v>
      </c>
      <c r="RH42" s="904">
        <f>+IFERROR(VLOOKUP(RH$27&amp;"-"&amp;$M42&amp;"_new",Ammortamento_Finanziario!$H:$L,5,FALSE),VLOOKUP($M42,TT_Tabelle_Riferimento!$D$127:$H$164,5,FALSE))</f>
        <v>10</v>
      </c>
      <c r="RI42" s="904">
        <f>+IFERROR(VLOOKUP(RI$27&amp;"-"&amp;$M42&amp;"_new",Ammortamento_Finanziario!$H:$L,5,FALSE),VLOOKUP($M42,TT_Tabelle_Riferimento!$D$127:$H$164,5,FALSE))</f>
        <v>10</v>
      </c>
      <c r="RJ42" s="904">
        <f>+IFERROR(VLOOKUP(RJ$27&amp;"-"&amp;$M42&amp;"_new",Ammortamento_Finanziario!$H:$L,5,FALSE),VLOOKUP($M42,TT_Tabelle_Riferimento!$D$127:$H$164,5,FALSE))</f>
        <v>10</v>
      </c>
      <c r="RK42" s="904">
        <f>+IFERROR(VLOOKUP(RK$27&amp;"-"&amp;$M42&amp;"_new",Ammortamento_Finanziario!$H:$L,5,FALSE),VLOOKUP($M42,TT_Tabelle_Riferimento!$D$127:$H$164,5,FALSE))</f>
        <v>10</v>
      </c>
      <c r="RL42" s="904">
        <f>+IFERROR(VLOOKUP(RL$27&amp;"-"&amp;$M42&amp;"_new",Ammortamento_Finanziario!$H:$L,5,FALSE),VLOOKUP($M42,TT_Tabelle_Riferimento!$D$127:$H$164,5,FALSE))</f>
        <v>10</v>
      </c>
      <c r="RM42" s="904">
        <f>+IFERROR(VLOOKUP(RM$27&amp;"-"&amp;$M42&amp;"_new",Ammortamento_Finanziario!$H:$L,5,FALSE),VLOOKUP($M42,TT_Tabelle_Riferimento!$D$127:$H$164,5,FALSE))</f>
        <v>10</v>
      </c>
      <c r="RN42" s="904">
        <f>+IFERROR(VLOOKUP(RN$27&amp;"-"&amp;$M42&amp;"_new",Ammortamento_Finanziario!$H:$L,5,FALSE),VLOOKUP($M42,TT_Tabelle_Riferimento!$D$127:$H$164,5,FALSE))</f>
        <v>10</v>
      </c>
      <c r="RO42" s="904">
        <f>+IFERROR(VLOOKUP(RO$27&amp;"-"&amp;$M42&amp;"_new",Ammortamento_Finanziario!$H:$L,5,FALSE),VLOOKUP($M42,TT_Tabelle_Riferimento!$D$127:$H$164,5,FALSE))</f>
        <v>10</v>
      </c>
      <c r="RP42" s="904">
        <f>+IFERROR(VLOOKUP(RP$27&amp;"-"&amp;$M42&amp;"_new",Ammortamento_Finanziario!$H:$L,5,FALSE),VLOOKUP($M42,TT_Tabelle_Riferimento!$D$127:$H$164,5,FALSE))</f>
        <v>10</v>
      </c>
      <c r="RQ42" s="904">
        <f>+IFERROR(VLOOKUP(RQ$27&amp;"-"&amp;$M42&amp;"_new",Ammortamento_Finanziario!$H:$L,5,FALSE),VLOOKUP($M42,TT_Tabelle_Riferimento!$D$127:$H$164,5,FALSE))</f>
        <v>10</v>
      </c>
      <c r="RR42" s="904">
        <f>+IFERROR(VLOOKUP(RR$27&amp;"-"&amp;$M42&amp;"_new",Ammortamento_Finanziario!$H:$L,5,FALSE),VLOOKUP($M42,TT_Tabelle_Riferimento!$D$127:$H$164,5,FALSE))</f>
        <v>10</v>
      </c>
      <c r="RS42" s="904">
        <f>+IFERROR(VLOOKUP(RS$27&amp;"-"&amp;$M42&amp;"_new",Ammortamento_Finanziario!$H:$L,5,FALSE),VLOOKUP($M42,TT_Tabelle_Riferimento!$D$127:$H$164,5,FALSE))</f>
        <v>10</v>
      </c>
      <c r="RT42" s="904">
        <f>+IFERROR(VLOOKUP(RT$27&amp;"-"&amp;$M42&amp;"_new",Ammortamento_Finanziario!$H:$L,5,FALSE),VLOOKUP($M42,TT_Tabelle_Riferimento!$D$127:$H$164,5,FALSE))</f>
        <v>10</v>
      </c>
      <c r="RU42" s="904">
        <f>+IFERROR(VLOOKUP(RU$27&amp;"-"&amp;$M42&amp;"_new",Ammortamento_Finanziario!$H:$L,5,FALSE),VLOOKUP($M42,TT_Tabelle_Riferimento!$D$127:$H$164,5,FALSE))</f>
        <v>10</v>
      </c>
      <c r="RV42" s="904">
        <f>+IFERROR(VLOOKUP(RV$27&amp;"-"&amp;$M42&amp;"_new",Ammortamento_Finanziario!$H:$L,5,FALSE),VLOOKUP($M42,TT_Tabelle_Riferimento!$D$127:$H$164,5,FALSE))</f>
        <v>10</v>
      </c>
    </row>
    <row r="43" spans="4:490">
      <c r="D43" s="135" t="s">
        <v>224</v>
      </c>
      <c r="E43" s="1264">
        <f>+SUMIFS(IMN_gestore!Q:Q,IMN_gestore!$G:$G,"Env")</f>
        <v>0</v>
      </c>
      <c r="F43" s="1264">
        <f>+SUMIFS(IMN_gestore!AB:AB,IMN_gestore!$G:$G,"Env")</f>
        <v>0</v>
      </c>
      <c r="G43" s="1264">
        <f>+SUMIFS(IMN_gestore!AM:AM,IMN_gestore!$G:$G,"Env")</f>
        <v>0</v>
      </c>
      <c r="H43" s="1264">
        <f>+SUMIFS(IMN_gestore!AX:AX,IMN_gestore!$G:$G,"Env")</f>
        <v>0</v>
      </c>
      <c r="I43" s="1264">
        <f>+SUMIFS(IMN_gestore!$BI:$BI,IMN_gestore!$G:$G,"Env")</f>
        <v>0</v>
      </c>
      <c r="J43" s="1264">
        <f>+SUMIFS(IMN_gestore!$BT:$BT,IMN_gestore!$G:$G,"Env")</f>
        <v>0</v>
      </c>
      <c r="M43" s="1756">
        <v>16</v>
      </c>
      <c r="N43" s="1759">
        <v>0</v>
      </c>
      <c r="O43" s="1759">
        <v>0</v>
      </c>
      <c r="P43" s="1759">
        <v>0</v>
      </c>
      <c r="Q43" s="1759">
        <v>0</v>
      </c>
      <c r="R43" s="1759">
        <v>0</v>
      </c>
      <c r="S43" s="1759">
        <v>0</v>
      </c>
      <c r="T43" s="1759">
        <v>0</v>
      </c>
      <c r="U43" s="1759">
        <v>0</v>
      </c>
      <c r="V43" s="1759">
        <v>0</v>
      </c>
      <c r="W43" s="1759">
        <v>0</v>
      </c>
      <c r="X43" s="1759">
        <v>0</v>
      </c>
      <c r="Y43" s="1759">
        <v>0</v>
      </c>
      <c r="Z43" s="1759">
        <v>0</v>
      </c>
      <c r="AA43" s="1759">
        <v>0</v>
      </c>
      <c r="AB43" s="1759">
        <v>0</v>
      </c>
      <c r="AC43" s="1759">
        <v>0</v>
      </c>
      <c r="AD43" s="1759">
        <v>0</v>
      </c>
      <c r="AE43" s="1759">
        <v>0</v>
      </c>
      <c r="AF43" s="1759">
        <v>0</v>
      </c>
      <c r="AG43" s="1759">
        <v>0</v>
      </c>
      <c r="AH43" s="1759">
        <v>0</v>
      </c>
      <c r="AI43" s="1759">
        <v>0</v>
      </c>
      <c r="AJ43" s="1759">
        <v>0</v>
      </c>
      <c r="AK43" s="1759">
        <v>0</v>
      </c>
      <c r="AL43" s="1759">
        <v>0</v>
      </c>
      <c r="AM43" s="1759">
        <v>0</v>
      </c>
      <c r="AN43" s="1759">
        <v>0</v>
      </c>
      <c r="AO43" s="1759">
        <v>0</v>
      </c>
      <c r="AP43" s="1759">
        <v>0</v>
      </c>
      <c r="AQ43" s="1759">
        <v>0</v>
      </c>
      <c r="AR43" s="1759">
        <v>0</v>
      </c>
      <c r="AS43" s="1759">
        <v>0</v>
      </c>
      <c r="AT43" s="1759">
        <v>0</v>
      </c>
      <c r="AU43" s="1759">
        <v>0</v>
      </c>
      <c r="AV43" s="1759">
        <v>0</v>
      </c>
      <c r="AW43" s="1759">
        <v>0</v>
      </c>
      <c r="AX43" s="1759">
        <v>0</v>
      </c>
      <c r="AY43" s="1759">
        <v>0</v>
      </c>
      <c r="AZ43" s="1759">
        <v>0</v>
      </c>
      <c r="BA43" s="1759">
        <v>0</v>
      </c>
      <c r="BB43" s="1759">
        <v>0</v>
      </c>
      <c r="BC43" s="1759">
        <v>0</v>
      </c>
      <c r="BD43" s="1759">
        <v>0</v>
      </c>
      <c r="BE43" s="1759">
        <v>0</v>
      </c>
      <c r="BF43" s="1759">
        <v>0</v>
      </c>
      <c r="BG43" s="1759">
        <v>0</v>
      </c>
      <c r="BH43" s="1759">
        <v>0</v>
      </c>
      <c r="BI43" s="1759">
        <v>0</v>
      </c>
      <c r="BJ43" s="1759">
        <v>0</v>
      </c>
      <c r="BK43" s="1759">
        <v>0</v>
      </c>
      <c r="BL43" s="1759">
        <v>0</v>
      </c>
      <c r="BM43" s="1759">
        <v>0</v>
      </c>
      <c r="BN43" s="1759">
        <v>0</v>
      </c>
      <c r="BO43" s="1759">
        <v>0</v>
      </c>
      <c r="BP43" s="1759">
        <v>0</v>
      </c>
      <c r="BQ43" s="1759">
        <v>0</v>
      </c>
      <c r="BR43" s="1759">
        <v>0</v>
      </c>
      <c r="BS43" s="1759">
        <v>0</v>
      </c>
      <c r="BT43" s="1759">
        <v>0</v>
      </c>
      <c r="BU43" s="1759">
        <v>0</v>
      </c>
      <c r="BV43" s="1759">
        <v>0</v>
      </c>
      <c r="BW43" s="1759">
        <v>0</v>
      </c>
      <c r="BX43" s="1759">
        <v>0</v>
      </c>
      <c r="BY43" s="1759">
        <v>0</v>
      </c>
      <c r="BZ43" s="1759">
        <v>0</v>
      </c>
      <c r="CA43" s="1759">
        <v>0</v>
      </c>
      <c r="CB43" s="1759">
        <v>0</v>
      </c>
      <c r="CC43" s="1759">
        <v>0</v>
      </c>
      <c r="CD43" s="1759">
        <v>0</v>
      </c>
      <c r="CE43" s="1759">
        <v>0</v>
      </c>
      <c r="CF43" s="1759">
        <v>0</v>
      </c>
      <c r="CG43" s="1759">
        <v>0</v>
      </c>
      <c r="CH43" s="1759">
        <v>0</v>
      </c>
      <c r="CI43" s="1759">
        <v>0</v>
      </c>
      <c r="CJ43" s="1759">
        <v>0</v>
      </c>
      <c r="CK43" s="1759">
        <v>0</v>
      </c>
      <c r="CL43" s="1759">
        <v>0</v>
      </c>
      <c r="CM43" s="1759">
        <v>0</v>
      </c>
      <c r="CN43" s="1759">
        <v>0</v>
      </c>
      <c r="CO43" s="1759">
        <v>0</v>
      </c>
      <c r="CP43" s="1759">
        <v>0</v>
      </c>
      <c r="CQ43" s="1759">
        <v>0</v>
      </c>
      <c r="CR43" s="1759">
        <v>0</v>
      </c>
      <c r="CS43" s="1759">
        <v>0</v>
      </c>
      <c r="CT43" s="1759">
        <v>0</v>
      </c>
      <c r="CU43" s="1759">
        <v>0</v>
      </c>
      <c r="CV43" s="1759">
        <v>0</v>
      </c>
      <c r="CW43" s="1759">
        <v>0</v>
      </c>
      <c r="CX43" s="1759">
        <v>0</v>
      </c>
      <c r="CY43" s="1759">
        <v>0</v>
      </c>
      <c r="CZ43" s="1759">
        <v>0</v>
      </c>
      <c r="DA43" s="1759">
        <v>0</v>
      </c>
      <c r="DB43" s="1759">
        <v>0</v>
      </c>
      <c r="DC43" s="1759">
        <v>0</v>
      </c>
      <c r="DD43" s="1759">
        <v>0</v>
      </c>
      <c r="DE43" s="1759">
        <v>0</v>
      </c>
      <c r="DF43" s="1759">
        <v>0</v>
      </c>
      <c r="DG43" s="1759">
        <v>0</v>
      </c>
      <c r="DH43" s="1759">
        <v>0</v>
      </c>
      <c r="DI43" s="1759">
        <v>0</v>
      </c>
      <c r="DJ43" s="1759">
        <v>0</v>
      </c>
      <c r="DK43" s="1759">
        <v>0</v>
      </c>
      <c r="DL43" s="1759">
        <v>0</v>
      </c>
      <c r="DM43" s="1759">
        <v>0</v>
      </c>
      <c r="DN43" s="1759">
        <v>0</v>
      </c>
      <c r="DO43" s="1759">
        <v>0</v>
      </c>
      <c r="DP43" s="1759">
        <v>0</v>
      </c>
      <c r="DQ43" s="1759">
        <v>0</v>
      </c>
      <c r="DR43" s="1759">
        <v>0</v>
      </c>
      <c r="DS43" s="1759">
        <v>0</v>
      </c>
      <c r="DT43" s="1759">
        <v>0</v>
      </c>
      <c r="DU43" s="1759">
        <v>0</v>
      </c>
      <c r="DV43" s="1759">
        <v>0</v>
      </c>
      <c r="DW43" s="1759">
        <v>0</v>
      </c>
      <c r="DX43" s="1759">
        <v>0</v>
      </c>
      <c r="DY43" s="1759">
        <v>0</v>
      </c>
      <c r="DZ43" s="1759">
        <v>0</v>
      </c>
      <c r="EA43" s="1759">
        <v>0</v>
      </c>
      <c r="EB43" s="1759">
        <v>0</v>
      </c>
      <c r="EC43" s="1759">
        <v>0</v>
      </c>
      <c r="ED43" s="1759">
        <v>0</v>
      </c>
      <c r="EE43" s="1759">
        <v>0</v>
      </c>
      <c r="EF43" s="1759">
        <v>0</v>
      </c>
      <c r="EG43" s="1759">
        <v>0</v>
      </c>
      <c r="EH43" s="1759">
        <v>0</v>
      </c>
      <c r="EI43" s="1759">
        <v>0</v>
      </c>
      <c r="EJ43" s="1759">
        <v>0</v>
      </c>
      <c r="EK43" s="1759">
        <v>0</v>
      </c>
      <c r="EL43" s="1759">
        <v>0</v>
      </c>
      <c r="EM43" s="1759">
        <v>0</v>
      </c>
      <c r="EN43" s="1759">
        <v>0</v>
      </c>
      <c r="EO43" s="1759">
        <v>0</v>
      </c>
      <c r="EP43" s="1759">
        <v>0</v>
      </c>
      <c r="EQ43" s="1759">
        <v>0</v>
      </c>
      <c r="ER43" s="1759">
        <v>0</v>
      </c>
      <c r="ES43" s="1759">
        <v>0</v>
      </c>
      <c r="ET43" s="1759">
        <v>0</v>
      </c>
      <c r="EU43" s="1759">
        <v>0</v>
      </c>
      <c r="EV43" s="1759">
        <v>0</v>
      </c>
      <c r="EW43" s="1759">
        <v>0</v>
      </c>
      <c r="EX43" s="1759">
        <v>0</v>
      </c>
      <c r="EY43" s="1759">
        <v>0</v>
      </c>
      <c r="EZ43" s="1759">
        <v>0</v>
      </c>
      <c r="FA43" s="1759">
        <v>0</v>
      </c>
      <c r="FB43" s="1759">
        <v>0</v>
      </c>
      <c r="FC43" s="1759">
        <v>0</v>
      </c>
      <c r="FD43" s="1759">
        <v>0</v>
      </c>
      <c r="FE43" s="1759">
        <v>0</v>
      </c>
      <c r="FF43" s="1759">
        <v>0</v>
      </c>
      <c r="FG43" s="1759">
        <v>0</v>
      </c>
      <c r="FH43" s="1759">
        <v>0</v>
      </c>
      <c r="FI43" s="1759">
        <v>0</v>
      </c>
      <c r="FJ43" s="1759">
        <v>0</v>
      </c>
      <c r="FK43" s="1759">
        <v>0</v>
      </c>
      <c r="FL43" s="1759">
        <v>0</v>
      </c>
      <c r="FM43" s="1759">
        <v>0</v>
      </c>
      <c r="FN43" s="1759">
        <v>0</v>
      </c>
      <c r="FO43" s="1759">
        <v>0</v>
      </c>
      <c r="FP43" s="1759">
        <v>0</v>
      </c>
      <c r="FQ43" s="1759">
        <v>0</v>
      </c>
      <c r="FR43" s="1759">
        <v>0</v>
      </c>
      <c r="FS43" s="1759">
        <v>0</v>
      </c>
      <c r="FT43" s="1759">
        <v>0</v>
      </c>
      <c r="FU43" s="1759">
        <v>0</v>
      </c>
      <c r="FV43" s="1759">
        <v>0</v>
      </c>
      <c r="FW43" s="1759">
        <v>0</v>
      </c>
      <c r="FX43" s="1759">
        <v>0</v>
      </c>
      <c r="FY43" s="1759">
        <v>0</v>
      </c>
      <c r="FZ43" s="1759">
        <v>0</v>
      </c>
      <c r="GA43" s="1759">
        <v>0</v>
      </c>
      <c r="GB43" s="1759">
        <v>0</v>
      </c>
      <c r="GC43" s="1759">
        <v>0</v>
      </c>
      <c r="GD43" s="1759">
        <v>0</v>
      </c>
      <c r="GE43" s="1759">
        <v>0</v>
      </c>
      <c r="GF43" s="1759">
        <v>0</v>
      </c>
      <c r="GG43" s="1759">
        <v>0</v>
      </c>
      <c r="GH43" s="1759">
        <v>0</v>
      </c>
      <c r="GI43" s="1759">
        <v>0</v>
      </c>
      <c r="GJ43" s="1759">
        <v>0</v>
      </c>
      <c r="GK43" s="1759">
        <v>0</v>
      </c>
      <c r="GL43" s="1759">
        <v>0</v>
      </c>
      <c r="GM43" s="1759">
        <v>0</v>
      </c>
      <c r="GN43" s="1759">
        <v>0</v>
      </c>
      <c r="GO43" s="1759">
        <v>0</v>
      </c>
      <c r="GP43" s="1759">
        <v>0</v>
      </c>
      <c r="GQ43" s="1759">
        <v>0</v>
      </c>
      <c r="GR43" s="1759">
        <v>0</v>
      </c>
      <c r="GS43" s="1759">
        <v>0</v>
      </c>
      <c r="GT43" s="1759">
        <v>0</v>
      </c>
      <c r="GU43" s="1759">
        <v>0</v>
      </c>
      <c r="GV43" s="1759">
        <v>0</v>
      </c>
      <c r="GW43" s="1759">
        <v>0</v>
      </c>
      <c r="GX43" s="1759">
        <v>0</v>
      </c>
      <c r="GY43" s="1759">
        <v>0</v>
      </c>
      <c r="GZ43" s="1759">
        <v>0</v>
      </c>
      <c r="HA43" s="1759">
        <v>0</v>
      </c>
      <c r="HB43" s="1759">
        <v>0</v>
      </c>
      <c r="HC43" s="1759">
        <v>0</v>
      </c>
      <c r="HD43" s="1759">
        <v>0</v>
      </c>
      <c r="HE43" s="1759">
        <v>0</v>
      </c>
      <c r="HF43" s="1759">
        <v>0</v>
      </c>
      <c r="HG43" s="1759">
        <v>0</v>
      </c>
      <c r="HH43" s="1759">
        <v>0</v>
      </c>
      <c r="HI43" s="1759">
        <v>0</v>
      </c>
      <c r="HJ43" s="1759">
        <v>0</v>
      </c>
      <c r="HK43" s="1759">
        <v>0</v>
      </c>
      <c r="HL43" s="1759">
        <v>0</v>
      </c>
      <c r="HM43" s="1759">
        <v>0</v>
      </c>
      <c r="HN43" s="1759">
        <v>0</v>
      </c>
      <c r="HO43" s="1759">
        <v>0</v>
      </c>
      <c r="HP43" s="1759">
        <v>0</v>
      </c>
      <c r="HQ43" s="1759">
        <v>0</v>
      </c>
      <c r="HR43" s="1759">
        <v>0</v>
      </c>
      <c r="HS43" s="1759">
        <v>0</v>
      </c>
      <c r="HT43" s="1759">
        <v>0</v>
      </c>
      <c r="HU43" s="1759">
        <v>0</v>
      </c>
      <c r="HV43" s="1759">
        <v>0</v>
      </c>
      <c r="HW43" s="1759">
        <v>0</v>
      </c>
      <c r="HX43" s="1759">
        <v>0</v>
      </c>
      <c r="HY43" s="1759">
        <v>0</v>
      </c>
      <c r="HZ43" s="1759">
        <v>0</v>
      </c>
      <c r="IA43" s="1759">
        <v>0</v>
      </c>
      <c r="IB43" s="1759">
        <v>0</v>
      </c>
      <c r="IC43" s="1759">
        <v>0</v>
      </c>
      <c r="ID43" s="1759">
        <v>0</v>
      </c>
      <c r="IE43" s="1759">
        <v>0</v>
      </c>
      <c r="IF43" s="1759">
        <v>0</v>
      </c>
      <c r="IG43" s="1759">
        <v>0</v>
      </c>
      <c r="IH43" s="1759">
        <v>0</v>
      </c>
      <c r="II43" s="1759">
        <v>0</v>
      </c>
      <c r="IJ43" s="1759">
        <v>0</v>
      </c>
      <c r="IK43" s="1759">
        <v>0</v>
      </c>
      <c r="IL43" s="1759">
        <v>0</v>
      </c>
      <c r="IM43" s="1759">
        <v>0</v>
      </c>
      <c r="IN43" s="1759">
        <v>0</v>
      </c>
      <c r="IO43" s="1759">
        <v>0</v>
      </c>
      <c r="IP43" s="1759">
        <v>0</v>
      </c>
      <c r="IQ43" s="1759">
        <v>0</v>
      </c>
      <c r="IR43" s="1759">
        <v>0</v>
      </c>
      <c r="IS43" s="1759">
        <v>0</v>
      </c>
      <c r="IT43" s="1759">
        <v>0</v>
      </c>
      <c r="IU43" s="1759">
        <v>0</v>
      </c>
      <c r="IV43" s="1759">
        <v>0</v>
      </c>
      <c r="IW43" s="1759">
        <v>0</v>
      </c>
      <c r="IX43" s="1759">
        <v>0</v>
      </c>
      <c r="IY43" s="1759">
        <v>0</v>
      </c>
      <c r="IZ43" s="1759">
        <v>0</v>
      </c>
      <c r="JA43" s="1759">
        <v>0</v>
      </c>
      <c r="JB43" s="1759">
        <v>0</v>
      </c>
      <c r="JC43" s="1759">
        <v>0</v>
      </c>
      <c r="JD43" s="1759">
        <v>0</v>
      </c>
      <c r="JE43" s="1759">
        <v>0</v>
      </c>
      <c r="JF43" s="1759">
        <v>0</v>
      </c>
      <c r="JG43" s="1759">
        <v>0</v>
      </c>
      <c r="JH43" s="1759">
        <v>0</v>
      </c>
      <c r="JI43" s="1759">
        <v>0</v>
      </c>
      <c r="JJ43" s="1759">
        <v>0</v>
      </c>
      <c r="JK43" s="1759">
        <v>0</v>
      </c>
      <c r="JL43" s="1759">
        <v>0</v>
      </c>
      <c r="JM43" s="1759">
        <v>0</v>
      </c>
      <c r="JN43" s="1759">
        <v>0</v>
      </c>
      <c r="JO43" s="1759">
        <v>0</v>
      </c>
      <c r="JP43" s="1759">
        <v>0</v>
      </c>
      <c r="JQ43" s="1759">
        <v>0</v>
      </c>
      <c r="JR43" s="1759">
        <v>0</v>
      </c>
      <c r="JS43" s="1759">
        <v>0</v>
      </c>
      <c r="JT43" s="1759">
        <v>0</v>
      </c>
      <c r="JU43" s="1759">
        <v>0</v>
      </c>
      <c r="JV43" s="1759">
        <v>0</v>
      </c>
      <c r="JW43" s="1759">
        <v>0</v>
      </c>
      <c r="JX43" s="1759">
        <v>0</v>
      </c>
      <c r="JY43" s="1759">
        <v>0</v>
      </c>
      <c r="JZ43" s="1759">
        <v>0</v>
      </c>
      <c r="KA43" s="1759">
        <v>0</v>
      </c>
      <c r="KB43" s="1759">
        <v>0</v>
      </c>
      <c r="KC43" s="1759">
        <v>0</v>
      </c>
      <c r="KD43" s="1759">
        <v>0</v>
      </c>
      <c r="KE43" s="1759">
        <v>0</v>
      </c>
      <c r="KF43" s="1759">
        <v>0</v>
      </c>
      <c r="KG43" s="1759">
        <v>0</v>
      </c>
      <c r="KH43" s="1759">
        <v>0</v>
      </c>
      <c r="KI43" s="1759">
        <v>0</v>
      </c>
      <c r="KJ43" s="1759">
        <v>0</v>
      </c>
      <c r="KK43" s="1759">
        <v>0</v>
      </c>
      <c r="KL43" s="1759">
        <v>0</v>
      </c>
      <c r="KM43" s="1759">
        <v>0</v>
      </c>
      <c r="KN43" s="1759">
        <v>0</v>
      </c>
      <c r="KO43" s="1759">
        <v>0</v>
      </c>
      <c r="KP43" s="1759">
        <v>0</v>
      </c>
      <c r="KQ43" s="904">
        <f>+IFERROR(VLOOKUP(KQ$27&amp;"-"&amp;$M43&amp;"_new",Ammortamento_Finanziario!$H:$L,5,FALSE),VLOOKUP($M43,TT_Tabelle_Riferimento!$D$127:$H$164,5,FALSE))</f>
        <v>5</v>
      </c>
      <c r="KR43" s="904">
        <f>+IFERROR(VLOOKUP(KR$27&amp;"-"&amp;$M43&amp;"_new",Ammortamento_Finanziario!$H:$L,5,FALSE),VLOOKUP($M43,TT_Tabelle_Riferimento!$D$127:$H$164,5,FALSE))</f>
        <v>5</v>
      </c>
      <c r="KS43" s="1762">
        <f>+IFERROR(VLOOKUP(KS$27&amp;"-"&amp;$M43&amp;"_new",Ammortamento_Finanziario!$H:$L,5,FALSE),VLOOKUP($M43,TT_Tabelle_Riferimento!$D$127:$H$164,5,FALSE))</f>
        <v>5</v>
      </c>
      <c r="KT43" s="1762">
        <f>+IFERROR(VLOOKUP(KT$27&amp;"-"&amp;$M43&amp;"_new",Ammortamento_Finanziario!$H:$L,5,FALSE),VLOOKUP($M43,TT_Tabelle_Riferimento!$D$127:$H$164,5,FALSE))</f>
        <v>5</v>
      </c>
      <c r="KU43" s="1762">
        <f>+IFERROR(VLOOKUP(KU$27&amp;"-"&amp;$M43&amp;"_new",Ammortamento_Finanziario!$H:$L,5,FALSE),VLOOKUP($M43,TT_Tabelle_Riferimento!$D$127:$H$164,5,FALSE))</f>
        <v>5</v>
      </c>
      <c r="KV43" s="1762">
        <f>+IFERROR(VLOOKUP(KV$27&amp;"-"&amp;$M43&amp;"_new",Ammortamento_Finanziario!$H:$L,5,FALSE),VLOOKUP($M43,TT_Tabelle_Riferimento!$D$127:$H$164,5,FALSE))</f>
        <v>5</v>
      </c>
      <c r="KW43" s="1762">
        <f>+IFERROR(VLOOKUP(KW$27&amp;"-"&amp;$M43&amp;"_new",Ammortamento_Finanziario!$H:$L,5,FALSE),VLOOKUP($M43,TT_Tabelle_Riferimento!$D$127:$H$164,5,FALSE))</f>
        <v>5</v>
      </c>
      <c r="KX43" s="1762">
        <f>+IFERROR(VLOOKUP(KX$27&amp;"-"&amp;$M43&amp;"_new",Ammortamento_Finanziario!$H:$L,5,FALSE),VLOOKUP($M43,TT_Tabelle_Riferimento!$D$127:$H$164,5,FALSE))</f>
        <v>5</v>
      </c>
      <c r="KY43" s="904">
        <f>+IFERROR(VLOOKUP(KY$27&amp;"-"&amp;$M43&amp;"_new",Ammortamento_Finanziario!$H:$L,5,FALSE),VLOOKUP($M43,TT_Tabelle_Riferimento!$D$127:$H$164,5,FALSE))</f>
        <v>5</v>
      </c>
      <c r="KZ43" s="904">
        <f>+IFERROR(VLOOKUP(KZ$27&amp;"-"&amp;$M43&amp;"_new",Ammortamento_Finanziario!$H:$L,5,FALSE),VLOOKUP($M43,TT_Tabelle_Riferimento!$D$127:$H$164,5,FALSE))</f>
        <v>5</v>
      </c>
      <c r="LA43" s="904">
        <f>+IFERROR(VLOOKUP(LA$27&amp;"-"&amp;$M43&amp;"_new",Ammortamento_Finanziario!$H:$L,5,FALSE),VLOOKUP($M43,TT_Tabelle_Riferimento!$D$127:$H$164,5,FALSE))</f>
        <v>5</v>
      </c>
      <c r="LB43" s="904">
        <f>+IFERROR(VLOOKUP(LB$27&amp;"-"&amp;$M43&amp;"_new",Ammortamento_Finanziario!$H:$L,5,FALSE),VLOOKUP($M43,TT_Tabelle_Riferimento!$D$127:$H$164,5,FALSE))</f>
        <v>5</v>
      </c>
      <c r="LC43" s="904">
        <f>+IFERROR(VLOOKUP(LC$27&amp;"-"&amp;$M43&amp;"_new",Ammortamento_Finanziario!$H:$L,5,FALSE),VLOOKUP($M43,TT_Tabelle_Riferimento!$D$127:$H$164,5,FALSE))</f>
        <v>5</v>
      </c>
      <c r="LD43" s="904">
        <f>+IFERROR(VLOOKUP(LD$27&amp;"-"&amp;$M43&amp;"_new",Ammortamento_Finanziario!$H:$L,5,FALSE),VLOOKUP($M43,TT_Tabelle_Riferimento!$D$127:$H$164,5,FALSE))</f>
        <v>5</v>
      </c>
      <c r="LE43" s="904">
        <f>+IFERROR(VLOOKUP(LE$27&amp;"-"&amp;$M43&amp;"_new",Ammortamento_Finanziario!$H:$L,5,FALSE),VLOOKUP($M43,TT_Tabelle_Riferimento!$D$127:$H$164,5,FALSE))</f>
        <v>5</v>
      </c>
      <c r="LF43" s="904">
        <f>+IFERROR(VLOOKUP(LF$27&amp;"-"&amp;$M43&amp;"_new",Ammortamento_Finanziario!$H:$L,5,FALSE),VLOOKUP($M43,TT_Tabelle_Riferimento!$D$127:$H$164,5,FALSE))</f>
        <v>5</v>
      </c>
      <c r="LG43" s="904">
        <f>+IFERROR(VLOOKUP(LG$27&amp;"-"&amp;$M43&amp;"_new",Ammortamento_Finanziario!$H:$L,5,FALSE),VLOOKUP($M43,TT_Tabelle_Riferimento!$D$127:$H$164,5,FALSE))</f>
        <v>5</v>
      </c>
      <c r="LH43" s="904">
        <f>+IFERROR(VLOOKUP(LH$27&amp;"-"&amp;$M43&amp;"_new",Ammortamento_Finanziario!$H:$L,5,FALSE),VLOOKUP($M43,TT_Tabelle_Riferimento!$D$127:$H$164,5,FALSE))</f>
        <v>5</v>
      </c>
      <c r="LI43" s="904">
        <f>+IFERROR(VLOOKUP(LI$27&amp;"-"&amp;$M43&amp;"_new",Ammortamento_Finanziario!$H:$L,5,FALSE),VLOOKUP($M43,TT_Tabelle_Riferimento!$D$127:$H$164,5,FALSE))</f>
        <v>5</v>
      </c>
      <c r="LJ43" s="904">
        <f>+IFERROR(VLOOKUP(LJ$27&amp;"-"&amp;$M43&amp;"_new",Ammortamento_Finanziario!$H:$L,5,FALSE),VLOOKUP($M43,TT_Tabelle_Riferimento!$D$127:$H$164,5,FALSE))</f>
        <v>5</v>
      </c>
      <c r="LK43" s="904">
        <f>+IFERROR(VLOOKUP(LK$27&amp;"-"&amp;$M43&amp;"_new",Ammortamento_Finanziario!$H:$L,5,FALSE),VLOOKUP($M43,TT_Tabelle_Riferimento!$D$127:$H$164,5,FALSE))</f>
        <v>5</v>
      </c>
      <c r="LL43" s="904">
        <f>+IFERROR(VLOOKUP(LL$27&amp;"-"&amp;$M43&amp;"_new",Ammortamento_Finanziario!$H:$L,5,FALSE),VLOOKUP($M43,TT_Tabelle_Riferimento!$D$127:$H$164,5,FALSE))</f>
        <v>5</v>
      </c>
      <c r="LM43" s="904">
        <f>+IFERROR(VLOOKUP(LM$27&amp;"-"&amp;$M43&amp;"_new",Ammortamento_Finanziario!$H:$L,5,FALSE),VLOOKUP($M43,TT_Tabelle_Riferimento!$D$127:$H$164,5,FALSE))</f>
        <v>5</v>
      </c>
      <c r="LN43" s="904">
        <f>+IFERROR(VLOOKUP(LN$27&amp;"-"&amp;$M43&amp;"_new",Ammortamento_Finanziario!$H:$L,5,FALSE),VLOOKUP($M43,TT_Tabelle_Riferimento!$D$127:$H$164,5,FALSE))</f>
        <v>5</v>
      </c>
      <c r="LO43" s="904">
        <f>+IFERROR(VLOOKUP(LO$27&amp;"-"&amp;$M43&amp;"_new",Ammortamento_Finanziario!$H:$L,5,FALSE),VLOOKUP($M43,TT_Tabelle_Riferimento!$D$127:$H$164,5,FALSE))</f>
        <v>5</v>
      </c>
      <c r="LP43" s="904">
        <f>+IFERROR(VLOOKUP(LP$27&amp;"-"&amp;$M43&amp;"_new",Ammortamento_Finanziario!$H:$L,5,FALSE),VLOOKUP($M43,TT_Tabelle_Riferimento!$D$127:$H$164,5,FALSE))</f>
        <v>5</v>
      </c>
      <c r="LQ43" s="904">
        <f>+IFERROR(VLOOKUP(LQ$27&amp;"-"&amp;$M43&amp;"_new",Ammortamento_Finanziario!$H:$L,5,FALSE),VLOOKUP($M43,TT_Tabelle_Riferimento!$D$127:$H$164,5,FALSE))</f>
        <v>5</v>
      </c>
      <c r="LR43" s="904">
        <f>+IFERROR(VLOOKUP(LR$27&amp;"-"&amp;$M43&amp;"_new",Ammortamento_Finanziario!$H:$L,5,FALSE),VLOOKUP($M43,TT_Tabelle_Riferimento!$D$127:$H$164,5,FALSE))</f>
        <v>5</v>
      </c>
      <c r="LS43" s="1762">
        <f>+IFERROR(VLOOKUP(LS$27&amp;"-"&amp;$M43&amp;"_new",Ammortamento_Finanziario!$H:$L,5,FALSE),VLOOKUP($M43,TT_Tabelle_Riferimento!$D$127:$H$164,5,FALSE))</f>
        <v>5</v>
      </c>
      <c r="LT43" s="1762">
        <f>+IFERROR(VLOOKUP(LT$27&amp;"-"&amp;$M43&amp;"_new",Ammortamento_Finanziario!$H:$L,5,FALSE),VLOOKUP($M43,TT_Tabelle_Riferimento!$D$127:$H$164,5,FALSE))</f>
        <v>5</v>
      </c>
      <c r="LU43" s="1762">
        <f>+IFERROR(VLOOKUP(LU$27&amp;"-"&amp;$M43&amp;"_new",Ammortamento_Finanziario!$H:$L,5,FALSE),VLOOKUP($M43,TT_Tabelle_Riferimento!$D$127:$H$164,5,FALSE))</f>
        <v>5</v>
      </c>
      <c r="LV43" s="1762">
        <f>+IFERROR(VLOOKUP(LV$27&amp;"-"&amp;$M43&amp;"_new",Ammortamento_Finanziario!$H:$L,5,FALSE),VLOOKUP($M43,TT_Tabelle_Riferimento!$D$127:$H$164,5,FALSE))</f>
        <v>5</v>
      </c>
      <c r="LW43" s="1762">
        <f>+IFERROR(VLOOKUP(LW$27&amp;"-"&amp;$M43&amp;"_new",Ammortamento_Finanziario!$H:$L,5,FALSE),VLOOKUP($M43,TT_Tabelle_Riferimento!$D$127:$H$164,5,FALSE))</f>
        <v>5</v>
      </c>
      <c r="LX43" s="1762">
        <f>+IFERROR(VLOOKUP(LX$27&amp;"-"&amp;$M43&amp;"_new",Ammortamento_Finanziario!$H:$L,5,FALSE),VLOOKUP($M43,TT_Tabelle_Riferimento!$D$127:$H$164,5,FALSE))</f>
        <v>5</v>
      </c>
      <c r="LY43" s="904">
        <f>+IFERROR(VLOOKUP(LY$27&amp;"-"&amp;$M43&amp;"_new",Ammortamento_Finanziario!$H:$L,5,FALSE),VLOOKUP($M43,TT_Tabelle_Riferimento!$D$127:$H$164,5,FALSE))</f>
        <v>5</v>
      </c>
      <c r="LZ43" s="904">
        <f>+IFERROR(VLOOKUP(LZ$27&amp;"-"&amp;$M43&amp;"_new",Ammortamento_Finanziario!$H:$L,5,FALSE),VLOOKUP($M43,TT_Tabelle_Riferimento!$D$127:$H$164,5,FALSE))</f>
        <v>5</v>
      </c>
      <c r="MA43" s="904">
        <f>+IFERROR(VLOOKUP(MA$27&amp;"-"&amp;$M43&amp;"_new",Ammortamento_Finanziario!$H:$L,5,FALSE),VLOOKUP($M43,TT_Tabelle_Riferimento!$D$127:$H$164,5,FALSE))</f>
        <v>5</v>
      </c>
      <c r="MB43" s="904">
        <f>+IFERROR(VLOOKUP(MB$27&amp;"-"&amp;$M43&amp;"_new",Ammortamento_Finanziario!$H:$L,5,FALSE),VLOOKUP($M43,TT_Tabelle_Riferimento!$D$127:$H$164,5,FALSE))</f>
        <v>5</v>
      </c>
      <c r="MC43" s="904">
        <f>+IFERROR(VLOOKUP(MC$27&amp;"-"&amp;$M43&amp;"_new",Ammortamento_Finanziario!$H:$L,5,FALSE),VLOOKUP($M43,TT_Tabelle_Riferimento!$D$127:$H$164,5,FALSE))</f>
        <v>5</v>
      </c>
      <c r="MD43" s="904">
        <f>+IFERROR(VLOOKUP(MD$27&amp;"-"&amp;$M43&amp;"_new",Ammortamento_Finanziario!$H:$L,5,FALSE),VLOOKUP($M43,TT_Tabelle_Riferimento!$D$127:$H$164,5,FALSE))</f>
        <v>5</v>
      </c>
      <c r="ME43" s="904">
        <f>+IFERROR(VLOOKUP(ME$27&amp;"-"&amp;$M43&amp;"_new",Ammortamento_Finanziario!$H:$L,5,FALSE),VLOOKUP($M43,TT_Tabelle_Riferimento!$D$127:$H$164,5,FALSE))</f>
        <v>5</v>
      </c>
      <c r="MF43" s="904">
        <f>+IFERROR(VLOOKUP(MF$27&amp;"-"&amp;$M43&amp;"_new",Ammortamento_Finanziario!$H:$L,5,FALSE),VLOOKUP($M43,TT_Tabelle_Riferimento!$D$127:$H$164,5,FALSE))</f>
        <v>5</v>
      </c>
      <c r="MG43" s="904">
        <f>+IFERROR(VLOOKUP(MG$27&amp;"-"&amp;$M43&amp;"_new",Ammortamento_Finanziario!$H:$L,5,FALSE),VLOOKUP($M43,TT_Tabelle_Riferimento!$D$127:$H$164,5,FALSE))</f>
        <v>5</v>
      </c>
      <c r="MH43" s="904">
        <f>+IFERROR(VLOOKUP(MH$27&amp;"-"&amp;$M43&amp;"_new",Ammortamento_Finanziario!$H:$L,5,FALSE),VLOOKUP($M43,TT_Tabelle_Riferimento!$D$127:$H$164,5,FALSE))</f>
        <v>5</v>
      </c>
      <c r="MI43" s="904">
        <f>+IFERROR(VLOOKUP(MI$27&amp;"-"&amp;$M43&amp;"_new",Ammortamento_Finanziario!$H:$L,5,FALSE),VLOOKUP($M43,TT_Tabelle_Riferimento!$D$127:$H$164,5,FALSE))</f>
        <v>5</v>
      </c>
      <c r="MJ43" s="904">
        <f>+IFERROR(VLOOKUP(MJ$27&amp;"-"&amp;$M43&amp;"_new",Ammortamento_Finanziario!$H:$L,5,FALSE),VLOOKUP($M43,TT_Tabelle_Riferimento!$D$127:$H$164,5,FALSE))</f>
        <v>5</v>
      </c>
      <c r="MK43" s="904">
        <f>+IFERROR(VLOOKUP(MK$27&amp;"-"&amp;$M43&amp;"_new",Ammortamento_Finanziario!$H:$L,5,FALSE),VLOOKUP($M43,TT_Tabelle_Riferimento!$D$127:$H$164,5,FALSE))</f>
        <v>5</v>
      </c>
      <c r="ML43" s="904">
        <f>+IFERROR(VLOOKUP(ML$27&amp;"-"&amp;$M43&amp;"_new",Ammortamento_Finanziario!$H:$L,5,FALSE),VLOOKUP($M43,TT_Tabelle_Riferimento!$D$127:$H$164,5,FALSE))</f>
        <v>5</v>
      </c>
      <c r="MM43" s="904">
        <f>+IFERROR(VLOOKUP(MM$27&amp;"-"&amp;$M43&amp;"_new",Ammortamento_Finanziario!$H:$L,5,FALSE),VLOOKUP($M43,TT_Tabelle_Riferimento!$D$127:$H$164,5,FALSE))</f>
        <v>5</v>
      </c>
      <c r="MN43" s="904">
        <f>+IFERROR(VLOOKUP(MN$27&amp;"-"&amp;$M43&amp;"_new",Ammortamento_Finanziario!$H:$L,5,FALSE),VLOOKUP($M43,TT_Tabelle_Riferimento!$D$127:$H$164,5,FALSE))</f>
        <v>5</v>
      </c>
      <c r="MO43" s="904">
        <f>+IFERROR(VLOOKUP(MO$27&amp;"-"&amp;$M43&amp;"_new",Ammortamento_Finanziario!$H:$L,5,FALSE),VLOOKUP($M43,TT_Tabelle_Riferimento!$D$127:$H$164,5,FALSE))</f>
        <v>5</v>
      </c>
      <c r="MP43" s="904">
        <f>+IFERROR(VLOOKUP(MP$27&amp;"-"&amp;$M43&amp;"_new",Ammortamento_Finanziario!$H:$L,5,FALSE),VLOOKUP($M43,TT_Tabelle_Riferimento!$D$127:$H$164,5,FALSE))</f>
        <v>5</v>
      </c>
      <c r="MQ43" s="904">
        <f>+IFERROR(VLOOKUP(MQ$27&amp;"-"&amp;$M43&amp;"_new",Ammortamento_Finanziario!$H:$L,5,FALSE),VLOOKUP($M43,TT_Tabelle_Riferimento!$D$127:$H$164,5,FALSE))</f>
        <v>5</v>
      </c>
      <c r="MR43" s="1762">
        <f>+IFERROR(VLOOKUP(MR$27&amp;"-"&amp;$M43&amp;"_new",Ammortamento_Finanziario!$H:$L,5,FALSE),VLOOKUP($M43,TT_Tabelle_Riferimento!$D$127:$H$164,5,FALSE))</f>
        <v>5</v>
      </c>
      <c r="MS43" s="1762">
        <f>+IFERROR(VLOOKUP(MS$27&amp;"-"&amp;$M43&amp;"_new",Ammortamento_Finanziario!$H:$L,5,FALSE),VLOOKUP($M43,TT_Tabelle_Riferimento!$D$127:$H$164,5,FALSE))</f>
        <v>5</v>
      </c>
      <c r="MT43" s="1762">
        <f>+IFERROR(VLOOKUP(MT$27&amp;"-"&amp;$M43&amp;"_new",Ammortamento_Finanziario!$H:$L,5,FALSE),VLOOKUP($M43,TT_Tabelle_Riferimento!$D$127:$H$164,5,FALSE))</f>
        <v>5</v>
      </c>
      <c r="MU43" s="1762">
        <f>+IFERROR(VLOOKUP(MU$27&amp;"-"&amp;$M43&amp;"_new",Ammortamento_Finanziario!$H:$L,5,FALSE),VLOOKUP($M43,TT_Tabelle_Riferimento!$D$127:$H$164,5,FALSE))</f>
        <v>5</v>
      </c>
      <c r="MV43" s="1762">
        <f>+IFERROR(VLOOKUP(MV$27&amp;"-"&amp;$M43&amp;"_new",Ammortamento_Finanziario!$H:$L,5,FALSE),VLOOKUP($M43,TT_Tabelle_Riferimento!$D$127:$H$164,5,FALSE))</f>
        <v>5</v>
      </c>
      <c r="MW43" s="1762">
        <f>+IFERROR(VLOOKUP(MW$27&amp;"-"&amp;$M43&amp;"_new",Ammortamento_Finanziario!$H:$L,5,FALSE),VLOOKUP($M43,TT_Tabelle_Riferimento!$D$127:$H$164,5,FALSE))</f>
        <v>5</v>
      </c>
      <c r="MX43" s="904">
        <f>+IFERROR(VLOOKUP(MX$27&amp;"-"&amp;$M43&amp;"_new",Ammortamento_Finanziario!$H:$L,5,FALSE),VLOOKUP($M43,TT_Tabelle_Riferimento!$D$127:$H$164,5,FALSE))</f>
        <v>5</v>
      </c>
      <c r="MY43" s="904">
        <f>+IFERROR(VLOOKUP(MY$27&amp;"-"&amp;$M43&amp;"_new",Ammortamento_Finanziario!$H:$L,5,FALSE),VLOOKUP($M43,TT_Tabelle_Riferimento!$D$127:$H$164,5,FALSE))</f>
        <v>5</v>
      </c>
      <c r="MZ43" s="904">
        <f>+IFERROR(VLOOKUP(MZ$27&amp;"-"&amp;$M43&amp;"_new",Ammortamento_Finanziario!$H:$L,5,FALSE),VLOOKUP($M43,TT_Tabelle_Riferimento!$D$127:$H$164,5,FALSE))</f>
        <v>5</v>
      </c>
      <c r="NA43" s="904">
        <f>+IFERROR(VLOOKUP(NA$27&amp;"-"&amp;$M43&amp;"_new",Ammortamento_Finanziario!$H:$L,5,FALSE),VLOOKUP($M43,TT_Tabelle_Riferimento!$D$127:$H$164,5,FALSE))</f>
        <v>5</v>
      </c>
      <c r="NB43" s="904">
        <f>+IFERROR(VLOOKUP(NB$27&amp;"-"&amp;$M43&amp;"_new",Ammortamento_Finanziario!$H:$L,5,FALSE),VLOOKUP($M43,TT_Tabelle_Riferimento!$D$127:$H$164,5,FALSE))</f>
        <v>5</v>
      </c>
      <c r="NC43" s="904">
        <f>+IFERROR(VLOOKUP(NC$27&amp;"-"&amp;$M43&amp;"_new",Ammortamento_Finanziario!$H:$L,5,FALSE),VLOOKUP($M43,TT_Tabelle_Riferimento!$D$127:$H$164,5,FALSE))</f>
        <v>5</v>
      </c>
      <c r="ND43" s="904">
        <f>+IFERROR(VLOOKUP(ND$27&amp;"-"&amp;$M43&amp;"_new",Ammortamento_Finanziario!$H:$L,5,FALSE),VLOOKUP($M43,TT_Tabelle_Riferimento!$D$127:$H$164,5,FALSE))</f>
        <v>5</v>
      </c>
      <c r="NE43" s="904">
        <f>+IFERROR(VLOOKUP(NE$27&amp;"-"&amp;$M43&amp;"_new",Ammortamento_Finanziario!$H:$L,5,FALSE),VLOOKUP($M43,TT_Tabelle_Riferimento!$D$127:$H$164,5,FALSE))</f>
        <v>5</v>
      </c>
      <c r="NF43" s="904">
        <f>+IFERROR(VLOOKUP(NF$27&amp;"-"&amp;$M43&amp;"_new",Ammortamento_Finanziario!$H:$L,5,FALSE),VLOOKUP($M43,TT_Tabelle_Riferimento!$D$127:$H$164,5,FALSE))</f>
        <v>5</v>
      </c>
      <c r="NG43" s="904">
        <f>+IFERROR(VLOOKUP(NG$27&amp;"-"&amp;$M43&amp;"_new",Ammortamento_Finanziario!$H:$L,5,FALSE),VLOOKUP($M43,TT_Tabelle_Riferimento!$D$127:$H$164,5,FALSE))</f>
        <v>5</v>
      </c>
      <c r="NH43" s="904">
        <f>+IFERROR(VLOOKUP(NH$27&amp;"-"&amp;$M43&amp;"_new",Ammortamento_Finanziario!$H:$L,5,FALSE),VLOOKUP($M43,TT_Tabelle_Riferimento!$D$127:$H$164,5,FALSE))</f>
        <v>5</v>
      </c>
      <c r="NI43" s="904">
        <f>+IFERROR(VLOOKUP(NI$27&amp;"-"&amp;$M43&amp;"_new",Ammortamento_Finanziario!$H:$L,5,FALSE),VLOOKUP($M43,TT_Tabelle_Riferimento!$D$127:$H$164,5,FALSE))</f>
        <v>5</v>
      </c>
      <c r="NJ43" s="904">
        <f>+IFERROR(VLOOKUP(NJ$27&amp;"-"&amp;$M43&amp;"_new",Ammortamento_Finanziario!$H:$L,5,FALSE),VLOOKUP($M43,TT_Tabelle_Riferimento!$D$127:$H$164,5,FALSE))</f>
        <v>5</v>
      </c>
      <c r="NK43" s="904">
        <f>+IFERROR(VLOOKUP(NK$27&amp;"-"&amp;$M43&amp;"_new",Ammortamento_Finanziario!$H:$L,5,FALSE),VLOOKUP($M43,TT_Tabelle_Riferimento!$D$127:$H$164,5,FALSE))</f>
        <v>5</v>
      </c>
      <c r="NL43" s="904">
        <f>+IFERROR(VLOOKUP(NL$27&amp;"-"&amp;$M43&amp;"_new",Ammortamento_Finanziario!$H:$L,5,FALSE),VLOOKUP($M43,TT_Tabelle_Riferimento!$D$127:$H$164,5,FALSE))</f>
        <v>5</v>
      </c>
      <c r="NM43" s="904">
        <f>+IFERROR(VLOOKUP(NM$27&amp;"-"&amp;$M43&amp;"_new",Ammortamento_Finanziario!$H:$L,5,FALSE),VLOOKUP($M43,TT_Tabelle_Riferimento!$D$127:$H$164,5,FALSE))</f>
        <v>5</v>
      </c>
      <c r="NN43" s="904">
        <f>+IFERROR(VLOOKUP(NN$27&amp;"-"&amp;$M43&amp;"_new",Ammortamento_Finanziario!$H:$L,5,FALSE),VLOOKUP($M43,TT_Tabelle_Riferimento!$D$127:$H$164,5,FALSE))</f>
        <v>5</v>
      </c>
      <c r="NO43" s="904">
        <f>+IFERROR(VLOOKUP(NO$27&amp;"-"&amp;$M43&amp;"_new",Ammortamento_Finanziario!$H:$L,5,FALSE),VLOOKUP($M43,TT_Tabelle_Riferimento!$D$127:$H$164,5,FALSE))</f>
        <v>5</v>
      </c>
      <c r="NP43" s="904">
        <f>+IFERROR(VLOOKUP(NP$27&amp;"-"&amp;$M43&amp;"_new",Ammortamento_Finanziario!$H:$L,5,FALSE),VLOOKUP($M43,TT_Tabelle_Riferimento!$D$127:$H$164,5,FALSE))</f>
        <v>5</v>
      </c>
      <c r="NQ43" s="1762">
        <f>+IFERROR(VLOOKUP(NQ$27&amp;"-"&amp;$M43&amp;"_new",Ammortamento_Finanziario!$H:$L,5,FALSE),VLOOKUP($M43,TT_Tabelle_Riferimento!$D$127:$H$164,5,FALSE))</f>
        <v>5</v>
      </c>
      <c r="NR43" s="1762">
        <f>+IFERROR(VLOOKUP(NR$27&amp;"-"&amp;$M43&amp;"_new",Ammortamento_Finanziario!$H:$L,5,FALSE),VLOOKUP($M43,TT_Tabelle_Riferimento!$D$127:$H$164,5,FALSE))</f>
        <v>5</v>
      </c>
      <c r="NS43" s="1762">
        <f>+IFERROR(VLOOKUP(NS$27&amp;"-"&amp;$M43&amp;"_new",Ammortamento_Finanziario!$H:$L,5,FALSE),VLOOKUP($M43,TT_Tabelle_Riferimento!$D$127:$H$164,5,FALSE))</f>
        <v>5</v>
      </c>
      <c r="NT43" s="1762">
        <f>+IFERROR(VLOOKUP(NT$27&amp;"-"&amp;$M43&amp;"_new",Ammortamento_Finanziario!$H:$L,5,FALSE),VLOOKUP($M43,TT_Tabelle_Riferimento!$D$127:$H$164,5,FALSE))</f>
        <v>5</v>
      </c>
      <c r="NU43" s="1762">
        <f>+IFERROR(VLOOKUP(NU$27&amp;"-"&amp;$M43&amp;"_new",Ammortamento_Finanziario!$H:$L,5,FALSE),VLOOKUP($M43,TT_Tabelle_Riferimento!$D$127:$H$164,5,FALSE))</f>
        <v>5</v>
      </c>
      <c r="NV43" s="904">
        <f>+IFERROR(VLOOKUP(NV$27&amp;"-"&amp;$M43&amp;"_new",Ammortamento_Finanziario!$H:$L,5,FALSE),VLOOKUP($M43,TT_Tabelle_Riferimento!$D$127:$H$164,5,FALSE))</f>
        <v>5</v>
      </c>
      <c r="NW43" s="904">
        <f>+IFERROR(VLOOKUP(NW$27&amp;"-"&amp;$M43&amp;"_new",Ammortamento_Finanziario!$H:$L,5,FALSE),VLOOKUP($M43,TT_Tabelle_Riferimento!$D$127:$H$164,5,FALSE))</f>
        <v>5</v>
      </c>
      <c r="NX43" s="904">
        <f>+IFERROR(VLOOKUP(NX$27&amp;"-"&amp;$M43&amp;"_new",Ammortamento_Finanziario!$H:$L,5,FALSE),VLOOKUP($M43,TT_Tabelle_Riferimento!$D$127:$H$164,5,FALSE))</f>
        <v>5</v>
      </c>
      <c r="NY43" s="904">
        <f>+IFERROR(VLOOKUP(NY$27&amp;"-"&amp;$M43&amp;"_new",Ammortamento_Finanziario!$H:$L,5,FALSE),VLOOKUP($M43,TT_Tabelle_Riferimento!$D$127:$H$164,5,FALSE))</f>
        <v>5</v>
      </c>
      <c r="NZ43" s="904">
        <f>+IFERROR(VLOOKUP(NZ$27&amp;"-"&amp;$M43&amp;"_new",Ammortamento_Finanziario!$H:$L,5,FALSE),VLOOKUP($M43,TT_Tabelle_Riferimento!$D$127:$H$164,5,FALSE))</f>
        <v>5</v>
      </c>
      <c r="OA43" s="904">
        <f>+IFERROR(VLOOKUP(OA$27&amp;"-"&amp;$M43&amp;"_new",Ammortamento_Finanziario!$H:$L,5,FALSE),VLOOKUP($M43,TT_Tabelle_Riferimento!$D$127:$H$164,5,FALSE))</f>
        <v>5</v>
      </c>
      <c r="OB43" s="904">
        <f>+IFERROR(VLOOKUP(OB$27&amp;"-"&amp;$M43&amp;"_new",Ammortamento_Finanziario!$H:$L,5,FALSE),VLOOKUP($M43,TT_Tabelle_Riferimento!$D$127:$H$164,5,FALSE))</f>
        <v>5</v>
      </c>
      <c r="OC43" s="904">
        <f>+IFERROR(VLOOKUP(OC$27&amp;"-"&amp;$M43&amp;"_new",Ammortamento_Finanziario!$H:$L,5,FALSE),VLOOKUP($M43,TT_Tabelle_Riferimento!$D$127:$H$164,5,FALSE))</f>
        <v>5</v>
      </c>
      <c r="OD43" s="904">
        <f>+IFERROR(VLOOKUP(OD$27&amp;"-"&amp;$M43&amp;"_new",Ammortamento_Finanziario!$H:$L,5,FALSE),VLOOKUP($M43,TT_Tabelle_Riferimento!$D$127:$H$164,5,FALSE))</f>
        <v>5</v>
      </c>
      <c r="OE43" s="904">
        <f>+IFERROR(VLOOKUP(OE$27&amp;"-"&amp;$M43&amp;"_new",Ammortamento_Finanziario!$H:$L,5,FALSE),VLOOKUP($M43,TT_Tabelle_Riferimento!$D$127:$H$164,5,FALSE))</f>
        <v>5</v>
      </c>
      <c r="OF43" s="904">
        <f>+IFERROR(VLOOKUP(OF$27&amp;"-"&amp;$M43&amp;"_new",Ammortamento_Finanziario!$H:$L,5,FALSE),VLOOKUP($M43,TT_Tabelle_Riferimento!$D$127:$H$164,5,FALSE))</f>
        <v>5</v>
      </c>
      <c r="OG43" s="904">
        <f>+IFERROR(VLOOKUP(OG$27&amp;"-"&amp;$M43&amp;"_new",Ammortamento_Finanziario!$H:$L,5,FALSE),VLOOKUP($M43,TT_Tabelle_Riferimento!$D$127:$H$164,5,FALSE))</f>
        <v>5</v>
      </c>
      <c r="OH43" s="904">
        <f>+IFERROR(VLOOKUP(OH$27&amp;"-"&amp;$M43&amp;"_new",Ammortamento_Finanziario!$H:$L,5,FALSE),VLOOKUP($M43,TT_Tabelle_Riferimento!$D$127:$H$164,5,FALSE))</f>
        <v>5</v>
      </c>
      <c r="OI43" s="904">
        <f>+IFERROR(VLOOKUP(OI$27&amp;"-"&amp;$M43&amp;"_new",Ammortamento_Finanziario!$H:$L,5,FALSE),VLOOKUP($M43,TT_Tabelle_Riferimento!$D$127:$H$164,5,FALSE))</f>
        <v>5</v>
      </c>
      <c r="OJ43" s="904">
        <f>+IFERROR(VLOOKUP(OJ$27&amp;"-"&amp;$M43&amp;"_new",Ammortamento_Finanziario!$H:$L,5,FALSE),VLOOKUP($M43,TT_Tabelle_Riferimento!$D$127:$H$164,5,FALSE))</f>
        <v>5</v>
      </c>
      <c r="OK43" s="904">
        <f>+IFERROR(VLOOKUP(OK$27&amp;"-"&amp;$M43&amp;"_new",Ammortamento_Finanziario!$H:$L,5,FALSE),VLOOKUP($M43,TT_Tabelle_Riferimento!$D$127:$H$164,5,FALSE))</f>
        <v>5</v>
      </c>
      <c r="OL43" s="904">
        <f>+IFERROR(VLOOKUP(OL$27&amp;"-"&amp;$M43&amp;"_new",Ammortamento_Finanziario!$H:$L,5,FALSE),VLOOKUP($M43,TT_Tabelle_Riferimento!$D$127:$H$164,5,FALSE))</f>
        <v>5</v>
      </c>
      <c r="OM43" s="904">
        <f>+IFERROR(VLOOKUP(OM$27&amp;"-"&amp;$M43&amp;"_new",Ammortamento_Finanziario!$H:$L,5,FALSE),VLOOKUP($M43,TT_Tabelle_Riferimento!$D$127:$H$164,5,FALSE))</f>
        <v>5</v>
      </c>
      <c r="ON43" s="904">
        <f>+IFERROR(VLOOKUP(ON$27&amp;"-"&amp;$M43&amp;"_new",Ammortamento_Finanziario!$H:$L,5,FALSE),VLOOKUP($M43,TT_Tabelle_Riferimento!$D$127:$H$164,5,FALSE))</f>
        <v>5</v>
      </c>
      <c r="OO43" s="1762">
        <f>+IFERROR(VLOOKUP(OO$27&amp;"-"&amp;$M43&amp;"_new",Ammortamento_Finanziario!$H:$L,5,FALSE),VLOOKUP($M43,TT_Tabelle_Riferimento!$D$127:$H$164,5,FALSE))</f>
        <v>5</v>
      </c>
      <c r="OP43" s="1762">
        <f>+IFERROR(VLOOKUP(OP$27&amp;"-"&amp;$M43&amp;"_new",Ammortamento_Finanziario!$H:$L,5,FALSE),VLOOKUP($M43,TT_Tabelle_Riferimento!$D$127:$H$164,5,FALSE))</f>
        <v>5</v>
      </c>
      <c r="OQ43" s="1762">
        <f>+IFERROR(VLOOKUP(OQ$27&amp;"-"&amp;$M43&amp;"_new",Ammortamento_Finanziario!$H:$L,5,FALSE),VLOOKUP($M43,TT_Tabelle_Riferimento!$D$127:$H$164,5,FALSE))</f>
        <v>5</v>
      </c>
      <c r="OR43" s="1762">
        <f>+IFERROR(VLOOKUP(OR$27&amp;"-"&amp;$M43&amp;"_new",Ammortamento_Finanziario!$H:$L,5,FALSE),VLOOKUP($M43,TT_Tabelle_Riferimento!$D$127:$H$164,5,FALSE))</f>
        <v>5</v>
      </c>
      <c r="OS43" s="904">
        <f>+IFERROR(VLOOKUP(OS$27&amp;"-"&amp;$M43&amp;"_new",Ammortamento_Finanziario!$H:$L,5,FALSE),VLOOKUP($M43,TT_Tabelle_Riferimento!$D$127:$H$164,5,FALSE))</f>
        <v>5</v>
      </c>
      <c r="OT43" s="904">
        <f>+IFERROR(VLOOKUP(OT$27&amp;"-"&amp;$M43&amp;"_new",Ammortamento_Finanziario!$H:$L,5,FALSE),VLOOKUP($M43,TT_Tabelle_Riferimento!$D$127:$H$164,5,FALSE))</f>
        <v>5</v>
      </c>
      <c r="OU43" s="904">
        <f>+IFERROR(VLOOKUP(OU$27&amp;"-"&amp;$M43&amp;"_new",Ammortamento_Finanziario!$H:$L,5,FALSE),VLOOKUP($M43,TT_Tabelle_Riferimento!$D$127:$H$164,5,FALSE))</f>
        <v>5</v>
      </c>
      <c r="OV43" s="904">
        <f>+IFERROR(VLOOKUP(OV$27&amp;"-"&amp;$M43&amp;"_new",Ammortamento_Finanziario!$H:$L,5,FALSE),VLOOKUP($M43,TT_Tabelle_Riferimento!$D$127:$H$164,5,FALSE))</f>
        <v>5</v>
      </c>
      <c r="OW43" s="904">
        <f>+IFERROR(VLOOKUP(OW$27&amp;"-"&amp;$M43&amp;"_new",Ammortamento_Finanziario!$H:$L,5,FALSE),VLOOKUP($M43,TT_Tabelle_Riferimento!$D$127:$H$164,5,FALSE))</f>
        <v>5</v>
      </c>
      <c r="OX43" s="904">
        <f>+IFERROR(VLOOKUP(OX$27&amp;"-"&amp;$M43&amp;"_new",Ammortamento_Finanziario!$H:$L,5,FALSE),VLOOKUP($M43,TT_Tabelle_Riferimento!$D$127:$H$164,5,FALSE))</f>
        <v>5</v>
      </c>
      <c r="OY43" s="904">
        <f>+IFERROR(VLOOKUP(OY$27&amp;"-"&amp;$M43&amp;"_new",Ammortamento_Finanziario!$H:$L,5,FALSE),VLOOKUP($M43,TT_Tabelle_Riferimento!$D$127:$H$164,5,FALSE))</f>
        <v>5</v>
      </c>
      <c r="OZ43" s="904">
        <f>+IFERROR(VLOOKUP(OZ$27&amp;"-"&amp;$M43&amp;"_new",Ammortamento_Finanziario!$H:$L,5,FALSE),VLOOKUP($M43,TT_Tabelle_Riferimento!$D$127:$H$164,5,FALSE))</f>
        <v>5</v>
      </c>
      <c r="PA43" s="904">
        <f>+IFERROR(VLOOKUP(PA$27&amp;"-"&amp;$M43&amp;"_new",Ammortamento_Finanziario!$H:$L,5,FALSE),VLOOKUP($M43,TT_Tabelle_Riferimento!$D$127:$H$164,5,FALSE))</f>
        <v>5</v>
      </c>
      <c r="PB43" s="904">
        <f>+IFERROR(VLOOKUP(PB$27&amp;"-"&amp;$M43&amp;"_new",Ammortamento_Finanziario!$H:$L,5,FALSE),VLOOKUP($M43,TT_Tabelle_Riferimento!$D$127:$H$164,5,FALSE))</f>
        <v>5</v>
      </c>
      <c r="PC43" s="904">
        <f>+IFERROR(VLOOKUP(PC$27&amp;"-"&amp;$M43&amp;"_new",Ammortamento_Finanziario!$H:$L,5,FALSE),VLOOKUP($M43,TT_Tabelle_Riferimento!$D$127:$H$164,5,FALSE))</f>
        <v>5</v>
      </c>
      <c r="PD43" s="904">
        <f>+IFERROR(VLOOKUP(PD$27&amp;"-"&amp;$M43&amp;"_new",Ammortamento_Finanziario!$H:$L,5,FALSE),VLOOKUP($M43,TT_Tabelle_Riferimento!$D$127:$H$164,5,FALSE))</f>
        <v>5</v>
      </c>
      <c r="PE43" s="904">
        <f>+IFERROR(VLOOKUP(PE$27&amp;"-"&amp;$M43&amp;"_new",Ammortamento_Finanziario!$H:$L,5,FALSE),VLOOKUP($M43,TT_Tabelle_Riferimento!$D$127:$H$164,5,FALSE))</f>
        <v>5</v>
      </c>
      <c r="PF43" s="904">
        <f>+IFERROR(VLOOKUP(PF$27&amp;"-"&amp;$M43&amp;"_new",Ammortamento_Finanziario!$H:$L,5,FALSE),VLOOKUP($M43,TT_Tabelle_Riferimento!$D$127:$H$164,5,FALSE))</f>
        <v>5</v>
      </c>
      <c r="PG43" s="904">
        <f>+IFERROR(VLOOKUP(PG$27&amp;"-"&amp;$M43&amp;"_new",Ammortamento_Finanziario!$H:$L,5,FALSE),VLOOKUP($M43,TT_Tabelle_Riferimento!$D$127:$H$164,5,FALSE))</f>
        <v>5</v>
      </c>
      <c r="PH43" s="904">
        <f>+IFERROR(VLOOKUP(PH$27&amp;"-"&amp;$M43&amp;"_new",Ammortamento_Finanziario!$H:$L,5,FALSE),VLOOKUP($M43,TT_Tabelle_Riferimento!$D$127:$H$164,5,FALSE))</f>
        <v>5</v>
      </c>
      <c r="PI43" s="904">
        <f>+IFERROR(VLOOKUP(PI$27&amp;"-"&amp;$M43&amp;"_new",Ammortamento_Finanziario!$H:$L,5,FALSE),VLOOKUP($M43,TT_Tabelle_Riferimento!$D$127:$H$164,5,FALSE))</f>
        <v>5</v>
      </c>
      <c r="PJ43" s="904">
        <f>+IFERROR(VLOOKUP(PJ$27&amp;"-"&amp;$M43&amp;"_new",Ammortamento_Finanziario!$H:$L,5,FALSE),VLOOKUP($M43,TT_Tabelle_Riferimento!$D$127:$H$164,5,FALSE))</f>
        <v>5</v>
      </c>
      <c r="PK43" s="904">
        <f>+IFERROR(VLOOKUP(PK$27&amp;"-"&amp;$M43&amp;"_new",Ammortamento_Finanziario!$H:$L,5,FALSE),VLOOKUP($M43,TT_Tabelle_Riferimento!$D$127:$H$164,5,FALSE))</f>
        <v>5</v>
      </c>
      <c r="PL43" s="1762">
        <f>+IFERROR(VLOOKUP(PL$27&amp;"-"&amp;$M43&amp;"_new",Ammortamento_Finanziario!$H:$L,5,FALSE),VLOOKUP($M43,TT_Tabelle_Riferimento!$D$127:$H$164,5,FALSE))</f>
        <v>5</v>
      </c>
      <c r="PM43" s="1762">
        <f>+IFERROR(VLOOKUP(PM$27&amp;"-"&amp;$M43&amp;"_new",Ammortamento_Finanziario!$H:$L,5,FALSE),VLOOKUP($M43,TT_Tabelle_Riferimento!$D$127:$H$164,5,FALSE))</f>
        <v>5</v>
      </c>
      <c r="PN43" s="1762">
        <f>+IFERROR(VLOOKUP(PN$27&amp;"-"&amp;$M43&amp;"_new",Ammortamento_Finanziario!$H:$L,5,FALSE),VLOOKUP($M43,TT_Tabelle_Riferimento!$D$127:$H$164,5,FALSE))</f>
        <v>5</v>
      </c>
      <c r="PO43" s="904">
        <f>+IFERROR(VLOOKUP(PO$27&amp;"-"&amp;$M43&amp;"_new",Ammortamento_Finanziario!$H:$L,5,FALSE),VLOOKUP($M43,TT_Tabelle_Riferimento!$D$127:$H$164,5,FALSE))</f>
        <v>5</v>
      </c>
      <c r="PP43" s="904">
        <f>+IFERROR(VLOOKUP(PP$27&amp;"-"&amp;$M43&amp;"_new",Ammortamento_Finanziario!$H:$L,5,FALSE),VLOOKUP($M43,TT_Tabelle_Riferimento!$D$127:$H$164,5,FALSE))</f>
        <v>5</v>
      </c>
      <c r="PQ43" s="904">
        <f>+IFERROR(VLOOKUP(PQ$27&amp;"-"&amp;$M43&amp;"_new",Ammortamento_Finanziario!$H:$L,5,FALSE),VLOOKUP($M43,TT_Tabelle_Riferimento!$D$127:$H$164,5,FALSE))</f>
        <v>5</v>
      </c>
      <c r="PR43" s="904">
        <f>+IFERROR(VLOOKUP(PR$27&amp;"-"&amp;$M43&amp;"_new",Ammortamento_Finanziario!$H:$L,5,FALSE),VLOOKUP($M43,TT_Tabelle_Riferimento!$D$127:$H$164,5,FALSE))</f>
        <v>5</v>
      </c>
      <c r="PS43" s="904">
        <f>+IFERROR(VLOOKUP(PS$27&amp;"-"&amp;$M43&amp;"_new",Ammortamento_Finanziario!$H:$L,5,FALSE),VLOOKUP($M43,TT_Tabelle_Riferimento!$D$127:$H$164,5,FALSE))</f>
        <v>5</v>
      </c>
      <c r="PT43" s="904">
        <f>+IFERROR(VLOOKUP(PT$27&amp;"-"&amp;$M43&amp;"_new",Ammortamento_Finanziario!$H:$L,5,FALSE),VLOOKUP($M43,TT_Tabelle_Riferimento!$D$127:$H$164,5,FALSE))</f>
        <v>5</v>
      </c>
      <c r="PU43" s="904">
        <f>+IFERROR(VLOOKUP(PU$27&amp;"-"&amp;$M43&amp;"_new",Ammortamento_Finanziario!$H:$L,5,FALSE),VLOOKUP($M43,TT_Tabelle_Riferimento!$D$127:$H$164,5,FALSE))</f>
        <v>5</v>
      </c>
      <c r="PV43" s="904">
        <f>+IFERROR(VLOOKUP(PV$27&amp;"-"&amp;$M43&amp;"_new",Ammortamento_Finanziario!$H:$L,5,FALSE),VLOOKUP($M43,TT_Tabelle_Riferimento!$D$127:$H$164,5,FALSE))</f>
        <v>5</v>
      </c>
      <c r="PW43" s="904">
        <f>+IFERROR(VLOOKUP(PW$27&amp;"-"&amp;$M43&amp;"_new",Ammortamento_Finanziario!$H:$L,5,FALSE),VLOOKUP($M43,TT_Tabelle_Riferimento!$D$127:$H$164,5,FALSE))</f>
        <v>5</v>
      </c>
      <c r="PX43" s="904">
        <f>+IFERROR(VLOOKUP(PX$27&amp;"-"&amp;$M43&amp;"_new",Ammortamento_Finanziario!$H:$L,5,FALSE),VLOOKUP($M43,TT_Tabelle_Riferimento!$D$127:$H$164,5,FALSE))</f>
        <v>5</v>
      </c>
      <c r="PY43" s="904">
        <f>+IFERROR(VLOOKUP(PY$27&amp;"-"&amp;$M43&amp;"_new",Ammortamento_Finanziario!$H:$L,5,FALSE),VLOOKUP($M43,TT_Tabelle_Riferimento!$D$127:$H$164,5,FALSE))</f>
        <v>5</v>
      </c>
      <c r="PZ43" s="904">
        <f>+IFERROR(VLOOKUP(PZ$27&amp;"-"&amp;$M43&amp;"_new",Ammortamento_Finanziario!$H:$L,5,FALSE),VLOOKUP($M43,TT_Tabelle_Riferimento!$D$127:$H$164,5,FALSE))</f>
        <v>5</v>
      </c>
      <c r="QA43" s="904">
        <f>+IFERROR(VLOOKUP(QA$27&amp;"-"&amp;$M43&amp;"_new",Ammortamento_Finanziario!$H:$L,5,FALSE),VLOOKUP($M43,TT_Tabelle_Riferimento!$D$127:$H$164,5,FALSE))</f>
        <v>5</v>
      </c>
      <c r="QB43" s="904">
        <f>+IFERROR(VLOOKUP(QB$27&amp;"-"&amp;$M43&amp;"_new",Ammortamento_Finanziario!$H:$L,5,FALSE),VLOOKUP($M43,TT_Tabelle_Riferimento!$D$127:$H$164,5,FALSE))</f>
        <v>5</v>
      </c>
      <c r="QC43" s="904">
        <f>+IFERROR(VLOOKUP(QC$27&amp;"-"&amp;$M43&amp;"_new",Ammortamento_Finanziario!$H:$L,5,FALSE),VLOOKUP($M43,TT_Tabelle_Riferimento!$D$127:$H$164,5,FALSE))</f>
        <v>5</v>
      </c>
      <c r="QD43" s="904">
        <f>+IFERROR(VLOOKUP(QD$27&amp;"-"&amp;$M43&amp;"_new",Ammortamento_Finanziario!$H:$L,5,FALSE),VLOOKUP($M43,TT_Tabelle_Riferimento!$D$127:$H$164,5,FALSE))</f>
        <v>5</v>
      </c>
      <c r="QE43" s="904">
        <f>+IFERROR(VLOOKUP(QE$27&amp;"-"&amp;$M43&amp;"_new",Ammortamento_Finanziario!$H:$L,5,FALSE),VLOOKUP($M43,TT_Tabelle_Riferimento!$D$127:$H$164,5,FALSE))</f>
        <v>5</v>
      </c>
      <c r="QF43" s="904">
        <f>+IFERROR(VLOOKUP(QF$27&amp;"-"&amp;$M43&amp;"_new",Ammortamento_Finanziario!$H:$L,5,FALSE),VLOOKUP($M43,TT_Tabelle_Riferimento!$D$127:$H$164,5,FALSE))</f>
        <v>5</v>
      </c>
      <c r="QG43" s="904">
        <f>+IFERROR(VLOOKUP(QG$27&amp;"-"&amp;$M43&amp;"_new",Ammortamento_Finanziario!$H:$L,5,FALSE),VLOOKUP($M43,TT_Tabelle_Riferimento!$D$127:$H$164,5,FALSE))</f>
        <v>5</v>
      </c>
      <c r="QH43" s="1762">
        <f>+IFERROR(VLOOKUP(QH$27&amp;"-"&amp;$M43&amp;"_new",Ammortamento_Finanziario!$H:$L,5,FALSE),VLOOKUP($M43,TT_Tabelle_Riferimento!$D$127:$H$164,5,FALSE))</f>
        <v>5</v>
      </c>
      <c r="QI43" s="1762">
        <f>+IFERROR(VLOOKUP(QI$27&amp;"-"&amp;$M43&amp;"_new",Ammortamento_Finanziario!$H:$L,5,FALSE),VLOOKUP($M43,TT_Tabelle_Riferimento!$D$127:$H$164,5,FALSE))</f>
        <v>5</v>
      </c>
      <c r="QJ43" s="904">
        <f>+IFERROR(VLOOKUP(QJ$27&amp;"-"&amp;$M43&amp;"_new",Ammortamento_Finanziario!$H:$L,5,FALSE),VLOOKUP($M43,TT_Tabelle_Riferimento!$D$127:$H$164,5,FALSE))</f>
        <v>5</v>
      </c>
      <c r="QK43" s="904">
        <f>+IFERROR(VLOOKUP(QK$27&amp;"-"&amp;$M43&amp;"_new",Ammortamento_Finanziario!$H:$L,5,FALSE),VLOOKUP($M43,TT_Tabelle_Riferimento!$D$127:$H$164,5,FALSE))</f>
        <v>5</v>
      </c>
      <c r="QL43" s="904">
        <f>+IFERROR(VLOOKUP(QL$27&amp;"-"&amp;$M43&amp;"_new",Ammortamento_Finanziario!$H:$L,5,FALSE),VLOOKUP($M43,TT_Tabelle_Riferimento!$D$127:$H$164,5,FALSE))</f>
        <v>5</v>
      </c>
      <c r="QM43" s="904">
        <f>+IFERROR(VLOOKUP(QM$27&amp;"-"&amp;$M43&amp;"_new",Ammortamento_Finanziario!$H:$L,5,FALSE),VLOOKUP($M43,TT_Tabelle_Riferimento!$D$127:$H$164,5,FALSE))</f>
        <v>5</v>
      </c>
      <c r="QN43" s="904">
        <f>+IFERROR(VLOOKUP(QN$27&amp;"-"&amp;$M43&amp;"_new",Ammortamento_Finanziario!$H:$L,5,FALSE),VLOOKUP($M43,TT_Tabelle_Riferimento!$D$127:$H$164,5,FALSE))</f>
        <v>5</v>
      </c>
      <c r="QO43" s="904">
        <f>+IFERROR(VLOOKUP(QO$27&amp;"-"&amp;$M43&amp;"_new",Ammortamento_Finanziario!$H:$L,5,FALSE),VLOOKUP($M43,TT_Tabelle_Riferimento!$D$127:$H$164,5,FALSE))</f>
        <v>5</v>
      </c>
      <c r="QP43" s="904">
        <f>+IFERROR(VLOOKUP(QP$27&amp;"-"&amp;$M43&amp;"_new",Ammortamento_Finanziario!$H:$L,5,FALSE),VLOOKUP($M43,TT_Tabelle_Riferimento!$D$127:$H$164,5,FALSE))</f>
        <v>5</v>
      </c>
      <c r="QQ43" s="904">
        <f>+IFERROR(VLOOKUP(QQ$27&amp;"-"&amp;$M43&amp;"_new",Ammortamento_Finanziario!$H:$L,5,FALSE),VLOOKUP($M43,TT_Tabelle_Riferimento!$D$127:$H$164,5,FALSE))</f>
        <v>5</v>
      </c>
      <c r="QR43" s="904">
        <f>+IFERROR(VLOOKUP(QR$27&amp;"-"&amp;$M43&amp;"_new",Ammortamento_Finanziario!$H:$L,5,FALSE),VLOOKUP($M43,TT_Tabelle_Riferimento!$D$127:$H$164,5,FALSE))</f>
        <v>5</v>
      </c>
      <c r="QS43" s="904">
        <f>+IFERROR(VLOOKUP(QS$27&amp;"-"&amp;$M43&amp;"_new",Ammortamento_Finanziario!$H:$L,5,FALSE),VLOOKUP($M43,TT_Tabelle_Riferimento!$D$127:$H$164,5,FALSE))</f>
        <v>5</v>
      </c>
      <c r="QT43" s="904">
        <f>+IFERROR(VLOOKUP(QT$27&amp;"-"&amp;$M43&amp;"_new",Ammortamento_Finanziario!$H:$L,5,FALSE),VLOOKUP($M43,TT_Tabelle_Riferimento!$D$127:$H$164,5,FALSE))</f>
        <v>5</v>
      </c>
      <c r="QU43" s="904">
        <f>+IFERROR(VLOOKUP(QU$27&amp;"-"&amp;$M43&amp;"_new",Ammortamento_Finanziario!$H:$L,5,FALSE),VLOOKUP($M43,TT_Tabelle_Riferimento!$D$127:$H$164,5,FALSE))</f>
        <v>5</v>
      </c>
      <c r="QV43" s="904">
        <f>+IFERROR(VLOOKUP(QV$27&amp;"-"&amp;$M43&amp;"_new",Ammortamento_Finanziario!$H:$L,5,FALSE),VLOOKUP($M43,TT_Tabelle_Riferimento!$D$127:$H$164,5,FALSE))</f>
        <v>5</v>
      </c>
      <c r="QW43" s="904">
        <f>+IFERROR(VLOOKUP(QW$27&amp;"-"&amp;$M43&amp;"_new",Ammortamento_Finanziario!$H:$L,5,FALSE),VLOOKUP($M43,TT_Tabelle_Riferimento!$D$127:$H$164,5,FALSE))</f>
        <v>5</v>
      </c>
      <c r="QX43" s="904">
        <f>+IFERROR(VLOOKUP(QX$27&amp;"-"&amp;$M43&amp;"_new",Ammortamento_Finanziario!$H:$L,5,FALSE),VLOOKUP($M43,TT_Tabelle_Riferimento!$D$127:$H$164,5,FALSE))</f>
        <v>5</v>
      </c>
      <c r="QY43" s="904">
        <f>+IFERROR(VLOOKUP(QY$27&amp;"-"&amp;$M43&amp;"_new",Ammortamento_Finanziario!$H:$L,5,FALSE),VLOOKUP($M43,TT_Tabelle_Riferimento!$D$127:$H$164,5,FALSE))</f>
        <v>5</v>
      </c>
      <c r="QZ43" s="904">
        <f>+IFERROR(VLOOKUP(QZ$27&amp;"-"&amp;$M43&amp;"_new",Ammortamento_Finanziario!$H:$L,5,FALSE),VLOOKUP($M43,TT_Tabelle_Riferimento!$D$127:$H$164,5,FALSE))</f>
        <v>5</v>
      </c>
      <c r="RA43" s="904">
        <f>+IFERROR(VLOOKUP(RA$27&amp;"-"&amp;$M43&amp;"_new",Ammortamento_Finanziario!$H:$L,5,FALSE),VLOOKUP($M43,TT_Tabelle_Riferimento!$D$127:$H$164,5,FALSE))</f>
        <v>5</v>
      </c>
      <c r="RB43" s="904">
        <f>+IFERROR(VLOOKUP(RB$27&amp;"-"&amp;$M43&amp;"_new",Ammortamento_Finanziario!$H:$L,5,FALSE),VLOOKUP($M43,TT_Tabelle_Riferimento!$D$127:$H$164,5,FALSE))</f>
        <v>5</v>
      </c>
      <c r="RC43" s="1762">
        <f>+IFERROR(VLOOKUP(RC$27&amp;"-"&amp;$M43&amp;"_new",Ammortamento_Finanziario!$H:$L,5,FALSE),VLOOKUP($M43,TT_Tabelle_Riferimento!$D$127:$H$164,5,FALSE))</f>
        <v>5</v>
      </c>
      <c r="RD43" s="904">
        <f>+IFERROR(VLOOKUP(RD$27&amp;"-"&amp;$M43&amp;"_new",Ammortamento_Finanziario!$H:$L,5,FALSE),VLOOKUP($M43,TT_Tabelle_Riferimento!$D$127:$H$164,5,FALSE))</f>
        <v>5</v>
      </c>
      <c r="RE43" s="904">
        <f>+IFERROR(VLOOKUP(RE$27&amp;"-"&amp;$M43&amp;"_new",Ammortamento_Finanziario!$H:$L,5,FALSE),VLOOKUP($M43,TT_Tabelle_Riferimento!$D$127:$H$164,5,FALSE))</f>
        <v>5</v>
      </c>
      <c r="RF43" s="904">
        <f>+IFERROR(VLOOKUP(RF$27&amp;"-"&amp;$M43&amp;"_new",Ammortamento_Finanziario!$H:$L,5,FALSE),VLOOKUP($M43,TT_Tabelle_Riferimento!$D$127:$H$164,5,FALSE))</f>
        <v>5</v>
      </c>
      <c r="RG43" s="904">
        <f>+IFERROR(VLOOKUP(RG$27&amp;"-"&amp;$M43&amp;"_new",Ammortamento_Finanziario!$H:$L,5,FALSE),VLOOKUP($M43,TT_Tabelle_Riferimento!$D$127:$H$164,5,FALSE))</f>
        <v>5</v>
      </c>
      <c r="RH43" s="904">
        <f>+IFERROR(VLOOKUP(RH$27&amp;"-"&amp;$M43&amp;"_new",Ammortamento_Finanziario!$H:$L,5,FALSE),VLOOKUP($M43,TT_Tabelle_Riferimento!$D$127:$H$164,5,FALSE))</f>
        <v>5</v>
      </c>
      <c r="RI43" s="904">
        <f>+IFERROR(VLOOKUP(RI$27&amp;"-"&amp;$M43&amp;"_new",Ammortamento_Finanziario!$H:$L,5,FALSE),VLOOKUP($M43,TT_Tabelle_Riferimento!$D$127:$H$164,5,FALSE))</f>
        <v>5</v>
      </c>
      <c r="RJ43" s="904">
        <f>+IFERROR(VLOOKUP(RJ$27&amp;"-"&amp;$M43&amp;"_new",Ammortamento_Finanziario!$H:$L,5,FALSE),VLOOKUP($M43,TT_Tabelle_Riferimento!$D$127:$H$164,5,FALSE))</f>
        <v>5</v>
      </c>
      <c r="RK43" s="904">
        <f>+IFERROR(VLOOKUP(RK$27&amp;"-"&amp;$M43&amp;"_new",Ammortamento_Finanziario!$H:$L,5,FALSE),VLOOKUP($M43,TT_Tabelle_Riferimento!$D$127:$H$164,5,FALSE))</f>
        <v>5</v>
      </c>
      <c r="RL43" s="904">
        <f>+IFERROR(VLOOKUP(RL$27&amp;"-"&amp;$M43&amp;"_new",Ammortamento_Finanziario!$H:$L,5,FALSE),VLOOKUP($M43,TT_Tabelle_Riferimento!$D$127:$H$164,5,FALSE))</f>
        <v>5</v>
      </c>
      <c r="RM43" s="904">
        <f>+IFERROR(VLOOKUP(RM$27&amp;"-"&amp;$M43&amp;"_new",Ammortamento_Finanziario!$H:$L,5,FALSE),VLOOKUP($M43,TT_Tabelle_Riferimento!$D$127:$H$164,5,FALSE))</f>
        <v>5</v>
      </c>
      <c r="RN43" s="904">
        <f>+IFERROR(VLOOKUP(RN$27&amp;"-"&amp;$M43&amp;"_new",Ammortamento_Finanziario!$H:$L,5,FALSE),VLOOKUP($M43,TT_Tabelle_Riferimento!$D$127:$H$164,5,FALSE))</f>
        <v>5</v>
      </c>
      <c r="RO43" s="904">
        <f>+IFERROR(VLOOKUP(RO$27&amp;"-"&amp;$M43&amp;"_new",Ammortamento_Finanziario!$H:$L,5,FALSE),VLOOKUP($M43,TT_Tabelle_Riferimento!$D$127:$H$164,5,FALSE))</f>
        <v>5</v>
      </c>
      <c r="RP43" s="904">
        <f>+IFERROR(VLOOKUP(RP$27&amp;"-"&amp;$M43&amp;"_new",Ammortamento_Finanziario!$H:$L,5,FALSE),VLOOKUP($M43,TT_Tabelle_Riferimento!$D$127:$H$164,5,FALSE))</f>
        <v>5</v>
      </c>
      <c r="RQ43" s="904">
        <f>+IFERROR(VLOOKUP(RQ$27&amp;"-"&amp;$M43&amp;"_new",Ammortamento_Finanziario!$H:$L,5,FALSE),VLOOKUP($M43,TT_Tabelle_Riferimento!$D$127:$H$164,5,FALSE))</f>
        <v>5</v>
      </c>
      <c r="RR43" s="904">
        <f>+IFERROR(VLOOKUP(RR$27&amp;"-"&amp;$M43&amp;"_new",Ammortamento_Finanziario!$H:$L,5,FALSE),VLOOKUP($M43,TT_Tabelle_Riferimento!$D$127:$H$164,5,FALSE))</f>
        <v>5</v>
      </c>
      <c r="RS43" s="904">
        <f>+IFERROR(VLOOKUP(RS$27&amp;"-"&amp;$M43&amp;"_new",Ammortamento_Finanziario!$H:$L,5,FALSE),VLOOKUP($M43,TT_Tabelle_Riferimento!$D$127:$H$164,5,FALSE))</f>
        <v>5</v>
      </c>
      <c r="RT43" s="904">
        <f>+IFERROR(VLOOKUP(RT$27&amp;"-"&amp;$M43&amp;"_new",Ammortamento_Finanziario!$H:$L,5,FALSE),VLOOKUP($M43,TT_Tabelle_Riferimento!$D$127:$H$164,5,FALSE))</f>
        <v>5</v>
      </c>
      <c r="RU43" s="904">
        <f>+IFERROR(VLOOKUP(RU$27&amp;"-"&amp;$M43&amp;"_new",Ammortamento_Finanziario!$H:$L,5,FALSE),VLOOKUP($M43,TT_Tabelle_Riferimento!$D$127:$H$164,5,FALSE))</f>
        <v>5</v>
      </c>
      <c r="RV43" s="904">
        <f>+IFERROR(VLOOKUP(RV$27&amp;"-"&amp;$M43&amp;"_new",Ammortamento_Finanziario!$H:$L,5,FALSE),VLOOKUP($M43,TT_Tabelle_Riferimento!$D$127:$H$164,5,FALSE))</f>
        <v>5</v>
      </c>
    </row>
    <row r="44" spans="4:490">
      <c r="D44" s="135" t="s">
        <v>200</v>
      </c>
      <c r="E44" s="719">
        <f>+SUMIFS(IMN_gestore!R:R,IMN_gestore!$G:$G,"Env")</f>
        <v>0</v>
      </c>
      <c r="F44" s="719">
        <f>+SUMIFS(IMN_gestore!AC:AC,IMN_gestore!$G:$G,"Env")</f>
        <v>0</v>
      </c>
      <c r="G44" s="719">
        <f>+SUMIFS(IMN_gestore!AN:AN,IMN_gestore!$G:$G,"Env")</f>
        <v>0</v>
      </c>
      <c r="H44" s="719">
        <f>+SUMIFS(IMN_gestore!AY:AY,IMN_gestore!$G:$G,"Env")</f>
        <v>0</v>
      </c>
      <c r="I44" s="719">
        <f>+SUMIFS(IMN_gestore!$BJ:$BJ,IMN_gestore!$G:$G,"Env")</f>
        <v>0</v>
      </c>
      <c r="J44" s="719">
        <f>+SUMIFS(IMN_gestore!$BU:$BU,IMN_gestore!$G:$G,"Env")</f>
        <v>0</v>
      </c>
      <c r="M44" s="1756">
        <v>17</v>
      </c>
      <c r="N44" s="1757">
        <v>0</v>
      </c>
      <c r="O44" s="1758">
        <v>0</v>
      </c>
      <c r="P44" s="1758">
        <v>0</v>
      </c>
      <c r="Q44" s="1758">
        <v>0</v>
      </c>
      <c r="R44" s="1758">
        <v>0</v>
      </c>
      <c r="S44" s="1758">
        <v>0</v>
      </c>
      <c r="T44" s="1758">
        <v>0</v>
      </c>
      <c r="U44" s="1758">
        <v>0</v>
      </c>
      <c r="V44" s="1758">
        <v>0</v>
      </c>
      <c r="W44" s="1758">
        <v>0</v>
      </c>
      <c r="X44" s="1758">
        <v>0</v>
      </c>
      <c r="Y44" s="1758">
        <v>0</v>
      </c>
      <c r="Z44" s="1758">
        <v>0</v>
      </c>
      <c r="AA44" s="1758">
        <v>0</v>
      </c>
      <c r="AB44" s="1758">
        <v>0</v>
      </c>
      <c r="AC44" s="1758">
        <v>0</v>
      </c>
      <c r="AD44" s="1758">
        <v>0</v>
      </c>
      <c r="AE44" s="1758">
        <v>0</v>
      </c>
      <c r="AF44" s="1758">
        <v>0</v>
      </c>
      <c r="AG44" s="1758">
        <v>0</v>
      </c>
      <c r="AH44" s="1758">
        <v>0</v>
      </c>
      <c r="AI44" s="1758">
        <v>0</v>
      </c>
      <c r="AJ44" s="1758">
        <v>0</v>
      </c>
      <c r="AK44" s="1758">
        <v>0</v>
      </c>
      <c r="AL44" s="1758">
        <v>0</v>
      </c>
      <c r="AM44" s="1758">
        <v>0</v>
      </c>
      <c r="AN44" s="1758">
        <v>0</v>
      </c>
      <c r="AO44" s="1758">
        <v>0</v>
      </c>
      <c r="AP44" s="1758">
        <v>0</v>
      </c>
      <c r="AQ44" s="1758">
        <v>0</v>
      </c>
      <c r="AR44" s="1758">
        <v>0</v>
      </c>
      <c r="AS44" s="1758">
        <v>0</v>
      </c>
      <c r="AT44" s="1758">
        <v>0</v>
      </c>
      <c r="AU44" s="1758">
        <v>0</v>
      </c>
      <c r="AV44" s="1758">
        <v>0</v>
      </c>
      <c r="AW44" s="1758">
        <v>0</v>
      </c>
      <c r="AX44" s="1758">
        <v>0</v>
      </c>
      <c r="AY44" s="1757">
        <v>0</v>
      </c>
      <c r="AZ44" s="1758">
        <v>0</v>
      </c>
      <c r="BA44" s="1758">
        <v>0</v>
      </c>
      <c r="BB44" s="1758">
        <v>0</v>
      </c>
      <c r="BC44" s="1758">
        <v>0</v>
      </c>
      <c r="BD44" s="1758">
        <v>0</v>
      </c>
      <c r="BE44" s="1758">
        <v>0</v>
      </c>
      <c r="BF44" s="1758">
        <v>0</v>
      </c>
      <c r="BG44" s="1758">
        <v>0</v>
      </c>
      <c r="BH44" s="1758">
        <v>0</v>
      </c>
      <c r="BI44" s="1758">
        <v>0</v>
      </c>
      <c r="BJ44" s="1758">
        <v>0</v>
      </c>
      <c r="BK44" s="1758">
        <v>0</v>
      </c>
      <c r="BL44" s="1758">
        <v>0</v>
      </c>
      <c r="BM44" s="1758">
        <v>0</v>
      </c>
      <c r="BN44" s="1758">
        <v>0</v>
      </c>
      <c r="BO44" s="1758">
        <v>0</v>
      </c>
      <c r="BP44" s="1758">
        <v>0</v>
      </c>
      <c r="BQ44" s="1758">
        <v>0</v>
      </c>
      <c r="BR44" s="1758">
        <v>0</v>
      </c>
      <c r="BS44" s="1758">
        <v>0</v>
      </c>
      <c r="BT44" s="1758">
        <v>0</v>
      </c>
      <c r="BU44" s="1758">
        <v>0</v>
      </c>
      <c r="BV44" s="1758">
        <v>0</v>
      </c>
      <c r="BW44" s="1758">
        <v>0</v>
      </c>
      <c r="BX44" s="1758">
        <v>0</v>
      </c>
      <c r="BY44" s="1758">
        <v>0</v>
      </c>
      <c r="BZ44" s="1758">
        <v>0</v>
      </c>
      <c r="CA44" s="1758">
        <v>0</v>
      </c>
      <c r="CB44" s="1758">
        <v>0</v>
      </c>
      <c r="CC44" s="1758">
        <v>0</v>
      </c>
      <c r="CD44" s="1758">
        <v>0</v>
      </c>
      <c r="CE44" s="1758">
        <v>0</v>
      </c>
      <c r="CF44" s="1758">
        <v>0</v>
      </c>
      <c r="CG44" s="1758">
        <v>0</v>
      </c>
      <c r="CH44" s="1757">
        <v>0</v>
      </c>
      <c r="CI44" s="1758">
        <v>0</v>
      </c>
      <c r="CJ44" s="1758">
        <v>0</v>
      </c>
      <c r="CK44" s="1758">
        <v>0</v>
      </c>
      <c r="CL44" s="1758">
        <v>0</v>
      </c>
      <c r="CM44" s="1758">
        <v>0</v>
      </c>
      <c r="CN44" s="1758">
        <v>0</v>
      </c>
      <c r="CO44" s="1758">
        <v>0</v>
      </c>
      <c r="CP44" s="1758">
        <v>0</v>
      </c>
      <c r="CQ44" s="1758">
        <v>0</v>
      </c>
      <c r="CR44" s="1758">
        <v>0</v>
      </c>
      <c r="CS44" s="1758">
        <v>0</v>
      </c>
      <c r="CT44" s="1758">
        <v>0</v>
      </c>
      <c r="CU44" s="1758">
        <v>0</v>
      </c>
      <c r="CV44" s="1758">
        <v>0</v>
      </c>
      <c r="CW44" s="1758">
        <v>0</v>
      </c>
      <c r="CX44" s="1758">
        <v>0</v>
      </c>
      <c r="CY44" s="1758">
        <v>0</v>
      </c>
      <c r="CZ44" s="1758">
        <v>0</v>
      </c>
      <c r="DA44" s="1758">
        <v>0</v>
      </c>
      <c r="DB44" s="1758">
        <v>0</v>
      </c>
      <c r="DC44" s="1758">
        <v>0</v>
      </c>
      <c r="DD44" s="1758">
        <v>0</v>
      </c>
      <c r="DE44" s="1758">
        <v>0</v>
      </c>
      <c r="DF44" s="1758">
        <v>0</v>
      </c>
      <c r="DG44" s="1758">
        <v>0</v>
      </c>
      <c r="DH44" s="1758">
        <v>0</v>
      </c>
      <c r="DI44" s="1758">
        <v>0</v>
      </c>
      <c r="DJ44" s="1758">
        <v>0</v>
      </c>
      <c r="DK44" s="1758">
        <v>0</v>
      </c>
      <c r="DL44" s="1758">
        <v>0</v>
      </c>
      <c r="DM44" s="1758">
        <v>0</v>
      </c>
      <c r="DN44" s="1758">
        <v>0</v>
      </c>
      <c r="DO44" s="1758">
        <v>0</v>
      </c>
      <c r="DP44" s="1757">
        <v>0</v>
      </c>
      <c r="DQ44" s="1758">
        <v>0</v>
      </c>
      <c r="DR44" s="1758">
        <v>0</v>
      </c>
      <c r="DS44" s="1758">
        <v>0</v>
      </c>
      <c r="DT44" s="1758">
        <v>0</v>
      </c>
      <c r="DU44" s="1758">
        <v>0</v>
      </c>
      <c r="DV44" s="1758">
        <v>0</v>
      </c>
      <c r="DW44" s="1758">
        <v>0</v>
      </c>
      <c r="DX44" s="1758">
        <v>0</v>
      </c>
      <c r="DY44" s="1758">
        <v>0</v>
      </c>
      <c r="DZ44" s="1758">
        <v>0</v>
      </c>
      <c r="EA44" s="1758">
        <v>0</v>
      </c>
      <c r="EB44" s="1758">
        <v>0</v>
      </c>
      <c r="EC44" s="1758">
        <v>0</v>
      </c>
      <c r="ED44" s="1758">
        <v>0</v>
      </c>
      <c r="EE44" s="1758">
        <v>0</v>
      </c>
      <c r="EF44" s="1758">
        <v>0</v>
      </c>
      <c r="EG44" s="1758">
        <v>0</v>
      </c>
      <c r="EH44" s="1758">
        <v>0</v>
      </c>
      <c r="EI44" s="1758">
        <v>0</v>
      </c>
      <c r="EJ44" s="1758">
        <v>0</v>
      </c>
      <c r="EK44" s="1758">
        <v>0</v>
      </c>
      <c r="EL44" s="1758">
        <v>0</v>
      </c>
      <c r="EM44" s="1758">
        <v>0</v>
      </c>
      <c r="EN44" s="1758">
        <v>0</v>
      </c>
      <c r="EO44" s="1758">
        <v>0</v>
      </c>
      <c r="EP44" s="1758">
        <v>0</v>
      </c>
      <c r="EQ44" s="1758">
        <v>0</v>
      </c>
      <c r="ER44" s="1758">
        <v>0</v>
      </c>
      <c r="ES44" s="1758">
        <v>0</v>
      </c>
      <c r="ET44" s="1758">
        <v>0</v>
      </c>
      <c r="EU44" s="1758">
        <v>0</v>
      </c>
      <c r="EV44" s="1758">
        <v>0</v>
      </c>
      <c r="EW44" s="1758">
        <v>0</v>
      </c>
      <c r="EX44" s="1758">
        <v>0</v>
      </c>
      <c r="EY44" s="1758">
        <v>0</v>
      </c>
      <c r="EZ44" s="1758">
        <v>0</v>
      </c>
      <c r="FA44" s="1758">
        <v>0</v>
      </c>
      <c r="FB44" s="1758">
        <v>0</v>
      </c>
      <c r="FC44" s="1758">
        <v>0</v>
      </c>
      <c r="FD44" s="1758">
        <v>0</v>
      </c>
      <c r="FE44" s="1758">
        <v>0</v>
      </c>
      <c r="FF44" s="1758">
        <v>0</v>
      </c>
      <c r="FG44" s="1758">
        <v>0</v>
      </c>
      <c r="FH44" s="1758">
        <v>0</v>
      </c>
      <c r="FI44" s="1758">
        <v>0</v>
      </c>
      <c r="FJ44" s="1758">
        <v>0</v>
      </c>
      <c r="FK44" s="1758">
        <v>0</v>
      </c>
      <c r="FL44" s="1758">
        <v>0</v>
      </c>
      <c r="FM44" s="1758">
        <v>0</v>
      </c>
      <c r="FN44" s="1758">
        <v>0</v>
      </c>
      <c r="FO44" s="1758">
        <v>0</v>
      </c>
      <c r="FP44" s="1758">
        <v>0</v>
      </c>
      <c r="FQ44" s="1758">
        <v>0</v>
      </c>
      <c r="FR44" s="1758">
        <v>0</v>
      </c>
      <c r="FS44" s="1758">
        <v>0</v>
      </c>
      <c r="FT44" s="1758">
        <v>0</v>
      </c>
      <c r="FU44" s="1758">
        <v>0</v>
      </c>
      <c r="FV44" s="1758">
        <v>0</v>
      </c>
      <c r="FW44" s="1758">
        <v>0</v>
      </c>
      <c r="FX44" s="1758">
        <v>0</v>
      </c>
      <c r="FY44" s="1758">
        <v>0</v>
      </c>
      <c r="FZ44" s="1758">
        <v>0</v>
      </c>
      <c r="GA44" s="1758">
        <v>0</v>
      </c>
      <c r="GB44" s="1758">
        <v>0</v>
      </c>
      <c r="GC44" s="1757">
        <v>0</v>
      </c>
      <c r="GD44" s="1758">
        <v>0</v>
      </c>
      <c r="GE44" s="1758">
        <v>0</v>
      </c>
      <c r="GF44" s="1758">
        <v>0</v>
      </c>
      <c r="GG44" s="1758">
        <v>0</v>
      </c>
      <c r="GH44" s="1758">
        <v>0</v>
      </c>
      <c r="GI44" s="1758">
        <v>0</v>
      </c>
      <c r="GJ44" s="1758">
        <v>0</v>
      </c>
      <c r="GK44" s="1758">
        <v>0</v>
      </c>
      <c r="GL44" s="1758">
        <v>0</v>
      </c>
      <c r="GM44" s="1758">
        <v>0</v>
      </c>
      <c r="GN44" s="1758">
        <v>0</v>
      </c>
      <c r="GO44" s="1758">
        <v>0</v>
      </c>
      <c r="GP44" s="1758">
        <v>0</v>
      </c>
      <c r="GQ44" s="1758">
        <v>0</v>
      </c>
      <c r="GR44" s="1758">
        <v>0</v>
      </c>
      <c r="GS44" s="1758">
        <v>0</v>
      </c>
      <c r="GT44" s="1758">
        <v>0</v>
      </c>
      <c r="GU44" s="1758">
        <v>0</v>
      </c>
      <c r="GV44" s="1758">
        <v>0</v>
      </c>
      <c r="GW44" s="1758">
        <v>0</v>
      </c>
      <c r="GX44" s="1758">
        <v>0</v>
      </c>
      <c r="GY44" s="1758">
        <v>0</v>
      </c>
      <c r="GZ44" s="1758">
        <v>0</v>
      </c>
      <c r="HA44" s="1758">
        <v>0</v>
      </c>
      <c r="HB44" s="1758">
        <v>0</v>
      </c>
      <c r="HC44" s="1758">
        <v>0</v>
      </c>
      <c r="HD44" s="1758">
        <v>0</v>
      </c>
      <c r="HE44" s="1758">
        <v>0</v>
      </c>
      <c r="HF44" s="1758">
        <v>0</v>
      </c>
      <c r="HG44" s="1758">
        <v>0</v>
      </c>
      <c r="HH44" s="1757">
        <v>0</v>
      </c>
      <c r="HI44" s="1757">
        <v>0</v>
      </c>
      <c r="HJ44" s="1757">
        <v>0</v>
      </c>
      <c r="HK44" s="1757">
        <v>0</v>
      </c>
      <c r="HL44" s="1757">
        <v>0</v>
      </c>
      <c r="HM44" s="1757">
        <v>0</v>
      </c>
      <c r="HN44" s="1757">
        <v>0</v>
      </c>
      <c r="HO44" s="1757">
        <v>0</v>
      </c>
      <c r="HP44" s="1757">
        <v>0</v>
      </c>
      <c r="HQ44" s="1757">
        <v>0</v>
      </c>
      <c r="HR44" s="1757">
        <v>0</v>
      </c>
      <c r="HS44" s="1757">
        <v>0</v>
      </c>
      <c r="HT44" s="1757">
        <v>0</v>
      </c>
      <c r="HU44" s="1757">
        <v>0</v>
      </c>
      <c r="HV44" s="1757">
        <v>0</v>
      </c>
      <c r="HW44" s="1757">
        <v>0</v>
      </c>
      <c r="HX44" s="1757">
        <v>0</v>
      </c>
      <c r="HY44" s="1757">
        <v>0</v>
      </c>
      <c r="HZ44" s="1757">
        <v>0</v>
      </c>
      <c r="IA44" s="1757">
        <v>0</v>
      </c>
      <c r="IB44" s="1757">
        <v>0</v>
      </c>
      <c r="IC44" s="1757">
        <v>0</v>
      </c>
      <c r="ID44" s="1757">
        <v>0</v>
      </c>
      <c r="IE44" s="1757">
        <v>0</v>
      </c>
      <c r="IF44" s="1757">
        <v>0</v>
      </c>
      <c r="IG44" s="1757">
        <v>0</v>
      </c>
      <c r="IH44" s="1757">
        <v>0</v>
      </c>
      <c r="II44" s="1757">
        <v>0</v>
      </c>
      <c r="IJ44" s="1757">
        <v>0</v>
      </c>
      <c r="IK44" s="1757">
        <v>0</v>
      </c>
      <c r="IL44" s="1757">
        <v>0</v>
      </c>
      <c r="IM44" s="1757">
        <v>0</v>
      </c>
      <c r="IN44" s="1757">
        <v>0</v>
      </c>
      <c r="IO44" s="1757">
        <v>0</v>
      </c>
      <c r="IP44" s="1757">
        <v>0</v>
      </c>
      <c r="IQ44" s="1757">
        <v>0</v>
      </c>
      <c r="IR44" s="1757">
        <v>0</v>
      </c>
      <c r="IS44" s="1757">
        <v>0</v>
      </c>
      <c r="IT44" s="1757">
        <v>0</v>
      </c>
      <c r="IU44" s="1757">
        <v>0</v>
      </c>
      <c r="IV44" s="1757">
        <v>0</v>
      </c>
      <c r="IW44" s="1757">
        <v>0</v>
      </c>
      <c r="IX44" s="1757">
        <v>0</v>
      </c>
      <c r="IY44" s="1757">
        <v>0</v>
      </c>
      <c r="IZ44" s="1757">
        <v>0</v>
      </c>
      <c r="JA44" s="1757">
        <v>0</v>
      </c>
      <c r="JB44" s="1757">
        <v>0</v>
      </c>
      <c r="JC44" s="1757">
        <v>0</v>
      </c>
      <c r="JD44" s="1757">
        <v>0</v>
      </c>
      <c r="JE44" s="1757">
        <v>0</v>
      </c>
      <c r="JF44" s="1757">
        <v>0</v>
      </c>
      <c r="JG44" s="1757">
        <v>0</v>
      </c>
      <c r="JH44" s="1757">
        <v>0</v>
      </c>
      <c r="JI44" s="1757">
        <v>0</v>
      </c>
      <c r="JJ44" s="1757">
        <v>0</v>
      </c>
      <c r="JK44" s="1757">
        <v>0</v>
      </c>
      <c r="JL44" s="1757">
        <v>0</v>
      </c>
      <c r="JM44" s="1757">
        <v>0</v>
      </c>
      <c r="JN44" s="1757">
        <v>0</v>
      </c>
      <c r="JO44" s="1757">
        <v>0</v>
      </c>
      <c r="JP44" s="1757">
        <v>0</v>
      </c>
      <c r="JQ44" s="1757">
        <v>0</v>
      </c>
      <c r="JR44" s="1757">
        <v>0</v>
      </c>
      <c r="JS44" s="1757">
        <v>0</v>
      </c>
      <c r="JT44" s="1757">
        <v>0</v>
      </c>
      <c r="JU44" s="1757">
        <v>0</v>
      </c>
      <c r="JV44" s="1757">
        <v>0</v>
      </c>
      <c r="JW44" s="1757">
        <v>0</v>
      </c>
      <c r="JX44" s="1757">
        <v>0</v>
      </c>
      <c r="JY44" s="1757">
        <v>0</v>
      </c>
      <c r="JZ44" s="1757">
        <v>0</v>
      </c>
      <c r="KA44" s="1757">
        <v>0</v>
      </c>
      <c r="KB44" s="1757">
        <v>0</v>
      </c>
      <c r="KC44" s="1757">
        <v>0</v>
      </c>
      <c r="KD44" s="1757">
        <v>0</v>
      </c>
      <c r="KE44" s="1757">
        <v>0</v>
      </c>
      <c r="KF44" s="1757">
        <v>0</v>
      </c>
      <c r="KG44" s="1757">
        <v>0</v>
      </c>
      <c r="KH44" s="1757">
        <v>0</v>
      </c>
      <c r="KI44" s="1757">
        <v>0</v>
      </c>
      <c r="KJ44" s="1757">
        <v>0</v>
      </c>
      <c r="KK44" s="1757">
        <v>0</v>
      </c>
      <c r="KL44" s="1757">
        <v>0</v>
      </c>
      <c r="KM44" s="1757">
        <v>0</v>
      </c>
      <c r="KN44" s="1757">
        <v>0</v>
      </c>
      <c r="KO44" s="1757">
        <v>0</v>
      </c>
      <c r="KP44" s="1757">
        <v>0</v>
      </c>
      <c r="KQ44" s="1338">
        <v>0</v>
      </c>
      <c r="KR44" s="1338">
        <v>0</v>
      </c>
      <c r="KS44" s="1763">
        <v>0</v>
      </c>
      <c r="KT44" s="1763">
        <v>0</v>
      </c>
      <c r="KU44" s="1763">
        <v>0</v>
      </c>
      <c r="KV44" s="1763">
        <v>0</v>
      </c>
      <c r="KW44" s="1763">
        <v>0</v>
      </c>
      <c r="KX44" s="1763">
        <v>0</v>
      </c>
      <c r="KY44" s="1763">
        <v>0</v>
      </c>
      <c r="KZ44" s="1763">
        <v>0</v>
      </c>
      <c r="LA44" s="1763">
        <v>0</v>
      </c>
      <c r="LB44" s="1763">
        <v>0</v>
      </c>
      <c r="LC44" s="1763">
        <v>0</v>
      </c>
      <c r="LD44" s="1763">
        <v>0</v>
      </c>
      <c r="LE44" s="1763">
        <v>0</v>
      </c>
      <c r="LF44" s="1763">
        <v>0</v>
      </c>
      <c r="LG44" s="1763">
        <v>0</v>
      </c>
      <c r="LH44" s="1763">
        <v>0</v>
      </c>
      <c r="LI44" s="1763">
        <v>0</v>
      </c>
      <c r="LJ44" s="1763">
        <v>0</v>
      </c>
      <c r="LK44" s="1763">
        <v>0</v>
      </c>
      <c r="LL44" s="1763">
        <v>0</v>
      </c>
      <c r="LM44" s="1763">
        <v>0</v>
      </c>
      <c r="LN44" s="1763">
        <v>0</v>
      </c>
      <c r="LO44" s="1763">
        <v>0</v>
      </c>
      <c r="LP44" s="1763">
        <v>0</v>
      </c>
      <c r="LQ44" s="1763">
        <v>0</v>
      </c>
      <c r="LR44" s="1338">
        <v>0</v>
      </c>
      <c r="LS44" s="1763">
        <v>0</v>
      </c>
      <c r="LT44" s="1763">
        <v>0</v>
      </c>
      <c r="LU44" s="1763">
        <v>0</v>
      </c>
      <c r="LV44" s="1763">
        <v>0</v>
      </c>
      <c r="LW44" s="1763">
        <v>0</v>
      </c>
      <c r="LX44" s="1763">
        <v>0</v>
      </c>
      <c r="LY44" s="421">
        <v>0</v>
      </c>
      <c r="LZ44" s="421">
        <v>0</v>
      </c>
      <c r="MA44" s="421">
        <v>0</v>
      </c>
      <c r="MB44" s="421">
        <v>0</v>
      </c>
      <c r="MC44" s="421">
        <v>0</v>
      </c>
      <c r="MD44" s="421">
        <v>0</v>
      </c>
      <c r="ME44" s="421">
        <v>0</v>
      </c>
      <c r="MF44" s="421">
        <v>0</v>
      </c>
      <c r="MG44" s="421">
        <v>0</v>
      </c>
      <c r="MH44" s="421">
        <v>0</v>
      </c>
      <c r="MI44" s="421">
        <v>0</v>
      </c>
      <c r="MJ44" s="421">
        <v>0</v>
      </c>
      <c r="MK44" s="421">
        <v>0</v>
      </c>
      <c r="ML44" s="421">
        <v>0</v>
      </c>
      <c r="MM44" s="421">
        <v>0</v>
      </c>
      <c r="MN44" s="421">
        <v>0</v>
      </c>
      <c r="MO44" s="421">
        <v>0</v>
      </c>
      <c r="MP44" s="421">
        <v>0</v>
      </c>
      <c r="MQ44" s="421">
        <v>0</v>
      </c>
      <c r="MR44" s="1763">
        <v>0</v>
      </c>
      <c r="MS44" s="1763">
        <v>0</v>
      </c>
      <c r="MT44" s="1763">
        <v>0</v>
      </c>
      <c r="MU44" s="1763">
        <v>0</v>
      </c>
      <c r="MV44" s="1763">
        <v>0</v>
      </c>
      <c r="MW44" s="1763">
        <v>0</v>
      </c>
      <c r="MX44" s="421">
        <v>0</v>
      </c>
      <c r="MY44" s="421">
        <v>0</v>
      </c>
      <c r="MZ44" s="421">
        <v>0</v>
      </c>
      <c r="NA44" s="421">
        <v>0</v>
      </c>
      <c r="NB44" s="421">
        <v>0</v>
      </c>
      <c r="NC44" s="421">
        <v>0</v>
      </c>
      <c r="ND44" s="421">
        <v>0</v>
      </c>
      <c r="NE44" s="421">
        <v>0</v>
      </c>
      <c r="NF44" s="421">
        <v>0</v>
      </c>
      <c r="NG44" s="421">
        <v>0</v>
      </c>
      <c r="NH44" s="421">
        <v>0</v>
      </c>
      <c r="NI44" s="421">
        <v>0</v>
      </c>
      <c r="NJ44" s="421">
        <v>0</v>
      </c>
      <c r="NK44" s="421">
        <v>0</v>
      </c>
      <c r="NL44" s="421">
        <v>0</v>
      </c>
      <c r="NM44" s="421">
        <v>0</v>
      </c>
      <c r="NN44" s="421">
        <v>0</v>
      </c>
      <c r="NO44" s="421">
        <v>0</v>
      </c>
      <c r="NP44" s="421">
        <v>0</v>
      </c>
      <c r="NQ44" s="1763">
        <v>0</v>
      </c>
      <c r="NR44" s="1763">
        <v>0</v>
      </c>
      <c r="NS44" s="1763">
        <v>0</v>
      </c>
      <c r="NT44" s="1763">
        <v>0</v>
      </c>
      <c r="NU44" s="1763">
        <v>0</v>
      </c>
      <c r="NV44" s="421">
        <v>0</v>
      </c>
      <c r="NW44" s="421">
        <v>0</v>
      </c>
      <c r="NX44" s="421">
        <v>0</v>
      </c>
      <c r="NY44" s="421">
        <v>0</v>
      </c>
      <c r="NZ44" s="421">
        <v>0</v>
      </c>
      <c r="OA44" s="421">
        <v>0</v>
      </c>
      <c r="OB44" s="421">
        <v>0</v>
      </c>
      <c r="OC44" s="421">
        <v>0</v>
      </c>
      <c r="OD44" s="421">
        <v>0</v>
      </c>
      <c r="OE44" s="421">
        <v>0</v>
      </c>
      <c r="OF44" s="421">
        <v>0</v>
      </c>
      <c r="OG44" s="421">
        <v>0</v>
      </c>
      <c r="OH44" s="421">
        <v>0</v>
      </c>
      <c r="OI44" s="421">
        <v>0</v>
      </c>
      <c r="OJ44" s="421">
        <v>0</v>
      </c>
      <c r="OK44" s="421">
        <v>0</v>
      </c>
      <c r="OL44" s="421">
        <v>0</v>
      </c>
      <c r="OM44" s="421">
        <v>0</v>
      </c>
      <c r="ON44" s="421">
        <v>0</v>
      </c>
      <c r="OO44" s="1763">
        <v>0</v>
      </c>
      <c r="OP44" s="1763">
        <v>0</v>
      </c>
      <c r="OQ44" s="1763">
        <v>0</v>
      </c>
      <c r="OR44" s="1763">
        <v>0</v>
      </c>
      <c r="OS44" s="421">
        <v>0</v>
      </c>
      <c r="OT44" s="421">
        <v>0</v>
      </c>
      <c r="OU44" s="421">
        <v>0</v>
      </c>
      <c r="OV44" s="421">
        <v>0</v>
      </c>
      <c r="OW44" s="421">
        <v>0</v>
      </c>
      <c r="OX44" s="421">
        <v>0</v>
      </c>
      <c r="OY44" s="421">
        <v>0</v>
      </c>
      <c r="OZ44" s="421">
        <v>0</v>
      </c>
      <c r="PA44" s="421">
        <v>0</v>
      </c>
      <c r="PB44" s="421">
        <v>0</v>
      </c>
      <c r="PC44" s="421">
        <v>0</v>
      </c>
      <c r="PD44" s="421">
        <v>0</v>
      </c>
      <c r="PE44" s="421">
        <v>0</v>
      </c>
      <c r="PF44" s="421">
        <v>0</v>
      </c>
      <c r="PG44" s="421">
        <v>0</v>
      </c>
      <c r="PH44" s="421">
        <v>0</v>
      </c>
      <c r="PI44" s="421">
        <v>0</v>
      </c>
      <c r="PJ44" s="421">
        <v>0</v>
      </c>
      <c r="PK44" s="421">
        <v>0</v>
      </c>
      <c r="PL44" s="1763">
        <v>0</v>
      </c>
      <c r="PM44" s="1763">
        <v>0</v>
      </c>
      <c r="PN44" s="1763">
        <v>0</v>
      </c>
      <c r="PO44" s="421">
        <v>0</v>
      </c>
      <c r="PP44" s="421">
        <v>0</v>
      </c>
      <c r="PQ44" s="421">
        <v>0</v>
      </c>
      <c r="PR44" s="421">
        <v>0</v>
      </c>
      <c r="PS44" s="421">
        <v>0</v>
      </c>
      <c r="PT44" s="421">
        <v>0</v>
      </c>
      <c r="PU44" s="421">
        <v>0</v>
      </c>
      <c r="PV44" s="421">
        <v>0</v>
      </c>
      <c r="PW44" s="421">
        <v>0</v>
      </c>
      <c r="PX44" s="421">
        <v>0</v>
      </c>
      <c r="PY44" s="421">
        <v>0</v>
      </c>
      <c r="PZ44" s="421">
        <v>0</v>
      </c>
      <c r="QA44" s="421">
        <v>0</v>
      </c>
      <c r="QB44" s="421">
        <v>0</v>
      </c>
      <c r="QC44" s="421">
        <v>0</v>
      </c>
      <c r="QD44" s="421">
        <v>0</v>
      </c>
      <c r="QE44" s="421">
        <v>0</v>
      </c>
      <c r="QF44" s="421">
        <v>0</v>
      </c>
      <c r="QG44" s="421">
        <v>0</v>
      </c>
      <c r="QH44" s="1763">
        <v>0</v>
      </c>
      <c r="QI44" s="1763">
        <v>0</v>
      </c>
      <c r="QJ44" s="421">
        <v>0</v>
      </c>
      <c r="QK44" s="421">
        <v>0</v>
      </c>
      <c r="QL44" s="421">
        <v>0</v>
      </c>
      <c r="QM44" s="421">
        <v>0</v>
      </c>
      <c r="QN44" s="421">
        <v>0</v>
      </c>
      <c r="QO44" s="421">
        <v>0</v>
      </c>
      <c r="QP44" s="421">
        <v>0</v>
      </c>
      <c r="QQ44" s="421">
        <v>0</v>
      </c>
      <c r="QR44" s="421">
        <v>0</v>
      </c>
      <c r="QS44" s="421">
        <v>0</v>
      </c>
      <c r="QT44" s="421">
        <v>0</v>
      </c>
      <c r="QU44" s="421">
        <v>0</v>
      </c>
      <c r="QV44" s="421">
        <v>0</v>
      </c>
      <c r="QW44" s="421">
        <v>0</v>
      </c>
      <c r="QX44" s="421">
        <v>0</v>
      </c>
      <c r="QY44" s="421">
        <v>0</v>
      </c>
      <c r="QZ44" s="421">
        <v>0</v>
      </c>
      <c r="RA44" s="421">
        <v>0</v>
      </c>
      <c r="RB44" s="421">
        <v>0</v>
      </c>
      <c r="RC44" s="1763">
        <v>0</v>
      </c>
      <c r="RD44" s="421">
        <v>0</v>
      </c>
      <c r="RE44" s="421">
        <v>0</v>
      </c>
      <c r="RF44" s="421">
        <v>0</v>
      </c>
      <c r="RG44" s="421">
        <v>0</v>
      </c>
      <c r="RH44" s="421">
        <v>0</v>
      </c>
      <c r="RI44" s="421">
        <v>0</v>
      </c>
      <c r="RJ44" s="421">
        <v>0</v>
      </c>
      <c r="RK44" s="421">
        <v>0</v>
      </c>
      <c r="RL44" s="421">
        <v>0</v>
      </c>
      <c r="RM44" s="421">
        <v>0</v>
      </c>
      <c r="RN44" s="421">
        <v>0</v>
      </c>
      <c r="RO44" s="421">
        <v>0</v>
      </c>
      <c r="RP44" s="421">
        <v>0</v>
      </c>
      <c r="RQ44" s="421">
        <v>0</v>
      </c>
      <c r="RR44" s="421">
        <v>0</v>
      </c>
      <c r="RS44" s="421">
        <v>0</v>
      </c>
      <c r="RT44" s="421">
        <v>0</v>
      </c>
      <c r="RU44" s="421">
        <v>0</v>
      </c>
      <c r="RV44" s="421">
        <v>0</v>
      </c>
    </row>
    <row r="45" spans="4:490">
      <c r="D45" s="135" t="s">
        <v>201</v>
      </c>
      <c r="E45" s="1264">
        <f>+SUMIFS(IMN_gestore!T:T,IMN_gestore!$G:$G,"Env")</f>
        <v>0</v>
      </c>
      <c r="F45" s="1264">
        <f>+SUMIFS(IMN_gestore!AE:AE,IMN_gestore!$G:$G,"Env")</f>
        <v>0</v>
      </c>
      <c r="G45" s="1264">
        <f>+SUMIFS(IMN_gestore!AP:AP,IMN_gestore!$G:$G,"Env")</f>
        <v>0</v>
      </c>
      <c r="H45" s="1264">
        <f>+SUMIFS(IMN_gestore!BA:BA,IMN_gestore!$G:$G,"Env")</f>
        <v>0</v>
      </c>
      <c r="I45" s="1264">
        <f>+SUMIFS(IMN_gestore!$BL:$BL,IMN_gestore!$G:$G,"Env")</f>
        <v>0</v>
      </c>
      <c r="J45" s="1264">
        <f>+SUMIFS(IMN_gestore!$BW:$BW,IMN_gestore!$G:$G,"Env")</f>
        <v>0</v>
      </c>
      <c r="M45" s="1756">
        <v>18</v>
      </c>
      <c r="N45" s="1759">
        <v>0</v>
      </c>
      <c r="O45" s="1759">
        <v>0</v>
      </c>
      <c r="P45" s="1759">
        <v>0</v>
      </c>
      <c r="Q45" s="1759">
        <v>0</v>
      </c>
      <c r="R45" s="1759">
        <v>0</v>
      </c>
      <c r="S45" s="1759">
        <v>0</v>
      </c>
      <c r="T45" s="1759">
        <v>0</v>
      </c>
      <c r="U45" s="1759">
        <v>0</v>
      </c>
      <c r="V45" s="1759">
        <v>0</v>
      </c>
      <c r="W45" s="1759">
        <v>0</v>
      </c>
      <c r="X45" s="1759">
        <v>0</v>
      </c>
      <c r="Y45" s="1759">
        <v>0</v>
      </c>
      <c r="Z45" s="1759">
        <v>0</v>
      </c>
      <c r="AA45" s="1759">
        <v>0</v>
      </c>
      <c r="AB45" s="1759">
        <v>0</v>
      </c>
      <c r="AC45" s="1759">
        <v>0</v>
      </c>
      <c r="AD45" s="1759">
        <v>0</v>
      </c>
      <c r="AE45" s="1759">
        <v>0</v>
      </c>
      <c r="AF45" s="1759">
        <v>0</v>
      </c>
      <c r="AG45" s="1759">
        <v>0</v>
      </c>
      <c r="AH45" s="1759">
        <v>0</v>
      </c>
      <c r="AI45" s="1759">
        <v>0</v>
      </c>
      <c r="AJ45" s="1759">
        <v>0</v>
      </c>
      <c r="AK45" s="1759">
        <v>0</v>
      </c>
      <c r="AL45" s="1759">
        <v>0</v>
      </c>
      <c r="AM45" s="1759">
        <v>0</v>
      </c>
      <c r="AN45" s="1759">
        <v>0</v>
      </c>
      <c r="AO45" s="1759">
        <v>0</v>
      </c>
      <c r="AP45" s="1759">
        <v>0</v>
      </c>
      <c r="AQ45" s="1759">
        <v>0</v>
      </c>
      <c r="AR45" s="1759">
        <v>0</v>
      </c>
      <c r="AS45" s="1759">
        <v>0</v>
      </c>
      <c r="AT45" s="1759">
        <v>0</v>
      </c>
      <c r="AU45" s="1759">
        <v>0</v>
      </c>
      <c r="AV45" s="1759">
        <v>0</v>
      </c>
      <c r="AW45" s="1759">
        <v>0</v>
      </c>
      <c r="AX45" s="1759">
        <v>0</v>
      </c>
      <c r="AY45" s="1759">
        <v>0</v>
      </c>
      <c r="AZ45" s="1759">
        <v>0</v>
      </c>
      <c r="BA45" s="1759">
        <v>0</v>
      </c>
      <c r="BB45" s="1759">
        <v>0</v>
      </c>
      <c r="BC45" s="1759">
        <v>0</v>
      </c>
      <c r="BD45" s="1759">
        <v>0</v>
      </c>
      <c r="BE45" s="1759">
        <v>0</v>
      </c>
      <c r="BF45" s="1759">
        <v>0</v>
      </c>
      <c r="BG45" s="1759">
        <v>0</v>
      </c>
      <c r="BH45" s="1759">
        <v>0</v>
      </c>
      <c r="BI45" s="1759">
        <v>0</v>
      </c>
      <c r="BJ45" s="1759">
        <v>0</v>
      </c>
      <c r="BK45" s="1759">
        <v>0</v>
      </c>
      <c r="BL45" s="1759">
        <v>0</v>
      </c>
      <c r="BM45" s="1759">
        <v>0</v>
      </c>
      <c r="BN45" s="1759">
        <v>0</v>
      </c>
      <c r="BO45" s="1759">
        <v>0</v>
      </c>
      <c r="BP45" s="1759">
        <v>0</v>
      </c>
      <c r="BQ45" s="1759">
        <v>0</v>
      </c>
      <c r="BR45" s="1759">
        <v>0</v>
      </c>
      <c r="BS45" s="1759">
        <v>0</v>
      </c>
      <c r="BT45" s="1759">
        <v>0</v>
      </c>
      <c r="BU45" s="1759">
        <v>0</v>
      </c>
      <c r="BV45" s="1759">
        <v>0</v>
      </c>
      <c r="BW45" s="1759">
        <v>0</v>
      </c>
      <c r="BX45" s="1759">
        <v>0</v>
      </c>
      <c r="BY45" s="1759">
        <v>0</v>
      </c>
      <c r="BZ45" s="1759">
        <v>0</v>
      </c>
      <c r="CA45" s="1759">
        <v>0</v>
      </c>
      <c r="CB45" s="1759">
        <v>0</v>
      </c>
      <c r="CC45" s="1759">
        <v>0</v>
      </c>
      <c r="CD45" s="1759">
        <v>0</v>
      </c>
      <c r="CE45" s="1759">
        <v>0</v>
      </c>
      <c r="CF45" s="1759">
        <v>0</v>
      </c>
      <c r="CG45" s="1759">
        <v>0</v>
      </c>
      <c r="CH45" s="1759">
        <v>0</v>
      </c>
      <c r="CI45" s="1759">
        <v>0</v>
      </c>
      <c r="CJ45" s="1759">
        <v>0</v>
      </c>
      <c r="CK45" s="1759">
        <v>0</v>
      </c>
      <c r="CL45" s="1759">
        <v>0</v>
      </c>
      <c r="CM45" s="1759">
        <v>0</v>
      </c>
      <c r="CN45" s="1759">
        <v>0</v>
      </c>
      <c r="CO45" s="1759">
        <v>0</v>
      </c>
      <c r="CP45" s="1759">
        <v>0</v>
      </c>
      <c r="CQ45" s="1759">
        <v>0</v>
      </c>
      <c r="CR45" s="1759">
        <v>0</v>
      </c>
      <c r="CS45" s="1759">
        <v>0</v>
      </c>
      <c r="CT45" s="1759">
        <v>0</v>
      </c>
      <c r="CU45" s="1759">
        <v>0</v>
      </c>
      <c r="CV45" s="1759">
        <v>0</v>
      </c>
      <c r="CW45" s="1759">
        <v>0</v>
      </c>
      <c r="CX45" s="1759">
        <v>0</v>
      </c>
      <c r="CY45" s="1759">
        <v>0</v>
      </c>
      <c r="CZ45" s="1759">
        <v>0</v>
      </c>
      <c r="DA45" s="1759">
        <v>0</v>
      </c>
      <c r="DB45" s="1759">
        <v>0</v>
      </c>
      <c r="DC45" s="1759">
        <v>0</v>
      </c>
      <c r="DD45" s="1759">
        <v>0</v>
      </c>
      <c r="DE45" s="1759">
        <v>0</v>
      </c>
      <c r="DF45" s="1759">
        <v>0</v>
      </c>
      <c r="DG45" s="1759">
        <v>0</v>
      </c>
      <c r="DH45" s="1759">
        <v>0</v>
      </c>
      <c r="DI45" s="1759">
        <v>0</v>
      </c>
      <c r="DJ45" s="1759">
        <v>0</v>
      </c>
      <c r="DK45" s="1759">
        <v>0</v>
      </c>
      <c r="DL45" s="1759">
        <v>0</v>
      </c>
      <c r="DM45" s="1759">
        <v>0</v>
      </c>
      <c r="DN45" s="1759">
        <v>0</v>
      </c>
      <c r="DO45" s="1759">
        <v>0</v>
      </c>
      <c r="DP45" s="1759">
        <v>0</v>
      </c>
      <c r="DQ45" s="1759">
        <v>0</v>
      </c>
      <c r="DR45" s="1759">
        <v>0</v>
      </c>
      <c r="DS45" s="1759">
        <v>0</v>
      </c>
      <c r="DT45" s="1759">
        <v>0</v>
      </c>
      <c r="DU45" s="1759">
        <v>0</v>
      </c>
      <c r="DV45" s="1759">
        <v>0</v>
      </c>
      <c r="DW45" s="1759">
        <v>0</v>
      </c>
      <c r="DX45" s="1759">
        <v>0</v>
      </c>
      <c r="DY45" s="1759">
        <v>0</v>
      </c>
      <c r="DZ45" s="1759">
        <v>0</v>
      </c>
      <c r="EA45" s="1759">
        <v>0</v>
      </c>
      <c r="EB45" s="1759">
        <v>0</v>
      </c>
      <c r="EC45" s="1759">
        <v>0</v>
      </c>
      <c r="ED45" s="1759">
        <v>0</v>
      </c>
      <c r="EE45" s="1759">
        <v>0</v>
      </c>
      <c r="EF45" s="1759">
        <v>0</v>
      </c>
      <c r="EG45" s="1759">
        <v>0</v>
      </c>
      <c r="EH45" s="1759">
        <v>0</v>
      </c>
      <c r="EI45" s="1759">
        <v>0</v>
      </c>
      <c r="EJ45" s="1759">
        <v>0</v>
      </c>
      <c r="EK45" s="1759">
        <v>0</v>
      </c>
      <c r="EL45" s="1759">
        <v>0</v>
      </c>
      <c r="EM45" s="1759">
        <v>0</v>
      </c>
      <c r="EN45" s="1759">
        <v>0</v>
      </c>
      <c r="EO45" s="1759">
        <v>0</v>
      </c>
      <c r="EP45" s="1759">
        <v>0</v>
      </c>
      <c r="EQ45" s="1759">
        <v>0</v>
      </c>
      <c r="ER45" s="1759">
        <v>0</v>
      </c>
      <c r="ES45" s="1759">
        <v>0</v>
      </c>
      <c r="ET45" s="1759">
        <v>0</v>
      </c>
      <c r="EU45" s="1759">
        <v>0</v>
      </c>
      <c r="EV45" s="1759">
        <v>0</v>
      </c>
      <c r="EW45" s="1759">
        <v>0</v>
      </c>
      <c r="EX45" s="1759">
        <v>0</v>
      </c>
      <c r="EY45" s="1759">
        <v>0</v>
      </c>
      <c r="EZ45" s="1759">
        <v>0</v>
      </c>
      <c r="FA45" s="1759">
        <v>0</v>
      </c>
      <c r="FB45" s="1759">
        <v>0</v>
      </c>
      <c r="FC45" s="1759">
        <v>0</v>
      </c>
      <c r="FD45" s="1759">
        <v>0</v>
      </c>
      <c r="FE45" s="1759">
        <v>0</v>
      </c>
      <c r="FF45" s="1759">
        <v>0</v>
      </c>
      <c r="FG45" s="1759">
        <v>0</v>
      </c>
      <c r="FH45" s="1759">
        <v>0</v>
      </c>
      <c r="FI45" s="1759">
        <v>0</v>
      </c>
      <c r="FJ45" s="1759">
        <v>0</v>
      </c>
      <c r="FK45" s="1759">
        <v>0</v>
      </c>
      <c r="FL45" s="1759">
        <v>0</v>
      </c>
      <c r="FM45" s="1759">
        <v>0</v>
      </c>
      <c r="FN45" s="1759">
        <v>0</v>
      </c>
      <c r="FO45" s="1759">
        <v>0</v>
      </c>
      <c r="FP45" s="1759">
        <v>0</v>
      </c>
      <c r="FQ45" s="1759">
        <v>0</v>
      </c>
      <c r="FR45" s="1759">
        <v>0</v>
      </c>
      <c r="FS45" s="1759">
        <v>0</v>
      </c>
      <c r="FT45" s="1759">
        <v>0</v>
      </c>
      <c r="FU45" s="1759">
        <v>0</v>
      </c>
      <c r="FV45" s="1759">
        <v>0</v>
      </c>
      <c r="FW45" s="1759">
        <v>0</v>
      </c>
      <c r="FX45" s="1759">
        <v>0</v>
      </c>
      <c r="FY45" s="1759">
        <v>0</v>
      </c>
      <c r="FZ45" s="1759">
        <v>0</v>
      </c>
      <c r="GA45" s="1759">
        <v>0</v>
      </c>
      <c r="GB45" s="1759">
        <v>0</v>
      </c>
      <c r="GC45" s="1759">
        <v>0</v>
      </c>
      <c r="GD45" s="1759">
        <v>0</v>
      </c>
      <c r="GE45" s="1759">
        <v>0</v>
      </c>
      <c r="GF45" s="1759">
        <v>0</v>
      </c>
      <c r="GG45" s="1759">
        <v>0</v>
      </c>
      <c r="GH45" s="1759">
        <v>0</v>
      </c>
      <c r="GI45" s="1759">
        <v>0</v>
      </c>
      <c r="GJ45" s="1759">
        <v>0</v>
      </c>
      <c r="GK45" s="1759">
        <v>0</v>
      </c>
      <c r="GL45" s="1759">
        <v>0</v>
      </c>
      <c r="GM45" s="1759">
        <v>0</v>
      </c>
      <c r="GN45" s="1759">
        <v>0</v>
      </c>
      <c r="GO45" s="1759">
        <v>0</v>
      </c>
      <c r="GP45" s="1759">
        <v>0</v>
      </c>
      <c r="GQ45" s="1759">
        <v>0</v>
      </c>
      <c r="GR45" s="1759">
        <v>0</v>
      </c>
      <c r="GS45" s="1759">
        <v>0</v>
      </c>
      <c r="GT45" s="1759">
        <v>0</v>
      </c>
      <c r="GU45" s="1759">
        <v>0</v>
      </c>
      <c r="GV45" s="1759">
        <v>0</v>
      </c>
      <c r="GW45" s="1759">
        <v>0</v>
      </c>
      <c r="GX45" s="1759">
        <v>0</v>
      </c>
      <c r="GY45" s="1759">
        <v>0</v>
      </c>
      <c r="GZ45" s="1759">
        <v>0</v>
      </c>
      <c r="HA45" s="1759">
        <v>0</v>
      </c>
      <c r="HB45" s="1759">
        <v>0</v>
      </c>
      <c r="HC45" s="1759">
        <v>0</v>
      </c>
      <c r="HD45" s="1759">
        <v>0</v>
      </c>
      <c r="HE45" s="1759">
        <v>0</v>
      </c>
      <c r="HF45" s="1759">
        <v>0</v>
      </c>
      <c r="HG45" s="1759">
        <v>0</v>
      </c>
      <c r="HH45" s="1759">
        <v>0</v>
      </c>
      <c r="HI45" s="1759">
        <v>0</v>
      </c>
      <c r="HJ45" s="1759">
        <v>0</v>
      </c>
      <c r="HK45" s="1759">
        <v>0</v>
      </c>
      <c r="HL45" s="1759">
        <v>0</v>
      </c>
      <c r="HM45" s="1759">
        <v>0</v>
      </c>
      <c r="HN45" s="1759">
        <v>0</v>
      </c>
      <c r="HO45" s="1759">
        <v>0</v>
      </c>
      <c r="HP45" s="1759">
        <v>0</v>
      </c>
      <c r="HQ45" s="1759">
        <v>0</v>
      </c>
      <c r="HR45" s="1759">
        <v>0</v>
      </c>
      <c r="HS45" s="1759">
        <v>0</v>
      </c>
      <c r="HT45" s="1759">
        <v>0</v>
      </c>
      <c r="HU45" s="1759">
        <v>0</v>
      </c>
      <c r="HV45" s="1759">
        <v>0</v>
      </c>
      <c r="HW45" s="1759">
        <v>0</v>
      </c>
      <c r="HX45" s="1759">
        <v>0</v>
      </c>
      <c r="HY45" s="1759">
        <v>0</v>
      </c>
      <c r="HZ45" s="1759">
        <v>0</v>
      </c>
      <c r="IA45" s="1759">
        <v>0</v>
      </c>
      <c r="IB45" s="1759">
        <v>0</v>
      </c>
      <c r="IC45" s="1759">
        <v>0</v>
      </c>
      <c r="ID45" s="1759">
        <v>0</v>
      </c>
      <c r="IE45" s="1759">
        <v>0</v>
      </c>
      <c r="IF45" s="1759">
        <v>0</v>
      </c>
      <c r="IG45" s="1759">
        <v>0</v>
      </c>
      <c r="IH45" s="1759">
        <v>0</v>
      </c>
      <c r="II45" s="1759">
        <v>0</v>
      </c>
      <c r="IJ45" s="1759">
        <v>0</v>
      </c>
      <c r="IK45" s="1759">
        <v>0</v>
      </c>
      <c r="IL45" s="1759">
        <v>0</v>
      </c>
      <c r="IM45" s="1759">
        <v>0</v>
      </c>
      <c r="IN45" s="1759">
        <v>0</v>
      </c>
      <c r="IO45" s="1759">
        <v>0</v>
      </c>
      <c r="IP45" s="1759">
        <v>0</v>
      </c>
      <c r="IQ45" s="1759">
        <v>0</v>
      </c>
      <c r="IR45" s="1759">
        <v>0</v>
      </c>
      <c r="IS45" s="1759">
        <v>0</v>
      </c>
      <c r="IT45" s="1759">
        <v>0</v>
      </c>
      <c r="IU45" s="1759">
        <v>0</v>
      </c>
      <c r="IV45" s="1759">
        <v>0</v>
      </c>
      <c r="IW45" s="1759">
        <v>0</v>
      </c>
      <c r="IX45" s="1759">
        <v>0</v>
      </c>
      <c r="IY45" s="1759">
        <v>0</v>
      </c>
      <c r="IZ45" s="1759">
        <v>0</v>
      </c>
      <c r="JA45" s="1759">
        <v>0</v>
      </c>
      <c r="JB45" s="1759">
        <v>0</v>
      </c>
      <c r="JC45" s="1759">
        <v>0</v>
      </c>
      <c r="JD45" s="1759">
        <v>0</v>
      </c>
      <c r="JE45" s="1759">
        <v>0</v>
      </c>
      <c r="JF45" s="1759">
        <v>0</v>
      </c>
      <c r="JG45" s="1759">
        <v>0</v>
      </c>
      <c r="JH45" s="1759">
        <v>0</v>
      </c>
      <c r="JI45" s="1759">
        <v>0</v>
      </c>
      <c r="JJ45" s="1759">
        <v>0</v>
      </c>
      <c r="JK45" s="1759">
        <v>0</v>
      </c>
      <c r="JL45" s="1759">
        <v>0</v>
      </c>
      <c r="JM45" s="1759">
        <v>0</v>
      </c>
      <c r="JN45" s="1759">
        <v>0</v>
      </c>
      <c r="JO45" s="1759">
        <v>0</v>
      </c>
      <c r="JP45" s="1759">
        <v>0</v>
      </c>
      <c r="JQ45" s="1759">
        <v>0</v>
      </c>
      <c r="JR45" s="1759">
        <v>0</v>
      </c>
      <c r="JS45" s="1759">
        <v>0</v>
      </c>
      <c r="JT45" s="1759">
        <v>0</v>
      </c>
      <c r="JU45" s="1759">
        <v>0</v>
      </c>
      <c r="JV45" s="1759">
        <v>0</v>
      </c>
      <c r="JW45" s="1759">
        <v>0</v>
      </c>
      <c r="JX45" s="1759">
        <v>0</v>
      </c>
      <c r="JY45" s="1759">
        <v>0</v>
      </c>
      <c r="JZ45" s="1759">
        <v>0</v>
      </c>
      <c r="KA45" s="1759">
        <v>0</v>
      </c>
      <c r="KB45" s="1759">
        <v>0</v>
      </c>
      <c r="KC45" s="1759">
        <v>0</v>
      </c>
      <c r="KD45" s="1759">
        <v>0</v>
      </c>
      <c r="KE45" s="1759">
        <v>0</v>
      </c>
      <c r="KF45" s="1759">
        <v>0</v>
      </c>
      <c r="KG45" s="1759">
        <v>0</v>
      </c>
      <c r="KH45" s="1759">
        <v>0</v>
      </c>
      <c r="KI45" s="1759">
        <v>0</v>
      </c>
      <c r="KJ45" s="1759">
        <v>0</v>
      </c>
      <c r="KK45" s="1759">
        <v>0</v>
      </c>
      <c r="KL45" s="1759">
        <v>0</v>
      </c>
      <c r="KM45" s="1759">
        <v>0</v>
      </c>
      <c r="KN45" s="1759">
        <v>0</v>
      </c>
      <c r="KO45" s="1759">
        <v>0</v>
      </c>
      <c r="KP45" s="1759">
        <v>0</v>
      </c>
      <c r="KQ45" s="904">
        <f>+IFERROR(VLOOKUP(KQ$27&amp;"-"&amp;$M45&amp;"_new",Ammortamento_Finanziario!$H:$L,5,FALSE),VLOOKUP($M45,TT_Tabelle_Riferimento!$D$127:$H$164,5,FALSE))</f>
        <v>8</v>
      </c>
      <c r="KR45" s="904">
        <f>+IFERROR(VLOOKUP(KR$27&amp;"-"&amp;$M45&amp;"_new",Ammortamento_Finanziario!$H:$L,5,FALSE),VLOOKUP($M45,TT_Tabelle_Riferimento!$D$127:$H$164,5,FALSE))</f>
        <v>8</v>
      </c>
      <c r="KS45" s="1762">
        <f>+IFERROR(VLOOKUP(KS$27&amp;"-"&amp;$M45&amp;"_new",Ammortamento_Finanziario!$H:$L,5,FALSE),VLOOKUP($M45,TT_Tabelle_Riferimento!$D$127:$H$164,5,FALSE))</f>
        <v>8</v>
      </c>
      <c r="KT45" s="1762">
        <f>+IFERROR(VLOOKUP(KT$27&amp;"-"&amp;$M45&amp;"_new",Ammortamento_Finanziario!$H:$L,5,FALSE),VLOOKUP($M45,TT_Tabelle_Riferimento!$D$127:$H$164,5,FALSE))</f>
        <v>8</v>
      </c>
      <c r="KU45" s="1762">
        <f>+IFERROR(VLOOKUP(KU$27&amp;"-"&amp;$M45&amp;"_new",Ammortamento_Finanziario!$H:$L,5,FALSE),VLOOKUP($M45,TT_Tabelle_Riferimento!$D$127:$H$164,5,FALSE))</f>
        <v>8</v>
      </c>
      <c r="KV45" s="1762">
        <f>+IFERROR(VLOOKUP(KV$27&amp;"-"&amp;$M45&amp;"_new",Ammortamento_Finanziario!$H:$L,5,FALSE),VLOOKUP($M45,TT_Tabelle_Riferimento!$D$127:$H$164,5,FALSE))</f>
        <v>8</v>
      </c>
      <c r="KW45" s="1762">
        <f>+IFERROR(VLOOKUP(KW$27&amp;"-"&amp;$M45&amp;"_new",Ammortamento_Finanziario!$H:$L,5,FALSE),VLOOKUP($M45,TT_Tabelle_Riferimento!$D$127:$H$164,5,FALSE))</f>
        <v>8</v>
      </c>
      <c r="KX45" s="1762">
        <f>+IFERROR(VLOOKUP(KX$27&amp;"-"&amp;$M45&amp;"_new",Ammortamento_Finanziario!$H:$L,5,FALSE),VLOOKUP($M45,TT_Tabelle_Riferimento!$D$127:$H$164,5,FALSE))</f>
        <v>8</v>
      </c>
      <c r="KY45" s="904">
        <f>+IFERROR(VLOOKUP(KY$27&amp;"-"&amp;$M45&amp;"_new",Ammortamento_Finanziario!$H:$L,5,FALSE),VLOOKUP($M45,TT_Tabelle_Riferimento!$D$127:$H$164,5,FALSE))</f>
        <v>8</v>
      </c>
      <c r="KZ45" s="904">
        <f>+IFERROR(VLOOKUP(KZ$27&amp;"-"&amp;$M45&amp;"_new",Ammortamento_Finanziario!$H:$L,5,FALSE),VLOOKUP($M45,TT_Tabelle_Riferimento!$D$127:$H$164,5,FALSE))</f>
        <v>8</v>
      </c>
      <c r="LA45" s="904">
        <f>+IFERROR(VLOOKUP(LA$27&amp;"-"&amp;$M45&amp;"_new",Ammortamento_Finanziario!$H:$L,5,FALSE),VLOOKUP($M45,TT_Tabelle_Riferimento!$D$127:$H$164,5,FALSE))</f>
        <v>8</v>
      </c>
      <c r="LB45" s="904">
        <f>+IFERROR(VLOOKUP(LB$27&amp;"-"&amp;$M45&amp;"_new",Ammortamento_Finanziario!$H:$L,5,FALSE),VLOOKUP($M45,TT_Tabelle_Riferimento!$D$127:$H$164,5,FALSE))</f>
        <v>8</v>
      </c>
      <c r="LC45" s="904">
        <f>+IFERROR(VLOOKUP(LC$27&amp;"-"&amp;$M45&amp;"_new",Ammortamento_Finanziario!$H:$L,5,FALSE),VLOOKUP($M45,TT_Tabelle_Riferimento!$D$127:$H$164,5,FALSE))</f>
        <v>8</v>
      </c>
      <c r="LD45" s="904">
        <f>+IFERROR(VLOOKUP(LD$27&amp;"-"&amp;$M45&amp;"_new",Ammortamento_Finanziario!$H:$L,5,FALSE),VLOOKUP($M45,TT_Tabelle_Riferimento!$D$127:$H$164,5,FALSE))</f>
        <v>8</v>
      </c>
      <c r="LE45" s="904">
        <f>+IFERROR(VLOOKUP(LE$27&amp;"-"&amp;$M45&amp;"_new",Ammortamento_Finanziario!$H:$L,5,FALSE),VLOOKUP($M45,TT_Tabelle_Riferimento!$D$127:$H$164,5,FALSE))</f>
        <v>8</v>
      </c>
      <c r="LF45" s="904">
        <f>+IFERROR(VLOOKUP(LF$27&amp;"-"&amp;$M45&amp;"_new",Ammortamento_Finanziario!$H:$L,5,FALSE),VLOOKUP($M45,TT_Tabelle_Riferimento!$D$127:$H$164,5,FALSE))</f>
        <v>8</v>
      </c>
      <c r="LG45" s="904">
        <f>+IFERROR(VLOOKUP(LG$27&amp;"-"&amp;$M45&amp;"_new",Ammortamento_Finanziario!$H:$L,5,FALSE),VLOOKUP($M45,TT_Tabelle_Riferimento!$D$127:$H$164,5,FALSE))</f>
        <v>8</v>
      </c>
      <c r="LH45" s="904">
        <f>+IFERROR(VLOOKUP(LH$27&amp;"-"&amp;$M45&amp;"_new",Ammortamento_Finanziario!$H:$L,5,FALSE),VLOOKUP($M45,TT_Tabelle_Riferimento!$D$127:$H$164,5,FALSE))</f>
        <v>8</v>
      </c>
      <c r="LI45" s="904">
        <f>+IFERROR(VLOOKUP(LI$27&amp;"-"&amp;$M45&amp;"_new",Ammortamento_Finanziario!$H:$L,5,FALSE),VLOOKUP($M45,TT_Tabelle_Riferimento!$D$127:$H$164,5,FALSE))</f>
        <v>8</v>
      </c>
      <c r="LJ45" s="904">
        <f>+IFERROR(VLOOKUP(LJ$27&amp;"-"&amp;$M45&amp;"_new",Ammortamento_Finanziario!$H:$L,5,FALSE),VLOOKUP($M45,TT_Tabelle_Riferimento!$D$127:$H$164,5,FALSE))</f>
        <v>8</v>
      </c>
      <c r="LK45" s="904">
        <f>+IFERROR(VLOOKUP(LK$27&amp;"-"&amp;$M45&amp;"_new",Ammortamento_Finanziario!$H:$L,5,FALSE),VLOOKUP($M45,TT_Tabelle_Riferimento!$D$127:$H$164,5,FALSE))</f>
        <v>8</v>
      </c>
      <c r="LL45" s="904">
        <f>+IFERROR(VLOOKUP(LL$27&amp;"-"&amp;$M45&amp;"_new",Ammortamento_Finanziario!$H:$L,5,FALSE),VLOOKUP($M45,TT_Tabelle_Riferimento!$D$127:$H$164,5,FALSE))</f>
        <v>8</v>
      </c>
      <c r="LM45" s="904">
        <f>+IFERROR(VLOOKUP(LM$27&amp;"-"&amp;$M45&amp;"_new",Ammortamento_Finanziario!$H:$L,5,FALSE),VLOOKUP($M45,TT_Tabelle_Riferimento!$D$127:$H$164,5,FALSE))</f>
        <v>8</v>
      </c>
      <c r="LN45" s="904">
        <f>+IFERROR(VLOOKUP(LN$27&amp;"-"&amp;$M45&amp;"_new",Ammortamento_Finanziario!$H:$L,5,FALSE),VLOOKUP($M45,TT_Tabelle_Riferimento!$D$127:$H$164,5,FALSE))</f>
        <v>8</v>
      </c>
      <c r="LO45" s="904">
        <f>+IFERROR(VLOOKUP(LO$27&amp;"-"&amp;$M45&amp;"_new",Ammortamento_Finanziario!$H:$L,5,FALSE),VLOOKUP($M45,TT_Tabelle_Riferimento!$D$127:$H$164,5,FALSE))</f>
        <v>8</v>
      </c>
      <c r="LP45" s="904">
        <f>+IFERROR(VLOOKUP(LP$27&amp;"-"&amp;$M45&amp;"_new",Ammortamento_Finanziario!$H:$L,5,FALSE),VLOOKUP($M45,TT_Tabelle_Riferimento!$D$127:$H$164,5,FALSE))</f>
        <v>8</v>
      </c>
      <c r="LQ45" s="904">
        <f>+IFERROR(VLOOKUP(LQ$27&amp;"-"&amp;$M45&amp;"_new",Ammortamento_Finanziario!$H:$L,5,FALSE),VLOOKUP($M45,TT_Tabelle_Riferimento!$D$127:$H$164,5,FALSE))</f>
        <v>8</v>
      </c>
      <c r="LR45" s="904">
        <f>+IFERROR(VLOOKUP(LR$27&amp;"-"&amp;$M45&amp;"_new",Ammortamento_Finanziario!$H:$L,5,FALSE),VLOOKUP($M45,TT_Tabelle_Riferimento!$D$127:$H$164,5,FALSE))</f>
        <v>8</v>
      </c>
      <c r="LS45" s="1762">
        <f>+IFERROR(VLOOKUP(LS$27&amp;"-"&amp;$M45&amp;"_new",Ammortamento_Finanziario!$H:$L,5,FALSE),VLOOKUP($M45,TT_Tabelle_Riferimento!$D$127:$H$164,5,FALSE))</f>
        <v>8</v>
      </c>
      <c r="LT45" s="1762">
        <f>+IFERROR(VLOOKUP(LT$27&amp;"-"&amp;$M45&amp;"_new",Ammortamento_Finanziario!$H:$L,5,FALSE),VLOOKUP($M45,TT_Tabelle_Riferimento!$D$127:$H$164,5,FALSE))</f>
        <v>8</v>
      </c>
      <c r="LU45" s="1762">
        <f>+IFERROR(VLOOKUP(LU$27&amp;"-"&amp;$M45&amp;"_new",Ammortamento_Finanziario!$H:$L,5,FALSE),VLOOKUP($M45,TT_Tabelle_Riferimento!$D$127:$H$164,5,FALSE))</f>
        <v>8</v>
      </c>
      <c r="LV45" s="1762">
        <f>+IFERROR(VLOOKUP(LV$27&amp;"-"&amp;$M45&amp;"_new",Ammortamento_Finanziario!$H:$L,5,FALSE),VLOOKUP($M45,TT_Tabelle_Riferimento!$D$127:$H$164,5,FALSE))</f>
        <v>8</v>
      </c>
      <c r="LW45" s="1762">
        <f>+IFERROR(VLOOKUP(LW$27&amp;"-"&amp;$M45&amp;"_new",Ammortamento_Finanziario!$H:$L,5,FALSE),VLOOKUP($M45,TT_Tabelle_Riferimento!$D$127:$H$164,5,FALSE))</f>
        <v>8</v>
      </c>
      <c r="LX45" s="1762">
        <f>+IFERROR(VLOOKUP(LX$27&amp;"-"&amp;$M45&amp;"_new",Ammortamento_Finanziario!$H:$L,5,FALSE),VLOOKUP($M45,TT_Tabelle_Riferimento!$D$127:$H$164,5,FALSE))</f>
        <v>8</v>
      </c>
      <c r="LY45" s="904">
        <f>+IFERROR(VLOOKUP(LY$27&amp;"-"&amp;$M45&amp;"_new",Ammortamento_Finanziario!$H:$L,5,FALSE),VLOOKUP($M45,TT_Tabelle_Riferimento!$D$127:$H$164,5,FALSE))</f>
        <v>8</v>
      </c>
      <c r="LZ45" s="904">
        <f>+IFERROR(VLOOKUP(LZ$27&amp;"-"&amp;$M45&amp;"_new",Ammortamento_Finanziario!$H:$L,5,FALSE),VLOOKUP($M45,TT_Tabelle_Riferimento!$D$127:$H$164,5,FALSE))</f>
        <v>8</v>
      </c>
      <c r="MA45" s="904">
        <f>+IFERROR(VLOOKUP(MA$27&amp;"-"&amp;$M45&amp;"_new",Ammortamento_Finanziario!$H:$L,5,FALSE),VLOOKUP($M45,TT_Tabelle_Riferimento!$D$127:$H$164,5,FALSE))</f>
        <v>8</v>
      </c>
      <c r="MB45" s="904">
        <f>+IFERROR(VLOOKUP(MB$27&amp;"-"&amp;$M45&amp;"_new",Ammortamento_Finanziario!$H:$L,5,FALSE),VLOOKUP($M45,TT_Tabelle_Riferimento!$D$127:$H$164,5,FALSE))</f>
        <v>8</v>
      </c>
      <c r="MC45" s="904">
        <f>+IFERROR(VLOOKUP(MC$27&amp;"-"&amp;$M45&amp;"_new",Ammortamento_Finanziario!$H:$L,5,FALSE),VLOOKUP($M45,TT_Tabelle_Riferimento!$D$127:$H$164,5,FALSE))</f>
        <v>8</v>
      </c>
      <c r="MD45" s="904">
        <f>+IFERROR(VLOOKUP(MD$27&amp;"-"&amp;$M45&amp;"_new",Ammortamento_Finanziario!$H:$L,5,FALSE),VLOOKUP($M45,TT_Tabelle_Riferimento!$D$127:$H$164,5,FALSE))</f>
        <v>8</v>
      </c>
      <c r="ME45" s="904">
        <f>+IFERROR(VLOOKUP(ME$27&amp;"-"&amp;$M45&amp;"_new",Ammortamento_Finanziario!$H:$L,5,FALSE),VLOOKUP($M45,TT_Tabelle_Riferimento!$D$127:$H$164,5,FALSE))</f>
        <v>8</v>
      </c>
      <c r="MF45" s="904">
        <f>+IFERROR(VLOOKUP(MF$27&amp;"-"&amp;$M45&amp;"_new",Ammortamento_Finanziario!$H:$L,5,FALSE),VLOOKUP($M45,TT_Tabelle_Riferimento!$D$127:$H$164,5,FALSE))</f>
        <v>8</v>
      </c>
      <c r="MG45" s="904">
        <f>+IFERROR(VLOOKUP(MG$27&amp;"-"&amp;$M45&amp;"_new",Ammortamento_Finanziario!$H:$L,5,FALSE),VLOOKUP($M45,TT_Tabelle_Riferimento!$D$127:$H$164,5,FALSE))</f>
        <v>8</v>
      </c>
      <c r="MH45" s="904">
        <f>+IFERROR(VLOOKUP(MH$27&amp;"-"&amp;$M45&amp;"_new",Ammortamento_Finanziario!$H:$L,5,FALSE),VLOOKUP($M45,TT_Tabelle_Riferimento!$D$127:$H$164,5,FALSE))</f>
        <v>8</v>
      </c>
      <c r="MI45" s="904">
        <f>+IFERROR(VLOOKUP(MI$27&amp;"-"&amp;$M45&amp;"_new",Ammortamento_Finanziario!$H:$L,5,FALSE),VLOOKUP($M45,TT_Tabelle_Riferimento!$D$127:$H$164,5,FALSE))</f>
        <v>8</v>
      </c>
      <c r="MJ45" s="904">
        <f>+IFERROR(VLOOKUP(MJ$27&amp;"-"&amp;$M45&amp;"_new",Ammortamento_Finanziario!$H:$L,5,FALSE),VLOOKUP($M45,TT_Tabelle_Riferimento!$D$127:$H$164,5,FALSE))</f>
        <v>8</v>
      </c>
      <c r="MK45" s="904">
        <f>+IFERROR(VLOOKUP(MK$27&amp;"-"&amp;$M45&amp;"_new",Ammortamento_Finanziario!$H:$L,5,FALSE),VLOOKUP($M45,TT_Tabelle_Riferimento!$D$127:$H$164,5,FALSE))</f>
        <v>8</v>
      </c>
      <c r="ML45" s="904">
        <f>+IFERROR(VLOOKUP(ML$27&amp;"-"&amp;$M45&amp;"_new",Ammortamento_Finanziario!$H:$L,5,FALSE),VLOOKUP($M45,TT_Tabelle_Riferimento!$D$127:$H$164,5,FALSE))</f>
        <v>8</v>
      </c>
      <c r="MM45" s="904">
        <f>+IFERROR(VLOOKUP(MM$27&amp;"-"&amp;$M45&amp;"_new",Ammortamento_Finanziario!$H:$L,5,FALSE),VLOOKUP($M45,TT_Tabelle_Riferimento!$D$127:$H$164,5,FALSE))</f>
        <v>8</v>
      </c>
      <c r="MN45" s="904">
        <f>+IFERROR(VLOOKUP(MN$27&amp;"-"&amp;$M45&amp;"_new",Ammortamento_Finanziario!$H:$L,5,FALSE),VLOOKUP($M45,TT_Tabelle_Riferimento!$D$127:$H$164,5,FALSE))</f>
        <v>8</v>
      </c>
      <c r="MO45" s="904">
        <f>+IFERROR(VLOOKUP(MO$27&amp;"-"&amp;$M45&amp;"_new",Ammortamento_Finanziario!$H:$L,5,FALSE),VLOOKUP($M45,TT_Tabelle_Riferimento!$D$127:$H$164,5,FALSE))</f>
        <v>8</v>
      </c>
      <c r="MP45" s="904">
        <f>+IFERROR(VLOOKUP(MP$27&amp;"-"&amp;$M45&amp;"_new",Ammortamento_Finanziario!$H:$L,5,FALSE),VLOOKUP($M45,TT_Tabelle_Riferimento!$D$127:$H$164,5,FALSE))</f>
        <v>8</v>
      </c>
      <c r="MQ45" s="904">
        <f>+IFERROR(VLOOKUP(MQ$27&amp;"-"&amp;$M45&amp;"_new",Ammortamento_Finanziario!$H:$L,5,FALSE),VLOOKUP($M45,TT_Tabelle_Riferimento!$D$127:$H$164,5,FALSE))</f>
        <v>8</v>
      </c>
      <c r="MR45" s="1762">
        <f>+IFERROR(VLOOKUP(MR$27&amp;"-"&amp;$M45&amp;"_new",Ammortamento_Finanziario!$H:$L,5,FALSE),VLOOKUP($M45,TT_Tabelle_Riferimento!$D$127:$H$164,5,FALSE))</f>
        <v>8</v>
      </c>
      <c r="MS45" s="1762">
        <f>+IFERROR(VLOOKUP(MS$27&amp;"-"&amp;$M45&amp;"_new",Ammortamento_Finanziario!$H:$L,5,FALSE),VLOOKUP($M45,TT_Tabelle_Riferimento!$D$127:$H$164,5,FALSE))</f>
        <v>8</v>
      </c>
      <c r="MT45" s="1762">
        <f>+IFERROR(VLOOKUP(MT$27&amp;"-"&amp;$M45&amp;"_new",Ammortamento_Finanziario!$H:$L,5,FALSE),VLOOKUP($M45,TT_Tabelle_Riferimento!$D$127:$H$164,5,FALSE))</f>
        <v>8</v>
      </c>
      <c r="MU45" s="1762">
        <f>+IFERROR(VLOOKUP(MU$27&amp;"-"&amp;$M45&amp;"_new",Ammortamento_Finanziario!$H:$L,5,FALSE),VLOOKUP($M45,TT_Tabelle_Riferimento!$D$127:$H$164,5,FALSE))</f>
        <v>8</v>
      </c>
      <c r="MV45" s="1762">
        <f>+IFERROR(VLOOKUP(MV$27&amp;"-"&amp;$M45&amp;"_new",Ammortamento_Finanziario!$H:$L,5,FALSE),VLOOKUP($M45,TT_Tabelle_Riferimento!$D$127:$H$164,5,FALSE))</f>
        <v>8</v>
      </c>
      <c r="MW45" s="1762">
        <f>+IFERROR(VLOOKUP(MW$27&amp;"-"&amp;$M45&amp;"_new",Ammortamento_Finanziario!$H:$L,5,FALSE),VLOOKUP($M45,TT_Tabelle_Riferimento!$D$127:$H$164,5,FALSE))</f>
        <v>8</v>
      </c>
      <c r="MX45" s="904">
        <f>+IFERROR(VLOOKUP(MX$27&amp;"-"&amp;$M45&amp;"_new",Ammortamento_Finanziario!$H:$L,5,FALSE),VLOOKUP($M45,TT_Tabelle_Riferimento!$D$127:$H$164,5,FALSE))</f>
        <v>8</v>
      </c>
      <c r="MY45" s="904">
        <f>+IFERROR(VLOOKUP(MY$27&amp;"-"&amp;$M45&amp;"_new",Ammortamento_Finanziario!$H:$L,5,FALSE),VLOOKUP($M45,TT_Tabelle_Riferimento!$D$127:$H$164,5,FALSE))</f>
        <v>8</v>
      </c>
      <c r="MZ45" s="904">
        <f>+IFERROR(VLOOKUP(MZ$27&amp;"-"&amp;$M45&amp;"_new",Ammortamento_Finanziario!$H:$L,5,FALSE),VLOOKUP($M45,TT_Tabelle_Riferimento!$D$127:$H$164,5,FALSE))</f>
        <v>8</v>
      </c>
      <c r="NA45" s="904">
        <f>+IFERROR(VLOOKUP(NA$27&amp;"-"&amp;$M45&amp;"_new",Ammortamento_Finanziario!$H:$L,5,FALSE),VLOOKUP($M45,TT_Tabelle_Riferimento!$D$127:$H$164,5,FALSE))</f>
        <v>8</v>
      </c>
      <c r="NB45" s="904">
        <f>+IFERROR(VLOOKUP(NB$27&amp;"-"&amp;$M45&amp;"_new",Ammortamento_Finanziario!$H:$L,5,FALSE),VLOOKUP($M45,TT_Tabelle_Riferimento!$D$127:$H$164,5,FALSE))</f>
        <v>8</v>
      </c>
      <c r="NC45" s="904">
        <f>+IFERROR(VLOOKUP(NC$27&amp;"-"&amp;$M45&amp;"_new",Ammortamento_Finanziario!$H:$L,5,FALSE),VLOOKUP($M45,TT_Tabelle_Riferimento!$D$127:$H$164,5,FALSE))</f>
        <v>8</v>
      </c>
      <c r="ND45" s="904">
        <f>+IFERROR(VLOOKUP(ND$27&amp;"-"&amp;$M45&amp;"_new",Ammortamento_Finanziario!$H:$L,5,FALSE),VLOOKUP($M45,TT_Tabelle_Riferimento!$D$127:$H$164,5,FALSE))</f>
        <v>8</v>
      </c>
      <c r="NE45" s="904">
        <f>+IFERROR(VLOOKUP(NE$27&amp;"-"&amp;$M45&amp;"_new",Ammortamento_Finanziario!$H:$L,5,FALSE),VLOOKUP($M45,TT_Tabelle_Riferimento!$D$127:$H$164,5,FALSE))</f>
        <v>8</v>
      </c>
      <c r="NF45" s="904">
        <f>+IFERROR(VLOOKUP(NF$27&amp;"-"&amp;$M45&amp;"_new",Ammortamento_Finanziario!$H:$L,5,FALSE),VLOOKUP($M45,TT_Tabelle_Riferimento!$D$127:$H$164,5,FALSE))</f>
        <v>8</v>
      </c>
      <c r="NG45" s="904">
        <f>+IFERROR(VLOOKUP(NG$27&amp;"-"&amp;$M45&amp;"_new",Ammortamento_Finanziario!$H:$L,5,FALSE),VLOOKUP($M45,TT_Tabelle_Riferimento!$D$127:$H$164,5,FALSE))</f>
        <v>8</v>
      </c>
      <c r="NH45" s="904">
        <f>+IFERROR(VLOOKUP(NH$27&amp;"-"&amp;$M45&amp;"_new",Ammortamento_Finanziario!$H:$L,5,FALSE),VLOOKUP($M45,TT_Tabelle_Riferimento!$D$127:$H$164,5,FALSE))</f>
        <v>8</v>
      </c>
      <c r="NI45" s="904">
        <f>+IFERROR(VLOOKUP(NI$27&amp;"-"&amp;$M45&amp;"_new",Ammortamento_Finanziario!$H:$L,5,FALSE),VLOOKUP($M45,TT_Tabelle_Riferimento!$D$127:$H$164,5,FALSE))</f>
        <v>8</v>
      </c>
      <c r="NJ45" s="904">
        <f>+IFERROR(VLOOKUP(NJ$27&amp;"-"&amp;$M45&amp;"_new",Ammortamento_Finanziario!$H:$L,5,FALSE),VLOOKUP($M45,TT_Tabelle_Riferimento!$D$127:$H$164,5,FALSE))</f>
        <v>8</v>
      </c>
      <c r="NK45" s="904">
        <f>+IFERROR(VLOOKUP(NK$27&amp;"-"&amp;$M45&amp;"_new",Ammortamento_Finanziario!$H:$L,5,FALSE),VLOOKUP($M45,TT_Tabelle_Riferimento!$D$127:$H$164,5,FALSE))</f>
        <v>8</v>
      </c>
      <c r="NL45" s="904">
        <f>+IFERROR(VLOOKUP(NL$27&amp;"-"&amp;$M45&amp;"_new",Ammortamento_Finanziario!$H:$L,5,FALSE),VLOOKUP($M45,TT_Tabelle_Riferimento!$D$127:$H$164,5,FALSE))</f>
        <v>8</v>
      </c>
      <c r="NM45" s="904">
        <f>+IFERROR(VLOOKUP(NM$27&amp;"-"&amp;$M45&amp;"_new",Ammortamento_Finanziario!$H:$L,5,FALSE),VLOOKUP($M45,TT_Tabelle_Riferimento!$D$127:$H$164,5,FALSE))</f>
        <v>8</v>
      </c>
      <c r="NN45" s="904">
        <f>+IFERROR(VLOOKUP(NN$27&amp;"-"&amp;$M45&amp;"_new",Ammortamento_Finanziario!$H:$L,5,FALSE),VLOOKUP($M45,TT_Tabelle_Riferimento!$D$127:$H$164,5,FALSE))</f>
        <v>8</v>
      </c>
      <c r="NO45" s="904">
        <f>+IFERROR(VLOOKUP(NO$27&amp;"-"&amp;$M45&amp;"_new",Ammortamento_Finanziario!$H:$L,5,FALSE),VLOOKUP($M45,TT_Tabelle_Riferimento!$D$127:$H$164,5,FALSE))</f>
        <v>8</v>
      </c>
      <c r="NP45" s="904">
        <f>+IFERROR(VLOOKUP(NP$27&amp;"-"&amp;$M45&amp;"_new",Ammortamento_Finanziario!$H:$L,5,FALSE),VLOOKUP($M45,TT_Tabelle_Riferimento!$D$127:$H$164,5,FALSE))</f>
        <v>8</v>
      </c>
      <c r="NQ45" s="1762">
        <f>+IFERROR(VLOOKUP(NQ$27&amp;"-"&amp;$M45&amp;"_new",Ammortamento_Finanziario!$H:$L,5,FALSE),VLOOKUP($M45,TT_Tabelle_Riferimento!$D$127:$H$164,5,FALSE))</f>
        <v>8</v>
      </c>
      <c r="NR45" s="1762">
        <f>+IFERROR(VLOOKUP(NR$27&amp;"-"&amp;$M45&amp;"_new",Ammortamento_Finanziario!$H:$L,5,FALSE),VLOOKUP($M45,TT_Tabelle_Riferimento!$D$127:$H$164,5,FALSE))</f>
        <v>8</v>
      </c>
      <c r="NS45" s="1762">
        <f>+IFERROR(VLOOKUP(NS$27&amp;"-"&amp;$M45&amp;"_new",Ammortamento_Finanziario!$H:$L,5,FALSE),VLOOKUP($M45,TT_Tabelle_Riferimento!$D$127:$H$164,5,FALSE))</f>
        <v>8</v>
      </c>
      <c r="NT45" s="1762">
        <f>+IFERROR(VLOOKUP(NT$27&amp;"-"&amp;$M45&amp;"_new",Ammortamento_Finanziario!$H:$L,5,FALSE),VLOOKUP($M45,TT_Tabelle_Riferimento!$D$127:$H$164,5,FALSE))</f>
        <v>8</v>
      </c>
      <c r="NU45" s="1762">
        <f>+IFERROR(VLOOKUP(NU$27&amp;"-"&amp;$M45&amp;"_new",Ammortamento_Finanziario!$H:$L,5,FALSE),VLOOKUP($M45,TT_Tabelle_Riferimento!$D$127:$H$164,5,FALSE))</f>
        <v>8</v>
      </c>
      <c r="NV45" s="904">
        <f>+IFERROR(VLOOKUP(NV$27&amp;"-"&amp;$M45&amp;"_new",Ammortamento_Finanziario!$H:$L,5,FALSE),VLOOKUP($M45,TT_Tabelle_Riferimento!$D$127:$H$164,5,FALSE))</f>
        <v>8</v>
      </c>
      <c r="NW45" s="904">
        <f>+IFERROR(VLOOKUP(NW$27&amp;"-"&amp;$M45&amp;"_new",Ammortamento_Finanziario!$H:$L,5,FALSE),VLOOKUP($M45,TT_Tabelle_Riferimento!$D$127:$H$164,5,FALSE))</f>
        <v>8</v>
      </c>
      <c r="NX45" s="904">
        <f>+IFERROR(VLOOKUP(NX$27&amp;"-"&amp;$M45&amp;"_new",Ammortamento_Finanziario!$H:$L,5,FALSE),VLOOKUP($M45,TT_Tabelle_Riferimento!$D$127:$H$164,5,FALSE))</f>
        <v>8</v>
      </c>
      <c r="NY45" s="904">
        <f>+IFERROR(VLOOKUP(NY$27&amp;"-"&amp;$M45&amp;"_new",Ammortamento_Finanziario!$H:$L,5,FALSE),VLOOKUP($M45,TT_Tabelle_Riferimento!$D$127:$H$164,5,FALSE))</f>
        <v>8</v>
      </c>
      <c r="NZ45" s="904">
        <f>+IFERROR(VLOOKUP(NZ$27&amp;"-"&amp;$M45&amp;"_new",Ammortamento_Finanziario!$H:$L,5,FALSE),VLOOKUP($M45,TT_Tabelle_Riferimento!$D$127:$H$164,5,FALSE))</f>
        <v>8</v>
      </c>
      <c r="OA45" s="904">
        <f>+IFERROR(VLOOKUP(OA$27&amp;"-"&amp;$M45&amp;"_new",Ammortamento_Finanziario!$H:$L,5,FALSE),VLOOKUP($M45,TT_Tabelle_Riferimento!$D$127:$H$164,5,FALSE))</f>
        <v>8</v>
      </c>
      <c r="OB45" s="904">
        <f>+IFERROR(VLOOKUP(OB$27&amp;"-"&amp;$M45&amp;"_new",Ammortamento_Finanziario!$H:$L,5,FALSE),VLOOKUP($M45,TT_Tabelle_Riferimento!$D$127:$H$164,5,FALSE))</f>
        <v>8</v>
      </c>
      <c r="OC45" s="904">
        <f>+IFERROR(VLOOKUP(OC$27&amp;"-"&amp;$M45&amp;"_new",Ammortamento_Finanziario!$H:$L,5,FALSE),VLOOKUP($M45,TT_Tabelle_Riferimento!$D$127:$H$164,5,FALSE))</f>
        <v>8</v>
      </c>
      <c r="OD45" s="904">
        <f>+IFERROR(VLOOKUP(OD$27&amp;"-"&amp;$M45&amp;"_new",Ammortamento_Finanziario!$H:$L,5,FALSE),VLOOKUP($M45,TT_Tabelle_Riferimento!$D$127:$H$164,5,FALSE))</f>
        <v>8</v>
      </c>
      <c r="OE45" s="904">
        <f>+IFERROR(VLOOKUP(OE$27&amp;"-"&amp;$M45&amp;"_new",Ammortamento_Finanziario!$H:$L,5,FALSE),VLOOKUP($M45,TT_Tabelle_Riferimento!$D$127:$H$164,5,FALSE))</f>
        <v>8</v>
      </c>
      <c r="OF45" s="904">
        <f>+IFERROR(VLOOKUP(OF$27&amp;"-"&amp;$M45&amp;"_new",Ammortamento_Finanziario!$H:$L,5,FALSE),VLOOKUP($M45,TT_Tabelle_Riferimento!$D$127:$H$164,5,FALSE))</f>
        <v>8</v>
      </c>
      <c r="OG45" s="904">
        <f>+IFERROR(VLOOKUP(OG$27&amp;"-"&amp;$M45&amp;"_new",Ammortamento_Finanziario!$H:$L,5,FALSE),VLOOKUP($M45,TT_Tabelle_Riferimento!$D$127:$H$164,5,FALSE))</f>
        <v>8</v>
      </c>
      <c r="OH45" s="904">
        <f>+IFERROR(VLOOKUP(OH$27&amp;"-"&amp;$M45&amp;"_new",Ammortamento_Finanziario!$H:$L,5,FALSE),VLOOKUP($M45,TT_Tabelle_Riferimento!$D$127:$H$164,5,FALSE))</f>
        <v>8</v>
      </c>
      <c r="OI45" s="904">
        <f>+IFERROR(VLOOKUP(OI$27&amp;"-"&amp;$M45&amp;"_new",Ammortamento_Finanziario!$H:$L,5,FALSE),VLOOKUP($M45,TT_Tabelle_Riferimento!$D$127:$H$164,5,FALSE))</f>
        <v>8</v>
      </c>
      <c r="OJ45" s="904">
        <f>+IFERROR(VLOOKUP(OJ$27&amp;"-"&amp;$M45&amp;"_new",Ammortamento_Finanziario!$H:$L,5,FALSE),VLOOKUP($M45,TT_Tabelle_Riferimento!$D$127:$H$164,5,FALSE))</f>
        <v>8</v>
      </c>
      <c r="OK45" s="904">
        <f>+IFERROR(VLOOKUP(OK$27&amp;"-"&amp;$M45&amp;"_new",Ammortamento_Finanziario!$H:$L,5,FALSE),VLOOKUP($M45,TT_Tabelle_Riferimento!$D$127:$H$164,5,FALSE))</f>
        <v>8</v>
      </c>
      <c r="OL45" s="904">
        <f>+IFERROR(VLOOKUP(OL$27&amp;"-"&amp;$M45&amp;"_new",Ammortamento_Finanziario!$H:$L,5,FALSE),VLOOKUP($M45,TT_Tabelle_Riferimento!$D$127:$H$164,5,FALSE))</f>
        <v>8</v>
      </c>
      <c r="OM45" s="904">
        <f>+IFERROR(VLOOKUP(OM$27&amp;"-"&amp;$M45&amp;"_new",Ammortamento_Finanziario!$H:$L,5,FALSE),VLOOKUP($M45,TT_Tabelle_Riferimento!$D$127:$H$164,5,FALSE))</f>
        <v>8</v>
      </c>
      <c r="ON45" s="904">
        <f>+IFERROR(VLOOKUP(ON$27&amp;"-"&amp;$M45&amp;"_new",Ammortamento_Finanziario!$H:$L,5,FALSE),VLOOKUP($M45,TT_Tabelle_Riferimento!$D$127:$H$164,5,FALSE))</f>
        <v>8</v>
      </c>
      <c r="OO45" s="1762">
        <f>+IFERROR(VLOOKUP(OO$27&amp;"-"&amp;$M45&amp;"_new",Ammortamento_Finanziario!$H:$L,5,FALSE),VLOOKUP($M45,TT_Tabelle_Riferimento!$D$127:$H$164,5,FALSE))</f>
        <v>8</v>
      </c>
      <c r="OP45" s="1762">
        <f>+IFERROR(VLOOKUP(OP$27&amp;"-"&amp;$M45&amp;"_new",Ammortamento_Finanziario!$H:$L,5,FALSE),VLOOKUP($M45,TT_Tabelle_Riferimento!$D$127:$H$164,5,FALSE))</f>
        <v>8</v>
      </c>
      <c r="OQ45" s="1762">
        <f>+IFERROR(VLOOKUP(OQ$27&amp;"-"&amp;$M45&amp;"_new",Ammortamento_Finanziario!$H:$L,5,FALSE),VLOOKUP($M45,TT_Tabelle_Riferimento!$D$127:$H$164,5,FALSE))</f>
        <v>8</v>
      </c>
      <c r="OR45" s="1762">
        <f>+IFERROR(VLOOKUP(OR$27&amp;"-"&amp;$M45&amp;"_new",Ammortamento_Finanziario!$H:$L,5,FALSE),VLOOKUP($M45,TT_Tabelle_Riferimento!$D$127:$H$164,5,FALSE))</f>
        <v>8</v>
      </c>
      <c r="OS45" s="904">
        <f>+IFERROR(VLOOKUP(OS$27&amp;"-"&amp;$M45&amp;"_new",Ammortamento_Finanziario!$H:$L,5,FALSE),VLOOKUP($M45,TT_Tabelle_Riferimento!$D$127:$H$164,5,FALSE))</f>
        <v>8</v>
      </c>
      <c r="OT45" s="904">
        <f>+IFERROR(VLOOKUP(OT$27&amp;"-"&amp;$M45&amp;"_new",Ammortamento_Finanziario!$H:$L,5,FALSE),VLOOKUP($M45,TT_Tabelle_Riferimento!$D$127:$H$164,5,FALSE))</f>
        <v>8</v>
      </c>
      <c r="OU45" s="904">
        <f>+IFERROR(VLOOKUP(OU$27&amp;"-"&amp;$M45&amp;"_new",Ammortamento_Finanziario!$H:$L,5,FALSE),VLOOKUP($M45,TT_Tabelle_Riferimento!$D$127:$H$164,5,FALSE))</f>
        <v>8</v>
      </c>
      <c r="OV45" s="904">
        <f>+IFERROR(VLOOKUP(OV$27&amp;"-"&amp;$M45&amp;"_new",Ammortamento_Finanziario!$H:$L,5,FALSE),VLOOKUP($M45,TT_Tabelle_Riferimento!$D$127:$H$164,5,FALSE))</f>
        <v>8</v>
      </c>
      <c r="OW45" s="904">
        <f>+IFERROR(VLOOKUP(OW$27&amp;"-"&amp;$M45&amp;"_new",Ammortamento_Finanziario!$H:$L,5,FALSE),VLOOKUP($M45,TT_Tabelle_Riferimento!$D$127:$H$164,5,FALSE))</f>
        <v>8</v>
      </c>
      <c r="OX45" s="904">
        <f>+IFERROR(VLOOKUP(OX$27&amp;"-"&amp;$M45&amp;"_new",Ammortamento_Finanziario!$H:$L,5,FALSE),VLOOKUP($M45,TT_Tabelle_Riferimento!$D$127:$H$164,5,FALSE))</f>
        <v>8</v>
      </c>
      <c r="OY45" s="904">
        <f>+IFERROR(VLOOKUP(OY$27&amp;"-"&amp;$M45&amp;"_new",Ammortamento_Finanziario!$H:$L,5,FALSE),VLOOKUP($M45,TT_Tabelle_Riferimento!$D$127:$H$164,5,FALSE))</f>
        <v>8</v>
      </c>
      <c r="OZ45" s="904">
        <f>+IFERROR(VLOOKUP(OZ$27&amp;"-"&amp;$M45&amp;"_new",Ammortamento_Finanziario!$H:$L,5,FALSE),VLOOKUP($M45,TT_Tabelle_Riferimento!$D$127:$H$164,5,FALSE))</f>
        <v>8</v>
      </c>
      <c r="PA45" s="904">
        <f>+IFERROR(VLOOKUP(PA$27&amp;"-"&amp;$M45&amp;"_new",Ammortamento_Finanziario!$H:$L,5,FALSE),VLOOKUP($M45,TT_Tabelle_Riferimento!$D$127:$H$164,5,FALSE))</f>
        <v>8</v>
      </c>
      <c r="PB45" s="904">
        <f>+IFERROR(VLOOKUP(PB$27&amp;"-"&amp;$M45&amp;"_new",Ammortamento_Finanziario!$H:$L,5,FALSE),VLOOKUP($M45,TT_Tabelle_Riferimento!$D$127:$H$164,5,FALSE))</f>
        <v>8</v>
      </c>
      <c r="PC45" s="904">
        <f>+IFERROR(VLOOKUP(PC$27&amp;"-"&amp;$M45&amp;"_new",Ammortamento_Finanziario!$H:$L,5,FALSE),VLOOKUP($M45,TT_Tabelle_Riferimento!$D$127:$H$164,5,FALSE))</f>
        <v>8</v>
      </c>
      <c r="PD45" s="904">
        <f>+IFERROR(VLOOKUP(PD$27&amp;"-"&amp;$M45&amp;"_new",Ammortamento_Finanziario!$H:$L,5,FALSE),VLOOKUP($M45,TT_Tabelle_Riferimento!$D$127:$H$164,5,FALSE))</f>
        <v>8</v>
      </c>
      <c r="PE45" s="904">
        <f>+IFERROR(VLOOKUP(PE$27&amp;"-"&amp;$M45&amp;"_new",Ammortamento_Finanziario!$H:$L,5,FALSE),VLOOKUP($M45,TT_Tabelle_Riferimento!$D$127:$H$164,5,FALSE))</f>
        <v>8</v>
      </c>
      <c r="PF45" s="904">
        <f>+IFERROR(VLOOKUP(PF$27&amp;"-"&amp;$M45&amp;"_new",Ammortamento_Finanziario!$H:$L,5,FALSE),VLOOKUP($M45,TT_Tabelle_Riferimento!$D$127:$H$164,5,FALSE))</f>
        <v>8</v>
      </c>
      <c r="PG45" s="904">
        <f>+IFERROR(VLOOKUP(PG$27&amp;"-"&amp;$M45&amp;"_new",Ammortamento_Finanziario!$H:$L,5,FALSE),VLOOKUP($M45,TT_Tabelle_Riferimento!$D$127:$H$164,5,FALSE))</f>
        <v>8</v>
      </c>
      <c r="PH45" s="904">
        <f>+IFERROR(VLOOKUP(PH$27&amp;"-"&amp;$M45&amp;"_new",Ammortamento_Finanziario!$H:$L,5,FALSE),VLOOKUP($M45,TT_Tabelle_Riferimento!$D$127:$H$164,5,FALSE))</f>
        <v>8</v>
      </c>
      <c r="PI45" s="904">
        <f>+IFERROR(VLOOKUP(PI$27&amp;"-"&amp;$M45&amp;"_new",Ammortamento_Finanziario!$H:$L,5,FALSE),VLOOKUP($M45,TT_Tabelle_Riferimento!$D$127:$H$164,5,FALSE))</f>
        <v>8</v>
      </c>
      <c r="PJ45" s="904">
        <f>+IFERROR(VLOOKUP(PJ$27&amp;"-"&amp;$M45&amp;"_new",Ammortamento_Finanziario!$H:$L,5,FALSE),VLOOKUP($M45,TT_Tabelle_Riferimento!$D$127:$H$164,5,FALSE))</f>
        <v>8</v>
      </c>
      <c r="PK45" s="904">
        <f>+IFERROR(VLOOKUP(PK$27&amp;"-"&amp;$M45&amp;"_new",Ammortamento_Finanziario!$H:$L,5,FALSE),VLOOKUP($M45,TT_Tabelle_Riferimento!$D$127:$H$164,5,FALSE))</f>
        <v>8</v>
      </c>
      <c r="PL45" s="1762">
        <f>+IFERROR(VLOOKUP(PL$27&amp;"-"&amp;$M45&amp;"_new",Ammortamento_Finanziario!$H:$L,5,FALSE),VLOOKUP($M45,TT_Tabelle_Riferimento!$D$127:$H$164,5,FALSE))</f>
        <v>8</v>
      </c>
      <c r="PM45" s="1762">
        <f>+IFERROR(VLOOKUP(PM$27&amp;"-"&amp;$M45&amp;"_new",Ammortamento_Finanziario!$H:$L,5,FALSE),VLOOKUP($M45,TT_Tabelle_Riferimento!$D$127:$H$164,5,FALSE))</f>
        <v>8</v>
      </c>
      <c r="PN45" s="1762">
        <f>+IFERROR(VLOOKUP(PN$27&amp;"-"&amp;$M45&amp;"_new",Ammortamento_Finanziario!$H:$L,5,FALSE),VLOOKUP($M45,TT_Tabelle_Riferimento!$D$127:$H$164,5,FALSE))</f>
        <v>8</v>
      </c>
      <c r="PO45" s="904">
        <f>+IFERROR(VLOOKUP(PO$27&amp;"-"&amp;$M45&amp;"_new",Ammortamento_Finanziario!$H:$L,5,FALSE),VLOOKUP($M45,TT_Tabelle_Riferimento!$D$127:$H$164,5,FALSE))</f>
        <v>8</v>
      </c>
      <c r="PP45" s="904">
        <f>+IFERROR(VLOOKUP(PP$27&amp;"-"&amp;$M45&amp;"_new",Ammortamento_Finanziario!$H:$L,5,FALSE),VLOOKUP($M45,TT_Tabelle_Riferimento!$D$127:$H$164,5,FALSE))</f>
        <v>8</v>
      </c>
      <c r="PQ45" s="904">
        <f>+IFERROR(VLOOKUP(PQ$27&amp;"-"&amp;$M45&amp;"_new",Ammortamento_Finanziario!$H:$L,5,FALSE),VLOOKUP($M45,TT_Tabelle_Riferimento!$D$127:$H$164,5,FALSE))</f>
        <v>8</v>
      </c>
      <c r="PR45" s="904">
        <f>+IFERROR(VLOOKUP(PR$27&amp;"-"&amp;$M45&amp;"_new",Ammortamento_Finanziario!$H:$L,5,FALSE),VLOOKUP($M45,TT_Tabelle_Riferimento!$D$127:$H$164,5,FALSE))</f>
        <v>8</v>
      </c>
      <c r="PS45" s="904">
        <f>+IFERROR(VLOOKUP(PS$27&amp;"-"&amp;$M45&amp;"_new",Ammortamento_Finanziario!$H:$L,5,FALSE),VLOOKUP($M45,TT_Tabelle_Riferimento!$D$127:$H$164,5,FALSE))</f>
        <v>8</v>
      </c>
      <c r="PT45" s="904">
        <f>+IFERROR(VLOOKUP(PT$27&amp;"-"&amp;$M45&amp;"_new",Ammortamento_Finanziario!$H:$L,5,FALSE),VLOOKUP($M45,TT_Tabelle_Riferimento!$D$127:$H$164,5,FALSE))</f>
        <v>8</v>
      </c>
      <c r="PU45" s="904">
        <f>+IFERROR(VLOOKUP(PU$27&amp;"-"&amp;$M45&amp;"_new",Ammortamento_Finanziario!$H:$L,5,FALSE),VLOOKUP($M45,TT_Tabelle_Riferimento!$D$127:$H$164,5,FALSE))</f>
        <v>8</v>
      </c>
      <c r="PV45" s="904">
        <f>+IFERROR(VLOOKUP(PV$27&amp;"-"&amp;$M45&amp;"_new",Ammortamento_Finanziario!$H:$L,5,FALSE),VLOOKUP($M45,TT_Tabelle_Riferimento!$D$127:$H$164,5,FALSE))</f>
        <v>8</v>
      </c>
      <c r="PW45" s="904">
        <f>+IFERROR(VLOOKUP(PW$27&amp;"-"&amp;$M45&amp;"_new",Ammortamento_Finanziario!$H:$L,5,FALSE),VLOOKUP($M45,TT_Tabelle_Riferimento!$D$127:$H$164,5,FALSE))</f>
        <v>8</v>
      </c>
      <c r="PX45" s="904">
        <f>+IFERROR(VLOOKUP(PX$27&amp;"-"&amp;$M45&amp;"_new",Ammortamento_Finanziario!$H:$L,5,FALSE),VLOOKUP($M45,TT_Tabelle_Riferimento!$D$127:$H$164,5,FALSE))</f>
        <v>8</v>
      </c>
      <c r="PY45" s="904">
        <f>+IFERROR(VLOOKUP(PY$27&amp;"-"&amp;$M45&amp;"_new",Ammortamento_Finanziario!$H:$L,5,FALSE),VLOOKUP($M45,TT_Tabelle_Riferimento!$D$127:$H$164,5,FALSE))</f>
        <v>8</v>
      </c>
      <c r="PZ45" s="904">
        <f>+IFERROR(VLOOKUP(PZ$27&amp;"-"&amp;$M45&amp;"_new",Ammortamento_Finanziario!$H:$L,5,FALSE),VLOOKUP($M45,TT_Tabelle_Riferimento!$D$127:$H$164,5,FALSE))</f>
        <v>8</v>
      </c>
      <c r="QA45" s="904">
        <f>+IFERROR(VLOOKUP(QA$27&amp;"-"&amp;$M45&amp;"_new",Ammortamento_Finanziario!$H:$L,5,FALSE),VLOOKUP($M45,TT_Tabelle_Riferimento!$D$127:$H$164,5,FALSE))</f>
        <v>8</v>
      </c>
      <c r="QB45" s="904">
        <f>+IFERROR(VLOOKUP(QB$27&amp;"-"&amp;$M45&amp;"_new",Ammortamento_Finanziario!$H:$L,5,FALSE),VLOOKUP($M45,TT_Tabelle_Riferimento!$D$127:$H$164,5,FALSE))</f>
        <v>8</v>
      </c>
      <c r="QC45" s="904">
        <f>+IFERROR(VLOOKUP(QC$27&amp;"-"&amp;$M45&amp;"_new",Ammortamento_Finanziario!$H:$L,5,FALSE),VLOOKUP($M45,TT_Tabelle_Riferimento!$D$127:$H$164,5,FALSE))</f>
        <v>8</v>
      </c>
      <c r="QD45" s="904">
        <f>+IFERROR(VLOOKUP(QD$27&amp;"-"&amp;$M45&amp;"_new",Ammortamento_Finanziario!$H:$L,5,FALSE),VLOOKUP($M45,TT_Tabelle_Riferimento!$D$127:$H$164,5,FALSE))</f>
        <v>8</v>
      </c>
      <c r="QE45" s="904">
        <f>+IFERROR(VLOOKUP(QE$27&amp;"-"&amp;$M45&amp;"_new",Ammortamento_Finanziario!$H:$L,5,FALSE),VLOOKUP($M45,TT_Tabelle_Riferimento!$D$127:$H$164,5,FALSE))</f>
        <v>8</v>
      </c>
      <c r="QF45" s="904">
        <f>+IFERROR(VLOOKUP(QF$27&amp;"-"&amp;$M45&amp;"_new",Ammortamento_Finanziario!$H:$L,5,FALSE),VLOOKUP($M45,TT_Tabelle_Riferimento!$D$127:$H$164,5,FALSE))</f>
        <v>8</v>
      </c>
      <c r="QG45" s="904">
        <f>+IFERROR(VLOOKUP(QG$27&amp;"-"&amp;$M45&amp;"_new",Ammortamento_Finanziario!$H:$L,5,FALSE),VLOOKUP($M45,TT_Tabelle_Riferimento!$D$127:$H$164,5,FALSE))</f>
        <v>8</v>
      </c>
      <c r="QH45" s="1762">
        <f>+IFERROR(VLOOKUP(QH$27&amp;"-"&amp;$M45&amp;"_new",Ammortamento_Finanziario!$H:$L,5,FALSE),VLOOKUP($M45,TT_Tabelle_Riferimento!$D$127:$H$164,5,FALSE))</f>
        <v>8</v>
      </c>
      <c r="QI45" s="1762">
        <f>+IFERROR(VLOOKUP(QI$27&amp;"-"&amp;$M45&amp;"_new",Ammortamento_Finanziario!$H:$L,5,FALSE),VLOOKUP($M45,TT_Tabelle_Riferimento!$D$127:$H$164,5,FALSE))</f>
        <v>8</v>
      </c>
      <c r="QJ45" s="904">
        <f>+IFERROR(VLOOKUP(QJ$27&amp;"-"&amp;$M45&amp;"_new",Ammortamento_Finanziario!$H:$L,5,FALSE),VLOOKUP($M45,TT_Tabelle_Riferimento!$D$127:$H$164,5,FALSE))</f>
        <v>8</v>
      </c>
      <c r="QK45" s="904">
        <f>+IFERROR(VLOOKUP(QK$27&amp;"-"&amp;$M45&amp;"_new",Ammortamento_Finanziario!$H:$L,5,FALSE),VLOOKUP($M45,TT_Tabelle_Riferimento!$D$127:$H$164,5,FALSE))</f>
        <v>8</v>
      </c>
      <c r="QL45" s="904">
        <f>+IFERROR(VLOOKUP(QL$27&amp;"-"&amp;$M45&amp;"_new",Ammortamento_Finanziario!$H:$L,5,FALSE),VLOOKUP($M45,TT_Tabelle_Riferimento!$D$127:$H$164,5,FALSE))</f>
        <v>8</v>
      </c>
      <c r="QM45" s="904">
        <f>+IFERROR(VLOOKUP(QM$27&amp;"-"&amp;$M45&amp;"_new",Ammortamento_Finanziario!$H:$L,5,FALSE),VLOOKUP($M45,TT_Tabelle_Riferimento!$D$127:$H$164,5,FALSE))</f>
        <v>8</v>
      </c>
      <c r="QN45" s="904">
        <f>+IFERROR(VLOOKUP(QN$27&amp;"-"&amp;$M45&amp;"_new",Ammortamento_Finanziario!$H:$L,5,FALSE),VLOOKUP($M45,TT_Tabelle_Riferimento!$D$127:$H$164,5,FALSE))</f>
        <v>8</v>
      </c>
      <c r="QO45" s="904">
        <f>+IFERROR(VLOOKUP(QO$27&amp;"-"&amp;$M45&amp;"_new",Ammortamento_Finanziario!$H:$L,5,FALSE),VLOOKUP($M45,TT_Tabelle_Riferimento!$D$127:$H$164,5,FALSE))</f>
        <v>8</v>
      </c>
      <c r="QP45" s="904">
        <f>+IFERROR(VLOOKUP(QP$27&amp;"-"&amp;$M45&amp;"_new",Ammortamento_Finanziario!$H:$L,5,FALSE),VLOOKUP($M45,TT_Tabelle_Riferimento!$D$127:$H$164,5,FALSE))</f>
        <v>8</v>
      </c>
      <c r="QQ45" s="904">
        <f>+IFERROR(VLOOKUP(QQ$27&amp;"-"&amp;$M45&amp;"_new",Ammortamento_Finanziario!$H:$L,5,FALSE),VLOOKUP($M45,TT_Tabelle_Riferimento!$D$127:$H$164,5,FALSE))</f>
        <v>8</v>
      </c>
      <c r="QR45" s="904">
        <f>+IFERROR(VLOOKUP(QR$27&amp;"-"&amp;$M45&amp;"_new",Ammortamento_Finanziario!$H:$L,5,FALSE),VLOOKUP($M45,TT_Tabelle_Riferimento!$D$127:$H$164,5,FALSE))</f>
        <v>8</v>
      </c>
      <c r="QS45" s="904">
        <f>+IFERROR(VLOOKUP(QS$27&amp;"-"&amp;$M45&amp;"_new",Ammortamento_Finanziario!$H:$L,5,FALSE),VLOOKUP($M45,TT_Tabelle_Riferimento!$D$127:$H$164,5,FALSE))</f>
        <v>8</v>
      </c>
      <c r="QT45" s="904">
        <f>+IFERROR(VLOOKUP(QT$27&amp;"-"&amp;$M45&amp;"_new",Ammortamento_Finanziario!$H:$L,5,FALSE),VLOOKUP($M45,TT_Tabelle_Riferimento!$D$127:$H$164,5,FALSE))</f>
        <v>8</v>
      </c>
      <c r="QU45" s="904">
        <f>+IFERROR(VLOOKUP(QU$27&amp;"-"&amp;$M45&amp;"_new",Ammortamento_Finanziario!$H:$L,5,FALSE),VLOOKUP($M45,TT_Tabelle_Riferimento!$D$127:$H$164,5,FALSE))</f>
        <v>8</v>
      </c>
      <c r="QV45" s="904">
        <f>+IFERROR(VLOOKUP(QV$27&amp;"-"&amp;$M45&amp;"_new",Ammortamento_Finanziario!$H:$L,5,FALSE),VLOOKUP($M45,TT_Tabelle_Riferimento!$D$127:$H$164,5,FALSE))</f>
        <v>8</v>
      </c>
      <c r="QW45" s="904">
        <f>+IFERROR(VLOOKUP(QW$27&amp;"-"&amp;$M45&amp;"_new",Ammortamento_Finanziario!$H:$L,5,FALSE),VLOOKUP($M45,TT_Tabelle_Riferimento!$D$127:$H$164,5,FALSE))</f>
        <v>8</v>
      </c>
      <c r="QX45" s="904">
        <f>+IFERROR(VLOOKUP(QX$27&amp;"-"&amp;$M45&amp;"_new",Ammortamento_Finanziario!$H:$L,5,FALSE),VLOOKUP($M45,TT_Tabelle_Riferimento!$D$127:$H$164,5,FALSE))</f>
        <v>8</v>
      </c>
      <c r="QY45" s="904">
        <f>+IFERROR(VLOOKUP(QY$27&amp;"-"&amp;$M45&amp;"_new",Ammortamento_Finanziario!$H:$L,5,FALSE),VLOOKUP($M45,TT_Tabelle_Riferimento!$D$127:$H$164,5,FALSE))</f>
        <v>8</v>
      </c>
      <c r="QZ45" s="904">
        <f>+IFERROR(VLOOKUP(QZ$27&amp;"-"&amp;$M45&amp;"_new",Ammortamento_Finanziario!$H:$L,5,FALSE),VLOOKUP($M45,TT_Tabelle_Riferimento!$D$127:$H$164,5,FALSE))</f>
        <v>8</v>
      </c>
      <c r="RA45" s="904">
        <f>+IFERROR(VLOOKUP(RA$27&amp;"-"&amp;$M45&amp;"_new",Ammortamento_Finanziario!$H:$L,5,FALSE),VLOOKUP($M45,TT_Tabelle_Riferimento!$D$127:$H$164,5,FALSE))</f>
        <v>8</v>
      </c>
      <c r="RB45" s="904">
        <f>+IFERROR(VLOOKUP(RB$27&amp;"-"&amp;$M45&amp;"_new",Ammortamento_Finanziario!$H:$L,5,FALSE),VLOOKUP($M45,TT_Tabelle_Riferimento!$D$127:$H$164,5,FALSE))</f>
        <v>8</v>
      </c>
      <c r="RC45" s="1762">
        <f>+IFERROR(VLOOKUP(RC$27&amp;"-"&amp;$M45&amp;"_new",Ammortamento_Finanziario!$H:$L,5,FALSE),VLOOKUP($M45,TT_Tabelle_Riferimento!$D$127:$H$164,5,FALSE))</f>
        <v>8</v>
      </c>
      <c r="RD45" s="904">
        <f>+IFERROR(VLOOKUP(RD$27&amp;"-"&amp;$M45&amp;"_new",Ammortamento_Finanziario!$H:$L,5,FALSE),VLOOKUP($M45,TT_Tabelle_Riferimento!$D$127:$H$164,5,FALSE))</f>
        <v>8</v>
      </c>
      <c r="RE45" s="904">
        <f>+IFERROR(VLOOKUP(RE$27&amp;"-"&amp;$M45&amp;"_new",Ammortamento_Finanziario!$H:$L,5,FALSE),VLOOKUP($M45,TT_Tabelle_Riferimento!$D$127:$H$164,5,FALSE))</f>
        <v>8</v>
      </c>
      <c r="RF45" s="904">
        <f>+IFERROR(VLOOKUP(RF$27&amp;"-"&amp;$M45&amp;"_new",Ammortamento_Finanziario!$H:$L,5,FALSE),VLOOKUP($M45,TT_Tabelle_Riferimento!$D$127:$H$164,5,FALSE))</f>
        <v>8</v>
      </c>
      <c r="RG45" s="904">
        <f>+IFERROR(VLOOKUP(RG$27&amp;"-"&amp;$M45&amp;"_new",Ammortamento_Finanziario!$H:$L,5,FALSE),VLOOKUP($M45,TT_Tabelle_Riferimento!$D$127:$H$164,5,FALSE))</f>
        <v>8</v>
      </c>
      <c r="RH45" s="904">
        <f>+IFERROR(VLOOKUP(RH$27&amp;"-"&amp;$M45&amp;"_new",Ammortamento_Finanziario!$H:$L,5,FALSE),VLOOKUP($M45,TT_Tabelle_Riferimento!$D$127:$H$164,5,FALSE))</f>
        <v>8</v>
      </c>
      <c r="RI45" s="904">
        <f>+IFERROR(VLOOKUP(RI$27&amp;"-"&amp;$M45&amp;"_new",Ammortamento_Finanziario!$H:$L,5,FALSE),VLOOKUP($M45,TT_Tabelle_Riferimento!$D$127:$H$164,5,FALSE))</f>
        <v>8</v>
      </c>
      <c r="RJ45" s="904">
        <f>+IFERROR(VLOOKUP(RJ$27&amp;"-"&amp;$M45&amp;"_new",Ammortamento_Finanziario!$H:$L,5,FALSE),VLOOKUP($M45,TT_Tabelle_Riferimento!$D$127:$H$164,5,FALSE))</f>
        <v>8</v>
      </c>
      <c r="RK45" s="904">
        <f>+IFERROR(VLOOKUP(RK$27&amp;"-"&amp;$M45&amp;"_new",Ammortamento_Finanziario!$H:$L,5,FALSE),VLOOKUP($M45,TT_Tabelle_Riferimento!$D$127:$H$164,5,FALSE))</f>
        <v>8</v>
      </c>
      <c r="RL45" s="904">
        <f>+IFERROR(VLOOKUP(RL$27&amp;"-"&amp;$M45&amp;"_new",Ammortamento_Finanziario!$H:$L,5,FALSE),VLOOKUP($M45,TT_Tabelle_Riferimento!$D$127:$H$164,5,FALSE))</f>
        <v>8</v>
      </c>
      <c r="RM45" s="904">
        <f>+IFERROR(VLOOKUP(RM$27&amp;"-"&amp;$M45&amp;"_new",Ammortamento_Finanziario!$H:$L,5,FALSE),VLOOKUP($M45,TT_Tabelle_Riferimento!$D$127:$H$164,5,FALSE))</f>
        <v>8</v>
      </c>
      <c r="RN45" s="904">
        <f>+IFERROR(VLOOKUP(RN$27&amp;"-"&amp;$M45&amp;"_new",Ammortamento_Finanziario!$H:$L,5,FALSE),VLOOKUP($M45,TT_Tabelle_Riferimento!$D$127:$H$164,5,FALSE))</f>
        <v>8</v>
      </c>
      <c r="RO45" s="904">
        <f>+IFERROR(VLOOKUP(RO$27&amp;"-"&amp;$M45&amp;"_new",Ammortamento_Finanziario!$H:$L,5,FALSE),VLOOKUP($M45,TT_Tabelle_Riferimento!$D$127:$H$164,5,FALSE))</f>
        <v>8</v>
      </c>
      <c r="RP45" s="904">
        <f>+IFERROR(VLOOKUP(RP$27&amp;"-"&amp;$M45&amp;"_new",Ammortamento_Finanziario!$H:$L,5,FALSE),VLOOKUP($M45,TT_Tabelle_Riferimento!$D$127:$H$164,5,FALSE))</f>
        <v>8</v>
      </c>
      <c r="RQ45" s="904">
        <f>+IFERROR(VLOOKUP(RQ$27&amp;"-"&amp;$M45&amp;"_new",Ammortamento_Finanziario!$H:$L,5,FALSE),VLOOKUP($M45,TT_Tabelle_Riferimento!$D$127:$H$164,5,FALSE))</f>
        <v>8</v>
      </c>
      <c r="RR45" s="904">
        <f>+IFERROR(VLOOKUP(RR$27&amp;"-"&amp;$M45&amp;"_new",Ammortamento_Finanziario!$H:$L,5,FALSE),VLOOKUP($M45,TT_Tabelle_Riferimento!$D$127:$H$164,5,FALSE))</f>
        <v>8</v>
      </c>
      <c r="RS45" s="904">
        <f>+IFERROR(VLOOKUP(RS$27&amp;"-"&amp;$M45&amp;"_new",Ammortamento_Finanziario!$H:$L,5,FALSE),VLOOKUP($M45,TT_Tabelle_Riferimento!$D$127:$H$164,5,FALSE))</f>
        <v>8</v>
      </c>
      <c r="RT45" s="904">
        <f>+IFERROR(VLOOKUP(RT$27&amp;"-"&amp;$M45&amp;"_new",Ammortamento_Finanziario!$H:$L,5,FALSE),VLOOKUP($M45,TT_Tabelle_Riferimento!$D$127:$H$164,5,FALSE))</f>
        <v>8</v>
      </c>
      <c r="RU45" s="904">
        <f>+IFERROR(VLOOKUP(RU$27&amp;"-"&amp;$M45&amp;"_new",Ammortamento_Finanziario!$H:$L,5,FALSE),VLOOKUP($M45,TT_Tabelle_Riferimento!$D$127:$H$164,5,FALSE))</f>
        <v>8</v>
      </c>
      <c r="RV45" s="904">
        <f>+IFERROR(VLOOKUP(RV$27&amp;"-"&amp;$M45&amp;"_new",Ammortamento_Finanziario!$H:$L,5,FALSE),VLOOKUP($M45,TT_Tabelle_Riferimento!$D$127:$H$164,5,FALSE))</f>
        <v>8</v>
      </c>
    </row>
    <row r="46" spans="4:490">
      <c r="D46" s="135" t="s">
        <v>22700</v>
      </c>
      <c r="E46" s="719">
        <f>+SUMIFS(IMN_gestore!U:U,IMN_gestore!$G:$G,"Env")</f>
        <v>0</v>
      </c>
      <c r="F46" s="719">
        <f>+SUMIFS(IMN_gestore!AF:AF,IMN_gestore!$G:$G,"Env")</f>
        <v>0</v>
      </c>
      <c r="G46" s="719">
        <f>+SUMIFS(IMN_gestore!AQ:AQ,IMN_gestore!$G:$G,"Env")</f>
        <v>0</v>
      </c>
      <c r="H46" s="719">
        <f>+SUMIFS(IMN_gestore!BB:BB,IMN_gestore!$G:$G,"Env")</f>
        <v>0</v>
      </c>
      <c r="I46" s="719">
        <f>+SUMIFS(IMN_gestore!$BM:$BM,IMN_gestore!$G:$G,"Env")</f>
        <v>0</v>
      </c>
      <c r="J46" s="719">
        <f>+SUMIFS(IMN_gestore!$BX:$BX,IMN_gestore!$G:$G,"Env")</f>
        <v>0</v>
      </c>
      <c r="M46" s="1756">
        <v>19</v>
      </c>
      <c r="N46" s="1759">
        <v>0</v>
      </c>
      <c r="O46" s="1759">
        <v>0</v>
      </c>
      <c r="P46" s="1759">
        <v>0</v>
      </c>
      <c r="Q46" s="1759">
        <v>0</v>
      </c>
      <c r="R46" s="1759">
        <v>0</v>
      </c>
      <c r="S46" s="1759">
        <v>0</v>
      </c>
      <c r="T46" s="1759">
        <v>0</v>
      </c>
      <c r="U46" s="1759">
        <v>0</v>
      </c>
      <c r="V46" s="1759">
        <v>0</v>
      </c>
      <c r="W46" s="1759">
        <v>0</v>
      </c>
      <c r="X46" s="1759">
        <v>0</v>
      </c>
      <c r="Y46" s="1759">
        <v>0</v>
      </c>
      <c r="Z46" s="1759">
        <v>0</v>
      </c>
      <c r="AA46" s="1759">
        <v>0</v>
      </c>
      <c r="AB46" s="1759">
        <v>0</v>
      </c>
      <c r="AC46" s="1759">
        <v>0</v>
      </c>
      <c r="AD46" s="1759">
        <v>0</v>
      </c>
      <c r="AE46" s="1759">
        <v>0</v>
      </c>
      <c r="AF46" s="1759">
        <v>0</v>
      </c>
      <c r="AG46" s="1759">
        <v>0</v>
      </c>
      <c r="AH46" s="1759">
        <v>0</v>
      </c>
      <c r="AI46" s="1759">
        <v>0</v>
      </c>
      <c r="AJ46" s="1759">
        <v>0</v>
      </c>
      <c r="AK46" s="1759">
        <v>0</v>
      </c>
      <c r="AL46" s="1759">
        <v>0</v>
      </c>
      <c r="AM46" s="1759">
        <v>0</v>
      </c>
      <c r="AN46" s="1759">
        <v>0</v>
      </c>
      <c r="AO46" s="1759">
        <v>0</v>
      </c>
      <c r="AP46" s="1759">
        <v>0</v>
      </c>
      <c r="AQ46" s="1759">
        <v>0</v>
      </c>
      <c r="AR46" s="1759">
        <v>0</v>
      </c>
      <c r="AS46" s="1759">
        <v>0</v>
      </c>
      <c r="AT46" s="1759">
        <v>0</v>
      </c>
      <c r="AU46" s="1759">
        <v>0</v>
      </c>
      <c r="AV46" s="1759">
        <v>0</v>
      </c>
      <c r="AW46" s="1759">
        <v>0</v>
      </c>
      <c r="AX46" s="1759">
        <v>0</v>
      </c>
      <c r="AY46" s="1759">
        <v>0</v>
      </c>
      <c r="AZ46" s="1759">
        <v>0</v>
      </c>
      <c r="BA46" s="1759">
        <v>0</v>
      </c>
      <c r="BB46" s="1759">
        <v>0</v>
      </c>
      <c r="BC46" s="1759">
        <v>0</v>
      </c>
      <c r="BD46" s="1759">
        <v>0</v>
      </c>
      <c r="BE46" s="1759">
        <v>0</v>
      </c>
      <c r="BF46" s="1759">
        <v>0</v>
      </c>
      <c r="BG46" s="1759">
        <v>0</v>
      </c>
      <c r="BH46" s="1759">
        <v>0</v>
      </c>
      <c r="BI46" s="1759">
        <v>0</v>
      </c>
      <c r="BJ46" s="1759">
        <v>0</v>
      </c>
      <c r="BK46" s="1759">
        <v>0</v>
      </c>
      <c r="BL46" s="1759">
        <v>0</v>
      </c>
      <c r="BM46" s="1759">
        <v>0</v>
      </c>
      <c r="BN46" s="1759">
        <v>0</v>
      </c>
      <c r="BO46" s="1759">
        <v>0</v>
      </c>
      <c r="BP46" s="1759">
        <v>0</v>
      </c>
      <c r="BQ46" s="1759">
        <v>0</v>
      </c>
      <c r="BR46" s="1759">
        <v>0</v>
      </c>
      <c r="BS46" s="1759">
        <v>0</v>
      </c>
      <c r="BT46" s="1759">
        <v>0</v>
      </c>
      <c r="BU46" s="1759">
        <v>0</v>
      </c>
      <c r="BV46" s="1759">
        <v>0</v>
      </c>
      <c r="BW46" s="1759">
        <v>0</v>
      </c>
      <c r="BX46" s="1759">
        <v>0</v>
      </c>
      <c r="BY46" s="1759">
        <v>0</v>
      </c>
      <c r="BZ46" s="1759">
        <v>0</v>
      </c>
      <c r="CA46" s="1759">
        <v>0</v>
      </c>
      <c r="CB46" s="1759">
        <v>0</v>
      </c>
      <c r="CC46" s="1759">
        <v>0</v>
      </c>
      <c r="CD46" s="1759">
        <v>0</v>
      </c>
      <c r="CE46" s="1759">
        <v>0</v>
      </c>
      <c r="CF46" s="1759">
        <v>0</v>
      </c>
      <c r="CG46" s="1759">
        <v>0</v>
      </c>
      <c r="CH46" s="1759">
        <v>0</v>
      </c>
      <c r="CI46" s="1759">
        <v>0</v>
      </c>
      <c r="CJ46" s="1759">
        <v>0</v>
      </c>
      <c r="CK46" s="1759">
        <v>0</v>
      </c>
      <c r="CL46" s="1759">
        <v>0</v>
      </c>
      <c r="CM46" s="1759">
        <v>0</v>
      </c>
      <c r="CN46" s="1759">
        <v>0</v>
      </c>
      <c r="CO46" s="1759">
        <v>0</v>
      </c>
      <c r="CP46" s="1759">
        <v>0</v>
      </c>
      <c r="CQ46" s="1759">
        <v>0</v>
      </c>
      <c r="CR46" s="1759">
        <v>0</v>
      </c>
      <c r="CS46" s="1759">
        <v>0</v>
      </c>
      <c r="CT46" s="1759">
        <v>0</v>
      </c>
      <c r="CU46" s="1759">
        <v>0</v>
      </c>
      <c r="CV46" s="1759">
        <v>0</v>
      </c>
      <c r="CW46" s="1759">
        <v>0</v>
      </c>
      <c r="CX46" s="1759">
        <v>0</v>
      </c>
      <c r="CY46" s="1759">
        <v>0</v>
      </c>
      <c r="CZ46" s="1759">
        <v>0</v>
      </c>
      <c r="DA46" s="1759">
        <v>0</v>
      </c>
      <c r="DB46" s="1759">
        <v>0</v>
      </c>
      <c r="DC46" s="1759">
        <v>0</v>
      </c>
      <c r="DD46" s="1759">
        <v>0</v>
      </c>
      <c r="DE46" s="1759">
        <v>0</v>
      </c>
      <c r="DF46" s="1759">
        <v>0</v>
      </c>
      <c r="DG46" s="1759">
        <v>0</v>
      </c>
      <c r="DH46" s="1759">
        <v>0</v>
      </c>
      <c r="DI46" s="1759">
        <v>0</v>
      </c>
      <c r="DJ46" s="1759">
        <v>0</v>
      </c>
      <c r="DK46" s="1759">
        <v>0</v>
      </c>
      <c r="DL46" s="1759">
        <v>0</v>
      </c>
      <c r="DM46" s="1759">
        <v>0</v>
      </c>
      <c r="DN46" s="1759">
        <v>0</v>
      </c>
      <c r="DO46" s="1759">
        <v>0</v>
      </c>
      <c r="DP46" s="1759">
        <v>0</v>
      </c>
      <c r="DQ46" s="1759">
        <v>0</v>
      </c>
      <c r="DR46" s="1759">
        <v>0</v>
      </c>
      <c r="DS46" s="1759">
        <v>0</v>
      </c>
      <c r="DT46" s="1759">
        <v>0</v>
      </c>
      <c r="DU46" s="1759">
        <v>0</v>
      </c>
      <c r="DV46" s="1759">
        <v>0</v>
      </c>
      <c r="DW46" s="1759">
        <v>0</v>
      </c>
      <c r="DX46" s="1759">
        <v>0</v>
      </c>
      <c r="DY46" s="1759">
        <v>0</v>
      </c>
      <c r="DZ46" s="1759">
        <v>0</v>
      </c>
      <c r="EA46" s="1759">
        <v>0</v>
      </c>
      <c r="EB46" s="1759">
        <v>0</v>
      </c>
      <c r="EC46" s="1759">
        <v>0</v>
      </c>
      <c r="ED46" s="1759">
        <v>0</v>
      </c>
      <c r="EE46" s="1759">
        <v>0</v>
      </c>
      <c r="EF46" s="1759">
        <v>0</v>
      </c>
      <c r="EG46" s="1759">
        <v>0</v>
      </c>
      <c r="EH46" s="1759">
        <v>0</v>
      </c>
      <c r="EI46" s="1759">
        <v>0</v>
      </c>
      <c r="EJ46" s="1759">
        <v>0</v>
      </c>
      <c r="EK46" s="1759">
        <v>0</v>
      </c>
      <c r="EL46" s="1759">
        <v>0</v>
      </c>
      <c r="EM46" s="1759">
        <v>0</v>
      </c>
      <c r="EN46" s="1759">
        <v>0</v>
      </c>
      <c r="EO46" s="1759">
        <v>0</v>
      </c>
      <c r="EP46" s="1759">
        <v>0</v>
      </c>
      <c r="EQ46" s="1759">
        <v>0</v>
      </c>
      <c r="ER46" s="1759">
        <v>0</v>
      </c>
      <c r="ES46" s="1759">
        <v>0</v>
      </c>
      <c r="ET46" s="1759">
        <v>0</v>
      </c>
      <c r="EU46" s="1759">
        <v>0</v>
      </c>
      <c r="EV46" s="1759">
        <v>0</v>
      </c>
      <c r="EW46" s="1759">
        <v>0</v>
      </c>
      <c r="EX46" s="1759">
        <v>0</v>
      </c>
      <c r="EY46" s="1759">
        <v>0</v>
      </c>
      <c r="EZ46" s="1759">
        <v>0</v>
      </c>
      <c r="FA46" s="1759">
        <v>0</v>
      </c>
      <c r="FB46" s="1759">
        <v>0</v>
      </c>
      <c r="FC46" s="1759">
        <v>0</v>
      </c>
      <c r="FD46" s="1759">
        <v>0</v>
      </c>
      <c r="FE46" s="1759">
        <v>0</v>
      </c>
      <c r="FF46" s="1759">
        <v>0</v>
      </c>
      <c r="FG46" s="1759">
        <v>0</v>
      </c>
      <c r="FH46" s="1759">
        <v>0</v>
      </c>
      <c r="FI46" s="1759">
        <v>0</v>
      </c>
      <c r="FJ46" s="1759">
        <v>0</v>
      </c>
      <c r="FK46" s="1759">
        <v>0</v>
      </c>
      <c r="FL46" s="1759">
        <v>0</v>
      </c>
      <c r="FM46" s="1759">
        <v>0</v>
      </c>
      <c r="FN46" s="1759">
        <v>0</v>
      </c>
      <c r="FO46" s="1759">
        <v>0</v>
      </c>
      <c r="FP46" s="1759">
        <v>0</v>
      </c>
      <c r="FQ46" s="1759">
        <v>0</v>
      </c>
      <c r="FR46" s="1759">
        <v>0</v>
      </c>
      <c r="FS46" s="1759">
        <v>0</v>
      </c>
      <c r="FT46" s="1759">
        <v>0</v>
      </c>
      <c r="FU46" s="1759">
        <v>0</v>
      </c>
      <c r="FV46" s="1759">
        <v>0</v>
      </c>
      <c r="FW46" s="1759">
        <v>0</v>
      </c>
      <c r="FX46" s="1759">
        <v>0</v>
      </c>
      <c r="FY46" s="1759">
        <v>0</v>
      </c>
      <c r="FZ46" s="1759">
        <v>0</v>
      </c>
      <c r="GA46" s="1759">
        <v>0</v>
      </c>
      <c r="GB46" s="1759">
        <v>0</v>
      </c>
      <c r="GC46" s="1759">
        <v>0</v>
      </c>
      <c r="GD46" s="1759">
        <v>0</v>
      </c>
      <c r="GE46" s="1759">
        <v>0</v>
      </c>
      <c r="GF46" s="1759">
        <v>0</v>
      </c>
      <c r="GG46" s="1759">
        <v>0</v>
      </c>
      <c r="GH46" s="1759">
        <v>0</v>
      </c>
      <c r="GI46" s="1759">
        <v>0</v>
      </c>
      <c r="GJ46" s="1759">
        <v>0</v>
      </c>
      <c r="GK46" s="1759">
        <v>0</v>
      </c>
      <c r="GL46" s="1759">
        <v>0</v>
      </c>
      <c r="GM46" s="1759">
        <v>0</v>
      </c>
      <c r="GN46" s="1759">
        <v>0</v>
      </c>
      <c r="GO46" s="1759">
        <v>0</v>
      </c>
      <c r="GP46" s="1759">
        <v>0</v>
      </c>
      <c r="GQ46" s="1759">
        <v>0</v>
      </c>
      <c r="GR46" s="1759">
        <v>0</v>
      </c>
      <c r="GS46" s="1759">
        <v>0</v>
      </c>
      <c r="GT46" s="1759">
        <v>0</v>
      </c>
      <c r="GU46" s="1759">
        <v>0</v>
      </c>
      <c r="GV46" s="1759">
        <v>0</v>
      </c>
      <c r="GW46" s="1759">
        <v>0</v>
      </c>
      <c r="GX46" s="1759">
        <v>0</v>
      </c>
      <c r="GY46" s="1759">
        <v>0</v>
      </c>
      <c r="GZ46" s="1759">
        <v>0</v>
      </c>
      <c r="HA46" s="1759">
        <v>0</v>
      </c>
      <c r="HB46" s="1759">
        <v>0</v>
      </c>
      <c r="HC46" s="1759">
        <v>0</v>
      </c>
      <c r="HD46" s="1759">
        <v>0</v>
      </c>
      <c r="HE46" s="1759">
        <v>0</v>
      </c>
      <c r="HF46" s="1759">
        <v>0</v>
      </c>
      <c r="HG46" s="1759">
        <v>0</v>
      </c>
      <c r="HH46" s="1759">
        <v>0</v>
      </c>
      <c r="HI46" s="1759">
        <v>0</v>
      </c>
      <c r="HJ46" s="1759">
        <v>0</v>
      </c>
      <c r="HK46" s="1759">
        <v>0</v>
      </c>
      <c r="HL46" s="1759">
        <v>0</v>
      </c>
      <c r="HM46" s="1759">
        <v>0</v>
      </c>
      <c r="HN46" s="1759">
        <v>0</v>
      </c>
      <c r="HO46" s="1759">
        <v>0</v>
      </c>
      <c r="HP46" s="1759">
        <v>0</v>
      </c>
      <c r="HQ46" s="1759">
        <v>0</v>
      </c>
      <c r="HR46" s="1759">
        <v>0</v>
      </c>
      <c r="HS46" s="1759">
        <v>0</v>
      </c>
      <c r="HT46" s="1759">
        <v>0</v>
      </c>
      <c r="HU46" s="1759">
        <v>0</v>
      </c>
      <c r="HV46" s="1759">
        <v>0</v>
      </c>
      <c r="HW46" s="1759">
        <v>0</v>
      </c>
      <c r="HX46" s="1759">
        <v>0</v>
      </c>
      <c r="HY46" s="1759">
        <v>0</v>
      </c>
      <c r="HZ46" s="1759">
        <v>0</v>
      </c>
      <c r="IA46" s="1759">
        <v>0</v>
      </c>
      <c r="IB46" s="1759">
        <v>0</v>
      </c>
      <c r="IC46" s="1759">
        <v>0</v>
      </c>
      <c r="ID46" s="1759">
        <v>0</v>
      </c>
      <c r="IE46" s="1759">
        <v>0</v>
      </c>
      <c r="IF46" s="1759">
        <v>0</v>
      </c>
      <c r="IG46" s="1759">
        <v>0</v>
      </c>
      <c r="IH46" s="1759">
        <v>0</v>
      </c>
      <c r="II46" s="1759">
        <v>0</v>
      </c>
      <c r="IJ46" s="1759">
        <v>0</v>
      </c>
      <c r="IK46" s="1759">
        <v>0</v>
      </c>
      <c r="IL46" s="1759">
        <v>0</v>
      </c>
      <c r="IM46" s="1759">
        <v>0</v>
      </c>
      <c r="IN46" s="1759">
        <v>0</v>
      </c>
      <c r="IO46" s="1759">
        <v>0</v>
      </c>
      <c r="IP46" s="1759">
        <v>0</v>
      </c>
      <c r="IQ46" s="1759">
        <v>0</v>
      </c>
      <c r="IR46" s="1759">
        <v>0</v>
      </c>
      <c r="IS46" s="1759">
        <v>0</v>
      </c>
      <c r="IT46" s="1759">
        <v>0</v>
      </c>
      <c r="IU46" s="1759">
        <v>0</v>
      </c>
      <c r="IV46" s="1759">
        <v>0</v>
      </c>
      <c r="IW46" s="1759">
        <v>0</v>
      </c>
      <c r="IX46" s="1759">
        <v>0</v>
      </c>
      <c r="IY46" s="1759">
        <v>0</v>
      </c>
      <c r="IZ46" s="1759">
        <v>0</v>
      </c>
      <c r="JA46" s="1759">
        <v>0</v>
      </c>
      <c r="JB46" s="1759">
        <v>0</v>
      </c>
      <c r="JC46" s="1759">
        <v>0</v>
      </c>
      <c r="JD46" s="1759">
        <v>0</v>
      </c>
      <c r="JE46" s="1759">
        <v>0</v>
      </c>
      <c r="JF46" s="1759">
        <v>0</v>
      </c>
      <c r="JG46" s="1759">
        <v>0</v>
      </c>
      <c r="JH46" s="1759">
        <v>0</v>
      </c>
      <c r="JI46" s="1759">
        <v>0</v>
      </c>
      <c r="JJ46" s="1759">
        <v>0</v>
      </c>
      <c r="JK46" s="1759">
        <v>0</v>
      </c>
      <c r="JL46" s="1759">
        <v>0</v>
      </c>
      <c r="JM46" s="1759">
        <v>0</v>
      </c>
      <c r="JN46" s="1759">
        <v>0</v>
      </c>
      <c r="JO46" s="1759">
        <v>0</v>
      </c>
      <c r="JP46" s="1759">
        <v>0</v>
      </c>
      <c r="JQ46" s="1759">
        <v>0</v>
      </c>
      <c r="JR46" s="1759">
        <v>0</v>
      </c>
      <c r="JS46" s="1759">
        <v>0</v>
      </c>
      <c r="JT46" s="1759">
        <v>0</v>
      </c>
      <c r="JU46" s="1759">
        <v>0</v>
      </c>
      <c r="JV46" s="1759">
        <v>0</v>
      </c>
      <c r="JW46" s="1759">
        <v>0</v>
      </c>
      <c r="JX46" s="1759">
        <v>0</v>
      </c>
      <c r="JY46" s="1759">
        <v>0</v>
      </c>
      <c r="JZ46" s="1759">
        <v>0</v>
      </c>
      <c r="KA46" s="1759">
        <v>0</v>
      </c>
      <c r="KB46" s="1759">
        <v>0</v>
      </c>
      <c r="KC46" s="1759">
        <v>0</v>
      </c>
      <c r="KD46" s="1759">
        <v>0</v>
      </c>
      <c r="KE46" s="1759">
        <v>0</v>
      </c>
      <c r="KF46" s="1759">
        <v>0</v>
      </c>
      <c r="KG46" s="1759">
        <v>0</v>
      </c>
      <c r="KH46" s="1759">
        <v>0</v>
      </c>
      <c r="KI46" s="1759">
        <v>0</v>
      </c>
      <c r="KJ46" s="1759">
        <v>0</v>
      </c>
      <c r="KK46" s="1759">
        <v>0</v>
      </c>
      <c r="KL46" s="1759">
        <v>0</v>
      </c>
      <c r="KM46" s="1759">
        <v>0</v>
      </c>
      <c r="KN46" s="1759">
        <v>0</v>
      </c>
      <c r="KO46" s="1759">
        <v>0</v>
      </c>
      <c r="KP46" s="1759">
        <v>0</v>
      </c>
      <c r="KQ46" s="904">
        <f>+IFERROR(VLOOKUP(KQ$27&amp;"-"&amp;$M46&amp;"_new",Ammortamento_Finanziario!$H:$L,5,FALSE),VLOOKUP($M46,TT_Tabelle_Riferimento!$D$127:$H$164,5,FALSE))</f>
        <v>8</v>
      </c>
      <c r="KR46" s="904">
        <f>+IFERROR(VLOOKUP(KR$27&amp;"-"&amp;$M46&amp;"_new",Ammortamento_Finanziario!$H:$L,5,FALSE),VLOOKUP($M46,TT_Tabelle_Riferimento!$D$127:$H$164,5,FALSE))</f>
        <v>8</v>
      </c>
      <c r="KS46" s="1762">
        <f>+IFERROR(VLOOKUP(KS$27&amp;"-"&amp;$M46&amp;"_new",Ammortamento_Finanziario!$H:$L,5,FALSE),VLOOKUP($M46,TT_Tabelle_Riferimento!$D$127:$H$164,5,FALSE))</f>
        <v>8</v>
      </c>
      <c r="KT46" s="1762">
        <f>+IFERROR(VLOOKUP(KT$27&amp;"-"&amp;$M46&amp;"_new",Ammortamento_Finanziario!$H:$L,5,FALSE),VLOOKUP($M46,TT_Tabelle_Riferimento!$D$127:$H$164,5,FALSE))</f>
        <v>8</v>
      </c>
      <c r="KU46" s="1762">
        <f>+IFERROR(VLOOKUP(KU$27&amp;"-"&amp;$M46&amp;"_new",Ammortamento_Finanziario!$H:$L,5,FALSE),VLOOKUP($M46,TT_Tabelle_Riferimento!$D$127:$H$164,5,FALSE))</f>
        <v>8</v>
      </c>
      <c r="KV46" s="1762">
        <f>+IFERROR(VLOOKUP(KV$27&amp;"-"&amp;$M46&amp;"_new",Ammortamento_Finanziario!$H:$L,5,FALSE),VLOOKUP($M46,TT_Tabelle_Riferimento!$D$127:$H$164,5,FALSE))</f>
        <v>8</v>
      </c>
      <c r="KW46" s="1762">
        <f>+IFERROR(VLOOKUP(KW$27&amp;"-"&amp;$M46&amp;"_new",Ammortamento_Finanziario!$H:$L,5,FALSE),VLOOKUP($M46,TT_Tabelle_Riferimento!$D$127:$H$164,5,FALSE))</f>
        <v>8</v>
      </c>
      <c r="KX46" s="1762">
        <f>+IFERROR(VLOOKUP(KX$27&amp;"-"&amp;$M46&amp;"_new",Ammortamento_Finanziario!$H:$L,5,FALSE),VLOOKUP($M46,TT_Tabelle_Riferimento!$D$127:$H$164,5,FALSE))</f>
        <v>8</v>
      </c>
      <c r="KY46" s="904">
        <f>+IFERROR(VLOOKUP(KY$27&amp;"-"&amp;$M46&amp;"_new",Ammortamento_Finanziario!$H:$L,5,FALSE),VLOOKUP($M46,TT_Tabelle_Riferimento!$D$127:$H$164,5,FALSE))</f>
        <v>8</v>
      </c>
      <c r="KZ46" s="904">
        <f>+IFERROR(VLOOKUP(KZ$27&amp;"-"&amp;$M46&amp;"_new",Ammortamento_Finanziario!$H:$L,5,FALSE),VLOOKUP($M46,TT_Tabelle_Riferimento!$D$127:$H$164,5,FALSE))</f>
        <v>8</v>
      </c>
      <c r="LA46" s="904">
        <f>+IFERROR(VLOOKUP(LA$27&amp;"-"&amp;$M46&amp;"_new",Ammortamento_Finanziario!$H:$L,5,FALSE),VLOOKUP($M46,TT_Tabelle_Riferimento!$D$127:$H$164,5,FALSE))</f>
        <v>8</v>
      </c>
      <c r="LB46" s="904">
        <f>+IFERROR(VLOOKUP(LB$27&amp;"-"&amp;$M46&amp;"_new",Ammortamento_Finanziario!$H:$L,5,FALSE),VLOOKUP($M46,TT_Tabelle_Riferimento!$D$127:$H$164,5,FALSE))</f>
        <v>8</v>
      </c>
      <c r="LC46" s="904">
        <f>+IFERROR(VLOOKUP(LC$27&amp;"-"&amp;$M46&amp;"_new",Ammortamento_Finanziario!$H:$L,5,FALSE),VLOOKUP($M46,TT_Tabelle_Riferimento!$D$127:$H$164,5,FALSE))</f>
        <v>8</v>
      </c>
      <c r="LD46" s="904">
        <f>+IFERROR(VLOOKUP(LD$27&amp;"-"&amp;$M46&amp;"_new",Ammortamento_Finanziario!$H:$L,5,FALSE),VLOOKUP($M46,TT_Tabelle_Riferimento!$D$127:$H$164,5,FALSE))</f>
        <v>8</v>
      </c>
      <c r="LE46" s="904">
        <f>+IFERROR(VLOOKUP(LE$27&amp;"-"&amp;$M46&amp;"_new",Ammortamento_Finanziario!$H:$L,5,FALSE),VLOOKUP($M46,TT_Tabelle_Riferimento!$D$127:$H$164,5,FALSE))</f>
        <v>8</v>
      </c>
      <c r="LF46" s="904">
        <f>+IFERROR(VLOOKUP(LF$27&amp;"-"&amp;$M46&amp;"_new",Ammortamento_Finanziario!$H:$L,5,FALSE),VLOOKUP($M46,TT_Tabelle_Riferimento!$D$127:$H$164,5,FALSE))</f>
        <v>8</v>
      </c>
      <c r="LG46" s="904">
        <f>+IFERROR(VLOOKUP(LG$27&amp;"-"&amp;$M46&amp;"_new",Ammortamento_Finanziario!$H:$L,5,FALSE),VLOOKUP($M46,TT_Tabelle_Riferimento!$D$127:$H$164,5,FALSE))</f>
        <v>8</v>
      </c>
      <c r="LH46" s="904">
        <f>+IFERROR(VLOOKUP(LH$27&amp;"-"&amp;$M46&amp;"_new",Ammortamento_Finanziario!$H:$L,5,FALSE),VLOOKUP($M46,TT_Tabelle_Riferimento!$D$127:$H$164,5,FALSE))</f>
        <v>8</v>
      </c>
      <c r="LI46" s="904">
        <f>+IFERROR(VLOOKUP(LI$27&amp;"-"&amp;$M46&amp;"_new",Ammortamento_Finanziario!$H:$L,5,FALSE),VLOOKUP($M46,TT_Tabelle_Riferimento!$D$127:$H$164,5,FALSE))</f>
        <v>8</v>
      </c>
      <c r="LJ46" s="904">
        <f>+IFERROR(VLOOKUP(LJ$27&amp;"-"&amp;$M46&amp;"_new",Ammortamento_Finanziario!$H:$L,5,FALSE),VLOOKUP($M46,TT_Tabelle_Riferimento!$D$127:$H$164,5,FALSE))</f>
        <v>8</v>
      </c>
      <c r="LK46" s="904">
        <f>+IFERROR(VLOOKUP(LK$27&amp;"-"&amp;$M46&amp;"_new",Ammortamento_Finanziario!$H:$L,5,FALSE),VLOOKUP($M46,TT_Tabelle_Riferimento!$D$127:$H$164,5,FALSE))</f>
        <v>8</v>
      </c>
      <c r="LL46" s="904">
        <f>+IFERROR(VLOOKUP(LL$27&amp;"-"&amp;$M46&amp;"_new",Ammortamento_Finanziario!$H:$L,5,FALSE),VLOOKUP($M46,TT_Tabelle_Riferimento!$D$127:$H$164,5,FALSE))</f>
        <v>8</v>
      </c>
      <c r="LM46" s="904">
        <f>+IFERROR(VLOOKUP(LM$27&amp;"-"&amp;$M46&amp;"_new",Ammortamento_Finanziario!$H:$L,5,FALSE),VLOOKUP($M46,TT_Tabelle_Riferimento!$D$127:$H$164,5,FALSE))</f>
        <v>8</v>
      </c>
      <c r="LN46" s="904">
        <f>+IFERROR(VLOOKUP(LN$27&amp;"-"&amp;$M46&amp;"_new",Ammortamento_Finanziario!$H:$L,5,FALSE),VLOOKUP($M46,TT_Tabelle_Riferimento!$D$127:$H$164,5,FALSE))</f>
        <v>8</v>
      </c>
      <c r="LO46" s="904">
        <f>+IFERROR(VLOOKUP(LO$27&amp;"-"&amp;$M46&amp;"_new",Ammortamento_Finanziario!$H:$L,5,FALSE),VLOOKUP($M46,TT_Tabelle_Riferimento!$D$127:$H$164,5,FALSE))</f>
        <v>8</v>
      </c>
      <c r="LP46" s="904">
        <f>+IFERROR(VLOOKUP(LP$27&amp;"-"&amp;$M46&amp;"_new",Ammortamento_Finanziario!$H:$L,5,FALSE),VLOOKUP($M46,TT_Tabelle_Riferimento!$D$127:$H$164,5,FALSE))</f>
        <v>8</v>
      </c>
      <c r="LQ46" s="904">
        <f>+IFERROR(VLOOKUP(LQ$27&amp;"-"&amp;$M46&amp;"_new",Ammortamento_Finanziario!$H:$L,5,FALSE),VLOOKUP($M46,TT_Tabelle_Riferimento!$D$127:$H$164,5,FALSE))</f>
        <v>8</v>
      </c>
      <c r="LR46" s="904">
        <f>+IFERROR(VLOOKUP(LR$27&amp;"-"&amp;$M46&amp;"_new",Ammortamento_Finanziario!$H:$L,5,FALSE),VLOOKUP($M46,TT_Tabelle_Riferimento!$D$127:$H$164,5,FALSE))</f>
        <v>8</v>
      </c>
      <c r="LS46" s="1762">
        <f>+IFERROR(VLOOKUP(LS$27&amp;"-"&amp;$M46&amp;"_new",Ammortamento_Finanziario!$H:$L,5,FALSE),VLOOKUP($M46,TT_Tabelle_Riferimento!$D$127:$H$164,5,FALSE))</f>
        <v>8</v>
      </c>
      <c r="LT46" s="1762">
        <f>+IFERROR(VLOOKUP(LT$27&amp;"-"&amp;$M46&amp;"_new",Ammortamento_Finanziario!$H:$L,5,FALSE),VLOOKUP($M46,TT_Tabelle_Riferimento!$D$127:$H$164,5,FALSE))</f>
        <v>8</v>
      </c>
      <c r="LU46" s="1762">
        <f>+IFERROR(VLOOKUP(LU$27&amp;"-"&amp;$M46&amp;"_new",Ammortamento_Finanziario!$H:$L,5,FALSE),VLOOKUP($M46,TT_Tabelle_Riferimento!$D$127:$H$164,5,FALSE))</f>
        <v>8</v>
      </c>
      <c r="LV46" s="1762">
        <f>+IFERROR(VLOOKUP(LV$27&amp;"-"&amp;$M46&amp;"_new",Ammortamento_Finanziario!$H:$L,5,FALSE),VLOOKUP($M46,TT_Tabelle_Riferimento!$D$127:$H$164,5,FALSE))</f>
        <v>8</v>
      </c>
      <c r="LW46" s="1762">
        <f>+IFERROR(VLOOKUP(LW$27&amp;"-"&amp;$M46&amp;"_new",Ammortamento_Finanziario!$H:$L,5,FALSE),VLOOKUP($M46,TT_Tabelle_Riferimento!$D$127:$H$164,5,FALSE))</f>
        <v>8</v>
      </c>
      <c r="LX46" s="1762">
        <f>+IFERROR(VLOOKUP(LX$27&amp;"-"&amp;$M46&amp;"_new",Ammortamento_Finanziario!$H:$L,5,FALSE),VLOOKUP($M46,TT_Tabelle_Riferimento!$D$127:$H$164,5,FALSE))</f>
        <v>8</v>
      </c>
      <c r="LY46" s="904">
        <f>+IFERROR(VLOOKUP(LY$27&amp;"-"&amp;$M46&amp;"_new",Ammortamento_Finanziario!$H:$L,5,FALSE),VLOOKUP($M46,TT_Tabelle_Riferimento!$D$127:$H$164,5,FALSE))</f>
        <v>8</v>
      </c>
      <c r="LZ46" s="904">
        <f>+IFERROR(VLOOKUP(LZ$27&amp;"-"&amp;$M46&amp;"_new",Ammortamento_Finanziario!$H:$L,5,FALSE),VLOOKUP($M46,TT_Tabelle_Riferimento!$D$127:$H$164,5,FALSE))</f>
        <v>8</v>
      </c>
      <c r="MA46" s="904">
        <f>+IFERROR(VLOOKUP(MA$27&amp;"-"&amp;$M46&amp;"_new",Ammortamento_Finanziario!$H:$L,5,FALSE),VLOOKUP($M46,TT_Tabelle_Riferimento!$D$127:$H$164,5,FALSE))</f>
        <v>8</v>
      </c>
      <c r="MB46" s="904">
        <f>+IFERROR(VLOOKUP(MB$27&amp;"-"&amp;$M46&amp;"_new",Ammortamento_Finanziario!$H:$L,5,FALSE),VLOOKUP($M46,TT_Tabelle_Riferimento!$D$127:$H$164,5,FALSE))</f>
        <v>8</v>
      </c>
      <c r="MC46" s="904">
        <f>+IFERROR(VLOOKUP(MC$27&amp;"-"&amp;$M46&amp;"_new",Ammortamento_Finanziario!$H:$L,5,FALSE),VLOOKUP($M46,TT_Tabelle_Riferimento!$D$127:$H$164,5,FALSE))</f>
        <v>8</v>
      </c>
      <c r="MD46" s="904">
        <f>+IFERROR(VLOOKUP(MD$27&amp;"-"&amp;$M46&amp;"_new",Ammortamento_Finanziario!$H:$L,5,FALSE),VLOOKUP($M46,TT_Tabelle_Riferimento!$D$127:$H$164,5,FALSE))</f>
        <v>8</v>
      </c>
      <c r="ME46" s="904">
        <f>+IFERROR(VLOOKUP(ME$27&amp;"-"&amp;$M46&amp;"_new",Ammortamento_Finanziario!$H:$L,5,FALSE),VLOOKUP($M46,TT_Tabelle_Riferimento!$D$127:$H$164,5,FALSE))</f>
        <v>8</v>
      </c>
      <c r="MF46" s="904">
        <f>+IFERROR(VLOOKUP(MF$27&amp;"-"&amp;$M46&amp;"_new",Ammortamento_Finanziario!$H:$L,5,FALSE),VLOOKUP($M46,TT_Tabelle_Riferimento!$D$127:$H$164,5,FALSE))</f>
        <v>8</v>
      </c>
      <c r="MG46" s="904">
        <f>+IFERROR(VLOOKUP(MG$27&amp;"-"&amp;$M46&amp;"_new",Ammortamento_Finanziario!$H:$L,5,FALSE),VLOOKUP($M46,TT_Tabelle_Riferimento!$D$127:$H$164,5,FALSE))</f>
        <v>8</v>
      </c>
      <c r="MH46" s="904">
        <f>+IFERROR(VLOOKUP(MH$27&amp;"-"&amp;$M46&amp;"_new",Ammortamento_Finanziario!$H:$L,5,FALSE),VLOOKUP($M46,TT_Tabelle_Riferimento!$D$127:$H$164,5,FALSE))</f>
        <v>8</v>
      </c>
      <c r="MI46" s="904">
        <f>+IFERROR(VLOOKUP(MI$27&amp;"-"&amp;$M46&amp;"_new",Ammortamento_Finanziario!$H:$L,5,FALSE),VLOOKUP($M46,TT_Tabelle_Riferimento!$D$127:$H$164,5,FALSE))</f>
        <v>8</v>
      </c>
      <c r="MJ46" s="904">
        <f>+IFERROR(VLOOKUP(MJ$27&amp;"-"&amp;$M46&amp;"_new",Ammortamento_Finanziario!$H:$L,5,FALSE),VLOOKUP($M46,TT_Tabelle_Riferimento!$D$127:$H$164,5,FALSE))</f>
        <v>8</v>
      </c>
      <c r="MK46" s="904">
        <f>+IFERROR(VLOOKUP(MK$27&amp;"-"&amp;$M46&amp;"_new",Ammortamento_Finanziario!$H:$L,5,FALSE),VLOOKUP($M46,TT_Tabelle_Riferimento!$D$127:$H$164,5,FALSE))</f>
        <v>8</v>
      </c>
      <c r="ML46" s="904">
        <f>+IFERROR(VLOOKUP(ML$27&amp;"-"&amp;$M46&amp;"_new",Ammortamento_Finanziario!$H:$L,5,FALSE),VLOOKUP($M46,TT_Tabelle_Riferimento!$D$127:$H$164,5,FALSE))</f>
        <v>8</v>
      </c>
      <c r="MM46" s="904">
        <f>+IFERROR(VLOOKUP(MM$27&amp;"-"&amp;$M46&amp;"_new",Ammortamento_Finanziario!$H:$L,5,FALSE),VLOOKUP($M46,TT_Tabelle_Riferimento!$D$127:$H$164,5,FALSE))</f>
        <v>8</v>
      </c>
      <c r="MN46" s="904">
        <f>+IFERROR(VLOOKUP(MN$27&amp;"-"&amp;$M46&amp;"_new",Ammortamento_Finanziario!$H:$L,5,FALSE),VLOOKUP($M46,TT_Tabelle_Riferimento!$D$127:$H$164,5,FALSE))</f>
        <v>8</v>
      </c>
      <c r="MO46" s="904">
        <f>+IFERROR(VLOOKUP(MO$27&amp;"-"&amp;$M46&amp;"_new",Ammortamento_Finanziario!$H:$L,5,FALSE),VLOOKUP($M46,TT_Tabelle_Riferimento!$D$127:$H$164,5,FALSE))</f>
        <v>8</v>
      </c>
      <c r="MP46" s="904">
        <f>+IFERROR(VLOOKUP(MP$27&amp;"-"&amp;$M46&amp;"_new",Ammortamento_Finanziario!$H:$L,5,FALSE),VLOOKUP($M46,TT_Tabelle_Riferimento!$D$127:$H$164,5,FALSE))</f>
        <v>8</v>
      </c>
      <c r="MQ46" s="904">
        <f>+IFERROR(VLOOKUP(MQ$27&amp;"-"&amp;$M46&amp;"_new",Ammortamento_Finanziario!$H:$L,5,FALSE),VLOOKUP($M46,TT_Tabelle_Riferimento!$D$127:$H$164,5,FALSE))</f>
        <v>8</v>
      </c>
      <c r="MR46" s="1762">
        <f>+IFERROR(VLOOKUP(MR$27&amp;"-"&amp;$M46&amp;"_new",Ammortamento_Finanziario!$H:$L,5,FALSE),VLOOKUP($M46,TT_Tabelle_Riferimento!$D$127:$H$164,5,FALSE))</f>
        <v>8</v>
      </c>
      <c r="MS46" s="1762">
        <f>+IFERROR(VLOOKUP(MS$27&amp;"-"&amp;$M46&amp;"_new",Ammortamento_Finanziario!$H:$L,5,FALSE),VLOOKUP($M46,TT_Tabelle_Riferimento!$D$127:$H$164,5,FALSE))</f>
        <v>8</v>
      </c>
      <c r="MT46" s="1762">
        <f>+IFERROR(VLOOKUP(MT$27&amp;"-"&amp;$M46&amp;"_new",Ammortamento_Finanziario!$H:$L,5,FALSE),VLOOKUP($M46,TT_Tabelle_Riferimento!$D$127:$H$164,5,FALSE))</f>
        <v>8</v>
      </c>
      <c r="MU46" s="1762">
        <f>+IFERROR(VLOOKUP(MU$27&amp;"-"&amp;$M46&amp;"_new",Ammortamento_Finanziario!$H:$L,5,FALSE),VLOOKUP($M46,TT_Tabelle_Riferimento!$D$127:$H$164,5,FALSE))</f>
        <v>8</v>
      </c>
      <c r="MV46" s="1762">
        <f>+IFERROR(VLOOKUP(MV$27&amp;"-"&amp;$M46&amp;"_new",Ammortamento_Finanziario!$H:$L,5,FALSE),VLOOKUP($M46,TT_Tabelle_Riferimento!$D$127:$H$164,5,FALSE))</f>
        <v>8</v>
      </c>
      <c r="MW46" s="1762">
        <f>+IFERROR(VLOOKUP(MW$27&amp;"-"&amp;$M46&amp;"_new",Ammortamento_Finanziario!$H:$L,5,FALSE),VLOOKUP($M46,TT_Tabelle_Riferimento!$D$127:$H$164,5,FALSE))</f>
        <v>8</v>
      </c>
      <c r="MX46" s="904">
        <f>+IFERROR(VLOOKUP(MX$27&amp;"-"&amp;$M46&amp;"_new",Ammortamento_Finanziario!$H:$L,5,FALSE),VLOOKUP($M46,TT_Tabelle_Riferimento!$D$127:$H$164,5,FALSE))</f>
        <v>8</v>
      </c>
      <c r="MY46" s="904">
        <f>+IFERROR(VLOOKUP(MY$27&amp;"-"&amp;$M46&amp;"_new",Ammortamento_Finanziario!$H:$L,5,FALSE),VLOOKUP($M46,TT_Tabelle_Riferimento!$D$127:$H$164,5,FALSE))</f>
        <v>8</v>
      </c>
      <c r="MZ46" s="904">
        <f>+IFERROR(VLOOKUP(MZ$27&amp;"-"&amp;$M46&amp;"_new",Ammortamento_Finanziario!$H:$L,5,FALSE),VLOOKUP($M46,TT_Tabelle_Riferimento!$D$127:$H$164,5,FALSE))</f>
        <v>8</v>
      </c>
      <c r="NA46" s="904">
        <f>+IFERROR(VLOOKUP(NA$27&amp;"-"&amp;$M46&amp;"_new",Ammortamento_Finanziario!$H:$L,5,FALSE),VLOOKUP($M46,TT_Tabelle_Riferimento!$D$127:$H$164,5,FALSE))</f>
        <v>8</v>
      </c>
      <c r="NB46" s="904">
        <f>+IFERROR(VLOOKUP(NB$27&amp;"-"&amp;$M46&amp;"_new",Ammortamento_Finanziario!$H:$L,5,FALSE),VLOOKUP($M46,TT_Tabelle_Riferimento!$D$127:$H$164,5,FALSE))</f>
        <v>8</v>
      </c>
      <c r="NC46" s="904">
        <f>+IFERROR(VLOOKUP(NC$27&amp;"-"&amp;$M46&amp;"_new",Ammortamento_Finanziario!$H:$L,5,FALSE),VLOOKUP($M46,TT_Tabelle_Riferimento!$D$127:$H$164,5,FALSE))</f>
        <v>8</v>
      </c>
      <c r="ND46" s="904">
        <f>+IFERROR(VLOOKUP(ND$27&amp;"-"&amp;$M46&amp;"_new",Ammortamento_Finanziario!$H:$L,5,FALSE),VLOOKUP($M46,TT_Tabelle_Riferimento!$D$127:$H$164,5,FALSE))</f>
        <v>8</v>
      </c>
      <c r="NE46" s="904">
        <f>+IFERROR(VLOOKUP(NE$27&amp;"-"&amp;$M46&amp;"_new",Ammortamento_Finanziario!$H:$L,5,FALSE),VLOOKUP($M46,TT_Tabelle_Riferimento!$D$127:$H$164,5,FALSE))</f>
        <v>8</v>
      </c>
      <c r="NF46" s="904">
        <f>+IFERROR(VLOOKUP(NF$27&amp;"-"&amp;$M46&amp;"_new",Ammortamento_Finanziario!$H:$L,5,FALSE),VLOOKUP($M46,TT_Tabelle_Riferimento!$D$127:$H$164,5,FALSE))</f>
        <v>8</v>
      </c>
      <c r="NG46" s="904">
        <f>+IFERROR(VLOOKUP(NG$27&amp;"-"&amp;$M46&amp;"_new",Ammortamento_Finanziario!$H:$L,5,FALSE),VLOOKUP($M46,TT_Tabelle_Riferimento!$D$127:$H$164,5,FALSE))</f>
        <v>8</v>
      </c>
      <c r="NH46" s="904">
        <f>+IFERROR(VLOOKUP(NH$27&amp;"-"&amp;$M46&amp;"_new",Ammortamento_Finanziario!$H:$L,5,FALSE),VLOOKUP($M46,TT_Tabelle_Riferimento!$D$127:$H$164,5,FALSE))</f>
        <v>8</v>
      </c>
      <c r="NI46" s="904">
        <f>+IFERROR(VLOOKUP(NI$27&amp;"-"&amp;$M46&amp;"_new",Ammortamento_Finanziario!$H:$L,5,FALSE),VLOOKUP($M46,TT_Tabelle_Riferimento!$D$127:$H$164,5,FALSE))</f>
        <v>8</v>
      </c>
      <c r="NJ46" s="904">
        <f>+IFERROR(VLOOKUP(NJ$27&amp;"-"&amp;$M46&amp;"_new",Ammortamento_Finanziario!$H:$L,5,FALSE),VLOOKUP($M46,TT_Tabelle_Riferimento!$D$127:$H$164,5,FALSE))</f>
        <v>8</v>
      </c>
      <c r="NK46" s="904">
        <f>+IFERROR(VLOOKUP(NK$27&amp;"-"&amp;$M46&amp;"_new",Ammortamento_Finanziario!$H:$L,5,FALSE),VLOOKUP($M46,TT_Tabelle_Riferimento!$D$127:$H$164,5,FALSE))</f>
        <v>8</v>
      </c>
      <c r="NL46" s="904">
        <f>+IFERROR(VLOOKUP(NL$27&amp;"-"&amp;$M46&amp;"_new",Ammortamento_Finanziario!$H:$L,5,FALSE),VLOOKUP($M46,TT_Tabelle_Riferimento!$D$127:$H$164,5,FALSE))</f>
        <v>8</v>
      </c>
      <c r="NM46" s="904">
        <f>+IFERROR(VLOOKUP(NM$27&amp;"-"&amp;$M46&amp;"_new",Ammortamento_Finanziario!$H:$L,5,FALSE),VLOOKUP($M46,TT_Tabelle_Riferimento!$D$127:$H$164,5,FALSE))</f>
        <v>8</v>
      </c>
      <c r="NN46" s="904">
        <f>+IFERROR(VLOOKUP(NN$27&amp;"-"&amp;$M46&amp;"_new",Ammortamento_Finanziario!$H:$L,5,FALSE),VLOOKUP($M46,TT_Tabelle_Riferimento!$D$127:$H$164,5,FALSE))</f>
        <v>8</v>
      </c>
      <c r="NO46" s="904">
        <f>+IFERROR(VLOOKUP(NO$27&amp;"-"&amp;$M46&amp;"_new",Ammortamento_Finanziario!$H:$L,5,FALSE),VLOOKUP($M46,TT_Tabelle_Riferimento!$D$127:$H$164,5,FALSE))</f>
        <v>8</v>
      </c>
      <c r="NP46" s="904">
        <f>+IFERROR(VLOOKUP(NP$27&amp;"-"&amp;$M46&amp;"_new",Ammortamento_Finanziario!$H:$L,5,FALSE),VLOOKUP($M46,TT_Tabelle_Riferimento!$D$127:$H$164,5,FALSE))</f>
        <v>8</v>
      </c>
      <c r="NQ46" s="1762">
        <f>+IFERROR(VLOOKUP(NQ$27&amp;"-"&amp;$M46&amp;"_new",Ammortamento_Finanziario!$H:$L,5,FALSE),VLOOKUP($M46,TT_Tabelle_Riferimento!$D$127:$H$164,5,FALSE))</f>
        <v>8</v>
      </c>
      <c r="NR46" s="1762">
        <f>+IFERROR(VLOOKUP(NR$27&amp;"-"&amp;$M46&amp;"_new",Ammortamento_Finanziario!$H:$L,5,FALSE),VLOOKUP($M46,TT_Tabelle_Riferimento!$D$127:$H$164,5,FALSE))</f>
        <v>8</v>
      </c>
      <c r="NS46" s="1762">
        <f>+IFERROR(VLOOKUP(NS$27&amp;"-"&amp;$M46&amp;"_new",Ammortamento_Finanziario!$H:$L,5,FALSE),VLOOKUP($M46,TT_Tabelle_Riferimento!$D$127:$H$164,5,FALSE))</f>
        <v>8</v>
      </c>
      <c r="NT46" s="1762">
        <f>+IFERROR(VLOOKUP(NT$27&amp;"-"&amp;$M46&amp;"_new",Ammortamento_Finanziario!$H:$L,5,FALSE),VLOOKUP($M46,TT_Tabelle_Riferimento!$D$127:$H$164,5,FALSE))</f>
        <v>8</v>
      </c>
      <c r="NU46" s="1762">
        <f>+IFERROR(VLOOKUP(NU$27&amp;"-"&amp;$M46&amp;"_new",Ammortamento_Finanziario!$H:$L,5,FALSE),VLOOKUP($M46,TT_Tabelle_Riferimento!$D$127:$H$164,5,FALSE))</f>
        <v>8</v>
      </c>
      <c r="NV46" s="904">
        <f>+IFERROR(VLOOKUP(NV$27&amp;"-"&amp;$M46&amp;"_new",Ammortamento_Finanziario!$H:$L,5,FALSE),VLOOKUP($M46,TT_Tabelle_Riferimento!$D$127:$H$164,5,FALSE))</f>
        <v>8</v>
      </c>
      <c r="NW46" s="904">
        <f>+IFERROR(VLOOKUP(NW$27&amp;"-"&amp;$M46&amp;"_new",Ammortamento_Finanziario!$H:$L,5,FALSE),VLOOKUP($M46,TT_Tabelle_Riferimento!$D$127:$H$164,5,FALSE))</f>
        <v>8</v>
      </c>
      <c r="NX46" s="904">
        <f>+IFERROR(VLOOKUP(NX$27&amp;"-"&amp;$M46&amp;"_new",Ammortamento_Finanziario!$H:$L,5,FALSE),VLOOKUP($M46,TT_Tabelle_Riferimento!$D$127:$H$164,5,FALSE))</f>
        <v>8</v>
      </c>
      <c r="NY46" s="904">
        <f>+IFERROR(VLOOKUP(NY$27&amp;"-"&amp;$M46&amp;"_new",Ammortamento_Finanziario!$H:$L,5,FALSE),VLOOKUP($M46,TT_Tabelle_Riferimento!$D$127:$H$164,5,FALSE))</f>
        <v>8</v>
      </c>
      <c r="NZ46" s="904">
        <f>+IFERROR(VLOOKUP(NZ$27&amp;"-"&amp;$M46&amp;"_new",Ammortamento_Finanziario!$H:$L,5,FALSE),VLOOKUP($M46,TT_Tabelle_Riferimento!$D$127:$H$164,5,FALSE))</f>
        <v>8</v>
      </c>
      <c r="OA46" s="904">
        <f>+IFERROR(VLOOKUP(OA$27&amp;"-"&amp;$M46&amp;"_new",Ammortamento_Finanziario!$H:$L,5,FALSE),VLOOKUP($M46,TT_Tabelle_Riferimento!$D$127:$H$164,5,FALSE))</f>
        <v>8</v>
      </c>
      <c r="OB46" s="904">
        <f>+IFERROR(VLOOKUP(OB$27&amp;"-"&amp;$M46&amp;"_new",Ammortamento_Finanziario!$H:$L,5,FALSE),VLOOKUP($M46,TT_Tabelle_Riferimento!$D$127:$H$164,5,FALSE))</f>
        <v>8</v>
      </c>
      <c r="OC46" s="904">
        <f>+IFERROR(VLOOKUP(OC$27&amp;"-"&amp;$M46&amp;"_new",Ammortamento_Finanziario!$H:$L,5,FALSE),VLOOKUP($M46,TT_Tabelle_Riferimento!$D$127:$H$164,5,FALSE))</f>
        <v>8</v>
      </c>
      <c r="OD46" s="904">
        <f>+IFERROR(VLOOKUP(OD$27&amp;"-"&amp;$M46&amp;"_new",Ammortamento_Finanziario!$H:$L,5,FALSE),VLOOKUP($M46,TT_Tabelle_Riferimento!$D$127:$H$164,5,FALSE))</f>
        <v>8</v>
      </c>
      <c r="OE46" s="904">
        <f>+IFERROR(VLOOKUP(OE$27&amp;"-"&amp;$M46&amp;"_new",Ammortamento_Finanziario!$H:$L,5,FALSE),VLOOKUP($M46,TT_Tabelle_Riferimento!$D$127:$H$164,5,FALSE))</f>
        <v>8</v>
      </c>
      <c r="OF46" s="904">
        <f>+IFERROR(VLOOKUP(OF$27&amp;"-"&amp;$M46&amp;"_new",Ammortamento_Finanziario!$H:$L,5,FALSE),VLOOKUP($M46,TT_Tabelle_Riferimento!$D$127:$H$164,5,FALSE))</f>
        <v>8</v>
      </c>
      <c r="OG46" s="904">
        <f>+IFERROR(VLOOKUP(OG$27&amp;"-"&amp;$M46&amp;"_new",Ammortamento_Finanziario!$H:$L,5,FALSE),VLOOKUP($M46,TT_Tabelle_Riferimento!$D$127:$H$164,5,FALSE))</f>
        <v>8</v>
      </c>
      <c r="OH46" s="904">
        <f>+IFERROR(VLOOKUP(OH$27&amp;"-"&amp;$M46&amp;"_new",Ammortamento_Finanziario!$H:$L,5,FALSE),VLOOKUP($M46,TT_Tabelle_Riferimento!$D$127:$H$164,5,FALSE))</f>
        <v>8</v>
      </c>
      <c r="OI46" s="904">
        <f>+IFERROR(VLOOKUP(OI$27&amp;"-"&amp;$M46&amp;"_new",Ammortamento_Finanziario!$H:$L,5,FALSE),VLOOKUP($M46,TT_Tabelle_Riferimento!$D$127:$H$164,5,FALSE))</f>
        <v>8</v>
      </c>
      <c r="OJ46" s="904">
        <f>+IFERROR(VLOOKUP(OJ$27&amp;"-"&amp;$M46&amp;"_new",Ammortamento_Finanziario!$H:$L,5,FALSE),VLOOKUP($M46,TT_Tabelle_Riferimento!$D$127:$H$164,5,FALSE))</f>
        <v>8</v>
      </c>
      <c r="OK46" s="904">
        <f>+IFERROR(VLOOKUP(OK$27&amp;"-"&amp;$M46&amp;"_new",Ammortamento_Finanziario!$H:$L,5,FALSE),VLOOKUP($M46,TT_Tabelle_Riferimento!$D$127:$H$164,5,FALSE))</f>
        <v>8</v>
      </c>
      <c r="OL46" s="904">
        <f>+IFERROR(VLOOKUP(OL$27&amp;"-"&amp;$M46&amp;"_new",Ammortamento_Finanziario!$H:$L,5,FALSE),VLOOKUP($M46,TT_Tabelle_Riferimento!$D$127:$H$164,5,FALSE))</f>
        <v>8</v>
      </c>
      <c r="OM46" s="904">
        <f>+IFERROR(VLOOKUP(OM$27&amp;"-"&amp;$M46&amp;"_new",Ammortamento_Finanziario!$H:$L,5,FALSE),VLOOKUP($M46,TT_Tabelle_Riferimento!$D$127:$H$164,5,FALSE))</f>
        <v>8</v>
      </c>
      <c r="ON46" s="904">
        <f>+IFERROR(VLOOKUP(ON$27&amp;"-"&amp;$M46&amp;"_new",Ammortamento_Finanziario!$H:$L,5,FALSE),VLOOKUP($M46,TT_Tabelle_Riferimento!$D$127:$H$164,5,FALSE))</f>
        <v>8</v>
      </c>
      <c r="OO46" s="1762">
        <f>+IFERROR(VLOOKUP(OO$27&amp;"-"&amp;$M46&amp;"_new",Ammortamento_Finanziario!$H:$L,5,FALSE),VLOOKUP($M46,TT_Tabelle_Riferimento!$D$127:$H$164,5,FALSE))</f>
        <v>8</v>
      </c>
      <c r="OP46" s="1762">
        <f>+IFERROR(VLOOKUP(OP$27&amp;"-"&amp;$M46&amp;"_new",Ammortamento_Finanziario!$H:$L,5,FALSE),VLOOKUP($M46,TT_Tabelle_Riferimento!$D$127:$H$164,5,FALSE))</f>
        <v>8</v>
      </c>
      <c r="OQ46" s="1762">
        <f>+IFERROR(VLOOKUP(OQ$27&amp;"-"&amp;$M46&amp;"_new",Ammortamento_Finanziario!$H:$L,5,FALSE),VLOOKUP($M46,TT_Tabelle_Riferimento!$D$127:$H$164,5,FALSE))</f>
        <v>8</v>
      </c>
      <c r="OR46" s="1762">
        <f>+IFERROR(VLOOKUP(OR$27&amp;"-"&amp;$M46&amp;"_new",Ammortamento_Finanziario!$H:$L,5,FALSE),VLOOKUP($M46,TT_Tabelle_Riferimento!$D$127:$H$164,5,FALSE))</f>
        <v>8</v>
      </c>
      <c r="OS46" s="904">
        <f>+IFERROR(VLOOKUP(OS$27&amp;"-"&amp;$M46&amp;"_new",Ammortamento_Finanziario!$H:$L,5,FALSE),VLOOKUP($M46,TT_Tabelle_Riferimento!$D$127:$H$164,5,FALSE))</f>
        <v>8</v>
      </c>
      <c r="OT46" s="904">
        <f>+IFERROR(VLOOKUP(OT$27&amp;"-"&amp;$M46&amp;"_new",Ammortamento_Finanziario!$H:$L,5,FALSE),VLOOKUP($M46,TT_Tabelle_Riferimento!$D$127:$H$164,5,FALSE))</f>
        <v>8</v>
      </c>
      <c r="OU46" s="904">
        <f>+IFERROR(VLOOKUP(OU$27&amp;"-"&amp;$M46&amp;"_new",Ammortamento_Finanziario!$H:$L,5,FALSE),VLOOKUP($M46,TT_Tabelle_Riferimento!$D$127:$H$164,5,FALSE))</f>
        <v>8</v>
      </c>
      <c r="OV46" s="904">
        <f>+IFERROR(VLOOKUP(OV$27&amp;"-"&amp;$M46&amp;"_new",Ammortamento_Finanziario!$H:$L,5,FALSE),VLOOKUP($M46,TT_Tabelle_Riferimento!$D$127:$H$164,5,FALSE))</f>
        <v>8</v>
      </c>
      <c r="OW46" s="904">
        <f>+IFERROR(VLOOKUP(OW$27&amp;"-"&amp;$M46&amp;"_new",Ammortamento_Finanziario!$H:$L,5,FALSE),VLOOKUP($M46,TT_Tabelle_Riferimento!$D$127:$H$164,5,FALSE))</f>
        <v>8</v>
      </c>
      <c r="OX46" s="904">
        <f>+IFERROR(VLOOKUP(OX$27&amp;"-"&amp;$M46&amp;"_new",Ammortamento_Finanziario!$H:$L,5,FALSE),VLOOKUP($M46,TT_Tabelle_Riferimento!$D$127:$H$164,5,FALSE))</f>
        <v>8</v>
      </c>
      <c r="OY46" s="904">
        <f>+IFERROR(VLOOKUP(OY$27&amp;"-"&amp;$M46&amp;"_new",Ammortamento_Finanziario!$H:$L,5,FALSE),VLOOKUP($M46,TT_Tabelle_Riferimento!$D$127:$H$164,5,FALSE))</f>
        <v>8</v>
      </c>
      <c r="OZ46" s="904">
        <f>+IFERROR(VLOOKUP(OZ$27&amp;"-"&amp;$M46&amp;"_new",Ammortamento_Finanziario!$H:$L,5,FALSE),VLOOKUP($M46,TT_Tabelle_Riferimento!$D$127:$H$164,5,FALSE))</f>
        <v>8</v>
      </c>
      <c r="PA46" s="904">
        <f>+IFERROR(VLOOKUP(PA$27&amp;"-"&amp;$M46&amp;"_new",Ammortamento_Finanziario!$H:$L,5,FALSE),VLOOKUP($M46,TT_Tabelle_Riferimento!$D$127:$H$164,5,FALSE))</f>
        <v>8</v>
      </c>
      <c r="PB46" s="904">
        <f>+IFERROR(VLOOKUP(PB$27&amp;"-"&amp;$M46&amp;"_new",Ammortamento_Finanziario!$H:$L,5,FALSE),VLOOKUP($M46,TT_Tabelle_Riferimento!$D$127:$H$164,5,FALSE))</f>
        <v>8</v>
      </c>
      <c r="PC46" s="904">
        <f>+IFERROR(VLOOKUP(PC$27&amp;"-"&amp;$M46&amp;"_new",Ammortamento_Finanziario!$H:$L,5,FALSE),VLOOKUP($M46,TT_Tabelle_Riferimento!$D$127:$H$164,5,FALSE))</f>
        <v>8</v>
      </c>
      <c r="PD46" s="904">
        <f>+IFERROR(VLOOKUP(PD$27&amp;"-"&amp;$M46&amp;"_new",Ammortamento_Finanziario!$H:$L,5,FALSE),VLOOKUP($M46,TT_Tabelle_Riferimento!$D$127:$H$164,5,FALSE))</f>
        <v>8</v>
      </c>
      <c r="PE46" s="904">
        <f>+IFERROR(VLOOKUP(PE$27&amp;"-"&amp;$M46&amp;"_new",Ammortamento_Finanziario!$H:$L,5,FALSE),VLOOKUP($M46,TT_Tabelle_Riferimento!$D$127:$H$164,5,FALSE))</f>
        <v>8</v>
      </c>
      <c r="PF46" s="904">
        <f>+IFERROR(VLOOKUP(PF$27&amp;"-"&amp;$M46&amp;"_new",Ammortamento_Finanziario!$H:$L,5,FALSE),VLOOKUP($M46,TT_Tabelle_Riferimento!$D$127:$H$164,5,FALSE))</f>
        <v>8</v>
      </c>
      <c r="PG46" s="904">
        <f>+IFERROR(VLOOKUP(PG$27&amp;"-"&amp;$M46&amp;"_new",Ammortamento_Finanziario!$H:$L,5,FALSE),VLOOKUP($M46,TT_Tabelle_Riferimento!$D$127:$H$164,5,FALSE))</f>
        <v>8</v>
      </c>
      <c r="PH46" s="904">
        <f>+IFERROR(VLOOKUP(PH$27&amp;"-"&amp;$M46&amp;"_new",Ammortamento_Finanziario!$H:$L,5,FALSE),VLOOKUP($M46,TT_Tabelle_Riferimento!$D$127:$H$164,5,FALSE))</f>
        <v>8</v>
      </c>
      <c r="PI46" s="904">
        <f>+IFERROR(VLOOKUP(PI$27&amp;"-"&amp;$M46&amp;"_new",Ammortamento_Finanziario!$H:$L,5,FALSE),VLOOKUP($M46,TT_Tabelle_Riferimento!$D$127:$H$164,5,FALSE))</f>
        <v>8</v>
      </c>
      <c r="PJ46" s="904">
        <f>+IFERROR(VLOOKUP(PJ$27&amp;"-"&amp;$M46&amp;"_new",Ammortamento_Finanziario!$H:$L,5,FALSE),VLOOKUP($M46,TT_Tabelle_Riferimento!$D$127:$H$164,5,FALSE))</f>
        <v>8</v>
      </c>
      <c r="PK46" s="904">
        <f>+IFERROR(VLOOKUP(PK$27&amp;"-"&amp;$M46&amp;"_new",Ammortamento_Finanziario!$H:$L,5,FALSE),VLOOKUP($M46,TT_Tabelle_Riferimento!$D$127:$H$164,5,FALSE))</f>
        <v>8</v>
      </c>
      <c r="PL46" s="1762">
        <f>+IFERROR(VLOOKUP(PL$27&amp;"-"&amp;$M46&amp;"_new",Ammortamento_Finanziario!$H:$L,5,FALSE),VLOOKUP($M46,TT_Tabelle_Riferimento!$D$127:$H$164,5,FALSE))</f>
        <v>8</v>
      </c>
      <c r="PM46" s="1762">
        <f>+IFERROR(VLOOKUP(PM$27&amp;"-"&amp;$M46&amp;"_new",Ammortamento_Finanziario!$H:$L,5,FALSE),VLOOKUP($M46,TT_Tabelle_Riferimento!$D$127:$H$164,5,FALSE))</f>
        <v>8</v>
      </c>
      <c r="PN46" s="1762">
        <f>+IFERROR(VLOOKUP(PN$27&amp;"-"&amp;$M46&amp;"_new",Ammortamento_Finanziario!$H:$L,5,FALSE),VLOOKUP($M46,TT_Tabelle_Riferimento!$D$127:$H$164,5,FALSE))</f>
        <v>8</v>
      </c>
      <c r="PO46" s="904">
        <f>+IFERROR(VLOOKUP(PO$27&amp;"-"&amp;$M46&amp;"_new",Ammortamento_Finanziario!$H:$L,5,FALSE),VLOOKUP($M46,TT_Tabelle_Riferimento!$D$127:$H$164,5,FALSE))</f>
        <v>8</v>
      </c>
      <c r="PP46" s="904">
        <f>+IFERROR(VLOOKUP(PP$27&amp;"-"&amp;$M46&amp;"_new",Ammortamento_Finanziario!$H:$L,5,FALSE),VLOOKUP($M46,TT_Tabelle_Riferimento!$D$127:$H$164,5,FALSE))</f>
        <v>8</v>
      </c>
      <c r="PQ46" s="904">
        <f>+IFERROR(VLOOKUP(PQ$27&amp;"-"&amp;$M46&amp;"_new",Ammortamento_Finanziario!$H:$L,5,FALSE),VLOOKUP($M46,TT_Tabelle_Riferimento!$D$127:$H$164,5,FALSE))</f>
        <v>8</v>
      </c>
      <c r="PR46" s="904">
        <f>+IFERROR(VLOOKUP(PR$27&amp;"-"&amp;$M46&amp;"_new",Ammortamento_Finanziario!$H:$L,5,FALSE),VLOOKUP($M46,TT_Tabelle_Riferimento!$D$127:$H$164,5,FALSE))</f>
        <v>8</v>
      </c>
      <c r="PS46" s="904">
        <f>+IFERROR(VLOOKUP(PS$27&amp;"-"&amp;$M46&amp;"_new",Ammortamento_Finanziario!$H:$L,5,FALSE),VLOOKUP($M46,TT_Tabelle_Riferimento!$D$127:$H$164,5,FALSE))</f>
        <v>8</v>
      </c>
      <c r="PT46" s="904">
        <f>+IFERROR(VLOOKUP(PT$27&amp;"-"&amp;$M46&amp;"_new",Ammortamento_Finanziario!$H:$L,5,FALSE),VLOOKUP($M46,TT_Tabelle_Riferimento!$D$127:$H$164,5,FALSE))</f>
        <v>8</v>
      </c>
      <c r="PU46" s="904">
        <f>+IFERROR(VLOOKUP(PU$27&amp;"-"&amp;$M46&amp;"_new",Ammortamento_Finanziario!$H:$L,5,FALSE),VLOOKUP($M46,TT_Tabelle_Riferimento!$D$127:$H$164,5,FALSE))</f>
        <v>8</v>
      </c>
      <c r="PV46" s="904">
        <f>+IFERROR(VLOOKUP(PV$27&amp;"-"&amp;$M46&amp;"_new",Ammortamento_Finanziario!$H:$L,5,FALSE),VLOOKUP($M46,TT_Tabelle_Riferimento!$D$127:$H$164,5,FALSE))</f>
        <v>8</v>
      </c>
      <c r="PW46" s="904">
        <f>+IFERROR(VLOOKUP(PW$27&amp;"-"&amp;$M46&amp;"_new",Ammortamento_Finanziario!$H:$L,5,FALSE),VLOOKUP($M46,TT_Tabelle_Riferimento!$D$127:$H$164,5,FALSE))</f>
        <v>8</v>
      </c>
      <c r="PX46" s="904">
        <f>+IFERROR(VLOOKUP(PX$27&amp;"-"&amp;$M46&amp;"_new",Ammortamento_Finanziario!$H:$L,5,FALSE),VLOOKUP($M46,TT_Tabelle_Riferimento!$D$127:$H$164,5,FALSE))</f>
        <v>8</v>
      </c>
      <c r="PY46" s="904">
        <f>+IFERROR(VLOOKUP(PY$27&amp;"-"&amp;$M46&amp;"_new",Ammortamento_Finanziario!$H:$L,5,FALSE),VLOOKUP($M46,TT_Tabelle_Riferimento!$D$127:$H$164,5,FALSE))</f>
        <v>8</v>
      </c>
      <c r="PZ46" s="904">
        <f>+IFERROR(VLOOKUP(PZ$27&amp;"-"&amp;$M46&amp;"_new",Ammortamento_Finanziario!$H:$L,5,FALSE),VLOOKUP($M46,TT_Tabelle_Riferimento!$D$127:$H$164,5,FALSE))</f>
        <v>8</v>
      </c>
      <c r="QA46" s="904">
        <f>+IFERROR(VLOOKUP(QA$27&amp;"-"&amp;$M46&amp;"_new",Ammortamento_Finanziario!$H:$L,5,FALSE),VLOOKUP($M46,TT_Tabelle_Riferimento!$D$127:$H$164,5,FALSE))</f>
        <v>8</v>
      </c>
      <c r="QB46" s="904">
        <f>+IFERROR(VLOOKUP(QB$27&amp;"-"&amp;$M46&amp;"_new",Ammortamento_Finanziario!$H:$L,5,FALSE),VLOOKUP($M46,TT_Tabelle_Riferimento!$D$127:$H$164,5,FALSE))</f>
        <v>8</v>
      </c>
      <c r="QC46" s="904">
        <f>+IFERROR(VLOOKUP(QC$27&amp;"-"&amp;$M46&amp;"_new",Ammortamento_Finanziario!$H:$L,5,FALSE),VLOOKUP($M46,TT_Tabelle_Riferimento!$D$127:$H$164,5,FALSE))</f>
        <v>8</v>
      </c>
      <c r="QD46" s="904">
        <f>+IFERROR(VLOOKUP(QD$27&amp;"-"&amp;$M46&amp;"_new",Ammortamento_Finanziario!$H:$L,5,FALSE),VLOOKUP($M46,TT_Tabelle_Riferimento!$D$127:$H$164,5,FALSE))</f>
        <v>8</v>
      </c>
      <c r="QE46" s="904">
        <f>+IFERROR(VLOOKUP(QE$27&amp;"-"&amp;$M46&amp;"_new",Ammortamento_Finanziario!$H:$L,5,FALSE),VLOOKUP($M46,TT_Tabelle_Riferimento!$D$127:$H$164,5,FALSE))</f>
        <v>8</v>
      </c>
      <c r="QF46" s="904">
        <f>+IFERROR(VLOOKUP(QF$27&amp;"-"&amp;$M46&amp;"_new",Ammortamento_Finanziario!$H:$L,5,FALSE),VLOOKUP($M46,TT_Tabelle_Riferimento!$D$127:$H$164,5,FALSE))</f>
        <v>8</v>
      </c>
      <c r="QG46" s="904">
        <f>+IFERROR(VLOOKUP(QG$27&amp;"-"&amp;$M46&amp;"_new",Ammortamento_Finanziario!$H:$L,5,FALSE),VLOOKUP($M46,TT_Tabelle_Riferimento!$D$127:$H$164,5,FALSE))</f>
        <v>8</v>
      </c>
      <c r="QH46" s="1762">
        <f>+IFERROR(VLOOKUP(QH$27&amp;"-"&amp;$M46&amp;"_new",Ammortamento_Finanziario!$H:$L,5,FALSE),VLOOKUP($M46,TT_Tabelle_Riferimento!$D$127:$H$164,5,FALSE))</f>
        <v>8</v>
      </c>
      <c r="QI46" s="1762">
        <f>+IFERROR(VLOOKUP(QI$27&amp;"-"&amp;$M46&amp;"_new",Ammortamento_Finanziario!$H:$L,5,FALSE),VLOOKUP($M46,TT_Tabelle_Riferimento!$D$127:$H$164,5,FALSE))</f>
        <v>8</v>
      </c>
      <c r="QJ46" s="904">
        <f>+IFERROR(VLOOKUP(QJ$27&amp;"-"&amp;$M46&amp;"_new",Ammortamento_Finanziario!$H:$L,5,FALSE),VLOOKUP($M46,TT_Tabelle_Riferimento!$D$127:$H$164,5,FALSE))</f>
        <v>8</v>
      </c>
      <c r="QK46" s="904">
        <f>+IFERROR(VLOOKUP(QK$27&amp;"-"&amp;$M46&amp;"_new",Ammortamento_Finanziario!$H:$L,5,FALSE),VLOOKUP($M46,TT_Tabelle_Riferimento!$D$127:$H$164,5,FALSE))</f>
        <v>8</v>
      </c>
      <c r="QL46" s="904">
        <f>+IFERROR(VLOOKUP(QL$27&amp;"-"&amp;$M46&amp;"_new",Ammortamento_Finanziario!$H:$L,5,FALSE),VLOOKUP($M46,TT_Tabelle_Riferimento!$D$127:$H$164,5,FALSE))</f>
        <v>8</v>
      </c>
      <c r="QM46" s="904">
        <f>+IFERROR(VLOOKUP(QM$27&amp;"-"&amp;$M46&amp;"_new",Ammortamento_Finanziario!$H:$L,5,FALSE),VLOOKUP($M46,TT_Tabelle_Riferimento!$D$127:$H$164,5,FALSE))</f>
        <v>8</v>
      </c>
      <c r="QN46" s="904">
        <f>+IFERROR(VLOOKUP(QN$27&amp;"-"&amp;$M46&amp;"_new",Ammortamento_Finanziario!$H:$L,5,FALSE),VLOOKUP($M46,TT_Tabelle_Riferimento!$D$127:$H$164,5,FALSE))</f>
        <v>8</v>
      </c>
      <c r="QO46" s="904">
        <f>+IFERROR(VLOOKUP(QO$27&amp;"-"&amp;$M46&amp;"_new",Ammortamento_Finanziario!$H:$L,5,FALSE),VLOOKUP($M46,TT_Tabelle_Riferimento!$D$127:$H$164,5,FALSE))</f>
        <v>8</v>
      </c>
      <c r="QP46" s="904">
        <f>+IFERROR(VLOOKUP(QP$27&amp;"-"&amp;$M46&amp;"_new",Ammortamento_Finanziario!$H:$L,5,FALSE),VLOOKUP($M46,TT_Tabelle_Riferimento!$D$127:$H$164,5,FALSE))</f>
        <v>8</v>
      </c>
      <c r="QQ46" s="904">
        <f>+IFERROR(VLOOKUP(QQ$27&amp;"-"&amp;$M46&amp;"_new",Ammortamento_Finanziario!$H:$L,5,FALSE),VLOOKUP($M46,TT_Tabelle_Riferimento!$D$127:$H$164,5,FALSE))</f>
        <v>8</v>
      </c>
      <c r="QR46" s="904">
        <f>+IFERROR(VLOOKUP(QR$27&amp;"-"&amp;$M46&amp;"_new",Ammortamento_Finanziario!$H:$L,5,FALSE),VLOOKUP($M46,TT_Tabelle_Riferimento!$D$127:$H$164,5,FALSE))</f>
        <v>8</v>
      </c>
      <c r="QS46" s="904">
        <f>+IFERROR(VLOOKUP(QS$27&amp;"-"&amp;$M46&amp;"_new",Ammortamento_Finanziario!$H:$L,5,FALSE),VLOOKUP($M46,TT_Tabelle_Riferimento!$D$127:$H$164,5,FALSE))</f>
        <v>8</v>
      </c>
      <c r="QT46" s="904">
        <f>+IFERROR(VLOOKUP(QT$27&amp;"-"&amp;$M46&amp;"_new",Ammortamento_Finanziario!$H:$L,5,FALSE),VLOOKUP($M46,TT_Tabelle_Riferimento!$D$127:$H$164,5,FALSE))</f>
        <v>8</v>
      </c>
      <c r="QU46" s="904">
        <f>+IFERROR(VLOOKUP(QU$27&amp;"-"&amp;$M46&amp;"_new",Ammortamento_Finanziario!$H:$L,5,FALSE),VLOOKUP($M46,TT_Tabelle_Riferimento!$D$127:$H$164,5,FALSE))</f>
        <v>8</v>
      </c>
      <c r="QV46" s="904">
        <f>+IFERROR(VLOOKUP(QV$27&amp;"-"&amp;$M46&amp;"_new",Ammortamento_Finanziario!$H:$L,5,FALSE),VLOOKUP($M46,TT_Tabelle_Riferimento!$D$127:$H$164,5,FALSE))</f>
        <v>8</v>
      </c>
      <c r="QW46" s="904">
        <f>+IFERROR(VLOOKUP(QW$27&amp;"-"&amp;$M46&amp;"_new",Ammortamento_Finanziario!$H:$L,5,FALSE),VLOOKUP($M46,TT_Tabelle_Riferimento!$D$127:$H$164,5,FALSE))</f>
        <v>8</v>
      </c>
      <c r="QX46" s="904">
        <f>+IFERROR(VLOOKUP(QX$27&amp;"-"&amp;$M46&amp;"_new",Ammortamento_Finanziario!$H:$L,5,FALSE),VLOOKUP($M46,TT_Tabelle_Riferimento!$D$127:$H$164,5,FALSE))</f>
        <v>8</v>
      </c>
      <c r="QY46" s="904">
        <f>+IFERROR(VLOOKUP(QY$27&amp;"-"&amp;$M46&amp;"_new",Ammortamento_Finanziario!$H:$L,5,FALSE),VLOOKUP($M46,TT_Tabelle_Riferimento!$D$127:$H$164,5,FALSE))</f>
        <v>8</v>
      </c>
      <c r="QZ46" s="904">
        <f>+IFERROR(VLOOKUP(QZ$27&amp;"-"&amp;$M46&amp;"_new",Ammortamento_Finanziario!$H:$L,5,FALSE),VLOOKUP($M46,TT_Tabelle_Riferimento!$D$127:$H$164,5,FALSE))</f>
        <v>8</v>
      </c>
      <c r="RA46" s="904">
        <f>+IFERROR(VLOOKUP(RA$27&amp;"-"&amp;$M46&amp;"_new",Ammortamento_Finanziario!$H:$L,5,FALSE),VLOOKUP($M46,TT_Tabelle_Riferimento!$D$127:$H$164,5,FALSE))</f>
        <v>8</v>
      </c>
      <c r="RB46" s="904">
        <f>+IFERROR(VLOOKUP(RB$27&amp;"-"&amp;$M46&amp;"_new",Ammortamento_Finanziario!$H:$L,5,FALSE),VLOOKUP($M46,TT_Tabelle_Riferimento!$D$127:$H$164,5,FALSE))</f>
        <v>8</v>
      </c>
      <c r="RC46" s="1762">
        <f>+IFERROR(VLOOKUP(RC$27&amp;"-"&amp;$M46&amp;"_new",Ammortamento_Finanziario!$H:$L,5,FALSE),VLOOKUP($M46,TT_Tabelle_Riferimento!$D$127:$H$164,5,FALSE))</f>
        <v>8</v>
      </c>
      <c r="RD46" s="904">
        <f>+IFERROR(VLOOKUP(RD$27&amp;"-"&amp;$M46&amp;"_new",Ammortamento_Finanziario!$H:$L,5,FALSE),VLOOKUP($M46,TT_Tabelle_Riferimento!$D$127:$H$164,5,FALSE))</f>
        <v>8</v>
      </c>
      <c r="RE46" s="904">
        <f>+IFERROR(VLOOKUP(RE$27&amp;"-"&amp;$M46&amp;"_new",Ammortamento_Finanziario!$H:$L,5,FALSE),VLOOKUP($M46,TT_Tabelle_Riferimento!$D$127:$H$164,5,FALSE))</f>
        <v>8</v>
      </c>
      <c r="RF46" s="904">
        <f>+IFERROR(VLOOKUP(RF$27&amp;"-"&amp;$M46&amp;"_new",Ammortamento_Finanziario!$H:$L,5,FALSE),VLOOKUP($M46,TT_Tabelle_Riferimento!$D$127:$H$164,5,FALSE))</f>
        <v>8</v>
      </c>
      <c r="RG46" s="904">
        <f>+IFERROR(VLOOKUP(RG$27&amp;"-"&amp;$M46&amp;"_new",Ammortamento_Finanziario!$H:$L,5,FALSE),VLOOKUP($M46,TT_Tabelle_Riferimento!$D$127:$H$164,5,FALSE))</f>
        <v>8</v>
      </c>
      <c r="RH46" s="904">
        <f>+IFERROR(VLOOKUP(RH$27&amp;"-"&amp;$M46&amp;"_new",Ammortamento_Finanziario!$H:$L,5,FALSE),VLOOKUP($M46,TT_Tabelle_Riferimento!$D$127:$H$164,5,FALSE))</f>
        <v>8</v>
      </c>
      <c r="RI46" s="904">
        <f>+IFERROR(VLOOKUP(RI$27&amp;"-"&amp;$M46&amp;"_new",Ammortamento_Finanziario!$H:$L,5,FALSE),VLOOKUP($M46,TT_Tabelle_Riferimento!$D$127:$H$164,5,FALSE))</f>
        <v>8</v>
      </c>
      <c r="RJ46" s="904">
        <f>+IFERROR(VLOOKUP(RJ$27&amp;"-"&amp;$M46&amp;"_new",Ammortamento_Finanziario!$H:$L,5,FALSE),VLOOKUP($M46,TT_Tabelle_Riferimento!$D$127:$H$164,5,FALSE))</f>
        <v>8</v>
      </c>
      <c r="RK46" s="904">
        <f>+IFERROR(VLOOKUP(RK$27&amp;"-"&amp;$M46&amp;"_new",Ammortamento_Finanziario!$H:$L,5,FALSE),VLOOKUP($M46,TT_Tabelle_Riferimento!$D$127:$H$164,5,FALSE))</f>
        <v>8</v>
      </c>
      <c r="RL46" s="904">
        <f>+IFERROR(VLOOKUP(RL$27&amp;"-"&amp;$M46&amp;"_new",Ammortamento_Finanziario!$H:$L,5,FALSE),VLOOKUP($M46,TT_Tabelle_Riferimento!$D$127:$H$164,5,FALSE))</f>
        <v>8</v>
      </c>
      <c r="RM46" s="904">
        <f>+IFERROR(VLOOKUP(RM$27&amp;"-"&amp;$M46&amp;"_new",Ammortamento_Finanziario!$H:$L,5,FALSE),VLOOKUP($M46,TT_Tabelle_Riferimento!$D$127:$H$164,5,FALSE))</f>
        <v>8</v>
      </c>
      <c r="RN46" s="904">
        <f>+IFERROR(VLOOKUP(RN$27&amp;"-"&amp;$M46&amp;"_new",Ammortamento_Finanziario!$H:$L,5,FALSE),VLOOKUP($M46,TT_Tabelle_Riferimento!$D$127:$H$164,5,FALSE))</f>
        <v>8</v>
      </c>
      <c r="RO46" s="904">
        <f>+IFERROR(VLOOKUP(RO$27&amp;"-"&amp;$M46&amp;"_new",Ammortamento_Finanziario!$H:$L,5,FALSE),VLOOKUP($M46,TT_Tabelle_Riferimento!$D$127:$H$164,5,FALSE))</f>
        <v>8</v>
      </c>
      <c r="RP46" s="904">
        <f>+IFERROR(VLOOKUP(RP$27&amp;"-"&amp;$M46&amp;"_new",Ammortamento_Finanziario!$H:$L,5,FALSE),VLOOKUP($M46,TT_Tabelle_Riferimento!$D$127:$H$164,5,FALSE))</f>
        <v>8</v>
      </c>
      <c r="RQ46" s="904">
        <f>+IFERROR(VLOOKUP(RQ$27&amp;"-"&amp;$M46&amp;"_new",Ammortamento_Finanziario!$H:$L,5,FALSE),VLOOKUP($M46,TT_Tabelle_Riferimento!$D$127:$H$164,5,FALSE))</f>
        <v>8</v>
      </c>
      <c r="RR46" s="904">
        <f>+IFERROR(VLOOKUP(RR$27&amp;"-"&amp;$M46&amp;"_new",Ammortamento_Finanziario!$H:$L,5,FALSE),VLOOKUP($M46,TT_Tabelle_Riferimento!$D$127:$H$164,5,FALSE))</f>
        <v>8</v>
      </c>
      <c r="RS46" s="904">
        <f>+IFERROR(VLOOKUP(RS$27&amp;"-"&amp;$M46&amp;"_new",Ammortamento_Finanziario!$H:$L,5,FALSE),VLOOKUP($M46,TT_Tabelle_Riferimento!$D$127:$H$164,5,FALSE))</f>
        <v>8</v>
      </c>
      <c r="RT46" s="904">
        <f>+IFERROR(VLOOKUP(RT$27&amp;"-"&amp;$M46&amp;"_new",Ammortamento_Finanziario!$H:$L,5,FALSE),VLOOKUP($M46,TT_Tabelle_Riferimento!$D$127:$H$164,5,FALSE))</f>
        <v>8</v>
      </c>
      <c r="RU46" s="904">
        <f>+IFERROR(VLOOKUP(RU$27&amp;"-"&amp;$M46&amp;"_new",Ammortamento_Finanziario!$H:$L,5,FALSE),VLOOKUP($M46,TT_Tabelle_Riferimento!$D$127:$H$164,5,FALSE))</f>
        <v>8</v>
      </c>
      <c r="RV46" s="904">
        <f>+IFERROR(VLOOKUP(RV$27&amp;"-"&amp;$M46&amp;"_new",Ammortamento_Finanziario!$H:$L,5,FALSE),VLOOKUP($M46,TT_Tabelle_Riferimento!$D$127:$H$164,5,FALSE))</f>
        <v>8</v>
      </c>
    </row>
    <row r="47" spans="4:490">
      <c r="D47" s="135" t="s">
        <v>22734</v>
      </c>
      <c r="E47" s="1264">
        <f>+SUMIFS(IMN_gestore!V:V,IMN_gestore!$G:$G,"Env")</f>
        <v>0</v>
      </c>
      <c r="F47" s="1264">
        <f>+SUMIFS(IMN_gestore!AG:AG,IMN_gestore!$G:$G,"Env")</f>
        <v>0</v>
      </c>
      <c r="G47" s="1264">
        <f>+SUMIFS(IMN_gestore!AR:AR,IMN_gestore!$G:$G,"Env")</f>
        <v>0</v>
      </c>
      <c r="H47" s="1264">
        <f>+SUMIFS(IMN_gestore!BC:BC,IMN_gestore!$G:$G,"Env")</f>
        <v>0</v>
      </c>
      <c r="I47" s="1264">
        <f>+SUMIFS(IMN_gestore!$BN:$BN,IMN_gestore!$G:$G,"Env")</f>
        <v>0</v>
      </c>
      <c r="J47" s="1264">
        <f>+SUMIFS(IMN_gestore!$BY:$BY,IMN_gestore!$G:$G,"Env")</f>
        <v>0</v>
      </c>
      <c r="M47" s="1756">
        <v>20</v>
      </c>
      <c r="N47" s="1759">
        <v>0</v>
      </c>
      <c r="O47" s="1759">
        <v>0</v>
      </c>
      <c r="P47" s="1759">
        <v>0</v>
      </c>
      <c r="Q47" s="1759">
        <v>0</v>
      </c>
      <c r="R47" s="1759">
        <v>0</v>
      </c>
      <c r="S47" s="1759">
        <v>0</v>
      </c>
      <c r="T47" s="1759">
        <v>0</v>
      </c>
      <c r="U47" s="1759">
        <v>0</v>
      </c>
      <c r="V47" s="1759">
        <v>0</v>
      </c>
      <c r="W47" s="1759">
        <v>0</v>
      </c>
      <c r="X47" s="1759">
        <v>0</v>
      </c>
      <c r="Y47" s="1759">
        <v>0</v>
      </c>
      <c r="Z47" s="1759">
        <v>0</v>
      </c>
      <c r="AA47" s="1759">
        <v>0</v>
      </c>
      <c r="AB47" s="1759">
        <v>0</v>
      </c>
      <c r="AC47" s="1759">
        <v>0</v>
      </c>
      <c r="AD47" s="1759">
        <v>0</v>
      </c>
      <c r="AE47" s="1759">
        <v>0</v>
      </c>
      <c r="AF47" s="1759">
        <v>0</v>
      </c>
      <c r="AG47" s="1759">
        <v>0</v>
      </c>
      <c r="AH47" s="1759">
        <v>0</v>
      </c>
      <c r="AI47" s="1759">
        <v>0</v>
      </c>
      <c r="AJ47" s="1759">
        <v>0</v>
      </c>
      <c r="AK47" s="1759">
        <v>0</v>
      </c>
      <c r="AL47" s="1759">
        <v>0</v>
      </c>
      <c r="AM47" s="1759">
        <v>0</v>
      </c>
      <c r="AN47" s="1759">
        <v>0</v>
      </c>
      <c r="AO47" s="1759">
        <v>0</v>
      </c>
      <c r="AP47" s="1759">
        <v>0</v>
      </c>
      <c r="AQ47" s="1759">
        <v>0</v>
      </c>
      <c r="AR47" s="1759">
        <v>0</v>
      </c>
      <c r="AS47" s="1759">
        <v>0</v>
      </c>
      <c r="AT47" s="1759">
        <v>0</v>
      </c>
      <c r="AU47" s="1759">
        <v>0</v>
      </c>
      <c r="AV47" s="1759">
        <v>0</v>
      </c>
      <c r="AW47" s="1759">
        <v>0</v>
      </c>
      <c r="AX47" s="1759">
        <v>0</v>
      </c>
      <c r="AY47" s="1759">
        <v>0</v>
      </c>
      <c r="AZ47" s="1759">
        <v>0</v>
      </c>
      <c r="BA47" s="1759">
        <v>0</v>
      </c>
      <c r="BB47" s="1759">
        <v>0</v>
      </c>
      <c r="BC47" s="1759">
        <v>0</v>
      </c>
      <c r="BD47" s="1759">
        <v>0</v>
      </c>
      <c r="BE47" s="1759">
        <v>0</v>
      </c>
      <c r="BF47" s="1759">
        <v>0</v>
      </c>
      <c r="BG47" s="1759">
        <v>0</v>
      </c>
      <c r="BH47" s="1759">
        <v>0</v>
      </c>
      <c r="BI47" s="1759">
        <v>0</v>
      </c>
      <c r="BJ47" s="1759">
        <v>0</v>
      </c>
      <c r="BK47" s="1759">
        <v>0</v>
      </c>
      <c r="BL47" s="1759">
        <v>0</v>
      </c>
      <c r="BM47" s="1759">
        <v>0</v>
      </c>
      <c r="BN47" s="1759">
        <v>0</v>
      </c>
      <c r="BO47" s="1759">
        <v>0</v>
      </c>
      <c r="BP47" s="1759">
        <v>0</v>
      </c>
      <c r="BQ47" s="1759">
        <v>0</v>
      </c>
      <c r="BR47" s="1759">
        <v>0</v>
      </c>
      <c r="BS47" s="1759">
        <v>0</v>
      </c>
      <c r="BT47" s="1759">
        <v>0</v>
      </c>
      <c r="BU47" s="1759">
        <v>0</v>
      </c>
      <c r="BV47" s="1759">
        <v>0</v>
      </c>
      <c r="BW47" s="1759">
        <v>0</v>
      </c>
      <c r="BX47" s="1759">
        <v>0</v>
      </c>
      <c r="BY47" s="1759">
        <v>0</v>
      </c>
      <c r="BZ47" s="1759">
        <v>0</v>
      </c>
      <c r="CA47" s="1759">
        <v>0</v>
      </c>
      <c r="CB47" s="1759">
        <v>0</v>
      </c>
      <c r="CC47" s="1759">
        <v>0</v>
      </c>
      <c r="CD47" s="1759">
        <v>0</v>
      </c>
      <c r="CE47" s="1759">
        <v>0</v>
      </c>
      <c r="CF47" s="1759">
        <v>0</v>
      </c>
      <c r="CG47" s="1759">
        <v>0</v>
      </c>
      <c r="CH47" s="1759">
        <v>0</v>
      </c>
      <c r="CI47" s="1759">
        <v>0</v>
      </c>
      <c r="CJ47" s="1759">
        <v>0</v>
      </c>
      <c r="CK47" s="1759">
        <v>0</v>
      </c>
      <c r="CL47" s="1759">
        <v>0</v>
      </c>
      <c r="CM47" s="1759">
        <v>0</v>
      </c>
      <c r="CN47" s="1759">
        <v>0</v>
      </c>
      <c r="CO47" s="1759">
        <v>0</v>
      </c>
      <c r="CP47" s="1759">
        <v>0</v>
      </c>
      <c r="CQ47" s="1759">
        <v>0</v>
      </c>
      <c r="CR47" s="1759">
        <v>0</v>
      </c>
      <c r="CS47" s="1759">
        <v>0</v>
      </c>
      <c r="CT47" s="1759">
        <v>0</v>
      </c>
      <c r="CU47" s="1759">
        <v>0</v>
      </c>
      <c r="CV47" s="1759">
        <v>0</v>
      </c>
      <c r="CW47" s="1759">
        <v>0</v>
      </c>
      <c r="CX47" s="1759">
        <v>0</v>
      </c>
      <c r="CY47" s="1759">
        <v>0</v>
      </c>
      <c r="CZ47" s="1759">
        <v>0</v>
      </c>
      <c r="DA47" s="1759">
        <v>0</v>
      </c>
      <c r="DB47" s="1759">
        <v>0</v>
      </c>
      <c r="DC47" s="1759">
        <v>0</v>
      </c>
      <c r="DD47" s="1759">
        <v>0</v>
      </c>
      <c r="DE47" s="1759">
        <v>0</v>
      </c>
      <c r="DF47" s="1759">
        <v>0</v>
      </c>
      <c r="DG47" s="1759">
        <v>0</v>
      </c>
      <c r="DH47" s="1759">
        <v>0</v>
      </c>
      <c r="DI47" s="1759">
        <v>0</v>
      </c>
      <c r="DJ47" s="1759">
        <v>0</v>
      </c>
      <c r="DK47" s="1759">
        <v>0</v>
      </c>
      <c r="DL47" s="1759">
        <v>0</v>
      </c>
      <c r="DM47" s="1759">
        <v>0</v>
      </c>
      <c r="DN47" s="1759">
        <v>0</v>
      </c>
      <c r="DO47" s="1759">
        <v>0</v>
      </c>
      <c r="DP47" s="1759">
        <v>0</v>
      </c>
      <c r="DQ47" s="1759">
        <v>0</v>
      </c>
      <c r="DR47" s="1759">
        <v>0</v>
      </c>
      <c r="DS47" s="1759">
        <v>0</v>
      </c>
      <c r="DT47" s="1759">
        <v>0</v>
      </c>
      <c r="DU47" s="1759">
        <v>0</v>
      </c>
      <c r="DV47" s="1759">
        <v>0</v>
      </c>
      <c r="DW47" s="1759">
        <v>0</v>
      </c>
      <c r="DX47" s="1759">
        <v>0</v>
      </c>
      <c r="DY47" s="1759">
        <v>0</v>
      </c>
      <c r="DZ47" s="1759">
        <v>0</v>
      </c>
      <c r="EA47" s="1759">
        <v>0</v>
      </c>
      <c r="EB47" s="1759">
        <v>0</v>
      </c>
      <c r="EC47" s="1759">
        <v>0</v>
      </c>
      <c r="ED47" s="1759">
        <v>0</v>
      </c>
      <c r="EE47" s="1759">
        <v>0</v>
      </c>
      <c r="EF47" s="1759">
        <v>0</v>
      </c>
      <c r="EG47" s="1759">
        <v>0</v>
      </c>
      <c r="EH47" s="1759">
        <v>0</v>
      </c>
      <c r="EI47" s="1759">
        <v>0</v>
      </c>
      <c r="EJ47" s="1759">
        <v>0</v>
      </c>
      <c r="EK47" s="1759">
        <v>0</v>
      </c>
      <c r="EL47" s="1759">
        <v>0</v>
      </c>
      <c r="EM47" s="1759">
        <v>0</v>
      </c>
      <c r="EN47" s="1759">
        <v>0</v>
      </c>
      <c r="EO47" s="1759">
        <v>0</v>
      </c>
      <c r="EP47" s="1759">
        <v>0</v>
      </c>
      <c r="EQ47" s="1759">
        <v>0</v>
      </c>
      <c r="ER47" s="1759">
        <v>0</v>
      </c>
      <c r="ES47" s="1759">
        <v>0</v>
      </c>
      <c r="ET47" s="1759">
        <v>0</v>
      </c>
      <c r="EU47" s="1759">
        <v>0</v>
      </c>
      <c r="EV47" s="1759">
        <v>0</v>
      </c>
      <c r="EW47" s="1759">
        <v>0</v>
      </c>
      <c r="EX47" s="1759">
        <v>0</v>
      </c>
      <c r="EY47" s="1759">
        <v>0</v>
      </c>
      <c r="EZ47" s="1759">
        <v>0</v>
      </c>
      <c r="FA47" s="1759">
        <v>0</v>
      </c>
      <c r="FB47" s="1759">
        <v>0</v>
      </c>
      <c r="FC47" s="1759">
        <v>0</v>
      </c>
      <c r="FD47" s="1759">
        <v>0</v>
      </c>
      <c r="FE47" s="1759">
        <v>0</v>
      </c>
      <c r="FF47" s="1759">
        <v>0</v>
      </c>
      <c r="FG47" s="1759">
        <v>0</v>
      </c>
      <c r="FH47" s="1759">
        <v>0</v>
      </c>
      <c r="FI47" s="1759">
        <v>0</v>
      </c>
      <c r="FJ47" s="1759">
        <v>0</v>
      </c>
      <c r="FK47" s="1759">
        <v>0</v>
      </c>
      <c r="FL47" s="1759">
        <v>0</v>
      </c>
      <c r="FM47" s="1759">
        <v>0</v>
      </c>
      <c r="FN47" s="1759">
        <v>0</v>
      </c>
      <c r="FO47" s="1759">
        <v>0</v>
      </c>
      <c r="FP47" s="1759">
        <v>0</v>
      </c>
      <c r="FQ47" s="1759">
        <v>0</v>
      </c>
      <c r="FR47" s="1759">
        <v>0</v>
      </c>
      <c r="FS47" s="1759">
        <v>0</v>
      </c>
      <c r="FT47" s="1759">
        <v>0</v>
      </c>
      <c r="FU47" s="1759">
        <v>0</v>
      </c>
      <c r="FV47" s="1759">
        <v>0</v>
      </c>
      <c r="FW47" s="1759">
        <v>0</v>
      </c>
      <c r="FX47" s="1759">
        <v>0</v>
      </c>
      <c r="FY47" s="1759">
        <v>0</v>
      </c>
      <c r="FZ47" s="1759">
        <v>0</v>
      </c>
      <c r="GA47" s="1759">
        <v>0</v>
      </c>
      <c r="GB47" s="1759">
        <v>0</v>
      </c>
      <c r="GC47" s="1759">
        <v>0</v>
      </c>
      <c r="GD47" s="1759">
        <v>0</v>
      </c>
      <c r="GE47" s="1759">
        <v>0</v>
      </c>
      <c r="GF47" s="1759">
        <v>0</v>
      </c>
      <c r="GG47" s="1759">
        <v>0</v>
      </c>
      <c r="GH47" s="1759">
        <v>0</v>
      </c>
      <c r="GI47" s="1759">
        <v>0</v>
      </c>
      <c r="GJ47" s="1759">
        <v>0</v>
      </c>
      <c r="GK47" s="1759">
        <v>0</v>
      </c>
      <c r="GL47" s="1759">
        <v>0</v>
      </c>
      <c r="GM47" s="1759">
        <v>0</v>
      </c>
      <c r="GN47" s="1759">
        <v>0</v>
      </c>
      <c r="GO47" s="1759">
        <v>0</v>
      </c>
      <c r="GP47" s="1759">
        <v>0</v>
      </c>
      <c r="GQ47" s="1759">
        <v>0</v>
      </c>
      <c r="GR47" s="1759">
        <v>0</v>
      </c>
      <c r="GS47" s="1759">
        <v>0</v>
      </c>
      <c r="GT47" s="1759">
        <v>0</v>
      </c>
      <c r="GU47" s="1759">
        <v>0</v>
      </c>
      <c r="GV47" s="1759">
        <v>0</v>
      </c>
      <c r="GW47" s="1759">
        <v>0</v>
      </c>
      <c r="GX47" s="1759">
        <v>0</v>
      </c>
      <c r="GY47" s="1759">
        <v>0</v>
      </c>
      <c r="GZ47" s="1759">
        <v>0</v>
      </c>
      <c r="HA47" s="1759">
        <v>0</v>
      </c>
      <c r="HB47" s="1759">
        <v>0</v>
      </c>
      <c r="HC47" s="1759">
        <v>0</v>
      </c>
      <c r="HD47" s="1759">
        <v>0</v>
      </c>
      <c r="HE47" s="1759">
        <v>0</v>
      </c>
      <c r="HF47" s="1759">
        <v>0</v>
      </c>
      <c r="HG47" s="1759">
        <v>0</v>
      </c>
      <c r="HH47" s="1759">
        <v>0</v>
      </c>
      <c r="HI47" s="1759">
        <v>0</v>
      </c>
      <c r="HJ47" s="1759">
        <v>0</v>
      </c>
      <c r="HK47" s="1759">
        <v>0</v>
      </c>
      <c r="HL47" s="1759">
        <v>0</v>
      </c>
      <c r="HM47" s="1759">
        <v>0</v>
      </c>
      <c r="HN47" s="1759">
        <v>0</v>
      </c>
      <c r="HO47" s="1759">
        <v>0</v>
      </c>
      <c r="HP47" s="1759">
        <v>0</v>
      </c>
      <c r="HQ47" s="1759">
        <v>0</v>
      </c>
      <c r="HR47" s="1759">
        <v>0</v>
      </c>
      <c r="HS47" s="1759">
        <v>0</v>
      </c>
      <c r="HT47" s="1759">
        <v>0</v>
      </c>
      <c r="HU47" s="1759">
        <v>0</v>
      </c>
      <c r="HV47" s="1759">
        <v>0</v>
      </c>
      <c r="HW47" s="1759">
        <v>0</v>
      </c>
      <c r="HX47" s="1759">
        <v>0</v>
      </c>
      <c r="HY47" s="1759">
        <v>0</v>
      </c>
      <c r="HZ47" s="1759">
        <v>0</v>
      </c>
      <c r="IA47" s="1759">
        <v>0</v>
      </c>
      <c r="IB47" s="1759">
        <v>0</v>
      </c>
      <c r="IC47" s="1759">
        <v>0</v>
      </c>
      <c r="ID47" s="1759">
        <v>0</v>
      </c>
      <c r="IE47" s="1759">
        <v>0</v>
      </c>
      <c r="IF47" s="1759">
        <v>0</v>
      </c>
      <c r="IG47" s="1759">
        <v>0</v>
      </c>
      <c r="IH47" s="1759">
        <v>0</v>
      </c>
      <c r="II47" s="1759">
        <v>0</v>
      </c>
      <c r="IJ47" s="1759">
        <v>0</v>
      </c>
      <c r="IK47" s="1759">
        <v>0</v>
      </c>
      <c r="IL47" s="1759">
        <v>0</v>
      </c>
      <c r="IM47" s="1759">
        <v>0</v>
      </c>
      <c r="IN47" s="1759">
        <v>0</v>
      </c>
      <c r="IO47" s="1759">
        <v>0</v>
      </c>
      <c r="IP47" s="1759">
        <v>0</v>
      </c>
      <c r="IQ47" s="1759">
        <v>0</v>
      </c>
      <c r="IR47" s="1759">
        <v>0</v>
      </c>
      <c r="IS47" s="1759">
        <v>0</v>
      </c>
      <c r="IT47" s="1759">
        <v>0</v>
      </c>
      <c r="IU47" s="1759">
        <v>0</v>
      </c>
      <c r="IV47" s="1759">
        <v>0</v>
      </c>
      <c r="IW47" s="1759">
        <v>0</v>
      </c>
      <c r="IX47" s="1759">
        <v>0</v>
      </c>
      <c r="IY47" s="1759">
        <v>0</v>
      </c>
      <c r="IZ47" s="1759">
        <v>0</v>
      </c>
      <c r="JA47" s="1759">
        <v>0</v>
      </c>
      <c r="JB47" s="1759">
        <v>0</v>
      </c>
      <c r="JC47" s="1759">
        <v>0</v>
      </c>
      <c r="JD47" s="1759">
        <v>0</v>
      </c>
      <c r="JE47" s="1759">
        <v>0</v>
      </c>
      <c r="JF47" s="1759">
        <v>0</v>
      </c>
      <c r="JG47" s="1759">
        <v>0</v>
      </c>
      <c r="JH47" s="1759">
        <v>0</v>
      </c>
      <c r="JI47" s="1759">
        <v>0</v>
      </c>
      <c r="JJ47" s="1759">
        <v>0</v>
      </c>
      <c r="JK47" s="1759">
        <v>0</v>
      </c>
      <c r="JL47" s="1759">
        <v>0</v>
      </c>
      <c r="JM47" s="1759">
        <v>0</v>
      </c>
      <c r="JN47" s="1759">
        <v>0</v>
      </c>
      <c r="JO47" s="1759">
        <v>0</v>
      </c>
      <c r="JP47" s="1759">
        <v>0</v>
      </c>
      <c r="JQ47" s="1759">
        <v>0</v>
      </c>
      <c r="JR47" s="1759">
        <v>0</v>
      </c>
      <c r="JS47" s="1759">
        <v>0</v>
      </c>
      <c r="JT47" s="1759">
        <v>0</v>
      </c>
      <c r="JU47" s="1759">
        <v>0</v>
      </c>
      <c r="JV47" s="1759">
        <v>0</v>
      </c>
      <c r="JW47" s="1759">
        <v>0</v>
      </c>
      <c r="JX47" s="1759">
        <v>0</v>
      </c>
      <c r="JY47" s="1759">
        <v>0</v>
      </c>
      <c r="JZ47" s="1759">
        <v>0</v>
      </c>
      <c r="KA47" s="1759">
        <v>0</v>
      </c>
      <c r="KB47" s="1759">
        <v>0</v>
      </c>
      <c r="KC47" s="1759">
        <v>0</v>
      </c>
      <c r="KD47" s="1759">
        <v>0</v>
      </c>
      <c r="KE47" s="1759">
        <v>0</v>
      </c>
      <c r="KF47" s="1759">
        <v>0</v>
      </c>
      <c r="KG47" s="1759">
        <v>0</v>
      </c>
      <c r="KH47" s="1759">
        <v>0</v>
      </c>
      <c r="KI47" s="1759">
        <v>0</v>
      </c>
      <c r="KJ47" s="1759">
        <v>0</v>
      </c>
      <c r="KK47" s="1759">
        <v>0</v>
      </c>
      <c r="KL47" s="1759">
        <v>0</v>
      </c>
      <c r="KM47" s="1759">
        <v>0</v>
      </c>
      <c r="KN47" s="1759">
        <v>0</v>
      </c>
      <c r="KO47" s="1759">
        <v>0</v>
      </c>
      <c r="KP47" s="1759">
        <v>0</v>
      </c>
      <c r="KQ47" s="904">
        <f>+IFERROR(VLOOKUP(KQ$27&amp;"-"&amp;$M47&amp;"_new",Ammortamento_Finanziario!$H:$L,5,FALSE),VLOOKUP($M47,TT_Tabelle_Riferimento!$D$127:$H$164,5,FALSE))</f>
        <v>40</v>
      </c>
      <c r="KR47" s="904">
        <f>+IFERROR(VLOOKUP(KR$27&amp;"-"&amp;$M47&amp;"_new",Ammortamento_Finanziario!$H:$L,5,FALSE),VLOOKUP($M47,TT_Tabelle_Riferimento!$D$127:$H$164,5,FALSE))</f>
        <v>40</v>
      </c>
      <c r="KS47" s="1762">
        <f>+IFERROR(VLOOKUP(KS$27&amp;"-"&amp;$M47&amp;"_new",Ammortamento_Finanziario!$H:$L,5,FALSE),VLOOKUP($M47,TT_Tabelle_Riferimento!$D$127:$H$164,5,FALSE))</f>
        <v>40</v>
      </c>
      <c r="KT47" s="1762">
        <f>+IFERROR(VLOOKUP(KT$27&amp;"-"&amp;$M47&amp;"_new",Ammortamento_Finanziario!$H:$L,5,FALSE),VLOOKUP($M47,TT_Tabelle_Riferimento!$D$127:$H$164,5,FALSE))</f>
        <v>40</v>
      </c>
      <c r="KU47" s="1762">
        <f>+IFERROR(VLOOKUP(KU$27&amp;"-"&amp;$M47&amp;"_new",Ammortamento_Finanziario!$H:$L,5,FALSE),VLOOKUP($M47,TT_Tabelle_Riferimento!$D$127:$H$164,5,FALSE))</f>
        <v>40</v>
      </c>
      <c r="KV47" s="1762">
        <f>+IFERROR(VLOOKUP(KV$27&amp;"-"&amp;$M47&amp;"_new",Ammortamento_Finanziario!$H:$L,5,FALSE),VLOOKUP($M47,TT_Tabelle_Riferimento!$D$127:$H$164,5,FALSE))</f>
        <v>40</v>
      </c>
      <c r="KW47" s="1762">
        <f>+IFERROR(VLOOKUP(KW$27&amp;"-"&amp;$M47&amp;"_new",Ammortamento_Finanziario!$H:$L,5,FALSE),VLOOKUP($M47,TT_Tabelle_Riferimento!$D$127:$H$164,5,FALSE))</f>
        <v>40</v>
      </c>
      <c r="KX47" s="1762">
        <f>+IFERROR(VLOOKUP(KX$27&amp;"-"&amp;$M47&amp;"_new",Ammortamento_Finanziario!$H:$L,5,FALSE),VLOOKUP($M47,TT_Tabelle_Riferimento!$D$127:$H$164,5,FALSE))</f>
        <v>40</v>
      </c>
      <c r="KY47" s="904">
        <f>+IFERROR(VLOOKUP(KY$27&amp;"-"&amp;$M47&amp;"_new",Ammortamento_Finanziario!$H:$L,5,FALSE),VLOOKUP($M47,TT_Tabelle_Riferimento!$D$127:$H$164,5,FALSE))</f>
        <v>40</v>
      </c>
      <c r="KZ47" s="904">
        <f>+IFERROR(VLOOKUP(KZ$27&amp;"-"&amp;$M47&amp;"_new",Ammortamento_Finanziario!$H:$L,5,FALSE),VLOOKUP($M47,TT_Tabelle_Riferimento!$D$127:$H$164,5,FALSE))</f>
        <v>40</v>
      </c>
      <c r="LA47" s="904">
        <f>+IFERROR(VLOOKUP(LA$27&amp;"-"&amp;$M47&amp;"_new",Ammortamento_Finanziario!$H:$L,5,FALSE),VLOOKUP($M47,TT_Tabelle_Riferimento!$D$127:$H$164,5,FALSE))</f>
        <v>40</v>
      </c>
      <c r="LB47" s="904">
        <f>+IFERROR(VLOOKUP(LB$27&amp;"-"&amp;$M47&amp;"_new",Ammortamento_Finanziario!$H:$L,5,FALSE),VLOOKUP($M47,TT_Tabelle_Riferimento!$D$127:$H$164,5,FALSE))</f>
        <v>40</v>
      </c>
      <c r="LC47" s="904">
        <f>+IFERROR(VLOOKUP(LC$27&amp;"-"&amp;$M47&amp;"_new",Ammortamento_Finanziario!$H:$L,5,FALSE),VLOOKUP($M47,TT_Tabelle_Riferimento!$D$127:$H$164,5,FALSE))</f>
        <v>40</v>
      </c>
      <c r="LD47" s="904">
        <f>+IFERROR(VLOOKUP(LD$27&amp;"-"&amp;$M47&amp;"_new",Ammortamento_Finanziario!$H:$L,5,FALSE),VLOOKUP($M47,TT_Tabelle_Riferimento!$D$127:$H$164,5,FALSE))</f>
        <v>40</v>
      </c>
      <c r="LE47" s="904">
        <f>+IFERROR(VLOOKUP(LE$27&amp;"-"&amp;$M47&amp;"_new",Ammortamento_Finanziario!$H:$L,5,FALSE),VLOOKUP($M47,TT_Tabelle_Riferimento!$D$127:$H$164,5,FALSE))</f>
        <v>40</v>
      </c>
      <c r="LF47" s="904">
        <f>+IFERROR(VLOOKUP(LF$27&amp;"-"&amp;$M47&amp;"_new",Ammortamento_Finanziario!$H:$L,5,FALSE),VLOOKUP($M47,TT_Tabelle_Riferimento!$D$127:$H$164,5,FALSE))</f>
        <v>40</v>
      </c>
      <c r="LG47" s="904">
        <f>+IFERROR(VLOOKUP(LG$27&amp;"-"&amp;$M47&amp;"_new",Ammortamento_Finanziario!$H:$L,5,FALSE),VLOOKUP($M47,TT_Tabelle_Riferimento!$D$127:$H$164,5,FALSE))</f>
        <v>40</v>
      </c>
      <c r="LH47" s="904">
        <f>+IFERROR(VLOOKUP(LH$27&amp;"-"&amp;$M47&amp;"_new",Ammortamento_Finanziario!$H:$L,5,FALSE),VLOOKUP($M47,TT_Tabelle_Riferimento!$D$127:$H$164,5,FALSE))</f>
        <v>40</v>
      </c>
      <c r="LI47" s="904">
        <f>+IFERROR(VLOOKUP(LI$27&amp;"-"&amp;$M47&amp;"_new",Ammortamento_Finanziario!$H:$L,5,FALSE),VLOOKUP($M47,TT_Tabelle_Riferimento!$D$127:$H$164,5,FALSE))</f>
        <v>40</v>
      </c>
      <c r="LJ47" s="904">
        <f>+IFERROR(VLOOKUP(LJ$27&amp;"-"&amp;$M47&amp;"_new",Ammortamento_Finanziario!$H:$L,5,FALSE),VLOOKUP($M47,TT_Tabelle_Riferimento!$D$127:$H$164,5,FALSE))</f>
        <v>40</v>
      </c>
      <c r="LK47" s="904">
        <f>+IFERROR(VLOOKUP(LK$27&amp;"-"&amp;$M47&amp;"_new",Ammortamento_Finanziario!$H:$L,5,FALSE),VLOOKUP($M47,TT_Tabelle_Riferimento!$D$127:$H$164,5,FALSE))</f>
        <v>40</v>
      </c>
      <c r="LL47" s="904">
        <f>+IFERROR(VLOOKUP(LL$27&amp;"-"&amp;$M47&amp;"_new",Ammortamento_Finanziario!$H:$L,5,FALSE),VLOOKUP($M47,TT_Tabelle_Riferimento!$D$127:$H$164,5,FALSE))</f>
        <v>40</v>
      </c>
      <c r="LM47" s="904">
        <f>+IFERROR(VLOOKUP(LM$27&amp;"-"&amp;$M47&amp;"_new",Ammortamento_Finanziario!$H:$L,5,FALSE),VLOOKUP($M47,TT_Tabelle_Riferimento!$D$127:$H$164,5,FALSE))</f>
        <v>40</v>
      </c>
      <c r="LN47" s="904">
        <f>+IFERROR(VLOOKUP(LN$27&amp;"-"&amp;$M47&amp;"_new",Ammortamento_Finanziario!$H:$L,5,FALSE),VLOOKUP($M47,TT_Tabelle_Riferimento!$D$127:$H$164,5,FALSE))</f>
        <v>40</v>
      </c>
      <c r="LO47" s="904">
        <f>+IFERROR(VLOOKUP(LO$27&amp;"-"&amp;$M47&amp;"_new",Ammortamento_Finanziario!$H:$L,5,FALSE),VLOOKUP($M47,TT_Tabelle_Riferimento!$D$127:$H$164,5,FALSE))</f>
        <v>40</v>
      </c>
      <c r="LP47" s="904">
        <f>+IFERROR(VLOOKUP(LP$27&amp;"-"&amp;$M47&amp;"_new",Ammortamento_Finanziario!$H:$L,5,FALSE),VLOOKUP($M47,TT_Tabelle_Riferimento!$D$127:$H$164,5,FALSE))</f>
        <v>40</v>
      </c>
      <c r="LQ47" s="904">
        <f>+IFERROR(VLOOKUP(LQ$27&amp;"-"&amp;$M47&amp;"_new",Ammortamento_Finanziario!$H:$L,5,FALSE),VLOOKUP($M47,TT_Tabelle_Riferimento!$D$127:$H$164,5,FALSE))</f>
        <v>40</v>
      </c>
      <c r="LR47" s="904">
        <f>+IFERROR(VLOOKUP(LR$27&amp;"-"&amp;$M47&amp;"_new",Ammortamento_Finanziario!$H:$L,5,FALSE),VLOOKUP($M47,TT_Tabelle_Riferimento!$D$127:$H$164,5,FALSE))</f>
        <v>40</v>
      </c>
      <c r="LS47" s="1762">
        <f>+IFERROR(VLOOKUP(LS$27&amp;"-"&amp;$M47&amp;"_new",Ammortamento_Finanziario!$H:$L,5,FALSE),VLOOKUP($M47,TT_Tabelle_Riferimento!$D$127:$H$164,5,FALSE))</f>
        <v>40</v>
      </c>
      <c r="LT47" s="1762">
        <f>+IFERROR(VLOOKUP(LT$27&amp;"-"&amp;$M47&amp;"_new",Ammortamento_Finanziario!$H:$L,5,FALSE),VLOOKUP($M47,TT_Tabelle_Riferimento!$D$127:$H$164,5,FALSE))</f>
        <v>40</v>
      </c>
      <c r="LU47" s="1762">
        <f>+IFERROR(VLOOKUP(LU$27&amp;"-"&amp;$M47&amp;"_new",Ammortamento_Finanziario!$H:$L,5,FALSE),VLOOKUP($M47,TT_Tabelle_Riferimento!$D$127:$H$164,5,FALSE))</f>
        <v>40</v>
      </c>
      <c r="LV47" s="1762">
        <f>+IFERROR(VLOOKUP(LV$27&amp;"-"&amp;$M47&amp;"_new",Ammortamento_Finanziario!$H:$L,5,FALSE),VLOOKUP($M47,TT_Tabelle_Riferimento!$D$127:$H$164,5,FALSE))</f>
        <v>40</v>
      </c>
      <c r="LW47" s="1762">
        <f>+IFERROR(VLOOKUP(LW$27&amp;"-"&amp;$M47&amp;"_new",Ammortamento_Finanziario!$H:$L,5,FALSE),VLOOKUP($M47,TT_Tabelle_Riferimento!$D$127:$H$164,5,FALSE))</f>
        <v>40</v>
      </c>
      <c r="LX47" s="1762">
        <f>+IFERROR(VLOOKUP(LX$27&amp;"-"&amp;$M47&amp;"_new",Ammortamento_Finanziario!$H:$L,5,FALSE),VLOOKUP($M47,TT_Tabelle_Riferimento!$D$127:$H$164,5,FALSE))</f>
        <v>40</v>
      </c>
      <c r="LY47" s="904">
        <f>+IFERROR(VLOOKUP(LY$27&amp;"-"&amp;$M47&amp;"_new",Ammortamento_Finanziario!$H:$L,5,FALSE),VLOOKUP($M47,TT_Tabelle_Riferimento!$D$127:$H$164,5,FALSE))</f>
        <v>40</v>
      </c>
      <c r="LZ47" s="904">
        <f>+IFERROR(VLOOKUP(LZ$27&amp;"-"&amp;$M47&amp;"_new",Ammortamento_Finanziario!$H:$L,5,FALSE),VLOOKUP($M47,TT_Tabelle_Riferimento!$D$127:$H$164,5,FALSE))</f>
        <v>40</v>
      </c>
      <c r="MA47" s="904">
        <f>+IFERROR(VLOOKUP(MA$27&amp;"-"&amp;$M47&amp;"_new",Ammortamento_Finanziario!$H:$L,5,FALSE),VLOOKUP($M47,TT_Tabelle_Riferimento!$D$127:$H$164,5,FALSE))</f>
        <v>40</v>
      </c>
      <c r="MB47" s="904">
        <f>+IFERROR(VLOOKUP(MB$27&amp;"-"&amp;$M47&amp;"_new",Ammortamento_Finanziario!$H:$L,5,FALSE),VLOOKUP($M47,TT_Tabelle_Riferimento!$D$127:$H$164,5,FALSE))</f>
        <v>40</v>
      </c>
      <c r="MC47" s="904">
        <f>+IFERROR(VLOOKUP(MC$27&amp;"-"&amp;$M47&amp;"_new",Ammortamento_Finanziario!$H:$L,5,FALSE),VLOOKUP($M47,TT_Tabelle_Riferimento!$D$127:$H$164,5,FALSE))</f>
        <v>40</v>
      </c>
      <c r="MD47" s="904">
        <f>+IFERROR(VLOOKUP(MD$27&amp;"-"&amp;$M47&amp;"_new",Ammortamento_Finanziario!$H:$L,5,FALSE),VLOOKUP($M47,TT_Tabelle_Riferimento!$D$127:$H$164,5,FALSE))</f>
        <v>40</v>
      </c>
      <c r="ME47" s="904">
        <f>+IFERROR(VLOOKUP(ME$27&amp;"-"&amp;$M47&amp;"_new",Ammortamento_Finanziario!$H:$L,5,FALSE),VLOOKUP($M47,TT_Tabelle_Riferimento!$D$127:$H$164,5,FALSE))</f>
        <v>40</v>
      </c>
      <c r="MF47" s="904">
        <f>+IFERROR(VLOOKUP(MF$27&amp;"-"&amp;$M47&amp;"_new",Ammortamento_Finanziario!$H:$L,5,FALSE),VLOOKUP($M47,TT_Tabelle_Riferimento!$D$127:$H$164,5,FALSE))</f>
        <v>40</v>
      </c>
      <c r="MG47" s="904">
        <f>+IFERROR(VLOOKUP(MG$27&amp;"-"&amp;$M47&amp;"_new",Ammortamento_Finanziario!$H:$L,5,FALSE),VLOOKUP($M47,TT_Tabelle_Riferimento!$D$127:$H$164,5,FALSE))</f>
        <v>40</v>
      </c>
      <c r="MH47" s="904">
        <f>+IFERROR(VLOOKUP(MH$27&amp;"-"&amp;$M47&amp;"_new",Ammortamento_Finanziario!$H:$L,5,FALSE),VLOOKUP($M47,TT_Tabelle_Riferimento!$D$127:$H$164,5,FALSE))</f>
        <v>40</v>
      </c>
      <c r="MI47" s="904">
        <f>+IFERROR(VLOOKUP(MI$27&amp;"-"&amp;$M47&amp;"_new",Ammortamento_Finanziario!$H:$L,5,FALSE),VLOOKUP($M47,TT_Tabelle_Riferimento!$D$127:$H$164,5,FALSE))</f>
        <v>40</v>
      </c>
      <c r="MJ47" s="904">
        <f>+IFERROR(VLOOKUP(MJ$27&amp;"-"&amp;$M47&amp;"_new",Ammortamento_Finanziario!$H:$L,5,FALSE),VLOOKUP($M47,TT_Tabelle_Riferimento!$D$127:$H$164,5,FALSE))</f>
        <v>40</v>
      </c>
      <c r="MK47" s="904">
        <f>+IFERROR(VLOOKUP(MK$27&amp;"-"&amp;$M47&amp;"_new",Ammortamento_Finanziario!$H:$L,5,FALSE),VLOOKUP($M47,TT_Tabelle_Riferimento!$D$127:$H$164,5,FALSE))</f>
        <v>40</v>
      </c>
      <c r="ML47" s="904">
        <f>+IFERROR(VLOOKUP(ML$27&amp;"-"&amp;$M47&amp;"_new",Ammortamento_Finanziario!$H:$L,5,FALSE),VLOOKUP($M47,TT_Tabelle_Riferimento!$D$127:$H$164,5,FALSE))</f>
        <v>40</v>
      </c>
      <c r="MM47" s="904">
        <f>+IFERROR(VLOOKUP(MM$27&amp;"-"&amp;$M47&amp;"_new",Ammortamento_Finanziario!$H:$L,5,FALSE),VLOOKUP($M47,TT_Tabelle_Riferimento!$D$127:$H$164,5,FALSE))</f>
        <v>40</v>
      </c>
      <c r="MN47" s="904">
        <f>+IFERROR(VLOOKUP(MN$27&amp;"-"&amp;$M47&amp;"_new",Ammortamento_Finanziario!$H:$L,5,FALSE),VLOOKUP($M47,TT_Tabelle_Riferimento!$D$127:$H$164,5,FALSE))</f>
        <v>40</v>
      </c>
      <c r="MO47" s="904">
        <f>+IFERROR(VLOOKUP(MO$27&amp;"-"&amp;$M47&amp;"_new",Ammortamento_Finanziario!$H:$L,5,FALSE),VLOOKUP($M47,TT_Tabelle_Riferimento!$D$127:$H$164,5,FALSE))</f>
        <v>40</v>
      </c>
      <c r="MP47" s="904">
        <f>+IFERROR(VLOOKUP(MP$27&amp;"-"&amp;$M47&amp;"_new",Ammortamento_Finanziario!$H:$L,5,FALSE),VLOOKUP($M47,TT_Tabelle_Riferimento!$D$127:$H$164,5,FALSE))</f>
        <v>40</v>
      </c>
      <c r="MQ47" s="904">
        <f>+IFERROR(VLOOKUP(MQ$27&amp;"-"&amp;$M47&amp;"_new",Ammortamento_Finanziario!$H:$L,5,FALSE),VLOOKUP($M47,TT_Tabelle_Riferimento!$D$127:$H$164,5,FALSE))</f>
        <v>40</v>
      </c>
      <c r="MR47" s="1762">
        <f>+IFERROR(VLOOKUP(MR$27&amp;"-"&amp;$M47&amp;"_new",Ammortamento_Finanziario!$H:$L,5,FALSE),VLOOKUP($M47,TT_Tabelle_Riferimento!$D$127:$H$164,5,FALSE))</f>
        <v>40</v>
      </c>
      <c r="MS47" s="1762">
        <f>+IFERROR(VLOOKUP(MS$27&amp;"-"&amp;$M47&amp;"_new",Ammortamento_Finanziario!$H:$L,5,FALSE),VLOOKUP($M47,TT_Tabelle_Riferimento!$D$127:$H$164,5,FALSE))</f>
        <v>40</v>
      </c>
      <c r="MT47" s="1762">
        <f>+IFERROR(VLOOKUP(MT$27&amp;"-"&amp;$M47&amp;"_new",Ammortamento_Finanziario!$H:$L,5,FALSE),VLOOKUP($M47,TT_Tabelle_Riferimento!$D$127:$H$164,5,FALSE))</f>
        <v>40</v>
      </c>
      <c r="MU47" s="1762">
        <f>+IFERROR(VLOOKUP(MU$27&amp;"-"&amp;$M47&amp;"_new",Ammortamento_Finanziario!$H:$L,5,FALSE),VLOOKUP($M47,TT_Tabelle_Riferimento!$D$127:$H$164,5,FALSE))</f>
        <v>40</v>
      </c>
      <c r="MV47" s="1762">
        <f>+IFERROR(VLOOKUP(MV$27&amp;"-"&amp;$M47&amp;"_new",Ammortamento_Finanziario!$H:$L,5,FALSE),VLOOKUP($M47,TT_Tabelle_Riferimento!$D$127:$H$164,5,FALSE))</f>
        <v>40</v>
      </c>
      <c r="MW47" s="1762">
        <f>+IFERROR(VLOOKUP(MW$27&amp;"-"&amp;$M47&amp;"_new",Ammortamento_Finanziario!$H:$L,5,FALSE),VLOOKUP($M47,TT_Tabelle_Riferimento!$D$127:$H$164,5,FALSE))</f>
        <v>40</v>
      </c>
      <c r="MX47" s="904">
        <f>+IFERROR(VLOOKUP(MX$27&amp;"-"&amp;$M47&amp;"_new",Ammortamento_Finanziario!$H:$L,5,FALSE),VLOOKUP($M47,TT_Tabelle_Riferimento!$D$127:$H$164,5,FALSE))</f>
        <v>40</v>
      </c>
      <c r="MY47" s="904">
        <f>+IFERROR(VLOOKUP(MY$27&amp;"-"&amp;$M47&amp;"_new",Ammortamento_Finanziario!$H:$L,5,FALSE),VLOOKUP($M47,TT_Tabelle_Riferimento!$D$127:$H$164,5,FALSE))</f>
        <v>40</v>
      </c>
      <c r="MZ47" s="904">
        <f>+IFERROR(VLOOKUP(MZ$27&amp;"-"&amp;$M47&amp;"_new",Ammortamento_Finanziario!$H:$L,5,FALSE),VLOOKUP($M47,TT_Tabelle_Riferimento!$D$127:$H$164,5,FALSE))</f>
        <v>40</v>
      </c>
      <c r="NA47" s="904">
        <f>+IFERROR(VLOOKUP(NA$27&amp;"-"&amp;$M47&amp;"_new",Ammortamento_Finanziario!$H:$L,5,FALSE),VLOOKUP($M47,TT_Tabelle_Riferimento!$D$127:$H$164,5,FALSE))</f>
        <v>40</v>
      </c>
      <c r="NB47" s="904">
        <f>+IFERROR(VLOOKUP(NB$27&amp;"-"&amp;$M47&amp;"_new",Ammortamento_Finanziario!$H:$L,5,FALSE),VLOOKUP($M47,TT_Tabelle_Riferimento!$D$127:$H$164,5,FALSE))</f>
        <v>40</v>
      </c>
      <c r="NC47" s="904">
        <f>+IFERROR(VLOOKUP(NC$27&amp;"-"&amp;$M47&amp;"_new",Ammortamento_Finanziario!$H:$L,5,FALSE),VLOOKUP($M47,TT_Tabelle_Riferimento!$D$127:$H$164,5,FALSE))</f>
        <v>40</v>
      </c>
      <c r="ND47" s="904">
        <f>+IFERROR(VLOOKUP(ND$27&amp;"-"&amp;$M47&amp;"_new",Ammortamento_Finanziario!$H:$L,5,FALSE),VLOOKUP($M47,TT_Tabelle_Riferimento!$D$127:$H$164,5,FALSE))</f>
        <v>40</v>
      </c>
      <c r="NE47" s="904">
        <f>+IFERROR(VLOOKUP(NE$27&amp;"-"&amp;$M47&amp;"_new",Ammortamento_Finanziario!$H:$L,5,FALSE),VLOOKUP($M47,TT_Tabelle_Riferimento!$D$127:$H$164,5,FALSE))</f>
        <v>40</v>
      </c>
      <c r="NF47" s="904">
        <f>+IFERROR(VLOOKUP(NF$27&amp;"-"&amp;$M47&amp;"_new",Ammortamento_Finanziario!$H:$L,5,FALSE),VLOOKUP($M47,TT_Tabelle_Riferimento!$D$127:$H$164,5,FALSE))</f>
        <v>40</v>
      </c>
      <c r="NG47" s="904">
        <f>+IFERROR(VLOOKUP(NG$27&amp;"-"&amp;$M47&amp;"_new",Ammortamento_Finanziario!$H:$L,5,FALSE),VLOOKUP($M47,TT_Tabelle_Riferimento!$D$127:$H$164,5,FALSE))</f>
        <v>40</v>
      </c>
      <c r="NH47" s="904">
        <f>+IFERROR(VLOOKUP(NH$27&amp;"-"&amp;$M47&amp;"_new",Ammortamento_Finanziario!$H:$L,5,FALSE),VLOOKUP($M47,TT_Tabelle_Riferimento!$D$127:$H$164,5,FALSE))</f>
        <v>40</v>
      </c>
      <c r="NI47" s="904">
        <f>+IFERROR(VLOOKUP(NI$27&amp;"-"&amp;$M47&amp;"_new",Ammortamento_Finanziario!$H:$L,5,FALSE),VLOOKUP($M47,TT_Tabelle_Riferimento!$D$127:$H$164,5,FALSE))</f>
        <v>40</v>
      </c>
      <c r="NJ47" s="904">
        <f>+IFERROR(VLOOKUP(NJ$27&amp;"-"&amp;$M47&amp;"_new",Ammortamento_Finanziario!$H:$L,5,FALSE),VLOOKUP($M47,TT_Tabelle_Riferimento!$D$127:$H$164,5,FALSE))</f>
        <v>40</v>
      </c>
      <c r="NK47" s="904">
        <f>+IFERROR(VLOOKUP(NK$27&amp;"-"&amp;$M47&amp;"_new",Ammortamento_Finanziario!$H:$L,5,FALSE),VLOOKUP($M47,TT_Tabelle_Riferimento!$D$127:$H$164,5,FALSE))</f>
        <v>40</v>
      </c>
      <c r="NL47" s="904">
        <f>+IFERROR(VLOOKUP(NL$27&amp;"-"&amp;$M47&amp;"_new",Ammortamento_Finanziario!$H:$L,5,FALSE),VLOOKUP($M47,TT_Tabelle_Riferimento!$D$127:$H$164,5,FALSE))</f>
        <v>40</v>
      </c>
      <c r="NM47" s="904">
        <f>+IFERROR(VLOOKUP(NM$27&amp;"-"&amp;$M47&amp;"_new",Ammortamento_Finanziario!$H:$L,5,FALSE),VLOOKUP($M47,TT_Tabelle_Riferimento!$D$127:$H$164,5,FALSE))</f>
        <v>40</v>
      </c>
      <c r="NN47" s="904">
        <f>+IFERROR(VLOOKUP(NN$27&amp;"-"&amp;$M47&amp;"_new",Ammortamento_Finanziario!$H:$L,5,FALSE),VLOOKUP($M47,TT_Tabelle_Riferimento!$D$127:$H$164,5,FALSE))</f>
        <v>40</v>
      </c>
      <c r="NO47" s="904">
        <f>+IFERROR(VLOOKUP(NO$27&amp;"-"&amp;$M47&amp;"_new",Ammortamento_Finanziario!$H:$L,5,FALSE),VLOOKUP($M47,TT_Tabelle_Riferimento!$D$127:$H$164,5,FALSE))</f>
        <v>40</v>
      </c>
      <c r="NP47" s="904">
        <f>+IFERROR(VLOOKUP(NP$27&amp;"-"&amp;$M47&amp;"_new",Ammortamento_Finanziario!$H:$L,5,FALSE),VLOOKUP($M47,TT_Tabelle_Riferimento!$D$127:$H$164,5,FALSE))</f>
        <v>40</v>
      </c>
      <c r="NQ47" s="1762">
        <f>+IFERROR(VLOOKUP(NQ$27&amp;"-"&amp;$M47&amp;"_new",Ammortamento_Finanziario!$H:$L,5,FALSE),VLOOKUP($M47,TT_Tabelle_Riferimento!$D$127:$H$164,5,FALSE))</f>
        <v>40</v>
      </c>
      <c r="NR47" s="1762">
        <f>+IFERROR(VLOOKUP(NR$27&amp;"-"&amp;$M47&amp;"_new",Ammortamento_Finanziario!$H:$L,5,FALSE),VLOOKUP($M47,TT_Tabelle_Riferimento!$D$127:$H$164,5,FALSE))</f>
        <v>40</v>
      </c>
      <c r="NS47" s="1762">
        <f>+IFERROR(VLOOKUP(NS$27&amp;"-"&amp;$M47&amp;"_new",Ammortamento_Finanziario!$H:$L,5,FALSE),VLOOKUP($M47,TT_Tabelle_Riferimento!$D$127:$H$164,5,FALSE))</f>
        <v>40</v>
      </c>
      <c r="NT47" s="1762">
        <f>+IFERROR(VLOOKUP(NT$27&amp;"-"&amp;$M47&amp;"_new",Ammortamento_Finanziario!$H:$L,5,FALSE),VLOOKUP($M47,TT_Tabelle_Riferimento!$D$127:$H$164,5,FALSE))</f>
        <v>40</v>
      </c>
      <c r="NU47" s="1762">
        <f>+IFERROR(VLOOKUP(NU$27&amp;"-"&amp;$M47&amp;"_new",Ammortamento_Finanziario!$H:$L,5,FALSE),VLOOKUP($M47,TT_Tabelle_Riferimento!$D$127:$H$164,5,FALSE))</f>
        <v>40</v>
      </c>
      <c r="NV47" s="904">
        <f>+IFERROR(VLOOKUP(NV$27&amp;"-"&amp;$M47&amp;"_new",Ammortamento_Finanziario!$H:$L,5,FALSE),VLOOKUP($M47,TT_Tabelle_Riferimento!$D$127:$H$164,5,FALSE))</f>
        <v>40</v>
      </c>
      <c r="NW47" s="904">
        <f>+IFERROR(VLOOKUP(NW$27&amp;"-"&amp;$M47&amp;"_new",Ammortamento_Finanziario!$H:$L,5,FALSE),VLOOKUP($M47,TT_Tabelle_Riferimento!$D$127:$H$164,5,FALSE))</f>
        <v>40</v>
      </c>
      <c r="NX47" s="904">
        <f>+IFERROR(VLOOKUP(NX$27&amp;"-"&amp;$M47&amp;"_new",Ammortamento_Finanziario!$H:$L,5,FALSE),VLOOKUP($M47,TT_Tabelle_Riferimento!$D$127:$H$164,5,FALSE))</f>
        <v>40</v>
      </c>
      <c r="NY47" s="904">
        <f>+IFERROR(VLOOKUP(NY$27&amp;"-"&amp;$M47&amp;"_new",Ammortamento_Finanziario!$H:$L,5,FALSE),VLOOKUP($M47,TT_Tabelle_Riferimento!$D$127:$H$164,5,FALSE))</f>
        <v>40</v>
      </c>
      <c r="NZ47" s="904">
        <f>+IFERROR(VLOOKUP(NZ$27&amp;"-"&amp;$M47&amp;"_new",Ammortamento_Finanziario!$H:$L,5,FALSE),VLOOKUP($M47,TT_Tabelle_Riferimento!$D$127:$H$164,5,FALSE))</f>
        <v>40</v>
      </c>
      <c r="OA47" s="904">
        <f>+IFERROR(VLOOKUP(OA$27&amp;"-"&amp;$M47&amp;"_new",Ammortamento_Finanziario!$H:$L,5,FALSE),VLOOKUP($M47,TT_Tabelle_Riferimento!$D$127:$H$164,5,FALSE))</f>
        <v>40</v>
      </c>
      <c r="OB47" s="904">
        <f>+IFERROR(VLOOKUP(OB$27&amp;"-"&amp;$M47&amp;"_new",Ammortamento_Finanziario!$H:$L,5,FALSE),VLOOKUP($M47,TT_Tabelle_Riferimento!$D$127:$H$164,5,FALSE))</f>
        <v>40</v>
      </c>
      <c r="OC47" s="904">
        <f>+IFERROR(VLOOKUP(OC$27&amp;"-"&amp;$M47&amp;"_new",Ammortamento_Finanziario!$H:$L,5,FALSE),VLOOKUP($M47,TT_Tabelle_Riferimento!$D$127:$H$164,5,FALSE))</f>
        <v>40</v>
      </c>
      <c r="OD47" s="904">
        <f>+IFERROR(VLOOKUP(OD$27&amp;"-"&amp;$M47&amp;"_new",Ammortamento_Finanziario!$H:$L,5,FALSE),VLOOKUP($M47,TT_Tabelle_Riferimento!$D$127:$H$164,5,FALSE))</f>
        <v>40</v>
      </c>
      <c r="OE47" s="904">
        <f>+IFERROR(VLOOKUP(OE$27&amp;"-"&amp;$M47&amp;"_new",Ammortamento_Finanziario!$H:$L,5,FALSE),VLOOKUP($M47,TT_Tabelle_Riferimento!$D$127:$H$164,5,FALSE))</f>
        <v>40</v>
      </c>
      <c r="OF47" s="904">
        <f>+IFERROR(VLOOKUP(OF$27&amp;"-"&amp;$M47&amp;"_new",Ammortamento_Finanziario!$H:$L,5,FALSE),VLOOKUP($M47,TT_Tabelle_Riferimento!$D$127:$H$164,5,FALSE))</f>
        <v>40</v>
      </c>
      <c r="OG47" s="904">
        <f>+IFERROR(VLOOKUP(OG$27&amp;"-"&amp;$M47&amp;"_new",Ammortamento_Finanziario!$H:$L,5,FALSE),VLOOKUP($M47,TT_Tabelle_Riferimento!$D$127:$H$164,5,FALSE))</f>
        <v>40</v>
      </c>
      <c r="OH47" s="904">
        <f>+IFERROR(VLOOKUP(OH$27&amp;"-"&amp;$M47&amp;"_new",Ammortamento_Finanziario!$H:$L,5,FALSE),VLOOKUP($M47,TT_Tabelle_Riferimento!$D$127:$H$164,5,FALSE))</f>
        <v>40</v>
      </c>
      <c r="OI47" s="904">
        <f>+IFERROR(VLOOKUP(OI$27&amp;"-"&amp;$M47&amp;"_new",Ammortamento_Finanziario!$H:$L,5,FALSE),VLOOKUP($M47,TT_Tabelle_Riferimento!$D$127:$H$164,5,FALSE))</f>
        <v>40</v>
      </c>
      <c r="OJ47" s="904">
        <f>+IFERROR(VLOOKUP(OJ$27&amp;"-"&amp;$M47&amp;"_new",Ammortamento_Finanziario!$H:$L,5,FALSE),VLOOKUP($M47,TT_Tabelle_Riferimento!$D$127:$H$164,5,FALSE))</f>
        <v>40</v>
      </c>
      <c r="OK47" s="904">
        <f>+IFERROR(VLOOKUP(OK$27&amp;"-"&amp;$M47&amp;"_new",Ammortamento_Finanziario!$H:$L,5,FALSE),VLOOKUP($M47,TT_Tabelle_Riferimento!$D$127:$H$164,5,FALSE))</f>
        <v>40</v>
      </c>
      <c r="OL47" s="904">
        <f>+IFERROR(VLOOKUP(OL$27&amp;"-"&amp;$M47&amp;"_new",Ammortamento_Finanziario!$H:$L,5,FALSE),VLOOKUP($M47,TT_Tabelle_Riferimento!$D$127:$H$164,5,FALSE))</f>
        <v>40</v>
      </c>
      <c r="OM47" s="904">
        <f>+IFERROR(VLOOKUP(OM$27&amp;"-"&amp;$M47&amp;"_new",Ammortamento_Finanziario!$H:$L,5,FALSE),VLOOKUP($M47,TT_Tabelle_Riferimento!$D$127:$H$164,5,FALSE))</f>
        <v>40</v>
      </c>
      <c r="ON47" s="904">
        <f>+IFERROR(VLOOKUP(ON$27&amp;"-"&amp;$M47&amp;"_new",Ammortamento_Finanziario!$H:$L,5,FALSE),VLOOKUP($M47,TT_Tabelle_Riferimento!$D$127:$H$164,5,FALSE))</f>
        <v>40</v>
      </c>
      <c r="OO47" s="1762">
        <f>+IFERROR(VLOOKUP(OO$27&amp;"-"&amp;$M47&amp;"_new",Ammortamento_Finanziario!$H:$L,5,FALSE),VLOOKUP($M47,TT_Tabelle_Riferimento!$D$127:$H$164,5,FALSE))</f>
        <v>40</v>
      </c>
      <c r="OP47" s="1762">
        <f>+IFERROR(VLOOKUP(OP$27&amp;"-"&amp;$M47&amp;"_new",Ammortamento_Finanziario!$H:$L,5,FALSE),VLOOKUP($M47,TT_Tabelle_Riferimento!$D$127:$H$164,5,FALSE))</f>
        <v>40</v>
      </c>
      <c r="OQ47" s="1762">
        <f>+IFERROR(VLOOKUP(OQ$27&amp;"-"&amp;$M47&amp;"_new",Ammortamento_Finanziario!$H:$L,5,FALSE),VLOOKUP($M47,TT_Tabelle_Riferimento!$D$127:$H$164,5,FALSE))</f>
        <v>40</v>
      </c>
      <c r="OR47" s="1762">
        <f>+IFERROR(VLOOKUP(OR$27&amp;"-"&amp;$M47&amp;"_new",Ammortamento_Finanziario!$H:$L,5,FALSE),VLOOKUP($M47,TT_Tabelle_Riferimento!$D$127:$H$164,5,FALSE))</f>
        <v>40</v>
      </c>
      <c r="OS47" s="904">
        <f>+IFERROR(VLOOKUP(OS$27&amp;"-"&amp;$M47&amp;"_new",Ammortamento_Finanziario!$H:$L,5,FALSE),VLOOKUP($M47,TT_Tabelle_Riferimento!$D$127:$H$164,5,FALSE))</f>
        <v>40</v>
      </c>
      <c r="OT47" s="904">
        <f>+IFERROR(VLOOKUP(OT$27&amp;"-"&amp;$M47&amp;"_new",Ammortamento_Finanziario!$H:$L,5,FALSE),VLOOKUP($M47,TT_Tabelle_Riferimento!$D$127:$H$164,5,FALSE))</f>
        <v>40</v>
      </c>
      <c r="OU47" s="904">
        <f>+IFERROR(VLOOKUP(OU$27&amp;"-"&amp;$M47&amp;"_new",Ammortamento_Finanziario!$H:$L,5,FALSE),VLOOKUP($M47,TT_Tabelle_Riferimento!$D$127:$H$164,5,FALSE))</f>
        <v>40</v>
      </c>
      <c r="OV47" s="904">
        <f>+IFERROR(VLOOKUP(OV$27&amp;"-"&amp;$M47&amp;"_new",Ammortamento_Finanziario!$H:$L,5,FALSE),VLOOKUP($M47,TT_Tabelle_Riferimento!$D$127:$H$164,5,FALSE))</f>
        <v>40</v>
      </c>
      <c r="OW47" s="904">
        <f>+IFERROR(VLOOKUP(OW$27&amp;"-"&amp;$M47&amp;"_new",Ammortamento_Finanziario!$H:$L,5,FALSE),VLOOKUP($M47,TT_Tabelle_Riferimento!$D$127:$H$164,5,FALSE))</f>
        <v>40</v>
      </c>
      <c r="OX47" s="904">
        <f>+IFERROR(VLOOKUP(OX$27&amp;"-"&amp;$M47&amp;"_new",Ammortamento_Finanziario!$H:$L,5,FALSE),VLOOKUP($M47,TT_Tabelle_Riferimento!$D$127:$H$164,5,FALSE))</f>
        <v>40</v>
      </c>
      <c r="OY47" s="904">
        <f>+IFERROR(VLOOKUP(OY$27&amp;"-"&amp;$M47&amp;"_new",Ammortamento_Finanziario!$H:$L,5,FALSE),VLOOKUP($M47,TT_Tabelle_Riferimento!$D$127:$H$164,5,FALSE))</f>
        <v>40</v>
      </c>
      <c r="OZ47" s="904">
        <f>+IFERROR(VLOOKUP(OZ$27&amp;"-"&amp;$M47&amp;"_new",Ammortamento_Finanziario!$H:$L,5,FALSE),VLOOKUP($M47,TT_Tabelle_Riferimento!$D$127:$H$164,5,FALSE))</f>
        <v>40</v>
      </c>
      <c r="PA47" s="904">
        <f>+IFERROR(VLOOKUP(PA$27&amp;"-"&amp;$M47&amp;"_new",Ammortamento_Finanziario!$H:$L,5,FALSE),VLOOKUP($M47,TT_Tabelle_Riferimento!$D$127:$H$164,5,FALSE))</f>
        <v>40</v>
      </c>
      <c r="PB47" s="904">
        <f>+IFERROR(VLOOKUP(PB$27&amp;"-"&amp;$M47&amp;"_new",Ammortamento_Finanziario!$H:$L,5,FALSE),VLOOKUP($M47,TT_Tabelle_Riferimento!$D$127:$H$164,5,FALSE))</f>
        <v>40</v>
      </c>
      <c r="PC47" s="904">
        <f>+IFERROR(VLOOKUP(PC$27&amp;"-"&amp;$M47&amp;"_new",Ammortamento_Finanziario!$H:$L,5,FALSE),VLOOKUP($M47,TT_Tabelle_Riferimento!$D$127:$H$164,5,FALSE))</f>
        <v>40</v>
      </c>
      <c r="PD47" s="904">
        <f>+IFERROR(VLOOKUP(PD$27&amp;"-"&amp;$M47&amp;"_new",Ammortamento_Finanziario!$H:$L,5,FALSE),VLOOKUP($M47,TT_Tabelle_Riferimento!$D$127:$H$164,5,FALSE))</f>
        <v>40</v>
      </c>
      <c r="PE47" s="904">
        <f>+IFERROR(VLOOKUP(PE$27&amp;"-"&amp;$M47&amp;"_new",Ammortamento_Finanziario!$H:$L,5,FALSE),VLOOKUP($M47,TT_Tabelle_Riferimento!$D$127:$H$164,5,FALSE))</f>
        <v>40</v>
      </c>
      <c r="PF47" s="904">
        <f>+IFERROR(VLOOKUP(PF$27&amp;"-"&amp;$M47&amp;"_new",Ammortamento_Finanziario!$H:$L,5,FALSE),VLOOKUP($M47,TT_Tabelle_Riferimento!$D$127:$H$164,5,FALSE))</f>
        <v>40</v>
      </c>
      <c r="PG47" s="904">
        <f>+IFERROR(VLOOKUP(PG$27&amp;"-"&amp;$M47&amp;"_new",Ammortamento_Finanziario!$H:$L,5,FALSE),VLOOKUP($M47,TT_Tabelle_Riferimento!$D$127:$H$164,5,FALSE))</f>
        <v>40</v>
      </c>
      <c r="PH47" s="904">
        <f>+IFERROR(VLOOKUP(PH$27&amp;"-"&amp;$M47&amp;"_new",Ammortamento_Finanziario!$H:$L,5,FALSE),VLOOKUP($M47,TT_Tabelle_Riferimento!$D$127:$H$164,5,FALSE))</f>
        <v>40</v>
      </c>
      <c r="PI47" s="904">
        <f>+IFERROR(VLOOKUP(PI$27&amp;"-"&amp;$M47&amp;"_new",Ammortamento_Finanziario!$H:$L,5,FALSE),VLOOKUP($M47,TT_Tabelle_Riferimento!$D$127:$H$164,5,FALSE))</f>
        <v>40</v>
      </c>
      <c r="PJ47" s="904">
        <f>+IFERROR(VLOOKUP(PJ$27&amp;"-"&amp;$M47&amp;"_new",Ammortamento_Finanziario!$H:$L,5,FALSE),VLOOKUP($M47,TT_Tabelle_Riferimento!$D$127:$H$164,5,FALSE))</f>
        <v>40</v>
      </c>
      <c r="PK47" s="904">
        <f>+IFERROR(VLOOKUP(PK$27&amp;"-"&amp;$M47&amp;"_new",Ammortamento_Finanziario!$H:$L,5,FALSE),VLOOKUP($M47,TT_Tabelle_Riferimento!$D$127:$H$164,5,FALSE))</f>
        <v>40</v>
      </c>
      <c r="PL47" s="1762">
        <f>+IFERROR(VLOOKUP(PL$27&amp;"-"&amp;$M47&amp;"_new",Ammortamento_Finanziario!$H:$L,5,FALSE),VLOOKUP($M47,TT_Tabelle_Riferimento!$D$127:$H$164,5,FALSE))</f>
        <v>40</v>
      </c>
      <c r="PM47" s="1762">
        <f>+IFERROR(VLOOKUP(PM$27&amp;"-"&amp;$M47&amp;"_new",Ammortamento_Finanziario!$H:$L,5,FALSE),VLOOKUP($M47,TT_Tabelle_Riferimento!$D$127:$H$164,5,FALSE))</f>
        <v>40</v>
      </c>
      <c r="PN47" s="1762">
        <f>+IFERROR(VLOOKUP(PN$27&amp;"-"&amp;$M47&amp;"_new",Ammortamento_Finanziario!$H:$L,5,FALSE),VLOOKUP($M47,TT_Tabelle_Riferimento!$D$127:$H$164,5,FALSE))</f>
        <v>40</v>
      </c>
      <c r="PO47" s="904">
        <f>+IFERROR(VLOOKUP(PO$27&amp;"-"&amp;$M47&amp;"_new",Ammortamento_Finanziario!$H:$L,5,FALSE),VLOOKUP($M47,TT_Tabelle_Riferimento!$D$127:$H$164,5,FALSE))</f>
        <v>40</v>
      </c>
      <c r="PP47" s="904">
        <f>+IFERROR(VLOOKUP(PP$27&amp;"-"&amp;$M47&amp;"_new",Ammortamento_Finanziario!$H:$L,5,FALSE),VLOOKUP($M47,TT_Tabelle_Riferimento!$D$127:$H$164,5,FALSE))</f>
        <v>40</v>
      </c>
      <c r="PQ47" s="904">
        <f>+IFERROR(VLOOKUP(PQ$27&amp;"-"&amp;$M47&amp;"_new",Ammortamento_Finanziario!$H:$L,5,FALSE),VLOOKUP($M47,TT_Tabelle_Riferimento!$D$127:$H$164,5,FALSE))</f>
        <v>40</v>
      </c>
      <c r="PR47" s="904">
        <f>+IFERROR(VLOOKUP(PR$27&amp;"-"&amp;$M47&amp;"_new",Ammortamento_Finanziario!$H:$L,5,FALSE),VLOOKUP($M47,TT_Tabelle_Riferimento!$D$127:$H$164,5,FALSE))</f>
        <v>40</v>
      </c>
      <c r="PS47" s="904">
        <f>+IFERROR(VLOOKUP(PS$27&amp;"-"&amp;$M47&amp;"_new",Ammortamento_Finanziario!$H:$L,5,FALSE),VLOOKUP($M47,TT_Tabelle_Riferimento!$D$127:$H$164,5,FALSE))</f>
        <v>40</v>
      </c>
      <c r="PT47" s="904">
        <f>+IFERROR(VLOOKUP(PT$27&amp;"-"&amp;$M47&amp;"_new",Ammortamento_Finanziario!$H:$L,5,FALSE),VLOOKUP($M47,TT_Tabelle_Riferimento!$D$127:$H$164,5,FALSE))</f>
        <v>40</v>
      </c>
      <c r="PU47" s="904">
        <f>+IFERROR(VLOOKUP(PU$27&amp;"-"&amp;$M47&amp;"_new",Ammortamento_Finanziario!$H:$L,5,FALSE),VLOOKUP($M47,TT_Tabelle_Riferimento!$D$127:$H$164,5,FALSE))</f>
        <v>40</v>
      </c>
      <c r="PV47" s="904">
        <f>+IFERROR(VLOOKUP(PV$27&amp;"-"&amp;$M47&amp;"_new",Ammortamento_Finanziario!$H:$L,5,FALSE),VLOOKUP($M47,TT_Tabelle_Riferimento!$D$127:$H$164,5,FALSE))</f>
        <v>40</v>
      </c>
      <c r="PW47" s="904">
        <f>+IFERROR(VLOOKUP(PW$27&amp;"-"&amp;$M47&amp;"_new",Ammortamento_Finanziario!$H:$L,5,FALSE),VLOOKUP($M47,TT_Tabelle_Riferimento!$D$127:$H$164,5,FALSE))</f>
        <v>40</v>
      </c>
      <c r="PX47" s="904">
        <f>+IFERROR(VLOOKUP(PX$27&amp;"-"&amp;$M47&amp;"_new",Ammortamento_Finanziario!$H:$L,5,FALSE),VLOOKUP($M47,TT_Tabelle_Riferimento!$D$127:$H$164,5,FALSE))</f>
        <v>40</v>
      </c>
      <c r="PY47" s="904">
        <f>+IFERROR(VLOOKUP(PY$27&amp;"-"&amp;$M47&amp;"_new",Ammortamento_Finanziario!$H:$L,5,FALSE),VLOOKUP($M47,TT_Tabelle_Riferimento!$D$127:$H$164,5,FALSE))</f>
        <v>40</v>
      </c>
      <c r="PZ47" s="904">
        <f>+IFERROR(VLOOKUP(PZ$27&amp;"-"&amp;$M47&amp;"_new",Ammortamento_Finanziario!$H:$L,5,FALSE),VLOOKUP($M47,TT_Tabelle_Riferimento!$D$127:$H$164,5,FALSE))</f>
        <v>40</v>
      </c>
      <c r="QA47" s="904">
        <f>+IFERROR(VLOOKUP(QA$27&amp;"-"&amp;$M47&amp;"_new",Ammortamento_Finanziario!$H:$L,5,FALSE),VLOOKUP($M47,TT_Tabelle_Riferimento!$D$127:$H$164,5,FALSE))</f>
        <v>40</v>
      </c>
      <c r="QB47" s="904">
        <f>+IFERROR(VLOOKUP(QB$27&amp;"-"&amp;$M47&amp;"_new",Ammortamento_Finanziario!$H:$L,5,FALSE),VLOOKUP($M47,TT_Tabelle_Riferimento!$D$127:$H$164,5,FALSE))</f>
        <v>40</v>
      </c>
      <c r="QC47" s="904">
        <f>+IFERROR(VLOOKUP(QC$27&amp;"-"&amp;$M47&amp;"_new",Ammortamento_Finanziario!$H:$L,5,FALSE),VLOOKUP($M47,TT_Tabelle_Riferimento!$D$127:$H$164,5,FALSE))</f>
        <v>40</v>
      </c>
      <c r="QD47" s="904">
        <f>+IFERROR(VLOOKUP(QD$27&amp;"-"&amp;$M47&amp;"_new",Ammortamento_Finanziario!$H:$L,5,FALSE),VLOOKUP($M47,TT_Tabelle_Riferimento!$D$127:$H$164,5,FALSE))</f>
        <v>40</v>
      </c>
      <c r="QE47" s="904">
        <f>+IFERROR(VLOOKUP(QE$27&amp;"-"&amp;$M47&amp;"_new",Ammortamento_Finanziario!$H:$L,5,FALSE),VLOOKUP($M47,TT_Tabelle_Riferimento!$D$127:$H$164,5,FALSE))</f>
        <v>40</v>
      </c>
      <c r="QF47" s="904">
        <f>+IFERROR(VLOOKUP(QF$27&amp;"-"&amp;$M47&amp;"_new",Ammortamento_Finanziario!$H:$L,5,FALSE),VLOOKUP($M47,TT_Tabelle_Riferimento!$D$127:$H$164,5,FALSE))</f>
        <v>40</v>
      </c>
      <c r="QG47" s="904">
        <f>+IFERROR(VLOOKUP(QG$27&amp;"-"&amp;$M47&amp;"_new",Ammortamento_Finanziario!$H:$L,5,FALSE),VLOOKUP($M47,TT_Tabelle_Riferimento!$D$127:$H$164,5,FALSE))</f>
        <v>40</v>
      </c>
      <c r="QH47" s="1762">
        <f>+IFERROR(VLOOKUP(QH$27&amp;"-"&amp;$M47&amp;"_new",Ammortamento_Finanziario!$H:$L,5,FALSE),VLOOKUP($M47,TT_Tabelle_Riferimento!$D$127:$H$164,5,FALSE))</f>
        <v>40</v>
      </c>
      <c r="QI47" s="1762">
        <f>+IFERROR(VLOOKUP(QI$27&amp;"-"&amp;$M47&amp;"_new",Ammortamento_Finanziario!$H:$L,5,FALSE),VLOOKUP($M47,TT_Tabelle_Riferimento!$D$127:$H$164,5,FALSE))</f>
        <v>40</v>
      </c>
      <c r="QJ47" s="904">
        <f>+IFERROR(VLOOKUP(QJ$27&amp;"-"&amp;$M47&amp;"_new",Ammortamento_Finanziario!$H:$L,5,FALSE),VLOOKUP($M47,TT_Tabelle_Riferimento!$D$127:$H$164,5,FALSE))</f>
        <v>40</v>
      </c>
      <c r="QK47" s="904">
        <f>+IFERROR(VLOOKUP(QK$27&amp;"-"&amp;$M47&amp;"_new",Ammortamento_Finanziario!$H:$L,5,FALSE),VLOOKUP($M47,TT_Tabelle_Riferimento!$D$127:$H$164,5,FALSE))</f>
        <v>40</v>
      </c>
      <c r="QL47" s="904">
        <f>+IFERROR(VLOOKUP(QL$27&amp;"-"&amp;$M47&amp;"_new",Ammortamento_Finanziario!$H:$L,5,FALSE),VLOOKUP($M47,TT_Tabelle_Riferimento!$D$127:$H$164,5,FALSE))</f>
        <v>40</v>
      </c>
      <c r="QM47" s="904">
        <f>+IFERROR(VLOOKUP(QM$27&amp;"-"&amp;$M47&amp;"_new",Ammortamento_Finanziario!$H:$L,5,FALSE),VLOOKUP($M47,TT_Tabelle_Riferimento!$D$127:$H$164,5,FALSE))</f>
        <v>40</v>
      </c>
      <c r="QN47" s="904">
        <f>+IFERROR(VLOOKUP(QN$27&amp;"-"&amp;$M47&amp;"_new",Ammortamento_Finanziario!$H:$L,5,FALSE),VLOOKUP($M47,TT_Tabelle_Riferimento!$D$127:$H$164,5,FALSE))</f>
        <v>40</v>
      </c>
      <c r="QO47" s="904">
        <f>+IFERROR(VLOOKUP(QO$27&amp;"-"&amp;$M47&amp;"_new",Ammortamento_Finanziario!$H:$L,5,FALSE),VLOOKUP($M47,TT_Tabelle_Riferimento!$D$127:$H$164,5,FALSE))</f>
        <v>40</v>
      </c>
      <c r="QP47" s="904">
        <f>+IFERROR(VLOOKUP(QP$27&amp;"-"&amp;$M47&amp;"_new",Ammortamento_Finanziario!$H:$L,5,FALSE),VLOOKUP($M47,TT_Tabelle_Riferimento!$D$127:$H$164,5,FALSE))</f>
        <v>40</v>
      </c>
      <c r="QQ47" s="904">
        <f>+IFERROR(VLOOKUP(QQ$27&amp;"-"&amp;$M47&amp;"_new",Ammortamento_Finanziario!$H:$L,5,FALSE),VLOOKUP($M47,TT_Tabelle_Riferimento!$D$127:$H$164,5,FALSE))</f>
        <v>40</v>
      </c>
      <c r="QR47" s="904">
        <f>+IFERROR(VLOOKUP(QR$27&amp;"-"&amp;$M47&amp;"_new",Ammortamento_Finanziario!$H:$L,5,FALSE),VLOOKUP($M47,TT_Tabelle_Riferimento!$D$127:$H$164,5,FALSE))</f>
        <v>40</v>
      </c>
      <c r="QS47" s="904">
        <f>+IFERROR(VLOOKUP(QS$27&amp;"-"&amp;$M47&amp;"_new",Ammortamento_Finanziario!$H:$L,5,FALSE),VLOOKUP($M47,TT_Tabelle_Riferimento!$D$127:$H$164,5,FALSE))</f>
        <v>40</v>
      </c>
      <c r="QT47" s="904">
        <f>+IFERROR(VLOOKUP(QT$27&amp;"-"&amp;$M47&amp;"_new",Ammortamento_Finanziario!$H:$L,5,FALSE),VLOOKUP($M47,TT_Tabelle_Riferimento!$D$127:$H$164,5,FALSE))</f>
        <v>40</v>
      </c>
      <c r="QU47" s="904">
        <f>+IFERROR(VLOOKUP(QU$27&amp;"-"&amp;$M47&amp;"_new",Ammortamento_Finanziario!$H:$L,5,FALSE),VLOOKUP($M47,TT_Tabelle_Riferimento!$D$127:$H$164,5,FALSE))</f>
        <v>40</v>
      </c>
      <c r="QV47" s="904">
        <f>+IFERROR(VLOOKUP(QV$27&amp;"-"&amp;$M47&amp;"_new",Ammortamento_Finanziario!$H:$L,5,FALSE),VLOOKUP($M47,TT_Tabelle_Riferimento!$D$127:$H$164,5,FALSE))</f>
        <v>40</v>
      </c>
      <c r="QW47" s="904">
        <f>+IFERROR(VLOOKUP(QW$27&amp;"-"&amp;$M47&amp;"_new",Ammortamento_Finanziario!$H:$L,5,FALSE),VLOOKUP($M47,TT_Tabelle_Riferimento!$D$127:$H$164,5,FALSE))</f>
        <v>40</v>
      </c>
      <c r="QX47" s="904">
        <f>+IFERROR(VLOOKUP(QX$27&amp;"-"&amp;$M47&amp;"_new",Ammortamento_Finanziario!$H:$L,5,FALSE),VLOOKUP($M47,TT_Tabelle_Riferimento!$D$127:$H$164,5,FALSE))</f>
        <v>40</v>
      </c>
      <c r="QY47" s="904">
        <f>+IFERROR(VLOOKUP(QY$27&amp;"-"&amp;$M47&amp;"_new",Ammortamento_Finanziario!$H:$L,5,FALSE),VLOOKUP($M47,TT_Tabelle_Riferimento!$D$127:$H$164,5,FALSE))</f>
        <v>40</v>
      </c>
      <c r="QZ47" s="904">
        <f>+IFERROR(VLOOKUP(QZ$27&amp;"-"&amp;$M47&amp;"_new",Ammortamento_Finanziario!$H:$L,5,FALSE),VLOOKUP($M47,TT_Tabelle_Riferimento!$D$127:$H$164,5,FALSE))</f>
        <v>40</v>
      </c>
      <c r="RA47" s="904">
        <f>+IFERROR(VLOOKUP(RA$27&amp;"-"&amp;$M47&amp;"_new",Ammortamento_Finanziario!$H:$L,5,FALSE),VLOOKUP($M47,TT_Tabelle_Riferimento!$D$127:$H$164,5,FALSE))</f>
        <v>40</v>
      </c>
      <c r="RB47" s="904">
        <f>+IFERROR(VLOOKUP(RB$27&amp;"-"&amp;$M47&amp;"_new",Ammortamento_Finanziario!$H:$L,5,FALSE),VLOOKUP($M47,TT_Tabelle_Riferimento!$D$127:$H$164,5,FALSE))</f>
        <v>40</v>
      </c>
      <c r="RC47" s="1762">
        <f>+IFERROR(VLOOKUP(RC$27&amp;"-"&amp;$M47&amp;"_new",Ammortamento_Finanziario!$H:$L,5,FALSE),VLOOKUP($M47,TT_Tabelle_Riferimento!$D$127:$H$164,5,FALSE))</f>
        <v>40</v>
      </c>
      <c r="RD47" s="904">
        <f>+IFERROR(VLOOKUP(RD$27&amp;"-"&amp;$M47&amp;"_new",Ammortamento_Finanziario!$H:$L,5,FALSE),VLOOKUP($M47,TT_Tabelle_Riferimento!$D$127:$H$164,5,FALSE))</f>
        <v>40</v>
      </c>
      <c r="RE47" s="904">
        <f>+IFERROR(VLOOKUP(RE$27&amp;"-"&amp;$M47&amp;"_new",Ammortamento_Finanziario!$H:$L,5,FALSE),VLOOKUP($M47,TT_Tabelle_Riferimento!$D$127:$H$164,5,FALSE))</f>
        <v>40</v>
      </c>
      <c r="RF47" s="904">
        <f>+IFERROR(VLOOKUP(RF$27&amp;"-"&amp;$M47&amp;"_new",Ammortamento_Finanziario!$H:$L,5,FALSE),VLOOKUP($M47,TT_Tabelle_Riferimento!$D$127:$H$164,5,FALSE))</f>
        <v>40</v>
      </c>
      <c r="RG47" s="904">
        <f>+IFERROR(VLOOKUP(RG$27&amp;"-"&amp;$M47&amp;"_new",Ammortamento_Finanziario!$H:$L,5,FALSE),VLOOKUP($M47,TT_Tabelle_Riferimento!$D$127:$H$164,5,FALSE))</f>
        <v>40</v>
      </c>
      <c r="RH47" s="904">
        <f>+IFERROR(VLOOKUP(RH$27&amp;"-"&amp;$M47&amp;"_new",Ammortamento_Finanziario!$H:$L,5,FALSE),VLOOKUP($M47,TT_Tabelle_Riferimento!$D$127:$H$164,5,FALSE))</f>
        <v>40</v>
      </c>
      <c r="RI47" s="904">
        <f>+IFERROR(VLOOKUP(RI$27&amp;"-"&amp;$M47&amp;"_new",Ammortamento_Finanziario!$H:$L,5,FALSE),VLOOKUP($M47,TT_Tabelle_Riferimento!$D$127:$H$164,5,FALSE))</f>
        <v>40</v>
      </c>
      <c r="RJ47" s="904">
        <f>+IFERROR(VLOOKUP(RJ$27&amp;"-"&amp;$M47&amp;"_new",Ammortamento_Finanziario!$H:$L,5,FALSE),VLOOKUP($M47,TT_Tabelle_Riferimento!$D$127:$H$164,5,FALSE))</f>
        <v>40</v>
      </c>
      <c r="RK47" s="904">
        <f>+IFERROR(VLOOKUP(RK$27&amp;"-"&amp;$M47&amp;"_new",Ammortamento_Finanziario!$H:$L,5,FALSE),VLOOKUP($M47,TT_Tabelle_Riferimento!$D$127:$H$164,5,FALSE))</f>
        <v>40</v>
      </c>
      <c r="RL47" s="904">
        <f>+IFERROR(VLOOKUP(RL$27&amp;"-"&amp;$M47&amp;"_new",Ammortamento_Finanziario!$H:$L,5,FALSE),VLOOKUP($M47,TT_Tabelle_Riferimento!$D$127:$H$164,5,FALSE))</f>
        <v>40</v>
      </c>
      <c r="RM47" s="904">
        <f>+IFERROR(VLOOKUP(RM$27&amp;"-"&amp;$M47&amp;"_new",Ammortamento_Finanziario!$H:$L,5,FALSE),VLOOKUP($M47,TT_Tabelle_Riferimento!$D$127:$H$164,5,FALSE))</f>
        <v>40</v>
      </c>
      <c r="RN47" s="904">
        <f>+IFERROR(VLOOKUP(RN$27&amp;"-"&amp;$M47&amp;"_new",Ammortamento_Finanziario!$H:$L,5,FALSE),VLOOKUP($M47,TT_Tabelle_Riferimento!$D$127:$H$164,5,FALSE))</f>
        <v>40</v>
      </c>
      <c r="RO47" s="904">
        <f>+IFERROR(VLOOKUP(RO$27&amp;"-"&amp;$M47&amp;"_new",Ammortamento_Finanziario!$H:$L,5,FALSE),VLOOKUP($M47,TT_Tabelle_Riferimento!$D$127:$H$164,5,FALSE))</f>
        <v>40</v>
      </c>
      <c r="RP47" s="904">
        <f>+IFERROR(VLOOKUP(RP$27&amp;"-"&amp;$M47&amp;"_new",Ammortamento_Finanziario!$H:$L,5,FALSE),VLOOKUP($M47,TT_Tabelle_Riferimento!$D$127:$H$164,5,FALSE))</f>
        <v>40</v>
      </c>
      <c r="RQ47" s="904">
        <f>+IFERROR(VLOOKUP(RQ$27&amp;"-"&amp;$M47&amp;"_new",Ammortamento_Finanziario!$H:$L,5,FALSE),VLOOKUP($M47,TT_Tabelle_Riferimento!$D$127:$H$164,5,FALSE))</f>
        <v>40</v>
      </c>
      <c r="RR47" s="904">
        <f>+IFERROR(VLOOKUP(RR$27&amp;"-"&amp;$M47&amp;"_new",Ammortamento_Finanziario!$H:$L,5,FALSE),VLOOKUP($M47,TT_Tabelle_Riferimento!$D$127:$H$164,5,FALSE))</f>
        <v>40</v>
      </c>
      <c r="RS47" s="904">
        <f>+IFERROR(VLOOKUP(RS$27&amp;"-"&amp;$M47&amp;"_new",Ammortamento_Finanziario!$H:$L,5,FALSE),VLOOKUP($M47,TT_Tabelle_Riferimento!$D$127:$H$164,5,FALSE))</f>
        <v>40</v>
      </c>
      <c r="RT47" s="904">
        <f>+IFERROR(VLOOKUP(RT$27&amp;"-"&amp;$M47&amp;"_new",Ammortamento_Finanziario!$H:$L,5,FALSE),VLOOKUP($M47,TT_Tabelle_Riferimento!$D$127:$H$164,5,FALSE))</f>
        <v>40</v>
      </c>
      <c r="RU47" s="904">
        <f>+IFERROR(VLOOKUP(RU$27&amp;"-"&amp;$M47&amp;"_new",Ammortamento_Finanziario!$H:$L,5,FALSE),VLOOKUP($M47,TT_Tabelle_Riferimento!$D$127:$H$164,5,FALSE))</f>
        <v>40</v>
      </c>
      <c r="RV47" s="904">
        <f>+IFERROR(VLOOKUP(RV$27&amp;"-"&amp;$M47&amp;"_new",Ammortamento_Finanziario!$H:$L,5,FALSE),VLOOKUP($M47,TT_Tabelle_Riferimento!$D$127:$H$164,5,FALSE))</f>
        <v>40</v>
      </c>
    </row>
    <row r="48" spans="4:490" ht="15.75">
      <c r="D48" s="135" t="s">
        <v>22702</v>
      </c>
      <c r="E48" s="719">
        <f>+SUMIFS(IMN_gestore!W:W,IMN_gestore!$G:$G,"Env")</f>
        <v>0</v>
      </c>
      <c r="F48" s="719">
        <f>+SUMIFS(IMN_gestore!AH:AH,IMN_gestore!$G:$G,"Env")</f>
        <v>0</v>
      </c>
      <c r="G48" s="719">
        <f>+SUMIFS(IMN_gestore!AS:AS,IMN_gestore!$G:$G,"Env")</f>
        <v>0</v>
      </c>
      <c r="H48" s="719">
        <f>+SUMIFS(IMN_gestore!BD:BD,IMN_gestore!$G:$G,"Env")</f>
        <v>0</v>
      </c>
      <c r="I48" s="719">
        <f>+SUMIFS(IMN_gestore!$BO:$BO,IMN_gestore!$G:$G,"Env")</f>
        <v>0</v>
      </c>
      <c r="J48" s="719">
        <f>+SUMIFS(IMN_gestore!$BZ:$BZ,IMN_gestore!$G:$G,"Env")</f>
        <v>0</v>
      </c>
      <c r="M48" s="1756">
        <v>21</v>
      </c>
      <c r="N48" s="1759">
        <v>0</v>
      </c>
      <c r="O48" s="1759">
        <v>0</v>
      </c>
      <c r="P48" s="1759">
        <v>0</v>
      </c>
      <c r="Q48" s="1759">
        <v>0</v>
      </c>
      <c r="R48" s="1759">
        <v>0</v>
      </c>
      <c r="S48" s="1759">
        <v>0</v>
      </c>
      <c r="T48" s="1759">
        <v>0</v>
      </c>
      <c r="U48" s="1759">
        <v>0</v>
      </c>
      <c r="V48" s="1759">
        <v>0</v>
      </c>
      <c r="W48" s="1759">
        <v>0</v>
      </c>
      <c r="X48" s="1759">
        <v>0</v>
      </c>
      <c r="Y48" s="1759">
        <v>0</v>
      </c>
      <c r="Z48" s="1759">
        <v>0</v>
      </c>
      <c r="AA48" s="1759">
        <v>0</v>
      </c>
      <c r="AB48" s="1759">
        <v>0</v>
      </c>
      <c r="AC48" s="1759">
        <v>0</v>
      </c>
      <c r="AD48" s="1759">
        <v>0</v>
      </c>
      <c r="AE48" s="1759">
        <v>0</v>
      </c>
      <c r="AF48" s="1759">
        <v>0</v>
      </c>
      <c r="AG48" s="1759">
        <v>0</v>
      </c>
      <c r="AH48" s="1759">
        <v>0</v>
      </c>
      <c r="AI48" s="1759">
        <v>0</v>
      </c>
      <c r="AJ48" s="1759">
        <v>0</v>
      </c>
      <c r="AK48" s="1759">
        <v>0</v>
      </c>
      <c r="AL48" s="1759">
        <v>0</v>
      </c>
      <c r="AM48" s="1759">
        <v>0</v>
      </c>
      <c r="AN48" s="1759">
        <v>0</v>
      </c>
      <c r="AO48" s="1759">
        <v>0</v>
      </c>
      <c r="AP48" s="1759">
        <v>0</v>
      </c>
      <c r="AQ48" s="1759">
        <v>0</v>
      </c>
      <c r="AR48" s="1759">
        <v>0</v>
      </c>
      <c r="AS48" s="1759">
        <v>0</v>
      </c>
      <c r="AT48" s="1759">
        <v>0</v>
      </c>
      <c r="AU48" s="1759">
        <v>0</v>
      </c>
      <c r="AV48" s="1759">
        <v>0</v>
      </c>
      <c r="AW48" s="1759">
        <v>0</v>
      </c>
      <c r="AX48" s="1759">
        <v>0</v>
      </c>
      <c r="AY48" s="1759">
        <v>0</v>
      </c>
      <c r="AZ48" s="1759">
        <v>0</v>
      </c>
      <c r="BA48" s="1759">
        <v>0</v>
      </c>
      <c r="BB48" s="1759">
        <v>0</v>
      </c>
      <c r="BC48" s="1759">
        <v>0</v>
      </c>
      <c r="BD48" s="1759">
        <v>0</v>
      </c>
      <c r="BE48" s="1759">
        <v>0</v>
      </c>
      <c r="BF48" s="1759">
        <v>0</v>
      </c>
      <c r="BG48" s="1759">
        <v>0</v>
      </c>
      <c r="BH48" s="1759">
        <v>0</v>
      </c>
      <c r="BI48" s="1759">
        <v>0</v>
      </c>
      <c r="BJ48" s="1759">
        <v>0</v>
      </c>
      <c r="BK48" s="1759">
        <v>0</v>
      </c>
      <c r="BL48" s="1759">
        <v>0</v>
      </c>
      <c r="BM48" s="1759">
        <v>0</v>
      </c>
      <c r="BN48" s="1759">
        <v>0</v>
      </c>
      <c r="BO48" s="1759">
        <v>0</v>
      </c>
      <c r="BP48" s="1759">
        <v>0</v>
      </c>
      <c r="BQ48" s="1759">
        <v>0</v>
      </c>
      <c r="BR48" s="1759">
        <v>0</v>
      </c>
      <c r="BS48" s="1759">
        <v>0</v>
      </c>
      <c r="BT48" s="1759">
        <v>0</v>
      </c>
      <c r="BU48" s="1759">
        <v>0</v>
      </c>
      <c r="BV48" s="1759">
        <v>0</v>
      </c>
      <c r="BW48" s="1759">
        <v>0</v>
      </c>
      <c r="BX48" s="1759">
        <v>0</v>
      </c>
      <c r="BY48" s="1759">
        <v>0</v>
      </c>
      <c r="BZ48" s="1759">
        <v>0</v>
      </c>
      <c r="CA48" s="1759">
        <v>0</v>
      </c>
      <c r="CB48" s="1759">
        <v>0</v>
      </c>
      <c r="CC48" s="1759">
        <v>0</v>
      </c>
      <c r="CD48" s="1759">
        <v>0</v>
      </c>
      <c r="CE48" s="1759">
        <v>0</v>
      </c>
      <c r="CF48" s="1759">
        <v>0</v>
      </c>
      <c r="CG48" s="1759">
        <v>0</v>
      </c>
      <c r="CH48" s="1759">
        <v>0</v>
      </c>
      <c r="CI48" s="1759">
        <v>0</v>
      </c>
      <c r="CJ48" s="1759">
        <v>0</v>
      </c>
      <c r="CK48" s="1759">
        <v>0</v>
      </c>
      <c r="CL48" s="1759">
        <v>0</v>
      </c>
      <c r="CM48" s="1759">
        <v>0</v>
      </c>
      <c r="CN48" s="1759">
        <v>0</v>
      </c>
      <c r="CO48" s="1759">
        <v>0</v>
      </c>
      <c r="CP48" s="1759">
        <v>0</v>
      </c>
      <c r="CQ48" s="1759">
        <v>0</v>
      </c>
      <c r="CR48" s="1759">
        <v>0</v>
      </c>
      <c r="CS48" s="1759">
        <v>0</v>
      </c>
      <c r="CT48" s="1759">
        <v>0</v>
      </c>
      <c r="CU48" s="1759">
        <v>0</v>
      </c>
      <c r="CV48" s="1759">
        <v>0</v>
      </c>
      <c r="CW48" s="1759">
        <v>0</v>
      </c>
      <c r="CX48" s="1759">
        <v>0</v>
      </c>
      <c r="CY48" s="1759">
        <v>0</v>
      </c>
      <c r="CZ48" s="1759">
        <v>0</v>
      </c>
      <c r="DA48" s="1759">
        <v>0</v>
      </c>
      <c r="DB48" s="1759">
        <v>0</v>
      </c>
      <c r="DC48" s="1759">
        <v>0</v>
      </c>
      <c r="DD48" s="1759">
        <v>0</v>
      </c>
      <c r="DE48" s="1759">
        <v>0</v>
      </c>
      <c r="DF48" s="1759">
        <v>0</v>
      </c>
      <c r="DG48" s="1759">
        <v>0</v>
      </c>
      <c r="DH48" s="1759">
        <v>0</v>
      </c>
      <c r="DI48" s="1759">
        <v>0</v>
      </c>
      <c r="DJ48" s="1759">
        <v>0</v>
      </c>
      <c r="DK48" s="1759">
        <v>0</v>
      </c>
      <c r="DL48" s="1759">
        <v>0</v>
      </c>
      <c r="DM48" s="1759">
        <v>0</v>
      </c>
      <c r="DN48" s="1759">
        <v>0</v>
      </c>
      <c r="DO48" s="1759">
        <v>0</v>
      </c>
      <c r="DP48" s="1759">
        <v>0</v>
      </c>
      <c r="DQ48" s="1759">
        <v>0</v>
      </c>
      <c r="DR48" s="1759">
        <v>0</v>
      </c>
      <c r="DS48" s="1759">
        <v>0</v>
      </c>
      <c r="DT48" s="1759">
        <v>0</v>
      </c>
      <c r="DU48" s="1759">
        <v>0</v>
      </c>
      <c r="DV48" s="1759">
        <v>0</v>
      </c>
      <c r="DW48" s="1759">
        <v>0</v>
      </c>
      <c r="DX48" s="1759">
        <v>0</v>
      </c>
      <c r="DY48" s="1759">
        <v>0</v>
      </c>
      <c r="DZ48" s="1759">
        <v>0</v>
      </c>
      <c r="EA48" s="1759">
        <v>0</v>
      </c>
      <c r="EB48" s="1759">
        <v>0</v>
      </c>
      <c r="EC48" s="1759">
        <v>0</v>
      </c>
      <c r="ED48" s="1759">
        <v>0</v>
      </c>
      <c r="EE48" s="1759">
        <v>0</v>
      </c>
      <c r="EF48" s="1759">
        <v>0</v>
      </c>
      <c r="EG48" s="1759">
        <v>0</v>
      </c>
      <c r="EH48" s="1759">
        <v>0</v>
      </c>
      <c r="EI48" s="1759">
        <v>0</v>
      </c>
      <c r="EJ48" s="1759">
        <v>0</v>
      </c>
      <c r="EK48" s="1759">
        <v>0</v>
      </c>
      <c r="EL48" s="1759">
        <v>0</v>
      </c>
      <c r="EM48" s="1759">
        <v>0</v>
      </c>
      <c r="EN48" s="1759">
        <v>0</v>
      </c>
      <c r="EO48" s="1759">
        <v>0</v>
      </c>
      <c r="EP48" s="1759">
        <v>0</v>
      </c>
      <c r="EQ48" s="1759">
        <v>0</v>
      </c>
      <c r="ER48" s="1759">
        <v>0</v>
      </c>
      <c r="ES48" s="1759">
        <v>0</v>
      </c>
      <c r="ET48" s="1759">
        <v>0</v>
      </c>
      <c r="EU48" s="1759">
        <v>0</v>
      </c>
      <c r="EV48" s="1759">
        <v>0</v>
      </c>
      <c r="EW48" s="1759">
        <v>0</v>
      </c>
      <c r="EX48" s="1759">
        <v>0</v>
      </c>
      <c r="EY48" s="1759">
        <v>0</v>
      </c>
      <c r="EZ48" s="1759">
        <v>0</v>
      </c>
      <c r="FA48" s="1759">
        <v>0</v>
      </c>
      <c r="FB48" s="1759">
        <v>0</v>
      </c>
      <c r="FC48" s="1759">
        <v>0</v>
      </c>
      <c r="FD48" s="1759">
        <v>0</v>
      </c>
      <c r="FE48" s="1759">
        <v>0</v>
      </c>
      <c r="FF48" s="1759">
        <v>0</v>
      </c>
      <c r="FG48" s="1759">
        <v>0</v>
      </c>
      <c r="FH48" s="1759">
        <v>0</v>
      </c>
      <c r="FI48" s="1759">
        <v>0</v>
      </c>
      <c r="FJ48" s="1759">
        <v>0</v>
      </c>
      <c r="FK48" s="1759">
        <v>0</v>
      </c>
      <c r="FL48" s="1759">
        <v>0</v>
      </c>
      <c r="FM48" s="1759">
        <v>0</v>
      </c>
      <c r="FN48" s="1759">
        <v>0</v>
      </c>
      <c r="FO48" s="1759">
        <v>0</v>
      </c>
      <c r="FP48" s="1759">
        <v>0</v>
      </c>
      <c r="FQ48" s="1759">
        <v>0</v>
      </c>
      <c r="FR48" s="1759">
        <v>0</v>
      </c>
      <c r="FS48" s="1759">
        <v>0</v>
      </c>
      <c r="FT48" s="1759">
        <v>0</v>
      </c>
      <c r="FU48" s="1759">
        <v>0</v>
      </c>
      <c r="FV48" s="1759">
        <v>0</v>
      </c>
      <c r="FW48" s="1759">
        <v>0</v>
      </c>
      <c r="FX48" s="1759">
        <v>0</v>
      </c>
      <c r="FY48" s="1759">
        <v>0</v>
      </c>
      <c r="FZ48" s="1759">
        <v>0</v>
      </c>
      <c r="GA48" s="1759">
        <v>0</v>
      </c>
      <c r="GB48" s="1759">
        <v>0</v>
      </c>
      <c r="GC48" s="1759">
        <v>0</v>
      </c>
      <c r="GD48" s="1759">
        <v>0</v>
      </c>
      <c r="GE48" s="1759">
        <v>0</v>
      </c>
      <c r="GF48" s="1759">
        <v>0</v>
      </c>
      <c r="GG48" s="1759">
        <v>0</v>
      </c>
      <c r="GH48" s="1759">
        <v>0</v>
      </c>
      <c r="GI48" s="1759">
        <v>0</v>
      </c>
      <c r="GJ48" s="1759">
        <v>0</v>
      </c>
      <c r="GK48" s="1759">
        <v>0</v>
      </c>
      <c r="GL48" s="1759">
        <v>0</v>
      </c>
      <c r="GM48" s="1759">
        <v>0</v>
      </c>
      <c r="GN48" s="1759">
        <v>0</v>
      </c>
      <c r="GO48" s="1759">
        <v>0</v>
      </c>
      <c r="GP48" s="1759">
        <v>0</v>
      </c>
      <c r="GQ48" s="1759">
        <v>0</v>
      </c>
      <c r="GR48" s="1759">
        <v>0</v>
      </c>
      <c r="GS48" s="1759">
        <v>0</v>
      </c>
      <c r="GT48" s="1759">
        <v>0</v>
      </c>
      <c r="GU48" s="1759">
        <v>0</v>
      </c>
      <c r="GV48" s="1759">
        <v>0</v>
      </c>
      <c r="GW48" s="1759">
        <v>0</v>
      </c>
      <c r="GX48" s="1759">
        <v>0</v>
      </c>
      <c r="GY48" s="1759">
        <v>0</v>
      </c>
      <c r="GZ48" s="1759">
        <v>0</v>
      </c>
      <c r="HA48" s="1759">
        <v>0</v>
      </c>
      <c r="HB48" s="1759">
        <v>0</v>
      </c>
      <c r="HC48" s="1759">
        <v>0</v>
      </c>
      <c r="HD48" s="1759">
        <v>0</v>
      </c>
      <c r="HE48" s="1759">
        <v>0</v>
      </c>
      <c r="HF48" s="1759">
        <v>0</v>
      </c>
      <c r="HG48" s="1759">
        <v>0</v>
      </c>
      <c r="HH48" s="1759">
        <v>0</v>
      </c>
      <c r="HI48" s="1759">
        <v>0</v>
      </c>
      <c r="HJ48" s="1759">
        <v>0</v>
      </c>
      <c r="HK48" s="1759">
        <v>0</v>
      </c>
      <c r="HL48" s="1759">
        <v>0</v>
      </c>
      <c r="HM48" s="1759">
        <v>0</v>
      </c>
      <c r="HN48" s="1759">
        <v>0</v>
      </c>
      <c r="HO48" s="1759">
        <v>0</v>
      </c>
      <c r="HP48" s="1759">
        <v>0</v>
      </c>
      <c r="HQ48" s="1759">
        <v>0</v>
      </c>
      <c r="HR48" s="1759">
        <v>0</v>
      </c>
      <c r="HS48" s="1759">
        <v>0</v>
      </c>
      <c r="HT48" s="1759">
        <v>0</v>
      </c>
      <c r="HU48" s="1759">
        <v>0</v>
      </c>
      <c r="HV48" s="1759">
        <v>0</v>
      </c>
      <c r="HW48" s="1759">
        <v>0</v>
      </c>
      <c r="HX48" s="1759">
        <v>0</v>
      </c>
      <c r="HY48" s="1759">
        <v>0</v>
      </c>
      <c r="HZ48" s="1759">
        <v>0</v>
      </c>
      <c r="IA48" s="1759">
        <v>0</v>
      </c>
      <c r="IB48" s="1759">
        <v>0</v>
      </c>
      <c r="IC48" s="1759">
        <v>0</v>
      </c>
      <c r="ID48" s="1759">
        <v>0</v>
      </c>
      <c r="IE48" s="1759">
        <v>0</v>
      </c>
      <c r="IF48" s="1759">
        <v>0</v>
      </c>
      <c r="IG48" s="1759">
        <v>0</v>
      </c>
      <c r="IH48" s="1759">
        <v>0</v>
      </c>
      <c r="II48" s="1759">
        <v>0</v>
      </c>
      <c r="IJ48" s="1759">
        <v>0</v>
      </c>
      <c r="IK48" s="1759">
        <v>0</v>
      </c>
      <c r="IL48" s="1759">
        <v>0</v>
      </c>
      <c r="IM48" s="1759">
        <v>0</v>
      </c>
      <c r="IN48" s="1759">
        <v>0</v>
      </c>
      <c r="IO48" s="1759">
        <v>0</v>
      </c>
      <c r="IP48" s="1759">
        <v>0</v>
      </c>
      <c r="IQ48" s="1759">
        <v>0</v>
      </c>
      <c r="IR48" s="1759">
        <v>0</v>
      </c>
      <c r="IS48" s="1759">
        <v>0</v>
      </c>
      <c r="IT48" s="1759">
        <v>0</v>
      </c>
      <c r="IU48" s="1759">
        <v>0</v>
      </c>
      <c r="IV48" s="1759">
        <v>0</v>
      </c>
      <c r="IW48" s="1759">
        <v>0</v>
      </c>
      <c r="IX48" s="1759">
        <v>0</v>
      </c>
      <c r="IY48" s="1759">
        <v>0</v>
      </c>
      <c r="IZ48" s="1759">
        <v>0</v>
      </c>
      <c r="JA48" s="1759">
        <v>0</v>
      </c>
      <c r="JB48" s="1759">
        <v>0</v>
      </c>
      <c r="JC48" s="1759">
        <v>0</v>
      </c>
      <c r="JD48" s="1759">
        <v>0</v>
      </c>
      <c r="JE48" s="1759">
        <v>0</v>
      </c>
      <c r="JF48" s="1759">
        <v>0</v>
      </c>
      <c r="JG48" s="1759">
        <v>0</v>
      </c>
      <c r="JH48" s="1759">
        <v>0</v>
      </c>
      <c r="JI48" s="1759">
        <v>0</v>
      </c>
      <c r="JJ48" s="1759">
        <v>0</v>
      </c>
      <c r="JK48" s="1759">
        <v>0</v>
      </c>
      <c r="JL48" s="1759">
        <v>0</v>
      </c>
      <c r="JM48" s="1759">
        <v>0</v>
      </c>
      <c r="JN48" s="1759">
        <v>0</v>
      </c>
      <c r="JO48" s="1759">
        <v>0</v>
      </c>
      <c r="JP48" s="1759">
        <v>0</v>
      </c>
      <c r="JQ48" s="1759">
        <v>0</v>
      </c>
      <c r="JR48" s="1759">
        <v>0</v>
      </c>
      <c r="JS48" s="1759">
        <v>0</v>
      </c>
      <c r="JT48" s="1759">
        <v>0</v>
      </c>
      <c r="JU48" s="1759">
        <v>0</v>
      </c>
      <c r="JV48" s="1759">
        <v>0</v>
      </c>
      <c r="JW48" s="1759">
        <v>0</v>
      </c>
      <c r="JX48" s="1759">
        <v>0</v>
      </c>
      <c r="JY48" s="1759">
        <v>0</v>
      </c>
      <c r="JZ48" s="1759">
        <v>0</v>
      </c>
      <c r="KA48" s="1759">
        <v>0</v>
      </c>
      <c r="KB48" s="1759">
        <v>0</v>
      </c>
      <c r="KC48" s="1759">
        <v>0</v>
      </c>
      <c r="KD48" s="1759">
        <v>0</v>
      </c>
      <c r="KE48" s="1759">
        <v>0</v>
      </c>
      <c r="KF48" s="1759">
        <v>0</v>
      </c>
      <c r="KG48" s="1759">
        <v>0</v>
      </c>
      <c r="KH48" s="1759">
        <v>0</v>
      </c>
      <c r="KI48" s="1759">
        <v>0</v>
      </c>
      <c r="KJ48" s="1759">
        <v>0</v>
      </c>
      <c r="KK48" s="1759">
        <v>0</v>
      </c>
      <c r="KL48" s="1759">
        <v>0</v>
      </c>
      <c r="KM48" s="1759">
        <v>0</v>
      </c>
      <c r="KN48" s="1759">
        <v>0</v>
      </c>
      <c r="KO48" s="1759">
        <v>0</v>
      </c>
      <c r="KP48" s="1759">
        <v>0</v>
      </c>
      <c r="KQ48" s="904">
        <f>+IFERROR(VLOOKUP(KQ$27&amp;"-"&amp;$M48&amp;"_new",Ammortamento_Finanziario!$H:$L,5,FALSE),VLOOKUP($M48,TT_Tabelle_Riferimento!$D$127:$H$164,5,FALSE))</f>
        <v>20</v>
      </c>
      <c r="KR48" s="904">
        <f>+IFERROR(VLOOKUP(KR$27&amp;"-"&amp;$M48&amp;"_new",Ammortamento_Finanziario!$H:$L,5,FALSE),VLOOKUP($M48,TT_Tabelle_Riferimento!$D$127:$H$164,5,FALSE))</f>
        <v>20</v>
      </c>
      <c r="KS48" s="1762">
        <f>+IFERROR(VLOOKUP(KS$27&amp;"-"&amp;$M48&amp;"_new",Ammortamento_Finanziario!$H:$L,5,FALSE),VLOOKUP($M48,TT_Tabelle_Riferimento!$D$127:$H$164,5,FALSE))</f>
        <v>20</v>
      </c>
      <c r="KT48" s="1762">
        <f>+IFERROR(VLOOKUP(KT$27&amp;"-"&amp;$M48&amp;"_new",Ammortamento_Finanziario!$H:$L,5,FALSE),VLOOKUP($M48,TT_Tabelle_Riferimento!$D$127:$H$164,5,FALSE))</f>
        <v>20</v>
      </c>
      <c r="KU48" s="1762">
        <f>+IFERROR(VLOOKUP(KU$27&amp;"-"&amp;$M48&amp;"_new",Ammortamento_Finanziario!$H:$L,5,FALSE),VLOOKUP($M48,TT_Tabelle_Riferimento!$D$127:$H$164,5,FALSE))</f>
        <v>20</v>
      </c>
      <c r="KV48" s="1762">
        <f>+IFERROR(VLOOKUP(KV$27&amp;"-"&amp;$M48&amp;"_new",Ammortamento_Finanziario!$H:$L,5,FALSE),VLOOKUP($M48,TT_Tabelle_Riferimento!$D$127:$H$164,5,FALSE))</f>
        <v>20</v>
      </c>
      <c r="KW48" s="1762">
        <f>+IFERROR(VLOOKUP(KW$27&amp;"-"&amp;$M48&amp;"_new",Ammortamento_Finanziario!$H:$L,5,FALSE),VLOOKUP($M48,TT_Tabelle_Riferimento!$D$127:$H$164,5,FALSE))</f>
        <v>20</v>
      </c>
      <c r="KX48" s="1762">
        <f>+IFERROR(VLOOKUP(KX$27&amp;"-"&amp;$M48&amp;"_new",Ammortamento_Finanziario!$H:$L,5,FALSE),VLOOKUP($M48,TT_Tabelle_Riferimento!$D$127:$H$164,5,FALSE))</f>
        <v>20</v>
      </c>
      <c r="KY48" s="904">
        <f>+IFERROR(VLOOKUP(KY$27&amp;"-"&amp;$M48&amp;"_new",Ammortamento_Finanziario!$H:$L,5,FALSE),VLOOKUP($M48,TT_Tabelle_Riferimento!$D$127:$H$164,5,FALSE))</f>
        <v>20</v>
      </c>
      <c r="KZ48" s="904">
        <f>+IFERROR(VLOOKUP(KZ$27&amp;"-"&amp;$M48&amp;"_new",Ammortamento_Finanziario!$H:$L,5,FALSE),VLOOKUP($M48,TT_Tabelle_Riferimento!$D$127:$H$164,5,FALSE))</f>
        <v>20</v>
      </c>
      <c r="LA48" s="904">
        <f>+IFERROR(VLOOKUP(LA$27&amp;"-"&amp;$M48&amp;"_new",Ammortamento_Finanziario!$H:$L,5,FALSE),VLOOKUP($M48,TT_Tabelle_Riferimento!$D$127:$H$164,5,FALSE))</f>
        <v>20</v>
      </c>
      <c r="LB48" s="904">
        <f>+IFERROR(VLOOKUP(LB$27&amp;"-"&amp;$M48&amp;"_new",Ammortamento_Finanziario!$H:$L,5,FALSE),VLOOKUP($M48,TT_Tabelle_Riferimento!$D$127:$H$164,5,FALSE))</f>
        <v>20</v>
      </c>
      <c r="LC48" s="904">
        <f>+IFERROR(VLOOKUP(LC$27&amp;"-"&amp;$M48&amp;"_new",Ammortamento_Finanziario!$H:$L,5,FALSE),VLOOKUP($M48,TT_Tabelle_Riferimento!$D$127:$H$164,5,FALSE))</f>
        <v>20</v>
      </c>
      <c r="LD48" s="904">
        <f>+IFERROR(VLOOKUP(LD$27&amp;"-"&amp;$M48&amp;"_new",Ammortamento_Finanziario!$H:$L,5,FALSE),VLOOKUP($M48,TT_Tabelle_Riferimento!$D$127:$H$164,5,FALSE))</f>
        <v>20</v>
      </c>
      <c r="LE48" s="904">
        <f>+IFERROR(VLOOKUP(LE$27&amp;"-"&amp;$M48&amp;"_new",Ammortamento_Finanziario!$H:$L,5,FALSE),VLOOKUP($M48,TT_Tabelle_Riferimento!$D$127:$H$164,5,FALSE))</f>
        <v>20</v>
      </c>
      <c r="LF48" s="904">
        <f>+IFERROR(VLOOKUP(LF$27&amp;"-"&amp;$M48&amp;"_new",Ammortamento_Finanziario!$H:$L,5,FALSE),VLOOKUP($M48,TT_Tabelle_Riferimento!$D$127:$H$164,5,FALSE))</f>
        <v>20</v>
      </c>
      <c r="LG48" s="904">
        <f>+IFERROR(VLOOKUP(LG$27&amp;"-"&amp;$M48&amp;"_new",Ammortamento_Finanziario!$H:$L,5,FALSE),VLOOKUP($M48,TT_Tabelle_Riferimento!$D$127:$H$164,5,FALSE))</f>
        <v>20</v>
      </c>
      <c r="LH48" s="904">
        <f>+IFERROR(VLOOKUP(LH$27&amp;"-"&amp;$M48&amp;"_new",Ammortamento_Finanziario!$H:$L,5,FALSE),VLOOKUP($M48,TT_Tabelle_Riferimento!$D$127:$H$164,5,FALSE))</f>
        <v>20</v>
      </c>
      <c r="LI48" s="904">
        <f>+IFERROR(VLOOKUP(LI$27&amp;"-"&amp;$M48&amp;"_new",Ammortamento_Finanziario!$H:$L,5,FALSE),VLOOKUP($M48,TT_Tabelle_Riferimento!$D$127:$H$164,5,FALSE))</f>
        <v>20</v>
      </c>
      <c r="LJ48" s="904">
        <f>+IFERROR(VLOOKUP(LJ$27&amp;"-"&amp;$M48&amp;"_new",Ammortamento_Finanziario!$H:$L,5,FALSE),VLOOKUP($M48,TT_Tabelle_Riferimento!$D$127:$H$164,5,FALSE))</f>
        <v>20</v>
      </c>
      <c r="LK48" s="904">
        <f>+IFERROR(VLOOKUP(LK$27&amp;"-"&amp;$M48&amp;"_new",Ammortamento_Finanziario!$H:$L,5,FALSE),VLOOKUP($M48,TT_Tabelle_Riferimento!$D$127:$H$164,5,FALSE))</f>
        <v>20</v>
      </c>
      <c r="LL48" s="904">
        <f>+IFERROR(VLOOKUP(LL$27&amp;"-"&amp;$M48&amp;"_new",Ammortamento_Finanziario!$H:$L,5,FALSE),VLOOKUP($M48,TT_Tabelle_Riferimento!$D$127:$H$164,5,FALSE))</f>
        <v>20</v>
      </c>
      <c r="LM48" s="904">
        <f>+IFERROR(VLOOKUP(LM$27&amp;"-"&amp;$M48&amp;"_new",Ammortamento_Finanziario!$H:$L,5,FALSE),VLOOKUP($M48,TT_Tabelle_Riferimento!$D$127:$H$164,5,FALSE))</f>
        <v>20</v>
      </c>
      <c r="LN48" s="904">
        <f>+IFERROR(VLOOKUP(LN$27&amp;"-"&amp;$M48&amp;"_new",Ammortamento_Finanziario!$H:$L,5,FALSE),VLOOKUP($M48,TT_Tabelle_Riferimento!$D$127:$H$164,5,FALSE))</f>
        <v>20</v>
      </c>
      <c r="LO48" s="904">
        <f>+IFERROR(VLOOKUP(LO$27&amp;"-"&amp;$M48&amp;"_new",Ammortamento_Finanziario!$H:$L,5,FALSE),VLOOKUP($M48,TT_Tabelle_Riferimento!$D$127:$H$164,5,FALSE))</f>
        <v>20</v>
      </c>
      <c r="LP48" s="904">
        <f>+IFERROR(VLOOKUP(LP$27&amp;"-"&amp;$M48&amp;"_new",Ammortamento_Finanziario!$H:$L,5,FALSE),VLOOKUP($M48,TT_Tabelle_Riferimento!$D$127:$H$164,5,FALSE))</f>
        <v>20</v>
      </c>
      <c r="LQ48" s="904">
        <f>+IFERROR(VLOOKUP(LQ$27&amp;"-"&amp;$M48&amp;"_new",Ammortamento_Finanziario!$H:$L,5,FALSE),VLOOKUP($M48,TT_Tabelle_Riferimento!$D$127:$H$164,5,FALSE))</f>
        <v>20</v>
      </c>
      <c r="LR48" s="904">
        <f>+IFERROR(VLOOKUP(LR$27&amp;"-"&amp;$M48&amp;"_new",Ammortamento_Finanziario!$H:$L,5,FALSE),VLOOKUP($M48,TT_Tabelle_Riferimento!$D$127:$H$164,5,FALSE))</f>
        <v>20</v>
      </c>
      <c r="LS48" s="1762">
        <f>+IFERROR(VLOOKUP(LS$27&amp;"-"&amp;$M48&amp;"_new",Ammortamento_Finanziario!$H:$L,5,FALSE),VLOOKUP($M48,TT_Tabelle_Riferimento!$D$127:$H$164,5,FALSE))</f>
        <v>20</v>
      </c>
      <c r="LT48" s="1762">
        <f>+IFERROR(VLOOKUP(LT$27&amp;"-"&amp;$M48&amp;"_new",Ammortamento_Finanziario!$H:$L,5,FALSE),VLOOKUP($M48,TT_Tabelle_Riferimento!$D$127:$H$164,5,FALSE))</f>
        <v>20</v>
      </c>
      <c r="LU48" s="1762">
        <f>+IFERROR(VLOOKUP(LU$27&amp;"-"&amp;$M48&amp;"_new",Ammortamento_Finanziario!$H:$L,5,FALSE),VLOOKUP($M48,TT_Tabelle_Riferimento!$D$127:$H$164,5,FALSE))</f>
        <v>20</v>
      </c>
      <c r="LV48" s="1762">
        <f>+IFERROR(VLOOKUP(LV$27&amp;"-"&amp;$M48&amp;"_new",Ammortamento_Finanziario!$H:$L,5,FALSE),VLOOKUP($M48,TT_Tabelle_Riferimento!$D$127:$H$164,5,FALSE))</f>
        <v>20</v>
      </c>
      <c r="LW48" s="1762">
        <f>+IFERROR(VLOOKUP(LW$27&amp;"-"&amp;$M48&amp;"_new",Ammortamento_Finanziario!$H:$L,5,FALSE),VLOOKUP($M48,TT_Tabelle_Riferimento!$D$127:$H$164,5,FALSE))</f>
        <v>20</v>
      </c>
      <c r="LX48" s="1762">
        <f>+IFERROR(VLOOKUP(LX$27&amp;"-"&amp;$M48&amp;"_new",Ammortamento_Finanziario!$H:$L,5,FALSE),VLOOKUP($M48,TT_Tabelle_Riferimento!$D$127:$H$164,5,FALSE))</f>
        <v>20</v>
      </c>
      <c r="LY48" s="904">
        <f>+IFERROR(VLOOKUP(LY$27&amp;"-"&amp;$M48&amp;"_new",Ammortamento_Finanziario!$H:$L,5,FALSE),VLOOKUP($M48,TT_Tabelle_Riferimento!$D$127:$H$164,5,FALSE))</f>
        <v>20</v>
      </c>
      <c r="LZ48" s="904">
        <f>+IFERROR(VLOOKUP(LZ$27&amp;"-"&amp;$M48&amp;"_new",Ammortamento_Finanziario!$H:$L,5,FALSE),VLOOKUP($M48,TT_Tabelle_Riferimento!$D$127:$H$164,5,FALSE))</f>
        <v>20</v>
      </c>
      <c r="MA48" s="904">
        <f>+IFERROR(VLOOKUP(MA$27&amp;"-"&amp;$M48&amp;"_new",Ammortamento_Finanziario!$H:$L,5,FALSE),VLOOKUP($M48,TT_Tabelle_Riferimento!$D$127:$H$164,5,FALSE))</f>
        <v>20</v>
      </c>
      <c r="MB48" s="904">
        <f>+IFERROR(VLOOKUP(MB$27&amp;"-"&amp;$M48&amp;"_new",Ammortamento_Finanziario!$H:$L,5,FALSE),VLOOKUP($M48,TT_Tabelle_Riferimento!$D$127:$H$164,5,FALSE))</f>
        <v>20</v>
      </c>
      <c r="MC48" s="904">
        <f>+IFERROR(VLOOKUP(MC$27&amp;"-"&amp;$M48&amp;"_new",Ammortamento_Finanziario!$H:$L,5,FALSE),VLOOKUP($M48,TT_Tabelle_Riferimento!$D$127:$H$164,5,FALSE))</f>
        <v>20</v>
      </c>
      <c r="MD48" s="904">
        <f>+IFERROR(VLOOKUP(MD$27&amp;"-"&amp;$M48&amp;"_new",Ammortamento_Finanziario!$H:$L,5,FALSE),VLOOKUP($M48,TT_Tabelle_Riferimento!$D$127:$H$164,5,FALSE))</f>
        <v>20</v>
      </c>
      <c r="ME48" s="904">
        <f>+IFERROR(VLOOKUP(ME$27&amp;"-"&amp;$M48&amp;"_new",Ammortamento_Finanziario!$H:$L,5,FALSE),VLOOKUP($M48,TT_Tabelle_Riferimento!$D$127:$H$164,5,FALSE))</f>
        <v>20</v>
      </c>
      <c r="MF48" s="904">
        <f>+IFERROR(VLOOKUP(MF$27&amp;"-"&amp;$M48&amp;"_new",Ammortamento_Finanziario!$H:$L,5,FALSE),VLOOKUP($M48,TT_Tabelle_Riferimento!$D$127:$H$164,5,FALSE))</f>
        <v>20</v>
      </c>
      <c r="MG48" s="904">
        <f>+IFERROR(VLOOKUP(MG$27&amp;"-"&amp;$M48&amp;"_new",Ammortamento_Finanziario!$H:$L,5,FALSE),VLOOKUP($M48,TT_Tabelle_Riferimento!$D$127:$H$164,5,FALSE))</f>
        <v>20</v>
      </c>
      <c r="MH48" s="904">
        <f>+IFERROR(VLOOKUP(MH$27&amp;"-"&amp;$M48&amp;"_new",Ammortamento_Finanziario!$H:$L,5,FALSE),VLOOKUP($M48,TT_Tabelle_Riferimento!$D$127:$H$164,5,FALSE))</f>
        <v>20</v>
      </c>
      <c r="MI48" s="904">
        <f>+IFERROR(VLOOKUP(MI$27&amp;"-"&amp;$M48&amp;"_new",Ammortamento_Finanziario!$H:$L,5,FALSE),VLOOKUP($M48,TT_Tabelle_Riferimento!$D$127:$H$164,5,FALSE))</f>
        <v>20</v>
      </c>
      <c r="MJ48" s="904">
        <f>+IFERROR(VLOOKUP(MJ$27&amp;"-"&amp;$M48&amp;"_new",Ammortamento_Finanziario!$H:$L,5,FALSE),VLOOKUP($M48,TT_Tabelle_Riferimento!$D$127:$H$164,5,FALSE))</f>
        <v>20</v>
      </c>
      <c r="MK48" s="904">
        <f>+IFERROR(VLOOKUP(MK$27&amp;"-"&amp;$M48&amp;"_new",Ammortamento_Finanziario!$H:$L,5,FALSE),VLOOKUP($M48,TT_Tabelle_Riferimento!$D$127:$H$164,5,FALSE))</f>
        <v>20</v>
      </c>
      <c r="ML48" s="904">
        <f>+IFERROR(VLOOKUP(ML$27&amp;"-"&amp;$M48&amp;"_new",Ammortamento_Finanziario!$H:$L,5,FALSE),VLOOKUP($M48,TT_Tabelle_Riferimento!$D$127:$H$164,5,FALSE))</f>
        <v>20</v>
      </c>
      <c r="MM48" s="904">
        <f>+IFERROR(VLOOKUP(MM$27&amp;"-"&amp;$M48&amp;"_new",Ammortamento_Finanziario!$H:$L,5,FALSE),VLOOKUP($M48,TT_Tabelle_Riferimento!$D$127:$H$164,5,FALSE))</f>
        <v>20</v>
      </c>
      <c r="MN48" s="904">
        <f>+IFERROR(VLOOKUP(MN$27&amp;"-"&amp;$M48&amp;"_new",Ammortamento_Finanziario!$H:$L,5,FALSE),VLOOKUP($M48,TT_Tabelle_Riferimento!$D$127:$H$164,5,FALSE))</f>
        <v>20</v>
      </c>
      <c r="MO48" s="904">
        <f>+IFERROR(VLOOKUP(MO$27&amp;"-"&amp;$M48&amp;"_new",Ammortamento_Finanziario!$H:$L,5,FALSE),VLOOKUP($M48,TT_Tabelle_Riferimento!$D$127:$H$164,5,FALSE))</f>
        <v>20</v>
      </c>
      <c r="MP48" s="904">
        <f>+IFERROR(VLOOKUP(MP$27&amp;"-"&amp;$M48&amp;"_new",Ammortamento_Finanziario!$H:$L,5,FALSE),VLOOKUP($M48,TT_Tabelle_Riferimento!$D$127:$H$164,5,FALSE))</f>
        <v>20</v>
      </c>
      <c r="MQ48" s="904">
        <f>+IFERROR(VLOOKUP(MQ$27&amp;"-"&amp;$M48&amp;"_new",Ammortamento_Finanziario!$H:$L,5,FALSE),VLOOKUP($M48,TT_Tabelle_Riferimento!$D$127:$H$164,5,FALSE))</f>
        <v>20</v>
      </c>
      <c r="MR48" s="1762">
        <f>+IFERROR(VLOOKUP(MR$27&amp;"-"&amp;$M48&amp;"_new",Ammortamento_Finanziario!$H:$L,5,FALSE),VLOOKUP($M48,TT_Tabelle_Riferimento!$D$127:$H$164,5,FALSE))</f>
        <v>20</v>
      </c>
      <c r="MS48" s="1762">
        <f>+IFERROR(VLOOKUP(MS$27&amp;"-"&amp;$M48&amp;"_new",Ammortamento_Finanziario!$H:$L,5,FALSE),VLOOKUP($M48,TT_Tabelle_Riferimento!$D$127:$H$164,5,FALSE))</f>
        <v>20</v>
      </c>
      <c r="MT48" s="1762">
        <f>+IFERROR(VLOOKUP(MT$27&amp;"-"&amp;$M48&amp;"_new",Ammortamento_Finanziario!$H:$L,5,FALSE),VLOOKUP($M48,TT_Tabelle_Riferimento!$D$127:$H$164,5,FALSE))</f>
        <v>20</v>
      </c>
      <c r="MU48" s="1762">
        <f>+IFERROR(VLOOKUP(MU$27&amp;"-"&amp;$M48&amp;"_new",Ammortamento_Finanziario!$H:$L,5,FALSE),VLOOKUP($M48,TT_Tabelle_Riferimento!$D$127:$H$164,5,FALSE))</f>
        <v>20</v>
      </c>
      <c r="MV48" s="1762">
        <f>+IFERROR(VLOOKUP(MV$27&amp;"-"&amp;$M48&amp;"_new",Ammortamento_Finanziario!$H:$L,5,FALSE),VLOOKUP($M48,TT_Tabelle_Riferimento!$D$127:$H$164,5,FALSE))</f>
        <v>20</v>
      </c>
      <c r="MW48" s="1762">
        <f>+IFERROR(VLOOKUP(MW$27&amp;"-"&amp;$M48&amp;"_new",Ammortamento_Finanziario!$H:$L,5,FALSE),VLOOKUP($M48,TT_Tabelle_Riferimento!$D$127:$H$164,5,FALSE))</f>
        <v>20</v>
      </c>
      <c r="MX48" s="904">
        <f>+IFERROR(VLOOKUP(MX$27&amp;"-"&amp;$M48&amp;"_new",Ammortamento_Finanziario!$H:$L,5,FALSE),VLOOKUP($M48,TT_Tabelle_Riferimento!$D$127:$H$164,5,FALSE))</f>
        <v>20</v>
      </c>
      <c r="MY48" s="904">
        <f>+IFERROR(VLOOKUP(MY$27&amp;"-"&amp;$M48&amp;"_new",Ammortamento_Finanziario!$H:$L,5,FALSE),VLOOKUP($M48,TT_Tabelle_Riferimento!$D$127:$H$164,5,FALSE))</f>
        <v>20</v>
      </c>
      <c r="MZ48" s="904">
        <f>+IFERROR(VLOOKUP(MZ$27&amp;"-"&amp;$M48&amp;"_new",Ammortamento_Finanziario!$H:$L,5,FALSE),VLOOKUP($M48,TT_Tabelle_Riferimento!$D$127:$H$164,5,FALSE))</f>
        <v>20</v>
      </c>
      <c r="NA48" s="904">
        <f>+IFERROR(VLOOKUP(NA$27&amp;"-"&amp;$M48&amp;"_new",Ammortamento_Finanziario!$H:$L,5,FALSE),VLOOKUP($M48,TT_Tabelle_Riferimento!$D$127:$H$164,5,FALSE))</f>
        <v>20</v>
      </c>
      <c r="NB48" s="904">
        <f>+IFERROR(VLOOKUP(NB$27&amp;"-"&amp;$M48&amp;"_new",Ammortamento_Finanziario!$H:$L,5,FALSE),VLOOKUP($M48,TT_Tabelle_Riferimento!$D$127:$H$164,5,FALSE))</f>
        <v>20</v>
      </c>
      <c r="NC48" s="904">
        <f>+IFERROR(VLOOKUP(NC$27&amp;"-"&amp;$M48&amp;"_new",Ammortamento_Finanziario!$H:$L,5,FALSE),VLOOKUP($M48,TT_Tabelle_Riferimento!$D$127:$H$164,5,FALSE))</f>
        <v>20</v>
      </c>
      <c r="ND48" s="904">
        <f>+IFERROR(VLOOKUP(ND$27&amp;"-"&amp;$M48&amp;"_new",Ammortamento_Finanziario!$H:$L,5,FALSE),VLOOKUP($M48,TT_Tabelle_Riferimento!$D$127:$H$164,5,FALSE))</f>
        <v>20</v>
      </c>
      <c r="NE48" s="904">
        <f>+IFERROR(VLOOKUP(NE$27&amp;"-"&amp;$M48&amp;"_new",Ammortamento_Finanziario!$H:$L,5,FALSE),VLOOKUP($M48,TT_Tabelle_Riferimento!$D$127:$H$164,5,FALSE))</f>
        <v>20</v>
      </c>
      <c r="NF48" s="904">
        <f>+IFERROR(VLOOKUP(NF$27&amp;"-"&amp;$M48&amp;"_new",Ammortamento_Finanziario!$H:$L,5,FALSE),VLOOKUP($M48,TT_Tabelle_Riferimento!$D$127:$H$164,5,FALSE))</f>
        <v>20</v>
      </c>
      <c r="NG48" s="904">
        <f>+IFERROR(VLOOKUP(NG$27&amp;"-"&amp;$M48&amp;"_new",Ammortamento_Finanziario!$H:$L,5,FALSE),VLOOKUP($M48,TT_Tabelle_Riferimento!$D$127:$H$164,5,FALSE))</f>
        <v>20</v>
      </c>
      <c r="NH48" s="904">
        <f>+IFERROR(VLOOKUP(NH$27&amp;"-"&amp;$M48&amp;"_new",Ammortamento_Finanziario!$H:$L,5,FALSE),VLOOKUP($M48,TT_Tabelle_Riferimento!$D$127:$H$164,5,FALSE))</f>
        <v>20</v>
      </c>
      <c r="NI48" s="904">
        <f>+IFERROR(VLOOKUP(NI$27&amp;"-"&amp;$M48&amp;"_new",Ammortamento_Finanziario!$H:$L,5,FALSE),VLOOKUP($M48,TT_Tabelle_Riferimento!$D$127:$H$164,5,FALSE))</f>
        <v>20</v>
      </c>
      <c r="NJ48" s="904">
        <f>+IFERROR(VLOOKUP(NJ$27&amp;"-"&amp;$M48&amp;"_new",Ammortamento_Finanziario!$H:$L,5,FALSE),VLOOKUP($M48,TT_Tabelle_Riferimento!$D$127:$H$164,5,FALSE))</f>
        <v>20</v>
      </c>
      <c r="NK48" s="904">
        <f>+IFERROR(VLOOKUP(NK$27&amp;"-"&amp;$M48&amp;"_new",Ammortamento_Finanziario!$H:$L,5,FALSE),VLOOKUP($M48,TT_Tabelle_Riferimento!$D$127:$H$164,5,FALSE))</f>
        <v>20</v>
      </c>
      <c r="NL48" s="904">
        <f>+IFERROR(VLOOKUP(NL$27&amp;"-"&amp;$M48&amp;"_new",Ammortamento_Finanziario!$H:$L,5,FALSE),VLOOKUP($M48,TT_Tabelle_Riferimento!$D$127:$H$164,5,FALSE))</f>
        <v>20</v>
      </c>
      <c r="NM48" s="904">
        <f>+IFERROR(VLOOKUP(NM$27&amp;"-"&amp;$M48&amp;"_new",Ammortamento_Finanziario!$H:$L,5,FALSE),VLOOKUP($M48,TT_Tabelle_Riferimento!$D$127:$H$164,5,FALSE))</f>
        <v>20</v>
      </c>
      <c r="NN48" s="904">
        <f>+IFERROR(VLOOKUP(NN$27&amp;"-"&amp;$M48&amp;"_new",Ammortamento_Finanziario!$H:$L,5,FALSE),VLOOKUP($M48,TT_Tabelle_Riferimento!$D$127:$H$164,5,FALSE))</f>
        <v>20</v>
      </c>
      <c r="NO48" s="904">
        <f>+IFERROR(VLOOKUP(NO$27&amp;"-"&amp;$M48&amp;"_new",Ammortamento_Finanziario!$H:$L,5,FALSE),VLOOKUP($M48,TT_Tabelle_Riferimento!$D$127:$H$164,5,FALSE))</f>
        <v>20</v>
      </c>
      <c r="NP48" s="904">
        <f>+IFERROR(VLOOKUP(NP$27&amp;"-"&amp;$M48&amp;"_new",Ammortamento_Finanziario!$H:$L,5,FALSE),VLOOKUP($M48,TT_Tabelle_Riferimento!$D$127:$H$164,5,FALSE))</f>
        <v>20</v>
      </c>
      <c r="NQ48" s="1762">
        <f>+IFERROR(VLOOKUP(NQ$27&amp;"-"&amp;$M48&amp;"_new",Ammortamento_Finanziario!$H:$L,5,FALSE),VLOOKUP($M48,TT_Tabelle_Riferimento!$D$127:$H$164,5,FALSE))</f>
        <v>20</v>
      </c>
      <c r="NR48" s="1762">
        <f>+IFERROR(VLOOKUP(NR$27&amp;"-"&amp;$M48&amp;"_new",Ammortamento_Finanziario!$H:$L,5,FALSE),VLOOKUP($M48,TT_Tabelle_Riferimento!$D$127:$H$164,5,FALSE))</f>
        <v>20</v>
      </c>
      <c r="NS48" s="1762">
        <f>+IFERROR(VLOOKUP(NS$27&amp;"-"&amp;$M48&amp;"_new",Ammortamento_Finanziario!$H:$L,5,FALSE),VLOOKUP($M48,TT_Tabelle_Riferimento!$D$127:$H$164,5,FALSE))</f>
        <v>20</v>
      </c>
      <c r="NT48" s="1762">
        <f>+IFERROR(VLOOKUP(NT$27&amp;"-"&amp;$M48&amp;"_new",Ammortamento_Finanziario!$H:$L,5,FALSE),VLOOKUP($M48,TT_Tabelle_Riferimento!$D$127:$H$164,5,FALSE))</f>
        <v>20</v>
      </c>
      <c r="NU48" s="1762">
        <f>+IFERROR(VLOOKUP(NU$27&amp;"-"&amp;$M48&amp;"_new",Ammortamento_Finanziario!$H:$L,5,FALSE),VLOOKUP($M48,TT_Tabelle_Riferimento!$D$127:$H$164,5,FALSE))</f>
        <v>20</v>
      </c>
      <c r="NV48" s="904">
        <f>+IFERROR(VLOOKUP(NV$27&amp;"-"&amp;$M48&amp;"_new",Ammortamento_Finanziario!$H:$L,5,FALSE),VLOOKUP($M48,TT_Tabelle_Riferimento!$D$127:$H$164,5,FALSE))</f>
        <v>20</v>
      </c>
      <c r="NW48" s="904">
        <f>+IFERROR(VLOOKUP(NW$27&amp;"-"&amp;$M48&amp;"_new",Ammortamento_Finanziario!$H:$L,5,FALSE),VLOOKUP($M48,TT_Tabelle_Riferimento!$D$127:$H$164,5,FALSE))</f>
        <v>20</v>
      </c>
      <c r="NX48" s="904">
        <f>+IFERROR(VLOOKUP(NX$27&amp;"-"&amp;$M48&amp;"_new",Ammortamento_Finanziario!$H:$L,5,FALSE),VLOOKUP($M48,TT_Tabelle_Riferimento!$D$127:$H$164,5,FALSE))</f>
        <v>20</v>
      </c>
      <c r="NY48" s="904">
        <f>+IFERROR(VLOOKUP(NY$27&amp;"-"&amp;$M48&amp;"_new",Ammortamento_Finanziario!$H:$L,5,FALSE),VLOOKUP($M48,TT_Tabelle_Riferimento!$D$127:$H$164,5,FALSE))</f>
        <v>20</v>
      </c>
      <c r="NZ48" s="904">
        <f>+IFERROR(VLOOKUP(NZ$27&amp;"-"&amp;$M48&amp;"_new",Ammortamento_Finanziario!$H:$L,5,FALSE),VLOOKUP($M48,TT_Tabelle_Riferimento!$D$127:$H$164,5,FALSE))</f>
        <v>20</v>
      </c>
      <c r="OA48" s="904">
        <f>+IFERROR(VLOOKUP(OA$27&amp;"-"&amp;$M48&amp;"_new",Ammortamento_Finanziario!$H:$L,5,FALSE),VLOOKUP($M48,TT_Tabelle_Riferimento!$D$127:$H$164,5,FALSE))</f>
        <v>20</v>
      </c>
      <c r="OB48" s="904">
        <f>+IFERROR(VLOOKUP(OB$27&amp;"-"&amp;$M48&amp;"_new",Ammortamento_Finanziario!$H:$L,5,FALSE),VLOOKUP($M48,TT_Tabelle_Riferimento!$D$127:$H$164,5,FALSE))</f>
        <v>20</v>
      </c>
      <c r="OC48" s="904">
        <f>+IFERROR(VLOOKUP(OC$27&amp;"-"&amp;$M48&amp;"_new",Ammortamento_Finanziario!$H:$L,5,FALSE),VLOOKUP($M48,TT_Tabelle_Riferimento!$D$127:$H$164,5,FALSE))</f>
        <v>20</v>
      </c>
      <c r="OD48" s="904">
        <f>+IFERROR(VLOOKUP(OD$27&amp;"-"&amp;$M48&amp;"_new",Ammortamento_Finanziario!$H:$L,5,FALSE),VLOOKUP($M48,TT_Tabelle_Riferimento!$D$127:$H$164,5,FALSE))</f>
        <v>20</v>
      </c>
      <c r="OE48" s="904">
        <f>+IFERROR(VLOOKUP(OE$27&amp;"-"&amp;$M48&amp;"_new",Ammortamento_Finanziario!$H:$L,5,FALSE),VLOOKUP($M48,TT_Tabelle_Riferimento!$D$127:$H$164,5,FALSE))</f>
        <v>20</v>
      </c>
      <c r="OF48" s="904">
        <f>+IFERROR(VLOOKUP(OF$27&amp;"-"&amp;$M48&amp;"_new",Ammortamento_Finanziario!$H:$L,5,FALSE),VLOOKUP($M48,TT_Tabelle_Riferimento!$D$127:$H$164,5,FALSE))</f>
        <v>20</v>
      </c>
      <c r="OG48" s="904">
        <f>+IFERROR(VLOOKUP(OG$27&amp;"-"&amp;$M48&amp;"_new",Ammortamento_Finanziario!$H:$L,5,FALSE),VLOOKUP($M48,TT_Tabelle_Riferimento!$D$127:$H$164,5,FALSE))</f>
        <v>20</v>
      </c>
      <c r="OH48" s="904">
        <f>+IFERROR(VLOOKUP(OH$27&amp;"-"&amp;$M48&amp;"_new",Ammortamento_Finanziario!$H:$L,5,FALSE),VLOOKUP($M48,TT_Tabelle_Riferimento!$D$127:$H$164,5,FALSE))</f>
        <v>20</v>
      </c>
      <c r="OI48" s="904">
        <f>+IFERROR(VLOOKUP(OI$27&amp;"-"&amp;$M48&amp;"_new",Ammortamento_Finanziario!$H:$L,5,FALSE),VLOOKUP($M48,TT_Tabelle_Riferimento!$D$127:$H$164,5,FALSE))</f>
        <v>20</v>
      </c>
      <c r="OJ48" s="904">
        <f>+IFERROR(VLOOKUP(OJ$27&amp;"-"&amp;$M48&amp;"_new",Ammortamento_Finanziario!$H:$L,5,FALSE),VLOOKUP($M48,TT_Tabelle_Riferimento!$D$127:$H$164,5,FALSE))</f>
        <v>20</v>
      </c>
      <c r="OK48" s="904">
        <f>+IFERROR(VLOOKUP(OK$27&amp;"-"&amp;$M48&amp;"_new",Ammortamento_Finanziario!$H:$L,5,FALSE),VLOOKUP($M48,TT_Tabelle_Riferimento!$D$127:$H$164,5,FALSE))</f>
        <v>20</v>
      </c>
      <c r="OL48" s="904">
        <f>+IFERROR(VLOOKUP(OL$27&amp;"-"&amp;$M48&amp;"_new",Ammortamento_Finanziario!$H:$L,5,FALSE),VLOOKUP($M48,TT_Tabelle_Riferimento!$D$127:$H$164,5,FALSE))</f>
        <v>20</v>
      </c>
      <c r="OM48" s="904">
        <f>+IFERROR(VLOOKUP(OM$27&amp;"-"&amp;$M48&amp;"_new",Ammortamento_Finanziario!$H:$L,5,FALSE),VLOOKUP($M48,TT_Tabelle_Riferimento!$D$127:$H$164,5,FALSE))</f>
        <v>20</v>
      </c>
      <c r="ON48" s="904">
        <f>+IFERROR(VLOOKUP(ON$27&amp;"-"&amp;$M48&amp;"_new",Ammortamento_Finanziario!$H:$L,5,FALSE),VLOOKUP($M48,TT_Tabelle_Riferimento!$D$127:$H$164,5,FALSE))</f>
        <v>20</v>
      </c>
      <c r="OO48" s="1762">
        <f>+IFERROR(VLOOKUP(OO$27&amp;"-"&amp;$M48&amp;"_new",Ammortamento_Finanziario!$H:$L,5,FALSE),VLOOKUP($M48,TT_Tabelle_Riferimento!$D$127:$H$164,5,FALSE))</f>
        <v>20</v>
      </c>
      <c r="OP48" s="1762">
        <f>+IFERROR(VLOOKUP(OP$27&amp;"-"&amp;$M48&amp;"_new",Ammortamento_Finanziario!$H:$L,5,FALSE),VLOOKUP($M48,TT_Tabelle_Riferimento!$D$127:$H$164,5,FALSE))</f>
        <v>20</v>
      </c>
      <c r="OQ48" s="1762">
        <f>+IFERROR(VLOOKUP(OQ$27&amp;"-"&amp;$M48&amp;"_new",Ammortamento_Finanziario!$H:$L,5,FALSE),VLOOKUP($M48,TT_Tabelle_Riferimento!$D$127:$H$164,5,FALSE))</f>
        <v>20</v>
      </c>
      <c r="OR48" s="1762">
        <f>+IFERROR(VLOOKUP(OR$27&amp;"-"&amp;$M48&amp;"_new",Ammortamento_Finanziario!$H:$L,5,FALSE),VLOOKUP($M48,TT_Tabelle_Riferimento!$D$127:$H$164,5,FALSE))</f>
        <v>20</v>
      </c>
      <c r="OS48" s="904">
        <f>+IFERROR(VLOOKUP(OS$27&amp;"-"&amp;$M48&amp;"_new",Ammortamento_Finanziario!$H:$L,5,FALSE),VLOOKUP($M48,TT_Tabelle_Riferimento!$D$127:$H$164,5,FALSE))</f>
        <v>20</v>
      </c>
      <c r="OT48" s="904">
        <f>+IFERROR(VLOOKUP(OT$27&amp;"-"&amp;$M48&amp;"_new",Ammortamento_Finanziario!$H:$L,5,FALSE),VLOOKUP($M48,TT_Tabelle_Riferimento!$D$127:$H$164,5,FALSE))</f>
        <v>20</v>
      </c>
      <c r="OU48" s="904">
        <f>+IFERROR(VLOOKUP(OU$27&amp;"-"&amp;$M48&amp;"_new",Ammortamento_Finanziario!$H:$L,5,FALSE),VLOOKUP($M48,TT_Tabelle_Riferimento!$D$127:$H$164,5,FALSE))</f>
        <v>20</v>
      </c>
      <c r="OV48" s="904">
        <f>+IFERROR(VLOOKUP(OV$27&amp;"-"&amp;$M48&amp;"_new",Ammortamento_Finanziario!$H:$L,5,FALSE),VLOOKUP($M48,TT_Tabelle_Riferimento!$D$127:$H$164,5,FALSE))</f>
        <v>20</v>
      </c>
      <c r="OW48" s="904">
        <f>+IFERROR(VLOOKUP(OW$27&amp;"-"&amp;$M48&amp;"_new",Ammortamento_Finanziario!$H:$L,5,FALSE),VLOOKUP($M48,TT_Tabelle_Riferimento!$D$127:$H$164,5,FALSE))</f>
        <v>20</v>
      </c>
      <c r="OX48" s="904">
        <f>+IFERROR(VLOOKUP(OX$27&amp;"-"&amp;$M48&amp;"_new",Ammortamento_Finanziario!$H:$L,5,FALSE),VLOOKUP($M48,TT_Tabelle_Riferimento!$D$127:$H$164,5,FALSE))</f>
        <v>20</v>
      </c>
      <c r="OY48" s="904">
        <f>+IFERROR(VLOOKUP(OY$27&amp;"-"&amp;$M48&amp;"_new",Ammortamento_Finanziario!$H:$L,5,FALSE),VLOOKUP($M48,TT_Tabelle_Riferimento!$D$127:$H$164,5,FALSE))</f>
        <v>20</v>
      </c>
      <c r="OZ48" s="904">
        <f>+IFERROR(VLOOKUP(OZ$27&amp;"-"&amp;$M48&amp;"_new",Ammortamento_Finanziario!$H:$L,5,FALSE),VLOOKUP($M48,TT_Tabelle_Riferimento!$D$127:$H$164,5,FALSE))</f>
        <v>20</v>
      </c>
      <c r="PA48" s="904">
        <f>+IFERROR(VLOOKUP(PA$27&amp;"-"&amp;$M48&amp;"_new",Ammortamento_Finanziario!$H:$L,5,FALSE),VLOOKUP($M48,TT_Tabelle_Riferimento!$D$127:$H$164,5,FALSE))</f>
        <v>20</v>
      </c>
      <c r="PB48" s="904">
        <f>+IFERROR(VLOOKUP(PB$27&amp;"-"&amp;$M48&amp;"_new",Ammortamento_Finanziario!$H:$L,5,FALSE),VLOOKUP($M48,TT_Tabelle_Riferimento!$D$127:$H$164,5,FALSE))</f>
        <v>20</v>
      </c>
      <c r="PC48" s="904">
        <f>+IFERROR(VLOOKUP(PC$27&amp;"-"&amp;$M48&amp;"_new",Ammortamento_Finanziario!$H:$L,5,FALSE),VLOOKUP($M48,TT_Tabelle_Riferimento!$D$127:$H$164,5,FALSE))</f>
        <v>20</v>
      </c>
      <c r="PD48" s="904">
        <f>+IFERROR(VLOOKUP(PD$27&amp;"-"&amp;$M48&amp;"_new",Ammortamento_Finanziario!$H:$L,5,FALSE),VLOOKUP($M48,TT_Tabelle_Riferimento!$D$127:$H$164,5,FALSE))</f>
        <v>20</v>
      </c>
      <c r="PE48" s="904">
        <f>+IFERROR(VLOOKUP(PE$27&amp;"-"&amp;$M48&amp;"_new",Ammortamento_Finanziario!$H:$L,5,FALSE),VLOOKUP($M48,TT_Tabelle_Riferimento!$D$127:$H$164,5,FALSE))</f>
        <v>20</v>
      </c>
      <c r="PF48" s="904">
        <f>+IFERROR(VLOOKUP(PF$27&amp;"-"&amp;$M48&amp;"_new",Ammortamento_Finanziario!$H:$L,5,FALSE),VLOOKUP($M48,TT_Tabelle_Riferimento!$D$127:$H$164,5,FALSE))</f>
        <v>20</v>
      </c>
      <c r="PG48" s="904">
        <f>+IFERROR(VLOOKUP(PG$27&amp;"-"&amp;$M48&amp;"_new",Ammortamento_Finanziario!$H:$L,5,FALSE),VLOOKUP($M48,TT_Tabelle_Riferimento!$D$127:$H$164,5,FALSE))</f>
        <v>20</v>
      </c>
      <c r="PH48" s="904">
        <f>+IFERROR(VLOOKUP(PH$27&amp;"-"&amp;$M48&amp;"_new",Ammortamento_Finanziario!$H:$L,5,FALSE),VLOOKUP($M48,TT_Tabelle_Riferimento!$D$127:$H$164,5,FALSE))</f>
        <v>20</v>
      </c>
      <c r="PI48" s="904">
        <f>+IFERROR(VLOOKUP(PI$27&amp;"-"&amp;$M48&amp;"_new",Ammortamento_Finanziario!$H:$L,5,FALSE),VLOOKUP($M48,TT_Tabelle_Riferimento!$D$127:$H$164,5,FALSE))</f>
        <v>20</v>
      </c>
      <c r="PJ48" s="904">
        <f>+IFERROR(VLOOKUP(PJ$27&amp;"-"&amp;$M48&amp;"_new",Ammortamento_Finanziario!$H:$L,5,FALSE),VLOOKUP($M48,TT_Tabelle_Riferimento!$D$127:$H$164,5,FALSE))</f>
        <v>20</v>
      </c>
      <c r="PK48" s="904">
        <f>+IFERROR(VLOOKUP(PK$27&amp;"-"&amp;$M48&amp;"_new",Ammortamento_Finanziario!$H:$L,5,FALSE),VLOOKUP($M48,TT_Tabelle_Riferimento!$D$127:$H$164,5,FALSE))</f>
        <v>20</v>
      </c>
      <c r="PL48" s="1762">
        <f>+IFERROR(VLOOKUP(PL$27&amp;"-"&amp;$M48&amp;"_new",Ammortamento_Finanziario!$H:$L,5,FALSE),VLOOKUP($M48,TT_Tabelle_Riferimento!$D$127:$H$164,5,FALSE))</f>
        <v>20</v>
      </c>
      <c r="PM48" s="1762">
        <f>+IFERROR(VLOOKUP(PM$27&amp;"-"&amp;$M48&amp;"_new",Ammortamento_Finanziario!$H:$L,5,FALSE),VLOOKUP($M48,TT_Tabelle_Riferimento!$D$127:$H$164,5,FALSE))</f>
        <v>20</v>
      </c>
      <c r="PN48" s="1762">
        <f>+IFERROR(VLOOKUP(PN$27&amp;"-"&amp;$M48&amp;"_new",Ammortamento_Finanziario!$H:$L,5,FALSE),VLOOKUP($M48,TT_Tabelle_Riferimento!$D$127:$H$164,5,FALSE))</f>
        <v>20</v>
      </c>
      <c r="PO48" s="904">
        <f>+IFERROR(VLOOKUP(PO$27&amp;"-"&amp;$M48&amp;"_new",Ammortamento_Finanziario!$H:$L,5,FALSE),VLOOKUP($M48,TT_Tabelle_Riferimento!$D$127:$H$164,5,FALSE))</f>
        <v>20</v>
      </c>
      <c r="PP48" s="904">
        <f>+IFERROR(VLOOKUP(PP$27&amp;"-"&amp;$M48&amp;"_new",Ammortamento_Finanziario!$H:$L,5,FALSE),VLOOKUP($M48,TT_Tabelle_Riferimento!$D$127:$H$164,5,FALSE))</f>
        <v>20</v>
      </c>
      <c r="PQ48" s="904">
        <f>+IFERROR(VLOOKUP(PQ$27&amp;"-"&amp;$M48&amp;"_new",Ammortamento_Finanziario!$H:$L,5,FALSE),VLOOKUP($M48,TT_Tabelle_Riferimento!$D$127:$H$164,5,FALSE))</f>
        <v>20</v>
      </c>
      <c r="PR48" s="904">
        <f>+IFERROR(VLOOKUP(PR$27&amp;"-"&amp;$M48&amp;"_new",Ammortamento_Finanziario!$H:$L,5,FALSE),VLOOKUP($M48,TT_Tabelle_Riferimento!$D$127:$H$164,5,FALSE))</f>
        <v>20</v>
      </c>
      <c r="PS48" s="904">
        <f>+IFERROR(VLOOKUP(PS$27&amp;"-"&amp;$M48&amp;"_new",Ammortamento_Finanziario!$H:$L,5,FALSE),VLOOKUP($M48,TT_Tabelle_Riferimento!$D$127:$H$164,5,FALSE))</f>
        <v>20</v>
      </c>
      <c r="PT48" s="904">
        <f>+IFERROR(VLOOKUP(PT$27&amp;"-"&amp;$M48&amp;"_new",Ammortamento_Finanziario!$H:$L,5,FALSE),VLOOKUP($M48,TT_Tabelle_Riferimento!$D$127:$H$164,5,FALSE))</f>
        <v>20</v>
      </c>
      <c r="PU48" s="904">
        <f>+IFERROR(VLOOKUP(PU$27&amp;"-"&amp;$M48&amp;"_new",Ammortamento_Finanziario!$H:$L,5,FALSE),VLOOKUP($M48,TT_Tabelle_Riferimento!$D$127:$H$164,5,FALSE))</f>
        <v>20</v>
      </c>
      <c r="PV48" s="904">
        <f>+IFERROR(VLOOKUP(PV$27&amp;"-"&amp;$M48&amp;"_new",Ammortamento_Finanziario!$H:$L,5,FALSE),VLOOKUP($M48,TT_Tabelle_Riferimento!$D$127:$H$164,5,FALSE))</f>
        <v>20</v>
      </c>
      <c r="PW48" s="904">
        <f>+IFERROR(VLOOKUP(PW$27&amp;"-"&amp;$M48&amp;"_new",Ammortamento_Finanziario!$H:$L,5,FALSE),VLOOKUP($M48,TT_Tabelle_Riferimento!$D$127:$H$164,5,FALSE))</f>
        <v>20</v>
      </c>
      <c r="PX48" s="904">
        <f>+IFERROR(VLOOKUP(PX$27&amp;"-"&amp;$M48&amp;"_new",Ammortamento_Finanziario!$H:$L,5,FALSE),VLOOKUP($M48,TT_Tabelle_Riferimento!$D$127:$H$164,5,FALSE))</f>
        <v>20</v>
      </c>
      <c r="PY48" s="904">
        <f>+IFERROR(VLOOKUP(PY$27&amp;"-"&amp;$M48&amp;"_new",Ammortamento_Finanziario!$H:$L,5,FALSE),VLOOKUP($M48,TT_Tabelle_Riferimento!$D$127:$H$164,5,FALSE))</f>
        <v>20</v>
      </c>
      <c r="PZ48" s="904">
        <f>+IFERROR(VLOOKUP(PZ$27&amp;"-"&amp;$M48&amp;"_new",Ammortamento_Finanziario!$H:$L,5,FALSE),VLOOKUP($M48,TT_Tabelle_Riferimento!$D$127:$H$164,5,FALSE))</f>
        <v>20</v>
      </c>
      <c r="QA48" s="904">
        <f>+IFERROR(VLOOKUP(QA$27&amp;"-"&amp;$M48&amp;"_new",Ammortamento_Finanziario!$H:$L,5,FALSE),VLOOKUP($M48,TT_Tabelle_Riferimento!$D$127:$H$164,5,FALSE))</f>
        <v>20</v>
      </c>
      <c r="QB48" s="904">
        <f>+IFERROR(VLOOKUP(QB$27&amp;"-"&amp;$M48&amp;"_new",Ammortamento_Finanziario!$H:$L,5,FALSE),VLOOKUP($M48,TT_Tabelle_Riferimento!$D$127:$H$164,5,FALSE))</f>
        <v>20</v>
      </c>
      <c r="QC48" s="904">
        <f>+IFERROR(VLOOKUP(QC$27&amp;"-"&amp;$M48&amp;"_new",Ammortamento_Finanziario!$H:$L,5,FALSE),VLOOKUP($M48,TT_Tabelle_Riferimento!$D$127:$H$164,5,FALSE))</f>
        <v>20</v>
      </c>
      <c r="QD48" s="904">
        <f>+IFERROR(VLOOKUP(QD$27&amp;"-"&amp;$M48&amp;"_new",Ammortamento_Finanziario!$H:$L,5,FALSE),VLOOKUP($M48,TT_Tabelle_Riferimento!$D$127:$H$164,5,FALSE))</f>
        <v>20</v>
      </c>
      <c r="QE48" s="904">
        <f>+IFERROR(VLOOKUP(QE$27&amp;"-"&amp;$M48&amp;"_new",Ammortamento_Finanziario!$H:$L,5,FALSE),VLOOKUP($M48,TT_Tabelle_Riferimento!$D$127:$H$164,5,FALSE))</f>
        <v>20</v>
      </c>
      <c r="QF48" s="904">
        <f>+IFERROR(VLOOKUP(QF$27&amp;"-"&amp;$M48&amp;"_new",Ammortamento_Finanziario!$H:$L,5,FALSE),VLOOKUP($M48,TT_Tabelle_Riferimento!$D$127:$H$164,5,FALSE))</f>
        <v>20</v>
      </c>
      <c r="QG48" s="904">
        <f>+IFERROR(VLOOKUP(QG$27&amp;"-"&amp;$M48&amp;"_new",Ammortamento_Finanziario!$H:$L,5,FALSE),VLOOKUP($M48,TT_Tabelle_Riferimento!$D$127:$H$164,5,FALSE))</f>
        <v>20</v>
      </c>
      <c r="QH48" s="1762">
        <f>+IFERROR(VLOOKUP(QH$27&amp;"-"&amp;$M48&amp;"_new",Ammortamento_Finanziario!$H:$L,5,FALSE),VLOOKUP($M48,TT_Tabelle_Riferimento!$D$127:$H$164,5,FALSE))</f>
        <v>20</v>
      </c>
      <c r="QI48" s="1762">
        <f>+IFERROR(VLOOKUP(QI$27&amp;"-"&amp;$M48&amp;"_new",Ammortamento_Finanziario!$H:$L,5,FALSE),VLOOKUP($M48,TT_Tabelle_Riferimento!$D$127:$H$164,5,FALSE))</f>
        <v>20</v>
      </c>
      <c r="QJ48" s="904">
        <f>+IFERROR(VLOOKUP(QJ$27&amp;"-"&amp;$M48&amp;"_new",Ammortamento_Finanziario!$H:$L,5,FALSE),VLOOKUP($M48,TT_Tabelle_Riferimento!$D$127:$H$164,5,FALSE))</f>
        <v>20</v>
      </c>
      <c r="QK48" s="904">
        <f>+IFERROR(VLOOKUP(QK$27&amp;"-"&amp;$M48&amp;"_new",Ammortamento_Finanziario!$H:$L,5,FALSE),VLOOKUP($M48,TT_Tabelle_Riferimento!$D$127:$H$164,5,FALSE))</f>
        <v>20</v>
      </c>
      <c r="QL48" s="904">
        <f>+IFERROR(VLOOKUP(QL$27&amp;"-"&amp;$M48&amp;"_new",Ammortamento_Finanziario!$H:$L,5,FALSE),VLOOKUP($M48,TT_Tabelle_Riferimento!$D$127:$H$164,5,FALSE))</f>
        <v>20</v>
      </c>
      <c r="QM48" s="904">
        <f>+IFERROR(VLOOKUP(QM$27&amp;"-"&amp;$M48&amp;"_new",Ammortamento_Finanziario!$H:$L,5,FALSE),VLOOKUP($M48,TT_Tabelle_Riferimento!$D$127:$H$164,5,FALSE))</f>
        <v>20</v>
      </c>
      <c r="QN48" s="904">
        <f>+IFERROR(VLOOKUP(QN$27&amp;"-"&amp;$M48&amp;"_new",Ammortamento_Finanziario!$H:$L,5,FALSE),VLOOKUP($M48,TT_Tabelle_Riferimento!$D$127:$H$164,5,FALSE))</f>
        <v>20</v>
      </c>
      <c r="QO48" s="904">
        <f>+IFERROR(VLOOKUP(QO$27&amp;"-"&amp;$M48&amp;"_new",Ammortamento_Finanziario!$H:$L,5,FALSE),VLOOKUP($M48,TT_Tabelle_Riferimento!$D$127:$H$164,5,FALSE))</f>
        <v>20</v>
      </c>
      <c r="QP48" s="904">
        <f>+IFERROR(VLOOKUP(QP$27&amp;"-"&amp;$M48&amp;"_new",Ammortamento_Finanziario!$H:$L,5,FALSE),VLOOKUP($M48,TT_Tabelle_Riferimento!$D$127:$H$164,5,FALSE))</f>
        <v>20</v>
      </c>
      <c r="QQ48" s="904">
        <f>+IFERROR(VLOOKUP(QQ$27&amp;"-"&amp;$M48&amp;"_new",Ammortamento_Finanziario!$H:$L,5,FALSE),VLOOKUP($M48,TT_Tabelle_Riferimento!$D$127:$H$164,5,FALSE))</f>
        <v>20</v>
      </c>
      <c r="QR48" s="904">
        <f>+IFERROR(VLOOKUP(QR$27&amp;"-"&amp;$M48&amp;"_new",Ammortamento_Finanziario!$H:$L,5,FALSE),VLOOKUP($M48,TT_Tabelle_Riferimento!$D$127:$H$164,5,FALSE))</f>
        <v>20</v>
      </c>
      <c r="QS48" s="904">
        <f>+IFERROR(VLOOKUP(QS$27&amp;"-"&amp;$M48&amp;"_new",Ammortamento_Finanziario!$H:$L,5,FALSE),VLOOKUP($M48,TT_Tabelle_Riferimento!$D$127:$H$164,5,FALSE))</f>
        <v>20</v>
      </c>
      <c r="QT48" s="904">
        <f>+IFERROR(VLOOKUP(QT$27&amp;"-"&amp;$M48&amp;"_new",Ammortamento_Finanziario!$H:$L,5,FALSE),VLOOKUP($M48,TT_Tabelle_Riferimento!$D$127:$H$164,5,FALSE))</f>
        <v>20</v>
      </c>
      <c r="QU48" s="904">
        <f>+IFERROR(VLOOKUP(QU$27&amp;"-"&amp;$M48&amp;"_new",Ammortamento_Finanziario!$H:$L,5,FALSE),VLOOKUP($M48,TT_Tabelle_Riferimento!$D$127:$H$164,5,FALSE))</f>
        <v>20</v>
      </c>
      <c r="QV48" s="904">
        <f>+IFERROR(VLOOKUP(QV$27&amp;"-"&amp;$M48&amp;"_new",Ammortamento_Finanziario!$H:$L,5,FALSE),VLOOKUP($M48,TT_Tabelle_Riferimento!$D$127:$H$164,5,FALSE))</f>
        <v>20</v>
      </c>
      <c r="QW48" s="904">
        <f>+IFERROR(VLOOKUP(QW$27&amp;"-"&amp;$M48&amp;"_new",Ammortamento_Finanziario!$H:$L,5,FALSE),VLOOKUP($M48,TT_Tabelle_Riferimento!$D$127:$H$164,5,FALSE))</f>
        <v>20</v>
      </c>
      <c r="QX48" s="904">
        <f>+IFERROR(VLOOKUP(QX$27&amp;"-"&amp;$M48&amp;"_new",Ammortamento_Finanziario!$H:$L,5,FALSE),VLOOKUP($M48,TT_Tabelle_Riferimento!$D$127:$H$164,5,FALSE))</f>
        <v>20</v>
      </c>
      <c r="QY48" s="904">
        <f>+IFERROR(VLOOKUP(QY$27&amp;"-"&amp;$M48&amp;"_new",Ammortamento_Finanziario!$H:$L,5,FALSE),VLOOKUP($M48,TT_Tabelle_Riferimento!$D$127:$H$164,5,FALSE))</f>
        <v>20</v>
      </c>
      <c r="QZ48" s="904">
        <f>+IFERROR(VLOOKUP(QZ$27&amp;"-"&amp;$M48&amp;"_new",Ammortamento_Finanziario!$H:$L,5,FALSE),VLOOKUP($M48,TT_Tabelle_Riferimento!$D$127:$H$164,5,FALSE))</f>
        <v>20</v>
      </c>
      <c r="RA48" s="904">
        <f>+IFERROR(VLOOKUP(RA$27&amp;"-"&amp;$M48&amp;"_new",Ammortamento_Finanziario!$H:$L,5,FALSE),VLOOKUP($M48,TT_Tabelle_Riferimento!$D$127:$H$164,5,FALSE))</f>
        <v>20</v>
      </c>
      <c r="RB48" s="904">
        <f>+IFERROR(VLOOKUP(RB$27&amp;"-"&amp;$M48&amp;"_new",Ammortamento_Finanziario!$H:$L,5,FALSE),VLOOKUP($M48,TT_Tabelle_Riferimento!$D$127:$H$164,5,FALSE))</f>
        <v>20</v>
      </c>
      <c r="RC48" s="1762">
        <f>+IFERROR(VLOOKUP(RC$27&amp;"-"&amp;$M48&amp;"_new",Ammortamento_Finanziario!$H:$L,5,FALSE),VLOOKUP($M48,TT_Tabelle_Riferimento!$D$127:$H$164,5,FALSE))</f>
        <v>20</v>
      </c>
      <c r="RD48" s="904">
        <f>+IFERROR(VLOOKUP(RD$27&amp;"-"&amp;$M48&amp;"_new",Ammortamento_Finanziario!$H:$L,5,FALSE),VLOOKUP($M48,TT_Tabelle_Riferimento!$D$127:$H$164,5,FALSE))</f>
        <v>20</v>
      </c>
      <c r="RE48" s="904">
        <f>+IFERROR(VLOOKUP(RE$27&amp;"-"&amp;$M48&amp;"_new",Ammortamento_Finanziario!$H:$L,5,FALSE),VLOOKUP($M48,TT_Tabelle_Riferimento!$D$127:$H$164,5,FALSE))</f>
        <v>20</v>
      </c>
      <c r="RF48" s="904">
        <f>+IFERROR(VLOOKUP(RF$27&amp;"-"&amp;$M48&amp;"_new",Ammortamento_Finanziario!$H:$L,5,FALSE),VLOOKUP($M48,TT_Tabelle_Riferimento!$D$127:$H$164,5,FALSE))</f>
        <v>20</v>
      </c>
      <c r="RG48" s="904">
        <f>+IFERROR(VLOOKUP(RG$27&amp;"-"&amp;$M48&amp;"_new",Ammortamento_Finanziario!$H:$L,5,FALSE),VLOOKUP($M48,TT_Tabelle_Riferimento!$D$127:$H$164,5,FALSE))</f>
        <v>20</v>
      </c>
      <c r="RH48" s="904">
        <f>+IFERROR(VLOOKUP(RH$27&amp;"-"&amp;$M48&amp;"_new",Ammortamento_Finanziario!$H:$L,5,FALSE),VLOOKUP($M48,TT_Tabelle_Riferimento!$D$127:$H$164,5,FALSE))</f>
        <v>20</v>
      </c>
      <c r="RI48" s="904">
        <f>+IFERROR(VLOOKUP(RI$27&amp;"-"&amp;$M48&amp;"_new",Ammortamento_Finanziario!$H:$L,5,FALSE),VLOOKUP($M48,TT_Tabelle_Riferimento!$D$127:$H$164,5,FALSE))</f>
        <v>20</v>
      </c>
      <c r="RJ48" s="904">
        <f>+IFERROR(VLOOKUP(RJ$27&amp;"-"&amp;$M48&amp;"_new",Ammortamento_Finanziario!$H:$L,5,FALSE),VLOOKUP($M48,TT_Tabelle_Riferimento!$D$127:$H$164,5,FALSE))</f>
        <v>20</v>
      </c>
      <c r="RK48" s="904">
        <f>+IFERROR(VLOOKUP(RK$27&amp;"-"&amp;$M48&amp;"_new",Ammortamento_Finanziario!$H:$L,5,FALSE),VLOOKUP($M48,TT_Tabelle_Riferimento!$D$127:$H$164,5,FALSE))</f>
        <v>20</v>
      </c>
      <c r="RL48" s="904">
        <f>+IFERROR(VLOOKUP(RL$27&amp;"-"&amp;$M48&amp;"_new",Ammortamento_Finanziario!$H:$L,5,FALSE),VLOOKUP($M48,TT_Tabelle_Riferimento!$D$127:$H$164,5,FALSE))</f>
        <v>20</v>
      </c>
      <c r="RM48" s="904">
        <f>+IFERROR(VLOOKUP(RM$27&amp;"-"&amp;$M48&amp;"_new",Ammortamento_Finanziario!$H:$L,5,FALSE),VLOOKUP($M48,TT_Tabelle_Riferimento!$D$127:$H$164,5,FALSE))</f>
        <v>20</v>
      </c>
      <c r="RN48" s="904">
        <f>+IFERROR(VLOOKUP(RN$27&amp;"-"&amp;$M48&amp;"_new",Ammortamento_Finanziario!$H:$L,5,FALSE),VLOOKUP($M48,TT_Tabelle_Riferimento!$D$127:$H$164,5,FALSE))</f>
        <v>20</v>
      </c>
      <c r="RO48" s="904">
        <f>+IFERROR(VLOOKUP(RO$27&amp;"-"&amp;$M48&amp;"_new",Ammortamento_Finanziario!$H:$L,5,FALSE),VLOOKUP($M48,TT_Tabelle_Riferimento!$D$127:$H$164,5,FALSE))</f>
        <v>20</v>
      </c>
      <c r="RP48" s="904">
        <f>+IFERROR(VLOOKUP(RP$27&amp;"-"&amp;$M48&amp;"_new",Ammortamento_Finanziario!$H:$L,5,FALSE),VLOOKUP($M48,TT_Tabelle_Riferimento!$D$127:$H$164,5,FALSE))</f>
        <v>20</v>
      </c>
      <c r="RQ48" s="904">
        <f>+IFERROR(VLOOKUP(RQ$27&amp;"-"&amp;$M48&amp;"_new",Ammortamento_Finanziario!$H:$L,5,FALSE),VLOOKUP($M48,TT_Tabelle_Riferimento!$D$127:$H$164,5,FALSE))</f>
        <v>20</v>
      </c>
      <c r="RR48" s="904">
        <f>+IFERROR(VLOOKUP(RR$27&amp;"-"&amp;$M48&amp;"_new",Ammortamento_Finanziario!$H:$L,5,FALSE),VLOOKUP($M48,TT_Tabelle_Riferimento!$D$127:$H$164,5,FALSE))</f>
        <v>20</v>
      </c>
      <c r="RS48" s="904">
        <f>+IFERROR(VLOOKUP(RS$27&amp;"-"&amp;$M48&amp;"_new",Ammortamento_Finanziario!$H:$L,5,FALSE),VLOOKUP($M48,TT_Tabelle_Riferimento!$D$127:$H$164,5,FALSE))</f>
        <v>20</v>
      </c>
      <c r="RT48" s="904">
        <f>+IFERROR(VLOOKUP(RT$27&amp;"-"&amp;$M48&amp;"_new",Ammortamento_Finanziario!$H:$L,5,FALSE),VLOOKUP($M48,TT_Tabelle_Riferimento!$D$127:$H$164,5,FALSE))</f>
        <v>20</v>
      </c>
      <c r="RU48" s="904">
        <f>+IFERROR(VLOOKUP(RU$27&amp;"-"&amp;$M48&amp;"_new",Ammortamento_Finanziario!$H:$L,5,FALSE),VLOOKUP($M48,TT_Tabelle_Riferimento!$D$127:$H$164,5,FALSE))</f>
        <v>20</v>
      </c>
      <c r="RV48" s="904">
        <f>+IFERROR(VLOOKUP(RV$27&amp;"-"&amp;$M48&amp;"_new",Ammortamento_Finanziario!$H:$L,5,FALSE),VLOOKUP($M48,TT_Tabelle_Riferimento!$D$127:$H$164,5,FALSE))</f>
        <v>20</v>
      </c>
    </row>
    <row r="49" spans="4:490">
      <c r="D49" s="135" t="s">
        <v>202</v>
      </c>
      <c r="E49" s="1264">
        <f>+SUMIFS(IMN_gestore!X:X,IMN_gestore!$G:$G,"Env")</f>
        <v>0</v>
      </c>
      <c r="F49" s="1264">
        <f>+SUMIFS(IMN_gestore!AI:AI,IMN_gestore!$G:$G,"Env")</f>
        <v>0</v>
      </c>
      <c r="G49" s="1264">
        <f>+SUMIFS(IMN_gestore!AT:AT,IMN_gestore!$G:$G,"Env")</f>
        <v>0</v>
      </c>
      <c r="H49" s="1264">
        <f>+SUMIFS(IMN_gestore!BE:BE,IMN_gestore!$G:$G,"Env")</f>
        <v>0</v>
      </c>
      <c r="I49" s="1264">
        <f>+SUMIFS(IMN_gestore!$BP:$BP,IMN_gestore!$G:$G,"Env")</f>
        <v>0</v>
      </c>
      <c r="J49" s="1264">
        <f>+SUMIFS(IMN_gestore!$CA:$CA,IMN_gestore!$G:$G,"Env")</f>
        <v>0</v>
      </c>
      <c r="M49" s="1756">
        <v>22</v>
      </c>
      <c r="N49" s="1759">
        <v>0</v>
      </c>
      <c r="O49" s="1759">
        <v>0</v>
      </c>
      <c r="P49" s="1759">
        <v>0</v>
      </c>
      <c r="Q49" s="1759">
        <v>0</v>
      </c>
      <c r="R49" s="1759">
        <v>0</v>
      </c>
      <c r="S49" s="1759">
        <v>0</v>
      </c>
      <c r="T49" s="1759">
        <v>0</v>
      </c>
      <c r="U49" s="1759">
        <v>0</v>
      </c>
      <c r="V49" s="1759">
        <v>0</v>
      </c>
      <c r="W49" s="1759">
        <v>0</v>
      </c>
      <c r="X49" s="1759">
        <v>0</v>
      </c>
      <c r="Y49" s="1759">
        <v>0</v>
      </c>
      <c r="Z49" s="1759">
        <v>0</v>
      </c>
      <c r="AA49" s="1759">
        <v>0</v>
      </c>
      <c r="AB49" s="1759">
        <v>0</v>
      </c>
      <c r="AC49" s="1759">
        <v>0</v>
      </c>
      <c r="AD49" s="1759">
        <v>0</v>
      </c>
      <c r="AE49" s="1759">
        <v>0</v>
      </c>
      <c r="AF49" s="1759">
        <v>0</v>
      </c>
      <c r="AG49" s="1759">
        <v>0</v>
      </c>
      <c r="AH49" s="1759">
        <v>0</v>
      </c>
      <c r="AI49" s="1759">
        <v>0</v>
      </c>
      <c r="AJ49" s="1759">
        <v>0</v>
      </c>
      <c r="AK49" s="1759">
        <v>0</v>
      </c>
      <c r="AL49" s="1759">
        <v>0</v>
      </c>
      <c r="AM49" s="1759">
        <v>0</v>
      </c>
      <c r="AN49" s="1759">
        <v>0</v>
      </c>
      <c r="AO49" s="1759">
        <v>0</v>
      </c>
      <c r="AP49" s="1759">
        <v>0</v>
      </c>
      <c r="AQ49" s="1759">
        <v>0</v>
      </c>
      <c r="AR49" s="1759">
        <v>0</v>
      </c>
      <c r="AS49" s="1759">
        <v>0</v>
      </c>
      <c r="AT49" s="1759">
        <v>0</v>
      </c>
      <c r="AU49" s="1759">
        <v>0</v>
      </c>
      <c r="AV49" s="1759">
        <v>0</v>
      </c>
      <c r="AW49" s="1759">
        <v>0</v>
      </c>
      <c r="AX49" s="1759">
        <v>0</v>
      </c>
      <c r="AY49" s="1759">
        <v>0</v>
      </c>
      <c r="AZ49" s="1759">
        <v>0</v>
      </c>
      <c r="BA49" s="1759">
        <v>0</v>
      </c>
      <c r="BB49" s="1759">
        <v>0</v>
      </c>
      <c r="BC49" s="1759">
        <v>0</v>
      </c>
      <c r="BD49" s="1759">
        <v>0</v>
      </c>
      <c r="BE49" s="1759">
        <v>0</v>
      </c>
      <c r="BF49" s="1759">
        <v>0</v>
      </c>
      <c r="BG49" s="1759">
        <v>0</v>
      </c>
      <c r="BH49" s="1759">
        <v>0</v>
      </c>
      <c r="BI49" s="1759">
        <v>0</v>
      </c>
      <c r="BJ49" s="1759">
        <v>0</v>
      </c>
      <c r="BK49" s="1759">
        <v>0</v>
      </c>
      <c r="BL49" s="1759">
        <v>0</v>
      </c>
      <c r="BM49" s="1759">
        <v>0</v>
      </c>
      <c r="BN49" s="1759">
        <v>0</v>
      </c>
      <c r="BO49" s="1759">
        <v>0</v>
      </c>
      <c r="BP49" s="1759">
        <v>0</v>
      </c>
      <c r="BQ49" s="1759">
        <v>0</v>
      </c>
      <c r="BR49" s="1759">
        <v>0</v>
      </c>
      <c r="BS49" s="1759">
        <v>0</v>
      </c>
      <c r="BT49" s="1759">
        <v>0</v>
      </c>
      <c r="BU49" s="1759">
        <v>0</v>
      </c>
      <c r="BV49" s="1759">
        <v>0</v>
      </c>
      <c r="BW49" s="1759">
        <v>0</v>
      </c>
      <c r="BX49" s="1759">
        <v>0</v>
      </c>
      <c r="BY49" s="1759">
        <v>0</v>
      </c>
      <c r="BZ49" s="1759">
        <v>0</v>
      </c>
      <c r="CA49" s="1759">
        <v>0</v>
      </c>
      <c r="CB49" s="1759">
        <v>0</v>
      </c>
      <c r="CC49" s="1759">
        <v>0</v>
      </c>
      <c r="CD49" s="1759">
        <v>0</v>
      </c>
      <c r="CE49" s="1759">
        <v>0</v>
      </c>
      <c r="CF49" s="1759">
        <v>0</v>
      </c>
      <c r="CG49" s="1759">
        <v>0</v>
      </c>
      <c r="CH49" s="1759">
        <v>0</v>
      </c>
      <c r="CI49" s="1759">
        <v>0</v>
      </c>
      <c r="CJ49" s="1759">
        <v>0</v>
      </c>
      <c r="CK49" s="1759">
        <v>0</v>
      </c>
      <c r="CL49" s="1759">
        <v>0</v>
      </c>
      <c r="CM49" s="1759">
        <v>0</v>
      </c>
      <c r="CN49" s="1759">
        <v>0</v>
      </c>
      <c r="CO49" s="1759">
        <v>0</v>
      </c>
      <c r="CP49" s="1759">
        <v>0</v>
      </c>
      <c r="CQ49" s="1759">
        <v>0</v>
      </c>
      <c r="CR49" s="1759">
        <v>0</v>
      </c>
      <c r="CS49" s="1759">
        <v>0</v>
      </c>
      <c r="CT49" s="1759">
        <v>0</v>
      </c>
      <c r="CU49" s="1759">
        <v>0</v>
      </c>
      <c r="CV49" s="1759">
        <v>0</v>
      </c>
      <c r="CW49" s="1759">
        <v>0</v>
      </c>
      <c r="CX49" s="1759">
        <v>0</v>
      </c>
      <c r="CY49" s="1759">
        <v>0</v>
      </c>
      <c r="CZ49" s="1759">
        <v>0</v>
      </c>
      <c r="DA49" s="1759">
        <v>0</v>
      </c>
      <c r="DB49" s="1759">
        <v>0</v>
      </c>
      <c r="DC49" s="1759">
        <v>0</v>
      </c>
      <c r="DD49" s="1759">
        <v>0</v>
      </c>
      <c r="DE49" s="1759">
        <v>0</v>
      </c>
      <c r="DF49" s="1759">
        <v>0</v>
      </c>
      <c r="DG49" s="1759">
        <v>0</v>
      </c>
      <c r="DH49" s="1759">
        <v>0</v>
      </c>
      <c r="DI49" s="1759">
        <v>0</v>
      </c>
      <c r="DJ49" s="1759">
        <v>0</v>
      </c>
      <c r="DK49" s="1759">
        <v>0</v>
      </c>
      <c r="DL49" s="1759">
        <v>0</v>
      </c>
      <c r="DM49" s="1759">
        <v>0</v>
      </c>
      <c r="DN49" s="1759">
        <v>0</v>
      </c>
      <c r="DO49" s="1759">
        <v>0</v>
      </c>
      <c r="DP49" s="1759">
        <v>0</v>
      </c>
      <c r="DQ49" s="1759">
        <v>0</v>
      </c>
      <c r="DR49" s="1759">
        <v>0</v>
      </c>
      <c r="DS49" s="1759">
        <v>0</v>
      </c>
      <c r="DT49" s="1759">
        <v>0</v>
      </c>
      <c r="DU49" s="1759">
        <v>0</v>
      </c>
      <c r="DV49" s="1759">
        <v>0</v>
      </c>
      <c r="DW49" s="1759">
        <v>0</v>
      </c>
      <c r="DX49" s="1759">
        <v>0</v>
      </c>
      <c r="DY49" s="1759">
        <v>0</v>
      </c>
      <c r="DZ49" s="1759">
        <v>0</v>
      </c>
      <c r="EA49" s="1759">
        <v>0</v>
      </c>
      <c r="EB49" s="1759">
        <v>0</v>
      </c>
      <c r="EC49" s="1759">
        <v>0</v>
      </c>
      <c r="ED49" s="1759">
        <v>0</v>
      </c>
      <c r="EE49" s="1759">
        <v>0</v>
      </c>
      <c r="EF49" s="1759">
        <v>0</v>
      </c>
      <c r="EG49" s="1759">
        <v>0</v>
      </c>
      <c r="EH49" s="1759">
        <v>0</v>
      </c>
      <c r="EI49" s="1759">
        <v>0</v>
      </c>
      <c r="EJ49" s="1759">
        <v>0</v>
      </c>
      <c r="EK49" s="1759">
        <v>0</v>
      </c>
      <c r="EL49" s="1759">
        <v>0</v>
      </c>
      <c r="EM49" s="1759">
        <v>0</v>
      </c>
      <c r="EN49" s="1759">
        <v>0</v>
      </c>
      <c r="EO49" s="1759">
        <v>0</v>
      </c>
      <c r="EP49" s="1759">
        <v>0</v>
      </c>
      <c r="EQ49" s="1759">
        <v>0</v>
      </c>
      <c r="ER49" s="1759">
        <v>0</v>
      </c>
      <c r="ES49" s="1759">
        <v>0</v>
      </c>
      <c r="ET49" s="1759">
        <v>0</v>
      </c>
      <c r="EU49" s="1759">
        <v>0</v>
      </c>
      <c r="EV49" s="1759">
        <v>0</v>
      </c>
      <c r="EW49" s="1759">
        <v>0</v>
      </c>
      <c r="EX49" s="1759">
        <v>0</v>
      </c>
      <c r="EY49" s="1759">
        <v>0</v>
      </c>
      <c r="EZ49" s="1759">
        <v>0</v>
      </c>
      <c r="FA49" s="1759">
        <v>0</v>
      </c>
      <c r="FB49" s="1759">
        <v>0</v>
      </c>
      <c r="FC49" s="1759">
        <v>0</v>
      </c>
      <c r="FD49" s="1759">
        <v>0</v>
      </c>
      <c r="FE49" s="1759">
        <v>0</v>
      </c>
      <c r="FF49" s="1759">
        <v>0</v>
      </c>
      <c r="FG49" s="1759">
        <v>0</v>
      </c>
      <c r="FH49" s="1759">
        <v>0</v>
      </c>
      <c r="FI49" s="1759">
        <v>0</v>
      </c>
      <c r="FJ49" s="1759">
        <v>0</v>
      </c>
      <c r="FK49" s="1759">
        <v>0</v>
      </c>
      <c r="FL49" s="1759">
        <v>0</v>
      </c>
      <c r="FM49" s="1759">
        <v>0</v>
      </c>
      <c r="FN49" s="1759">
        <v>0</v>
      </c>
      <c r="FO49" s="1759">
        <v>0</v>
      </c>
      <c r="FP49" s="1759">
        <v>0</v>
      </c>
      <c r="FQ49" s="1759">
        <v>0</v>
      </c>
      <c r="FR49" s="1759">
        <v>0</v>
      </c>
      <c r="FS49" s="1759">
        <v>0</v>
      </c>
      <c r="FT49" s="1759">
        <v>0</v>
      </c>
      <c r="FU49" s="1759">
        <v>0</v>
      </c>
      <c r="FV49" s="1759">
        <v>0</v>
      </c>
      <c r="FW49" s="1759">
        <v>0</v>
      </c>
      <c r="FX49" s="1759">
        <v>0</v>
      </c>
      <c r="FY49" s="1759">
        <v>0</v>
      </c>
      <c r="FZ49" s="1759">
        <v>0</v>
      </c>
      <c r="GA49" s="1759">
        <v>0</v>
      </c>
      <c r="GB49" s="1759">
        <v>0</v>
      </c>
      <c r="GC49" s="1759">
        <v>0</v>
      </c>
      <c r="GD49" s="1759">
        <v>0</v>
      </c>
      <c r="GE49" s="1759">
        <v>0</v>
      </c>
      <c r="GF49" s="1759">
        <v>0</v>
      </c>
      <c r="GG49" s="1759">
        <v>0</v>
      </c>
      <c r="GH49" s="1759">
        <v>0</v>
      </c>
      <c r="GI49" s="1759">
        <v>0</v>
      </c>
      <c r="GJ49" s="1759">
        <v>0</v>
      </c>
      <c r="GK49" s="1759">
        <v>0</v>
      </c>
      <c r="GL49" s="1759">
        <v>0</v>
      </c>
      <c r="GM49" s="1759">
        <v>0</v>
      </c>
      <c r="GN49" s="1759">
        <v>0</v>
      </c>
      <c r="GO49" s="1759">
        <v>0</v>
      </c>
      <c r="GP49" s="1759">
        <v>0</v>
      </c>
      <c r="GQ49" s="1759">
        <v>0</v>
      </c>
      <c r="GR49" s="1759">
        <v>0</v>
      </c>
      <c r="GS49" s="1759">
        <v>0</v>
      </c>
      <c r="GT49" s="1759">
        <v>0</v>
      </c>
      <c r="GU49" s="1759">
        <v>0</v>
      </c>
      <c r="GV49" s="1759">
        <v>0</v>
      </c>
      <c r="GW49" s="1759">
        <v>0</v>
      </c>
      <c r="GX49" s="1759">
        <v>0</v>
      </c>
      <c r="GY49" s="1759">
        <v>0</v>
      </c>
      <c r="GZ49" s="1759">
        <v>0</v>
      </c>
      <c r="HA49" s="1759">
        <v>0</v>
      </c>
      <c r="HB49" s="1759">
        <v>0</v>
      </c>
      <c r="HC49" s="1759">
        <v>0</v>
      </c>
      <c r="HD49" s="1759">
        <v>0</v>
      </c>
      <c r="HE49" s="1759">
        <v>0</v>
      </c>
      <c r="HF49" s="1759">
        <v>0</v>
      </c>
      <c r="HG49" s="1759">
        <v>0</v>
      </c>
      <c r="HH49" s="1759">
        <v>0</v>
      </c>
      <c r="HI49" s="1759">
        <v>0</v>
      </c>
      <c r="HJ49" s="1759">
        <v>0</v>
      </c>
      <c r="HK49" s="1759">
        <v>0</v>
      </c>
      <c r="HL49" s="1759">
        <v>0</v>
      </c>
      <c r="HM49" s="1759">
        <v>0</v>
      </c>
      <c r="HN49" s="1759">
        <v>0</v>
      </c>
      <c r="HO49" s="1759">
        <v>0</v>
      </c>
      <c r="HP49" s="1759">
        <v>0</v>
      </c>
      <c r="HQ49" s="1759">
        <v>0</v>
      </c>
      <c r="HR49" s="1759">
        <v>0</v>
      </c>
      <c r="HS49" s="1759">
        <v>0</v>
      </c>
      <c r="HT49" s="1759">
        <v>0</v>
      </c>
      <c r="HU49" s="1759">
        <v>0</v>
      </c>
      <c r="HV49" s="1759">
        <v>0</v>
      </c>
      <c r="HW49" s="1759">
        <v>0</v>
      </c>
      <c r="HX49" s="1759">
        <v>0</v>
      </c>
      <c r="HY49" s="1759">
        <v>0</v>
      </c>
      <c r="HZ49" s="1759">
        <v>0</v>
      </c>
      <c r="IA49" s="1759">
        <v>0</v>
      </c>
      <c r="IB49" s="1759">
        <v>0</v>
      </c>
      <c r="IC49" s="1759">
        <v>0</v>
      </c>
      <c r="ID49" s="1759">
        <v>0</v>
      </c>
      <c r="IE49" s="1759">
        <v>0</v>
      </c>
      <c r="IF49" s="1759">
        <v>0</v>
      </c>
      <c r="IG49" s="1759">
        <v>0</v>
      </c>
      <c r="IH49" s="1759">
        <v>0</v>
      </c>
      <c r="II49" s="1759">
        <v>0</v>
      </c>
      <c r="IJ49" s="1759">
        <v>0</v>
      </c>
      <c r="IK49" s="1759">
        <v>0</v>
      </c>
      <c r="IL49" s="1759">
        <v>0</v>
      </c>
      <c r="IM49" s="1759">
        <v>0</v>
      </c>
      <c r="IN49" s="1759">
        <v>0</v>
      </c>
      <c r="IO49" s="1759">
        <v>0</v>
      </c>
      <c r="IP49" s="1759">
        <v>0</v>
      </c>
      <c r="IQ49" s="1759">
        <v>0</v>
      </c>
      <c r="IR49" s="1759">
        <v>0</v>
      </c>
      <c r="IS49" s="1759">
        <v>0</v>
      </c>
      <c r="IT49" s="1759">
        <v>0</v>
      </c>
      <c r="IU49" s="1759">
        <v>0</v>
      </c>
      <c r="IV49" s="1759">
        <v>0</v>
      </c>
      <c r="IW49" s="1759">
        <v>0</v>
      </c>
      <c r="IX49" s="1759">
        <v>0</v>
      </c>
      <c r="IY49" s="1759">
        <v>0</v>
      </c>
      <c r="IZ49" s="1759">
        <v>0</v>
      </c>
      <c r="JA49" s="1759">
        <v>0</v>
      </c>
      <c r="JB49" s="1759">
        <v>0</v>
      </c>
      <c r="JC49" s="1759">
        <v>0</v>
      </c>
      <c r="JD49" s="1759">
        <v>0</v>
      </c>
      <c r="JE49" s="1759">
        <v>0</v>
      </c>
      <c r="JF49" s="1759">
        <v>0</v>
      </c>
      <c r="JG49" s="1759">
        <v>0</v>
      </c>
      <c r="JH49" s="1759">
        <v>0</v>
      </c>
      <c r="JI49" s="1759">
        <v>0</v>
      </c>
      <c r="JJ49" s="1759">
        <v>0</v>
      </c>
      <c r="JK49" s="1759">
        <v>0</v>
      </c>
      <c r="JL49" s="1759">
        <v>0</v>
      </c>
      <c r="JM49" s="1759">
        <v>0</v>
      </c>
      <c r="JN49" s="1759">
        <v>0</v>
      </c>
      <c r="JO49" s="1759">
        <v>0</v>
      </c>
      <c r="JP49" s="1759">
        <v>0</v>
      </c>
      <c r="JQ49" s="1759">
        <v>0</v>
      </c>
      <c r="JR49" s="1759">
        <v>0</v>
      </c>
      <c r="JS49" s="1759">
        <v>0</v>
      </c>
      <c r="JT49" s="1759">
        <v>0</v>
      </c>
      <c r="JU49" s="1759">
        <v>0</v>
      </c>
      <c r="JV49" s="1759">
        <v>0</v>
      </c>
      <c r="JW49" s="1759">
        <v>0</v>
      </c>
      <c r="JX49" s="1759">
        <v>0</v>
      </c>
      <c r="JY49" s="1759">
        <v>0</v>
      </c>
      <c r="JZ49" s="1759">
        <v>0</v>
      </c>
      <c r="KA49" s="1759">
        <v>0</v>
      </c>
      <c r="KB49" s="1759">
        <v>0</v>
      </c>
      <c r="KC49" s="1759">
        <v>0</v>
      </c>
      <c r="KD49" s="1759">
        <v>0</v>
      </c>
      <c r="KE49" s="1759">
        <v>0</v>
      </c>
      <c r="KF49" s="1759">
        <v>0</v>
      </c>
      <c r="KG49" s="1759">
        <v>0</v>
      </c>
      <c r="KH49" s="1759">
        <v>0</v>
      </c>
      <c r="KI49" s="1759">
        <v>0</v>
      </c>
      <c r="KJ49" s="1759">
        <v>0</v>
      </c>
      <c r="KK49" s="1759">
        <v>0</v>
      </c>
      <c r="KL49" s="1759">
        <v>0</v>
      </c>
      <c r="KM49" s="1759">
        <v>0</v>
      </c>
      <c r="KN49" s="1759">
        <v>0</v>
      </c>
      <c r="KO49" s="1759">
        <v>0</v>
      </c>
      <c r="KP49" s="1759">
        <v>0</v>
      </c>
      <c r="KQ49" s="904">
        <f>+IFERROR(VLOOKUP(KQ$27&amp;"-"&amp;$M49&amp;"_new",Ammortamento_Finanziario!$H:$L,5,FALSE),VLOOKUP($M49,TT_Tabelle_Riferimento!$D$127:$H$164,5,FALSE))</f>
        <v>20</v>
      </c>
      <c r="KR49" s="904">
        <f>+IFERROR(VLOOKUP(KR$27&amp;"-"&amp;$M49&amp;"_new",Ammortamento_Finanziario!$H:$L,5,FALSE),VLOOKUP($M49,TT_Tabelle_Riferimento!$D$127:$H$164,5,FALSE))</f>
        <v>20</v>
      </c>
      <c r="KS49" s="1762">
        <f>+IFERROR(VLOOKUP(KS$27&amp;"-"&amp;$M49&amp;"_new",Ammortamento_Finanziario!$H:$L,5,FALSE),VLOOKUP($M49,TT_Tabelle_Riferimento!$D$127:$H$164,5,FALSE))</f>
        <v>20</v>
      </c>
      <c r="KT49" s="1762">
        <f>+IFERROR(VLOOKUP(KT$27&amp;"-"&amp;$M49&amp;"_new",Ammortamento_Finanziario!$H:$L,5,FALSE),VLOOKUP($M49,TT_Tabelle_Riferimento!$D$127:$H$164,5,FALSE))</f>
        <v>20</v>
      </c>
      <c r="KU49" s="1762">
        <f>+IFERROR(VLOOKUP(KU$27&amp;"-"&amp;$M49&amp;"_new",Ammortamento_Finanziario!$H:$L,5,FALSE),VLOOKUP($M49,TT_Tabelle_Riferimento!$D$127:$H$164,5,FALSE))</f>
        <v>20</v>
      </c>
      <c r="KV49" s="1762">
        <f>+IFERROR(VLOOKUP(KV$27&amp;"-"&amp;$M49&amp;"_new",Ammortamento_Finanziario!$H:$L,5,FALSE),VLOOKUP($M49,TT_Tabelle_Riferimento!$D$127:$H$164,5,FALSE))</f>
        <v>20</v>
      </c>
      <c r="KW49" s="1762">
        <f>+IFERROR(VLOOKUP(KW$27&amp;"-"&amp;$M49&amp;"_new",Ammortamento_Finanziario!$H:$L,5,FALSE),VLOOKUP($M49,TT_Tabelle_Riferimento!$D$127:$H$164,5,FALSE))</f>
        <v>20</v>
      </c>
      <c r="KX49" s="1762">
        <f>+IFERROR(VLOOKUP(KX$27&amp;"-"&amp;$M49&amp;"_new",Ammortamento_Finanziario!$H:$L,5,FALSE),VLOOKUP($M49,TT_Tabelle_Riferimento!$D$127:$H$164,5,FALSE))</f>
        <v>20</v>
      </c>
      <c r="KY49" s="904">
        <f>+IFERROR(VLOOKUP(KY$27&amp;"-"&amp;$M49&amp;"_new",Ammortamento_Finanziario!$H:$L,5,FALSE),VLOOKUP($M49,TT_Tabelle_Riferimento!$D$127:$H$164,5,FALSE))</f>
        <v>20</v>
      </c>
      <c r="KZ49" s="904">
        <f>+IFERROR(VLOOKUP(KZ$27&amp;"-"&amp;$M49&amp;"_new",Ammortamento_Finanziario!$H:$L,5,FALSE),VLOOKUP($M49,TT_Tabelle_Riferimento!$D$127:$H$164,5,FALSE))</f>
        <v>20</v>
      </c>
      <c r="LA49" s="904">
        <f>+IFERROR(VLOOKUP(LA$27&amp;"-"&amp;$M49&amp;"_new",Ammortamento_Finanziario!$H:$L,5,FALSE),VLOOKUP($M49,TT_Tabelle_Riferimento!$D$127:$H$164,5,FALSE))</f>
        <v>20</v>
      </c>
      <c r="LB49" s="904">
        <f>+IFERROR(VLOOKUP(LB$27&amp;"-"&amp;$M49&amp;"_new",Ammortamento_Finanziario!$H:$L,5,FALSE),VLOOKUP($M49,TT_Tabelle_Riferimento!$D$127:$H$164,5,FALSE))</f>
        <v>20</v>
      </c>
      <c r="LC49" s="904">
        <f>+IFERROR(VLOOKUP(LC$27&amp;"-"&amp;$M49&amp;"_new",Ammortamento_Finanziario!$H:$L,5,FALSE),VLOOKUP($M49,TT_Tabelle_Riferimento!$D$127:$H$164,5,FALSE))</f>
        <v>20</v>
      </c>
      <c r="LD49" s="904">
        <f>+IFERROR(VLOOKUP(LD$27&amp;"-"&amp;$M49&amp;"_new",Ammortamento_Finanziario!$H:$L,5,FALSE),VLOOKUP($M49,TT_Tabelle_Riferimento!$D$127:$H$164,5,FALSE))</f>
        <v>20</v>
      </c>
      <c r="LE49" s="904">
        <f>+IFERROR(VLOOKUP(LE$27&amp;"-"&amp;$M49&amp;"_new",Ammortamento_Finanziario!$H:$L,5,FALSE),VLOOKUP($M49,TT_Tabelle_Riferimento!$D$127:$H$164,5,FALSE))</f>
        <v>20</v>
      </c>
      <c r="LF49" s="904">
        <f>+IFERROR(VLOOKUP(LF$27&amp;"-"&amp;$M49&amp;"_new",Ammortamento_Finanziario!$H:$L,5,FALSE),VLOOKUP($M49,TT_Tabelle_Riferimento!$D$127:$H$164,5,FALSE))</f>
        <v>20</v>
      </c>
      <c r="LG49" s="904">
        <f>+IFERROR(VLOOKUP(LG$27&amp;"-"&amp;$M49&amp;"_new",Ammortamento_Finanziario!$H:$L,5,FALSE),VLOOKUP($M49,TT_Tabelle_Riferimento!$D$127:$H$164,5,FALSE))</f>
        <v>20</v>
      </c>
      <c r="LH49" s="904">
        <f>+IFERROR(VLOOKUP(LH$27&amp;"-"&amp;$M49&amp;"_new",Ammortamento_Finanziario!$H:$L,5,FALSE),VLOOKUP($M49,TT_Tabelle_Riferimento!$D$127:$H$164,5,FALSE))</f>
        <v>20</v>
      </c>
      <c r="LI49" s="904">
        <f>+IFERROR(VLOOKUP(LI$27&amp;"-"&amp;$M49&amp;"_new",Ammortamento_Finanziario!$H:$L,5,FALSE),VLOOKUP($M49,TT_Tabelle_Riferimento!$D$127:$H$164,5,FALSE))</f>
        <v>20</v>
      </c>
      <c r="LJ49" s="904">
        <f>+IFERROR(VLOOKUP(LJ$27&amp;"-"&amp;$M49&amp;"_new",Ammortamento_Finanziario!$H:$L,5,FALSE),VLOOKUP($M49,TT_Tabelle_Riferimento!$D$127:$H$164,5,FALSE))</f>
        <v>20</v>
      </c>
      <c r="LK49" s="904">
        <f>+IFERROR(VLOOKUP(LK$27&amp;"-"&amp;$M49&amp;"_new",Ammortamento_Finanziario!$H:$L,5,FALSE),VLOOKUP($M49,TT_Tabelle_Riferimento!$D$127:$H$164,5,FALSE))</f>
        <v>20</v>
      </c>
      <c r="LL49" s="904">
        <f>+IFERROR(VLOOKUP(LL$27&amp;"-"&amp;$M49&amp;"_new",Ammortamento_Finanziario!$H:$L,5,FALSE),VLOOKUP($M49,TT_Tabelle_Riferimento!$D$127:$H$164,5,FALSE))</f>
        <v>20</v>
      </c>
      <c r="LM49" s="904">
        <f>+IFERROR(VLOOKUP(LM$27&amp;"-"&amp;$M49&amp;"_new",Ammortamento_Finanziario!$H:$L,5,FALSE),VLOOKUP($M49,TT_Tabelle_Riferimento!$D$127:$H$164,5,FALSE))</f>
        <v>20</v>
      </c>
      <c r="LN49" s="904">
        <f>+IFERROR(VLOOKUP(LN$27&amp;"-"&amp;$M49&amp;"_new",Ammortamento_Finanziario!$H:$L,5,FALSE),VLOOKUP($M49,TT_Tabelle_Riferimento!$D$127:$H$164,5,FALSE))</f>
        <v>20</v>
      </c>
      <c r="LO49" s="904">
        <f>+IFERROR(VLOOKUP(LO$27&amp;"-"&amp;$M49&amp;"_new",Ammortamento_Finanziario!$H:$L,5,FALSE),VLOOKUP($M49,TT_Tabelle_Riferimento!$D$127:$H$164,5,FALSE))</f>
        <v>20</v>
      </c>
      <c r="LP49" s="904">
        <f>+IFERROR(VLOOKUP(LP$27&amp;"-"&amp;$M49&amp;"_new",Ammortamento_Finanziario!$H:$L,5,FALSE),VLOOKUP($M49,TT_Tabelle_Riferimento!$D$127:$H$164,5,FALSE))</f>
        <v>20</v>
      </c>
      <c r="LQ49" s="904">
        <f>+IFERROR(VLOOKUP(LQ$27&amp;"-"&amp;$M49&amp;"_new",Ammortamento_Finanziario!$H:$L,5,FALSE),VLOOKUP($M49,TT_Tabelle_Riferimento!$D$127:$H$164,5,FALSE))</f>
        <v>20</v>
      </c>
      <c r="LR49" s="904">
        <f>+IFERROR(VLOOKUP(LR$27&amp;"-"&amp;$M49&amp;"_new",Ammortamento_Finanziario!$H:$L,5,FALSE),VLOOKUP($M49,TT_Tabelle_Riferimento!$D$127:$H$164,5,FALSE))</f>
        <v>20</v>
      </c>
      <c r="LS49" s="1762">
        <f>+IFERROR(VLOOKUP(LS$27&amp;"-"&amp;$M49&amp;"_new",Ammortamento_Finanziario!$H:$L,5,FALSE),VLOOKUP($M49,TT_Tabelle_Riferimento!$D$127:$H$164,5,FALSE))</f>
        <v>20</v>
      </c>
      <c r="LT49" s="1762">
        <f>+IFERROR(VLOOKUP(LT$27&amp;"-"&amp;$M49&amp;"_new",Ammortamento_Finanziario!$H:$L,5,FALSE),VLOOKUP($M49,TT_Tabelle_Riferimento!$D$127:$H$164,5,FALSE))</f>
        <v>20</v>
      </c>
      <c r="LU49" s="1762">
        <f>+IFERROR(VLOOKUP(LU$27&amp;"-"&amp;$M49&amp;"_new",Ammortamento_Finanziario!$H:$L,5,FALSE),VLOOKUP($M49,TT_Tabelle_Riferimento!$D$127:$H$164,5,FALSE))</f>
        <v>20</v>
      </c>
      <c r="LV49" s="1762">
        <f>+IFERROR(VLOOKUP(LV$27&amp;"-"&amp;$M49&amp;"_new",Ammortamento_Finanziario!$H:$L,5,FALSE),VLOOKUP($M49,TT_Tabelle_Riferimento!$D$127:$H$164,5,FALSE))</f>
        <v>20</v>
      </c>
      <c r="LW49" s="1762">
        <f>+IFERROR(VLOOKUP(LW$27&amp;"-"&amp;$M49&amp;"_new",Ammortamento_Finanziario!$H:$L,5,FALSE),VLOOKUP($M49,TT_Tabelle_Riferimento!$D$127:$H$164,5,FALSE))</f>
        <v>20</v>
      </c>
      <c r="LX49" s="1762">
        <f>+IFERROR(VLOOKUP(LX$27&amp;"-"&amp;$M49&amp;"_new",Ammortamento_Finanziario!$H:$L,5,FALSE),VLOOKUP($M49,TT_Tabelle_Riferimento!$D$127:$H$164,5,FALSE))</f>
        <v>20</v>
      </c>
      <c r="LY49" s="904">
        <f>+IFERROR(VLOOKUP(LY$27&amp;"-"&amp;$M49&amp;"_new",Ammortamento_Finanziario!$H:$L,5,FALSE),VLOOKUP($M49,TT_Tabelle_Riferimento!$D$127:$H$164,5,FALSE))</f>
        <v>20</v>
      </c>
      <c r="LZ49" s="904">
        <f>+IFERROR(VLOOKUP(LZ$27&amp;"-"&amp;$M49&amp;"_new",Ammortamento_Finanziario!$H:$L,5,FALSE),VLOOKUP($M49,TT_Tabelle_Riferimento!$D$127:$H$164,5,FALSE))</f>
        <v>20</v>
      </c>
      <c r="MA49" s="904">
        <f>+IFERROR(VLOOKUP(MA$27&amp;"-"&amp;$M49&amp;"_new",Ammortamento_Finanziario!$H:$L,5,FALSE),VLOOKUP($M49,TT_Tabelle_Riferimento!$D$127:$H$164,5,FALSE))</f>
        <v>20</v>
      </c>
      <c r="MB49" s="904">
        <f>+IFERROR(VLOOKUP(MB$27&amp;"-"&amp;$M49&amp;"_new",Ammortamento_Finanziario!$H:$L,5,FALSE),VLOOKUP($M49,TT_Tabelle_Riferimento!$D$127:$H$164,5,FALSE))</f>
        <v>20</v>
      </c>
      <c r="MC49" s="904">
        <f>+IFERROR(VLOOKUP(MC$27&amp;"-"&amp;$M49&amp;"_new",Ammortamento_Finanziario!$H:$L,5,FALSE),VLOOKUP($M49,TT_Tabelle_Riferimento!$D$127:$H$164,5,FALSE))</f>
        <v>20</v>
      </c>
      <c r="MD49" s="904">
        <f>+IFERROR(VLOOKUP(MD$27&amp;"-"&amp;$M49&amp;"_new",Ammortamento_Finanziario!$H:$L,5,FALSE),VLOOKUP($M49,TT_Tabelle_Riferimento!$D$127:$H$164,5,FALSE))</f>
        <v>20</v>
      </c>
      <c r="ME49" s="904">
        <f>+IFERROR(VLOOKUP(ME$27&amp;"-"&amp;$M49&amp;"_new",Ammortamento_Finanziario!$H:$L,5,FALSE),VLOOKUP($M49,TT_Tabelle_Riferimento!$D$127:$H$164,5,FALSE))</f>
        <v>20</v>
      </c>
      <c r="MF49" s="904">
        <f>+IFERROR(VLOOKUP(MF$27&amp;"-"&amp;$M49&amp;"_new",Ammortamento_Finanziario!$H:$L,5,FALSE),VLOOKUP($M49,TT_Tabelle_Riferimento!$D$127:$H$164,5,FALSE))</f>
        <v>20</v>
      </c>
      <c r="MG49" s="904">
        <f>+IFERROR(VLOOKUP(MG$27&amp;"-"&amp;$M49&amp;"_new",Ammortamento_Finanziario!$H:$L,5,FALSE),VLOOKUP($M49,TT_Tabelle_Riferimento!$D$127:$H$164,5,FALSE))</f>
        <v>20</v>
      </c>
      <c r="MH49" s="904">
        <f>+IFERROR(VLOOKUP(MH$27&amp;"-"&amp;$M49&amp;"_new",Ammortamento_Finanziario!$H:$L,5,FALSE),VLOOKUP($M49,TT_Tabelle_Riferimento!$D$127:$H$164,5,FALSE))</f>
        <v>20</v>
      </c>
      <c r="MI49" s="904">
        <f>+IFERROR(VLOOKUP(MI$27&amp;"-"&amp;$M49&amp;"_new",Ammortamento_Finanziario!$H:$L,5,FALSE),VLOOKUP($M49,TT_Tabelle_Riferimento!$D$127:$H$164,5,FALSE))</f>
        <v>20</v>
      </c>
      <c r="MJ49" s="904">
        <f>+IFERROR(VLOOKUP(MJ$27&amp;"-"&amp;$M49&amp;"_new",Ammortamento_Finanziario!$H:$L,5,FALSE),VLOOKUP($M49,TT_Tabelle_Riferimento!$D$127:$H$164,5,FALSE))</f>
        <v>20</v>
      </c>
      <c r="MK49" s="904">
        <f>+IFERROR(VLOOKUP(MK$27&amp;"-"&amp;$M49&amp;"_new",Ammortamento_Finanziario!$H:$L,5,FALSE),VLOOKUP($M49,TT_Tabelle_Riferimento!$D$127:$H$164,5,FALSE))</f>
        <v>20</v>
      </c>
      <c r="ML49" s="904">
        <f>+IFERROR(VLOOKUP(ML$27&amp;"-"&amp;$M49&amp;"_new",Ammortamento_Finanziario!$H:$L,5,FALSE),VLOOKUP($M49,TT_Tabelle_Riferimento!$D$127:$H$164,5,FALSE))</f>
        <v>20</v>
      </c>
      <c r="MM49" s="904">
        <f>+IFERROR(VLOOKUP(MM$27&amp;"-"&amp;$M49&amp;"_new",Ammortamento_Finanziario!$H:$L,5,FALSE),VLOOKUP($M49,TT_Tabelle_Riferimento!$D$127:$H$164,5,FALSE))</f>
        <v>20</v>
      </c>
      <c r="MN49" s="904">
        <f>+IFERROR(VLOOKUP(MN$27&amp;"-"&amp;$M49&amp;"_new",Ammortamento_Finanziario!$H:$L,5,FALSE),VLOOKUP($M49,TT_Tabelle_Riferimento!$D$127:$H$164,5,FALSE))</f>
        <v>20</v>
      </c>
      <c r="MO49" s="904">
        <f>+IFERROR(VLOOKUP(MO$27&amp;"-"&amp;$M49&amp;"_new",Ammortamento_Finanziario!$H:$L,5,FALSE),VLOOKUP($M49,TT_Tabelle_Riferimento!$D$127:$H$164,5,FALSE))</f>
        <v>20</v>
      </c>
      <c r="MP49" s="904">
        <f>+IFERROR(VLOOKUP(MP$27&amp;"-"&amp;$M49&amp;"_new",Ammortamento_Finanziario!$H:$L,5,FALSE),VLOOKUP($M49,TT_Tabelle_Riferimento!$D$127:$H$164,5,FALSE))</f>
        <v>20</v>
      </c>
      <c r="MQ49" s="904">
        <f>+IFERROR(VLOOKUP(MQ$27&amp;"-"&amp;$M49&amp;"_new",Ammortamento_Finanziario!$H:$L,5,FALSE),VLOOKUP($M49,TT_Tabelle_Riferimento!$D$127:$H$164,5,FALSE))</f>
        <v>20</v>
      </c>
      <c r="MR49" s="1762">
        <f>+IFERROR(VLOOKUP(MR$27&amp;"-"&amp;$M49&amp;"_new",Ammortamento_Finanziario!$H:$L,5,FALSE),VLOOKUP($M49,TT_Tabelle_Riferimento!$D$127:$H$164,5,FALSE))</f>
        <v>20</v>
      </c>
      <c r="MS49" s="1762">
        <f>+IFERROR(VLOOKUP(MS$27&amp;"-"&amp;$M49&amp;"_new",Ammortamento_Finanziario!$H:$L,5,FALSE),VLOOKUP($M49,TT_Tabelle_Riferimento!$D$127:$H$164,5,FALSE))</f>
        <v>20</v>
      </c>
      <c r="MT49" s="1762">
        <f>+IFERROR(VLOOKUP(MT$27&amp;"-"&amp;$M49&amp;"_new",Ammortamento_Finanziario!$H:$L,5,FALSE),VLOOKUP($M49,TT_Tabelle_Riferimento!$D$127:$H$164,5,FALSE))</f>
        <v>20</v>
      </c>
      <c r="MU49" s="1762">
        <f>+IFERROR(VLOOKUP(MU$27&amp;"-"&amp;$M49&amp;"_new",Ammortamento_Finanziario!$H:$L,5,FALSE),VLOOKUP($M49,TT_Tabelle_Riferimento!$D$127:$H$164,5,FALSE))</f>
        <v>20</v>
      </c>
      <c r="MV49" s="1762">
        <f>+IFERROR(VLOOKUP(MV$27&amp;"-"&amp;$M49&amp;"_new",Ammortamento_Finanziario!$H:$L,5,FALSE),VLOOKUP($M49,TT_Tabelle_Riferimento!$D$127:$H$164,5,FALSE))</f>
        <v>20</v>
      </c>
      <c r="MW49" s="1762">
        <f>+IFERROR(VLOOKUP(MW$27&amp;"-"&amp;$M49&amp;"_new",Ammortamento_Finanziario!$H:$L,5,FALSE),VLOOKUP($M49,TT_Tabelle_Riferimento!$D$127:$H$164,5,FALSE))</f>
        <v>20</v>
      </c>
      <c r="MX49" s="904">
        <f>+IFERROR(VLOOKUP(MX$27&amp;"-"&amp;$M49&amp;"_new",Ammortamento_Finanziario!$H:$L,5,FALSE),VLOOKUP($M49,TT_Tabelle_Riferimento!$D$127:$H$164,5,FALSE))</f>
        <v>20</v>
      </c>
      <c r="MY49" s="904">
        <f>+IFERROR(VLOOKUP(MY$27&amp;"-"&amp;$M49&amp;"_new",Ammortamento_Finanziario!$H:$L,5,FALSE),VLOOKUP($M49,TT_Tabelle_Riferimento!$D$127:$H$164,5,FALSE))</f>
        <v>20</v>
      </c>
      <c r="MZ49" s="904">
        <f>+IFERROR(VLOOKUP(MZ$27&amp;"-"&amp;$M49&amp;"_new",Ammortamento_Finanziario!$H:$L,5,FALSE),VLOOKUP($M49,TT_Tabelle_Riferimento!$D$127:$H$164,5,FALSE))</f>
        <v>20</v>
      </c>
      <c r="NA49" s="904">
        <f>+IFERROR(VLOOKUP(NA$27&amp;"-"&amp;$M49&amp;"_new",Ammortamento_Finanziario!$H:$L,5,FALSE),VLOOKUP($M49,TT_Tabelle_Riferimento!$D$127:$H$164,5,FALSE))</f>
        <v>20</v>
      </c>
      <c r="NB49" s="904">
        <f>+IFERROR(VLOOKUP(NB$27&amp;"-"&amp;$M49&amp;"_new",Ammortamento_Finanziario!$H:$L,5,FALSE),VLOOKUP($M49,TT_Tabelle_Riferimento!$D$127:$H$164,5,FALSE))</f>
        <v>20</v>
      </c>
      <c r="NC49" s="904">
        <f>+IFERROR(VLOOKUP(NC$27&amp;"-"&amp;$M49&amp;"_new",Ammortamento_Finanziario!$H:$L,5,FALSE),VLOOKUP($M49,TT_Tabelle_Riferimento!$D$127:$H$164,5,FALSE))</f>
        <v>20</v>
      </c>
      <c r="ND49" s="904">
        <f>+IFERROR(VLOOKUP(ND$27&amp;"-"&amp;$M49&amp;"_new",Ammortamento_Finanziario!$H:$L,5,FALSE),VLOOKUP($M49,TT_Tabelle_Riferimento!$D$127:$H$164,5,FALSE))</f>
        <v>20</v>
      </c>
      <c r="NE49" s="904">
        <f>+IFERROR(VLOOKUP(NE$27&amp;"-"&amp;$M49&amp;"_new",Ammortamento_Finanziario!$H:$L,5,FALSE),VLOOKUP($M49,TT_Tabelle_Riferimento!$D$127:$H$164,5,FALSE))</f>
        <v>20</v>
      </c>
      <c r="NF49" s="904">
        <f>+IFERROR(VLOOKUP(NF$27&amp;"-"&amp;$M49&amp;"_new",Ammortamento_Finanziario!$H:$L,5,FALSE),VLOOKUP($M49,TT_Tabelle_Riferimento!$D$127:$H$164,5,FALSE))</f>
        <v>20</v>
      </c>
      <c r="NG49" s="904">
        <f>+IFERROR(VLOOKUP(NG$27&amp;"-"&amp;$M49&amp;"_new",Ammortamento_Finanziario!$H:$L,5,FALSE),VLOOKUP($M49,TT_Tabelle_Riferimento!$D$127:$H$164,5,FALSE))</f>
        <v>20</v>
      </c>
      <c r="NH49" s="904">
        <f>+IFERROR(VLOOKUP(NH$27&amp;"-"&amp;$M49&amp;"_new",Ammortamento_Finanziario!$H:$L,5,FALSE),VLOOKUP($M49,TT_Tabelle_Riferimento!$D$127:$H$164,5,FALSE))</f>
        <v>20</v>
      </c>
      <c r="NI49" s="904">
        <f>+IFERROR(VLOOKUP(NI$27&amp;"-"&amp;$M49&amp;"_new",Ammortamento_Finanziario!$H:$L,5,FALSE),VLOOKUP($M49,TT_Tabelle_Riferimento!$D$127:$H$164,5,FALSE))</f>
        <v>20</v>
      </c>
      <c r="NJ49" s="904">
        <f>+IFERROR(VLOOKUP(NJ$27&amp;"-"&amp;$M49&amp;"_new",Ammortamento_Finanziario!$H:$L,5,FALSE),VLOOKUP($M49,TT_Tabelle_Riferimento!$D$127:$H$164,5,FALSE))</f>
        <v>20</v>
      </c>
      <c r="NK49" s="904">
        <f>+IFERROR(VLOOKUP(NK$27&amp;"-"&amp;$M49&amp;"_new",Ammortamento_Finanziario!$H:$L,5,FALSE),VLOOKUP($M49,TT_Tabelle_Riferimento!$D$127:$H$164,5,FALSE))</f>
        <v>20</v>
      </c>
      <c r="NL49" s="904">
        <f>+IFERROR(VLOOKUP(NL$27&amp;"-"&amp;$M49&amp;"_new",Ammortamento_Finanziario!$H:$L,5,FALSE),VLOOKUP($M49,TT_Tabelle_Riferimento!$D$127:$H$164,5,FALSE))</f>
        <v>20</v>
      </c>
      <c r="NM49" s="904">
        <f>+IFERROR(VLOOKUP(NM$27&amp;"-"&amp;$M49&amp;"_new",Ammortamento_Finanziario!$H:$L,5,FALSE),VLOOKUP($M49,TT_Tabelle_Riferimento!$D$127:$H$164,5,FALSE))</f>
        <v>20</v>
      </c>
      <c r="NN49" s="904">
        <f>+IFERROR(VLOOKUP(NN$27&amp;"-"&amp;$M49&amp;"_new",Ammortamento_Finanziario!$H:$L,5,FALSE),VLOOKUP($M49,TT_Tabelle_Riferimento!$D$127:$H$164,5,FALSE))</f>
        <v>20</v>
      </c>
      <c r="NO49" s="904">
        <f>+IFERROR(VLOOKUP(NO$27&amp;"-"&amp;$M49&amp;"_new",Ammortamento_Finanziario!$H:$L,5,FALSE),VLOOKUP($M49,TT_Tabelle_Riferimento!$D$127:$H$164,5,FALSE))</f>
        <v>20</v>
      </c>
      <c r="NP49" s="904">
        <f>+IFERROR(VLOOKUP(NP$27&amp;"-"&amp;$M49&amp;"_new",Ammortamento_Finanziario!$H:$L,5,FALSE),VLOOKUP($M49,TT_Tabelle_Riferimento!$D$127:$H$164,5,FALSE))</f>
        <v>20</v>
      </c>
      <c r="NQ49" s="1762">
        <f>+IFERROR(VLOOKUP(NQ$27&amp;"-"&amp;$M49&amp;"_new",Ammortamento_Finanziario!$H:$L,5,FALSE),VLOOKUP($M49,TT_Tabelle_Riferimento!$D$127:$H$164,5,FALSE))</f>
        <v>20</v>
      </c>
      <c r="NR49" s="1762">
        <f>+IFERROR(VLOOKUP(NR$27&amp;"-"&amp;$M49&amp;"_new",Ammortamento_Finanziario!$H:$L,5,FALSE),VLOOKUP($M49,TT_Tabelle_Riferimento!$D$127:$H$164,5,FALSE))</f>
        <v>20</v>
      </c>
      <c r="NS49" s="1762">
        <f>+IFERROR(VLOOKUP(NS$27&amp;"-"&amp;$M49&amp;"_new",Ammortamento_Finanziario!$H:$L,5,FALSE),VLOOKUP($M49,TT_Tabelle_Riferimento!$D$127:$H$164,5,FALSE))</f>
        <v>20</v>
      </c>
      <c r="NT49" s="1762">
        <f>+IFERROR(VLOOKUP(NT$27&amp;"-"&amp;$M49&amp;"_new",Ammortamento_Finanziario!$H:$L,5,FALSE),VLOOKUP($M49,TT_Tabelle_Riferimento!$D$127:$H$164,5,FALSE))</f>
        <v>20</v>
      </c>
      <c r="NU49" s="1762">
        <f>+IFERROR(VLOOKUP(NU$27&amp;"-"&amp;$M49&amp;"_new",Ammortamento_Finanziario!$H:$L,5,FALSE),VLOOKUP($M49,TT_Tabelle_Riferimento!$D$127:$H$164,5,FALSE))</f>
        <v>20</v>
      </c>
      <c r="NV49" s="904">
        <f>+IFERROR(VLOOKUP(NV$27&amp;"-"&amp;$M49&amp;"_new",Ammortamento_Finanziario!$H:$L,5,FALSE),VLOOKUP($M49,TT_Tabelle_Riferimento!$D$127:$H$164,5,FALSE))</f>
        <v>20</v>
      </c>
      <c r="NW49" s="904">
        <f>+IFERROR(VLOOKUP(NW$27&amp;"-"&amp;$M49&amp;"_new",Ammortamento_Finanziario!$H:$L,5,FALSE),VLOOKUP($M49,TT_Tabelle_Riferimento!$D$127:$H$164,5,FALSE))</f>
        <v>20</v>
      </c>
      <c r="NX49" s="904">
        <f>+IFERROR(VLOOKUP(NX$27&amp;"-"&amp;$M49&amp;"_new",Ammortamento_Finanziario!$H:$L,5,FALSE),VLOOKUP($M49,TT_Tabelle_Riferimento!$D$127:$H$164,5,FALSE))</f>
        <v>20</v>
      </c>
      <c r="NY49" s="904">
        <f>+IFERROR(VLOOKUP(NY$27&amp;"-"&amp;$M49&amp;"_new",Ammortamento_Finanziario!$H:$L,5,FALSE),VLOOKUP($M49,TT_Tabelle_Riferimento!$D$127:$H$164,5,FALSE))</f>
        <v>20</v>
      </c>
      <c r="NZ49" s="904">
        <f>+IFERROR(VLOOKUP(NZ$27&amp;"-"&amp;$M49&amp;"_new",Ammortamento_Finanziario!$H:$L,5,FALSE),VLOOKUP($M49,TT_Tabelle_Riferimento!$D$127:$H$164,5,FALSE))</f>
        <v>20</v>
      </c>
      <c r="OA49" s="904">
        <f>+IFERROR(VLOOKUP(OA$27&amp;"-"&amp;$M49&amp;"_new",Ammortamento_Finanziario!$H:$L,5,FALSE),VLOOKUP($M49,TT_Tabelle_Riferimento!$D$127:$H$164,5,FALSE))</f>
        <v>20</v>
      </c>
      <c r="OB49" s="904">
        <f>+IFERROR(VLOOKUP(OB$27&amp;"-"&amp;$M49&amp;"_new",Ammortamento_Finanziario!$H:$L,5,FALSE),VLOOKUP($M49,TT_Tabelle_Riferimento!$D$127:$H$164,5,FALSE))</f>
        <v>20</v>
      </c>
      <c r="OC49" s="904">
        <f>+IFERROR(VLOOKUP(OC$27&amp;"-"&amp;$M49&amp;"_new",Ammortamento_Finanziario!$H:$L,5,FALSE),VLOOKUP($M49,TT_Tabelle_Riferimento!$D$127:$H$164,5,FALSE))</f>
        <v>20</v>
      </c>
      <c r="OD49" s="904">
        <f>+IFERROR(VLOOKUP(OD$27&amp;"-"&amp;$M49&amp;"_new",Ammortamento_Finanziario!$H:$L,5,FALSE),VLOOKUP($M49,TT_Tabelle_Riferimento!$D$127:$H$164,5,FALSE))</f>
        <v>20</v>
      </c>
      <c r="OE49" s="904">
        <f>+IFERROR(VLOOKUP(OE$27&amp;"-"&amp;$M49&amp;"_new",Ammortamento_Finanziario!$H:$L,5,FALSE),VLOOKUP($M49,TT_Tabelle_Riferimento!$D$127:$H$164,5,FALSE))</f>
        <v>20</v>
      </c>
      <c r="OF49" s="904">
        <f>+IFERROR(VLOOKUP(OF$27&amp;"-"&amp;$M49&amp;"_new",Ammortamento_Finanziario!$H:$L,5,FALSE),VLOOKUP($M49,TT_Tabelle_Riferimento!$D$127:$H$164,5,FALSE))</f>
        <v>20</v>
      </c>
      <c r="OG49" s="904">
        <f>+IFERROR(VLOOKUP(OG$27&amp;"-"&amp;$M49&amp;"_new",Ammortamento_Finanziario!$H:$L,5,FALSE),VLOOKUP($M49,TT_Tabelle_Riferimento!$D$127:$H$164,5,FALSE))</f>
        <v>20</v>
      </c>
      <c r="OH49" s="904">
        <f>+IFERROR(VLOOKUP(OH$27&amp;"-"&amp;$M49&amp;"_new",Ammortamento_Finanziario!$H:$L,5,FALSE),VLOOKUP($M49,TT_Tabelle_Riferimento!$D$127:$H$164,5,FALSE))</f>
        <v>20</v>
      </c>
      <c r="OI49" s="904">
        <f>+IFERROR(VLOOKUP(OI$27&amp;"-"&amp;$M49&amp;"_new",Ammortamento_Finanziario!$H:$L,5,FALSE),VLOOKUP($M49,TT_Tabelle_Riferimento!$D$127:$H$164,5,FALSE))</f>
        <v>20</v>
      </c>
      <c r="OJ49" s="904">
        <f>+IFERROR(VLOOKUP(OJ$27&amp;"-"&amp;$M49&amp;"_new",Ammortamento_Finanziario!$H:$L,5,FALSE),VLOOKUP($M49,TT_Tabelle_Riferimento!$D$127:$H$164,5,FALSE))</f>
        <v>20</v>
      </c>
      <c r="OK49" s="904">
        <f>+IFERROR(VLOOKUP(OK$27&amp;"-"&amp;$M49&amp;"_new",Ammortamento_Finanziario!$H:$L,5,FALSE),VLOOKUP($M49,TT_Tabelle_Riferimento!$D$127:$H$164,5,FALSE))</f>
        <v>20</v>
      </c>
      <c r="OL49" s="904">
        <f>+IFERROR(VLOOKUP(OL$27&amp;"-"&amp;$M49&amp;"_new",Ammortamento_Finanziario!$H:$L,5,FALSE),VLOOKUP($M49,TT_Tabelle_Riferimento!$D$127:$H$164,5,FALSE))</f>
        <v>20</v>
      </c>
      <c r="OM49" s="904">
        <f>+IFERROR(VLOOKUP(OM$27&amp;"-"&amp;$M49&amp;"_new",Ammortamento_Finanziario!$H:$L,5,FALSE),VLOOKUP($M49,TT_Tabelle_Riferimento!$D$127:$H$164,5,FALSE))</f>
        <v>20</v>
      </c>
      <c r="ON49" s="904">
        <f>+IFERROR(VLOOKUP(ON$27&amp;"-"&amp;$M49&amp;"_new",Ammortamento_Finanziario!$H:$L,5,FALSE),VLOOKUP($M49,TT_Tabelle_Riferimento!$D$127:$H$164,5,FALSE))</f>
        <v>20</v>
      </c>
      <c r="OO49" s="1762">
        <f>+IFERROR(VLOOKUP(OO$27&amp;"-"&amp;$M49&amp;"_new",Ammortamento_Finanziario!$H:$L,5,FALSE),VLOOKUP($M49,TT_Tabelle_Riferimento!$D$127:$H$164,5,FALSE))</f>
        <v>20</v>
      </c>
      <c r="OP49" s="1762">
        <f>+IFERROR(VLOOKUP(OP$27&amp;"-"&amp;$M49&amp;"_new",Ammortamento_Finanziario!$H:$L,5,FALSE),VLOOKUP($M49,TT_Tabelle_Riferimento!$D$127:$H$164,5,FALSE))</f>
        <v>20</v>
      </c>
      <c r="OQ49" s="1762">
        <f>+IFERROR(VLOOKUP(OQ$27&amp;"-"&amp;$M49&amp;"_new",Ammortamento_Finanziario!$H:$L,5,FALSE),VLOOKUP($M49,TT_Tabelle_Riferimento!$D$127:$H$164,5,FALSE))</f>
        <v>20</v>
      </c>
      <c r="OR49" s="1762">
        <f>+IFERROR(VLOOKUP(OR$27&amp;"-"&amp;$M49&amp;"_new",Ammortamento_Finanziario!$H:$L,5,FALSE),VLOOKUP($M49,TT_Tabelle_Riferimento!$D$127:$H$164,5,FALSE))</f>
        <v>20</v>
      </c>
      <c r="OS49" s="904">
        <f>+IFERROR(VLOOKUP(OS$27&amp;"-"&amp;$M49&amp;"_new",Ammortamento_Finanziario!$H:$L,5,FALSE),VLOOKUP($M49,TT_Tabelle_Riferimento!$D$127:$H$164,5,FALSE))</f>
        <v>20</v>
      </c>
      <c r="OT49" s="904">
        <f>+IFERROR(VLOOKUP(OT$27&amp;"-"&amp;$M49&amp;"_new",Ammortamento_Finanziario!$H:$L,5,FALSE),VLOOKUP($M49,TT_Tabelle_Riferimento!$D$127:$H$164,5,FALSE))</f>
        <v>20</v>
      </c>
      <c r="OU49" s="904">
        <f>+IFERROR(VLOOKUP(OU$27&amp;"-"&amp;$M49&amp;"_new",Ammortamento_Finanziario!$H:$L,5,FALSE),VLOOKUP($M49,TT_Tabelle_Riferimento!$D$127:$H$164,5,FALSE))</f>
        <v>20</v>
      </c>
      <c r="OV49" s="904">
        <f>+IFERROR(VLOOKUP(OV$27&amp;"-"&amp;$M49&amp;"_new",Ammortamento_Finanziario!$H:$L,5,FALSE),VLOOKUP($M49,TT_Tabelle_Riferimento!$D$127:$H$164,5,FALSE))</f>
        <v>20</v>
      </c>
      <c r="OW49" s="904">
        <f>+IFERROR(VLOOKUP(OW$27&amp;"-"&amp;$M49&amp;"_new",Ammortamento_Finanziario!$H:$L,5,FALSE),VLOOKUP($M49,TT_Tabelle_Riferimento!$D$127:$H$164,5,FALSE))</f>
        <v>20</v>
      </c>
      <c r="OX49" s="904">
        <f>+IFERROR(VLOOKUP(OX$27&amp;"-"&amp;$M49&amp;"_new",Ammortamento_Finanziario!$H:$L,5,FALSE),VLOOKUP($M49,TT_Tabelle_Riferimento!$D$127:$H$164,5,FALSE))</f>
        <v>20</v>
      </c>
      <c r="OY49" s="904">
        <f>+IFERROR(VLOOKUP(OY$27&amp;"-"&amp;$M49&amp;"_new",Ammortamento_Finanziario!$H:$L,5,FALSE),VLOOKUP($M49,TT_Tabelle_Riferimento!$D$127:$H$164,5,FALSE))</f>
        <v>20</v>
      </c>
      <c r="OZ49" s="904">
        <f>+IFERROR(VLOOKUP(OZ$27&amp;"-"&amp;$M49&amp;"_new",Ammortamento_Finanziario!$H:$L,5,FALSE),VLOOKUP($M49,TT_Tabelle_Riferimento!$D$127:$H$164,5,FALSE))</f>
        <v>20</v>
      </c>
      <c r="PA49" s="904">
        <f>+IFERROR(VLOOKUP(PA$27&amp;"-"&amp;$M49&amp;"_new",Ammortamento_Finanziario!$H:$L,5,FALSE),VLOOKUP($M49,TT_Tabelle_Riferimento!$D$127:$H$164,5,FALSE))</f>
        <v>20</v>
      </c>
      <c r="PB49" s="904">
        <f>+IFERROR(VLOOKUP(PB$27&amp;"-"&amp;$M49&amp;"_new",Ammortamento_Finanziario!$H:$L,5,FALSE),VLOOKUP($M49,TT_Tabelle_Riferimento!$D$127:$H$164,5,FALSE))</f>
        <v>20</v>
      </c>
      <c r="PC49" s="904">
        <f>+IFERROR(VLOOKUP(PC$27&amp;"-"&amp;$M49&amp;"_new",Ammortamento_Finanziario!$H:$L,5,FALSE),VLOOKUP($M49,TT_Tabelle_Riferimento!$D$127:$H$164,5,FALSE))</f>
        <v>20</v>
      </c>
      <c r="PD49" s="904">
        <f>+IFERROR(VLOOKUP(PD$27&amp;"-"&amp;$M49&amp;"_new",Ammortamento_Finanziario!$H:$L,5,FALSE),VLOOKUP($M49,TT_Tabelle_Riferimento!$D$127:$H$164,5,FALSE))</f>
        <v>20</v>
      </c>
      <c r="PE49" s="904">
        <f>+IFERROR(VLOOKUP(PE$27&amp;"-"&amp;$M49&amp;"_new",Ammortamento_Finanziario!$H:$L,5,FALSE),VLOOKUP($M49,TT_Tabelle_Riferimento!$D$127:$H$164,5,FALSE))</f>
        <v>20</v>
      </c>
      <c r="PF49" s="904">
        <f>+IFERROR(VLOOKUP(PF$27&amp;"-"&amp;$M49&amp;"_new",Ammortamento_Finanziario!$H:$L,5,FALSE),VLOOKUP($M49,TT_Tabelle_Riferimento!$D$127:$H$164,5,FALSE))</f>
        <v>20</v>
      </c>
      <c r="PG49" s="904">
        <f>+IFERROR(VLOOKUP(PG$27&amp;"-"&amp;$M49&amp;"_new",Ammortamento_Finanziario!$H:$L,5,FALSE),VLOOKUP($M49,TT_Tabelle_Riferimento!$D$127:$H$164,5,FALSE))</f>
        <v>20</v>
      </c>
      <c r="PH49" s="904">
        <f>+IFERROR(VLOOKUP(PH$27&amp;"-"&amp;$M49&amp;"_new",Ammortamento_Finanziario!$H:$L,5,FALSE),VLOOKUP($M49,TT_Tabelle_Riferimento!$D$127:$H$164,5,FALSE))</f>
        <v>20</v>
      </c>
      <c r="PI49" s="904">
        <f>+IFERROR(VLOOKUP(PI$27&amp;"-"&amp;$M49&amp;"_new",Ammortamento_Finanziario!$H:$L,5,FALSE),VLOOKUP($M49,TT_Tabelle_Riferimento!$D$127:$H$164,5,FALSE))</f>
        <v>20</v>
      </c>
      <c r="PJ49" s="904">
        <f>+IFERROR(VLOOKUP(PJ$27&amp;"-"&amp;$M49&amp;"_new",Ammortamento_Finanziario!$H:$L,5,FALSE),VLOOKUP($M49,TT_Tabelle_Riferimento!$D$127:$H$164,5,FALSE))</f>
        <v>20</v>
      </c>
      <c r="PK49" s="904">
        <f>+IFERROR(VLOOKUP(PK$27&amp;"-"&amp;$M49&amp;"_new",Ammortamento_Finanziario!$H:$L,5,FALSE),VLOOKUP($M49,TT_Tabelle_Riferimento!$D$127:$H$164,5,FALSE))</f>
        <v>20</v>
      </c>
      <c r="PL49" s="1762">
        <f>+IFERROR(VLOOKUP(PL$27&amp;"-"&amp;$M49&amp;"_new",Ammortamento_Finanziario!$H:$L,5,FALSE),VLOOKUP($M49,TT_Tabelle_Riferimento!$D$127:$H$164,5,FALSE))</f>
        <v>20</v>
      </c>
      <c r="PM49" s="1762">
        <f>+IFERROR(VLOOKUP(PM$27&amp;"-"&amp;$M49&amp;"_new",Ammortamento_Finanziario!$H:$L,5,FALSE),VLOOKUP($M49,TT_Tabelle_Riferimento!$D$127:$H$164,5,FALSE))</f>
        <v>20</v>
      </c>
      <c r="PN49" s="1762">
        <f>+IFERROR(VLOOKUP(PN$27&amp;"-"&amp;$M49&amp;"_new",Ammortamento_Finanziario!$H:$L,5,FALSE),VLOOKUP($M49,TT_Tabelle_Riferimento!$D$127:$H$164,5,FALSE))</f>
        <v>20</v>
      </c>
      <c r="PO49" s="904">
        <f>+IFERROR(VLOOKUP(PO$27&amp;"-"&amp;$M49&amp;"_new",Ammortamento_Finanziario!$H:$L,5,FALSE),VLOOKUP($M49,TT_Tabelle_Riferimento!$D$127:$H$164,5,FALSE))</f>
        <v>20</v>
      </c>
      <c r="PP49" s="904">
        <f>+IFERROR(VLOOKUP(PP$27&amp;"-"&amp;$M49&amp;"_new",Ammortamento_Finanziario!$H:$L,5,FALSE),VLOOKUP($M49,TT_Tabelle_Riferimento!$D$127:$H$164,5,FALSE))</f>
        <v>20</v>
      </c>
      <c r="PQ49" s="904">
        <f>+IFERROR(VLOOKUP(PQ$27&amp;"-"&amp;$M49&amp;"_new",Ammortamento_Finanziario!$H:$L,5,FALSE),VLOOKUP($M49,TT_Tabelle_Riferimento!$D$127:$H$164,5,FALSE))</f>
        <v>20</v>
      </c>
      <c r="PR49" s="904">
        <f>+IFERROR(VLOOKUP(PR$27&amp;"-"&amp;$M49&amp;"_new",Ammortamento_Finanziario!$H:$L,5,FALSE),VLOOKUP($M49,TT_Tabelle_Riferimento!$D$127:$H$164,5,FALSE))</f>
        <v>20</v>
      </c>
      <c r="PS49" s="904">
        <f>+IFERROR(VLOOKUP(PS$27&amp;"-"&amp;$M49&amp;"_new",Ammortamento_Finanziario!$H:$L,5,FALSE),VLOOKUP($M49,TT_Tabelle_Riferimento!$D$127:$H$164,5,FALSE))</f>
        <v>20</v>
      </c>
      <c r="PT49" s="904">
        <f>+IFERROR(VLOOKUP(PT$27&amp;"-"&amp;$M49&amp;"_new",Ammortamento_Finanziario!$H:$L,5,FALSE),VLOOKUP($M49,TT_Tabelle_Riferimento!$D$127:$H$164,5,FALSE))</f>
        <v>20</v>
      </c>
      <c r="PU49" s="904">
        <f>+IFERROR(VLOOKUP(PU$27&amp;"-"&amp;$M49&amp;"_new",Ammortamento_Finanziario!$H:$L,5,FALSE),VLOOKUP($M49,TT_Tabelle_Riferimento!$D$127:$H$164,5,FALSE))</f>
        <v>20</v>
      </c>
      <c r="PV49" s="904">
        <f>+IFERROR(VLOOKUP(PV$27&amp;"-"&amp;$M49&amp;"_new",Ammortamento_Finanziario!$H:$L,5,FALSE),VLOOKUP($M49,TT_Tabelle_Riferimento!$D$127:$H$164,5,FALSE))</f>
        <v>20</v>
      </c>
      <c r="PW49" s="904">
        <f>+IFERROR(VLOOKUP(PW$27&amp;"-"&amp;$M49&amp;"_new",Ammortamento_Finanziario!$H:$L,5,FALSE),VLOOKUP($M49,TT_Tabelle_Riferimento!$D$127:$H$164,5,FALSE))</f>
        <v>20</v>
      </c>
      <c r="PX49" s="904">
        <f>+IFERROR(VLOOKUP(PX$27&amp;"-"&amp;$M49&amp;"_new",Ammortamento_Finanziario!$H:$L,5,FALSE),VLOOKUP($M49,TT_Tabelle_Riferimento!$D$127:$H$164,5,FALSE))</f>
        <v>20</v>
      </c>
      <c r="PY49" s="904">
        <f>+IFERROR(VLOOKUP(PY$27&amp;"-"&amp;$M49&amp;"_new",Ammortamento_Finanziario!$H:$L,5,FALSE),VLOOKUP($M49,TT_Tabelle_Riferimento!$D$127:$H$164,5,FALSE))</f>
        <v>20</v>
      </c>
      <c r="PZ49" s="904">
        <f>+IFERROR(VLOOKUP(PZ$27&amp;"-"&amp;$M49&amp;"_new",Ammortamento_Finanziario!$H:$L,5,FALSE),VLOOKUP($M49,TT_Tabelle_Riferimento!$D$127:$H$164,5,FALSE))</f>
        <v>20</v>
      </c>
      <c r="QA49" s="904">
        <f>+IFERROR(VLOOKUP(QA$27&amp;"-"&amp;$M49&amp;"_new",Ammortamento_Finanziario!$H:$L,5,FALSE),VLOOKUP($M49,TT_Tabelle_Riferimento!$D$127:$H$164,5,FALSE))</f>
        <v>20</v>
      </c>
      <c r="QB49" s="904">
        <f>+IFERROR(VLOOKUP(QB$27&amp;"-"&amp;$M49&amp;"_new",Ammortamento_Finanziario!$H:$L,5,FALSE),VLOOKUP($M49,TT_Tabelle_Riferimento!$D$127:$H$164,5,FALSE))</f>
        <v>20</v>
      </c>
      <c r="QC49" s="904">
        <f>+IFERROR(VLOOKUP(QC$27&amp;"-"&amp;$M49&amp;"_new",Ammortamento_Finanziario!$H:$L,5,FALSE),VLOOKUP($M49,TT_Tabelle_Riferimento!$D$127:$H$164,5,FALSE))</f>
        <v>20</v>
      </c>
      <c r="QD49" s="904">
        <f>+IFERROR(VLOOKUP(QD$27&amp;"-"&amp;$M49&amp;"_new",Ammortamento_Finanziario!$H:$L,5,FALSE),VLOOKUP($M49,TT_Tabelle_Riferimento!$D$127:$H$164,5,FALSE))</f>
        <v>20</v>
      </c>
      <c r="QE49" s="904">
        <f>+IFERROR(VLOOKUP(QE$27&amp;"-"&amp;$M49&amp;"_new",Ammortamento_Finanziario!$H:$L,5,FALSE),VLOOKUP($M49,TT_Tabelle_Riferimento!$D$127:$H$164,5,FALSE))</f>
        <v>20</v>
      </c>
      <c r="QF49" s="904">
        <f>+IFERROR(VLOOKUP(QF$27&amp;"-"&amp;$M49&amp;"_new",Ammortamento_Finanziario!$H:$L,5,FALSE),VLOOKUP($M49,TT_Tabelle_Riferimento!$D$127:$H$164,5,FALSE))</f>
        <v>20</v>
      </c>
      <c r="QG49" s="904">
        <f>+IFERROR(VLOOKUP(QG$27&amp;"-"&amp;$M49&amp;"_new",Ammortamento_Finanziario!$H:$L,5,FALSE),VLOOKUP($M49,TT_Tabelle_Riferimento!$D$127:$H$164,5,FALSE))</f>
        <v>20</v>
      </c>
      <c r="QH49" s="1762">
        <f>+IFERROR(VLOOKUP(QH$27&amp;"-"&amp;$M49&amp;"_new",Ammortamento_Finanziario!$H:$L,5,FALSE),VLOOKUP($M49,TT_Tabelle_Riferimento!$D$127:$H$164,5,FALSE))</f>
        <v>20</v>
      </c>
      <c r="QI49" s="1762">
        <f>+IFERROR(VLOOKUP(QI$27&amp;"-"&amp;$M49&amp;"_new",Ammortamento_Finanziario!$H:$L,5,FALSE),VLOOKUP($M49,TT_Tabelle_Riferimento!$D$127:$H$164,5,FALSE))</f>
        <v>20</v>
      </c>
      <c r="QJ49" s="904">
        <f>+IFERROR(VLOOKUP(QJ$27&amp;"-"&amp;$M49&amp;"_new",Ammortamento_Finanziario!$H:$L,5,FALSE),VLOOKUP($M49,TT_Tabelle_Riferimento!$D$127:$H$164,5,FALSE))</f>
        <v>20</v>
      </c>
      <c r="QK49" s="904">
        <f>+IFERROR(VLOOKUP(QK$27&amp;"-"&amp;$M49&amp;"_new",Ammortamento_Finanziario!$H:$L,5,FALSE),VLOOKUP($M49,TT_Tabelle_Riferimento!$D$127:$H$164,5,FALSE))</f>
        <v>20</v>
      </c>
      <c r="QL49" s="904">
        <f>+IFERROR(VLOOKUP(QL$27&amp;"-"&amp;$M49&amp;"_new",Ammortamento_Finanziario!$H:$L,5,FALSE),VLOOKUP($M49,TT_Tabelle_Riferimento!$D$127:$H$164,5,FALSE))</f>
        <v>20</v>
      </c>
      <c r="QM49" s="904">
        <f>+IFERROR(VLOOKUP(QM$27&amp;"-"&amp;$M49&amp;"_new",Ammortamento_Finanziario!$H:$L,5,FALSE),VLOOKUP($M49,TT_Tabelle_Riferimento!$D$127:$H$164,5,FALSE))</f>
        <v>20</v>
      </c>
      <c r="QN49" s="904">
        <f>+IFERROR(VLOOKUP(QN$27&amp;"-"&amp;$M49&amp;"_new",Ammortamento_Finanziario!$H:$L,5,FALSE),VLOOKUP($M49,TT_Tabelle_Riferimento!$D$127:$H$164,5,FALSE))</f>
        <v>20</v>
      </c>
      <c r="QO49" s="904">
        <f>+IFERROR(VLOOKUP(QO$27&amp;"-"&amp;$M49&amp;"_new",Ammortamento_Finanziario!$H:$L,5,FALSE),VLOOKUP($M49,TT_Tabelle_Riferimento!$D$127:$H$164,5,FALSE))</f>
        <v>20</v>
      </c>
      <c r="QP49" s="904">
        <f>+IFERROR(VLOOKUP(QP$27&amp;"-"&amp;$M49&amp;"_new",Ammortamento_Finanziario!$H:$L,5,FALSE),VLOOKUP($M49,TT_Tabelle_Riferimento!$D$127:$H$164,5,FALSE))</f>
        <v>20</v>
      </c>
      <c r="QQ49" s="904">
        <f>+IFERROR(VLOOKUP(QQ$27&amp;"-"&amp;$M49&amp;"_new",Ammortamento_Finanziario!$H:$L,5,FALSE),VLOOKUP($M49,TT_Tabelle_Riferimento!$D$127:$H$164,5,FALSE))</f>
        <v>20</v>
      </c>
      <c r="QR49" s="904">
        <f>+IFERROR(VLOOKUP(QR$27&amp;"-"&amp;$M49&amp;"_new",Ammortamento_Finanziario!$H:$L,5,FALSE),VLOOKUP($M49,TT_Tabelle_Riferimento!$D$127:$H$164,5,FALSE))</f>
        <v>20</v>
      </c>
      <c r="QS49" s="904">
        <f>+IFERROR(VLOOKUP(QS$27&amp;"-"&amp;$M49&amp;"_new",Ammortamento_Finanziario!$H:$L,5,FALSE),VLOOKUP($M49,TT_Tabelle_Riferimento!$D$127:$H$164,5,FALSE))</f>
        <v>20</v>
      </c>
      <c r="QT49" s="904">
        <f>+IFERROR(VLOOKUP(QT$27&amp;"-"&amp;$M49&amp;"_new",Ammortamento_Finanziario!$H:$L,5,FALSE),VLOOKUP($M49,TT_Tabelle_Riferimento!$D$127:$H$164,5,FALSE))</f>
        <v>20</v>
      </c>
      <c r="QU49" s="904">
        <f>+IFERROR(VLOOKUP(QU$27&amp;"-"&amp;$M49&amp;"_new",Ammortamento_Finanziario!$H:$L,5,FALSE),VLOOKUP($M49,TT_Tabelle_Riferimento!$D$127:$H$164,5,FALSE))</f>
        <v>20</v>
      </c>
      <c r="QV49" s="904">
        <f>+IFERROR(VLOOKUP(QV$27&amp;"-"&amp;$M49&amp;"_new",Ammortamento_Finanziario!$H:$L,5,FALSE),VLOOKUP($M49,TT_Tabelle_Riferimento!$D$127:$H$164,5,FALSE))</f>
        <v>20</v>
      </c>
      <c r="QW49" s="904">
        <f>+IFERROR(VLOOKUP(QW$27&amp;"-"&amp;$M49&amp;"_new",Ammortamento_Finanziario!$H:$L,5,FALSE),VLOOKUP($M49,TT_Tabelle_Riferimento!$D$127:$H$164,5,FALSE))</f>
        <v>20</v>
      </c>
      <c r="QX49" s="904">
        <f>+IFERROR(VLOOKUP(QX$27&amp;"-"&amp;$M49&amp;"_new",Ammortamento_Finanziario!$H:$L,5,FALSE),VLOOKUP($M49,TT_Tabelle_Riferimento!$D$127:$H$164,5,FALSE))</f>
        <v>20</v>
      </c>
      <c r="QY49" s="904">
        <f>+IFERROR(VLOOKUP(QY$27&amp;"-"&amp;$M49&amp;"_new",Ammortamento_Finanziario!$H:$L,5,FALSE),VLOOKUP($M49,TT_Tabelle_Riferimento!$D$127:$H$164,5,FALSE))</f>
        <v>20</v>
      </c>
      <c r="QZ49" s="904">
        <f>+IFERROR(VLOOKUP(QZ$27&amp;"-"&amp;$M49&amp;"_new",Ammortamento_Finanziario!$H:$L,5,FALSE),VLOOKUP($M49,TT_Tabelle_Riferimento!$D$127:$H$164,5,FALSE))</f>
        <v>20</v>
      </c>
      <c r="RA49" s="904">
        <f>+IFERROR(VLOOKUP(RA$27&amp;"-"&amp;$M49&amp;"_new",Ammortamento_Finanziario!$H:$L,5,FALSE),VLOOKUP($M49,TT_Tabelle_Riferimento!$D$127:$H$164,5,FALSE))</f>
        <v>20</v>
      </c>
      <c r="RB49" s="904">
        <f>+IFERROR(VLOOKUP(RB$27&amp;"-"&amp;$M49&amp;"_new",Ammortamento_Finanziario!$H:$L,5,FALSE),VLOOKUP($M49,TT_Tabelle_Riferimento!$D$127:$H$164,5,FALSE))</f>
        <v>20</v>
      </c>
      <c r="RC49" s="1762">
        <f>+IFERROR(VLOOKUP(RC$27&amp;"-"&amp;$M49&amp;"_new",Ammortamento_Finanziario!$H:$L,5,FALSE),VLOOKUP($M49,TT_Tabelle_Riferimento!$D$127:$H$164,5,FALSE))</f>
        <v>20</v>
      </c>
      <c r="RD49" s="904">
        <f>+IFERROR(VLOOKUP(RD$27&amp;"-"&amp;$M49&amp;"_new",Ammortamento_Finanziario!$H:$L,5,FALSE),VLOOKUP($M49,TT_Tabelle_Riferimento!$D$127:$H$164,5,FALSE))</f>
        <v>20</v>
      </c>
      <c r="RE49" s="904">
        <f>+IFERROR(VLOOKUP(RE$27&amp;"-"&amp;$M49&amp;"_new",Ammortamento_Finanziario!$H:$L,5,FALSE),VLOOKUP($M49,TT_Tabelle_Riferimento!$D$127:$H$164,5,FALSE))</f>
        <v>20</v>
      </c>
      <c r="RF49" s="904">
        <f>+IFERROR(VLOOKUP(RF$27&amp;"-"&amp;$M49&amp;"_new",Ammortamento_Finanziario!$H:$L,5,FALSE),VLOOKUP($M49,TT_Tabelle_Riferimento!$D$127:$H$164,5,FALSE))</f>
        <v>20</v>
      </c>
      <c r="RG49" s="904">
        <f>+IFERROR(VLOOKUP(RG$27&amp;"-"&amp;$M49&amp;"_new",Ammortamento_Finanziario!$H:$L,5,FALSE),VLOOKUP($M49,TT_Tabelle_Riferimento!$D$127:$H$164,5,FALSE))</f>
        <v>20</v>
      </c>
      <c r="RH49" s="904">
        <f>+IFERROR(VLOOKUP(RH$27&amp;"-"&amp;$M49&amp;"_new",Ammortamento_Finanziario!$H:$L,5,FALSE),VLOOKUP($M49,TT_Tabelle_Riferimento!$D$127:$H$164,5,FALSE))</f>
        <v>20</v>
      </c>
      <c r="RI49" s="904">
        <f>+IFERROR(VLOOKUP(RI$27&amp;"-"&amp;$M49&amp;"_new",Ammortamento_Finanziario!$H:$L,5,FALSE),VLOOKUP($M49,TT_Tabelle_Riferimento!$D$127:$H$164,5,FALSE))</f>
        <v>20</v>
      </c>
      <c r="RJ49" s="904">
        <f>+IFERROR(VLOOKUP(RJ$27&amp;"-"&amp;$M49&amp;"_new",Ammortamento_Finanziario!$H:$L,5,FALSE),VLOOKUP($M49,TT_Tabelle_Riferimento!$D$127:$H$164,5,FALSE))</f>
        <v>20</v>
      </c>
      <c r="RK49" s="904">
        <f>+IFERROR(VLOOKUP(RK$27&amp;"-"&amp;$M49&amp;"_new",Ammortamento_Finanziario!$H:$L,5,FALSE),VLOOKUP($M49,TT_Tabelle_Riferimento!$D$127:$H$164,5,FALSE))</f>
        <v>20</v>
      </c>
      <c r="RL49" s="904">
        <f>+IFERROR(VLOOKUP(RL$27&amp;"-"&amp;$M49&amp;"_new",Ammortamento_Finanziario!$H:$L,5,FALSE),VLOOKUP($M49,TT_Tabelle_Riferimento!$D$127:$H$164,5,FALSE))</f>
        <v>20</v>
      </c>
      <c r="RM49" s="904">
        <f>+IFERROR(VLOOKUP(RM$27&amp;"-"&amp;$M49&amp;"_new",Ammortamento_Finanziario!$H:$L,5,FALSE),VLOOKUP($M49,TT_Tabelle_Riferimento!$D$127:$H$164,5,FALSE))</f>
        <v>20</v>
      </c>
      <c r="RN49" s="904">
        <f>+IFERROR(VLOOKUP(RN$27&amp;"-"&amp;$M49&amp;"_new",Ammortamento_Finanziario!$H:$L,5,FALSE),VLOOKUP($M49,TT_Tabelle_Riferimento!$D$127:$H$164,5,FALSE))</f>
        <v>20</v>
      </c>
      <c r="RO49" s="904">
        <f>+IFERROR(VLOOKUP(RO$27&amp;"-"&amp;$M49&amp;"_new",Ammortamento_Finanziario!$H:$L,5,FALSE),VLOOKUP($M49,TT_Tabelle_Riferimento!$D$127:$H$164,5,FALSE))</f>
        <v>20</v>
      </c>
      <c r="RP49" s="904">
        <f>+IFERROR(VLOOKUP(RP$27&amp;"-"&amp;$M49&amp;"_new",Ammortamento_Finanziario!$H:$L,5,FALSE),VLOOKUP($M49,TT_Tabelle_Riferimento!$D$127:$H$164,5,FALSE))</f>
        <v>20</v>
      </c>
      <c r="RQ49" s="904">
        <f>+IFERROR(VLOOKUP(RQ$27&amp;"-"&amp;$M49&amp;"_new",Ammortamento_Finanziario!$H:$L,5,FALSE),VLOOKUP($M49,TT_Tabelle_Riferimento!$D$127:$H$164,5,FALSE))</f>
        <v>20</v>
      </c>
      <c r="RR49" s="904">
        <f>+IFERROR(VLOOKUP(RR$27&amp;"-"&amp;$M49&amp;"_new",Ammortamento_Finanziario!$H:$L,5,FALSE),VLOOKUP($M49,TT_Tabelle_Riferimento!$D$127:$H$164,5,FALSE))</f>
        <v>20</v>
      </c>
      <c r="RS49" s="904">
        <f>+IFERROR(VLOOKUP(RS$27&amp;"-"&amp;$M49&amp;"_new",Ammortamento_Finanziario!$H:$L,5,FALSE),VLOOKUP($M49,TT_Tabelle_Riferimento!$D$127:$H$164,5,FALSE))</f>
        <v>20</v>
      </c>
      <c r="RT49" s="904">
        <f>+IFERROR(VLOOKUP(RT$27&amp;"-"&amp;$M49&amp;"_new",Ammortamento_Finanziario!$H:$L,5,FALSE),VLOOKUP($M49,TT_Tabelle_Riferimento!$D$127:$H$164,5,FALSE))</f>
        <v>20</v>
      </c>
      <c r="RU49" s="904">
        <f>+IFERROR(VLOOKUP(RU$27&amp;"-"&amp;$M49&amp;"_new",Ammortamento_Finanziario!$H:$L,5,FALSE),VLOOKUP($M49,TT_Tabelle_Riferimento!$D$127:$H$164,5,FALSE))</f>
        <v>20</v>
      </c>
      <c r="RV49" s="904">
        <f>+IFERROR(VLOOKUP(RV$27&amp;"-"&amp;$M49&amp;"_new",Ammortamento_Finanziario!$H:$L,5,FALSE),VLOOKUP($M49,TT_Tabelle_Riferimento!$D$127:$H$164,5,FALSE))</f>
        <v>20</v>
      </c>
    </row>
    <row r="50" spans="4:490">
      <c r="M50" s="1756">
        <v>23</v>
      </c>
      <c r="N50" s="1759">
        <v>0</v>
      </c>
      <c r="O50" s="1759">
        <v>0</v>
      </c>
      <c r="P50" s="1759">
        <v>0</v>
      </c>
      <c r="Q50" s="1759">
        <v>0</v>
      </c>
      <c r="R50" s="1759">
        <v>0</v>
      </c>
      <c r="S50" s="1759">
        <v>0</v>
      </c>
      <c r="T50" s="1759">
        <v>0</v>
      </c>
      <c r="U50" s="1759">
        <v>0</v>
      </c>
      <c r="V50" s="1759">
        <v>0</v>
      </c>
      <c r="W50" s="1759">
        <v>0</v>
      </c>
      <c r="X50" s="1759">
        <v>0</v>
      </c>
      <c r="Y50" s="1759">
        <v>0</v>
      </c>
      <c r="Z50" s="1759">
        <v>0</v>
      </c>
      <c r="AA50" s="1759">
        <v>0</v>
      </c>
      <c r="AB50" s="1759">
        <v>0</v>
      </c>
      <c r="AC50" s="1759">
        <v>0</v>
      </c>
      <c r="AD50" s="1759">
        <v>0</v>
      </c>
      <c r="AE50" s="1759">
        <v>0</v>
      </c>
      <c r="AF50" s="1759">
        <v>0</v>
      </c>
      <c r="AG50" s="1759">
        <v>0</v>
      </c>
      <c r="AH50" s="1759">
        <v>0</v>
      </c>
      <c r="AI50" s="1759">
        <v>0</v>
      </c>
      <c r="AJ50" s="1759">
        <v>0</v>
      </c>
      <c r="AK50" s="1759">
        <v>0</v>
      </c>
      <c r="AL50" s="1759">
        <v>0</v>
      </c>
      <c r="AM50" s="1759">
        <v>0</v>
      </c>
      <c r="AN50" s="1759">
        <v>0</v>
      </c>
      <c r="AO50" s="1759">
        <v>0</v>
      </c>
      <c r="AP50" s="1759">
        <v>0</v>
      </c>
      <c r="AQ50" s="1759">
        <v>0</v>
      </c>
      <c r="AR50" s="1759">
        <v>0</v>
      </c>
      <c r="AS50" s="1759">
        <v>0</v>
      </c>
      <c r="AT50" s="1759">
        <v>0</v>
      </c>
      <c r="AU50" s="1759">
        <v>0</v>
      </c>
      <c r="AV50" s="1759">
        <v>0</v>
      </c>
      <c r="AW50" s="1759">
        <v>0</v>
      </c>
      <c r="AX50" s="1759">
        <v>0</v>
      </c>
      <c r="AY50" s="1759">
        <v>0</v>
      </c>
      <c r="AZ50" s="1759">
        <v>0</v>
      </c>
      <c r="BA50" s="1759">
        <v>0</v>
      </c>
      <c r="BB50" s="1759">
        <v>0</v>
      </c>
      <c r="BC50" s="1759">
        <v>0</v>
      </c>
      <c r="BD50" s="1759">
        <v>0</v>
      </c>
      <c r="BE50" s="1759">
        <v>0</v>
      </c>
      <c r="BF50" s="1759">
        <v>0</v>
      </c>
      <c r="BG50" s="1759">
        <v>0</v>
      </c>
      <c r="BH50" s="1759">
        <v>0</v>
      </c>
      <c r="BI50" s="1759">
        <v>0</v>
      </c>
      <c r="BJ50" s="1759">
        <v>0</v>
      </c>
      <c r="BK50" s="1759">
        <v>0</v>
      </c>
      <c r="BL50" s="1759">
        <v>0</v>
      </c>
      <c r="BM50" s="1759">
        <v>0</v>
      </c>
      <c r="BN50" s="1759">
        <v>0</v>
      </c>
      <c r="BO50" s="1759">
        <v>0</v>
      </c>
      <c r="BP50" s="1759">
        <v>0</v>
      </c>
      <c r="BQ50" s="1759">
        <v>0</v>
      </c>
      <c r="BR50" s="1759">
        <v>0</v>
      </c>
      <c r="BS50" s="1759">
        <v>0</v>
      </c>
      <c r="BT50" s="1759">
        <v>0</v>
      </c>
      <c r="BU50" s="1759">
        <v>0</v>
      </c>
      <c r="BV50" s="1759">
        <v>0</v>
      </c>
      <c r="BW50" s="1759">
        <v>0</v>
      </c>
      <c r="BX50" s="1759">
        <v>0</v>
      </c>
      <c r="BY50" s="1759">
        <v>0</v>
      </c>
      <c r="BZ50" s="1759">
        <v>0</v>
      </c>
      <c r="CA50" s="1759">
        <v>0</v>
      </c>
      <c r="CB50" s="1759">
        <v>0</v>
      </c>
      <c r="CC50" s="1759">
        <v>0</v>
      </c>
      <c r="CD50" s="1759">
        <v>0</v>
      </c>
      <c r="CE50" s="1759">
        <v>0</v>
      </c>
      <c r="CF50" s="1759">
        <v>0</v>
      </c>
      <c r="CG50" s="1759">
        <v>0</v>
      </c>
      <c r="CH50" s="1759">
        <v>0</v>
      </c>
      <c r="CI50" s="1759">
        <v>0</v>
      </c>
      <c r="CJ50" s="1759">
        <v>0</v>
      </c>
      <c r="CK50" s="1759">
        <v>0</v>
      </c>
      <c r="CL50" s="1759">
        <v>0</v>
      </c>
      <c r="CM50" s="1759">
        <v>0</v>
      </c>
      <c r="CN50" s="1759">
        <v>0</v>
      </c>
      <c r="CO50" s="1759">
        <v>0</v>
      </c>
      <c r="CP50" s="1759">
        <v>0</v>
      </c>
      <c r="CQ50" s="1759">
        <v>0</v>
      </c>
      <c r="CR50" s="1759">
        <v>0</v>
      </c>
      <c r="CS50" s="1759">
        <v>0</v>
      </c>
      <c r="CT50" s="1759">
        <v>0</v>
      </c>
      <c r="CU50" s="1759">
        <v>0</v>
      </c>
      <c r="CV50" s="1759">
        <v>0</v>
      </c>
      <c r="CW50" s="1759">
        <v>0</v>
      </c>
      <c r="CX50" s="1759">
        <v>0</v>
      </c>
      <c r="CY50" s="1759">
        <v>0</v>
      </c>
      <c r="CZ50" s="1759">
        <v>0</v>
      </c>
      <c r="DA50" s="1759">
        <v>0</v>
      </c>
      <c r="DB50" s="1759">
        <v>0</v>
      </c>
      <c r="DC50" s="1759">
        <v>0</v>
      </c>
      <c r="DD50" s="1759">
        <v>0</v>
      </c>
      <c r="DE50" s="1759">
        <v>0</v>
      </c>
      <c r="DF50" s="1759">
        <v>0</v>
      </c>
      <c r="DG50" s="1759">
        <v>0</v>
      </c>
      <c r="DH50" s="1759">
        <v>0</v>
      </c>
      <c r="DI50" s="1759">
        <v>0</v>
      </c>
      <c r="DJ50" s="1759">
        <v>0</v>
      </c>
      <c r="DK50" s="1759">
        <v>0</v>
      </c>
      <c r="DL50" s="1759">
        <v>0</v>
      </c>
      <c r="DM50" s="1759">
        <v>0</v>
      </c>
      <c r="DN50" s="1759">
        <v>0</v>
      </c>
      <c r="DO50" s="1759">
        <v>0</v>
      </c>
      <c r="DP50" s="1759">
        <v>0</v>
      </c>
      <c r="DQ50" s="1759">
        <v>0</v>
      </c>
      <c r="DR50" s="1759">
        <v>0</v>
      </c>
      <c r="DS50" s="1759">
        <v>0</v>
      </c>
      <c r="DT50" s="1759">
        <v>0</v>
      </c>
      <c r="DU50" s="1759">
        <v>0</v>
      </c>
      <c r="DV50" s="1759">
        <v>0</v>
      </c>
      <c r="DW50" s="1759">
        <v>0</v>
      </c>
      <c r="DX50" s="1759">
        <v>0</v>
      </c>
      <c r="DY50" s="1759">
        <v>0</v>
      </c>
      <c r="DZ50" s="1759">
        <v>0</v>
      </c>
      <c r="EA50" s="1759">
        <v>0</v>
      </c>
      <c r="EB50" s="1759">
        <v>0</v>
      </c>
      <c r="EC50" s="1759">
        <v>0</v>
      </c>
      <c r="ED50" s="1759">
        <v>0</v>
      </c>
      <c r="EE50" s="1759">
        <v>0</v>
      </c>
      <c r="EF50" s="1759">
        <v>0</v>
      </c>
      <c r="EG50" s="1759">
        <v>0</v>
      </c>
      <c r="EH50" s="1759">
        <v>0</v>
      </c>
      <c r="EI50" s="1759">
        <v>0</v>
      </c>
      <c r="EJ50" s="1759">
        <v>0</v>
      </c>
      <c r="EK50" s="1759">
        <v>0</v>
      </c>
      <c r="EL50" s="1759">
        <v>0</v>
      </c>
      <c r="EM50" s="1759">
        <v>0</v>
      </c>
      <c r="EN50" s="1759">
        <v>0</v>
      </c>
      <c r="EO50" s="1759">
        <v>0</v>
      </c>
      <c r="EP50" s="1759">
        <v>0</v>
      </c>
      <c r="EQ50" s="1759">
        <v>0</v>
      </c>
      <c r="ER50" s="1759">
        <v>0</v>
      </c>
      <c r="ES50" s="1759">
        <v>0</v>
      </c>
      <c r="ET50" s="1759">
        <v>0</v>
      </c>
      <c r="EU50" s="1759">
        <v>0</v>
      </c>
      <c r="EV50" s="1759">
        <v>0</v>
      </c>
      <c r="EW50" s="1759">
        <v>0</v>
      </c>
      <c r="EX50" s="1759">
        <v>0</v>
      </c>
      <c r="EY50" s="1759">
        <v>0</v>
      </c>
      <c r="EZ50" s="1759">
        <v>0</v>
      </c>
      <c r="FA50" s="1759">
        <v>0</v>
      </c>
      <c r="FB50" s="1759">
        <v>0</v>
      </c>
      <c r="FC50" s="1759">
        <v>0</v>
      </c>
      <c r="FD50" s="1759">
        <v>0</v>
      </c>
      <c r="FE50" s="1759">
        <v>0</v>
      </c>
      <c r="FF50" s="1759">
        <v>0</v>
      </c>
      <c r="FG50" s="1759">
        <v>0</v>
      </c>
      <c r="FH50" s="1759">
        <v>0</v>
      </c>
      <c r="FI50" s="1759">
        <v>0</v>
      </c>
      <c r="FJ50" s="1759">
        <v>0</v>
      </c>
      <c r="FK50" s="1759">
        <v>0</v>
      </c>
      <c r="FL50" s="1759">
        <v>0</v>
      </c>
      <c r="FM50" s="1759">
        <v>0</v>
      </c>
      <c r="FN50" s="1759">
        <v>0</v>
      </c>
      <c r="FO50" s="1759">
        <v>0</v>
      </c>
      <c r="FP50" s="1759">
        <v>0</v>
      </c>
      <c r="FQ50" s="1759">
        <v>0</v>
      </c>
      <c r="FR50" s="1759">
        <v>0</v>
      </c>
      <c r="FS50" s="1759">
        <v>0</v>
      </c>
      <c r="FT50" s="1759">
        <v>0</v>
      </c>
      <c r="FU50" s="1759">
        <v>0</v>
      </c>
      <c r="FV50" s="1759">
        <v>0</v>
      </c>
      <c r="FW50" s="1759">
        <v>0</v>
      </c>
      <c r="FX50" s="1759">
        <v>0</v>
      </c>
      <c r="FY50" s="1759">
        <v>0</v>
      </c>
      <c r="FZ50" s="1759">
        <v>0</v>
      </c>
      <c r="GA50" s="1759">
        <v>0</v>
      </c>
      <c r="GB50" s="1759">
        <v>0</v>
      </c>
      <c r="GC50" s="1759">
        <v>0</v>
      </c>
      <c r="GD50" s="1759">
        <v>0</v>
      </c>
      <c r="GE50" s="1759">
        <v>0</v>
      </c>
      <c r="GF50" s="1759">
        <v>0</v>
      </c>
      <c r="GG50" s="1759">
        <v>0</v>
      </c>
      <c r="GH50" s="1759">
        <v>0</v>
      </c>
      <c r="GI50" s="1759">
        <v>0</v>
      </c>
      <c r="GJ50" s="1759">
        <v>0</v>
      </c>
      <c r="GK50" s="1759">
        <v>0</v>
      </c>
      <c r="GL50" s="1759">
        <v>0</v>
      </c>
      <c r="GM50" s="1759">
        <v>0</v>
      </c>
      <c r="GN50" s="1759">
        <v>0</v>
      </c>
      <c r="GO50" s="1759">
        <v>0</v>
      </c>
      <c r="GP50" s="1759">
        <v>0</v>
      </c>
      <c r="GQ50" s="1759">
        <v>0</v>
      </c>
      <c r="GR50" s="1759">
        <v>0</v>
      </c>
      <c r="GS50" s="1759">
        <v>0</v>
      </c>
      <c r="GT50" s="1759">
        <v>0</v>
      </c>
      <c r="GU50" s="1759">
        <v>0</v>
      </c>
      <c r="GV50" s="1759">
        <v>0</v>
      </c>
      <c r="GW50" s="1759">
        <v>0</v>
      </c>
      <c r="GX50" s="1759">
        <v>0</v>
      </c>
      <c r="GY50" s="1759">
        <v>0</v>
      </c>
      <c r="GZ50" s="1759">
        <v>0</v>
      </c>
      <c r="HA50" s="1759">
        <v>0</v>
      </c>
      <c r="HB50" s="1759">
        <v>0</v>
      </c>
      <c r="HC50" s="1759">
        <v>0</v>
      </c>
      <c r="HD50" s="1759">
        <v>0</v>
      </c>
      <c r="HE50" s="1759">
        <v>0</v>
      </c>
      <c r="HF50" s="1759">
        <v>0</v>
      </c>
      <c r="HG50" s="1759">
        <v>0</v>
      </c>
      <c r="HH50" s="1759">
        <v>0</v>
      </c>
      <c r="HI50" s="1759">
        <v>0</v>
      </c>
      <c r="HJ50" s="1759">
        <v>0</v>
      </c>
      <c r="HK50" s="1759">
        <v>0</v>
      </c>
      <c r="HL50" s="1759">
        <v>0</v>
      </c>
      <c r="HM50" s="1759">
        <v>0</v>
      </c>
      <c r="HN50" s="1759">
        <v>0</v>
      </c>
      <c r="HO50" s="1759">
        <v>0</v>
      </c>
      <c r="HP50" s="1759">
        <v>0</v>
      </c>
      <c r="HQ50" s="1759">
        <v>0</v>
      </c>
      <c r="HR50" s="1759">
        <v>0</v>
      </c>
      <c r="HS50" s="1759">
        <v>0</v>
      </c>
      <c r="HT50" s="1759">
        <v>0</v>
      </c>
      <c r="HU50" s="1759">
        <v>0</v>
      </c>
      <c r="HV50" s="1759">
        <v>0</v>
      </c>
      <c r="HW50" s="1759">
        <v>0</v>
      </c>
      <c r="HX50" s="1759">
        <v>0</v>
      </c>
      <c r="HY50" s="1759">
        <v>0</v>
      </c>
      <c r="HZ50" s="1759">
        <v>0</v>
      </c>
      <c r="IA50" s="1759">
        <v>0</v>
      </c>
      <c r="IB50" s="1759">
        <v>0</v>
      </c>
      <c r="IC50" s="1759">
        <v>0</v>
      </c>
      <c r="ID50" s="1759">
        <v>0</v>
      </c>
      <c r="IE50" s="1759">
        <v>0</v>
      </c>
      <c r="IF50" s="1759">
        <v>0</v>
      </c>
      <c r="IG50" s="1759">
        <v>0</v>
      </c>
      <c r="IH50" s="1759">
        <v>0</v>
      </c>
      <c r="II50" s="1759">
        <v>0</v>
      </c>
      <c r="IJ50" s="1759">
        <v>0</v>
      </c>
      <c r="IK50" s="1759">
        <v>0</v>
      </c>
      <c r="IL50" s="1759">
        <v>0</v>
      </c>
      <c r="IM50" s="1759">
        <v>0</v>
      </c>
      <c r="IN50" s="1759">
        <v>0</v>
      </c>
      <c r="IO50" s="1759">
        <v>0</v>
      </c>
      <c r="IP50" s="1759">
        <v>0</v>
      </c>
      <c r="IQ50" s="1759">
        <v>0</v>
      </c>
      <c r="IR50" s="1759">
        <v>0</v>
      </c>
      <c r="IS50" s="1759">
        <v>0</v>
      </c>
      <c r="IT50" s="1759">
        <v>0</v>
      </c>
      <c r="IU50" s="1759">
        <v>0</v>
      </c>
      <c r="IV50" s="1759">
        <v>0</v>
      </c>
      <c r="IW50" s="1759">
        <v>0</v>
      </c>
      <c r="IX50" s="1759">
        <v>0</v>
      </c>
      <c r="IY50" s="1759">
        <v>0</v>
      </c>
      <c r="IZ50" s="1759">
        <v>0</v>
      </c>
      <c r="JA50" s="1759">
        <v>0</v>
      </c>
      <c r="JB50" s="1759">
        <v>0</v>
      </c>
      <c r="JC50" s="1759">
        <v>0</v>
      </c>
      <c r="JD50" s="1759">
        <v>0</v>
      </c>
      <c r="JE50" s="1759">
        <v>0</v>
      </c>
      <c r="JF50" s="1759">
        <v>0</v>
      </c>
      <c r="JG50" s="1759">
        <v>0</v>
      </c>
      <c r="JH50" s="1759">
        <v>0</v>
      </c>
      <c r="JI50" s="1759">
        <v>0</v>
      </c>
      <c r="JJ50" s="1759">
        <v>0</v>
      </c>
      <c r="JK50" s="1759">
        <v>0</v>
      </c>
      <c r="JL50" s="1759">
        <v>0</v>
      </c>
      <c r="JM50" s="1759">
        <v>0</v>
      </c>
      <c r="JN50" s="1759">
        <v>0</v>
      </c>
      <c r="JO50" s="1759">
        <v>0</v>
      </c>
      <c r="JP50" s="1759">
        <v>0</v>
      </c>
      <c r="JQ50" s="1759">
        <v>0</v>
      </c>
      <c r="JR50" s="1759">
        <v>0</v>
      </c>
      <c r="JS50" s="1759">
        <v>0</v>
      </c>
      <c r="JT50" s="1759">
        <v>0</v>
      </c>
      <c r="JU50" s="1759">
        <v>0</v>
      </c>
      <c r="JV50" s="1759">
        <v>0</v>
      </c>
      <c r="JW50" s="1759">
        <v>0</v>
      </c>
      <c r="JX50" s="1759">
        <v>0</v>
      </c>
      <c r="JY50" s="1759">
        <v>0</v>
      </c>
      <c r="JZ50" s="1759">
        <v>0</v>
      </c>
      <c r="KA50" s="1759">
        <v>0</v>
      </c>
      <c r="KB50" s="1759">
        <v>0</v>
      </c>
      <c r="KC50" s="1759">
        <v>0</v>
      </c>
      <c r="KD50" s="1759">
        <v>0</v>
      </c>
      <c r="KE50" s="1759">
        <v>0</v>
      </c>
      <c r="KF50" s="1759">
        <v>0</v>
      </c>
      <c r="KG50" s="1759">
        <v>0</v>
      </c>
      <c r="KH50" s="1759">
        <v>0</v>
      </c>
      <c r="KI50" s="1759">
        <v>0</v>
      </c>
      <c r="KJ50" s="1759">
        <v>0</v>
      </c>
      <c r="KK50" s="1759">
        <v>0</v>
      </c>
      <c r="KL50" s="1759">
        <v>0</v>
      </c>
      <c r="KM50" s="1759">
        <v>0</v>
      </c>
      <c r="KN50" s="1759">
        <v>0</v>
      </c>
      <c r="KO50" s="1759">
        <v>0</v>
      </c>
      <c r="KP50" s="1759">
        <v>0</v>
      </c>
      <c r="KQ50" s="904">
        <f>+IFERROR(VLOOKUP(KQ$27&amp;"-"&amp;$M50&amp;"_new",Ammortamento_Finanziario!$H:$L,5,FALSE),VLOOKUP($M50,TT_Tabelle_Riferimento!$D$127:$H$164,5,FALSE))</f>
        <v>20</v>
      </c>
      <c r="KR50" s="904">
        <f>+IFERROR(VLOOKUP(KR$27&amp;"-"&amp;$M50&amp;"_new",Ammortamento_Finanziario!$H:$L,5,FALSE),VLOOKUP($M50,TT_Tabelle_Riferimento!$D$127:$H$164,5,FALSE))</f>
        <v>20</v>
      </c>
      <c r="KS50" s="1762">
        <f>+IFERROR(VLOOKUP(KS$27&amp;"-"&amp;$M50&amp;"_new",Ammortamento_Finanziario!$H:$L,5,FALSE),VLOOKUP($M50,TT_Tabelle_Riferimento!$D$127:$H$164,5,FALSE))</f>
        <v>20</v>
      </c>
      <c r="KT50" s="1762">
        <f>+IFERROR(VLOOKUP(KT$27&amp;"-"&amp;$M50&amp;"_new",Ammortamento_Finanziario!$H:$L,5,FALSE),VLOOKUP($M50,TT_Tabelle_Riferimento!$D$127:$H$164,5,FALSE))</f>
        <v>20</v>
      </c>
      <c r="KU50" s="1762">
        <f>+IFERROR(VLOOKUP(KU$27&amp;"-"&amp;$M50&amp;"_new",Ammortamento_Finanziario!$H:$L,5,FALSE),VLOOKUP($M50,TT_Tabelle_Riferimento!$D$127:$H$164,5,FALSE))</f>
        <v>20</v>
      </c>
      <c r="KV50" s="1762">
        <f>+IFERROR(VLOOKUP(KV$27&amp;"-"&amp;$M50&amp;"_new",Ammortamento_Finanziario!$H:$L,5,FALSE),VLOOKUP($M50,TT_Tabelle_Riferimento!$D$127:$H$164,5,FALSE))</f>
        <v>20</v>
      </c>
      <c r="KW50" s="1762">
        <f>+IFERROR(VLOOKUP(KW$27&amp;"-"&amp;$M50&amp;"_new",Ammortamento_Finanziario!$H:$L,5,FALSE),VLOOKUP($M50,TT_Tabelle_Riferimento!$D$127:$H$164,5,FALSE))</f>
        <v>20</v>
      </c>
      <c r="KX50" s="1762">
        <f>+IFERROR(VLOOKUP(KX$27&amp;"-"&amp;$M50&amp;"_new",Ammortamento_Finanziario!$H:$L,5,FALSE),VLOOKUP($M50,TT_Tabelle_Riferimento!$D$127:$H$164,5,FALSE))</f>
        <v>20</v>
      </c>
      <c r="KY50" s="904">
        <f>+IFERROR(VLOOKUP(KY$27&amp;"-"&amp;$M50&amp;"_new",Ammortamento_Finanziario!$H:$L,5,FALSE),VLOOKUP($M50,TT_Tabelle_Riferimento!$D$127:$H$164,5,FALSE))</f>
        <v>20</v>
      </c>
      <c r="KZ50" s="904">
        <f>+IFERROR(VLOOKUP(KZ$27&amp;"-"&amp;$M50&amp;"_new",Ammortamento_Finanziario!$H:$L,5,FALSE),VLOOKUP($M50,TT_Tabelle_Riferimento!$D$127:$H$164,5,FALSE))</f>
        <v>20</v>
      </c>
      <c r="LA50" s="904">
        <f>+IFERROR(VLOOKUP(LA$27&amp;"-"&amp;$M50&amp;"_new",Ammortamento_Finanziario!$H:$L,5,FALSE),VLOOKUP($M50,TT_Tabelle_Riferimento!$D$127:$H$164,5,FALSE))</f>
        <v>20</v>
      </c>
      <c r="LB50" s="904">
        <f>+IFERROR(VLOOKUP(LB$27&amp;"-"&amp;$M50&amp;"_new",Ammortamento_Finanziario!$H:$L,5,FALSE),VLOOKUP($M50,TT_Tabelle_Riferimento!$D$127:$H$164,5,FALSE))</f>
        <v>20</v>
      </c>
      <c r="LC50" s="904">
        <f>+IFERROR(VLOOKUP(LC$27&amp;"-"&amp;$M50&amp;"_new",Ammortamento_Finanziario!$H:$L,5,FALSE),VLOOKUP($M50,TT_Tabelle_Riferimento!$D$127:$H$164,5,FALSE))</f>
        <v>20</v>
      </c>
      <c r="LD50" s="904">
        <f>+IFERROR(VLOOKUP(LD$27&amp;"-"&amp;$M50&amp;"_new",Ammortamento_Finanziario!$H:$L,5,FALSE),VLOOKUP($M50,TT_Tabelle_Riferimento!$D$127:$H$164,5,FALSE))</f>
        <v>20</v>
      </c>
      <c r="LE50" s="904">
        <f>+IFERROR(VLOOKUP(LE$27&amp;"-"&amp;$M50&amp;"_new",Ammortamento_Finanziario!$H:$L,5,FALSE),VLOOKUP($M50,TT_Tabelle_Riferimento!$D$127:$H$164,5,FALSE))</f>
        <v>20</v>
      </c>
      <c r="LF50" s="904">
        <f>+IFERROR(VLOOKUP(LF$27&amp;"-"&amp;$M50&amp;"_new",Ammortamento_Finanziario!$H:$L,5,FALSE),VLOOKUP($M50,TT_Tabelle_Riferimento!$D$127:$H$164,5,FALSE))</f>
        <v>20</v>
      </c>
      <c r="LG50" s="904">
        <f>+IFERROR(VLOOKUP(LG$27&amp;"-"&amp;$M50&amp;"_new",Ammortamento_Finanziario!$H:$L,5,FALSE),VLOOKUP($M50,TT_Tabelle_Riferimento!$D$127:$H$164,5,FALSE))</f>
        <v>20</v>
      </c>
      <c r="LH50" s="904">
        <f>+IFERROR(VLOOKUP(LH$27&amp;"-"&amp;$M50&amp;"_new",Ammortamento_Finanziario!$H:$L,5,FALSE),VLOOKUP($M50,TT_Tabelle_Riferimento!$D$127:$H$164,5,FALSE))</f>
        <v>20</v>
      </c>
      <c r="LI50" s="904">
        <f>+IFERROR(VLOOKUP(LI$27&amp;"-"&amp;$M50&amp;"_new",Ammortamento_Finanziario!$H:$L,5,FALSE),VLOOKUP($M50,TT_Tabelle_Riferimento!$D$127:$H$164,5,FALSE))</f>
        <v>20</v>
      </c>
      <c r="LJ50" s="904">
        <f>+IFERROR(VLOOKUP(LJ$27&amp;"-"&amp;$M50&amp;"_new",Ammortamento_Finanziario!$H:$L,5,FALSE),VLOOKUP($M50,TT_Tabelle_Riferimento!$D$127:$H$164,5,FALSE))</f>
        <v>20</v>
      </c>
      <c r="LK50" s="904">
        <f>+IFERROR(VLOOKUP(LK$27&amp;"-"&amp;$M50&amp;"_new",Ammortamento_Finanziario!$H:$L,5,FALSE),VLOOKUP($M50,TT_Tabelle_Riferimento!$D$127:$H$164,5,FALSE))</f>
        <v>20</v>
      </c>
      <c r="LL50" s="904">
        <f>+IFERROR(VLOOKUP(LL$27&amp;"-"&amp;$M50&amp;"_new",Ammortamento_Finanziario!$H:$L,5,FALSE),VLOOKUP($M50,TT_Tabelle_Riferimento!$D$127:$H$164,5,FALSE))</f>
        <v>20</v>
      </c>
      <c r="LM50" s="904">
        <f>+IFERROR(VLOOKUP(LM$27&amp;"-"&amp;$M50&amp;"_new",Ammortamento_Finanziario!$H:$L,5,FALSE),VLOOKUP($M50,TT_Tabelle_Riferimento!$D$127:$H$164,5,FALSE))</f>
        <v>20</v>
      </c>
      <c r="LN50" s="904">
        <f>+IFERROR(VLOOKUP(LN$27&amp;"-"&amp;$M50&amp;"_new",Ammortamento_Finanziario!$H:$L,5,FALSE),VLOOKUP($M50,TT_Tabelle_Riferimento!$D$127:$H$164,5,FALSE))</f>
        <v>20</v>
      </c>
      <c r="LO50" s="904">
        <f>+IFERROR(VLOOKUP(LO$27&amp;"-"&amp;$M50&amp;"_new",Ammortamento_Finanziario!$H:$L,5,FALSE),VLOOKUP($M50,TT_Tabelle_Riferimento!$D$127:$H$164,5,FALSE))</f>
        <v>20</v>
      </c>
      <c r="LP50" s="904">
        <f>+IFERROR(VLOOKUP(LP$27&amp;"-"&amp;$M50&amp;"_new",Ammortamento_Finanziario!$H:$L,5,FALSE),VLOOKUP($M50,TT_Tabelle_Riferimento!$D$127:$H$164,5,FALSE))</f>
        <v>20</v>
      </c>
      <c r="LQ50" s="904">
        <f>+IFERROR(VLOOKUP(LQ$27&amp;"-"&amp;$M50&amp;"_new",Ammortamento_Finanziario!$H:$L,5,FALSE),VLOOKUP($M50,TT_Tabelle_Riferimento!$D$127:$H$164,5,FALSE))</f>
        <v>20</v>
      </c>
      <c r="LR50" s="904">
        <f>+IFERROR(VLOOKUP(LR$27&amp;"-"&amp;$M50&amp;"_new",Ammortamento_Finanziario!$H:$L,5,FALSE),VLOOKUP($M50,TT_Tabelle_Riferimento!$D$127:$H$164,5,FALSE))</f>
        <v>20</v>
      </c>
      <c r="LS50" s="1762">
        <f>+IFERROR(VLOOKUP(LS$27&amp;"-"&amp;$M50&amp;"_new",Ammortamento_Finanziario!$H:$L,5,FALSE),VLOOKUP($M50,TT_Tabelle_Riferimento!$D$127:$H$164,5,FALSE))</f>
        <v>20</v>
      </c>
      <c r="LT50" s="1762">
        <f>+IFERROR(VLOOKUP(LT$27&amp;"-"&amp;$M50&amp;"_new",Ammortamento_Finanziario!$H:$L,5,FALSE),VLOOKUP($M50,TT_Tabelle_Riferimento!$D$127:$H$164,5,FALSE))</f>
        <v>20</v>
      </c>
      <c r="LU50" s="1762">
        <f>+IFERROR(VLOOKUP(LU$27&amp;"-"&amp;$M50&amp;"_new",Ammortamento_Finanziario!$H:$L,5,FALSE),VLOOKUP($M50,TT_Tabelle_Riferimento!$D$127:$H$164,5,FALSE))</f>
        <v>20</v>
      </c>
      <c r="LV50" s="1762">
        <f>+IFERROR(VLOOKUP(LV$27&amp;"-"&amp;$M50&amp;"_new",Ammortamento_Finanziario!$H:$L,5,FALSE),VLOOKUP($M50,TT_Tabelle_Riferimento!$D$127:$H$164,5,FALSE))</f>
        <v>20</v>
      </c>
      <c r="LW50" s="1762">
        <f>+IFERROR(VLOOKUP(LW$27&amp;"-"&amp;$M50&amp;"_new",Ammortamento_Finanziario!$H:$L,5,FALSE),VLOOKUP($M50,TT_Tabelle_Riferimento!$D$127:$H$164,5,FALSE))</f>
        <v>20</v>
      </c>
      <c r="LX50" s="1762">
        <f>+IFERROR(VLOOKUP(LX$27&amp;"-"&amp;$M50&amp;"_new",Ammortamento_Finanziario!$H:$L,5,FALSE),VLOOKUP($M50,TT_Tabelle_Riferimento!$D$127:$H$164,5,FALSE))</f>
        <v>20</v>
      </c>
      <c r="LY50" s="904">
        <f>+IFERROR(VLOOKUP(LY$27&amp;"-"&amp;$M50&amp;"_new",Ammortamento_Finanziario!$H:$L,5,FALSE),VLOOKUP($M50,TT_Tabelle_Riferimento!$D$127:$H$164,5,FALSE))</f>
        <v>20</v>
      </c>
      <c r="LZ50" s="904">
        <f>+IFERROR(VLOOKUP(LZ$27&amp;"-"&amp;$M50&amp;"_new",Ammortamento_Finanziario!$H:$L,5,FALSE),VLOOKUP($M50,TT_Tabelle_Riferimento!$D$127:$H$164,5,FALSE))</f>
        <v>20</v>
      </c>
      <c r="MA50" s="904">
        <f>+IFERROR(VLOOKUP(MA$27&amp;"-"&amp;$M50&amp;"_new",Ammortamento_Finanziario!$H:$L,5,FALSE),VLOOKUP($M50,TT_Tabelle_Riferimento!$D$127:$H$164,5,FALSE))</f>
        <v>20</v>
      </c>
      <c r="MB50" s="904">
        <f>+IFERROR(VLOOKUP(MB$27&amp;"-"&amp;$M50&amp;"_new",Ammortamento_Finanziario!$H:$L,5,FALSE),VLOOKUP($M50,TT_Tabelle_Riferimento!$D$127:$H$164,5,FALSE))</f>
        <v>20</v>
      </c>
      <c r="MC50" s="904">
        <f>+IFERROR(VLOOKUP(MC$27&amp;"-"&amp;$M50&amp;"_new",Ammortamento_Finanziario!$H:$L,5,FALSE),VLOOKUP($M50,TT_Tabelle_Riferimento!$D$127:$H$164,5,FALSE))</f>
        <v>20</v>
      </c>
      <c r="MD50" s="904">
        <f>+IFERROR(VLOOKUP(MD$27&amp;"-"&amp;$M50&amp;"_new",Ammortamento_Finanziario!$H:$L,5,FALSE),VLOOKUP($M50,TT_Tabelle_Riferimento!$D$127:$H$164,5,FALSE))</f>
        <v>20</v>
      </c>
      <c r="ME50" s="904">
        <f>+IFERROR(VLOOKUP(ME$27&amp;"-"&amp;$M50&amp;"_new",Ammortamento_Finanziario!$H:$L,5,FALSE),VLOOKUP($M50,TT_Tabelle_Riferimento!$D$127:$H$164,5,FALSE))</f>
        <v>20</v>
      </c>
      <c r="MF50" s="904">
        <f>+IFERROR(VLOOKUP(MF$27&amp;"-"&amp;$M50&amp;"_new",Ammortamento_Finanziario!$H:$L,5,FALSE),VLOOKUP($M50,TT_Tabelle_Riferimento!$D$127:$H$164,5,FALSE))</f>
        <v>20</v>
      </c>
      <c r="MG50" s="904">
        <f>+IFERROR(VLOOKUP(MG$27&amp;"-"&amp;$M50&amp;"_new",Ammortamento_Finanziario!$H:$L,5,FALSE),VLOOKUP($M50,TT_Tabelle_Riferimento!$D$127:$H$164,5,FALSE))</f>
        <v>20</v>
      </c>
      <c r="MH50" s="904">
        <f>+IFERROR(VLOOKUP(MH$27&amp;"-"&amp;$M50&amp;"_new",Ammortamento_Finanziario!$H:$L,5,FALSE),VLOOKUP($M50,TT_Tabelle_Riferimento!$D$127:$H$164,5,FALSE))</f>
        <v>20</v>
      </c>
      <c r="MI50" s="904">
        <f>+IFERROR(VLOOKUP(MI$27&amp;"-"&amp;$M50&amp;"_new",Ammortamento_Finanziario!$H:$L,5,FALSE),VLOOKUP($M50,TT_Tabelle_Riferimento!$D$127:$H$164,5,FALSE))</f>
        <v>20</v>
      </c>
      <c r="MJ50" s="904">
        <f>+IFERROR(VLOOKUP(MJ$27&amp;"-"&amp;$M50&amp;"_new",Ammortamento_Finanziario!$H:$L,5,FALSE),VLOOKUP($M50,TT_Tabelle_Riferimento!$D$127:$H$164,5,FALSE))</f>
        <v>20</v>
      </c>
      <c r="MK50" s="904">
        <f>+IFERROR(VLOOKUP(MK$27&amp;"-"&amp;$M50&amp;"_new",Ammortamento_Finanziario!$H:$L,5,FALSE),VLOOKUP($M50,TT_Tabelle_Riferimento!$D$127:$H$164,5,FALSE))</f>
        <v>20</v>
      </c>
      <c r="ML50" s="904">
        <f>+IFERROR(VLOOKUP(ML$27&amp;"-"&amp;$M50&amp;"_new",Ammortamento_Finanziario!$H:$L,5,FALSE),VLOOKUP($M50,TT_Tabelle_Riferimento!$D$127:$H$164,5,FALSE))</f>
        <v>20</v>
      </c>
      <c r="MM50" s="904">
        <f>+IFERROR(VLOOKUP(MM$27&amp;"-"&amp;$M50&amp;"_new",Ammortamento_Finanziario!$H:$L,5,FALSE),VLOOKUP($M50,TT_Tabelle_Riferimento!$D$127:$H$164,5,FALSE))</f>
        <v>20</v>
      </c>
      <c r="MN50" s="904">
        <f>+IFERROR(VLOOKUP(MN$27&amp;"-"&amp;$M50&amp;"_new",Ammortamento_Finanziario!$H:$L,5,FALSE),VLOOKUP($M50,TT_Tabelle_Riferimento!$D$127:$H$164,5,FALSE))</f>
        <v>20</v>
      </c>
      <c r="MO50" s="904">
        <f>+IFERROR(VLOOKUP(MO$27&amp;"-"&amp;$M50&amp;"_new",Ammortamento_Finanziario!$H:$L,5,FALSE),VLOOKUP($M50,TT_Tabelle_Riferimento!$D$127:$H$164,5,FALSE))</f>
        <v>20</v>
      </c>
      <c r="MP50" s="904">
        <f>+IFERROR(VLOOKUP(MP$27&amp;"-"&amp;$M50&amp;"_new",Ammortamento_Finanziario!$H:$L,5,FALSE),VLOOKUP($M50,TT_Tabelle_Riferimento!$D$127:$H$164,5,FALSE))</f>
        <v>20</v>
      </c>
      <c r="MQ50" s="904">
        <f>+IFERROR(VLOOKUP(MQ$27&amp;"-"&amp;$M50&amp;"_new",Ammortamento_Finanziario!$H:$L,5,FALSE),VLOOKUP($M50,TT_Tabelle_Riferimento!$D$127:$H$164,5,FALSE))</f>
        <v>20</v>
      </c>
      <c r="MR50" s="1762">
        <f>+IFERROR(VLOOKUP(MR$27&amp;"-"&amp;$M50&amp;"_new",Ammortamento_Finanziario!$H:$L,5,FALSE),VLOOKUP($M50,TT_Tabelle_Riferimento!$D$127:$H$164,5,FALSE))</f>
        <v>20</v>
      </c>
      <c r="MS50" s="1762">
        <f>+IFERROR(VLOOKUP(MS$27&amp;"-"&amp;$M50&amp;"_new",Ammortamento_Finanziario!$H:$L,5,FALSE),VLOOKUP($M50,TT_Tabelle_Riferimento!$D$127:$H$164,5,FALSE))</f>
        <v>20</v>
      </c>
      <c r="MT50" s="1762">
        <f>+IFERROR(VLOOKUP(MT$27&amp;"-"&amp;$M50&amp;"_new",Ammortamento_Finanziario!$H:$L,5,FALSE),VLOOKUP($M50,TT_Tabelle_Riferimento!$D$127:$H$164,5,FALSE))</f>
        <v>20</v>
      </c>
      <c r="MU50" s="1762">
        <f>+IFERROR(VLOOKUP(MU$27&amp;"-"&amp;$M50&amp;"_new",Ammortamento_Finanziario!$H:$L,5,FALSE),VLOOKUP($M50,TT_Tabelle_Riferimento!$D$127:$H$164,5,FALSE))</f>
        <v>20</v>
      </c>
      <c r="MV50" s="1762">
        <f>+IFERROR(VLOOKUP(MV$27&amp;"-"&amp;$M50&amp;"_new",Ammortamento_Finanziario!$H:$L,5,FALSE),VLOOKUP($M50,TT_Tabelle_Riferimento!$D$127:$H$164,5,FALSE))</f>
        <v>20</v>
      </c>
      <c r="MW50" s="1762">
        <f>+IFERROR(VLOOKUP(MW$27&amp;"-"&amp;$M50&amp;"_new",Ammortamento_Finanziario!$H:$L,5,FALSE),VLOOKUP($M50,TT_Tabelle_Riferimento!$D$127:$H$164,5,FALSE))</f>
        <v>20</v>
      </c>
      <c r="MX50" s="904">
        <f>+IFERROR(VLOOKUP(MX$27&amp;"-"&amp;$M50&amp;"_new",Ammortamento_Finanziario!$H:$L,5,FALSE),VLOOKUP($M50,TT_Tabelle_Riferimento!$D$127:$H$164,5,FALSE))</f>
        <v>20</v>
      </c>
      <c r="MY50" s="904">
        <f>+IFERROR(VLOOKUP(MY$27&amp;"-"&amp;$M50&amp;"_new",Ammortamento_Finanziario!$H:$L,5,FALSE),VLOOKUP($M50,TT_Tabelle_Riferimento!$D$127:$H$164,5,FALSE))</f>
        <v>20</v>
      </c>
      <c r="MZ50" s="904">
        <f>+IFERROR(VLOOKUP(MZ$27&amp;"-"&amp;$M50&amp;"_new",Ammortamento_Finanziario!$H:$L,5,FALSE),VLOOKUP($M50,TT_Tabelle_Riferimento!$D$127:$H$164,5,FALSE))</f>
        <v>20</v>
      </c>
      <c r="NA50" s="904">
        <f>+IFERROR(VLOOKUP(NA$27&amp;"-"&amp;$M50&amp;"_new",Ammortamento_Finanziario!$H:$L,5,FALSE),VLOOKUP($M50,TT_Tabelle_Riferimento!$D$127:$H$164,5,FALSE))</f>
        <v>20</v>
      </c>
      <c r="NB50" s="904">
        <f>+IFERROR(VLOOKUP(NB$27&amp;"-"&amp;$M50&amp;"_new",Ammortamento_Finanziario!$H:$L,5,FALSE),VLOOKUP($M50,TT_Tabelle_Riferimento!$D$127:$H$164,5,FALSE))</f>
        <v>20</v>
      </c>
      <c r="NC50" s="904">
        <f>+IFERROR(VLOOKUP(NC$27&amp;"-"&amp;$M50&amp;"_new",Ammortamento_Finanziario!$H:$L,5,FALSE),VLOOKUP($M50,TT_Tabelle_Riferimento!$D$127:$H$164,5,FALSE))</f>
        <v>20</v>
      </c>
      <c r="ND50" s="904">
        <f>+IFERROR(VLOOKUP(ND$27&amp;"-"&amp;$M50&amp;"_new",Ammortamento_Finanziario!$H:$L,5,FALSE),VLOOKUP($M50,TT_Tabelle_Riferimento!$D$127:$H$164,5,FALSE))</f>
        <v>20</v>
      </c>
      <c r="NE50" s="904">
        <f>+IFERROR(VLOOKUP(NE$27&amp;"-"&amp;$M50&amp;"_new",Ammortamento_Finanziario!$H:$L,5,FALSE),VLOOKUP($M50,TT_Tabelle_Riferimento!$D$127:$H$164,5,FALSE))</f>
        <v>20</v>
      </c>
      <c r="NF50" s="904">
        <f>+IFERROR(VLOOKUP(NF$27&amp;"-"&amp;$M50&amp;"_new",Ammortamento_Finanziario!$H:$L,5,FALSE),VLOOKUP($M50,TT_Tabelle_Riferimento!$D$127:$H$164,5,FALSE))</f>
        <v>20</v>
      </c>
      <c r="NG50" s="904">
        <f>+IFERROR(VLOOKUP(NG$27&amp;"-"&amp;$M50&amp;"_new",Ammortamento_Finanziario!$H:$L,5,FALSE),VLOOKUP($M50,TT_Tabelle_Riferimento!$D$127:$H$164,5,FALSE))</f>
        <v>20</v>
      </c>
      <c r="NH50" s="904">
        <f>+IFERROR(VLOOKUP(NH$27&amp;"-"&amp;$M50&amp;"_new",Ammortamento_Finanziario!$H:$L,5,FALSE),VLOOKUP($M50,TT_Tabelle_Riferimento!$D$127:$H$164,5,FALSE))</f>
        <v>20</v>
      </c>
      <c r="NI50" s="904">
        <f>+IFERROR(VLOOKUP(NI$27&amp;"-"&amp;$M50&amp;"_new",Ammortamento_Finanziario!$H:$L,5,FALSE),VLOOKUP($M50,TT_Tabelle_Riferimento!$D$127:$H$164,5,FALSE))</f>
        <v>20</v>
      </c>
      <c r="NJ50" s="904">
        <f>+IFERROR(VLOOKUP(NJ$27&amp;"-"&amp;$M50&amp;"_new",Ammortamento_Finanziario!$H:$L,5,FALSE),VLOOKUP($M50,TT_Tabelle_Riferimento!$D$127:$H$164,5,FALSE))</f>
        <v>20</v>
      </c>
      <c r="NK50" s="904">
        <f>+IFERROR(VLOOKUP(NK$27&amp;"-"&amp;$M50&amp;"_new",Ammortamento_Finanziario!$H:$L,5,FALSE),VLOOKUP($M50,TT_Tabelle_Riferimento!$D$127:$H$164,5,FALSE))</f>
        <v>20</v>
      </c>
      <c r="NL50" s="904">
        <f>+IFERROR(VLOOKUP(NL$27&amp;"-"&amp;$M50&amp;"_new",Ammortamento_Finanziario!$H:$L,5,FALSE),VLOOKUP($M50,TT_Tabelle_Riferimento!$D$127:$H$164,5,FALSE))</f>
        <v>20</v>
      </c>
      <c r="NM50" s="904">
        <f>+IFERROR(VLOOKUP(NM$27&amp;"-"&amp;$M50&amp;"_new",Ammortamento_Finanziario!$H:$L,5,FALSE),VLOOKUP($M50,TT_Tabelle_Riferimento!$D$127:$H$164,5,FALSE))</f>
        <v>20</v>
      </c>
      <c r="NN50" s="904">
        <f>+IFERROR(VLOOKUP(NN$27&amp;"-"&amp;$M50&amp;"_new",Ammortamento_Finanziario!$H:$L,5,FALSE),VLOOKUP($M50,TT_Tabelle_Riferimento!$D$127:$H$164,5,FALSE))</f>
        <v>20</v>
      </c>
      <c r="NO50" s="904">
        <f>+IFERROR(VLOOKUP(NO$27&amp;"-"&amp;$M50&amp;"_new",Ammortamento_Finanziario!$H:$L,5,FALSE),VLOOKUP($M50,TT_Tabelle_Riferimento!$D$127:$H$164,5,FALSE))</f>
        <v>20</v>
      </c>
      <c r="NP50" s="904">
        <f>+IFERROR(VLOOKUP(NP$27&amp;"-"&amp;$M50&amp;"_new",Ammortamento_Finanziario!$H:$L,5,FALSE),VLOOKUP($M50,TT_Tabelle_Riferimento!$D$127:$H$164,5,FALSE))</f>
        <v>20</v>
      </c>
      <c r="NQ50" s="1762">
        <f>+IFERROR(VLOOKUP(NQ$27&amp;"-"&amp;$M50&amp;"_new",Ammortamento_Finanziario!$H:$L,5,FALSE),VLOOKUP($M50,TT_Tabelle_Riferimento!$D$127:$H$164,5,FALSE))</f>
        <v>20</v>
      </c>
      <c r="NR50" s="1762">
        <f>+IFERROR(VLOOKUP(NR$27&amp;"-"&amp;$M50&amp;"_new",Ammortamento_Finanziario!$H:$L,5,FALSE),VLOOKUP($M50,TT_Tabelle_Riferimento!$D$127:$H$164,5,FALSE))</f>
        <v>20</v>
      </c>
      <c r="NS50" s="1762">
        <f>+IFERROR(VLOOKUP(NS$27&amp;"-"&amp;$M50&amp;"_new",Ammortamento_Finanziario!$H:$L,5,FALSE),VLOOKUP($M50,TT_Tabelle_Riferimento!$D$127:$H$164,5,FALSE))</f>
        <v>20</v>
      </c>
      <c r="NT50" s="1762">
        <f>+IFERROR(VLOOKUP(NT$27&amp;"-"&amp;$M50&amp;"_new",Ammortamento_Finanziario!$H:$L,5,FALSE),VLOOKUP($M50,TT_Tabelle_Riferimento!$D$127:$H$164,5,FALSE))</f>
        <v>20</v>
      </c>
      <c r="NU50" s="1762">
        <f>+IFERROR(VLOOKUP(NU$27&amp;"-"&amp;$M50&amp;"_new",Ammortamento_Finanziario!$H:$L,5,FALSE),VLOOKUP($M50,TT_Tabelle_Riferimento!$D$127:$H$164,5,FALSE))</f>
        <v>20</v>
      </c>
      <c r="NV50" s="904">
        <f>+IFERROR(VLOOKUP(NV$27&amp;"-"&amp;$M50&amp;"_new",Ammortamento_Finanziario!$H:$L,5,FALSE),VLOOKUP($M50,TT_Tabelle_Riferimento!$D$127:$H$164,5,FALSE))</f>
        <v>20</v>
      </c>
      <c r="NW50" s="904">
        <f>+IFERROR(VLOOKUP(NW$27&amp;"-"&amp;$M50&amp;"_new",Ammortamento_Finanziario!$H:$L,5,FALSE),VLOOKUP($M50,TT_Tabelle_Riferimento!$D$127:$H$164,5,FALSE))</f>
        <v>20</v>
      </c>
      <c r="NX50" s="904">
        <f>+IFERROR(VLOOKUP(NX$27&amp;"-"&amp;$M50&amp;"_new",Ammortamento_Finanziario!$H:$L,5,FALSE),VLOOKUP($M50,TT_Tabelle_Riferimento!$D$127:$H$164,5,FALSE))</f>
        <v>20</v>
      </c>
      <c r="NY50" s="904">
        <f>+IFERROR(VLOOKUP(NY$27&amp;"-"&amp;$M50&amp;"_new",Ammortamento_Finanziario!$H:$L,5,FALSE),VLOOKUP($M50,TT_Tabelle_Riferimento!$D$127:$H$164,5,FALSE))</f>
        <v>20</v>
      </c>
      <c r="NZ50" s="904">
        <f>+IFERROR(VLOOKUP(NZ$27&amp;"-"&amp;$M50&amp;"_new",Ammortamento_Finanziario!$H:$L,5,FALSE),VLOOKUP($M50,TT_Tabelle_Riferimento!$D$127:$H$164,5,FALSE))</f>
        <v>20</v>
      </c>
      <c r="OA50" s="904">
        <f>+IFERROR(VLOOKUP(OA$27&amp;"-"&amp;$M50&amp;"_new",Ammortamento_Finanziario!$H:$L,5,FALSE),VLOOKUP($M50,TT_Tabelle_Riferimento!$D$127:$H$164,5,FALSE))</f>
        <v>20</v>
      </c>
      <c r="OB50" s="904">
        <f>+IFERROR(VLOOKUP(OB$27&amp;"-"&amp;$M50&amp;"_new",Ammortamento_Finanziario!$H:$L,5,FALSE),VLOOKUP($M50,TT_Tabelle_Riferimento!$D$127:$H$164,5,FALSE))</f>
        <v>20</v>
      </c>
      <c r="OC50" s="904">
        <f>+IFERROR(VLOOKUP(OC$27&amp;"-"&amp;$M50&amp;"_new",Ammortamento_Finanziario!$H:$L,5,FALSE),VLOOKUP($M50,TT_Tabelle_Riferimento!$D$127:$H$164,5,FALSE))</f>
        <v>20</v>
      </c>
      <c r="OD50" s="904">
        <f>+IFERROR(VLOOKUP(OD$27&amp;"-"&amp;$M50&amp;"_new",Ammortamento_Finanziario!$H:$L,5,FALSE),VLOOKUP($M50,TT_Tabelle_Riferimento!$D$127:$H$164,5,FALSE))</f>
        <v>20</v>
      </c>
      <c r="OE50" s="904">
        <f>+IFERROR(VLOOKUP(OE$27&amp;"-"&amp;$M50&amp;"_new",Ammortamento_Finanziario!$H:$L,5,FALSE),VLOOKUP($M50,TT_Tabelle_Riferimento!$D$127:$H$164,5,FALSE))</f>
        <v>20</v>
      </c>
      <c r="OF50" s="904">
        <f>+IFERROR(VLOOKUP(OF$27&amp;"-"&amp;$M50&amp;"_new",Ammortamento_Finanziario!$H:$L,5,FALSE),VLOOKUP($M50,TT_Tabelle_Riferimento!$D$127:$H$164,5,FALSE))</f>
        <v>20</v>
      </c>
      <c r="OG50" s="904">
        <f>+IFERROR(VLOOKUP(OG$27&amp;"-"&amp;$M50&amp;"_new",Ammortamento_Finanziario!$H:$L,5,FALSE),VLOOKUP($M50,TT_Tabelle_Riferimento!$D$127:$H$164,5,FALSE))</f>
        <v>20</v>
      </c>
      <c r="OH50" s="904">
        <f>+IFERROR(VLOOKUP(OH$27&amp;"-"&amp;$M50&amp;"_new",Ammortamento_Finanziario!$H:$L,5,FALSE),VLOOKUP($M50,TT_Tabelle_Riferimento!$D$127:$H$164,5,FALSE))</f>
        <v>20</v>
      </c>
      <c r="OI50" s="904">
        <f>+IFERROR(VLOOKUP(OI$27&amp;"-"&amp;$M50&amp;"_new",Ammortamento_Finanziario!$H:$L,5,FALSE),VLOOKUP($M50,TT_Tabelle_Riferimento!$D$127:$H$164,5,FALSE))</f>
        <v>20</v>
      </c>
      <c r="OJ50" s="904">
        <f>+IFERROR(VLOOKUP(OJ$27&amp;"-"&amp;$M50&amp;"_new",Ammortamento_Finanziario!$H:$L,5,FALSE),VLOOKUP($M50,TT_Tabelle_Riferimento!$D$127:$H$164,5,FALSE))</f>
        <v>20</v>
      </c>
      <c r="OK50" s="904">
        <f>+IFERROR(VLOOKUP(OK$27&amp;"-"&amp;$M50&amp;"_new",Ammortamento_Finanziario!$H:$L,5,FALSE),VLOOKUP($M50,TT_Tabelle_Riferimento!$D$127:$H$164,5,FALSE))</f>
        <v>20</v>
      </c>
      <c r="OL50" s="904">
        <f>+IFERROR(VLOOKUP(OL$27&amp;"-"&amp;$M50&amp;"_new",Ammortamento_Finanziario!$H:$L,5,FALSE),VLOOKUP($M50,TT_Tabelle_Riferimento!$D$127:$H$164,5,FALSE))</f>
        <v>20</v>
      </c>
      <c r="OM50" s="904">
        <f>+IFERROR(VLOOKUP(OM$27&amp;"-"&amp;$M50&amp;"_new",Ammortamento_Finanziario!$H:$L,5,FALSE),VLOOKUP($M50,TT_Tabelle_Riferimento!$D$127:$H$164,5,FALSE))</f>
        <v>20</v>
      </c>
      <c r="ON50" s="904">
        <f>+IFERROR(VLOOKUP(ON$27&amp;"-"&amp;$M50&amp;"_new",Ammortamento_Finanziario!$H:$L,5,FALSE),VLOOKUP($M50,TT_Tabelle_Riferimento!$D$127:$H$164,5,FALSE))</f>
        <v>20</v>
      </c>
      <c r="OO50" s="1762">
        <f>+IFERROR(VLOOKUP(OO$27&amp;"-"&amp;$M50&amp;"_new",Ammortamento_Finanziario!$H:$L,5,FALSE),VLOOKUP($M50,TT_Tabelle_Riferimento!$D$127:$H$164,5,FALSE))</f>
        <v>20</v>
      </c>
      <c r="OP50" s="1762">
        <f>+IFERROR(VLOOKUP(OP$27&amp;"-"&amp;$M50&amp;"_new",Ammortamento_Finanziario!$H:$L,5,FALSE),VLOOKUP($M50,TT_Tabelle_Riferimento!$D$127:$H$164,5,FALSE))</f>
        <v>20</v>
      </c>
      <c r="OQ50" s="1762">
        <f>+IFERROR(VLOOKUP(OQ$27&amp;"-"&amp;$M50&amp;"_new",Ammortamento_Finanziario!$H:$L,5,FALSE),VLOOKUP($M50,TT_Tabelle_Riferimento!$D$127:$H$164,5,FALSE))</f>
        <v>20</v>
      </c>
      <c r="OR50" s="1762">
        <f>+IFERROR(VLOOKUP(OR$27&amp;"-"&amp;$M50&amp;"_new",Ammortamento_Finanziario!$H:$L,5,FALSE),VLOOKUP($M50,TT_Tabelle_Riferimento!$D$127:$H$164,5,FALSE))</f>
        <v>20</v>
      </c>
      <c r="OS50" s="904">
        <f>+IFERROR(VLOOKUP(OS$27&amp;"-"&amp;$M50&amp;"_new",Ammortamento_Finanziario!$H:$L,5,FALSE),VLOOKUP($M50,TT_Tabelle_Riferimento!$D$127:$H$164,5,FALSE))</f>
        <v>20</v>
      </c>
      <c r="OT50" s="904">
        <f>+IFERROR(VLOOKUP(OT$27&amp;"-"&amp;$M50&amp;"_new",Ammortamento_Finanziario!$H:$L,5,FALSE),VLOOKUP($M50,TT_Tabelle_Riferimento!$D$127:$H$164,5,FALSE))</f>
        <v>20</v>
      </c>
      <c r="OU50" s="904">
        <f>+IFERROR(VLOOKUP(OU$27&amp;"-"&amp;$M50&amp;"_new",Ammortamento_Finanziario!$H:$L,5,FALSE),VLOOKUP($M50,TT_Tabelle_Riferimento!$D$127:$H$164,5,FALSE))</f>
        <v>20</v>
      </c>
      <c r="OV50" s="904">
        <f>+IFERROR(VLOOKUP(OV$27&amp;"-"&amp;$M50&amp;"_new",Ammortamento_Finanziario!$H:$L,5,FALSE),VLOOKUP($M50,TT_Tabelle_Riferimento!$D$127:$H$164,5,FALSE))</f>
        <v>20</v>
      </c>
      <c r="OW50" s="904">
        <f>+IFERROR(VLOOKUP(OW$27&amp;"-"&amp;$M50&amp;"_new",Ammortamento_Finanziario!$H:$L,5,FALSE),VLOOKUP($M50,TT_Tabelle_Riferimento!$D$127:$H$164,5,FALSE))</f>
        <v>20</v>
      </c>
      <c r="OX50" s="904">
        <f>+IFERROR(VLOOKUP(OX$27&amp;"-"&amp;$M50&amp;"_new",Ammortamento_Finanziario!$H:$L,5,FALSE),VLOOKUP($M50,TT_Tabelle_Riferimento!$D$127:$H$164,5,FALSE))</f>
        <v>20</v>
      </c>
      <c r="OY50" s="904">
        <f>+IFERROR(VLOOKUP(OY$27&amp;"-"&amp;$M50&amp;"_new",Ammortamento_Finanziario!$H:$L,5,FALSE),VLOOKUP($M50,TT_Tabelle_Riferimento!$D$127:$H$164,5,FALSE))</f>
        <v>20</v>
      </c>
      <c r="OZ50" s="904">
        <f>+IFERROR(VLOOKUP(OZ$27&amp;"-"&amp;$M50&amp;"_new",Ammortamento_Finanziario!$H:$L,5,FALSE),VLOOKUP($M50,TT_Tabelle_Riferimento!$D$127:$H$164,5,FALSE))</f>
        <v>20</v>
      </c>
      <c r="PA50" s="904">
        <f>+IFERROR(VLOOKUP(PA$27&amp;"-"&amp;$M50&amp;"_new",Ammortamento_Finanziario!$H:$L,5,FALSE),VLOOKUP($M50,TT_Tabelle_Riferimento!$D$127:$H$164,5,FALSE))</f>
        <v>20</v>
      </c>
      <c r="PB50" s="904">
        <f>+IFERROR(VLOOKUP(PB$27&amp;"-"&amp;$M50&amp;"_new",Ammortamento_Finanziario!$H:$L,5,FALSE),VLOOKUP($M50,TT_Tabelle_Riferimento!$D$127:$H$164,5,FALSE))</f>
        <v>20</v>
      </c>
      <c r="PC50" s="904">
        <f>+IFERROR(VLOOKUP(PC$27&amp;"-"&amp;$M50&amp;"_new",Ammortamento_Finanziario!$H:$L,5,FALSE),VLOOKUP($M50,TT_Tabelle_Riferimento!$D$127:$H$164,5,FALSE))</f>
        <v>20</v>
      </c>
      <c r="PD50" s="904">
        <f>+IFERROR(VLOOKUP(PD$27&amp;"-"&amp;$M50&amp;"_new",Ammortamento_Finanziario!$H:$L,5,FALSE),VLOOKUP($M50,TT_Tabelle_Riferimento!$D$127:$H$164,5,FALSE))</f>
        <v>20</v>
      </c>
      <c r="PE50" s="904">
        <f>+IFERROR(VLOOKUP(PE$27&amp;"-"&amp;$M50&amp;"_new",Ammortamento_Finanziario!$H:$L,5,FALSE),VLOOKUP($M50,TT_Tabelle_Riferimento!$D$127:$H$164,5,FALSE))</f>
        <v>20</v>
      </c>
      <c r="PF50" s="904">
        <f>+IFERROR(VLOOKUP(PF$27&amp;"-"&amp;$M50&amp;"_new",Ammortamento_Finanziario!$H:$L,5,FALSE),VLOOKUP($M50,TT_Tabelle_Riferimento!$D$127:$H$164,5,FALSE))</f>
        <v>20</v>
      </c>
      <c r="PG50" s="904">
        <f>+IFERROR(VLOOKUP(PG$27&amp;"-"&amp;$M50&amp;"_new",Ammortamento_Finanziario!$H:$L,5,FALSE),VLOOKUP($M50,TT_Tabelle_Riferimento!$D$127:$H$164,5,FALSE))</f>
        <v>20</v>
      </c>
      <c r="PH50" s="904">
        <f>+IFERROR(VLOOKUP(PH$27&amp;"-"&amp;$M50&amp;"_new",Ammortamento_Finanziario!$H:$L,5,FALSE),VLOOKUP($M50,TT_Tabelle_Riferimento!$D$127:$H$164,5,FALSE))</f>
        <v>20</v>
      </c>
      <c r="PI50" s="904">
        <f>+IFERROR(VLOOKUP(PI$27&amp;"-"&amp;$M50&amp;"_new",Ammortamento_Finanziario!$H:$L,5,FALSE),VLOOKUP($M50,TT_Tabelle_Riferimento!$D$127:$H$164,5,FALSE))</f>
        <v>20</v>
      </c>
      <c r="PJ50" s="904">
        <f>+IFERROR(VLOOKUP(PJ$27&amp;"-"&amp;$M50&amp;"_new",Ammortamento_Finanziario!$H:$L,5,FALSE),VLOOKUP($M50,TT_Tabelle_Riferimento!$D$127:$H$164,5,FALSE))</f>
        <v>20</v>
      </c>
      <c r="PK50" s="904">
        <f>+IFERROR(VLOOKUP(PK$27&amp;"-"&amp;$M50&amp;"_new",Ammortamento_Finanziario!$H:$L,5,FALSE),VLOOKUP($M50,TT_Tabelle_Riferimento!$D$127:$H$164,5,FALSE))</f>
        <v>20</v>
      </c>
      <c r="PL50" s="1762">
        <f>+IFERROR(VLOOKUP(PL$27&amp;"-"&amp;$M50&amp;"_new",Ammortamento_Finanziario!$H:$L,5,FALSE),VLOOKUP($M50,TT_Tabelle_Riferimento!$D$127:$H$164,5,FALSE))</f>
        <v>20</v>
      </c>
      <c r="PM50" s="1762">
        <f>+IFERROR(VLOOKUP(PM$27&amp;"-"&amp;$M50&amp;"_new",Ammortamento_Finanziario!$H:$L,5,FALSE),VLOOKUP($M50,TT_Tabelle_Riferimento!$D$127:$H$164,5,FALSE))</f>
        <v>20</v>
      </c>
      <c r="PN50" s="1762">
        <f>+IFERROR(VLOOKUP(PN$27&amp;"-"&amp;$M50&amp;"_new",Ammortamento_Finanziario!$H:$L,5,FALSE),VLOOKUP($M50,TT_Tabelle_Riferimento!$D$127:$H$164,5,FALSE))</f>
        <v>20</v>
      </c>
      <c r="PO50" s="904">
        <f>+IFERROR(VLOOKUP(PO$27&amp;"-"&amp;$M50&amp;"_new",Ammortamento_Finanziario!$H:$L,5,FALSE),VLOOKUP($M50,TT_Tabelle_Riferimento!$D$127:$H$164,5,FALSE))</f>
        <v>20</v>
      </c>
      <c r="PP50" s="904">
        <f>+IFERROR(VLOOKUP(PP$27&amp;"-"&amp;$M50&amp;"_new",Ammortamento_Finanziario!$H:$L,5,FALSE),VLOOKUP($M50,TT_Tabelle_Riferimento!$D$127:$H$164,5,FALSE))</f>
        <v>20</v>
      </c>
      <c r="PQ50" s="904">
        <f>+IFERROR(VLOOKUP(PQ$27&amp;"-"&amp;$M50&amp;"_new",Ammortamento_Finanziario!$H:$L,5,FALSE),VLOOKUP($M50,TT_Tabelle_Riferimento!$D$127:$H$164,5,FALSE))</f>
        <v>20</v>
      </c>
      <c r="PR50" s="904">
        <f>+IFERROR(VLOOKUP(PR$27&amp;"-"&amp;$M50&amp;"_new",Ammortamento_Finanziario!$H:$L,5,FALSE),VLOOKUP($M50,TT_Tabelle_Riferimento!$D$127:$H$164,5,FALSE))</f>
        <v>20</v>
      </c>
      <c r="PS50" s="904">
        <f>+IFERROR(VLOOKUP(PS$27&amp;"-"&amp;$M50&amp;"_new",Ammortamento_Finanziario!$H:$L,5,FALSE),VLOOKUP($M50,TT_Tabelle_Riferimento!$D$127:$H$164,5,FALSE))</f>
        <v>20</v>
      </c>
      <c r="PT50" s="904">
        <f>+IFERROR(VLOOKUP(PT$27&amp;"-"&amp;$M50&amp;"_new",Ammortamento_Finanziario!$H:$L,5,FALSE),VLOOKUP($M50,TT_Tabelle_Riferimento!$D$127:$H$164,5,FALSE))</f>
        <v>20</v>
      </c>
      <c r="PU50" s="904">
        <f>+IFERROR(VLOOKUP(PU$27&amp;"-"&amp;$M50&amp;"_new",Ammortamento_Finanziario!$H:$L,5,FALSE),VLOOKUP($M50,TT_Tabelle_Riferimento!$D$127:$H$164,5,FALSE))</f>
        <v>20</v>
      </c>
      <c r="PV50" s="904">
        <f>+IFERROR(VLOOKUP(PV$27&amp;"-"&amp;$M50&amp;"_new",Ammortamento_Finanziario!$H:$L,5,FALSE),VLOOKUP($M50,TT_Tabelle_Riferimento!$D$127:$H$164,5,FALSE))</f>
        <v>20</v>
      </c>
      <c r="PW50" s="904">
        <f>+IFERROR(VLOOKUP(PW$27&amp;"-"&amp;$M50&amp;"_new",Ammortamento_Finanziario!$H:$L,5,FALSE),VLOOKUP($M50,TT_Tabelle_Riferimento!$D$127:$H$164,5,FALSE))</f>
        <v>20</v>
      </c>
      <c r="PX50" s="904">
        <f>+IFERROR(VLOOKUP(PX$27&amp;"-"&amp;$M50&amp;"_new",Ammortamento_Finanziario!$H:$L,5,FALSE),VLOOKUP($M50,TT_Tabelle_Riferimento!$D$127:$H$164,5,FALSE))</f>
        <v>20</v>
      </c>
      <c r="PY50" s="904">
        <f>+IFERROR(VLOOKUP(PY$27&amp;"-"&amp;$M50&amp;"_new",Ammortamento_Finanziario!$H:$L,5,FALSE),VLOOKUP($M50,TT_Tabelle_Riferimento!$D$127:$H$164,5,FALSE))</f>
        <v>20</v>
      </c>
      <c r="PZ50" s="904">
        <f>+IFERROR(VLOOKUP(PZ$27&amp;"-"&amp;$M50&amp;"_new",Ammortamento_Finanziario!$H:$L,5,FALSE),VLOOKUP($M50,TT_Tabelle_Riferimento!$D$127:$H$164,5,FALSE))</f>
        <v>20</v>
      </c>
      <c r="QA50" s="904">
        <f>+IFERROR(VLOOKUP(QA$27&amp;"-"&amp;$M50&amp;"_new",Ammortamento_Finanziario!$H:$L,5,FALSE),VLOOKUP($M50,TT_Tabelle_Riferimento!$D$127:$H$164,5,FALSE))</f>
        <v>20</v>
      </c>
      <c r="QB50" s="904">
        <f>+IFERROR(VLOOKUP(QB$27&amp;"-"&amp;$M50&amp;"_new",Ammortamento_Finanziario!$H:$L,5,FALSE),VLOOKUP($M50,TT_Tabelle_Riferimento!$D$127:$H$164,5,FALSE))</f>
        <v>20</v>
      </c>
      <c r="QC50" s="904">
        <f>+IFERROR(VLOOKUP(QC$27&amp;"-"&amp;$M50&amp;"_new",Ammortamento_Finanziario!$H:$L,5,FALSE),VLOOKUP($M50,TT_Tabelle_Riferimento!$D$127:$H$164,5,FALSE))</f>
        <v>20</v>
      </c>
      <c r="QD50" s="904">
        <f>+IFERROR(VLOOKUP(QD$27&amp;"-"&amp;$M50&amp;"_new",Ammortamento_Finanziario!$H:$L,5,FALSE),VLOOKUP($M50,TT_Tabelle_Riferimento!$D$127:$H$164,5,FALSE))</f>
        <v>20</v>
      </c>
      <c r="QE50" s="904">
        <f>+IFERROR(VLOOKUP(QE$27&amp;"-"&amp;$M50&amp;"_new",Ammortamento_Finanziario!$H:$L,5,FALSE),VLOOKUP($M50,TT_Tabelle_Riferimento!$D$127:$H$164,5,FALSE))</f>
        <v>20</v>
      </c>
      <c r="QF50" s="904">
        <f>+IFERROR(VLOOKUP(QF$27&amp;"-"&amp;$M50&amp;"_new",Ammortamento_Finanziario!$H:$L,5,FALSE),VLOOKUP($M50,TT_Tabelle_Riferimento!$D$127:$H$164,5,FALSE))</f>
        <v>20</v>
      </c>
      <c r="QG50" s="904">
        <f>+IFERROR(VLOOKUP(QG$27&amp;"-"&amp;$M50&amp;"_new",Ammortamento_Finanziario!$H:$L,5,FALSE),VLOOKUP($M50,TT_Tabelle_Riferimento!$D$127:$H$164,5,FALSE))</f>
        <v>20</v>
      </c>
      <c r="QH50" s="1762">
        <f>+IFERROR(VLOOKUP(QH$27&amp;"-"&amp;$M50&amp;"_new",Ammortamento_Finanziario!$H:$L,5,FALSE),VLOOKUP($M50,TT_Tabelle_Riferimento!$D$127:$H$164,5,FALSE))</f>
        <v>20</v>
      </c>
      <c r="QI50" s="1762">
        <f>+IFERROR(VLOOKUP(QI$27&amp;"-"&amp;$M50&amp;"_new",Ammortamento_Finanziario!$H:$L,5,FALSE),VLOOKUP($M50,TT_Tabelle_Riferimento!$D$127:$H$164,5,FALSE))</f>
        <v>20</v>
      </c>
      <c r="QJ50" s="904">
        <f>+IFERROR(VLOOKUP(QJ$27&amp;"-"&amp;$M50&amp;"_new",Ammortamento_Finanziario!$H:$L,5,FALSE),VLOOKUP($M50,TT_Tabelle_Riferimento!$D$127:$H$164,5,FALSE))</f>
        <v>20</v>
      </c>
      <c r="QK50" s="904">
        <f>+IFERROR(VLOOKUP(QK$27&amp;"-"&amp;$M50&amp;"_new",Ammortamento_Finanziario!$H:$L,5,FALSE),VLOOKUP($M50,TT_Tabelle_Riferimento!$D$127:$H$164,5,FALSE))</f>
        <v>20</v>
      </c>
      <c r="QL50" s="904">
        <f>+IFERROR(VLOOKUP(QL$27&amp;"-"&amp;$M50&amp;"_new",Ammortamento_Finanziario!$H:$L,5,FALSE),VLOOKUP($M50,TT_Tabelle_Riferimento!$D$127:$H$164,5,FALSE))</f>
        <v>20</v>
      </c>
      <c r="QM50" s="904">
        <f>+IFERROR(VLOOKUP(QM$27&amp;"-"&amp;$M50&amp;"_new",Ammortamento_Finanziario!$H:$L,5,FALSE),VLOOKUP($M50,TT_Tabelle_Riferimento!$D$127:$H$164,5,FALSE))</f>
        <v>20</v>
      </c>
      <c r="QN50" s="904">
        <f>+IFERROR(VLOOKUP(QN$27&amp;"-"&amp;$M50&amp;"_new",Ammortamento_Finanziario!$H:$L,5,FALSE),VLOOKUP($M50,TT_Tabelle_Riferimento!$D$127:$H$164,5,FALSE))</f>
        <v>20</v>
      </c>
      <c r="QO50" s="904">
        <f>+IFERROR(VLOOKUP(QO$27&amp;"-"&amp;$M50&amp;"_new",Ammortamento_Finanziario!$H:$L,5,FALSE),VLOOKUP($M50,TT_Tabelle_Riferimento!$D$127:$H$164,5,FALSE))</f>
        <v>20</v>
      </c>
      <c r="QP50" s="904">
        <f>+IFERROR(VLOOKUP(QP$27&amp;"-"&amp;$M50&amp;"_new",Ammortamento_Finanziario!$H:$L,5,FALSE),VLOOKUP($M50,TT_Tabelle_Riferimento!$D$127:$H$164,5,FALSE))</f>
        <v>20</v>
      </c>
      <c r="QQ50" s="904">
        <f>+IFERROR(VLOOKUP(QQ$27&amp;"-"&amp;$M50&amp;"_new",Ammortamento_Finanziario!$H:$L,5,FALSE),VLOOKUP($M50,TT_Tabelle_Riferimento!$D$127:$H$164,5,FALSE))</f>
        <v>20</v>
      </c>
      <c r="QR50" s="904">
        <f>+IFERROR(VLOOKUP(QR$27&amp;"-"&amp;$M50&amp;"_new",Ammortamento_Finanziario!$H:$L,5,FALSE),VLOOKUP($M50,TT_Tabelle_Riferimento!$D$127:$H$164,5,FALSE))</f>
        <v>20</v>
      </c>
      <c r="QS50" s="904">
        <f>+IFERROR(VLOOKUP(QS$27&amp;"-"&amp;$M50&amp;"_new",Ammortamento_Finanziario!$H:$L,5,FALSE),VLOOKUP($M50,TT_Tabelle_Riferimento!$D$127:$H$164,5,FALSE))</f>
        <v>20</v>
      </c>
      <c r="QT50" s="904">
        <f>+IFERROR(VLOOKUP(QT$27&amp;"-"&amp;$M50&amp;"_new",Ammortamento_Finanziario!$H:$L,5,FALSE),VLOOKUP($M50,TT_Tabelle_Riferimento!$D$127:$H$164,5,FALSE))</f>
        <v>20</v>
      </c>
      <c r="QU50" s="904">
        <f>+IFERROR(VLOOKUP(QU$27&amp;"-"&amp;$M50&amp;"_new",Ammortamento_Finanziario!$H:$L,5,FALSE),VLOOKUP($M50,TT_Tabelle_Riferimento!$D$127:$H$164,5,FALSE))</f>
        <v>20</v>
      </c>
      <c r="QV50" s="904">
        <f>+IFERROR(VLOOKUP(QV$27&amp;"-"&amp;$M50&amp;"_new",Ammortamento_Finanziario!$H:$L,5,FALSE),VLOOKUP($M50,TT_Tabelle_Riferimento!$D$127:$H$164,5,FALSE))</f>
        <v>20</v>
      </c>
      <c r="QW50" s="904">
        <f>+IFERROR(VLOOKUP(QW$27&amp;"-"&amp;$M50&amp;"_new",Ammortamento_Finanziario!$H:$L,5,FALSE),VLOOKUP($M50,TT_Tabelle_Riferimento!$D$127:$H$164,5,FALSE))</f>
        <v>20</v>
      </c>
      <c r="QX50" s="904">
        <f>+IFERROR(VLOOKUP(QX$27&amp;"-"&amp;$M50&amp;"_new",Ammortamento_Finanziario!$H:$L,5,FALSE),VLOOKUP($M50,TT_Tabelle_Riferimento!$D$127:$H$164,5,FALSE))</f>
        <v>20</v>
      </c>
      <c r="QY50" s="904">
        <f>+IFERROR(VLOOKUP(QY$27&amp;"-"&amp;$M50&amp;"_new",Ammortamento_Finanziario!$H:$L,5,FALSE),VLOOKUP($M50,TT_Tabelle_Riferimento!$D$127:$H$164,5,FALSE))</f>
        <v>20</v>
      </c>
      <c r="QZ50" s="904">
        <f>+IFERROR(VLOOKUP(QZ$27&amp;"-"&amp;$M50&amp;"_new",Ammortamento_Finanziario!$H:$L,5,FALSE),VLOOKUP($M50,TT_Tabelle_Riferimento!$D$127:$H$164,5,FALSE))</f>
        <v>20</v>
      </c>
      <c r="RA50" s="904">
        <f>+IFERROR(VLOOKUP(RA$27&amp;"-"&amp;$M50&amp;"_new",Ammortamento_Finanziario!$H:$L,5,FALSE),VLOOKUP($M50,TT_Tabelle_Riferimento!$D$127:$H$164,5,FALSE))</f>
        <v>20</v>
      </c>
      <c r="RB50" s="904">
        <f>+IFERROR(VLOOKUP(RB$27&amp;"-"&amp;$M50&amp;"_new",Ammortamento_Finanziario!$H:$L,5,FALSE),VLOOKUP($M50,TT_Tabelle_Riferimento!$D$127:$H$164,5,FALSE))</f>
        <v>20</v>
      </c>
      <c r="RC50" s="1762">
        <f>+IFERROR(VLOOKUP(RC$27&amp;"-"&amp;$M50&amp;"_new",Ammortamento_Finanziario!$H:$L,5,FALSE),VLOOKUP($M50,TT_Tabelle_Riferimento!$D$127:$H$164,5,FALSE))</f>
        <v>20</v>
      </c>
      <c r="RD50" s="904">
        <f>+IFERROR(VLOOKUP(RD$27&amp;"-"&amp;$M50&amp;"_new",Ammortamento_Finanziario!$H:$L,5,FALSE),VLOOKUP($M50,TT_Tabelle_Riferimento!$D$127:$H$164,5,FALSE))</f>
        <v>20</v>
      </c>
      <c r="RE50" s="904">
        <f>+IFERROR(VLOOKUP(RE$27&amp;"-"&amp;$M50&amp;"_new",Ammortamento_Finanziario!$H:$L,5,FALSE),VLOOKUP($M50,TT_Tabelle_Riferimento!$D$127:$H$164,5,FALSE))</f>
        <v>20</v>
      </c>
      <c r="RF50" s="904">
        <f>+IFERROR(VLOOKUP(RF$27&amp;"-"&amp;$M50&amp;"_new",Ammortamento_Finanziario!$H:$L,5,FALSE),VLOOKUP($M50,TT_Tabelle_Riferimento!$D$127:$H$164,5,FALSE))</f>
        <v>20</v>
      </c>
      <c r="RG50" s="904">
        <f>+IFERROR(VLOOKUP(RG$27&amp;"-"&amp;$M50&amp;"_new",Ammortamento_Finanziario!$H:$L,5,FALSE),VLOOKUP($M50,TT_Tabelle_Riferimento!$D$127:$H$164,5,FALSE))</f>
        <v>20</v>
      </c>
      <c r="RH50" s="904">
        <f>+IFERROR(VLOOKUP(RH$27&amp;"-"&amp;$M50&amp;"_new",Ammortamento_Finanziario!$H:$L,5,FALSE),VLOOKUP($M50,TT_Tabelle_Riferimento!$D$127:$H$164,5,FALSE))</f>
        <v>20</v>
      </c>
      <c r="RI50" s="904">
        <f>+IFERROR(VLOOKUP(RI$27&amp;"-"&amp;$M50&amp;"_new",Ammortamento_Finanziario!$H:$L,5,FALSE),VLOOKUP($M50,TT_Tabelle_Riferimento!$D$127:$H$164,5,FALSE))</f>
        <v>20</v>
      </c>
      <c r="RJ50" s="904">
        <f>+IFERROR(VLOOKUP(RJ$27&amp;"-"&amp;$M50&amp;"_new",Ammortamento_Finanziario!$H:$L,5,FALSE),VLOOKUP($M50,TT_Tabelle_Riferimento!$D$127:$H$164,5,FALSE))</f>
        <v>20</v>
      </c>
      <c r="RK50" s="904">
        <f>+IFERROR(VLOOKUP(RK$27&amp;"-"&amp;$M50&amp;"_new",Ammortamento_Finanziario!$H:$L,5,FALSE),VLOOKUP($M50,TT_Tabelle_Riferimento!$D$127:$H$164,5,FALSE))</f>
        <v>20</v>
      </c>
      <c r="RL50" s="904">
        <f>+IFERROR(VLOOKUP(RL$27&amp;"-"&amp;$M50&amp;"_new",Ammortamento_Finanziario!$H:$L,5,FALSE),VLOOKUP($M50,TT_Tabelle_Riferimento!$D$127:$H$164,5,FALSE))</f>
        <v>20</v>
      </c>
      <c r="RM50" s="904">
        <f>+IFERROR(VLOOKUP(RM$27&amp;"-"&amp;$M50&amp;"_new",Ammortamento_Finanziario!$H:$L,5,FALSE),VLOOKUP($M50,TT_Tabelle_Riferimento!$D$127:$H$164,5,FALSE))</f>
        <v>20</v>
      </c>
      <c r="RN50" s="904">
        <f>+IFERROR(VLOOKUP(RN$27&amp;"-"&amp;$M50&amp;"_new",Ammortamento_Finanziario!$H:$L,5,FALSE),VLOOKUP($M50,TT_Tabelle_Riferimento!$D$127:$H$164,5,FALSE))</f>
        <v>20</v>
      </c>
      <c r="RO50" s="904">
        <f>+IFERROR(VLOOKUP(RO$27&amp;"-"&amp;$M50&amp;"_new",Ammortamento_Finanziario!$H:$L,5,FALSE),VLOOKUP($M50,TT_Tabelle_Riferimento!$D$127:$H$164,5,FALSE))</f>
        <v>20</v>
      </c>
      <c r="RP50" s="904">
        <f>+IFERROR(VLOOKUP(RP$27&amp;"-"&amp;$M50&amp;"_new",Ammortamento_Finanziario!$H:$L,5,FALSE),VLOOKUP($M50,TT_Tabelle_Riferimento!$D$127:$H$164,5,FALSE))</f>
        <v>20</v>
      </c>
      <c r="RQ50" s="904">
        <f>+IFERROR(VLOOKUP(RQ$27&amp;"-"&amp;$M50&amp;"_new",Ammortamento_Finanziario!$H:$L,5,FALSE),VLOOKUP($M50,TT_Tabelle_Riferimento!$D$127:$H$164,5,FALSE))</f>
        <v>20</v>
      </c>
      <c r="RR50" s="904">
        <f>+IFERROR(VLOOKUP(RR$27&amp;"-"&amp;$M50&amp;"_new",Ammortamento_Finanziario!$H:$L,5,FALSE),VLOOKUP($M50,TT_Tabelle_Riferimento!$D$127:$H$164,5,FALSE))</f>
        <v>20</v>
      </c>
      <c r="RS50" s="904">
        <f>+IFERROR(VLOOKUP(RS$27&amp;"-"&amp;$M50&amp;"_new",Ammortamento_Finanziario!$H:$L,5,FALSE),VLOOKUP($M50,TT_Tabelle_Riferimento!$D$127:$H$164,5,FALSE))</f>
        <v>20</v>
      </c>
      <c r="RT50" s="904">
        <f>+IFERROR(VLOOKUP(RT$27&amp;"-"&amp;$M50&amp;"_new",Ammortamento_Finanziario!$H:$L,5,FALSE),VLOOKUP($M50,TT_Tabelle_Riferimento!$D$127:$H$164,5,FALSE))</f>
        <v>20</v>
      </c>
      <c r="RU50" s="904">
        <f>+IFERROR(VLOOKUP(RU$27&amp;"-"&amp;$M50&amp;"_new",Ammortamento_Finanziario!$H:$L,5,FALSE),VLOOKUP($M50,TT_Tabelle_Riferimento!$D$127:$H$164,5,FALSE))</f>
        <v>20</v>
      </c>
      <c r="RV50" s="904">
        <f>+IFERROR(VLOOKUP(RV$27&amp;"-"&amp;$M50&amp;"_new",Ammortamento_Finanziario!$H:$L,5,FALSE),VLOOKUP($M50,TT_Tabelle_Riferimento!$D$127:$H$164,5,FALSE))</f>
        <v>20</v>
      </c>
    </row>
    <row r="51" spans="4:490">
      <c r="M51" s="1756">
        <v>24</v>
      </c>
      <c r="N51" s="1759">
        <v>0</v>
      </c>
      <c r="O51" s="1759">
        <v>0</v>
      </c>
      <c r="P51" s="1759">
        <v>0</v>
      </c>
      <c r="Q51" s="1759">
        <v>0</v>
      </c>
      <c r="R51" s="1759">
        <v>0</v>
      </c>
      <c r="S51" s="1759">
        <v>0</v>
      </c>
      <c r="T51" s="1759">
        <v>0</v>
      </c>
      <c r="U51" s="1759">
        <v>0</v>
      </c>
      <c r="V51" s="1759">
        <v>0</v>
      </c>
      <c r="W51" s="1759">
        <v>0</v>
      </c>
      <c r="X51" s="1759">
        <v>0</v>
      </c>
      <c r="Y51" s="1759">
        <v>0</v>
      </c>
      <c r="Z51" s="1759">
        <v>0</v>
      </c>
      <c r="AA51" s="1759">
        <v>0</v>
      </c>
      <c r="AB51" s="1759">
        <v>0</v>
      </c>
      <c r="AC51" s="1759">
        <v>0</v>
      </c>
      <c r="AD51" s="1759">
        <v>0</v>
      </c>
      <c r="AE51" s="1759">
        <v>0</v>
      </c>
      <c r="AF51" s="1759">
        <v>0</v>
      </c>
      <c r="AG51" s="1759">
        <v>0</v>
      </c>
      <c r="AH51" s="1759">
        <v>0</v>
      </c>
      <c r="AI51" s="1759">
        <v>0</v>
      </c>
      <c r="AJ51" s="1759">
        <v>0</v>
      </c>
      <c r="AK51" s="1759">
        <v>0</v>
      </c>
      <c r="AL51" s="1759">
        <v>0</v>
      </c>
      <c r="AM51" s="1759">
        <v>0</v>
      </c>
      <c r="AN51" s="1759">
        <v>0</v>
      </c>
      <c r="AO51" s="1759">
        <v>0</v>
      </c>
      <c r="AP51" s="1759">
        <v>0</v>
      </c>
      <c r="AQ51" s="1759">
        <v>0</v>
      </c>
      <c r="AR51" s="1759">
        <v>0</v>
      </c>
      <c r="AS51" s="1759">
        <v>0</v>
      </c>
      <c r="AT51" s="1759">
        <v>0</v>
      </c>
      <c r="AU51" s="1759">
        <v>0</v>
      </c>
      <c r="AV51" s="1759">
        <v>0</v>
      </c>
      <c r="AW51" s="1759">
        <v>0</v>
      </c>
      <c r="AX51" s="1759">
        <v>0</v>
      </c>
      <c r="AY51" s="1759">
        <v>0</v>
      </c>
      <c r="AZ51" s="1759">
        <v>0</v>
      </c>
      <c r="BA51" s="1759">
        <v>0</v>
      </c>
      <c r="BB51" s="1759">
        <v>0</v>
      </c>
      <c r="BC51" s="1759">
        <v>0</v>
      </c>
      <c r="BD51" s="1759">
        <v>0</v>
      </c>
      <c r="BE51" s="1759">
        <v>0</v>
      </c>
      <c r="BF51" s="1759">
        <v>0</v>
      </c>
      <c r="BG51" s="1759">
        <v>0</v>
      </c>
      <c r="BH51" s="1759">
        <v>0</v>
      </c>
      <c r="BI51" s="1759">
        <v>0</v>
      </c>
      <c r="BJ51" s="1759">
        <v>0</v>
      </c>
      <c r="BK51" s="1759">
        <v>0</v>
      </c>
      <c r="BL51" s="1759">
        <v>0</v>
      </c>
      <c r="BM51" s="1759">
        <v>0</v>
      </c>
      <c r="BN51" s="1759">
        <v>0</v>
      </c>
      <c r="BO51" s="1759">
        <v>0</v>
      </c>
      <c r="BP51" s="1759">
        <v>0</v>
      </c>
      <c r="BQ51" s="1759">
        <v>0</v>
      </c>
      <c r="BR51" s="1759">
        <v>0</v>
      </c>
      <c r="BS51" s="1759">
        <v>0</v>
      </c>
      <c r="BT51" s="1759">
        <v>0</v>
      </c>
      <c r="BU51" s="1759">
        <v>0</v>
      </c>
      <c r="BV51" s="1759">
        <v>0</v>
      </c>
      <c r="BW51" s="1759">
        <v>0</v>
      </c>
      <c r="BX51" s="1759">
        <v>0</v>
      </c>
      <c r="BY51" s="1759">
        <v>0</v>
      </c>
      <c r="BZ51" s="1759">
        <v>0</v>
      </c>
      <c r="CA51" s="1759">
        <v>0</v>
      </c>
      <c r="CB51" s="1759">
        <v>0</v>
      </c>
      <c r="CC51" s="1759">
        <v>0</v>
      </c>
      <c r="CD51" s="1759">
        <v>0</v>
      </c>
      <c r="CE51" s="1759">
        <v>0</v>
      </c>
      <c r="CF51" s="1759">
        <v>0</v>
      </c>
      <c r="CG51" s="1759">
        <v>0</v>
      </c>
      <c r="CH51" s="1759">
        <v>0</v>
      </c>
      <c r="CI51" s="1759">
        <v>0</v>
      </c>
      <c r="CJ51" s="1759">
        <v>0</v>
      </c>
      <c r="CK51" s="1759">
        <v>0</v>
      </c>
      <c r="CL51" s="1759">
        <v>0</v>
      </c>
      <c r="CM51" s="1759">
        <v>0</v>
      </c>
      <c r="CN51" s="1759">
        <v>0</v>
      </c>
      <c r="CO51" s="1759">
        <v>0</v>
      </c>
      <c r="CP51" s="1759">
        <v>0</v>
      </c>
      <c r="CQ51" s="1759">
        <v>0</v>
      </c>
      <c r="CR51" s="1759">
        <v>0</v>
      </c>
      <c r="CS51" s="1759">
        <v>0</v>
      </c>
      <c r="CT51" s="1759">
        <v>0</v>
      </c>
      <c r="CU51" s="1759">
        <v>0</v>
      </c>
      <c r="CV51" s="1759">
        <v>0</v>
      </c>
      <c r="CW51" s="1759">
        <v>0</v>
      </c>
      <c r="CX51" s="1759">
        <v>0</v>
      </c>
      <c r="CY51" s="1759">
        <v>0</v>
      </c>
      <c r="CZ51" s="1759">
        <v>0</v>
      </c>
      <c r="DA51" s="1759">
        <v>0</v>
      </c>
      <c r="DB51" s="1759">
        <v>0</v>
      </c>
      <c r="DC51" s="1759">
        <v>0</v>
      </c>
      <c r="DD51" s="1759">
        <v>0</v>
      </c>
      <c r="DE51" s="1759">
        <v>0</v>
      </c>
      <c r="DF51" s="1759">
        <v>0</v>
      </c>
      <c r="DG51" s="1759">
        <v>0</v>
      </c>
      <c r="DH51" s="1759">
        <v>0</v>
      </c>
      <c r="DI51" s="1759">
        <v>0</v>
      </c>
      <c r="DJ51" s="1759">
        <v>0</v>
      </c>
      <c r="DK51" s="1759">
        <v>0</v>
      </c>
      <c r="DL51" s="1759">
        <v>0</v>
      </c>
      <c r="DM51" s="1759">
        <v>0</v>
      </c>
      <c r="DN51" s="1759">
        <v>0</v>
      </c>
      <c r="DO51" s="1759">
        <v>0</v>
      </c>
      <c r="DP51" s="1759">
        <v>0</v>
      </c>
      <c r="DQ51" s="1759">
        <v>0</v>
      </c>
      <c r="DR51" s="1759">
        <v>0</v>
      </c>
      <c r="DS51" s="1759">
        <v>0</v>
      </c>
      <c r="DT51" s="1759">
        <v>0</v>
      </c>
      <c r="DU51" s="1759">
        <v>0</v>
      </c>
      <c r="DV51" s="1759">
        <v>0</v>
      </c>
      <c r="DW51" s="1759">
        <v>0</v>
      </c>
      <c r="DX51" s="1759">
        <v>0</v>
      </c>
      <c r="DY51" s="1759">
        <v>0</v>
      </c>
      <c r="DZ51" s="1759">
        <v>0</v>
      </c>
      <c r="EA51" s="1759">
        <v>0</v>
      </c>
      <c r="EB51" s="1759">
        <v>0</v>
      </c>
      <c r="EC51" s="1759">
        <v>0</v>
      </c>
      <c r="ED51" s="1759">
        <v>0</v>
      </c>
      <c r="EE51" s="1759">
        <v>0</v>
      </c>
      <c r="EF51" s="1759">
        <v>0</v>
      </c>
      <c r="EG51" s="1759">
        <v>0</v>
      </c>
      <c r="EH51" s="1759">
        <v>0</v>
      </c>
      <c r="EI51" s="1759">
        <v>0</v>
      </c>
      <c r="EJ51" s="1759">
        <v>0</v>
      </c>
      <c r="EK51" s="1759">
        <v>0</v>
      </c>
      <c r="EL51" s="1759">
        <v>0</v>
      </c>
      <c r="EM51" s="1759">
        <v>0</v>
      </c>
      <c r="EN51" s="1759">
        <v>0</v>
      </c>
      <c r="EO51" s="1759">
        <v>0</v>
      </c>
      <c r="EP51" s="1759">
        <v>0</v>
      </c>
      <c r="EQ51" s="1759">
        <v>0</v>
      </c>
      <c r="ER51" s="1759">
        <v>0</v>
      </c>
      <c r="ES51" s="1759">
        <v>0</v>
      </c>
      <c r="ET51" s="1759">
        <v>0</v>
      </c>
      <c r="EU51" s="1759">
        <v>0</v>
      </c>
      <c r="EV51" s="1759">
        <v>0</v>
      </c>
      <c r="EW51" s="1759">
        <v>0</v>
      </c>
      <c r="EX51" s="1759">
        <v>0</v>
      </c>
      <c r="EY51" s="1759">
        <v>0</v>
      </c>
      <c r="EZ51" s="1759">
        <v>0</v>
      </c>
      <c r="FA51" s="1759">
        <v>0</v>
      </c>
      <c r="FB51" s="1759">
        <v>0</v>
      </c>
      <c r="FC51" s="1759">
        <v>0</v>
      </c>
      <c r="FD51" s="1759">
        <v>0</v>
      </c>
      <c r="FE51" s="1759">
        <v>0</v>
      </c>
      <c r="FF51" s="1759">
        <v>0</v>
      </c>
      <c r="FG51" s="1759">
        <v>0</v>
      </c>
      <c r="FH51" s="1759">
        <v>0</v>
      </c>
      <c r="FI51" s="1759">
        <v>0</v>
      </c>
      <c r="FJ51" s="1759">
        <v>0</v>
      </c>
      <c r="FK51" s="1759">
        <v>0</v>
      </c>
      <c r="FL51" s="1759">
        <v>0</v>
      </c>
      <c r="FM51" s="1759">
        <v>0</v>
      </c>
      <c r="FN51" s="1759">
        <v>0</v>
      </c>
      <c r="FO51" s="1759">
        <v>0</v>
      </c>
      <c r="FP51" s="1759">
        <v>0</v>
      </c>
      <c r="FQ51" s="1759">
        <v>0</v>
      </c>
      <c r="FR51" s="1759">
        <v>0</v>
      </c>
      <c r="FS51" s="1759">
        <v>0</v>
      </c>
      <c r="FT51" s="1759">
        <v>0</v>
      </c>
      <c r="FU51" s="1759">
        <v>0</v>
      </c>
      <c r="FV51" s="1759">
        <v>0</v>
      </c>
      <c r="FW51" s="1759">
        <v>0</v>
      </c>
      <c r="FX51" s="1759">
        <v>0</v>
      </c>
      <c r="FY51" s="1759">
        <v>0</v>
      </c>
      <c r="FZ51" s="1759">
        <v>0</v>
      </c>
      <c r="GA51" s="1759">
        <v>0</v>
      </c>
      <c r="GB51" s="1759">
        <v>0</v>
      </c>
      <c r="GC51" s="1759">
        <v>0</v>
      </c>
      <c r="GD51" s="1759">
        <v>0</v>
      </c>
      <c r="GE51" s="1759">
        <v>0</v>
      </c>
      <c r="GF51" s="1759">
        <v>0</v>
      </c>
      <c r="GG51" s="1759">
        <v>0</v>
      </c>
      <c r="GH51" s="1759">
        <v>0</v>
      </c>
      <c r="GI51" s="1759">
        <v>0</v>
      </c>
      <c r="GJ51" s="1759">
        <v>0</v>
      </c>
      <c r="GK51" s="1759">
        <v>0</v>
      </c>
      <c r="GL51" s="1759">
        <v>0</v>
      </c>
      <c r="GM51" s="1759">
        <v>0</v>
      </c>
      <c r="GN51" s="1759">
        <v>0</v>
      </c>
      <c r="GO51" s="1759">
        <v>0</v>
      </c>
      <c r="GP51" s="1759">
        <v>0</v>
      </c>
      <c r="GQ51" s="1759">
        <v>0</v>
      </c>
      <c r="GR51" s="1759">
        <v>0</v>
      </c>
      <c r="GS51" s="1759">
        <v>0</v>
      </c>
      <c r="GT51" s="1759">
        <v>0</v>
      </c>
      <c r="GU51" s="1759">
        <v>0</v>
      </c>
      <c r="GV51" s="1759">
        <v>0</v>
      </c>
      <c r="GW51" s="1759">
        <v>0</v>
      </c>
      <c r="GX51" s="1759">
        <v>0</v>
      </c>
      <c r="GY51" s="1759">
        <v>0</v>
      </c>
      <c r="GZ51" s="1759">
        <v>0</v>
      </c>
      <c r="HA51" s="1759">
        <v>0</v>
      </c>
      <c r="HB51" s="1759">
        <v>0</v>
      </c>
      <c r="HC51" s="1759">
        <v>0</v>
      </c>
      <c r="HD51" s="1759">
        <v>0</v>
      </c>
      <c r="HE51" s="1759">
        <v>0</v>
      </c>
      <c r="HF51" s="1759">
        <v>0</v>
      </c>
      <c r="HG51" s="1759">
        <v>0</v>
      </c>
      <c r="HH51" s="1759">
        <v>0</v>
      </c>
      <c r="HI51" s="1759">
        <v>0</v>
      </c>
      <c r="HJ51" s="1759">
        <v>0</v>
      </c>
      <c r="HK51" s="1759">
        <v>0</v>
      </c>
      <c r="HL51" s="1759">
        <v>0</v>
      </c>
      <c r="HM51" s="1759">
        <v>0</v>
      </c>
      <c r="HN51" s="1759">
        <v>0</v>
      </c>
      <c r="HO51" s="1759">
        <v>0</v>
      </c>
      <c r="HP51" s="1759">
        <v>0</v>
      </c>
      <c r="HQ51" s="1759">
        <v>0</v>
      </c>
      <c r="HR51" s="1759">
        <v>0</v>
      </c>
      <c r="HS51" s="1759">
        <v>0</v>
      </c>
      <c r="HT51" s="1759">
        <v>0</v>
      </c>
      <c r="HU51" s="1759">
        <v>0</v>
      </c>
      <c r="HV51" s="1759">
        <v>0</v>
      </c>
      <c r="HW51" s="1759">
        <v>0</v>
      </c>
      <c r="HX51" s="1759">
        <v>0</v>
      </c>
      <c r="HY51" s="1759">
        <v>0</v>
      </c>
      <c r="HZ51" s="1759">
        <v>0</v>
      </c>
      <c r="IA51" s="1759">
        <v>0</v>
      </c>
      <c r="IB51" s="1759">
        <v>0</v>
      </c>
      <c r="IC51" s="1759">
        <v>0</v>
      </c>
      <c r="ID51" s="1759">
        <v>0</v>
      </c>
      <c r="IE51" s="1759">
        <v>0</v>
      </c>
      <c r="IF51" s="1759">
        <v>0</v>
      </c>
      <c r="IG51" s="1759">
        <v>0</v>
      </c>
      <c r="IH51" s="1759">
        <v>0</v>
      </c>
      <c r="II51" s="1759">
        <v>0</v>
      </c>
      <c r="IJ51" s="1759">
        <v>0</v>
      </c>
      <c r="IK51" s="1759">
        <v>0</v>
      </c>
      <c r="IL51" s="1759">
        <v>0</v>
      </c>
      <c r="IM51" s="1759">
        <v>0</v>
      </c>
      <c r="IN51" s="1759">
        <v>0</v>
      </c>
      <c r="IO51" s="1759">
        <v>0</v>
      </c>
      <c r="IP51" s="1759">
        <v>0</v>
      </c>
      <c r="IQ51" s="1759">
        <v>0</v>
      </c>
      <c r="IR51" s="1759">
        <v>0</v>
      </c>
      <c r="IS51" s="1759">
        <v>0</v>
      </c>
      <c r="IT51" s="1759">
        <v>0</v>
      </c>
      <c r="IU51" s="1759">
        <v>0</v>
      </c>
      <c r="IV51" s="1759">
        <v>0</v>
      </c>
      <c r="IW51" s="1759">
        <v>0</v>
      </c>
      <c r="IX51" s="1759">
        <v>0</v>
      </c>
      <c r="IY51" s="1759">
        <v>0</v>
      </c>
      <c r="IZ51" s="1759">
        <v>0</v>
      </c>
      <c r="JA51" s="1759">
        <v>0</v>
      </c>
      <c r="JB51" s="1759">
        <v>0</v>
      </c>
      <c r="JC51" s="1759">
        <v>0</v>
      </c>
      <c r="JD51" s="1759">
        <v>0</v>
      </c>
      <c r="JE51" s="1759">
        <v>0</v>
      </c>
      <c r="JF51" s="1759">
        <v>0</v>
      </c>
      <c r="JG51" s="1759">
        <v>0</v>
      </c>
      <c r="JH51" s="1759">
        <v>0</v>
      </c>
      <c r="JI51" s="1759">
        <v>0</v>
      </c>
      <c r="JJ51" s="1759">
        <v>0</v>
      </c>
      <c r="JK51" s="1759">
        <v>0</v>
      </c>
      <c r="JL51" s="1759">
        <v>0</v>
      </c>
      <c r="JM51" s="1759">
        <v>0</v>
      </c>
      <c r="JN51" s="1759">
        <v>0</v>
      </c>
      <c r="JO51" s="1759">
        <v>0</v>
      </c>
      <c r="JP51" s="1759">
        <v>0</v>
      </c>
      <c r="JQ51" s="1759">
        <v>0</v>
      </c>
      <c r="JR51" s="1759">
        <v>0</v>
      </c>
      <c r="JS51" s="1759">
        <v>0</v>
      </c>
      <c r="JT51" s="1759">
        <v>0</v>
      </c>
      <c r="JU51" s="1759">
        <v>0</v>
      </c>
      <c r="JV51" s="1759">
        <v>0</v>
      </c>
      <c r="JW51" s="1759">
        <v>0</v>
      </c>
      <c r="JX51" s="1759">
        <v>0</v>
      </c>
      <c r="JY51" s="1759">
        <v>0</v>
      </c>
      <c r="JZ51" s="1759">
        <v>0</v>
      </c>
      <c r="KA51" s="1759">
        <v>0</v>
      </c>
      <c r="KB51" s="1759">
        <v>0</v>
      </c>
      <c r="KC51" s="1759">
        <v>0</v>
      </c>
      <c r="KD51" s="1759">
        <v>0</v>
      </c>
      <c r="KE51" s="1759">
        <v>0</v>
      </c>
      <c r="KF51" s="1759">
        <v>0</v>
      </c>
      <c r="KG51" s="1759">
        <v>0</v>
      </c>
      <c r="KH51" s="1759">
        <v>0</v>
      </c>
      <c r="KI51" s="1759">
        <v>0</v>
      </c>
      <c r="KJ51" s="1759">
        <v>0</v>
      </c>
      <c r="KK51" s="1759">
        <v>0</v>
      </c>
      <c r="KL51" s="1759">
        <v>0</v>
      </c>
      <c r="KM51" s="1759">
        <v>0</v>
      </c>
      <c r="KN51" s="1759">
        <v>0</v>
      </c>
      <c r="KO51" s="1759">
        <v>0</v>
      </c>
      <c r="KP51" s="1759">
        <v>0</v>
      </c>
      <c r="KQ51" s="904">
        <f>+IFERROR(VLOOKUP(KQ$27&amp;"-"&amp;$M51&amp;"_new",Ammortamento_Finanziario!$H:$L,5,FALSE),VLOOKUP($M51,TT_Tabelle_Riferimento!$D$127:$H$164,5,FALSE))</f>
        <v>20</v>
      </c>
      <c r="KR51" s="904">
        <f>+IFERROR(VLOOKUP(KR$27&amp;"-"&amp;$M51&amp;"_new",Ammortamento_Finanziario!$H:$L,5,FALSE),VLOOKUP($M51,TT_Tabelle_Riferimento!$D$127:$H$164,5,FALSE))</f>
        <v>20</v>
      </c>
      <c r="KS51" s="1762">
        <f>+IFERROR(VLOOKUP(KS$27&amp;"-"&amp;$M51&amp;"_new",Ammortamento_Finanziario!$H:$L,5,FALSE),VLOOKUP($M51,TT_Tabelle_Riferimento!$D$127:$H$164,5,FALSE))</f>
        <v>20</v>
      </c>
      <c r="KT51" s="1762">
        <f>+IFERROR(VLOOKUP(KT$27&amp;"-"&amp;$M51&amp;"_new",Ammortamento_Finanziario!$H:$L,5,FALSE),VLOOKUP($M51,TT_Tabelle_Riferimento!$D$127:$H$164,5,FALSE))</f>
        <v>20</v>
      </c>
      <c r="KU51" s="1762">
        <f>+IFERROR(VLOOKUP(KU$27&amp;"-"&amp;$M51&amp;"_new",Ammortamento_Finanziario!$H:$L,5,FALSE),VLOOKUP($M51,TT_Tabelle_Riferimento!$D$127:$H$164,5,FALSE))</f>
        <v>20</v>
      </c>
      <c r="KV51" s="1762">
        <f>+IFERROR(VLOOKUP(KV$27&amp;"-"&amp;$M51&amp;"_new",Ammortamento_Finanziario!$H:$L,5,FALSE),VLOOKUP($M51,TT_Tabelle_Riferimento!$D$127:$H$164,5,FALSE))</f>
        <v>20</v>
      </c>
      <c r="KW51" s="1762">
        <f>+IFERROR(VLOOKUP(KW$27&amp;"-"&amp;$M51&amp;"_new",Ammortamento_Finanziario!$H:$L,5,FALSE),VLOOKUP($M51,TT_Tabelle_Riferimento!$D$127:$H$164,5,FALSE))</f>
        <v>20</v>
      </c>
      <c r="KX51" s="1762">
        <f>+IFERROR(VLOOKUP(KX$27&amp;"-"&amp;$M51&amp;"_new",Ammortamento_Finanziario!$H:$L,5,FALSE),VLOOKUP($M51,TT_Tabelle_Riferimento!$D$127:$H$164,5,FALSE))</f>
        <v>20</v>
      </c>
      <c r="KY51" s="904">
        <f>+IFERROR(VLOOKUP(KY$27&amp;"-"&amp;$M51&amp;"_new",Ammortamento_Finanziario!$H:$L,5,FALSE),VLOOKUP($M51,TT_Tabelle_Riferimento!$D$127:$H$164,5,FALSE))</f>
        <v>20</v>
      </c>
      <c r="KZ51" s="904">
        <f>+IFERROR(VLOOKUP(KZ$27&amp;"-"&amp;$M51&amp;"_new",Ammortamento_Finanziario!$H:$L,5,FALSE),VLOOKUP($M51,TT_Tabelle_Riferimento!$D$127:$H$164,5,FALSE))</f>
        <v>20</v>
      </c>
      <c r="LA51" s="904">
        <f>+IFERROR(VLOOKUP(LA$27&amp;"-"&amp;$M51&amp;"_new",Ammortamento_Finanziario!$H:$L,5,FALSE),VLOOKUP($M51,TT_Tabelle_Riferimento!$D$127:$H$164,5,FALSE))</f>
        <v>20</v>
      </c>
      <c r="LB51" s="904">
        <f>+IFERROR(VLOOKUP(LB$27&amp;"-"&amp;$M51&amp;"_new",Ammortamento_Finanziario!$H:$L,5,FALSE),VLOOKUP($M51,TT_Tabelle_Riferimento!$D$127:$H$164,5,FALSE))</f>
        <v>20</v>
      </c>
      <c r="LC51" s="904">
        <f>+IFERROR(VLOOKUP(LC$27&amp;"-"&amp;$M51&amp;"_new",Ammortamento_Finanziario!$H:$L,5,FALSE),VLOOKUP($M51,TT_Tabelle_Riferimento!$D$127:$H$164,5,FALSE))</f>
        <v>20</v>
      </c>
      <c r="LD51" s="904">
        <f>+IFERROR(VLOOKUP(LD$27&amp;"-"&amp;$M51&amp;"_new",Ammortamento_Finanziario!$H:$L,5,FALSE),VLOOKUP($M51,TT_Tabelle_Riferimento!$D$127:$H$164,5,FALSE))</f>
        <v>20</v>
      </c>
      <c r="LE51" s="904">
        <f>+IFERROR(VLOOKUP(LE$27&amp;"-"&amp;$M51&amp;"_new",Ammortamento_Finanziario!$H:$L,5,FALSE),VLOOKUP($M51,TT_Tabelle_Riferimento!$D$127:$H$164,5,FALSE))</f>
        <v>20</v>
      </c>
      <c r="LF51" s="904">
        <f>+IFERROR(VLOOKUP(LF$27&amp;"-"&amp;$M51&amp;"_new",Ammortamento_Finanziario!$H:$L,5,FALSE),VLOOKUP($M51,TT_Tabelle_Riferimento!$D$127:$H$164,5,FALSE))</f>
        <v>20</v>
      </c>
      <c r="LG51" s="904">
        <f>+IFERROR(VLOOKUP(LG$27&amp;"-"&amp;$M51&amp;"_new",Ammortamento_Finanziario!$H:$L,5,FALSE),VLOOKUP($M51,TT_Tabelle_Riferimento!$D$127:$H$164,5,FALSE))</f>
        <v>20</v>
      </c>
      <c r="LH51" s="904">
        <f>+IFERROR(VLOOKUP(LH$27&amp;"-"&amp;$M51&amp;"_new",Ammortamento_Finanziario!$H:$L,5,FALSE),VLOOKUP($M51,TT_Tabelle_Riferimento!$D$127:$H$164,5,FALSE))</f>
        <v>20</v>
      </c>
      <c r="LI51" s="904">
        <f>+IFERROR(VLOOKUP(LI$27&amp;"-"&amp;$M51&amp;"_new",Ammortamento_Finanziario!$H:$L,5,FALSE),VLOOKUP($M51,TT_Tabelle_Riferimento!$D$127:$H$164,5,FALSE))</f>
        <v>20</v>
      </c>
      <c r="LJ51" s="904">
        <f>+IFERROR(VLOOKUP(LJ$27&amp;"-"&amp;$M51&amp;"_new",Ammortamento_Finanziario!$H:$L,5,FALSE),VLOOKUP($M51,TT_Tabelle_Riferimento!$D$127:$H$164,5,FALSE))</f>
        <v>20</v>
      </c>
      <c r="LK51" s="904">
        <f>+IFERROR(VLOOKUP(LK$27&amp;"-"&amp;$M51&amp;"_new",Ammortamento_Finanziario!$H:$L,5,FALSE),VLOOKUP($M51,TT_Tabelle_Riferimento!$D$127:$H$164,5,FALSE))</f>
        <v>20</v>
      </c>
      <c r="LL51" s="904">
        <f>+IFERROR(VLOOKUP(LL$27&amp;"-"&amp;$M51&amp;"_new",Ammortamento_Finanziario!$H:$L,5,FALSE),VLOOKUP($M51,TT_Tabelle_Riferimento!$D$127:$H$164,5,FALSE))</f>
        <v>20</v>
      </c>
      <c r="LM51" s="904">
        <f>+IFERROR(VLOOKUP(LM$27&amp;"-"&amp;$M51&amp;"_new",Ammortamento_Finanziario!$H:$L,5,FALSE),VLOOKUP($M51,TT_Tabelle_Riferimento!$D$127:$H$164,5,FALSE))</f>
        <v>20</v>
      </c>
      <c r="LN51" s="904">
        <f>+IFERROR(VLOOKUP(LN$27&amp;"-"&amp;$M51&amp;"_new",Ammortamento_Finanziario!$H:$L,5,FALSE),VLOOKUP($M51,TT_Tabelle_Riferimento!$D$127:$H$164,5,FALSE))</f>
        <v>20</v>
      </c>
      <c r="LO51" s="904">
        <f>+IFERROR(VLOOKUP(LO$27&amp;"-"&amp;$M51&amp;"_new",Ammortamento_Finanziario!$H:$L,5,FALSE),VLOOKUP($M51,TT_Tabelle_Riferimento!$D$127:$H$164,5,FALSE))</f>
        <v>20</v>
      </c>
      <c r="LP51" s="904">
        <f>+IFERROR(VLOOKUP(LP$27&amp;"-"&amp;$M51&amp;"_new",Ammortamento_Finanziario!$H:$L,5,FALSE),VLOOKUP($M51,TT_Tabelle_Riferimento!$D$127:$H$164,5,FALSE))</f>
        <v>20</v>
      </c>
      <c r="LQ51" s="904">
        <f>+IFERROR(VLOOKUP(LQ$27&amp;"-"&amp;$M51&amp;"_new",Ammortamento_Finanziario!$H:$L,5,FALSE),VLOOKUP($M51,TT_Tabelle_Riferimento!$D$127:$H$164,5,FALSE))</f>
        <v>20</v>
      </c>
      <c r="LR51" s="904">
        <f>+IFERROR(VLOOKUP(LR$27&amp;"-"&amp;$M51&amp;"_new",Ammortamento_Finanziario!$H:$L,5,FALSE),VLOOKUP($M51,TT_Tabelle_Riferimento!$D$127:$H$164,5,FALSE))</f>
        <v>20</v>
      </c>
      <c r="LS51" s="1762">
        <f>+IFERROR(VLOOKUP(LS$27&amp;"-"&amp;$M51&amp;"_new",Ammortamento_Finanziario!$H:$L,5,FALSE),VLOOKUP($M51,TT_Tabelle_Riferimento!$D$127:$H$164,5,FALSE))</f>
        <v>20</v>
      </c>
      <c r="LT51" s="1762">
        <f>+IFERROR(VLOOKUP(LT$27&amp;"-"&amp;$M51&amp;"_new",Ammortamento_Finanziario!$H:$L,5,FALSE),VLOOKUP($M51,TT_Tabelle_Riferimento!$D$127:$H$164,5,FALSE))</f>
        <v>20</v>
      </c>
      <c r="LU51" s="1762">
        <f>+IFERROR(VLOOKUP(LU$27&amp;"-"&amp;$M51&amp;"_new",Ammortamento_Finanziario!$H:$L,5,FALSE),VLOOKUP($M51,TT_Tabelle_Riferimento!$D$127:$H$164,5,FALSE))</f>
        <v>20</v>
      </c>
      <c r="LV51" s="1762">
        <f>+IFERROR(VLOOKUP(LV$27&amp;"-"&amp;$M51&amp;"_new",Ammortamento_Finanziario!$H:$L,5,FALSE),VLOOKUP($M51,TT_Tabelle_Riferimento!$D$127:$H$164,5,FALSE))</f>
        <v>20</v>
      </c>
      <c r="LW51" s="1762">
        <f>+IFERROR(VLOOKUP(LW$27&amp;"-"&amp;$M51&amp;"_new",Ammortamento_Finanziario!$H:$L,5,FALSE),VLOOKUP($M51,TT_Tabelle_Riferimento!$D$127:$H$164,5,FALSE))</f>
        <v>20</v>
      </c>
      <c r="LX51" s="1762">
        <f>+IFERROR(VLOOKUP(LX$27&amp;"-"&amp;$M51&amp;"_new",Ammortamento_Finanziario!$H:$L,5,FALSE),VLOOKUP($M51,TT_Tabelle_Riferimento!$D$127:$H$164,5,FALSE))</f>
        <v>20</v>
      </c>
      <c r="LY51" s="904">
        <f>+IFERROR(VLOOKUP(LY$27&amp;"-"&amp;$M51&amp;"_new",Ammortamento_Finanziario!$H:$L,5,FALSE),VLOOKUP($M51,TT_Tabelle_Riferimento!$D$127:$H$164,5,FALSE))</f>
        <v>20</v>
      </c>
      <c r="LZ51" s="904">
        <f>+IFERROR(VLOOKUP(LZ$27&amp;"-"&amp;$M51&amp;"_new",Ammortamento_Finanziario!$H:$L,5,FALSE),VLOOKUP($M51,TT_Tabelle_Riferimento!$D$127:$H$164,5,FALSE))</f>
        <v>20</v>
      </c>
      <c r="MA51" s="904">
        <f>+IFERROR(VLOOKUP(MA$27&amp;"-"&amp;$M51&amp;"_new",Ammortamento_Finanziario!$H:$L,5,FALSE),VLOOKUP($M51,TT_Tabelle_Riferimento!$D$127:$H$164,5,FALSE))</f>
        <v>20</v>
      </c>
      <c r="MB51" s="904">
        <f>+IFERROR(VLOOKUP(MB$27&amp;"-"&amp;$M51&amp;"_new",Ammortamento_Finanziario!$H:$L,5,FALSE),VLOOKUP($M51,TT_Tabelle_Riferimento!$D$127:$H$164,5,FALSE))</f>
        <v>20</v>
      </c>
      <c r="MC51" s="904">
        <f>+IFERROR(VLOOKUP(MC$27&amp;"-"&amp;$M51&amp;"_new",Ammortamento_Finanziario!$H:$L,5,FALSE),VLOOKUP($M51,TT_Tabelle_Riferimento!$D$127:$H$164,5,FALSE))</f>
        <v>20</v>
      </c>
      <c r="MD51" s="904">
        <f>+IFERROR(VLOOKUP(MD$27&amp;"-"&amp;$M51&amp;"_new",Ammortamento_Finanziario!$H:$L,5,FALSE),VLOOKUP($M51,TT_Tabelle_Riferimento!$D$127:$H$164,5,FALSE))</f>
        <v>20</v>
      </c>
      <c r="ME51" s="904">
        <f>+IFERROR(VLOOKUP(ME$27&amp;"-"&amp;$M51&amp;"_new",Ammortamento_Finanziario!$H:$L,5,FALSE),VLOOKUP($M51,TT_Tabelle_Riferimento!$D$127:$H$164,5,FALSE))</f>
        <v>20</v>
      </c>
      <c r="MF51" s="904">
        <f>+IFERROR(VLOOKUP(MF$27&amp;"-"&amp;$M51&amp;"_new",Ammortamento_Finanziario!$H:$L,5,FALSE),VLOOKUP($M51,TT_Tabelle_Riferimento!$D$127:$H$164,5,FALSE))</f>
        <v>20</v>
      </c>
      <c r="MG51" s="904">
        <f>+IFERROR(VLOOKUP(MG$27&amp;"-"&amp;$M51&amp;"_new",Ammortamento_Finanziario!$H:$L,5,FALSE),VLOOKUP($M51,TT_Tabelle_Riferimento!$D$127:$H$164,5,FALSE))</f>
        <v>20</v>
      </c>
      <c r="MH51" s="904">
        <f>+IFERROR(VLOOKUP(MH$27&amp;"-"&amp;$M51&amp;"_new",Ammortamento_Finanziario!$H:$L,5,FALSE),VLOOKUP($M51,TT_Tabelle_Riferimento!$D$127:$H$164,5,FALSE))</f>
        <v>20</v>
      </c>
      <c r="MI51" s="904">
        <f>+IFERROR(VLOOKUP(MI$27&amp;"-"&amp;$M51&amp;"_new",Ammortamento_Finanziario!$H:$L,5,FALSE),VLOOKUP($M51,TT_Tabelle_Riferimento!$D$127:$H$164,5,FALSE))</f>
        <v>20</v>
      </c>
      <c r="MJ51" s="904">
        <f>+IFERROR(VLOOKUP(MJ$27&amp;"-"&amp;$M51&amp;"_new",Ammortamento_Finanziario!$H:$L,5,FALSE),VLOOKUP($M51,TT_Tabelle_Riferimento!$D$127:$H$164,5,FALSE))</f>
        <v>20</v>
      </c>
      <c r="MK51" s="904">
        <f>+IFERROR(VLOOKUP(MK$27&amp;"-"&amp;$M51&amp;"_new",Ammortamento_Finanziario!$H:$L,5,FALSE),VLOOKUP($M51,TT_Tabelle_Riferimento!$D$127:$H$164,5,FALSE))</f>
        <v>20</v>
      </c>
      <c r="ML51" s="904">
        <f>+IFERROR(VLOOKUP(ML$27&amp;"-"&amp;$M51&amp;"_new",Ammortamento_Finanziario!$H:$L,5,FALSE),VLOOKUP($M51,TT_Tabelle_Riferimento!$D$127:$H$164,5,FALSE))</f>
        <v>20</v>
      </c>
      <c r="MM51" s="904">
        <f>+IFERROR(VLOOKUP(MM$27&amp;"-"&amp;$M51&amp;"_new",Ammortamento_Finanziario!$H:$L,5,FALSE),VLOOKUP($M51,TT_Tabelle_Riferimento!$D$127:$H$164,5,FALSE))</f>
        <v>20</v>
      </c>
      <c r="MN51" s="904">
        <f>+IFERROR(VLOOKUP(MN$27&amp;"-"&amp;$M51&amp;"_new",Ammortamento_Finanziario!$H:$L,5,FALSE),VLOOKUP($M51,TT_Tabelle_Riferimento!$D$127:$H$164,5,FALSE))</f>
        <v>20</v>
      </c>
      <c r="MO51" s="904">
        <f>+IFERROR(VLOOKUP(MO$27&amp;"-"&amp;$M51&amp;"_new",Ammortamento_Finanziario!$H:$L,5,FALSE),VLOOKUP($M51,TT_Tabelle_Riferimento!$D$127:$H$164,5,FALSE))</f>
        <v>20</v>
      </c>
      <c r="MP51" s="904">
        <f>+IFERROR(VLOOKUP(MP$27&amp;"-"&amp;$M51&amp;"_new",Ammortamento_Finanziario!$H:$L,5,FALSE),VLOOKUP($M51,TT_Tabelle_Riferimento!$D$127:$H$164,5,FALSE))</f>
        <v>20</v>
      </c>
      <c r="MQ51" s="904">
        <f>+IFERROR(VLOOKUP(MQ$27&amp;"-"&amp;$M51&amp;"_new",Ammortamento_Finanziario!$H:$L,5,FALSE),VLOOKUP($M51,TT_Tabelle_Riferimento!$D$127:$H$164,5,FALSE))</f>
        <v>20</v>
      </c>
      <c r="MR51" s="1762">
        <f>+IFERROR(VLOOKUP(MR$27&amp;"-"&amp;$M51&amp;"_new",Ammortamento_Finanziario!$H:$L,5,FALSE),VLOOKUP($M51,TT_Tabelle_Riferimento!$D$127:$H$164,5,FALSE))</f>
        <v>20</v>
      </c>
      <c r="MS51" s="1762">
        <f>+IFERROR(VLOOKUP(MS$27&amp;"-"&amp;$M51&amp;"_new",Ammortamento_Finanziario!$H:$L,5,FALSE),VLOOKUP($M51,TT_Tabelle_Riferimento!$D$127:$H$164,5,FALSE))</f>
        <v>20</v>
      </c>
      <c r="MT51" s="1762">
        <f>+IFERROR(VLOOKUP(MT$27&amp;"-"&amp;$M51&amp;"_new",Ammortamento_Finanziario!$H:$L,5,FALSE),VLOOKUP($M51,TT_Tabelle_Riferimento!$D$127:$H$164,5,FALSE))</f>
        <v>20</v>
      </c>
      <c r="MU51" s="1762">
        <f>+IFERROR(VLOOKUP(MU$27&amp;"-"&amp;$M51&amp;"_new",Ammortamento_Finanziario!$H:$L,5,FALSE),VLOOKUP($M51,TT_Tabelle_Riferimento!$D$127:$H$164,5,FALSE))</f>
        <v>20</v>
      </c>
      <c r="MV51" s="1762">
        <f>+IFERROR(VLOOKUP(MV$27&amp;"-"&amp;$M51&amp;"_new",Ammortamento_Finanziario!$H:$L,5,FALSE),VLOOKUP($M51,TT_Tabelle_Riferimento!$D$127:$H$164,5,FALSE))</f>
        <v>20</v>
      </c>
      <c r="MW51" s="1762">
        <f>+IFERROR(VLOOKUP(MW$27&amp;"-"&amp;$M51&amp;"_new",Ammortamento_Finanziario!$H:$L,5,FALSE),VLOOKUP($M51,TT_Tabelle_Riferimento!$D$127:$H$164,5,FALSE))</f>
        <v>20</v>
      </c>
      <c r="MX51" s="904">
        <f>+IFERROR(VLOOKUP(MX$27&amp;"-"&amp;$M51&amp;"_new",Ammortamento_Finanziario!$H:$L,5,FALSE),VLOOKUP($M51,TT_Tabelle_Riferimento!$D$127:$H$164,5,FALSE))</f>
        <v>20</v>
      </c>
      <c r="MY51" s="904">
        <f>+IFERROR(VLOOKUP(MY$27&amp;"-"&amp;$M51&amp;"_new",Ammortamento_Finanziario!$H:$L,5,FALSE),VLOOKUP($M51,TT_Tabelle_Riferimento!$D$127:$H$164,5,FALSE))</f>
        <v>20</v>
      </c>
      <c r="MZ51" s="904">
        <f>+IFERROR(VLOOKUP(MZ$27&amp;"-"&amp;$M51&amp;"_new",Ammortamento_Finanziario!$H:$L,5,FALSE),VLOOKUP($M51,TT_Tabelle_Riferimento!$D$127:$H$164,5,FALSE))</f>
        <v>20</v>
      </c>
      <c r="NA51" s="904">
        <f>+IFERROR(VLOOKUP(NA$27&amp;"-"&amp;$M51&amp;"_new",Ammortamento_Finanziario!$H:$L,5,FALSE),VLOOKUP($M51,TT_Tabelle_Riferimento!$D$127:$H$164,5,FALSE))</f>
        <v>20</v>
      </c>
      <c r="NB51" s="904">
        <f>+IFERROR(VLOOKUP(NB$27&amp;"-"&amp;$M51&amp;"_new",Ammortamento_Finanziario!$H:$L,5,FALSE),VLOOKUP($M51,TT_Tabelle_Riferimento!$D$127:$H$164,5,FALSE))</f>
        <v>20</v>
      </c>
      <c r="NC51" s="904">
        <f>+IFERROR(VLOOKUP(NC$27&amp;"-"&amp;$M51&amp;"_new",Ammortamento_Finanziario!$H:$L,5,FALSE),VLOOKUP($M51,TT_Tabelle_Riferimento!$D$127:$H$164,5,FALSE))</f>
        <v>20</v>
      </c>
      <c r="ND51" s="904">
        <f>+IFERROR(VLOOKUP(ND$27&amp;"-"&amp;$M51&amp;"_new",Ammortamento_Finanziario!$H:$L,5,FALSE),VLOOKUP($M51,TT_Tabelle_Riferimento!$D$127:$H$164,5,FALSE))</f>
        <v>20</v>
      </c>
      <c r="NE51" s="904">
        <f>+IFERROR(VLOOKUP(NE$27&amp;"-"&amp;$M51&amp;"_new",Ammortamento_Finanziario!$H:$L,5,FALSE),VLOOKUP($M51,TT_Tabelle_Riferimento!$D$127:$H$164,5,FALSE))</f>
        <v>20</v>
      </c>
      <c r="NF51" s="904">
        <f>+IFERROR(VLOOKUP(NF$27&amp;"-"&amp;$M51&amp;"_new",Ammortamento_Finanziario!$H:$L,5,FALSE),VLOOKUP($M51,TT_Tabelle_Riferimento!$D$127:$H$164,5,FALSE))</f>
        <v>20</v>
      </c>
      <c r="NG51" s="904">
        <f>+IFERROR(VLOOKUP(NG$27&amp;"-"&amp;$M51&amp;"_new",Ammortamento_Finanziario!$H:$L,5,FALSE),VLOOKUP($M51,TT_Tabelle_Riferimento!$D$127:$H$164,5,FALSE))</f>
        <v>20</v>
      </c>
      <c r="NH51" s="904">
        <f>+IFERROR(VLOOKUP(NH$27&amp;"-"&amp;$M51&amp;"_new",Ammortamento_Finanziario!$H:$L,5,FALSE),VLOOKUP($M51,TT_Tabelle_Riferimento!$D$127:$H$164,5,FALSE))</f>
        <v>20</v>
      </c>
      <c r="NI51" s="904">
        <f>+IFERROR(VLOOKUP(NI$27&amp;"-"&amp;$M51&amp;"_new",Ammortamento_Finanziario!$H:$L,5,FALSE),VLOOKUP($M51,TT_Tabelle_Riferimento!$D$127:$H$164,5,FALSE))</f>
        <v>20</v>
      </c>
      <c r="NJ51" s="904">
        <f>+IFERROR(VLOOKUP(NJ$27&amp;"-"&amp;$M51&amp;"_new",Ammortamento_Finanziario!$H:$L,5,FALSE),VLOOKUP($M51,TT_Tabelle_Riferimento!$D$127:$H$164,5,FALSE))</f>
        <v>20</v>
      </c>
      <c r="NK51" s="904">
        <f>+IFERROR(VLOOKUP(NK$27&amp;"-"&amp;$M51&amp;"_new",Ammortamento_Finanziario!$H:$L,5,FALSE),VLOOKUP($M51,TT_Tabelle_Riferimento!$D$127:$H$164,5,FALSE))</f>
        <v>20</v>
      </c>
      <c r="NL51" s="904">
        <f>+IFERROR(VLOOKUP(NL$27&amp;"-"&amp;$M51&amp;"_new",Ammortamento_Finanziario!$H:$L,5,FALSE),VLOOKUP($M51,TT_Tabelle_Riferimento!$D$127:$H$164,5,FALSE))</f>
        <v>20</v>
      </c>
      <c r="NM51" s="904">
        <f>+IFERROR(VLOOKUP(NM$27&amp;"-"&amp;$M51&amp;"_new",Ammortamento_Finanziario!$H:$L,5,FALSE),VLOOKUP($M51,TT_Tabelle_Riferimento!$D$127:$H$164,5,FALSE))</f>
        <v>20</v>
      </c>
      <c r="NN51" s="904">
        <f>+IFERROR(VLOOKUP(NN$27&amp;"-"&amp;$M51&amp;"_new",Ammortamento_Finanziario!$H:$L,5,FALSE),VLOOKUP($M51,TT_Tabelle_Riferimento!$D$127:$H$164,5,FALSE))</f>
        <v>20</v>
      </c>
      <c r="NO51" s="904">
        <f>+IFERROR(VLOOKUP(NO$27&amp;"-"&amp;$M51&amp;"_new",Ammortamento_Finanziario!$H:$L,5,FALSE),VLOOKUP($M51,TT_Tabelle_Riferimento!$D$127:$H$164,5,FALSE))</f>
        <v>20</v>
      </c>
      <c r="NP51" s="904">
        <f>+IFERROR(VLOOKUP(NP$27&amp;"-"&amp;$M51&amp;"_new",Ammortamento_Finanziario!$H:$L,5,FALSE),VLOOKUP($M51,TT_Tabelle_Riferimento!$D$127:$H$164,5,FALSE))</f>
        <v>20</v>
      </c>
      <c r="NQ51" s="1762">
        <f>+IFERROR(VLOOKUP(NQ$27&amp;"-"&amp;$M51&amp;"_new",Ammortamento_Finanziario!$H:$L,5,FALSE),VLOOKUP($M51,TT_Tabelle_Riferimento!$D$127:$H$164,5,FALSE))</f>
        <v>20</v>
      </c>
      <c r="NR51" s="1762">
        <f>+IFERROR(VLOOKUP(NR$27&amp;"-"&amp;$M51&amp;"_new",Ammortamento_Finanziario!$H:$L,5,FALSE),VLOOKUP($M51,TT_Tabelle_Riferimento!$D$127:$H$164,5,FALSE))</f>
        <v>20</v>
      </c>
      <c r="NS51" s="1762">
        <f>+IFERROR(VLOOKUP(NS$27&amp;"-"&amp;$M51&amp;"_new",Ammortamento_Finanziario!$H:$L,5,FALSE),VLOOKUP($M51,TT_Tabelle_Riferimento!$D$127:$H$164,5,FALSE))</f>
        <v>20</v>
      </c>
      <c r="NT51" s="1762">
        <f>+IFERROR(VLOOKUP(NT$27&amp;"-"&amp;$M51&amp;"_new",Ammortamento_Finanziario!$H:$L,5,FALSE),VLOOKUP($M51,TT_Tabelle_Riferimento!$D$127:$H$164,5,FALSE))</f>
        <v>20</v>
      </c>
      <c r="NU51" s="1762">
        <f>+IFERROR(VLOOKUP(NU$27&amp;"-"&amp;$M51&amp;"_new",Ammortamento_Finanziario!$H:$L,5,FALSE),VLOOKUP($M51,TT_Tabelle_Riferimento!$D$127:$H$164,5,FALSE))</f>
        <v>20</v>
      </c>
      <c r="NV51" s="904">
        <f>+IFERROR(VLOOKUP(NV$27&amp;"-"&amp;$M51&amp;"_new",Ammortamento_Finanziario!$H:$L,5,FALSE),VLOOKUP($M51,TT_Tabelle_Riferimento!$D$127:$H$164,5,FALSE))</f>
        <v>20</v>
      </c>
      <c r="NW51" s="904">
        <f>+IFERROR(VLOOKUP(NW$27&amp;"-"&amp;$M51&amp;"_new",Ammortamento_Finanziario!$H:$L,5,FALSE),VLOOKUP($M51,TT_Tabelle_Riferimento!$D$127:$H$164,5,FALSE))</f>
        <v>20</v>
      </c>
      <c r="NX51" s="904">
        <f>+IFERROR(VLOOKUP(NX$27&amp;"-"&amp;$M51&amp;"_new",Ammortamento_Finanziario!$H:$L,5,FALSE),VLOOKUP($M51,TT_Tabelle_Riferimento!$D$127:$H$164,5,FALSE))</f>
        <v>20</v>
      </c>
      <c r="NY51" s="904">
        <f>+IFERROR(VLOOKUP(NY$27&amp;"-"&amp;$M51&amp;"_new",Ammortamento_Finanziario!$H:$L,5,FALSE),VLOOKUP($M51,TT_Tabelle_Riferimento!$D$127:$H$164,5,FALSE))</f>
        <v>20</v>
      </c>
      <c r="NZ51" s="904">
        <f>+IFERROR(VLOOKUP(NZ$27&amp;"-"&amp;$M51&amp;"_new",Ammortamento_Finanziario!$H:$L,5,FALSE),VLOOKUP($M51,TT_Tabelle_Riferimento!$D$127:$H$164,5,FALSE))</f>
        <v>20</v>
      </c>
      <c r="OA51" s="904">
        <f>+IFERROR(VLOOKUP(OA$27&amp;"-"&amp;$M51&amp;"_new",Ammortamento_Finanziario!$H:$L,5,FALSE),VLOOKUP($M51,TT_Tabelle_Riferimento!$D$127:$H$164,5,FALSE))</f>
        <v>20</v>
      </c>
      <c r="OB51" s="904">
        <f>+IFERROR(VLOOKUP(OB$27&amp;"-"&amp;$M51&amp;"_new",Ammortamento_Finanziario!$H:$L,5,FALSE),VLOOKUP($M51,TT_Tabelle_Riferimento!$D$127:$H$164,5,FALSE))</f>
        <v>20</v>
      </c>
      <c r="OC51" s="904">
        <f>+IFERROR(VLOOKUP(OC$27&amp;"-"&amp;$M51&amp;"_new",Ammortamento_Finanziario!$H:$L,5,FALSE),VLOOKUP($M51,TT_Tabelle_Riferimento!$D$127:$H$164,5,FALSE))</f>
        <v>20</v>
      </c>
      <c r="OD51" s="904">
        <f>+IFERROR(VLOOKUP(OD$27&amp;"-"&amp;$M51&amp;"_new",Ammortamento_Finanziario!$H:$L,5,FALSE),VLOOKUP($M51,TT_Tabelle_Riferimento!$D$127:$H$164,5,FALSE))</f>
        <v>20</v>
      </c>
      <c r="OE51" s="904">
        <f>+IFERROR(VLOOKUP(OE$27&amp;"-"&amp;$M51&amp;"_new",Ammortamento_Finanziario!$H:$L,5,FALSE),VLOOKUP($M51,TT_Tabelle_Riferimento!$D$127:$H$164,5,FALSE))</f>
        <v>20</v>
      </c>
      <c r="OF51" s="904">
        <f>+IFERROR(VLOOKUP(OF$27&amp;"-"&amp;$M51&amp;"_new",Ammortamento_Finanziario!$H:$L,5,FALSE),VLOOKUP($M51,TT_Tabelle_Riferimento!$D$127:$H$164,5,FALSE))</f>
        <v>20</v>
      </c>
      <c r="OG51" s="904">
        <f>+IFERROR(VLOOKUP(OG$27&amp;"-"&amp;$M51&amp;"_new",Ammortamento_Finanziario!$H:$L,5,FALSE),VLOOKUP($M51,TT_Tabelle_Riferimento!$D$127:$H$164,5,FALSE))</f>
        <v>20</v>
      </c>
      <c r="OH51" s="904">
        <f>+IFERROR(VLOOKUP(OH$27&amp;"-"&amp;$M51&amp;"_new",Ammortamento_Finanziario!$H:$L,5,FALSE),VLOOKUP($M51,TT_Tabelle_Riferimento!$D$127:$H$164,5,FALSE))</f>
        <v>20</v>
      </c>
      <c r="OI51" s="904">
        <f>+IFERROR(VLOOKUP(OI$27&amp;"-"&amp;$M51&amp;"_new",Ammortamento_Finanziario!$H:$L,5,FALSE),VLOOKUP($M51,TT_Tabelle_Riferimento!$D$127:$H$164,5,FALSE))</f>
        <v>20</v>
      </c>
      <c r="OJ51" s="904">
        <f>+IFERROR(VLOOKUP(OJ$27&amp;"-"&amp;$M51&amp;"_new",Ammortamento_Finanziario!$H:$L,5,FALSE),VLOOKUP($M51,TT_Tabelle_Riferimento!$D$127:$H$164,5,FALSE))</f>
        <v>20</v>
      </c>
      <c r="OK51" s="904">
        <f>+IFERROR(VLOOKUP(OK$27&amp;"-"&amp;$M51&amp;"_new",Ammortamento_Finanziario!$H:$L,5,FALSE),VLOOKUP($M51,TT_Tabelle_Riferimento!$D$127:$H$164,5,FALSE))</f>
        <v>20</v>
      </c>
      <c r="OL51" s="904">
        <f>+IFERROR(VLOOKUP(OL$27&amp;"-"&amp;$M51&amp;"_new",Ammortamento_Finanziario!$H:$L,5,FALSE),VLOOKUP($M51,TT_Tabelle_Riferimento!$D$127:$H$164,5,FALSE))</f>
        <v>20</v>
      </c>
      <c r="OM51" s="904">
        <f>+IFERROR(VLOOKUP(OM$27&amp;"-"&amp;$M51&amp;"_new",Ammortamento_Finanziario!$H:$L,5,FALSE),VLOOKUP($M51,TT_Tabelle_Riferimento!$D$127:$H$164,5,FALSE))</f>
        <v>20</v>
      </c>
      <c r="ON51" s="904">
        <f>+IFERROR(VLOOKUP(ON$27&amp;"-"&amp;$M51&amp;"_new",Ammortamento_Finanziario!$H:$L,5,FALSE),VLOOKUP($M51,TT_Tabelle_Riferimento!$D$127:$H$164,5,FALSE))</f>
        <v>20</v>
      </c>
      <c r="OO51" s="1762">
        <f>+IFERROR(VLOOKUP(OO$27&amp;"-"&amp;$M51&amp;"_new",Ammortamento_Finanziario!$H:$L,5,FALSE),VLOOKUP($M51,TT_Tabelle_Riferimento!$D$127:$H$164,5,FALSE))</f>
        <v>20</v>
      </c>
      <c r="OP51" s="1762">
        <f>+IFERROR(VLOOKUP(OP$27&amp;"-"&amp;$M51&amp;"_new",Ammortamento_Finanziario!$H:$L,5,FALSE),VLOOKUP($M51,TT_Tabelle_Riferimento!$D$127:$H$164,5,FALSE))</f>
        <v>20</v>
      </c>
      <c r="OQ51" s="1762">
        <f>+IFERROR(VLOOKUP(OQ$27&amp;"-"&amp;$M51&amp;"_new",Ammortamento_Finanziario!$H:$L,5,FALSE),VLOOKUP($M51,TT_Tabelle_Riferimento!$D$127:$H$164,5,FALSE))</f>
        <v>20</v>
      </c>
      <c r="OR51" s="1762">
        <f>+IFERROR(VLOOKUP(OR$27&amp;"-"&amp;$M51&amp;"_new",Ammortamento_Finanziario!$H:$L,5,FALSE),VLOOKUP($M51,TT_Tabelle_Riferimento!$D$127:$H$164,5,FALSE))</f>
        <v>20</v>
      </c>
      <c r="OS51" s="904">
        <f>+IFERROR(VLOOKUP(OS$27&amp;"-"&amp;$M51&amp;"_new",Ammortamento_Finanziario!$H:$L,5,FALSE),VLOOKUP($M51,TT_Tabelle_Riferimento!$D$127:$H$164,5,FALSE))</f>
        <v>20</v>
      </c>
      <c r="OT51" s="904">
        <f>+IFERROR(VLOOKUP(OT$27&amp;"-"&amp;$M51&amp;"_new",Ammortamento_Finanziario!$H:$L,5,FALSE),VLOOKUP($M51,TT_Tabelle_Riferimento!$D$127:$H$164,5,FALSE))</f>
        <v>20</v>
      </c>
      <c r="OU51" s="904">
        <f>+IFERROR(VLOOKUP(OU$27&amp;"-"&amp;$M51&amp;"_new",Ammortamento_Finanziario!$H:$L,5,FALSE),VLOOKUP($M51,TT_Tabelle_Riferimento!$D$127:$H$164,5,FALSE))</f>
        <v>20</v>
      </c>
      <c r="OV51" s="904">
        <f>+IFERROR(VLOOKUP(OV$27&amp;"-"&amp;$M51&amp;"_new",Ammortamento_Finanziario!$H:$L,5,FALSE),VLOOKUP($M51,TT_Tabelle_Riferimento!$D$127:$H$164,5,FALSE))</f>
        <v>20</v>
      </c>
      <c r="OW51" s="904">
        <f>+IFERROR(VLOOKUP(OW$27&amp;"-"&amp;$M51&amp;"_new",Ammortamento_Finanziario!$H:$L,5,FALSE),VLOOKUP($M51,TT_Tabelle_Riferimento!$D$127:$H$164,5,FALSE))</f>
        <v>20</v>
      </c>
      <c r="OX51" s="904">
        <f>+IFERROR(VLOOKUP(OX$27&amp;"-"&amp;$M51&amp;"_new",Ammortamento_Finanziario!$H:$L,5,FALSE),VLOOKUP($M51,TT_Tabelle_Riferimento!$D$127:$H$164,5,FALSE))</f>
        <v>20</v>
      </c>
      <c r="OY51" s="904">
        <f>+IFERROR(VLOOKUP(OY$27&amp;"-"&amp;$M51&amp;"_new",Ammortamento_Finanziario!$H:$L,5,FALSE),VLOOKUP($M51,TT_Tabelle_Riferimento!$D$127:$H$164,5,FALSE))</f>
        <v>20</v>
      </c>
      <c r="OZ51" s="904">
        <f>+IFERROR(VLOOKUP(OZ$27&amp;"-"&amp;$M51&amp;"_new",Ammortamento_Finanziario!$H:$L,5,FALSE),VLOOKUP($M51,TT_Tabelle_Riferimento!$D$127:$H$164,5,FALSE))</f>
        <v>20</v>
      </c>
      <c r="PA51" s="904">
        <f>+IFERROR(VLOOKUP(PA$27&amp;"-"&amp;$M51&amp;"_new",Ammortamento_Finanziario!$H:$L,5,FALSE),VLOOKUP($M51,TT_Tabelle_Riferimento!$D$127:$H$164,5,FALSE))</f>
        <v>20</v>
      </c>
      <c r="PB51" s="904">
        <f>+IFERROR(VLOOKUP(PB$27&amp;"-"&amp;$M51&amp;"_new",Ammortamento_Finanziario!$H:$L,5,FALSE),VLOOKUP($M51,TT_Tabelle_Riferimento!$D$127:$H$164,5,FALSE))</f>
        <v>20</v>
      </c>
      <c r="PC51" s="904">
        <f>+IFERROR(VLOOKUP(PC$27&amp;"-"&amp;$M51&amp;"_new",Ammortamento_Finanziario!$H:$L,5,FALSE),VLOOKUP($M51,TT_Tabelle_Riferimento!$D$127:$H$164,5,FALSE))</f>
        <v>20</v>
      </c>
      <c r="PD51" s="904">
        <f>+IFERROR(VLOOKUP(PD$27&amp;"-"&amp;$M51&amp;"_new",Ammortamento_Finanziario!$H:$L,5,FALSE),VLOOKUP($M51,TT_Tabelle_Riferimento!$D$127:$H$164,5,FALSE))</f>
        <v>20</v>
      </c>
      <c r="PE51" s="904">
        <f>+IFERROR(VLOOKUP(PE$27&amp;"-"&amp;$M51&amp;"_new",Ammortamento_Finanziario!$H:$L,5,FALSE),VLOOKUP($M51,TT_Tabelle_Riferimento!$D$127:$H$164,5,FALSE))</f>
        <v>20</v>
      </c>
      <c r="PF51" s="904">
        <f>+IFERROR(VLOOKUP(PF$27&amp;"-"&amp;$M51&amp;"_new",Ammortamento_Finanziario!$H:$L,5,FALSE),VLOOKUP($M51,TT_Tabelle_Riferimento!$D$127:$H$164,5,FALSE))</f>
        <v>20</v>
      </c>
      <c r="PG51" s="904">
        <f>+IFERROR(VLOOKUP(PG$27&amp;"-"&amp;$M51&amp;"_new",Ammortamento_Finanziario!$H:$L,5,FALSE),VLOOKUP($M51,TT_Tabelle_Riferimento!$D$127:$H$164,5,FALSE))</f>
        <v>20</v>
      </c>
      <c r="PH51" s="904">
        <f>+IFERROR(VLOOKUP(PH$27&amp;"-"&amp;$M51&amp;"_new",Ammortamento_Finanziario!$H:$L,5,FALSE),VLOOKUP($M51,TT_Tabelle_Riferimento!$D$127:$H$164,5,FALSE))</f>
        <v>20</v>
      </c>
      <c r="PI51" s="904">
        <f>+IFERROR(VLOOKUP(PI$27&amp;"-"&amp;$M51&amp;"_new",Ammortamento_Finanziario!$H:$L,5,FALSE),VLOOKUP($M51,TT_Tabelle_Riferimento!$D$127:$H$164,5,FALSE))</f>
        <v>20</v>
      </c>
      <c r="PJ51" s="904">
        <f>+IFERROR(VLOOKUP(PJ$27&amp;"-"&amp;$M51&amp;"_new",Ammortamento_Finanziario!$H:$L,5,FALSE),VLOOKUP($M51,TT_Tabelle_Riferimento!$D$127:$H$164,5,FALSE))</f>
        <v>20</v>
      </c>
      <c r="PK51" s="904">
        <f>+IFERROR(VLOOKUP(PK$27&amp;"-"&amp;$M51&amp;"_new",Ammortamento_Finanziario!$H:$L,5,FALSE),VLOOKUP($M51,TT_Tabelle_Riferimento!$D$127:$H$164,5,FALSE))</f>
        <v>20</v>
      </c>
      <c r="PL51" s="1762">
        <f>+IFERROR(VLOOKUP(PL$27&amp;"-"&amp;$M51&amp;"_new",Ammortamento_Finanziario!$H:$L,5,FALSE),VLOOKUP($M51,TT_Tabelle_Riferimento!$D$127:$H$164,5,FALSE))</f>
        <v>20</v>
      </c>
      <c r="PM51" s="1762">
        <f>+IFERROR(VLOOKUP(PM$27&amp;"-"&amp;$M51&amp;"_new",Ammortamento_Finanziario!$H:$L,5,FALSE),VLOOKUP($M51,TT_Tabelle_Riferimento!$D$127:$H$164,5,FALSE))</f>
        <v>20</v>
      </c>
      <c r="PN51" s="1762">
        <f>+IFERROR(VLOOKUP(PN$27&amp;"-"&amp;$M51&amp;"_new",Ammortamento_Finanziario!$H:$L,5,FALSE),VLOOKUP($M51,TT_Tabelle_Riferimento!$D$127:$H$164,5,FALSE))</f>
        <v>20</v>
      </c>
      <c r="PO51" s="904">
        <f>+IFERROR(VLOOKUP(PO$27&amp;"-"&amp;$M51&amp;"_new",Ammortamento_Finanziario!$H:$L,5,FALSE),VLOOKUP($M51,TT_Tabelle_Riferimento!$D$127:$H$164,5,FALSE))</f>
        <v>20</v>
      </c>
      <c r="PP51" s="904">
        <f>+IFERROR(VLOOKUP(PP$27&amp;"-"&amp;$M51&amp;"_new",Ammortamento_Finanziario!$H:$L,5,FALSE),VLOOKUP($M51,TT_Tabelle_Riferimento!$D$127:$H$164,5,FALSE))</f>
        <v>20</v>
      </c>
      <c r="PQ51" s="904">
        <f>+IFERROR(VLOOKUP(PQ$27&amp;"-"&amp;$M51&amp;"_new",Ammortamento_Finanziario!$H:$L,5,FALSE),VLOOKUP($M51,TT_Tabelle_Riferimento!$D$127:$H$164,5,FALSE))</f>
        <v>20</v>
      </c>
      <c r="PR51" s="904">
        <f>+IFERROR(VLOOKUP(PR$27&amp;"-"&amp;$M51&amp;"_new",Ammortamento_Finanziario!$H:$L,5,FALSE),VLOOKUP($M51,TT_Tabelle_Riferimento!$D$127:$H$164,5,FALSE))</f>
        <v>20</v>
      </c>
      <c r="PS51" s="904">
        <f>+IFERROR(VLOOKUP(PS$27&amp;"-"&amp;$M51&amp;"_new",Ammortamento_Finanziario!$H:$L,5,FALSE),VLOOKUP($M51,TT_Tabelle_Riferimento!$D$127:$H$164,5,FALSE))</f>
        <v>20</v>
      </c>
      <c r="PT51" s="904">
        <f>+IFERROR(VLOOKUP(PT$27&amp;"-"&amp;$M51&amp;"_new",Ammortamento_Finanziario!$H:$L,5,FALSE),VLOOKUP($M51,TT_Tabelle_Riferimento!$D$127:$H$164,5,FALSE))</f>
        <v>20</v>
      </c>
      <c r="PU51" s="904">
        <f>+IFERROR(VLOOKUP(PU$27&amp;"-"&amp;$M51&amp;"_new",Ammortamento_Finanziario!$H:$L,5,FALSE),VLOOKUP($M51,TT_Tabelle_Riferimento!$D$127:$H$164,5,FALSE))</f>
        <v>20</v>
      </c>
      <c r="PV51" s="904">
        <f>+IFERROR(VLOOKUP(PV$27&amp;"-"&amp;$M51&amp;"_new",Ammortamento_Finanziario!$H:$L,5,FALSE),VLOOKUP($M51,TT_Tabelle_Riferimento!$D$127:$H$164,5,FALSE))</f>
        <v>20</v>
      </c>
      <c r="PW51" s="904">
        <f>+IFERROR(VLOOKUP(PW$27&amp;"-"&amp;$M51&amp;"_new",Ammortamento_Finanziario!$H:$L,5,FALSE),VLOOKUP($M51,TT_Tabelle_Riferimento!$D$127:$H$164,5,FALSE))</f>
        <v>20</v>
      </c>
      <c r="PX51" s="904">
        <f>+IFERROR(VLOOKUP(PX$27&amp;"-"&amp;$M51&amp;"_new",Ammortamento_Finanziario!$H:$L,5,FALSE),VLOOKUP($M51,TT_Tabelle_Riferimento!$D$127:$H$164,5,FALSE))</f>
        <v>20</v>
      </c>
      <c r="PY51" s="904">
        <f>+IFERROR(VLOOKUP(PY$27&amp;"-"&amp;$M51&amp;"_new",Ammortamento_Finanziario!$H:$L,5,FALSE),VLOOKUP($M51,TT_Tabelle_Riferimento!$D$127:$H$164,5,FALSE))</f>
        <v>20</v>
      </c>
      <c r="PZ51" s="904">
        <f>+IFERROR(VLOOKUP(PZ$27&amp;"-"&amp;$M51&amp;"_new",Ammortamento_Finanziario!$H:$L,5,FALSE),VLOOKUP($M51,TT_Tabelle_Riferimento!$D$127:$H$164,5,FALSE))</f>
        <v>20</v>
      </c>
      <c r="QA51" s="904">
        <f>+IFERROR(VLOOKUP(QA$27&amp;"-"&amp;$M51&amp;"_new",Ammortamento_Finanziario!$H:$L,5,FALSE),VLOOKUP($M51,TT_Tabelle_Riferimento!$D$127:$H$164,5,FALSE))</f>
        <v>20</v>
      </c>
      <c r="QB51" s="904">
        <f>+IFERROR(VLOOKUP(QB$27&amp;"-"&amp;$M51&amp;"_new",Ammortamento_Finanziario!$H:$L,5,FALSE),VLOOKUP($M51,TT_Tabelle_Riferimento!$D$127:$H$164,5,FALSE))</f>
        <v>20</v>
      </c>
      <c r="QC51" s="904">
        <f>+IFERROR(VLOOKUP(QC$27&amp;"-"&amp;$M51&amp;"_new",Ammortamento_Finanziario!$H:$L,5,FALSE),VLOOKUP($M51,TT_Tabelle_Riferimento!$D$127:$H$164,5,FALSE))</f>
        <v>20</v>
      </c>
      <c r="QD51" s="904">
        <f>+IFERROR(VLOOKUP(QD$27&amp;"-"&amp;$M51&amp;"_new",Ammortamento_Finanziario!$H:$L,5,FALSE),VLOOKUP($M51,TT_Tabelle_Riferimento!$D$127:$H$164,5,FALSE))</f>
        <v>20</v>
      </c>
      <c r="QE51" s="904">
        <f>+IFERROR(VLOOKUP(QE$27&amp;"-"&amp;$M51&amp;"_new",Ammortamento_Finanziario!$H:$L,5,FALSE),VLOOKUP($M51,TT_Tabelle_Riferimento!$D$127:$H$164,5,FALSE))</f>
        <v>20</v>
      </c>
      <c r="QF51" s="904">
        <f>+IFERROR(VLOOKUP(QF$27&amp;"-"&amp;$M51&amp;"_new",Ammortamento_Finanziario!$H:$L,5,FALSE),VLOOKUP($M51,TT_Tabelle_Riferimento!$D$127:$H$164,5,FALSE))</f>
        <v>20</v>
      </c>
      <c r="QG51" s="904">
        <f>+IFERROR(VLOOKUP(QG$27&amp;"-"&amp;$M51&amp;"_new",Ammortamento_Finanziario!$H:$L,5,FALSE),VLOOKUP($M51,TT_Tabelle_Riferimento!$D$127:$H$164,5,FALSE))</f>
        <v>20</v>
      </c>
      <c r="QH51" s="1762">
        <f>+IFERROR(VLOOKUP(QH$27&amp;"-"&amp;$M51&amp;"_new",Ammortamento_Finanziario!$H:$L,5,FALSE),VLOOKUP($M51,TT_Tabelle_Riferimento!$D$127:$H$164,5,FALSE))</f>
        <v>20</v>
      </c>
      <c r="QI51" s="1762">
        <f>+IFERROR(VLOOKUP(QI$27&amp;"-"&amp;$M51&amp;"_new",Ammortamento_Finanziario!$H:$L,5,FALSE),VLOOKUP($M51,TT_Tabelle_Riferimento!$D$127:$H$164,5,FALSE))</f>
        <v>20</v>
      </c>
      <c r="QJ51" s="904">
        <f>+IFERROR(VLOOKUP(QJ$27&amp;"-"&amp;$M51&amp;"_new",Ammortamento_Finanziario!$H:$L,5,FALSE),VLOOKUP($M51,TT_Tabelle_Riferimento!$D$127:$H$164,5,FALSE))</f>
        <v>20</v>
      </c>
      <c r="QK51" s="904">
        <f>+IFERROR(VLOOKUP(QK$27&amp;"-"&amp;$M51&amp;"_new",Ammortamento_Finanziario!$H:$L,5,FALSE),VLOOKUP($M51,TT_Tabelle_Riferimento!$D$127:$H$164,5,FALSE))</f>
        <v>20</v>
      </c>
      <c r="QL51" s="904">
        <f>+IFERROR(VLOOKUP(QL$27&amp;"-"&amp;$M51&amp;"_new",Ammortamento_Finanziario!$H:$L,5,FALSE),VLOOKUP($M51,TT_Tabelle_Riferimento!$D$127:$H$164,5,FALSE))</f>
        <v>20</v>
      </c>
      <c r="QM51" s="904">
        <f>+IFERROR(VLOOKUP(QM$27&amp;"-"&amp;$M51&amp;"_new",Ammortamento_Finanziario!$H:$L,5,FALSE),VLOOKUP($M51,TT_Tabelle_Riferimento!$D$127:$H$164,5,FALSE))</f>
        <v>20</v>
      </c>
      <c r="QN51" s="904">
        <f>+IFERROR(VLOOKUP(QN$27&amp;"-"&amp;$M51&amp;"_new",Ammortamento_Finanziario!$H:$L,5,FALSE),VLOOKUP($M51,TT_Tabelle_Riferimento!$D$127:$H$164,5,FALSE))</f>
        <v>20</v>
      </c>
      <c r="QO51" s="904">
        <f>+IFERROR(VLOOKUP(QO$27&amp;"-"&amp;$M51&amp;"_new",Ammortamento_Finanziario!$H:$L,5,FALSE),VLOOKUP($M51,TT_Tabelle_Riferimento!$D$127:$H$164,5,FALSE))</f>
        <v>20</v>
      </c>
      <c r="QP51" s="904">
        <f>+IFERROR(VLOOKUP(QP$27&amp;"-"&amp;$M51&amp;"_new",Ammortamento_Finanziario!$H:$L,5,FALSE),VLOOKUP($M51,TT_Tabelle_Riferimento!$D$127:$H$164,5,FALSE))</f>
        <v>20</v>
      </c>
      <c r="QQ51" s="904">
        <f>+IFERROR(VLOOKUP(QQ$27&amp;"-"&amp;$M51&amp;"_new",Ammortamento_Finanziario!$H:$L,5,FALSE),VLOOKUP($M51,TT_Tabelle_Riferimento!$D$127:$H$164,5,FALSE))</f>
        <v>20</v>
      </c>
      <c r="QR51" s="904">
        <f>+IFERROR(VLOOKUP(QR$27&amp;"-"&amp;$M51&amp;"_new",Ammortamento_Finanziario!$H:$L,5,FALSE),VLOOKUP($M51,TT_Tabelle_Riferimento!$D$127:$H$164,5,FALSE))</f>
        <v>20</v>
      </c>
      <c r="QS51" s="904">
        <f>+IFERROR(VLOOKUP(QS$27&amp;"-"&amp;$M51&amp;"_new",Ammortamento_Finanziario!$H:$L,5,FALSE),VLOOKUP($M51,TT_Tabelle_Riferimento!$D$127:$H$164,5,FALSE))</f>
        <v>20</v>
      </c>
      <c r="QT51" s="904">
        <f>+IFERROR(VLOOKUP(QT$27&amp;"-"&amp;$M51&amp;"_new",Ammortamento_Finanziario!$H:$L,5,FALSE),VLOOKUP($M51,TT_Tabelle_Riferimento!$D$127:$H$164,5,FALSE))</f>
        <v>20</v>
      </c>
      <c r="QU51" s="904">
        <f>+IFERROR(VLOOKUP(QU$27&amp;"-"&amp;$M51&amp;"_new",Ammortamento_Finanziario!$H:$L,5,FALSE),VLOOKUP($M51,TT_Tabelle_Riferimento!$D$127:$H$164,5,FALSE))</f>
        <v>20</v>
      </c>
      <c r="QV51" s="904">
        <f>+IFERROR(VLOOKUP(QV$27&amp;"-"&amp;$M51&amp;"_new",Ammortamento_Finanziario!$H:$L,5,FALSE),VLOOKUP($M51,TT_Tabelle_Riferimento!$D$127:$H$164,5,FALSE))</f>
        <v>20</v>
      </c>
      <c r="QW51" s="904">
        <f>+IFERROR(VLOOKUP(QW$27&amp;"-"&amp;$M51&amp;"_new",Ammortamento_Finanziario!$H:$L,5,FALSE),VLOOKUP($M51,TT_Tabelle_Riferimento!$D$127:$H$164,5,FALSE))</f>
        <v>20</v>
      </c>
      <c r="QX51" s="904">
        <f>+IFERROR(VLOOKUP(QX$27&amp;"-"&amp;$M51&amp;"_new",Ammortamento_Finanziario!$H:$L,5,FALSE),VLOOKUP($M51,TT_Tabelle_Riferimento!$D$127:$H$164,5,FALSE))</f>
        <v>20</v>
      </c>
      <c r="QY51" s="904">
        <f>+IFERROR(VLOOKUP(QY$27&amp;"-"&amp;$M51&amp;"_new",Ammortamento_Finanziario!$H:$L,5,FALSE),VLOOKUP($M51,TT_Tabelle_Riferimento!$D$127:$H$164,5,FALSE))</f>
        <v>20</v>
      </c>
      <c r="QZ51" s="904">
        <f>+IFERROR(VLOOKUP(QZ$27&amp;"-"&amp;$M51&amp;"_new",Ammortamento_Finanziario!$H:$L,5,FALSE),VLOOKUP($M51,TT_Tabelle_Riferimento!$D$127:$H$164,5,FALSE))</f>
        <v>20</v>
      </c>
      <c r="RA51" s="904">
        <f>+IFERROR(VLOOKUP(RA$27&amp;"-"&amp;$M51&amp;"_new",Ammortamento_Finanziario!$H:$L,5,FALSE),VLOOKUP($M51,TT_Tabelle_Riferimento!$D$127:$H$164,5,FALSE))</f>
        <v>20</v>
      </c>
      <c r="RB51" s="904">
        <f>+IFERROR(VLOOKUP(RB$27&amp;"-"&amp;$M51&amp;"_new",Ammortamento_Finanziario!$H:$L,5,FALSE),VLOOKUP($M51,TT_Tabelle_Riferimento!$D$127:$H$164,5,FALSE))</f>
        <v>20</v>
      </c>
      <c r="RC51" s="1762">
        <f>+IFERROR(VLOOKUP(RC$27&amp;"-"&amp;$M51&amp;"_new",Ammortamento_Finanziario!$H:$L,5,FALSE),VLOOKUP($M51,TT_Tabelle_Riferimento!$D$127:$H$164,5,FALSE))</f>
        <v>20</v>
      </c>
      <c r="RD51" s="904">
        <f>+IFERROR(VLOOKUP(RD$27&amp;"-"&amp;$M51&amp;"_new",Ammortamento_Finanziario!$H:$L,5,FALSE),VLOOKUP($M51,TT_Tabelle_Riferimento!$D$127:$H$164,5,FALSE))</f>
        <v>20</v>
      </c>
      <c r="RE51" s="904">
        <f>+IFERROR(VLOOKUP(RE$27&amp;"-"&amp;$M51&amp;"_new",Ammortamento_Finanziario!$H:$L,5,FALSE),VLOOKUP($M51,TT_Tabelle_Riferimento!$D$127:$H$164,5,FALSE))</f>
        <v>20</v>
      </c>
      <c r="RF51" s="904">
        <f>+IFERROR(VLOOKUP(RF$27&amp;"-"&amp;$M51&amp;"_new",Ammortamento_Finanziario!$H:$L,5,FALSE),VLOOKUP($M51,TT_Tabelle_Riferimento!$D$127:$H$164,5,FALSE))</f>
        <v>20</v>
      </c>
      <c r="RG51" s="904">
        <f>+IFERROR(VLOOKUP(RG$27&amp;"-"&amp;$M51&amp;"_new",Ammortamento_Finanziario!$H:$L,5,FALSE),VLOOKUP($M51,TT_Tabelle_Riferimento!$D$127:$H$164,5,FALSE))</f>
        <v>20</v>
      </c>
      <c r="RH51" s="904">
        <f>+IFERROR(VLOOKUP(RH$27&amp;"-"&amp;$M51&amp;"_new",Ammortamento_Finanziario!$H:$L,5,FALSE),VLOOKUP($M51,TT_Tabelle_Riferimento!$D$127:$H$164,5,FALSE))</f>
        <v>20</v>
      </c>
      <c r="RI51" s="904">
        <f>+IFERROR(VLOOKUP(RI$27&amp;"-"&amp;$M51&amp;"_new",Ammortamento_Finanziario!$H:$L,5,FALSE),VLOOKUP($M51,TT_Tabelle_Riferimento!$D$127:$H$164,5,FALSE))</f>
        <v>20</v>
      </c>
      <c r="RJ51" s="904">
        <f>+IFERROR(VLOOKUP(RJ$27&amp;"-"&amp;$M51&amp;"_new",Ammortamento_Finanziario!$H:$L,5,FALSE),VLOOKUP($M51,TT_Tabelle_Riferimento!$D$127:$H$164,5,FALSE))</f>
        <v>20</v>
      </c>
      <c r="RK51" s="904">
        <f>+IFERROR(VLOOKUP(RK$27&amp;"-"&amp;$M51&amp;"_new",Ammortamento_Finanziario!$H:$L,5,FALSE),VLOOKUP($M51,TT_Tabelle_Riferimento!$D$127:$H$164,5,FALSE))</f>
        <v>20</v>
      </c>
      <c r="RL51" s="904">
        <f>+IFERROR(VLOOKUP(RL$27&amp;"-"&amp;$M51&amp;"_new",Ammortamento_Finanziario!$H:$L,5,FALSE),VLOOKUP($M51,TT_Tabelle_Riferimento!$D$127:$H$164,5,FALSE))</f>
        <v>20</v>
      </c>
      <c r="RM51" s="904">
        <f>+IFERROR(VLOOKUP(RM$27&amp;"-"&amp;$M51&amp;"_new",Ammortamento_Finanziario!$H:$L,5,FALSE),VLOOKUP($M51,TT_Tabelle_Riferimento!$D$127:$H$164,5,FALSE))</f>
        <v>20</v>
      </c>
      <c r="RN51" s="904">
        <f>+IFERROR(VLOOKUP(RN$27&amp;"-"&amp;$M51&amp;"_new",Ammortamento_Finanziario!$H:$L,5,FALSE),VLOOKUP($M51,TT_Tabelle_Riferimento!$D$127:$H$164,5,FALSE))</f>
        <v>20</v>
      </c>
      <c r="RO51" s="904">
        <f>+IFERROR(VLOOKUP(RO$27&amp;"-"&amp;$M51&amp;"_new",Ammortamento_Finanziario!$H:$L,5,FALSE),VLOOKUP($M51,TT_Tabelle_Riferimento!$D$127:$H$164,5,FALSE))</f>
        <v>20</v>
      </c>
      <c r="RP51" s="904">
        <f>+IFERROR(VLOOKUP(RP$27&amp;"-"&amp;$M51&amp;"_new",Ammortamento_Finanziario!$H:$L,5,FALSE),VLOOKUP($M51,TT_Tabelle_Riferimento!$D$127:$H$164,5,FALSE))</f>
        <v>20</v>
      </c>
      <c r="RQ51" s="904">
        <f>+IFERROR(VLOOKUP(RQ$27&amp;"-"&amp;$M51&amp;"_new",Ammortamento_Finanziario!$H:$L,5,FALSE),VLOOKUP($M51,TT_Tabelle_Riferimento!$D$127:$H$164,5,FALSE))</f>
        <v>20</v>
      </c>
      <c r="RR51" s="904">
        <f>+IFERROR(VLOOKUP(RR$27&amp;"-"&amp;$M51&amp;"_new",Ammortamento_Finanziario!$H:$L,5,FALSE),VLOOKUP($M51,TT_Tabelle_Riferimento!$D$127:$H$164,5,FALSE))</f>
        <v>20</v>
      </c>
      <c r="RS51" s="904">
        <f>+IFERROR(VLOOKUP(RS$27&amp;"-"&amp;$M51&amp;"_new",Ammortamento_Finanziario!$H:$L,5,FALSE),VLOOKUP($M51,TT_Tabelle_Riferimento!$D$127:$H$164,5,FALSE))</f>
        <v>20</v>
      </c>
      <c r="RT51" s="904">
        <f>+IFERROR(VLOOKUP(RT$27&amp;"-"&amp;$M51&amp;"_new",Ammortamento_Finanziario!$H:$L,5,FALSE),VLOOKUP($M51,TT_Tabelle_Riferimento!$D$127:$H$164,5,FALSE))</f>
        <v>20</v>
      </c>
      <c r="RU51" s="904">
        <f>+IFERROR(VLOOKUP(RU$27&amp;"-"&amp;$M51&amp;"_new",Ammortamento_Finanziario!$H:$L,5,FALSE),VLOOKUP($M51,TT_Tabelle_Riferimento!$D$127:$H$164,5,FALSE))</f>
        <v>20</v>
      </c>
      <c r="RV51" s="904">
        <f>+IFERROR(VLOOKUP(RV$27&amp;"-"&amp;$M51&amp;"_new",Ammortamento_Finanziario!$H:$L,5,FALSE),VLOOKUP($M51,TT_Tabelle_Riferimento!$D$127:$H$164,5,FALSE))</f>
        <v>20</v>
      </c>
    </row>
    <row r="52" spans="4:490" ht="15.75">
      <c r="D52" s="126" t="s">
        <v>30415</v>
      </c>
      <c r="E52" s="10"/>
      <c r="F52" s="10"/>
      <c r="G52" s="10"/>
      <c r="H52" s="10"/>
      <c r="M52" s="1756">
        <v>25</v>
      </c>
      <c r="N52" s="1759">
        <v>0</v>
      </c>
      <c r="O52" s="1759">
        <v>0</v>
      </c>
      <c r="P52" s="1759">
        <v>0</v>
      </c>
      <c r="Q52" s="1759">
        <v>0</v>
      </c>
      <c r="R52" s="1759">
        <v>0</v>
      </c>
      <c r="S52" s="1759">
        <v>0</v>
      </c>
      <c r="T52" s="1759">
        <v>0</v>
      </c>
      <c r="U52" s="1759">
        <v>0</v>
      </c>
      <c r="V52" s="1759">
        <v>0</v>
      </c>
      <c r="W52" s="1759">
        <v>0</v>
      </c>
      <c r="X52" s="1759">
        <v>0</v>
      </c>
      <c r="Y52" s="1759">
        <v>0</v>
      </c>
      <c r="Z52" s="1759">
        <v>0</v>
      </c>
      <c r="AA52" s="1759">
        <v>0</v>
      </c>
      <c r="AB52" s="1759">
        <v>0</v>
      </c>
      <c r="AC52" s="1759">
        <v>0</v>
      </c>
      <c r="AD52" s="1759">
        <v>0</v>
      </c>
      <c r="AE52" s="1759">
        <v>0</v>
      </c>
      <c r="AF52" s="1759">
        <v>0</v>
      </c>
      <c r="AG52" s="1759">
        <v>0</v>
      </c>
      <c r="AH52" s="1759">
        <v>0</v>
      </c>
      <c r="AI52" s="1759">
        <v>0</v>
      </c>
      <c r="AJ52" s="1759">
        <v>0</v>
      </c>
      <c r="AK52" s="1759">
        <v>0</v>
      </c>
      <c r="AL52" s="1759">
        <v>0</v>
      </c>
      <c r="AM52" s="1759">
        <v>0</v>
      </c>
      <c r="AN52" s="1759">
        <v>0</v>
      </c>
      <c r="AO52" s="1759">
        <v>0</v>
      </c>
      <c r="AP52" s="1759">
        <v>0</v>
      </c>
      <c r="AQ52" s="1759">
        <v>0</v>
      </c>
      <c r="AR52" s="1759">
        <v>0</v>
      </c>
      <c r="AS52" s="1759">
        <v>0</v>
      </c>
      <c r="AT52" s="1759">
        <v>0</v>
      </c>
      <c r="AU52" s="1759">
        <v>0</v>
      </c>
      <c r="AV52" s="1759">
        <v>0</v>
      </c>
      <c r="AW52" s="1759">
        <v>0</v>
      </c>
      <c r="AX52" s="1759">
        <v>0</v>
      </c>
      <c r="AY52" s="1759">
        <v>0</v>
      </c>
      <c r="AZ52" s="1759">
        <v>0</v>
      </c>
      <c r="BA52" s="1759">
        <v>0</v>
      </c>
      <c r="BB52" s="1759">
        <v>0</v>
      </c>
      <c r="BC52" s="1759">
        <v>0</v>
      </c>
      <c r="BD52" s="1759">
        <v>0</v>
      </c>
      <c r="BE52" s="1759">
        <v>0</v>
      </c>
      <c r="BF52" s="1759">
        <v>0</v>
      </c>
      <c r="BG52" s="1759">
        <v>0</v>
      </c>
      <c r="BH52" s="1759">
        <v>0</v>
      </c>
      <c r="BI52" s="1759">
        <v>0</v>
      </c>
      <c r="BJ52" s="1759">
        <v>0</v>
      </c>
      <c r="BK52" s="1759">
        <v>0</v>
      </c>
      <c r="BL52" s="1759">
        <v>0</v>
      </c>
      <c r="BM52" s="1759">
        <v>0</v>
      </c>
      <c r="BN52" s="1759">
        <v>0</v>
      </c>
      <c r="BO52" s="1759">
        <v>0</v>
      </c>
      <c r="BP52" s="1759">
        <v>0</v>
      </c>
      <c r="BQ52" s="1759">
        <v>0</v>
      </c>
      <c r="BR52" s="1759">
        <v>0</v>
      </c>
      <c r="BS52" s="1759">
        <v>0</v>
      </c>
      <c r="BT52" s="1759">
        <v>0</v>
      </c>
      <c r="BU52" s="1759">
        <v>0</v>
      </c>
      <c r="BV52" s="1759">
        <v>0</v>
      </c>
      <c r="BW52" s="1759">
        <v>0</v>
      </c>
      <c r="BX52" s="1759">
        <v>0</v>
      </c>
      <c r="BY52" s="1759">
        <v>0</v>
      </c>
      <c r="BZ52" s="1759">
        <v>0</v>
      </c>
      <c r="CA52" s="1759">
        <v>0</v>
      </c>
      <c r="CB52" s="1759">
        <v>0</v>
      </c>
      <c r="CC52" s="1759">
        <v>0</v>
      </c>
      <c r="CD52" s="1759">
        <v>0</v>
      </c>
      <c r="CE52" s="1759">
        <v>0</v>
      </c>
      <c r="CF52" s="1759">
        <v>0</v>
      </c>
      <c r="CG52" s="1759">
        <v>0</v>
      </c>
      <c r="CH52" s="1759">
        <v>0</v>
      </c>
      <c r="CI52" s="1759">
        <v>0</v>
      </c>
      <c r="CJ52" s="1759">
        <v>0</v>
      </c>
      <c r="CK52" s="1759">
        <v>0</v>
      </c>
      <c r="CL52" s="1759">
        <v>0</v>
      </c>
      <c r="CM52" s="1759">
        <v>0</v>
      </c>
      <c r="CN52" s="1759">
        <v>0</v>
      </c>
      <c r="CO52" s="1759">
        <v>0</v>
      </c>
      <c r="CP52" s="1759">
        <v>0</v>
      </c>
      <c r="CQ52" s="1759">
        <v>0</v>
      </c>
      <c r="CR52" s="1759">
        <v>0</v>
      </c>
      <c r="CS52" s="1759">
        <v>0</v>
      </c>
      <c r="CT52" s="1759">
        <v>0</v>
      </c>
      <c r="CU52" s="1759">
        <v>0</v>
      </c>
      <c r="CV52" s="1759">
        <v>0</v>
      </c>
      <c r="CW52" s="1759">
        <v>0</v>
      </c>
      <c r="CX52" s="1759">
        <v>0</v>
      </c>
      <c r="CY52" s="1759">
        <v>0</v>
      </c>
      <c r="CZ52" s="1759">
        <v>0</v>
      </c>
      <c r="DA52" s="1759">
        <v>0</v>
      </c>
      <c r="DB52" s="1759">
        <v>0</v>
      </c>
      <c r="DC52" s="1759">
        <v>0</v>
      </c>
      <c r="DD52" s="1759">
        <v>0</v>
      </c>
      <c r="DE52" s="1759">
        <v>0</v>
      </c>
      <c r="DF52" s="1759">
        <v>0</v>
      </c>
      <c r="DG52" s="1759">
        <v>0</v>
      </c>
      <c r="DH52" s="1759">
        <v>0</v>
      </c>
      <c r="DI52" s="1759">
        <v>0</v>
      </c>
      <c r="DJ52" s="1759">
        <v>0</v>
      </c>
      <c r="DK52" s="1759">
        <v>0</v>
      </c>
      <c r="DL52" s="1759">
        <v>0</v>
      </c>
      <c r="DM52" s="1759">
        <v>0</v>
      </c>
      <c r="DN52" s="1759">
        <v>0</v>
      </c>
      <c r="DO52" s="1759">
        <v>0</v>
      </c>
      <c r="DP52" s="1759">
        <v>0</v>
      </c>
      <c r="DQ52" s="1759">
        <v>0</v>
      </c>
      <c r="DR52" s="1759">
        <v>0</v>
      </c>
      <c r="DS52" s="1759">
        <v>0</v>
      </c>
      <c r="DT52" s="1759">
        <v>0</v>
      </c>
      <c r="DU52" s="1759">
        <v>0</v>
      </c>
      <c r="DV52" s="1759">
        <v>0</v>
      </c>
      <c r="DW52" s="1759">
        <v>0</v>
      </c>
      <c r="DX52" s="1759">
        <v>0</v>
      </c>
      <c r="DY52" s="1759">
        <v>0</v>
      </c>
      <c r="DZ52" s="1759">
        <v>0</v>
      </c>
      <c r="EA52" s="1759">
        <v>0</v>
      </c>
      <c r="EB52" s="1759">
        <v>0</v>
      </c>
      <c r="EC52" s="1759">
        <v>0</v>
      </c>
      <c r="ED52" s="1759">
        <v>0</v>
      </c>
      <c r="EE52" s="1759">
        <v>0</v>
      </c>
      <c r="EF52" s="1759">
        <v>0</v>
      </c>
      <c r="EG52" s="1759">
        <v>0</v>
      </c>
      <c r="EH52" s="1759">
        <v>0</v>
      </c>
      <c r="EI52" s="1759">
        <v>0</v>
      </c>
      <c r="EJ52" s="1759">
        <v>0</v>
      </c>
      <c r="EK52" s="1759">
        <v>0</v>
      </c>
      <c r="EL52" s="1759">
        <v>0</v>
      </c>
      <c r="EM52" s="1759">
        <v>0</v>
      </c>
      <c r="EN52" s="1759">
        <v>0</v>
      </c>
      <c r="EO52" s="1759">
        <v>0</v>
      </c>
      <c r="EP52" s="1759">
        <v>0</v>
      </c>
      <c r="EQ52" s="1759">
        <v>0</v>
      </c>
      <c r="ER52" s="1759">
        <v>0</v>
      </c>
      <c r="ES52" s="1759">
        <v>0</v>
      </c>
      <c r="ET52" s="1759">
        <v>0</v>
      </c>
      <c r="EU52" s="1759">
        <v>0</v>
      </c>
      <c r="EV52" s="1759">
        <v>0</v>
      </c>
      <c r="EW52" s="1759">
        <v>0</v>
      </c>
      <c r="EX52" s="1759">
        <v>0</v>
      </c>
      <c r="EY52" s="1759">
        <v>0</v>
      </c>
      <c r="EZ52" s="1759">
        <v>0</v>
      </c>
      <c r="FA52" s="1759">
        <v>0</v>
      </c>
      <c r="FB52" s="1759">
        <v>0</v>
      </c>
      <c r="FC52" s="1759">
        <v>0</v>
      </c>
      <c r="FD52" s="1759">
        <v>0</v>
      </c>
      <c r="FE52" s="1759">
        <v>0</v>
      </c>
      <c r="FF52" s="1759">
        <v>0</v>
      </c>
      <c r="FG52" s="1759">
        <v>0</v>
      </c>
      <c r="FH52" s="1759">
        <v>0</v>
      </c>
      <c r="FI52" s="1759">
        <v>0</v>
      </c>
      <c r="FJ52" s="1759">
        <v>0</v>
      </c>
      <c r="FK52" s="1759">
        <v>0</v>
      </c>
      <c r="FL52" s="1759">
        <v>0</v>
      </c>
      <c r="FM52" s="1759">
        <v>0</v>
      </c>
      <c r="FN52" s="1759">
        <v>0</v>
      </c>
      <c r="FO52" s="1759">
        <v>0</v>
      </c>
      <c r="FP52" s="1759">
        <v>0</v>
      </c>
      <c r="FQ52" s="1759">
        <v>0</v>
      </c>
      <c r="FR52" s="1759">
        <v>0</v>
      </c>
      <c r="FS52" s="1759">
        <v>0</v>
      </c>
      <c r="FT52" s="1759">
        <v>0</v>
      </c>
      <c r="FU52" s="1759">
        <v>0</v>
      </c>
      <c r="FV52" s="1759">
        <v>0</v>
      </c>
      <c r="FW52" s="1759">
        <v>0</v>
      </c>
      <c r="FX52" s="1759">
        <v>0</v>
      </c>
      <c r="FY52" s="1759">
        <v>0</v>
      </c>
      <c r="FZ52" s="1759">
        <v>0</v>
      </c>
      <c r="GA52" s="1759">
        <v>0</v>
      </c>
      <c r="GB52" s="1759">
        <v>0</v>
      </c>
      <c r="GC52" s="1759">
        <v>0</v>
      </c>
      <c r="GD52" s="1759">
        <v>0</v>
      </c>
      <c r="GE52" s="1759">
        <v>0</v>
      </c>
      <c r="GF52" s="1759">
        <v>0</v>
      </c>
      <c r="GG52" s="1759">
        <v>0</v>
      </c>
      <c r="GH52" s="1759">
        <v>0</v>
      </c>
      <c r="GI52" s="1759">
        <v>0</v>
      </c>
      <c r="GJ52" s="1759">
        <v>0</v>
      </c>
      <c r="GK52" s="1759">
        <v>0</v>
      </c>
      <c r="GL52" s="1759">
        <v>0</v>
      </c>
      <c r="GM52" s="1759">
        <v>0</v>
      </c>
      <c r="GN52" s="1759">
        <v>0</v>
      </c>
      <c r="GO52" s="1759">
        <v>0</v>
      </c>
      <c r="GP52" s="1759">
        <v>0</v>
      </c>
      <c r="GQ52" s="1759">
        <v>0</v>
      </c>
      <c r="GR52" s="1759">
        <v>0</v>
      </c>
      <c r="GS52" s="1759">
        <v>0</v>
      </c>
      <c r="GT52" s="1759">
        <v>0</v>
      </c>
      <c r="GU52" s="1759">
        <v>0</v>
      </c>
      <c r="GV52" s="1759">
        <v>0</v>
      </c>
      <c r="GW52" s="1759">
        <v>0</v>
      </c>
      <c r="GX52" s="1759">
        <v>0</v>
      </c>
      <c r="GY52" s="1759">
        <v>0</v>
      </c>
      <c r="GZ52" s="1759">
        <v>0</v>
      </c>
      <c r="HA52" s="1759">
        <v>0</v>
      </c>
      <c r="HB52" s="1759">
        <v>0</v>
      </c>
      <c r="HC52" s="1759">
        <v>0</v>
      </c>
      <c r="HD52" s="1759">
        <v>0</v>
      </c>
      <c r="HE52" s="1759">
        <v>0</v>
      </c>
      <c r="HF52" s="1759">
        <v>0</v>
      </c>
      <c r="HG52" s="1759">
        <v>0</v>
      </c>
      <c r="HH52" s="1759">
        <v>0</v>
      </c>
      <c r="HI52" s="1759">
        <v>0</v>
      </c>
      <c r="HJ52" s="1759">
        <v>0</v>
      </c>
      <c r="HK52" s="1759">
        <v>0</v>
      </c>
      <c r="HL52" s="1759">
        <v>0</v>
      </c>
      <c r="HM52" s="1759">
        <v>0</v>
      </c>
      <c r="HN52" s="1759">
        <v>0</v>
      </c>
      <c r="HO52" s="1759">
        <v>0</v>
      </c>
      <c r="HP52" s="1759">
        <v>0</v>
      </c>
      <c r="HQ52" s="1759">
        <v>0</v>
      </c>
      <c r="HR52" s="1759">
        <v>0</v>
      </c>
      <c r="HS52" s="1759">
        <v>0</v>
      </c>
      <c r="HT52" s="1759">
        <v>0</v>
      </c>
      <c r="HU52" s="1759">
        <v>0</v>
      </c>
      <c r="HV52" s="1759">
        <v>0</v>
      </c>
      <c r="HW52" s="1759">
        <v>0</v>
      </c>
      <c r="HX52" s="1759">
        <v>0</v>
      </c>
      <c r="HY52" s="1759">
        <v>0</v>
      </c>
      <c r="HZ52" s="1759">
        <v>0</v>
      </c>
      <c r="IA52" s="1759">
        <v>0</v>
      </c>
      <c r="IB52" s="1759">
        <v>0</v>
      </c>
      <c r="IC52" s="1759">
        <v>0</v>
      </c>
      <c r="ID52" s="1759">
        <v>0</v>
      </c>
      <c r="IE52" s="1759">
        <v>0</v>
      </c>
      <c r="IF52" s="1759">
        <v>0</v>
      </c>
      <c r="IG52" s="1759">
        <v>0</v>
      </c>
      <c r="IH52" s="1759">
        <v>0</v>
      </c>
      <c r="II52" s="1759">
        <v>0</v>
      </c>
      <c r="IJ52" s="1759">
        <v>0</v>
      </c>
      <c r="IK52" s="1759">
        <v>0</v>
      </c>
      <c r="IL52" s="1759">
        <v>0</v>
      </c>
      <c r="IM52" s="1759">
        <v>0</v>
      </c>
      <c r="IN52" s="1759">
        <v>0</v>
      </c>
      <c r="IO52" s="1759">
        <v>0</v>
      </c>
      <c r="IP52" s="1759">
        <v>0</v>
      </c>
      <c r="IQ52" s="1759">
        <v>0</v>
      </c>
      <c r="IR52" s="1759">
        <v>0</v>
      </c>
      <c r="IS52" s="1759">
        <v>0</v>
      </c>
      <c r="IT52" s="1759">
        <v>0</v>
      </c>
      <c r="IU52" s="1759">
        <v>0</v>
      </c>
      <c r="IV52" s="1759">
        <v>0</v>
      </c>
      <c r="IW52" s="1759">
        <v>0</v>
      </c>
      <c r="IX52" s="1759">
        <v>0</v>
      </c>
      <c r="IY52" s="1759">
        <v>0</v>
      </c>
      <c r="IZ52" s="1759">
        <v>0</v>
      </c>
      <c r="JA52" s="1759">
        <v>0</v>
      </c>
      <c r="JB52" s="1759">
        <v>0</v>
      </c>
      <c r="JC52" s="1759">
        <v>0</v>
      </c>
      <c r="JD52" s="1759">
        <v>0</v>
      </c>
      <c r="JE52" s="1759">
        <v>0</v>
      </c>
      <c r="JF52" s="1759">
        <v>0</v>
      </c>
      <c r="JG52" s="1759">
        <v>0</v>
      </c>
      <c r="JH52" s="1759">
        <v>0</v>
      </c>
      <c r="JI52" s="1759">
        <v>0</v>
      </c>
      <c r="JJ52" s="1759">
        <v>0</v>
      </c>
      <c r="JK52" s="1759">
        <v>0</v>
      </c>
      <c r="JL52" s="1759">
        <v>0</v>
      </c>
      <c r="JM52" s="1759">
        <v>0</v>
      </c>
      <c r="JN52" s="1759">
        <v>0</v>
      </c>
      <c r="JO52" s="1759">
        <v>0</v>
      </c>
      <c r="JP52" s="1759">
        <v>0</v>
      </c>
      <c r="JQ52" s="1759">
        <v>0</v>
      </c>
      <c r="JR52" s="1759">
        <v>0</v>
      </c>
      <c r="JS52" s="1759">
        <v>0</v>
      </c>
      <c r="JT52" s="1759">
        <v>0</v>
      </c>
      <c r="JU52" s="1759">
        <v>0</v>
      </c>
      <c r="JV52" s="1759">
        <v>0</v>
      </c>
      <c r="JW52" s="1759">
        <v>0</v>
      </c>
      <c r="JX52" s="1759">
        <v>0</v>
      </c>
      <c r="JY52" s="1759">
        <v>0</v>
      </c>
      <c r="JZ52" s="1759">
        <v>0</v>
      </c>
      <c r="KA52" s="1759">
        <v>0</v>
      </c>
      <c r="KB52" s="1759">
        <v>0</v>
      </c>
      <c r="KC52" s="1759">
        <v>0</v>
      </c>
      <c r="KD52" s="1759">
        <v>0</v>
      </c>
      <c r="KE52" s="1759">
        <v>0</v>
      </c>
      <c r="KF52" s="1759">
        <v>0</v>
      </c>
      <c r="KG52" s="1759">
        <v>0</v>
      </c>
      <c r="KH52" s="1759">
        <v>0</v>
      </c>
      <c r="KI52" s="1759">
        <v>0</v>
      </c>
      <c r="KJ52" s="1759">
        <v>0</v>
      </c>
      <c r="KK52" s="1759">
        <v>0</v>
      </c>
      <c r="KL52" s="1759">
        <v>0</v>
      </c>
      <c r="KM52" s="1759">
        <v>0</v>
      </c>
      <c r="KN52" s="1759">
        <v>0</v>
      </c>
      <c r="KO52" s="1759">
        <v>0</v>
      </c>
      <c r="KP52" s="1759">
        <v>0</v>
      </c>
      <c r="KQ52" s="904">
        <f>+IFERROR(VLOOKUP(KQ$27&amp;"-"&amp;$M52&amp;"_new",Ammortamento_Finanziario!$H:$L,5,FALSE),VLOOKUP($M52,TT_Tabelle_Riferimento!$D$127:$H$164,5,FALSE))</f>
        <v>10</v>
      </c>
      <c r="KR52" s="904">
        <f>+IFERROR(VLOOKUP(KR$27&amp;"-"&amp;$M52&amp;"_new",Ammortamento_Finanziario!$H:$L,5,FALSE),VLOOKUP($M52,TT_Tabelle_Riferimento!$D$127:$H$164,5,FALSE))</f>
        <v>10</v>
      </c>
      <c r="KS52" s="1762">
        <f>+IFERROR(VLOOKUP(KS$27&amp;"-"&amp;$M52&amp;"_new",Ammortamento_Finanziario!$H:$L,5,FALSE),VLOOKUP($M52,TT_Tabelle_Riferimento!$D$127:$H$164,5,FALSE))</f>
        <v>10</v>
      </c>
      <c r="KT52" s="1762">
        <f>+IFERROR(VLOOKUP(KT$27&amp;"-"&amp;$M52&amp;"_new",Ammortamento_Finanziario!$H:$L,5,FALSE),VLOOKUP($M52,TT_Tabelle_Riferimento!$D$127:$H$164,5,FALSE))</f>
        <v>10</v>
      </c>
      <c r="KU52" s="1762">
        <f>+IFERROR(VLOOKUP(KU$27&amp;"-"&amp;$M52&amp;"_new",Ammortamento_Finanziario!$H:$L,5,FALSE),VLOOKUP($M52,TT_Tabelle_Riferimento!$D$127:$H$164,5,FALSE))</f>
        <v>10</v>
      </c>
      <c r="KV52" s="1762">
        <f>+IFERROR(VLOOKUP(KV$27&amp;"-"&amp;$M52&amp;"_new",Ammortamento_Finanziario!$H:$L,5,FALSE),VLOOKUP($M52,TT_Tabelle_Riferimento!$D$127:$H$164,5,FALSE))</f>
        <v>10</v>
      </c>
      <c r="KW52" s="1762">
        <f>+IFERROR(VLOOKUP(KW$27&amp;"-"&amp;$M52&amp;"_new",Ammortamento_Finanziario!$H:$L,5,FALSE),VLOOKUP($M52,TT_Tabelle_Riferimento!$D$127:$H$164,5,FALSE))</f>
        <v>10</v>
      </c>
      <c r="KX52" s="1762">
        <f>+IFERROR(VLOOKUP(KX$27&amp;"-"&amp;$M52&amp;"_new",Ammortamento_Finanziario!$H:$L,5,FALSE),VLOOKUP($M52,TT_Tabelle_Riferimento!$D$127:$H$164,5,FALSE))</f>
        <v>10</v>
      </c>
      <c r="KY52" s="904">
        <f>+IFERROR(VLOOKUP(KY$27&amp;"-"&amp;$M52&amp;"_new",Ammortamento_Finanziario!$H:$L,5,FALSE),VLOOKUP($M52,TT_Tabelle_Riferimento!$D$127:$H$164,5,FALSE))</f>
        <v>10</v>
      </c>
      <c r="KZ52" s="904">
        <f>+IFERROR(VLOOKUP(KZ$27&amp;"-"&amp;$M52&amp;"_new",Ammortamento_Finanziario!$H:$L,5,FALSE),VLOOKUP($M52,TT_Tabelle_Riferimento!$D$127:$H$164,5,FALSE))</f>
        <v>10</v>
      </c>
      <c r="LA52" s="904">
        <f>+IFERROR(VLOOKUP(LA$27&amp;"-"&amp;$M52&amp;"_new",Ammortamento_Finanziario!$H:$L,5,FALSE),VLOOKUP($M52,TT_Tabelle_Riferimento!$D$127:$H$164,5,FALSE))</f>
        <v>10</v>
      </c>
      <c r="LB52" s="904">
        <f>+IFERROR(VLOOKUP(LB$27&amp;"-"&amp;$M52&amp;"_new",Ammortamento_Finanziario!$H:$L,5,FALSE),VLOOKUP($M52,TT_Tabelle_Riferimento!$D$127:$H$164,5,FALSE))</f>
        <v>10</v>
      </c>
      <c r="LC52" s="904">
        <f>+IFERROR(VLOOKUP(LC$27&amp;"-"&amp;$M52&amp;"_new",Ammortamento_Finanziario!$H:$L,5,FALSE),VLOOKUP($M52,TT_Tabelle_Riferimento!$D$127:$H$164,5,FALSE))</f>
        <v>10</v>
      </c>
      <c r="LD52" s="904">
        <f>+IFERROR(VLOOKUP(LD$27&amp;"-"&amp;$M52&amp;"_new",Ammortamento_Finanziario!$H:$L,5,FALSE),VLOOKUP($M52,TT_Tabelle_Riferimento!$D$127:$H$164,5,FALSE))</f>
        <v>10</v>
      </c>
      <c r="LE52" s="904">
        <f>+IFERROR(VLOOKUP(LE$27&amp;"-"&amp;$M52&amp;"_new",Ammortamento_Finanziario!$H:$L,5,FALSE),VLOOKUP($M52,TT_Tabelle_Riferimento!$D$127:$H$164,5,FALSE))</f>
        <v>10</v>
      </c>
      <c r="LF52" s="904">
        <f>+IFERROR(VLOOKUP(LF$27&amp;"-"&amp;$M52&amp;"_new",Ammortamento_Finanziario!$H:$L,5,FALSE),VLOOKUP($M52,TT_Tabelle_Riferimento!$D$127:$H$164,5,FALSE))</f>
        <v>10</v>
      </c>
      <c r="LG52" s="904">
        <f>+IFERROR(VLOOKUP(LG$27&amp;"-"&amp;$M52&amp;"_new",Ammortamento_Finanziario!$H:$L,5,FALSE),VLOOKUP($M52,TT_Tabelle_Riferimento!$D$127:$H$164,5,FALSE))</f>
        <v>10</v>
      </c>
      <c r="LH52" s="904">
        <f>+IFERROR(VLOOKUP(LH$27&amp;"-"&amp;$M52&amp;"_new",Ammortamento_Finanziario!$H:$L,5,FALSE),VLOOKUP($M52,TT_Tabelle_Riferimento!$D$127:$H$164,5,FALSE))</f>
        <v>10</v>
      </c>
      <c r="LI52" s="904">
        <f>+IFERROR(VLOOKUP(LI$27&amp;"-"&amp;$M52&amp;"_new",Ammortamento_Finanziario!$H:$L,5,FALSE),VLOOKUP($M52,TT_Tabelle_Riferimento!$D$127:$H$164,5,FALSE))</f>
        <v>10</v>
      </c>
      <c r="LJ52" s="904">
        <f>+IFERROR(VLOOKUP(LJ$27&amp;"-"&amp;$M52&amp;"_new",Ammortamento_Finanziario!$H:$L,5,FALSE),VLOOKUP($M52,TT_Tabelle_Riferimento!$D$127:$H$164,5,FALSE))</f>
        <v>10</v>
      </c>
      <c r="LK52" s="904">
        <f>+IFERROR(VLOOKUP(LK$27&amp;"-"&amp;$M52&amp;"_new",Ammortamento_Finanziario!$H:$L,5,FALSE),VLOOKUP($M52,TT_Tabelle_Riferimento!$D$127:$H$164,5,FALSE))</f>
        <v>10</v>
      </c>
      <c r="LL52" s="904">
        <f>+IFERROR(VLOOKUP(LL$27&amp;"-"&amp;$M52&amp;"_new",Ammortamento_Finanziario!$H:$L,5,FALSE),VLOOKUP($M52,TT_Tabelle_Riferimento!$D$127:$H$164,5,FALSE))</f>
        <v>10</v>
      </c>
      <c r="LM52" s="904">
        <f>+IFERROR(VLOOKUP(LM$27&amp;"-"&amp;$M52&amp;"_new",Ammortamento_Finanziario!$H:$L,5,FALSE),VLOOKUP($M52,TT_Tabelle_Riferimento!$D$127:$H$164,5,FALSE))</f>
        <v>10</v>
      </c>
      <c r="LN52" s="904">
        <f>+IFERROR(VLOOKUP(LN$27&amp;"-"&amp;$M52&amp;"_new",Ammortamento_Finanziario!$H:$L,5,FALSE),VLOOKUP($M52,TT_Tabelle_Riferimento!$D$127:$H$164,5,FALSE))</f>
        <v>10</v>
      </c>
      <c r="LO52" s="904">
        <f>+IFERROR(VLOOKUP(LO$27&amp;"-"&amp;$M52&amp;"_new",Ammortamento_Finanziario!$H:$L,5,FALSE),VLOOKUP($M52,TT_Tabelle_Riferimento!$D$127:$H$164,5,FALSE))</f>
        <v>10</v>
      </c>
      <c r="LP52" s="904">
        <f>+IFERROR(VLOOKUP(LP$27&amp;"-"&amp;$M52&amp;"_new",Ammortamento_Finanziario!$H:$L,5,FALSE),VLOOKUP($M52,TT_Tabelle_Riferimento!$D$127:$H$164,5,FALSE))</f>
        <v>10</v>
      </c>
      <c r="LQ52" s="904">
        <f>+IFERROR(VLOOKUP(LQ$27&amp;"-"&amp;$M52&amp;"_new",Ammortamento_Finanziario!$H:$L,5,FALSE),VLOOKUP($M52,TT_Tabelle_Riferimento!$D$127:$H$164,5,FALSE))</f>
        <v>10</v>
      </c>
      <c r="LR52" s="904">
        <f>+IFERROR(VLOOKUP(LR$27&amp;"-"&amp;$M52&amp;"_new",Ammortamento_Finanziario!$H:$L,5,FALSE),VLOOKUP($M52,TT_Tabelle_Riferimento!$D$127:$H$164,5,FALSE))</f>
        <v>10</v>
      </c>
      <c r="LS52" s="1762">
        <f>+IFERROR(VLOOKUP(LS$27&amp;"-"&amp;$M52&amp;"_new",Ammortamento_Finanziario!$H:$L,5,FALSE),VLOOKUP($M52,TT_Tabelle_Riferimento!$D$127:$H$164,5,FALSE))</f>
        <v>10</v>
      </c>
      <c r="LT52" s="1762">
        <f>+IFERROR(VLOOKUP(LT$27&amp;"-"&amp;$M52&amp;"_new",Ammortamento_Finanziario!$H:$L,5,FALSE),VLOOKUP($M52,TT_Tabelle_Riferimento!$D$127:$H$164,5,FALSE))</f>
        <v>10</v>
      </c>
      <c r="LU52" s="1762">
        <f>+IFERROR(VLOOKUP(LU$27&amp;"-"&amp;$M52&amp;"_new",Ammortamento_Finanziario!$H:$L,5,FALSE),VLOOKUP($M52,TT_Tabelle_Riferimento!$D$127:$H$164,5,FALSE))</f>
        <v>10</v>
      </c>
      <c r="LV52" s="1762">
        <f>+IFERROR(VLOOKUP(LV$27&amp;"-"&amp;$M52&amp;"_new",Ammortamento_Finanziario!$H:$L,5,FALSE),VLOOKUP($M52,TT_Tabelle_Riferimento!$D$127:$H$164,5,FALSE))</f>
        <v>10</v>
      </c>
      <c r="LW52" s="1762">
        <f>+IFERROR(VLOOKUP(LW$27&amp;"-"&amp;$M52&amp;"_new",Ammortamento_Finanziario!$H:$L,5,FALSE),VLOOKUP($M52,TT_Tabelle_Riferimento!$D$127:$H$164,5,FALSE))</f>
        <v>10</v>
      </c>
      <c r="LX52" s="1762">
        <f>+IFERROR(VLOOKUP(LX$27&amp;"-"&amp;$M52&amp;"_new",Ammortamento_Finanziario!$H:$L,5,FALSE),VLOOKUP($M52,TT_Tabelle_Riferimento!$D$127:$H$164,5,FALSE))</f>
        <v>10</v>
      </c>
      <c r="LY52" s="904">
        <f>+IFERROR(VLOOKUP(LY$27&amp;"-"&amp;$M52&amp;"_new",Ammortamento_Finanziario!$H:$L,5,FALSE),VLOOKUP($M52,TT_Tabelle_Riferimento!$D$127:$H$164,5,FALSE))</f>
        <v>10</v>
      </c>
      <c r="LZ52" s="904">
        <f>+IFERROR(VLOOKUP(LZ$27&amp;"-"&amp;$M52&amp;"_new",Ammortamento_Finanziario!$H:$L,5,FALSE),VLOOKUP($M52,TT_Tabelle_Riferimento!$D$127:$H$164,5,FALSE))</f>
        <v>10</v>
      </c>
      <c r="MA52" s="904">
        <f>+IFERROR(VLOOKUP(MA$27&amp;"-"&amp;$M52&amp;"_new",Ammortamento_Finanziario!$H:$L,5,FALSE),VLOOKUP($M52,TT_Tabelle_Riferimento!$D$127:$H$164,5,FALSE))</f>
        <v>10</v>
      </c>
      <c r="MB52" s="904">
        <f>+IFERROR(VLOOKUP(MB$27&amp;"-"&amp;$M52&amp;"_new",Ammortamento_Finanziario!$H:$L,5,FALSE),VLOOKUP($M52,TT_Tabelle_Riferimento!$D$127:$H$164,5,FALSE))</f>
        <v>10</v>
      </c>
      <c r="MC52" s="904">
        <f>+IFERROR(VLOOKUP(MC$27&amp;"-"&amp;$M52&amp;"_new",Ammortamento_Finanziario!$H:$L,5,FALSE),VLOOKUP($M52,TT_Tabelle_Riferimento!$D$127:$H$164,5,FALSE))</f>
        <v>10</v>
      </c>
      <c r="MD52" s="904">
        <f>+IFERROR(VLOOKUP(MD$27&amp;"-"&amp;$M52&amp;"_new",Ammortamento_Finanziario!$H:$L,5,FALSE),VLOOKUP($M52,TT_Tabelle_Riferimento!$D$127:$H$164,5,FALSE))</f>
        <v>10</v>
      </c>
      <c r="ME52" s="904">
        <f>+IFERROR(VLOOKUP(ME$27&amp;"-"&amp;$M52&amp;"_new",Ammortamento_Finanziario!$H:$L,5,FALSE),VLOOKUP($M52,TT_Tabelle_Riferimento!$D$127:$H$164,5,FALSE))</f>
        <v>10</v>
      </c>
      <c r="MF52" s="904">
        <f>+IFERROR(VLOOKUP(MF$27&amp;"-"&amp;$M52&amp;"_new",Ammortamento_Finanziario!$H:$L,5,FALSE),VLOOKUP($M52,TT_Tabelle_Riferimento!$D$127:$H$164,5,FALSE))</f>
        <v>10</v>
      </c>
      <c r="MG52" s="904">
        <f>+IFERROR(VLOOKUP(MG$27&amp;"-"&amp;$M52&amp;"_new",Ammortamento_Finanziario!$H:$L,5,FALSE),VLOOKUP($M52,TT_Tabelle_Riferimento!$D$127:$H$164,5,FALSE))</f>
        <v>10</v>
      </c>
      <c r="MH52" s="904">
        <f>+IFERROR(VLOOKUP(MH$27&amp;"-"&amp;$M52&amp;"_new",Ammortamento_Finanziario!$H:$L,5,FALSE),VLOOKUP($M52,TT_Tabelle_Riferimento!$D$127:$H$164,5,FALSE))</f>
        <v>10</v>
      </c>
      <c r="MI52" s="904">
        <f>+IFERROR(VLOOKUP(MI$27&amp;"-"&amp;$M52&amp;"_new",Ammortamento_Finanziario!$H:$L,5,FALSE),VLOOKUP($M52,TT_Tabelle_Riferimento!$D$127:$H$164,5,FALSE))</f>
        <v>10</v>
      </c>
      <c r="MJ52" s="904">
        <f>+IFERROR(VLOOKUP(MJ$27&amp;"-"&amp;$M52&amp;"_new",Ammortamento_Finanziario!$H:$L,5,FALSE),VLOOKUP($M52,TT_Tabelle_Riferimento!$D$127:$H$164,5,FALSE))</f>
        <v>10</v>
      </c>
      <c r="MK52" s="904">
        <f>+IFERROR(VLOOKUP(MK$27&amp;"-"&amp;$M52&amp;"_new",Ammortamento_Finanziario!$H:$L,5,FALSE),VLOOKUP($M52,TT_Tabelle_Riferimento!$D$127:$H$164,5,FALSE))</f>
        <v>10</v>
      </c>
      <c r="ML52" s="904">
        <f>+IFERROR(VLOOKUP(ML$27&amp;"-"&amp;$M52&amp;"_new",Ammortamento_Finanziario!$H:$L,5,FALSE),VLOOKUP($M52,TT_Tabelle_Riferimento!$D$127:$H$164,5,FALSE))</f>
        <v>10</v>
      </c>
      <c r="MM52" s="904">
        <f>+IFERROR(VLOOKUP(MM$27&amp;"-"&amp;$M52&amp;"_new",Ammortamento_Finanziario!$H:$L,5,FALSE),VLOOKUP($M52,TT_Tabelle_Riferimento!$D$127:$H$164,5,FALSE))</f>
        <v>10</v>
      </c>
      <c r="MN52" s="904">
        <f>+IFERROR(VLOOKUP(MN$27&amp;"-"&amp;$M52&amp;"_new",Ammortamento_Finanziario!$H:$L,5,FALSE),VLOOKUP($M52,TT_Tabelle_Riferimento!$D$127:$H$164,5,FALSE))</f>
        <v>10</v>
      </c>
      <c r="MO52" s="904">
        <f>+IFERROR(VLOOKUP(MO$27&amp;"-"&amp;$M52&amp;"_new",Ammortamento_Finanziario!$H:$L,5,FALSE),VLOOKUP($M52,TT_Tabelle_Riferimento!$D$127:$H$164,5,FALSE))</f>
        <v>10</v>
      </c>
      <c r="MP52" s="904">
        <f>+IFERROR(VLOOKUP(MP$27&amp;"-"&amp;$M52&amp;"_new",Ammortamento_Finanziario!$H:$L,5,FALSE),VLOOKUP($M52,TT_Tabelle_Riferimento!$D$127:$H$164,5,FALSE))</f>
        <v>10</v>
      </c>
      <c r="MQ52" s="904">
        <f>+IFERROR(VLOOKUP(MQ$27&amp;"-"&amp;$M52&amp;"_new",Ammortamento_Finanziario!$H:$L,5,FALSE),VLOOKUP($M52,TT_Tabelle_Riferimento!$D$127:$H$164,5,FALSE))</f>
        <v>10</v>
      </c>
      <c r="MR52" s="1762">
        <f>+IFERROR(VLOOKUP(MR$27&amp;"-"&amp;$M52&amp;"_new",Ammortamento_Finanziario!$H:$L,5,FALSE),VLOOKUP($M52,TT_Tabelle_Riferimento!$D$127:$H$164,5,FALSE))</f>
        <v>10</v>
      </c>
      <c r="MS52" s="1762">
        <f>+IFERROR(VLOOKUP(MS$27&amp;"-"&amp;$M52&amp;"_new",Ammortamento_Finanziario!$H:$L,5,FALSE),VLOOKUP($M52,TT_Tabelle_Riferimento!$D$127:$H$164,5,FALSE))</f>
        <v>10</v>
      </c>
      <c r="MT52" s="1762">
        <f>+IFERROR(VLOOKUP(MT$27&amp;"-"&amp;$M52&amp;"_new",Ammortamento_Finanziario!$H:$L,5,FALSE),VLOOKUP($M52,TT_Tabelle_Riferimento!$D$127:$H$164,5,FALSE))</f>
        <v>10</v>
      </c>
      <c r="MU52" s="1762">
        <f>+IFERROR(VLOOKUP(MU$27&amp;"-"&amp;$M52&amp;"_new",Ammortamento_Finanziario!$H:$L,5,FALSE),VLOOKUP($M52,TT_Tabelle_Riferimento!$D$127:$H$164,5,FALSE))</f>
        <v>10</v>
      </c>
      <c r="MV52" s="1762">
        <f>+IFERROR(VLOOKUP(MV$27&amp;"-"&amp;$M52&amp;"_new",Ammortamento_Finanziario!$H:$L,5,FALSE),VLOOKUP($M52,TT_Tabelle_Riferimento!$D$127:$H$164,5,FALSE))</f>
        <v>10</v>
      </c>
      <c r="MW52" s="1762">
        <f>+IFERROR(VLOOKUP(MW$27&amp;"-"&amp;$M52&amp;"_new",Ammortamento_Finanziario!$H:$L,5,FALSE),VLOOKUP($M52,TT_Tabelle_Riferimento!$D$127:$H$164,5,FALSE))</f>
        <v>10</v>
      </c>
      <c r="MX52" s="904">
        <f>+IFERROR(VLOOKUP(MX$27&amp;"-"&amp;$M52&amp;"_new",Ammortamento_Finanziario!$H:$L,5,FALSE),VLOOKUP($M52,TT_Tabelle_Riferimento!$D$127:$H$164,5,FALSE))</f>
        <v>10</v>
      </c>
      <c r="MY52" s="904">
        <f>+IFERROR(VLOOKUP(MY$27&amp;"-"&amp;$M52&amp;"_new",Ammortamento_Finanziario!$H:$L,5,FALSE),VLOOKUP($M52,TT_Tabelle_Riferimento!$D$127:$H$164,5,FALSE))</f>
        <v>10</v>
      </c>
      <c r="MZ52" s="904">
        <f>+IFERROR(VLOOKUP(MZ$27&amp;"-"&amp;$M52&amp;"_new",Ammortamento_Finanziario!$H:$L,5,FALSE),VLOOKUP($M52,TT_Tabelle_Riferimento!$D$127:$H$164,5,FALSE))</f>
        <v>10</v>
      </c>
      <c r="NA52" s="904">
        <f>+IFERROR(VLOOKUP(NA$27&amp;"-"&amp;$M52&amp;"_new",Ammortamento_Finanziario!$H:$L,5,FALSE),VLOOKUP($M52,TT_Tabelle_Riferimento!$D$127:$H$164,5,FALSE))</f>
        <v>10</v>
      </c>
      <c r="NB52" s="904">
        <f>+IFERROR(VLOOKUP(NB$27&amp;"-"&amp;$M52&amp;"_new",Ammortamento_Finanziario!$H:$L,5,FALSE),VLOOKUP($M52,TT_Tabelle_Riferimento!$D$127:$H$164,5,FALSE))</f>
        <v>10</v>
      </c>
      <c r="NC52" s="904">
        <f>+IFERROR(VLOOKUP(NC$27&amp;"-"&amp;$M52&amp;"_new",Ammortamento_Finanziario!$H:$L,5,FALSE),VLOOKUP($M52,TT_Tabelle_Riferimento!$D$127:$H$164,5,FALSE))</f>
        <v>10</v>
      </c>
      <c r="ND52" s="904">
        <f>+IFERROR(VLOOKUP(ND$27&amp;"-"&amp;$M52&amp;"_new",Ammortamento_Finanziario!$H:$L,5,FALSE),VLOOKUP($M52,TT_Tabelle_Riferimento!$D$127:$H$164,5,FALSE))</f>
        <v>10</v>
      </c>
      <c r="NE52" s="904">
        <f>+IFERROR(VLOOKUP(NE$27&amp;"-"&amp;$M52&amp;"_new",Ammortamento_Finanziario!$H:$L,5,FALSE),VLOOKUP($M52,TT_Tabelle_Riferimento!$D$127:$H$164,5,FALSE))</f>
        <v>10</v>
      </c>
      <c r="NF52" s="904">
        <f>+IFERROR(VLOOKUP(NF$27&amp;"-"&amp;$M52&amp;"_new",Ammortamento_Finanziario!$H:$L,5,FALSE),VLOOKUP($M52,TT_Tabelle_Riferimento!$D$127:$H$164,5,FALSE))</f>
        <v>10</v>
      </c>
      <c r="NG52" s="904">
        <f>+IFERROR(VLOOKUP(NG$27&amp;"-"&amp;$M52&amp;"_new",Ammortamento_Finanziario!$H:$L,5,FALSE),VLOOKUP($M52,TT_Tabelle_Riferimento!$D$127:$H$164,5,FALSE))</f>
        <v>10</v>
      </c>
      <c r="NH52" s="904">
        <f>+IFERROR(VLOOKUP(NH$27&amp;"-"&amp;$M52&amp;"_new",Ammortamento_Finanziario!$H:$L,5,FALSE),VLOOKUP($M52,TT_Tabelle_Riferimento!$D$127:$H$164,5,FALSE))</f>
        <v>10</v>
      </c>
      <c r="NI52" s="904">
        <f>+IFERROR(VLOOKUP(NI$27&amp;"-"&amp;$M52&amp;"_new",Ammortamento_Finanziario!$H:$L,5,FALSE),VLOOKUP($M52,TT_Tabelle_Riferimento!$D$127:$H$164,5,FALSE))</f>
        <v>10</v>
      </c>
      <c r="NJ52" s="904">
        <f>+IFERROR(VLOOKUP(NJ$27&amp;"-"&amp;$M52&amp;"_new",Ammortamento_Finanziario!$H:$L,5,FALSE),VLOOKUP($M52,TT_Tabelle_Riferimento!$D$127:$H$164,5,FALSE))</f>
        <v>10</v>
      </c>
      <c r="NK52" s="904">
        <f>+IFERROR(VLOOKUP(NK$27&amp;"-"&amp;$M52&amp;"_new",Ammortamento_Finanziario!$H:$L,5,FALSE),VLOOKUP($M52,TT_Tabelle_Riferimento!$D$127:$H$164,5,FALSE))</f>
        <v>10</v>
      </c>
      <c r="NL52" s="904">
        <f>+IFERROR(VLOOKUP(NL$27&amp;"-"&amp;$M52&amp;"_new",Ammortamento_Finanziario!$H:$L,5,FALSE),VLOOKUP($M52,TT_Tabelle_Riferimento!$D$127:$H$164,5,FALSE))</f>
        <v>10</v>
      </c>
      <c r="NM52" s="904">
        <f>+IFERROR(VLOOKUP(NM$27&amp;"-"&amp;$M52&amp;"_new",Ammortamento_Finanziario!$H:$L,5,FALSE),VLOOKUP($M52,TT_Tabelle_Riferimento!$D$127:$H$164,5,FALSE))</f>
        <v>10</v>
      </c>
      <c r="NN52" s="904">
        <f>+IFERROR(VLOOKUP(NN$27&amp;"-"&amp;$M52&amp;"_new",Ammortamento_Finanziario!$H:$L,5,FALSE),VLOOKUP($M52,TT_Tabelle_Riferimento!$D$127:$H$164,5,FALSE))</f>
        <v>10</v>
      </c>
      <c r="NO52" s="904">
        <f>+IFERROR(VLOOKUP(NO$27&amp;"-"&amp;$M52&amp;"_new",Ammortamento_Finanziario!$H:$L,5,FALSE),VLOOKUP($M52,TT_Tabelle_Riferimento!$D$127:$H$164,5,FALSE))</f>
        <v>10</v>
      </c>
      <c r="NP52" s="904">
        <f>+IFERROR(VLOOKUP(NP$27&amp;"-"&amp;$M52&amp;"_new",Ammortamento_Finanziario!$H:$L,5,FALSE),VLOOKUP($M52,TT_Tabelle_Riferimento!$D$127:$H$164,5,FALSE))</f>
        <v>10</v>
      </c>
      <c r="NQ52" s="1762">
        <f>+IFERROR(VLOOKUP(NQ$27&amp;"-"&amp;$M52&amp;"_new",Ammortamento_Finanziario!$H:$L,5,FALSE),VLOOKUP($M52,TT_Tabelle_Riferimento!$D$127:$H$164,5,FALSE))</f>
        <v>10</v>
      </c>
      <c r="NR52" s="1762">
        <f>+IFERROR(VLOOKUP(NR$27&amp;"-"&amp;$M52&amp;"_new",Ammortamento_Finanziario!$H:$L,5,FALSE),VLOOKUP($M52,TT_Tabelle_Riferimento!$D$127:$H$164,5,FALSE))</f>
        <v>10</v>
      </c>
      <c r="NS52" s="1762">
        <f>+IFERROR(VLOOKUP(NS$27&amp;"-"&amp;$M52&amp;"_new",Ammortamento_Finanziario!$H:$L,5,FALSE),VLOOKUP($M52,TT_Tabelle_Riferimento!$D$127:$H$164,5,FALSE))</f>
        <v>10</v>
      </c>
      <c r="NT52" s="1762">
        <f>+IFERROR(VLOOKUP(NT$27&amp;"-"&amp;$M52&amp;"_new",Ammortamento_Finanziario!$H:$L,5,FALSE),VLOOKUP($M52,TT_Tabelle_Riferimento!$D$127:$H$164,5,FALSE))</f>
        <v>10</v>
      </c>
      <c r="NU52" s="1762">
        <f>+IFERROR(VLOOKUP(NU$27&amp;"-"&amp;$M52&amp;"_new",Ammortamento_Finanziario!$H:$L,5,FALSE),VLOOKUP($M52,TT_Tabelle_Riferimento!$D$127:$H$164,5,FALSE))</f>
        <v>10</v>
      </c>
      <c r="NV52" s="904">
        <f>+IFERROR(VLOOKUP(NV$27&amp;"-"&amp;$M52&amp;"_new",Ammortamento_Finanziario!$H:$L,5,FALSE),VLOOKUP($M52,TT_Tabelle_Riferimento!$D$127:$H$164,5,FALSE))</f>
        <v>10</v>
      </c>
      <c r="NW52" s="904">
        <f>+IFERROR(VLOOKUP(NW$27&amp;"-"&amp;$M52&amp;"_new",Ammortamento_Finanziario!$H:$L,5,FALSE),VLOOKUP($M52,TT_Tabelle_Riferimento!$D$127:$H$164,5,FALSE))</f>
        <v>10</v>
      </c>
      <c r="NX52" s="904">
        <f>+IFERROR(VLOOKUP(NX$27&amp;"-"&amp;$M52&amp;"_new",Ammortamento_Finanziario!$H:$L,5,FALSE),VLOOKUP($M52,TT_Tabelle_Riferimento!$D$127:$H$164,5,FALSE))</f>
        <v>10</v>
      </c>
      <c r="NY52" s="904">
        <f>+IFERROR(VLOOKUP(NY$27&amp;"-"&amp;$M52&amp;"_new",Ammortamento_Finanziario!$H:$L,5,FALSE),VLOOKUP($M52,TT_Tabelle_Riferimento!$D$127:$H$164,5,FALSE))</f>
        <v>10</v>
      </c>
      <c r="NZ52" s="904">
        <f>+IFERROR(VLOOKUP(NZ$27&amp;"-"&amp;$M52&amp;"_new",Ammortamento_Finanziario!$H:$L,5,FALSE),VLOOKUP($M52,TT_Tabelle_Riferimento!$D$127:$H$164,5,FALSE))</f>
        <v>10</v>
      </c>
      <c r="OA52" s="904">
        <f>+IFERROR(VLOOKUP(OA$27&amp;"-"&amp;$M52&amp;"_new",Ammortamento_Finanziario!$H:$L,5,FALSE),VLOOKUP($M52,TT_Tabelle_Riferimento!$D$127:$H$164,5,FALSE))</f>
        <v>10</v>
      </c>
      <c r="OB52" s="904">
        <f>+IFERROR(VLOOKUP(OB$27&amp;"-"&amp;$M52&amp;"_new",Ammortamento_Finanziario!$H:$L,5,FALSE),VLOOKUP($M52,TT_Tabelle_Riferimento!$D$127:$H$164,5,FALSE))</f>
        <v>10</v>
      </c>
      <c r="OC52" s="904">
        <f>+IFERROR(VLOOKUP(OC$27&amp;"-"&amp;$M52&amp;"_new",Ammortamento_Finanziario!$H:$L,5,FALSE),VLOOKUP($M52,TT_Tabelle_Riferimento!$D$127:$H$164,5,FALSE))</f>
        <v>10</v>
      </c>
      <c r="OD52" s="904">
        <f>+IFERROR(VLOOKUP(OD$27&amp;"-"&amp;$M52&amp;"_new",Ammortamento_Finanziario!$H:$L,5,FALSE),VLOOKUP($M52,TT_Tabelle_Riferimento!$D$127:$H$164,5,FALSE))</f>
        <v>10</v>
      </c>
      <c r="OE52" s="904">
        <f>+IFERROR(VLOOKUP(OE$27&amp;"-"&amp;$M52&amp;"_new",Ammortamento_Finanziario!$H:$L,5,FALSE),VLOOKUP($M52,TT_Tabelle_Riferimento!$D$127:$H$164,5,FALSE))</f>
        <v>10</v>
      </c>
      <c r="OF52" s="904">
        <f>+IFERROR(VLOOKUP(OF$27&amp;"-"&amp;$M52&amp;"_new",Ammortamento_Finanziario!$H:$L,5,FALSE),VLOOKUP($M52,TT_Tabelle_Riferimento!$D$127:$H$164,5,FALSE))</f>
        <v>10</v>
      </c>
      <c r="OG52" s="904">
        <f>+IFERROR(VLOOKUP(OG$27&amp;"-"&amp;$M52&amp;"_new",Ammortamento_Finanziario!$H:$L,5,FALSE),VLOOKUP($M52,TT_Tabelle_Riferimento!$D$127:$H$164,5,FALSE))</f>
        <v>10</v>
      </c>
      <c r="OH52" s="904">
        <f>+IFERROR(VLOOKUP(OH$27&amp;"-"&amp;$M52&amp;"_new",Ammortamento_Finanziario!$H:$L,5,FALSE),VLOOKUP($M52,TT_Tabelle_Riferimento!$D$127:$H$164,5,FALSE))</f>
        <v>10</v>
      </c>
      <c r="OI52" s="904">
        <f>+IFERROR(VLOOKUP(OI$27&amp;"-"&amp;$M52&amp;"_new",Ammortamento_Finanziario!$H:$L,5,FALSE),VLOOKUP($M52,TT_Tabelle_Riferimento!$D$127:$H$164,5,FALSE))</f>
        <v>10</v>
      </c>
      <c r="OJ52" s="904">
        <f>+IFERROR(VLOOKUP(OJ$27&amp;"-"&amp;$M52&amp;"_new",Ammortamento_Finanziario!$H:$L,5,FALSE),VLOOKUP($M52,TT_Tabelle_Riferimento!$D$127:$H$164,5,FALSE))</f>
        <v>10</v>
      </c>
      <c r="OK52" s="904">
        <f>+IFERROR(VLOOKUP(OK$27&amp;"-"&amp;$M52&amp;"_new",Ammortamento_Finanziario!$H:$L,5,FALSE),VLOOKUP($M52,TT_Tabelle_Riferimento!$D$127:$H$164,5,FALSE))</f>
        <v>10</v>
      </c>
      <c r="OL52" s="904">
        <f>+IFERROR(VLOOKUP(OL$27&amp;"-"&amp;$M52&amp;"_new",Ammortamento_Finanziario!$H:$L,5,FALSE),VLOOKUP($M52,TT_Tabelle_Riferimento!$D$127:$H$164,5,FALSE))</f>
        <v>10</v>
      </c>
      <c r="OM52" s="904">
        <f>+IFERROR(VLOOKUP(OM$27&amp;"-"&amp;$M52&amp;"_new",Ammortamento_Finanziario!$H:$L,5,FALSE),VLOOKUP($M52,TT_Tabelle_Riferimento!$D$127:$H$164,5,FALSE))</f>
        <v>10</v>
      </c>
      <c r="ON52" s="904">
        <f>+IFERROR(VLOOKUP(ON$27&amp;"-"&amp;$M52&amp;"_new",Ammortamento_Finanziario!$H:$L,5,FALSE),VLOOKUP($M52,TT_Tabelle_Riferimento!$D$127:$H$164,5,FALSE))</f>
        <v>10</v>
      </c>
      <c r="OO52" s="1762">
        <f>+IFERROR(VLOOKUP(OO$27&amp;"-"&amp;$M52&amp;"_new",Ammortamento_Finanziario!$H:$L,5,FALSE),VLOOKUP($M52,TT_Tabelle_Riferimento!$D$127:$H$164,5,FALSE))</f>
        <v>10</v>
      </c>
      <c r="OP52" s="1762">
        <f>+IFERROR(VLOOKUP(OP$27&amp;"-"&amp;$M52&amp;"_new",Ammortamento_Finanziario!$H:$L,5,FALSE),VLOOKUP($M52,TT_Tabelle_Riferimento!$D$127:$H$164,5,FALSE))</f>
        <v>10</v>
      </c>
      <c r="OQ52" s="1762">
        <f>+IFERROR(VLOOKUP(OQ$27&amp;"-"&amp;$M52&amp;"_new",Ammortamento_Finanziario!$H:$L,5,FALSE),VLOOKUP($M52,TT_Tabelle_Riferimento!$D$127:$H$164,5,FALSE))</f>
        <v>10</v>
      </c>
      <c r="OR52" s="1762">
        <f>+IFERROR(VLOOKUP(OR$27&amp;"-"&amp;$M52&amp;"_new",Ammortamento_Finanziario!$H:$L,5,FALSE),VLOOKUP($M52,TT_Tabelle_Riferimento!$D$127:$H$164,5,FALSE))</f>
        <v>10</v>
      </c>
      <c r="OS52" s="904">
        <f>+IFERROR(VLOOKUP(OS$27&amp;"-"&amp;$M52&amp;"_new",Ammortamento_Finanziario!$H:$L,5,FALSE),VLOOKUP($M52,TT_Tabelle_Riferimento!$D$127:$H$164,5,FALSE))</f>
        <v>10</v>
      </c>
      <c r="OT52" s="904">
        <f>+IFERROR(VLOOKUP(OT$27&amp;"-"&amp;$M52&amp;"_new",Ammortamento_Finanziario!$H:$L,5,FALSE),VLOOKUP($M52,TT_Tabelle_Riferimento!$D$127:$H$164,5,FALSE))</f>
        <v>10</v>
      </c>
      <c r="OU52" s="904">
        <f>+IFERROR(VLOOKUP(OU$27&amp;"-"&amp;$M52&amp;"_new",Ammortamento_Finanziario!$H:$L,5,FALSE),VLOOKUP($M52,TT_Tabelle_Riferimento!$D$127:$H$164,5,FALSE))</f>
        <v>10</v>
      </c>
      <c r="OV52" s="904">
        <f>+IFERROR(VLOOKUP(OV$27&amp;"-"&amp;$M52&amp;"_new",Ammortamento_Finanziario!$H:$L,5,FALSE),VLOOKUP($M52,TT_Tabelle_Riferimento!$D$127:$H$164,5,FALSE))</f>
        <v>10</v>
      </c>
      <c r="OW52" s="904">
        <f>+IFERROR(VLOOKUP(OW$27&amp;"-"&amp;$M52&amp;"_new",Ammortamento_Finanziario!$H:$L,5,FALSE),VLOOKUP($M52,TT_Tabelle_Riferimento!$D$127:$H$164,5,FALSE))</f>
        <v>10</v>
      </c>
      <c r="OX52" s="904">
        <f>+IFERROR(VLOOKUP(OX$27&amp;"-"&amp;$M52&amp;"_new",Ammortamento_Finanziario!$H:$L,5,FALSE),VLOOKUP($M52,TT_Tabelle_Riferimento!$D$127:$H$164,5,FALSE))</f>
        <v>10</v>
      </c>
      <c r="OY52" s="904">
        <f>+IFERROR(VLOOKUP(OY$27&amp;"-"&amp;$M52&amp;"_new",Ammortamento_Finanziario!$H:$L,5,FALSE),VLOOKUP($M52,TT_Tabelle_Riferimento!$D$127:$H$164,5,FALSE))</f>
        <v>10</v>
      </c>
      <c r="OZ52" s="904">
        <f>+IFERROR(VLOOKUP(OZ$27&amp;"-"&amp;$M52&amp;"_new",Ammortamento_Finanziario!$H:$L,5,FALSE),VLOOKUP($M52,TT_Tabelle_Riferimento!$D$127:$H$164,5,FALSE))</f>
        <v>10</v>
      </c>
      <c r="PA52" s="904">
        <f>+IFERROR(VLOOKUP(PA$27&amp;"-"&amp;$M52&amp;"_new",Ammortamento_Finanziario!$H:$L,5,FALSE),VLOOKUP($M52,TT_Tabelle_Riferimento!$D$127:$H$164,5,FALSE))</f>
        <v>10</v>
      </c>
      <c r="PB52" s="904">
        <f>+IFERROR(VLOOKUP(PB$27&amp;"-"&amp;$M52&amp;"_new",Ammortamento_Finanziario!$H:$L,5,FALSE),VLOOKUP($M52,TT_Tabelle_Riferimento!$D$127:$H$164,5,FALSE))</f>
        <v>10</v>
      </c>
      <c r="PC52" s="904">
        <f>+IFERROR(VLOOKUP(PC$27&amp;"-"&amp;$M52&amp;"_new",Ammortamento_Finanziario!$H:$L,5,FALSE),VLOOKUP($M52,TT_Tabelle_Riferimento!$D$127:$H$164,5,FALSE))</f>
        <v>10</v>
      </c>
      <c r="PD52" s="904">
        <f>+IFERROR(VLOOKUP(PD$27&amp;"-"&amp;$M52&amp;"_new",Ammortamento_Finanziario!$H:$L,5,FALSE),VLOOKUP($M52,TT_Tabelle_Riferimento!$D$127:$H$164,5,FALSE))</f>
        <v>10</v>
      </c>
      <c r="PE52" s="904">
        <f>+IFERROR(VLOOKUP(PE$27&amp;"-"&amp;$M52&amp;"_new",Ammortamento_Finanziario!$H:$L,5,FALSE),VLOOKUP($M52,TT_Tabelle_Riferimento!$D$127:$H$164,5,FALSE))</f>
        <v>10</v>
      </c>
      <c r="PF52" s="904">
        <f>+IFERROR(VLOOKUP(PF$27&amp;"-"&amp;$M52&amp;"_new",Ammortamento_Finanziario!$H:$L,5,FALSE),VLOOKUP($M52,TT_Tabelle_Riferimento!$D$127:$H$164,5,FALSE))</f>
        <v>10</v>
      </c>
      <c r="PG52" s="904">
        <f>+IFERROR(VLOOKUP(PG$27&amp;"-"&amp;$M52&amp;"_new",Ammortamento_Finanziario!$H:$L,5,FALSE),VLOOKUP($M52,TT_Tabelle_Riferimento!$D$127:$H$164,5,FALSE))</f>
        <v>10</v>
      </c>
      <c r="PH52" s="904">
        <f>+IFERROR(VLOOKUP(PH$27&amp;"-"&amp;$M52&amp;"_new",Ammortamento_Finanziario!$H:$L,5,FALSE),VLOOKUP($M52,TT_Tabelle_Riferimento!$D$127:$H$164,5,FALSE))</f>
        <v>10</v>
      </c>
      <c r="PI52" s="904">
        <f>+IFERROR(VLOOKUP(PI$27&amp;"-"&amp;$M52&amp;"_new",Ammortamento_Finanziario!$H:$L,5,FALSE),VLOOKUP($M52,TT_Tabelle_Riferimento!$D$127:$H$164,5,FALSE))</f>
        <v>10</v>
      </c>
      <c r="PJ52" s="904">
        <f>+IFERROR(VLOOKUP(PJ$27&amp;"-"&amp;$M52&amp;"_new",Ammortamento_Finanziario!$H:$L,5,FALSE),VLOOKUP($M52,TT_Tabelle_Riferimento!$D$127:$H$164,5,FALSE))</f>
        <v>10</v>
      </c>
      <c r="PK52" s="904">
        <f>+IFERROR(VLOOKUP(PK$27&amp;"-"&amp;$M52&amp;"_new",Ammortamento_Finanziario!$H:$L,5,FALSE),VLOOKUP($M52,TT_Tabelle_Riferimento!$D$127:$H$164,5,FALSE))</f>
        <v>10</v>
      </c>
      <c r="PL52" s="1762">
        <f>+IFERROR(VLOOKUP(PL$27&amp;"-"&amp;$M52&amp;"_new",Ammortamento_Finanziario!$H:$L,5,FALSE),VLOOKUP($M52,TT_Tabelle_Riferimento!$D$127:$H$164,5,FALSE))</f>
        <v>10</v>
      </c>
      <c r="PM52" s="1762">
        <f>+IFERROR(VLOOKUP(PM$27&amp;"-"&amp;$M52&amp;"_new",Ammortamento_Finanziario!$H:$L,5,FALSE),VLOOKUP($M52,TT_Tabelle_Riferimento!$D$127:$H$164,5,FALSE))</f>
        <v>10</v>
      </c>
      <c r="PN52" s="1762">
        <f>+IFERROR(VLOOKUP(PN$27&amp;"-"&amp;$M52&amp;"_new",Ammortamento_Finanziario!$H:$L,5,FALSE),VLOOKUP($M52,TT_Tabelle_Riferimento!$D$127:$H$164,5,FALSE))</f>
        <v>10</v>
      </c>
      <c r="PO52" s="904">
        <f>+IFERROR(VLOOKUP(PO$27&amp;"-"&amp;$M52&amp;"_new",Ammortamento_Finanziario!$H:$L,5,FALSE),VLOOKUP($M52,TT_Tabelle_Riferimento!$D$127:$H$164,5,FALSE))</f>
        <v>10</v>
      </c>
      <c r="PP52" s="904">
        <f>+IFERROR(VLOOKUP(PP$27&amp;"-"&amp;$M52&amp;"_new",Ammortamento_Finanziario!$H:$L,5,FALSE),VLOOKUP($M52,TT_Tabelle_Riferimento!$D$127:$H$164,5,FALSE))</f>
        <v>10</v>
      </c>
      <c r="PQ52" s="904">
        <f>+IFERROR(VLOOKUP(PQ$27&amp;"-"&amp;$M52&amp;"_new",Ammortamento_Finanziario!$H:$L,5,FALSE),VLOOKUP($M52,TT_Tabelle_Riferimento!$D$127:$H$164,5,FALSE))</f>
        <v>10</v>
      </c>
      <c r="PR52" s="904">
        <f>+IFERROR(VLOOKUP(PR$27&amp;"-"&amp;$M52&amp;"_new",Ammortamento_Finanziario!$H:$L,5,FALSE),VLOOKUP($M52,TT_Tabelle_Riferimento!$D$127:$H$164,5,FALSE))</f>
        <v>10</v>
      </c>
      <c r="PS52" s="904">
        <f>+IFERROR(VLOOKUP(PS$27&amp;"-"&amp;$M52&amp;"_new",Ammortamento_Finanziario!$H:$L,5,FALSE),VLOOKUP($M52,TT_Tabelle_Riferimento!$D$127:$H$164,5,FALSE))</f>
        <v>10</v>
      </c>
      <c r="PT52" s="904">
        <f>+IFERROR(VLOOKUP(PT$27&amp;"-"&amp;$M52&amp;"_new",Ammortamento_Finanziario!$H:$L,5,FALSE),VLOOKUP($M52,TT_Tabelle_Riferimento!$D$127:$H$164,5,FALSE))</f>
        <v>10</v>
      </c>
      <c r="PU52" s="904">
        <f>+IFERROR(VLOOKUP(PU$27&amp;"-"&amp;$M52&amp;"_new",Ammortamento_Finanziario!$H:$L,5,FALSE),VLOOKUP($M52,TT_Tabelle_Riferimento!$D$127:$H$164,5,FALSE))</f>
        <v>10</v>
      </c>
      <c r="PV52" s="904">
        <f>+IFERROR(VLOOKUP(PV$27&amp;"-"&amp;$M52&amp;"_new",Ammortamento_Finanziario!$H:$L,5,FALSE),VLOOKUP($M52,TT_Tabelle_Riferimento!$D$127:$H$164,5,FALSE))</f>
        <v>10</v>
      </c>
      <c r="PW52" s="904">
        <f>+IFERROR(VLOOKUP(PW$27&amp;"-"&amp;$M52&amp;"_new",Ammortamento_Finanziario!$H:$L,5,FALSE),VLOOKUP($M52,TT_Tabelle_Riferimento!$D$127:$H$164,5,FALSE))</f>
        <v>10</v>
      </c>
      <c r="PX52" s="904">
        <f>+IFERROR(VLOOKUP(PX$27&amp;"-"&amp;$M52&amp;"_new",Ammortamento_Finanziario!$H:$L,5,FALSE),VLOOKUP($M52,TT_Tabelle_Riferimento!$D$127:$H$164,5,FALSE))</f>
        <v>10</v>
      </c>
      <c r="PY52" s="904">
        <f>+IFERROR(VLOOKUP(PY$27&amp;"-"&amp;$M52&amp;"_new",Ammortamento_Finanziario!$H:$L,5,FALSE),VLOOKUP($M52,TT_Tabelle_Riferimento!$D$127:$H$164,5,FALSE))</f>
        <v>10</v>
      </c>
      <c r="PZ52" s="904">
        <f>+IFERROR(VLOOKUP(PZ$27&amp;"-"&amp;$M52&amp;"_new",Ammortamento_Finanziario!$H:$L,5,FALSE),VLOOKUP($M52,TT_Tabelle_Riferimento!$D$127:$H$164,5,FALSE))</f>
        <v>10</v>
      </c>
      <c r="QA52" s="904">
        <f>+IFERROR(VLOOKUP(QA$27&amp;"-"&amp;$M52&amp;"_new",Ammortamento_Finanziario!$H:$L,5,FALSE),VLOOKUP($M52,TT_Tabelle_Riferimento!$D$127:$H$164,5,FALSE))</f>
        <v>10</v>
      </c>
      <c r="QB52" s="904">
        <f>+IFERROR(VLOOKUP(QB$27&amp;"-"&amp;$M52&amp;"_new",Ammortamento_Finanziario!$H:$L,5,FALSE),VLOOKUP($M52,TT_Tabelle_Riferimento!$D$127:$H$164,5,FALSE))</f>
        <v>10</v>
      </c>
      <c r="QC52" s="904">
        <f>+IFERROR(VLOOKUP(QC$27&amp;"-"&amp;$M52&amp;"_new",Ammortamento_Finanziario!$H:$L,5,FALSE),VLOOKUP($M52,TT_Tabelle_Riferimento!$D$127:$H$164,5,FALSE))</f>
        <v>10</v>
      </c>
      <c r="QD52" s="904">
        <f>+IFERROR(VLOOKUP(QD$27&amp;"-"&amp;$M52&amp;"_new",Ammortamento_Finanziario!$H:$L,5,FALSE),VLOOKUP($M52,TT_Tabelle_Riferimento!$D$127:$H$164,5,FALSE))</f>
        <v>10</v>
      </c>
      <c r="QE52" s="904">
        <f>+IFERROR(VLOOKUP(QE$27&amp;"-"&amp;$M52&amp;"_new",Ammortamento_Finanziario!$H:$L,5,FALSE),VLOOKUP($M52,TT_Tabelle_Riferimento!$D$127:$H$164,5,FALSE))</f>
        <v>10</v>
      </c>
      <c r="QF52" s="904">
        <f>+IFERROR(VLOOKUP(QF$27&amp;"-"&amp;$M52&amp;"_new",Ammortamento_Finanziario!$H:$L,5,FALSE),VLOOKUP($M52,TT_Tabelle_Riferimento!$D$127:$H$164,5,FALSE))</f>
        <v>10</v>
      </c>
      <c r="QG52" s="904">
        <f>+IFERROR(VLOOKUP(QG$27&amp;"-"&amp;$M52&amp;"_new",Ammortamento_Finanziario!$H:$L,5,FALSE),VLOOKUP($M52,TT_Tabelle_Riferimento!$D$127:$H$164,5,FALSE))</f>
        <v>10</v>
      </c>
      <c r="QH52" s="1762">
        <f>+IFERROR(VLOOKUP(QH$27&amp;"-"&amp;$M52&amp;"_new",Ammortamento_Finanziario!$H:$L,5,FALSE),VLOOKUP($M52,TT_Tabelle_Riferimento!$D$127:$H$164,5,FALSE))</f>
        <v>10</v>
      </c>
      <c r="QI52" s="1762">
        <f>+IFERROR(VLOOKUP(QI$27&amp;"-"&amp;$M52&amp;"_new",Ammortamento_Finanziario!$H:$L,5,FALSE),VLOOKUP($M52,TT_Tabelle_Riferimento!$D$127:$H$164,5,FALSE))</f>
        <v>10</v>
      </c>
      <c r="QJ52" s="904">
        <f>+IFERROR(VLOOKUP(QJ$27&amp;"-"&amp;$M52&amp;"_new",Ammortamento_Finanziario!$H:$L,5,FALSE),VLOOKUP($M52,TT_Tabelle_Riferimento!$D$127:$H$164,5,FALSE))</f>
        <v>10</v>
      </c>
      <c r="QK52" s="904">
        <f>+IFERROR(VLOOKUP(QK$27&amp;"-"&amp;$M52&amp;"_new",Ammortamento_Finanziario!$H:$L,5,FALSE),VLOOKUP($M52,TT_Tabelle_Riferimento!$D$127:$H$164,5,FALSE))</f>
        <v>10</v>
      </c>
      <c r="QL52" s="904">
        <f>+IFERROR(VLOOKUP(QL$27&amp;"-"&amp;$M52&amp;"_new",Ammortamento_Finanziario!$H:$L,5,FALSE),VLOOKUP($M52,TT_Tabelle_Riferimento!$D$127:$H$164,5,FALSE))</f>
        <v>10</v>
      </c>
      <c r="QM52" s="904">
        <f>+IFERROR(VLOOKUP(QM$27&amp;"-"&amp;$M52&amp;"_new",Ammortamento_Finanziario!$H:$L,5,FALSE),VLOOKUP($M52,TT_Tabelle_Riferimento!$D$127:$H$164,5,FALSE))</f>
        <v>10</v>
      </c>
      <c r="QN52" s="904">
        <f>+IFERROR(VLOOKUP(QN$27&amp;"-"&amp;$M52&amp;"_new",Ammortamento_Finanziario!$H:$L,5,FALSE),VLOOKUP($M52,TT_Tabelle_Riferimento!$D$127:$H$164,5,FALSE))</f>
        <v>10</v>
      </c>
      <c r="QO52" s="904">
        <f>+IFERROR(VLOOKUP(QO$27&amp;"-"&amp;$M52&amp;"_new",Ammortamento_Finanziario!$H:$L,5,FALSE),VLOOKUP($M52,TT_Tabelle_Riferimento!$D$127:$H$164,5,FALSE))</f>
        <v>10</v>
      </c>
      <c r="QP52" s="904">
        <f>+IFERROR(VLOOKUP(QP$27&amp;"-"&amp;$M52&amp;"_new",Ammortamento_Finanziario!$H:$L,5,FALSE),VLOOKUP($M52,TT_Tabelle_Riferimento!$D$127:$H$164,5,FALSE))</f>
        <v>10</v>
      </c>
      <c r="QQ52" s="904">
        <f>+IFERROR(VLOOKUP(QQ$27&amp;"-"&amp;$M52&amp;"_new",Ammortamento_Finanziario!$H:$L,5,FALSE),VLOOKUP($M52,TT_Tabelle_Riferimento!$D$127:$H$164,5,FALSE))</f>
        <v>10</v>
      </c>
      <c r="QR52" s="904">
        <f>+IFERROR(VLOOKUP(QR$27&amp;"-"&amp;$M52&amp;"_new",Ammortamento_Finanziario!$H:$L,5,FALSE),VLOOKUP($M52,TT_Tabelle_Riferimento!$D$127:$H$164,5,FALSE))</f>
        <v>10</v>
      </c>
      <c r="QS52" s="904">
        <f>+IFERROR(VLOOKUP(QS$27&amp;"-"&amp;$M52&amp;"_new",Ammortamento_Finanziario!$H:$L,5,FALSE),VLOOKUP($M52,TT_Tabelle_Riferimento!$D$127:$H$164,5,FALSE))</f>
        <v>10</v>
      </c>
      <c r="QT52" s="904">
        <f>+IFERROR(VLOOKUP(QT$27&amp;"-"&amp;$M52&amp;"_new",Ammortamento_Finanziario!$H:$L,5,FALSE),VLOOKUP($M52,TT_Tabelle_Riferimento!$D$127:$H$164,5,FALSE))</f>
        <v>10</v>
      </c>
      <c r="QU52" s="904">
        <f>+IFERROR(VLOOKUP(QU$27&amp;"-"&amp;$M52&amp;"_new",Ammortamento_Finanziario!$H:$L,5,FALSE),VLOOKUP($M52,TT_Tabelle_Riferimento!$D$127:$H$164,5,FALSE))</f>
        <v>10</v>
      </c>
      <c r="QV52" s="904">
        <f>+IFERROR(VLOOKUP(QV$27&amp;"-"&amp;$M52&amp;"_new",Ammortamento_Finanziario!$H:$L,5,FALSE),VLOOKUP($M52,TT_Tabelle_Riferimento!$D$127:$H$164,5,FALSE))</f>
        <v>10</v>
      </c>
      <c r="QW52" s="904">
        <f>+IFERROR(VLOOKUP(QW$27&amp;"-"&amp;$M52&amp;"_new",Ammortamento_Finanziario!$H:$L,5,FALSE),VLOOKUP($M52,TT_Tabelle_Riferimento!$D$127:$H$164,5,FALSE))</f>
        <v>10</v>
      </c>
      <c r="QX52" s="904">
        <f>+IFERROR(VLOOKUP(QX$27&amp;"-"&amp;$M52&amp;"_new",Ammortamento_Finanziario!$H:$L,5,FALSE),VLOOKUP($M52,TT_Tabelle_Riferimento!$D$127:$H$164,5,FALSE))</f>
        <v>10</v>
      </c>
      <c r="QY52" s="904">
        <f>+IFERROR(VLOOKUP(QY$27&amp;"-"&amp;$M52&amp;"_new",Ammortamento_Finanziario!$H:$L,5,FALSE),VLOOKUP($M52,TT_Tabelle_Riferimento!$D$127:$H$164,5,FALSE))</f>
        <v>10</v>
      </c>
      <c r="QZ52" s="904">
        <f>+IFERROR(VLOOKUP(QZ$27&amp;"-"&amp;$M52&amp;"_new",Ammortamento_Finanziario!$H:$L,5,FALSE),VLOOKUP($M52,TT_Tabelle_Riferimento!$D$127:$H$164,5,FALSE))</f>
        <v>10</v>
      </c>
      <c r="RA52" s="904">
        <f>+IFERROR(VLOOKUP(RA$27&amp;"-"&amp;$M52&amp;"_new",Ammortamento_Finanziario!$H:$L,5,FALSE),VLOOKUP($M52,TT_Tabelle_Riferimento!$D$127:$H$164,5,FALSE))</f>
        <v>10</v>
      </c>
      <c r="RB52" s="904">
        <f>+IFERROR(VLOOKUP(RB$27&amp;"-"&amp;$M52&amp;"_new",Ammortamento_Finanziario!$H:$L,5,FALSE),VLOOKUP($M52,TT_Tabelle_Riferimento!$D$127:$H$164,5,FALSE))</f>
        <v>10</v>
      </c>
      <c r="RC52" s="1762">
        <f>+IFERROR(VLOOKUP(RC$27&amp;"-"&amp;$M52&amp;"_new",Ammortamento_Finanziario!$H:$L,5,FALSE),VLOOKUP($M52,TT_Tabelle_Riferimento!$D$127:$H$164,5,FALSE))</f>
        <v>10</v>
      </c>
      <c r="RD52" s="904">
        <f>+IFERROR(VLOOKUP(RD$27&amp;"-"&amp;$M52&amp;"_new",Ammortamento_Finanziario!$H:$L,5,FALSE),VLOOKUP($M52,TT_Tabelle_Riferimento!$D$127:$H$164,5,FALSE))</f>
        <v>10</v>
      </c>
      <c r="RE52" s="904">
        <f>+IFERROR(VLOOKUP(RE$27&amp;"-"&amp;$M52&amp;"_new",Ammortamento_Finanziario!$H:$L,5,FALSE),VLOOKUP($M52,TT_Tabelle_Riferimento!$D$127:$H$164,5,FALSE))</f>
        <v>10</v>
      </c>
      <c r="RF52" s="904">
        <f>+IFERROR(VLOOKUP(RF$27&amp;"-"&amp;$M52&amp;"_new",Ammortamento_Finanziario!$H:$L,5,FALSE),VLOOKUP($M52,TT_Tabelle_Riferimento!$D$127:$H$164,5,FALSE))</f>
        <v>10</v>
      </c>
      <c r="RG52" s="904">
        <f>+IFERROR(VLOOKUP(RG$27&amp;"-"&amp;$M52&amp;"_new",Ammortamento_Finanziario!$H:$L,5,FALSE),VLOOKUP($M52,TT_Tabelle_Riferimento!$D$127:$H$164,5,FALSE))</f>
        <v>10</v>
      </c>
      <c r="RH52" s="904">
        <f>+IFERROR(VLOOKUP(RH$27&amp;"-"&amp;$M52&amp;"_new",Ammortamento_Finanziario!$H:$L,5,FALSE),VLOOKUP($M52,TT_Tabelle_Riferimento!$D$127:$H$164,5,FALSE))</f>
        <v>10</v>
      </c>
      <c r="RI52" s="904">
        <f>+IFERROR(VLOOKUP(RI$27&amp;"-"&amp;$M52&amp;"_new",Ammortamento_Finanziario!$H:$L,5,FALSE),VLOOKUP($M52,TT_Tabelle_Riferimento!$D$127:$H$164,5,FALSE))</f>
        <v>10</v>
      </c>
      <c r="RJ52" s="904">
        <f>+IFERROR(VLOOKUP(RJ$27&amp;"-"&amp;$M52&amp;"_new",Ammortamento_Finanziario!$H:$L,5,FALSE),VLOOKUP($M52,TT_Tabelle_Riferimento!$D$127:$H$164,5,FALSE))</f>
        <v>10</v>
      </c>
      <c r="RK52" s="904">
        <f>+IFERROR(VLOOKUP(RK$27&amp;"-"&amp;$M52&amp;"_new",Ammortamento_Finanziario!$H:$L,5,FALSE),VLOOKUP($M52,TT_Tabelle_Riferimento!$D$127:$H$164,5,FALSE))</f>
        <v>10</v>
      </c>
      <c r="RL52" s="904">
        <f>+IFERROR(VLOOKUP(RL$27&amp;"-"&amp;$M52&amp;"_new",Ammortamento_Finanziario!$H:$L,5,FALSE),VLOOKUP($M52,TT_Tabelle_Riferimento!$D$127:$H$164,5,FALSE))</f>
        <v>10</v>
      </c>
      <c r="RM52" s="904">
        <f>+IFERROR(VLOOKUP(RM$27&amp;"-"&amp;$M52&amp;"_new",Ammortamento_Finanziario!$H:$L,5,FALSE),VLOOKUP($M52,TT_Tabelle_Riferimento!$D$127:$H$164,5,FALSE))</f>
        <v>10</v>
      </c>
      <c r="RN52" s="904">
        <f>+IFERROR(VLOOKUP(RN$27&amp;"-"&amp;$M52&amp;"_new",Ammortamento_Finanziario!$H:$L,5,FALSE),VLOOKUP($M52,TT_Tabelle_Riferimento!$D$127:$H$164,5,FALSE))</f>
        <v>10</v>
      </c>
      <c r="RO52" s="904">
        <f>+IFERROR(VLOOKUP(RO$27&amp;"-"&amp;$M52&amp;"_new",Ammortamento_Finanziario!$H:$L,5,FALSE),VLOOKUP($M52,TT_Tabelle_Riferimento!$D$127:$H$164,5,FALSE))</f>
        <v>10</v>
      </c>
      <c r="RP52" s="904">
        <f>+IFERROR(VLOOKUP(RP$27&amp;"-"&amp;$M52&amp;"_new",Ammortamento_Finanziario!$H:$L,5,FALSE),VLOOKUP($M52,TT_Tabelle_Riferimento!$D$127:$H$164,5,FALSE))</f>
        <v>10</v>
      </c>
      <c r="RQ52" s="904">
        <f>+IFERROR(VLOOKUP(RQ$27&amp;"-"&amp;$M52&amp;"_new",Ammortamento_Finanziario!$H:$L,5,FALSE),VLOOKUP($M52,TT_Tabelle_Riferimento!$D$127:$H$164,5,FALSE))</f>
        <v>10</v>
      </c>
      <c r="RR52" s="904">
        <f>+IFERROR(VLOOKUP(RR$27&amp;"-"&amp;$M52&amp;"_new",Ammortamento_Finanziario!$H:$L,5,FALSE),VLOOKUP($M52,TT_Tabelle_Riferimento!$D$127:$H$164,5,FALSE))</f>
        <v>10</v>
      </c>
      <c r="RS52" s="904">
        <f>+IFERROR(VLOOKUP(RS$27&amp;"-"&amp;$M52&amp;"_new",Ammortamento_Finanziario!$H:$L,5,FALSE),VLOOKUP($M52,TT_Tabelle_Riferimento!$D$127:$H$164,5,FALSE))</f>
        <v>10</v>
      </c>
      <c r="RT52" s="904">
        <f>+IFERROR(VLOOKUP(RT$27&amp;"-"&amp;$M52&amp;"_new",Ammortamento_Finanziario!$H:$L,5,FALSE),VLOOKUP($M52,TT_Tabelle_Riferimento!$D$127:$H$164,5,FALSE))</f>
        <v>10</v>
      </c>
      <c r="RU52" s="904">
        <f>+IFERROR(VLOOKUP(RU$27&amp;"-"&amp;$M52&amp;"_new",Ammortamento_Finanziario!$H:$L,5,FALSE),VLOOKUP($M52,TT_Tabelle_Riferimento!$D$127:$H$164,5,FALSE))</f>
        <v>10</v>
      </c>
      <c r="RV52" s="904">
        <f>+IFERROR(VLOOKUP(RV$27&amp;"-"&amp;$M52&amp;"_new",Ammortamento_Finanziario!$H:$L,5,FALSE),VLOOKUP($M52,TT_Tabelle_Riferimento!$D$127:$H$164,5,FALSE))</f>
        <v>10</v>
      </c>
    </row>
    <row r="53" spans="4:490">
      <c r="E53" s="1774">
        <v>2024</v>
      </c>
      <c r="F53" s="1774">
        <v>2025</v>
      </c>
      <c r="G53" s="1771">
        <v>2026</v>
      </c>
      <c r="H53" s="1772">
        <v>2027</v>
      </c>
      <c r="I53" s="1774">
        <v>2028</v>
      </c>
      <c r="J53" s="1774">
        <v>2029</v>
      </c>
      <c r="M53" s="1756">
        <v>26</v>
      </c>
      <c r="N53" s="1759">
        <v>0</v>
      </c>
      <c r="O53" s="1759">
        <v>0</v>
      </c>
      <c r="P53" s="1759">
        <v>0</v>
      </c>
      <c r="Q53" s="1759">
        <v>0</v>
      </c>
      <c r="R53" s="1759">
        <v>0</v>
      </c>
      <c r="S53" s="1759">
        <v>0</v>
      </c>
      <c r="T53" s="1759">
        <v>0</v>
      </c>
      <c r="U53" s="1759">
        <v>0</v>
      </c>
      <c r="V53" s="1759">
        <v>0</v>
      </c>
      <c r="W53" s="1759">
        <v>0</v>
      </c>
      <c r="X53" s="1759">
        <v>0</v>
      </c>
      <c r="Y53" s="1759">
        <v>0</v>
      </c>
      <c r="Z53" s="1759">
        <v>0</v>
      </c>
      <c r="AA53" s="1759">
        <v>0</v>
      </c>
      <c r="AB53" s="1759">
        <v>0</v>
      </c>
      <c r="AC53" s="1759">
        <v>0</v>
      </c>
      <c r="AD53" s="1759">
        <v>0</v>
      </c>
      <c r="AE53" s="1759">
        <v>0</v>
      </c>
      <c r="AF53" s="1759">
        <v>0</v>
      </c>
      <c r="AG53" s="1759">
        <v>0</v>
      </c>
      <c r="AH53" s="1759">
        <v>0</v>
      </c>
      <c r="AI53" s="1759">
        <v>0</v>
      </c>
      <c r="AJ53" s="1759">
        <v>0</v>
      </c>
      <c r="AK53" s="1759">
        <v>0</v>
      </c>
      <c r="AL53" s="1759">
        <v>0</v>
      </c>
      <c r="AM53" s="1759">
        <v>0</v>
      </c>
      <c r="AN53" s="1759">
        <v>0</v>
      </c>
      <c r="AO53" s="1759">
        <v>0</v>
      </c>
      <c r="AP53" s="1759">
        <v>0</v>
      </c>
      <c r="AQ53" s="1759">
        <v>0</v>
      </c>
      <c r="AR53" s="1759">
        <v>0</v>
      </c>
      <c r="AS53" s="1759">
        <v>0</v>
      </c>
      <c r="AT53" s="1759">
        <v>0</v>
      </c>
      <c r="AU53" s="1759">
        <v>0</v>
      </c>
      <c r="AV53" s="1759">
        <v>0</v>
      </c>
      <c r="AW53" s="1759">
        <v>0</v>
      </c>
      <c r="AX53" s="1759">
        <v>0</v>
      </c>
      <c r="AY53" s="1759">
        <v>0</v>
      </c>
      <c r="AZ53" s="1759">
        <v>0</v>
      </c>
      <c r="BA53" s="1759">
        <v>0</v>
      </c>
      <c r="BB53" s="1759">
        <v>0</v>
      </c>
      <c r="BC53" s="1759">
        <v>0</v>
      </c>
      <c r="BD53" s="1759">
        <v>0</v>
      </c>
      <c r="BE53" s="1759">
        <v>0</v>
      </c>
      <c r="BF53" s="1759">
        <v>0</v>
      </c>
      <c r="BG53" s="1759">
        <v>0</v>
      </c>
      <c r="BH53" s="1759">
        <v>0</v>
      </c>
      <c r="BI53" s="1759">
        <v>0</v>
      </c>
      <c r="BJ53" s="1759">
        <v>0</v>
      </c>
      <c r="BK53" s="1759">
        <v>0</v>
      </c>
      <c r="BL53" s="1759">
        <v>0</v>
      </c>
      <c r="BM53" s="1759">
        <v>0</v>
      </c>
      <c r="BN53" s="1759">
        <v>0</v>
      </c>
      <c r="BO53" s="1759">
        <v>0</v>
      </c>
      <c r="BP53" s="1759">
        <v>0</v>
      </c>
      <c r="BQ53" s="1759">
        <v>0</v>
      </c>
      <c r="BR53" s="1759">
        <v>0</v>
      </c>
      <c r="BS53" s="1759">
        <v>0</v>
      </c>
      <c r="BT53" s="1759">
        <v>0</v>
      </c>
      <c r="BU53" s="1759">
        <v>0</v>
      </c>
      <c r="BV53" s="1759">
        <v>0</v>
      </c>
      <c r="BW53" s="1759">
        <v>0</v>
      </c>
      <c r="BX53" s="1759">
        <v>0</v>
      </c>
      <c r="BY53" s="1759">
        <v>0</v>
      </c>
      <c r="BZ53" s="1759">
        <v>0</v>
      </c>
      <c r="CA53" s="1759">
        <v>0</v>
      </c>
      <c r="CB53" s="1759">
        <v>0</v>
      </c>
      <c r="CC53" s="1759">
        <v>0</v>
      </c>
      <c r="CD53" s="1759">
        <v>0</v>
      </c>
      <c r="CE53" s="1759">
        <v>0</v>
      </c>
      <c r="CF53" s="1759">
        <v>0</v>
      </c>
      <c r="CG53" s="1759">
        <v>0</v>
      </c>
      <c r="CH53" s="1759">
        <v>0</v>
      </c>
      <c r="CI53" s="1759">
        <v>0</v>
      </c>
      <c r="CJ53" s="1759">
        <v>0</v>
      </c>
      <c r="CK53" s="1759">
        <v>0</v>
      </c>
      <c r="CL53" s="1759">
        <v>0</v>
      </c>
      <c r="CM53" s="1759">
        <v>0</v>
      </c>
      <c r="CN53" s="1759">
        <v>0</v>
      </c>
      <c r="CO53" s="1759">
        <v>0</v>
      </c>
      <c r="CP53" s="1759">
        <v>0</v>
      </c>
      <c r="CQ53" s="1759">
        <v>0</v>
      </c>
      <c r="CR53" s="1759">
        <v>0</v>
      </c>
      <c r="CS53" s="1759">
        <v>0</v>
      </c>
      <c r="CT53" s="1759">
        <v>0</v>
      </c>
      <c r="CU53" s="1759">
        <v>0</v>
      </c>
      <c r="CV53" s="1759">
        <v>0</v>
      </c>
      <c r="CW53" s="1759">
        <v>0</v>
      </c>
      <c r="CX53" s="1759">
        <v>0</v>
      </c>
      <c r="CY53" s="1759">
        <v>0</v>
      </c>
      <c r="CZ53" s="1759">
        <v>0</v>
      </c>
      <c r="DA53" s="1759">
        <v>0</v>
      </c>
      <c r="DB53" s="1759">
        <v>0</v>
      </c>
      <c r="DC53" s="1759">
        <v>0</v>
      </c>
      <c r="DD53" s="1759">
        <v>0</v>
      </c>
      <c r="DE53" s="1759">
        <v>0</v>
      </c>
      <c r="DF53" s="1759">
        <v>0</v>
      </c>
      <c r="DG53" s="1759">
        <v>0</v>
      </c>
      <c r="DH53" s="1759">
        <v>0</v>
      </c>
      <c r="DI53" s="1759">
        <v>0</v>
      </c>
      <c r="DJ53" s="1759">
        <v>0</v>
      </c>
      <c r="DK53" s="1759">
        <v>0</v>
      </c>
      <c r="DL53" s="1759">
        <v>0</v>
      </c>
      <c r="DM53" s="1759">
        <v>0</v>
      </c>
      <c r="DN53" s="1759">
        <v>0</v>
      </c>
      <c r="DO53" s="1759">
        <v>0</v>
      </c>
      <c r="DP53" s="1759">
        <v>0</v>
      </c>
      <c r="DQ53" s="1759">
        <v>0</v>
      </c>
      <c r="DR53" s="1759">
        <v>0</v>
      </c>
      <c r="DS53" s="1759">
        <v>0</v>
      </c>
      <c r="DT53" s="1759">
        <v>0</v>
      </c>
      <c r="DU53" s="1759">
        <v>0</v>
      </c>
      <c r="DV53" s="1759">
        <v>0</v>
      </c>
      <c r="DW53" s="1759">
        <v>0</v>
      </c>
      <c r="DX53" s="1759">
        <v>0</v>
      </c>
      <c r="DY53" s="1759">
        <v>0</v>
      </c>
      <c r="DZ53" s="1759">
        <v>0</v>
      </c>
      <c r="EA53" s="1759">
        <v>0</v>
      </c>
      <c r="EB53" s="1759">
        <v>0</v>
      </c>
      <c r="EC53" s="1759">
        <v>0</v>
      </c>
      <c r="ED53" s="1759">
        <v>0</v>
      </c>
      <c r="EE53" s="1759">
        <v>0</v>
      </c>
      <c r="EF53" s="1759">
        <v>0</v>
      </c>
      <c r="EG53" s="1759">
        <v>0</v>
      </c>
      <c r="EH53" s="1759">
        <v>0</v>
      </c>
      <c r="EI53" s="1759">
        <v>0</v>
      </c>
      <c r="EJ53" s="1759">
        <v>0</v>
      </c>
      <c r="EK53" s="1759">
        <v>0</v>
      </c>
      <c r="EL53" s="1759">
        <v>0</v>
      </c>
      <c r="EM53" s="1759">
        <v>0</v>
      </c>
      <c r="EN53" s="1759">
        <v>0</v>
      </c>
      <c r="EO53" s="1759">
        <v>0</v>
      </c>
      <c r="EP53" s="1759">
        <v>0</v>
      </c>
      <c r="EQ53" s="1759">
        <v>0</v>
      </c>
      <c r="ER53" s="1759">
        <v>0</v>
      </c>
      <c r="ES53" s="1759">
        <v>0</v>
      </c>
      <c r="ET53" s="1759">
        <v>0</v>
      </c>
      <c r="EU53" s="1759">
        <v>0</v>
      </c>
      <c r="EV53" s="1759">
        <v>0</v>
      </c>
      <c r="EW53" s="1759">
        <v>0</v>
      </c>
      <c r="EX53" s="1759">
        <v>0</v>
      </c>
      <c r="EY53" s="1759">
        <v>0</v>
      </c>
      <c r="EZ53" s="1759">
        <v>0</v>
      </c>
      <c r="FA53" s="1759">
        <v>0</v>
      </c>
      <c r="FB53" s="1759">
        <v>0</v>
      </c>
      <c r="FC53" s="1759">
        <v>0</v>
      </c>
      <c r="FD53" s="1759">
        <v>0</v>
      </c>
      <c r="FE53" s="1759">
        <v>0</v>
      </c>
      <c r="FF53" s="1759">
        <v>0</v>
      </c>
      <c r="FG53" s="1759">
        <v>0</v>
      </c>
      <c r="FH53" s="1759">
        <v>0</v>
      </c>
      <c r="FI53" s="1759">
        <v>0</v>
      </c>
      <c r="FJ53" s="1759">
        <v>0</v>
      </c>
      <c r="FK53" s="1759">
        <v>0</v>
      </c>
      <c r="FL53" s="1759">
        <v>0</v>
      </c>
      <c r="FM53" s="1759">
        <v>0</v>
      </c>
      <c r="FN53" s="1759">
        <v>0</v>
      </c>
      <c r="FO53" s="1759">
        <v>0</v>
      </c>
      <c r="FP53" s="1759">
        <v>0</v>
      </c>
      <c r="FQ53" s="1759">
        <v>0</v>
      </c>
      <c r="FR53" s="1759">
        <v>0</v>
      </c>
      <c r="FS53" s="1759">
        <v>0</v>
      </c>
      <c r="FT53" s="1759">
        <v>0</v>
      </c>
      <c r="FU53" s="1759">
        <v>0</v>
      </c>
      <c r="FV53" s="1759">
        <v>0</v>
      </c>
      <c r="FW53" s="1759">
        <v>0</v>
      </c>
      <c r="FX53" s="1759">
        <v>0</v>
      </c>
      <c r="FY53" s="1759">
        <v>0</v>
      </c>
      <c r="FZ53" s="1759">
        <v>0</v>
      </c>
      <c r="GA53" s="1759">
        <v>0</v>
      </c>
      <c r="GB53" s="1759">
        <v>0</v>
      </c>
      <c r="GC53" s="1759">
        <v>0</v>
      </c>
      <c r="GD53" s="1759">
        <v>0</v>
      </c>
      <c r="GE53" s="1759">
        <v>0</v>
      </c>
      <c r="GF53" s="1759">
        <v>0</v>
      </c>
      <c r="GG53" s="1759">
        <v>0</v>
      </c>
      <c r="GH53" s="1759">
        <v>0</v>
      </c>
      <c r="GI53" s="1759">
        <v>0</v>
      </c>
      <c r="GJ53" s="1759">
        <v>0</v>
      </c>
      <c r="GK53" s="1759">
        <v>0</v>
      </c>
      <c r="GL53" s="1759">
        <v>0</v>
      </c>
      <c r="GM53" s="1759">
        <v>0</v>
      </c>
      <c r="GN53" s="1759">
        <v>0</v>
      </c>
      <c r="GO53" s="1759">
        <v>0</v>
      </c>
      <c r="GP53" s="1759">
        <v>0</v>
      </c>
      <c r="GQ53" s="1759">
        <v>0</v>
      </c>
      <c r="GR53" s="1759">
        <v>0</v>
      </c>
      <c r="GS53" s="1759">
        <v>0</v>
      </c>
      <c r="GT53" s="1759">
        <v>0</v>
      </c>
      <c r="GU53" s="1759">
        <v>0</v>
      </c>
      <c r="GV53" s="1759">
        <v>0</v>
      </c>
      <c r="GW53" s="1759">
        <v>0</v>
      </c>
      <c r="GX53" s="1759">
        <v>0</v>
      </c>
      <c r="GY53" s="1759">
        <v>0</v>
      </c>
      <c r="GZ53" s="1759">
        <v>0</v>
      </c>
      <c r="HA53" s="1759">
        <v>0</v>
      </c>
      <c r="HB53" s="1759">
        <v>0</v>
      </c>
      <c r="HC53" s="1759">
        <v>0</v>
      </c>
      <c r="HD53" s="1759">
        <v>0</v>
      </c>
      <c r="HE53" s="1759">
        <v>0</v>
      </c>
      <c r="HF53" s="1759">
        <v>0</v>
      </c>
      <c r="HG53" s="1759">
        <v>0</v>
      </c>
      <c r="HH53" s="1759">
        <v>0</v>
      </c>
      <c r="HI53" s="1759">
        <v>0</v>
      </c>
      <c r="HJ53" s="1759">
        <v>0</v>
      </c>
      <c r="HK53" s="1759">
        <v>0</v>
      </c>
      <c r="HL53" s="1759">
        <v>0</v>
      </c>
      <c r="HM53" s="1759">
        <v>0</v>
      </c>
      <c r="HN53" s="1759">
        <v>0</v>
      </c>
      <c r="HO53" s="1759">
        <v>0</v>
      </c>
      <c r="HP53" s="1759">
        <v>0</v>
      </c>
      <c r="HQ53" s="1759">
        <v>0</v>
      </c>
      <c r="HR53" s="1759">
        <v>0</v>
      </c>
      <c r="HS53" s="1759">
        <v>0</v>
      </c>
      <c r="HT53" s="1759">
        <v>0</v>
      </c>
      <c r="HU53" s="1759">
        <v>0</v>
      </c>
      <c r="HV53" s="1759">
        <v>0</v>
      </c>
      <c r="HW53" s="1759">
        <v>0</v>
      </c>
      <c r="HX53" s="1759">
        <v>0</v>
      </c>
      <c r="HY53" s="1759">
        <v>0</v>
      </c>
      <c r="HZ53" s="1759">
        <v>0</v>
      </c>
      <c r="IA53" s="1759">
        <v>0</v>
      </c>
      <c r="IB53" s="1759">
        <v>0</v>
      </c>
      <c r="IC53" s="1759">
        <v>0</v>
      </c>
      <c r="ID53" s="1759">
        <v>0</v>
      </c>
      <c r="IE53" s="1759">
        <v>0</v>
      </c>
      <c r="IF53" s="1759">
        <v>0</v>
      </c>
      <c r="IG53" s="1759">
        <v>0</v>
      </c>
      <c r="IH53" s="1759">
        <v>0</v>
      </c>
      <c r="II53" s="1759">
        <v>0</v>
      </c>
      <c r="IJ53" s="1759">
        <v>0</v>
      </c>
      <c r="IK53" s="1759">
        <v>0</v>
      </c>
      <c r="IL53" s="1759">
        <v>0</v>
      </c>
      <c r="IM53" s="1759">
        <v>0</v>
      </c>
      <c r="IN53" s="1759">
        <v>0</v>
      </c>
      <c r="IO53" s="1759">
        <v>0</v>
      </c>
      <c r="IP53" s="1759">
        <v>0</v>
      </c>
      <c r="IQ53" s="1759">
        <v>0</v>
      </c>
      <c r="IR53" s="1759">
        <v>0</v>
      </c>
      <c r="IS53" s="1759">
        <v>0</v>
      </c>
      <c r="IT53" s="1759">
        <v>0</v>
      </c>
      <c r="IU53" s="1759">
        <v>0</v>
      </c>
      <c r="IV53" s="1759">
        <v>0</v>
      </c>
      <c r="IW53" s="1759">
        <v>0</v>
      </c>
      <c r="IX53" s="1759">
        <v>0</v>
      </c>
      <c r="IY53" s="1759">
        <v>0</v>
      </c>
      <c r="IZ53" s="1759">
        <v>0</v>
      </c>
      <c r="JA53" s="1759">
        <v>0</v>
      </c>
      <c r="JB53" s="1759">
        <v>0</v>
      </c>
      <c r="JC53" s="1759">
        <v>0</v>
      </c>
      <c r="JD53" s="1759">
        <v>0</v>
      </c>
      <c r="JE53" s="1759">
        <v>0</v>
      </c>
      <c r="JF53" s="1759">
        <v>0</v>
      </c>
      <c r="JG53" s="1759">
        <v>0</v>
      </c>
      <c r="JH53" s="1759">
        <v>0</v>
      </c>
      <c r="JI53" s="1759">
        <v>0</v>
      </c>
      <c r="JJ53" s="1759">
        <v>0</v>
      </c>
      <c r="JK53" s="1759">
        <v>0</v>
      </c>
      <c r="JL53" s="1759">
        <v>0</v>
      </c>
      <c r="JM53" s="1759">
        <v>0</v>
      </c>
      <c r="JN53" s="1759">
        <v>0</v>
      </c>
      <c r="JO53" s="1759">
        <v>0</v>
      </c>
      <c r="JP53" s="1759">
        <v>0</v>
      </c>
      <c r="JQ53" s="1759">
        <v>0</v>
      </c>
      <c r="JR53" s="1759">
        <v>0</v>
      </c>
      <c r="JS53" s="1759">
        <v>0</v>
      </c>
      <c r="JT53" s="1759">
        <v>0</v>
      </c>
      <c r="JU53" s="1759">
        <v>0</v>
      </c>
      <c r="JV53" s="1759">
        <v>0</v>
      </c>
      <c r="JW53" s="1759">
        <v>0</v>
      </c>
      <c r="JX53" s="1759">
        <v>0</v>
      </c>
      <c r="JY53" s="1759">
        <v>0</v>
      </c>
      <c r="JZ53" s="1759">
        <v>0</v>
      </c>
      <c r="KA53" s="1759">
        <v>0</v>
      </c>
      <c r="KB53" s="1759">
        <v>0</v>
      </c>
      <c r="KC53" s="1759">
        <v>0</v>
      </c>
      <c r="KD53" s="1759">
        <v>0</v>
      </c>
      <c r="KE53" s="1759">
        <v>0</v>
      </c>
      <c r="KF53" s="1759">
        <v>0</v>
      </c>
      <c r="KG53" s="1759">
        <v>0</v>
      </c>
      <c r="KH53" s="1759">
        <v>0</v>
      </c>
      <c r="KI53" s="1759">
        <v>0</v>
      </c>
      <c r="KJ53" s="1759">
        <v>0</v>
      </c>
      <c r="KK53" s="1759">
        <v>0</v>
      </c>
      <c r="KL53" s="1759">
        <v>0</v>
      </c>
      <c r="KM53" s="1759">
        <v>0</v>
      </c>
      <c r="KN53" s="1759">
        <v>0</v>
      </c>
      <c r="KO53" s="1759">
        <v>0</v>
      </c>
      <c r="KP53" s="1759">
        <v>0</v>
      </c>
      <c r="KQ53" s="904">
        <f>+IFERROR(VLOOKUP(KQ$27&amp;"-"&amp;$M53&amp;"_new",Ammortamento_Finanziario!$H:$L,5,FALSE),VLOOKUP($M53,TT_Tabelle_Riferimento!$D$127:$H$164,5,FALSE))</f>
        <v>5</v>
      </c>
      <c r="KR53" s="904">
        <f>+IFERROR(VLOOKUP(KR$27&amp;"-"&amp;$M53&amp;"_new",Ammortamento_Finanziario!$H:$L,5,FALSE),VLOOKUP($M53,TT_Tabelle_Riferimento!$D$127:$H$164,5,FALSE))</f>
        <v>5</v>
      </c>
      <c r="KS53" s="1762">
        <f>+IFERROR(VLOOKUP(KS$27&amp;"-"&amp;$M53&amp;"_new",Ammortamento_Finanziario!$H:$L,5,FALSE),VLOOKUP($M53,TT_Tabelle_Riferimento!$D$127:$H$164,5,FALSE))</f>
        <v>5</v>
      </c>
      <c r="KT53" s="1762">
        <f>+IFERROR(VLOOKUP(KT$27&amp;"-"&amp;$M53&amp;"_new",Ammortamento_Finanziario!$H:$L,5,FALSE),VLOOKUP($M53,TT_Tabelle_Riferimento!$D$127:$H$164,5,FALSE))</f>
        <v>5</v>
      </c>
      <c r="KU53" s="1762">
        <f>+IFERROR(VLOOKUP(KU$27&amp;"-"&amp;$M53&amp;"_new",Ammortamento_Finanziario!$H:$L,5,FALSE),VLOOKUP($M53,TT_Tabelle_Riferimento!$D$127:$H$164,5,FALSE))</f>
        <v>5</v>
      </c>
      <c r="KV53" s="1762">
        <f>+IFERROR(VLOOKUP(KV$27&amp;"-"&amp;$M53&amp;"_new",Ammortamento_Finanziario!$H:$L,5,FALSE),VLOOKUP($M53,TT_Tabelle_Riferimento!$D$127:$H$164,5,FALSE))</f>
        <v>5</v>
      </c>
      <c r="KW53" s="1762">
        <f>+IFERROR(VLOOKUP(KW$27&amp;"-"&amp;$M53&amp;"_new",Ammortamento_Finanziario!$H:$L,5,FALSE),VLOOKUP($M53,TT_Tabelle_Riferimento!$D$127:$H$164,5,FALSE))</f>
        <v>5</v>
      </c>
      <c r="KX53" s="1762">
        <f>+IFERROR(VLOOKUP(KX$27&amp;"-"&amp;$M53&amp;"_new",Ammortamento_Finanziario!$H:$L,5,FALSE),VLOOKUP($M53,TT_Tabelle_Riferimento!$D$127:$H$164,5,FALSE))</f>
        <v>5</v>
      </c>
      <c r="KY53" s="904">
        <f>+IFERROR(VLOOKUP(KY$27&amp;"-"&amp;$M53&amp;"_new",Ammortamento_Finanziario!$H:$L,5,FALSE),VLOOKUP($M53,TT_Tabelle_Riferimento!$D$127:$H$164,5,FALSE))</f>
        <v>5</v>
      </c>
      <c r="KZ53" s="904">
        <f>+IFERROR(VLOOKUP(KZ$27&amp;"-"&amp;$M53&amp;"_new",Ammortamento_Finanziario!$H:$L,5,FALSE),VLOOKUP($M53,TT_Tabelle_Riferimento!$D$127:$H$164,5,FALSE))</f>
        <v>5</v>
      </c>
      <c r="LA53" s="904">
        <f>+IFERROR(VLOOKUP(LA$27&amp;"-"&amp;$M53&amp;"_new",Ammortamento_Finanziario!$H:$L,5,FALSE),VLOOKUP($M53,TT_Tabelle_Riferimento!$D$127:$H$164,5,FALSE))</f>
        <v>5</v>
      </c>
      <c r="LB53" s="904">
        <f>+IFERROR(VLOOKUP(LB$27&amp;"-"&amp;$M53&amp;"_new",Ammortamento_Finanziario!$H:$L,5,FALSE),VLOOKUP($M53,TT_Tabelle_Riferimento!$D$127:$H$164,5,FALSE))</f>
        <v>5</v>
      </c>
      <c r="LC53" s="904">
        <f>+IFERROR(VLOOKUP(LC$27&amp;"-"&amp;$M53&amp;"_new",Ammortamento_Finanziario!$H:$L,5,FALSE),VLOOKUP($M53,TT_Tabelle_Riferimento!$D$127:$H$164,5,FALSE))</f>
        <v>5</v>
      </c>
      <c r="LD53" s="904">
        <f>+IFERROR(VLOOKUP(LD$27&amp;"-"&amp;$M53&amp;"_new",Ammortamento_Finanziario!$H:$L,5,FALSE),VLOOKUP($M53,TT_Tabelle_Riferimento!$D$127:$H$164,5,FALSE))</f>
        <v>5</v>
      </c>
      <c r="LE53" s="904">
        <f>+IFERROR(VLOOKUP(LE$27&amp;"-"&amp;$M53&amp;"_new",Ammortamento_Finanziario!$H:$L,5,FALSE),VLOOKUP($M53,TT_Tabelle_Riferimento!$D$127:$H$164,5,FALSE))</f>
        <v>5</v>
      </c>
      <c r="LF53" s="904">
        <f>+IFERROR(VLOOKUP(LF$27&amp;"-"&amp;$M53&amp;"_new",Ammortamento_Finanziario!$H:$L,5,FALSE),VLOOKUP($M53,TT_Tabelle_Riferimento!$D$127:$H$164,5,FALSE))</f>
        <v>5</v>
      </c>
      <c r="LG53" s="904">
        <f>+IFERROR(VLOOKUP(LG$27&amp;"-"&amp;$M53&amp;"_new",Ammortamento_Finanziario!$H:$L,5,FALSE),VLOOKUP($M53,TT_Tabelle_Riferimento!$D$127:$H$164,5,FALSE))</f>
        <v>5</v>
      </c>
      <c r="LH53" s="904">
        <f>+IFERROR(VLOOKUP(LH$27&amp;"-"&amp;$M53&amp;"_new",Ammortamento_Finanziario!$H:$L,5,FALSE),VLOOKUP($M53,TT_Tabelle_Riferimento!$D$127:$H$164,5,FALSE))</f>
        <v>5</v>
      </c>
      <c r="LI53" s="904">
        <f>+IFERROR(VLOOKUP(LI$27&amp;"-"&amp;$M53&amp;"_new",Ammortamento_Finanziario!$H:$L,5,FALSE),VLOOKUP($M53,TT_Tabelle_Riferimento!$D$127:$H$164,5,FALSE))</f>
        <v>5</v>
      </c>
      <c r="LJ53" s="904">
        <f>+IFERROR(VLOOKUP(LJ$27&amp;"-"&amp;$M53&amp;"_new",Ammortamento_Finanziario!$H:$L,5,FALSE),VLOOKUP($M53,TT_Tabelle_Riferimento!$D$127:$H$164,5,FALSE))</f>
        <v>5</v>
      </c>
      <c r="LK53" s="904">
        <f>+IFERROR(VLOOKUP(LK$27&amp;"-"&amp;$M53&amp;"_new",Ammortamento_Finanziario!$H:$L,5,FALSE),VLOOKUP($M53,TT_Tabelle_Riferimento!$D$127:$H$164,5,FALSE))</f>
        <v>5</v>
      </c>
      <c r="LL53" s="904">
        <f>+IFERROR(VLOOKUP(LL$27&amp;"-"&amp;$M53&amp;"_new",Ammortamento_Finanziario!$H:$L,5,FALSE),VLOOKUP($M53,TT_Tabelle_Riferimento!$D$127:$H$164,5,FALSE))</f>
        <v>5</v>
      </c>
      <c r="LM53" s="904">
        <f>+IFERROR(VLOOKUP(LM$27&amp;"-"&amp;$M53&amp;"_new",Ammortamento_Finanziario!$H:$L,5,FALSE),VLOOKUP($M53,TT_Tabelle_Riferimento!$D$127:$H$164,5,FALSE))</f>
        <v>5</v>
      </c>
      <c r="LN53" s="904">
        <f>+IFERROR(VLOOKUP(LN$27&amp;"-"&amp;$M53&amp;"_new",Ammortamento_Finanziario!$H:$L,5,FALSE),VLOOKUP($M53,TT_Tabelle_Riferimento!$D$127:$H$164,5,FALSE))</f>
        <v>5</v>
      </c>
      <c r="LO53" s="904">
        <f>+IFERROR(VLOOKUP(LO$27&amp;"-"&amp;$M53&amp;"_new",Ammortamento_Finanziario!$H:$L,5,FALSE),VLOOKUP($M53,TT_Tabelle_Riferimento!$D$127:$H$164,5,FALSE))</f>
        <v>5</v>
      </c>
      <c r="LP53" s="904">
        <f>+IFERROR(VLOOKUP(LP$27&amp;"-"&amp;$M53&amp;"_new",Ammortamento_Finanziario!$H:$L,5,FALSE),VLOOKUP($M53,TT_Tabelle_Riferimento!$D$127:$H$164,5,FALSE))</f>
        <v>5</v>
      </c>
      <c r="LQ53" s="904">
        <f>+IFERROR(VLOOKUP(LQ$27&amp;"-"&amp;$M53&amp;"_new",Ammortamento_Finanziario!$H:$L,5,FALSE),VLOOKUP($M53,TT_Tabelle_Riferimento!$D$127:$H$164,5,FALSE))</f>
        <v>5</v>
      </c>
      <c r="LR53" s="904">
        <f>+IFERROR(VLOOKUP(LR$27&amp;"-"&amp;$M53&amp;"_new",Ammortamento_Finanziario!$H:$L,5,FALSE),VLOOKUP($M53,TT_Tabelle_Riferimento!$D$127:$H$164,5,FALSE))</f>
        <v>5</v>
      </c>
      <c r="LS53" s="1762">
        <f>+IFERROR(VLOOKUP(LS$27&amp;"-"&amp;$M53&amp;"_new",Ammortamento_Finanziario!$H:$L,5,FALSE),VLOOKUP($M53,TT_Tabelle_Riferimento!$D$127:$H$164,5,FALSE))</f>
        <v>5</v>
      </c>
      <c r="LT53" s="1762">
        <f>+IFERROR(VLOOKUP(LT$27&amp;"-"&amp;$M53&amp;"_new",Ammortamento_Finanziario!$H:$L,5,FALSE),VLOOKUP($M53,TT_Tabelle_Riferimento!$D$127:$H$164,5,FALSE))</f>
        <v>5</v>
      </c>
      <c r="LU53" s="1762">
        <f>+IFERROR(VLOOKUP(LU$27&amp;"-"&amp;$M53&amp;"_new",Ammortamento_Finanziario!$H:$L,5,FALSE),VLOOKUP($M53,TT_Tabelle_Riferimento!$D$127:$H$164,5,FALSE))</f>
        <v>5</v>
      </c>
      <c r="LV53" s="1762">
        <f>+IFERROR(VLOOKUP(LV$27&amp;"-"&amp;$M53&amp;"_new",Ammortamento_Finanziario!$H:$L,5,FALSE),VLOOKUP($M53,TT_Tabelle_Riferimento!$D$127:$H$164,5,FALSE))</f>
        <v>5</v>
      </c>
      <c r="LW53" s="1762">
        <f>+IFERROR(VLOOKUP(LW$27&amp;"-"&amp;$M53&amp;"_new",Ammortamento_Finanziario!$H:$L,5,FALSE),VLOOKUP($M53,TT_Tabelle_Riferimento!$D$127:$H$164,5,FALSE))</f>
        <v>5</v>
      </c>
      <c r="LX53" s="1762">
        <f>+IFERROR(VLOOKUP(LX$27&amp;"-"&amp;$M53&amp;"_new",Ammortamento_Finanziario!$H:$L,5,FALSE),VLOOKUP($M53,TT_Tabelle_Riferimento!$D$127:$H$164,5,FALSE))</f>
        <v>5</v>
      </c>
      <c r="LY53" s="904">
        <f>+IFERROR(VLOOKUP(LY$27&amp;"-"&amp;$M53&amp;"_new",Ammortamento_Finanziario!$H:$L,5,FALSE),VLOOKUP($M53,TT_Tabelle_Riferimento!$D$127:$H$164,5,FALSE))</f>
        <v>5</v>
      </c>
      <c r="LZ53" s="904">
        <f>+IFERROR(VLOOKUP(LZ$27&amp;"-"&amp;$M53&amp;"_new",Ammortamento_Finanziario!$H:$L,5,FALSE),VLOOKUP($M53,TT_Tabelle_Riferimento!$D$127:$H$164,5,FALSE))</f>
        <v>5</v>
      </c>
      <c r="MA53" s="904">
        <f>+IFERROR(VLOOKUP(MA$27&amp;"-"&amp;$M53&amp;"_new",Ammortamento_Finanziario!$H:$L,5,FALSE),VLOOKUP($M53,TT_Tabelle_Riferimento!$D$127:$H$164,5,FALSE))</f>
        <v>5</v>
      </c>
      <c r="MB53" s="904">
        <f>+IFERROR(VLOOKUP(MB$27&amp;"-"&amp;$M53&amp;"_new",Ammortamento_Finanziario!$H:$L,5,FALSE),VLOOKUP($M53,TT_Tabelle_Riferimento!$D$127:$H$164,5,FALSE))</f>
        <v>5</v>
      </c>
      <c r="MC53" s="904">
        <f>+IFERROR(VLOOKUP(MC$27&amp;"-"&amp;$M53&amp;"_new",Ammortamento_Finanziario!$H:$L,5,FALSE),VLOOKUP($M53,TT_Tabelle_Riferimento!$D$127:$H$164,5,FALSE))</f>
        <v>5</v>
      </c>
      <c r="MD53" s="904">
        <f>+IFERROR(VLOOKUP(MD$27&amp;"-"&amp;$M53&amp;"_new",Ammortamento_Finanziario!$H:$L,5,FALSE),VLOOKUP($M53,TT_Tabelle_Riferimento!$D$127:$H$164,5,FALSE))</f>
        <v>5</v>
      </c>
      <c r="ME53" s="904">
        <f>+IFERROR(VLOOKUP(ME$27&amp;"-"&amp;$M53&amp;"_new",Ammortamento_Finanziario!$H:$L,5,FALSE),VLOOKUP($M53,TT_Tabelle_Riferimento!$D$127:$H$164,5,FALSE))</f>
        <v>5</v>
      </c>
      <c r="MF53" s="904">
        <f>+IFERROR(VLOOKUP(MF$27&amp;"-"&amp;$M53&amp;"_new",Ammortamento_Finanziario!$H:$L,5,FALSE),VLOOKUP($M53,TT_Tabelle_Riferimento!$D$127:$H$164,5,FALSE))</f>
        <v>5</v>
      </c>
      <c r="MG53" s="904">
        <f>+IFERROR(VLOOKUP(MG$27&amp;"-"&amp;$M53&amp;"_new",Ammortamento_Finanziario!$H:$L,5,FALSE),VLOOKUP($M53,TT_Tabelle_Riferimento!$D$127:$H$164,5,FALSE))</f>
        <v>5</v>
      </c>
      <c r="MH53" s="904">
        <f>+IFERROR(VLOOKUP(MH$27&amp;"-"&amp;$M53&amp;"_new",Ammortamento_Finanziario!$H:$L,5,FALSE),VLOOKUP($M53,TT_Tabelle_Riferimento!$D$127:$H$164,5,FALSE))</f>
        <v>5</v>
      </c>
      <c r="MI53" s="904">
        <f>+IFERROR(VLOOKUP(MI$27&amp;"-"&amp;$M53&amp;"_new",Ammortamento_Finanziario!$H:$L,5,FALSE),VLOOKUP($M53,TT_Tabelle_Riferimento!$D$127:$H$164,5,FALSE))</f>
        <v>5</v>
      </c>
      <c r="MJ53" s="904">
        <f>+IFERROR(VLOOKUP(MJ$27&amp;"-"&amp;$M53&amp;"_new",Ammortamento_Finanziario!$H:$L,5,FALSE),VLOOKUP($M53,TT_Tabelle_Riferimento!$D$127:$H$164,5,FALSE))</f>
        <v>5</v>
      </c>
      <c r="MK53" s="904">
        <f>+IFERROR(VLOOKUP(MK$27&amp;"-"&amp;$M53&amp;"_new",Ammortamento_Finanziario!$H:$L,5,FALSE),VLOOKUP($M53,TT_Tabelle_Riferimento!$D$127:$H$164,5,FALSE))</f>
        <v>5</v>
      </c>
      <c r="ML53" s="904">
        <f>+IFERROR(VLOOKUP(ML$27&amp;"-"&amp;$M53&amp;"_new",Ammortamento_Finanziario!$H:$L,5,FALSE),VLOOKUP($M53,TT_Tabelle_Riferimento!$D$127:$H$164,5,FALSE))</f>
        <v>5</v>
      </c>
      <c r="MM53" s="904">
        <f>+IFERROR(VLOOKUP(MM$27&amp;"-"&amp;$M53&amp;"_new",Ammortamento_Finanziario!$H:$L,5,FALSE),VLOOKUP($M53,TT_Tabelle_Riferimento!$D$127:$H$164,5,FALSE))</f>
        <v>5</v>
      </c>
      <c r="MN53" s="904">
        <f>+IFERROR(VLOOKUP(MN$27&amp;"-"&amp;$M53&amp;"_new",Ammortamento_Finanziario!$H:$L,5,FALSE),VLOOKUP($M53,TT_Tabelle_Riferimento!$D$127:$H$164,5,FALSE))</f>
        <v>5</v>
      </c>
      <c r="MO53" s="904">
        <f>+IFERROR(VLOOKUP(MO$27&amp;"-"&amp;$M53&amp;"_new",Ammortamento_Finanziario!$H:$L,5,FALSE),VLOOKUP($M53,TT_Tabelle_Riferimento!$D$127:$H$164,5,FALSE))</f>
        <v>5</v>
      </c>
      <c r="MP53" s="904">
        <f>+IFERROR(VLOOKUP(MP$27&amp;"-"&amp;$M53&amp;"_new",Ammortamento_Finanziario!$H:$L,5,FALSE),VLOOKUP($M53,TT_Tabelle_Riferimento!$D$127:$H$164,5,FALSE))</f>
        <v>5</v>
      </c>
      <c r="MQ53" s="904">
        <f>+IFERROR(VLOOKUP(MQ$27&amp;"-"&amp;$M53&amp;"_new",Ammortamento_Finanziario!$H:$L,5,FALSE),VLOOKUP($M53,TT_Tabelle_Riferimento!$D$127:$H$164,5,FALSE))</f>
        <v>5</v>
      </c>
      <c r="MR53" s="1762">
        <f>+IFERROR(VLOOKUP(MR$27&amp;"-"&amp;$M53&amp;"_new",Ammortamento_Finanziario!$H:$L,5,FALSE),VLOOKUP($M53,TT_Tabelle_Riferimento!$D$127:$H$164,5,FALSE))</f>
        <v>5</v>
      </c>
      <c r="MS53" s="1762">
        <f>+IFERROR(VLOOKUP(MS$27&amp;"-"&amp;$M53&amp;"_new",Ammortamento_Finanziario!$H:$L,5,FALSE),VLOOKUP($M53,TT_Tabelle_Riferimento!$D$127:$H$164,5,FALSE))</f>
        <v>5</v>
      </c>
      <c r="MT53" s="1762">
        <f>+IFERROR(VLOOKUP(MT$27&amp;"-"&amp;$M53&amp;"_new",Ammortamento_Finanziario!$H:$L,5,FALSE),VLOOKUP($M53,TT_Tabelle_Riferimento!$D$127:$H$164,5,FALSE))</f>
        <v>5</v>
      </c>
      <c r="MU53" s="1762">
        <f>+IFERROR(VLOOKUP(MU$27&amp;"-"&amp;$M53&amp;"_new",Ammortamento_Finanziario!$H:$L,5,FALSE),VLOOKUP($M53,TT_Tabelle_Riferimento!$D$127:$H$164,5,FALSE))</f>
        <v>5</v>
      </c>
      <c r="MV53" s="1762">
        <f>+IFERROR(VLOOKUP(MV$27&amp;"-"&amp;$M53&amp;"_new",Ammortamento_Finanziario!$H:$L,5,FALSE),VLOOKUP($M53,TT_Tabelle_Riferimento!$D$127:$H$164,5,FALSE))</f>
        <v>5</v>
      </c>
      <c r="MW53" s="1762">
        <f>+IFERROR(VLOOKUP(MW$27&amp;"-"&amp;$M53&amp;"_new",Ammortamento_Finanziario!$H:$L,5,FALSE),VLOOKUP($M53,TT_Tabelle_Riferimento!$D$127:$H$164,5,FALSE))</f>
        <v>5</v>
      </c>
      <c r="MX53" s="904">
        <f>+IFERROR(VLOOKUP(MX$27&amp;"-"&amp;$M53&amp;"_new",Ammortamento_Finanziario!$H:$L,5,FALSE),VLOOKUP($M53,TT_Tabelle_Riferimento!$D$127:$H$164,5,FALSE))</f>
        <v>5</v>
      </c>
      <c r="MY53" s="904">
        <f>+IFERROR(VLOOKUP(MY$27&amp;"-"&amp;$M53&amp;"_new",Ammortamento_Finanziario!$H:$L,5,FALSE),VLOOKUP($M53,TT_Tabelle_Riferimento!$D$127:$H$164,5,FALSE))</f>
        <v>5</v>
      </c>
      <c r="MZ53" s="904">
        <f>+IFERROR(VLOOKUP(MZ$27&amp;"-"&amp;$M53&amp;"_new",Ammortamento_Finanziario!$H:$L,5,FALSE),VLOOKUP($M53,TT_Tabelle_Riferimento!$D$127:$H$164,5,FALSE))</f>
        <v>5</v>
      </c>
      <c r="NA53" s="904">
        <f>+IFERROR(VLOOKUP(NA$27&amp;"-"&amp;$M53&amp;"_new",Ammortamento_Finanziario!$H:$L,5,FALSE),VLOOKUP($M53,TT_Tabelle_Riferimento!$D$127:$H$164,5,FALSE))</f>
        <v>5</v>
      </c>
      <c r="NB53" s="904">
        <f>+IFERROR(VLOOKUP(NB$27&amp;"-"&amp;$M53&amp;"_new",Ammortamento_Finanziario!$H:$L,5,FALSE),VLOOKUP($M53,TT_Tabelle_Riferimento!$D$127:$H$164,5,FALSE))</f>
        <v>5</v>
      </c>
      <c r="NC53" s="904">
        <f>+IFERROR(VLOOKUP(NC$27&amp;"-"&amp;$M53&amp;"_new",Ammortamento_Finanziario!$H:$L,5,FALSE),VLOOKUP($M53,TT_Tabelle_Riferimento!$D$127:$H$164,5,FALSE))</f>
        <v>5</v>
      </c>
      <c r="ND53" s="904">
        <f>+IFERROR(VLOOKUP(ND$27&amp;"-"&amp;$M53&amp;"_new",Ammortamento_Finanziario!$H:$L,5,FALSE),VLOOKUP($M53,TT_Tabelle_Riferimento!$D$127:$H$164,5,FALSE))</f>
        <v>5</v>
      </c>
      <c r="NE53" s="904">
        <f>+IFERROR(VLOOKUP(NE$27&amp;"-"&amp;$M53&amp;"_new",Ammortamento_Finanziario!$H:$L,5,FALSE),VLOOKUP($M53,TT_Tabelle_Riferimento!$D$127:$H$164,5,FALSE))</f>
        <v>5</v>
      </c>
      <c r="NF53" s="904">
        <f>+IFERROR(VLOOKUP(NF$27&amp;"-"&amp;$M53&amp;"_new",Ammortamento_Finanziario!$H:$L,5,FALSE),VLOOKUP($M53,TT_Tabelle_Riferimento!$D$127:$H$164,5,FALSE))</f>
        <v>5</v>
      </c>
      <c r="NG53" s="904">
        <f>+IFERROR(VLOOKUP(NG$27&amp;"-"&amp;$M53&amp;"_new",Ammortamento_Finanziario!$H:$L,5,FALSE),VLOOKUP($M53,TT_Tabelle_Riferimento!$D$127:$H$164,5,FALSE))</f>
        <v>5</v>
      </c>
      <c r="NH53" s="904">
        <f>+IFERROR(VLOOKUP(NH$27&amp;"-"&amp;$M53&amp;"_new",Ammortamento_Finanziario!$H:$L,5,FALSE),VLOOKUP($M53,TT_Tabelle_Riferimento!$D$127:$H$164,5,FALSE))</f>
        <v>5</v>
      </c>
      <c r="NI53" s="904">
        <f>+IFERROR(VLOOKUP(NI$27&amp;"-"&amp;$M53&amp;"_new",Ammortamento_Finanziario!$H:$L,5,FALSE),VLOOKUP($M53,TT_Tabelle_Riferimento!$D$127:$H$164,5,FALSE))</f>
        <v>5</v>
      </c>
      <c r="NJ53" s="904">
        <f>+IFERROR(VLOOKUP(NJ$27&amp;"-"&amp;$M53&amp;"_new",Ammortamento_Finanziario!$H:$L,5,FALSE),VLOOKUP($M53,TT_Tabelle_Riferimento!$D$127:$H$164,5,FALSE))</f>
        <v>5</v>
      </c>
      <c r="NK53" s="904">
        <f>+IFERROR(VLOOKUP(NK$27&amp;"-"&amp;$M53&amp;"_new",Ammortamento_Finanziario!$H:$L,5,FALSE),VLOOKUP($M53,TT_Tabelle_Riferimento!$D$127:$H$164,5,FALSE))</f>
        <v>5</v>
      </c>
      <c r="NL53" s="904">
        <f>+IFERROR(VLOOKUP(NL$27&amp;"-"&amp;$M53&amp;"_new",Ammortamento_Finanziario!$H:$L,5,FALSE),VLOOKUP($M53,TT_Tabelle_Riferimento!$D$127:$H$164,5,FALSE))</f>
        <v>5</v>
      </c>
      <c r="NM53" s="904">
        <f>+IFERROR(VLOOKUP(NM$27&amp;"-"&amp;$M53&amp;"_new",Ammortamento_Finanziario!$H:$L,5,FALSE),VLOOKUP($M53,TT_Tabelle_Riferimento!$D$127:$H$164,5,FALSE))</f>
        <v>5</v>
      </c>
      <c r="NN53" s="904">
        <f>+IFERROR(VLOOKUP(NN$27&amp;"-"&amp;$M53&amp;"_new",Ammortamento_Finanziario!$H:$L,5,FALSE),VLOOKUP($M53,TT_Tabelle_Riferimento!$D$127:$H$164,5,FALSE))</f>
        <v>5</v>
      </c>
      <c r="NO53" s="904">
        <f>+IFERROR(VLOOKUP(NO$27&amp;"-"&amp;$M53&amp;"_new",Ammortamento_Finanziario!$H:$L,5,FALSE),VLOOKUP($M53,TT_Tabelle_Riferimento!$D$127:$H$164,5,FALSE))</f>
        <v>5</v>
      </c>
      <c r="NP53" s="904">
        <f>+IFERROR(VLOOKUP(NP$27&amp;"-"&amp;$M53&amp;"_new",Ammortamento_Finanziario!$H:$L,5,FALSE),VLOOKUP($M53,TT_Tabelle_Riferimento!$D$127:$H$164,5,FALSE))</f>
        <v>5</v>
      </c>
      <c r="NQ53" s="1762">
        <f>+IFERROR(VLOOKUP(NQ$27&amp;"-"&amp;$M53&amp;"_new",Ammortamento_Finanziario!$H:$L,5,FALSE),VLOOKUP($M53,TT_Tabelle_Riferimento!$D$127:$H$164,5,FALSE))</f>
        <v>5</v>
      </c>
      <c r="NR53" s="1762">
        <f>+IFERROR(VLOOKUP(NR$27&amp;"-"&amp;$M53&amp;"_new",Ammortamento_Finanziario!$H:$L,5,FALSE),VLOOKUP($M53,TT_Tabelle_Riferimento!$D$127:$H$164,5,FALSE))</f>
        <v>5</v>
      </c>
      <c r="NS53" s="1762">
        <f>+IFERROR(VLOOKUP(NS$27&amp;"-"&amp;$M53&amp;"_new",Ammortamento_Finanziario!$H:$L,5,FALSE),VLOOKUP($M53,TT_Tabelle_Riferimento!$D$127:$H$164,5,FALSE))</f>
        <v>5</v>
      </c>
      <c r="NT53" s="1762">
        <f>+IFERROR(VLOOKUP(NT$27&amp;"-"&amp;$M53&amp;"_new",Ammortamento_Finanziario!$H:$L,5,FALSE),VLOOKUP($M53,TT_Tabelle_Riferimento!$D$127:$H$164,5,FALSE))</f>
        <v>5</v>
      </c>
      <c r="NU53" s="1762">
        <f>+IFERROR(VLOOKUP(NU$27&amp;"-"&amp;$M53&amp;"_new",Ammortamento_Finanziario!$H:$L,5,FALSE),VLOOKUP($M53,TT_Tabelle_Riferimento!$D$127:$H$164,5,FALSE))</f>
        <v>5</v>
      </c>
      <c r="NV53" s="904">
        <f>+IFERROR(VLOOKUP(NV$27&amp;"-"&amp;$M53&amp;"_new",Ammortamento_Finanziario!$H:$L,5,FALSE),VLOOKUP($M53,TT_Tabelle_Riferimento!$D$127:$H$164,5,FALSE))</f>
        <v>5</v>
      </c>
      <c r="NW53" s="904">
        <f>+IFERROR(VLOOKUP(NW$27&amp;"-"&amp;$M53&amp;"_new",Ammortamento_Finanziario!$H:$L,5,FALSE),VLOOKUP($M53,TT_Tabelle_Riferimento!$D$127:$H$164,5,FALSE))</f>
        <v>5</v>
      </c>
      <c r="NX53" s="904">
        <f>+IFERROR(VLOOKUP(NX$27&amp;"-"&amp;$M53&amp;"_new",Ammortamento_Finanziario!$H:$L,5,FALSE),VLOOKUP($M53,TT_Tabelle_Riferimento!$D$127:$H$164,5,FALSE))</f>
        <v>5</v>
      </c>
      <c r="NY53" s="904">
        <f>+IFERROR(VLOOKUP(NY$27&amp;"-"&amp;$M53&amp;"_new",Ammortamento_Finanziario!$H:$L,5,FALSE),VLOOKUP($M53,TT_Tabelle_Riferimento!$D$127:$H$164,5,FALSE))</f>
        <v>5</v>
      </c>
      <c r="NZ53" s="904">
        <f>+IFERROR(VLOOKUP(NZ$27&amp;"-"&amp;$M53&amp;"_new",Ammortamento_Finanziario!$H:$L,5,FALSE),VLOOKUP($M53,TT_Tabelle_Riferimento!$D$127:$H$164,5,FALSE))</f>
        <v>5</v>
      </c>
      <c r="OA53" s="904">
        <f>+IFERROR(VLOOKUP(OA$27&amp;"-"&amp;$M53&amp;"_new",Ammortamento_Finanziario!$H:$L,5,FALSE),VLOOKUP($M53,TT_Tabelle_Riferimento!$D$127:$H$164,5,FALSE))</f>
        <v>5</v>
      </c>
      <c r="OB53" s="904">
        <f>+IFERROR(VLOOKUP(OB$27&amp;"-"&amp;$M53&amp;"_new",Ammortamento_Finanziario!$H:$L,5,FALSE),VLOOKUP($M53,TT_Tabelle_Riferimento!$D$127:$H$164,5,FALSE))</f>
        <v>5</v>
      </c>
      <c r="OC53" s="904">
        <f>+IFERROR(VLOOKUP(OC$27&amp;"-"&amp;$M53&amp;"_new",Ammortamento_Finanziario!$H:$L,5,FALSE),VLOOKUP($M53,TT_Tabelle_Riferimento!$D$127:$H$164,5,FALSE))</f>
        <v>5</v>
      </c>
      <c r="OD53" s="904">
        <f>+IFERROR(VLOOKUP(OD$27&amp;"-"&amp;$M53&amp;"_new",Ammortamento_Finanziario!$H:$L,5,FALSE),VLOOKUP($M53,TT_Tabelle_Riferimento!$D$127:$H$164,5,FALSE))</f>
        <v>5</v>
      </c>
      <c r="OE53" s="904">
        <f>+IFERROR(VLOOKUP(OE$27&amp;"-"&amp;$M53&amp;"_new",Ammortamento_Finanziario!$H:$L,5,FALSE),VLOOKUP($M53,TT_Tabelle_Riferimento!$D$127:$H$164,5,FALSE))</f>
        <v>5</v>
      </c>
      <c r="OF53" s="904">
        <f>+IFERROR(VLOOKUP(OF$27&amp;"-"&amp;$M53&amp;"_new",Ammortamento_Finanziario!$H:$L,5,FALSE),VLOOKUP($M53,TT_Tabelle_Riferimento!$D$127:$H$164,5,FALSE))</f>
        <v>5</v>
      </c>
      <c r="OG53" s="904">
        <f>+IFERROR(VLOOKUP(OG$27&amp;"-"&amp;$M53&amp;"_new",Ammortamento_Finanziario!$H:$L,5,FALSE),VLOOKUP($M53,TT_Tabelle_Riferimento!$D$127:$H$164,5,FALSE))</f>
        <v>5</v>
      </c>
      <c r="OH53" s="904">
        <f>+IFERROR(VLOOKUP(OH$27&amp;"-"&amp;$M53&amp;"_new",Ammortamento_Finanziario!$H:$L,5,FALSE),VLOOKUP($M53,TT_Tabelle_Riferimento!$D$127:$H$164,5,FALSE))</f>
        <v>5</v>
      </c>
      <c r="OI53" s="904">
        <f>+IFERROR(VLOOKUP(OI$27&amp;"-"&amp;$M53&amp;"_new",Ammortamento_Finanziario!$H:$L,5,FALSE),VLOOKUP($M53,TT_Tabelle_Riferimento!$D$127:$H$164,5,FALSE))</f>
        <v>5</v>
      </c>
      <c r="OJ53" s="904">
        <f>+IFERROR(VLOOKUP(OJ$27&amp;"-"&amp;$M53&amp;"_new",Ammortamento_Finanziario!$H:$L,5,FALSE),VLOOKUP($M53,TT_Tabelle_Riferimento!$D$127:$H$164,5,FALSE))</f>
        <v>5</v>
      </c>
      <c r="OK53" s="904">
        <f>+IFERROR(VLOOKUP(OK$27&amp;"-"&amp;$M53&amp;"_new",Ammortamento_Finanziario!$H:$L,5,FALSE),VLOOKUP($M53,TT_Tabelle_Riferimento!$D$127:$H$164,5,FALSE))</f>
        <v>5</v>
      </c>
      <c r="OL53" s="904">
        <f>+IFERROR(VLOOKUP(OL$27&amp;"-"&amp;$M53&amp;"_new",Ammortamento_Finanziario!$H:$L,5,FALSE),VLOOKUP($M53,TT_Tabelle_Riferimento!$D$127:$H$164,5,FALSE))</f>
        <v>5</v>
      </c>
      <c r="OM53" s="904">
        <f>+IFERROR(VLOOKUP(OM$27&amp;"-"&amp;$M53&amp;"_new",Ammortamento_Finanziario!$H:$L,5,FALSE),VLOOKUP($M53,TT_Tabelle_Riferimento!$D$127:$H$164,5,FALSE))</f>
        <v>5</v>
      </c>
      <c r="ON53" s="904">
        <f>+IFERROR(VLOOKUP(ON$27&amp;"-"&amp;$M53&amp;"_new",Ammortamento_Finanziario!$H:$L,5,FALSE),VLOOKUP($M53,TT_Tabelle_Riferimento!$D$127:$H$164,5,FALSE))</f>
        <v>5</v>
      </c>
      <c r="OO53" s="1762">
        <f>+IFERROR(VLOOKUP(OO$27&amp;"-"&amp;$M53&amp;"_new",Ammortamento_Finanziario!$H:$L,5,FALSE),VLOOKUP($M53,TT_Tabelle_Riferimento!$D$127:$H$164,5,FALSE))</f>
        <v>5</v>
      </c>
      <c r="OP53" s="1762">
        <f>+IFERROR(VLOOKUP(OP$27&amp;"-"&amp;$M53&amp;"_new",Ammortamento_Finanziario!$H:$L,5,FALSE),VLOOKUP($M53,TT_Tabelle_Riferimento!$D$127:$H$164,5,FALSE))</f>
        <v>5</v>
      </c>
      <c r="OQ53" s="1762">
        <f>+IFERROR(VLOOKUP(OQ$27&amp;"-"&amp;$M53&amp;"_new",Ammortamento_Finanziario!$H:$L,5,FALSE),VLOOKUP($M53,TT_Tabelle_Riferimento!$D$127:$H$164,5,FALSE))</f>
        <v>5</v>
      </c>
      <c r="OR53" s="1762">
        <f>+IFERROR(VLOOKUP(OR$27&amp;"-"&amp;$M53&amp;"_new",Ammortamento_Finanziario!$H:$L,5,FALSE),VLOOKUP($M53,TT_Tabelle_Riferimento!$D$127:$H$164,5,FALSE))</f>
        <v>5</v>
      </c>
      <c r="OS53" s="904">
        <f>+IFERROR(VLOOKUP(OS$27&amp;"-"&amp;$M53&amp;"_new",Ammortamento_Finanziario!$H:$L,5,FALSE),VLOOKUP($M53,TT_Tabelle_Riferimento!$D$127:$H$164,5,FALSE))</f>
        <v>5</v>
      </c>
      <c r="OT53" s="904">
        <f>+IFERROR(VLOOKUP(OT$27&amp;"-"&amp;$M53&amp;"_new",Ammortamento_Finanziario!$H:$L,5,FALSE),VLOOKUP($M53,TT_Tabelle_Riferimento!$D$127:$H$164,5,FALSE))</f>
        <v>5</v>
      </c>
      <c r="OU53" s="904">
        <f>+IFERROR(VLOOKUP(OU$27&amp;"-"&amp;$M53&amp;"_new",Ammortamento_Finanziario!$H:$L,5,FALSE),VLOOKUP($M53,TT_Tabelle_Riferimento!$D$127:$H$164,5,FALSE))</f>
        <v>5</v>
      </c>
      <c r="OV53" s="904">
        <f>+IFERROR(VLOOKUP(OV$27&amp;"-"&amp;$M53&amp;"_new",Ammortamento_Finanziario!$H:$L,5,FALSE),VLOOKUP($M53,TT_Tabelle_Riferimento!$D$127:$H$164,5,FALSE))</f>
        <v>5</v>
      </c>
      <c r="OW53" s="904">
        <f>+IFERROR(VLOOKUP(OW$27&amp;"-"&amp;$M53&amp;"_new",Ammortamento_Finanziario!$H:$L,5,FALSE),VLOOKUP($M53,TT_Tabelle_Riferimento!$D$127:$H$164,5,FALSE))</f>
        <v>5</v>
      </c>
      <c r="OX53" s="904">
        <f>+IFERROR(VLOOKUP(OX$27&amp;"-"&amp;$M53&amp;"_new",Ammortamento_Finanziario!$H:$L,5,FALSE),VLOOKUP($M53,TT_Tabelle_Riferimento!$D$127:$H$164,5,FALSE))</f>
        <v>5</v>
      </c>
      <c r="OY53" s="904">
        <f>+IFERROR(VLOOKUP(OY$27&amp;"-"&amp;$M53&amp;"_new",Ammortamento_Finanziario!$H:$L,5,FALSE),VLOOKUP($M53,TT_Tabelle_Riferimento!$D$127:$H$164,5,FALSE))</f>
        <v>5</v>
      </c>
      <c r="OZ53" s="904">
        <f>+IFERROR(VLOOKUP(OZ$27&amp;"-"&amp;$M53&amp;"_new",Ammortamento_Finanziario!$H:$L,5,FALSE),VLOOKUP($M53,TT_Tabelle_Riferimento!$D$127:$H$164,5,FALSE))</f>
        <v>5</v>
      </c>
      <c r="PA53" s="904">
        <f>+IFERROR(VLOOKUP(PA$27&amp;"-"&amp;$M53&amp;"_new",Ammortamento_Finanziario!$H:$L,5,FALSE),VLOOKUP($M53,TT_Tabelle_Riferimento!$D$127:$H$164,5,FALSE))</f>
        <v>5</v>
      </c>
      <c r="PB53" s="904">
        <f>+IFERROR(VLOOKUP(PB$27&amp;"-"&amp;$M53&amp;"_new",Ammortamento_Finanziario!$H:$L,5,FALSE),VLOOKUP($M53,TT_Tabelle_Riferimento!$D$127:$H$164,5,FALSE))</f>
        <v>5</v>
      </c>
      <c r="PC53" s="904">
        <f>+IFERROR(VLOOKUP(PC$27&amp;"-"&amp;$M53&amp;"_new",Ammortamento_Finanziario!$H:$L,5,FALSE),VLOOKUP($M53,TT_Tabelle_Riferimento!$D$127:$H$164,5,FALSE))</f>
        <v>5</v>
      </c>
      <c r="PD53" s="904">
        <f>+IFERROR(VLOOKUP(PD$27&amp;"-"&amp;$M53&amp;"_new",Ammortamento_Finanziario!$H:$L,5,FALSE),VLOOKUP($M53,TT_Tabelle_Riferimento!$D$127:$H$164,5,FALSE))</f>
        <v>5</v>
      </c>
      <c r="PE53" s="904">
        <f>+IFERROR(VLOOKUP(PE$27&amp;"-"&amp;$M53&amp;"_new",Ammortamento_Finanziario!$H:$L,5,FALSE),VLOOKUP($M53,TT_Tabelle_Riferimento!$D$127:$H$164,5,FALSE))</f>
        <v>5</v>
      </c>
      <c r="PF53" s="904">
        <f>+IFERROR(VLOOKUP(PF$27&amp;"-"&amp;$M53&amp;"_new",Ammortamento_Finanziario!$H:$L,5,FALSE),VLOOKUP($M53,TT_Tabelle_Riferimento!$D$127:$H$164,5,FALSE))</f>
        <v>5</v>
      </c>
      <c r="PG53" s="904">
        <f>+IFERROR(VLOOKUP(PG$27&amp;"-"&amp;$M53&amp;"_new",Ammortamento_Finanziario!$H:$L,5,FALSE),VLOOKUP($M53,TT_Tabelle_Riferimento!$D$127:$H$164,5,FALSE))</f>
        <v>5</v>
      </c>
      <c r="PH53" s="904">
        <f>+IFERROR(VLOOKUP(PH$27&amp;"-"&amp;$M53&amp;"_new",Ammortamento_Finanziario!$H:$L,5,FALSE),VLOOKUP($M53,TT_Tabelle_Riferimento!$D$127:$H$164,5,FALSE))</f>
        <v>5</v>
      </c>
      <c r="PI53" s="904">
        <f>+IFERROR(VLOOKUP(PI$27&amp;"-"&amp;$M53&amp;"_new",Ammortamento_Finanziario!$H:$L,5,FALSE),VLOOKUP($M53,TT_Tabelle_Riferimento!$D$127:$H$164,5,FALSE))</f>
        <v>5</v>
      </c>
      <c r="PJ53" s="904">
        <f>+IFERROR(VLOOKUP(PJ$27&amp;"-"&amp;$M53&amp;"_new",Ammortamento_Finanziario!$H:$L,5,FALSE),VLOOKUP($M53,TT_Tabelle_Riferimento!$D$127:$H$164,5,FALSE))</f>
        <v>5</v>
      </c>
      <c r="PK53" s="904">
        <f>+IFERROR(VLOOKUP(PK$27&amp;"-"&amp;$M53&amp;"_new",Ammortamento_Finanziario!$H:$L,5,FALSE),VLOOKUP($M53,TT_Tabelle_Riferimento!$D$127:$H$164,5,FALSE))</f>
        <v>5</v>
      </c>
      <c r="PL53" s="1762">
        <f>+IFERROR(VLOOKUP(PL$27&amp;"-"&amp;$M53&amp;"_new",Ammortamento_Finanziario!$H:$L,5,FALSE),VLOOKUP($M53,TT_Tabelle_Riferimento!$D$127:$H$164,5,FALSE))</f>
        <v>5</v>
      </c>
      <c r="PM53" s="1762">
        <f>+IFERROR(VLOOKUP(PM$27&amp;"-"&amp;$M53&amp;"_new",Ammortamento_Finanziario!$H:$L,5,FALSE),VLOOKUP($M53,TT_Tabelle_Riferimento!$D$127:$H$164,5,FALSE))</f>
        <v>5</v>
      </c>
      <c r="PN53" s="1762">
        <f>+IFERROR(VLOOKUP(PN$27&amp;"-"&amp;$M53&amp;"_new",Ammortamento_Finanziario!$H:$L,5,FALSE),VLOOKUP($M53,TT_Tabelle_Riferimento!$D$127:$H$164,5,FALSE))</f>
        <v>5</v>
      </c>
      <c r="PO53" s="904">
        <f>+IFERROR(VLOOKUP(PO$27&amp;"-"&amp;$M53&amp;"_new",Ammortamento_Finanziario!$H:$L,5,FALSE),VLOOKUP($M53,TT_Tabelle_Riferimento!$D$127:$H$164,5,FALSE))</f>
        <v>5</v>
      </c>
      <c r="PP53" s="904">
        <f>+IFERROR(VLOOKUP(PP$27&amp;"-"&amp;$M53&amp;"_new",Ammortamento_Finanziario!$H:$L,5,FALSE),VLOOKUP($M53,TT_Tabelle_Riferimento!$D$127:$H$164,5,FALSE))</f>
        <v>5</v>
      </c>
      <c r="PQ53" s="904">
        <f>+IFERROR(VLOOKUP(PQ$27&amp;"-"&amp;$M53&amp;"_new",Ammortamento_Finanziario!$H:$L,5,FALSE),VLOOKUP($M53,TT_Tabelle_Riferimento!$D$127:$H$164,5,FALSE))</f>
        <v>5</v>
      </c>
      <c r="PR53" s="904">
        <f>+IFERROR(VLOOKUP(PR$27&amp;"-"&amp;$M53&amp;"_new",Ammortamento_Finanziario!$H:$L,5,FALSE),VLOOKUP($M53,TT_Tabelle_Riferimento!$D$127:$H$164,5,FALSE))</f>
        <v>5</v>
      </c>
      <c r="PS53" s="904">
        <f>+IFERROR(VLOOKUP(PS$27&amp;"-"&amp;$M53&amp;"_new",Ammortamento_Finanziario!$H:$L,5,FALSE),VLOOKUP($M53,TT_Tabelle_Riferimento!$D$127:$H$164,5,FALSE))</f>
        <v>5</v>
      </c>
      <c r="PT53" s="904">
        <f>+IFERROR(VLOOKUP(PT$27&amp;"-"&amp;$M53&amp;"_new",Ammortamento_Finanziario!$H:$L,5,FALSE),VLOOKUP($M53,TT_Tabelle_Riferimento!$D$127:$H$164,5,FALSE))</f>
        <v>5</v>
      </c>
      <c r="PU53" s="904">
        <f>+IFERROR(VLOOKUP(PU$27&amp;"-"&amp;$M53&amp;"_new",Ammortamento_Finanziario!$H:$L,5,FALSE),VLOOKUP($M53,TT_Tabelle_Riferimento!$D$127:$H$164,5,FALSE))</f>
        <v>5</v>
      </c>
      <c r="PV53" s="904">
        <f>+IFERROR(VLOOKUP(PV$27&amp;"-"&amp;$M53&amp;"_new",Ammortamento_Finanziario!$H:$L,5,FALSE),VLOOKUP($M53,TT_Tabelle_Riferimento!$D$127:$H$164,5,FALSE))</f>
        <v>5</v>
      </c>
      <c r="PW53" s="904">
        <f>+IFERROR(VLOOKUP(PW$27&amp;"-"&amp;$M53&amp;"_new",Ammortamento_Finanziario!$H:$L,5,FALSE),VLOOKUP($M53,TT_Tabelle_Riferimento!$D$127:$H$164,5,FALSE))</f>
        <v>5</v>
      </c>
      <c r="PX53" s="904">
        <f>+IFERROR(VLOOKUP(PX$27&amp;"-"&amp;$M53&amp;"_new",Ammortamento_Finanziario!$H:$L,5,FALSE),VLOOKUP($M53,TT_Tabelle_Riferimento!$D$127:$H$164,5,FALSE))</f>
        <v>5</v>
      </c>
      <c r="PY53" s="904">
        <f>+IFERROR(VLOOKUP(PY$27&amp;"-"&amp;$M53&amp;"_new",Ammortamento_Finanziario!$H:$L,5,FALSE),VLOOKUP($M53,TT_Tabelle_Riferimento!$D$127:$H$164,5,FALSE))</f>
        <v>5</v>
      </c>
      <c r="PZ53" s="904">
        <f>+IFERROR(VLOOKUP(PZ$27&amp;"-"&amp;$M53&amp;"_new",Ammortamento_Finanziario!$H:$L,5,FALSE),VLOOKUP($M53,TT_Tabelle_Riferimento!$D$127:$H$164,5,FALSE))</f>
        <v>5</v>
      </c>
      <c r="QA53" s="904">
        <f>+IFERROR(VLOOKUP(QA$27&amp;"-"&amp;$M53&amp;"_new",Ammortamento_Finanziario!$H:$L,5,FALSE),VLOOKUP($M53,TT_Tabelle_Riferimento!$D$127:$H$164,5,FALSE))</f>
        <v>5</v>
      </c>
      <c r="QB53" s="904">
        <f>+IFERROR(VLOOKUP(QB$27&amp;"-"&amp;$M53&amp;"_new",Ammortamento_Finanziario!$H:$L,5,FALSE),VLOOKUP($M53,TT_Tabelle_Riferimento!$D$127:$H$164,5,FALSE))</f>
        <v>5</v>
      </c>
      <c r="QC53" s="904">
        <f>+IFERROR(VLOOKUP(QC$27&amp;"-"&amp;$M53&amp;"_new",Ammortamento_Finanziario!$H:$L,5,FALSE),VLOOKUP($M53,TT_Tabelle_Riferimento!$D$127:$H$164,5,FALSE))</f>
        <v>5</v>
      </c>
      <c r="QD53" s="904">
        <f>+IFERROR(VLOOKUP(QD$27&amp;"-"&amp;$M53&amp;"_new",Ammortamento_Finanziario!$H:$L,5,FALSE),VLOOKUP($M53,TT_Tabelle_Riferimento!$D$127:$H$164,5,FALSE))</f>
        <v>5</v>
      </c>
      <c r="QE53" s="904">
        <f>+IFERROR(VLOOKUP(QE$27&amp;"-"&amp;$M53&amp;"_new",Ammortamento_Finanziario!$H:$L,5,FALSE),VLOOKUP($M53,TT_Tabelle_Riferimento!$D$127:$H$164,5,FALSE))</f>
        <v>5</v>
      </c>
      <c r="QF53" s="904">
        <f>+IFERROR(VLOOKUP(QF$27&amp;"-"&amp;$M53&amp;"_new",Ammortamento_Finanziario!$H:$L,5,FALSE),VLOOKUP($M53,TT_Tabelle_Riferimento!$D$127:$H$164,5,FALSE))</f>
        <v>5</v>
      </c>
      <c r="QG53" s="904">
        <f>+IFERROR(VLOOKUP(QG$27&amp;"-"&amp;$M53&amp;"_new",Ammortamento_Finanziario!$H:$L,5,FALSE),VLOOKUP($M53,TT_Tabelle_Riferimento!$D$127:$H$164,5,FALSE))</f>
        <v>5</v>
      </c>
      <c r="QH53" s="1762">
        <f>+IFERROR(VLOOKUP(QH$27&amp;"-"&amp;$M53&amp;"_new",Ammortamento_Finanziario!$H:$L,5,FALSE),VLOOKUP($M53,TT_Tabelle_Riferimento!$D$127:$H$164,5,FALSE))</f>
        <v>5</v>
      </c>
      <c r="QI53" s="1762">
        <f>+IFERROR(VLOOKUP(QI$27&amp;"-"&amp;$M53&amp;"_new",Ammortamento_Finanziario!$H:$L,5,FALSE),VLOOKUP($M53,TT_Tabelle_Riferimento!$D$127:$H$164,5,FALSE))</f>
        <v>5</v>
      </c>
      <c r="QJ53" s="904">
        <f>+IFERROR(VLOOKUP(QJ$27&amp;"-"&amp;$M53&amp;"_new",Ammortamento_Finanziario!$H:$L,5,FALSE),VLOOKUP($M53,TT_Tabelle_Riferimento!$D$127:$H$164,5,FALSE))</f>
        <v>5</v>
      </c>
      <c r="QK53" s="904">
        <f>+IFERROR(VLOOKUP(QK$27&amp;"-"&amp;$M53&amp;"_new",Ammortamento_Finanziario!$H:$L,5,FALSE),VLOOKUP($M53,TT_Tabelle_Riferimento!$D$127:$H$164,5,FALSE))</f>
        <v>5</v>
      </c>
      <c r="QL53" s="904">
        <f>+IFERROR(VLOOKUP(QL$27&amp;"-"&amp;$M53&amp;"_new",Ammortamento_Finanziario!$H:$L,5,FALSE),VLOOKUP($M53,TT_Tabelle_Riferimento!$D$127:$H$164,5,FALSE))</f>
        <v>5</v>
      </c>
      <c r="QM53" s="904">
        <f>+IFERROR(VLOOKUP(QM$27&amp;"-"&amp;$M53&amp;"_new",Ammortamento_Finanziario!$H:$L,5,FALSE),VLOOKUP($M53,TT_Tabelle_Riferimento!$D$127:$H$164,5,FALSE))</f>
        <v>5</v>
      </c>
      <c r="QN53" s="904">
        <f>+IFERROR(VLOOKUP(QN$27&amp;"-"&amp;$M53&amp;"_new",Ammortamento_Finanziario!$H:$L,5,FALSE),VLOOKUP($M53,TT_Tabelle_Riferimento!$D$127:$H$164,5,FALSE))</f>
        <v>5</v>
      </c>
      <c r="QO53" s="904">
        <f>+IFERROR(VLOOKUP(QO$27&amp;"-"&amp;$M53&amp;"_new",Ammortamento_Finanziario!$H:$L,5,FALSE),VLOOKUP($M53,TT_Tabelle_Riferimento!$D$127:$H$164,5,FALSE))</f>
        <v>5</v>
      </c>
      <c r="QP53" s="904">
        <f>+IFERROR(VLOOKUP(QP$27&amp;"-"&amp;$M53&amp;"_new",Ammortamento_Finanziario!$H:$L,5,FALSE),VLOOKUP($M53,TT_Tabelle_Riferimento!$D$127:$H$164,5,FALSE))</f>
        <v>5</v>
      </c>
      <c r="QQ53" s="904">
        <f>+IFERROR(VLOOKUP(QQ$27&amp;"-"&amp;$M53&amp;"_new",Ammortamento_Finanziario!$H:$L,5,FALSE),VLOOKUP($M53,TT_Tabelle_Riferimento!$D$127:$H$164,5,FALSE))</f>
        <v>5</v>
      </c>
      <c r="QR53" s="904">
        <f>+IFERROR(VLOOKUP(QR$27&amp;"-"&amp;$M53&amp;"_new",Ammortamento_Finanziario!$H:$L,5,FALSE),VLOOKUP($M53,TT_Tabelle_Riferimento!$D$127:$H$164,5,FALSE))</f>
        <v>5</v>
      </c>
      <c r="QS53" s="904">
        <f>+IFERROR(VLOOKUP(QS$27&amp;"-"&amp;$M53&amp;"_new",Ammortamento_Finanziario!$H:$L,5,FALSE),VLOOKUP($M53,TT_Tabelle_Riferimento!$D$127:$H$164,5,FALSE))</f>
        <v>5</v>
      </c>
      <c r="QT53" s="904">
        <f>+IFERROR(VLOOKUP(QT$27&amp;"-"&amp;$M53&amp;"_new",Ammortamento_Finanziario!$H:$L,5,FALSE),VLOOKUP($M53,TT_Tabelle_Riferimento!$D$127:$H$164,5,FALSE))</f>
        <v>5</v>
      </c>
      <c r="QU53" s="904">
        <f>+IFERROR(VLOOKUP(QU$27&amp;"-"&amp;$M53&amp;"_new",Ammortamento_Finanziario!$H:$L,5,FALSE),VLOOKUP($M53,TT_Tabelle_Riferimento!$D$127:$H$164,5,FALSE))</f>
        <v>5</v>
      </c>
      <c r="QV53" s="904">
        <f>+IFERROR(VLOOKUP(QV$27&amp;"-"&amp;$M53&amp;"_new",Ammortamento_Finanziario!$H:$L,5,FALSE),VLOOKUP($M53,TT_Tabelle_Riferimento!$D$127:$H$164,5,FALSE))</f>
        <v>5</v>
      </c>
      <c r="QW53" s="904">
        <f>+IFERROR(VLOOKUP(QW$27&amp;"-"&amp;$M53&amp;"_new",Ammortamento_Finanziario!$H:$L,5,FALSE),VLOOKUP($M53,TT_Tabelle_Riferimento!$D$127:$H$164,5,FALSE))</f>
        <v>5</v>
      </c>
      <c r="QX53" s="904">
        <f>+IFERROR(VLOOKUP(QX$27&amp;"-"&amp;$M53&amp;"_new",Ammortamento_Finanziario!$H:$L,5,FALSE),VLOOKUP($M53,TT_Tabelle_Riferimento!$D$127:$H$164,5,FALSE))</f>
        <v>5</v>
      </c>
      <c r="QY53" s="904">
        <f>+IFERROR(VLOOKUP(QY$27&amp;"-"&amp;$M53&amp;"_new",Ammortamento_Finanziario!$H:$L,5,FALSE),VLOOKUP($M53,TT_Tabelle_Riferimento!$D$127:$H$164,5,FALSE))</f>
        <v>5</v>
      </c>
      <c r="QZ53" s="904">
        <f>+IFERROR(VLOOKUP(QZ$27&amp;"-"&amp;$M53&amp;"_new",Ammortamento_Finanziario!$H:$L,5,FALSE),VLOOKUP($M53,TT_Tabelle_Riferimento!$D$127:$H$164,5,FALSE))</f>
        <v>5</v>
      </c>
      <c r="RA53" s="904">
        <f>+IFERROR(VLOOKUP(RA$27&amp;"-"&amp;$M53&amp;"_new",Ammortamento_Finanziario!$H:$L,5,FALSE),VLOOKUP($M53,TT_Tabelle_Riferimento!$D$127:$H$164,5,FALSE))</f>
        <v>5</v>
      </c>
      <c r="RB53" s="904">
        <f>+IFERROR(VLOOKUP(RB$27&amp;"-"&amp;$M53&amp;"_new",Ammortamento_Finanziario!$H:$L,5,FALSE),VLOOKUP($M53,TT_Tabelle_Riferimento!$D$127:$H$164,5,FALSE))</f>
        <v>5</v>
      </c>
      <c r="RC53" s="1762">
        <f>+IFERROR(VLOOKUP(RC$27&amp;"-"&amp;$M53&amp;"_new",Ammortamento_Finanziario!$H:$L,5,FALSE),VLOOKUP($M53,TT_Tabelle_Riferimento!$D$127:$H$164,5,FALSE))</f>
        <v>5</v>
      </c>
      <c r="RD53" s="904">
        <f>+IFERROR(VLOOKUP(RD$27&amp;"-"&amp;$M53&amp;"_new",Ammortamento_Finanziario!$H:$L,5,FALSE),VLOOKUP($M53,TT_Tabelle_Riferimento!$D$127:$H$164,5,FALSE))</f>
        <v>5</v>
      </c>
      <c r="RE53" s="904">
        <f>+IFERROR(VLOOKUP(RE$27&amp;"-"&amp;$M53&amp;"_new",Ammortamento_Finanziario!$H:$L,5,FALSE),VLOOKUP($M53,TT_Tabelle_Riferimento!$D$127:$H$164,5,FALSE))</f>
        <v>5</v>
      </c>
      <c r="RF53" s="904">
        <f>+IFERROR(VLOOKUP(RF$27&amp;"-"&amp;$M53&amp;"_new",Ammortamento_Finanziario!$H:$L,5,FALSE),VLOOKUP($M53,TT_Tabelle_Riferimento!$D$127:$H$164,5,FALSE))</f>
        <v>5</v>
      </c>
      <c r="RG53" s="904">
        <f>+IFERROR(VLOOKUP(RG$27&amp;"-"&amp;$M53&amp;"_new",Ammortamento_Finanziario!$H:$L,5,FALSE),VLOOKUP($M53,TT_Tabelle_Riferimento!$D$127:$H$164,5,FALSE))</f>
        <v>5</v>
      </c>
      <c r="RH53" s="904">
        <f>+IFERROR(VLOOKUP(RH$27&amp;"-"&amp;$M53&amp;"_new",Ammortamento_Finanziario!$H:$L,5,FALSE),VLOOKUP($M53,TT_Tabelle_Riferimento!$D$127:$H$164,5,FALSE))</f>
        <v>5</v>
      </c>
      <c r="RI53" s="904">
        <f>+IFERROR(VLOOKUP(RI$27&amp;"-"&amp;$M53&amp;"_new",Ammortamento_Finanziario!$H:$L,5,FALSE),VLOOKUP($M53,TT_Tabelle_Riferimento!$D$127:$H$164,5,FALSE))</f>
        <v>5</v>
      </c>
      <c r="RJ53" s="904">
        <f>+IFERROR(VLOOKUP(RJ$27&amp;"-"&amp;$M53&amp;"_new",Ammortamento_Finanziario!$H:$L,5,FALSE),VLOOKUP($M53,TT_Tabelle_Riferimento!$D$127:$H$164,5,FALSE))</f>
        <v>5</v>
      </c>
      <c r="RK53" s="904">
        <f>+IFERROR(VLOOKUP(RK$27&amp;"-"&amp;$M53&amp;"_new",Ammortamento_Finanziario!$H:$L,5,FALSE),VLOOKUP($M53,TT_Tabelle_Riferimento!$D$127:$H$164,5,FALSE))</f>
        <v>5</v>
      </c>
      <c r="RL53" s="904">
        <f>+IFERROR(VLOOKUP(RL$27&amp;"-"&amp;$M53&amp;"_new",Ammortamento_Finanziario!$H:$L,5,FALSE),VLOOKUP($M53,TT_Tabelle_Riferimento!$D$127:$H$164,5,FALSE))</f>
        <v>5</v>
      </c>
      <c r="RM53" s="904">
        <f>+IFERROR(VLOOKUP(RM$27&amp;"-"&amp;$M53&amp;"_new",Ammortamento_Finanziario!$H:$L,5,FALSE),VLOOKUP($M53,TT_Tabelle_Riferimento!$D$127:$H$164,5,FALSE))</f>
        <v>5</v>
      </c>
      <c r="RN53" s="904">
        <f>+IFERROR(VLOOKUP(RN$27&amp;"-"&amp;$M53&amp;"_new",Ammortamento_Finanziario!$H:$L,5,FALSE),VLOOKUP($M53,TT_Tabelle_Riferimento!$D$127:$H$164,5,FALSE))</f>
        <v>5</v>
      </c>
      <c r="RO53" s="904">
        <f>+IFERROR(VLOOKUP(RO$27&amp;"-"&amp;$M53&amp;"_new",Ammortamento_Finanziario!$H:$L,5,FALSE),VLOOKUP($M53,TT_Tabelle_Riferimento!$D$127:$H$164,5,FALSE))</f>
        <v>5</v>
      </c>
      <c r="RP53" s="904">
        <f>+IFERROR(VLOOKUP(RP$27&amp;"-"&amp;$M53&amp;"_new",Ammortamento_Finanziario!$H:$L,5,FALSE),VLOOKUP($M53,TT_Tabelle_Riferimento!$D$127:$H$164,5,FALSE))</f>
        <v>5</v>
      </c>
      <c r="RQ53" s="904">
        <f>+IFERROR(VLOOKUP(RQ$27&amp;"-"&amp;$M53&amp;"_new",Ammortamento_Finanziario!$H:$L,5,FALSE),VLOOKUP($M53,TT_Tabelle_Riferimento!$D$127:$H$164,5,FALSE))</f>
        <v>5</v>
      </c>
      <c r="RR53" s="904">
        <f>+IFERROR(VLOOKUP(RR$27&amp;"-"&amp;$M53&amp;"_new",Ammortamento_Finanziario!$H:$L,5,FALSE),VLOOKUP($M53,TT_Tabelle_Riferimento!$D$127:$H$164,5,FALSE))</f>
        <v>5</v>
      </c>
      <c r="RS53" s="904">
        <f>+IFERROR(VLOOKUP(RS$27&amp;"-"&amp;$M53&amp;"_new",Ammortamento_Finanziario!$H:$L,5,FALSE),VLOOKUP($M53,TT_Tabelle_Riferimento!$D$127:$H$164,5,FALSE))</f>
        <v>5</v>
      </c>
      <c r="RT53" s="904">
        <f>+IFERROR(VLOOKUP(RT$27&amp;"-"&amp;$M53&amp;"_new",Ammortamento_Finanziario!$H:$L,5,FALSE),VLOOKUP($M53,TT_Tabelle_Riferimento!$D$127:$H$164,5,FALSE))</f>
        <v>5</v>
      </c>
      <c r="RU53" s="904">
        <f>+IFERROR(VLOOKUP(RU$27&amp;"-"&amp;$M53&amp;"_new",Ammortamento_Finanziario!$H:$L,5,FALSE),VLOOKUP($M53,TT_Tabelle_Riferimento!$D$127:$H$164,5,FALSE))</f>
        <v>5</v>
      </c>
      <c r="RV53" s="904">
        <f>+IFERROR(VLOOKUP(RV$27&amp;"-"&amp;$M53&amp;"_new",Ammortamento_Finanziario!$H:$L,5,FALSE),VLOOKUP($M53,TT_Tabelle_Riferimento!$D$127:$H$164,5,FALSE))</f>
        <v>5</v>
      </c>
    </row>
    <row r="54" spans="4:490">
      <c r="D54" s="135" t="s">
        <v>199</v>
      </c>
      <c r="E54" s="719">
        <f>+SUMIFS(IMN_gestore!P:P,IMN_gestore!$G:$G,"Res")</f>
        <v>0</v>
      </c>
      <c r="F54" s="719">
        <f>+SUMIFS(IMN_gestore!AA:AA,IMN_gestore!$G:$G,"Res")</f>
        <v>0</v>
      </c>
      <c r="G54" s="719">
        <f>+SUMIFS(IMN_gestore!AL:AL,IMN_gestore!$G:$G,"Res")</f>
        <v>0</v>
      </c>
      <c r="H54" s="719">
        <f>+SUMIFS(IMN_gestore!AW:AW,IMN_gestore!$G:$G,"Res")</f>
        <v>0</v>
      </c>
      <c r="I54" s="719">
        <f>+SUMIFS(IMN_gestore!$BH:$BH,IMN_gestore!$G:$G,"Res")</f>
        <v>0</v>
      </c>
      <c r="J54" s="719">
        <f>+SUMIFS(IMN_gestore!$BS:$BS,IMN_gestore!$G:$G,"Res")</f>
        <v>0</v>
      </c>
      <c r="M54" s="1756">
        <v>27</v>
      </c>
      <c r="N54" s="1759">
        <v>0</v>
      </c>
      <c r="O54" s="1759">
        <v>0</v>
      </c>
      <c r="P54" s="1759">
        <v>0</v>
      </c>
      <c r="Q54" s="1759">
        <v>0</v>
      </c>
      <c r="R54" s="1759">
        <v>0</v>
      </c>
      <c r="S54" s="1759">
        <v>0</v>
      </c>
      <c r="T54" s="1759">
        <v>0</v>
      </c>
      <c r="U54" s="1759">
        <v>0</v>
      </c>
      <c r="V54" s="1759">
        <v>0</v>
      </c>
      <c r="W54" s="1759">
        <v>0</v>
      </c>
      <c r="X54" s="1759">
        <v>0</v>
      </c>
      <c r="Y54" s="1759">
        <v>0</v>
      </c>
      <c r="Z54" s="1759">
        <v>0</v>
      </c>
      <c r="AA54" s="1759">
        <v>0</v>
      </c>
      <c r="AB54" s="1759">
        <v>0</v>
      </c>
      <c r="AC54" s="1759">
        <v>0</v>
      </c>
      <c r="AD54" s="1759">
        <v>0</v>
      </c>
      <c r="AE54" s="1759">
        <v>0</v>
      </c>
      <c r="AF54" s="1759">
        <v>0</v>
      </c>
      <c r="AG54" s="1759">
        <v>0</v>
      </c>
      <c r="AH54" s="1759">
        <v>0</v>
      </c>
      <c r="AI54" s="1759">
        <v>0</v>
      </c>
      <c r="AJ54" s="1759">
        <v>0</v>
      </c>
      <c r="AK54" s="1759">
        <v>0</v>
      </c>
      <c r="AL54" s="1759">
        <v>0</v>
      </c>
      <c r="AM54" s="1759">
        <v>0</v>
      </c>
      <c r="AN54" s="1759">
        <v>0</v>
      </c>
      <c r="AO54" s="1759">
        <v>0</v>
      </c>
      <c r="AP54" s="1759">
        <v>0</v>
      </c>
      <c r="AQ54" s="1759">
        <v>0</v>
      </c>
      <c r="AR54" s="1759">
        <v>0</v>
      </c>
      <c r="AS54" s="1759">
        <v>0</v>
      </c>
      <c r="AT54" s="1759">
        <v>0</v>
      </c>
      <c r="AU54" s="1759">
        <v>0</v>
      </c>
      <c r="AV54" s="1759">
        <v>0</v>
      </c>
      <c r="AW54" s="1759">
        <v>0</v>
      </c>
      <c r="AX54" s="1759">
        <v>0</v>
      </c>
      <c r="AY54" s="1759">
        <v>0</v>
      </c>
      <c r="AZ54" s="1759">
        <v>0</v>
      </c>
      <c r="BA54" s="1759">
        <v>0</v>
      </c>
      <c r="BB54" s="1759">
        <v>0</v>
      </c>
      <c r="BC54" s="1759">
        <v>0</v>
      </c>
      <c r="BD54" s="1759">
        <v>0</v>
      </c>
      <c r="BE54" s="1759">
        <v>0</v>
      </c>
      <c r="BF54" s="1759">
        <v>0</v>
      </c>
      <c r="BG54" s="1759">
        <v>0</v>
      </c>
      <c r="BH54" s="1759">
        <v>0</v>
      </c>
      <c r="BI54" s="1759">
        <v>0</v>
      </c>
      <c r="BJ54" s="1759">
        <v>0</v>
      </c>
      <c r="BK54" s="1759">
        <v>0</v>
      </c>
      <c r="BL54" s="1759">
        <v>0</v>
      </c>
      <c r="BM54" s="1759">
        <v>0</v>
      </c>
      <c r="BN54" s="1759">
        <v>0</v>
      </c>
      <c r="BO54" s="1759">
        <v>0</v>
      </c>
      <c r="BP54" s="1759">
        <v>0</v>
      </c>
      <c r="BQ54" s="1759">
        <v>0</v>
      </c>
      <c r="BR54" s="1759">
        <v>0</v>
      </c>
      <c r="BS54" s="1759">
        <v>0</v>
      </c>
      <c r="BT54" s="1759">
        <v>0</v>
      </c>
      <c r="BU54" s="1759">
        <v>0</v>
      </c>
      <c r="BV54" s="1759">
        <v>0</v>
      </c>
      <c r="BW54" s="1759">
        <v>0</v>
      </c>
      <c r="BX54" s="1759">
        <v>0</v>
      </c>
      <c r="BY54" s="1759">
        <v>0</v>
      </c>
      <c r="BZ54" s="1759">
        <v>0</v>
      </c>
      <c r="CA54" s="1759">
        <v>0</v>
      </c>
      <c r="CB54" s="1759">
        <v>0</v>
      </c>
      <c r="CC54" s="1759">
        <v>0</v>
      </c>
      <c r="CD54" s="1759">
        <v>0</v>
      </c>
      <c r="CE54" s="1759">
        <v>0</v>
      </c>
      <c r="CF54" s="1759">
        <v>0</v>
      </c>
      <c r="CG54" s="1759">
        <v>0</v>
      </c>
      <c r="CH54" s="1759">
        <v>0</v>
      </c>
      <c r="CI54" s="1759">
        <v>0</v>
      </c>
      <c r="CJ54" s="1759">
        <v>0</v>
      </c>
      <c r="CK54" s="1759">
        <v>0</v>
      </c>
      <c r="CL54" s="1759">
        <v>0</v>
      </c>
      <c r="CM54" s="1759">
        <v>0</v>
      </c>
      <c r="CN54" s="1759">
        <v>0</v>
      </c>
      <c r="CO54" s="1759">
        <v>0</v>
      </c>
      <c r="CP54" s="1759">
        <v>0</v>
      </c>
      <c r="CQ54" s="1759">
        <v>0</v>
      </c>
      <c r="CR54" s="1759">
        <v>0</v>
      </c>
      <c r="CS54" s="1759">
        <v>0</v>
      </c>
      <c r="CT54" s="1759">
        <v>0</v>
      </c>
      <c r="CU54" s="1759">
        <v>0</v>
      </c>
      <c r="CV54" s="1759">
        <v>0</v>
      </c>
      <c r="CW54" s="1759">
        <v>0</v>
      </c>
      <c r="CX54" s="1759">
        <v>0</v>
      </c>
      <c r="CY54" s="1759">
        <v>0</v>
      </c>
      <c r="CZ54" s="1759">
        <v>0</v>
      </c>
      <c r="DA54" s="1759">
        <v>0</v>
      </c>
      <c r="DB54" s="1759">
        <v>0</v>
      </c>
      <c r="DC54" s="1759">
        <v>0</v>
      </c>
      <c r="DD54" s="1759">
        <v>0</v>
      </c>
      <c r="DE54" s="1759">
        <v>0</v>
      </c>
      <c r="DF54" s="1759">
        <v>0</v>
      </c>
      <c r="DG54" s="1759">
        <v>0</v>
      </c>
      <c r="DH54" s="1759">
        <v>0</v>
      </c>
      <c r="DI54" s="1759">
        <v>0</v>
      </c>
      <c r="DJ54" s="1759">
        <v>0</v>
      </c>
      <c r="DK54" s="1759">
        <v>0</v>
      </c>
      <c r="DL54" s="1759">
        <v>0</v>
      </c>
      <c r="DM54" s="1759">
        <v>0</v>
      </c>
      <c r="DN54" s="1759">
        <v>0</v>
      </c>
      <c r="DO54" s="1759">
        <v>0</v>
      </c>
      <c r="DP54" s="1759">
        <v>0</v>
      </c>
      <c r="DQ54" s="1759">
        <v>0</v>
      </c>
      <c r="DR54" s="1759">
        <v>0</v>
      </c>
      <c r="DS54" s="1759">
        <v>0</v>
      </c>
      <c r="DT54" s="1759">
        <v>0</v>
      </c>
      <c r="DU54" s="1759">
        <v>0</v>
      </c>
      <c r="DV54" s="1759">
        <v>0</v>
      </c>
      <c r="DW54" s="1759">
        <v>0</v>
      </c>
      <c r="DX54" s="1759">
        <v>0</v>
      </c>
      <c r="DY54" s="1759">
        <v>0</v>
      </c>
      <c r="DZ54" s="1759">
        <v>0</v>
      </c>
      <c r="EA54" s="1759">
        <v>0</v>
      </c>
      <c r="EB54" s="1759">
        <v>0</v>
      </c>
      <c r="EC54" s="1759">
        <v>0</v>
      </c>
      <c r="ED54" s="1759">
        <v>0</v>
      </c>
      <c r="EE54" s="1759">
        <v>0</v>
      </c>
      <c r="EF54" s="1759">
        <v>0</v>
      </c>
      <c r="EG54" s="1759">
        <v>0</v>
      </c>
      <c r="EH54" s="1759">
        <v>0</v>
      </c>
      <c r="EI54" s="1759">
        <v>0</v>
      </c>
      <c r="EJ54" s="1759">
        <v>0</v>
      </c>
      <c r="EK54" s="1759">
        <v>0</v>
      </c>
      <c r="EL54" s="1759">
        <v>0</v>
      </c>
      <c r="EM54" s="1759">
        <v>0</v>
      </c>
      <c r="EN54" s="1759">
        <v>0</v>
      </c>
      <c r="EO54" s="1759">
        <v>0</v>
      </c>
      <c r="EP54" s="1759">
        <v>0</v>
      </c>
      <c r="EQ54" s="1759">
        <v>0</v>
      </c>
      <c r="ER54" s="1759">
        <v>0</v>
      </c>
      <c r="ES54" s="1759">
        <v>0</v>
      </c>
      <c r="ET54" s="1759">
        <v>0</v>
      </c>
      <c r="EU54" s="1759">
        <v>0</v>
      </c>
      <c r="EV54" s="1759">
        <v>0</v>
      </c>
      <c r="EW54" s="1759">
        <v>0</v>
      </c>
      <c r="EX54" s="1759">
        <v>0</v>
      </c>
      <c r="EY54" s="1759">
        <v>0</v>
      </c>
      <c r="EZ54" s="1759">
        <v>0</v>
      </c>
      <c r="FA54" s="1759">
        <v>0</v>
      </c>
      <c r="FB54" s="1759">
        <v>0</v>
      </c>
      <c r="FC54" s="1759">
        <v>0</v>
      </c>
      <c r="FD54" s="1759">
        <v>0</v>
      </c>
      <c r="FE54" s="1759">
        <v>0</v>
      </c>
      <c r="FF54" s="1759">
        <v>0</v>
      </c>
      <c r="FG54" s="1759">
        <v>0</v>
      </c>
      <c r="FH54" s="1759">
        <v>0</v>
      </c>
      <c r="FI54" s="1759">
        <v>0</v>
      </c>
      <c r="FJ54" s="1759">
        <v>0</v>
      </c>
      <c r="FK54" s="1759">
        <v>0</v>
      </c>
      <c r="FL54" s="1759">
        <v>0</v>
      </c>
      <c r="FM54" s="1759">
        <v>0</v>
      </c>
      <c r="FN54" s="1759">
        <v>0</v>
      </c>
      <c r="FO54" s="1759">
        <v>0</v>
      </c>
      <c r="FP54" s="1759">
        <v>0</v>
      </c>
      <c r="FQ54" s="1759">
        <v>0</v>
      </c>
      <c r="FR54" s="1759">
        <v>0</v>
      </c>
      <c r="FS54" s="1759">
        <v>0</v>
      </c>
      <c r="FT54" s="1759">
        <v>0</v>
      </c>
      <c r="FU54" s="1759">
        <v>0</v>
      </c>
      <c r="FV54" s="1759">
        <v>0</v>
      </c>
      <c r="FW54" s="1759">
        <v>0</v>
      </c>
      <c r="FX54" s="1759">
        <v>0</v>
      </c>
      <c r="FY54" s="1759">
        <v>0</v>
      </c>
      <c r="FZ54" s="1759">
        <v>0</v>
      </c>
      <c r="GA54" s="1759">
        <v>0</v>
      </c>
      <c r="GB54" s="1759">
        <v>0</v>
      </c>
      <c r="GC54" s="1759">
        <v>0</v>
      </c>
      <c r="GD54" s="1759">
        <v>0</v>
      </c>
      <c r="GE54" s="1759">
        <v>0</v>
      </c>
      <c r="GF54" s="1759">
        <v>0</v>
      </c>
      <c r="GG54" s="1759">
        <v>0</v>
      </c>
      <c r="GH54" s="1759">
        <v>0</v>
      </c>
      <c r="GI54" s="1759">
        <v>0</v>
      </c>
      <c r="GJ54" s="1759">
        <v>0</v>
      </c>
      <c r="GK54" s="1759">
        <v>0</v>
      </c>
      <c r="GL54" s="1759">
        <v>0</v>
      </c>
      <c r="GM54" s="1759">
        <v>0</v>
      </c>
      <c r="GN54" s="1759">
        <v>0</v>
      </c>
      <c r="GO54" s="1759">
        <v>0</v>
      </c>
      <c r="GP54" s="1759">
        <v>0</v>
      </c>
      <c r="GQ54" s="1759">
        <v>0</v>
      </c>
      <c r="GR54" s="1759">
        <v>0</v>
      </c>
      <c r="GS54" s="1759">
        <v>0</v>
      </c>
      <c r="GT54" s="1759">
        <v>0</v>
      </c>
      <c r="GU54" s="1759">
        <v>0</v>
      </c>
      <c r="GV54" s="1759">
        <v>0</v>
      </c>
      <c r="GW54" s="1759">
        <v>0</v>
      </c>
      <c r="GX54" s="1759">
        <v>0</v>
      </c>
      <c r="GY54" s="1759">
        <v>0</v>
      </c>
      <c r="GZ54" s="1759">
        <v>0</v>
      </c>
      <c r="HA54" s="1759">
        <v>0</v>
      </c>
      <c r="HB54" s="1759">
        <v>0</v>
      </c>
      <c r="HC54" s="1759">
        <v>0</v>
      </c>
      <c r="HD54" s="1759">
        <v>0</v>
      </c>
      <c r="HE54" s="1759">
        <v>0</v>
      </c>
      <c r="HF54" s="1759">
        <v>0</v>
      </c>
      <c r="HG54" s="1759">
        <v>0</v>
      </c>
      <c r="HH54" s="1759">
        <v>0</v>
      </c>
      <c r="HI54" s="1759">
        <v>0</v>
      </c>
      <c r="HJ54" s="1759">
        <v>0</v>
      </c>
      <c r="HK54" s="1759">
        <v>0</v>
      </c>
      <c r="HL54" s="1759">
        <v>0</v>
      </c>
      <c r="HM54" s="1759">
        <v>0</v>
      </c>
      <c r="HN54" s="1759">
        <v>0</v>
      </c>
      <c r="HO54" s="1759">
        <v>0</v>
      </c>
      <c r="HP54" s="1759">
        <v>0</v>
      </c>
      <c r="HQ54" s="1759">
        <v>0</v>
      </c>
      <c r="HR54" s="1759">
        <v>0</v>
      </c>
      <c r="HS54" s="1759">
        <v>0</v>
      </c>
      <c r="HT54" s="1759">
        <v>0</v>
      </c>
      <c r="HU54" s="1759">
        <v>0</v>
      </c>
      <c r="HV54" s="1759">
        <v>0</v>
      </c>
      <c r="HW54" s="1759">
        <v>0</v>
      </c>
      <c r="HX54" s="1759">
        <v>0</v>
      </c>
      <c r="HY54" s="1759">
        <v>0</v>
      </c>
      <c r="HZ54" s="1759">
        <v>0</v>
      </c>
      <c r="IA54" s="1759">
        <v>0</v>
      </c>
      <c r="IB54" s="1759">
        <v>0</v>
      </c>
      <c r="IC54" s="1759">
        <v>0</v>
      </c>
      <c r="ID54" s="1759">
        <v>0</v>
      </c>
      <c r="IE54" s="1759">
        <v>0</v>
      </c>
      <c r="IF54" s="1759">
        <v>0</v>
      </c>
      <c r="IG54" s="1759">
        <v>0</v>
      </c>
      <c r="IH54" s="1759">
        <v>0</v>
      </c>
      <c r="II54" s="1759">
        <v>0</v>
      </c>
      <c r="IJ54" s="1759">
        <v>0</v>
      </c>
      <c r="IK54" s="1759">
        <v>0</v>
      </c>
      <c r="IL54" s="1759">
        <v>0</v>
      </c>
      <c r="IM54" s="1759">
        <v>0</v>
      </c>
      <c r="IN54" s="1759">
        <v>0</v>
      </c>
      <c r="IO54" s="1759">
        <v>0</v>
      </c>
      <c r="IP54" s="1759">
        <v>0</v>
      </c>
      <c r="IQ54" s="1759">
        <v>0</v>
      </c>
      <c r="IR54" s="1759">
        <v>0</v>
      </c>
      <c r="IS54" s="1759">
        <v>0</v>
      </c>
      <c r="IT54" s="1759">
        <v>0</v>
      </c>
      <c r="IU54" s="1759">
        <v>0</v>
      </c>
      <c r="IV54" s="1759">
        <v>0</v>
      </c>
      <c r="IW54" s="1759">
        <v>0</v>
      </c>
      <c r="IX54" s="1759">
        <v>0</v>
      </c>
      <c r="IY54" s="1759">
        <v>0</v>
      </c>
      <c r="IZ54" s="1759">
        <v>0</v>
      </c>
      <c r="JA54" s="1759">
        <v>0</v>
      </c>
      <c r="JB54" s="1759">
        <v>0</v>
      </c>
      <c r="JC54" s="1759">
        <v>0</v>
      </c>
      <c r="JD54" s="1759">
        <v>0</v>
      </c>
      <c r="JE54" s="1759">
        <v>0</v>
      </c>
      <c r="JF54" s="1759">
        <v>0</v>
      </c>
      <c r="JG54" s="1759">
        <v>0</v>
      </c>
      <c r="JH54" s="1759">
        <v>0</v>
      </c>
      <c r="JI54" s="1759">
        <v>0</v>
      </c>
      <c r="JJ54" s="1759">
        <v>0</v>
      </c>
      <c r="JK54" s="1759">
        <v>0</v>
      </c>
      <c r="JL54" s="1759">
        <v>0</v>
      </c>
      <c r="JM54" s="1759">
        <v>0</v>
      </c>
      <c r="JN54" s="1759">
        <v>0</v>
      </c>
      <c r="JO54" s="1759">
        <v>0</v>
      </c>
      <c r="JP54" s="1759">
        <v>0</v>
      </c>
      <c r="JQ54" s="1759">
        <v>0</v>
      </c>
      <c r="JR54" s="1759">
        <v>0</v>
      </c>
      <c r="JS54" s="1759">
        <v>0</v>
      </c>
      <c r="JT54" s="1759">
        <v>0</v>
      </c>
      <c r="JU54" s="1759">
        <v>0</v>
      </c>
      <c r="JV54" s="1759">
        <v>0</v>
      </c>
      <c r="JW54" s="1759">
        <v>0</v>
      </c>
      <c r="JX54" s="1759">
        <v>0</v>
      </c>
      <c r="JY54" s="1759">
        <v>0</v>
      </c>
      <c r="JZ54" s="1759">
        <v>0</v>
      </c>
      <c r="KA54" s="1759">
        <v>0</v>
      </c>
      <c r="KB54" s="1759">
        <v>0</v>
      </c>
      <c r="KC54" s="1759">
        <v>0</v>
      </c>
      <c r="KD54" s="1759">
        <v>0</v>
      </c>
      <c r="KE54" s="1759">
        <v>0</v>
      </c>
      <c r="KF54" s="1759">
        <v>0</v>
      </c>
      <c r="KG54" s="1759">
        <v>0</v>
      </c>
      <c r="KH54" s="1759">
        <v>0</v>
      </c>
      <c r="KI54" s="1759">
        <v>0</v>
      </c>
      <c r="KJ54" s="1759">
        <v>0</v>
      </c>
      <c r="KK54" s="1759">
        <v>0</v>
      </c>
      <c r="KL54" s="1759">
        <v>0</v>
      </c>
      <c r="KM54" s="1759">
        <v>0</v>
      </c>
      <c r="KN54" s="1759">
        <v>0</v>
      </c>
      <c r="KO54" s="1759">
        <v>0</v>
      </c>
      <c r="KP54" s="1759">
        <v>0</v>
      </c>
      <c r="KQ54" s="904">
        <f>+IFERROR(VLOOKUP(KQ$27&amp;"-"&amp;$M54&amp;"_new",Ammortamento_Finanziario!$H:$L,5,FALSE),VLOOKUP($M54,TT_Tabelle_Riferimento!$D$127:$H$164,5,FALSE))</f>
        <v>8</v>
      </c>
      <c r="KR54" s="904">
        <f>+IFERROR(VLOOKUP(KR$27&amp;"-"&amp;$M54&amp;"_new",Ammortamento_Finanziario!$H:$L,5,FALSE),VLOOKUP($M54,TT_Tabelle_Riferimento!$D$127:$H$164,5,FALSE))</f>
        <v>8</v>
      </c>
      <c r="KS54" s="1762">
        <f>+IFERROR(VLOOKUP(KS$27&amp;"-"&amp;$M54&amp;"_new",Ammortamento_Finanziario!$H:$L,5,FALSE),VLOOKUP($M54,TT_Tabelle_Riferimento!$D$127:$H$164,5,FALSE))</f>
        <v>8</v>
      </c>
      <c r="KT54" s="1762">
        <f>+IFERROR(VLOOKUP(KT$27&amp;"-"&amp;$M54&amp;"_new",Ammortamento_Finanziario!$H:$L,5,FALSE),VLOOKUP($M54,TT_Tabelle_Riferimento!$D$127:$H$164,5,FALSE))</f>
        <v>8</v>
      </c>
      <c r="KU54" s="1762">
        <f>+IFERROR(VLOOKUP(KU$27&amp;"-"&amp;$M54&amp;"_new",Ammortamento_Finanziario!$H:$L,5,FALSE),VLOOKUP($M54,TT_Tabelle_Riferimento!$D$127:$H$164,5,FALSE))</f>
        <v>8</v>
      </c>
      <c r="KV54" s="1762">
        <f>+IFERROR(VLOOKUP(KV$27&amp;"-"&amp;$M54&amp;"_new",Ammortamento_Finanziario!$H:$L,5,FALSE),VLOOKUP($M54,TT_Tabelle_Riferimento!$D$127:$H$164,5,FALSE))</f>
        <v>8</v>
      </c>
      <c r="KW54" s="1762">
        <f>+IFERROR(VLOOKUP(KW$27&amp;"-"&amp;$M54&amp;"_new",Ammortamento_Finanziario!$H:$L,5,FALSE),VLOOKUP($M54,TT_Tabelle_Riferimento!$D$127:$H$164,5,FALSE))</f>
        <v>8</v>
      </c>
      <c r="KX54" s="1762">
        <f>+IFERROR(VLOOKUP(KX$27&amp;"-"&amp;$M54&amp;"_new",Ammortamento_Finanziario!$H:$L,5,FALSE),VLOOKUP($M54,TT_Tabelle_Riferimento!$D$127:$H$164,5,FALSE))</f>
        <v>8</v>
      </c>
      <c r="KY54" s="904">
        <f>+IFERROR(VLOOKUP(KY$27&amp;"-"&amp;$M54&amp;"_new",Ammortamento_Finanziario!$H:$L,5,FALSE),VLOOKUP($M54,TT_Tabelle_Riferimento!$D$127:$H$164,5,FALSE))</f>
        <v>8</v>
      </c>
      <c r="KZ54" s="904">
        <f>+IFERROR(VLOOKUP(KZ$27&amp;"-"&amp;$M54&amp;"_new",Ammortamento_Finanziario!$H:$L,5,FALSE),VLOOKUP($M54,TT_Tabelle_Riferimento!$D$127:$H$164,5,FALSE))</f>
        <v>8</v>
      </c>
      <c r="LA54" s="904">
        <f>+IFERROR(VLOOKUP(LA$27&amp;"-"&amp;$M54&amp;"_new",Ammortamento_Finanziario!$H:$L,5,FALSE),VLOOKUP($M54,TT_Tabelle_Riferimento!$D$127:$H$164,5,FALSE))</f>
        <v>8</v>
      </c>
      <c r="LB54" s="904">
        <f>+IFERROR(VLOOKUP(LB$27&amp;"-"&amp;$M54&amp;"_new",Ammortamento_Finanziario!$H:$L,5,FALSE),VLOOKUP($M54,TT_Tabelle_Riferimento!$D$127:$H$164,5,FALSE))</f>
        <v>8</v>
      </c>
      <c r="LC54" s="904">
        <f>+IFERROR(VLOOKUP(LC$27&amp;"-"&amp;$M54&amp;"_new",Ammortamento_Finanziario!$H:$L,5,FALSE),VLOOKUP($M54,TT_Tabelle_Riferimento!$D$127:$H$164,5,FALSE))</f>
        <v>8</v>
      </c>
      <c r="LD54" s="904">
        <f>+IFERROR(VLOOKUP(LD$27&amp;"-"&amp;$M54&amp;"_new",Ammortamento_Finanziario!$H:$L,5,FALSE),VLOOKUP($M54,TT_Tabelle_Riferimento!$D$127:$H$164,5,FALSE))</f>
        <v>8</v>
      </c>
      <c r="LE54" s="904">
        <f>+IFERROR(VLOOKUP(LE$27&amp;"-"&amp;$M54&amp;"_new",Ammortamento_Finanziario!$H:$L,5,FALSE),VLOOKUP($M54,TT_Tabelle_Riferimento!$D$127:$H$164,5,FALSE))</f>
        <v>8</v>
      </c>
      <c r="LF54" s="904">
        <f>+IFERROR(VLOOKUP(LF$27&amp;"-"&amp;$M54&amp;"_new",Ammortamento_Finanziario!$H:$L,5,FALSE),VLOOKUP($M54,TT_Tabelle_Riferimento!$D$127:$H$164,5,FALSE))</f>
        <v>8</v>
      </c>
      <c r="LG54" s="904">
        <f>+IFERROR(VLOOKUP(LG$27&amp;"-"&amp;$M54&amp;"_new",Ammortamento_Finanziario!$H:$L,5,FALSE),VLOOKUP($M54,TT_Tabelle_Riferimento!$D$127:$H$164,5,FALSE))</f>
        <v>8</v>
      </c>
      <c r="LH54" s="904">
        <f>+IFERROR(VLOOKUP(LH$27&amp;"-"&amp;$M54&amp;"_new",Ammortamento_Finanziario!$H:$L,5,FALSE),VLOOKUP($M54,TT_Tabelle_Riferimento!$D$127:$H$164,5,FALSE))</f>
        <v>8</v>
      </c>
      <c r="LI54" s="904">
        <f>+IFERROR(VLOOKUP(LI$27&amp;"-"&amp;$M54&amp;"_new",Ammortamento_Finanziario!$H:$L,5,FALSE),VLOOKUP($M54,TT_Tabelle_Riferimento!$D$127:$H$164,5,FALSE))</f>
        <v>8</v>
      </c>
      <c r="LJ54" s="904">
        <f>+IFERROR(VLOOKUP(LJ$27&amp;"-"&amp;$M54&amp;"_new",Ammortamento_Finanziario!$H:$L,5,FALSE),VLOOKUP($M54,TT_Tabelle_Riferimento!$D$127:$H$164,5,FALSE))</f>
        <v>8</v>
      </c>
      <c r="LK54" s="904">
        <f>+IFERROR(VLOOKUP(LK$27&amp;"-"&amp;$M54&amp;"_new",Ammortamento_Finanziario!$H:$L,5,FALSE),VLOOKUP($M54,TT_Tabelle_Riferimento!$D$127:$H$164,5,FALSE))</f>
        <v>8</v>
      </c>
      <c r="LL54" s="904">
        <f>+IFERROR(VLOOKUP(LL$27&amp;"-"&amp;$M54&amp;"_new",Ammortamento_Finanziario!$H:$L,5,FALSE),VLOOKUP($M54,TT_Tabelle_Riferimento!$D$127:$H$164,5,FALSE))</f>
        <v>8</v>
      </c>
      <c r="LM54" s="904">
        <f>+IFERROR(VLOOKUP(LM$27&amp;"-"&amp;$M54&amp;"_new",Ammortamento_Finanziario!$H:$L,5,FALSE),VLOOKUP($M54,TT_Tabelle_Riferimento!$D$127:$H$164,5,FALSE))</f>
        <v>8</v>
      </c>
      <c r="LN54" s="904">
        <f>+IFERROR(VLOOKUP(LN$27&amp;"-"&amp;$M54&amp;"_new",Ammortamento_Finanziario!$H:$L,5,FALSE),VLOOKUP($M54,TT_Tabelle_Riferimento!$D$127:$H$164,5,FALSE))</f>
        <v>8</v>
      </c>
      <c r="LO54" s="904">
        <f>+IFERROR(VLOOKUP(LO$27&amp;"-"&amp;$M54&amp;"_new",Ammortamento_Finanziario!$H:$L,5,FALSE),VLOOKUP($M54,TT_Tabelle_Riferimento!$D$127:$H$164,5,FALSE))</f>
        <v>8</v>
      </c>
      <c r="LP54" s="904">
        <f>+IFERROR(VLOOKUP(LP$27&amp;"-"&amp;$M54&amp;"_new",Ammortamento_Finanziario!$H:$L,5,FALSE),VLOOKUP($M54,TT_Tabelle_Riferimento!$D$127:$H$164,5,FALSE))</f>
        <v>8</v>
      </c>
      <c r="LQ54" s="904">
        <f>+IFERROR(VLOOKUP(LQ$27&amp;"-"&amp;$M54&amp;"_new",Ammortamento_Finanziario!$H:$L,5,FALSE),VLOOKUP($M54,TT_Tabelle_Riferimento!$D$127:$H$164,5,FALSE))</f>
        <v>8</v>
      </c>
      <c r="LR54" s="904">
        <f>+IFERROR(VLOOKUP(LR$27&amp;"-"&amp;$M54&amp;"_new",Ammortamento_Finanziario!$H:$L,5,FALSE),VLOOKUP($M54,TT_Tabelle_Riferimento!$D$127:$H$164,5,FALSE))</f>
        <v>8</v>
      </c>
      <c r="LS54" s="1762">
        <f>+IFERROR(VLOOKUP(LS$27&amp;"-"&amp;$M54&amp;"_new",Ammortamento_Finanziario!$H:$L,5,FALSE),VLOOKUP($M54,TT_Tabelle_Riferimento!$D$127:$H$164,5,FALSE))</f>
        <v>8</v>
      </c>
      <c r="LT54" s="1762">
        <f>+IFERROR(VLOOKUP(LT$27&amp;"-"&amp;$M54&amp;"_new",Ammortamento_Finanziario!$H:$L,5,FALSE),VLOOKUP($M54,TT_Tabelle_Riferimento!$D$127:$H$164,5,FALSE))</f>
        <v>8</v>
      </c>
      <c r="LU54" s="1762">
        <f>+IFERROR(VLOOKUP(LU$27&amp;"-"&amp;$M54&amp;"_new",Ammortamento_Finanziario!$H:$L,5,FALSE),VLOOKUP($M54,TT_Tabelle_Riferimento!$D$127:$H$164,5,FALSE))</f>
        <v>8</v>
      </c>
      <c r="LV54" s="1762">
        <f>+IFERROR(VLOOKUP(LV$27&amp;"-"&amp;$M54&amp;"_new",Ammortamento_Finanziario!$H:$L,5,FALSE),VLOOKUP($M54,TT_Tabelle_Riferimento!$D$127:$H$164,5,FALSE))</f>
        <v>8</v>
      </c>
      <c r="LW54" s="1762">
        <f>+IFERROR(VLOOKUP(LW$27&amp;"-"&amp;$M54&amp;"_new",Ammortamento_Finanziario!$H:$L,5,FALSE),VLOOKUP($M54,TT_Tabelle_Riferimento!$D$127:$H$164,5,FALSE))</f>
        <v>8</v>
      </c>
      <c r="LX54" s="1762">
        <f>+IFERROR(VLOOKUP(LX$27&amp;"-"&amp;$M54&amp;"_new",Ammortamento_Finanziario!$H:$L,5,FALSE),VLOOKUP($M54,TT_Tabelle_Riferimento!$D$127:$H$164,5,FALSE))</f>
        <v>8</v>
      </c>
      <c r="LY54" s="904">
        <f>+IFERROR(VLOOKUP(LY$27&amp;"-"&amp;$M54&amp;"_new",Ammortamento_Finanziario!$H:$L,5,FALSE),VLOOKUP($M54,TT_Tabelle_Riferimento!$D$127:$H$164,5,FALSE))</f>
        <v>8</v>
      </c>
      <c r="LZ54" s="904">
        <f>+IFERROR(VLOOKUP(LZ$27&amp;"-"&amp;$M54&amp;"_new",Ammortamento_Finanziario!$H:$L,5,FALSE),VLOOKUP($M54,TT_Tabelle_Riferimento!$D$127:$H$164,5,FALSE))</f>
        <v>8</v>
      </c>
      <c r="MA54" s="904">
        <f>+IFERROR(VLOOKUP(MA$27&amp;"-"&amp;$M54&amp;"_new",Ammortamento_Finanziario!$H:$L,5,FALSE),VLOOKUP($M54,TT_Tabelle_Riferimento!$D$127:$H$164,5,FALSE))</f>
        <v>8</v>
      </c>
      <c r="MB54" s="904">
        <f>+IFERROR(VLOOKUP(MB$27&amp;"-"&amp;$M54&amp;"_new",Ammortamento_Finanziario!$H:$L,5,FALSE),VLOOKUP($M54,TT_Tabelle_Riferimento!$D$127:$H$164,5,FALSE))</f>
        <v>8</v>
      </c>
      <c r="MC54" s="904">
        <f>+IFERROR(VLOOKUP(MC$27&amp;"-"&amp;$M54&amp;"_new",Ammortamento_Finanziario!$H:$L,5,FALSE),VLOOKUP($M54,TT_Tabelle_Riferimento!$D$127:$H$164,5,FALSE))</f>
        <v>8</v>
      </c>
      <c r="MD54" s="904">
        <f>+IFERROR(VLOOKUP(MD$27&amp;"-"&amp;$M54&amp;"_new",Ammortamento_Finanziario!$H:$L,5,FALSE),VLOOKUP($M54,TT_Tabelle_Riferimento!$D$127:$H$164,5,FALSE))</f>
        <v>8</v>
      </c>
      <c r="ME54" s="904">
        <f>+IFERROR(VLOOKUP(ME$27&amp;"-"&amp;$M54&amp;"_new",Ammortamento_Finanziario!$H:$L,5,FALSE),VLOOKUP($M54,TT_Tabelle_Riferimento!$D$127:$H$164,5,FALSE))</f>
        <v>8</v>
      </c>
      <c r="MF54" s="904">
        <f>+IFERROR(VLOOKUP(MF$27&amp;"-"&amp;$M54&amp;"_new",Ammortamento_Finanziario!$H:$L,5,FALSE),VLOOKUP($M54,TT_Tabelle_Riferimento!$D$127:$H$164,5,FALSE))</f>
        <v>8</v>
      </c>
      <c r="MG54" s="904">
        <f>+IFERROR(VLOOKUP(MG$27&amp;"-"&amp;$M54&amp;"_new",Ammortamento_Finanziario!$H:$L,5,FALSE),VLOOKUP($M54,TT_Tabelle_Riferimento!$D$127:$H$164,5,FALSE))</f>
        <v>8</v>
      </c>
      <c r="MH54" s="904">
        <f>+IFERROR(VLOOKUP(MH$27&amp;"-"&amp;$M54&amp;"_new",Ammortamento_Finanziario!$H:$L,5,FALSE),VLOOKUP($M54,TT_Tabelle_Riferimento!$D$127:$H$164,5,FALSE))</f>
        <v>8</v>
      </c>
      <c r="MI54" s="904">
        <f>+IFERROR(VLOOKUP(MI$27&amp;"-"&amp;$M54&amp;"_new",Ammortamento_Finanziario!$H:$L,5,FALSE),VLOOKUP($M54,TT_Tabelle_Riferimento!$D$127:$H$164,5,FALSE))</f>
        <v>8</v>
      </c>
      <c r="MJ54" s="904">
        <f>+IFERROR(VLOOKUP(MJ$27&amp;"-"&amp;$M54&amp;"_new",Ammortamento_Finanziario!$H:$L,5,FALSE),VLOOKUP($M54,TT_Tabelle_Riferimento!$D$127:$H$164,5,FALSE))</f>
        <v>8</v>
      </c>
      <c r="MK54" s="904">
        <f>+IFERROR(VLOOKUP(MK$27&amp;"-"&amp;$M54&amp;"_new",Ammortamento_Finanziario!$H:$L,5,FALSE),VLOOKUP($M54,TT_Tabelle_Riferimento!$D$127:$H$164,5,FALSE))</f>
        <v>8</v>
      </c>
      <c r="ML54" s="904">
        <f>+IFERROR(VLOOKUP(ML$27&amp;"-"&amp;$M54&amp;"_new",Ammortamento_Finanziario!$H:$L,5,FALSE),VLOOKUP($M54,TT_Tabelle_Riferimento!$D$127:$H$164,5,FALSE))</f>
        <v>8</v>
      </c>
      <c r="MM54" s="904">
        <f>+IFERROR(VLOOKUP(MM$27&amp;"-"&amp;$M54&amp;"_new",Ammortamento_Finanziario!$H:$L,5,FALSE),VLOOKUP($M54,TT_Tabelle_Riferimento!$D$127:$H$164,5,FALSE))</f>
        <v>8</v>
      </c>
      <c r="MN54" s="904">
        <f>+IFERROR(VLOOKUP(MN$27&amp;"-"&amp;$M54&amp;"_new",Ammortamento_Finanziario!$H:$L,5,FALSE),VLOOKUP($M54,TT_Tabelle_Riferimento!$D$127:$H$164,5,FALSE))</f>
        <v>8</v>
      </c>
      <c r="MO54" s="904">
        <f>+IFERROR(VLOOKUP(MO$27&amp;"-"&amp;$M54&amp;"_new",Ammortamento_Finanziario!$H:$L,5,FALSE),VLOOKUP($M54,TT_Tabelle_Riferimento!$D$127:$H$164,5,FALSE))</f>
        <v>8</v>
      </c>
      <c r="MP54" s="904">
        <f>+IFERROR(VLOOKUP(MP$27&amp;"-"&amp;$M54&amp;"_new",Ammortamento_Finanziario!$H:$L,5,FALSE),VLOOKUP($M54,TT_Tabelle_Riferimento!$D$127:$H$164,5,FALSE))</f>
        <v>8</v>
      </c>
      <c r="MQ54" s="904">
        <f>+IFERROR(VLOOKUP(MQ$27&amp;"-"&amp;$M54&amp;"_new",Ammortamento_Finanziario!$H:$L,5,FALSE),VLOOKUP($M54,TT_Tabelle_Riferimento!$D$127:$H$164,5,FALSE))</f>
        <v>8</v>
      </c>
      <c r="MR54" s="1762">
        <f>+IFERROR(VLOOKUP(MR$27&amp;"-"&amp;$M54&amp;"_new",Ammortamento_Finanziario!$H:$L,5,FALSE),VLOOKUP($M54,TT_Tabelle_Riferimento!$D$127:$H$164,5,FALSE))</f>
        <v>8</v>
      </c>
      <c r="MS54" s="1762">
        <f>+IFERROR(VLOOKUP(MS$27&amp;"-"&amp;$M54&amp;"_new",Ammortamento_Finanziario!$H:$L,5,FALSE),VLOOKUP($M54,TT_Tabelle_Riferimento!$D$127:$H$164,5,FALSE))</f>
        <v>8</v>
      </c>
      <c r="MT54" s="1762">
        <f>+IFERROR(VLOOKUP(MT$27&amp;"-"&amp;$M54&amp;"_new",Ammortamento_Finanziario!$H:$L,5,FALSE),VLOOKUP($M54,TT_Tabelle_Riferimento!$D$127:$H$164,5,FALSE))</f>
        <v>8</v>
      </c>
      <c r="MU54" s="1762">
        <f>+IFERROR(VLOOKUP(MU$27&amp;"-"&amp;$M54&amp;"_new",Ammortamento_Finanziario!$H:$L,5,FALSE),VLOOKUP($M54,TT_Tabelle_Riferimento!$D$127:$H$164,5,FALSE))</f>
        <v>8</v>
      </c>
      <c r="MV54" s="1762">
        <f>+IFERROR(VLOOKUP(MV$27&amp;"-"&amp;$M54&amp;"_new",Ammortamento_Finanziario!$H:$L,5,FALSE),VLOOKUP($M54,TT_Tabelle_Riferimento!$D$127:$H$164,5,FALSE))</f>
        <v>8</v>
      </c>
      <c r="MW54" s="1762">
        <f>+IFERROR(VLOOKUP(MW$27&amp;"-"&amp;$M54&amp;"_new",Ammortamento_Finanziario!$H:$L,5,FALSE),VLOOKUP($M54,TT_Tabelle_Riferimento!$D$127:$H$164,5,FALSE))</f>
        <v>8</v>
      </c>
      <c r="MX54" s="904">
        <f>+IFERROR(VLOOKUP(MX$27&amp;"-"&amp;$M54&amp;"_new",Ammortamento_Finanziario!$H:$L,5,FALSE),VLOOKUP($M54,TT_Tabelle_Riferimento!$D$127:$H$164,5,FALSE))</f>
        <v>8</v>
      </c>
      <c r="MY54" s="904">
        <f>+IFERROR(VLOOKUP(MY$27&amp;"-"&amp;$M54&amp;"_new",Ammortamento_Finanziario!$H:$L,5,FALSE),VLOOKUP($M54,TT_Tabelle_Riferimento!$D$127:$H$164,5,FALSE))</f>
        <v>8</v>
      </c>
      <c r="MZ54" s="904">
        <f>+IFERROR(VLOOKUP(MZ$27&amp;"-"&amp;$M54&amp;"_new",Ammortamento_Finanziario!$H:$L,5,FALSE),VLOOKUP($M54,TT_Tabelle_Riferimento!$D$127:$H$164,5,FALSE))</f>
        <v>8</v>
      </c>
      <c r="NA54" s="904">
        <f>+IFERROR(VLOOKUP(NA$27&amp;"-"&amp;$M54&amp;"_new",Ammortamento_Finanziario!$H:$L,5,FALSE),VLOOKUP($M54,TT_Tabelle_Riferimento!$D$127:$H$164,5,FALSE))</f>
        <v>8</v>
      </c>
      <c r="NB54" s="904">
        <f>+IFERROR(VLOOKUP(NB$27&amp;"-"&amp;$M54&amp;"_new",Ammortamento_Finanziario!$H:$L,5,FALSE),VLOOKUP($M54,TT_Tabelle_Riferimento!$D$127:$H$164,5,FALSE))</f>
        <v>8</v>
      </c>
      <c r="NC54" s="904">
        <f>+IFERROR(VLOOKUP(NC$27&amp;"-"&amp;$M54&amp;"_new",Ammortamento_Finanziario!$H:$L,5,FALSE),VLOOKUP($M54,TT_Tabelle_Riferimento!$D$127:$H$164,5,FALSE))</f>
        <v>8</v>
      </c>
      <c r="ND54" s="904">
        <f>+IFERROR(VLOOKUP(ND$27&amp;"-"&amp;$M54&amp;"_new",Ammortamento_Finanziario!$H:$L,5,FALSE),VLOOKUP($M54,TT_Tabelle_Riferimento!$D$127:$H$164,5,FALSE))</f>
        <v>8</v>
      </c>
      <c r="NE54" s="904">
        <f>+IFERROR(VLOOKUP(NE$27&amp;"-"&amp;$M54&amp;"_new",Ammortamento_Finanziario!$H:$L,5,FALSE),VLOOKUP($M54,TT_Tabelle_Riferimento!$D$127:$H$164,5,FALSE))</f>
        <v>8</v>
      </c>
      <c r="NF54" s="904">
        <f>+IFERROR(VLOOKUP(NF$27&amp;"-"&amp;$M54&amp;"_new",Ammortamento_Finanziario!$H:$L,5,FALSE),VLOOKUP($M54,TT_Tabelle_Riferimento!$D$127:$H$164,5,FALSE))</f>
        <v>8</v>
      </c>
      <c r="NG54" s="904">
        <f>+IFERROR(VLOOKUP(NG$27&amp;"-"&amp;$M54&amp;"_new",Ammortamento_Finanziario!$H:$L,5,FALSE),VLOOKUP($M54,TT_Tabelle_Riferimento!$D$127:$H$164,5,FALSE))</f>
        <v>8</v>
      </c>
      <c r="NH54" s="904">
        <f>+IFERROR(VLOOKUP(NH$27&amp;"-"&amp;$M54&amp;"_new",Ammortamento_Finanziario!$H:$L,5,FALSE),VLOOKUP($M54,TT_Tabelle_Riferimento!$D$127:$H$164,5,FALSE))</f>
        <v>8</v>
      </c>
      <c r="NI54" s="904">
        <f>+IFERROR(VLOOKUP(NI$27&amp;"-"&amp;$M54&amp;"_new",Ammortamento_Finanziario!$H:$L,5,FALSE),VLOOKUP($M54,TT_Tabelle_Riferimento!$D$127:$H$164,5,FALSE))</f>
        <v>8</v>
      </c>
      <c r="NJ54" s="904">
        <f>+IFERROR(VLOOKUP(NJ$27&amp;"-"&amp;$M54&amp;"_new",Ammortamento_Finanziario!$H:$L,5,FALSE),VLOOKUP($M54,TT_Tabelle_Riferimento!$D$127:$H$164,5,FALSE))</f>
        <v>8</v>
      </c>
      <c r="NK54" s="904">
        <f>+IFERROR(VLOOKUP(NK$27&amp;"-"&amp;$M54&amp;"_new",Ammortamento_Finanziario!$H:$L,5,FALSE),VLOOKUP($M54,TT_Tabelle_Riferimento!$D$127:$H$164,5,FALSE))</f>
        <v>8</v>
      </c>
      <c r="NL54" s="904">
        <f>+IFERROR(VLOOKUP(NL$27&amp;"-"&amp;$M54&amp;"_new",Ammortamento_Finanziario!$H:$L,5,FALSE),VLOOKUP($M54,TT_Tabelle_Riferimento!$D$127:$H$164,5,FALSE))</f>
        <v>8</v>
      </c>
      <c r="NM54" s="904">
        <f>+IFERROR(VLOOKUP(NM$27&amp;"-"&amp;$M54&amp;"_new",Ammortamento_Finanziario!$H:$L,5,FALSE),VLOOKUP($M54,TT_Tabelle_Riferimento!$D$127:$H$164,5,FALSE))</f>
        <v>8</v>
      </c>
      <c r="NN54" s="904">
        <f>+IFERROR(VLOOKUP(NN$27&amp;"-"&amp;$M54&amp;"_new",Ammortamento_Finanziario!$H:$L,5,FALSE),VLOOKUP($M54,TT_Tabelle_Riferimento!$D$127:$H$164,5,FALSE))</f>
        <v>8</v>
      </c>
      <c r="NO54" s="904">
        <f>+IFERROR(VLOOKUP(NO$27&amp;"-"&amp;$M54&amp;"_new",Ammortamento_Finanziario!$H:$L,5,FALSE),VLOOKUP($M54,TT_Tabelle_Riferimento!$D$127:$H$164,5,FALSE))</f>
        <v>8</v>
      </c>
      <c r="NP54" s="904">
        <f>+IFERROR(VLOOKUP(NP$27&amp;"-"&amp;$M54&amp;"_new",Ammortamento_Finanziario!$H:$L,5,FALSE),VLOOKUP($M54,TT_Tabelle_Riferimento!$D$127:$H$164,5,FALSE))</f>
        <v>8</v>
      </c>
      <c r="NQ54" s="1762">
        <f>+IFERROR(VLOOKUP(NQ$27&amp;"-"&amp;$M54&amp;"_new",Ammortamento_Finanziario!$H:$L,5,FALSE),VLOOKUP($M54,TT_Tabelle_Riferimento!$D$127:$H$164,5,FALSE))</f>
        <v>8</v>
      </c>
      <c r="NR54" s="1762">
        <f>+IFERROR(VLOOKUP(NR$27&amp;"-"&amp;$M54&amp;"_new",Ammortamento_Finanziario!$H:$L,5,FALSE),VLOOKUP($M54,TT_Tabelle_Riferimento!$D$127:$H$164,5,FALSE))</f>
        <v>8</v>
      </c>
      <c r="NS54" s="1762">
        <f>+IFERROR(VLOOKUP(NS$27&amp;"-"&amp;$M54&amp;"_new",Ammortamento_Finanziario!$H:$L,5,FALSE),VLOOKUP($M54,TT_Tabelle_Riferimento!$D$127:$H$164,5,FALSE))</f>
        <v>8</v>
      </c>
      <c r="NT54" s="1762">
        <f>+IFERROR(VLOOKUP(NT$27&amp;"-"&amp;$M54&amp;"_new",Ammortamento_Finanziario!$H:$L,5,FALSE),VLOOKUP($M54,TT_Tabelle_Riferimento!$D$127:$H$164,5,FALSE))</f>
        <v>8</v>
      </c>
      <c r="NU54" s="1762">
        <f>+IFERROR(VLOOKUP(NU$27&amp;"-"&amp;$M54&amp;"_new",Ammortamento_Finanziario!$H:$L,5,FALSE),VLOOKUP($M54,TT_Tabelle_Riferimento!$D$127:$H$164,5,FALSE))</f>
        <v>8</v>
      </c>
      <c r="NV54" s="904">
        <f>+IFERROR(VLOOKUP(NV$27&amp;"-"&amp;$M54&amp;"_new",Ammortamento_Finanziario!$H:$L,5,FALSE),VLOOKUP($M54,TT_Tabelle_Riferimento!$D$127:$H$164,5,FALSE))</f>
        <v>8</v>
      </c>
      <c r="NW54" s="904">
        <f>+IFERROR(VLOOKUP(NW$27&amp;"-"&amp;$M54&amp;"_new",Ammortamento_Finanziario!$H:$L,5,FALSE),VLOOKUP($M54,TT_Tabelle_Riferimento!$D$127:$H$164,5,FALSE))</f>
        <v>8</v>
      </c>
      <c r="NX54" s="904">
        <f>+IFERROR(VLOOKUP(NX$27&amp;"-"&amp;$M54&amp;"_new",Ammortamento_Finanziario!$H:$L,5,FALSE),VLOOKUP($M54,TT_Tabelle_Riferimento!$D$127:$H$164,5,FALSE))</f>
        <v>8</v>
      </c>
      <c r="NY54" s="904">
        <f>+IFERROR(VLOOKUP(NY$27&amp;"-"&amp;$M54&amp;"_new",Ammortamento_Finanziario!$H:$L,5,FALSE),VLOOKUP($M54,TT_Tabelle_Riferimento!$D$127:$H$164,5,FALSE))</f>
        <v>8</v>
      </c>
      <c r="NZ54" s="904">
        <f>+IFERROR(VLOOKUP(NZ$27&amp;"-"&amp;$M54&amp;"_new",Ammortamento_Finanziario!$H:$L,5,FALSE),VLOOKUP($M54,TT_Tabelle_Riferimento!$D$127:$H$164,5,FALSE))</f>
        <v>8</v>
      </c>
      <c r="OA54" s="904">
        <f>+IFERROR(VLOOKUP(OA$27&amp;"-"&amp;$M54&amp;"_new",Ammortamento_Finanziario!$H:$L,5,FALSE),VLOOKUP($M54,TT_Tabelle_Riferimento!$D$127:$H$164,5,FALSE))</f>
        <v>8</v>
      </c>
      <c r="OB54" s="904">
        <f>+IFERROR(VLOOKUP(OB$27&amp;"-"&amp;$M54&amp;"_new",Ammortamento_Finanziario!$H:$L,5,FALSE),VLOOKUP($M54,TT_Tabelle_Riferimento!$D$127:$H$164,5,FALSE))</f>
        <v>8</v>
      </c>
      <c r="OC54" s="904">
        <f>+IFERROR(VLOOKUP(OC$27&amp;"-"&amp;$M54&amp;"_new",Ammortamento_Finanziario!$H:$L,5,FALSE),VLOOKUP($M54,TT_Tabelle_Riferimento!$D$127:$H$164,5,FALSE))</f>
        <v>8</v>
      </c>
      <c r="OD54" s="904">
        <f>+IFERROR(VLOOKUP(OD$27&amp;"-"&amp;$M54&amp;"_new",Ammortamento_Finanziario!$H:$L,5,FALSE),VLOOKUP($M54,TT_Tabelle_Riferimento!$D$127:$H$164,5,FALSE))</f>
        <v>8</v>
      </c>
      <c r="OE54" s="904">
        <f>+IFERROR(VLOOKUP(OE$27&amp;"-"&amp;$M54&amp;"_new",Ammortamento_Finanziario!$H:$L,5,FALSE),VLOOKUP($M54,TT_Tabelle_Riferimento!$D$127:$H$164,5,FALSE))</f>
        <v>8</v>
      </c>
      <c r="OF54" s="904">
        <f>+IFERROR(VLOOKUP(OF$27&amp;"-"&amp;$M54&amp;"_new",Ammortamento_Finanziario!$H:$L,5,FALSE),VLOOKUP($M54,TT_Tabelle_Riferimento!$D$127:$H$164,5,FALSE))</f>
        <v>8</v>
      </c>
      <c r="OG54" s="904">
        <f>+IFERROR(VLOOKUP(OG$27&amp;"-"&amp;$M54&amp;"_new",Ammortamento_Finanziario!$H:$L,5,FALSE),VLOOKUP($M54,TT_Tabelle_Riferimento!$D$127:$H$164,5,FALSE))</f>
        <v>8</v>
      </c>
      <c r="OH54" s="904">
        <f>+IFERROR(VLOOKUP(OH$27&amp;"-"&amp;$M54&amp;"_new",Ammortamento_Finanziario!$H:$L,5,FALSE),VLOOKUP($M54,TT_Tabelle_Riferimento!$D$127:$H$164,5,FALSE))</f>
        <v>8</v>
      </c>
      <c r="OI54" s="904">
        <f>+IFERROR(VLOOKUP(OI$27&amp;"-"&amp;$M54&amp;"_new",Ammortamento_Finanziario!$H:$L,5,FALSE),VLOOKUP($M54,TT_Tabelle_Riferimento!$D$127:$H$164,5,FALSE))</f>
        <v>8</v>
      </c>
      <c r="OJ54" s="904">
        <f>+IFERROR(VLOOKUP(OJ$27&amp;"-"&amp;$M54&amp;"_new",Ammortamento_Finanziario!$H:$L,5,FALSE),VLOOKUP($M54,TT_Tabelle_Riferimento!$D$127:$H$164,5,FALSE))</f>
        <v>8</v>
      </c>
      <c r="OK54" s="904">
        <f>+IFERROR(VLOOKUP(OK$27&amp;"-"&amp;$M54&amp;"_new",Ammortamento_Finanziario!$H:$L,5,FALSE),VLOOKUP($M54,TT_Tabelle_Riferimento!$D$127:$H$164,5,FALSE))</f>
        <v>8</v>
      </c>
      <c r="OL54" s="904">
        <f>+IFERROR(VLOOKUP(OL$27&amp;"-"&amp;$M54&amp;"_new",Ammortamento_Finanziario!$H:$L,5,FALSE),VLOOKUP($M54,TT_Tabelle_Riferimento!$D$127:$H$164,5,FALSE))</f>
        <v>8</v>
      </c>
      <c r="OM54" s="904">
        <f>+IFERROR(VLOOKUP(OM$27&amp;"-"&amp;$M54&amp;"_new",Ammortamento_Finanziario!$H:$L,5,FALSE),VLOOKUP($M54,TT_Tabelle_Riferimento!$D$127:$H$164,5,FALSE))</f>
        <v>8</v>
      </c>
      <c r="ON54" s="904">
        <f>+IFERROR(VLOOKUP(ON$27&amp;"-"&amp;$M54&amp;"_new",Ammortamento_Finanziario!$H:$L,5,FALSE),VLOOKUP($M54,TT_Tabelle_Riferimento!$D$127:$H$164,5,FALSE))</f>
        <v>8</v>
      </c>
      <c r="OO54" s="1762">
        <f>+IFERROR(VLOOKUP(OO$27&amp;"-"&amp;$M54&amp;"_new",Ammortamento_Finanziario!$H:$L,5,FALSE),VLOOKUP($M54,TT_Tabelle_Riferimento!$D$127:$H$164,5,FALSE))</f>
        <v>8</v>
      </c>
      <c r="OP54" s="1762">
        <f>+IFERROR(VLOOKUP(OP$27&amp;"-"&amp;$M54&amp;"_new",Ammortamento_Finanziario!$H:$L,5,FALSE),VLOOKUP($M54,TT_Tabelle_Riferimento!$D$127:$H$164,5,FALSE))</f>
        <v>8</v>
      </c>
      <c r="OQ54" s="1762">
        <f>+IFERROR(VLOOKUP(OQ$27&amp;"-"&amp;$M54&amp;"_new",Ammortamento_Finanziario!$H:$L,5,FALSE),VLOOKUP($M54,TT_Tabelle_Riferimento!$D$127:$H$164,5,FALSE))</f>
        <v>8</v>
      </c>
      <c r="OR54" s="1762">
        <f>+IFERROR(VLOOKUP(OR$27&amp;"-"&amp;$M54&amp;"_new",Ammortamento_Finanziario!$H:$L,5,FALSE),VLOOKUP($M54,TT_Tabelle_Riferimento!$D$127:$H$164,5,FALSE))</f>
        <v>8</v>
      </c>
      <c r="OS54" s="904">
        <f>+IFERROR(VLOOKUP(OS$27&amp;"-"&amp;$M54&amp;"_new",Ammortamento_Finanziario!$H:$L,5,FALSE),VLOOKUP($M54,TT_Tabelle_Riferimento!$D$127:$H$164,5,FALSE))</f>
        <v>8</v>
      </c>
      <c r="OT54" s="904">
        <f>+IFERROR(VLOOKUP(OT$27&amp;"-"&amp;$M54&amp;"_new",Ammortamento_Finanziario!$H:$L,5,FALSE),VLOOKUP($M54,TT_Tabelle_Riferimento!$D$127:$H$164,5,FALSE))</f>
        <v>8</v>
      </c>
      <c r="OU54" s="904">
        <f>+IFERROR(VLOOKUP(OU$27&amp;"-"&amp;$M54&amp;"_new",Ammortamento_Finanziario!$H:$L,5,FALSE),VLOOKUP($M54,TT_Tabelle_Riferimento!$D$127:$H$164,5,FALSE))</f>
        <v>8</v>
      </c>
      <c r="OV54" s="904">
        <f>+IFERROR(VLOOKUP(OV$27&amp;"-"&amp;$M54&amp;"_new",Ammortamento_Finanziario!$H:$L,5,FALSE),VLOOKUP($M54,TT_Tabelle_Riferimento!$D$127:$H$164,5,FALSE))</f>
        <v>8</v>
      </c>
      <c r="OW54" s="904">
        <f>+IFERROR(VLOOKUP(OW$27&amp;"-"&amp;$M54&amp;"_new",Ammortamento_Finanziario!$H:$L,5,FALSE),VLOOKUP($M54,TT_Tabelle_Riferimento!$D$127:$H$164,5,FALSE))</f>
        <v>8</v>
      </c>
      <c r="OX54" s="904">
        <f>+IFERROR(VLOOKUP(OX$27&amp;"-"&amp;$M54&amp;"_new",Ammortamento_Finanziario!$H:$L,5,FALSE),VLOOKUP($M54,TT_Tabelle_Riferimento!$D$127:$H$164,5,FALSE))</f>
        <v>8</v>
      </c>
      <c r="OY54" s="904">
        <f>+IFERROR(VLOOKUP(OY$27&amp;"-"&amp;$M54&amp;"_new",Ammortamento_Finanziario!$H:$L,5,FALSE),VLOOKUP($M54,TT_Tabelle_Riferimento!$D$127:$H$164,5,FALSE))</f>
        <v>8</v>
      </c>
      <c r="OZ54" s="904">
        <f>+IFERROR(VLOOKUP(OZ$27&amp;"-"&amp;$M54&amp;"_new",Ammortamento_Finanziario!$H:$L,5,FALSE),VLOOKUP($M54,TT_Tabelle_Riferimento!$D$127:$H$164,5,FALSE))</f>
        <v>8</v>
      </c>
      <c r="PA54" s="904">
        <f>+IFERROR(VLOOKUP(PA$27&amp;"-"&amp;$M54&amp;"_new",Ammortamento_Finanziario!$H:$L,5,FALSE),VLOOKUP($M54,TT_Tabelle_Riferimento!$D$127:$H$164,5,FALSE))</f>
        <v>8</v>
      </c>
      <c r="PB54" s="904">
        <f>+IFERROR(VLOOKUP(PB$27&amp;"-"&amp;$M54&amp;"_new",Ammortamento_Finanziario!$H:$L,5,FALSE),VLOOKUP($M54,TT_Tabelle_Riferimento!$D$127:$H$164,5,FALSE))</f>
        <v>8</v>
      </c>
      <c r="PC54" s="904">
        <f>+IFERROR(VLOOKUP(PC$27&amp;"-"&amp;$M54&amp;"_new",Ammortamento_Finanziario!$H:$L,5,FALSE),VLOOKUP($M54,TT_Tabelle_Riferimento!$D$127:$H$164,5,FALSE))</f>
        <v>8</v>
      </c>
      <c r="PD54" s="904">
        <f>+IFERROR(VLOOKUP(PD$27&amp;"-"&amp;$M54&amp;"_new",Ammortamento_Finanziario!$H:$L,5,FALSE),VLOOKUP($M54,TT_Tabelle_Riferimento!$D$127:$H$164,5,FALSE))</f>
        <v>8</v>
      </c>
      <c r="PE54" s="904">
        <f>+IFERROR(VLOOKUP(PE$27&amp;"-"&amp;$M54&amp;"_new",Ammortamento_Finanziario!$H:$L,5,FALSE),VLOOKUP($M54,TT_Tabelle_Riferimento!$D$127:$H$164,5,FALSE))</f>
        <v>8</v>
      </c>
      <c r="PF54" s="904">
        <f>+IFERROR(VLOOKUP(PF$27&amp;"-"&amp;$M54&amp;"_new",Ammortamento_Finanziario!$H:$L,5,FALSE),VLOOKUP($M54,TT_Tabelle_Riferimento!$D$127:$H$164,5,FALSE))</f>
        <v>8</v>
      </c>
      <c r="PG54" s="904">
        <f>+IFERROR(VLOOKUP(PG$27&amp;"-"&amp;$M54&amp;"_new",Ammortamento_Finanziario!$H:$L,5,FALSE),VLOOKUP($M54,TT_Tabelle_Riferimento!$D$127:$H$164,5,FALSE))</f>
        <v>8</v>
      </c>
      <c r="PH54" s="904">
        <f>+IFERROR(VLOOKUP(PH$27&amp;"-"&amp;$M54&amp;"_new",Ammortamento_Finanziario!$H:$L,5,FALSE),VLOOKUP($M54,TT_Tabelle_Riferimento!$D$127:$H$164,5,FALSE))</f>
        <v>8</v>
      </c>
      <c r="PI54" s="904">
        <f>+IFERROR(VLOOKUP(PI$27&amp;"-"&amp;$M54&amp;"_new",Ammortamento_Finanziario!$H:$L,5,FALSE),VLOOKUP($M54,TT_Tabelle_Riferimento!$D$127:$H$164,5,FALSE))</f>
        <v>8</v>
      </c>
      <c r="PJ54" s="904">
        <f>+IFERROR(VLOOKUP(PJ$27&amp;"-"&amp;$M54&amp;"_new",Ammortamento_Finanziario!$H:$L,5,FALSE),VLOOKUP($M54,TT_Tabelle_Riferimento!$D$127:$H$164,5,FALSE))</f>
        <v>8</v>
      </c>
      <c r="PK54" s="904">
        <f>+IFERROR(VLOOKUP(PK$27&amp;"-"&amp;$M54&amp;"_new",Ammortamento_Finanziario!$H:$L,5,FALSE),VLOOKUP($M54,TT_Tabelle_Riferimento!$D$127:$H$164,5,FALSE))</f>
        <v>8</v>
      </c>
      <c r="PL54" s="1762">
        <f>+IFERROR(VLOOKUP(PL$27&amp;"-"&amp;$M54&amp;"_new",Ammortamento_Finanziario!$H:$L,5,FALSE),VLOOKUP($M54,TT_Tabelle_Riferimento!$D$127:$H$164,5,FALSE))</f>
        <v>8</v>
      </c>
      <c r="PM54" s="1762">
        <f>+IFERROR(VLOOKUP(PM$27&amp;"-"&amp;$M54&amp;"_new",Ammortamento_Finanziario!$H:$L,5,FALSE),VLOOKUP($M54,TT_Tabelle_Riferimento!$D$127:$H$164,5,FALSE))</f>
        <v>8</v>
      </c>
      <c r="PN54" s="1762">
        <f>+IFERROR(VLOOKUP(PN$27&amp;"-"&amp;$M54&amp;"_new",Ammortamento_Finanziario!$H:$L,5,FALSE),VLOOKUP($M54,TT_Tabelle_Riferimento!$D$127:$H$164,5,FALSE))</f>
        <v>8</v>
      </c>
      <c r="PO54" s="904">
        <f>+IFERROR(VLOOKUP(PO$27&amp;"-"&amp;$M54&amp;"_new",Ammortamento_Finanziario!$H:$L,5,FALSE),VLOOKUP($M54,TT_Tabelle_Riferimento!$D$127:$H$164,5,FALSE))</f>
        <v>8</v>
      </c>
      <c r="PP54" s="904">
        <f>+IFERROR(VLOOKUP(PP$27&amp;"-"&amp;$M54&amp;"_new",Ammortamento_Finanziario!$H:$L,5,FALSE),VLOOKUP($M54,TT_Tabelle_Riferimento!$D$127:$H$164,5,FALSE))</f>
        <v>8</v>
      </c>
      <c r="PQ54" s="904">
        <f>+IFERROR(VLOOKUP(PQ$27&amp;"-"&amp;$M54&amp;"_new",Ammortamento_Finanziario!$H:$L,5,FALSE),VLOOKUP($M54,TT_Tabelle_Riferimento!$D$127:$H$164,5,FALSE))</f>
        <v>8</v>
      </c>
      <c r="PR54" s="904">
        <f>+IFERROR(VLOOKUP(PR$27&amp;"-"&amp;$M54&amp;"_new",Ammortamento_Finanziario!$H:$L,5,FALSE),VLOOKUP($M54,TT_Tabelle_Riferimento!$D$127:$H$164,5,FALSE))</f>
        <v>8</v>
      </c>
      <c r="PS54" s="904">
        <f>+IFERROR(VLOOKUP(PS$27&amp;"-"&amp;$M54&amp;"_new",Ammortamento_Finanziario!$H:$L,5,FALSE),VLOOKUP($M54,TT_Tabelle_Riferimento!$D$127:$H$164,5,FALSE))</f>
        <v>8</v>
      </c>
      <c r="PT54" s="904">
        <f>+IFERROR(VLOOKUP(PT$27&amp;"-"&amp;$M54&amp;"_new",Ammortamento_Finanziario!$H:$L,5,FALSE),VLOOKUP($M54,TT_Tabelle_Riferimento!$D$127:$H$164,5,FALSE))</f>
        <v>8</v>
      </c>
      <c r="PU54" s="904">
        <f>+IFERROR(VLOOKUP(PU$27&amp;"-"&amp;$M54&amp;"_new",Ammortamento_Finanziario!$H:$L,5,FALSE),VLOOKUP($M54,TT_Tabelle_Riferimento!$D$127:$H$164,5,FALSE))</f>
        <v>8</v>
      </c>
      <c r="PV54" s="904">
        <f>+IFERROR(VLOOKUP(PV$27&amp;"-"&amp;$M54&amp;"_new",Ammortamento_Finanziario!$H:$L,5,FALSE),VLOOKUP($M54,TT_Tabelle_Riferimento!$D$127:$H$164,5,FALSE))</f>
        <v>8</v>
      </c>
      <c r="PW54" s="904">
        <f>+IFERROR(VLOOKUP(PW$27&amp;"-"&amp;$M54&amp;"_new",Ammortamento_Finanziario!$H:$L,5,FALSE),VLOOKUP($M54,TT_Tabelle_Riferimento!$D$127:$H$164,5,FALSE))</f>
        <v>8</v>
      </c>
      <c r="PX54" s="904">
        <f>+IFERROR(VLOOKUP(PX$27&amp;"-"&amp;$M54&amp;"_new",Ammortamento_Finanziario!$H:$L,5,FALSE),VLOOKUP($M54,TT_Tabelle_Riferimento!$D$127:$H$164,5,FALSE))</f>
        <v>8</v>
      </c>
      <c r="PY54" s="904">
        <f>+IFERROR(VLOOKUP(PY$27&amp;"-"&amp;$M54&amp;"_new",Ammortamento_Finanziario!$H:$L,5,FALSE),VLOOKUP($M54,TT_Tabelle_Riferimento!$D$127:$H$164,5,FALSE))</f>
        <v>8</v>
      </c>
      <c r="PZ54" s="904">
        <f>+IFERROR(VLOOKUP(PZ$27&amp;"-"&amp;$M54&amp;"_new",Ammortamento_Finanziario!$H:$L,5,FALSE),VLOOKUP($M54,TT_Tabelle_Riferimento!$D$127:$H$164,5,FALSE))</f>
        <v>8</v>
      </c>
      <c r="QA54" s="904">
        <f>+IFERROR(VLOOKUP(QA$27&amp;"-"&amp;$M54&amp;"_new",Ammortamento_Finanziario!$H:$L,5,FALSE),VLOOKUP($M54,TT_Tabelle_Riferimento!$D$127:$H$164,5,FALSE))</f>
        <v>8</v>
      </c>
      <c r="QB54" s="904">
        <f>+IFERROR(VLOOKUP(QB$27&amp;"-"&amp;$M54&amp;"_new",Ammortamento_Finanziario!$H:$L,5,FALSE),VLOOKUP($M54,TT_Tabelle_Riferimento!$D$127:$H$164,5,FALSE))</f>
        <v>8</v>
      </c>
      <c r="QC54" s="904">
        <f>+IFERROR(VLOOKUP(QC$27&amp;"-"&amp;$M54&amp;"_new",Ammortamento_Finanziario!$H:$L,5,FALSE),VLOOKUP($M54,TT_Tabelle_Riferimento!$D$127:$H$164,5,FALSE))</f>
        <v>8</v>
      </c>
      <c r="QD54" s="904">
        <f>+IFERROR(VLOOKUP(QD$27&amp;"-"&amp;$M54&amp;"_new",Ammortamento_Finanziario!$H:$L,5,FALSE),VLOOKUP($M54,TT_Tabelle_Riferimento!$D$127:$H$164,5,FALSE))</f>
        <v>8</v>
      </c>
      <c r="QE54" s="904">
        <f>+IFERROR(VLOOKUP(QE$27&amp;"-"&amp;$M54&amp;"_new",Ammortamento_Finanziario!$H:$L,5,FALSE),VLOOKUP($M54,TT_Tabelle_Riferimento!$D$127:$H$164,5,FALSE))</f>
        <v>8</v>
      </c>
      <c r="QF54" s="904">
        <f>+IFERROR(VLOOKUP(QF$27&amp;"-"&amp;$M54&amp;"_new",Ammortamento_Finanziario!$H:$L,5,FALSE),VLOOKUP($M54,TT_Tabelle_Riferimento!$D$127:$H$164,5,FALSE))</f>
        <v>8</v>
      </c>
      <c r="QG54" s="904">
        <f>+IFERROR(VLOOKUP(QG$27&amp;"-"&amp;$M54&amp;"_new",Ammortamento_Finanziario!$H:$L,5,FALSE),VLOOKUP($M54,TT_Tabelle_Riferimento!$D$127:$H$164,5,FALSE))</f>
        <v>8</v>
      </c>
      <c r="QH54" s="1762">
        <f>+IFERROR(VLOOKUP(QH$27&amp;"-"&amp;$M54&amp;"_new",Ammortamento_Finanziario!$H:$L,5,FALSE),VLOOKUP($M54,TT_Tabelle_Riferimento!$D$127:$H$164,5,FALSE))</f>
        <v>8</v>
      </c>
      <c r="QI54" s="1762">
        <f>+IFERROR(VLOOKUP(QI$27&amp;"-"&amp;$M54&amp;"_new",Ammortamento_Finanziario!$H:$L,5,FALSE),VLOOKUP($M54,TT_Tabelle_Riferimento!$D$127:$H$164,5,FALSE))</f>
        <v>8</v>
      </c>
      <c r="QJ54" s="904">
        <f>+IFERROR(VLOOKUP(QJ$27&amp;"-"&amp;$M54&amp;"_new",Ammortamento_Finanziario!$H:$L,5,FALSE),VLOOKUP($M54,TT_Tabelle_Riferimento!$D$127:$H$164,5,FALSE))</f>
        <v>8</v>
      </c>
      <c r="QK54" s="904">
        <f>+IFERROR(VLOOKUP(QK$27&amp;"-"&amp;$M54&amp;"_new",Ammortamento_Finanziario!$H:$L,5,FALSE),VLOOKUP($M54,TT_Tabelle_Riferimento!$D$127:$H$164,5,FALSE))</f>
        <v>8</v>
      </c>
      <c r="QL54" s="904">
        <f>+IFERROR(VLOOKUP(QL$27&amp;"-"&amp;$M54&amp;"_new",Ammortamento_Finanziario!$H:$L,5,FALSE),VLOOKUP($M54,TT_Tabelle_Riferimento!$D$127:$H$164,5,FALSE))</f>
        <v>8</v>
      </c>
      <c r="QM54" s="904">
        <f>+IFERROR(VLOOKUP(QM$27&amp;"-"&amp;$M54&amp;"_new",Ammortamento_Finanziario!$H:$L,5,FALSE),VLOOKUP($M54,TT_Tabelle_Riferimento!$D$127:$H$164,5,FALSE))</f>
        <v>8</v>
      </c>
      <c r="QN54" s="904">
        <f>+IFERROR(VLOOKUP(QN$27&amp;"-"&amp;$M54&amp;"_new",Ammortamento_Finanziario!$H:$L,5,FALSE),VLOOKUP($M54,TT_Tabelle_Riferimento!$D$127:$H$164,5,FALSE))</f>
        <v>8</v>
      </c>
      <c r="QO54" s="904">
        <f>+IFERROR(VLOOKUP(QO$27&amp;"-"&amp;$M54&amp;"_new",Ammortamento_Finanziario!$H:$L,5,FALSE),VLOOKUP($M54,TT_Tabelle_Riferimento!$D$127:$H$164,5,FALSE))</f>
        <v>8</v>
      </c>
      <c r="QP54" s="904">
        <f>+IFERROR(VLOOKUP(QP$27&amp;"-"&amp;$M54&amp;"_new",Ammortamento_Finanziario!$H:$L,5,FALSE),VLOOKUP($M54,TT_Tabelle_Riferimento!$D$127:$H$164,5,FALSE))</f>
        <v>8</v>
      </c>
      <c r="QQ54" s="904">
        <f>+IFERROR(VLOOKUP(QQ$27&amp;"-"&amp;$M54&amp;"_new",Ammortamento_Finanziario!$H:$L,5,FALSE),VLOOKUP($M54,TT_Tabelle_Riferimento!$D$127:$H$164,5,FALSE))</f>
        <v>8</v>
      </c>
      <c r="QR54" s="904">
        <f>+IFERROR(VLOOKUP(QR$27&amp;"-"&amp;$M54&amp;"_new",Ammortamento_Finanziario!$H:$L,5,FALSE),VLOOKUP($M54,TT_Tabelle_Riferimento!$D$127:$H$164,5,FALSE))</f>
        <v>8</v>
      </c>
      <c r="QS54" s="904">
        <f>+IFERROR(VLOOKUP(QS$27&amp;"-"&amp;$M54&amp;"_new",Ammortamento_Finanziario!$H:$L,5,FALSE),VLOOKUP($M54,TT_Tabelle_Riferimento!$D$127:$H$164,5,FALSE))</f>
        <v>8</v>
      </c>
      <c r="QT54" s="904">
        <f>+IFERROR(VLOOKUP(QT$27&amp;"-"&amp;$M54&amp;"_new",Ammortamento_Finanziario!$H:$L,5,FALSE),VLOOKUP($M54,TT_Tabelle_Riferimento!$D$127:$H$164,5,FALSE))</f>
        <v>8</v>
      </c>
      <c r="QU54" s="904">
        <f>+IFERROR(VLOOKUP(QU$27&amp;"-"&amp;$M54&amp;"_new",Ammortamento_Finanziario!$H:$L,5,FALSE),VLOOKUP($M54,TT_Tabelle_Riferimento!$D$127:$H$164,5,FALSE))</f>
        <v>8</v>
      </c>
      <c r="QV54" s="904">
        <f>+IFERROR(VLOOKUP(QV$27&amp;"-"&amp;$M54&amp;"_new",Ammortamento_Finanziario!$H:$L,5,FALSE),VLOOKUP($M54,TT_Tabelle_Riferimento!$D$127:$H$164,5,FALSE))</f>
        <v>8</v>
      </c>
      <c r="QW54" s="904">
        <f>+IFERROR(VLOOKUP(QW$27&amp;"-"&amp;$M54&amp;"_new",Ammortamento_Finanziario!$H:$L,5,FALSE),VLOOKUP($M54,TT_Tabelle_Riferimento!$D$127:$H$164,5,FALSE))</f>
        <v>8</v>
      </c>
      <c r="QX54" s="904">
        <f>+IFERROR(VLOOKUP(QX$27&amp;"-"&amp;$M54&amp;"_new",Ammortamento_Finanziario!$H:$L,5,FALSE),VLOOKUP($M54,TT_Tabelle_Riferimento!$D$127:$H$164,5,FALSE))</f>
        <v>8</v>
      </c>
      <c r="QY54" s="904">
        <f>+IFERROR(VLOOKUP(QY$27&amp;"-"&amp;$M54&amp;"_new",Ammortamento_Finanziario!$H:$L,5,FALSE),VLOOKUP($M54,TT_Tabelle_Riferimento!$D$127:$H$164,5,FALSE))</f>
        <v>8</v>
      </c>
      <c r="QZ54" s="904">
        <f>+IFERROR(VLOOKUP(QZ$27&amp;"-"&amp;$M54&amp;"_new",Ammortamento_Finanziario!$H:$L,5,FALSE),VLOOKUP($M54,TT_Tabelle_Riferimento!$D$127:$H$164,5,FALSE))</f>
        <v>8</v>
      </c>
      <c r="RA54" s="904">
        <f>+IFERROR(VLOOKUP(RA$27&amp;"-"&amp;$M54&amp;"_new",Ammortamento_Finanziario!$H:$L,5,FALSE),VLOOKUP($M54,TT_Tabelle_Riferimento!$D$127:$H$164,5,FALSE))</f>
        <v>8</v>
      </c>
      <c r="RB54" s="904">
        <f>+IFERROR(VLOOKUP(RB$27&amp;"-"&amp;$M54&amp;"_new",Ammortamento_Finanziario!$H:$L,5,FALSE),VLOOKUP($M54,TT_Tabelle_Riferimento!$D$127:$H$164,5,FALSE))</f>
        <v>8</v>
      </c>
      <c r="RC54" s="1762">
        <f>+IFERROR(VLOOKUP(RC$27&amp;"-"&amp;$M54&amp;"_new",Ammortamento_Finanziario!$H:$L,5,FALSE),VLOOKUP($M54,TT_Tabelle_Riferimento!$D$127:$H$164,5,FALSE))</f>
        <v>8</v>
      </c>
      <c r="RD54" s="904">
        <f>+IFERROR(VLOOKUP(RD$27&amp;"-"&amp;$M54&amp;"_new",Ammortamento_Finanziario!$H:$L,5,FALSE),VLOOKUP($M54,TT_Tabelle_Riferimento!$D$127:$H$164,5,FALSE))</f>
        <v>8</v>
      </c>
      <c r="RE54" s="904">
        <f>+IFERROR(VLOOKUP(RE$27&amp;"-"&amp;$M54&amp;"_new",Ammortamento_Finanziario!$H:$L,5,FALSE),VLOOKUP($M54,TT_Tabelle_Riferimento!$D$127:$H$164,5,FALSE))</f>
        <v>8</v>
      </c>
      <c r="RF54" s="904">
        <f>+IFERROR(VLOOKUP(RF$27&amp;"-"&amp;$M54&amp;"_new",Ammortamento_Finanziario!$H:$L,5,FALSE),VLOOKUP($M54,TT_Tabelle_Riferimento!$D$127:$H$164,5,FALSE))</f>
        <v>8</v>
      </c>
      <c r="RG54" s="904">
        <f>+IFERROR(VLOOKUP(RG$27&amp;"-"&amp;$M54&amp;"_new",Ammortamento_Finanziario!$H:$L,5,FALSE),VLOOKUP($M54,TT_Tabelle_Riferimento!$D$127:$H$164,5,FALSE))</f>
        <v>8</v>
      </c>
      <c r="RH54" s="904">
        <f>+IFERROR(VLOOKUP(RH$27&amp;"-"&amp;$M54&amp;"_new",Ammortamento_Finanziario!$H:$L,5,FALSE),VLOOKUP($M54,TT_Tabelle_Riferimento!$D$127:$H$164,5,FALSE))</f>
        <v>8</v>
      </c>
      <c r="RI54" s="904">
        <f>+IFERROR(VLOOKUP(RI$27&amp;"-"&amp;$M54&amp;"_new",Ammortamento_Finanziario!$H:$L,5,FALSE),VLOOKUP($M54,TT_Tabelle_Riferimento!$D$127:$H$164,5,FALSE))</f>
        <v>8</v>
      </c>
      <c r="RJ54" s="904">
        <f>+IFERROR(VLOOKUP(RJ$27&amp;"-"&amp;$M54&amp;"_new",Ammortamento_Finanziario!$H:$L,5,FALSE),VLOOKUP($M54,TT_Tabelle_Riferimento!$D$127:$H$164,5,FALSE))</f>
        <v>8</v>
      </c>
      <c r="RK54" s="904">
        <f>+IFERROR(VLOOKUP(RK$27&amp;"-"&amp;$M54&amp;"_new",Ammortamento_Finanziario!$H:$L,5,FALSE),VLOOKUP($M54,TT_Tabelle_Riferimento!$D$127:$H$164,5,FALSE))</f>
        <v>8</v>
      </c>
      <c r="RL54" s="904">
        <f>+IFERROR(VLOOKUP(RL$27&amp;"-"&amp;$M54&amp;"_new",Ammortamento_Finanziario!$H:$L,5,FALSE),VLOOKUP($M54,TT_Tabelle_Riferimento!$D$127:$H$164,5,FALSE))</f>
        <v>8</v>
      </c>
      <c r="RM54" s="904">
        <f>+IFERROR(VLOOKUP(RM$27&amp;"-"&amp;$M54&amp;"_new",Ammortamento_Finanziario!$H:$L,5,FALSE),VLOOKUP($M54,TT_Tabelle_Riferimento!$D$127:$H$164,5,FALSE))</f>
        <v>8</v>
      </c>
      <c r="RN54" s="904">
        <f>+IFERROR(VLOOKUP(RN$27&amp;"-"&amp;$M54&amp;"_new",Ammortamento_Finanziario!$H:$L,5,FALSE),VLOOKUP($M54,TT_Tabelle_Riferimento!$D$127:$H$164,5,FALSE))</f>
        <v>8</v>
      </c>
      <c r="RO54" s="904">
        <f>+IFERROR(VLOOKUP(RO$27&amp;"-"&amp;$M54&amp;"_new",Ammortamento_Finanziario!$H:$L,5,FALSE),VLOOKUP($M54,TT_Tabelle_Riferimento!$D$127:$H$164,5,FALSE))</f>
        <v>8</v>
      </c>
      <c r="RP54" s="904">
        <f>+IFERROR(VLOOKUP(RP$27&amp;"-"&amp;$M54&amp;"_new",Ammortamento_Finanziario!$H:$L,5,FALSE),VLOOKUP($M54,TT_Tabelle_Riferimento!$D$127:$H$164,5,FALSE))</f>
        <v>8</v>
      </c>
      <c r="RQ54" s="904">
        <f>+IFERROR(VLOOKUP(RQ$27&amp;"-"&amp;$M54&amp;"_new",Ammortamento_Finanziario!$H:$L,5,FALSE),VLOOKUP($M54,TT_Tabelle_Riferimento!$D$127:$H$164,5,FALSE))</f>
        <v>8</v>
      </c>
      <c r="RR54" s="904">
        <f>+IFERROR(VLOOKUP(RR$27&amp;"-"&amp;$M54&amp;"_new",Ammortamento_Finanziario!$H:$L,5,FALSE),VLOOKUP($M54,TT_Tabelle_Riferimento!$D$127:$H$164,5,FALSE))</f>
        <v>8</v>
      </c>
      <c r="RS54" s="904">
        <f>+IFERROR(VLOOKUP(RS$27&amp;"-"&amp;$M54&amp;"_new",Ammortamento_Finanziario!$H:$L,5,FALSE),VLOOKUP($M54,TT_Tabelle_Riferimento!$D$127:$H$164,5,FALSE))</f>
        <v>8</v>
      </c>
      <c r="RT54" s="904">
        <f>+IFERROR(VLOOKUP(RT$27&amp;"-"&amp;$M54&amp;"_new",Ammortamento_Finanziario!$H:$L,5,FALSE),VLOOKUP($M54,TT_Tabelle_Riferimento!$D$127:$H$164,5,FALSE))</f>
        <v>8</v>
      </c>
      <c r="RU54" s="904">
        <f>+IFERROR(VLOOKUP(RU$27&amp;"-"&amp;$M54&amp;"_new",Ammortamento_Finanziario!$H:$L,5,FALSE),VLOOKUP($M54,TT_Tabelle_Riferimento!$D$127:$H$164,5,FALSE))</f>
        <v>8</v>
      </c>
      <c r="RV54" s="904">
        <f>+IFERROR(VLOOKUP(RV$27&amp;"-"&amp;$M54&amp;"_new",Ammortamento_Finanziario!$H:$L,5,FALSE),VLOOKUP($M54,TT_Tabelle_Riferimento!$D$127:$H$164,5,FALSE))</f>
        <v>8</v>
      </c>
    </row>
    <row r="55" spans="4:490">
      <c r="D55" s="135" t="s">
        <v>224</v>
      </c>
      <c r="E55" s="1264">
        <f>+SUMIFS(IMN_gestore!Q:Q,IMN_gestore!$G:$G,"Res")</f>
        <v>0</v>
      </c>
      <c r="F55" s="1264">
        <f>+SUMIFS(IMN_gestore!AB:AB,IMN_gestore!$G:$G,"Res")</f>
        <v>0</v>
      </c>
      <c r="G55" s="1264">
        <f>+SUMIFS(IMN_gestore!AM:AM,IMN_gestore!$G:$G,"Res")</f>
        <v>0</v>
      </c>
      <c r="H55" s="1264">
        <f>+SUMIFS(IMN_gestore!AX:AX,IMN_gestore!$G:$G,"Res")</f>
        <v>0</v>
      </c>
      <c r="I55" s="1264">
        <f>+SUMIFS(IMN_gestore!$BI:$BI,IMN_gestore!$G:$G,"Res")</f>
        <v>0</v>
      </c>
      <c r="J55" s="1264">
        <f>+SUMIFS(IMN_gestore!$BT:$BT,IMN_gestore!$G:$G,"Res")</f>
        <v>0</v>
      </c>
      <c r="M55" s="1756">
        <v>28</v>
      </c>
      <c r="N55" s="1759">
        <v>0</v>
      </c>
      <c r="O55" s="1759">
        <v>0</v>
      </c>
      <c r="P55" s="1759">
        <v>0</v>
      </c>
      <c r="Q55" s="1759">
        <v>0</v>
      </c>
      <c r="R55" s="1759">
        <v>0</v>
      </c>
      <c r="S55" s="1759">
        <v>0</v>
      </c>
      <c r="T55" s="1759">
        <v>0</v>
      </c>
      <c r="U55" s="1759">
        <v>0</v>
      </c>
      <c r="V55" s="1759">
        <v>0</v>
      </c>
      <c r="W55" s="1759">
        <v>0</v>
      </c>
      <c r="X55" s="1759">
        <v>0</v>
      </c>
      <c r="Y55" s="1759">
        <v>0</v>
      </c>
      <c r="Z55" s="1759">
        <v>0</v>
      </c>
      <c r="AA55" s="1759">
        <v>0</v>
      </c>
      <c r="AB55" s="1759">
        <v>0</v>
      </c>
      <c r="AC55" s="1759">
        <v>0</v>
      </c>
      <c r="AD55" s="1759">
        <v>0</v>
      </c>
      <c r="AE55" s="1759">
        <v>0</v>
      </c>
      <c r="AF55" s="1759">
        <v>0</v>
      </c>
      <c r="AG55" s="1759">
        <v>0</v>
      </c>
      <c r="AH55" s="1759">
        <v>0</v>
      </c>
      <c r="AI55" s="1759">
        <v>0</v>
      </c>
      <c r="AJ55" s="1759">
        <v>0</v>
      </c>
      <c r="AK55" s="1759">
        <v>0</v>
      </c>
      <c r="AL55" s="1759">
        <v>0</v>
      </c>
      <c r="AM55" s="1759">
        <v>0</v>
      </c>
      <c r="AN55" s="1759">
        <v>0</v>
      </c>
      <c r="AO55" s="1759">
        <v>0</v>
      </c>
      <c r="AP55" s="1759">
        <v>0</v>
      </c>
      <c r="AQ55" s="1759">
        <v>0</v>
      </c>
      <c r="AR55" s="1759">
        <v>0</v>
      </c>
      <c r="AS55" s="1759">
        <v>0</v>
      </c>
      <c r="AT55" s="1759">
        <v>0</v>
      </c>
      <c r="AU55" s="1759">
        <v>0</v>
      </c>
      <c r="AV55" s="1759">
        <v>0</v>
      </c>
      <c r="AW55" s="1759">
        <v>0</v>
      </c>
      <c r="AX55" s="1759">
        <v>0</v>
      </c>
      <c r="AY55" s="1759">
        <v>0</v>
      </c>
      <c r="AZ55" s="1759">
        <v>0</v>
      </c>
      <c r="BA55" s="1759">
        <v>0</v>
      </c>
      <c r="BB55" s="1759">
        <v>0</v>
      </c>
      <c r="BC55" s="1759">
        <v>0</v>
      </c>
      <c r="BD55" s="1759">
        <v>0</v>
      </c>
      <c r="BE55" s="1759">
        <v>0</v>
      </c>
      <c r="BF55" s="1759">
        <v>0</v>
      </c>
      <c r="BG55" s="1759">
        <v>0</v>
      </c>
      <c r="BH55" s="1759">
        <v>0</v>
      </c>
      <c r="BI55" s="1759">
        <v>0</v>
      </c>
      <c r="BJ55" s="1759">
        <v>0</v>
      </c>
      <c r="BK55" s="1759">
        <v>0</v>
      </c>
      <c r="BL55" s="1759">
        <v>0</v>
      </c>
      <c r="BM55" s="1759">
        <v>0</v>
      </c>
      <c r="BN55" s="1759">
        <v>0</v>
      </c>
      <c r="BO55" s="1759">
        <v>0</v>
      </c>
      <c r="BP55" s="1759">
        <v>0</v>
      </c>
      <c r="BQ55" s="1759">
        <v>0</v>
      </c>
      <c r="BR55" s="1759">
        <v>0</v>
      </c>
      <c r="BS55" s="1759">
        <v>0</v>
      </c>
      <c r="BT55" s="1759">
        <v>0</v>
      </c>
      <c r="BU55" s="1759">
        <v>0</v>
      </c>
      <c r="BV55" s="1759">
        <v>0</v>
      </c>
      <c r="BW55" s="1759">
        <v>0</v>
      </c>
      <c r="BX55" s="1759">
        <v>0</v>
      </c>
      <c r="BY55" s="1759">
        <v>0</v>
      </c>
      <c r="BZ55" s="1759">
        <v>0</v>
      </c>
      <c r="CA55" s="1759">
        <v>0</v>
      </c>
      <c r="CB55" s="1759">
        <v>0</v>
      </c>
      <c r="CC55" s="1759">
        <v>0</v>
      </c>
      <c r="CD55" s="1759">
        <v>0</v>
      </c>
      <c r="CE55" s="1759">
        <v>0</v>
      </c>
      <c r="CF55" s="1759">
        <v>0</v>
      </c>
      <c r="CG55" s="1759">
        <v>0</v>
      </c>
      <c r="CH55" s="1759">
        <v>0</v>
      </c>
      <c r="CI55" s="1759">
        <v>0</v>
      </c>
      <c r="CJ55" s="1759">
        <v>0</v>
      </c>
      <c r="CK55" s="1759">
        <v>0</v>
      </c>
      <c r="CL55" s="1759">
        <v>0</v>
      </c>
      <c r="CM55" s="1759">
        <v>0</v>
      </c>
      <c r="CN55" s="1759">
        <v>0</v>
      </c>
      <c r="CO55" s="1759">
        <v>0</v>
      </c>
      <c r="CP55" s="1759">
        <v>0</v>
      </c>
      <c r="CQ55" s="1759">
        <v>0</v>
      </c>
      <c r="CR55" s="1759">
        <v>0</v>
      </c>
      <c r="CS55" s="1759">
        <v>0</v>
      </c>
      <c r="CT55" s="1759">
        <v>0</v>
      </c>
      <c r="CU55" s="1759">
        <v>0</v>
      </c>
      <c r="CV55" s="1759">
        <v>0</v>
      </c>
      <c r="CW55" s="1759">
        <v>0</v>
      </c>
      <c r="CX55" s="1759">
        <v>0</v>
      </c>
      <c r="CY55" s="1759">
        <v>0</v>
      </c>
      <c r="CZ55" s="1759">
        <v>0</v>
      </c>
      <c r="DA55" s="1759">
        <v>0</v>
      </c>
      <c r="DB55" s="1759">
        <v>0</v>
      </c>
      <c r="DC55" s="1759">
        <v>0</v>
      </c>
      <c r="DD55" s="1759">
        <v>0</v>
      </c>
      <c r="DE55" s="1759">
        <v>0</v>
      </c>
      <c r="DF55" s="1759">
        <v>0</v>
      </c>
      <c r="DG55" s="1759">
        <v>0</v>
      </c>
      <c r="DH55" s="1759">
        <v>0</v>
      </c>
      <c r="DI55" s="1759">
        <v>0</v>
      </c>
      <c r="DJ55" s="1759">
        <v>0</v>
      </c>
      <c r="DK55" s="1759">
        <v>0</v>
      </c>
      <c r="DL55" s="1759">
        <v>0</v>
      </c>
      <c r="DM55" s="1759">
        <v>0</v>
      </c>
      <c r="DN55" s="1759">
        <v>0</v>
      </c>
      <c r="DO55" s="1759">
        <v>0</v>
      </c>
      <c r="DP55" s="1759">
        <v>0</v>
      </c>
      <c r="DQ55" s="1759">
        <v>0</v>
      </c>
      <c r="DR55" s="1759">
        <v>0</v>
      </c>
      <c r="DS55" s="1759">
        <v>0</v>
      </c>
      <c r="DT55" s="1759">
        <v>0</v>
      </c>
      <c r="DU55" s="1759">
        <v>0</v>
      </c>
      <c r="DV55" s="1759">
        <v>0</v>
      </c>
      <c r="DW55" s="1759">
        <v>0</v>
      </c>
      <c r="DX55" s="1759">
        <v>0</v>
      </c>
      <c r="DY55" s="1759">
        <v>0</v>
      </c>
      <c r="DZ55" s="1759">
        <v>0</v>
      </c>
      <c r="EA55" s="1759">
        <v>0</v>
      </c>
      <c r="EB55" s="1759">
        <v>0</v>
      </c>
      <c r="EC55" s="1759">
        <v>0</v>
      </c>
      <c r="ED55" s="1759">
        <v>0</v>
      </c>
      <c r="EE55" s="1759">
        <v>0</v>
      </c>
      <c r="EF55" s="1759">
        <v>0</v>
      </c>
      <c r="EG55" s="1759">
        <v>0</v>
      </c>
      <c r="EH55" s="1759">
        <v>0</v>
      </c>
      <c r="EI55" s="1759">
        <v>0</v>
      </c>
      <c r="EJ55" s="1759">
        <v>0</v>
      </c>
      <c r="EK55" s="1759">
        <v>0</v>
      </c>
      <c r="EL55" s="1759">
        <v>0</v>
      </c>
      <c r="EM55" s="1759">
        <v>0</v>
      </c>
      <c r="EN55" s="1759">
        <v>0</v>
      </c>
      <c r="EO55" s="1759">
        <v>0</v>
      </c>
      <c r="EP55" s="1759">
        <v>0</v>
      </c>
      <c r="EQ55" s="1759">
        <v>0</v>
      </c>
      <c r="ER55" s="1759">
        <v>0</v>
      </c>
      <c r="ES55" s="1759">
        <v>0</v>
      </c>
      <c r="ET55" s="1759">
        <v>0</v>
      </c>
      <c r="EU55" s="1759">
        <v>0</v>
      </c>
      <c r="EV55" s="1759">
        <v>0</v>
      </c>
      <c r="EW55" s="1759">
        <v>0</v>
      </c>
      <c r="EX55" s="1759">
        <v>0</v>
      </c>
      <c r="EY55" s="1759">
        <v>0</v>
      </c>
      <c r="EZ55" s="1759">
        <v>0</v>
      </c>
      <c r="FA55" s="1759">
        <v>0</v>
      </c>
      <c r="FB55" s="1759">
        <v>0</v>
      </c>
      <c r="FC55" s="1759">
        <v>0</v>
      </c>
      <c r="FD55" s="1759">
        <v>0</v>
      </c>
      <c r="FE55" s="1759">
        <v>0</v>
      </c>
      <c r="FF55" s="1759">
        <v>0</v>
      </c>
      <c r="FG55" s="1759">
        <v>0</v>
      </c>
      <c r="FH55" s="1759">
        <v>0</v>
      </c>
      <c r="FI55" s="1759">
        <v>0</v>
      </c>
      <c r="FJ55" s="1759">
        <v>0</v>
      </c>
      <c r="FK55" s="1759">
        <v>0</v>
      </c>
      <c r="FL55" s="1759">
        <v>0</v>
      </c>
      <c r="FM55" s="1759">
        <v>0</v>
      </c>
      <c r="FN55" s="1759">
        <v>0</v>
      </c>
      <c r="FO55" s="1759">
        <v>0</v>
      </c>
      <c r="FP55" s="1759">
        <v>0</v>
      </c>
      <c r="FQ55" s="1759">
        <v>0</v>
      </c>
      <c r="FR55" s="1759">
        <v>0</v>
      </c>
      <c r="FS55" s="1759">
        <v>0</v>
      </c>
      <c r="FT55" s="1759">
        <v>0</v>
      </c>
      <c r="FU55" s="1759">
        <v>0</v>
      </c>
      <c r="FV55" s="1759">
        <v>0</v>
      </c>
      <c r="FW55" s="1759">
        <v>0</v>
      </c>
      <c r="FX55" s="1759">
        <v>0</v>
      </c>
      <c r="FY55" s="1759">
        <v>0</v>
      </c>
      <c r="FZ55" s="1759">
        <v>0</v>
      </c>
      <c r="GA55" s="1759">
        <v>0</v>
      </c>
      <c r="GB55" s="1759">
        <v>0</v>
      </c>
      <c r="GC55" s="1759">
        <v>0</v>
      </c>
      <c r="GD55" s="1759">
        <v>0</v>
      </c>
      <c r="GE55" s="1759">
        <v>0</v>
      </c>
      <c r="GF55" s="1759">
        <v>0</v>
      </c>
      <c r="GG55" s="1759">
        <v>0</v>
      </c>
      <c r="GH55" s="1759">
        <v>0</v>
      </c>
      <c r="GI55" s="1759">
        <v>0</v>
      </c>
      <c r="GJ55" s="1759">
        <v>0</v>
      </c>
      <c r="GK55" s="1759">
        <v>0</v>
      </c>
      <c r="GL55" s="1759">
        <v>0</v>
      </c>
      <c r="GM55" s="1759">
        <v>0</v>
      </c>
      <c r="GN55" s="1759">
        <v>0</v>
      </c>
      <c r="GO55" s="1759">
        <v>0</v>
      </c>
      <c r="GP55" s="1759">
        <v>0</v>
      </c>
      <c r="GQ55" s="1759">
        <v>0</v>
      </c>
      <c r="GR55" s="1759">
        <v>0</v>
      </c>
      <c r="GS55" s="1759">
        <v>0</v>
      </c>
      <c r="GT55" s="1759">
        <v>0</v>
      </c>
      <c r="GU55" s="1759">
        <v>0</v>
      </c>
      <c r="GV55" s="1759">
        <v>0</v>
      </c>
      <c r="GW55" s="1759">
        <v>0</v>
      </c>
      <c r="GX55" s="1759">
        <v>0</v>
      </c>
      <c r="GY55" s="1759">
        <v>0</v>
      </c>
      <c r="GZ55" s="1759">
        <v>0</v>
      </c>
      <c r="HA55" s="1759">
        <v>0</v>
      </c>
      <c r="HB55" s="1759">
        <v>0</v>
      </c>
      <c r="HC55" s="1759">
        <v>0</v>
      </c>
      <c r="HD55" s="1759">
        <v>0</v>
      </c>
      <c r="HE55" s="1759">
        <v>0</v>
      </c>
      <c r="HF55" s="1759">
        <v>0</v>
      </c>
      <c r="HG55" s="1759">
        <v>0</v>
      </c>
      <c r="HH55" s="1759">
        <v>0</v>
      </c>
      <c r="HI55" s="1759">
        <v>0</v>
      </c>
      <c r="HJ55" s="1759">
        <v>0</v>
      </c>
      <c r="HK55" s="1759">
        <v>0</v>
      </c>
      <c r="HL55" s="1759">
        <v>0</v>
      </c>
      <c r="HM55" s="1759">
        <v>0</v>
      </c>
      <c r="HN55" s="1759">
        <v>0</v>
      </c>
      <c r="HO55" s="1759">
        <v>0</v>
      </c>
      <c r="HP55" s="1759">
        <v>0</v>
      </c>
      <c r="HQ55" s="1759">
        <v>0</v>
      </c>
      <c r="HR55" s="1759">
        <v>0</v>
      </c>
      <c r="HS55" s="1759">
        <v>0</v>
      </c>
      <c r="HT55" s="1759">
        <v>0</v>
      </c>
      <c r="HU55" s="1759">
        <v>0</v>
      </c>
      <c r="HV55" s="1759">
        <v>0</v>
      </c>
      <c r="HW55" s="1759">
        <v>0</v>
      </c>
      <c r="HX55" s="1759">
        <v>0</v>
      </c>
      <c r="HY55" s="1759">
        <v>0</v>
      </c>
      <c r="HZ55" s="1759">
        <v>0</v>
      </c>
      <c r="IA55" s="1759">
        <v>0</v>
      </c>
      <c r="IB55" s="1759">
        <v>0</v>
      </c>
      <c r="IC55" s="1759">
        <v>0</v>
      </c>
      <c r="ID55" s="1759">
        <v>0</v>
      </c>
      <c r="IE55" s="1759">
        <v>0</v>
      </c>
      <c r="IF55" s="1759">
        <v>0</v>
      </c>
      <c r="IG55" s="1759">
        <v>0</v>
      </c>
      <c r="IH55" s="1759">
        <v>0</v>
      </c>
      <c r="II55" s="1759">
        <v>0</v>
      </c>
      <c r="IJ55" s="1759">
        <v>0</v>
      </c>
      <c r="IK55" s="1759">
        <v>0</v>
      </c>
      <c r="IL55" s="1759">
        <v>0</v>
      </c>
      <c r="IM55" s="1759">
        <v>0</v>
      </c>
      <c r="IN55" s="1759">
        <v>0</v>
      </c>
      <c r="IO55" s="1759">
        <v>0</v>
      </c>
      <c r="IP55" s="1759">
        <v>0</v>
      </c>
      <c r="IQ55" s="1759">
        <v>0</v>
      </c>
      <c r="IR55" s="1759">
        <v>0</v>
      </c>
      <c r="IS55" s="1759">
        <v>0</v>
      </c>
      <c r="IT55" s="1759">
        <v>0</v>
      </c>
      <c r="IU55" s="1759">
        <v>0</v>
      </c>
      <c r="IV55" s="1759">
        <v>0</v>
      </c>
      <c r="IW55" s="1759">
        <v>0</v>
      </c>
      <c r="IX55" s="1759">
        <v>0</v>
      </c>
      <c r="IY55" s="1759">
        <v>0</v>
      </c>
      <c r="IZ55" s="1759">
        <v>0</v>
      </c>
      <c r="JA55" s="1759">
        <v>0</v>
      </c>
      <c r="JB55" s="1759">
        <v>0</v>
      </c>
      <c r="JC55" s="1759">
        <v>0</v>
      </c>
      <c r="JD55" s="1759">
        <v>0</v>
      </c>
      <c r="JE55" s="1759">
        <v>0</v>
      </c>
      <c r="JF55" s="1759">
        <v>0</v>
      </c>
      <c r="JG55" s="1759">
        <v>0</v>
      </c>
      <c r="JH55" s="1759">
        <v>0</v>
      </c>
      <c r="JI55" s="1759">
        <v>0</v>
      </c>
      <c r="JJ55" s="1759">
        <v>0</v>
      </c>
      <c r="JK55" s="1759">
        <v>0</v>
      </c>
      <c r="JL55" s="1759">
        <v>0</v>
      </c>
      <c r="JM55" s="1759">
        <v>0</v>
      </c>
      <c r="JN55" s="1759">
        <v>0</v>
      </c>
      <c r="JO55" s="1759">
        <v>0</v>
      </c>
      <c r="JP55" s="1759">
        <v>0</v>
      </c>
      <c r="JQ55" s="1759">
        <v>0</v>
      </c>
      <c r="JR55" s="1759">
        <v>0</v>
      </c>
      <c r="JS55" s="1759">
        <v>0</v>
      </c>
      <c r="JT55" s="1759">
        <v>0</v>
      </c>
      <c r="JU55" s="1759">
        <v>0</v>
      </c>
      <c r="JV55" s="1759">
        <v>0</v>
      </c>
      <c r="JW55" s="1759">
        <v>0</v>
      </c>
      <c r="JX55" s="1759">
        <v>0</v>
      </c>
      <c r="JY55" s="1759">
        <v>0</v>
      </c>
      <c r="JZ55" s="1759">
        <v>0</v>
      </c>
      <c r="KA55" s="1759">
        <v>0</v>
      </c>
      <c r="KB55" s="1759">
        <v>0</v>
      </c>
      <c r="KC55" s="1759">
        <v>0</v>
      </c>
      <c r="KD55" s="1759">
        <v>0</v>
      </c>
      <c r="KE55" s="1759">
        <v>0</v>
      </c>
      <c r="KF55" s="1759">
        <v>0</v>
      </c>
      <c r="KG55" s="1759">
        <v>0</v>
      </c>
      <c r="KH55" s="1759">
        <v>0</v>
      </c>
      <c r="KI55" s="1759">
        <v>0</v>
      </c>
      <c r="KJ55" s="1759">
        <v>0</v>
      </c>
      <c r="KK55" s="1759">
        <v>0</v>
      </c>
      <c r="KL55" s="1759">
        <v>0</v>
      </c>
      <c r="KM55" s="1759">
        <v>0</v>
      </c>
      <c r="KN55" s="1759">
        <v>0</v>
      </c>
      <c r="KO55" s="1759">
        <v>0</v>
      </c>
      <c r="KP55" s="1759">
        <v>0</v>
      </c>
      <c r="KQ55" s="904">
        <f>+IFERROR(VLOOKUP(KQ$27&amp;"-"&amp;$M55&amp;"_new",Ammortamento_Finanziario!$H:$L,5,FALSE),VLOOKUP($M55,TT_Tabelle_Riferimento!$D$127:$H$164,5,FALSE))</f>
        <v>20</v>
      </c>
      <c r="KR55" s="904">
        <f>+IFERROR(VLOOKUP(KR$27&amp;"-"&amp;$M55&amp;"_new",Ammortamento_Finanziario!$H:$L,5,FALSE),VLOOKUP($M55,TT_Tabelle_Riferimento!$D$127:$H$164,5,FALSE))</f>
        <v>20</v>
      </c>
      <c r="KS55" s="1762">
        <f>+IFERROR(VLOOKUP(KS$27&amp;"-"&amp;$M55&amp;"_new",Ammortamento_Finanziario!$H:$L,5,FALSE),VLOOKUP($M55,TT_Tabelle_Riferimento!$D$127:$H$164,5,FALSE))</f>
        <v>20</v>
      </c>
      <c r="KT55" s="1762">
        <f>+IFERROR(VLOOKUP(KT$27&amp;"-"&amp;$M55&amp;"_new",Ammortamento_Finanziario!$H:$L,5,FALSE),VLOOKUP($M55,TT_Tabelle_Riferimento!$D$127:$H$164,5,FALSE))</f>
        <v>20</v>
      </c>
      <c r="KU55" s="1762">
        <f>+IFERROR(VLOOKUP(KU$27&amp;"-"&amp;$M55&amp;"_new",Ammortamento_Finanziario!$H:$L,5,FALSE),VLOOKUP($M55,TT_Tabelle_Riferimento!$D$127:$H$164,5,FALSE))</f>
        <v>20</v>
      </c>
      <c r="KV55" s="1762">
        <f>+IFERROR(VLOOKUP(KV$27&amp;"-"&amp;$M55&amp;"_new",Ammortamento_Finanziario!$H:$L,5,FALSE),VLOOKUP($M55,TT_Tabelle_Riferimento!$D$127:$H$164,5,FALSE))</f>
        <v>20</v>
      </c>
      <c r="KW55" s="1762">
        <f>+IFERROR(VLOOKUP(KW$27&amp;"-"&amp;$M55&amp;"_new",Ammortamento_Finanziario!$H:$L,5,FALSE),VLOOKUP($M55,TT_Tabelle_Riferimento!$D$127:$H$164,5,FALSE))</f>
        <v>20</v>
      </c>
      <c r="KX55" s="1762">
        <f>+IFERROR(VLOOKUP(KX$27&amp;"-"&amp;$M55&amp;"_new",Ammortamento_Finanziario!$H:$L,5,FALSE),VLOOKUP($M55,TT_Tabelle_Riferimento!$D$127:$H$164,5,FALSE))</f>
        <v>20</v>
      </c>
      <c r="KY55" s="904">
        <f>+IFERROR(VLOOKUP(KY$27&amp;"-"&amp;$M55&amp;"_new",Ammortamento_Finanziario!$H:$L,5,FALSE),VLOOKUP($M55,TT_Tabelle_Riferimento!$D$127:$H$164,5,FALSE))</f>
        <v>20</v>
      </c>
      <c r="KZ55" s="904">
        <f>+IFERROR(VLOOKUP(KZ$27&amp;"-"&amp;$M55&amp;"_new",Ammortamento_Finanziario!$H:$L,5,FALSE),VLOOKUP($M55,TT_Tabelle_Riferimento!$D$127:$H$164,5,FALSE))</f>
        <v>20</v>
      </c>
      <c r="LA55" s="904">
        <f>+IFERROR(VLOOKUP(LA$27&amp;"-"&amp;$M55&amp;"_new",Ammortamento_Finanziario!$H:$L,5,FALSE),VLOOKUP($M55,TT_Tabelle_Riferimento!$D$127:$H$164,5,FALSE))</f>
        <v>20</v>
      </c>
      <c r="LB55" s="904">
        <f>+IFERROR(VLOOKUP(LB$27&amp;"-"&amp;$M55&amp;"_new",Ammortamento_Finanziario!$H:$L,5,FALSE),VLOOKUP($M55,TT_Tabelle_Riferimento!$D$127:$H$164,5,FALSE))</f>
        <v>20</v>
      </c>
      <c r="LC55" s="904">
        <f>+IFERROR(VLOOKUP(LC$27&amp;"-"&amp;$M55&amp;"_new",Ammortamento_Finanziario!$H:$L,5,FALSE),VLOOKUP($M55,TT_Tabelle_Riferimento!$D$127:$H$164,5,FALSE))</f>
        <v>20</v>
      </c>
      <c r="LD55" s="904">
        <f>+IFERROR(VLOOKUP(LD$27&amp;"-"&amp;$M55&amp;"_new",Ammortamento_Finanziario!$H:$L,5,FALSE),VLOOKUP($M55,TT_Tabelle_Riferimento!$D$127:$H$164,5,FALSE))</f>
        <v>20</v>
      </c>
      <c r="LE55" s="904">
        <f>+IFERROR(VLOOKUP(LE$27&amp;"-"&amp;$M55&amp;"_new",Ammortamento_Finanziario!$H:$L,5,FALSE),VLOOKUP($M55,TT_Tabelle_Riferimento!$D$127:$H$164,5,FALSE))</f>
        <v>20</v>
      </c>
      <c r="LF55" s="904">
        <f>+IFERROR(VLOOKUP(LF$27&amp;"-"&amp;$M55&amp;"_new",Ammortamento_Finanziario!$H:$L,5,FALSE),VLOOKUP($M55,TT_Tabelle_Riferimento!$D$127:$H$164,5,FALSE))</f>
        <v>20</v>
      </c>
      <c r="LG55" s="904">
        <f>+IFERROR(VLOOKUP(LG$27&amp;"-"&amp;$M55&amp;"_new",Ammortamento_Finanziario!$H:$L,5,FALSE),VLOOKUP($M55,TT_Tabelle_Riferimento!$D$127:$H$164,5,FALSE))</f>
        <v>20</v>
      </c>
      <c r="LH55" s="904">
        <f>+IFERROR(VLOOKUP(LH$27&amp;"-"&amp;$M55&amp;"_new",Ammortamento_Finanziario!$H:$L,5,FALSE),VLOOKUP($M55,TT_Tabelle_Riferimento!$D$127:$H$164,5,FALSE))</f>
        <v>20</v>
      </c>
      <c r="LI55" s="904">
        <f>+IFERROR(VLOOKUP(LI$27&amp;"-"&amp;$M55&amp;"_new",Ammortamento_Finanziario!$H:$L,5,FALSE),VLOOKUP($M55,TT_Tabelle_Riferimento!$D$127:$H$164,5,FALSE))</f>
        <v>20</v>
      </c>
      <c r="LJ55" s="904">
        <f>+IFERROR(VLOOKUP(LJ$27&amp;"-"&amp;$M55&amp;"_new",Ammortamento_Finanziario!$H:$L,5,FALSE),VLOOKUP($M55,TT_Tabelle_Riferimento!$D$127:$H$164,5,FALSE))</f>
        <v>20</v>
      </c>
      <c r="LK55" s="904">
        <f>+IFERROR(VLOOKUP(LK$27&amp;"-"&amp;$M55&amp;"_new",Ammortamento_Finanziario!$H:$L,5,FALSE),VLOOKUP($M55,TT_Tabelle_Riferimento!$D$127:$H$164,5,FALSE))</f>
        <v>20</v>
      </c>
      <c r="LL55" s="904">
        <f>+IFERROR(VLOOKUP(LL$27&amp;"-"&amp;$M55&amp;"_new",Ammortamento_Finanziario!$H:$L,5,FALSE),VLOOKUP($M55,TT_Tabelle_Riferimento!$D$127:$H$164,5,FALSE))</f>
        <v>20</v>
      </c>
      <c r="LM55" s="904">
        <f>+IFERROR(VLOOKUP(LM$27&amp;"-"&amp;$M55&amp;"_new",Ammortamento_Finanziario!$H:$L,5,FALSE),VLOOKUP($M55,TT_Tabelle_Riferimento!$D$127:$H$164,5,FALSE))</f>
        <v>20</v>
      </c>
      <c r="LN55" s="904">
        <f>+IFERROR(VLOOKUP(LN$27&amp;"-"&amp;$M55&amp;"_new",Ammortamento_Finanziario!$H:$L,5,FALSE),VLOOKUP($M55,TT_Tabelle_Riferimento!$D$127:$H$164,5,FALSE))</f>
        <v>20</v>
      </c>
      <c r="LO55" s="904">
        <f>+IFERROR(VLOOKUP(LO$27&amp;"-"&amp;$M55&amp;"_new",Ammortamento_Finanziario!$H:$L,5,FALSE),VLOOKUP($M55,TT_Tabelle_Riferimento!$D$127:$H$164,5,FALSE))</f>
        <v>20</v>
      </c>
      <c r="LP55" s="904">
        <f>+IFERROR(VLOOKUP(LP$27&amp;"-"&amp;$M55&amp;"_new",Ammortamento_Finanziario!$H:$L,5,FALSE),VLOOKUP($M55,TT_Tabelle_Riferimento!$D$127:$H$164,5,FALSE))</f>
        <v>20</v>
      </c>
      <c r="LQ55" s="904">
        <f>+IFERROR(VLOOKUP(LQ$27&amp;"-"&amp;$M55&amp;"_new",Ammortamento_Finanziario!$H:$L,5,FALSE),VLOOKUP($M55,TT_Tabelle_Riferimento!$D$127:$H$164,5,FALSE))</f>
        <v>20</v>
      </c>
      <c r="LR55" s="904">
        <f>+IFERROR(VLOOKUP(LR$27&amp;"-"&amp;$M55&amp;"_new",Ammortamento_Finanziario!$H:$L,5,FALSE),VLOOKUP($M55,TT_Tabelle_Riferimento!$D$127:$H$164,5,FALSE))</f>
        <v>20</v>
      </c>
      <c r="LS55" s="1762">
        <f>+IFERROR(VLOOKUP(LS$27&amp;"-"&amp;$M55&amp;"_new",Ammortamento_Finanziario!$H:$L,5,FALSE),VLOOKUP($M55,TT_Tabelle_Riferimento!$D$127:$H$164,5,FALSE))</f>
        <v>20</v>
      </c>
      <c r="LT55" s="1762">
        <f>+IFERROR(VLOOKUP(LT$27&amp;"-"&amp;$M55&amp;"_new",Ammortamento_Finanziario!$H:$L,5,FALSE),VLOOKUP($M55,TT_Tabelle_Riferimento!$D$127:$H$164,5,FALSE))</f>
        <v>20</v>
      </c>
      <c r="LU55" s="1762">
        <f>+IFERROR(VLOOKUP(LU$27&amp;"-"&amp;$M55&amp;"_new",Ammortamento_Finanziario!$H:$L,5,FALSE),VLOOKUP($M55,TT_Tabelle_Riferimento!$D$127:$H$164,5,FALSE))</f>
        <v>20</v>
      </c>
      <c r="LV55" s="1762">
        <f>+IFERROR(VLOOKUP(LV$27&amp;"-"&amp;$M55&amp;"_new",Ammortamento_Finanziario!$H:$L,5,FALSE),VLOOKUP($M55,TT_Tabelle_Riferimento!$D$127:$H$164,5,FALSE))</f>
        <v>20</v>
      </c>
      <c r="LW55" s="1762">
        <f>+IFERROR(VLOOKUP(LW$27&amp;"-"&amp;$M55&amp;"_new",Ammortamento_Finanziario!$H:$L,5,FALSE),VLOOKUP($M55,TT_Tabelle_Riferimento!$D$127:$H$164,5,FALSE))</f>
        <v>20</v>
      </c>
      <c r="LX55" s="1762">
        <f>+IFERROR(VLOOKUP(LX$27&amp;"-"&amp;$M55&amp;"_new",Ammortamento_Finanziario!$H:$L,5,FALSE),VLOOKUP($M55,TT_Tabelle_Riferimento!$D$127:$H$164,5,FALSE))</f>
        <v>20</v>
      </c>
      <c r="LY55" s="904">
        <f>+IFERROR(VLOOKUP(LY$27&amp;"-"&amp;$M55&amp;"_new",Ammortamento_Finanziario!$H:$L,5,FALSE),VLOOKUP($M55,TT_Tabelle_Riferimento!$D$127:$H$164,5,FALSE))</f>
        <v>20</v>
      </c>
      <c r="LZ55" s="904">
        <f>+IFERROR(VLOOKUP(LZ$27&amp;"-"&amp;$M55&amp;"_new",Ammortamento_Finanziario!$H:$L,5,FALSE),VLOOKUP($M55,TT_Tabelle_Riferimento!$D$127:$H$164,5,FALSE))</f>
        <v>20</v>
      </c>
      <c r="MA55" s="904">
        <f>+IFERROR(VLOOKUP(MA$27&amp;"-"&amp;$M55&amp;"_new",Ammortamento_Finanziario!$H:$L,5,FALSE),VLOOKUP($M55,TT_Tabelle_Riferimento!$D$127:$H$164,5,FALSE))</f>
        <v>20</v>
      </c>
      <c r="MB55" s="904">
        <f>+IFERROR(VLOOKUP(MB$27&amp;"-"&amp;$M55&amp;"_new",Ammortamento_Finanziario!$H:$L,5,FALSE),VLOOKUP($M55,TT_Tabelle_Riferimento!$D$127:$H$164,5,FALSE))</f>
        <v>20</v>
      </c>
      <c r="MC55" s="904">
        <f>+IFERROR(VLOOKUP(MC$27&amp;"-"&amp;$M55&amp;"_new",Ammortamento_Finanziario!$H:$L,5,FALSE),VLOOKUP($M55,TT_Tabelle_Riferimento!$D$127:$H$164,5,FALSE))</f>
        <v>20</v>
      </c>
      <c r="MD55" s="904">
        <f>+IFERROR(VLOOKUP(MD$27&amp;"-"&amp;$M55&amp;"_new",Ammortamento_Finanziario!$H:$L,5,FALSE),VLOOKUP($M55,TT_Tabelle_Riferimento!$D$127:$H$164,5,FALSE))</f>
        <v>20</v>
      </c>
      <c r="ME55" s="904">
        <f>+IFERROR(VLOOKUP(ME$27&amp;"-"&amp;$M55&amp;"_new",Ammortamento_Finanziario!$H:$L,5,FALSE),VLOOKUP($M55,TT_Tabelle_Riferimento!$D$127:$H$164,5,FALSE))</f>
        <v>20</v>
      </c>
      <c r="MF55" s="904">
        <f>+IFERROR(VLOOKUP(MF$27&amp;"-"&amp;$M55&amp;"_new",Ammortamento_Finanziario!$H:$L,5,FALSE),VLOOKUP($M55,TT_Tabelle_Riferimento!$D$127:$H$164,5,FALSE))</f>
        <v>20</v>
      </c>
      <c r="MG55" s="904">
        <f>+IFERROR(VLOOKUP(MG$27&amp;"-"&amp;$M55&amp;"_new",Ammortamento_Finanziario!$H:$L,5,FALSE),VLOOKUP($M55,TT_Tabelle_Riferimento!$D$127:$H$164,5,FALSE))</f>
        <v>20</v>
      </c>
      <c r="MH55" s="904">
        <f>+IFERROR(VLOOKUP(MH$27&amp;"-"&amp;$M55&amp;"_new",Ammortamento_Finanziario!$H:$L,5,FALSE),VLOOKUP($M55,TT_Tabelle_Riferimento!$D$127:$H$164,5,FALSE))</f>
        <v>20</v>
      </c>
      <c r="MI55" s="904">
        <f>+IFERROR(VLOOKUP(MI$27&amp;"-"&amp;$M55&amp;"_new",Ammortamento_Finanziario!$H:$L,5,FALSE),VLOOKUP($M55,TT_Tabelle_Riferimento!$D$127:$H$164,5,FALSE))</f>
        <v>20</v>
      </c>
      <c r="MJ55" s="904">
        <f>+IFERROR(VLOOKUP(MJ$27&amp;"-"&amp;$M55&amp;"_new",Ammortamento_Finanziario!$H:$L,5,FALSE),VLOOKUP($M55,TT_Tabelle_Riferimento!$D$127:$H$164,5,FALSE))</f>
        <v>20</v>
      </c>
      <c r="MK55" s="904">
        <f>+IFERROR(VLOOKUP(MK$27&amp;"-"&amp;$M55&amp;"_new",Ammortamento_Finanziario!$H:$L,5,FALSE),VLOOKUP($M55,TT_Tabelle_Riferimento!$D$127:$H$164,5,FALSE))</f>
        <v>20</v>
      </c>
      <c r="ML55" s="904">
        <f>+IFERROR(VLOOKUP(ML$27&amp;"-"&amp;$M55&amp;"_new",Ammortamento_Finanziario!$H:$L,5,FALSE),VLOOKUP($M55,TT_Tabelle_Riferimento!$D$127:$H$164,5,FALSE))</f>
        <v>20</v>
      </c>
      <c r="MM55" s="904">
        <f>+IFERROR(VLOOKUP(MM$27&amp;"-"&amp;$M55&amp;"_new",Ammortamento_Finanziario!$H:$L,5,FALSE),VLOOKUP($M55,TT_Tabelle_Riferimento!$D$127:$H$164,5,FALSE))</f>
        <v>20</v>
      </c>
      <c r="MN55" s="904">
        <f>+IFERROR(VLOOKUP(MN$27&amp;"-"&amp;$M55&amp;"_new",Ammortamento_Finanziario!$H:$L,5,FALSE),VLOOKUP($M55,TT_Tabelle_Riferimento!$D$127:$H$164,5,FALSE))</f>
        <v>20</v>
      </c>
      <c r="MO55" s="904">
        <f>+IFERROR(VLOOKUP(MO$27&amp;"-"&amp;$M55&amp;"_new",Ammortamento_Finanziario!$H:$L,5,FALSE),VLOOKUP($M55,TT_Tabelle_Riferimento!$D$127:$H$164,5,FALSE))</f>
        <v>20</v>
      </c>
      <c r="MP55" s="904">
        <f>+IFERROR(VLOOKUP(MP$27&amp;"-"&amp;$M55&amp;"_new",Ammortamento_Finanziario!$H:$L,5,FALSE),VLOOKUP($M55,TT_Tabelle_Riferimento!$D$127:$H$164,5,FALSE))</f>
        <v>20</v>
      </c>
      <c r="MQ55" s="904">
        <f>+IFERROR(VLOOKUP(MQ$27&amp;"-"&amp;$M55&amp;"_new",Ammortamento_Finanziario!$H:$L,5,FALSE),VLOOKUP($M55,TT_Tabelle_Riferimento!$D$127:$H$164,5,FALSE))</f>
        <v>20</v>
      </c>
      <c r="MR55" s="1762">
        <f>+IFERROR(VLOOKUP(MR$27&amp;"-"&amp;$M55&amp;"_new",Ammortamento_Finanziario!$H:$L,5,FALSE),VLOOKUP($M55,TT_Tabelle_Riferimento!$D$127:$H$164,5,FALSE))</f>
        <v>20</v>
      </c>
      <c r="MS55" s="1762">
        <f>+IFERROR(VLOOKUP(MS$27&amp;"-"&amp;$M55&amp;"_new",Ammortamento_Finanziario!$H:$L,5,FALSE),VLOOKUP($M55,TT_Tabelle_Riferimento!$D$127:$H$164,5,FALSE))</f>
        <v>20</v>
      </c>
      <c r="MT55" s="1762">
        <f>+IFERROR(VLOOKUP(MT$27&amp;"-"&amp;$M55&amp;"_new",Ammortamento_Finanziario!$H:$L,5,FALSE),VLOOKUP($M55,TT_Tabelle_Riferimento!$D$127:$H$164,5,FALSE))</f>
        <v>20</v>
      </c>
      <c r="MU55" s="1762">
        <f>+IFERROR(VLOOKUP(MU$27&amp;"-"&amp;$M55&amp;"_new",Ammortamento_Finanziario!$H:$L,5,FALSE),VLOOKUP($M55,TT_Tabelle_Riferimento!$D$127:$H$164,5,FALSE))</f>
        <v>20</v>
      </c>
      <c r="MV55" s="1762">
        <f>+IFERROR(VLOOKUP(MV$27&amp;"-"&amp;$M55&amp;"_new",Ammortamento_Finanziario!$H:$L,5,FALSE),VLOOKUP($M55,TT_Tabelle_Riferimento!$D$127:$H$164,5,FALSE))</f>
        <v>20</v>
      </c>
      <c r="MW55" s="1762">
        <f>+IFERROR(VLOOKUP(MW$27&amp;"-"&amp;$M55&amp;"_new",Ammortamento_Finanziario!$H:$L,5,FALSE),VLOOKUP($M55,TT_Tabelle_Riferimento!$D$127:$H$164,5,FALSE))</f>
        <v>20</v>
      </c>
      <c r="MX55" s="904">
        <f>+IFERROR(VLOOKUP(MX$27&amp;"-"&amp;$M55&amp;"_new",Ammortamento_Finanziario!$H:$L,5,FALSE),VLOOKUP($M55,TT_Tabelle_Riferimento!$D$127:$H$164,5,FALSE))</f>
        <v>20</v>
      </c>
      <c r="MY55" s="904">
        <f>+IFERROR(VLOOKUP(MY$27&amp;"-"&amp;$M55&amp;"_new",Ammortamento_Finanziario!$H:$L,5,FALSE),VLOOKUP($M55,TT_Tabelle_Riferimento!$D$127:$H$164,5,FALSE))</f>
        <v>20</v>
      </c>
      <c r="MZ55" s="904">
        <f>+IFERROR(VLOOKUP(MZ$27&amp;"-"&amp;$M55&amp;"_new",Ammortamento_Finanziario!$H:$L,5,FALSE),VLOOKUP($M55,TT_Tabelle_Riferimento!$D$127:$H$164,5,FALSE))</f>
        <v>20</v>
      </c>
      <c r="NA55" s="904">
        <f>+IFERROR(VLOOKUP(NA$27&amp;"-"&amp;$M55&amp;"_new",Ammortamento_Finanziario!$H:$L,5,FALSE),VLOOKUP($M55,TT_Tabelle_Riferimento!$D$127:$H$164,5,FALSE))</f>
        <v>20</v>
      </c>
      <c r="NB55" s="904">
        <f>+IFERROR(VLOOKUP(NB$27&amp;"-"&amp;$M55&amp;"_new",Ammortamento_Finanziario!$H:$L,5,FALSE),VLOOKUP($M55,TT_Tabelle_Riferimento!$D$127:$H$164,5,FALSE))</f>
        <v>20</v>
      </c>
      <c r="NC55" s="904">
        <f>+IFERROR(VLOOKUP(NC$27&amp;"-"&amp;$M55&amp;"_new",Ammortamento_Finanziario!$H:$L,5,FALSE),VLOOKUP($M55,TT_Tabelle_Riferimento!$D$127:$H$164,5,FALSE))</f>
        <v>20</v>
      </c>
      <c r="ND55" s="904">
        <f>+IFERROR(VLOOKUP(ND$27&amp;"-"&amp;$M55&amp;"_new",Ammortamento_Finanziario!$H:$L,5,FALSE),VLOOKUP($M55,TT_Tabelle_Riferimento!$D$127:$H$164,5,FALSE))</f>
        <v>20</v>
      </c>
      <c r="NE55" s="904">
        <f>+IFERROR(VLOOKUP(NE$27&amp;"-"&amp;$M55&amp;"_new",Ammortamento_Finanziario!$H:$L,5,FALSE),VLOOKUP($M55,TT_Tabelle_Riferimento!$D$127:$H$164,5,FALSE))</f>
        <v>20</v>
      </c>
      <c r="NF55" s="904">
        <f>+IFERROR(VLOOKUP(NF$27&amp;"-"&amp;$M55&amp;"_new",Ammortamento_Finanziario!$H:$L,5,FALSE),VLOOKUP($M55,TT_Tabelle_Riferimento!$D$127:$H$164,5,FALSE))</f>
        <v>20</v>
      </c>
      <c r="NG55" s="904">
        <f>+IFERROR(VLOOKUP(NG$27&amp;"-"&amp;$M55&amp;"_new",Ammortamento_Finanziario!$H:$L,5,FALSE),VLOOKUP($M55,TT_Tabelle_Riferimento!$D$127:$H$164,5,FALSE))</f>
        <v>20</v>
      </c>
      <c r="NH55" s="904">
        <f>+IFERROR(VLOOKUP(NH$27&amp;"-"&amp;$M55&amp;"_new",Ammortamento_Finanziario!$H:$L,5,FALSE),VLOOKUP($M55,TT_Tabelle_Riferimento!$D$127:$H$164,5,FALSE))</f>
        <v>20</v>
      </c>
      <c r="NI55" s="904">
        <f>+IFERROR(VLOOKUP(NI$27&amp;"-"&amp;$M55&amp;"_new",Ammortamento_Finanziario!$H:$L,5,FALSE),VLOOKUP($M55,TT_Tabelle_Riferimento!$D$127:$H$164,5,FALSE))</f>
        <v>20</v>
      </c>
      <c r="NJ55" s="904">
        <f>+IFERROR(VLOOKUP(NJ$27&amp;"-"&amp;$M55&amp;"_new",Ammortamento_Finanziario!$H:$L,5,FALSE),VLOOKUP($M55,TT_Tabelle_Riferimento!$D$127:$H$164,5,FALSE))</f>
        <v>20</v>
      </c>
      <c r="NK55" s="904">
        <f>+IFERROR(VLOOKUP(NK$27&amp;"-"&amp;$M55&amp;"_new",Ammortamento_Finanziario!$H:$L,5,FALSE),VLOOKUP($M55,TT_Tabelle_Riferimento!$D$127:$H$164,5,FALSE))</f>
        <v>20</v>
      </c>
      <c r="NL55" s="904">
        <f>+IFERROR(VLOOKUP(NL$27&amp;"-"&amp;$M55&amp;"_new",Ammortamento_Finanziario!$H:$L,5,FALSE),VLOOKUP($M55,TT_Tabelle_Riferimento!$D$127:$H$164,5,FALSE))</f>
        <v>20</v>
      </c>
      <c r="NM55" s="904">
        <f>+IFERROR(VLOOKUP(NM$27&amp;"-"&amp;$M55&amp;"_new",Ammortamento_Finanziario!$H:$L,5,FALSE),VLOOKUP($M55,TT_Tabelle_Riferimento!$D$127:$H$164,5,FALSE))</f>
        <v>20</v>
      </c>
      <c r="NN55" s="904">
        <f>+IFERROR(VLOOKUP(NN$27&amp;"-"&amp;$M55&amp;"_new",Ammortamento_Finanziario!$H:$L,5,FALSE),VLOOKUP($M55,TT_Tabelle_Riferimento!$D$127:$H$164,5,FALSE))</f>
        <v>20</v>
      </c>
      <c r="NO55" s="904">
        <f>+IFERROR(VLOOKUP(NO$27&amp;"-"&amp;$M55&amp;"_new",Ammortamento_Finanziario!$H:$L,5,FALSE),VLOOKUP($M55,TT_Tabelle_Riferimento!$D$127:$H$164,5,FALSE))</f>
        <v>20</v>
      </c>
      <c r="NP55" s="904">
        <f>+IFERROR(VLOOKUP(NP$27&amp;"-"&amp;$M55&amp;"_new",Ammortamento_Finanziario!$H:$L,5,FALSE),VLOOKUP($M55,TT_Tabelle_Riferimento!$D$127:$H$164,5,FALSE))</f>
        <v>20</v>
      </c>
      <c r="NQ55" s="1762">
        <f>+IFERROR(VLOOKUP(NQ$27&amp;"-"&amp;$M55&amp;"_new",Ammortamento_Finanziario!$H:$L,5,FALSE),VLOOKUP($M55,TT_Tabelle_Riferimento!$D$127:$H$164,5,FALSE))</f>
        <v>20</v>
      </c>
      <c r="NR55" s="1762">
        <f>+IFERROR(VLOOKUP(NR$27&amp;"-"&amp;$M55&amp;"_new",Ammortamento_Finanziario!$H:$L,5,FALSE),VLOOKUP($M55,TT_Tabelle_Riferimento!$D$127:$H$164,5,FALSE))</f>
        <v>20</v>
      </c>
      <c r="NS55" s="1762">
        <f>+IFERROR(VLOOKUP(NS$27&amp;"-"&amp;$M55&amp;"_new",Ammortamento_Finanziario!$H:$L,5,FALSE),VLOOKUP($M55,TT_Tabelle_Riferimento!$D$127:$H$164,5,FALSE))</f>
        <v>20</v>
      </c>
      <c r="NT55" s="1762">
        <f>+IFERROR(VLOOKUP(NT$27&amp;"-"&amp;$M55&amp;"_new",Ammortamento_Finanziario!$H:$L,5,FALSE),VLOOKUP($M55,TT_Tabelle_Riferimento!$D$127:$H$164,5,FALSE))</f>
        <v>20</v>
      </c>
      <c r="NU55" s="1762">
        <f>+IFERROR(VLOOKUP(NU$27&amp;"-"&amp;$M55&amp;"_new",Ammortamento_Finanziario!$H:$L,5,FALSE),VLOOKUP($M55,TT_Tabelle_Riferimento!$D$127:$H$164,5,FALSE))</f>
        <v>20</v>
      </c>
      <c r="NV55" s="904">
        <f>+IFERROR(VLOOKUP(NV$27&amp;"-"&amp;$M55&amp;"_new",Ammortamento_Finanziario!$H:$L,5,FALSE),VLOOKUP($M55,TT_Tabelle_Riferimento!$D$127:$H$164,5,FALSE))</f>
        <v>20</v>
      </c>
      <c r="NW55" s="904">
        <f>+IFERROR(VLOOKUP(NW$27&amp;"-"&amp;$M55&amp;"_new",Ammortamento_Finanziario!$H:$L,5,FALSE),VLOOKUP($M55,TT_Tabelle_Riferimento!$D$127:$H$164,5,FALSE))</f>
        <v>20</v>
      </c>
      <c r="NX55" s="904">
        <f>+IFERROR(VLOOKUP(NX$27&amp;"-"&amp;$M55&amp;"_new",Ammortamento_Finanziario!$H:$L,5,FALSE),VLOOKUP($M55,TT_Tabelle_Riferimento!$D$127:$H$164,5,FALSE))</f>
        <v>20</v>
      </c>
      <c r="NY55" s="904">
        <f>+IFERROR(VLOOKUP(NY$27&amp;"-"&amp;$M55&amp;"_new",Ammortamento_Finanziario!$H:$L,5,FALSE),VLOOKUP($M55,TT_Tabelle_Riferimento!$D$127:$H$164,5,FALSE))</f>
        <v>20</v>
      </c>
      <c r="NZ55" s="904">
        <f>+IFERROR(VLOOKUP(NZ$27&amp;"-"&amp;$M55&amp;"_new",Ammortamento_Finanziario!$H:$L,5,FALSE),VLOOKUP($M55,TT_Tabelle_Riferimento!$D$127:$H$164,5,FALSE))</f>
        <v>20</v>
      </c>
      <c r="OA55" s="904">
        <f>+IFERROR(VLOOKUP(OA$27&amp;"-"&amp;$M55&amp;"_new",Ammortamento_Finanziario!$H:$L,5,FALSE),VLOOKUP($M55,TT_Tabelle_Riferimento!$D$127:$H$164,5,FALSE))</f>
        <v>20</v>
      </c>
      <c r="OB55" s="904">
        <f>+IFERROR(VLOOKUP(OB$27&amp;"-"&amp;$M55&amp;"_new",Ammortamento_Finanziario!$H:$L,5,FALSE),VLOOKUP($M55,TT_Tabelle_Riferimento!$D$127:$H$164,5,FALSE))</f>
        <v>20</v>
      </c>
      <c r="OC55" s="904">
        <f>+IFERROR(VLOOKUP(OC$27&amp;"-"&amp;$M55&amp;"_new",Ammortamento_Finanziario!$H:$L,5,FALSE),VLOOKUP($M55,TT_Tabelle_Riferimento!$D$127:$H$164,5,FALSE))</f>
        <v>20</v>
      </c>
      <c r="OD55" s="904">
        <f>+IFERROR(VLOOKUP(OD$27&amp;"-"&amp;$M55&amp;"_new",Ammortamento_Finanziario!$H:$L,5,FALSE),VLOOKUP($M55,TT_Tabelle_Riferimento!$D$127:$H$164,5,FALSE))</f>
        <v>20</v>
      </c>
      <c r="OE55" s="904">
        <f>+IFERROR(VLOOKUP(OE$27&amp;"-"&amp;$M55&amp;"_new",Ammortamento_Finanziario!$H:$L,5,FALSE),VLOOKUP($M55,TT_Tabelle_Riferimento!$D$127:$H$164,5,FALSE))</f>
        <v>20</v>
      </c>
      <c r="OF55" s="904">
        <f>+IFERROR(VLOOKUP(OF$27&amp;"-"&amp;$M55&amp;"_new",Ammortamento_Finanziario!$H:$L,5,FALSE),VLOOKUP($M55,TT_Tabelle_Riferimento!$D$127:$H$164,5,FALSE))</f>
        <v>20</v>
      </c>
      <c r="OG55" s="904">
        <f>+IFERROR(VLOOKUP(OG$27&amp;"-"&amp;$M55&amp;"_new",Ammortamento_Finanziario!$H:$L,5,FALSE),VLOOKUP($M55,TT_Tabelle_Riferimento!$D$127:$H$164,5,FALSE))</f>
        <v>20</v>
      </c>
      <c r="OH55" s="904">
        <f>+IFERROR(VLOOKUP(OH$27&amp;"-"&amp;$M55&amp;"_new",Ammortamento_Finanziario!$H:$L,5,FALSE),VLOOKUP($M55,TT_Tabelle_Riferimento!$D$127:$H$164,5,FALSE))</f>
        <v>20</v>
      </c>
      <c r="OI55" s="904">
        <f>+IFERROR(VLOOKUP(OI$27&amp;"-"&amp;$M55&amp;"_new",Ammortamento_Finanziario!$H:$L,5,FALSE),VLOOKUP($M55,TT_Tabelle_Riferimento!$D$127:$H$164,5,FALSE))</f>
        <v>20</v>
      </c>
      <c r="OJ55" s="904">
        <f>+IFERROR(VLOOKUP(OJ$27&amp;"-"&amp;$M55&amp;"_new",Ammortamento_Finanziario!$H:$L,5,FALSE),VLOOKUP($M55,TT_Tabelle_Riferimento!$D$127:$H$164,5,FALSE))</f>
        <v>20</v>
      </c>
      <c r="OK55" s="904">
        <f>+IFERROR(VLOOKUP(OK$27&amp;"-"&amp;$M55&amp;"_new",Ammortamento_Finanziario!$H:$L,5,FALSE),VLOOKUP($M55,TT_Tabelle_Riferimento!$D$127:$H$164,5,FALSE))</f>
        <v>20</v>
      </c>
      <c r="OL55" s="904">
        <f>+IFERROR(VLOOKUP(OL$27&amp;"-"&amp;$M55&amp;"_new",Ammortamento_Finanziario!$H:$L,5,FALSE),VLOOKUP($M55,TT_Tabelle_Riferimento!$D$127:$H$164,5,FALSE))</f>
        <v>20</v>
      </c>
      <c r="OM55" s="904">
        <f>+IFERROR(VLOOKUP(OM$27&amp;"-"&amp;$M55&amp;"_new",Ammortamento_Finanziario!$H:$L,5,FALSE),VLOOKUP($M55,TT_Tabelle_Riferimento!$D$127:$H$164,5,FALSE))</f>
        <v>20</v>
      </c>
      <c r="ON55" s="904">
        <f>+IFERROR(VLOOKUP(ON$27&amp;"-"&amp;$M55&amp;"_new",Ammortamento_Finanziario!$H:$L,5,FALSE),VLOOKUP($M55,TT_Tabelle_Riferimento!$D$127:$H$164,5,FALSE))</f>
        <v>20</v>
      </c>
      <c r="OO55" s="1762">
        <f>+IFERROR(VLOOKUP(OO$27&amp;"-"&amp;$M55&amp;"_new",Ammortamento_Finanziario!$H:$L,5,FALSE),VLOOKUP($M55,TT_Tabelle_Riferimento!$D$127:$H$164,5,FALSE))</f>
        <v>20</v>
      </c>
      <c r="OP55" s="1762">
        <f>+IFERROR(VLOOKUP(OP$27&amp;"-"&amp;$M55&amp;"_new",Ammortamento_Finanziario!$H:$L,5,FALSE),VLOOKUP($M55,TT_Tabelle_Riferimento!$D$127:$H$164,5,FALSE))</f>
        <v>20</v>
      </c>
      <c r="OQ55" s="1762">
        <f>+IFERROR(VLOOKUP(OQ$27&amp;"-"&amp;$M55&amp;"_new",Ammortamento_Finanziario!$H:$L,5,FALSE),VLOOKUP($M55,TT_Tabelle_Riferimento!$D$127:$H$164,5,FALSE))</f>
        <v>20</v>
      </c>
      <c r="OR55" s="1762">
        <f>+IFERROR(VLOOKUP(OR$27&amp;"-"&amp;$M55&amp;"_new",Ammortamento_Finanziario!$H:$L,5,FALSE),VLOOKUP($M55,TT_Tabelle_Riferimento!$D$127:$H$164,5,FALSE))</f>
        <v>20</v>
      </c>
      <c r="OS55" s="904">
        <f>+IFERROR(VLOOKUP(OS$27&amp;"-"&amp;$M55&amp;"_new",Ammortamento_Finanziario!$H:$L,5,FALSE),VLOOKUP($M55,TT_Tabelle_Riferimento!$D$127:$H$164,5,FALSE))</f>
        <v>20</v>
      </c>
      <c r="OT55" s="904">
        <f>+IFERROR(VLOOKUP(OT$27&amp;"-"&amp;$M55&amp;"_new",Ammortamento_Finanziario!$H:$L,5,FALSE),VLOOKUP($M55,TT_Tabelle_Riferimento!$D$127:$H$164,5,FALSE))</f>
        <v>20</v>
      </c>
      <c r="OU55" s="904">
        <f>+IFERROR(VLOOKUP(OU$27&amp;"-"&amp;$M55&amp;"_new",Ammortamento_Finanziario!$H:$L,5,FALSE),VLOOKUP($M55,TT_Tabelle_Riferimento!$D$127:$H$164,5,FALSE))</f>
        <v>20</v>
      </c>
      <c r="OV55" s="904">
        <f>+IFERROR(VLOOKUP(OV$27&amp;"-"&amp;$M55&amp;"_new",Ammortamento_Finanziario!$H:$L,5,FALSE),VLOOKUP($M55,TT_Tabelle_Riferimento!$D$127:$H$164,5,FALSE))</f>
        <v>20</v>
      </c>
      <c r="OW55" s="904">
        <f>+IFERROR(VLOOKUP(OW$27&amp;"-"&amp;$M55&amp;"_new",Ammortamento_Finanziario!$H:$L,5,FALSE),VLOOKUP($M55,TT_Tabelle_Riferimento!$D$127:$H$164,5,FALSE))</f>
        <v>20</v>
      </c>
      <c r="OX55" s="904">
        <f>+IFERROR(VLOOKUP(OX$27&amp;"-"&amp;$M55&amp;"_new",Ammortamento_Finanziario!$H:$L,5,FALSE),VLOOKUP($M55,TT_Tabelle_Riferimento!$D$127:$H$164,5,FALSE))</f>
        <v>20</v>
      </c>
      <c r="OY55" s="904">
        <f>+IFERROR(VLOOKUP(OY$27&amp;"-"&amp;$M55&amp;"_new",Ammortamento_Finanziario!$H:$L,5,FALSE),VLOOKUP($M55,TT_Tabelle_Riferimento!$D$127:$H$164,5,FALSE))</f>
        <v>20</v>
      </c>
      <c r="OZ55" s="904">
        <f>+IFERROR(VLOOKUP(OZ$27&amp;"-"&amp;$M55&amp;"_new",Ammortamento_Finanziario!$H:$L,5,FALSE),VLOOKUP($M55,TT_Tabelle_Riferimento!$D$127:$H$164,5,FALSE))</f>
        <v>20</v>
      </c>
      <c r="PA55" s="904">
        <f>+IFERROR(VLOOKUP(PA$27&amp;"-"&amp;$M55&amp;"_new",Ammortamento_Finanziario!$H:$L,5,FALSE),VLOOKUP($M55,TT_Tabelle_Riferimento!$D$127:$H$164,5,FALSE))</f>
        <v>20</v>
      </c>
      <c r="PB55" s="904">
        <f>+IFERROR(VLOOKUP(PB$27&amp;"-"&amp;$M55&amp;"_new",Ammortamento_Finanziario!$H:$L,5,FALSE),VLOOKUP($M55,TT_Tabelle_Riferimento!$D$127:$H$164,5,FALSE))</f>
        <v>20</v>
      </c>
      <c r="PC55" s="904">
        <f>+IFERROR(VLOOKUP(PC$27&amp;"-"&amp;$M55&amp;"_new",Ammortamento_Finanziario!$H:$L,5,FALSE),VLOOKUP($M55,TT_Tabelle_Riferimento!$D$127:$H$164,5,FALSE))</f>
        <v>20</v>
      </c>
      <c r="PD55" s="904">
        <f>+IFERROR(VLOOKUP(PD$27&amp;"-"&amp;$M55&amp;"_new",Ammortamento_Finanziario!$H:$L,5,FALSE),VLOOKUP($M55,TT_Tabelle_Riferimento!$D$127:$H$164,5,FALSE))</f>
        <v>20</v>
      </c>
      <c r="PE55" s="904">
        <f>+IFERROR(VLOOKUP(PE$27&amp;"-"&amp;$M55&amp;"_new",Ammortamento_Finanziario!$H:$L,5,FALSE),VLOOKUP($M55,TT_Tabelle_Riferimento!$D$127:$H$164,5,FALSE))</f>
        <v>20</v>
      </c>
      <c r="PF55" s="904">
        <f>+IFERROR(VLOOKUP(PF$27&amp;"-"&amp;$M55&amp;"_new",Ammortamento_Finanziario!$H:$L,5,FALSE),VLOOKUP($M55,TT_Tabelle_Riferimento!$D$127:$H$164,5,FALSE))</f>
        <v>20</v>
      </c>
      <c r="PG55" s="904">
        <f>+IFERROR(VLOOKUP(PG$27&amp;"-"&amp;$M55&amp;"_new",Ammortamento_Finanziario!$H:$L,5,FALSE),VLOOKUP($M55,TT_Tabelle_Riferimento!$D$127:$H$164,5,FALSE))</f>
        <v>20</v>
      </c>
      <c r="PH55" s="904">
        <f>+IFERROR(VLOOKUP(PH$27&amp;"-"&amp;$M55&amp;"_new",Ammortamento_Finanziario!$H:$L,5,FALSE),VLOOKUP($M55,TT_Tabelle_Riferimento!$D$127:$H$164,5,FALSE))</f>
        <v>20</v>
      </c>
      <c r="PI55" s="904">
        <f>+IFERROR(VLOOKUP(PI$27&amp;"-"&amp;$M55&amp;"_new",Ammortamento_Finanziario!$H:$L,5,FALSE),VLOOKUP($M55,TT_Tabelle_Riferimento!$D$127:$H$164,5,FALSE))</f>
        <v>20</v>
      </c>
      <c r="PJ55" s="904">
        <f>+IFERROR(VLOOKUP(PJ$27&amp;"-"&amp;$M55&amp;"_new",Ammortamento_Finanziario!$H:$L,5,FALSE),VLOOKUP($M55,TT_Tabelle_Riferimento!$D$127:$H$164,5,FALSE))</f>
        <v>20</v>
      </c>
      <c r="PK55" s="904">
        <f>+IFERROR(VLOOKUP(PK$27&amp;"-"&amp;$M55&amp;"_new",Ammortamento_Finanziario!$H:$L,5,FALSE),VLOOKUP($M55,TT_Tabelle_Riferimento!$D$127:$H$164,5,FALSE))</f>
        <v>20</v>
      </c>
      <c r="PL55" s="1762">
        <f>+IFERROR(VLOOKUP(PL$27&amp;"-"&amp;$M55&amp;"_new",Ammortamento_Finanziario!$H:$L,5,FALSE),VLOOKUP($M55,TT_Tabelle_Riferimento!$D$127:$H$164,5,FALSE))</f>
        <v>20</v>
      </c>
      <c r="PM55" s="1762">
        <f>+IFERROR(VLOOKUP(PM$27&amp;"-"&amp;$M55&amp;"_new",Ammortamento_Finanziario!$H:$L,5,FALSE),VLOOKUP($M55,TT_Tabelle_Riferimento!$D$127:$H$164,5,FALSE))</f>
        <v>20</v>
      </c>
      <c r="PN55" s="1762">
        <f>+IFERROR(VLOOKUP(PN$27&amp;"-"&amp;$M55&amp;"_new",Ammortamento_Finanziario!$H:$L,5,FALSE),VLOOKUP($M55,TT_Tabelle_Riferimento!$D$127:$H$164,5,FALSE))</f>
        <v>20</v>
      </c>
      <c r="PO55" s="904">
        <f>+IFERROR(VLOOKUP(PO$27&amp;"-"&amp;$M55&amp;"_new",Ammortamento_Finanziario!$H:$L,5,FALSE),VLOOKUP($M55,TT_Tabelle_Riferimento!$D$127:$H$164,5,FALSE))</f>
        <v>20</v>
      </c>
      <c r="PP55" s="904">
        <f>+IFERROR(VLOOKUP(PP$27&amp;"-"&amp;$M55&amp;"_new",Ammortamento_Finanziario!$H:$L,5,FALSE),VLOOKUP($M55,TT_Tabelle_Riferimento!$D$127:$H$164,5,FALSE))</f>
        <v>20</v>
      </c>
      <c r="PQ55" s="904">
        <f>+IFERROR(VLOOKUP(PQ$27&amp;"-"&amp;$M55&amp;"_new",Ammortamento_Finanziario!$H:$L,5,FALSE),VLOOKUP($M55,TT_Tabelle_Riferimento!$D$127:$H$164,5,FALSE))</f>
        <v>20</v>
      </c>
      <c r="PR55" s="904">
        <f>+IFERROR(VLOOKUP(PR$27&amp;"-"&amp;$M55&amp;"_new",Ammortamento_Finanziario!$H:$L,5,FALSE),VLOOKUP($M55,TT_Tabelle_Riferimento!$D$127:$H$164,5,FALSE))</f>
        <v>20</v>
      </c>
      <c r="PS55" s="904">
        <f>+IFERROR(VLOOKUP(PS$27&amp;"-"&amp;$M55&amp;"_new",Ammortamento_Finanziario!$H:$L,5,FALSE),VLOOKUP($M55,TT_Tabelle_Riferimento!$D$127:$H$164,5,FALSE))</f>
        <v>20</v>
      </c>
      <c r="PT55" s="904">
        <f>+IFERROR(VLOOKUP(PT$27&amp;"-"&amp;$M55&amp;"_new",Ammortamento_Finanziario!$H:$L,5,FALSE),VLOOKUP($M55,TT_Tabelle_Riferimento!$D$127:$H$164,5,FALSE))</f>
        <v>20</v>
      </c>
      <c r="PU55" s="904">
        <f>+IFERROR(VLOOKUP(PU$27&amp;"-"&amp;$M55&amp;"_new",Ammortamento_Finanziario!$H:$L,5,FALSE),VLOOKUP($M55,TT_Tabelle_Riferimento!$D$127:$H$164,5,FALSE))</f>
        <v>20</v>
      </c>
      <c r="PV55" s="904">
        <f>+IFERROR(VLOOKUP(PV$27&amp;"-"&amp;$M55&amp;"_new",Ammortamento_Finanziario!$H:$L,5,FALSE),VLOOKUP($M55,TT_Tabelle_Riferimento!$D$127:$H$164,5,FALSE))</f>
        <v>20</v>
      </c>
      <c r="PW55" s="904">
        <f>+IFERROR(VLOOKUP(PW$27&amp;"-"&amp;$M55&amp;"_new",Ammortamento_Finanziario!$H:$L,5,FALSE),VLOOKUP($M55,TT_Tabelle_Riferimento!$D$127:$H$164,5,FALSE))</f>
        <v>20</v>
      </c>
      <c r="PX55" s="904">
        <f>+IFERROR(VLOOKUP(PX$27&amp;"-"&amp;$M55&amp;"_new",Ammortamento_Finanziario!$H:$L,5,FALSE),VLOOKUP($M55,TT_Tabelle_Riferimento!$D$127:$H$164,5,FALSE))</f>
        <v>20</v>
      </c>
      <c r="PY55" s="904">
        <f>+IFERROR(VLOOKUP(PY$27&amp;"-"&amp;$M55&amp;"_new",Ammortamento_Finanziario!$H:$L,5,FALSE),VLOOKUP($M55,TT_Tabelle_Riferimento!$D$127:$H$164,5,FALSE))</f>
        <v>20</v>
      </c>
      <c r="PZ55" s="904">
        <f>+IFERROR(VLOOKUP(PZ$27&amp;"-"&amp;$M55&amp;"_new",Ammortamento_Finanziario!$H:$L,5,FALSE),VLOOKUP($M55,TT_Tabelle_Riferimento!$D$127:$H$164,5,FALSE))</f>
        <v>20</v>
      </c>
      <c r="QA55" s="904">
        <f>+IFERROR(VLOOKUP(QA$27&amp;"-"&amp;$M55&amp;"_new",Ammortamento_Finanziario!$H:$L,5,FALSE),VLOOKUP($M55,TT_Tabelle_Riferimento!$D$127:$H$164,5,FALSE))</f>
        <v>20</v>
      </c>
      <c r="QB55" s="904">
        <f>+IFERROR(VLOOKUP(QB$27&amp;"-"&amp;$M55&amp;"_new",Ammortamento_Finanziario!$H:$L,5,FALSE),VLOOKUP($M55,TT_Tabelle_Riferimento!$D$127:$H$164,5,FALSE))</f>
        <v>20</v>
      </c>
      <c r="QC55" s="904">
        <f>+IFERROR(VLOOKUP(QC$27&amp;"-"&amp;$M55&amp;"_new",Ammortamento_Finanziario!$H:$L,5,FALSE),VLOOKUP($M55,TT_Tabelle_Riferimento!$D$127:$H$164,5,FALSE))</f>
        <v>20</v>
      </c>
      <c r="QD55" s="904">
        <f>+IFERROR(VLOOKUP(QD$27&amp;"-"&amp;$M55&amp;"_new",Ammortamento_Finanziario!$H:$L,5,FALSE),VLOOKUP($M55,TT_Tabelle_Riferimento!$D$127:$H$164,5,FALSE))</f>
        <v>20</v>
      </c>
      <c r="QE55" s="904">
        <f>+IFERROR(VLOOKUP(QE$27&amp;"-"&amp;$M55&amp;"_new",Ammortamento_Finanziario!$H:$L,5,FALSE),VLOOKUP($M55,TT_Tabelle_Riferimento!$D$127:$H$164,5,FALSE))</f>
        <v>20</v>
      </c>
      <c r="QF55" s="904">
        <f>+IFERROR(VLOOKUP(QF$27&amp;"-"&amp;$M55&amp;"_new",Ammortamento_Finanziario!$H:$L,5,FALSE),VLOOKUP($M55,TT_Tabelle_Riferimento!$D$127:$H$164,5,FALSE))</f>
        <v>20</v>
      </c>
      <c r="QG55" s="904">
        <f>+IFERROR(VLOOKUP(QG$27&amp;"-"&amp;$M55&amp;"_new",Ammortamento_Finanziario!$H:$L,5,FALSE),VLOOKUP($M55,TT_Tabelle_Riferimento!$D$127:$H$164,5,FALSE))</f>
        <v>20</v>
      </c>
      <c r="QH55" s="1762">
        <f>+IFERROR(VLOOKUP(QH$27&amp;"-"&amp;$M55&amp;"_new",Ammortamento_Finanziario!$H:$L,5,FALSE),VLOOKUP($M55,TT_Tabelle_Riferimento!$D$127:$H$164,5,FALSE))</f>
        <v>20</v>
      </c>
      <c r="QI55" s="1762">
        <f>+IFERROR(VLOOKUP(QI$27&amp;"-"&amp;$M55&amp;"_new",Ammortamento_Finanziario!$H:$L,5,FALSE),VLOOKUP($M55,TT_Tabelle_Riferimento!$D$127:$H$164,5,FALSE))</f>
        <v>20</v>
      </c>
      <c r="QJ55" s="904">
        <f>+IFERROR(VLOOKUP(QJ$27&amp;"-"&amp;$M55&amp;"_new",Ammortamento_Finanziario!$H:$L,5,FALSE),VLOOKUP($M55,TT_Tabelle_Riferimento!$D$127:$H$164,5,FALSE))</f>
        <v>20</v>
      </c>
      <c r="QK55" s="904">
        <f>+IFERROR(VLOOKUP(QK$27&amp;"-"&amp;$M55&amp;"_new",Ammortamento_Finanziario!$H:$L,5,FALSE),VLOOKUP($M55,TT_Tabelle_Riferimento!$D$127:$H$164,5,FALSE))</f>
        <v>20</v>
      </c>
      <c r="QL55" s="904">
        <f>+IFERROR(VLOOKUP(QL$27&amp;"-"&amp;$M55&amp;"_new",Ammortamento_Finanziario!$H:$L,5,FALSE),VLOOKUP($M55,TT_Tabelle_Riferimento!$D$127:$H$164,5,FALSE))</f>
        <v>20</v>
      </c>
      <c r="QM55" s="904">
        <f>+IFERROR(VLOOKUP(QM$27&amp;"-"&amp;$M55&amp;"_new",Ammortamento_Finanziario!$H:$L,5,FALSE),VLOOKUP($M55,TT_Tabelle_Riferimento!$D$127:$H$164,5,FALSE))</f>
        <v>20</v>
      </c>
      <c r="QN55" s="904">
        <f>+IFERROR(VLOOKUP(QN$27&amp;"-"&amp;$M55&amp;"_new",Ammortamento_Finanziario!$H:$L,5,FALSE),VLOOKUP($M55,TT_Tabelle_Riferimento!$D$127:$H$164,5,FALSE))</f>
        <v>20</v>
      </c>
      <c r="QO55" s="904">
        <f>+IFERROR(VLOOKUP(QO$27&amp;"-"&amp;$M55&amp;"_new",Ammortamento_Finanziario!$H:$L,5,FALSE),VLOOKUP($M55,TT_Tabelle_Riferimento!$D$127:$H$164,5,FALSE))</f>
        <v>20</v>
      </c>
      <c r="QP55" s="904">
        <f>+IFERROR(VLOOKUP(QP$27&amp;"-"&amp;$M55&amp;"_new",Ammortamento_Finanziario!$H:$L,5,FALSE),VLOOKUP($M55,TT_Tabelle_Riferimento!$D$127:$H$164,5,FALSE))</f>
        <v>20</v>
      </c>
      <c r="QQ55" s="904">
        <f>+IFERROR(VLOOKUP(QQ$27&amp;"-"&amp;$M55&amp;"_new",Ammortamento_Finanziario!$H:$L,5,FALSE),VLOOKUP($M55,TT_Tabelle_Riferimento!$D$127:$H$164,5,FALSE))</f>
        <v>20</v>
      </c>
      <c r="QR55" s="904">
        <f>+IFERROR(VLOOKUP(QR$27&amp;"-"&amp;$M55&amp;"_new",Ammortamento_Finanziario!$H:$L,5,FALSE),VLOOKUP($M55,TT_Tabelle_Riferimento!$D$127:$H$164,5,FALSE))</f>
        <v>20</v>
      </c>
      <c r="QS55" s="904">
        <f>+IFERROR(VLOOKUP(QS$27&amp;"-"&amp;$M55&amp;"_new",Ammortamento_Finanziario!$H:$L,5,FALSE),VLOOKUP($M55,TT_Tabelle_Riferimento!$D$127:$H$164,5,FALSE))</f>
        <v>20</v>
      </c>
      <c r="QT55" s="904">
        <f>+IFERROR(VLOOKUP(QT$27&amp;"-"&amp;$M55&amp;"_new",Ammortamento_Finanziario!$H:$L,5,FALSE),VLOOKUP($M55,TT_Tabelle_Riferimento!$D$127:$H$164,5,FALSE))</f>
        <v>20</v>
      </c>
      <c r="QU55" s="904">
        <f>+IFERROR(VLOOKUP(QU$27&amp;"-"&amp;$M55&amp;"_new",Ammortamento_Finanziario!$H:$L,5,FALSE),VLOOKUP($M55,TT_Tabelle_Riferimento!$D$127:$H$164,5,FALSE))</f>
        <v>20</v>
      </c>
      <c r="QV55" s="904">
        <f>+IFERROR(VLOOKUP(QV$27&amp;"-"&amp;$M55&amp;"_new",Ammortamento_Finanziario!$H:$L,5,FALSE),VLOOKUP($M55,TT_Tabelle_Riferimento!$D$127:$H$164,5,FALSE))</f>
        <v>20</v>
      </c>
      <c r="QW55" s="904">
        <f>+IFERROR(VLOOKUP(QW$27&amp;"-"&amp;$M55&amp;"_new",Ammortamento_Finanziario!$H:$L,5,FALSE),VLOOKUP($M55,TT_Tabelle_Riferimento!$D$127:$H$164,5,FALSE))</f>
        <v>20</v>
      </c>
      <c r="QX55" s="904">
        <f>+IFERROR(VLOOKUP(QX$27&amp;"-"&amp;$M55&amp;"_new",Ammortamento_Finanziario!$H:$L,5,FALSE),VLOOKUP($M55,TT_Tabelle_Riferimento!$D$127:$H$164,5,FALSE))</f>
        <v>20</v>
      </c>
      <c r="QY55" s="904">
        <f>+IFERROR(VLOOKUP(QY$27&amp;"-"&amp;$M55&amp;"_new",Ammortamento_Finanziario!$H:$L,5,FALSE),VLOOKUP($M55,TT_Tabelle_Riferimento!$D$127:$H$164,5,FALSE))</f>
        <v>20</v>
      </c>
      <c r="QZ55" s="904">
        <f>+IFERROR(VLOOKUP(QZ$27&amp;"-"&amp;$M55&amp;"_new",Ammortamento_Finanziario!$H:$L,5,FALSE),VLOOKUP($M55,TT_Tabelle_Riferimento!$D$127:$H$164,5,FALSE))</f>
        <v>20</v>
      </c>
      <c r="RA55" s="904">
        <f>+IFERROR(VLOOKUP(RA$27&amp;"-"&amp;$M55&amp;"_new",Ammortamento_Finanziario!$H:$L,5,FALSE),VLOOKUP($M55,TT_Tabelle_Riferimento!$D$127:$H$164,5,FALSE))</f>
        <v>20</v>
      </c>
      <c r="RB55" s="904">
        <f>+IFERROR(VLOOKUP(RB$27&amp;"-"&amp;$M55&amp;"_new",Ammortamento_Finanziario!$H:$L,5,FALSE),VLOOKUP($M55,TT_Tabelle_Riferimento!$D$127:$H$164,5,FALSE))</f>
        <v>20</v>
      </c>
      <c r="RC55" s="1762">
        <f>+IFERROR(VLOOKUP(RC$27&amp;"-"&amp;$M55&amp;"_new",Ammortamento_Finanziario!$H:$L,5,FALSE),VLOOKUP($M55,TT_Tabelle_Riferimento!$D$127:$H$164,5,FALSE))</f>
        <v>20</v>
      </c>
      <c r="RD55" s="904">
        <f>+IFERROR(VLOOKUP(RD$27&amp;"-"&amp;$M55&amp;"_new",Ammortamento_Finanziario!$H:$L,5,FALSE),VLOOKUP($M55,TT_Tabelle_Riferimento!$D$127:$H$164,5,FALSE))</f>
        <v>20</v>
      </c>
      <c r="RE55" s="904">
        <f>+IFERROR(VLOOKUP(RE$27&amp;"-"&amp;$M55&amp;"_new",Ammortamento_Finanziario!$H:$L,5,FALSE),VLOOKUP($M55,TT_Tabelle_Riferimento!$D$127:$H$164,5,FALSE))</f>
        <v>20</v>
      </c>
      <c r="RF55" s="904">
        <f>+IFERROR(VLOOKUP(RF$27&amp;"-"&amp;$M55&amp;"_new",Ammortamento_Finanziario!$H:$L,5,FALSE),VLOOKUP($M55,TT_Tabelle_Riferimento!$D$127:$H$164,5,FALSE))</f>
        <v>20</v>
      </c>
      <c r="RG55" s="904">
        <f>+IFERROR(VLOOKUP(RG$27&amp;"-"&amp;$M55&amp;"_new",Ammortamento_Finanziario!$H:$L,5,FALSE),VLOOKUP($M55,TT_Tabelle_Riferimento!$D$127:$H$164,5,FALSE))</f>
        <v>20</v>
      </c>
      <c r="RH55" s="904">
        <f>+IFERROR(VLOOKUP(RH$27&amp;"-"&amp;$M55&amp;"_new",Ammortamento_Finanziario!$H:$L,5,FALSE),VLOOKUP($M55,TT_Tabelle_Riferimento!$D$127:$H$164,5,FALSE))</f>
        <v>20</v>
      </c>
      <c r="RI55" s="904">
        <f>+IFERROR(VLOOKUP(RI$27&amp;"-"&amp;$M55&amp;"_new",Ammortamento_Finanziario!$H:$L,5,FALSE),VLOOKUP($M55,TT_Tabelle_Riferimento!$D$127:$H$164,5,FALSE))</f>
        <v>20</v>
      </c>
      <c r="RJ55" s="904">
        <f>+IFERROR(VLOOKUP(RJ$27&amp;"-"&amp;$M55&amp;"_new",Ammortamento_Finanziario!$H:$L,5,FALSE),VLOOKUP($M55,TT_Tabelle_Riferimento!$D$127:$H$164,5,FALSE))</f>
        <v>20</v>
      </c>
      <c r="RK55" s="904">
        <f>+IFERROR(VLOOKUP(RK$27&amp;"-"&amp;$M55&amp;"_new",Ammortamento_Finanziario!$H:$L,5,FALSE),VLOOKUP($M55,TT_Tabelle_Riferimento!$D$127:$H$164,5,FALSE))</f>
        <v>20</v>
      </c>
      <c r="RL55" s="904">
        <f>+IFERROR(VLOOKUP(RL$27&amp;"-"&amp;$M55&amp;"_new",Ammortamento_Finanziario!$H:$L,5,FALSE),VLOOKUP($M55,TT_Tabelle_Riferimento!$D$127:$H$164,5,FALSE))</f>
        <v>20</v>
      </c>
      <c r="RM55" s="904">
        <f>+IFERROR(VLOOKUP(RM$27&amp;"-"&amp;$M55&amp;"_new",Ammortamento_Finanziario!$H:$L,5,FALSE),VLOOKUP($M55,TT_Tabelle_Riferimento!$D$127:$H$164,5,FALSE))</f>
        <v>20</v>
      </c>
      <c r="RN55" s="904">
        <f>+IFERROR(VLOOKUP(RN$27&amp;"-"&amp;$M55&amp;"_new",Ammortamento_Finanziario!$H:$L,5,FALSE),VLOOKUP($M55,TT_Tabelle_Riferimento!$D$127:$H$164,5,FALSE))</f>
        <v>20</v>
      </c>
      <c r="RO55" s="904">
        <f>+IFERROR(VLOOKUP(RO$27&amp;"-"&amp;$M55&amp;"_new",Ammortamento_Finanziario!$H:$L,5,FALSE),VLOOKUP($M55,TT_Tabelle_Riferimento!$D$127:$H$164,5,FALSE))</f>
        <v>20</v>
      </c>
      <c r="RP55" s="904">
        <f>+IFERROR(VLOOKUP(RP$27&amp;"-"&amp;$M55&amp;"_new",Ammortamento_Finanziario!$H:$L,5,FALSE),VLOOKUP($M55,TT_Tabelle_Riferimento!$D$127:$H$164,5,FALSE))</f>
        <v>20</v>
      </c>
      <c r="RQ55" s="904">
        <f>+IFERROR(VLOOKUP(RQ$27&amp;"-"&amp;$M55&amp;"_new",Ammortamento_Finanziario!$H:$L,5,FALSE),VLOOKUP($M55,TT_Tabelle_Riferimento!$D$127:$H$164,5,FALSE))</f>
        <v>20</v>
      </c>
      <c r="RR55" s="904">
        <f>+IFERROR(VLOOKUP(RR$27&amp;"-"&amp;$M55&amp;"_new",Ammortamento_Finanziario!$H:$L,5,FALSE),VLOOKUP($M55,TT_Tabelle_Riferimento!$D$127:$H$164,5,FALSE))</f>
        <v>20</v>
      </c>
      <c r="RS55" s="904">
        <f>+IFERROR(VLOOKUP(RS$27&amp;"-"&amp;$M55&amp;"_new",Ammortamento_Finanziario!$H:$L,5,FALSE),VLOOKUP($M55,TT_Tabelle_Riferimento!$D$127:$H$164,5,FALSE))</f>
        <v>20</v>
      </c>
      <c r="RT55" s="904">
        <f>+IFERROR(VLOOKUP(RT$27&amp;"-"&amp;$M55&amp;"_new",Ammortamento_Finanziario!$H:$L,5,FALSE),VLOOKUP($M55,TT_Tabelle_Riferimento!$D$127:$H$164,5,FALSE))</f>
        <v>20</v>
      </c>
      <c r="RU55" s="904">
        <f>+IFERROR(VLOOKUP(RU$27&amp;"-"&amp;$M55&amp;"_new",Ammortamento_Finanziario!$H:$L,5,FALSE),VLOOKUP($M55,TT_Tabelle_Riferimento!$D$127:$H$164,5,FALSE))</f>
        <v>20</v>
      </c>
      <c r="RV55" s="904">
        <f>+IFERROR(VLOOKUP(RV$27&amp;"-"&amp;$M55&amp;"_new",Ammortamento_Finanziario!$H:$L,5,FALSE),VLOOKUP($M55,TT_Tabelle_Riferimento!$D$127:$H$164,5,FALSE))</f>
        <v>20</v>
      </c>
    </row>
    <row r="56" spans="4:490">
      <c r="D56" s="135" t="s">
        <v>200</v>
      </c>
      <c r="E56" s="719">
        <f>+SUMIFS(IMN_gestore!R:R,IMN_gestore!$G:$G,"Res")</f>
        <v>0</v>
      </c>
      <c r="F56" s="719">
        <f>+SUMIFS(IMN_gestore!AC:AC,IMN_gestore!$G:$G,"Res")</f>
        <v>0</v>
      </c>
      <c r="G56" s="719">
        <f>+SUMIFS(IMN_gestore!AN:AN,IMN_gestore!$G:$G,"Res")</f>
        <v>0</v>
      </c>
      <c r="H56" s="719">
        <f>+SUMIFS(IMN_gestore!AY:AY,IMN_gestore!$G:$G,"Res")</f>
        <v>0</v>
      </c>
      <c r="I56" s="719">
        <f>+SUMIFS(IMN_gestore!$BJ:$BJ,IMN_gestore!$G:$G,"Res")</f>
        <v>0</v>
      </c>
      <c r="J56" s="719">
        <f>+SUMIFS(IMN_gestore!$BU:$BU,IMN_gestore!$G:$G,"Res")</f>
        <v>0</v>
      </c>
      <c r="K56" s="5"/>
      <c r="L56" s="5"/>
      <c r="M56" s="1756">
        <v>29</v>
      </c>
      <c r="N56" s="1759">
        <v>0</v>
      </c>
      <c r="O56" s="1759">
        <v>0</v>
      </c>
      <c r="P56" s="1759">
        <v>0</v>
      </c>
      <c r="Q56" s="1759">
        <v>0</v>
      </c>
      <c r="R56" s="1759">
        <v>0</v>
      </c>
      <c r="S56" s="1759">
        <v>0</v>
      </c>
      <c r="T56" s="1759">
        <v>0</v>
      </c>
      <c r="U56" s="1759">
        <v>0</v>
      </c>
      <c r="V56" s="1759">
        <v>0</v>
      </c>
      <c r="W56" s="1759">
        <v>0</v>
      </c>
      <c r="X56" s="1759">
        <v>0</v>
      </c>
      <c r="Y56" s="1759">
        <v>0</v>
      </c>
      <c r="Z56" s="1759">
        <v>0</v>
      </c>
      <c r="AA56" s="1759">
        <v>0</v>
      </c>
      <c r="AB56" s="1759">
        <v>0</v>
      </c>
      <c r="AC56" s="1759">
        <v>0</v>
      </c>
      <c r="AD56" s="1759">
        <v>0</v>
      </c>
      <c r="AE56" s="1759">
        <v>0</v>
      </c>
      <c r="AF56" s="1759">
        <v>0</v>
      </c>
      <c r="AG56" s="1759">
        <v>0</v>
      </c>
      <c r="AH56" s="1759">
        <v>0</v>
      </c>
      <c r="AI56" s="1759">
        <v>0</v>
      </c>
      <c r="AJ56" s="1759">
        <v>0</v>
      </c>
      <c r="AK56" s="1759">
        <v>0</v>
      </c>
      <c r="AL56" s="1759">
        <v>0</v>
      </c>
      <c r="AM56" s="1759">
        <v>0</v>
      </c>
      <c r="AN56" s="1759">
        <v>0</v>
      </c>
      <c r="AO56" s="1759">
        <v>0</v>
      </c>
      <c r="AP56" s="1759">
        <v>0</v>
      </c>
      <c r="AQ56" s="1759">
        <v>0</v>
      </c>
      <c r="AR56" s="1759">
        <v>0</v>
      </c>
      <c r="AS56" s="1759">
        <v>0</v>
      </c>
      <c r="AT56" s="1759">
        <v>0</v>
      </c>
      <c r="AU56" s="1759">
        <v>0</v>
      </c>
      <c r="AV56" s="1759">
        <v>0</v>
      </c>
      <c r="AW56" s="1759">
        <v>0</v>
      </c>
      <c r="AX56" s="1759">
        <v>0</v>
      </c>
      <c r="AY56" s="1759">
        <v>0</v>
      </c>
      <c r="AZ56" s="1759">
        <v>0</v>
      </c>
      <c r="BA56" s="1759">
        <v>0</v>
      </c>
      <c r="BB56" s="1759">
        <v>0</v>
      </c>
      <c r="BC56" s="1759">
        <v>0</v>
      </c>
      <c r="BD56" s="1759">
        <v>0</v>
      </c>
      <c r="BE56" s="1759">
        <v>0</v>
      </c>
      <c r="BF56" s="1759">
        <v>0</v>
      </c>
      <c r="BG56" s="1759">
        <v>0</v>
      </c>
      <c r="BH56" s="1759">
        <v>0</v>
      </c>
      <c r="BI56" s="1759">
        <v>0</v>
      </c>
      <c r="BJ56" s="1759">
        <v>0</v>
      </c>
      <c r="BK56" s="1759">
        <v>0</v>
      </c>
      <c r="BL56" s="1759">
        <v>0</v>
      </c>
      <c r="BM56" s="1759">
        <v>0</v>
      </c>
      <c r="BN56" s="1759">
        <v>0</v>
      </c>
      <c r="BO56" s="1759">
        <v>0</v>
      </c>
      <c r="BP56" s="1759">
        <v>0</v>
      </c>
      <c r="BQ56" s="1759">
        <v>0</v>
      </c>
      <c r="BR56" s="1759">
        <v>0</v>
      </c>
      <c r="BS56" s="1759">
        <v>0</v>
      </c>
      <c r="BT56" s="1759">
        <v>0</v>
      </c>
      <c r="BU56" s="1759">
        <v>0</v>
      </c>
      <c r="BV56" s="1759">
        <v>0</v>
      </c>
      <c r="BW56" s="1759">
        <v>0</v>
      </c>
      <c r="BX56" s="1759">
        <v>0</v>
      </c>
      <c r="BY56" s="1759">
        <v>0</v>
      </c>
      <c r="BZ56" s="1759">
        <v>0</v>
      </c>
      <c r="CA56" s="1759">
        <v>0</v>
      </c>
      <c r="CB56" s="1759">
        <v>0</v>
      </c>
      <c r="CC56" s="1759">
        <v>0</v>
      </c>
      <c r="CD56" s="1759">
        <v>0</v>
      </c>
      <c r="CE56" s="1759">
        <v>0</v>
      </c>
      <c r="CF56" s="1759">
        <v>0</v>
      </c>
      <c r="CG56" s="1759">
        <v>0</v>
      </c>
      <c r="CH56" s="1759">
        <v>0</v>
      </c>
      <c r="CI56" s="1759">
        <v>0</v>
      </c>
      <c r="CJ56" s="1759">
        <v>0</v>
      </c>
      <c r="CK56" s="1759">
        <v>0</v>
      </c>
      <c r="CL56" s="1759">
        <v>0</v>
      </c>
      <c r="CM56" s="1759">
        <v>0</v>
      </c>
      <c r="CN56" s="1759">
        <v>0</v>
      </c>
      <c r="CO56" s="1759">
        <v>0</v>
      </c>
      <c r="CP56" s="1759">
        <v>0</v>
      </c>
      <c r="CQ56" s="1759">
        <v>0</v>
      </c>
      <c r="CR56" s="1759">
        <v>0</v>
      </c>
      <c r="CS56" s="1759">
        <v>0</v>
      </c>
      <c r="CT56" s="1759">
        <v>0</v>
      </c>
      <c r="CU56" s="1759">
        <v>0</v>
      </c>
      <c r="CV56" s="1759">
        <v>0</v>
      </c>
      <c r="CW56" s="1759">
        <v>0</v>
      </c>
      <c r="CX56" s="1759">
        <v>0</v>
      </c>
      <c r="CY56" s="1759">
        <v>0</v>
      </c>
      <c r="CZ56" s="1759">
        <v>0</v>
      </c>
      <c r="DA56" s="1759">
        <v>0</v>
      </c>
      <c r="DB56" s="1759">
        <v>0</v>
      </c>
      <c r="DC56" s="1759">
        <v>0</v>
      </c>
      <c r="DD56" s="1759">
        <v>0</v>
      </c>
      <c r="DE56" s="1759">
        <v>0</v>
      </c>
      <c r="DF56" s="1759">
        <v>0</v>
      </c>
      <c r="DG56" s="1759">
        <v>0</v>
      </c>
      <c r="DH56" s="1759">
        <v>0</v>
      </c>
      <c r="DI56" s="1759">
        <v>0</v>
      </c>
      <c r="DJ56" s="1759">
        <v>0</v>
      </c>
      <c r="DK56" s="1759">
        <v>0</v>
      </c>
      <c r="DL56" s="1759">
        <v>0</v>
      </c>
      <c r="DM56" s="1759">
        <v>0</v>
      </c>
      <c r="DN56" s="1759">
        <v>0</v>
      </c>
      <c r="DO56" s="1759">
        <v>0</v>
      </c>
      <c r="DP56" s="1759">
        <v>0</v>
      </c>
      <c r="DQ56" s="1759">
        <v>0</v>
      </c>
      <c r="DR56" s="1759">
        <v>0</v>
      </c>
      <c r="DS56" s="1759">
        <v>0</v>
      </c>
      <c r="DT56" s="1759">
        <v>0</v>
      </c>
      <c r="DU56" s="1759">
        <v>0</v>
      </c>
      <c r="DV56" s="1759">
        <v>0</v>
      </c>
      <c r="DW56" s="1759">
        <v>0</v>
      </c>
      <c r="DX56" s="1759">
        <v>0</v>
      </c>
      <c r="DY56" s="1759">
        <v>0</v>
      </c>
      <c r="DZ56" s="1759">
        <v>0</v>
      </c>
      <c r="EA56" s="1759">
        <v>0</v>
      </c>
      <c r="EB56" s="1759">
        <v>0</v>
      </c>
      <c r="EC56" s="1759">
        <v>0</v>
      </c>
      <c r="ED56" s="1759">
        <v>0</v>
      </c>
      <c r="EE56" s="1759">
        <v>0</v>
      </c>
      <c r="EF56" s="1759">
        <v>0</v>
      </c>
      <c r="EG56" s="1759">
        <v>0</v>
      </c>
      <c r="EH56" s="1759">
        <v>0</v>
      </c>
      <c r="EI56" s="1759">
        <v>0</v>
      </c>
      <c r="EJ56" s="1759">
        <v>0</v>
      </c>
      <c r="EK56" s="1759">
        <v>0</v>
      </c>
      <c r="EL56" s="1759">
        <v>0</v>
      </c>
      <c r="EM56" s="1759">
        <v>0</v>
      </c>
      <c r="EN56" s="1759">
        <v>0</v>
      </c>
      <c r="EO56" s="1759">
        <v>0</v>
      </c>
      <c r="EP56" s="1759">
        <v>0</v>
      </c>
      <c r="EQ56" s="1759">
        <v>0</v>
      </c>
      <c r="ER56" s="1759">
        <v>0</v>
      </c>
      <c r="ES56" s="1759">
        <v>0</v>
      </c>
      <c r="ET56" s="1759">
        <v>0</v>
      </c>
      <c r="EU56" s="1759">
        <v>0</v>
      </c>
      <c r="EV56" s="1759">
        <v>0</v>
      </c>
      <c r="EW56" s="1759">
        <v>0</v>
      </c>
      <c r="EX56" s="1759">
        <v>0</v>
      </c>
      <c r="EY56" s="1759">
        <v>0</v>
      </c>
      <c r="EZ56" s="1759">
        <v>0</v>
      </c>
      <c r="FA56" s="1759">
        <v>0</v>
      </c>
      <c r="FB56" s="1759">
        <v>0</v>
      </c>
      <c r="FC56" s="1759">
        <v>0</v>
      </c>
      <c r="FD56" s="1759">
        <v>0</v>
      </c>
      <c r="FE56" s="1759">
        <v>0</v>
      </c>
      <c r="FF56" s="1759">
        <v>0</v>
      </c>
      <c r="FG56" s="1759">
        <v>0</v>
      </c>
      <c r="FH56" s="1759">
        <v>0</v>
      </c>
      <c r="FI56" s="1759">
        <v>0</v>
      </c>
      <c r="FJ56" s="1759">
        <v>0</v>
      </c>
      <c r="FK56" s="1759">
        <v>0</v>
      </c>
      <c r="FL56" s="1759">
        <v>0</v>
      </c>
      <c r="FM56" s="1759">
        <v>0</v>
      </c>
      <c r="FN56" s="1759">
        <v>0</v>
      </c>
      <c r="FO56" s="1759">
        <v>0</v>
      </c>
      <c r="FP56" s="1759">
        <v>0</v>
      </c>
      <c r="FQ56" s="1759">
        <v>0</v>
      </c>
      <c r="FR56" s="1759">
        <v>0</v>
      </c>
      <c r="FS56" s="1759">
        <v>0</v>
      </c>
      <c r="FT56" s="1759">
        <v>0</v>
      </c>
      <c r="FU56" s="1759">
        <v>0</v>
      </c>
      <c r="FV56" s="1759">
        <v>0</v>
      </c>
      <c r="FW56" s="1759">
        <v>0</v>
      </c>
      <c r="FX56" s="1759">
        <v>0</v>
      </c>
      <c r="FY56" s="1759">
        <v>0</v>
      </c>
      <c r="FZ56" s="1759">
        <v>0</v>
      </c>
      <c r="GA56" s="1759">
        <v>0</v>
      </c>
      <c r="GB56" s="1759">
        <v>0</v>
      </c>
      <c r="GC56" s="1759">
        <v>0</v>
      </c>
      <c r="GD56" s="1759">
        <v>0</v>
      </c>
      <c r="GE56" s="1759">
        <v>0</v>
      </c>
      <c r="GF56" s="1759">
        <v>0</v>
      </c>
      <c r="GG56" s="1759">
        <v>0</v>
      </c>
      <c r="GH56" s="1759">
        <v>0</v>
      </c>
      <c r="GI56" s="1759">
        <v>0</v>
      </c>
      <c r="GJ56" s="1759">
        <v>0</v>
      </c>
      <c r="GK56" s="1759">
        <v>0</v>
      </c>
      <c r="GL56" s="1759">
        <v>0</v>
      </c>
      <c r="GM56" s="1759">
        <v>0</v>
      </c>
      <c r="GN56" s="1759">
        <v>0</v>
      </c>
      <c r="GO56" s="1759">
        <v>0</v>
      </c>
      <c r="GP56" s="1759">
        <v>0</v>
      </c>
      <c r="GQ56" s="1759">
        <v>0</v>
      </c>
      <c r="GR56" s="1759">
        <v>0</v>
      </c>
      <c r="GS56" s="1759">
        <v>0</v>
      </c>
      <c r="GT56" s="1759">
        <v>0</v>
      </c>
      <c r="GU56" s="1759">
        <v>0</v>
      </c>
      <c r="GV56" s="1759">
        <v>0</v>
      </c>
      <c r="GW56" s="1759">
        <v>0</v>
      </c>
      <c r="GX56" s="1759">
        <v>0</v>
      </c>
      <c r="GY56" s="1759">
        <v>0</v>
      </c>
      <c r="GZ56" s="1759">
        <v>0</v>
      </c>
      <c r="HA56" s="1759">
        <v>0</v>
      </c>
      <c r="HB56" s="1759">
        <v>0</v>
      </c>
      <c r="HC56" s="1759">
        <v>0</v>
      </c>
      <c r="HD56" s="1759">
        <v>0</v>
      </c>
      <c r="HE56" s="1759">
        <v>0</v>
      </c>
      <c r="HF56" s="1759">
        <v>0</v>
      </c>
      <c r="HG56" s="1759">
        <v>0</v>
      </c>
      <c r="HH56" s="1759">
        <v>0</v>
      </c>
      <c r="HI56" s="1759">
        <v>0</v>
      </c>
      <c r="HJ56" s="1759">
        <v>0</v>
      </c>
      <c r="HK56" s="1759">
        <v>0</v>
      </c>
      <c r="HL56" s="1759">
        <v>0</v>
      </c>
      <c r="HM56" s="1759">
        <v>0</v>
      </c>
      <c r="HN56" s="1759">
        <v>0</v>
      </c>
      <c r="HO56" s="1759">
        <v>0</v>
      </c>
      <c r="HP56" s="1759">
        <v>0</v>
      </c>
      <c r="HQ56" s="1759">
        <v>0</v>
      </c>
      <c r="HR56" s="1759">
        <v>0</v>
      </c>
      <c r="HS56" s="1759">
        <v>0</v>
      </c>
      <c r="HT56" s="1759">
        <v>0</v>
      </c>
      <c r="HU56" s="1759">
        <v>0</v>
      </c>
      <c r="HV56" s="1759">
        <v>0</v>
      </c>
      <c r="HW56" s="1759">
        <v>0</v>
      </c>
      <c r="HX56" s="1759">
        <v>0</v>
      </c>
      <c r="HY56" s="1759">
        <v>0</v>
      </c>
      <c r="HZ56" s="1759">
        <v>0</v>
      </c>
      <c r="IA56" s="1759">
        <v>0</v>
      </c>
      <c r="IB56" s="1759">
        <v>0</v>
      </c>
      <c r="IC56" s="1759">
        <v>0</v>
      </c>
      <c r="ID56" s="1759">
        <v>0</v>
      </c>
      <c r="IE56" s="1759">
        <v>0</v>
      </c>
      <c r="IF56" s="1759">
        <v>0</v>
      </c>
      <c r="IG56" s="1759">
        <v>0</v>
      </c>
      <c r="IH56" s="1759">
        <v>0</v>
      </c>
      <c r="II56" s="1759">
        <v>0</v>
      </c>
      <c r="IJ56" s="1759">
        <v>0</v>
      </c>
      <c r="IK56" s="1759">
        <v>0</v>
      </c>
      <c r="IL56" s="1759">
        <v>0</v>
      </c>
      <c r="IM56" s="1759">
        <v>0</v>
      </c>
      <c r="IN56" s="1759">
        <v>0</v>
      </c>
      <c r="IO56" s="1759">
        <v>0</v>
      </c>
      <c r="IP56" s="1759">
        <v>0</v>
      </c>
      <c r="IQ56" s="1759">
        <v>0</v>
      </c>
      <c r="IR56" s="1759">
        <v>0</v>
      </c>
      <c r="IS56" s="1759">
        <v>0</v>
      </c>
      <c r="IT56" s="1759">
        <v>0</v>
      </c>
      <c r="IU56" s="1759">
        <v>0</v>
      </c>
      <c r="IV56" s="1759">
        <v>0</v>
      </c>
      <c r="IW56" s="1759">
        <v>0</v>
      </c>
      <c r="IX56" s="1759">
        <v>0</v>
      </c>
      <c r="IY56" s="1759">
        <v>0</v>
      </c>
      <c r="IZ56" s="1759">
        <v>0</v>
      </c>
      <c r="JA56" s="1759">
        <v>0</v>
      </c>
      <c r="JB56" s="1759">
        <v>0</v>
      </c>
      <c r="JC56" s="1759">
        <v>0</v>
      </c>
      <c r="JD56" s="1759">
        <v>0</v>
      </c>
      <c r="JE56" s="1759">
        <v>0</v>
      </c>
      <c r="JF56" s="1759">
        <v>0</v>
      </c>
      <c r="JG56" s="1759">
        <v>0</v>
      </c>
      <c r="JH56" s="1759">
        <v>0</v>
      </c>
      <c r="JI56" s="1759">
        <v>0</v>
      </c>
      <c r="JJ56" s="1759">
        <v>0</v>
      </c>
      <c r="JK56" s="1759">
        <v>0</v>
      </c>
      <c r="JL56" s="1759">
        <v>0</v>
      </c>
      <c r="JM56" s="1759">
        <v>0</v>
      </c>
      <c r="JN56" s="1759">
        <v>0</v>
      </c>
      <c r="JO56" s="1759">
        <v>0</v>
      </c>
      <c r="JP56" s="1759">
        <v>0</v>
      </c>
      <c r="JQ56" s="1759">
        <v>0</v>
      </c>
      <c r="JR56" s="1759">
        <v>0</v>
      </c>
      <c r="JS56" s="1759">
        <v>0</v>
      </c>
      <c r="JT56" s="1759">
        <v>0</v>
      </c>
      <c r="JU56" s="1759">
        <v>0</v>
      </c>
      <c r="JV56" s="1759">
        <v>0</v>
      </c>
      <c r="JW56" s="1759">
        <v>0</v>
      </c>
      <c r="JX56" s="1759">
        <v>0</v>
      </c>
      <c r="JY56" s="1759">
        <v>0</v>
      </c>
      <c r="JZ56" s="1759">
        <v>0</v>
      </c>
      <c r="KA56" s="1759">
        <v>0</v>
      </c>
      <c r="KB56" s="1759">
        <v>0</v>
      </c>
      <c r="KC56" s="1759">
        <v>0</v>
      </c>
      <c r="KD56" s="1759">
        <v>0</v>
      </c>
      <c r="KE56" s="1759">
        <v>0</v>
      </c>
      <c r="KF56" s="1759">
        <v>0</v>
      </c>
      <c r="KG56" s="1759">
        <v>0</v>
      </c>
      <c r="KH56" s="1759">
        <v>0</v>
      </c>
      <c r="KI56" s="1759">
        <v>0</v>
      </c>
      <c r="KJ56" s="1759">
        <v>0</v>
      </c>
      <c r="KK56" s="1759">
        <v>0</v>
      </c>
      <c r="KL56" s="1759">
        <v>0</v>
      </c>
      <c r="KM56" s="1759">
        <v>0</v>
      </c>
      <c r="KN56" s="1759">
        <v>0</v>
      </c>
      <c r="KO56" s="1759">
        <v>0</v>
      </c>
      <c r="KP56" s="1759">
        <v>0</v>
      </c>
      <c r="KQ56" s="904">
        <f>+IFERROR(VLOOKUP(KQ$27&amp;"-"&amp;$M56&amp;"_new",Ammortamento_Finanziario!$H:$L,5,FALSE),VLOOKUP($M56,TT_Tabelle_Riferimento!$D$127:$H$164,5,FALSE))</f>
        <v>10</v>
      </c>
      <c r="KR56" s="904">
        <f>+IFERROR(VLOOKUP(KR$27&amp;"-"&amp;$M56&amp;"_new",Ammortamento_Finanziario!$H:$L,5,FALSE),VLOOKUP($M56,TT_Tabelle_Riferimento!$D$127:$H$164,5,FALSE))</f>
        <v>10</v>
      </c>
      <c r="KS56" s="1762">
        <f>+IFERROR(VLOOKUP(KS$27&amp;"-"&amp;$M56&amp;"_new",Ammortamento_Finanziario!$H:$L,5,FALSE),VLOOKUP($M56,TT_Tabelle_Riferimento!$D$127:$H$164,5,FALSE))</f>
        <v>10</v>
      </c>
      <c r="KT56" s="1762">
        <f>+IFERROR(VLOOKUP(KT$27&amp;"-"&amp;$M56&amp;"_new",Ammortamento_Finanziario!$H:$L,5,FALSE),VLOOKUP($M56,TT_Tabelle_Riferimento!$D$127:$H$164,5,FALSE))</f>
        <v>10</v>
      </c>
      <c r="KU56" s="1762">
        <f>+IFERROR(VLOOKUP(KU$27&amp;"-"&amp;$M56&amp;"_new",Ammortamento_Finanziario!$H:$L,5,FALSE),VLOOKUP($M56,TT_Tabelle_Riferimento!$D$127:$H$164,5,FALSE))</f>
        <v>10</v>
      </c>
      <c r="KV56" s="1762">
        <f>+IFERROR(VLOOKUP(KV$27&amp;"-"&amp;$M56&amp;"_new",Ammortamento_Finanziario!$H:$L,5,FALSE),VLOOKUP($M56,TT_Tabelle_Riferimento!$D$127:$H$164,5,FALSE))</f>
        <v>10</v>
      </c>
      <c r="KW56" s="1762">
        <f>+IFERROR(VLOOKUP(KW$27&amp;"-"&amp;$M56&amp;"_new",Ammortamento_Finanziario!$H:$L,5,FALSE),VLOOKUP($M56,TT_Tabelle_Riferimento!$D$127:$H$164,5,FALSE))</f>
        <v>10</v>
      </c>
      <c r="KX56" s="1762">
        <f>+IFERROR(VLOOKUP(KX$27&amp;"-"&amp;$M56&amp;"_new",Ammortamento_Finanziario!$H:$L,5,FALSE),VLOOKUP($M56,TT_Tabelle_Riferimento!$D$127:$H$164,5,FALSE))</f>
        <v>10</v>
      </c>
      <c r="KY56" s="904">
        <f>+IFERROR(VLOOKUP(KY$27&amp;"-"&amp;$M56&amp;"_new",Ammortamento_Finanziario!$H:$L,5,FALSE),VLOOKUP($M56,TT_Tabelle_Riferimento!$D$127:$H$164,5,FALSE))</f>
        <v>10</v>
      </c>
      <c r="KZ56" s="904">
        <f>+IFERROR(VLOOKUP(KZ$27&amp;"-"&amp;$M56&amp;"_new",Ammortamento_Finanziario!$H:$L,5,FALSE),VLOOKUP($M56,TT_Tabelle_Riferimento!$D$127:$H$164,5,FALSE))</f>
        <v>10</v>
      </c>
      <c r="LA56" s="904">
        <f>+IFERROR(VLOOKUP(LA$27&amp;"-"&amp;$M56&amp;"_new",Ammortamento_Finanziario!$H:$L,5,FALSE),VLOOKUP($M56,TT_Tabelle_Riferimento!$D$127:$H$164,5,FALSE))</f>
        <v>10</v>
      </c>
      <c r="LB56" s="904">
        <f>+IFERROR(VLOOKUP(LB$27&amp;"-"&amp;$M56&amp;"_new",Ammortamento_Finanziario!$H:$L,5,FALSE),VLOOKUP($M56,TT_Tabelle_Riferimento!$D$127:$H$164,5,FALSE))</f>
        <v>10</v>
      </c>
      <c r="LC56" s="904">
        <f>+IFERROR(VLOOKUP(LC$27&amp;"-"&amp;$M56&amp;"_new",Ammortamento_Finanziario!$H:$L,5,FALSE),VLOOKUP($M56,TT_Tabelle_Riferimento!$D$127:$H$164,5,FALSE))</f>
        <v>10</v>
      </c>
      <c r="LD56" s="904">
        <f>+IFERROR(VLOOKUP(LD$27&amp;"-"&amp;$M56&amp;"_new",Ammortamento_Finanziario!$H:$L,5,FALSE),VLOOKUP($M56,TT_Tabelle_Riferimento!$D$127:$H$164,5,FALSE))</f>
        <v>10</v>
      </c>
      <c r="LE56" s="904">
        <f>+IFERROR(VLOOKUP(LE$27&amp;"-"&amp;$M56&amp;"_new",Ammortamento_Finanziario!$H:$L,5,FALSE),VLOOKUP($M56,TT_Tabelle_Riferimento!$D$127:$H$164,5,FALSE))</f>
        <v>10</v>
      </c>
      <c r="LF56" s="904">
        <f>+IFERROR(VLOOKUP(LF$27&amp;"-"&amp;$M56&amp;"_new",Ammortamento_Finanziario!$H:$L,5,FALSE),VLOOKUP($M56,TT_Tabelle_Riferimento!$D$127:$H$164,5,FALSE))</f>
        <v>10</v>
      </c>
      <c r="LG56" s="904">
        <f>+IFERROR(VLOOKUP(LG$27&amp;"-"&amp;$M56&amp;"_new",Ammortamento_Finanziario!$H:$L,5,FALSE),VLOOKUP($M56,TT_Tabelle_Riferimento!$D$127:$H$164,5,FALSE))</f>
        <v>10</v>
      </c>
      <c r="LH56" s="904">
        <f>+IFERROR(VLOOKUP(LH$27&amp;"-"&amp;$M56&amp;"_new",Ammortamento_Finanziario!$H:$L,5,FALSE),VLOOKUP($M56,TT_Tabelle_Riferimento!$D$127:$H$164,5,FALSE))</f>
        <v>10</v>
      </c>
      <c r="LI56" s="904">
        <f>+IFERROR(VLOOKUP(LI$27&amp;"-"&amp;$M56&amp;"_new",Ammortamento_Finanziario!$H:$L,5,FALSE),VLOOKUP($M56,TT_Tabelle_Riferimento!$D$127:$H$164,5,FALSE))</f>
        <v>10</v>
      </c>
      <c r="LJ56" s="904">
        <f>+IFERROR(VLOOKUP(LJ$27&amp;"-"&amp;$M56&amp;"_new",Ammortamento_Finanziario!$H:$L,5,FALSE),VLOOKUP($M56,TT_Tabelle_Riferimento!$D$127:$H$164,5,FALSE))</f>
        <v>10</v>
      </c>
      <c r="LK56" s="904">
        <f>+IFERROR(VLOOKUP(LK$27&amp;"-"&amp;$M56&amp;"_new",Ammortamento_Finanziario!$H:$L,5,FALSE),VLOOKUP($M56,TT_Tabelle_Riferimento!$D$127:$H$164,5,FALSE))</f>
        <v>10</v>
      </c>
      <c r="LL56" s="904">
        <f>+IFERROR(VLOOKUP(LL$27&amp;"-"&amp;$M56&amp;"_new",Ammortamento_Finanziario!$H:$L,5,FALSE),VLOOKUP($M56,TT_Tabelle_Riferimento!$D$127:$H$164,5,FALSE))</f>
        <v>10</v>
      </c>
      <c r="LM56" s="904">
        <f>+IFERROR(VLOOKUP(LM$27&amp;"-"&amp;$M56&amp;"_new",Ammortamento_Finanziario!$H:$L,5,FALSE),VLOOKUP($M56,TT_Tabelle_Riferimento!$D$127:$H$164,5,FALSE))</f>
        <v>10</v>
      </c>
      <c r="LN56" s="904">
        <f>+IFERROR(VLOOKUP(LN$27&amp;"-"&amp;$M56&amp;"_new",Ammortamento_Finanziario!$H:$L,5,FALSE),VLOOKUP($M56,TT_Tabelle_Riferimento!$D$127:$H$164,5,FALSE))</f>
        <v>10</v>
      </c>
      <c r="LO56" s="904">
        <f>+IFERROR(VLOOKUP(LO$27&amp;"-"&amp;$M56&amp;"_new",Ammortamento_Finanziario!$H:$L,5,FALSE),VLOOKUP($M56,TT_Tabelle_Riferimento!$D$127:$H$164,5,FALSE))</f>
        <v>10</v>
      </c>
      <c r="LP56" s="904">
        <f>+IFERROR(VLOOKUP(LP$27&amp;"-"&amp;$M56&amp;"_new",Ammortamento_Finanziario!$H:$L,5,FALSE),VLOOKUP($M56,TT_Tabelle_Riferimento!$D$127:$H$164,5,FALSE))</f>
        <v>10</v>
      </c>
      <c r="LQ56" s="904">
        <f>+IFERROR(VLOOKUP(LQ$27&amp;"-"&amp;$M56&amp;"_new",Ammortamento_Finanziario!$H:$L,5,FALSE),VLOOKUP($M56,TT_Tabelle_Riferimento!$D$127:$H$164,5,FALSE))</f>
        <v>10</v>
      </c>
      <c r="LR56" s="904">
        <f>+IFERROR(VLOOKUP(LR$27&amp;"-"&amp;$M56&amp;"_new",Ammortamento_Finanziario!$H:$L,5,FALSE),VLOOKUP($M56,TT_Tabelle_Riferimento!$D$127:$H$164,5,FALSE))</f>
        <v>10</v>
      </c>
      <c r="LS56" s="1762">
        <f>+IFERROR(VLOOKUP(LS$27&amp;"-"&amp;$M56&amp;"_new",Ammortamento_Finanziario!$H:$L,5,FALSE),VLOOKUP($M56,TT_Tabelle_Riferimento!$D$127:$H$164,5,FALSE))</f>
        <v>10</v>
      </c>
      <c r="LT56" s="1762">
        <f>+IFERROR(VLOOKUP(LT$27&amp;"-"&amp;$M56&amp;"_new",Ammortamento_Finanziario!$H:$L,5,FALSE),VLOOKUP($M56,TT_Tabelle_Riferimento!$D$127:$H$164,5,FALSE))</f>
        <v>10</v>
      </c>
      <c r="LU56" s="1762">
        <f>+IFERROR(VLOOKUP(LU$27&amp;"-"&amp;$M56&amp;"_new",Ammortamento_Finanziario!$H:$L,5,FALSE),VLOOKUP($M56,TT_Tabelle_Riferimento!$D$127:$H$164,5,FALSE))</f>
        <v>10</v>
      </c>
      <c r="LV56" s="1762">
        <f>+IFERROR(VLOOKUP(LV$27&amp;"-"&amp;$M56&amp;"_new",Ammortamento_Finanziario!$H:$L,5,FALSE),VLOOKUP($M56,TT_Tabelle_Riferimento!$D$127:$H$164,5,FALSE))</f>
        <v>10</v>
      </c>
      <c r="LW56" s="1762">
        <f>+IFERROR(VLOOKUP(LW$27&amp;"-"&amp;$M56&amp;"_new",Ammortamento_Finanziario!$H:$L,5,FALSE),VLOOKUP($M56,TT_Tabelle_Riferimento!$D$127:$H$164,5,FALSE))</f>
        <v>10</v>
      </c>
      <c r="LX56" s="1762">
        <f>+IFERROR(VLOOKUP(LX$27&amp;"-"&amp;$M56&amp;"_new",Ammortamento_Finanziario!$H:$L,5,FALSE),VLOOKUP($M56,TT_Tabelle_Riferimento!$D$127:$H$164,5,FALSE))</f>
        <v>10</v>
      </c>
      <c r="LY56" s="904">
        <f>+IFERROR(VLOOKUP(LY$27&amp;"-"&amp;$M56&amp;"_new",Ammortamento_Finanziario!$H:$L,5,FALSE),VLOOKUP($M56,TT_Tabelle_Riferimento!$D$127:$H$164,5,FALSE))</f>
        <v>10</v>
      </c>
      <c r="LZ56" s="904">
        <f>+IFERROR(VLOOKUP(LZ$27&amp;"-"&amp;$M56&amp;"_new",Ammortamento_Finanziario!$H:$L,5,FALSE),VLOOKUP($M56,TT_Tabelle_Riferimento!$D$127:$H$164,5,FALSE))</f>
        <v>10</v>
      </c>
      <c r="MA56" s="904">
        <f>+IFERROR(VLOOKUP(MA$27&amp;"-"&amp;$M56&amp;"_new",Ammortamento_Finanziario!$H:$L,5,FALSE),VLOOKUP($M56,TT_Tabelle_Riferimento!$D$127:$H$164,5,FALSE))</f>
        <v>10</v>
      </c>
      <c r="MB56" s="904">
        <f>+IFERROR(VLOOKUP(MB$27&amp;"-"&amp;$M56&amp;"_new",Ammortamento_Finanziario!$H:$L,5,FALSE),VLOOKUP($M56,TT_Tabelle_Riferimento!$D$127:$H$164,5,FALSE))</f>
        <v>10</v>
      </c>
      <c r="MC56" s="904">
        <f>+IFERROR(VLOOKUP(MC$27&amp;"-"&amp;$M56&amp;"_new",Ammortamento_Finanziario!$H:$L,5,FALSE),VLOOKUP($M56,TT_Tabelle_Riferimento!$D$127:$H$164,5,FALSE))</f>
        <v>10</v>
      </c>
      <c r="MD56" s="904">
        <f>+IFERROR(VLOOKUP(MD$27&amp;"-"&amp;$M56&amp;"_new",Ammortamento_Finanziario!$H:$L,5,FALSE),VLOOKUP($M56,TT_Tabelle_Riferimento!$D$127:$H$164,5,FALSE))</f>
        <v>10</v>
      </c>
      <c r="ME56" s="904">
        <f>+IFERROR(VLOOKUP(ME$27&amp;"-"&amp;$M56&amp;"_new",Ammortamento_Finanziario!$H:$L,5,FALSE),VLOOKUP($M56,TT_Tabelle_Riferimento!$D$127:$H$164,5,FALSE))</f>
        <v>10</v>
      </c>
      <c r="MF56" s="904">
        <f>+IFERROR(VLOOKUP(MF$27&amp;"-"&amp;$M56&amp;"_new",Ammortamento_Finanziario!$H:$L,5,FALSE),VLOOKUP($M56,TT_Tabelle_Riferimento!$D$127:$H$164,5,FALSE))</f>
        <v>10</v>
      </c>
      <c r="MG56" s="904">
        <f>+IFERROR(VLOOKUP(MG$27&amp;"-"&amp;$M56&amp;"_new",Ammortamento_Finanziario!$H:$L,5,FALSE),VLOOKUP($M56,TT_Tabelle_Riferimento!$D$127:$H$164,5,FALSE))</f>
        <v>10</v>
      </c>
      <c r="MH56" s="904">
        <f>+IFERROR(VLOOKUP(MH$27&amp;"-"&amp;$M56&amp;"_new",Ammortamento_Finanziario!$H:$L,5,FALSE),VLOOKUP($M56,TT_Tabelle_Riferimento!$D$127:$H$164,5,FALSE))</f>
        <v>10</v>
      </c>
      <c r="MI56" s="904">
        <f>+IFERROR(VLOOKUP(MI$27&amp;"-"&amp;$M56&amp;"_new",Ammortamento_Finanziario!$H:$L,5,FALSE),VLOOKUP($M56,TT_Tabelle_Riferimento!$D$127:$H$164,5,FALSE))</f>
        <v>10</v>
      </c>
      <c r="MJ56" s="904">
        <f>+IFERROR(VLOOKUP(MJ$27&amp;"-"&amp;$M56&amp;"_new",Ammortamento_Finanziario!$H:$L,5,FALSE),VLOOKUP($M56,TT_Tabelle_Riferimento!$D$127:$H$164,5,FALSE))</f>
        <v>10</v>
      </c>
      <c r="MK56" s="904">
        <f>+IFERROR(VLOOKUP(MK$27&amp;"-"&amp;$M56&amp;"_new",Ammortamento_Finanziario!$H:$L,5,FALSE),VLOOKUP($M56,TT_Tabelle_Riferimento!$D$127:$H$164,5,FALSE))</f>
        <v>10</v>
      </c>
      <c r="ML56" s="904">
        <f>+IFERROR(VLOOKUP(ML$27&amp;"-"&amp;$M56&amp;"_new",Ammortamento_Finanziario!$H:$L,5,FALSE),VLOOKUP($M56,TT_Tabelle_Riferimento!$D$127:$H$164,5,FALSE))</f>
        <v>10</v>
      </c>
      <c r="MM56" s="904">
        <f>+IFERROR(VLOOKUP(MM$27&amp;"-"&amp;$M56&amp;"_new",Ammortamento_Finanziario!$H:$L,5,FALSE),VLOOKUP($M56,TT_Tabelle_Riferimento!$D$127:$H$164,5,FALSE))</f>
        <v>10</v>
      </c>
      <c r="MN56" s="904">
        <f>+IFERROR(VLOOKUP(MN$27&amp;"-"&amp;$M56&amp;"_new",Ammortamento_Finanziario!$H:$L,5,FALSE),VLOOKUP($M56,TT_Tabelle_Riferimento!$D$127:$H$164,5,FALSE))</f>
        <v>10</v>
      </c>
      <c r="MO56" s="904">
        <f>+IFERROR(VLOOKUP(MO$27&amp;"-"&amp;$M56&amp;"_new",Ammortamento_Finanziario!$H:$L,5,FALSE),VLOOKUP($M56,TT_Tabelle_Riferimento!$D$127:$H$164,5,FALSE))</f>
        <v>10</v>
      </c>
      <c r="MP56" s="904">
        <f>+IFERROR(VLOOKUP(MP$27&amp;"-"&amp;$M56&amp;"_new",Ammortamento_Finanziario!$H:$L,5,FALSE),VLOOKUP($M56,TT_Tabelle_Riferimento!$D$127:$H$164,5,FALSE))</f>
        <v>10</v>
      </c>
      <c r="MQ56" s="904">
        <f>+IFERROR(VLOOKUP(MQ$27&amp;"-"&amp;$M56&amp;"_new",Ammortamento_Finanziario!$H:$L,5,FALSE),VLOOKUP($M56,TT_Tabelle_Riferimento!$D$127:$H$164,5,FALSE))</f>
        <v>10</v>
      </c>
      <c r="MR56" s="1762">
        <f>+IFERROR(VLOOKUP(MR$27&amp;"-"&amp;$M56&amp;"_new",Ammortamento_Finanziario!$H:$L,5,FALSE),VLOOKUP($M56,TT_Tabelle_Riferimento!$D$127:$H$164,5,FALSE))</f>
        <v>10</v>
      </c>
      <c r="MS56" s="1762">
        <f>+IFERROR(VLOOKUP(MS$27&amp;"-"&amp;$M56&amp;"_new",Ammortamento_Finanziario!$H:$L,5,FALSE),VLOOKUP($M56,TT_Tabelle_Riferimento!$D$127:$H$164,5,FALSE))</f>
        <v>10</v>
      </c>
      <c r="MT56" s="1762">
        <f>+IFERROR(VLOOKUP(MT$27&amp;"-"&amp;$M56&amp;"_new",Ammortamento_Finanziario!$H:$L,5,FALSE),VLOOKUP($M56,TT_Tabelle_Riferimento!$D$127:$H$164,5,FALSE))</f>
        <v>10</v>
      </c>
      <c r="MU56" s="1762">
        <f>+IFERROR(VLOOKUP(MU$27&amp;"-"&amp;$M56&amp;"_new",Ammortamento_Finanziario!$H:$L,5,FALSE),VLOOKUP($M56,TT_Tabelle_Riferimento!$D$127:$H$164,5,FALSE))</f>
        <v>10</v>
      </c>
      <c r="MV56" s="1762">
        <f>+IFERROR(VLOOKUP(MV$27&amp;"-"&amp;$M56&amp;"_new",Ammortamento_Finanziario!$H:$L,5,FALSE),VLOOKUP($M56,TT_Tabelle_Riferimento!$D$127:$H$164,5,FALSE))</f>
        <v>10</v>
      </c>
      <c r="MW56" s="1762">
        <f>+IFERROR(VLOOKUP(MW$27&amp;"-"&amp;$M56&amp;"_new",Ammortamento_Finanziario!$H:$L,5,FALSE),VLOOKUP($M56,TT_Tabelle_Riferimento!$D$127:$H$164,5,FALSE))</f>
        <v>10</v>
      </c>
      <c r="MX56" s="904">
        <f>+IFERROR(VLOOKUP(MX$27&amp;"-"&amp;$M56&amp;"_new",Ammortamento_Finanziario!$H:$L,5,FALSE),VLOOKUP($M56,TT_Tabelle_Riferimento!$D$127:$H$164,5,FALSE))</f>
        <v>10</v>
      </c>
      <c r="MY56" s="904">
        <f>+IFERROR(VLOOKUP(MY$27&amp;"-"&amp;$M56&amp;"_new",Ammortamento_Finanziario!$H:$L,5,FALSE),VLOOKUP($M56,TT_Tabelle_Riferimento!$D$127:$H$164,5,FALSE))</f>
        <v>10</v>
      </c>
      <c r="MZ56" s="904">
        <f>+IFERROR(VLOOKUP(MZ$27&amp;"-"&amp;$M56&amp;"_new",Ammortamento_Finanziario!$H:$L,5,FALSE),VLOOKUP($M56,TT_Tabelle_Riferimento!$D$127:$H$164,5,FALSE))</f>
        <v>10</v>
      </c>
      <c r="NA56" s="904">
        <f>+IFERROR(VLOOKUP(NA$27&amp;"-"&amp;$M56&amp;"_new",Ammortamento_Finanziario!$H:$L,5,FALSE),VLOOKUP($M56,TT_Tabelle_Riferimento!$D$127:$H$164,5,FALSE))</f>
        <v>10</v>
      </c>
      <c r="NB56" s="904">
        <f>+IFERROR(VLOOKUP(NB$27&amp;"-"&amp;$M56&amp;"_new",Ammortamento_Finanziario!$H:$L,5,FALSE),VLOOKUP($M56,TT_Tabelle_Riferimento!$D$127:$H$164,5,FALSE))</f>
        <v>10</v>
      </c>
      <c r="NC56" s="904">
        <f>+IFERROR(VLOOKUP(NC$27&amp;"-"&amp;$M56&amp;"_new",Ammortamento_Finanziario!$H:$L,5,FALSE),VLOOKUP($M56,TT_Tabelle_Riferimento!$D$127:$H$164,5,FALSE))</f>
        <v>10</v>
      </c>
      <c r="ND56" s="904">
        <f>+IFERROR(VLOOKUP(ND$27&amp;"-"&amp;$M56&amp;"_new",Ammortamento_Finanziario!$H:$L,5,FALSE),VLOOKUP($M56,TT_Tabelle_Riferimento!$D$127:$H$164,5,FALSE))</f>
        <v>10</v>
      </c>
      <c r="NE56" s="904">
        <f>+IFERROR(VLOOKUP(NE$27&amp;"-"&amp;$M56&amp;"_new",Ammortamento_Finanziario!$H:$L,5,FALSE),VLOOKUP($M56,TT_Tabelle_Riferimento!$D$127:$H$164,5,FALSE))</f>
        <v>10</v>
      </c>
      <c r="NF56" s="904">
        <f>+IFERROR(VLOOKUP(NF$27&amp;"-"&amp;$M56&amp;"_new",Ammortamento_Finanziario!$H:$L,5,FALSE),VLOOKUP($M56,TT_Tabelle_Riferimento!$D$127:$H$164,5,FALSE))</f>
        <v>10</v>
      </c>
      <c r="NG56" s="904">
        <f>+IFERROR(VLOOKUP(NG$27&amp;"-"&amp;$M56&amp;"_new",Ammortamento_Finanziario!$H:$L,5,FALSE),VLOOKUP($M56,TT_Tabelle_Riferimento!$D$127:$H$164,5,FALSE))</f>
        <v>10</v>
      </c>
      <c r="NH56" s="904">
        <f>+IFERROR(VLOOKUP(NH$27&amp;"-"&amp;$M56&amp;"_new",Ammortamento_Finanziario!$H:$L,5,FALSE),VLOOKUP($M56,TT_Tabelle_Riferimento!$D$127:$H$164,5,FALSE))</f>
        <v>10</v>
      </c>
      <c r="NI56" s="904">
        <f>+IFERROR(VLOOKUP(NI$27&amp;"-"&amp;$M56&amp;"_new",Ammortamento_Finanziario!$H:$L,5,FALSE),VLOOKUP($M56,TT_Tabelle_Riferimento!$D$127:$H$164,5,FALSE))</f>
        <v>10</v>
      </c>
      <c r="NJ56" s="904">
        <f>+IFERROR(VLOOKUP(NJ$27&amp;"-"&amp;$M56&amp;"_new",Ammortamento_Finanziario!$H:$L,5,FALSE),VLOOKUP($M56,TT_Tabelle_Riferimento!$D$127:$H$164,5,FALSE))</f>
        <v>10</v>
      </c>
      <c r="NK56" s="904">
        <f>+IFERROR(VLOOKUP(NK$27&amp;"-"&amp;$M56&amp;"_new",Ammortamento_Finanziario!$H:$L,5,FALSE),VLOOKUP($M56,TT_Tabelle_Riferimento!$D$127:$H$164,5,FALSE))</f>
        <v>10</v>
      </c>
      <c r="NL56" s="904">
        <f>+IFERROR(VLOOKUP(NL$27&amp;"-"&amp;$M56&amp;"_new",Ammortamento_Finanziario!$H:$L,5,FALSE),VLOOKUP($M56,TT_Tabelle_Riferimento!$D$127:$H$164,5,FALSE))</f>
        <v>10</v>
      </c>
      <c r="NM56" s="904">
        <f>+IFERROR(VLOOKUP(NM$27&amp;"-"&amp;$M56&amp;"_new",Ammortamento_Finanziario!$H:$L,5,FALSE),VLOOKUP($M56,TT_Tabelle_Riferimento!$D$127:$H$164,5,FALSE))</f>
        <v>10</v>
      </c>
      <c r="NN56" s="904">
        <f>+IFERROR(VLOOKUP(NN$27&amp;"-"&amp;$M56&amp;"_new",Ammortamento_Finanziario!$H:$L,5,FALSE),VLOOKUP($M56,TT_Tabelle_Riferimento!$D$127:$H$164,5,FALSE))</f>
        <v>10</v>
      </c>
      <c r="NO56" s="904">
        <f>+IFERROR(VLOOKUP(NO$27&amp;"-"&amp;$M56&amp;"_new",Ammortamento_Finanziario!$H:$L,5,FALSE),VLOOKUP($M56,TT_Tabelle_Riferimento!$D$127:$H$164,5,FALSE))</f>
        <v>10</v>
      </c>
      <c r="NP56" s="904">
        <f>+IFERROR(VLOOKUP(NP$27&amp;"-"&amp;$M56&amp;"_new",Ammortamento_Finanziario!$H:$L,5,FALSE),VLOOKUP($M56,TT_Tabelle_Riferimento!$D$127:$H$164,5,FALSE))</f>
        <v>10</v>
      </c>
      <c r="NQ56" s="1762">
        <f>+IFERROR(VLOOKUP(NQ$27&amp;"-"&amp;$M56&amp;"_new",Ammortamento_Finanziario!$H:$L,5,FALSE),VLOOKUP($M56,TT_Tabelle_Riferimento!$D$127:$H$164,5,FALSE))</f>
        <v>10</v>
      </c>
      <c r="NR56" s="1762">
        <f>+IFERROR(VLOOKUP(NR$27&amp;"-"&amp;$M56&amp;"_new",Ammortamento_Finanziario!$H:$L,5,FALSE),VLOOKUP($M56,TT_Tabelle_Riferimento!$D$127:$H$164,5,FALSE))</f>
        <v>10</v>
      </c>
      <c r="NS56" s="1762">
        <f>+IFERROR(VLOOKUP(NS$27&amp;"-"&amp;$M56&amp;"_new",Ammortamento_Finanziario!$H:$L,5,FALSE),VLOOKUP($M56,TT_Tabelle_Riferimento!$D$127:$H$164,5,FALSE))</f>
        <v>10</v>
      </c>
      <c r="NT56" s="1762">
        <f>+IFERROR(VLOOKUP(NT$27&amp;"-"&amp;$M56&amp;"_new",Ammortamento_Finanziario!$H:$L,5,FALSE),VLOOKUP($M56,TT_Tabelle_Riferimento!$D$127:$H$164,5,FALSE))</f>
        <v>10</v>
      </c>
      <c r="NU56" s="1762">
        <f>+IFERROR(VLOOKUP(NU$27&amp;"-"&amp;$M56&amp;"_new",Ammortamento_Finanziario!$H:$L,5,FALSE),VLOOKUP($M56,TT_Tabelle_Riferimento!$D$127:$H$164,5,FALSE))</f>
        <v>10</v>
      </c>
      <c r="NV56" s="904">
        <f>+IFERROR(VLOOKUP(NV$27&amp;"-"&amp;$M56&amp;"_new",Ammortamento_Finanziario!$H:$L,5,FALSE),VLOOKUP($M56,TT_Tabelle_Riferimento!$D$127:$H$164,5,FALSE))</f>
        <v>10</v>
      </c>
      <c r="NW56" s="904">
        <f>+IFERROR(VLOOKUP(NW$27&amp;"-"&amp;$M56&amp;"_new",Ammortamento_Finanziario!$H:$L,5,FALSE),VLOOKUP($M56,TT_Tabelle_Riferimento!$D$127:$H$164,5,FALSE))</f>
        <v>10</v>
      </c>
      <c r="NX56" s="904">
        <f>+IFERROR(VLOOKUP(NX$27&amp;"-"&amp;$M56&amp;"_new",Ammortamento_Finanziario!$H:$L,5,FALSE),VLOOKUP($M56,TT_Tabelle_Riferimento!$D$127:$H$164,5,FALSE))</f>
        <v>10</v>
      </c>
      <c r="NY56" s="904">
        <f>+IFERROR(VLOOKUP(NY$27&amp;"-"&amp;$M56&amp;"_new",Ammortamento_Finanziario!$H:$L,5,FALSE),VLOOKUP($M56,TT_Tabelle_Riferimento!$D$127:$H$164,5,FALSE))</f>
        <v>10</v>
      </c>
      <c r="NZ56" s="904">
        <f>+IFERROR(VLOOKUP(NZ$27&amp;"-"&amp;$M56&amp;"_new",Ammortamento_Finanziario!$H:$L,5,FALSE),VLOOKUP($M56,TT_Tabelle_Riferimento!$D$127:$H$164,5,FALSE))</f>
        <v>10</v>
      </c>
      <c r="OA56" s="904">
        <f>+IFERROR(VLOOKUP(OA$27&amp;"-"&amp;$M56&amp;"_new",Ammortamento_Finanziario!$H:$L,5,FALSE),VLOOKUP($M56,TT_Tabelle_Riferimento!$D$127:$H$164,5,FALSE))</f>
        <v>10</v>
      </c>
      <c r="OB56" s="904">
        <f>+IFERROR(VLOOKUP(OB$27&amp;"-"&amp;$M56&amp;"_new",Ammortamento_Finanziario!$H:$L,5,FALSE),VLOOKUP($M56,TT_Tabelle_Riferimento!$D$127:$H$164,5,FALSE))</f>
        <v>10</v>
      </c>
      <c r="OC56" s="904">
        <f>+IFERROR(VLOOKUP(OC$27&amp;"-"&amp;$M56&amp;"_new",Ammortamento_Finanziario!$H:$L,5,FALSE),VLOOKUP($M56,TT_Tabelle_Riferimento!$D$127:$H$164,5,FALSE))</f>
        <v>10</v>
      </c>
      <c r="OD56" s="904">
        <f>+IFERROR(VLOOKUP(OD$27&amp;"-"&amp;$M56&amp;"_new",Ammortamento_Finanziario!$H:$L,5,FALSE),VLOOKUP($M56,TT_Tabelle_Riferimento!$D$127:$H$164,5,FALSE))</f>
        <v>10</v>
      </c>
      <c r="OE56" s="904">
        <f>+IFERROR(VLOOKUP(OE$27&amp;"-"&amp;$M56&amp;"_new",Ammortamento_Finanziario!$H:$L,5,FALSE),VLOOKUP($M56,TT_Tabelle_Riferimento!$D$127:$H$164,5,FALSE))</f>
        <v>10</v>
      </c>
      <c r="OF56" s="904">
        <f>+IFERROR(VLOOKUP(OF$27&amp;"-"&amp;$M56&amp;"_new",Ammortamento_Finanziario!$H:$L,5,FALSE),VLOOKUP($M56,TT_Tabelle_Riferimento!$D$127:$H$164,5,FALSE))</f>
        <v>10</v>
      </c>
      <c r="OG56" s="904">
        <f>+IFERROR(VLOOKUP(OG$27&amp;"-"&amp;$M56&amp;"_new",Ammortamento_Finanziario!$H:$L,5,FALSE),VLOOKUP($M56,TT_Tabelle_Riferimento!$D$127:$H$164,5,FALSE))</f>
        <v>10</v>
      </c>
      <c r="OH56" s="904">
        <f>+IFERROR(VLOOKUP(OH$27&amp;"-"&amp;$M56&amp;"_new",Ammortamento_Finanziario!$H:$L,5,FALSE),VLOOKUP($M56,TT_Tabelle_Riferimento!$D$127:$H$164,5,FALSE))</f>
        <v>10</v>
      </c>
      <c r="OI56" s="904">
        <f>+IFERROR(VLOOKUP(OI$27&amp;"-"&amp;$M56&amp;"_new",Ammortamento_Finanziario!$H:$L,5,FALSE),VLOOKUP($M56,TT_Tabelle_Riferimento!$D$127:$H$164,5,FALSE))</f>
        <v>10</v>
      </c>
      <c r="OJ56" s="904">
        <f>+IFERROR(VLOOKUP(OJ$27&amp;"-"&amp;$M56&amp;"_new",Ammortamento_Finanziario!$H:$L,5,FALSE),VLOOKUP($M56,TT_Tabelle_Riferimento!$D$127:$H$164,5,FALSE))</f>
        <v>10</v>
      </c>
      <c r="OK56" s="904">
        <f>+IFERROR(VLOOKUP(OK$27&amp;"-"&amp;$M56&amp;"_new",Ammortamento_Finanziario!$H:$L,5,FALSE),VLOOKUP($M56,TT_Tabelle_Riferimento!$D$127:$H$164,5,FALSE))</f>
        <v>10</v>
      </c>
      <c r="OL56" s="904">
        <f>+IFERROR(VLOOKUP(OL$27&amp;"-"&amp;$M56&amp;"_new",Ammortamento_Finanziario!$H:$L,5,FALSE),VLOOKUP($M56,TT_Tabelle_Riferimento!$D$127:$H$164,5,FALSE))</f>
        <v>10</v>
      </c>
      <c r="OM56" s="904">
        <f>+IFERROR(VLOOKUP(OM$27&amp;"-"&amp;$M56&amp;"_new",Ammortamento_Finanziario!$H:$L,5,FALSE),VLOOKUP($M56,TT_Tabelle_Riferimento!$D$127:$H$164,5,FALSE))</f>
        <v>10</v>
      </c>
      <c r="ON56" s="904">
        <f>+IFERROR(VLOOKUP(ON$27&amp;"-"&amp;$M56&amp;"_new",Ammortamento_Finanziario!$H:$L,5,FALSE),VLOOKUP($M56,TT_Tabelle_Riferimento!$D$127:$H$164,5,FALSE))</f>
        <v>10</v>
      </c>
      <c r="OO56" s="1762">
        <f>+IFERROR(VLOOKUP(OO$27&amp;"-"&amp;$M56&amp;"_new",Ammortamento_Finanziario!$H:$L,5,FALSE),VLOOKUP($M56,TT_Tabelle_Riferimento!$D$127:$H$164,5,FALSE))</f>
        <v>10</v>
      </c>
      <c r="OP56" s="1762">
        <f>+IFERROR(VLOOKUP(OP$27&amp;"-"&amp;$M56&amp;"_new",Ammortamento_Finanziario!$H:$L,5,FALSE),VLOOKUP($M56,TT_Tabelle_Riferimento!$D$127:$H$164,5,FALSE))</f>
        <v>10</v>
      </c>
      <c r="OQ56" s="1762">
        <f>+IFERROR(VLOOKUP(OQ$27&amp;"-"&amp;$M56&amp;"_new",Ammortamento_Finanziario!$H:$L,5,FALSE),VLOOKUP($M56,TT_Tabelle_Riferimento!$D$127:$H$164,5,FALSE))</f>
        <v>10</v>
      </c>
      <c r="OR56" s="1762">
        <f>+IFERROR(VLOOKUP(OR$27&amp;"-"&amp;$M56&amp;"_new",Ammortamento_Finanziario!$H:$L,5,FALSE),VLOOKUP($M56,TT_Tabelle_Riferimento!$D$127:$H$164,5,FALSE))</f>
        <v>10</v>
      </c>
      <c r="OS56" s="904">
        <f>+IFERROR(VLOOKUP(OS$27&amp;"-"&amp;$M56&amp;"_new",Ammortamento_Finanziario!$H:$L,5,FALSE),VLOOKUP($M56,TT_Tabelle_Riferimento!$D$127:$H$164,5,FALSE))</f>
        <v>10</v>
      </c>
      <c r="OT56" s="904">
        <f>+IFERROR(VLOOKUP(OT$27&amp;"-"&amp;$M56&amp;"_new",Ammortamento_Finanziario!$H:$L,5,FALSE),VLOOKUP($M56,TT_Tabelle_Riferimento!$D$127:$H$164,5,FALSE))</f>
        <v>10</v>
      </c>
      <c r="OU56" s="904">
        <f>+IFERROR(VLOOKUP(OU$27&amp;"-"&amp;$M56&amp;"_new",Ammortamento_Finanziario!$H:$L,5,FALSE),VLOOKUP($M56,TT_Tabelle_Riferimento!$D$127:$H$164,5,FALSE))</f>
        <v>10</v>
      </c>
      <c r="OV56" s="904">
        <f>+IFERROR(VLOOKUP(OV$27&amp;"-"&amp;$M56&amp;"_new",Ammortamento_Finanziario!$H:$L,5,FALSE),VLOOKUP($M56,TT_Tabelle_Riferimento!$D$127:$H$164,5,FALSE))</f>
        <v>10</v>
      </c>
      <c r="OW56" s="904">
        <f>+IFERROR(VLOOKUP(OW$27&amp;"-"&amp;$M56&amp;"_new",Ammortamento_Finanziario!$H:$L,5,FALSE),VLOOKUP($M56,TT_Tabelle_Riferimento!$D$127:$H$164,5,FALSE))</f>
        <v>10</v>
      </c>
      <c r="OX56" s="904">
        <f>+IFERROR(VLOOKUP(OX$27&amp;"-"&amp;$M56&amp;"_new",Ammortamento_Finanziario!$H:$L,5,FALSE),VLOOKUP($M56,TT_Tabelle_Riferimento!$D$127:$H$164,5,FALSE))</f>
        <v>10</v>
      </c>
      <c r="OY56" s="904">
        <f>+IFERROR(VLOOKUP(OY$27&amp;"-"&amp;$M56&amp;"_new",Ammortamento_Finanziario!$H:$L,5,FALSE),VLOOKUP($M56,TT_Tabelle_Riferimento!$D$127:$H$164,5,FALSE))</f>
        <v>10</v>
      </c>
      <c r="OZ56" s="904">
        <f>+IFERROR(VLOOKUP(OZ$27&amp;"-"&amp;$M56&amp;"_new",Ammortamento_Finanziario!$H:$L,5,FALSE),VLOOKUP($M56,TT_Tabelle_Riferimento!$D$127:$H$164,5,FALSE))</f>
        <v>10</v>
      </c>
      <c r="PA56" s="904">
        <f>+IFERROR(VLOOKUP(PA$27&amp;"-"&amp;$M56&amp;"_new",Ammortamento_Finanziario!$H:$L,5,FALSE),VLOOKUP($M56,TT_Tabelle_Riferimento!$D$127:$H$164,5,FALSE))</f>
        <v>10</v>
      </c>
      <c r="PB56" s="904">
        <f>+IFERROR(VLOOKUP(PB$27&amp;"-"&amp;$M56&amp;"_new",Ammortamento_Finanziario!$H:$L,5,FALSE),VLOOKUP($M56,TT_Tabelle_Riferimento!$D$127:$H$164,5,FALSE))</f>
        <v>10</v>
      </c>
      <c r="PC56" s="904">
        <f>+IFERROR(VLOOKUP(PC$27&amp;"-"&amp;$M56&amp;"_new",Ammortamento_Finanziario!$H:$L,5,FALSE),VLOOKUP($M56,TT_Tabelle_Riferimento!$D$127:$H$164,5,FALSE))</f>
        <v>10</v>
      </c>
      <c r="PD56" s="904">
        <f>+IFERROR(VLOOKUP(PD$27&amp;"-"&amp;$M56&amp;"_new",Ammortamento_Finanziario!$H:$L,5,FALSE),VLOOKUP($M56,TT_Tabelle_Riferimento!$D$127:$H$164,5,FALSE))</f>
        <v>10</v>
      </c>
      <c r="PE56" s="904">
        <f>+IFERROR(VLOOKUP(PE$27&amp;"-"&amp;$M56&amp;"_new",Ammortamento_Finanziario!$H:$L,5,FALSE),VLOOKUP($M56,TT_Tabelle_Riferimento!$D$127:$H$164,5,FALSE))</f>
        <v>10</v>
      </c>
      <c r="PF56" s="904">
        <f>+IFERROR(VLOOKUP(PF$27&amp;"-"&amp;$M56&amp;"_new",Ammortamento_Finanziario!$H:$L,5,FALSE),VLOOKUP($M56,TT_Tabelle_Riferimento!$D$127:$H$164,5,FALSE))</f>
        <v>10</v>
      </c>
      <c r="PG56" s="904">
        <f>+IFERROR(VLOOKUP(PG$27&amp;"-"&amp;$M56&amp;"_new",Ammortamento_Finanziario!$H:$L,5,FALSE),VLOOKUP($M56,TT_Tabelle_Riferimento!$D$127:$H$164,5,FALSE))</f>
        <v>10</v>
      </c>
      <c r="PH56" s="904">
        <f>+IFERROR(VLOOKUP(PH$27&amp;"-"&amp;$M56&amp;"_new",Ammortamento_Finanziario!$H:$L,5,FALSE),VLOOKUP($M56,TT_Tabelle_Riferimento!$D$127:$H$164,5,FALSE))</f>
        <v>10</v>
      </c>
      <c r="PI56" s="904">
        <f>+IFERROR(VLOOKUP(PI$27&amp;"-"&amp;$M56&amp;"_new",Ammortamento_Finanziario!$H:$L,5,FALSE),VLOOKUP($M56,TT_Tabelle_Riferimento!$D$127:$H$164,5,FALSE))</f>
        <v>10</v>
      </c>
      <c r="PJ56" s="904">
        <f>+IFERROR(VLOOKUP(PJ$27&amp;"-"&amp;$M56&amp;"_new",Ammortamento_Finanziario!$H:$L,5,FALSE),VLOOKUP($M56,TT_Tabelle_Riferimento!$D$127:$H$164,5,FALSE))</f>
        <v>10</v>
      </c>
      <c r="PK56" s="904">
        <f>+IFERROR(VLOOKUP(PK$27&amp;"-"&amp;$M56&amp;"_new",Ammortamento_Finanziario!$H:$L,5,FALSE),VLOOKUP($M56,TT_Tabelle_Riferimento!$D$127:$H$164,5,FALSE))</f>
        <v>10</v>
      </c>
      <c r="PL56" s="1762">
        <f>+IFERROR(VLOOKUP(PL$27&amp;"-"&amp;$M56&amp;"_new",Ammortamento_Finanziario!$H:$L,5,FALSE),VLOOKUP($M56,TT_Tabelle_Riferimento!$D$127:$H$164,5,FALSE))</f>
        <v>10</v>
      </c>
      <c r="PM56" s="1762">
        <f>+IFERROR(VLOOKUP(PM$27&amp;"-"&amp;$M56&amp;"_new",Ammortamento_Finanziario!$H:$L,5,FALSE),VLOOKUP($M56,TT_Tabelle_Riferimento!$D$127:$H$164,5,FALSE))</f>
        <v>10</v>
      </c>
      <c r="PN56" s="1762">
        <f>+IFERROR(VLOOKUP(PN$27&amp;"-"&amp;$M56&amp;"_new",Ammortamento_Finanziario!$H:$L,5,FALSE),VLOOKUP($M56,TT_Tabelle_Riferimento!$D$127:$H$164,5,FALSE))</f>
        <v>10</v>
      </c>
      <c r="PO56" s="904">
        <f>+IFERROR(VLOOKUP(PO$27&amp;"-"&amp;$M56&amp;"_new",Ammortamento_Finanziario!$H:$L,5,FALSE),VLOOKUP($M56,TT_Tabelle_Riferimento!$D$127:$H$164,5,FALSE))</f>
        <v>10</v>
      </c>
      <c r="PP56" s="904">
        <f>+IFERROR(VLOOKUP(PP$27&amp;"-"&amp;$M56&amp;"_new",Ammortamento_Finanziario!$H:$L,5,FALSE),VLOOKUP($M56,TT_Tabelle_Riferimento!$D$127:$H$164,5,FALSE))</f>
        <v>10</v>
      </c>
      <c r="PQ56" s="904">
        <f>+IFERROR(VLOOKUP(PQ$27&amp;"-"&amp;$M56&amp;"_new",Ammortamento_Finanziario!$H:$L,5,FALSE),VLOOKUP($M56,TT_Tabelle_Riferimento!$D$127:$H$164,5,FALSE))</f>
        <v>10</v>
      </c>
      <c r="PR56" s="904">
        <f>+IFERROR(VLOOKUP(PR$27&amp;"-"&amp;$M56&amp;"_new",Ammortamento_Finanziario!$H:$L,5,FALSE),VLOOKUP($M56,TT_Tabelle_Riferimento!$D$127:$H$164,5,FALSE))</f>
        <v>10</v>
      </c>
      <c r="PS56" s="904">
        <f>+IFERROR(VLOOKUP(PS$27&amp;"-"&amp;$M56&amp;"_new",Ammortamento_Finanziario!$H:$L,5,FALSE),VLOOKUP($M56,TT_Tabelle_Riferimento!$D$127:$H$164,5,FALSE))</f>
        <v>10</v>
      </c>
      <c r="PT56" s="904">
        <f>+IFERROR(VLOOKUP(PT$27&amp;"-"&amp;$M56&amp;"_new",Ammortamento_Finanziario!$H:$L,5,FALSE),VLOOKUP($M56,TT_Tabelle_Riferimento!$D$127:$H$164,5,FALSE))</f>
        <v>10</v>
      </c>
      <c r="PU56" s="904">
        <f>+IFERROR(VLOOKUP(PU$27&amp;"-"&amp;$M56&amp;"_new",Ammortamento_Finanziario!$H:$L,5,FALSE),VLOOKUP($M56,TT_Tabelle_Riferimento!$D$127:$H$164,5,FALSE))</f>
        <v>10</v>
      </c>
      <c r="PV56" s="904">
        <f>+IFERROR(VLOOKUP(PV$27&amp;"-"&amp;$M56&amp;"_new",Ammortamento_Finanziario!$H:$L,5,FALSE),VLOOKUP($M56,TT_Tabelle_Riferimento!$D$127:$H$164,5,FALSE))</f>
        <v>10</v>
      </c>
      <c r="PW56" s="904">
        <f>+IFERROR(VLOOKUP(PW$27&amp;"-"&amp;$M56&amp;"_new",Ammortamento_Finanziario!$H:$L,5,FALSE),VLOOKUP($M56,TT_Tabelle_Riferimento!$D$127:$H$164,5,FALSE))</f>
        <v>10</v>
      </c>
      <c r="PX56" s="904">
        <f>+IFERROR(VLOOKUP(PX$27&amp;"-"&amp;$M56&amp;"_new",Ammortamento_Finanziario!$H:$L,5,FALSE),VLOOKUP($M56,TT_Tabelle_Riferimento!$D$127:$H$164,5,FALSE))</f>
        <v>10</v>
      </c>
      <c r="PY56" s="904">
        <f>+IFERROR(VLOOKUP(PY$27&amp;"-"&amp;$M56&amp;"_new",Ammortamento_Finanziario!$H:$L,5,FALSE),VLOOKUP($M56,TT_Tabelle_Riferimento!$D$127:$H$164,5,FALSE))</f>
        <v>10</v>
      </c>
      <c r="PZ56" s="904">
        <f>+IFERROR(VLOOKUP(PZ$27&amp;"-"&amp;$M56&amp;"_new",Ammortamento_Finanziario!$H:$L,5,FALSE),VLOOKUP($M56,TT_Tabelle_Riferimento!$D$127:$H$164,5,FALSE))</f>
        <v>10</v>
      </c>
      <c r="QA56" s="904">
        <f>+IFERROR(VLOOKUP(QA$27&amp;"-"&amp;$M56&amp;"_new",Ammortamento_Finanziario!$H:$L,5,FALSE),VLOOKUP($M56,TT_Tabelle_Riferimento!$D$127:$H$164,5,FALSE))</f>
        <v>10</v>
      </c>
      <c r="QB56" s="904">
        <f>+IFERROR(VLOOKUP(QB$27&amp;"-"&amp;$M56&amp;"_new",Ammortamento_Finanziario!$H:$L,5,FALSE),VLOOKUP($M56,TT_Tabelle_Riferimento!$D$127:$H$164,5,FALSE))</f>
        <v>10</v>
      </c>
      <c r="QC56" s="904">
        <f>+IFERROR(VLOOKUP(QC$27&amp;"-"&amp;$M56&amp;"_new",Ammortamento_Finanziario!$H:$L,5,FALSE),VLOOKUP($M56,TT_Tabelle_Riferimento!$D$127:$H$164,5,FALSE))</f>
        <v>10</v>
      </c>
      <c r="QD56" s="904">
        <f>+IFERROR(VLOOKUP(QD$27&amp;"-"&amp;$M56&amp;"_new",Ammortamento_Finanziario!$H:$L,5,FALSE),VLOOKUP($M56,TT_Tabelle_Riferimento!$D$127:$H$164,5,FALSE))</f>
        <v>10</v>
      </c>
      <c r="QE56" s="904">
        <f>+IFERROR(VLOOKUP(QE$27&amp;"-"&amp;$M56&amp;"_new",Ammortamento_Finanziario!$H:$L,5,FALSE),VLOOKUP($M56,TT_Tabelle_Riferimento!$D$127:$H$164,5,FALSE))</f>
        <v>10</v>
      </c>
      <c r="QF56" s="904">
        <f>+IFERROR(VLOOKUP(QF$27&amp;"-"&amp;$M56&amp;"_new",Ammortamento_Finanziario!$H:$L,5,FALSE),VLOOKUP($M56,TT_Tabelle_Riferimento!$D$127:$H$164,5,FALSE))</f>
        <v>10</v>
      </c>
      <c r="QG56" s="904">
        <f>+IFERROR(VLOOKUP(QG$27&amp;"-"&amp;$M56&amp;"_new",Ammortamento_Finanziario!$H:$L,5,FALSE),VLOOKUP($M56,TT_Tabelle_Riferimento!$D$127:$H$164,5,FALSE))</f>
        <v>10</v>
      </c>
      <c r="QH56" s="1762">
        <f>+IFERROR(VLOOKUP(QH$27&amp;"-"&amp;$M56&amp;"_new",Ammortamento_Finanziario!$H:$L,5,FALSE),VLOOKUP($M56,TT_Tabelle_Riferimento!$D$127:$H$164,5,FALSE))</f>
        <v>10</v>
      </c>
      <c r="QI56" s="1762">
        <f>+IFERROR(VLOOKUP(QI$27&amp;"-"&amp;$M56&amp;"_new",Ammortamento_Finanziario!$H:$L,5,FALSE),VLOOKUP($M56,TT_Tabelle_Riferimento!$D$127:$H$164,5,FALSE))</f>
        <v>10</v>
      </c>
      <c r="QJ56" s="904">
        <f>+IFERROR(VLOOKUP(QJ$27&amp;"-"&amp;$M56&amp;"_new",Ammortamento_Finanziario!$H:$L,5,FALSE),VLOOKUP($M56,TT_Tabelle_Riferimento!$D$127:$H$164,5,FALSE))</f>
        <v>10</v>
      </c>
      <c r="QK56" s="904">
        <f>+IFERROR(VLOOKUP(QK$27&amp;"-"&amp;$M56&amp;"_new",Ammortamento_Finanziario!$H:$L,5,FALSE),VLOOKUP($M56,TT_Tabelle_Riferimento!$D$127:$H$164,5,FALSE))</f>
        <v>10</v>
      </c>
      <c r="QL56" s="904">
        <f>+IFERROR(VLOOKUP(QL$27&amp;"-"&amp;$M56&amp;"_new",Ammortamento_Finanziario!$H:$L,5,FALSE),VLOOKUP($M56,TT_Tabelle_Riferimento!$D$127:$H$164,5,FALSE))</f>
        <v>10</v>
      </c>
      <c r="QM56" s="904">
        <f>+IFERROR(VLOOKUP(QM$27&amp;"-"&amp;$M56&amp;"_new",Ammortamento_Finanziario!$H:$L,5,FALSE),VLOOKUP($M56,TT_Tabelle_Riferimento!$D$127:$H$164,5,FALSE))</f>
        <v>10</v>
      </c>
      <c r="QN56" s="904">
        <f>+IFERROR(VLOOKUP(QN$27&amp;"-"&amp;$M56&amp;"_new",Ammortamento_Finanziario!$H:$L,5,FALSE),VLOOKUP($M56,TT_Tabelle_Riferimento!$D$127:$H$164,5,FALSE))</f>
        <v>10</v>
      </c>
      <c r="QO56" s="904">
        <f>+IFERROR(VLOOKUP(QO$27&amp;"-"&amp;$M56&amp;"_new",Ammortamento_Finanziario!$H:$L,5,FALSE),VLOOKUP($M56,TT_Tabelle_Riferimento!$D$127:$H$164,5,FALSE))</f>
        <v>10</v>
      </c>
      <c r="QP56" s="904">
        <f>+IFERROR(VLOOKUP(QP$27&amp;"-"&amp;$M56&amp;"_new",Ammortamento_Finanziario!$H:$L,5,FALSE),VLOOKUP($M56,TT_Tabelle_Riferimento!$D$127:$H$164,5,FALSE))</f>
        <v>10</v>
      </c>
      <c r="QQ56" s="904">
        <f>+IFERROR(VLOOKUP(QQ$27&amp;"-"&amp;$M56&amp;"_new",Ammortamento_Finanziario!$H:$L,5,FALSE),VLOOKUP($M56,TT_Tabelle_Riferimento!$D$127:$H$164,5,FALSE))</f>
        <v>10</v>
      </c>
      <c r="QR56" s="904">
        <f>+IFERROR(VLOOKUP(QR$27&amp;"-"&amp;$M56&amp;"_new",Ammortamento_Finanziario!$H:$L,5,FALSE),VLOOKUP($M56,TT_Tabelle_Riferimento!$D$127:$H$164,5,FALSE))</f>
        <v>10</v>
      </c>
      <c r="QS56" s="904">
        <f>+IFERROR(VLOOKUP(QS$27&amp;"-"&amp;$M56&amp;"_new",Ammortamento_Finanziario!$H:$L,5,FALSE),VLOOKUP($M56,TT_Tabelle_Riferimento!$D$127:$H$164,5,FALSE))</f>
        <v>10</v>
      </c>
      <c r="QT56" s="904">
        <f>+IFERROR(VLOOKUP(QT$27&amp;"-"&amp;$M56&amp;"_new",Ammortamento_Finanziario!$H:$L,5,FALSE),VLOOKUP($M56,TT_Tabelle_Riferimento!$D$127:$H$164,5,FALSE))</f>
        <v>10</v>
      </c>
      <c r="QU56" s="904">
        <f>+IFERROR(VLOOKUP(QU$27&amp;"-"&amp;$M56&amp;"_new",Ammortamento_Finanziario!$H:$L,5,FALSE),VLOOKUP($M56,TT_Tabelle_Riferimento!$D$127:$H$164,5,FALSE))</f>
        <v>10</v>
      </c>
      <c r="QV56" s="904">
        <f>+IFERROR(VLOOKUP(QV$27&amp;"-"&amp;$M56&amp;"_new",Ammortamento_Finanziario!$H:$L,5,FALSE),VLOOKUP($M56,TT_Tabelle_Riferimento!$D$127:$H$164,5,FALSE))</f>
        <v>10</v>
      </c>
      <c r="QW56" s="904">
        <f>+IFERROR(VLOOKUP(QW$27&amp;"-"&amp;$M56&amp;"_new",Ammortamento_Finanziario!$H:$L,5,FALSE),VLOOKUP($M56,TT_Tabelle_Riferimento!$D$127:$H$164,5,FALSE))</f>
        <v>10</v>
      </c>
      <c r="QX56" s="904">
        <f>+IFERROR(VLOOKUP(QX$27&amp;"-"&amp;$M56&amp;"_new",Ammortamento_Finanziario!$H:$L,5,FALSE),VLOOKUP($M56,TT_Tabelle_Riferimento!$D$127:$H$164,5,FALSE))</f>
        <v>10</v>
      </c>
      <c r="QY56" s="904">
        <f>+IFERROR(VLOOKUP(QY$27&amp;"-"&amp;$M56&amp;"_new",Ammortamento_Finanziario!$H:$L,5,FALSE),VLOOKUP($M56,TT_Tabelle_Riferimento!$D$127:$H$164,5,FALSE))</f>
        <v>10</v>
      </c>
      <c r="QZ56" s="904">
        <f>+IFERROR(VLOOKUP(QZ$27&amp;"-"&amp;$M56&amp;"_new",Ammortamento_Finanziario!$H:$L,5,FALSE),VLOOKUP($M56,TT_Tabelle_Riferimento!$D$127:$H$164,5,FALSE))</f>
        <v>10</v>
      </c>
      <c r="RA56" s="904">
        <f>+IFERROR(VLOOKUP(RA$27&amp;"-"&amp;$M56&amp;"_new",Ammortamento_Finanziario!$H:$L,5,FALSE),VLOOKUP($M56,TT_Tabelle_Riferimento!$D$127:$H$164,5,FALSE))</f>
        <v>10</v>
      </c>
      <c r="RB56" s="904">
        <f>+IFERROR(VLOOKUP(RB$27&amp;"-"&amp;$M56&amp;"_new",Ammortamento_Finanziario!$H:$L,5,FALSE),VLOOKUP($M56,TT_Tabelle_Riferimento!$D$127:$H$164,5,FALSE))</f>
        <v>10</v>
      </c>
      <c r="RC56" s="1762">
        <f>+IFERROR(VLOOKUP(RC$27&amp;"-"&amp;$M56&amp;"_new",Ammortamento_Finanziario!$H:$L,5,FALSE),VLOOKUP($M56,TT_Tabelle_Riferimento!$D$127:$H$164,5,FALSE))</f>
        <v>10</v>
      </c>
      <c r="RD56" s="904">
        <f>+IFERROR(VLOOKUP(RD$27&amp;"-"&amp;$M56&amp;"_new",Ammortamento_Finanziario!$H:$L,5,FALSE),VLOOKUP($M56,TT_Tabelle_Riferimento!$D$127:$H$164,5,FALSE))</f>
        <v>10</v>
      </c>
      <c r="RE56" s="904">
        <f>+IFERROR(VLOOKUP(RE$27&amp;"-"&amp;$M56&amp;"_new",Ammortamento_Finanziario!$H:$L,5,FALSE),VLOOKUP($M56,TT_Tabelle_Riferimento!$D$127:$H$164,5,FALSE))</f>
        <v>10</v>
      </c>
      <c r="RF56" s="904">
        <f>+IFERROR(VLOOKUP(RF$27&amp;"-"&amp;$M56&amp;"_new",Ammortamento_Finanziario!$H:$L,5,FALSE),VLOOKUP($M56,TT_Tabelle_Riferimento!$D$127:$H$164,5,FALSE))</f>
        <v>10</v>
      </c>
      <c r="RG56" s="904">
        <f>+IFERROR(VLOOKUP(RG$27&amp;"-"&amp;$M56&amp;"_new",Ammortamento_Finanziario!$H:$L,5,FALSE),VLOOKUP($M56,TT_Tabelle_Riferimento!$D$127:$H$164,5,FALSE))</f>
        <v>10</v>
      </c>
      <c r="RH56" s="904">
        <f>+IFERROR(VLOOKUP(RH$27&amp;"-"&amp;$M56&amp;"_new",Ammortamento_Finanziario!$H:$L,5,FALSE),VLOOKUP($M56,TT_Tabelle_Riferimento!$D$127:$H$164,5,FALSE))</f>
        <v>10</v>
      </c>
      <c r="RI56" s="904">
        <f>+IFERROR(VLOOKUP(RI$27&amp;"-"&amp;$M56&amp;"_new",Ammortamento_Finanziario!$H:$L,5,FALSE),VLOOKUP($M56,TT_Tabelle_Riferimento!$D$127:$H$164,5,FALSE))</f>
        <v>10</v>
      </c>
      <c r="RJ56" s="904">
        <f>+IFERROR(VLOOKUP(RJ$27&amp;"-"&amp;$M56&amp;"_new",Ammortamento_Finanziario!$H:$L,5,FALSE),VLOOKUP($M56,TT_Tabelle_Riferimento!$D$127:$H$164,5,FALSE))</f>
        <v>10</v>
      </c>
      <c r="RK56" s="904">
        <f>+IFERROR(VLOOKUP(RK$27&amp;"-"&amp;$M56&amp;"_new",Ammortamento_Finanziario!$H:$L,5,FALSE),VLOOKUP($M56,TT_Tabelle_Riferimento!$D$127:$H$164,5,FALSE))</f>
        <v>10</v>
      </c>
      <c r="RL56" s="904">
        <f>+IFERROR(VLOOKUP(RL$27&amp;"-"&amp;$M56&amp;"_new",Ammortamento_Finanziario!$H:$L,5,FALSE),VLOOKUP($M56,TT_Tabelle_Riferimento!$D$127:$H$164,5,FALSE))</f>
        <v>10</v>
      </c>
      <c r="RM56" s="904">
        <f>+IFERROR(VLOOKUP(RM$27&amp;"-"&amp;$M56&amp;"_new",Ammortamento_Finanziario!$H:$L,5,FALSE),VLOOKUP($M56,TT_Tabelle_Riferimento!$D$127:$H$164,5,FALSE))</f>
        <v>10</v>
      </c>
      <c r="RN56" s="904">
        <f>+IFERROR(VLOOKUP(RN$27&amp;"-"&amp;$M56&amp;"_new",Ammortamento_Finanziario!$H:$L,5,FALSE),VLOOKUP($M56,TT_Tabelle_Riferimento!$D$127:$H$164,5,FALSE))</f>
        <v>10</v>
      </c>
      <c r="RO56" s="904">
        <f>+IFERROR(VLOOKUP(RO$27&amp;"-"&amp;$M56&amp;"_new",Ammortamento_Finanziario!$H:$L,5,FALSE),VLOOKUP($M56,TT_Tabelle_Riferimento!$D$127:$H$164,5,FALSE))</f>
        <v>10</v>
      </c>
      <c r="RP56" s="904">
        <f>+IFERROR(VLOOKUP(RP$27&amp;"-"&amp;$M56&amp;"_new",Ammortamento_Finanziario!$H:$L,5,FALSE),VLOOKUP($M56,TT_Tabelle_Riferimento!$D$127:$H$164,5,FALSE))</f>
        <v>10</v>
      </c>
      <c r="RQ56" s="904">
        <f>+IFERROR(VLOOKUP(RQ$27&amp;"-"&amp;$M56&amp;"_new",Ammortamento_Finanziario!$H:$L,5,FALSE),VLOOKUP($M56,TT_Tabelle_Riferimento!$D$127:$H$164,5,FALSE))</f>
        <v>10</v>
      </c>
      <c r="RR56" s="904">
        <f>+IFERROR(VLOOKUP(RR$27&amp;"-"&amp;$M56&amp;"_new",Ammortamento_Finanziario!$H:$L,5,FALSE),VLOOKUP($M56,TT_Tabelle_Riferimento!$D$127:$H$164,5,FALSE))</f>
        <v>10</v>
      </c>
      <c r="RS56" s="904">
        <f>+IFERROR(VLOOKUP(RS$27&amp;"-"&amp;$M56&amp;"_new",Ammortamento_Finanziario!$H:$L,5,FALSE),VLOOKUP($M56,TT_Tabelle_Riferimento!$D$127:$H$164,5,FALSE))</f>
        <v>10</v>
      </c>
      <c r="RT56" s="904">
        <f>+IFERROR(VLOOKUP(RT$27&amp;"-"&amp;$M56&amp;"_new",Ammortamento_Finanziario!$H:$L,5,FALSE),VLOOKUP($M56,TT_Tabelle_Riferimento!$D$127:$H$164,5,FALSE))</f>
        <v>10</v>
      </c>
      <c r="RU56" s="904">
        <f>+IFERROR(VLOOKUP(RU$27&amp;"-"&amp;$M56&amp;"_new",Ammortamento_Finanziario!$H:$L,5,FALSE),VLOOKUP($M56,TT_Tabelle_Riferimento!$D$127:$H$164,5,FALSE))</f>
        <v>10</v>
      </c>
      <c r="RV56" s="904">
        <f>+IFERROR(VLOOKUP(RV$27&amp;"-"&amp;$M56&amp;"_new",Ammortamento_Finanziario!$H:$L,5,FALSE),VLOOKUP($M56,TT_Tabelle_Riferimento!$D$127:$H$164,5,FALSE))</f>
        <v>10</v>
      </c>
    </row>
    <row r="57" spans="4:490">
      <c r="D57" s="135" t="s">
        <v>201</v>
      </c>
      <c r="E57" s="1264">
        <f>+SUMIFS(IMN_gestore!T:T,IMN_gestore!$G:$G,"Res")</f>
        <v>0</v>
      </c>
      <c r="F57" s="1264">
        <f>+SUMIFS(IMN_gestore!AE:AE,IMN_gestore!$G:$G,"Res")</f>
        <v>0</v>
      </c>
      <c r="G57" s="1264">
        <f>+SUMIFS(IMN_gestore!AP:AP,IMN_gestore!$G:$G,"Res")</f>
        <v>0</v>
      </c>
      <c r="H57" s="1264">
        <f>+SUMIFS(IMN_gestore!BA:BA,IMN_gestore!$G:$G,"Res")</f>
        <v>0</v>
      </c>
      <c r="I57" s="1264">
        <f>+SUMIFS(IMN_gestore!$BL:$BL,IMN_gestore!$G:$G,"Res")</f>
        <v>0</v>
      </c>
      <c r="J57" s="1264">
        <f>+SUMIFS(IMN_gestore!$BW:$BW,IMN_gestore!$G:$G,"Res")</f>
        <v>0</v>
      </c>
      <c r="K57" s="5"/>
      <c r="L57" s="5"/>
      <c r="M57" s="1756">
        <v>30</v>
      </c>
      <c r="N57" s="1759">
        <v>0</v>
      </c>
      <c r="O57" s="1759">
        <v>0</v>
      </c>
      <c r="P57" s="1759">
        <v>0</v>
      </c>
      <c r="Q57" s="1759">
        <v>0</v>
      </c>
      <c r="R57" s="1759">
        <v>0</v>
      </c>
      <c r="S57" s="1759">
        <v>0</v>
      </c>
      <c r="T57" s="1759">
        <v>0</v>
      </c>
      <c r="U57" s="1759">
        <v>0</v>
      </c>
      <c r="V57" s="1759">
        <v>0</v>
      </c>
      <c r="W57" s="1759">
        <v>0</v>
      </c>
      <c r="X57" s="1759">
        <v>0</v>
      </c>
      <c r="Y57" s="1759">
        <v>0</v>
      </c>
      <c r="Z57" s="1759">
        <v>0</v>
      </c>
      <c r="AA57" s="1759">
        <v>0</v>
      </c>
      <c r="AB57" s="1759">
        <v>0</v>
      </c>
      <c r="AC57" s="1759">
        <v>0</v>
      </c>
      <c r="AD57" s="1759">
        <v>0</v>
      </c>
      <c r="AE57" s="1759">
        <v>0</v>
      </c>
      <c r="AF57" s="1759">
        <v>0</v>
      </c>
      <c r="AG57" s="1759">
        <v>0</v>
      </c>
      <c r="AH57" s="1759">
        <v>0</v>
      </c>
      <c r="AI57" s="1759">
        <v>0</v>
      </c>
      <c r="AJ57" s="1759">
        <v>0</v>
      </c>
      <c r="AK57" s="1759">
        <v>0</v>
      </c>
      <c r="AL57" s="1759">
        <v>0</v>
      </c>
      <c r="AM57" s="1759">
        <v>0</v>
      </c>
      <c r="AN57" s="1759">
        <v>0</v>
      </c>
      <c r="AO57" s="1759">
        <v>0</v>
      </c>
      <c r="AP57" s="1759">
        <v>0</v>
      </c>
      <c r="AQ57" s="1759">
        <v>0</v>
      </c>
      <c r="AR57" s="1759">
        <v>0</v>
      </c>
      <c r="AS57" s="1759">
        <v>0</v>
      </c>
      <c r="AT57" s="1759">
        <v>0</v>
      </c>
      <c r="AU57" s="1759">
        <v>0</v>
      </c>
      <c r="AV57" s="1759">
        <v>0</v>
      </c>
      <c r="AW57" s="1759">
        <v>0</v>
      </c>
      <c r="AX57" s="1759">
        <v>0</v>
      </c>
      <c r="AY57" s="1759">
        <v>0</v>
      </c>
      <c r="AZ57" s="1759">
        <v>0</v>
      </c>
      <c r="BA57" s="1759">
        <v>0</v>
      </c>
      <c r="BB57" s="1759">
        <v>0</v>
      </c>
      <c r="BC57" s="1759">
        <v>0</v>
      </c>
      <c r="BD57" s="1759">
        <v>0</v>
      </c>
      <c r="BE57" s="1759">
        <v>0</v>
      </c>
      <c r="BF57" s="1759">
        <v>0</v>
      </c>
      <c r="BG57" s="1759">
        <v>0</v>
      </c>
      <c r="BH57" s="1759">
        <v>0</v>
      </c>
      <c r="BI57" s="1759">
        <v>0</v>
      </c>
      <c r="BJ57" s="1759">
        <v>0</v>
      </c>
      <c r="BK57" s="1759">
        <v>0</v>
      </c>
      <c r="BL57" s="1759">
        <v>0</v>
      </c>
      <c r="BM57" s="1759">
        <v>0</v>
      </c>
      <c r="BN57" s="1759">
        <v>0</v>
      </c>
      <c r="BO57" s="1759">
        <v>0</v>
      </c>
      <c r="BP57" s="1759">
        <v>0</v>
      </c>
      <c r="BQ57" s="1759">
        <v>0</v>
      </c>
      <c r="BR57" s="1759">
        <v>0</v>
      </c>
      <c r="BS57" s="1759">
        <v>0</v>
      </c>
      <c r="BT57" s="1759">
        <v>0</v>
      </c>
      <c r="BU57" s="1759">
        <v>0</v>
      </c>
      <c r="BV57" s="1759">
        <v>0</v>
      </c>
      <c r="BW57" s="1759">
        <v>0</v>
      </c>
      <c r="BX57" s="1759">
        <v>0</v>
      </c>
      <c r="BY57" s="1759">
        <v>0</v>
      </c>
      <c r="BZ57" s="1759">
        <v>0</v>
      </c>
      <c r="CA57" s="1759">
        <v>0</v>
      </c>
      <c r="CB57" s="1759">
        <v>0</v>
      </c>
      <c r="CC57" s="1759">
        <v>0</v>
      </c>
      <c r="CD57" s="1759">
        <v>0</v>
      </c>
      <c r="CE57" s="1759">
        <v>0</v>
      </c>
      <c r="CF57" s="1759">
        <v>0</v>
      </c>
      <c r="CG57" s="1759">
        <v>0</v>
      </c>
      <c r="CH57" s="1759">
        <v>0</v>
      </c>
      <c r="CI57" s="1759">
        <v>0</v>
      </c>
      <c r="CJ57" s="1759">
        <v>0</v>
      </c>
      <c r="CK57" s="1759">
        <v>0</v>
      </c>
      <c r="CL57" s="1759">
        <v>0</v>
      </c>
      <c r="CM57" s="1759">
        <v>0</v>
      </c>
      <c r="CN57" s="1759">
        <v>0</v>
      </c>
      <c r="CO57" s="1759">
        <v>0</v>
      </c>
      <c r="CP57" s="1759">
        <v>0</v>
      </c>
      <c r="CQ57" s="1759">
        <v>0</v>
      </c>
      <c r="CR57" s="1759">
        <v>0</v>
      </c>
      <c r="CS57" s="1759">
        <v>0</v>
      </c>
      <c r="CT57" s="1759">
        <v>0</v>
      </c>
      <c r="CU57" s="1759">
        <v>0</v>
      </c>
      <c r="CV57" s="1759">
        <v>0</v>
      </c>
      <c r="CW57" s="1759">
        <v>0</v>
      </c>
      <c r="CX57" s="1759">
        <v>0</v>
      </c>
      <c r="CY57" s="1759">
        <v>0</v>
      </c>
      <c r="CZ57" s="1759">
        <v>0</v>
      </c>
      <c r="DA57" s="1759">
        <v>0</v>
      </c>
      <c r="DB57" s="1759">
        <v>0</v>
      </c>
      <c r="DC57" s="1759">
        <v>0</v>
      </c>
      <c r="DD57" s="1759">
        <v>0</v>
      </c>
      <c r="DE57" s="1759">
        <v>0</v>
      </c>
      <c r="DF57" s="1759">
        <v>0</v>
      </c>
      <c r="DG57" s="1759">
        <v>0</v>
      </c>
      <c r="DH57" s="1759">
        <v>0</v>
      </c>
      <c r="DI57" s="1759">
        <v>0</v>
      </c>
      <c r="DJ57" s="1759">
        <v>0</v>
      </c>
      <c r="DK57" s="1759">
        <v>0</v>
      </c>
      <c r="DL57" s="1759">
        <v>0</v>
      </c>
      <c r="DM57" s="1759">
        <v>0</v>
      </c>
      <c r="DN57" s="1759">
        <v>0</v>
      </c>
      <c r="DO57" s="1759">
        <v>0</v>
      </c>
      <c r="DP57" s="1759">
        <v>0</v>
      </c>
      <c r="DQ57" s="1759">
        <v>0</v>
      </c>
      <c r="DR57" s="1759">
        <v>0</v>
      </c>
      <c r="DS57" s="1759">
        <v>0</v>
      </c>
      <c r="DT57" s="1759">
        <v>0</v>
      </c>
      <c r="DU57" s="1759">
        <v>0</v>
      </c>
      <c r="DV57" s="1759">
        <v>0</v>
      </c>
      <c r="DW57" s="1759">
        <v>0</v>
      </c>
      <c r="DX57" s="1759">
        <v>0</v>
      </c>
      <c r="DY57" s="1759">
        <v>0</v>
      </c>
      <c r="DZ57" s="1759">
        <v>0</v>
      </c>
      <c r="EA57" s="1759">
        <v>0</v>
      </c>
      <c r="EB57" s="1759">
        <v>0</v>
      </c>
      <c r="EC57" s="1759">
        <v>0</v>
      </c>
      <c r="ED57" s="1759">
        <v>0</v>
      </c>
      <c r="EE57" s="1759">
        <v>0</v>
      </c>
      <c r="EF57" s="1759">
        <v>0</v>
      </c>
      <c r="EG57" s="1759">
        <v>0</v>
      </c>
      <c r="EH57" s="1759">
        <v>0</v>
      </c>
      <c r="EI57" s="1759">
        <v>0</v>
      </c>
      <c r="EJ57" s="1759">
        <v>0</v>
      </c>
      <c r="EK57" s="1759">
        <v>0</v>
      </c>
      <c r="EL57" s="1759">
        <v>0</v>
      </c>
      <c r="EM57" s="1759">
        <v>0</v>
      </c>
      <c r="EN57" s="1759">
        <v>0</v>
      </c>
      <c r="EO57" s="1759">
        <v>0</v>
      </c>
      <c r="EP57" s="1759">
        <v>0</v>
      </c>
      <c r="EQ57" s="1759">
        <v>0</v>
      </c>
      <c r="ER57" s="1759">
        <v>0</v>
      </c>
      <c r="ES57" s="1759">
        <v>0</v>
      </c>
      <c r="ET57" s="1759">
        <v>0</v>
      </c>
      <c r="EU57" s="1759">
        <v>0</v>
      </c>
      <c r="EV57" s="1759">
        <v>0</v>
      </c>
      <c r="EW57" s="1759">
        <v>0</v>
      </c>
      <c r="EX57" s="1759">
        <v>0</v>
      </c>
      <c r="EY57" s="1759">
        <v>0</v>
      </c>
      <c r="EZ57" s="1759">
        <v>0</v>
      </c>
      <c r="FA57" s="1759">
        <v>0</v>
      </c>
      <c r="FB57" s="1759">
        <v>0</v>
      </c>
      <c r="FC57" s="1759">
        <v>0</v>
      </c>
      <c r="FD57" s="1759">
        <v>0</v>
      </c>
      <c r="FE57" s="1759">
        <v>0</v>
      </c>
      <c r="FF57" s="1759">
        <v>0</v>
      </c>
      <c r="FG57" s="1759">
        <v>0</v>
      </c>
      <c r="FH57" s="1759">
        <v>0</v>
      </c>
      <c r="FI57" s="1759">
        <v>0</v>
      </c>
      <c r="FJ57" s="1759">
        <v>0</v>
      </c>
      <c r="FK57" s="1759">
        <v>0</v>
      </c>
      <c r="FL57" s="1759">
        <v>0</v>
      </c>
      <c r="FM57" s="1759">
        <v>0</v>
      </c>
      <c r="FN57" s="1759">
        <v>0</v>
      </c>
      <c r="FO57" s="1759">
        <v>0</v>
      </c>
      <c r="FP57" s="1759">
        <v>0</v>
      </c>
      <c r="FQ57" s="1759">
        <v>0</v>
      </c>
      <c r="FR57" s="1759">
        <v>0</v>
      </c>
      <c r="FS57" s="1759">
        <v>0</v>
      </c>
      <c r="FT57" s="1759">
        <v>0</v>
      </c>
      <c r="FU57" s="1759">
        <v>0</v>
      </c>
      <c r="FV57" s="1759">
        <v>0</v>
      </c>
      <c r="FW57" s="1759">
        <v>0</v>
      </c>
      <c r="FX57" s="1759">
        <v>0</v>
      </c>
      <c r="FY57" s="1759">
        <v>0</v>
      </c>
      <c r="FZ57" s="1759">
        <v>0</v>
      </c>
      <c r="GA57" s="1759">
        <v>0</v>
      </c>
      <c r="GB57" s="1759">
        <v>0</v>
      </c>
      <c r="GC57" s="1759">
        <v>0</v>
      </c>
      <c r="GD57" s="1759">
        <v>0</v>
      </c>
      <c r="GE57" s="1759">
        <v>0</v>
      </c>
      <c r="GF57" s="1759">
        <v>0</v>
      </c>
      <c r="GG57" s="1759">
        <v>0</v>
      </c>
      <c r="GH57" s="1759">
        <v>0</v>
      </c>
      <c r="GI57" s="1759">
        <v>0</v>
      </c>
      <c r="GJ57" s="1759">
        <v>0</v>
      </c>
      <c r="GK57" s="1759">
        <v>0</v>
      </c>
      <c r="GL57" s="1759">
        <v>0</v>
      </c>
      <c r="GM57" s="1759">
        <v>0</v>
      </c>
      <c r="GN57" s="1759">
        <v>0</v>
      </c>
      <c r="GO57" s="1759">
        <v>0</v>
      </c>
      <c r="GP57" s="1759">
        <v>0</v>
      </c>
      <c r="GQ57" s="1759">
        <v>0</v>
      </c>
      <c r="GR57" s="1759">
        <v>0</v>
      </c>
      <c r="GS57" s="1759">
        <v>0</v>
      </c>
      <c r="GT57" s="1759">
        <v>0</v>
      </c>
      <c r="GU57" s="1759">
        <v>0</v>
      </c>
      <c r="GV57" s="1759">
        <v>0</v>
      </c>
      <c r="GW57" s="1759">
        <v>0</v>
      </c>
      <c r="GX57" s="1759">
        <v>0</v>
      </c>
      <c r="GY57" s="1759">
        <v>0</v>
      </c>
      <c r="GZ57" s="1759">
        <v>0</v>
      </c>
      <c r="HA57" s="1759">
        <v>0</v>
      </c>
      <c r="HB57" s="1759">
        <v>0</v>
      </c>
      <c r="HC57" s="1759">
        <v>0</v>
      </c>
      <c r="HD57" s="1759">
        <v>0</v>
      </c>
      <c r="HE57" s="1759">
        <v>0</v>
      </c>
      <c r="HF57" s="1759">
        <v>0</v>
      </c>
      <c r="HG57" s="1759">
        <v>0</v>
      </c>
      <c r="HH57" s="1759">
        <v>0</v>
      </c>
      <c r="HI57" s="1759">
        <v>0</v>
      </c>
      <c r="HJ57" s="1759">
        <v>0</v>
      </c>
      <c r="HK57" s="1759">
        <v>0</v>
      </c>
      <c r="HL57" s="1759">
        <v>0</v>
      </c>
      <c r="HM57" s="1759">
        <v>0</v>
      </c>
      <c r="HN57" s="1759">
        <v>0</v>
      </c>
      <c r="HO57" s="1759">
        <v>0</v>
      </c>
      <c r="HP57" s="1759">
        <v>0</v>
      </c>
      <c r="HQ57" s="1759">
        <v>0</v>
      </c>
      <c r="HR57" s="1759">
        <v>0</v>
      </c>
      <c r="HS57" s="1759">
        <v>0</v>
      </c>
      <c r="HT57" s="1759">
        <v>0</v>
      </c>
      <c r="HU57" s="1759">
        <v>0</v>
      </c>
      <c r="HV57" s="1759">
        <v>0</v>
      </c>
      <c r="HW57" s="1759">
        <v>0</v>
      </c>
      <c r="HX57" s="1759">
        <v>0</v>
      </c>
      <c r="HY57" s="1759">
        <v>0</v>
      </c>
      <c r="HZ57" s="1759">
        <v>0</v>
      </c>
      <c r="IA57" s="1759">
        <v>0</v>
      </c>
      <c r="IB57" s="1759">
        <v>0</v>
      </c>
      <c r="IC57" s="1759">
        <v>0</v>
      </c>
      <c r="ID57" s="1759">
        <v>0</v>
      </c>
      <c r="IE57" s="1759">
        <v>0</v>
      </c>
      <c r="IF57" s="1759">
        <v>0</v>
      </c>
      <c r="IG57" s="1759">
        <v>0</v>
      </c>
      <c r="IH57" s="1759">
        <v>0</v>
      </c>
      <c r="II57" s="1759">
        <v>0</v>
      </c>
      <c r="IJ57" s="1759">
        <v>0</v>
      </c>
      <c r="IK57" s="1759">
        <v>0</v>
      </c>
      <c r="IL57" s="1759">
        <v>0</v>
      </c>
      <c r="IM57" s="1759">
        <v>0</v>
      </c>
      <c r="IN57" s="1759">
        <v>0</v>
      </c>
      <c r="IO57" s="1759">
        <v>0</v>
      </c>
      <c r="IP57" s="1759">
        <v>0</v>
      </c>
      <c r="IQ57" s="1759">
        <v>0</v>
      </c>
      <c r="IR57" s="1759">
        <v>0</v>
      </c>
      <c r="IS57" s="1759">
        <v>0</v>
      </c>
      <c r="IT57" s="1759">
        <v>0</v>
      </c>
      <c r="IU57" s="1759">
        <v>0</v>
      </c>
      <c r="IV57" s="1759">
        <v>0</v>
      </c>
      <c r="IW57" s="1759">
        <v>0</v>
      </c>
      <c r="IX57" s="1759">
        <v>0</v>
      </c>
      <c r="IY57" s="1759">
        <v>0</v>
      </c>
      <c r="IZ57" s="1759">
        <v>0</v>
      </c>
      <c r="JA57" s="1759">
        <v>0</v>
      </c>
      <c r="JB57" s="1759">
        <v>0</v>
      </c>
      <c r="JC57" s="1759">
        <v>0</v>
      </c>
      <c r="JD57" s="1759">
        <v>0</v>
      </c>
      <c r="JE57" s="1759">
        <v>0</v>
      </c>
      <c r="JF57" s="1759">
        <v>0</v>
      </c>
      <c r="JG57" s="1759">
        <v>0</v>
      </c>
      <c r="JH57" s="1759">
        <v>0</v>
      </c>
      <c r="JI57" s="1759">
        <v>0</v>
      </c>
      <c r="JJ57" s="1759">
        <v>0</v>
      </c>
      <c r="JK57" s="1759">
        <v>0</v>
      </c>
      <c r="JL57" s="1759">
        <v>0</v>
      </c>
      <c r="JM57" s="1759">
        <v>0</v>
      </c>
      <c r="JN57" s="1759">
        <v>0</v>
      </c>
      <c r="JO57" s="1759">
        <v>0</v>
      </c>
      <c r="JP57" s="1759">
        <v>0</v>
      </c>
      <c r="JQ57" s="1759">
        <v>0</v>
      </c>
      <c r="JR57" s="1759">
        <v>0</v>
      </c>
      <c r="JS57" s="1759">
        <v>0</v>
      </c>
      <c r="JT57" s="1759">
        <v>0</v>
      </c>
      <c r="JU57" s="1759">
        <v>0</v>
      </c>
      <c r="JV57" s="1759">
        <v>0</v>
      </c>
      <c r="JW57" s="1759">
        <v>0</v>
      </c>
      <c r="JX57" s="1759">
        <v>0</v>
      </c>
      <c r="JY57" s="1759">
        <v>0</v>
      </c>
      <c r="JZ57" s="1759">
        <v>0</v>
      </c>
      <c r="KA57" s="1759">
        <v>0</v>
      </c>
      <c r="KB57" s="1759">
        <v>0</v>
      </c>
      <c r="KC57" s="1759">
        <v>0</v>
      </c>
      <c r="KD57" s="1759">
        <v>0</v>
      </c>
      <c r="KE57" s="1759">
        <v>0</v>
      </c>
      <c r="KF57" s="1759">
        <v>0</v>
      </c>
      <c r="KG57" s="1759">
        <v>0</v>
      </c>
      <c r="KH57" s="1759">
        <v>0</v>
      </c>
      <c r="KI57" s="1759">
        <v>0</v>
      </c>
      <c r="KJ57" s="1759">
        <v>0</v>
      </c>
      <c r="KK57" s="1759">
        <v>0</v>
      </c>
      <c r="KL57" s="1759">
        <v>0</v>
      </c>
      <c r="KM57" s="1759">
        <v>0</v>
      </c>
      <c r="KN57" s="1759">
        <v>0</v>
      </c>
      <c r="KO57" s="1759">
        <v>0</v>
      </c>
      <c r="KP57" s="1759">
        <v>0</v>
      </c>
      <c r="KQ57" s="904">
        <f>+IFERROR(VLOOKUP(KQ$27&amp;"-"&amp;$M57&amp;"_new",Ammortamento_Finanziario!$H:$L,5,FALSE),VLOOKUP($M57,TT_Tabelle_Riferimento!$D$127:$H$164,5,FALSE))</f>
        <v>5</v>
      </c>
      <c r="KR57" s="904">
        <f>+IFERROR(VLOOKUP(KR$27&amp;"-"&amp;$M57&amp;"_new",Ammortamento_Finanziario!$H:$L,5,FALSE),VLOOKUP($M57,TT_Tabelle_Riferimento!$D$127:$H$164,5,FALSE))</f>
        <v>5</v>
      </c>
      <c r="KS57" s="1762">
        <f>+IFERROR(VLOOKUP(KS$27&amp;"-"&amp;$M57&amp;"_new",Ammortamento_Finanziario!$H:$L,5,FALSE),VLOOKUP($M57,TT_Tabelle_Riferimento!$D$127:$H$164,5,FALSE))</f>
        <v>5</v>
      </c>
      <c r="KT57" s="1762">
        <f>+IFERROR(VLOOKUP(KT$27&amp;"-"&amp;$M57&amp;"_new",Ammortamento_Finanziario!$H:$L,5,FALSE),VLOOKUP($M57,TT_Tabelle_Riferimento!$D$127:$H$164,5,FALSE))</f>
        <v>5</v>
      </c>
      <c r="KU57" s="1762">
        <f>+IFERROR(VLOOKUP(KU$27&amp;"-"&amp;$M57&amp;"_new",Ammortamento_Finanziario!$H:$L,5,FALSE),VLOOKUP($M57,TT_Tabelle_Riferimento!$D$127:$H$164,5,FALSE))</f>
        <v>5</v>
      </c>
      <c r="KV57" s="1762">
        <f>+IFERROR(VLOOKUP(KV$27&amp;"-"&amp;$M57&amp;"_new",Ammortamento_Finanziario!$H:$L,5,FALSE),VLOOKUP($M57,TT_Tabelle_Riferimento!$D$127:$H$164,5,FALSE))</f>
        <v>5</v>
      </c>
      <c r="KW57" s="1762">
        <f>+IFERROR(VLOOKUP(KW$27&amp;"-"&amp;$M57&amp;"_new",Ammortamento_Finanziario!$H:$L,5,FALSE),VLOOKUP($M57,TT_Tabelle_Riferimento!$D$127:$H$164,5,FALSE))</f>
        <v>5</v>
      </c>
      <c r="KX57" s="1762">
        <f>+IFERROR(VLOOKUP(KX$27&amp;"-"&amp;$M57&amp;"_new",Ammortamento_Finanziario!$H:$L,5,FALSE),VLOOKUP($M57,TT_Tabelle_Riferimento!$D$127:$H$164,5,FALSE))</f>
        <v>5</v>
      </c>
      <c r="KY57" s="904">
        <f>+IFERROR(VLOOKUP(KY$27&amp;"-"&amp;$M57&amp;"_new",Ammortamento_Finanziario!$H:$L,5,FALSE),VLOOKUP($M57,TT_Tabelle_Riferimento!$D$127:$H$164,5,FALSE))</f>
        <v>5</v>
      </c>
      <c r="KZ57" s="904">
        <f>+IFERROR(VLOOKUP(KZ$27&amp;"-"&amp;$M57&amp;"_new",Ammortamento_Finanziario!$H:$L,5,FALSE),VLOOKUP($M57,TT_Tabelle_Riferimento!$D$127:$H$164,5,FALSE))</f>
        <v>5</v>
      </c>
      <c r="LA57" s="904">
        <f>+IFERROR(VLOOKUP(LA$27&amp;"-"&amp;$M57&amp;"_new",Ammortamento_Finanziario!$H:$L,5,FALSE),VLOOKUP($M57,TT_Tabelle_Riferimento!$D$127:$H$164,5,FALSE))</f>
        <v>5</v>
      </c>
      <c r="LB57" s="904">
        <f>+IFERROR(VLOOKUP(LB$27&amp;"-"&amp;$M57&amp;"_new",Ammortamento_Finanziario!$H:$L,5,FALSE),VLOOKUP($M57,TT_Tabelle_Riferimento!$D$127:$H$164,5,FALSE))</f>
        <v>5</v>
      </c>
      <c r="LC57" s="904">
        <f>+IFERROR(VLOOKUP(LC$27&amp;"-"&amp;$M57&amp;"_new",Ammortamento_Finanziario!$H:$L,5,FALSE),VLOOKUP($M57,TT_Tabelle_Riferimento!$D$127:$H$164,5,FALSE))</f>
        <v>5</v>
      </c>
      <c r="LD57" s="904">
        <f>+IFERROR(VLOOKUP(LD$27&amp;"-"&amp;$M57&amp;"_new",Ammortamento_Finanziario!$H:$L,5,FALSE),VLOOKUP($M57,TT_Tabelle_Riferimento!$D$127:$H$164,5,FALSE))</f>
        <v>5</v>
      </c>
      <c r="LE57" s="904">
        <f>+IFERROR(VLOOKUP(LE$27&amp;"-"&amp;$M57&amp;"_new",Ammortamento_Finanziario!$H:$L,5,FALSE),VLOOKUP($M57,TT_Tabelle_Riferimento!$D$127:$H$164,5,FALSE))</f>
        <v>5</v>
      </c>
      <c r="LF57" s="904">
        <f>+IFERROR(VLOOKUP(LF$27&amp;"-"&amp;$M57&amp;"_new",Ammortamento_Finanziario!$H:$L,5,FALSE),VLOOKUP($M57,TT_Tabelle_Riferimento!$D$127:$H$164,5,FALSE))</f>
        <v>5</v>
      </c>
      <c r="LG57" s="904">
        <f>+IFERROR(VLOOKUP(LG$27&amp;"-"&amp;$M57&amp;"_new",Ammortamento_Finanziario!$H:$L,5,FALSE),VLOOKUP($M57,TT_Tabelle_Riferimento!$D$127:$H$164,5,FALSE))</f>
        <v>5</v>
      </c>
      <c r="LH57" s="904">
        <f>+IFERROR(VLOOKUP(LH$27&amp;"-"&amp;$M57&amp;"_new",Ammortamento_Finanziario!$H:$L,5,FALSE),VLOOKUP($M57,TT_Tabelle_Riferimento!$D$127:$H$164,5,FALSE))</f>
        <v>5</v>
      </c>
      <c r="LI57" s="904">
        <f>+IFERROR(VLOOKUP(LI$27&amp;"-"&amp;$M57&amp;"_new",Ammortamento_Finanziario!$H:$L,5,FALSE),VLOOKUP($M57,TT_Tabelle_Riferimento!$D$127:$H$164,5,FALSE))</f>
        <v>5</v>
      </c>
      <c r="LJ57" s="904">
        <f>+IFERROR(VLOOKUP(LJ$27&amp;"-"&amp;$M57&amp;"_new",Ammortamento_Finanziario!$H:$L,5,FALSE),VLOOKUP($M57,TT_Tabelle_Riferimento!$D$127:$H$164,5,FALSE))</f>
        <v>5</v>
      </c>
      <c r="LK57" s="904">
        <f>+IFERROR(VLOOKUP(LK$27&amp;"-"&amp;$M57&amp;"_new",Ammortamento_Finanziario!$H:$L,5,FALSE),VLOOKUP($M57,TT_Tabelle_Riferimento!$D$127:$H$164,5,FALSE))</f>
        <v>5</v>
      </c>
      <c r="LL57" s="904">
        <f>+IFERROR(VLOOKUP(LL$27&amp;"-"&amp;$M57&amp;"_new",Ammortamento_Finanziario!$H:$L,5,FALSE),VLOOKUP($M57,TT_Tabelle_Riferimento!$D$127:$H$164,5,FALSE))</f>
        <v>5</v>
      </c>
      <c r="LM57" s="904">
        <f>+IFERROR(VLOOKUP(LM$27&amp;"-"&amp;$M57&amp;"_new",Ammortamento_Finanziario!$H:$L,5,FALSE),VLOOKUP($M57,TT_Tabelle_Riferimento!$D$127:$H$164,5,FALSE))</f>
        <v>5</v>
      </c>
      <c r="LN57" s="904">
        <f>+IFERROR(VLOOKUP(LN$27&amp;"-"&amp;$M57&amp;"_new",Ammortamento_Finanziario!$H:$L,5,FALSE),VLOOKUP($M57,TT_Tabelle_Riferimento!$D$127:$H$164,5,FALSE))</f>
        <v>5</v>
      </c>
      <c r="LO57" s="904">
        <f>+IFERROR(VLOOKUP(LO$27&amp;"-"&amp;$M57&amp;"_new",Ammortamento_Finanziario!$H:$L,5,FALSE),VLOOKUP($M57,TT_Tabelle_Riferimento!$D$127:$H$164,5,FALSE))</f>
        <v>5</v>
      </c>
      <c r="LP57" s="904">
        <f>+IFERROR(VLOOKUP(LP$27&amp;"-"&amp;$M57&amp;"_new",Ammortamento_Finanziario!$H:$L,5,FALSE),VLOOKUP($M57,TT_Tabelle_Riferimento!$D$127:$H$164,5,FALSE))</f>
        <v>5</v>
      </c>
      <c r="LQ57" s="904">
        <f>+IFERROR(VLOOKUP(LQ$27&amp;"-"&amp;$M57&amp;"_new",Ammortamento_Finanziario!$H:$L,5,FALSE),VLOOKUP($M57,TT_Tabelle_Riferimento!$D$127:$H$164,5,FALSE))</f>
        <v>5</v>
      </c>
      <c r="LR57" s="904">
        <f>+IFERROR(VLOOKUP(LR$27&amp;"-"&amp;$M57&amp;"_new",Ammortamento_Finanziario!$H:$L,5,FALSE),VLOOKUP($M57,TT_Tabelle_Riferimento!$D$127:$H$164,5,FALSE))</f>
        <v>5</v>
      </c>
      <c r="LS57" s="1762">
        <f>+IFERROR(VLOOKUP(LS$27&amp;"-"&amp;$M57&amp;"_new",Ammortamento_Finanziario!$H:$L,5,FALSE),VLOOKUP($M57,TT_Tabelle_Riferimento!$D$127:$H$164,5,FALSE))</f>
        <v>5</v>
      </c>
      <c r="LT57" s="1762">
        <f>+IFERROR(VLOOKUP(LT$27&amp;"-"&amp;$M57&amp;"_new",Ammortamento_Finanziario!$H:$L,5,FALSE),VLOOKUP($M57,TT_Tabelle_Riferimento!$D$127:$H$164,5,FALSE))</f>
        <v>5</v>
      </c>
      <c r="LU57" s="1762">
        <f>+IFERROR(VLOOKUP(LU$27&amp;"-"&amp;$M57&amp;"_new",Ammortamento_Finanziario!$H:$L,5,FALSE),VLOOKUP($M57,TT_Tabelle_Riferimento!$D$127:$H$164,5,FALSE))</f>
        <v>5</v>
      </c>
      <c r="LV57" s="1762">
        <f>+IFERROR(VLOOKUP(LV$27&amp;"-"&amp;$M57&amp;"_new",Ammortamento_Finanziario!$H:$L,5,FALSE),VLOOKUP($M57,TT_Tabelle_Riferimento!$D$127:$H$164,5,FALSE))</f>
        <v>5</v>
      </c>
      <c r="LW57" s="1762">
        <f>+IFERROR(VLOOKUP(LW$27&amp;"-"&amp;$M57&amp;"_new",Ammortamento_Finanziario!$H:$L,5,FALSE),VLOOKUP($M57,TT_Tabelle_Riferimento!$D$127:$H$164,5,FALSE))</f>
        <v>5</v>
      </c>
      <c r="LX57" s="1762">
        <f>+IFERROR(VLOOKUP(LX$27&amp;"-"&amp;$M57&amp;"_new",Ammortamento_Finanziario!$H:$L,5,FALSE),VLOOKUP($M57,TT_Tabelle_Riferimento!$D$127:$H$164,5,FALSE))</f>
        <v>5</v>
      </c>
      <c r="LY57" s="904">
        <f>+IFERROR(VLOOKUP(LY$27&amp;"-"&amp;$M57&amp;"_new",Ammortamento_Finanziario!$H:$L,5,FALSE),VLOOKUP($M57,TT_Tabelle_Riferimento!$D$127:$H$164,5,FALSE))</f>
        <v>5</v>
      </c>
      <c r="LZ57" s="904">
        <f>+IFERROR(VLOOKUP(LZ$27&amp;"-"&amp;$M57&amp;"_new",Ammortamento_Finanziario!$H:$L,5,FALSE),VLOOKUP($M57,TT_Tabelle_Riferimento!$D$127:$H$164,5,FALSE))</f>
        <v>5</v>
      </c>
      <c r="MA57" s="904">
        <f>+IFERROR(VLOOKUP(MA$27&amp;"-"&amp;$M57&amp;"_new",Ammortamento_Finanziario!$H:$L,5,FALSE),VLOOKUP($M57,TT_Tabelle_Riferimento!$D$127:$H$164,5,FALSE))</f>
        <v>5</v>
      </c>
      <c r="MB57" s="904">
        <f>+IFERROR(VLOOKUP(MB$27&amp;"-"&amp;$M57&amp;"_new",Ammortamento_Finanziario!$H:$L,5,FALSE),VLOOKUP($M57,TT_Tabelle_Riferimento!$D$127:$H$164,5,FALSE))</f>
        <v>5</v>
      </c>
      <c r="MC57" s="904">
        <f>+IFERROR(VLOOKUP(MC$27&amp;"-"&amp;$M57&amp;"_new",Ammortamento_Finanziario!$H:$L,5,FALSE),VLOOKUP($M57,TT_Tabelle_Riferimento!$D$127:$H$164,5,FALSE))</f>
        <v>5</v>
      </c>
      <c r="MD57" s="904">
        <f>+IFERROR(VLOOKUP(MD$27&amp;"-"&amp;$M57&amp;"_new",Ammortamento_Finanziario!$H:$L,5,FALSE),VLOOKUP($M57,TT_Tabelle_Riferimento!$D$127:$H$164,5,FALSE))</f>
        <v>5</v>
      </c>
      <c r="ME57" s="904">
        <f>+IFERROR(VLOOKUP(ME$27&amp;"-"&amp;$M57&amp;"_new",Ammortamento_Finanziario!$H:$L,5,FALSE),VLOOKUP($M57,TT_Tabelle_Riferimento!$D$127:$H$164,5,FALSE))</f>
        <v>5</v>
      </c>
      <c r="MF57" s="904">
        <f>+IFERROR(VLOOKUP(MF$27&amp;"-"&amp;$M57&amp;"_new",Ammortamento_Finanziario!$H:$L,5,FALSE),VLOOKUP($M57,TT_Tabelle_Riferimento!$D$127:$H$164,5,FALSE))</f>
        <v>5</v>
      </c>
      <c r="MG57" s="904">
        <f>+IFERROR(VLOOKUP(MG$27&amp;"-"&amp;$M57&amp;"_new",Ammortamento_Finanziario!$H:$L,5,FALSE),VLOOKUP($M57,TT_Tabelle_Riferimento!$D$127:$H$164,5,FALSE))</f>
        <v>5</v>
      </c>
      <c r="MH57" s="904">
        <f>+IFERROR(VLOOKUP(MH$27&amp;"-"&amp;$M57&amp;"_new",Ammortamento_Finanziario!$H:$L,5,FALSE),VLOOKUP($M57,TT_Tabelle_Riferimento!$D$127:$H$164,5,FALSE))</f>
        <v>5</v>
      </c>
      <c r="MI57" s="904">
        <f>+IFERROR(VLOOKUP(MI$27&amp;"-"&amp;$M57&amp;"_new",Ammortamento_Finanziario!$H:$L,5,FALSE),VLOOKUP($M57,TT_Tabelle_Riferimento!$D$127:$H$164,5,FALSE))</f>
        <v>5</v>
      </c>
      <c r="MJ57" s="904">
        <f>+IFERROR(VLOOKUP(MJ$27&amp;"-"&amp;$M57&amp;"_new",Ammortamento_Finanziario!$H:$L,5,FALSE),VLOOKUP($M57,TT_Tabelle_Riferimento!$D$127:$H$164,5,FALSE))</f>
        <v>5</v>
      </c>
      <c r="MK57" s="904">
        <f>+IFERROR(VLOOKUP(MK$27&amp;"-"&amp;$M57&amp;"_new",Ammortamento_Finanziario!$H:$L,5,FALSE),VLOOKUP($M57,TT_Tabelle_Riferimento!$D$127:$H$164,5,FALSE))</f>
        <v>5</v>
      </c>
      <c r="ML57" s="904">
        <f>+IFERROR(VLOOKUP(ML$27&amp;"-"&amp;$M57&amp;"_new",Ammortamento_Finanziario!$H:$L,5,FALSE),VLOOKUP($M57,TT_Tabelle_Riferimento!$D$127:$H$164,5,FALSE))</f>
        <v>5</v>
      </c>
      <c r="MM57" s="904">
        <f>+IFERROR(VLOOKUP(MM$27&amp;"-"&amp;$M57&amp;"_new",Ammortamento_Finanziario!$H:$L,5,FALSE),VLOOKUP($M57,TT_Tabelle_Riferimento!$D$127:$H$164,5,FALSE))</f>
        <v>5</v>
      </c>
      <c r="MN57" s="904">
        <f>+IFERROR(VLOOKUP(MN$27&amp;"-"&amp;$M57&amp;"_new",Ammortamento_Finanziario!$H:$L,5,FALSE),VLOOKUP($M57,TT_Tabelle_Riferimento!$D$127:$H$164,5,FALSE))</f>
        <v>5</v>
      </c>
      <c r="MO57" s="904">
        <f>+IFERROR(VLOOKUP(MO$27&amp;"-"&amp;$M57&amp;"_new",Ammortamento_Finanziario!$H:$L,5,FALSE),VLOOKUP($M57,TT_Tabelle_Riferimento!$D$127:$H$164,5,FALSE))</f>
        <v>5</v>
      </c>
      <c r="MP57" s="904">
        <f>+IFERROR(VLOOKUP(MP$27&amp;"-"&amp;$M57&amp;"_new",Ammortamento_Finanziario!$H:$L,5,FALSE),VLOOKUP($M57,TT_Tabelle_Riferimento!$D$127:$H$164,5,FALSE))</f>
        <v>5</v>
      </c>
      <c r="MQ57" s="904">
        <f>+IFERROR(VLOOKUP(MQ$27&amp;"-"&amp;$M57&amp;"_new",Ammortamento_Finanziario!$H:$L,5,FALSE),VLOOKUP($M57,TT_Tabelle_Riferimento!$D$127:$H$164,5,FALSE))</f>
        <v>5</v>
      </c>
      <c r="MR57" s="1762">
        <f>+IFERROR(VLOOKUP(MR$27&amp;"-"&amp;$M57&amp;"_new",Ammortamento_Finanziario!$H:$L,5,FALSE),VLOOKUP($M57,TT_Tabelle_Riferimento!$D$127:$H$164,5,FALSE))</f>
        <v>5</v>
      </c>
      <c r="MS57" s="1762">
        <f>+IFERROR(VLOOKUP(MS$27&amp;"-"&amp;$M57&amp;"_new",Ammortamento_Finanziario!$H:$L,5,FALSE),VLOOKUP($M57,TT_Tabelle_Riferimento!$D$127:$H$164,5,FALSE))</f>
        <v>5</v>
      </c>
      <c r="MT57" s="1762">
        <f>+IFERROR(VLOOKUP(MT$27&amp;"-"&amp;$M57&amp;"_new",Ammortamento_Finanziario!$H:$L,5,FALSE),VLOOKUP($M57,TT_Tabelle_Riferimento!$D$127:$H$164,5,FALSE))</f>
        <v>5</v>
      </c>
      <c r="MU57" s="1762">
        <f>+IFERROR(VLOOKUP(MU$27&amp;"-"&amp;$M57&amp;"_new",Ammortamento_Finanziario!$H:$L,5,FALSE),VLOOKUP($M57,TT_Tabelle_Riferimento!$D$127:$H$164,5,FALSE))</f>
        <v>5</v>
      </c>
      <c r="MV57" s="1762">
        <f>+IFERROR(VLOOKUP(MV$27&amp;"-"&amp;$M57&amp;"_new",Ammortamento_Finanziario!$H:$L,5,FALSE),VLOOKUP($M57,TT_Tabelle_Riferimento!$D$127:$H$164,5,FALSE))</f>
        <v>5</v>
      </c>
      <c r="MW57" s="1762">
        <f>+IFERROR(VLOOKUP(MW$27&amp;"-"&amp;$M57&amp;"_new",Ammortamento_Finanziario!$H:$L,5,FALSE),VLOOKUP($M57,TT_Tabelle_Riferimento!$D$127:$H$164,5,FALSE))</f>
        <v>5</v>
      </c>
      <c r="MX57" s="904">
        <f>+IFERROR(VLOOKUP(MX$27&amp;"-"&amp;$M57&amp;"_new",Ammortamento_Finanziario!$H:$L,5,FALSE),VLOOKUP($M57,TT_Tabelle_Riferimento!$D$127:$H$164,5,FALSE))</f>
        <v>5</v>
      </c>
      <c r="MY57" s="904">
        <f>+IFERROR(VLOOKUP(MY$27&amp;"-"&amp;$M57&amp;"_new",Ammortamento_Finanziario!$H:$L,5,FALSE),VLOOKUP($M57,TT_Tabelle_Riferimento!$D$127:$H$164,5,FALSE))</f>
        <v>5</v>
      </c>
      <c r="MZ57" s="904">
        <f>+IFERROR(VLOOKUP(MZ$27&amp;"-"&amp;$M57&amp;"_new",Ammortamento_Finanziario!$H:$L,5,FALSE),VLOOKUP($M57,TT_Tabelle_Riferimento!$D$127:$H$164,5,FALSE))</f>
        <v>5</v>
      </c>
      <c r="NA57" s="904">
        <f>+IFERROR(VLOOKUP(NA$27&amp;"-"&amp;$M57&amp;"_new",Ammortamento_Finanziario!$H:$L,5,FALSE),VLOOKUP($M57,TT_Tabelle_Riferimento!$D$127:$H$164,5,FALSE))</f>
        <v>5</v>
      </c>
      <c r="NB57" s="904">
        <f>+IFERROR(VLOOKUP(NB$27&amp;"-"&amp;$M57&amp;"_new",Ammortamento_Finanziario!$H:$L,5,FALSE),VLOOKUP($M57,TT_Tabelle_Riferimento!$D$127:$H$164,5,FALSE))</f>
        <v>5</v>
      </c>
      <c r="NC57" s="904">
        <f>+IFERROR(VLOOKUP(NC$27&amp;"-"&amp;$M57&amp;"_new",Ammortamento_Finanziario!$H:$L,5,FALSE),VLOOKUP($M57,TT_Tabelle_Riferimento!$D$127:$H$164,5,FALSE))</f>
        <v>5</v>
      </c>
      <c r="ND57" s="904">
        <f>+IFERROR(VLOOKUP(ND$27&amp;"-"&amp;$M57&amp;"_new",Ammortamento_Finanziario!$H:$L,5,FALSE),VLOOKUP($M57,TT_Tabelle_Riferimento!$D$127:$H$164,5,FALSE))</f>
        <v>5</v>
      </c>
      <c r="NE57" s="904">
        <f>+IFERROR(VLOOKUP(NE$27&amp;"-"&amp;$M57&amp;"_new",Ammortamento_Finanziario!$H:$L,5,FALSE),VLOOKUP($M57,TT_Tabelle_Riferimento!$D$127:$H$164,5,FALSE))</f>
        <v>5</v>
      </c>
      <c r="NF57" s="904">
        <f>+IFERROR(VLOOKUP(NF$27&amp;"-"&amp;$M57&amp;"_new",Ammortamento_Finanziario!$H:$L,5,FALSE),VLOOKUP($M57,TT_Tabelle_Riferimento!$D$127:$H$164,5,FALSE))</f>
        <v>5</v>
      </c>
      <c r="NG57" s="904">
        <f>+IFERROR(VLOOKUP(NG$27&amp;"-"&amp;$M57&amp;"_new",Ammortamento_Finanziario!$H:$L,5,FALSE),VLOOKUP($M57,TT_Tabelle_Riferimento!$D$127:$H$164,5,FALSE))</f>
        <v>5</v>
      </c>
      <c r="NH57" s="904">
        <f>+IFERROR(VLOOKUP(NH$27&amp;"-"&amp;$M57&amp;"_new",Ammortamento_Finanziario!$H:$L,5,FALSE),VLOOKUP($M57,TT_Tabelle_Riferimento!$D$127:$H$164,5,FALSE))</f>
        <v>5</v>
      </c>
      <c r="NI57" s="904">
        <f>+IFERROR(VLOOKUP(NI$27&amp;"-"&amp;$M57&amp;"_new",Ammortamento_Finanziario!$H:$L,5,FALSE),VLOOKUP($M57,TT_Tabelle_Riferimento!$D$127:$H$164,5,FALSE))</f>
        <v>5</v>
      </c>
      <c r="NJ57" s="904">
        <f>+IFERROR(VLOOKUP(NJ$27&amp;"-"&amp;$M57&amp;"_new",Ammortamento_Finanziario!$H:$L,5,FALSE),VLOOKUP($M57,TT_Tabelle_Riferimento!$D$127:$H$164,5,FALSE))</f>
        <v>5</v>
      </c>
      <c r="NK57" s="904">
        <f>+IFERROR(VLOOKUP(NK$27&amp;"-"&amp;$M57&amp;"_new",Ammortamento_Finanziario!$H:$L,5,FALSE),VLOOKUP($M57,TT_Tabelle_Riferimento!$D$127:$H$164,5,FALSE))</f>
        <v>5</v>
      </c>
      <c r="NL57" s="904">
        <f>+IFERROR(VLOOKUP(NL$27&amp;"-"&amp;$M57&amp;"_new",Ammortamento_Finanziario!$H:$L,5,FALSE),VLOOKUP($M57,TT_Tabelle_Riferimento!$D$127:$H$164,5,FALSE))</f>
        <v>5</v>
      </c>
      <c r="NM57" s="904">
        <f>+IFERROR(VLOOKUP(NM$27&amp;"-"&amp;$M57&amp;"_new",Ammortamento_Finanziario!$H:$L,5,FALSE),VLOOKUP($M57,TT_Tabelle_Riferimento!$D$127:$H$164,5,FALSE))</f>
        <v>5</v>
      </c>
      <c r="NN57" s="904">
        <f>+IFERROR(VLOOKUP(NN$27&amp;"-"&amp;$M57&amp;"_new",Ammortamento_Finanziario!$H:$L,5,FALSE),VLOOKUP($M57,TT_Tabelle_Riferimento!$D$127:$H$164,5,FALSE))</f>
        <v>5</v>
      </c>
      <c r="NO57" s="904">
        <f>+IFERROR(VLOOKUP(NO$27&amp;"-"&amp;$M57&amp;"_new",Ammortamento_Finanziario!$H:$L,5,FALSE),VLOOKUP($M57,TT_Tabelle_Riferimento!$D$127:$H$164,5,FALSE))</f>
        <v>5</v>
      </c>
      <c r="NP57" s="904">
        <f>+IFERROR(VLOOKUP(NP$27&amp;"-"&amp;$M57&amp;"_new",Ammortamento_Finanziario!$H:$L,5,FALSE),VLOOKUP($M57,TT_Tabelle_Riferimento!$D$127:$H$164,5,FALSE))</f>
        <v>5</v>
      </c>
      <c r="NQ57" s="1762">
        <f>+IFERROR(VLOOKUP(NQ$27&amp;"-"&amp;$M57&amp;"_new",Ammortamento_Finanziario!$H:$L,5,FALSE),VLOOKUP($M57,TT_Tabelle_Riferimento!$D$127:$H$164,5,FALSE))</f>
        <v>5</v>
      </c>
      <c r="NR57" s="1762">
        <f>+IFERROR(VLOOKUP(NR$27&amp;"-"&amp;$M57&amp;"_new",Ammortamento_Finanziario!$H:$L,5,FALSE),VLOOKUP($M57,TT_Tabelle_Riferimento!$D$127:$H$164,5,FALSE))</f>
        <v>5</v>
      </c>
      <c r="NS57" s="1762">
        <f>+IFERROR(VLOOKUP(NS$27&amp;"-"&amp;$M57&amp;"_new",Ammortamento_Finanziario!$H:$L,5,FALSE),VLOOKUP($M57,TT_Tabelle_Riferimento!$D$127:$H$164,5,FALSE))</f>
        <v>5</v>
      </c>
      <c r="NT57" s="1762">
        <f>+IFERROR(VLOOKUP(NT$27&amp;"-"&amp;$M57&amp;"_new",Ammortamento_Finanziario!$H:$L,5,FALSE),VLOOKUP($M57,TT_Tabelle_Riferimento!$D$127:$H$164,5,FALSE))</f>
        <v>5</v>
      </c>
      <c r="NU57" s="1762">
        <f>+IFERROR(VLOOKUP(NU$27&amp;"-"&amp;$M57&amp;"_new",Ammortamento_Finanziario!$H:$L,5,FALSE),VLOOKUP($M57,TT_Tabelle_Riferimento!$D$127:$H$164,5,FALSE))</f>
        <v>5</v>
      </c>
      <c r="NV57" s="904">
        <f>+IFERROR(VLOOKUP(NV$27&amp;"-"&amp;$M57&amp;"_new",Ammortamento_Finanziario!$H:$L,5,FALSE),VLOOKUP($M57,TT_Tabelle_Riferimento!$D$127:$H$164,5,FALSE))</f>
        <v>5</v>
      </c>
      <c r="NW57" s="904">
        <f>+IFERROR(VLOOKUP(NW$27&amp;"-"&amp;$M57&amp;"_new",Ammortamento_Finanziario!$H:$L,5,FALSE),VLOOKUP($M57,TT_Tabelle_Riferimento!$D$127:$H$164,5,FALSE))</f>
        <v>5</v>
      </c>
      <c r="NX57" s="904">
        <f>+IFERROR(VLOOKUP(NX$27&amp;"-"&amp;$M57&amp;"_new",Ammortamento_Finanziario!$H:$L,5,FALSE),VLOOKUP($M57,TT_Tabelle_Riferimento!$D$127:$H$164,5,FALSE))</f>
        <v>5</v>
      </c>
      <c r="NY57" s="904">
        <f>+IFERROR(VLOOKUP(NY$27&amp;"-"&amp;$M57&amp;"_new",Ammortamento_Finanziario!$H:$L,5,FALSE),VLOOKUP($M57,TT_Tabelle_Riferimento!$D$127:$H$164,5,FALSE))</f>
        <v>5</v>
      </c>
      <c r="NZ57" s="904">
        <f>+IFERROR(VLOOKUP(NZ$27&amp;"-"&amp;$M57&amp;"_new",Ammortamento_Finanziario!$H:$L,5,FALSE),VLOOKUP($M57,TT_Tabelle_Riferimento!$D$127:$H$164,5,FALSE))</f>
        <v>5</v>
      </c>
      <c r="OA57" s="904">
        <f>+IFERROR(VLOOKUP(OA$27&amp;"-"&amp;$M57&amp;"_new",Ammortamento_Finanziario!$H:$L,5,FALSE),VLOOKUP($M57,TT_Tabelle_Riferimento!$D$127:$H$164,5,FALSE))</f>
        <v>5</v>
      </c>
      <c r="OB57" s="904">
        <f>+IFERROR(VLOOKUP(OB$27&amp;"-"&amp;$M57&amp;"_new",Ammortamento_Finanziario!$H:$L,5,FALSE),VLOOKUP($M57,TT_Tabelle_Riferimento!$D$127:$H$164,5,FALSE))</f>
        <v>5</v>
      </c>
      <c r="OC57" s="904">
        <f>+IFERROR(VLOOKUP(OC$27&amp;"-"&amp;$M57&amp;"_new",Ammortamento_Finanziario!$H:$L,5,FALSE),VLOOKUP($M57,TT_Tabelle_Riferimento!$D$127:$H$164,5,FALSE))</f>
        <v>5</v>
      </c>
      <c r="OD57" s="904">
        <f>+IFERROR(VLOOKUP(OD$27&amp;"-"&amp;$M57&amp;"_new",Ammortamento_Finanziario!$H:$L,5,FALSE),VLOOKUP($M57,TT_Tabelle_Riferimento!$D$127:$H$164,5,FALSE))</f>
        <v>5</v>
      </c>
      <c r="OE57" s="904">
        <f>+IFERROR(VLOOKUP(OE$27&amp;"-"&amp;$M57&amp;"_new",Ammortamento_Finanziario!$H:$L,5,FALSE),VLOOKUP($M57,TT_Tabelle_Riferimento!$D$127:$H$164,5,FALSE))</f>
        <v>5</v>
      </c>
      <c r="OF57" s="904">
        <f>+IFERROR(VLOOKUP(OF$27&amp;"-"&amp;$M57&amp;"_new",Ammortamento_Finanziario!$H:$L,5,FALSE),VLOOKUP($M57,TT_Tabelle_Riferimento!$D$127:$H$164,5,FALSE))</f>
        <v>5</v>
      </c>
      <c r="OG57" s="904">
        <f>+IFERROR(VLOOKUP(OG$27&amp;"-"&amp;$M57&amp;"_new",Ammortamento_Finanziario!$H:$L,5,FALSE),VLOOKUP($M57,TT_Tabelle_Riferimento!$D$127:$H$164,5,FALSE))</f>
        <v>5</v>
      </c>
      <c r="OH57" s="904">
        <f>+IFERROR(VLOOKUP(OH$27&amp;"-"&amp;$M57&amp;"_new",Ammortamento_Finanziario!$H:$L,5,FALSE),VLOOKUP($M57,TT_Tabelle_Riferimento!$D$127:$H$164,5,FALSE))</f>
        <v>5</v>
      </c>
      <c r="OI57" s="904">
        <f>+IFERROR(VLOOKUP(OI$27&amp;"-"&amp;$M57&amp;"_new",Ammortamento_Finanziario!$H:$L,5,FALSE),VLOOKUP($M57,TT_Tabelle_Riferimento!$D$127:$H$164,5,FALSE))</f>
        <v>5</v>
      </c>
      <c r="OJ57" s="904">
        <f>+IFERROR(VLOOKUP(OJ$27&amp;"-"&amp;$M57&amp;"_new",Ammortamento_Finanziario!$H:$L,5,FALSE),VLOOKUP($M57,TT_Tabelle_Riferimento!$D$127:$H$164,5,FALSE))</f>
        <v>5</v>
      </c>
      <c r="OK57" s="904">
        <f>+IFERROR(VLOOKUP(OK$27&amp;"-"&amp;$M57&amp;"_new",Ammortamento_Finanziario!$H:$L,5,FALSE),VLOOKUP($M57,TT_Tabelle_Riferimento!$D$127:$H$164,5,FALSE))</f>
        <v>5</v>
      </c>
      <c r="OL57" s="904">
        <f>+IFERROR(VLOOKUP(OL$27&amp;"-"&amp;$M57&amp;"_new",Ammortamento_Finanziario!$H:$L,5,FALSE),VLOOKUP($M57,TT_Tabelle_Riferimento!$D$127:$H$164,5,FALSE))</f>
        <v>5</v>
      </c>
      <c r="OM57" s="904">
        <f>+IFERROR(VLOOKUP(OM$27&amp;"-"&amp;$M57&amp;"_new",Ammortamento_Finanziario!$H:$L,5,FALSE),VLOOKUP($M57,TT_Tabelle_Riferimento!$D$127:$H$164,5,FALSE))</f>
        <v>5</v>
      </c>
      <c r="ON57" s="904">
        <f>+IFERROR(VLOOKUP(ON$27&amp;"-"&amp;$M57&amp;"_new",Ammortamento_Finanziario!$H:$L,5,FALSE),VLOOKUP($M57,TT_Tabelle_Riferimento!$D$127:$H$164,5,FALSE))</f>
        <v>5</v>
      </c>
      <c r="OO57" s="1762">
        <f>+IFERROR(VLOOKUP(OO$27&amp;"-"&amp;$M57&amp;"_new",Ammortamento_Finanziario!$H:$L,5,FALSE),VLOOKUP($M57,TT_Tabelle_Riferimento!$D$127:$H$164,5,FALSE))</f>
        <v>5</v>
      </c>
      <c r="OP57" s="1762">
        <f>+IFERROR(VLOOKUP(OP$27&amp;"-"&amp;$M57&amp;"_new",Ammortamento_Finanziario!$H:$L,5,FALSE),VLOOKUP($M57,TT_Tabelle_Riferimento!$D$127:$H$164,5,FALSE))</f>
        <v>5</v>
      </c>
      <c r="OQ57" s="1762">
        <f>+IFERROR(VLOOKUP(OQ$27&amp;"-"&amp;$M57&amp;"_new",Ammortamento_Finanziario!$H:$L,5,FALSE),VLOOKUP($M57,TT_Tabelle_Riferimento!$D$127:$H$164,5,FALSE))</f>
        <v>5</v>
      </c>
      <c r="OR57" s="1762">
        <f>+IFERROR(VLOOKUP(OR$27&amp;"-"&amp;$M57&amp;"_new",Ammortamento_Finanziario!$H:$L,5,FALSE),VLOOKUP($M57,TT_Tabelle_Riferimento!$D$127:$H$164,5,FALSE))</f>
        <v>5</v>
      </c>
      <c r="OS57" s="904">
        <f>+IFERROR(VLOOKUP(OS$27&amp;"-"&amp;$M57&amp;"_new",Ammortamento_Finanziario!$H:$L,5,FALSE),VLOOKUP($M57,TT_Tabelle_Riferimento!$D$127:$H$164,5,FALSE))</f>
        <v>5</v>
      </c>
      <c r="OT57" s="904">
        <f>+IFERROR(VLOOKUP(OT$27&amp;"-"&amp;$M57&amp;"_new",Ammortamento_Finanziario!$H:$L,5,FALSE),VLOOKUP($M57,TT_Tabelle_Riferimento!$D$127:$H$164,5,FALSE))</f>
        <v>5</v>
      </c>
      <c r="OU57" s="904">
        <f>+IFERROR(VLOOKUP(OU$27&amp;"-"&amp;$M57&amp;"_new",Ammortamento_Finanziario!$H:$L,5,FALSE),VLOOKUP($M57,TT_Tabelle_Riferimento!$D$127:$H$164,5,FALSE))</f>
        <v>5</v>
      </c>
      <c r="OV57" s="904">
        <f>+IFERROR(VLOOKUP(OV$27&amp;"-"&amp;$M57&amp;"_new",Ammortamento_Finanziario!$H:$L,5,FALSE),VLOOKUP($M57,TT_Tabelle_Riferimento!$D$127:$H$164,5,FALSE))</f>
        <v>5</v>
      </c>
      <c r="OW57" s="904">
        <f>+IFERROR(VLOOKUP(OW$27&amp;"-"&amp;$M57&amp;"_new",Ammortamento_Finanziario!$H:$L,5,FALSE),VLOOKUP($M57,TT_Tabelle_Riferimento!$D$127:$H$164,5,FALSE))</f>
        <v>5</v>
      </c>
      <c r="OX57" s="904">
        <f>+IFERROR(VLOOKUP(OX$27&amp;"-"&amp;$M57&amp;"_new",Ammortamento_Finanziario!$H:$L,5,FALSE),VLOOKUP($M57,TT_Tabelle_Riferimento!$D$127:$H$164,5,FALSE))</f>
        <v>5</v>
      </c>
      <c r="OY57" s="904">
        <f>+IFERROR(VLOOKUP(OY$27&amp;"-"&amp;$M57&amp;"_new",Ammortamento_Finanziario!$H:$L,5,FALSE),VLOOKUP($M57,TT_Tabelle_Riferimento!$D$127:$H$164,5,FALSE))</f>
        <v>5</v>
      </c>
      <c r="OZ57" s="904">
        <f>+IFERROR(VLOOKUP(OZ$27&amp;"-"&amp;$M57&amp;"_new",Ammortamento_Finanziario!$H:$L,5,FALSE),VLOOKUP($M57,TT_Tabelle_Riferimento!$D$127:$H$164,5,FALSE))</f>
        <v>5</v>
      </c>
      <c r="PA57" s="904">
        <f>+IFERROR(VLOOKUP(PA$27&amp;"-"&amp;$M57&amp;"_new",Ammortamento_Finanziario!$H:$L,5,FALSE),VLOOKUP($M57,TT_Tabelle_Riferimento!$D$127:$H$164,5,FALSE))</f>
        <v>5</v>
      </c>
      <c r="PB57" s="904">
        <f>+IFERROR(VLOOKUP(PB$27&amp;"-"&amp;$M57&amp;"_new",Ammortamento_Finanziario!$H:$L,5,FALSE),VLOOKUP($M57,TT_Tabelle_Riferimento!$D$127:$H$164,5,FALSE))</f>
        <v>5</v>
      </c>
      <c r="PC57" s="904">
        <f>+IFERROR(VLOOKUP(PC$27&amp;"-"&amp;$M57&amp;"_new",Ammortamento_Finanziario!$H:$L,5,FALSE),VLOOKUP($M57,TT_Tabelle_Riferimento!$D$127:$H$164,5,FALSE))</f>
        <v>5</v>
      </c>
      <c r="PD57" s="904">
        <f>+IFERROR(VLOOKUP(PD$27&amp;"-"&amp;$M57&amp;"_new",Ammortamento_Finanziario!$H:$L,5,FALSE),VLOOKUP($M57,TT_Tabelle_Riferimento!$D$127:$H$164,5,FALSE))</f>
        <v>5</v>
      </c>
      <c r="PE57" s="904">
        <f>+IFERROR(VLOOKUP(PE$27&amp;"-"&amp;$M57&amp;"_new",Ammortamento_Finanziario!$H:$L,5,FALSE),VLOOKUP($M57,TT_Tabelle_Riferimento!$D$127:$H$164,5,FALSE))</f>
        <v>5</v>
      </c>
      <c r="PF57" s="904">
        <f>+IFERROR(VLOOKUP(PF$27&amp;"-"&amp;$M57&amp;"_new",Ammortamento_Finanziario!$H:$L,5,FALSE),VLOOKUP($M57,TT_Tabelle_Riferimento!$D$127:$H$164,5,FALSE))</f>
        <v>5</v>
      </c>
      <c r="PG57" s="904">
        <f>+IFERROR(VLOOKUP(PG$27&amp;"-"&amp;$M57&amp;"_new",Ammortamento_Finanziario!$H:$L,5,FALSE),VLOOKUP($M57,TT_Tabelle_Riferimento!$D$127:$H$164,5,FALSE))</f>
        <v>5</v>
      </c>
      <c r="PH57" s="904">
        <f>+IFERROR(VLOOKUP(PH$27&amp;"-"&amp;$M57&amp;"_new",Ammortamento_Finanziario!$H:$L,5,FALSE),VLOOKUP($M57,TT_Tabelle_Riferimento!$D$127:$H$164,5,FALSE))</f>
        <v>5</v>
      </c>
      <c r="PI57" s="904">
        <f>+IFERROR(VLOOKUP(PI$27&amp;"-"&amp;$M57&amp;"_new",Ammortamento_Finanziario!$H:$L,5,FALSE),VLOOKUP($M57,TT_Tabelle_Riferimento!$D$127:$H$164,5,FALSE))</f>
        <v>5</v>
      </c>
      <c r="PJ57" s="904">
        <f>+IFERROR(VLOOKUP(PJ$27&amp;"-"&amp;$M57&amp;"_new",Ammortamento_Finanziario!$H:$L,5,FALSE),VLOOKUP($M57,TT_Tabelle_Riferimento!$D$127:$H$164,5,FALSE))</f>
        <v>5</v>
      </c>
      <c r="PK57" s="904">
        <f>+IFERROR(VLOOKUP(PK$27&amp;"-"&amp;$M57&amp;"_new",Ammortamento_Finanziario!$H:$L,5,FALSE),VLOOKUP($M57,TT_Tabelle_Riferimento!$D$127:$H$164,5,FALSE))</f>
        <v>5</v>
      </c>
      <c r="PL57" s="1762">
        <f>+IFERROR(VLOOKUP(PL$27&amp;"-"&amp;$M57&amp;"_new",Ammortamento_Finanziario!$H:$L,5,FALSE),VLOOKUP($M57,TT_Tabelle_Riferimento!$D$127:$H$164,5,FALSE))</f>
        <v>5</v>
      </c>
      <c r="PM57" s="1762">
        <f>+IFERROR(VLOOKUP(PM$27&amp;"-"&amp;$M57&amp;"_new",Ammortamento_Finanziario!$H:$L,5,FALSE),VLOOKUP($M57,TT_Tabelle_Riferimento!$D$127:$H$164,5,FALSE))</f>
        <v>5</v>
      </c>
      <c r="PN57" s="1762">
        <f>+IFERROR(VLOOKUP(PN$27&amp;"-"&amp;$M57&amp;"_new",Ammortamento_Finanziario!$H:$L,5,FALSE),VLOOKUP($M57,TT_Tabelle_Riferimento!$D$127:$H$164,5,FALSE))</f>
        <v>5</v>
      </c>
      <c r="PO57" s="904">
        <f>+IFERROR(VLOOKUP(PO$27&amp;"-"&amp;$M57&amp;"_new",Ammortamento_Finanziario!$H:$L,5,FALSE),VLOOKUP($M57,TT_Tabelle_Riferimento!$D$127:$H$164,5,FALSE))</f>
        <v>5</v>
      </c>
      <c r="PP57" s="904">
        <f>+IFERROR(VLOOKUP(PP$27&amp;"-"&amp;$M57&amp;"_new",Ammortamento_Finanziario!$H:$L,5,FALSE),VLOOKUP($M57,TT_Tabelle_Riferimento!$D$127:$H$164,5,FALSE))</f>
        <v>5</v>
      </c>
      <c r="PQ57" s="904">
        <f>+IFERROR(VLOOKUP(PQ$27&amp;"-"&amp;$M57&amp;"_new",Ammortamento_Finanziario!$H:$L,5,FALSE),VLOOKUP($M57,TT_Tabelle_Riferimento!$D$127:$H$164,5,FALSE))</f>
        <v>5</v>
      </c>
      <c r="PR57" s="904">
        <f>+IFERROR(VLOOKUP(PR$27&amp;"-"&amp;$M57&amp;"_new",Ammortamento_Finanziario!$H:$L,5,FALSE),VLOOKUP($M57,TT_Tabelle_Riferimento!$D$127:$H$164,5,FALSE))</f>
        <v>5</v>
      </c>
      <c r="PS57" s="904">
        <f>+IFERROR(VLOOKUP(PS$27&amp;"-"&amp;$M57&amp;"_new",Ammortamento_Finanziario!$H:$L,5,FALSE),VLOOKUP($M57,TT_Tabelle_Riferimento!$D$127:$H$164,5,FALSE))</f>
        <v>5</v>
      </c>
      <c r="PT57" s="904">
        <f>+IFERROR(VLOOKUP(PT$27&amp;"-"&amp;$M57&amp;"_new",Ammortamento_Finanziario!$H:$L,5,FALSE),VLOOKUP($M57,TT_Tabelle_Riferimento!$D$127:$H$164,5,FALSE))</f>
        <v>5</v>
      </c>
      <c r="PU57" s="904">
        <f>+IFERROR(VLOOKUP(PU$27&amp;"-"&amp;$M57&amp;"_new",Ammortamento_Finanziario!$H:$L,5,FALSE),VLOOKUP($M57,TT_Tabelle_Riferimento!$D$127:$H$164,5,FALSE))</f>
        <v>5</v>
      </c>
      <c r="PV57" s="904">
        <f>+IFERROR(VLOOKUP(PV$27&amp;"-"&amp;$M57&amp;"_new",Ammortamento_Finanziario!$H:$L,5,FALSE),VLOOKUP($M57,TT_Tabelle_Riferimento!$D$127:$H$164,5,FALSE))</f>
        <v>5</v>
      </c>
      <c r="PW57" s="904">
        <f>+IFERROR(VLOOKUP(PW$27&amp;"-"&amp;$M57&amp;"_new",Ammortamento_Finanziario!$H:$L,5,FALSE),VLOOKUP($M57,TT_Tabelle_Riferimento!$D$127:$H$164,5,FALSE))</f>
        <v>5</v>
      </c>
      <c r="PX57" s="904">
        <f>+IFERROR(VLOOKUP(PX$27&amp;"-"&amp;$M57&amp;"_new",Ammortamento_Finanziario!$H:$L,5,FALSE),VLOOKUP($M57,TT_Tabelle_Riferimento!$D$127:$H$164,5,FALSE))</f>
        <v>5</v>
      </c>
      <c r="PY57" s="904">
        <f>+IFERROR(VLOOKUP(PY$27&amp;"-"&amp;$M57&amp;"_new",Ammortamento_Finanziario!$H:$L,5,FALSE),VLOOKUP($M57,TT_Tabelle_Riferimento!$D$127:$H$164,5,FALSE))</f>
        <v>5</v>
      </c>
      <c r="PZ57" s="904">
        <f>+IFERROR(VLOOKUP(PZ$27&amp;"-"&amp;$M57&amp;"_new",Ammortamento_Finanziario!$H:$L,5,FALSE),VLOOKUP($M57,TT_Tabelle_Riferimento!$D$127:$H$164,5,FALSE))</f>
        <v>5</v>
      </c>
      <c r="QA57" s="904">
        <f>+IFERROR(VLOOKUP(QA$27&amp;"-"&amp;$M57&amp;"_new",Ammortamento_Finanziario!$H:$L,5,FALSE),VLOOKUP($M57,TT_Tabelle_Riferimento!$D$127:$H$164,5,FALSE))</f>
        <v>5</v>
      </c>
      <c r="QB57" s="904">
        <f>+IFERROR(VLOOKUP(QB$27&amp;"-"&amp;$M57&amp;"_new",Ammortamento_Finanziario!$H:$L,5,FALSE),VLOOKUP($M57,TT_Tabelle_Riferimento!$D$127:$H$164,5,FALSE))</f>
        <v>5</v>
      </c>
      <c r="QC57" s="904">
        <f>+IFERROR(VLOOKUP(QC$27&amp;"-"&amp;$M57&amp;"_new",Ammortamento_Finanziario!$H:$L,5,FALSE),VLOOKUP($M57,TT_Tabelle_Riferimento!$D$127:$H$164,5,FALSE))</f>
        <v>5</v>
      </c>
      <c r="QD57" s="904">
        <f>+IFERROR(VLOOKUP(QD$27&amp;"-"&amp;$M57&amp;"_new",Ammortamento_Finanziario!$H:$L,5,FALSE),VLOOKUP($M57,TT_Tabelle_Riferimento!$D$127:$H$164,5,FALSE))</f>
        <v>5</v>
      </c>
      <c r="QE57" s="904">
        <f>+IFERROR(VLOOKUP(QE$27&amp;"-"&amp;$M57&amp;"_new",Ammortamento_Finanziario!$H:$L,5,FALSE),VLOOKUP($M57,TT_Tabelle_Riferimento!$D$127:$H$164,5,FALSE))</f>
        <v>5</v>
      </c>
      <c r="QF57" s="904">
        <f>+IFERROR(VLOOKUP(QF$27&amp;"-"&amp;$M57&amp;"_new",Ammortamento_Finanziario!$H:$L,5,FALSE),VLOOKUP($M57,TT_Tabelle_Riferimento!$D$127:$H$164,5,FALSE))</f>
        <v>5</v>
      </c>
      <c r="QG57" s="904">
        <f>+IFERROR(VLOOKUP(QG$27&amp;"-"&amp;$M57&amp;"_new",Ammortamento_Finanziario!$H:$L,5,FALSE),VLOOKUP($M57,TT_Tabelle_Riferimento!$D$127:$H$164,5,FALSE))</f>
        <v>5</v>
      </c>
      <c r="QH57" s="1762">
        <f>+IFERROR(VLOOKUP(QH$27&amp;"-"&amp;$M57&amp;"_new",Ammortamento_Finanziario!$H:$L,5,FALSE),VLOOKUP($M57,TT_Tabelle_Riferimento!$D$127:$H$164,5,FALSE))</f>
        <v>5</v>
      </c>
      <c r="QI57" s="1762">
        <f>+IFERROR(VLOOKUP(QI$27&amp;"-"&amp;$M57&amp;"_new",Ammortamento_Finanziario!$H:$L,5,FALSE),VLOOKUP($M57,TT_Tabelle_Riferimento!$D$127:$H$164,5,FALSE))</f>
        <v>5</v>
      </c>
      <c r="QJ57" s="904">
        <f>+IFERROR(VLOOKUP(QJ$27&amp;"-"&amp;$M57&amp;"_new",Ammortamento_Finanziario!$H:$L,5,FALSE),VLOOKUP($M57,TT_Tabelle_Riferimento!$D$127:$H$164,5,FALSE))</f>
        <v>5</v>
      </c>
      <c r="QK57" s="904">
        <f>+IFERROR(VLOOKUP(QK$27&amp;"-"&amp;$M57&amp;"_new",Ammortamento_Finanziario!$H:$L,5,FALSE),VLOOKUP($M57,TT_Tabelle_Riferimento!$D$127:$H$164,5,FALSE))</f>
        <v>5</v>
      </c>
      <c r="QL57" s="904">
        <f>+IFERROR(VLOOKUP(QL$27&amp;"-"&amp;$M57&amp;"_new",Ammortamento_Finanziario!$H:$L,5,FALSE),VLOOKUP($M57,TT_Tabelle_Riferimento!$D$127:$H$164,5,FALSE))</f>
        <v>5</v>
      </c>
      <c r="QM57" s="904">
        <f>+IFERROR(VLOOKUP(QM$27&amp;"-"&amp;$M57&amp;"_new",Ammortamento_Finanziario!$H:$L,5,FALSE),VLOOKUP($M57,TT_Tabelle_Riferimento!$D$127:$H$164,5,FALSE))</f>
        <v>5</v>
      </c>
      <c r="QN57" s="904">
        <f>+IFERROR(VLOOKUP(QN$27&amp;"-"&amp;$M57&amp;"_new",Ammortamento_Finanziario!$H:$L,5,FALSE),VLOOKUP($M57,TT_Tabelle_Riferimento!$D$127:$H$164,5,FALSE))</f>
        <v>5</v>
      </c>
      <c r="QO57" s="904">
        <f>+IFERROR(VLOOKUP(QO$27&amp;"-"&amp;$M57&amp;"_new",Ammortamento_Finanziario!$H:$L,5,FALSE),VLOOKUP($M57,TT_Tabelle_Riferimento!$D$127:$H$164,5,FALSE))</f>
        <v>5</v>
      </c>
      <c r="QP57" s="904">
        <f>+IFERROR(VLOOKUP(QP$27&amp;"-"&amp;$M57&amp;"_new",Ammortamento_Finanziario!$H:$L,5,FALSE),VLOOKUP($M57,TT_Tabelle_Riferimento!$D$127:$H$164,5,FALSE))</f>
        <v>5</v>
      </c>
      <c r="QQ57" s="904">
        <f>+IFERROR(VLOOKUP(QQ$27&amp;"-"&amp;$M57&amp;"_new",Ammortamento_Finanziario!$H:$L,5,FALSE),VLOOKUP($M57,TT_Tabelle_Riferimento!$D$127:$H$164,5,FALSE))</f>
        <v>5</v>
      </c>
      <c r="QR57" s="904">
        <f>+IFERROR(VLOOKUP(QR$27&amp;"-"&amp;$M57&amp;"_new",Ammortamento_Finanziario!$H:$L,5,FALSE),VLOOKUP($M57,TT_Tabelle_Riferimento!$D$127:$H$164,5,FALSE))</f>
        <v>5</v>
      </c>
      <c r="QS57" s="904">
        <f>+IFERROR(VLOOKUP(QS$27&amp;"-"&amp;$M57&amp;"_new",Ammortamento_Finanziario!$H:$L,5,FALSE),VLOOKUP($M57,TT_Tabelle_Riferimento!$D$127:$H$164,5,FALSE))</f>
        <v>5</v>
      </c>
      <c r="QT57" s="904">
        <f>+IFERROR(VLOOKUP(QT$27&amp;"-"&amp;$M57&amp;"_new",Ammortamento_Finanziario!$H:$L,5,FALSE),VLOOKUP($M57,TT_Tabelle_Riferimento!$D$127:$H$164,5,FALSE))</f>
        <v>5</v>
      </c>
      <c r="QU57" s="904">
        <f>+IFERROR(VLOOKUP(QU$27&amp;"-"&amp;$M57&amp;"_new",Ammortamento_Finanziario!$H:$L,5,FALSE),VLOOKUP($M57,TT_Tabelle_Riferimento!$D$127:$H$164,5,FALSE))</f>
        <v>5</v>
      </c>
      <c r="QV57" s="904">
        <f>+IFERROR(VLOOKUP(QV$27&amp;"-"&amp;$M57&amp;"_new",Ammortamento_Finanziario!$H:$L,5,FALSE),VLOOKUP($M57,TT_Tabelle_Riferimento!$D$127:$H$164,5,FALSE))</f>
        <v>5</v>
      </c>
      <c r="QW57" s="904">
        <f>+IFERROR(VLOOKUP(QW$27&amp;"-"&amp;$M57&amp;"_new",Ammortamento_Finanziario!$H:$L,5,FALSE),VLOOKUP($M57,TT_Tabelle_Riferimento!$D$127:$H$164,5,FALSE))</f>
        <v>5</v>
      </c>
      <c r="QX57" s="904">
        <f>+IFERROR(VLOOKUP(QX$27&amp;"-"&amp;$M57&amp;"_new",Ammortamento_Finanziario!$H:$L,5,FALSE),VLOOKUP($M57,TT_Tabelle_Riferimento!$D$127:$H$164,5,FALSE))</f>
        <v>5</v>
      </c>
      <c r="QY57" s="904">
        <f>+IFERROR(VLOOKUP(QY$27&amp;"-"&amp;$M57&amp;"_new",Ammortamento_Finanziario!$H:$L,5,FALSE),VLOOKUP($M57,TT_Tabelle_Riferimento!$D$127:$H$164,5,FALSE))</f>
        <v>5</v>
      </c>
      <c r="QZ57" s="904">
        <f>+IFERROR(VLOOKUP(QZ$27&amp;"-"&amp;$M57&amp;"_new",Ammortamento_Finanziario!$H:$L,5,FALSE),VLOOKUP($M57,TT_Tabelle_Riferimento!$D$127:$H$164,5,FALSE))</f>
        <v>5</v>
      </c>
      <c r="RA57" s="904">
        <f>+IFERROR(VLOOKUP(RA$27&amp;"-"&amp;$M57&amp;"_new",Ammortamento_Finanziario!$H:$L,5,FALSE),VLOOKUP($M57,TT_Tabelle_Riferimento!$D$127:$H$164,5,FALSE))</f>
        <v>5</v>
      </c>
      <c r="RB57" s="904">
        <f>+IFERROR(VLOOKUP(RB$27&amp;"-"&amp;$M57&amp;"_new",Ammortamento_Finanziario!$H:$L,5,FALSE),VLOOKUP($M57,TT_Tabelle_Riferimento!$D$127:$H$164,5,FALSE))</f>
        <v>5</v>
      </c>
      <c r="RC57" s="1762">
        <f>+IFERROR(VLOOKUP(RC$27&amp;"-"&amp;$M57&amp;"_new",Ammortamento_Finanziario!$H:$L,5,FALSE),VLOOKUP($M57,TT_Tabelle_Riferimento!$D$127:$H$164,5,FALSE))</f>
        <v>5</v>
      </c>
      <c r="RD57" s="904">
        <f>+IFERROR(VLOOKUP(RD$27&amp;"-"&amp;$M57&amp;"_new",Ammortamento_Finanziario!$H:$L,5,FALSE),VLOOKUP($M57,TT_Tabelle_Riferimento!$D$127:$H$164,5,FALSE))</f>
        <v>5</v>
      </c>
      <c r="RE57" s="904">
        <f>+IFERROR(VLOOKUP(RE$27&amp;"-"&amp;$M57&amp;"_new",Ammortamento_Finanziario!$H:$L,5,FALSE),VLOOKUP($M57,TT_Tabelle_Riferimento!$D$127:$H$164,5,FALSE))</f>
        <v>5</v>
      </c>
      <c r="RF57" s="904">
        <f>+IFERROR(VLOOKUP(RF$27&amp;"-"&amp;$M57&amp;"_new",Ammortamento_Finanziario!$H:$L,5,FALSE),VLOOKUP($M57,TT_Tabelle_Riferimento!$D$127:$H$164,5,FALSE))</f>
        <v>5</v>
      </c>
      <c r="RG57" s="904">
        <f>+IFERROR(VLOOKUP(RG$27&amp;"-"&amp;$M57&amp;"_new",Ammortamento_Finanziario!$H:$L,5,FALSE),VLOOKUP($M57,TT_Tabelle_Riferimento!$D$127:$H$164,5,FALSE))</f>
        <v>5</v>
      </c>
      <c r="RH57" s="904">
        <f>+IFERROR(VLOOKUP(RH$27&amp;"-"&amp;$M57&amp;"_new",Ammortamento_Finanziario!$H:$L,5,FALSE),VLOOKUP($M57,TT_Tabelle_Riferimento!$D$127:$H$164,5,FALSE))</f>
        <v>5</v>
      </c>
      <c r="RI57" s="904">
        <f>+IFERROR(VLOOKUP(RI$27&amp;"-"&amp;$M57&amp;"_new",Ammortamento_Finanziario!$H:$L,5,FALSE),VLOOKUP($M57,TT_Tabelle_Riferimento!$D$127:$H$164,5,FALSE))</f>
        <v>5</v>
      </c>
      <c r="RJ57" s="904">
        <f>+IFERROR(VLOOKUP(RJ$27&amp;"-"&amp;$M57&amp;"_new",Ammortamento_Finanziario!$H:$L,5,FALSE),VLOOKUP($M57,TT_Tabelle_Riferimento!$D$127:$H$164,5,FALSE))</f>
        <v>5</v>
      </c>
      <c r="RK57" s="904">
        <f>+IFERROR(VLOOKUP(RK$27&amp;"-"&amp;$M57&amp;"_new",Ammortamento_Finanziario!$H:$L,5,FALSE),VLOOKUP($M57,TT_Tabelle_Riferimento!$D$127:$H$164,5,FALSE))</f>
        <v>5</v>
      </c>
      <c r="RL57" s="904">
        <f>+IFERROR(VLOOKUP(RL$27&amp;"-"&amp;$M57&amp;"_new",Ammortamento_Finanziario!$H:$L,5,FALSE),VLOOKUP($M57,TT_Tabelle_Riferimento!$D$127:$H$164,5,FALSE))</f>
        <v>5</v>
      </c>
      <c r="RM57" s="904">
        <f>+IFERROR(VLOOKUP(RM$27&amp;"-"&amp;$M57&amp;"_new",Ammortamento_Finanziario!$H:$L,5,FALSE),VLOOKUP($M57,TT_Tabelle_Riferimento!$D$127:$H$164,5,FALSE))</f>
        <v>5</v>
      </c>
      <c r="RN57" s="904">
        <f>+IFERROR(VLOOKUP(RN$27&amp;"-"&amp;$M57&amp;"_new",Ammortamento_Finanziario!$H:$L,5,FALSE),VLOOKUP($M57,TT_Tabelle_Riferimento!$D$127:$H$164,5,FALSE))</f>
        <v>5</v>
      </c>
      <c r="RO57" s="904">
        <f>+IFERROR(VLOOKUP(RO$27&amp;"-"&amp;$M57&amp;"_new",Ammortamento_Finanziario!$H:$L,5,FALSE),VLOOKUP($M57,TT_Tabelle_Riferimento!$D$127:$H$164,5,FALSE))</f>
        <v>5</v>
      </c>
      <c r="RP57" s="904">
        <f>+IFERROR(VLOOKUP(RP$27&amp;"-"&amp;$M57&amp;"_new",Ammortamento_Finanziario!$H:$L,5,FALSE),VLOOKUP($M57,TT_Tabelle_Riferimento!$D$127:$H$164,5,FALSE))</f>
        <v>5</v>
      </c>
      <c r="RQ57" s="904">
        <f>+IFERROR(VLOOKUP(RQ$27&amp;"-"&amp;$M57&amp;"_new",Ammortamento_Finanziario!$H:$L,5,FALSE),VLOOKUP($M57,TT_Tabelle_Riferimento!$D$127:$H$164,5,FALSE))</f>
        <v>5</v>
      </c>
      <c r="RR57" s="904">
        <f>+IFERROR(VLOOKUP(RR$27&amp;"-"&amp;$M57&amp;"_new",Ammortamento_Finanziario!$H:$L,5,FALSE),VLOOKUP($M57,TT_Tabelle_Riferimento!$D$127:$H$164,5,FALSE))</f>
        <v>5</v>
      </c>
      <c r="RS57" s="904">
        <f>+IFERROR(VLOOKUP(RS$27&amp;"-"&amp;$M57&amp;"_new",Ammortamento_Finanziario!$H:$L,5,FALSE),VLOOKUP($M57,TT_Tabelle_Riferimento!$D$127:$H$164,5,FALSE))</f>
        <v>5</v>
      </c>
      <c r="RT57" s="904">
        <f>+IFERROR(VLOOKUP(RT$27&amp;"-"&amp;$M57&amp;"_new",Ammortamento_Finanziario!$H:$L,5,FALSE),VLOOKUP($M57,TT_Tabelle_Riferimento!$D$127:$H$164,5,FALSE))</f>
        <v>5</v>
      </c>
      <c r="RU57" s="904">
        <f>+IFERROR(VLOOKUP(RU$27&amp;"-"&amp;$M57&amp;"_new",Ammortamento_Finanziario!$H:$L,5,FALSE),VLOOKUP($M57,TT_Tabelle_Riferimento!$D$127:$H$164,5,FALSE))</f>
        <v>5</v>
      </c>
      <c r="RV57" s="904">
        <f>+IFERROR(VLOOKUP(RV$27&amp;"-"&amp;$M57&amp;"_new",Ammortamento_Finanziario!$H:$L,5,FALSE),VLOOKUP($M57,TT_Tabelle_Riferimento!$D$127:$H$164,5,FALSE))</f>
        <v>5</v>
      </c>
    </row>
    <row r="58" spans="4:490">
      <c r="D58" s="135" t="s">
        <v>22700</v>
      </c>
      <c r="E58" s="719">
        <f>+SUMIFS(IMN_gestore!U:U,IMN_gestore!$G:$G,"Res")</f>
        <v>0</v>
      </c>
      <c r="F58" s="719">
        <f>+SUMIFS(IMN_gestore!AF:AF,IMN_gestore!$G:$G,"Res")</f>
        <v>0</v>
      </c>
      <c r="G58" s="719">
        <f>+SUMIFS(IMN_gestore!AQ:AQ,IMN_gestore!$G:$G,"Res")</f>
        <v>0</v>
      </c>
      <c r="H58" s="719">
        <f>+SUMIFS(IMN_gestore!BB:BB,IMN_gestore!$G:$G,"Res")</f>
        <v>0</v>
      </c>
      <c r="I58" s="719">
        <f>+SUMIFS(IMN_gestore!$BM:$BM,IMN_gestore!$G:$G,"Res")</f>
        <v>0</v>
      </c>
      <c r="J58" s="719">
        <f>+SUMIFS(IMN_gestore!$BX:$BX,IMN_gestore!$G:$G,"Res")</f>
        <v>0</v>
      </c>
      <c r="K58" s="5"/>
      <c r="L58" s="5"/>
      <c r="M58" s="1756">
        <v>31</v>
      </c>
      <c r="N58" s="1759">
        <v>0</v>
      </c>
      <c r="O58" s="1759">
        <v>0</v>
      </c>
      <c r="P58" s="1759">
        <v>0</v>
      </c>
      <c r="Q58" s="1759">
        <v>0</v>
      </c>
      <c r="R58" s="1759">
        <v>0</v>
      </c>
      <c r="S58" s="1759">
        <v>0</v>
      </c>
      <c r="T58" s="1759">
        <v>0</v>
      </c>
      <c r="U58" s="1759">
        <v>0</v>
      </c>
      <c r="V58" s="1759">
        <v>0</v>
      </c>
      <c r="W58" s="1759">
        <v>0</v>
      </c>
      <c r="X58" s="1759">
        <v>0</v>
      </c>
      <c r="Y58" s="1759">
        <v>0</v>
      </c>
      <c r="Z58" s="1759">
        <v>0</v>
      </c>
      <c r="AA58" s="1759">
        <v>0</v>
      </c>
      <c r="AB58" s="1759">
        <v>0</v>
      </c>
      <c r="AC58" s="1759">
        <v>0</v>
      </c>
      <c r="AD58" s="1759">
        <v>0</v>
      </c>
      <c r="AE58" s="1759">
        <v>0</v>
      </c>
      <c r="AF58" s="1759">
        <v>0</v>
      </c>
      <c r="AG58" s="1759">
        <v>0</v>
      </c>
      <c r="AH58" s="1759">
        <v>0</v>
      </c>
      <c r="AI58" s="1759">
        <v>0</v>
      </c>
      <c r="AJ58" s="1759">
        <v>0</v>
      </c>
      <c r="AK58" s="1759">
        <v>0</v>
      </c>
      <c r="AL58" s="1759">
        <v>0</v>
      </c>
      <c r="AM58" s="1759">
        <v>0</v>
      </c>
      <c r="AN58" s="1759">
        <v>0</v>
      </c>
      <c r="AO58" s="1759">
        <v>0</v>
      </c>
      <c r="AP58" s="1759">
        <v>0</v>
      </c>
      <c r="AQ58" s="1759">
        <v>0</v>
      </c>
      <c r="AR58" s="1759">
        <v>0</v>
      </c>
      <c r="AS58" s="1759">
        <v>0</v>
      </c>
      <c r="AT58" s="1759">
        <v>0</v>
      </c>
      <c r="AU58" s="1759">
        <v>0</v>
      </c>
      <c r="AV58" s="1759">
        <v>0</v>
      </c>
      <c r="AW58" s="1759">
        <v>0</v>
      </c>
      <c r="AX58" s="1759">
        <v>0</v>
      </c>
      <c r="AY58" s="1759">
        <v>0</v>
      </c>
      <c r="AZ58" s="1759">
        <v>0</v>
      </c>
      <c r="BA58" s="1759">
        <v>0</v>
      </c>
      <c r="BB58" s="1759">
        <v>0</v>
      </c>
      <c r="BC58" s="1759">
        <v>0</v>
      </c>
      <c r="BD58" s="1759">
        <v>0</v>
      </c>
      <c r="BE58" s="1759">
        <v>0</v>
      </c>
      <c r="BF58" s="1759">
        <v>0</v>
      </c>
      <c r="BG58" s="1759">
        <v>0</v>
      </c>
      <c r="BH58" s="1759">
        <v>0</v>
      </c>
      <c r="BI58" s="1759">
        <v>0</v>
      </c>
      <c r="BJ58" s="1759">
        <v>0</v>
      </c>
      <c r="BK58" s="1759">
        <v>0</v>
      </c>
      <c r="BL58" s="1759">
        <v>0</v>
      </c>
      <c r="BM58" s="1759">
        <v>0</v>
      </c>
      <c r="BN58" s="1759">
        <v>0</v>
      </c>
      <c r="BO58" s="1759">
        <v>0</v>
      </c>
      <c r="BP58" s="1759">
        <v>0</v>
      </c>
      <c r="BQ58" s="1759">
        <v>0</v>
      </c>
      <c r="BR58" s="1759">
        <v>0</v>
      </c>
      <c r="BS58" s="1759">
        <v>0</v>
      </c>
      <c r="BT58" s="1759">
        <v>0</v>
      </c>
      <c r="BU58" s="1759">
        <v>0</v>
      </c>
      <c r="BV58" s="1759">
        <v>0</v>
      </c>
      <c r="BW58" s="1759">
        <v>0</v>
      </c>
      <c r="BX58" s="1759">
        <v>0</v>
      </c>
      <c r="BY58" s="1759">
        <v>0</v>
      </c>
      <c r="BZ58" s="1759">
        <v>0</v>
      </c>
      <c r="CA58" s="1759">
        <v>0</v>
      </c>
      <c r="CB58" s="1759">
        <v>0</v>
      </c>
      <c r="CC58" s="1759">
        <v>0</v>
      </c>
      <c r="CD58" s="1759">
        <v>0</v>
      </c>
      <c r="CE58" s="1759">
        <v>0</v>
      </c>
      <c r="CF58" s="1759">
        <v>0</v>
      </c>
      <c r="CG58" s="1759">
        <v>0</v>
      </c>
      <c r="CH58" s="1759">
        <v>0</v>
      </c>
      <c r="CI58" s="1759">
        <v>0</v>
      </c>
      <c r="CJ58" s="1759">
        <v>0</v>
      </c>
      <c r="CK58" s="1759">
        <v>0</v>
      </c>
      <c r="CL58" s="1759">
        <v>0</v>
      </c>
      <c r="CM58" s="1759">
        <v>0</v>
      </c>
      <c r="CN58" s="1759">
        <v>0</v>
      </c>
      <c r="CO58" s="1759">
        <v>0</v>
      </c>
      <c r="CP58" s="1759">
        <v>0</v>
      </c>
      <c r="CQ58" s="1759">
        <v>0</v>
      </c>
      <c r="CR58" s="1759">
        <v>0</v>
      </c>
      <c r="CS58" s="1759">
        <v>0</v>
      </c>
      <c r="CT58" s="1759">
        <v>0</v>
      </c>
      <c r="CU58" s="1759">
        <v>0</v>
      </c>
      <c r="CV58" s="1759">
        <v>0</v>
      </c>
      <c r="CW58" s="1759">
        <v>0</v>
      </c>
      <c r="CX58" s="1759">
        <v>0</v>
      </c>
      <c r="CY58" s="1759">
        <v>0</v>
      </c>
      <c r="CZ58" s="1759">
        <v>0</v>
      </c>
      <c r="DA58" s="1759">
        <v>0</v>
      </c>
      <c r="DB58" s="1759">
        <v>0</v>
      </c>
      <c r="DC58" s="1759">
        <v>0</v>
      </c>
      <c r="DD58" s="1759">
        <v>0</v>
      </c>
      <c r="DE58" s="1759">
        <v>0</v>
      </c>
      <c r="DF58" s="1759">
        <v>0</v>
      </c>
      <c r="DG58" s="1759">
        <v>0</v>
      </c>
      <c r="DH58" s="1759">
        <v>0</v>
      </c>
      <c r="DI58" s="1759">
        <v>0</v>
      </c>
      <c r="DJ58" s="1759">
        <v>0</v>
      </c>
      <c r="DK58" s="1759">
        <v>0</v>
      </c>
      <c r="DL58" s="1759">
        <v>0</v>
      </c>
      <c r="DM58" s="1759">
        <v>0</v>
      </c>
      <c r="DN58" s="1759">
        <v>0</v>
      </c>
      <c r="DO58" s="1759">
        <v>0</v>
      </c>
      <c r="DP58" s="1759">
        <v>0</v>
      </c>
      <c r="DQ58" s="1759">
        <v>0</v>
      </c>
      <c r="DR58" s="1759">
        <v>0</v>
      </c>
      <c r="DS58" s="1759">
        <v>0</v>
      </c>
      <c r="DT58" s="1759">
        <v>0</v>
      </c>
      <c r="DU58" s="1759">
        <v>0</v>
      </c>
      <c r="DV58" s="1759">
        <v>0</v>
      </c>
      <c r="DW58" s="1759">
        <v>0</v>
      </c>
      <c r="DX58" s="1759">
        <v>0</v>
      </c>
      <c r="DY58" s="1759">
        <v>0</v>
      </c>
      <c r="DZ58" s="1759">
        <v>0</v>
      </c>
      <c r="EA58" s="1759">
        <v>0</v>
      </c>
      <c r="EB58" s="1759">
        <v>0</v>
      </c>
      <c r="EC58" s="1759">
        <v>0</v>
      </c>
      <c r="ED58" s="1759">
        <v>0</v>
      </c>
      <c r="EE58" s="1759">
        <v>0</v>
      </c>
      <c r="EF58" s="1759">
        <v>0</v>
      </c>
      <c r="EG58" s="1759">
        <v>0</v>
      </c>
      <c r="EH58" s="1759">
        <v>0</v>
      </c>
      <c r="EI58" s="1759">
        <v>0</v>
      </c>
      <c r="EJ58" s="1759">
        <v>0</v>
      </c>
      <c r="EK58" s="1759">
        <v>0</v>
      </c>
      <c r="EL58" s="1759">
        <v>0</v>
      </c>
      <c r="EM58" s="1759">
        <v>0</v>
      </c>
      <c r="EN58" s="1759">
        <v>0</v>
      </c>
      <c r="EO58" s="1759">
        <v>0</v>
      </c>
      <c r="EP58" s="1759">
        <v>0</v>
      </c>
      <c r="EQ58" s="1759">
        <v>0</v>
      </c>
      <c r="ER58" s="1759">
        <v>0</v>
      </c>
      <c r="ES58" s="1759">
        <v>0</v>
      </c>
      <c r="ET58" s="1759">
        <v>0</v>
      </c>
      <c r="EU58" s="1759">
        <v>0</v>
      </c>
      <c r="EV58" s="1759">
        <v>0</v>
      </c>
      <c r="EW58" s="1759">
        <v>0</v>
      </c>
      <c r="EX58" s="1759">
        <v>0</v>
      </c>
      <c r="EY58" s="1759">
        <v>0</v>
      </c>
      <c r="EZ58" s="1759">
        <v>0</v>
      </c>
      <c r="FA58" s="1759">
        <v>0</v>
      </c>
      <c r="FB58" s="1759">
        <v>0</v>
      </c>
      <c r="FC58" s="1759">
        <v>0</v>
      </c>
      <c r="FD58" s="1759">
        <v>0</v>
      </c>
      <c r="FE58" s="1759">
        <v>0</v>
      </c>
      <c r="FF58" s="1759">
        <v>0</v>
      </c>
      <c r="FG58" s="1759">
        <v>0</v>
      </c>
      <c r="FH58" s="1759">
        <v>0</v>
      </c>
      <c r="FI58" s="1759">
        <v>0</v>
      </c>
      <c r="FJ58" s="1759">
        <v>0</v>
      </c>
      <c r="FK58" s="1759">
        <v>0</v>
      </c>
      <c r="FL58" s="1759">
        <v>0</v>
      </c>
      <c r="FM58" s="1759">
        <v>0</v>
      </c>
      <c r="FN58" s="1759">
        <v>0</v>
      </c>
      <c r="FO58" s="1759">
        <v>0</v>
      </c>
      <c r="FP58" s="1759">
        <v>0</v>
      </c>
      <c r="FQ58" s="1759">
        <v>0</v>
      </c>
      <c r="FR58" s="1759">
        <v>0</v>
      </c>
      <c r="FS58" s="1759">
        <v>0</v>
      </c>
      <c r="FT58" s="1759">
        <v>0</v>
      </c>
      <c r="FU58" s="1759">
        <v>0</v>
      </c>
      <c r="FV58" s="1759">
        <v>0</v>
      </c>
      <c r="FW58" s="1759">
        <v>0</v>
      </c>
      <c r="FX58" s="1759">
        <v>0</v>
      </c>
      <c r="FY58" s="1759">
        <v>0</v>
      </c>
      <c r="FZ58" s="1759">
        <v>0</v>
      </c>
      <c r="GA58" s="1759">
        <v>0</v>
      </c>
      <c r="GB58" s="1759">
        <v>0</v>
      </c>
      <c r="GC58" s="1759">
        <v>0</v>
      </c>
      <c r="GD58" s="1759">
        <v>0</v>
      </c>
      <c r="GE58" s="1759">
        <v>0</v>
      </c>
      <c r="GF58" s="1759">
        <v>0</v>
      </c>
      <c r="GG58" s="1759">
        <v>0</v>
      </c>
      <c r="GH58" s="1759">
        <v>0</v>
      </c>
      <c r="GI58" s="1759">
        <v>0</v>
      </c>
      <c r="GJ58" s="1759">
        <v>0</v>
      </c>
      <c r="GK58" s="1759">
        <v>0</v>
      </c>
      <c r="GL58" s="1759">
        <v>0</v>
      </c>
      <c r="GM58" s="1759">
        <v>0</v>
      </c>
      <c r="GN58" s="1759">
        <v>0</v>
      </c>
      <c r="GO58" s="1759">
        <v>0</v>
      </c>
      <c r="GP58" s="1759">
        <v>0</v>
      </c>
      <c r="GQ58" s="1759">
        <v>0</v>
      </c>
      <c r="GR58" s="1759">
        <v>0</v>
      </c>
      <c r="GS58" s="1759">
        <v>0</v>
      </c>
      <c r="GT58" s="1759">
        <v>0</v>
      </c>
      <c r="GU58" s="1759">
        <v>0</v>
      </c>
      <c r="GV58" s="1759">
        <v>0</v>
      </c>
      <c r="GW58" s="1759">
        <v>0</v>
      </c>
      <c r="GX58" s="1759">
        <v>0</v>
      </c>
      <c r="GY58" s="1759">
        <v>0</v>
      </c>
      <c r="GZ58" s="1759">
        <v>0</v>
      </c>
      <c r="HA58" s="1759">
        <v>0</v>
      </c>
      <c r="HB58" s="1759">
        <v>0</v>
      </c>
      <c r="HC58" s="1759">
        <v>0</v>
      </c>
      <c r="HD58" s="1759">
        <v>0</v>
      </c>
      <c r="HE58" s="1759">
        <v>0</v>
      </c>
      <c r="HF58" s="1759">
        <v>0</v>
      </c>
      <c r="HG58" s="1759">
        <v>0</v>
      </c>
      <c r="HH58" s="1759">
        <v>0</v>
      </c>
      <c r="HI58" s="1759">
        <v>0</v>
      </c>
      <c r="HJ58" s="1759">
        <v>0</v>
      </c>
      <c r="HK58" s="1759">
        <v>0</v>
      </c>
      <c r="HL58" s="1759">
        <v>0</v>
      </c>
      <c r="HM58" s="1759">
        <v>0</v>
      </c>
      <c r="HN58" s="1759">
        <v>0</v>
      </c>
      <c r="HO58" s="1759">
        <v>0</v>
      </c>
      <c r="HP58" s="1759">
        <v>0</v>
      </c>
      <c r="HQ58" s="1759">
        <v>0</v>
      </c>
      <c r="HR58" s="1759">
        <v>0</v>
      </c>
      <c r="HS58" s="1759">
        <v>0</v>
      </c>
      <c r="HT58" s="1759">
        <v>0</v>
      </c>
      <c r="HU58" s="1759">
        <v>0</v>
      </c>
      <c r="HV58" s="1759">
        <v>0</v>
      </c>
      <c r="HW58" s="1759">
        <v>0</v>
      </c>
      <c r="HX58" s="1759">
        <v>0</v>
      </c>
      <c r="HY58" s="1759">
        <v>0</v>
      </c>
      <c r="HZ58" s="1759">
        <v>0</v>
      </c>
      <c r="IA58" s="1759">
        <v>0</v>
      </c>
      <c r="IB58" s="1759">
        <v>0</v>
      </c>
      <c r="IC58" s="1759">
        <v>0</v>
      </c>
      <c r="ID58" s="1759">
        <v>0</v>
      </c>
      <c r="IE58" s="1759">
        <v>0</v>
      </c>
      <c r="IF58" s="1759">
        <v>0</v>
      </c>
      <c r="IG58" s="1759">
        <v>0</v>
      </c>
      <c r="IH58" s="1759">
        <v>0</v>
      </c>
      <c r="II58" s="1759">
        <v>0</v>
      </c>
      <c r="IJ58" s="1759">
        <v>0</v>
      </c>
      <c r="IK58" s="1759">
        <v>0</v>
      </c>
      <c r="IL58" s="1759">
        <v>0</v>
      </c>
      <c r="IM58" s="1759">
        <v>0</v>
      </c>
      <c r="IN58" s="1759">
        <v>0</v>
      </c>
      <c r="IO58" s="1759">
        <v>0</v>
      </c>
      <c r="IP58" s="1759">
        <v>0</v>
      </c>
      <c r="IQ58" s="1759">
        <v>0</v>
      </c>
      <c r="IR58" s="1759">
        <v>0</v>
      </c>
      <c r="IS58" s="1759">
        <v>0</v>
      </c>
      <c r="IT58" s="1759">
        <v>0</v>
      </c>
      <c r="IU58" s="1759">
        <v>0</v>
      </c>
      <c r="IV58" s="1759">
        <v>0</v>
      </c>
      <c r="IW58" s="1759">
        <v>0</v>
      </c>
      <c r="IX58" s="1759">
        <v>0</v>
      </c>
      <c r="IY58" s="1759">
        <v>0</v>
      </c>
      <c r="IZ58" s="1759">
        <v>0</v>
      </c>
      <c r="JA58" s="1759">
        <v>0</v>
      </c>
      <c r="JB58" s="1759">
        <v>0</v>
      </c>
      <c r="JC58" s="1759">
        <v>0</v>
      </c>
      <c r="JD58" s="1759">
        <v>0</v>
      </c>
      <c r="JE58" s="1759">
        <v>0</v>
      </c>
      <c r="JF58" s="1759">
        <v>0</v>
      </c>
      <c r="JG58" s="1759">
        <v>0</v>
      </c>
      <c r="JH58" s="1759">
        <v>0</v>
      </c>
      <c r="JI58" s="1759">
        <v>0</v>
      </c>
      <c r="JJ58" s="1759">
        <v>0</v>
      </c>
      <c r="JK58" s="1759">
        <v>0</v>
      </c>
      <c r="JL58" s="1759">
        <v>0</v>
      </c>
      <c r="JM58" s="1759">
        <v>0</v>
      </c>
      <c r="JN58" s="1759">
        <v>0</v>
      </c>
      <c r="JO58" s="1759">
        <v>0</v>
      </c>
      <c r="JP58" s="1759">
        <v>0</v>
      </c>
      <c r="JQ58" s="1759">
        <v>0</v>
      </c>
      <c r="JR58" s="1759">
        <v>0</v>
      </c>
      <c r="JS58" s="1759">
        <v>0</v>
      </c>
      <c r="JT58" s="1759">
        <v>0</v>
      </c>
      <c r="JU58" s="1759">
        <v>0</v>
      </c>
      <c r="JV58" s="1759">
        <v>0</v>
      </c>
      <c r="JW58" s="1759">
        <v>0</v>
      </c>
      <c r="JX58" s="1759">
        <v>0</v>
      </c>
      <c r="JY58" s="1759">
        <v>0</v>
      </c>
      <c r="JZ58" s="1759">
        <v>0</v>
      </c>
      <c r="KA58" s="1759">
        <v>0</v>
      </c>
      <c r="KB58" s="1759">
        <v>0</v>
      </c>
      <c r="KC58" s="1759">
        <v>0</v>
      </c>
      <c r="KD58" s="1759">
        <v>0</v>
      </c>
      <c r="KE58" s="1759">
        <v>0</v>
      </c>
      <c r="KF58" s="1759">
        <v>0</v>
      </c>
      <c r="KG58" s="1759">
        <v>0</v>
      </c>
      <c r="KH58" s="1759">
        <v>0</v>
      </c>
      <c r="KI58" s="1759">
        <v>0</v>
      </c>
      <c r="KJ58" s="1759">
        <v>0</v>
      </c>
      <c r="KK58" s="1759">
        <v>0</v>
      </c>
      <c r="KL58" s="1759">
        <v>0</v>
      </c>
      <c r="KM58" s="1759">
        <v>0</v>
      </c>
      <c r="KN58" s="1759">
        <v>0</v>
      </c>
      <c r="KO58" s="1759">
        <v>0</v>
      </c>
      <c r="KP58" s="1759">
        <v>0</v>
      </c>
      <c r="KQ58" s="904">
        <f>+IFERROR(VLOOKUP(KQ$27&amp;"-"&amp;$M58&amp;"_new",Ammortamento_Finanziario!$H:$L,5,FALSE),VLOOKUP($M58,TT_Tabelle_Riferimento!$D$127:$H$164,5,FALSE))</f>
        <v>8</v>
      </c>
      <c r="KR58" s="904">
        <f>+IFERROR(VLOOKUP(KR$27&amp;"-"&amp;$M58&amp;"_new",Ammortamento_Finanziario!$H:$L,5,FALSE),VLOOKUP($M58,TT_Tabelle_Riferimento!$D$127:$H$164,5,FALSE))</f>
        <v>8</v>
      </c>
      <c r="KS58" s="1762">
        <f>+IFERROR(VLOOKUP(KS$27&amp;"-"&amp;$M58&amp;"_new",Ammortamento_Finanziario!$H:$L,5,FALSE),VLOOKUP($M58,TT_Tabelle_Riferimento!$D$127:$H$164,5,FALSE))</f>
        <v>8</v>
      </c>
      <c r="KT58" s="1762">
        <f>+IFERROR(VLOOKUP(KT$27&amp;"-"&amp;$M58&amp;"_new",Ammortamento_Finanziario!$H:$L,5,FALSE),VLOOKUP($M58,TT_Tabelle_Riferimento!$D$127:$H$164,5,FALSE))</f>
        <v>8</v>
      </c>
      <c r="KU58" s="1762">
        <f>+IFERROR(VLOOKUP(KU$27&amp;"-"&amp;$M58&amp;"_new",Ammortamento_Finanziario!$H:$L,5,FALSE),VLOOKUP($M58,TT_Tabelle_Riferimento!$D$127:$H$164,5,FALSE))</f>
        <v>8</v>
      </c>
      <c r="KV58" s="1762">
        <f>+IFERROR(VLOOKUP(KV$27&amp;"-"&amp;$M58&amp;"_new",Ammortamento_Finanziario!$H:$L,5,FALSE),VLOOKUP($M58,TT_Tabelle_Riferimento!$D$127:$H$164,5,FALSE))</f>
        <v>8</v>
      </c>
      <c r="KW58" s="1762">
        <f>+IFERROR(VLOOKUP(KW$27&amp;"-"&amp;$M58&amp;"_new",Ammortamento_Finanziario!$H:$L,5,FALSE),VLOOKUP($M58,TT_Tabelle_Riferimento!$D$127:$H$164,5,FALSE))</f>
        <v>8</v>
      </c>
      <c r="KX58" s="1762">
        <f>+IFERROR(VLOOKUP(KX$27&amp;"-"&amp;$M58&amp;"_new",Ammortamento_Finanziario!$H:$L,5,FALSE),VLOOKUP($M58,TT_Tabelle_Riferimento!$D$127:$H$164,5,FALSE))</f>
        <v>8</v>
      </c>
      <c r="KY58" s="904">
        <f>+IFERROR(VLOOKUP(KY$27&amp;"-"&amp;$M58&amp;"_new",Ammortamento_Finanziario!$H:$L,5,FALSE),VLOOKUP($M58,TT_Tabelle_Riferimento!$D$127:$H$164,5,FALSE))</f>
        <v>8</v>
      </c>
      <c r="KZ58" s="904">
        <f>+IFERROR(VLOOKUP(KZ$27&amp;"-"&amp;$M58&amp;"_new",Ammortamento_Finanziario!$H:$L,5,FALSE),VLOOKUP($M58,TT_Tabelle_Riferimento!$D$127:$H$164,5,FALSE))</f>
        <v>8</v>
      </c>
      <c r="LA58" s="904">
        <f>+IFERROR(VLOOKUP(LA$27&amp;"-"&amp;$M58&amp;"_new",Ammortamento_Finanziario!$H:$L,5,FALSE),VLOOKUP($M58,TT_Tabelle_Riferimento!$D$127:$H$164,5,FALSE))</f>
        <v>8</v>
      </c>
      <c r="LB58" s="904">
        <f>+IFERROR(VLOOKUP(LB$27&amp;"-"&amp;$M58&amp;"_new",Ammortamento_Finanziario!$H:$L,5,FALSE),VLOOKUP($M58,TT_Tabelle_Riferimento!$D$127:$H$164,5,FALSE))</f>
        <v>8</v>
      </c>
      <c r="LC58" s="904">
        <f>+IFERROR(VLOOKUP(LC$27&amp;"-"&amp;$M58&amp;"_new",Ammortamento_Finanziario!$H:$L,5,FALSE),VLOOKUP($M58,TT_Tabelle_Riferimento!$D$127:$H$164,5,FALSE))</f>
        <v>8</v>
      </c>
      <c r="LD58" s="904">
        <f>+IFERROR(VLOOKUP(LD$27&amp;"-"&amp;$M58&amp;"_new",Ammortamento_Finanziario!$H:$L,5,FALSE),VLOOKUP($M58,TT_Tabelle_Riferimento!$D$127:$H$164,5,FALSE))</f>
        <v>8</v>
      </c>
      <c r="LE58" s="904">
        <f>+IFERROR(VLOOKUP(LE$27&amp;"-"&amp;$M58&amp;"_new",Ammortamento_Finanziario!$H:$L,5,FALSE),VLOOKUP($M58,TT_Tabelle_Riferimento!$D$127:$H$164,5,FALSE))</f>
        <v>8</v>
      </c>
      <c r="LF58" s="904">
        <f>+IFERROR(VLOOKUP(LF$27&amp;"-"&amp;$M58&amp;"_new",Ammortamento_Finanziario!$H:$L,5,FALSE),VLOOKUP($M58,TT_Tabelle_Riferimento!$D$127:$H$164,5,FALSE))</f>
        <v>8</v>
      </c>
      <c r="LG58" s="904">
        <f>+IFERROR(VLOOKUP(LG$27&amp;"-"&amp;$M58&amp;"_new",Ammortamento_Finanziario!$H:$L,5,FALSE),VLOOKUP($M58,TT_Tabelle_Riferimento!$D$127:$H$164,5,FALSE))</f>
        <v>8</v>
      </c>
      <c r="LH58" s="904">
        <f>+IFERROR(VLOOKUP(LH$27&amp;"-"&amp;$M58&amp;"_new",Ammortamento_Finanziario!$H:$L,5,FALSE),VLOOKUP($M58,TT_Tabelle_Riferimento!$D$127:$H$164,5,FALSE))</f>
        <v>8</v>
      </c>
      <c r="LI58" s="904">
        <f>+IFERROR(VLOOKUP(LI$27&amp;"-"&amp;$M58&amp;"_new",Ammortamento_Finanziario!$H:$L,5,FALSE),VLOOKUP($M58,TT_Tabelle_Riferimento!$D$127:$H$164,5,FALSE))</f>
        <v>8</v>
      </c>
      <c r="LJ58" s="904">
        <f>+IFERROR(VLOOKUP(LJ$27&amp;"-"&amp;$M58&amp;"_new",Ammortamento_Finanziario!$H:$L,5,FALSE),VLOOKUP($M58,TT_Tabelle_Riferimento!$D$127:$H$164,5,FALSE))</f>
        <v>8</v>
      </c>
      <c r="LK58" s="904">
        <f>+IFERROR(VLOOKUP(LK$27&amp;"-"&amp;$M58&amp;"_new",Ammortamento_Finanziario!$H:$L,5,FALSE),VLOOKUP($M58,TT_Tabelle_Riferimento!$D$127:$H$164,5,FALSE))</f>
        <v>8</v>
      </c>
      <c r="LL58" s="904">
        <f>+IFERROR(VLOOKUP(LL$27&amp;"-"&amp;$M58&amp;"_new",Ammortamento_Finanziario!$H:$L,5,FALSE),VLOOKUP($M58,TT_Tabelle_Riferimento!$D$127:$H$164,5,FALSE))</f>
        <v>8</v>
      </c>
      <c r="LM58" s="904">
        <f>+IFERROR(VLOOKUP(LM$27&amp;"-"&amp;$M58&amp;"_new",Ammortamento_Finanziario!$H:$L,5,FALSE),VLOOKUP($M58,TT_Tabelle_Riferimento!$D$127:$H$164,5,FALSE))</f>
        <v>8</v>
      </c>
      <c r="LN58" s="904">
        <f>+IFERROR(VLOOKUP(LN$27&amp;"-"&amp;$M58&amp;"_new",Ammortamento_Finanziario!$H:$L,5,FALSE),VLOOKUP($M58,TT_Tabelle_Riferimento!$D$127:$H$164,5,FALSE))</f>
        <v>8</v>
      </c>
      <c r="LO58" s="904">
        <f>+IFERROR(VLOOKUP(LO$27&amp;"-"&amp;$M58&amp;"_new",Ammortamento_Finanziario!$H:$L,5,FALSE),VLOOKUP($M58,TT_Tabelle_Riferimento!$D$127:$H$164,5,FALSE))</f>
        <v>8</v>
      </c>
      <c r="LP58" s="904">
        <f>+IFERROR(VLOOKUP(LP$27&amp;"-"&amp;$M58&amp;"_new",Ammortamento_Finanziario!$H:$L,5,FALSE),VLOOKUP($M58,TT_Tabelle_Riferimento!$D$127:$H$164,5,FALSE))</f>
        <v>8</v>
      </c>
      <c r="LQ58" s="904">
        <f>+IFERROR(VLOOKUP(LQ$27&amp;"-"&amp;$M58&amp;"_new",Ammortamento_Finanziario!$H:$L,5,FALSE),VLOOKUP($M58,TT_Tabelle_Riferimento!$D$127:$H$164,5,FALSE))</f>
        <v>8</v>
      </c>
      <c r="LR58" s="904">
        <f>+IFERROR(VLOOKUP(LR$27&amp;"-"&amp;$M58&amp;"_new",Ammortamento_Finanziario!$H:$L,5,FALSE),VLOOKUP($M58,TT_Tabelle_Riferimento!$D$127:$H$164,5,FALSE))</f>
        <v>8</v>
      </c>
      <c r="LS58" s="1762">
        <f>+IFERROR(VLOOKUP(LS$27&amp;"-"&amp;$M58&amp;"_new",Ammortamento_Finanziario!$H:$L,5,FALSE),VLOOKUP($M58,TT_Tabelle_Riferimento!$D$127:$H$164,5,FALSE))</f>
        <v>8</v>
      </c>
      <c r="LT58" s="1762">
        <f>+IFERROR(VLOOKUP(LT$27&amp;"-"&amp;$M58&amp;"_new",Ammortamento_Finanziario!$H:$L,5,FALSE),VLOOKUP($M58,TT_Tabelle_Riferimento!$D$127:$H$164,5,FALSE))</f>
        <v>8</v>
      </c>
      <c r="LU58" s="1762">
        <f>+IFERROR(VLOOKUP(LU$27&amp;"-"&amp;$M58&amp;"_new",Ammortamento_Finanziario!$H:$L,5,FALSE),VLOOKUP($M58,TT_Tabelle_Riferimento!$D$127:$H$164,5,FALSE))</f>
        <v>8</v>
      </c>
      <c r="LV58" s="1762">
        <f>+IFERROR(VLOOKUP(LV$27&amp;"-"&amp;$M58&amp;"_new",Ammortamento_Finanziario!$H:$L,5,FALSE),VLOOKUP($M58,TT_Tabelle_Riferimento!$D$127:$H$164,5,FALSE))</f>
        <v>8</v>
      </c>
      <c r="LW58" s="1762">
        <f>+IFERROR(VLOOKUP(LW$27&amp;"-"&amp;$M58&amp;"_new",Ammortamento_Finanziario!$H:$L,5,FALSE),VLOOKUP($M58,TT_Tabelle_Riferimento!$D$127:$H$164,5,FALSE))</f>
        <v>8</v>
      </c>
      <c r="LX58" s="1762">
        <f>+IFERROR(VLOOKUP(LX$27&amp;"-"&amp;$M58&amp;"_new",Ammortamento_Finanziario!$H:$L,5,FALSE),VLOOKUP($M58,TT_Tabelle_Riferimento!$D$127:$H$164,5,FALSE))</f>
        <v>8</v>
      </c>
      <c r="LY58" s="904">
        <f>+IFERROR(VLOOKUP(LY$27&amp;"-"&amp;$M58&amp;"_new",Ammortamento_Finanziario!$H:$L,5,FALSE),VLOOKUP($M58,TT_Tabelle_Riferimento!$D$127:$H$164,5,FALSE))</f>
        <v>8</v>
      </c>
      <c r="LZ58" s="904">
        <f>+IFERROR(VLOOKUP(LZ$27&amp;"-"&amp;$M58&amp;"_new",Ammortamento_Finanziario!$H:$L,5,FALSE),VLOOKUP($M58,TT_Tabelle_Riferimento!$D$127:$H$164,5,FALSE))</f>
        <v>8</v>
      </c>
      <c r="MA58" s="904">
        <f>+IFERROR(VLOOKUP(MA$27&amp;"-"&amp;$M58&amp;"_new",Ammortamento_Finanziario!$H:$L,5,FALSE),VLOOKUP($M58,TT_Tabelle_Riferimento!$D$127:$H$164,5,FALSE))</f>
        <v>8</v>
      </c>
      <c r="MB58" s="904">
        <f>+IFERROR(VLOOKUP(MB$27&amp;"-"&amp;$M58&amp;"_new",Ammortamento_Finanziario!$H:$L,5,FALSE),VLOOKUP($M58,TT_Tabelle_Riferimento!$D$127:$H$164,5,FALSE))</f>
        <v>8</v>
      </c>
      <c r="MC58" s="904">
        <f>+IFERROR(VLOOKUP(MC$27&amp;"-"&amp;$M58&amp;"_new",Ammortamento_Finanziario!$H:$L,5,FALSE),VLOOKUP($M58,TT_Tabelle_Riferimento!$D$127:$H$164,5,FALSE))</f>
        <v>8</v>
      </c>
      <c r="MD58" s="904">
        <f>+IFERROR(VLOOKUP(MD$27&amp;"-"&amp;$M58&amp;"_new",Ammortamento_Finanziario!$H:$L,5,FALSE),VLOOKUP($M58,TT_Tabelle_Riferimento!$D$127:$H$164,5,FALSE))</f>
        <v>8</v>
      </c>
      <c r="ME58" s="904">
        <f>+IFERROR(VLOOKUP(ME$27&amp;"-"&amp;$M58&amp;"_new",Ammortamento_Finanziario!$H:$L,5,FALSE),VLOOKUP($M58,TT_Tabelle_Riferimento!$D$127:$H$164,5,FALSE))</f>
        <v>8</v>
      </c>
      <c r="MF58" s="904">
        <f>+IFERROR(VLOOKUP(MF$27&amp;"-"&amp;$M58&amp;"_new",Ammortamento_Finanziario!$H:$L,5,FALSE),VLOOKUP($M58,TT_Tabelle_Riferimento!$D$127:$H$164,5,FALSE))</f>
        <v>8</v>
      </c>
      <c r="MG58" s="904">
        <f>+IFERROR(VLOOKUP(MG$27&amp;"-"&amp;$M58&amp;"_new",Ammortamento_Finanziario!$H:$L,5,FALSE),VLOOKUP($M58,TT_Tabelle_Riferimento!$D$127:$H$164,5,FALSE))</f>
        <v>8</v>
      </c>
      <c r="MH58" s="904">
        <f>+IFERROR(VLOOKUP(MH$27&amp;"-"&amp;$M58&amp;"_new",Ammortamento_Finanziario!$H:$L,5,FALSE),VLOOKUP($M58,TT_Tabelle_Riferimento!$D$127:$H$164,5,FALSE))</f>
        <v>8</v>
      </c>
      <c r="MI58" s="904">
        <f>+IFERROR(VLOOKUP(MI$27&amp;"-"&amp;$M58&amp;"_new",Ammortamento_Finanziario!$H:$L,5,FALSE),VLOOKUP($M58,TT_Tabelle_Riferimento!$D$127:$H$164,5,FALSE))</f>
        <v>8</v>
      </c>
      <c r="MJ58" s="904">
        <f>+IFERROR(VLOOKUP(MJ$27&amp;"-"&amp;$M58&amp;"_new",Ammortamento_Finanziario!$H:$L,5,FALSE),VLOOKUP($M58,TT_Tabelle_Riferimento!$D$127:$H$164,5,FALSE))</f>
        <v>8</v>
      </c>
      <c r="MK58" s="904">
        <f>+IFERROR(VLOOKUP(MK$27&amp;"-"&amp;$M58&amp;"_new",Ammortamento_Finanziario!$H:$L,5,FALSE),VLOOKUP($M58,TT_Tabelle_Riferimento!$D$127:$H$164,5,FALSE))</f>
        <v>8</v>
      </c>
      <c r="ML58" s="904">
        <f>+IFERROR(VLOOKUP(ML$27&amp;"-"&amp;$M58&amp;"_new",Ammortamento_Finanziario!$H:$L,5,FALSE),VLOOKUP($M58,TT_Tabelle_Riferimento!$D$127:$H$164,5,FALSE))</f>
        <v>8</v>
      </c>
      <c r="MM58" s="904">
        <f>+IFERROR(VLOOKUP(MM$27&amp;"-"&amp;$M58&amp;"_new",Ammortamento_Finanziario!$H:$L,5,FALSE),VLOOKUP($M58,TT_Tabelle_Riferimento!$D$127:$H$164,5,FALSE))</f>
        <v>8</v>
      </c>
      <c r="MN58" s="904">
        <f>+IFERROR(VLOOKUP(MN$27&amp;"-"&amp;$M58&amp;"_new",Ammortamento_Finanziario!$H:$L,5,FALSE),VLOOKUP($M58,TT_Tabelle_Riferimento!$D$127:$H$164,5,FALSE))</f>
        <v>8</v>
      </c>
      <c r="MO58" s="904">
        <f>+IFERROR(VLOOKUP(MO$27&amp;"-"&amp;$M58&amp;"_new",Ammortamento_Finanziario!$H:$L,5,FALSE),VLOOKUP($M58,TT_Tabelle_Riferimento!$D$127:$H$164,5,FALSE))</f>
        <v>8</v>
      </c>
      <c r="MP58" s="904">
        <f>+IFERROR(VLOOKUP(MP$27&amp;"-"&amp;$M58&amp;"_new",Ammortamento_Finanziario!$H:$L,5,FALSE),VLOOKUP($M58,TT_Tabelle_Riferimento!$D$127:$H$164,5,FALSE))</f>
        <v>8</v>
      </c>
      <c r="MQ58" s="904">
        <f>+IFERROR(VLOOKUP(MQ$27&amp;"-"&amp;$M58&amp;"_new",Ammortamento_Finanziario!$H:$L,5,FALSE),VLOOKUP($M58,TT_Tabelle_Riferimento!$D$127:$H$164,5,FALSE))</f>
        <v>8</v>
      </c>
      <c r="MR58" s="1762">
        <f>+IFERROR(VLOOKUP(MR$27&amp;"-"&amp;$M58&amp;"_new",Ammortamento_Finanziario!$H:$L,5,FALSE),VLOOKUP($M58,TT_Tabelle_Riferimento!$D$127:$H$164,5,FALSE))</f>
        <v>8</v>
      </c>
      <c r="MS58" s="1762">
        <f>+IFERROR(VLOOKUP(MS$27&amp;"-"&amp;$M58&amp;"_new",Ammortamento_Finanziario!$H:$L,5,FALSE),VLOOKUP($M58,TT_Tabelle_Riferimento!$D$127:$H$164,5,FALSE))</f>
        <v>8</v>
      </c>
      <c r="MT58" s="1762">
        <f>+IFERROR(VLOOKUP(MT$27&amp;"-"&amp;$M58&amp;"_new",Ammortamento_Finanziario!$H:$L,5,FALSE),VLOOKUP($M58,TT_Tabelle_Riferimento!$D$127:$H$164,5,FALSE))</f>
        <v>8</v>
      </c>
      <c r="MU58" s="1762">
        <f>+IFERROR(VLOOKUP(MU$27&amp;"-"&amp;$M58&amp;"_new",Ammortamento_Finanziario!$H:$L,5,FALSE),VLOOKUP($M58,TT_Tabelle_Riferimento!$D$127:$H$164,5,FALSE))</f>
        <v>8</v>
      </c>
      <c r="MV58" s="1762">
        <f>+IFERROR(VLOOKUP(MV$27&amp;"-"&amp;$M58&amp;"_new",Ammortamento_Finanziario!$H:$L,5,FALSE),VLOOKUP($M58,TT_Tabelle_Riferimento!$D$127:$H$164,5,FALSE))</f>
        <v>8</v>
      </c>
      <c r="MW58" s="1762">
        <f>+IFERROR(VLOOKUP(MW$27&amp;"-"&amp;$M58&amp;"_new",Ammortamento_Finanziario!$H:$L,5,FALSE),VLOOKUP($M58,TT_Tabelle_Riferimento!$D$127:$H$164,5,FALSE))</f>
        <v>8</v>
      </c>
      <c r="MX58" s="904">
        <f>+IFERROR(VLOOKUP(MX$27&amp;"-"&amp;$M58&amp;"_new",Ammortamento_Finanziario!$H:$L,5,FALSE),VLOOKUP($M58,TT_Tabelle_Riferimento!$D$127:$H$164,5,FALSE))</f>
        <v>8</v>
      </c>
      <c r="MY58" s="904">
        <f>+IFERROR(VLOOKUP(MY$27&amp;"-"&amp;$M58&amp;"_new",Ammortamento_Finanziario!$H:$L,5,FALSE),VLOOKUP($M58,TT_Tabelle_Riferimento!$D$127:$H$164,5,FALSE))</f>
        <v>8</v>
      </c>
      <c r="MZ58" s="904">
        <f>+IFERROR(VLOOKUP(MZ$27&amp;"-"&amp;$M58&amp;"_new",Ammortamento_Finanziario!$H:$L,5,FALSE),VLOOKUP($M58,TT_Tabelle_Riferimento!$D$127:$H$164,5,FALSE))</f>
        <v>8</v>
      </c>
      <c r="NA58" s="904">
        <f>+IFERROR(VLOOKUP(NA$27&amp;"-"&amp;$M58&amp;"_new",Ammortamento_Finanziario!$H:$L,5,FALSE),VLOOKUP($M58,TT_Tabelle_Riferimento!$D$127:$H$164,5,FALSE))</f>
        <v>8</v>
      </c>
      <c r="NB58" s="904">
        <f>+IFERROR(VLOOKUP(NB$27&amp;"-"&amp;$M58&amp;"_new",Ammortamento_Finanziario!$H:$L,5,FALSE),VLOOKUP($M58,TT_Tabelle_Riferimento!$D$127:$H$164,5,FALSE))</f>
        <v>8</v>
      </c>
      <c r="NC58" s="904">
        <f>+IFERROR(VLOOKUP(NC$27&amp;"-"&amp;$M58&amp;"_new",Ammortamento_Finanziario!$H:$L,5,FALSE),VLOOKUP($M58,TT_Tabelle_Riferimento!$D$127:$H$164,5,FALSE))</f>
        <v>8</v>
      </c>
      <c r="ND58" s="904">
        <f>+IFERROR(VLOOKUP(ND$27&amp;"-"&amp;$M58&amp;"_new",Ammortamento_Finanziario!$H:$L,5,FALSE),VLOOKUP($M58,TT_Tabelle_Riferimento!$D$127:$H$164,5,FALSE))</f>
        <v>8</v>
      </c>
      <c r="NE58" s="904">
        <f>+IFERROR(VLOOKUP(NE$27&amp;"-"&amp;$M58&amp;"_new",Ammortamento_Finanziario!$H:$L,5,FALSE),VLOOKUP($M58,TT_Tabelle_Riferimento!$D$127:$H$164,5,FALSE))</f>
        <v>8</v>
      </c>
      <c r="NF58" s="904">
        <f>+IFERROR(VLOOKUP(NF$27&amp;"-"&amp;$M58&amp;"_new",Ammortamento_Finanziario!$H:$L,5,FALSE),VLOOKUP($M58,TT_Tabelle_Riferimento!$D$127:$H$164,5,FALSE))</f>
        <v>8</v>
      </c>
      <c r="NG58" s="904">
        <f>+IFERROR(VLOOKUP(NG$27&amp;"-"&amp;$M58&amp;"_new",Ammortamento_Finanziario!$H:$L,5,FALSE),VLOOKUP($M58,TT_Tabelle_Riferimento!$D$127:$H$164,5,FALSE))</f>
        <v>8</v>
      </c>
      <c r="NH58" s="904">
        <f>+IFERROR(VLOOKUP(NH$27&amp;"-"&amp;$M58&amp;"_new",Ammortamento_Finanziario!$H:$L,5,FALSE),VLOOKUP($M58,TT_Tabelle_Riferimento!$D$127:$H$164,5,FALSE))</f>
        <v>8</v>
      </c>
      <c r="NI58" s="904">
        <f>+IFERROR(VLOOKUP(NI$27&amp;"-"&amp;$M58&amp;"_new",Ammortamento_Finanziario!$H:$L,5,FALSE),VLOOKUP($M58,TT_Tabelle_Riferimento!$D$127:$H$164,5,FALSE))</f>
        <v>8</v>
      </c>
      <c r="NJ58" s="904">
        <f>+IFERROR(VLOOKUP(NJ$27&amp;"-"&amp;$M58&amp;"_new",Ammortamento_Finanziario!$H:$L,5,FALSE),VLOOKUP($M58,TT_Tabelle_Riferimento!$D$127:$H$164,5,FALSE))</f>
        <v>8</v>
      </c>
      <c r="NK58" s="904">
        <f>+IFERROR(VLOOKUP(NK$27&amp;"-"&amp;$M58&amp;"_new",Ammortamento_Finanziario!$H:$L,5,FALSE),VLOOKUP($M58,TT_Tabelle_Riferimento!$D$127:$H$164,5,FALSE))</f>
        <v>8</v>
      </c>
      <c r="NL58" s="904">
        <f>+IFERROR(VLOOKUP(NL$27&amp;"-"&amp;$M58&amp;"_new",Ammortamento_Finanziario!$H:$L,5,FALSE),VLOOKUP($M58,TT_Tabelle_Riferimento!$D$127:$H$164,5,FALSE))</f>
        <v>8</v>
      </c>
      <c r="NM58" s="904">
        <f>+IFERROR(VLOOKUP(NM$27&amp;"-"&amp;$M58&amp;"_new",Ammortamento_Finanziario!$H:$L,5,FALSE),VLOOKUP($M58,TT_Tabelle_Riferimento!$D$127:$H$164,5,FALSE))</f>
        <v>8</v>
      </c>
      <c r="NN58" s="904">
        <f>+IFERROR(VLOOKUP(NN$27&amp;"-"&amp;$M58&amp;"_new",Ammortamento_Finanziario!$H:$L,5,FALSE),VLOOKUP($M58,TT_Tabelle_Riferimento!$D$127:$H$164,5,FALSE))</f>
        <v>8</v>
      </c>
      <c r="NO58" s="904">
        <f>+IFERROR(VLOOKUP(NO$27&amp;"-"&amp;$M58&amp;"_new",Ammortamento_Finanziario!$H:$L,5,FALSE),VLOOKUP($M58,TT_Tabelle_Riferimento!$D$127:$H$164,5,FALSE))</f>
        <v>8</v>
      </c>
      <c r="NP58" s="904">
        <f>+IFERROR(VLOOKUP(NP$27&amp;"-"&amp;$M58&amp;"_new",Ammortamento_Finanziario!$H:$L,5,FALSE),VLOOKUP($M58,TT_Tabelle_Riferimento!$D$127:$H$164,5,FALSE))</f>
        <v>8</v>
      </c>
      <c r="NQ58" s="1762">
        <f>+IFERROR(VLOOKUP(NQ$27&amp;"-"&amp;$M58&amp;"_new",Ammortamento_Finanziario!$H:$L,5,FALSE),VLOOKUP($M58,TT_Tabelle_Riferimento!$D$127:$H$164,5,FALSE))</f>
        <v>8</v>
      </c>
      <c r="NR58" s="1762">
        <f>+IFERROR(VLOOKUP(NR$27&amp;"-"&amp;$M58&amp;"_new",Ammortamento_Finanziario!$H:$L,5,FALSE),VLOOKUP($M58,TT_Tabelle_Riferimento!$D$127:$H$164,5,FALSE))</f>
        <v>8</v>
      </c>
      <c r="NS58" s="1762">
        <f>+IFERROR(VLOOKUP(NS$27&amp;"-"&amp;$M58&amp;"_new",Ammortamento_Finanziario!$H:$L,5,FALSE),VLOOKUP($M58,TT_Tabelle_Riferimento!$D$127:$H$164,5,FALSE))</f>
        <v>8</v>
      </c>
      <c r="NT58" s="1762">
        <f>+IFERROR(VLOOKUP(NT$27&amp;"-"&amp;$M58&amp;"_new",Ammortamento_Finanziario!$H:$L,5,FALSE),VLOOKUP($M58,TT_Tabelle_Riferimento!$D$127:$H$164,5,FALSE))</f>
        <v>8</v>
      </c>
      <c r="NU58" s="1762">
        <f>+IFERROR(VLOOKUP(NU$27&amp;"-"&amp;$M58&amp;"_new",Ammortamento_Finanziario!$H:$L,5,FALSE),VLOOKUP($M58,TT_Tabelle_Riferimento!$D$127:$H$164,5,FALSE))</f>
        <v>8</v>
      </c>
      <c r="NV58" s="904">
        <f>+IFERROR(VLOOKUP(NV$27&amp;"-"&amp;$M58&amp;"_new",Ammortamento_Finanziario!$H:$L,5,FALSE),VLOOKUP($M58,TT_Tabelle_Riferimento!$D$127:$H$164,5,FALSE))</f>
        <v>8</v>
      </c>
      <c r="NW58" s="904">
        <f>+IFERROR(VLOOKUP(NW$27&amp;"-"&amp;$M58&amp;"_new",Ammortamento_Finanziario!$H:$L,5,FALSE),VLOOKUP($M58,TT_Tabelle_Riferimento!$D$127:$H$164,5,FALSE))</f>
        <v>8</v>
      </c>
      <c r="NX58" s="904">
        <f>+IFERROR(VLOOKUP(NX$27&amp;"-"&amp;$M58&amp;"_new",Ammortamento_Finanziario!$H:$L,5,FALSE),VLOOKUP($M58,TT_Tabelle_Riferimento!$D$127:$H$164,5,FALSE))</f>
        <v>8</v>
      </c>
      <c r="NY58" s="904">
        <f>+IFERROR(VLOOKUP(NY$27&amp;"-"&amp;$M58&amp;"_new",Ammortamento_Finanziario!$H:$L,5,FALSE),VLOOKUP($M58,TT_Tabelle_Riferimento!$D$127:$H$164,5,FALSE))</f>
        <v>8</v>
      </c>
      <c r="NZ58" s="904">
        <f>+IFERROR(VLOOKUP(NZ$27&amp;"-"&amp;$M58&amp;"_new",Ammortamento_Finanziario!$H:$L,5,FALSE),VLOOKUP($M58,TT_Tabelle_Riferimento!$D$127:$H$164,5,FALSE))</f>
        <v>8</v>
      </c>
      <c r="OA58" s="904">
        <f>+IFERROR(VLOOKUP(OA$27&amp;"-"&amp;$M58&amp;"_new",Ammortamento_Finanziario!$H:$L,5,FALSE),VLOOKUP($M58,TT_Tabelle_Riferimento!$D$127:$H$164,5,FALSE))</f>
        <v>8</v>
      </c>
      <c r="OB58" s="904">
        <f>+IFERROR(VLOOKUP(OB$27&amp;"-"&amp;$M58&amp;"_new",Ammortamento_Finanziario!$H:$L,5,FALSE),VLOOKUP($M58,TT_Tabelle_Riferimento!$D$127:$H$164,5,FALSE))</f>
        <v>8</v>
      </c>
      <c r="OC58" s="904">
        <f>+IFERROR(VLOOKUP(OC$27&amp;"-"&amp;$M58&amp;"_new",Ammortamento_Finanziario!$H:$L,5,FALSE),VLOOKUP($M58,TT_Tabelle_Riferimento!$D$127:$H$164,5,FALSE))</f>
        <v>8</v>
      </c>
      <c r="OD58" s="904">
        <f>+IFERROR(VLOOKUP(OD$27&amp;"-"&amp;$M58&amp;"_new",Ammortamento_Finanziario!$H:$L,5,FALSE),VLOOKUP($M58,TT_Tabelle_Riferimento!$D$127:$H$164,5,FALSE))</f>
        <v>8</v>
      </c>
      <c r="OE58" s="904">
        <f>+IFERROR(VLOOKUP(OE$27&amp;"-"&amp;$M58&amp;"_new",Ammortamento_Finanziario!$H:$L,5,FALSE),VLOOKUP($M58,TT_Tabelle_Riferimento!$D$127:$H$164,5,FALSE))</f>
        <v>8</v>
      </c>
      <c r="OF58" s="904">
        <f>+IFERROR(VLOOKUP(OF$27&amp;"-"&amp;$M58&amp;"_new",Ammortamento_Finanziario!$H:$L,5,FALSE),VLOOKUP($M58,TT_Tabelle_Riferimento!$D$127:$H$164,5,FALSE))</f>
        <v>8</v>
      </c>
      <c r="OG58" s="904">
        <f>+IFERROR(VLOOKUP(OG$27&amp;"-"&amp;$M58&amp;"_new",Ammortamento_Finanziario!$H:$L,5,FALSE),VLOOKUP($M58,TT_Tabelle_Riferimento!$D$127:$H$164,5,FALSE))</f>
        <v>8</v>
      </c>
      <c r="OH58" s="904">
        <f>+IFERROR(VLOOKUP(OH$27&amp;"-"&amp;$M58&amp;"_new",Ammortamento_Finanziario!$H:$L,5,FALSE),VLOOKUP($M58,TT_Tabelle_Riferimento!$D$127:$H$164,5,FALSE))</f>
        <v>8</v>
      </c>
      <c r="OI58" s="904">
        <f>+IFERROR(VLOOKUP(OI$27&amp;"-"&amp;$M58&amp;"_new",Ammortamento_Finanziario!$H:$L,5,FALSE),VLOOKUP($M58,TT_Tabelle_Riferimento!$D$127:$H$164,5,FALSE))</f>
        <v>8</v>
      </c>
      <c r="OJ58" s="904">
        <f>+IFERROR(VLOOKUP(OJ$27&amp;"-"&amp;$M58&amp;"_new",Ammortamento_Finanziario!$H:$L,5,FALSE),VLOOKUP($M58,TT_Tabelle_Riferimento!$D$127:$H$164,5,FALSE))</f>
        <v>8</v>
      </c>
      <c r="OK58" s="904">
        <f>+IFERROR(VLOOKUP(OK$27&amp;"-"&amp;$M58&amp;"_new",Ammortamento_Finanziario!$H:$L,5,FALSE),VLOOKUP($M58,TT_Tabelle_Riferimento!$D$127:$H$164,5,FALSE))</f>
        <v>8</v>
      </c>
      <c r="OL58" s="904">
        <f>+IFERROR(VLOOKUP(OL$27&amp;"-"&amp;$M58&amp;"_new",Ammortamento_Finanziario!$H:$L,5,FALSE),VLOOKUP($M58,TT_Tabelle_Riferimento!$D$127:$H$164,5,FALSE))</f>
        <v>8</v>
      </c>
      <c r="OM58" s="904">
        <f>+IFERROR(VLOOKUP(OM$27&amp;"-"&amp;$M58&amp;"_new",Ammortamento_Finanziario!$H:$L,5,FALSE),VLOOKUP($M58,TT_Tabelle_Riferimento!$D$127:$H$164,5,FALSE))</f>
        <v>8</v>
      </c>
      <c r="ON58" s="904">
        <f>+IFERROR(VLOOKUP(ON$27&amp;"-"&amp;$M58&amp;"_new",Ammortamento_Finanziario!$H:$L,5,FALSE),VLOOKUP($M58,TT_Tabelle_Riferimento!$D$127:$H$164,5,FALSE))</f>
        <v>8</v>
      </c>
      <c r="OO58" s="1762">
        <f>+IFERROR(VLOOKUP(OO$27&amp;"-"&amp;$M58&amp;"_new",Ammortamento_Finanziario!$H:$L,5,FALSE),VLOOKUP($M58,TT_Tabelle_Riferimento!$D$127:$H$164,5,FALSE))</f>
        <v>8</v>
      </c>
      <c r="OP58" s="1762">
        <f>+IFERROR(VLOOKUP(OP$27&amp;"-"&amp;$M58&amp;"_new",Ammortamento_Finanziario!$H:$L,5,FALSE),VLOOKUP($M58,TT_Tabelle_Riferimento!$D$127:$H$164,5,FALSE))</f>
        <v>8</v>
      </c>
      <c r="OQ58" s="1762">
        <f>+IFERROR(VLOOKUP(OQ$27&amp;"-"&amp;$M58&amp;"_new",Ammortamento_Finanziario!$H:$L,5,FALSE),VLOOKUP($M58,TT_Tabelle_Riferimento!$D$127:$H$164,5,FALSE))</f>
        <v>8</v>
      </c>
      <c r="OR58" s="1762">
        <f>+IFERROR(VLOOKUP(OR$27&amp;"-"&amp;$M58&amp;"_new",Ammortamento_Finanziario!$H:$L,5,FALSE),VLOOKUP($M58,TT_Tabelle_Riferimento!$D$127:$H$164,5,FALSE))</f>
        <v>8</v>
      </c>
      <c r="OS58" s="904">
        <f>+IFERROR(VLOOKUP(OS$27&amp;"-"&amp;$M58&amp;"_new",Ammortamento_Finanziario!$H:$L,5,FALSE),VLOOKUP($M58,TT_Tabelle_Riferimento!$D$127:$H$164,5,FALSE))</f>
        <v>8</v>
      </c>
      <c r="OT58" s="904">
        <f>+IFERROR(VLOOKUP(OT$27&amp;"-"&amp;$M58&amp;"_new",Ammortamento_Finanziario!$H:$L,5,FALSE),VLOOKUP($M58,TT_Tabelle_Riferimento!$D$127:$H$164,5,FALSE))</f>
        <v>8</v>
      </c>
      <c r="OU58" s="904">
        <f>+IFERROR(VLOOKUP(OU$27&amp;"-"&amp;$M58&amp;"_new",Ammortamento_Finanziario!$H:$L,5,FALSE),VLOOKUP($M58,TT_Tabelle_Riferimento!$D$127:$H$164,5,FALSE))</f>
        <v>8</v>
      </c>
      <c r="OV58" s="904">
        <f>+IFERROR(VLOOKUP(OV$27&amp;"-"&amp;$M58&amp;"_new",Ammortamento_Finanziario!$H:$L,5,FALSE),VLOOKUP($M58,TT_Tabelle_Riferimento!$D$127:$H$164,5,FALSE))</f>
        <v>8</v>
      </c>
      <c r="OW58" s="904">
        <f>+IFERROR(VLOOKUP(OW$27&amp;"-"&amp;$M58&amp;"_new",Ammortamento_Finanziario!$H:$L,5,FALSE),VLOOKUP($M58,TT_Tabelle_Riferimento!$D$127:$H$164,5,FALSE))</f>
        <v>8</v>
      </c>
      <c r="OX58" s="904">
        <f>+IFERROR(VLOOKUP(OX$27&amp;"-"&amp;$M58&amp;"_new",Ammortamento_Finanziario!$H:$L,5,FALSE),VLOOKUP($M58,TT_Tabelle_Riferimento!$D$127:$H$164,5,FALSE))</f>
        <v>8</v>
      </c>
      <c r="OY58" s="904">
        <f>+IFERROR(VLOOKUP(OY$27&amp;"-"&amp;$M58&amp;"_new",Ammortamento_Finanziario!$H:$L,5,FALSE),VLOOKUP($M58,TT_Tabelle_Riferimento!$D$127:$H$164,5,FALSE))</f>
        <v>8</v>
      </c>
      <c r="OZ58" s="904">
        <f>+IFERROR(VLOOKUP(OZ$27&amp;"-"&amp;$M58&amp;"_new",Ammortamento_Finanziario!$H:$L,5,FALSE),VLOOKUP($M58,TT_Tabelle_Riferimento!$D$127:$H$164,5,FALSE))</f>
        <v>8</v>
      </c>
      <c r="PA58" s="904">
        <f>+IFERROR(VLOOKUP(PA$27&amp;"-"&amp;$M58&amp;"_new",Ammortamento_Finanziario!$H:$L,5,FALSE),VLOOKUP($M58,TT_Tabelle_Riferimento!$D$127:$H$164,5,FALSE))</f>
        <v>8</v>
      </c>
      <c r="PB58" s="904">
        <f>+IFERROR(VLOOKUP(PB$27&amp;"-"&amp;$M58&amp;"_new",Ammortamento_Finanziario!$H:$L,5,FALSE),VLOOKUP($M58,TT_Tabelle_Riferimento!$D$127:$H$164,5,FALSE))</f>
        <v>8</v>
      </c>
      <c r="PC58" s="904">
        <f>+IFERROR(VLOOKUP(PC$27&amp;"-"&amp;$M58&amp;"_new",Ammortamento_Finanziario!$H:$L,5,FALSE),VLOOKUP($M58,TT_Tabelle_Riferimento!$D$127:$H$164,5,FALSE))</f>
        <v>8</v>
      </c>
      <c r="PD58" s="904">
        <f>+IFERROR(VLOOKUP(PD$27&amp;"-"&amp;$M58&amp;"_new",Ammortamento_Finanziario!$H:$L,5,FALSE),VLOOKUP($M58,TT_Tabelle_Riferimento!$D$127:$H$164,5,FALSE))</f>
        <v>8</v>
      </c>
      <c r="PE58" s="904">
        <f>+IFERROR(VLOOKUP(PE$27&amp;"-"&amp;$M58&amp;"_new",Ammortamento_Finanziario!$H:$L,5,FALSE),VLOOKUP($M58,TT_Tabelle_Riferimento!$D$127:$H$164,5,FALSE))</f>
        <v>8</v>
      </c>
      <c r="PF58" s="904">
        <f>+IFERROR(VLOOKUP(PF$27&amp;"-"&amp;$M58&amp;"_new",Ammortamento_Finanziario!$H:$L,5,FALSE),VLOOKUP($M58,TT_Tabelle_Riferimento!$D$127:$H$164,5,FALSE))</f>
        <v>8</v>
      </c>
      <c r="PG58" s="904">
        <f>+IFERROR(VLOOKUP(PG$27&amp;"-"&amp;$M58&amp;"_new",Ammortamento_Finanziario!$H:$L,5,FALSE),VLOOKUP($M58,TT_Tabelle_Riferimento!$D$127:$H$164,5,FALSE))</f>
        <v>8</v>
      </c>
      <c r="PH58" s="904">
        <f>+IFERROR(VLOOKUP(PH$27&amp;"-"&amp;$M58&amp;"_new",Ammortamento_Finanziario!$H:$L,5,FALSE),VLOOKUP($M58,TT_Tabelle_Riferimento!$D$127:$H$164,5,FALSE))</f>
        <v>8</v>
      </c>
      <c r="PI58" s="904">
        <f>+IFERROR(VLOOKUP(PI$27&amp;"-"&amp;$M58&amp;"_new",Ammortamento_Finanziario!$H:$L,5,FALSE),VLOOKUP($M58,TT_Tabelle_Riferimento!$D$127:$H$164,5,FALSE))</f>
        <v>8</v>
      </c>
      <c r="PJ58" s="904">
        <f>+IFERROR(VLOOKUP(PJ$27&amp;"-"&amp;$M58&amp;"_new",Ammortamento_Finanziario!$H:$L,5,FALSE),VLOOKUP($M58,TT_Tabelle_Riferimento!$D$127:$H$164,5,FALSE))</f>
        <v>8</v>
      </c>
      <c r="PK58" s="904">
        <f>+IFERROR(VLOOKUP(PK$27&amp;"-"&amp;$M58&amp;"_new",Ammortamento_Finanziario!$H:$L,5,FALSE),VLOOKUP($M58,TT_Tabelle_Riferimento!$D$127:$H$164,5,FALSE))</f>
        <v>8</v>
      </c>
      <c r="PL58" s="1762">
        <f>+IFERROR(VLOOKUP(PL$27&amp;"-"&amp;$M58&amp;"_new",Ammortamento_Finanziario!$H:$L,5,FALSE),VLOOKUP($M58,TT_Tabelle_Riferimento!$D$127:$H$164,5,FALSE))</f>
        <v>8</v>
      </c>
      <c r="PM58" s="1762">
        <f>+IFERROR(VLOOKUP(PM$27&amp;"-"&amp;$M58&amp;"_new",Ammortamento_Finanziario!$H:$L,5,FALSE),VLOOKUP($M58,TT_Tabelle_Riferimento!$D$127:$H$164,5,FALSE))</f>
        <v>8</v>
      </c>
      <c r="PN58" s="1762">
        <f>+IFERROR(VLOOKUP(PN$27&amp;"-"&amp;$M58&amp;"_new",Ammortamento_Finanziario!$H:$L,5,FALSE),VLOOKUP($M58,TT_Tabelle_Riferimento!$D$127:$H$164,5,FALSE))</f>
        <v>8</v>
      </c>
      <c r="PO58" s="904">
        <f>+IFERROR(VLOOKUP(PO$27&amp;"-"&amp;$M58&amp;"_new",Ammortamento_Finanziario!$H:$L,5,FALSE),VLOOKUP($M58,TT_Tabelle_Riferimento!$D$127:$H$164,5,FALSE))</f>
        <v>8</v>
      </c>
      <c r="PP58" s="904">
        <f>+IFERROR(VLOOKUP(PP$27&amp;"-"&amp;$M58&amp;"_new",Ammortamento_Finanziario!$H:$L,5,FALSE),VLOOKUP($M58,TT_Tabelle_Riferimento!$D$127:$H$164,5,FALSE))</f>
        <v>8</v>
      </c>
      <c r="PQ58" s="904">
        <f>+IFERROR(VLOOKUP(PQ$27&amp;"-"&amp;$M58&amp;"_new",Ammortamento_Finanziario!$H:$L,5,FALSE),VLOOKUP($M58,TT_Tabelle_Riferimento!$D$127:$H$164,5,FALSE))</f>
        <v>8</v>
      </c>
      <c r="PR58" s="904">
        <f>+IFERROR(VLOOKUP(PR$27&amp;"-"&amp;$M58&amp;"_new",Ammortamento_Finanziario!$H:$L,5,FALSE),VLOOKUP($M58,TT_Tabelle_Riferimento!$D$127:$H$164,5,FALSE))</f>
        <v>8</v>
      </c>
      <c r="PS58" s="904">
        <f>+IFERROR(VLOOKUP(PS$27&amp;"-"&amp;$M58&amp;"_new",Ammortamento_Finanziario!$H:$L,5,FALSE),VLOOKUP($M58,TT_Tabelle_Riferimento!$D$127:$H$164,5,FALSE))</f>
        <v>8</v>
      </c>
      <c r="PT58" s="904">
        <f>+IFERROR(VLOOKUP(PT$27&amp;"-"&amp;$M58&amp;"_new",Ammortamento_Finanziario!$H:$L,5,FALSE),VLOOKUP($M58,TT_Tabelle_Riferimento!$D$127:$H$164,5,FALSE))</f>
        <v>8</v>
      </c>
      <c r="PU58" s="904">
        <f>+IFERROR(VLOOKUP(PU$27&amp;"-"&amp;$M58&amp;"_new",Ammortamento_Finanziario!$H:$L,5,FALSE),VLOOKUP($M58,TT_Tabelle_Riferimento!$D$127:$H$164,5,FALSE))</f>
        <v>8</v>
      </c>
      <c r="PV58" s="904">
        <f>+IFERROR(VLOOKUP(PV$27&amp;"-"&amp;$M58&amp;"_new",Ammortamento_Finanziario!$H:$L,5,FALSE),VLOOKUP($M58,TT_Tabelle_Riferimento!$D$127:$H$164,5,FALSE))</f>
        <v>8</v>
      </c>
      <c r="PW58" s="904">
        <f>+IFERROR(VLOOKUP(PW$27&amp;"-"&amp;$M58&amp;"_new",Ammortamento_Finanziario!$H:$L,5,FALSE),VLOOKUP($M58,TT_Tabelle_Riferimento!$D$127:$H$164,5,FALSE))</f>
        <v>8</v>
      </c>
      <c r="PX58" s="904">
        <f>+IFERROR(VLOOKUP(PX$27&amp;"-"&amp;$M58&amp;"_new",Ammortamento_Finanziario!$H:$L,5,FALSE),VLOOKUP($M58,TT_Tabelle_Riferimento!$D$127:$H$164,5,FALSE))</f>
        <v>8</v>
      </c>
      <c r="PY58" s="904">
        <f>+IFERROR(VLOOKUP(PY$27&amp;"-"&amp;$M58&amp;"_new",Ammortamento_Finanziario!$H:$L,5,FALSE),VLOOKUP($M58,TT_Tabelle_Riferimento!$D$127:$H$164,5,FALSE))</f>
        <v>8</v>
      </c>
      <c r="PZ58" s="904">
        <f>+IFERROR(VLOOKUP(PZ$27&amp;"-"&amp;$M58&amp;"_new",Ammortamento_Finanziario!$H:$L,5,FALSE),VLOOKUP($M58,TT_Tabelle_Riferimento!$D$127:$H$164,5,FALSE))</f>
        <v>8</v>
      </c>
      <c r="QA58" s="904">
        <f>+IFERROR(VLOOKUP(QA$27&amp;"-"&amp;$M58&amp;"_new",Ammortamento_Finanziario!$H:$L,5,FALSE),VLOOKUP($M58,TT_Tabelle_Riferimento!$D$127:$H$164,5,FALSE))</f>
        <v>8</v>
      </c>
      <c r="QB58" s="904">
        <f>+IFERROR(VLOOKUP(QB$27&amp;"-"&amp;$M58&amp;"_new",Ammortamento_Finanziario!$H:$L,5,FALSE),VLOOKUP($M58,TT_Tabelle_Riferimento!$D$127:$H$164,5,FALSE))</f>
        <v>8</v>
      </c>
      <c r="QC58" s="904">
        <f>+IFERROR(VLOOKUP(QC$27&amp;"-"&amp;$M58&amp;"_new",Ammortamento_Finanziario!$H:$L,5,FALSE),VLOOKUP($M58,TT_Tabelle_Riferimento!$D$127:$H$164,5,FALSE))</f>
        <v>8</v>
      </c>
      <c r="QD58" s="904">
        <f>+IFERROR(VLOOKUP(QD$27&amp;"-"&amp;$M58&amp;"_new",Ammortamento_Finanziario!$H:$L,5,FALSE),VLOOKUP($M58,TT_Tabelle_Riferimento!$D$127:$H$164,5,FALSE))</f>
        <v>8</v>
      </c>
      <c r="QE58" s="904">
        <f>+IFERROR(VLOOKUP(QE$27&amp;"-"&amp;$M58&amp;"_new",Ammortamento_Finanziario!$H:$L,5,FALSE),VLOOKUP($M58,TT_Tabelle_Riferimento!$D$127:$H$164,5,FALSE))</f>
        <v>8</v>
      </c>
      <c r="QF58" s="904">
        <f>+IFERROR(VLOOKUP(QF$27&amp;"-"&amp;$M58&amp;"_new",Ammortamento_Finanziario!$H:$L,5,FALSE),VLOOKUP($M58,TT_Tabelle_Riferimento!$D$127:$H$164,5,FALSE))</f>
        <v>8</v>
      </c>
      <c r="QG58" s="904">
        <f>+IFERROR(VLOOKUP(QG$27&amp;"-"&amp;$M58&amp;"_new",Ammortamento_Finanziario!$H:$L,5,FALSE),VLOOKUP($M58,TT_Tabelle_Riferimento!$D$127:$H$164,5,FALSE))</f>
        <v>8</v>
      </c>
      <c r="QH58" s="1762">
        <f>+IFERROR(VLOOKUP(QH$27&amp;"-"&amp;$M58&amp;"_new",Ammortamento_Finanziario!$H:$L,5,FALSE),VLOOKUP($M58,TT_Tabelle_Riferimento!$D$127:$H$164,5,FALSE))</f>
        <v>8</v>
      </c>
      <c r="QI58" s="1762">
        <f>+IFERROR(VLOOKUP(QI$27&amp;"-"&amp;$M58&amp;"_new",Ammortamento_Finanziario!$H:$L,5,FALSE),VLOOKUP($M58,TT_Tabelle_Riferimento!$D$127:$H$164,5,FALSE))</f>
        <v>8</v>
      </c>
      <c r="QJ58" s="904">
        <f>+IFERROR(VLOOKUP(QJ$27&amp;"-"&amp;$M58&amp;"_new",Ammortamento_Finanziario!$H:$L,5,FALSE),VLOOKUP($M58,TT_Tabelle_Riferimento!$D$127:$H$164,5,FALSE))</f>
        <v>8</v>
      </c>
      <c r="QK58" s="904">
        <f>+IFERROR(VLOOKUP(QK$27&amp;"-"&amp;$M58&amp;"_new",Ammortamento_Finanziario!$H:$L,5,FALSE),VLOOKUP($M58,TT_Tabelle_Riferimento!$D$127:$H$164,5,FALSE))</f>
        <v>8</v>
      </c>
      <c r="QL58" s="904">
        <f>+IFERROR(VLOOKUP(QL$27&amp;"-"&amp;$M58&amp;"_new",Ammortamento_Finanziario!$H:$L,5,FALSE),VLOOKUP($M58,TT_Tabelle_Riferimento!$D$127:$H$164,5,FALSE))</f>
        <v>8</v>
      </c>
      <c r="QM58" s="904">
        <f>+IFERROR(VLOOKUP(QM$27&amp;"-"&amp;$M58&amp;"_new",Ammortamento_Finanziario!$H:$L,5,FALSE),VLOOKUP($M58,TT_Tabelle_Riferimento!$D$127:$H$164,5,FALSE))</f>
        <v>8</v>
      </c>
      <c r="QN58" s="904">
        <f>+IFERROR(VLOOKUP(QN$27&amp;"-"&amp;$M58&amp;"_new",Ammortamento_Finanziario!$H:$L,5,FALSE),VLOOKUP($M58,TT_Tabelle_Riferimento!$D$127:$H$164,5,FALSE))</f>
        <v>8</v>
      </c>
      <c r="QO58" s="904">
        <f>+IFERROR(VLOOKUP(QO$27&amp;"-"&amp;$M58&amp;"_new",Ammortamento_Finanziario!$H:$L,5,FALSE),VLOOKUP($M58,TT_Tabelle_Riferimento!$D$127:$H$164,5,FALSE))</f>
        <v>8</v>
      </c>
      <c r="QP58" s="904">
        <f>+IFERROR(VLOOKUP(QP$27&amp;"-"&amp;$M58&amp;"_new",Ammortamento_Finanziario!$H:$L,5,FALSE),VLOOKUP($M58,TT_Tabelle_Riferimento!$D$127:$H$164,5,FALSE))</f>
        <v>8</v>
      </c>
      <c r="QQ58" s="904">
        <f>+IFERROR(VLOOKUP(QQ$27&amp;"-"&amp;$M58&amp;"_new",Ammortamento_Finanziario!$H:$L,5,FALSE),VLOOKUP($M58,TT_Tabelle_Riferimento!$D$127:$H$164,5,FALSE))</f>
        <v>8</v>
      </c>
      <c r="QR58" s="904">
        <f>+IFERROR(VLOOKUP(QR$27&amp;"-"&amp;$M58&amp;"_new",Ammortamento_Finanziario!$H:$L,5,FALSE),VLOOKUP($M58,TT_Tabelle_Riferimento!$D$127:$H$164,5,FALSE))</f>
        <v>8</v>
      </c>
      <c r="QS58" s="904">
        <f>+IFERROR(VLOOKUP(QS$27&amp;"-"&amp;$M58&amp;"_new",Ammortamento_Finanziario!$H:$L,5,FALSE),VLOOKUP($M58,TT_Tabelle_Riferimento!$D$127:$H$164,5,FALSE))</f>
        <v>8</v>
      </c>
      <c r="QT58" s="904">
        <f>+IFERROR(VLOOKUP(QT$27&amp;"-"&amp;$M58&amp;"_new",Ammortamento_Finanziario!$H:$L,5,FALSE),VLOOKUP($M58,TT_Tabelle_Riferimento!$D$127:$H$164,5,FALSE))</f>
        <v>8</v>
      </c>
      <c r="QU58" s="904">
        <f>+IFERROR(VLOOKUP(QU$27&amp;"-"&amp;$M58&amp;"_new",Ammortamento_Finanziario!$H:$L,5,FALSE),VLOOKUP($M58,TT_Tabelle_Riferimento!$D$127:$H$164,5,FALSE))</f>
        <v>8</v>
      </c>
      <c r="QV58" s="904">
        <f>+IFERROR(VLOOKUP(QV$27&amp;"-"&amp;$M58&amp;"_new",Ammortamento_Finanziario!$H:$L,5,FALSE),VLOOKUP($M58,TT_Tabelle_Riferimento!$D$127:$H$164,5,FALSE))</f>
        <v>8</v>
      </c>
      <c r="QW58" s="904">
        <f>+IFERROR(VLOOKUP(QW$27&amp;"-"&amp;$M58&amp;"_new",Ammortamento_Finanziario!$H:$L,5,FALSE),VLOOKUP($M58,TT_Tabelle_Riferimento!$D$127:$H$164,5,FALSE))</f>
        <v>8</v>
      </c>
      <c r="QX58" s="904">
        <f>+IFERROR(VLOOKUP(QX$27&amp;"-"&amp;$M58&amp;"_new",Ammortamento_Finanziario!$H:$L,5,FALSE),VLOOKUP($M58,TT_Tabelle_Riferimento!$D$127:$H$164,5,FALSE))</f>
        <v>8</v>
      </c>
      <c r="QY58" s="904">
        <f>+IFERROR(VLOOKUP(QY$27&amp;"-"&amp;$M58&amp;"_new",Ammortamento_Finanziario!$H:$L,5,FALSE),VLOOKUP($M58,TT_Tabelle_Riferimento!$D$127:$H$164,5,FALSE))</f>
        <v>8</v>
      </c>
      <c r="QZ58" s="904">
        <f>+IFERROR(VLOOKUP(QZ$27&amp;"-"&amp;$M58&amp;"_new",Ammortamento_Finanziario!$H:$L,5,FALSE),VLOOKUP($M58,TT_Tabelle_Riferimento!$D$127:$H$164,5,FALSE))</f>
        <v>8</v>
      </c>
      <c r="RA58" s="904">
        <f>+IFERROR(VLOOKUP(RA$27&amp;"-"&amp;$M58&amp;"_new",Ammortamento_Finanziario!$H:$L,5,FALSE),VLOOKUP($M58,TT_Tabelle_Riferimento!$D$127:$H$164,5,FALSE))</f>
        <v>8</v>
      </c>
      <c r="RB58" s="904">
        <f>+IFERROR(VLOOKUP(RB$27&amp;"-"&amp;$M58&amp;"_new",Ammortamento_Finanziario!$H:$L,5,FALSE),VLOOKUP($M58,TT_Tabelle_Riferimento!$D$127:$H$164,5,FALSE))</f>
        <v>8</v>
      </c>
      <c r="RC58" s="1762">
        <f>+IFERROR(VLOOKUP(RC$27&amp;"-"&amp;$M58&amp;"_new",Ammortamento_Finanziario!$H:$L,5,FALSE),VLOOKUP($M58,TT_Tabelle_Riferimento!$D$127:$H$164,5,FALSE))</f>
        <v>8</v>
      </c>
      <c r="RD58" s="904">
        <f>+IFERROR(VLOOKUP(RD$27&amp;"-"&amp;$M58&amp;"_new",Ammortamento_Finanziario!$H:$L,5,FALSE),VLOOKUP($M58,TT_Tabelle_Riferimento!$D$127:$H$164,5,FALSE))</f>
        <v>8</v>
      </c>
      <c r="RE58" s="904">
        <f>+IFERROR(VLOOKUP(RE$27&amp;"-"&amp;$M58&amp;"_new",Ammortamento_Finanziario!$H:$L,5,FALSE),VLOOKUP($M58,TT_Tabelle_Riferimento!$D$127:$H$164,5,FALSE))</f>
        <v>8</v>
      </c>
      <c r="RF58" s="904">
        <f>+IFERROR(VLOOKUP(RF$27&amp;"-"&amp;$M58&amp;"_new",Ammortamento_Finanziario!$H:$L,5,FALSE),VLOOKUP($M58,TT_Tabelle_Riferimento!$D$127:$H$164,5,FALSE))</f>
        <v>8</v>
      </c>
      <c r="RG58" s="904">
        <f>+IFERROR(VLOOKUP(RG$27&amp;"-"&amp;$M58&amp;"_new",Ammortamento_Finanziario!$H:$L,5,FALSE),VLOOKUP($M58,TT_Tabelle_Riferimento!$D$127:$H$164,5,FALSE))</f>
        <v>8</v>
      </c>
      <c r="RH58" s="904">
        <f>+IFERROR(VLOOKUP(RH$27&amp;"-"&amp;$M58&amp;"_new",Ammortamento_Finanziario!$H:$L,5,FALSE),VLOOKUP($M58,TT_Tabelle_Riferimento!$D$127:$H$164,5,FALSE))</f>
        <v>8</v>
      </c>
      <c r="RI58" s="904">
        <f>+IFERROR(VLOOKUP(RI$27&amp;"-"&amp;$M58&amp;"_new",Ammortamento_Finanziario!$H:$L,5,FALSE),VLOOKUP($M58,TT_Tabelle_Riferimento!$D$127:$H$164,5,FALSE))</f>
        <v>8</v>
      </c>
      <c r="RJ58" s="904">
        <f>+IFERROR(VLOOKUP(RJ$27&amp;"-"&amp;$M58&amp;"_new",Ammortamento_Finanziario!$H:$L,5,FALSE),VLOOKUP($M58,TT_Tabelle_Riferimento!$D$127:$H$164,5,FALSE))</f>
        <v>8</v>
      </c>
      <c r="RK58" s="904">
        <f>+IFERROR(VLOOKUP(RK$27&amp;"-"&amp;$M58&amp;"_new",Ammortamento_Finanziario!$H:$L,5,FALSE),VLOOKUP($M58,TT_Tabelle_Riferimento!$D$127:$H$164,5,FALSE))</f>
        <v>8</v>
      </c>
      <c r="RL58" s="904">
        <f>+IFERROR(VLOOKUP(RL$27&amp;"-"&amp;$M58&amp;"_new",Ammortamento_Finanziario!$H:$L,5,FALSE),VLOOKUP($M58,TT_Tabelle_Riferimento!$D$127:$H$164,5,FALSE))</f>
        <v>8</v>
      </c>
      <c r="RM58" s="904">
        <f>+IFERROR(VLOOKUP(RM$27&amp;"-"&amp;$M58&amp;"_new",Ammortamento_Finanziario!$H:$L,5,FALSE),VLOOKUP($M58,TT_Tabelle_Riferimento!$D$127:$H$164,5,FALSE))</f>
        <v>8</v>
      </c>
      <c r="RN58" s="904">
        <f>+IFERROR(VLOOKUP(RN$27&amp;"-"&amp;$M58&amp;"_new",Ammortamento_Finanziario!$H:$L,5,FALSE),VLOOKUP($M58,TT_Tabelle_Riferimento!$D$127:$H$164,5,FALSE))</f>
        <v>8</v>
      </c>
      <c r="RO58" s="904">
        <f>+IFERROR(VLOOKUP(RO$27&amp;"-"&amp;$M58&amp;"_new",Ammortamento_Finanziario!$H:$L,5,FALSE),VLOOKUP($M58,TT_Tabelle_Riferimento!$D$127:$H$164,5,FALSE))</f>
        <v>8</v>
      </c>
      <c r="RP58" s="904">
        <f>+IFERROR(VLOOKUP(RP$27&amp;"-"&amp;$M58&amp;"_new",Ammortamento_Finanziario!$H:$L,5,FALSE),VLOOKUP($M58,TT_Tabelle_Riferimento!$D$127:$H$164,5,FALSE))</f>
        <v>8</v>
      </c>
      <c r="RQ58" s="904">
        <f>+IFERROR(VLOOKUP(RQ$27&amp;"-"&amp;$M58&amp;"_new",Ammortamento_Finanziario!$H:$L,5,FALSE),VLOOKUP($M58,TT_Tabelle_Riferimento!$D$127:$H$164,5,FALSE))</f>
        <v>8</v>
      </c>
      <c r="RR58" s="904">
        <f>+IFERROR(VLOOKUP(RR$27&amp;"-"&amp;$M58&amp;"_new",Ammortamento_Finanziario!$H:$L,5,FALSE),VLOOKUP($M58,TT_Tabelle_Riferimento!$D$127:$H$164,5,FALSE))</f>
        <v>8</v>
      </c>
      <c r="RS58" s="904">
        <f>+IFERROR(VLOOKUP(RS$27&amp;"-"&amp;$M58&amp;"_new",Ammortamento_Finanziario!$H:$L,5,FALSE),VLOOKUP($M58,TT_Tabelle_Riferimento!$D$127:$H$164,5,FALSE))</f>
        <v>8</v>
      </c>
      <c r="RT58" s="904">
        <f>+IFERROR(VLOOKUP(RT$27&amp;"-"&amp;$M58&amp;"_new",Ammortamento_Finanziario!$H:$L,5,FALSE),VLOOKUP($M58,TT_Tabelle_Riferimento!$D$127:$H$164,5,FALSE))</f>
        <v>8</v>
      </c>
      <c r="RU58" s="904">
        <f>+IFERROR(VLOOKUP(RU$27&amp;"-"&amp;$M58&amp;"_new",Ammortamento_Finanziario!$H:$L,5,FALSE),VLOOKUP($M58,TT_Tabelle_Riferimento!$D$127:$H$164,5,FALSE))</f>
        <v>8</v>
      </c>
      <c r="RV58" s="904">
        <f>+IFERROR(VLOOKUP(RV$27&amp;"-"&amp;$M58&amp;"_new",Ammortamento_Finanziario!$H:$L,5,FALSE),VLOOKUP($M58,TT_Tabelle_Riferimento!$D$127:$H$164,5,FALSE))</f>
        <v>8</v>
      </c>
    </row>
    <row r="59" spans="4:490">
      <c r="D59" s="135" t="s">
        <v>22734</v>
      </c>
      <c r="E59" s="1264">
        <f>+SUMIFS(IMN_gestore!V:V,IMN_gestore!$G:$G,"Res")</f>
        <v>0</v>
      </c>
      <c r="F59" s="1264">
        <f>+SUMIFS(IMN_gestore!AG:AG,IMN_gestore!$G:$G,"Res")</f>
        <v>0</v>
      </c>
      <c r="G59" s="1264">
        <f>+SUMIFS(IMN_gestore!AR:AR,IMN_gestore!$G:$G,"Res")</f>
        <v>0</v>
      </c>
      <c r="H59" s="1264">
        <f>+SUMIFS(IMN_gestore!BC:BC,IMN_gestore!$G:$G,"Res")</f>
        <v>0</v>
      </c>
      <c r="I59" s="1264">
        <f>+SUMIFS(IMN_gestore!$BN:$BN,IMN_gestore!$G:$G,"Res")</f>
        <v>0</v>
      </c>
      <c r="J59" s="1264">
        <f>+SUMIFS(IMN_gestore!$BY:$BY,IMN_gestore!$G:$G,"Res")</f>
        <v>0</v>
      </c>
      <c r="K59" s="5"/>
      <c r="L59" s="5"/>
      <c r="M59" s="1756">
        <v>32</v>
      </c>
      <c r="N59" s="1759">
        <v>0</v>
      </c>
      <c r="O59" s="1759">
        <v>0</v>
      </c>
      <c r="P59" s="1759">
        <v>0</v>
      </c>
      <c r="Q59" s="1759">
        <v>0</v>
      </c>
      <c r="R59" s="1759">
        <v>0</v>
      </c>
      <c r="S59" s="1759">
        <v>0</v>
      </c>
      <c r="T59" s="1759">
        <v>0</v>
      </c>
      <c r="U59" s="1759">
        <v>0</v>
      </c>
      <c r="V59" s="1759">
        <v>0</v>
      </c>
      <c r="W59" s="1759">
        <v>0</v>
      </c>
      <c r="X59" s="1759">
        <v>0</v>
      </c>
      <c r="Y59" s="1759">
        <v>0</v>
      </c>
      <c r="Z59" s="1759">
        <v>0</v>
      </c>
      <c r="AA59" s="1759">
        <v>0</v>
      </c>
      <c r="AB59" s="1759">
        <v>0</v>
      </c>
      <c r="AC59" s="1759">
        <v>0</v>
      </c>
      <c r="AD59" s="1759">
        <v>0</v>
      </c>
      <c r="AE59" s="1759">
        <v>0</v>
      </c>
      <c r="AF59" s="1759">
        <v>0</v>
      </c>
      <c r="AG59" s="1759">
        <v>0</v>
      </c>
      <c r="AH59" s="1759">
        <v>0</v>
      </c>
      <c r="AI59" s="1759">
        <v>0</v>
      </c>
      <c r="AJ59" s="1759">
        <v>0</v>
      </c>
      <c r="AK59" s="1759">
        <v>0</v>
      </c>
      <c r="AL59" s="1759">
        <v>0</v>
      </c>
      <c r="AM59" s="1759">
        <v>0</v>
      </c>
      <c r="AN59" s="1759">
        <v>0</v>
      </c>
      <c r="AO59" s="1759">
        <v>0</v>
      </c>
      <c r="AP59" s="1759">
        <v>0</v>
      </c>
      <c r="AQ59" s="1759">
        <v>0</v>
      </c>
      <c r="AR59" s="1759">
        <v>0</v>
      </c>
      <c r="AS59" s="1759">
        <v>0</v>
      </c>
      <c r="AT59" s="1759">
        <v>0</v>
      </c>
      <c r="AU59" s="1759">
        <v>0</v>
      </c>
      <c r="AV59" s="1759">
        <v>0</v>
      </c>
      <c r="AW59" s="1759">
        <v>0</v>
      </c>
      <c r="AX59" s="1759">
        <v>0</v>
      </c>
      <c r="AY59" s="1759">
        <v>0</v>
      </c>
      <c r="AZ59" s="1759">
        <v>0</v>
      </c>
      <c r="BA59" s="1759">
        <v>0</v>
      </c>
      <c r="BB59" s="1759">
        <v>0</v>
      </c>
      <c r="BC59" s="1759">
        <v>0</v>
      </c>
      <c r="BD59" s="1759">
        <v>0</v>
      </c>
      <c r="BE59" s="1759">
        <v>0</v>
      </c>
      <c r="BF59" s="1759">
        <v>0</v>
      </c>
      <c r="BG59" s="1759">
        <v>0</v>
      </c>
      <c r="BH59" s="1759">
        <v>0</v>
      </c>
      <c r="BI59" s="1759">
        <v>0</v>
      </c>
      <c r="BJ59" s="1759">
        <v>0</v>
      </c>
      <c r="BK59" s="1759">
        <v>0</v>
      </c>
      <c r="BL59" s="1759">
        <v>0</v>
      </c>
      <c r="BM59" s="1759">
        <v>0</v>
      </c>
      <c r="BN59" s="1759">
        <v>0</v>
      </c>
      <c r="BO59" s="1759">
        <v>0</v>
      </c>
      <c r="BP59" s="1759">
        <v>0</v>
      </c>
      <c r="BQ59" s="1759">
        <v>0</v>
      </c>
      <c r="BR59" s="1759">
        <v>0</v>
      </c>
      <c r="BS59" s="1759">
        <v>0</v>
      </c>
      <c r="BT59" s="1759">
        <v>0</v>
      </c>
      <c r="BU59" s="1759">
        <v>0</v>
      </c>
      <c r="BV59" s="1759">
        <v>0</v>
      </c>
      <c r="BW59" s="1759">
        <v>0</v>
      </c>
      <c r="BX59" s="1759">
        <v>0</v>
      </c>
      <c r="BY59" s="1759">
        <v>0</v>
      </c>
      <c r="BZ59" s="1759">
        <v>0</v>
      </c>
      <c r="CA59" s="1759">
        <v>0</v>
      </c>
      <c r="CB59" s="1759">
        <v>0</v>
      </c>
      <c r="CC59" s="1759">
        <v>0</v>
      </c>
      <c r="CD59" s="1759">
        <v>0</v>
      </c>
      <c r="CE59" s="1759">
        <v>0</v>
      </c>
      <c r="CF59" s="1759">
        <v>0</v>
      </c>
      <c r="CG59" s="1759">
        <v>0</v>
      </c>
      <c r="CH59" s="1759">
        <v>0</v>
      </c>
      <c r="CI59" s="1759">
        <v>0</v>
      </c>
      <c r="CJ59" s="1759">
        <v>0</v>
      </c>
      <c r="CK59" s="1759">
        <v>0</v>
      </c>
      <c r="CL59" s="1759">
        <v>0</v>
      </c>
      <c r="CM59" s="1759">
        <v>0</v>
      </c>
      <c r="CN59" s="1759">
        <v>0</v>
      </c>
      <c r="CO59" s="1759">
        <v>0</v>
      </c>
      <c r="CP59" s="1759">
        <v>0</v>
      </c>
      <c r="CQ59" s="1759">
        <v>0</v>
      </c>
      <c r="CR59" s="1759">
        <v>0</v>
      </c>
      <c r="CS59" s="1759">
        <v>0</v>
      </c>
      <c r="CT59" s="1759">
        <v>0</v>
      </c>
      <c r="CU59" s="1759">
        <v>0</v>
      </c>
      <c r="CV59" s="1759">
        <v>0</v>
      </c>
      <c r="CW59" s="1759">
        <v>0</v>
      </c>
      <c r="CX59" s="1759">
        <v>0</v>
      </c>
      <c r="CY59" s="1759">
        <v>0</v>
      </c>
      <c r="CZ59" s="1759">
        <v>0</v>
      </c>
      <c r="DA59" s="1759">
        <v>0</v>
      </c>
      <c r="DB59" s="1759">
        <v>0</v>
      </c>
      <c r="DC59" s="1759">
        <v>0</v>
      </c>
      <c r="DD59" s="1759">
        <v>0</v>
      </c>
      <c r="DE59" s="1759">
        <v>0</v>
      </c>
      <c r="DF59" s="1759">
        <v>0</v>
      </c>
      <c r="DG59" s="1759">
        <v>0</v>
      </c>
      <c r="DH59" s="1759">
        <v>0</v>
      </c>
      <c r="DI59" s="1759">
        <v>0</v>
      </c>
      <c r="DJ59" s="1759">
        <v>0</v>
      </c>
      <c r="DK59" s="1759">
        <v>0</v>
      </c>
      <c r="DL59" s="1759">
        <v>0</v>
      </c>
      <c r="DM59" s="1759">
        <v>0</v>
      </c>
      <c r="DN59" s="1759">
        <v>0</v>
      </c>
      <c r="DO59" s="1759">
        <v>0</v>
      </c>
      <c r="DP59" s="1759">
        <v>0</v>
      </c>
      <c r="DQ59" s="1759">
        <v>0</v>
      </c>
      <c r="DR59" s="1759">
        <v>0</v>
      </c>
      <c r="DS59" s="1759">
        <v>0</v>
      </c>
      <c r="DT59" s="1759">
        <v>0</v>
      </c>
      <c r="DU59" s="1759">
        <v>0</v>
      </c>
      <c r="DV59" s="1759">
        <v>0</v>
      </c>
      <c r="DW59" s="1759">
        <v>0</v>
      </c>
      <c r="DX59" s="1759">
        <v>0</v>
      </c>
      <c r="DY59" s="1759">
        <v>0</v>
      </c>
      <c r="DZ59" s="1759">
        <v>0</v>
      </c>
      <c r="EA59" s="1759">
        <v>0</v>
      </c>
      <c r="EB59" s="1759">
        <v>0</v>
      </c>
      <c r="EC59" s="1759">
        <v>0</v>
      </c>
      <c r="ED59" s="1759">
        <v>0</v>
      </c>
      <c r="EE59" s="1759">
        <v>0</v>
      </c>
      <c r="EF59" s="1759">
        <v>0</v>
      </c>
      <c r="EG59" s="1759">
        <v>0</v>
      </c>
      <c r="EH59" s="1759">
        <v>0</v>
      </c>
      <c r="EI59" s="1759">
        <v>0</v>
      </c>
      <c r="EJ59" s="1759">
        <v>0</v>
      </c>
      <c r="EK59" s="1759">
        <v>0</v>
      </c>
      <c r="EL59" s="1759">
        <v>0</v>
      </c>
      <c r="EM59" s="1759">
        <v>0</v>
      </c>
      <c r="EN59" s="1759">
        <v>0</v>
      </c>
      <c r="EO59" s="1759">
        <v>0</v>
      </c>
      <c r="EP59" s="1759">
        <v>0</v>
      </c>
      <c r="EQ59" s="1759">
        <v>0</v>
      </c>
      <c r="ER59" s="1759">
        <v>0</v>
      </c>
      <c r="ES59" s="1759">
        <v>0</v>
      </c>
      <c r="ET59" s="1759">
        <v>0</v>
      </c>
      <c r="EU59" s="1759">
        <v>0</v>
      </c>
      <c r="EV59" s="1759">
        <v>0</v>
      </c>
      <c r="EW59" s="1759">
        <v>0</v>
      </c>
      <c r="EX59" s="1759">
        <v>0</v>
      </c>
      <c r="EY59" s="1759">
        <v>0</v>
      </c>
      <c r="EZ59" s="1759">
        <v>0</v>
      </c>
      <c r="FA59" s="1759">
        <v>0</v>
      </c>
      <c r="FB59" s="1759">
        <v>0</v>
      </c>
      <c r="FC59" s="1759">
        <v>0</v>
      </c>
      <c r="FD59" s="1759">
        <v>0</v>
      </c>
      <c r="FE59" s="1759">
        <v>0</v>
      </c>
      <c r="FF59" s="1759">
        <v>0</v>
      </c>
      <c r="FG59" s="1759">
        <v>0</v>
      </c>
      <c r="FH59" s="1759">
        <v>0</v>
      </c>
      <c r="FI59" s="1759">
        <v>0</v>
      </c>
      <c r="FJ59" s="1759">
        <v>0</v>
      </c>
      <c r="FK59" s="1759">
        <v>0</v>
      </c>
      <c r="FL59" s="1759">
        <v>0</v>
      </c>
      <c r="FM59" s="1759">
        <v>0</v>
      </c>
      <c r="FN59" s="1759">
        <v>0</v>
      </c>
      <c r="FO59" s="1759">
        <v>0</v>
      </c>
      <c r="FP59" s="1759">
        <v>0</v>
      </c>
      <c r="FQ59" s="1759">
        <v>0</v>
      </c>
      <c r="FR59" s="1759">
        <v>0</v>
      </c>
      <c r="FS59" s="1759">
        <v>0</v>
      </c>
      <c r="FT59" s="1759">
        <v>0</v>
      </c>
      <c r="FU59" s="1759">
        <v>0</v>
      </c>
      <c r="FV59" s="1759">
        <v>0</v>
      </c>
      <c r="FW59" s="1759">
        <v>0</v>
      </c>
      <c r="FX59" s="1759">
        <v>0</v>
      </c>
      <c r="FY59" s="1759">
        <v>0</v>
      </c>
      <c r="FZ59" s="1759">
        <v>0</v>
      </c>
      <c r="GA59" s="1759">
        <v>0</v>
      </c>
      <c r="GB59" s="1759">
        <v>0</v>
      </c>
      <c r="GC59" s="1759">
        <v>0</v>
      </c>
      <c r="GD59" s="1759">
        <v>0</v>
      </c>
      <c r="GE59" s="1759">
        <v>0</v>
      </c>
      <c r="GF59" s="1759">
        <v>0</v>
      </c>
      <c r="GG59" s="1759">
        <v>0</v>
      </c>
      <c r="GH59" s="1759">
        <v>0</v>
      </c>
      <c r="GI59" s="1759">
        <v>0</v>
      </c>
      <c r="GJ59" s="1759">
        <v>0</v>
      </c>
      <c r="GK59" s="1759">
        <v>0</v>
      </c>
      <c r="GL59" s="1759">
        <v>0</v>
      </c>
      <c r="GM59" s="1759">
        <v>0</v>
      </c>
      <c r="GN59" s="1759">
        <v>0</v>
      </c>
      <c r="GO59" s="1759">
        <v>0</v>
      </c>
      <c r="GP59" s="1759">
        <v>0</v>
      </c>
      <c r="GQ59" s="1759">
        <v>0</v>
      </c>
      <c r="GR59" s="1759">
        <v>0</v>
      </c>
      <c r="GS59" s="1759">
        <v>0</v>
      </c>
      <c r="GT59" s="1759">
        <v>0</v>
      </c>
      <c r="GU59" s="1759">
        <v>0</v>
      </c>
      <c r="GV59" s="1759">
        <v>0</v>
      </c>
      <c r="GW59" s="1759">
        <v>0</v>
      </c>
      <c r="GX59" s="1759">
        <v>0</v>
      </c>
      <c r="GY59" s="1759">
        <v>0</v>
      </c>
      <c r="GZ59" s="1759">
        <v>0</v>
      </c>
      <c r="HA59" s="1759">
        <v>0</v>
      </c>
      <c r="HB59" s="1759">
        <v>0</v>
      </c>
      <c r="HC59" s="1759">
        <v>0</v>
      </c>
      <c r="HD59" s="1759">
        <v>0</v>
      </c>
      <c r="HE59" s="1759">
        <v>0</v>
      </c>
      <c r="HF59" s="1759">
        <v>0</v>
      </c>
      <c r="HG59" s="1759">
        <v>0</v>
      </c>
      <c r="HH59" s="1759">
        <v>0</v>
      </c>
      <c r="HI59" s="1759">
        <v>0</v>
      </c>
      <c r="HJ59" s="1759">
        <v>0</v>
      </c>
      <c r="HK59" s="1759">
        <v>0</v>
      </c>
      <c r="HL59" s="1759">
        <v>0</v>
      </c>
      <c r="HM59" s="1759">
        <v>0</v>
      </c>
      <c r="HN59" s="1759">
        <v>0</v>
      </c>
      <c r="HO59" s="1759">
        <v>0</v>
      </c>
      <c r="HP59" s="1759">
        <v>0</v>
      </c>
      <c r="HQ59" s="1759">
        <v>0</v>
      </c>
      <c r="HR59" s="1759">
        <v>0</v>
      </c>
      <c r="HS59" s="1759">
        <v>0</v>
      </c>
      <c r="HT59" s="1759">
        <v>0</v>
      </c>
      <c r="HU59" s="1759">
        <v>0</v>
      </c>
      <c r="HV59" s="1759">
        <v>0</v>
      </c>
      <c r="HW59" s="1759">
        <v>0</v>
      </c>
      <c r="HX59" s="1759">
        <v>0</v>
      </c>
      <c r="HY59" s="1759">
        <v>0</v>
      </c>
      <c r="HZ59" s="1759">
        <v>0</v>
      </c>
      <c r="IA59" s="1759">
        <v>0</v>
      </c>
      <c r="IB59" s="1759">
        <v>0</v>
      </c>
      <c r="IC59" s="1759">
        <v>0</v>
      </c>
      <c r="ID59" s="1759">
        <v>0</v>
      </c>
      <c r="IE59" s="1759">
        <v>0</v>
      </c>
      <c r="IF59" s="1759">
        <v>0</v>
      </c>
      <c r="IG59" s="1759">
        <v>0</v>
      </c>
      <c r="IH59" s="1759">
        <v>0</v>
      </c>
      <c r="II59" s="1759">
        <v>0</v>
      </c>
      <c r="IJ59" s="1759">
        <v>0</v>
      </c>
      <c r="IK59" s="1759">
        <v>0</v>
      </c>
      <c r="IL59" s="1759">
        <v>0</v>
      </c>
      <c r="IM59" s="1759">
        <v>0</v>
      </c>
      <c r="IN59" s="1759">
        <v>0</v>
      </c>
      <c r="IO59" s="1759">
        <v>0</v>
      </c>
      <c r="IP59" s="1759">
        <v>0</v>
      </c>
      <c r="IQ59" s="1759">
        <v>0</v>
      </c>
      <c r="IR59" s="1759">
        <v>0</v>
      </c>
      <c r="IS59" s="1759">
        <v>0</v>
      </c>
      <c r="IT59" s="1759">
        <v>0</v>
      </c>
      <c r="IU59" s="1759">
        <v>0</v>
      </c>
      <c r="IV59" s="1759">
        <v>0</v>
      </c>
      <c r="IW59" s="1759">
        <v>0</v>
      </c>
      <c r="IX59" s="1759">
        <v>0</v>
      </c>
      <c r="IY59" s="1759">
        <v>0</v>
      </c>
      <c r="IZ59" s="1759">
        <v>0</v>
      </c>
      <c r="JA59" s="1759">
        <v>0</v>
      </c>
      <c r="JB59" s="1759">
        <v>0</v>
      </c>
      <c r="JC59" s="1759">
        <v>0</v>
      </c>
      <c r="JD59" s="1759">
        <v>0</v>
      </c>
      <c r="JE59" s="1759">
        <v>0</v>
      </c>
      <c r="JF59" s="1759">
        <v>0</v>
      </c>
      <c r="JG59" s="1759">
        <v>0</v>
      </c>
      <c r="JH59" s="1759">
        <v>0</v>
      </c>
      <c r="JI59" s="1759">
        <v>0</v>
      </c>
      <c r="JJ59" s="1759">
        <v>0</v>
      </c>
      <c r="JK59" s="1759">
        <v>0</v>
      </c>
      <c r="JL59" s="1759">
        <v>0</v>
      </c>
      <c r="JM59" s="1759">
        <v>0</v>
      </c>
      <c r="JN59" s="1759">
        <v>0</v>
      </c>
      <c r="JO59" s="1759">
        <v>0</v>
      </c>
      <c r="JP59" s="1759">
        <v>0</v>
      </c>
      <c r="JQ59" s="1759">
        <v>0</v>
      </c>
      <c r="JR59" s="1759">
        <v>0</v>
      </c>
      <c r="JS59" s="1759">
        <v>0</v>
      </c>
      <c r="JT59" s="1759">
        <v>0</v>
      </c>
      <c r="JU59" s="1759">
        <v>0</v>
      </c>
      <c r="JV59" s="1759">
        <v>0</v>
      </c>
      <c r="JW59" s="1759">
        <v>0</v>
      </c>
      <c r="JX59" s="1759">
        <v>0</v>
      </c>
      <c r="JY59" s="1759">
        <v>0</v>
      </c>
      <c r="JZ59" s="1759">
        <v>0</v>
      </c>
      <c r="KA59" s="1759">
        <v>0</v>
      </c>
      <c r="KB59" s="1759">
        <v>0</v>
      </c>
      <c r="KC59" s="1759">
        <v>0</v>
      </c>
      <c r="KD59" s="1759">
        <v>0</v>
      </c>
      <c r="KE59" s="1759">
        <v>0</v>
      </c>
      <c r="KF59" s="1759">
        <v>0</v>
      </c>
      <c r="KG59" s="1759">
        <v>0</v>
      </c>
      <c r="KH59" s="1759">
        <v>0</v>
      </c>
      <c r="KI59" s="1759">
        <v>0</v>
      </c>
      <c r="KJ59" s="1759">
        <v>0</v>
      </c>
      <c r="KK59" s="1759">
        <v>0</v>
      </c>
      <c r="KL59" s="1759">
        <v>0</v>
      </c>
      <c r="KM59" s="1759">
        <v>0</v>
      </c>
      <c r="KN59" s="1759">
        <v>0</v>
      </c>
      <c r="KO59" s="1759">
        <v>0</v>
      </c>
      <c r="KP59" s="1759">
        <v>0</v>
      </c>
      <c r="KQ59" s="904">
        <f>+IFERROR(VLOOKUP(KQ$27&amp;"-"&amp;$M59&amp;"_new",Ammortamento_Finanziario!$H:$L,5,FALSE),VLOOKUP($M59,TT_Tabelle_Riferimento!$D$127:$H$164,5,FALSE))</f>
        <v>5</v>
      </c>
      <c r="KR59" s="904">
        <f>+IFERROR(VLOOKUP(KR$27&amp;"-"&amp;$M59&amp;"_new",Ammortamento_Finanziario!$H:$L,5,FALSE),VLOOKUP($M59,TT_Tabelle_Riferimento!$D$127:$H$164,5,FALSE))</f>
        <v>5</v>
      </c>
      <c r="KS59" s="1762">
        <f>+IFERROR(VLOOKUP(KS$27&amp;"-"&amp;$M59&amp;"_new",Ammortamento_Finanziario!$H:$L,5,FALSE),VLOOKUP($M59,TT_Tabelle_Riferimento!$D$127:$H$164,5,FALSE))</f>
        <v>5</v>
      </c>
      <c r="KT59" s="1762">
        <f>+IFERROR(VLOOKUP(KT$27&amp;"-"&amp;$M59&amp;"_new",Ammortamento_Finanziario!$H:$L,5,FALSE),VLOOKUP($M59,TT_Tabelle_Riferimento!$D$127:$H$164,5,FALSE))</f>
        <v>5</v>
      </c>
      <c r="KU59" s="1762">
        <f>+IFERROR(VLOOKUP(KU$27&amp;"-"&amp;$M59&amp;"_new",Ammortamento_Finanziario!$H:$L,5,FALSE),VLOOKUP($M59,TT_Tabelle_Riferimento!$D$127:$H$164,5,FALSE))</f>
        <v>5</v>
      </c>
      <c r="KV59" s="1762">
        <f>+IFERROR(VLOOKUP(KV$27&amp;"-"&amp;$M59&amp;"_new",Ammortamento_Finanziario!$H:$L,5,FALSE),VLOOKUP($M59,TT_Tabelle_Riferimento!$D$127:$H$164,5,FALSE))</f>
        <v>5</v>
      </c>
      <c r="KW59" s="1762">
        <f>+IFERROR(VLOOKUP(KW$27&amp;"-"&amp;$M59&amp;"_new",Ammortamento_Finanziario!$H:$L,5,FALSE),VLOOKUP($M59,TT_Tabelle_Riferimento!$D$127:$H$164,5,FALSE))</f>
        <v>5</v>
      </c>
      <c r="KX59" s="1762">
        <f>+IFERROR(VLOOKUP(KX$27&amp;"-"&amp;$M59&amp;"_new",Ammortamento_Finanziario!$H:$L,5,FALSE),VLOOKUP($M59,TT_Tabelle_Riferimento!$D$127:$H$164,5,FALSE))</f>
        <v>5</v>
      </c>
      <c r="KY59" s="904">
        <f>+IFERROR(VLOOKUP(KY$27&amp;"-"&amp;$M59&amp;"_new",Ammortamento_Finanziario!$H:$L,5,FALSE),VLOOKUP($M59,TT_Tabelle_Riferimento!$D$127:$H$164,5,FALSE))</f>
        <v>5</v>
      </c>
      <c r="KZ59" s="904">
        <f>+IFERROR(VLOOKUP(KZ$27&amp;"-"&amp;$M59&amp;"_new",Ammortamento_Finanziario!$H:$L,5,FALSE),VLOOKUP($M59,TT_Tabelle_Riferimento!$D$127:$H$164,5,FALSE))</f>
        <v>5</v>
      </c>
      <c r="LA59" s="904">
        <f>+IFERROR(VLOOKUP(LA$27&amp;"-"&amp;$M59&amp;"_new",Ammortamento_Finanziario!$H:$L,5,FALSE),VLOOKUP($M59,TT_Tabelle_Riferimento!$D$127:$H$164,5,FALSE))</f>
        <v>5</v>
      </c>
      <c r="LB59" s="904">
        <f>+IFERROR(VLOOKUP(LB$27&amp;"-"&amp;$M59&amp;"_new",Ammortamento_Finanziario!$H:$L,5,FALSE),VLOOKUP($M59,TT_Tabelle_Riferimento!$D$127:$H$164,5,FALSE))</f>
        <v>5</v>
      </c>
      <c r="LC59" s="904">
        <f>+IFERROR(VLOOKUP(LC$27&amp;"-"&amp;$M59&amp;"_new",Ammortamento_Finanziario!$H:$L,5,FALSE),VLOOKUP($M59,TT_Tabelle_Riferimento!$D$127:$H$164,5,FALSE))</f>
        <v>5</v>
      </c>
      <c r="LD59" s="904">
        <f>+IFERROR(VLOOKUP(LD$27&amp;"-"&amp;$M59&amp;"_new",Ammortamento_Finanziario!$H:$L,5,FALSE),VLOOKUP($M59,TT_Tabelle_Riferimento!$D$127:$H$164,5,FALSE))</f>
        <v>5</v>
      </c>
      <c r="LE59" s="904">
        <f>+IFERROR(VLOOKUP(LE$27&amp;"-"&amp;$M59&amp;"_new",Ammortamento_Finanziario!$H:$L,5,FALSE),VLOOKUP($M59,TT_Tabelle_Riferimento!$D$127:$H$164,5,FALSE))</f>
        <v>5</v>
      </c>
      <c r="LF59" s="904">
        <f>+IFERROR(VLOOKUP(LF$27&amp;"-"&amp;$M59&amp;"_new",Ammortamento_Finanziario!$H:$L,5,FALSE),VLOOKUP($M59,TT_Tabelle_Riferimento!$D$127:$H$164,5,FALSE))</f>
        <v>5</v>
      </c>
      <c r="LG59" s="904">
        <f>+IFERROR(VLOOKUP(LG$27&amp;"-"&amp;$M59&amp;"_new",Ammortamento_Finanziario!$H:$L,5,FALSE),VLOOKUP($M59,TT_Tabelle_Riferimento!$D$127:$H$164,5,FALSE))</f>
        <v>5</v>
      </c>
      <c r="LH59" s="904">
        <f>+IFERROR(VLOOKUP(LH$27&amp;"-"&amp;$M59&amp;"_new",Ammortamento_Finanziario!$H:$L,5,FALSE),VLOOKUP($M59,TT_Tabelle_Riferimento!$D$127:$H$164,5,FALSE))</f>
        <v>5</v>
      </c>
      <c r="LI59" s="904">
        <f>+IFERROR(VLOOKUP(LI$27&amp;"-"&amp;$M59&amp;"_new",Ammortamento_Finanziario!$H:$L,5,FALSE),VLOOKUP($M59,TT_Tabelle_Riferimento!$D$127:$H$164,5,FALSE))</f>
        <v>5</v>
      </c>
      <c r="LJ59" s="904">
        <f>+IFERROR(VLOOKUP(LJ$27&amp;"-"&amp;$M59&amp;"_new",Ammortamento_Finanziario!$H:$L,5,FALSE),VLOOKUP($M59,TT_Tabelle_Riferimento!$D$127:$H$164,5,FALSE))</f>
        <v>5</v>
      </c>
      <c r="LK59" s="904">
        <f>+IFERROR(VLOOKUP(LK$27&amp;"-"&amp;$M59&amp;"_new",Ammortamento_Finanziario!$H:$L,5,FALSE),VLOOKUP($M59,TT_Tabelle_Riferimento!$D$127:$H$164,5,FALSE))</f>
        <v>5</v>
      </c>
      <c r="LL59" s="904">
        <f>+IFERROR(VLOOKUP(LL$27&amp;"-"&amp;$M59&amp;"_new",Ammortamento_Finanziario!$H:$L,5,FALSE),VLOOKUP($M59,TT_Tabelle_Riferimento!$D$127:$H$164,5,FALSE))</f>
        <v>5</v>
      </c>
      <c r="LM59" s="904">
        <f>+IFERROR(VLOOKUP(LM$27&amp;"-"&amp;$M59&amp;"_new",Ammortamento_Finanziario!$H:$L,5,FALSE),VLOOKUP($M59,TT_Tabelle_Riferimento!$D$127:$H$164,5,FALSE))</f>
        <v>5</v>
      </c>
      <c r="LN59" s="904">
        <f>+IFERROR(VLOOKUP(LN$27&amp;"-"&amp;$M59&amp;"_new",Ammortamento_Finanziario!$H:$L,5,FALSE),VLOOKUP($M59,TT_Tabelle_Riferimento!$D$127:$H$164,5,FALSE))</f>
        <v>5</v>
      </c>
      <c r="LO59" s="904">
        <f>+IFERROR(VLOOKUP(LO$27&amp;"-"&amp;$M59&amp;"_new",Ammortamento_Finanziario!$H:$L,5,FALSE),VLOOKUP($M59,TT_Tabelle_Riferimento!$D$127:$H$164,5,FALSE))</f>
        <v>5</v>
      </c>
      <c r="LP59" s="904">
        <f>+IFERROR(VLOOKUP(LP$27&amp;"-"&amp;$M59&amp;"_new",Ammortamento_Finanziario!$H:$L,5,FALSE),VLOOKUP($M59,TT_Tabelle_Riferimento!$D$127:$H$164,5,FALSE))</f>
        <v>5</v>
      </c>
      <c r="LQ59" s="904">
        <f>+IFERROR(VLOOKUP(LQ$27&amp;"-"&amp;$M59&amp;"_new",Ammortamento_Finanziario!$H:$L,5,FALSE),VLOOKUP($M59,TT_Tabelle_Riferimento!$D$127:$H$164,5,FALSE))</f>
        <v>5</v>
      </c>
      <c r="LR59" s="904">
        <f>+IFERROR(VLOOKUP(LR$27&amp;"-"&amp;$M59&amp;"_new",Ammortamento_Finanziario!$H:$L,5,FALSE),VLOOKUP($M59,TT_Tabelle_Riferimento!$D$127:$H$164,5,FALSE))</f>
        <v>5</v>
      </c>
      <c r="LS59" s="1762">
        <f>+IFERROR(VLOOKUP(LS$27&amp;"-"&amp;$M59&amp;"_new",Ammortamento_Finanziario!$H:$L,5,FALSE),VLOOKUP($M59,TT_Tabelle_Riferimento!$D$127:$H$164,5,FALSE))</f>
        <v>5</v>
      </c>
      <c r="LT59" s="1762">
        <f>+IFERROR(VLOOKUP(LT$27&amp;"-"&amp;$M59&amp;"_new",Ammortamento_Finanziario!$H:$L,5,FALSE),VLOOKUP($M59,TT_Tabelle_Riferimento!$D$127:$H$164,5,FALSE))</f>
        <v>5</v>
      </c>
      <c r="LU59" s="1762">
        <f>+IFERROR(VLOOKUP(LU$27&amp;"-"&amp;$M59&amp;"_new",Ammortamento_Finanziario!$H:$L,5,FALSE),VLOOKUP($M59,TT_Tabelle_Riferimento!$D$127:$H$164,5,FALSE))</f>
        <v>5</v>
      </c>
      <c r="LV59" s="1762">
        <f>+IFERROR(VLOOKUP(LV$27&amp;"-"&amp;$M59&amp;"_new",Ammortamento_Finanziario!$H:$L,5,FALSE),VLOOKUP($M59,TT_Tabelle_Riferimento!$D$127:$H$164,5,FALSE))</f>
        <v>5</v>
      </c>
      <c r="LW59" s="1762">
        <f>+IFERROR(VLOOKUP(LW$27&amp;"-"&amp;$M59&amp;"_new",Ammortamento_Finanziario!$H:$L,5,FALSE),VLOOKUP($M59,TT_Tabelle_Riferimento!$D$127:$H$164,5,FALSE))</f>
        <v>5</v>
      </c>
      <c r="LX59" s="1762">
        <f>+IFERROR(VLOOKUP(LX$27&amp;"-"&amp;$M59&amp;"_new",Ammortamento_Finanziario!$H:$L,5,FALSE),VLOOKUP($M59,TT_Tabelle_Riferimento!$D$127:$H$164,5,FALSE))</f>
        <v>5</v>
      </c>
      <c r="LY59" s="904">
        <f>+IFERROR(VLOOKUP(LY$27&amp;"-"&amp;$M59&amp;"_new",Ammortamento_Finanziario!$H:$L,5,FALSE),VLOOKUP($M59,TT_Tabelle_Riferimento!$D$127:$H$164,5,FALSE))</f>
        <v>5</v>
      </c>
      <c r="LZ59" s="904">
        <f>+IFERROR(VLOOKUP(LZ$27&amp;"-"&amp;$M59&amp;"_new",Ammortamento_Finanziario!$H:$L,5,FALSE),VLOOKUP($M59,TT_Tabelle_Riferimento!$D$127:$H$164,5,FALSE))</f>
        <v>5</v>
      </c>
      <c r="MA59" s="904">
        <f>+IFERROR(VLOOKUP(MA$27&amp;"-"&amp;$M59&amp;"_new",Ammortamento_Finanziario!$H:$L,5,FALSE),VLOOKUP($M59,TT_Tabelle_Riferimento!$D$127:$H$164,5,FALSE))</f>
        <v>5</v>
      </c>
      <c r="MB59" s="904">
        <f>+IFERROR(VLOOKUP(MB$27&amp;"-"&amp;$M59&amp;"_new",Ammortamento_Finanziario!$H:$L,5,FALSE),VLOOKUP($M59,TT_Tabelle_Riferimento!$D$127:$H$164,5,FALSE))</f>
        <v>5</v>
      </c>
      <c r="MC59" s="904">
        <f>+IFERROR(VLOOKUP(MC$27&amp;"-"&amp;$M59&amp;"_new",Ammortamento_Finanziario!$H:$L,5,FALSE),VLOOKUP($M59,TT_Tabelle_Riferimento!$D$127:$H$164,5,FALSE))</f>
        <v>5</v>
      </c>
      <c r="MD59" s="904">
        <f>+IFERROR(VLOOKUP(MD$27&amp;"-"&amp;$M59&amp;"_new",Ammortamento_Finanziario!$H:$L,5,FALSE),VLOOKUP($M59,TT_Tabelle_Riferimento!$D$127:$H$164,5,FALSE))</f>
        <v>5</v>
      </c>
      <c r="ME59" s="904">
        <f>+IFERROR(VLOOKUP(ME$27&amp;"-"&amp;$M59&amp;"_new",Ammortamento_Finanziario!$H:$L,5,FALSE),VLOOKUP($M59,TT_Tabelle_Riferimento!$D$127:$H$164,5,FALSE))</f>
        <v>5</v>
      </c>
      <c r="MF59" s="904">
        <f>+IFERROR(VLOOKUP(MF$27&amp;"-"&amp;$M59&amp;"_new",Ammortamento_Finanziario!$H:$L,5,FALSE),VLOOKUP($M59,TT_Tabelle_Riferimento!$D$127:$H$164,5,FALSE))</f>
        <v>5</v>
      </c>
      <c r="MG59" s="904">
        <f>+IFERROR(VLOOKUP(MG$27&amp;"-"&amp;$M59&amp;"_new",Ammortamento_Finanziario!$H:$L,5,FALSE),VLOOKUP($M59,TT_Tabelle_Riferimento!$D$127:$H$164,5,FALSE))</f>
        <v>5</v>
      </c>
      <c r="MH59" s="904">
        <f>+IFERROR(VLOOKUP(MH$27&amp;"-"&amp;$M59&amp;"_new",Ammortamento_Finanziario!$H:$L,5,FALSE),VLOOKUP($M59,TT_Tabelle_Riferimento!$D$127:$H$164,5,FALSE))</f>
        <v>5</v>
      </c>
      <c r="MI59" s="904">
        <f>+IFERROR(VLOOKUP(MI$27&amp;"-"&amp;$M59&amp;"_new",Ammortamento_Finanziario!$H:$L,5,FALSE),VLOOKUP($M59,TT_Tabelle_Riferimento!$D$127:$H$164,5,FALSE))</f>
        <v>5</v>
      </c>
      <c r="MJ59" s="904">
        <f>+IFERROR(VLOOKUP(MJ$27&amp;"-"&amp;$M59&amp;"_new",Ammortamento_Finanziario!$H:$L,5,FALSE),VLOOKUP($M59,TT_Tabelle_Riferimento!$D$127:$H$164,5,FALSE))</f>
        <v>5</v>
      </c>
      <c r="MK59" s="904">
        <f>+IFERROR(VLOOKUP(MK$27&amp;"-"&amp;$M59&amp;"_new",Ammortamento_Finanziario!$H:$L,5,FALSE),VLOOKUP($M59,TT_Tabelle_Riferimento!$D$127:$H$164,5,FALSE))</f>
        <v>5</v>
      </c>
      <c r="ML59" s="904">
        <f>+IFERROR(VLOOKUP(ML$27&amp;"-"&amp;$M59&amp;"_new",Ammortamento_Finanziario!$H:$L,5,FALSE),VLOOKUP($M59,TT_Tabelle_Riferimento!$D$127:$H$164,5,FALSE))</f>
        <v>5</v>
      </c>
      <c r="MM59" s="904">
        <f>+IFERROR(VLOOKUP(MM$27&amp;"-"&amp;$M59&amp;"_new",Ammortamento_Finanziario!$H:$L,5,FALSE),VLOOKUP($M59,TT_Tabelle_Riferimento!$D$127:$H$164,5,FALSE))</f>
        <v>5</v>
      </c>
      <c r="MN59" s="904">
        <f>+IFERROR(VLOOKUP(MN$27&amp;"-"&amp;$M59&amp;"_new",Ammortamento_Finanziario!$H:$L,5,FALSE),VLOOKUP($M59,TT_Tabelle_Riferimento!$D$127:$H$164,5,FALSE))</f>
        <v>5</v>
      </c>
      <c r="MO59" s="904">
        <f>+IFERROR(VLOOKUP(MO$27&amp;"-"&amp;$M59&amp;"_new",Ammortamento_Finanziario!$H:$L,5,FALSE),VLOOKUP($M59,TT_Tabelle_Riferimento!$D$127:$H$164,5,FALSE))</f>
        <v>5</v>
      </c>
      <c r="MP59" s="904">
        <f>+IFERROR(VLOOKUP(MP$27&amp;"-"&amp;$M59&amp;"_new",Ammortamento_Finanziario!$H:$L,5,FALSE),VLOOKUP($M59,TT_Tabelle_Riferimento!$D$127:$H$164,5,FALSE))</f>
        <v>5</v>
      </c>
      <c r="MQ59" s="904">
        <f>+IFERROR(VLOOKUP(MQ$27&amp;"-"&amp;$M59&amp;"_new",Ammortamento_Finanziario!$H:$L,5,FALSE),VLOOKUP($M59,TT_Tabelle_Riferimento!$D$127:$H$164,5,FALSE))</f>
        <v>5</v>
      </c>
      <c r="MR59" s="1762">
        <f>+IFERROR(VLOOKUP(MR$27&amp;"-"&amp;$M59&amp;"_new",Ammortamento_Finanziario!$H:$L,5,FALSE),VLOOKUP($M59,TT_Tabelle_Riferimento!$D$127:$H$164,5,FALSE))</f>
        <v>5</v>
      </c>
      <c r="MS59" s="1762">
        <f>+IFERROR(VLOOKUP(MS$27&amp;"-"&amp;$M59&amp;"_new",Ammortamento_Finanziario!$H:$L,5,FALSE),VLOOKUP($M59,TT_Tabelle_Riferimento!$D$127:$H$164,5,FALSE))</f>
        <v>5</v>
      </c>
      <c r="MT59" s="1762">
        <f>+IFERROR(VLOOKUP(MT$27&amp;"-"&amp;$M59&amp;"_new",Ammortamento_Finanziario!$H:$L,5,FALSE),VLOOKUP($M59,TT_Tabelle_Riferimento!$D$127:$H$164,5,FALSE))</f>
        <v>5</v>
      </c>
      <c r="MU59" s="1762">
        <f>+IFERROR(VLOOKUP(MU$27&amp;"-"&amp;$M59&amp;"_new",Ammortamento_Finanziario!$H:$L,5,FALSE),VLOOKUP($M59,TT_Tabelle_Riferimento!$D$127:$H$164,5,FALSE))</f>
        <v>5</v>
      </c>
      <c r="MV59" s="1762">
        <f>+IFERROR(VLOOKUP(MV$27&amp;"-"&amp;$M59&amp;"_new",Ammortamento_Finanziario!$H:$L,5,FALSE),VLOOKUP($M59,TT_Tabelle_Riferimento!$D$127:$H$164,5,FALSE))</f>
        <v>5</v>
      </c>
      <c r="MW59" s="1762">
        <f>+IFERROR(VLOOKUP(MW$27&amp;"-"&amp;$M59&amp;"_new",Ammortamento_Finanziario!$H:$L,5,FALSE),VLOOKUP($M59,TT_Tabelle_Riferimento!$D$127:$H$164,5,FALSE))</f>
        <v>5</v>
      </c>
      <c r="MX59" s="904">
        <f>+IFERROR(VLOOKUP(MX$27&amp;"-"&amp;$M59&amp;"_new",Ammortamento_Finanziario!$H:$L,5,FALSE),VLOOKUP($M59,TT_Tabelle_Riferimento!$D$127:$H$164,5,FALSE))</f>
        <v>5</v>
      </c>
      <c r="MY59" s="904">
        <f>+IFERROR(VLOOKUP(MY$27&amp;"-"&amp;$M59&amp;"_new",Ammortamento_Finanziario!$H:$L,5,FALSE),VLOOKUP($M59,TT_Tabelle_Riferimento!$D$127:$H$164,5,FALSE))</f>
        <v>5</v>
      </c>
      <c r="MZ59" s="904">
        <f>+IFERROR(VLOOKUP(MZ$27&amp;"-"&amp;$M59&amp;"_new",Ammortamento_Finanziario!$H:$L,5,FALSE),VLOOKUP($M59,TT_Tabelle_Riferimento!$D$127:$H$164,5,FALSE))</f>
        <v>5</v>
      </c>
      <c r="NA59" s="904">
        <f>+IFERROR(VLOOKUP(NA$27&amp;"-"&amp;$M59&amp;"_new",Ammortamento_Finanziario!$H:$L,5,FALSE),VLOOKUP($M59,TT_Tabelle_Riferimento!$D$127:$H$164,5,FALSE))</f>
        <v>5</v>
      </c>
      <c r="NB59" s="904">
        <f>+IFERROR(VLOOKUP(NB$27&amp;"-"&amp;$M59&amp;"_new",Ammortamento_Finanziario!$H:$L,5,FALSE),VLOOKUP($M59,TT_Tabelle_Riferimento!$D$127:$H$164,5,FALSE))</f>
        <v>5</v>
      </c>
      <c r="NC59" s="904">
        <f>+IFERROR(VLOOKUP(NC$27&amp;"-"&amp;$M59&amp;"_new",Ammortamento_Finanziario!$H:$L,5,FALSE),VLOOKUP($M59,TT_Tabelle_Riferimento!$D$127:$H$164,5,FALSE))</f>
        <v>5</v>
      </c>
      <c r="ND59" s="904">
        <f>+IFERROR(VLOOKUP(ND$27&amp;"-"&amp;$M59&amp;"_new",Ammortamento_Finanziario!$H:$L,5,FALSE),VLOOKUP($M59,TT_Tabelle_Riferimento!$D$127:$H$164,5,FALSE))</f>
        <v>5</v>
      </c>
      <c r="NE59" s="904">
        <f>+IFERROR(VLOOKUP(NE$27&amp;"-"&amp;$M59&amp;"_new",Ammortamento_Finanziario!$H:$L,5,FALSE),VLOOKUP($M59,TT_Tabelle_Riferimento!$D$127:$H$164,5,FALSE))</f>
        <v>5</v>
      </c>
      <c r="NF59" s="904">
        <f>+IFERROR(VLOOKUP(NF$27&amp;"-"&amp;$M59&amp;"_new",Ammortamento_Finanziario!$H:$L,5,FALSE),VLOOKUP($M59,TT_Tabelle_Riferimento!$D$127:$H$164,5,FALSE))</f>
        <v>5</v>
      </c>
      <c r="NG59" s="904">
        <f>+IFERROR(VLOOKUP(NG$27&amp;"-"&amp;$M59&amp;"_new",Ammortamento_Finanziario!$H:$L,5,FALSE),VLOOKUP($M59,TT_Tabelle_Riferimento!$D$127:$H$164,5,FALSE))</f>
        <v>5</v>
      </c>
      <c r="NH59" s="904">
        <f>+IFERROR(VLOOKUP(NH$27&amp;"-"&amp;$M59&amp;"_new",Ammortamento_Finanziario!$H:$L,5,FALSE),VLOOKUP($M59,TT_Tabelle_Riferimento!$D$127:$H$164,5,FALSE))</f>
        <v>5</v>
      </c>
      <c r="NI59" s="904">
        <f>+IFERROR(VLOOKUP(NI$27&amp;"-"&amp;$M59&amp;"_new",Ammortamento_Finanziario!$H:$L,5,FALSE),VLOOKUP($M59,TT_Tabelle_Riferimento!$D$127:$H$164,5,FALSE))</f>
        <v>5</v>
      </c>
      <c r="NJ59" s="904">
        <f>+IFERROR(VLOOKUP(NJ$27&amp;"-"&amp;$M59&amp;"_new",Ammortamento_Finanziario!$H:$L,5,FALSE),VLOOKUP($M59,TT_Tabelle_Riferimento!$D$127:$H$164,5,FALSE))</f>
        <v>5</v>
      </c>
      <c r="NK59" s="904">
        <f>+IFERROR(VLOOKUP(NK$27&amp;"-"&amp;$M59&amp;"_new",Ammortamento_Finanziario!$H:$L,5,FALSE),VLOOKUP($M59,TT_Tabelle_Riferimento!$D$127:$H$164,5,FALSE))</f>
        <v>5</v>
      </c>
      <c r="NL59" s="904">
        <f>+IFERROR(VLOOKUP(NL$27&amp;"-"&amp;$M59&amp;"_new",Ammortamento_Finanziario!$H:$L,5,FALSE),VLOOKUP($M59,TT_Tabelle_Riferimento!$D$127:$H$164,5,FALSE))</f>
        <v>5</v>
      </c>
      <c r="NM59" s="904">
        <f>+IFERROR(VLOOKUP(NM$27&amp;"-"&amp;$M59&amp;"_new",Ammortamento_Finanziario!$H:$L,5,FALSE),VLOOKUP($M59,TT_Tabelle_Riferimento!$D$127:$H$164,5,FALSE))</f>
        <v>5</v>
      </c>
      <c r="NN59" s="904">
        <f>+IFERROR(VLOOKUP(NN$27&amp;"-"&amp;$M59&amp;"_new",Ammortamento_Finanziario!$H:$L,5,FALSE),VLOOKUP($M59,TT_Tabelle_Riferimento!$D$127:$H$164,5,FALSE))</f>
        <v>5</v>
      </c>
      <c r="NO59" s="904">
        <f>+IFERROR(VLOOKUP(NO$27&amp;"-"&amp;$M59&amp;"_new",Ammortamento_Finanziario!$H:$L,5,FALSE),VLOOKUP($M59,TT_Tabelle_Riferimento!$D$127:$H$164,5,FALSE))</f>
        <v>5</v>
      </c>
      <c r="NP59" s="904">
        <f>+IFERROR(VLOOKUP(NP$27&amp;"-"&amp;$M59&amp;"_new",Ammortamento_Finanziario!$H:$L,5,FALSE),VLOOKUP($M59,TT_Tabelle_Riferimento!$D$127:$H$164,5,FALSE))</f>
        <v>5</v>
      </c>
      <c r="NQ59" s="1762">
        <f>+IFERROR(VLOOKUP(NQ$27&amp;"-"&amp;$M59&amp;"_new",Ammortamento_Finanziario!$H:$L,5,FALSE),VLOOKUP($M59,TT_Tabelle_Riferimento!$D$127:$H$164,5,FALSE))</f>
        <v>5</v>
      </c>
      <c r="NR59" s="1762">
        <f>+IFERROR(VLOOKUP(NR$27&amp;"-"&amp;$M59&amp;"_new",Ammortamento_Finanziario!$H:$L,5,FALSE),VLOOKUP($M59,TT_Tabelle_Riferimento!$D$127:$H$164,5,FALSE))</f>
        <v>5</v>
      </c>
      <c r="NS59" s="1762">
        <f>+IFERROR(VLOOKUP(NS$27&amp;"-"&amp;$M59&amp;"_new",Ammortamento_Finanziario!$H:$L,5,FALSE),VLOOKUP($M59,TT_Tabelle_Riferimento!$D$127:$H$164,5,FALSE))</f>
        <v>5</v>
      </c>
      <c r="NT59" s="1762">
        <f>+IFERROR(VLOOKUP(NT$27&amp;"-"&amp;$M59&amp;"_new",Ammortamento_Finanziario!$H:$L,5,FALSE),VLOOKUP($M59,TT_Tabelle_Riferimento!$D$127:$H$164,5,FALSE))</f>
        <v>5</v>
      </c>
      <c r="NU59" s="1762">
        <f>+IFERROR(VLOOKUP(NU$27&amp;"-"&amp;$M59&amp;"_new",Ammortamento_Finanziario!$H:$L,5,FALSE),VLOOKUP($M59,TT_Tabelle_Riferimento!$D$127:$H$164,5,FALSE))</f>
        <v>5</v>
      </c>
      <c r="NV59" s="904">
        <f>+IFERROR(VLOOKUP(NV$27&amp;"-"&amp;$M59&amp;"_new",Ammortamento_Finanziario!$H:$L,5,FALSE),VLOOKUP($M59,TT_Tabelle_Riferimento!$D$127:$H$164,5,FALSE))</f>
        <v>5</v>
      </c>
      <c r="NW59" s="904">
        <f>+IFERROR(VLOOKUP(NW$27&amp;"-"&amp;$M59&amp;"_new",Ammortamento_Finanziario!$H:$L,5,FALSE),VLOOKUP($M59,TT_Tabelle_Riferimento!$D$127:$H$164,5,FALSE))</f>
        <v>5</v>
      </c>
      <c r="NX59" s="904">
        <f>+IFERROR(VLOOKUP(NX$27&amp;"-"&amp;$M59&amp;"_new",Ammortamento_Finanziario!$H:$L,5,FALSE),VLOOKUP($M59,TT_Tabelle_Riferimento!$D$127:$H$164,5,FALSE))</f>
        <v>5</v>
      </c>
      <c r="NY59" s="904">
        <f>+IFERROR(VLOOKUP(NY$27&amp;"-"&amp;$M59&amp;"_new",Ammortamento_Finanziario!$H:$L,5,FALSE),VLOOKUP($M59,TT_Tabelle_Riferimento!$D$127:$H$164,5,FALSE))</f>
        <v>5</v>
      </c>
      <c r="NZ59" s="904">
        <f>+IFERROR(VLOOKUP(NZ$27&amp;"-"&amp;$M59&amp;"_new",Ammortamento_Finanziario!$H:$L,5,FALSE),VLOOKUP($M59,TT_Tabelle_Riferimento!$D$127:$H$164,5,FALSE))</f>
        <v>5</v>
      </c>
      <c r="OA59" s="904">
        <f>+IFERROR(VLOOKUP(OA$27&amp;"-"&amp;$M59&amp;"_new",Ammortamento_Finanziario!$H:$L,5,FALSE),VLOOKUP($M59,TT_Tabelle_Riferimento!$D$127:$H$164,5,FALSE))</f>
        <v>5</v>
      </c>
      <c r="OB59" s="904">
        <f>+IFERROR(VLOOKUP(OB$27&amp;"-"&amp;$M59&amp;"_new",Ammortamento_Finanziario!$H:$L,5,FALSE),VLOOKUP($M59,TT_Tabelle_Riferimento!$D$127:$H$164,5,FALSE))</f>
        <v>5</v>
      </c>
      <c r="OC59" s="904">
        <f>+IFERROR(VLOOKUP(OC$27&amp;"-"&amp;$M59&amp;"_new",Ammortamento_Finanziario!$H:$L,5,FALSE),VLOOKUP($M59,TT_Tabelle_Riferimento!$D$127:$H$164,5,FALSE))</f>
        <v>5</v>
      </c>
      <c r="OD59" s="904">
        <f>+IFERROR(VLOOKUP(OD$27&amp;"-"&amp;$M59&amp;"_new",Ammortamento_Finanziario!$H:$L,5,FALSE),VLOOKUP($M59,TT_Tabelle_Riferimento!$D$127:$H$164,5,FALSE))</f>
        <v>5</v>
      </c>
      <c r="OE59" s="904">
        <f>+IFERROR(VLOOKUP(OE$27&amp;"-"&amp;$M59&amp;"_new",Ammortamento_Finanziario!$H:$L,5,FALSE),VLOOKUP($M59,TT_Tabelle_Riferimento!$D$127:$H$164,5,FALSE))</f>
        <v>5</v>
      </c>
      <c r="OF59" s="904">
        <f>+IFERROR(VLOOKUP(OF$27&amp;"-"&amp;$M59&amp;"_new",Ammortamento_Finanziario!$H:$L,5,FALSE),VLOOKUP($M59,TT_Tabelle_Riferimento!$D$127:$H$164,5,FALSE))</f>
        <v>5</v>
      </c>
      <c r="OG59" s="904">
        <f>+IFERROR(VLOOKUP(OG$27&amp;"-"&amp;$M59&amp;"_new",Ammortamento_Finanziario!$H:$L,5,FALSE),VLOOKUP($M59,TT_Tabelle_Riferimento!$D$127:$H$164,5,FALSE))</f>
        <v>5</v>
      </c>
      <c r="OH59" s="904">
        <f>+IFERROR(VLOOKUP(OH$27&amp;"-"&amp;$M59&amp;"_new",Ammortamento_Finanziario!$H:$L,5,FALSE),VLOOKUP($M59,TT_Tabelle_Riferimento!$D$127:$H$164,5,FALSE))</f>
        <v>5</v>
      </c>
      <c r="OI59" s="904">
        <f>+IFERROR(VLOOKUP(OI$27&amp;"-"&amp;$M59&amp;"_new",Ammortamento_Finanziario!$H:$L,5,FALSE),VLOOKUP($M59,TT_Tabelle_Riferimento!$D$127:$H$164,5,FALSE))</f>
        <v>5</v>
      </c>
      <c r="OJ59" s="904">
        <f>+IFERROR(VLOOKUP(OJ$27&amp;"-"&amp;$M59&amp;"_new",Ammortamento_Finanziario!$H:$L,5,FALSE),VLOOKUP($M59,TT_Tabelle_Riferimento!$D$127:$H$164,5,FALSE))</f>
        <v>5</v>
      </c>
      <c r="OK59" s="904">
        <f>+IFERROR(VLOOKUP(OK$27&amp;"-"&amp;$M59&amp;"_new",Ammortamento_Finanziario!$H:$L,5,FALSE),VLOOKUP($M59,TT_Tabelle_Riferimento!$D$127:$H$164,5,FALSE))</f>
        <v>5</v>
      </c>
      <c r="OL59" s="904">
        <f>+IFERROR(VLOOKUP(OL$27&amp;"-"&amp;$M59&amp;"_new",Ammortamento_Finanziario!$H:$L,5,FALSE),VLOOKUP($M59,TT_Tabelle_Riferimento!$D$127:$H$164,5,FALSE))</f>
        <v>5</v>
      </c>
      <c r="OM59" s="904">
        <f>+IFERROR(VLOOKUP(OM$27&amp;"-"&amp;$M59&amp;"_new",Ammortamento_Finanziario!$H:$L,5,FALSE),VLOOKUP($M59,TT_Tabelle_Riferimento!$D$127:$H$164,5,FALSE))</f>
        <v>5</v>
      </c>
      <c r="ON59" s="904">
        <f>+IFERROR(VLOOKUP(ON$27&amp;"-"&amp;$M59&amp;"_new",Ammortamento_Finanziario!$H:$L,5,FALSE),VLOOKUP($M59,TT_Tabelle_Riferimento!$D$127:$H$164,5,FALSE))</f>
        <v>5</v>
      </c>
      <c r="OO59" s="1762">
        <f>+IFERROR(VLOOKUP(OO$27&amp;"-"&amp;$M59&amp;"_new",Ammortamento_Finanziario!$H:$L,5,FALSE),VLOOKUP($M59,TT_Tabelle_Riferimento!$D$127:$H$164,5,FALSE))</f>
        <v>5</v>
      </c>
      <c r="OP59" s="1762">
        <f>+IFERROR(VLOOKUP(OP$27&amp;"-"&amp;$M59&amp;"_new",Ammortamento_Finanziario!$H:$L,5,FALSE),VLOOKUP($M59,TT_Tabelle_Riferimento!$D$127:$H$164,5,FALSE))</f>
        <v>5</v>
      </c>
      <c r="OQ59" s="1762">
        <f>+IFERROR(VLOOKUP(OQ$27&amp;"-"&amp;$M59&amp;"_new",Ammortamento_Finanziario!$H:$L,5,FALSE),VLOOKUP($M59,TT_Tabelle_Riferimento!$D$127:$H$164,5,FALSE))</f>
        <v>5</v>
      </c>
      <c r="OR59" s="1762">
        <f>+IFERROR(VLOOKUP(OR$27&amp;"-"&amp;$M59&amp;"_new",Ammortamento_Finanziario!$H:$L,5,FALSE),VLOOKUP($M59,TT_Tabelle_Riferimento!$D$127:$H$164,5,FALSE))</f>
        <v>5</v>
      </c>
      <c r="OS59" s="904">
        <f>+IFERROR(VLOOKUP(OS$27&amp;"-"&amp;$M59&amp;"_new",Ammortamento_Finanziario!$H:$L,5,FALSE),VLOOKUP($M59,TT_Tabelle_Riferimento!$D$127:$H$164,5,FALSE))</f>
        <v>5</v>
      </c>
      <c r="OT59" s="904">
        <f>+IFERROR(VLOOKUP(OT$27&amp;"-"&amp;$M59&amp;"_new",Ammortamento_Finanziario!$H:$L,5,FALSE),VLOOKUP($M59,TT_Tabelle_Riferimento!$D$127:$H$164,5,FALSE))</f>
        <v>5</v>
      </c>
      <c r="OU59" s="904">
        <f>+IFERROR(VLOOKUP(OU$27&amp;"-"&amp;$M59&amp;"_new",Ammortamento_Finanziario!$H:$L,5,FALSE),VLOOKUP($M59,TT_Tabelle_Riferimento!$D$127:$H$164,5,FALSE))</f>
        <v>5</v>
      </c>
      <c r="OV59" s="904">
        <f>+IFERROR(VLOOKUP(OV$27&amp;"-"&amp;$M59&amp;"_new",Ammortamento_Finanziario!$H:$L,5,FALSE),VLOOKUP($M59,TT_Tabelle_Riferimento!$D$127:$H$164,5,FALSE))</f>
        <v>5</v>
      </c>
      <c r="OW59" s="904">
        <f>+IFERROR(VLOOKUP(OW$27&amp;"-"&amp;$M59&amp;"_new",Ammortamento_Finanziario!$H:$L,5,FALSE),VLOOKUP($M59,TT_Tabelle_Riferimento!$D$127:$H$164,5,FALSE))</f>
        <v>5</v>
      </c>
      <c r="OX59" s="904">
        <f>+IFERROR(VLOOKUP(OX$27&amp;"-"&amp;$M59&amp;"_new",Ammortamento_Finanziario!$H:$L,5,FALSE),VLOOKUP($M59,TT_Tabelle_Riferimento!$D$127:$H$164,5,FALSE))</f>
        <v>5</v>
      </c>
      <c r="OY59" s="904">
        <f>+IFERROR(VLOOKUP(OY$27&amp;"-"&amp;$M59&amp;"_new",Ammortamento_Finanziario!$H:$L,5,FALSE),VLOOKUP($M59,TT_Tabelle_Riferimento!$D$127:$H$164,5,FALSE))</f>
        <v>5</v>
      </c>
      <c r="OZ59" s="904">
        <f>+IFERROR(VLOOKUP(OZ$27&amp;"-"&amp;$M59&amp;"_new",Ammortamento_Finanziario!$H:$L,5,FALSE),VLOOKUP($M59,TT_Tabelle_Riferimento!$D$127:$H$164,5,FALSE))</f>
        <v>5</v>
      </c>
      <c r="PA59" s="904">
        <f>+IFERROR(VLOOKUP(PA$27&amp;"-"&amp;$M59&amp;"_new",Ammortamento_Finanziario!$H:$L,5,FALSE),VLOOKUP($M59,TT_Tabelle_Riferimento!$D$127:$H$164,5,FALSE))</f>
        <v>5</v>
      </c>
      <c r="PB59" s="904">
        <f>+IFERROR(VLOOKUP(PB$27&amp;"-"&amp;$M59&amp;"_new",Ammortamento_Finanziario!$H:$L,5,FALSE),VLOOKUP($M59,TT_Tabelle_Riferimento!$D$127:$H$164,5,FALSE))</f>
        <v>5</v>
      </c>
      <c r="PC59" s="904">
        <f>+IFERROR(VLOOKUP(PC$27&amp;"-"&amp;$M59&amp;"_new",Ammortamento_Finanziario!$H:$L,5,FALSE),VLOOKUP($M59,TT_Tabelle_Riferimento!$D$127:$H$164,5,FALSE))</f>
        <v>5</v>
      </c>
      <c r="PD59" s="904">
        <f>+IFERROR(VLOOKUP(PD$27&amp;"-"&amp;$M59&amp;"_new",Ammortamento_Finanziario!$H:$L,5,FALSE),VLOOKUP($M59,TT_Tabelle_Riferimento!$D$127:$H$164,5,FALSE))</f>
        <v>5</v>
      </c>
      <c r="PE59" s="904">
        <f>+IFERROR(VLOOKUP(PE$27&amp;"-"&amp;$M59&amp;"_new",Ammortamento_Finanziario!$H:$L,5,FALSE),VLOOKUP($M59,TT_Tabelle_Riferimento!$D$127:$H$164,5,FALSE))</f>
        <v>5</v>
      </c>
      <c r="PF59" s="904">
        <f>+IFERROR(VLOOKUP(PF$27&amp;"-"&amp;$M59&amp;"_new",Ammortamento_Finanziario!$H:$L,5,FALSE),VLOOKUP($M59,TT_Tabelle_Riferimento!$D$127:$H$164,5,FALSE))</f>
        <v>5</v>
      </c>
      <c r="PG59" s="904">
        <f>+IFERROR(VLOOKUP(PG$27&amp;"-"&amp;$M59&amp;"_new",Ammortamento_Finanziario!$H:$L,5,FALSE),VLOOKUP($M59,TT_Tabelle_Riferimento!$D$127:$H$164,5,FALSE))</f>
        <v>5</v>
      </c>
      <c r="PH59" s="904">
        <f>+IFERROR(VLOOKUP(PH$27&amp;"-"&amp;$M59&amp;"_new",Ammortamento_Finanziario!$H:$L,5,FALSE),VLOOKUP($M59,TT_Tabelle_Riferimento!$D$127:$H$164,5,FALSE))</f>
        <v>5</v>
      </c>
      <c r="PI59" s="904">
        <f>+IFERROR(VLOOKUP(PI$27&amp;"-"&amp;$M59&amp;"_new",Ammortamento_Finanziario!$H:$L,5,FALSE),VLOOKUP($M59,TT_Tabelle_Riferimento!$D$127:$H$164,5,FALSE))</f>
        <v>5</v>
      </c>
      <c r="PJ59" s="904">
        <f>+IFERROR(VLOOKUP(PJ$27&amp;"-"&amp;$M59&amp;"_new",Ammortamento_Finanziario!$H:$L,5,FALSE),VLOOKUP($M59,TT_Tabelle_Riferimento!$D$127:$H$164,5,FALSE))</f>
        <v>5</v>
      </c>
      <c r="PK59" s="904">
        <f>+IFERROR(VLOOKUP(PK$27&amp;"-"&amp;$M59&amp;"_new",Ammortamento_Finanziario!$H:$L,5,FALSE),VLOOKUP($M59,TT_Tabelle_Riferimento!$D$127:$H$164,5,FALSE))</f>
        <v>5</v>
      </c>
      <c r="PL59" s="1762">
        <f>+IFERROR(VLOOKUP(PL$27&amp;"-"&amp;$M59&amp;"_new",Ammortamento_Finanziario!$H:$L,5,FALSE),VLOOKUP($M59,TT_Tabelle_Riferimento!$D$127:$H$164,5,FALSE))</f>
        <v>5</v>
      </c>
      <c r="PM59" s="1762">
        <f>+IFERROR(VLOOKUP(PM$27&amp;"-"&amp;$M59&amp;"_new",Ammortamento_Finanziario!$H:$L,5,FALSE),VLOOKUP($M59,TT_Tabelle_Riferimento!$D$127:$H$164,5,FALSE))</f>
        <v>5</v>
      </c>
      <c r="PN59" s="1762">
        <f>+IFERROR(VLOOKUP(PN$27&amp;"-"&amp;$M59&amp;"_new",Ammortamento_Finanziario!$H:$L,5,FALSE),VLOOKUP($M59,TT_Tabelle_Riferimento!$D$127:$H$164,5,FALSE))</f>
        <v>5</v>
      </c>
      <c r="PO59" s="904">
        <f>+IFERROR(VLOOKUP(PO$27&amp;"-"&amp;$M59&amp;"_new",Ammortamento_Finanziario!$H:$L,5,FALSE),VLOOKUP($M59,TT_Tabelle_Riferimento!$D$127:$H$164,5,FALSE))</f>
        <v>5</v>
      </c>
      <c r="PP59" s="904">
        <f>+IFERROR(VLOOKUP(PP$27&amp;"-"&amp;$M59&amp;"_new",Ammortamento_Finanziario!$H:$L,5,FALSE),VLOOKUP($M59,TT_Tabelle_Riferimento!$D$127:$H$164,5,FALSE))</f>
        <v>5</v>
      </c>
      <c r="PQ59" s="904">
        <f>+IFERROR(VLOOKUP(PQ$27&amp;"-"&amp;$M59&amp;"_new",Ammortamento_Finanziario!$H:$L,5,FALSE),VLOOKUP($M59,TT_Tabelle_Riferimento!$D$127:$H$164,5,FALSE))</f>
        <v>5</v>
      </c>
      <c r="PR59" s="904">
        <f>+IFERROR(VLOOKUP(PR$27&amp;"-"&amp;$M59&amp;"_new",Ammortamento_Finanziario!$H:$L,5,FALSE),VLOOKUP($M59,TT_Tabelle_Riferimento!$D$127:$H$164,5,FALSE))</f>
        <v>5</v>
      </c>
      <c r="PS59" s="904">
        <f>+IFERROR(VLOOKUP(PS$27&amp;"-"&amp;$M59&amp;"_new",Ammortamento_Finanziario!$H:$L,5,FALSE),VLOOKUP($M59,TT_Tabelle_Riferimento!$D$127:$H$164,5,FALSE))</f>
        <v>5</v>
      </c>
      <c r="PT59" s="904">
        <f>+IFERROR(VLOOKUP(PT$27&amp;"-"&amp;$M59&amp;"_new",Ammortamento_Finanziario!$H:$L,5,FALSE),VLOOKUP($M59,TT_Tabelle_Riferimento!$D$127:$H$164,5,FALSE))</f>
        <v>5</v>
      </c>
      <c r="PU59" s="904">
        <f>+IFERROR(VLOOKUP(PU$27&amp;"-"&amp;$M59&amp;"_new",Ammortamento_Finanziario!$H:$L,5,FALSE),VLOOKUP($M59,TT_Tabelle_Riferimento!$D$127:$H$164,5,FALSE))</f>
        <v>5</v>
      </c>
      <c r="PV59" s="904">
        <f>+IFERROR(VLOOKUP(PV$27&amp;"-"&amp;$M59&amp;"_new",Ammortamento_Finanziario!$H:$L,5,FALSE),VLOOKUP($M59,TT_Tabelle_Riferimento!$D$127:$H$164,5,FALSE))</f>
        <v>5</v>
      </c>
      <c r="PW59" s="904">
        <f>+IFERROR(VLOOKUP(PW$27&amp;"-"&amp;$M59&amp;"_new",Ammortamento_Finanziario!$H:$L,5,FALSE),VLOOKUP($M59,TT_Tabelle_Riferimento!$D$127:$H$164,5,FALSE))</f>
        <v>5</v>
      </c>
      <c r="PX59" s="904">
        <f>+IFERROR(VLOOKUP(PX$27&amp;"-"&amp;$M59&amp;"_new",Ammortamento_Finanziario!$H:$L,5,FALSE),VLOOKUP($M59,TT_Tabelle_Riferimento!$D$127:$H$164,5,FALSE))</f>
        <v>5</v>
      </c>
      <c r="PY59" s="904">
        <f>+IFERROR(VLOOKUP(PY$27&amp;"-"&amp;$M59&amp;"_new",Ammortamento_Finanziario!$H:$L,5,FALSE),VLOOKUP($M59,TT_Tabelle_Riferimento!$D$127:$H$164,5,FALSE))</f>
        <v>5</v>
      </c>
      <c r="PZ59" s="904">
        <f>+IFERROR(VLOOKUP(PZ$27&amp;"-"&amp;$M59&amp;"_new",Ammortamento_Finanziario!$H:$L,5,FALSE),VLOOKUP($M59,TT_Tabelle_Riferimento!$D$127:$H$164,5,FALSE))</f>
        <v>5</v>
      </c>
      <c r="QA59" s="904">
        <f>+IFERROR(VLOOKUP(QA$27&amp;"-"&amp;$M59&amp;"_new",Ammortamento_Finanziario!$H:$L,5,FALSE),VLOOKUP($M59,TT_Tabelle_Riferimento!$D$127:$H$164,5,FALSE))</f>
        <v>5</v>
      </c>
      <c r="QB59" s="904">
        <f>+IFERROR(VLOOKUP(QB$27&amp;"-"&amp;$M59&amp;"_new",Ammortamento_Finanziario!$H:$L,5,FALSE),VLOOKUP($M59,TT_Tabelle_Riferimento!$D$127:$H$164,5,FALSE))</f>
        <v>5</v>
      </c>
      <c r="QC59" s="904">
        <f>+IFERROR(VLOOKUP(QC$27&amp;"-"&amp;$M59&amp;"_new",Ammortamento_Finanziario!$H:$L,5,FALSE),VLOOKUP($M59,TT_Tabelle_Riferimento!$D$127:$H$164,5,FALSE))</f>
        <v>5</v>
      </c>
      <c r="QD59" s="904">
        <f>+IFERROR(VLOOKUP(QD$27&amp;"-"&amp;$M59&amp;"_new",Ammortamento_Finanziario!$H:$L,5,FALSE),VLOOKUP($M59,TT_Tabelle_Riferimento!$D$127:$H$164,5,FALSE))</f>
        <v>5</v>
      </c>
      <c r="QE59" s="904">
        <f>+IFERROR(VLOOKUP(QE$27&amp;"-"&amp;$M59&amp;"_new",Ammortamento_Finanziario!$H:$L,5,FALSE),VLOOKUP($M59,TT_Tabelle_Riferimento!$D$127:$H$164,5,FALSE))</f>
        <v>5</v>
      </c>
      <c r="QF59" s="904">
        <f>+IFERROR(VLOOKUP(QF$27&amp;"-"&amp;$M59&amp;"_new",Ammortamento_Finanziario!$H:$L,5,FALSE),VLOOKUP($M59,TT_Tabelle_Riferimento!$D$127:$H$164,5,FALSE))</f>
        <v>5</v>
      </c>
      <c r="QG59" s="904">
        <f>+IFERROR(VLOOKUP(QG$27&amp;"-"&amp;$M59&amp;"_new",Ammortamento_Finanziario!$H:$L,5,FALSE),VLOOKUP($M59,TT_Tabelle_Riferimento!$D$127:$H$164,5,FALSE))</f>
        <v>5</v>
      </c>
      <c r="QH59" s="1762">
        <f>+IFERROR(VLOOKUP(QH$27&amp;"-"&amp;$M59&amp;"_new",Ammortamento_Finanziario!$H:$L,5,FALSE),VLOOKUP($M59,TT_Tabelle_Riferimento!$D$127:$H$164,5,FALSE))</f>
        <v>5</v>
      </c>
      <c r="QI59" s="1762">
        <f>+IFERROR(VLOOKUP(QI$27&amp;"-"&amp;$M59&amp;"_new",Ammortamento_Finanziario!$H:$L,5,FALSE),VLOOKUP($M59,TT_Tabelle_Riferimento!$D$127:$H$164,5,FALSE))</f>
        <v>5</v>
      </c>
      <c r="QJ59" s="904">
        <f>+IFERROR(VLOOKUP(QJ$27&amp;"-"&amp;$M59&amp;"_new",Ammortamento_Finanziario!$H:$L,5,FALSE),VLOOKUP($M59,TT_Tabelle_Riferimento!$D$127:$H$164,5,FALSE))</f>
        <v>5</v>
      </c>
      <c r="QK59" s="904">
        <f>+IFERROR(VLOOKUP(QK$27&amp;"-"&amp;$M59&amp;"_new",Ammortamento_Finanziario!$H:$L,5,FALSE),VLOOKUP($M59,TT_Tabelle_Riferimento!$D$127:$H$164,5,FALSE))</f>
        <v>5</v>
      </c>
      <c r="QL59" s="904">
        <f>+IFERROR(VLOOKUP(QL$27&amp;"-"&amp;$M59&amp;"_new",Ammortamento_Finanziario!$H:$L,5,FALSE),VLOOKUP($M59,TT_Tabelle_Riferimento!$D$127:$H$164,5,FALSE))</f>
        <v>5</v>
      </c>
      <c r="QM59" s="904">
        <f>+IFERROR(VLOOKUP(QM$27&amp;"-"&amp;$M59&amp;"_new",Ammortamento_Finanziario!$H:$L,5,FALSE),VLOOKUP($M59,TT_Tabelle_Riferimento!$D$127:$H$164,5,FALSE))</f>
        <v>5</v>
      </c>
      <c r="QN59" s="904">
        <f>+IFERROR(VLOOKUP(QN$27&amp;"-"&amp;$M59&amp;"_new",Ammortamento_Finanziario!$H:$L,5,FALSE),VLOOKUP($M59,TT_Tabelle_Riferimento!$D$127:$H$164,5,FALSE))</f>
        <v>5</v>
      </c>
      <c r="QO59" s="904">
        <f>+IFERROR(VLOOKUP(QO$27&amp;"-"&amp;$M59&amp;"_new",Ammortamento_Finanziario!$H:$L,5,FALSE),VLOOKUP($M59,TT_Tabelle_Riferimento!$D$127:$H$164,5,FALSE))</f>
        <v>5</v>
      </c>
      <c r="QP59" s="904">
        <f>+IFERROR(VLOOKUP(QP$27&amp;"-"&amp;$M59&amp;"_new",Ammortamento_Finanziario!$H:$L,5,FALSE),VLOOKUP($M59,TT_Tabelle_Riferimento!$D$127:$H$164,5,FALSE))</f>
        <v>5</v>
      </c>
      <c r="QQ59" s="904">
        <f>+IFERROR(VLOOKUP(QQ$27&amp;"-"&amp;$M59&amp;"_new",Ammortamento_Finanziario!$H:$L,5,FALSE),VLOOKUP($M59,TT_Tabelle_Riferimento!$D$127:$H$164,5,FALSE))</f>
        <v>5</v>
      </c>
      <c r="QR59" s="904">
        <f>+IFERROR(VLOOKUP(QR$27&amp;"-"&amp;$M59&amp;"_new",Ammortamento_Finanziario!$H:$L,5,FALSE),VLOOKUP($M59,TT_Tabelle_Riferimento!$D$127:$H$164,5,FALSE))</f>
        <v>5</v>
      </c>
      <c r="QS59" s="904">
        <f>+IFERROR(VLOOKUP(QS$27&amp;"-"&amp;$M59&amp;"_new",Ammortamento_Finanziario!$H:$L,5,FALSE),VLOOKUP($M59,TT_Tabelle_Riferimento!$D$127:$H$164,5,FALSE))</f>
        <v>5</v>
      </c>
      <c r="QT59" s="904">
        <f>+IFERROR(VLOOKUP(QT$27&amp;"-"&amp;$M59&amp;"_new",Ammortamento_Finanziario!$H:$L,5,FALSE),VLOOKUP($M59,TT_Tabelle_Riferimento!$D$127:$H$164,5,FALSE))</f>
        <v>5</v>
      </c>
      <c r="QU59" s="904">
        <f>+IFERROR(VLOOKUP(QU$27&amp;"-"&amp;$M59&amp;"_new",Ammortamento_Finanziario!$H:$L,5,FALSE),VLOOKUP($M59,TT_Tabelle_Riferimento!$D$127:$H$164,5,FALSE))</f>
        <v>5</v>
      </c>
      <c r="QV59" s="904">
        <f>+IFERROR(VLOOKUP(QV$27&amp;"-"&amp;$M59&amp;"_new",Ammortamento_Finanziario!$H:$L,5,FALSE),VLOOKUP($M59,TT_Tabelle_Riferimento!$D$127:$H$164,5,FALSE))</f>
        <v>5</v>
      </c>
      <c r="QW59" s="904">
        <f>+IFERROR(VLOOKUP(QW$27&amp;"-"&amp;$M59&amp;"_new",Ammortamento_Finanziario!$H:$L,5,FALSE),VLOOKUP($M59,TT_Tabelle_Riferimento!$D$127:$H$164,5,FALSE))</f>
        <v>5</v>
      </c>
      <c r="QX59" s="904">
        <f>+IFERROR(VLOOKUP(QX$27&amp;"-"&amp;$M59&amp;"_new",Ammortamento_Finanziario!$H:$L,5,FALSE),VLOOKUP($M59,TT_Tabelle_Riferimento!$D$127:$H$164,5,FALSE))</f>
        <v>5</v>
      </c>
      <c r="QY59" s="904">
        <f>+IFERROR(VLOOKUP(QY$27&amp;"-"&amp;$M59&amp;"_new",Ammortamento_Finanziario!$H:$L,5,FALSE),VLOOKUP($M59,TT_Tabelle_Riferimento!$D$127:$H$164,5,FALSE))</f>
        <v>5</v>
      </c>
      <c r="QZ59" s="904">
        <f>+IFERROR(VLOOKUP(QZ$27&amp;"-"&amp;$M59&amp;"_new",Ammortamento_Finanziario!$H:$L,5,FALSE),VLOOKUP($M59,TT_Tabelle_Riferimento!$D$127:$H$164,5,FALSE))</f>
        <v>5</v>
      </c>
      <c r="RA59" s="904">
        <f>+IFERROR(VLOOKUP(RA$27&amp;"-"&amp;$M59&amp;"_new",Ammortamento_Finanziario!$H:$L,5,FALSE),VLOOKUP($M59,TT_Tabelle_Riferimento!$D$127:$H$164,5,FALSE))</f>
        <v>5</v>
      </c>
      <c r="RB59" s="904">
        <f>+IFERROR(VLOOKUP(RB$27&amp;"-"&amp;$M59&amp;"_new",Ammortamento_Finanziario!$H:$L,5,FALSE),VLOOKUP($M59,TT_Tabelle_Riferimento!$D$127:$H$164,5,FALSE))</f>
        <v>5</v>
      </c>
      <c r="RC59" s="1762">
        <f>+IFERROR(VLOOKUP(RC$27&amp;"-"&amp;$M59&amp;"_new",Ammortamento_Finanziario!$H:$L,5,FALSE),VLOOKUP($M59,TT_Tabelle_Riferimento!$D$127:$H$164,5,FALSE))</f>
        <v>5</v>
      </c>
      <c r="RD59" s="904">
        <f>+IFERROR(VLOOKUP(RD$27&amp;"-"&amp;$M59&amp;"_new",Ammortamento_Finanziario!$H:$L,5,FALSE),VLOOKUP($M59,TT_Tabelle_Riferimento!$D$127:$H$164,5,FALSE))</f>
        <v>5</v>
      </c>
      <c r="RE59" s="904">
        <f>+IFERROR(VLOOKUP(RE$27&amp;"-"&amp;$M59&amp;"_new",Ammortamento_Finanziario!$H:$L,5,FALSE),VLOOKUP($M59,TT_Tabelle_Riferimento!$D$127:$H$164,5,FALSE))</f>
        <v>5</v>
      </c>
      <c r="RF59" s="904">
        <f>+IFERROR(VLOOKUP(RF$27&amp;"-"&amp;$M59&amp;"_new",Ammortamento_Finanziario!$H:$L,5,FALSE),VLOOKUP($M59,TT_Tabelle_Riferimento!$D$127:$H$164,5,FALSE))</f>
        <v>5</v>
      </c>
      <c r="RG59" s="904">
        <f>+IFERROR(VLOOKUP(RG$27&amp;"-"&amp;$M59&amp;"_new",Ammortamento_Finanziario!$H:$L,5,FALSE),VLOOKUP($M59,TT_Tabelle_Riferimento!$D$127:$H$164,5,FALSE))</f>
        <v>5</v>
      </c>
      <c r="RH59" s="904">
        <f>+IFERROR(VLOOKUP(RH$27&amp;"-"&amp;$M59&amp;"_new",Ammortamento_Finanziario!$H:$L,5,FALSE),VLOOKUP($M59,TT_Tabelle_Riferimento!$D$127:$H$164,5,FALSE))</f>
        <v>5</v>
      </c>
      <c r="RI59" s="904">
        <f>+IFERROR(VLOOKUP(RI$27&amp;"-"&amp;$M59&amp;"_new",Ammortamento_Finanziario!$H:$L,5,FALSE),VLOOKUP($M59,TT_Tabelle_Riferimento!$D$127:$H$164,5,FALSE))</f>
        <v>5</v>
      </c>
      <c r="RJ59" s="904">
        <f>+IFERROR(VLOOKUP(RJ$27&amp;"-"&amp;$M59&amp;"_new",Ammortamento_Finanziario!$H:$L,5,FALSE),VLOOKUP($M59,TT_Tabelle_Riferimento!$D$127:$H$164,5,FALSE))</f>
        <v>5</v>
      </c>
      <c r="RK59" s="904">
        <f>+IFERROR(VLOOKUP(RK$27&amp;"-"&amp;$M59&amp;"_new",Ammortamento_Finanziario!$H:$L,5,FALSE),VLOOKUP($M59,TT_Tabelle_Riferimento!$D$127:$H$164,5,FALSE))</f>
        <v>5</v>
      </c>
      <c r="RL59" s="904">
        <f>+IFERROR(VLOOKUP(RL$27&amp;"-"&amp;$M59&amp;"_new",Ammortamento_Finanziario!$H:$L,5,FALSE),VLOOKUP($M59,TT_Tabelle_Riferimento!$D$127:$H$164,5,FALSE))</f>
        <v>5</v>
      </c>
      <c r="RM59" s="904">
        <f>+IFERROR(VLOOKUP(RM$27&amp;"-"&amp;$M59&amp;"_new",Ammortamento_Finanziario!$H:$L,5,FALSE),VLOOKUP($M59,TT_Tabelle_Riferimento!$D$127:$H$164,5,FALSE))</f>
        <v>5</v>
      </c>
      <c r="RN59" s="904">
        <f>+IFERROR(VLOOKUP(RN$27&amp;"-"&amp;$M59&amp;"_new",Ammortamento_Finanziario!$H:$L,5,FALSE),VLOOKUP($M59,TT_Tabelle_Riferimento!$D$127:$H$164,5,FALSE))</f>
        <v>5</v>
      </c>
      <c r="RO59" s="904">
        <f>+IFERROR(VLOOKUP(RO$27&amp;"-"&amp;$M59&amp;"_new",Ammortamento_Finanziario!$H:$L,5,FALSE),VLOOKUP($M59,TT_Tabelle_Riferimento!$D$127:$H$164,5,FALSE))</f>
        <v>5</v>
      </c>
      <c r="RP59" s="904">
        <f>+IFERROR(VLOOKUP(RP$27&amp;"-"&amp;$M59&amp;"_new",Ammortamento_Finanziario!$H:$L,5,FALSE),VLOOKUP($M59,TT_Tabelle_Riferimento!$D$127:$H$164,5,FALSE))</f>
        <v>5</v>
      </c>
      <c r="RQ59" s="904">
        <f>+IFERROR(VLOOKUP(RQ$27&amp;"-"&amp;$M59&amp;"_new",Ammortamento_Finanziario!$H:$L,5,FALSE),VLOOKUP($M59,TT_Tabelle_Riferimento!$D$127:$H$164,5,FALSE))</f>
        <v>5</v>
      </c>
      <c r="RR59" s="904">
        <f>+IFERROR(VLOOKUP(RR$27&amp;"-"&amp;$M59&amp;"_new",Ammortamento_Finanziario!$H:$L,5,FALSE),VLOOKUP($M59,TT_Tabelle_Riferimento!$D$127:$H$164,5,FALSE))</f>
        <v>5</v>
      </c>
      <c r="RS59" s="904">
        <f>+IFERROR(VLOOKUP(RS$27&amp;"-"&amp;$M59&amp;"_new",Ammortamento_Finanziario!$H:$L,5,FALSE),VLOOKUP($M59,TT_Tabelle_Riferimento!$D$127:$H$164,5,FALSE))</f>
        <v>5</v>
      </c>
      <c r="RT59" s="904">
        <f>+IFERROR(VLOOKUP(RT$27&amp;"-"&amp;$M59&amp;"_new",Ammortamento_Finanziario!$H:$L,5,FALSE),VLOOKUP($M59,TT_Tabelle_Riferimento!$D$127:$H$164,5,FALSE))</f>
        <v>5</v>
      </c>
      <c r="RU59" s="904">
        <f>+IFERROR(VLOOKUP(RU$27&amp;"-"&amp;$M59&amp;"_new",Ammortamento_Finanziario!$H:$L,5,FALSE),VLOOKUP($M59,TT_Tabelle_Riferimento!$D$127:$H$164,5,FALSE))</f>
        <v>5</v>
      </c>
      <c r="RV59" s="904">
        <f>+IFERROR(VLOOKUP(RV$27&amp;"-"&amp;$M59&amp;"_new",Ammortamento_Finanziario!$H:$L,5,FALSE),VLOOKUP($M59,TT_Tabelle_Riferimento!$D$127:$H$164,5,FALSE))</f>
        <v>5</v>
      </c>
    </row>
    <row r="60" spans="4:490" ht="15.75">
      <c r="D60" s="135" t="s">
        <v>22702</v>
      </c>
      <c r="E60" s="719">
        <f>+SUMIFS(IMN_gestore!W:W,IMN_gestore!$G:$G,"Res")</f>
        <v>0</v>
      </c>
      <c r="F60" s="719">
        <f>+SUMIFS(IMN_gestore!AH:AH,IMN_gestore!$G:$G,"Res")</f>
        <v>0</v>
      </c>
      <c r="G60" s="719">
        <f>+SUMIFS(IMN_gestore!AS:AS,IMN_gestore!$G:$G,"Res")</f>
        <v>0</v>
      </c>
      <c r="H60" s="719">
        <f>+SUMIFS(IMN_gestore!BD:BD,IMN_gestore!$G:$G,"Res")</f>
        <v>0</v>
      </c>
      <c r="I60" s="719">
        <f>+SUMIFS(IMN_gestore!$BO:$BO,IMN_gestore!$G:$G,"Res")</f>
        <v>0</v>
      </c>
      <c r="J60" s="719">
        <f>+SUMIFS(IMN_gestore!$BZ:$BZ,IMN_gestore!$G:$G,"Res")</f>
        <v>0</v>
      </c>
      <c r="K60" s="5"/>
      <c r="L60" s="5"/>
      <c r="M60" s="1756">
        <v>33</v>
      </c>
      <c r="N60" s="1759">
        <v>0</v>
      </c>
      <c r="O60" s="1759">
        <v>0</v>
      </c>
      <c r="P60" s="1759">
        <v>0</v>
      </c>
      <c r="Q60" s="1759">
        <v>0</v>
      </c>
      <c r="R60" s="1759">
        <v>0</v>
      </c>
      <c r="S60" s="1759">
        <v>0</v>
      </c>
      <c r="T60" s="1759">
        <v>0</v>
      </c>
      <c r="U60" s="1759">
        <v>0</v>
      </c>
      <c r="V60" s="1759">
        <v>0</v>
      </c>
      <c r="W60" s="1759">
        <v>0</v>
      </c>
      <c r="X60" s="1759">
        <v>0</v>
      </c>
      <c r="Y60" s="1759">
        <v>0</v>
      </c>
      <c r="Z60" s="1759">
        <v>0</v>
      </c>
      <c r="AA60" s="1759">
        <v>0</v>
      </c>
      <c r="AB60" s="1759">
        <v>0</v>
      </c>
      <c r="AC60" s="1759">
        <v>0</v>
      </c>
      <c r="AD60" s="1759">
        <v>0</v>
      </c>
      <c r="AE60" s="1759">
        <v>0</v>
      </c>
      <c r="AF60" s="1759">
        <v>0</v>
      </c>
      <c r="AG60" s="1759">
        <v>0</v>
      </c>
      <c r="AH60" s="1759">
        <v>0</v>
      </c>
      <c r="AI60" s="1759">
        <v>0</v>
      </c>
      <c r="AJ60" s="1759">
        <v>0</v>
      </c>
      <c r="AK60" s="1759">
        <v>0</v>
      </c>
      <c r="AL60" s="1759">
        <v>0</v>
      </c>
      <c r="AM60" s="1759">
        <v>0</v>
      </c>
      <c r="AN60" s="1759">
        <v>0</v>
      </c>
      <c r="AO60" s="1759">
        <v>0</v>
      </c>
      <c r="AP60" s="1759">
        <v>0</v>
      </c>
      <c r="AQ60" s="1759">
        <v>0</v>
      </c>
      <c r="AR60" s="1759">
        <v>0</v>
      </c>
      <c r="AS60" s="1759">
        <v>0</v>
      </c>
      <c r="AT60" s="1759">
        <v>0</v>
      </c>
      <c r="AU60" s="1759">
        <v>0</v>
      </c>
      <c r="AV60" s="1759">
        <v>0</v>
      </c>
      <c r="AW60" s="1759">
        <v>0</v>
      </c>
      <c r="AX60" s="1759">
        <v>0</v>
      </c>
      <c r="AY60" s="1759">
        <v>0</v>
      </c>
      <c r="AZ60" s="1759">
        <v>0</v>
      </c>
      <c r="BA60" s="1759">
        <v>0</v>
      </c>
      <c r="BB60" s="1759">
        <v>0</v>
      </c>
      <c r="BC60" s="1759">
        <v>0</v>
      </c>
      <c r="BD60" s="1759">
        <v>0</v>
      </c>
      <c r="BE60" s="1759">
        <v>0</v>
      </c>
      <c r="BF60" s="1759">
        <v>0</v>
      </c>
      <c r="BG60" s="1759">
        <v>0</v>
      </c>
      <c r="BH60" s="1759">
        <v>0</v>
      </c>
      <c r="BI60" s="1759">
        <v>0</v>
      </c>
      <c r="BJ60" s="1759">
        <v>0</v>
      </c>
      <c r="BK60" s="1759">
        <v>0</v>
      </c>
      <c r="BL60" s="1759">
        <v>0</v>
      </c>
      <c r="BM60" s="1759">
        <v>0</v>
      </c>
      <c r="BN60" s="1759">
        <v>0</v>
      </c>
      <c r="BO60" s="1759">
        <v>0</v>
      </c>
      <c r="BP60" s="1759">
        <v>0</v>
      </c>
      <c r="BQ60" s="1759">
        <v>0</v>
      </c>
      <c r="BR60" s="1759">
        <v>0</v>
      </c>
      <c r="BS60" s="1759">
        <v>0</v>
      </c>
      <c r="BT60" s="1759">
        <v>0</v>
      </c>
      <c r="BU60" s="1759">
        <v>0</v>
      </c>
      <c r="BV60" s="1759">
        <v>0</v>
      </c>
      <c r="BW60" s="1759">
        <v>0</v>
      </c>
      <c r="BX60" s="1759">
        <v>0</v>
      </c>
      <c r="BY60" s="1759">
        <v>0</v>
      </c>
      <c r="BZ60" s="1759">
        <v>0</v>
      </c>
      <c r="CA60" s="1759">
        <v>0</v>
      </c>
      <c r="CB60" s="1759">
        <v>0</v>
      </c>
      <c r="CC60" s="1759">
        <v>0</v>
      </c>
      <c r="CD60" s="1759">
        <v>0</v>
      </c>
      <c r="CE60" s="1759">
        <v>0</v>
      </c>
      <c r="CF60" s="1759">
        <v>0</v>
      </c>
      <c r="CG60" s="1759">
        <v>0</v>
      </c>
      <c r="CH60" s="1759">
        <v>0</v>
      </c>
      <c r="CI60" s="1759">
        <v>0</v>
      </c>
      <c r="CJ60" s="1759">
        <v>0</v>
      </c>
      <c r="CK60" s="1759">
        <v>0</v>
      </c>
      <c r="CL60" s="1759">
        <v>0</v>
      </c>
      <c r="CM60" s="1759">
        <v>0</v>
      </c>
      <c r="CN60" s="1759">
        <v>0</v>
      </c>
      <c r="CO60" s="1759">
        <v>0</v>
      </c>
      <c r="CP60" s="1759">
        <v>0</v>
      </c>
      <c r="CQ60" s="1759">
        <v>0</v>
      </c>
      <c r="CR60" s="1759">
        <v>0</v>
      </c>
      <c r="CS60" s="1759">
        <v>0</v>
      </c>
      <c r="CT60" s="1759">
        <v>0</v>
      </c>
      <c r="CU60" s="1759">
        <v>0</v>
      </c>
      <c r="CV60" s="1759">
        <v>0</v>
      </c>
      <c r="CW60" s="1759">
        <v>0</v>
      </c>
      <c r="CX60" s="1759">
        <v>0</v>
      </c>
      <c r="CY60" s="1759">
        <v>0</v>
      </c>
      <c r="CZ60" s="1759">
        <v>0</v>
      </c>
      <c r="DA60" s="1759">
        <v>0</v>
      </c>
      <c r="DB60" s="1759">
        <v>0</v>
      </c>
      <c r="DC60" s="1759">
        <v>0</v>
      </c>
      <c r="DD60" s="1759">
        <v>0</v>
      </c>
      <c r="DE60" s="1759">
        <v>0</v>
      </c>
      <c r="DF60" s="1759">
        <v>0</v>
      </c>
      <c r="DG60" s="1759">
        <v>0</v>
      </c>
      <c r="DH60" s="1759">
        <v>0</v>
      </c>
      <c r="DI60" s="1759">
        <v>0</v>
      </c>
      <c r="DJ60" s="1759">
        <v>0</v>
      </c>
      <c r="DK60" s="1759">
        <v>0</v>
      </c>
      <c r="DL60" s="1759">
        <v>0</v>
      </c>
      <c r="DM60" s="1759">
        <v>0</v>
      </c>
      <c r="DN60" s="1759">
        <v>0</v>
      </c>
      <c r="DO60" s="1759">
        <v>0</v>
      </c>
      <c r="DP60" s="1759">
        <v>0</v>
      </c>
      <c r="DQ60" s="1759">
        <v>0</v>
      </c>
      <c r="DR60" s="1759">
        <v>0</v>
      </c>
      <c r="DS60" s="1759">
        <v>0</v>
      </c>
      <c r="DT60" s="1759">
        <v>0</v>
      </c>
      <c r="DU60" s="1759">
        <v>0</v>
      </c>
      <c r="DV60" s="1759">
        <v>0</v>
      </c>
      <c r="DW60" s="1759">
        <v>0</v>
      </c>
      <c r="DX60" s="1759">
        <v>0</v>
      </c>
      <c r="DY60" s="1759">
        <v>0</v>
      </c>
      <c r="DZ60" s="1759">
        <v>0</v>
      </c>
      <c r="EA60" s="1759">
        <v>0</v>
      </c>
      <c r="EB60" s="1759">
        <v>0</v>
      </c>
      <c r="EC60" s="1759">
        <v>0</v>
      </c>
      <c r="ED60" s="1759">
        <v>0</v>
      </c>
      <c r="EE60" s="1759">
        <v>0</v>
      </c>
      <c r="EF60" s="1759">
        <v>0</v>
      </c>
      <c r="EG60" s="1759">
        <v>0</v>
      </c>
      <c r="EH60" s="1759">
        <v>0</v>
      </c>
      <c r="EI60" s="1759">
        <v>0</v>
      </c>
      <c r="EJ60" s="1759">
        <v>0</v>
      </c>
      <c r="EK60" s="1759">
        <v>0</v>
      </c>
      <c r="EL60" s="1759">
        <v>0</v>
      </c>
      <c r="EM60" s="1759">
        <v>0</v>
      </c>
      <c r="EN60" s="1759">
        <v>0</v>
      </c>
      <c r="EO60" s="1759">
        <v>0</v>
      </c>
      <c r="EP60" s="1759">
        <v>0</v>
      </c>
      <c r="EQ60" s="1759">
        <v>0</v>
      </c>
      <c r="ER60" s="1759">
        <v>0</v>
      </c>
      <c r="ES60" s="1759">
        <v>0</v>
      </c>
      <c r="ET60" s="1759">
        <v>0</v>
      </c>
      <c r="EU60" s="1759">
        <v>0</v>
      </c>
      <c r="EV60" s="1759">
        <v>0</v>
      </c>
      <c r="EW60" s="1759">
        <v>0</v>
      </c>
      <c r="EX60" s="1759">
        <v>0</v>
      </c>
      <c r="EY60" s="1759">
        <v>0</v>
      </c>
      <c r="EZ60" s="1759">
        <v>0</v>
      </c>
      <c r="FA60" s="1759">
        <v>0</v>
      </c>
      <c r="FB60" s="1759">
        <v>0</v>
      </c>
      <c r="FC60" s="1759">
        <v>0</v>
      </c>
      <c r="FD60" s="1759">
        <v>0</v>
      </c>
      <c r="FE60" s="1759">
        <v>0</v>
      </c>
      <c r="FF60" s="1759">
        <v>0</v>
      </c>
      <c r="FG60" s="1759">
        <v>0</v>
      </c>
      <c r="FH60" s="1759">
        <v>0</v>
      </c>
      <c r="FI60" s="1759">
        <v>0</v>
      </c>
      <c r="FJ60" s="1759">
        <v>0</v>
      </c>
      <c r="FK60" s="1759">
        <v>0</v>
      </c>
      <c r="FL60" s="1759">
        <v>0</v>
      </c>
      <c r="FM60" s="1759">
        <v>0</v>
      </c>
      <c r="FN60" s="1759">
        <v>0</v>
      </c>
      <c r="FO60" s="1759">
        <v>0</v>
      </c>
      <c r="FP60" s="1759">
        <v>0</v>
      </c>
      <c r="FQ60" s="1759">
        <v>0</v>
      </c>
      <c r="FR60" s="1759">
        <v>0</v>
      </c>
      <c r="FS60" s="1759">
        <v>0</v>
      </c>
      <c r="FT60" s="1759">
        <v>0</v>
      </c>
      <c r="FU60" s="1759">
        <v>0</v>
      </c>
      <c r="FV60" s="1759">
        <v>0</v>
      </c>
      <c r="FW60" s="1759">
        <v>0</v>
      </c>
      <c r="FX60" s="1759">
        <v>0</v>
      </c>
      <c r="FY60" s="1759">
        <v>0</v>
      </c>
      <c r="FZ60" s="1759">
        <v>0</v>
      </c>
      <c r="GA60" s="1759">
        <v>0</v>
      </c>
      <c r="GB60" s="1759">
        <v>0</v>
      </c>
      <c r="GC60" s="1759">
        <v>0</v>
      </c>
      <c r="GD60" s="1759">
        <v>0</v>
      </c>
      <c r="GE60" s="1759">
        <v>0</v>
      </c>
      <c r="GF60" s="1759">
        <v>0</v>
      </c>
      <c r="GG60" s="1759">
        <v>0</v>
      </c>
      <c r="GH60" s="1759">
        <v>0</v>
      </c>
      <c r="GI60" s="1759">
        <v>0</v>
      </c>
      <c r="GJ60" s="1759">
        <v>0</v>
      </c>
      <c r="GK60" s="1759">
        <v>0</v>
      </c>
      <c r="GL60" s="1759">
        <v>0</v>
      </c>
      <c r="GM60" s="1759">
        <v>0</v>
      </c>
      <c r="GN60" s="1759">
        <v>0</v>
      </c>
      <c r="GO60" s="1759">
        <v>0</v>
      </c>
      <c r="GP60" s="1759">
        <v>0</v>
      </c>
      <c r="GQ60" s="1759">
        <v>0</v>
      </c>
      <c r="GR60" s="1759">
        <v>0</v>
      </c>
      <c r="GS60" s="1759">
        <v>0</v>
      </c>
      <c r="GT60" s="1759">
        <v>0</v>
      </c>
      <c r="GU60" s="1759">
        <v>0</v>
      </c>
      <c r="GV60" s="1759">
        <v>0</v>
      </c>
      <c r="GW60" s="1759">
        <v>0</v>
      </c>
      <c r="GX60" s="1759">
        <v>0</v>
      </c>
      <c r="GY60" s="1759">
        <v>0</v>
      </c>
      <c r="GZ60" s="1759">
        <v>0</v>
      </c>
      <c r="HA60" s="1759">
        <v>0</v>
      </c>
      <c r="HB60" s="1759">
        <v>0</v>
      </c>
      <c r="HC60" s="1759">
        <v>0</v>
      </c>
      <c r="HD60" s="1759">
        <v>0</v>
      </c>
      <c r="HE60" s="1759">
        <v>0</v>
      </c>
      <c r="HF60" s="1759">
        <v>0</v>
      </c>
      <c r="HG60" s="1759">
        <v>0</v>
      </c>
      <c r="HH60" s="1759">
        <v>0</v>
      </c>
      <c r="HI60" s="1759">
        <v>0</v>
      </c>
      <c r="HJ60" s="1759">
        <v>0</v>
      </c>
      <c r="HK60" s="1759">
        <v>0</v>
      </c>
      <c r="HL60" s="1759">
        <v>0</v>
      </c>
      <c r="HM60" s="1759">
        <v>0</v>
      </c>
      <c r="HN60" s="1759">
        <v>0</v>
      </c>
      <c r="HO60" s="1759">
        <v>0</v>
      </c>
      <c r="HP60" s="1759">
        <v>0</v>
      </c>
      <c r="HQ60" s="1759">
        <v>0</v>
      </c>
      <c r="HR60" s="1759">
        <v>0</v>
      </c>
      <c r="HS60" s="1759">
        <v>0</v>
      </c>
      <c r="HT60" s="1759">
        <v>0</v>
      </c>
      <c r="HU60" s="1759">
        <v>0</v>
      </c>
      <c r="HV60" s="1759">
        <v>0</v>
      </c>
      <c r="HW60" s="1759">
        <v>0</v>
      </c>
      <c r="HX60" s="1759">
        <v>0</v>
      </c>
      <c r="HY60" s="1759">
        <v>0</v>
      </c>
      <c r="HZ60" s="1759">
        <v>0</v>
      </c>
      <c r="IA60" s="1759">
        <v>0</v>
      </c>
      <c r="IB60" s="1759">
        <v>0</v>
      </c>
      <c r="IC60" s="1759">
        <v>0</v>
      </c>
      <c r="ID60" s="1759">
        <v>0</v>
      </c>
      <c r="IE60" s="1759">
        <v>0</v>
      </c>
      <c r="IF60" s="1759">
        <v>0</v>
      </c>
      <c r="IG60" s="1759">
        <v>0</v>
      </c>
      <c r="IH60" s="1759">
        <v>0</v>
      </c>
      <c r="II60" s="1759">
        <v>0</v>
      </c>
      <c r="IJ60" s="1759">
        <v>0</v>
      </c>
      <c r="IK60" s="1759">
        <v>0</v>
      </c>
      <c r="IL60" s="1759">
        <v>0</v>
      </c>
      <c r="IM60" s="1759">
        <v>0</v>
      </c>
      <c r="IN60" s="1759">
        <v>0</v>
      </c>
      <c r="IO60" s="1759">
        <v>0</v>
      </c>
      <c r="IP60" s="1759">
        <v>0</v>
      </c>
      <c r="IQ60" s="1759">
        <v>0</v>
      </c>
      <c r="IR60" s="1759">
        <v>0</v>
      </c>
      <c r="IS60" s="1759">
        <v>0</v>
      </c>
      <c r="IT60" s="1759">
        <v>0</v>
      </c>
      <c r="IU60" s="1759">
        <v>0</v>
      </c>
      <c r="IV60" s="1759">
        <v>0</v>
      </c>
      <c r="IW60" s="1759">
        <v>0</v>
      </c>
      <c r="IX60" s="1759">
        <v>0</v>
      </c>
      <c r="IY60" s="1759">
        <v>0</v>
      </c>
      <c r="IZ60" s="1759">
        <v>0</v>
      </c>
      <c r="JA60" s="1759">
        <v>0</v>
      </c>
      <c r="JB60" s="1759">
        <v>0</v>
      </c>
      <c r="JC60" s="1759">
        <v>0</v>
      </c>
      <c r="JD60" s="1759">
        <v>0</v>
      </c>
      <c r="JE60" s="1759">
        <v>0</v>
      </c>
      <c r="JF60" s="1759">
        <v>0</v>
      </c>
      <c r="JG60" s="1759">
        <v>0</v>
      </c>
      <c r="JH60" s="1759">
        <v>0</v>
      </c>
      <c r="JI60" s="1759">
        <v>0</v>
      </c>
      <c r="JJ60" s="1759">
        <v>0</v>
      </c>
      <c r="JK60" s="1759">
        <v>0</v>
      </c>
      <c r="JL60" s="1759">
        <v>0</v>
      </c>
      <c r="JM60" s="1759">
        <v>0</v>
      </c>
      <c r="JN60" s="1759">
        <v>0</v>
      </c>
      <c r="JO60" s="1759">
        <v>0</v>
      </c>
      <c r="JP60" s="1759">
        <v>0</v>
      </c>
      <c r="JQ60" s="1759">
        <v>0</v>
      </c>
      <c r="JR60" s="1759">
        <v>0</v>
      </c>
      <c r="JS60" s="1759">
        <v>0</v>
      </c>
      <c r="JT60" s="1759">
        <v>0</v>
      </c>
      <c r="JU60" s="1759">
        <v>0</v>
      </c>
      <c r="JV60" s="1759">
        <v>0</v>
      </c>
      <c r="JW60" s="1759">
        <v>0</v>
      </c>
      <c r="JX60" s="1759">
        <v>0</v>
      </c>
      <c r="JY60" s="1759">
        <v>0</v>
      </c>
      <c r="JZ60" s="1759">
        <v>0</v>
      </c>
      <c r="KA60" s="1759">
        <v>0</v>
      </c>
      <c r="KB60" s="1759">
        <v>0</v>
      </c>
      <c r="KC60" s="1759">
        <v>0</v>
      </c>
      <c r="KD60" s="1759">
        <v>0</v>
      </c>
      <c r="KE60" s="1759">
        <v>0</v>
      </c>
      <c r="KF60" s="1759">
        <v>0</v>
      </c>
      <c r="KG60" s="1759">
        <v>0</v>
      </c>
      <c r="KH60" s="1759">
        <v>0</v>
      </c>
      <c r="KI60" s="1759">
        <v>0</v>
      </c>
      <c r="KJ60" s="1759">
        <v>0</v>
      </c>
      <c r="KK60" s="1759">
        <v>0</v>
      </c>
      <c r="KL60" s="1759">
        <v>0</v>
      </c>
      <c r="KM60" s="1759">
        <v>0</v>
      </c>
      <c r="KN60" s="1759">
        <v>0</v>
      </c>
      <c r="KO60" s="1759">
        <v>0</v>
      </c>
      <c r="KP60" s="1759">
        <v>0</v>
      </c>
      <c r="KQ60" s="904">
        <f>+IFERROR(VLOOKUP(KQ$27&amp;"-"&amp;$M60&amp;"_new",Ammortamento_Finanziario!$H:$L,5,FALSE),VLOOKUP($M60,TT_Tabelle_Riferimento!$D$127:$H$164,5,FALSE))</f>
        <v>40</v>
      </c>
      <c r="KR60" s="904">
        <f>+IFERROR(VLOOKUP(KR$27&amp;"-"&amp;$M60&amp;"_new",Ammortamento_Finanziario!$H:$L,5,FALSE),VLOOKUP($M60,TT_Tabelle_Riferimento!$D$127:$H$164,5,FALSE))</f>
        <v>40</v>
      </c>
      <c r="KS60" s="1762">
        <f>+IFERROR(VLOOKUP(KS$27&amp;"-"&amp;$M60&amp;"_new",Ammortamento_Finanziario!$H:$L,5,FALSE),VLOOKUP($M60,TT_Tabelle_Riferimento!$D$127:$H$164,5,FALSE))</f>
        <v>40</v>
      </c>
      <c r="KT60" s="1762">
        <f>+IFERROR(VLOOKUP(KT$27&amp;"-"&amp;$M60&amp;"_new",Ammortamento_Finanziario!$H:$L,5,FALSE),VLOOKUP($M60,TT_Tabelle_Riferimento!$D$127:$H$164,5,FALSE))</f>
        <v>40</v>
      </c>
      <c r="KU60" s="1762">
        <f>+IFERROR(VLOOKUP(KU$27&amp;"-"&amp;$M60&amp;"_new",Ammortamento_Finanziario!$H:$L,5,FALSE),VLOOKUP($M60,TT_Tabelle_Riferimento!$D$127:$H$164,5,FALSE))</f>
        <v>40</v>
      </c>
      <c r="KV60" s="1762">
        <f>+IFERROR(VLOOKUP(KV$27&amp;"-"&amp;$M60&amp;"_new",Ammortamento_Finanziario!$H:$L,5,FALSE),VLOOKUP($M60,TT_Tabelle_Riferimento!$D$127:$H$164,5,FALSE))</f>
        <v>40</v>
      </c>
      <c r="KW60" s="1762">
        <f>+IFERROR(VLOOKUP(KW$27&amp;"-"&amp;$M60&amp;"_new",Ammortamento_Finanziario!$H:$L,5,FALSE),VLOOKUP($M60,TT_Tabelle_Riferimento!$D$127:$H$164,5,FALSE))</f>
        <v>40</v>
      </c>
      <c r="KX60" s="1762">
        <f>+IFERROR(VLOOKUP(KX$27&amp;"-"&amp;$M60&amp;"_new",Ammortamento_Finanziario!$H:$L,5,FALSE),VLOOKUP($M60,TT_Tabelle_Riferimento!$D$127:$H$164,5,FALSE))</f>
        <v>40</v>
      </c>
      <c r="KY60" s="904">
        <f>+IFERROR(VLOOKUP(KY$27&amp;"-"&amp;$M60&amp;"_new",Ammortamento_Finanziario!$H:$L,5,FALSE),VLOOKUP($M60,TT_Tabelle_Riferimento!$D$127:$H$164,5,FALSE))</f>
        <v>40</v>
      </c>
      <c r="KZ60" s="904">
        <f>+IFERROR(VLOOKUP(KZ$27&amp;"-"&amp;$M60&amp;"_new",Ammortamento_Finanziario!$H:$L,5,FALSE),VLOOKUP($M60,TT_Tabelle_Riferimento!$D$127:$H$164,5,FALSE))</f>
        <v>40</v>
      </c>
      <c r="LA60" s="904">
        <f>+IFERROR(VLOOKUP(LA$27&amp;"-"&amp;$M60&amp;"_new",Ammortamento_Finanziario!$H:$L,5,FALSE),VLOOKUP($M60,TT_Tabelle_Riferimento!$D$127:$H$164,5,FALSE))</f>
        <v>40</v>
      </c>
      <c r="LB60" s="904">
        <f>+IFERROR(VLOOKUP(LB$27&amp;"-"&amp;$M60&amp;"_new",Ammortamento_Finanziario!$H:$L,5,FALSE),VLOOKUP($M60,TT_Tabelle_Riferimento!$D$127:$H$164,5,FALSE))</f>
        <v>40</v>
      </c>
      <c r="LC60" s="904">
        <f>+IFERROR(VLOOKUP(LC$27&amp;"-"&amp;$M60&amp;"_new",Ammortamento_Finanziario!$H:$L,5,FALSE),VLOOKUP($M60,TT_Tabelle_Riferimento!$D$127:$H$164,5,FALSE))</f>
        <v>40</v>
      </c>
      <c r="LD60" s="904">
        <f>+IFERROR(VLOOKUP(LD$27&amp;"-"&amp;$M60&amp;"_new",Ammortamento_Finanziario!$H:$L,5,FALSE),VLOOKUP($M60,TT_Tabelle_Riferimento!$D$127:$H$164,5,FALSE))</f>
        <v>40</v>
      </c>
      <c r="LE60" s="904">
        <f>+IFERROR(VLOOKUP(LE$27&amp;"-"&amp;$M60&amp;"_new",Ammortamento_Finanziario!$H:$L,5,FALSE),VLOOKUP($M60,TT_Tabelle_Riferimento!$D$127:$H$164,5,FALSE))</f>
        <v>40</v>
      </c>
      <c r="LF60" s="904">
        <f>+IFERROR(VLOOKUP(LF$27&amp;"-"&amp;$M60&amp;"_new",Ammortamento_Finanziario!$H:$L,5,FALSE),VLOOKUP($M60,TT_Tabelle_Riferimento!$D$127:$H$164,5,FALSE))</f>
        <v>40</v>
      </c>
      <c r="LG60" s="904">
        <f>+IFERROR(VLOOKUP(LG$27&amp;"-"&amp;$M60&amp;"_new",Ammortamento_Finanziario!$H:$L,5,FALSE),VLOOKUP($M60,TT_Tabelle_Riferimento!$D$127:$H$164,5,FALSE))</f>
        <v>40</v>
      </c>
      <c r="LH60" s="904">
        <f>+IFERROR(VLOOKUP(LH$27&amp;"-"&amp;$M60&amp;"_new",Ammortamento_Finanziario!$H:$L,5,FALSE),VLOOKUP($M60,TT_Tabelle_Riferimento!$D$127:$H$164,5,FALSE))</f>
        <v>40</v>
      </c>
      <c r="LI60" s="904">
        <f>+IFERROR(VLOOKUP(LI$27&amp;"-"&amp;$M60&amp;"_new",Ammortamento_Finanziario!$H:$L,5,FALSE),VLOOKUP($M60,TT_Tabelle_Riferimento!$D$127:$H$164,5,FALSE))</f>
        <v>40</v>
      </c>
      <c r="LJ60" s="904">
        <f>+IFERROR(VLOOKUP(LJ$27&amp;"-"&amp;$M60&amp;"_new",Ammortamento_Finanziario!$H:$L,5,FALSE),VLOOKUP($M60,TT_Tabelle_Riferimento!$D$127:$H$164,5,FALSE))</f>
        <v>40</v>
      </c>
      <c r="LK60" s="904">
        <f>+IFERROR(VLOOKUP(LK$27&amp;"-"&amp;$M60&amp;"_new",Ammortamento_Finanziario!$H:$L,5,FALSE),VLOOKUP($M60,TT_Tabelle_Riferimento!$D$127:$H$164,5,FALSE))</f>
        <v>40</v>
      </c>
      <c r="LL60" s="904">
        <f>+IFERROR(VLOOKUP(LL$27&amp;"-"&amp;$M60&amp;"_new",Ammortamento_Finanziario!$H:$L,5,FALSE),VLOOKUP($M60,TT_Tabelle_Riferimento!$D$127:$H$164,5,FALSE))</f>
        <v>40</v>
      </c>
      <c r="LM60" s="904">
        <f>+IFERROR(VLOOKUP(LM$27&amp;"-"&amp;$M60&amp;"_new",Ammortamento_Finanziario!$H:$L,5,FALSE),VLOOKUP($M60,TT_Tabelle_Riferimento!$D$127:$H$164,5,FALSE))</f>
        <v>40</v>
      </c>
      <c r="LN60" s="904">
        <f>+IFERROR(VLOOKUP(LN$27&amp;"-"&amp;$M60&amp;"_new",Ammortamento_Finanziario!$H:$L,5,FALSE),VLOOKUP($M60,TT_Tabelle_Riferimento!$D$127:$H$164,5,FALSE))</f>
        <v>40</v>
      </c>
      <c r="LO60" s="904">
        <f>+IFERROR(VLOOKUP(LO$27&amp;"-"&amp;$M60&amp;"_new",Ammortamento_Finanziario!$H:$L,5,FALSE),VLOOKUP($M60,TT_Tabelle_Riferimento!$D$127:$H$164,5,FALSE))</f>
        <v>40</v>
      </c>
      <c r="LP60" s="904">
        <f>+IFERROR(VLOOKUP(LP$27&amp;"-"&amp;$M60&amp;"_new",Ammortamento_Finanziario!$H:$L,5,FALSE),VLOOKUP($M60,TT_Tabelle_Riferimento!$D$127:$H$164,5,FALSE))</f>
        <v>40</v>
      </c>
      <c r="LQ60" s="904">
        <f>+IFERROR(VLOOKUP(LQ$27&amp;"-"&amp;$M60&amp;"_new",Ammortamento_Finanziario!$H:$L,5,FALSE),VLOOKUP($M60,TT_Tabelle_Riferimento!$D$127:$H$164,5,FALSE))</f>
        <v>40</v>
      </c>
      <c r="LR60" s="904">
        <f>+IFERROR(VLOOKUP(LR$27&amp;"-"&amp;$M60&amp;"_new",Ammortamento_Finanziario!$H:$L,5,FALSE),VLOOKUP($M60,TT_Tabelle_Riferimento!$D$127:$H$164,5,FALSE))</f>
        <v>40</v>
      </c>
      <c r="LS60" s="1762">
        <f>+IFERROR(VLOOKUP(LS$27&amp;"-"&amp;$M60&amp;"_new",Ammortamento_Finanziario!$H:$L,5,FALSE),VLOOKUP($M60,TT_Tabelle_Riferimento!$D$127:$H$164,5,FALSE))</f>
        <v>40</v>
      </c>
      <c r="LT60" s="1762">
        <f>+IFERROR(VLOOKUP(LT$27&amp;"-"&amp;$M60&amp;"_new",Ammortamento_Finanziario!$H:$L,5,FALSE),VLOOKUP($M60,TT_Tabelle_Riferimento!$D$127:$H$164,5,FALSE))</f>
        <v>40</v>
      </c>
      <c r="LU60" s="1762">
        <f>+IFERROR(VLOOKUP(LU$27&amp;"-"&amp;$M60&amp;"_new",Ammortamento_Finanziario!$H:$L,5,FALSE),VLOOKUP($M60,TT_Tabelle_Riferimento!$D$127:$H$164,5,FALSE))</f>
        <v>40</v>
      </c>
      <c r="LV60" s="1762">
        <f>+IFERROR(VLOOKUP(LV$27&amp;"-"&amp;$M60&amp;"_new",Ammortamento_Finanziario!$H:$L,5,FALSE),VLOOKUP($M60,TT_Tabelle_Riferimento!$D$127:$H$164,5,FALSE))</f>
        <v>40</v>
      </c>
      <c r="LW60" s="1762">
        <f>+IFERROR(VLOOKUP(LW$27&amp;"-"&amp;$M60&amp;"_new",Ammortamento_Finanziario!$H:$L,5,FALSE),VLOOKUP($M60,TT_Tabelle_Riferimento!$D$127:$H$164,5,FALSE))</f>
        <v>40</v>
      </c>
      <c r="LX60" s="1762">
        <f>+IFERROR(VLOOKUP(LX$27&amp;"-"&amp;$M60&amp;"_new",Ammortamento_Finanziario!$H:$L,5,FALSE),VLOOKUP($M60,TT_Tabelle_Riferimento!$D$127:$H$164,5,FALSE))</f>
        <v>40</v>
      </c>
      <c r="LY60" s="904">
        <f>+IFERROR(VLOOKUP(LY$27&amp;"-"&amp;$M60&amp;"_new",Ammortamento_Finanziario!$H:$L,5,FALSE),VLOOKUP($M60,TT_Tabelle_Riferimento!$D$127:$H$164,5,FALSE))</f>
        <v>40</v>
      </c>
      <c r="LZ60" s="904">
        <f>+IFERROR(VLOOKUP(LZ$27&amp;"-"&amp;$M60&amp;"_new",Ammortamento_Finanziario!$H:$L,5,FALSE),VLOOKUP($M60,TT_Tabelle_Riferimento!$D$127:$H$164,5,FALSE))</f>
        <v>40</v>
      </c>
      <c r="MA60" s="904">
        <f>+IFERROR(VLOOKUP(MA$27&amp;"-"&amp;$M60&amp;"_new",Ammortamento_Finanziario!$H:$L,5,FALSE),VLOOKUP($M60,TT_Tabelle_Riferimento!$D$127:$H$164,5,FALSE))</f>
        <v>40</v>
      </c>
      <c r="MB60" s="904">
        <f>+IFERROR(VLOOKUP(MB$27&amp;"-"&amp;$M60&amp;"_new",Ammortamento_Finanziario!$H:$L,5,FALSE),VLOOKUP($M60,TT_Tabelle_Riferimento!$D$127:$H$164,5,FALSE))</f>
        <v>40</v>
      </c>
      <c r="MC60" s="904">
        <f>+IFERROR(VLOOKUP(MC$27&amp;"-"&amp;$M60&amp;"_new",Ammortamento_Finanziario!$H:$L,5,FALSE),VLOOKUP($M60,TT_Tabelle_Riferimento!$D$127:$H$164,5,FALSE))</f>
        <v>40</v>
      </c>
      <c r="MD60" s="904">
        <f>+IFERROR(VLOOKUP(MD$27&amp;"-"&amp;$M60&amp;"_new",Ammortamento_Finanziario!$H:$L,5,FALSE),VLOOKUP($M60,TT_Tabelle_Riferimento!$D$127:$H$164,5,FALSE))</f>
        <v>40</v>
      </c>
      <c r="ME60" s="904">
        <f>+IFERROR(VLOOKUP(ME$27&amp;"-"&amp;$M60&amp;"_new",Ammortamento_Finanziario!$H:$L,5,FALSE),VLOOKUP($M60,TT_Tabelle_Riferimento!$D$127:$H$164,5,FALSE))</f>
        <v>40</v>
      </c>
      <c r="MF60" s="904">
        <f>+IFERROR(VLOOKUP(MF$27&amp;"-"&amp;$M60&amp;"_new",Ammortamento_Finanziario!$H:$L,5,FALSE),VLOOKUP($M60,TT_Tabelle_Riferimento!$D$127:$H$164,5,FALSE))</f>
        <v>40</v>
      </c>
      <c r="MG60" s="904">
        <f>+IFERROR(VLOOKUP(MG$27&amp;"-"&amp;$M60&amp;"_new",Ammortamento_Finanziario!$H:$L,5,FALSE),VLOOKUP($M60,TT_Tabelle_Riferimento!$D$127:$H$164,5,FALSE))</f>
        <v>40</v>
      </c>
      <c r="MH60" s="904">
        <f>+IFERROR(VLOOKUP(MH$27&amp;"-"&amp;$M60&amp;"_new",Ammortamento_Finanziario!$H:$L,5,FALSE),VLOOKUP($M60,TT_Tabelle_Riferimento!$D$127:$H$164,5,FALSE))</f>
        <v>40</v>
      </c>
      <c r="MI60" s="904">
        <f>+IFERROR(VLOOKUP(MI$27&amp;"-"&amp;$M60&amp;"_new",Ammortamento_Finanziario!$H:$L,5,FALSE),VLOOKUP($M60,TT_Tabelle_Riferimento!$D$127:$H$164,5,FALSE))</f>
        <v>40</v>
      </c>
      <c r="MJ60" s="904">
        <f>+IFERROR(VLOOKUP(MJ$27&amp;"-"&amp;$M60&amp;"_new",Ammortamento_Finanziario!$H:$L,5,FALSE),VLOOKUP($M60,TT_Tabelle_Riferimento!$D$127:$H$164,5,FALSE))</f>
        <v>40</v>
      </c>
      <c r="MK60" s="904">
        <f>+IFERROR(VLOOKUP(MK$27&amp;"-"&amp;$M60&amp;"_new",Ammortamento_Finanziario!$H:$L,5,FALSE),VLOOKUP($M60,TT_Tabelle_Riferimento!$D$127:$H$164,5,FALSE))</f>
        <v>40</v>
      </c>
      <c r="ML60" s="904">
        <f>+IFERROR(VLOOKUP(ML$27&amp;"-"&amp;$M60&amp;"_new",Ammortamento_Finanziario!$H:$L,5,FALSE),VLOOKUP($M60,TT_Tabelle_Riferimento!$D$127:$H$164,5,FALSE))</f>
        <v>40</v>
      </c>
      <c r="MM60" s="904">
        <f>+IFERROR(VLOOKUP(MM$27&amp;"-"&amp;$M60&amp;"_new",Ammortamento_Finanziario!$H:$L,5,FALSE),VLOOKUP($M60,TT_Tabelle_Riferimento!$D$127:$H$164,5,FALSE))</f>
        <v>40</v>
      </c>
      <c r="MN60" s="904">
        <f>+IFERROR(VLOOKUP(MN$27&amp;"-"&amp;$M60&amp;"_new",Ammortamento_Finanziario!$H:$L,5,FALSE),VLOOKUP($M60,TT_Tabelle_Riferimento!$D$127:$H$164,5,FALSE))</f>
        <v>40</v>
      </c>
      <c r="MO60" s="904">
        <f>+IFERROR(VLOOKUP(MO$27&amp;"-"&amp;$M60&amp;"_new",Ammortamento_Finanziario!$H:$L,5,FALSE),VLOOKUP($M60,TT_Tabelle_Riferimento!$D$127:$H$164,5,FALSE))</f>
        <v>40</v>
      </c>
      <c r="MP60" s="904">
        <f>+IFERROR(VLOOKUP(MP$27&amp;"-"&amp;$M60&amp;"_new",Ammortamento_Finanziario!$H:$L,5,FALSE),VLOOKUP($M60,TT_Tabelle_Riferimento!$D$127:$H$164,5,FALSE))</f>
        <v>40</v>
      </c>
      <c r="MQ60" s="904">
        <f>+IFERROR(VLOOKUP(MQ$27&amp;"-"&amp;$M60&amp;"_new",Ammortamento_Finanziario!$H:$L,5,FALSE),VLOOKUP($M60,TT_Tabelle_Riferimento!$D$127:$H$164,5,FALSE))</f>
        <v>40</v>
      </c>
      <c r="MR60" s="1762">
        <f>+IFERROR(VLOOKUP(MR$27&amp;"-"&amp;$M60&amp;"_new",Ammortamento_Finanziario!$H:$L,5,FALSE),VLOOKUP($M60,TT_Tabelle_Riferimento!$D$127:$H$164,5,FALSE))</f>
        <v>40</v>
      </c>
      <c r="MS60" s="1762">
        <f>+IFERROR(VLOOKUP(MS$27&amp;"-"&amp;$M60&amp;"_new",Ammortamento_Finanziario!$H:$L,5,FALSE),VLOOKUP($M60,TT_Tabelle_Riferimento!$D$127:$H$164,5,FALSE))</f>
        <v>40</v>
      </c>
      <c r="MT60" s="1762">
        <f>+IFERROR(VLOOKUP(MT$27&amp;"-"&amp;$M60&amp;"_new",Ammortamento_Finanziario!$H:$L,5,FALSE),VLOOKUP($M60,TT_Tabelle_Riferimento!$D$127:$H$164,5,FALSE))</f>
        <v>40</v>
      </c>
      <c r="MU60" s="1762">
        <f>+IFERROR(VLOOKUP(MU$27&amp;"-"&amp;$M60&amp;"_new",Ammortamento_Finanziario!$H:$L,5,FALSE),VLOOKUP($M60,TT_Tabelle_Riferimento!$D$127:$H$164,5,FALSE))</f>
        <v>40</v>
      </c>
      <c r="MV60" s="1762">
        <f>+IFERROR(VLOOKUP(MV$27&amp;"-"&amp;$M60&amp;"_new",Ammortamento_Finanziario!$H:$L,5,FALSE),VLOOKUP($M60,TT_Tabelle_Riferimento!$D$127:$H$164,5,FALSE))</f>
        <v>40</v>
      </c>
      <c r="MW60" s="1762">
        <f>+IFERROR(VLOOKUP(MW$27&amp;"-"&amp;$M60&amp;"_new",Ammortamento_Finanziario!$H:$L,5,FALSE),VLOOKUP($M60,TT_Tabelle_Riferimento!$D$127:$H$164,5,FALSE))</f>
        <v>40</v>
      </c>
      <c r="MX60" s="904">
        <f>+IFERROR(VLOOKUP(MX$27&amp;"-"&amp;$M60&amp;"_new",Ammortamento_Finanziario!$H:$L,5,FALSE),VLOOKUP($M60,TT_Tabelle_Riferimento!$D$127:$H$164,5,FALSE))</f>
        <v>40</v>
      </c>
      <c r="MY60" s="904">
        <f>+IFERROR(VLOOKUP(MY$27&amp;"-"&amp;$M60&amp;"_new",Ammortamento_Finanziario!$H:$L,5,FALSE),VLOOKUP($M60,TT_Tabelle_Riferimento!$D$127:$H$164,5,FALSE))</f>
        <v>40</v>
      </c>
      <c r="MZ60" s="904">
        <f>+IFERROR(VLOOKUP(MZ$27&amp;"-"&amp;$M60&amp;"_new",Ammortamento_Finanziario!$H:$L,5,FALSE),VLOOKUP($M60,TT_Tabelle_Riferimento!$D$127:$H$164,5,FALSE))</f>
        <v>40</v>
      </c>
      <c r="NA60" s="904">
        <f>+IFERROR(VLOOKUP(NA$27&amp;"-"&amp;$M60&amp;"_new",Ammortamento_Finanziario!$H:$L,5,FALSE),VLOOKUP($M60,TT_Tabelle_Riferimento!$D$127:$H$164,5,FALSE))</f>
        <v>40</v>
      </c>
      <c r="NB60" s="904">
        <f>+IFERROR(VLOOKUP(NB$27&amp;"-"&amp;$M60&amp;"_new",Ammortamento_Finanziario!$H:$L,5,FALSE),VLOOKUP($M60,TT_Tabelle_Riferimento!$D$127:$H$164,5,FALSE))</f>
        <v>40</v>
      </c>
      <c r="NC60" s="904">
        <f>+IFERROR(VLOOKUP(NC$27&amp;"-"&amp;$M60&amp;"_new",Ammortamento_Finanziario!$H:$L,5,FALSE),VLOOKUP($M60,TT_Tabelle_Riferimento!$D$127:$H$164,5,FALSE))</f>
        <v>40</v>
      </c>
      <c r="ND60" s="904">
        <f>+IFERROR(VLOOKUP(ND$27&amp;"-"&amp;$M60&amp;"_new",Ammortamento_Finanziario!$H:$L,5,FALSE),VLOOKUP($M60,TT_Tabelle_Riferimento!$D$127:$H$164,5,FALSE))</f>
        <v>40</v>
      </c>
      <c r="NE60" s="904">
        <f>+IFERROR(VLOOKUP(NE$27&amp;"-"&amp;$M60&amp;"_new",Ammortamento_Finanziario!$H:$L,5,FALSE),VLOOKUP($M60,TT_Tabelle_Riferimento!$D$127:$H$164,5,FALSE))</f>
        <v>40</v>
      </c>
      <c r="NF60" s="904">
        <f>+IFERROR(VLOOKUP(NF$27&amp;"-"&amp;$M60&amp;"_new",Ammortamento_Finanziario!$H:$L,5,FALSE),VLOOKUP($M60,TT_Tabelle_Riferimento!$D$127:$H$164,5,FALSE))</f>
        <v>40</v>
      </c>
      <c r="NG60" s="904">
        <f>+IFERROR(VLOOKUP(NG$27&amp;"-"&amp;$M60&amp;"_new",Ammortamento_Finanziario!$H:$L,5,FALSE),VLOOKUP($M60,TT_Tabelle_Riferimento!$D$127:$H$164,5,FALSE))</f>
        <v>40</v>
      </c>
      <c r="NH60" s="904">
        <f>+IFERROR(VLOOKUP(NH$27&amp;"-"&amp;$M60&amp;"_new",Ammortamento_Finanziario!$H:$L,5,FALSE),VLOOKUP($M60,TT_Tabelle_Riferimento!$D$127:$H$164,5,FALSE))</f>
        <v>40</v>
      </c>
      <c r="NI60" s="904">
        <f>+IFERROR(VLOOKUP(NI$27&amp;"-"&amp;$M60&amp;"_new",Ammortamento_Finanziario!$H:$L,5,FALSE),VLOOKUP($M60,TT_Tabelle_Riferimento!$D$127:$H$164,5,FALSE))</f>
        <v>40</v>
      </c>
      <c r="NJ60" s="904">
        <f>+IFERROR(VLOOKUP(NJ$27&amp;"-"&amp;$M60&amp;"_new",Ammortamento_Finanziario!$H:$L,5,FALSE),VLOOKUP($M60,TT_Tabelle_Riferimento!$D$127:$H$164,5,FALSE))</f>
        <v>40</v>
      </c>
      <c r="NK60" s="904">
        <f>+IFERROR(VLOOKUP(NK$27&amp;"-"&amp;$M60&amp;"_new",Ammortamento_Finanziario!$H:$L,5,FALSE),VLOOKUP($M60,TT_Tabelle_Riferimento!$D$127:$H$164,5,FALSE))</f>
        <v>40</v>
      </c>
      <c r="NL60" s="904">
        <f>+IFERROR(VLOOKUP(NL$27&amp;"-"&amp;$M60&amp;"_new",Ammortamento_Finanziario!$H:$L,5,FALSE),VLOOKUP($M60,TT_Tabelle_Riferimento!$D$127:$H$164,5,FALSE))</f>
        <v>40</v>
      </c>
      <c r="NM60" s="904">
        <f>+IFERROR(VLOOKUP(NM$27&amp;"-"&amp;$M60&amp;"_new",Ammortamento_Finanziario!$H:$L,5,FALSE),VLOOKUP($M60,TT_Tabelle_Riferimento!$D$127:$H$164,5,FALSE))</f>
        <v>40</v>
      </c>
      <c r="NN60" s="904">
        <f>+IFERROR(VLOOKUP(NN$27&amp;"-"&amp;$M60&amp;"_new",Ammortamento_Finanziario!$H:$L,5,FALSE),VLOOKUP($M60,TT_Tabelle_Riferimento!$D$127:$H$164,5,FALSE))</f>
        <v>40</v>
      </c>
      <c r="NO60" s="904">
        <f>+IFERROR(VLOOKUP(NO$27&amp;"-"&amp;$M60&amp;"_new",Ammortamento_Finanziario!$H:$L,5,FALSE),VLOOKUP($M60,TT_Tabelle_Riferimento!$D$127:$H$164,5,FALSE))</f>
        <v>40</v>
      </c>
      <c r="NP60" s="904">
        <f>+IFERROR(VLOOKUP(NP$27&amp;"-"&amp;$M60&amp;"_new",Ammortamento_Finanziario!$H:$L,5,FALSE),VLOOKUP($M60,TT_Tabelle_Riferimento!$D$127:$H$164,5,FALSE))</f>
        <v>40</v>
      </c>
      <c r="NQ60" s="1762">
        <f>+IFERROR(VLOOKUP(NQ$27&amp;"-"&amp;$M60&amp;"_new",Ammortamento_Finanziario!$H:$L,5,FALSE),VLOOKUP($M60,TT_Tabelle_Riferimento!$D$127:$H$164,5,FALSE))</f>
        <v>40</v>
      </c>
      <c r="NR60" s="1762">
        <f>+IFERROR(VLOOKUP(NR$27&amp;"-"&amp;$M60&amp;"_new",Ammortamento_Finanziario!$H:$L,5,FALSE),VLOOKUP($M60,TT_Tabelle_Riferimento!$D$127:$H$164,5,FALSE))</f>
        <v>40</v>
      </c>
      <c r="NS60" s="1762">
        <f>+IFERROR(VLOOKUP(NS$27&amp;"-"&amp;$M60&amp;"_new",Ammortamento_Finanziario!$H:$L,5,FALSE),VLOOKUP($M60,TT_Tabelle_Riferimento!$D$127:$H$164,5,FALSE))</f>
        <v>40</v>
      </c>
      <c r="NT60" s="1762">
        <f>+IFERROR(VLOOKUP(NT$27&amp;"-"&amp;$M60&amp;"_new",Ammortamento_Finanziario!$H:$L,5,FALSE),VLOOKUP($M60,TT_Tabelle_Riferimento!$D$127:$H$164,5,FALSE))</f>
        <v>40</v>
      </c>
      <c r="NU60" s="1762">
        <f>+IFERROR(VLOOKUP(NU$27&amp;"-"&amp;$M60&amp;"_new",Ammortamento_Finanziario!$H:$L,5,FALSE),VLOOKUP($M60,TT_Tabelle_Riferimento!$D$127:$H$164,5,FALSE))</f>
        <v>40</v>
      </c>
      <c r="NV60" s="904">
        <f>+IFERROR(VLOOKUP(NV$27&amp;"-"&amp;$M60&amp;"_new",Ammortamento_Finanziario!$H:$L,5,FALSE),VLOOKUP($M60,TT_Tabelle_Riferimento!$D$127:$H$164,5,FALSE))</f>
        <v>40</v>
      </c>
      <c r="NW60" s="904">
        <f>+IFERROR(VLOOKUP(NW$27&amp;"-"&amp;$M60&amp;"_new",Ammortamento_Finanziario!$H:$L,5,FALSE),VLOOKUP($M60,TT_Tabelle_Riferimento!$D$127:$H$164,5,FALSE))</f>
        <v>40</v>
      </c>
      <c r="NX60" s="904">
        <f>+IFERROR(VLOOKUP(NX$27&amp;"-"&amp;$M60&amp;"_new",Ammortamento_Finanziario!$H:$L,5,FALSE),VLOOKUP($M60,TT_Tabelle_Riferimento!$D$127:$H$164,5,FALSE))</f>
        <v>40</v>
      </c>
      <c r="NY60" s="904">
        <f>+IFERROR(VLOOKUP(NY$27&amp;"-"&amp;$M60&amp;"_new",Ammortamento_Finanziario!$H:$L,5,FALSE),VLOOKUP($M60,TT_Tabelle_Riferimento!$D$127:$H$164,5,FALSE))</f>
        <v>40</v>
      </c>
      <c r="NZ60" s="904">
        <f>+IFERROR(VLOOKUP(NZ$27&amp;"-"&amp;$M60&amp;"_new",Ammortamento_Finanziario!$H:$L,5,FALSE),VLOOKUP($M60,TT_Tabelle_Riferimento!$D$127:$H$164,5,FALSE))</f>
        <v>40</v>
      </c>
      <c r="OA60" s="904">
        <f>+IFERROR(VLOOKUP(OA$27&amp;"-"&amp;$M60&amp;"_new",Ammortamento_Finanziario!$H:$L,5,FALSE),VLOOKUP($M60,TT_Tabelle_Riferimento!$D$127:$H$164,5,FALSE))</f>
        <v>40</v>
      </c>
      <c r="OB60" s="904">
        <f>+IFERROR(VLOOKUP(OB$27&amp;"-"&amp;$M60&amp;"_new",Ammortamento_Finanziario!$H:$L,5,FALSE),VLOOKUP($M60,TT_Tabelle_Riferimento!$D$127:$H$164,5,FALSE))</f>
        <v>40</v>
      </c>
      <c r="OC60" s="904">
        <f>+IFERROR(VLOOKUP(OC$27&amp;"-"&amp;$M60&amp;"_new",Ammortamento_Finanziario!$H:$L,5,FALSE),VLOOKUP($M60,TT_Tabelle_Riferimento!$D$127:$H$164,5,FALSE))</f>
        <v>40</v>
      </c>
      <c r="OD60" s="904">
        <f>+IFERROR(VLOOKUP(OD$27&amp;"-"&amp;$M60&amp;"_new",Ammortamento_Finanziario!$H:$L,5,FALSE),VLOOKUP($M60,TT_Tabelle_Riferimento!$D$127:$H$164,5,FALSE))</f>
        <v>40</v>
      </c>
      <c r="OE60" s="904">
        <f>+IFERROR(VLOOKUP(OE$27&amp;"-"&amp;$M60&amp;"_new",Ammortamento_Finanziario!$H:$L,5,FALSE),VLOOKUP($M60,TT_Tabelle_Riferimento!$D$127:$H$164,5,FALSE))</f>
        <v>40</v>
      </c>
      <c r="OF60" s="904">
        <f>+IFERROR(VLOOKUP(OF$27&amp;"-"&amp;$M60&amp;"_new",Ammortamento_Finanziario!$H:$L,5,FALSE),VLOOKUP($M60,TT_Tabelle_Riferimento!$D$127:$H$164,5,FALSE))</f>
        <v>40</v>
      </c>
      <c r="OG60" s="904">
        <f>+IFERROR(VLOOKUP(OG$27&amp;"-"&amp;$M60&amp;"_new",Ammortamento_Finanziario!$H:$L,5,FALSE),VLOOKUP($M60,TT_Tabelle_Riferimento!$D$127:$H$164,5,FALSE))</f>
        <v>40</v>
      </c>
      <c r="OH60" s="904">
        <f>+IFERROR(VLOOKUP(OH$27&amp;"-"&amp;$M60&amp;"_new",Ammortamento_Finanziario!$H:$L,5,FALSE),VLOOKUP($M60,TT_Tabelle_Riferimento!$D$127:$H$164,5,FALSE))</f>
        <v>40</v>
      </c>
      <c r="OI60" s="904">
        <f>+IFERROR(VLOOKUP(OI$27&amp;"-"&amp;$M60&amp;"_new",Ammortamento_Finanziario!$H:$L,5,FALSE),VLOOKUP($M60,TT_Tabelle_Riferimento!$D$127:$H$164,5,FALSE))</f>
        <v>40</v>
      </c>
      <c r="OJ60" s="904">
        <f>+IFERROR(VLOOKUP(OJ$27&amp;"-"&amp;$M60&amp;"_new",Ammortamento_Finanziario!$H:$L,5,FALSE),VLOOKUP($M60,TT_Tabelle_Riferimento!$D$127:$H$164,5,FALSE))</f>
        <v>40</v>
      </c>
      <c r="OK60" s="904">
        <f>+IFERROR(VLOOKUP(OK$27&amp;"-"&amp;$M60&amp;"_new",Ammortamento_Finanziario!$H:$L,5,FALSE),VLOOKUP($M60,TT_Tabelle_Riferimento!$D$127:$H$164,5,FALSE))</f>
        <v>40</v>
      </c>
      <c r="OL60" s="904">
        <f>+IFERROR(VLOOKUP(OL$27&amp;"-"&amp;$M60&amp;"_new",Ammortamento_Finanziario!$H:$L,5,FALSE),VLOOKUP($M60,TT_Tabelle_Riferimento!$D$127:$H$164,5,FALSE))</f>
        <v>40</v>
      </c>
      <c r="OM60" s="904">
        <f>+IFERROR(VLOOKUP(OM$27&amp;"-"&amp;$M60&amp;"_new",Ammortamento_Finanziario!$H:$L,5,FALSE),VLOOKUP($M60,TT_Tabelle_Riferimento!$D$127:$H$164,5,FALSE))</f>
        <v>40</v>
      </c>
      <c r="ON60" s="904">
        <f>+IFERROR(VLOOKUP(ON$27&amp;"-"&amp;$M60&amp;"_new",Ammortamento_Finanziario!$H:$L,5,FALSE),VLOOKUP($M60,TT_Tabelle_Riferimento!$D$127:$H$164,5,FALSE))</f>
        <v>40</v>
      </c>
      <c r="OO60" s="1762">
        <f>+IFERROR(VLOOKUP(OO$27&amp;"-"&amp;$M60&amp;"_new",Ammortamento_Finanziario!$H:$L,5,FALSE),VLOOKUP($M60,TT_Tabelle_Riferimento!$D$127:$H$164,5,FALSE))</f>
        <v>40</v>
      </c>
      <c r="OP60" s="1762">
        <f>+IFERROR(VLOOKUP(OP$27&amp;"-"&amp;$M60&amp;"_new",Ammortamento_Finanziario!$H:$L,5,FALSE),VLOOKUP($M60,TT_Tabelle_Riferimento!$D$127:$H$164,5,FALSE))</f>
        <v>40</v>
      </c>
      <c r="OQ60" s="1762">
        <f>+IFERROR(VLOOKUP(OQ$27&amp;"-"&amp;$M60&amp;"_new",Ammortamento_Finanziario!$H:$L,5,FALSE),VLOOKUP($M60,TT_Tabelle_Riferimento!$D$127:$H$164,5,FALSE))</f>
        <v>40</v>
      </c>
      <c r="OR60" s="1762">
        <f>+IFERROR(VLOOKUP(OR$27&amp;"-"&amp;$M60&amp;"_new",Ammortamento_Finanziario!$H:$L,5,FALSE),VLOOKUP($M60,TT_Tabelle_Riferimento!$D$127:$H$164,5,FALSE))</f>
        <v>40</v>
      </c>
      <c r="OS60" s="904">
        <f>+IFERROR(VLOOKUP(OS$27&amp;"-"&amp;$M60&amp;"_new",Ammortamento_Finanziario!$H:$L,5,FALSE),VLOOKUP($M60,TT_Tabelle_Riferimento!$D$127:$H$164,5,FALSE))</f>
        <v>40</v>
      </c>
      <c r="OT60" s="904">
        <f>+IFERROR(VLOOKUP(OT$27&amp;"-"&amp;$M60&amp;"_new",Ammortamento_Finanziario!$H:$L,5,FALSE),VLOOKUP($M60,TT_Tabelle_Riferimento!$D$127:$H$164,5,FALSE))</f>
        <v>40</v>
      </c>
      <c r="OU60" s="904">
        <f>+IFERROR(VLOOKUP(OU$27&amp;"-"&amp;$M60&amp;"_new",Ammortamento_Finanziario!$H:$L,5,FALSE),VLOOKUP($M60,TT_Tabelle_Riferimento!$D$127:$H$164,5,FALSE))</f>
        <v>40</v>
      </c>
      <c r="OV60" s="904">
        <f>+IFERROR(VLOOKUP(OV$27&amp;"-"&amp;$M60&amp;"_new",Ammortamento_Finanziario!$H:$L,5,FALSE),VLOOKUP($M60,TT_Tabelle_Riferimento!$D$127:$H$164,5,FALSE))</f>
        <v>40</v>
      </c>
      <c r="OW60" s="904">
        <f>+IFERROR(VLOOKUP(OW$27&amp;"-"&amp;$M60&amp;"_new",Ammortamento_Finanziario!$H:$L,5,FALSE),VLOOKUP($M60,TT_Tabelle_Riferimento!$D$127:$H$164,5,FALSE))</f>
        <v>40</v>
      </c>
      <c r="OX60" s="904">
        <f>+IFERROR(VLOOKUP(OX$27&amp;"-"&amp;$M60&amp;"_new",Ammortamento_Finanziario!$H:$L,5,FALSE),VLOOKUP($M60,TT_Tabelle_Riferimento!$D$127:$H$164,5,FALSE))</f>
        <v>40</v>
      </c>
      <c r="OY60" s="904">
        <f>+IFERROR(VLOOKUP(OY$27&amp;"-"&amp;$M60&amp;"_new",Ammortamento_Finanziario!$H:$L,5,FALSE),VLOOKUP($M60,TT_Tabelle_Riferimento!$D$127:$H$164,5,FALSE))</f>
        <v>40</v>
      </c>
      <c r="OZ60" s="904">
        <f>+IFERROR(VLOOKUP(OZ$27&amp;"-"&amp;$M60&amp;"_new",Ammortamento_Finanziario!$H:$L,5,FALSE),VLOOKUP($M60,TT_Tabelle_Riferimento!$D$127:$H$164,5,FALSE))</f>
        <v>40</v>
      </c>
      <c r="PA60" s="904">
        <f>+IFERROR(VLOOKUP(PA$27&amp;"-"&amp;$M60&amp;"_new",Ammortamento_Finanziario!$H:$L,5,FALSE),VLOOKUP($M60,TT_Tabelle_Riferimento!$D$127:$H$164,5,FALSE))</f>
        <v>40</v>
      </c>
      <c r="PB60" s="904">
        <f>+IFERROR(VLOOKUP(PB$27&amp;"-"&amp;$M60&amp;"_new",Ammortamento_Finanziario!$H:$L,5,FALSE),VLOOKUP($M60,TT_Tabelle_Riferimento!$D$127:$H$164,5,FALSE))</f>
        <v>40</v>
      </c>
      <c r="PC60" s="904">
        <f>+IFERROR(VLOOKUP(PC$27&amp;"-"&amp;$M60&amp;"_new",Ammortamento_Finanziario!$H:$L,5,FALSE),VLOOKUP($M60,TT_Tabelle_Riferimento!$D$127:$H$164,5,FALSE))</f>
        <v>40</v>
      </c>
      <c r="PD60" s="904">
        <f>+IFERROR(VLOOKUP(PD$27&amp;"-"&amp;$M60&amp;"_new",Ammortamento_Finanziario!$H:$L,5,FALSE),VLOOKUP($M60,TT_Tabelle_Riferimento!$D$127:$H$164,5,FALSE))</f>
        <v>40</v>
      </c>
      <c r="PE60" s="904">
        <f>+IFERROR(VLOOKUP(PE$27&amp;"-"&amp;$M60&amp;"_new",Ammortamento_Finanziario!$H:$L,5,FALSE),VLOOKUP($M60,TT_Tabelle_Riferimento!$D$127:$H$164,5,FALSE))</f>
        <v>40</v>
      </c>
      <c r="PF60" s="904">
        <f>+IFERROR(VLOOKUP(PF$27&amp;"-"&amp;$M60&amp;"_new",Ammortamento_Finanziario!$H:$L,5,FALSE),VLOOKUP($M60,TT_Tabelle_Riferimento!$D$127:$H$164,5,FALSE))</f>
        <v>40</v>
      </c>
      <c r="PG60" s="904">
        <f>+IFERROR(VLOOKUP(PG$27&amp;"-"&amp;$M60&amp;"_new",Ammortamento_Finanziario!$H:$L,5,FALSE),VLOOKUP($M60,TT_Tabelle_Riferimento!$D$127:$H$164,5,FALSE))</f>
        <v>40</v>
      </c>
      <c r="PH60" s="904">
        <f>+IFERROR(VLOOKUP(PH$27&amp;"-"&amp;$M60&amp;"_new",Ammortamento_Finanziario!$H:$L,5,FALSE),VLOOKUP($M60,TT_Tabelle_Riferimento!$D$127:$H$164,5,FALSE))</f>
        <v>40</v>
      </c>
      <c r="PI60" s="904">
        <f>+IFERROR(VLOOKUP(PI$27&amp;"-"&amp;$M60&amp;"_new",Ammortamento_Finanziario!$H:$L,5,FALSE),VLOOKUP($M60,TT_Tabelle_Riferimento!$D$127:$H$164,5,FALSE))</f>
        <v>40</v>
      </c>
      <c r="PJ60" s="904">
        <f>+IFERROR(VLOOKUP(PJ$27&amp;"-"&amp;$M60&amp;"_new",Ammortamento_Finanziario!$H:$L,5,FALSE),VLOOKUP($M60,TT_Tabelle_Riferimento!$D$127:$H$164,5,FALSE))</f>
        <v>40</v>
      </c>
      <c r="PK60" s="904">
        <f>+IFERROR(VLOOKUP(PK$27&amp;"-"&amp;$M60&amp;"_new",Ammortamento_Finanziario!$H:$L,5,FALSE),VLOOKUP($M60,TT_Tabelle_Riferimento!$D$127:$H$164,5,FALSE))</f>
        <v>40</v>
      </c>
      <c r="PL60" s="1762">
        <f>+IFERROR(VLOOKUP(PL$27&amp;"-"&amp;$M60&amp;"_new",Ammortamento_Finanziario!$H:$L,5,FALSE),VLOOKUP($M60,TT_Tabelle_Riferimento!$D$127:$H$164,5,FALSE))</f>
        <v>40</v>
      </c>
      <c r="PM60" s="1762">
        <f>+IFERROR(VLOOKUP(PM$27&amp;"-"&amp;$M60&amp;"_new",Ammortamento_Finanziario!$H:$L,5,FALSE),VLOOKUP($M60,TT_Tabelle_Riferimento!$D$127:$H$164,5,FALSE))</f>
        <v>40</v>
      </c>
      <c r="PN60" s="1762">
        <f>+IFERROR(VLOOKUP(PN$27&amp;"-"&amp;$M60&amp;"_new",Ammortamento_Finanziario!$H:$L,5,FALSE),VLOOKUP($M60,TT_Tabelle_Riferimento!$D$127:$H$164,5,FALSE))</f>
        <v>40</v>
      </c>
      <c r="PO60" s="904">
        <f>+IFERROR(VLOOKUP(PO$27&amp;"-"&amp;$M60&amp;"_new",Ammortamento_Finanziario!$H:$L,5,FALSE),VLOOKUP($M60,TT_Tabelle_Riferimento!$D$127:$H$164,5,FALSE))</f>
        <v>40</v>
      </c>
      <c r="PP60" s="904">
        <f>+IFERROR(VLOOKUP(PP$27&amp;"-"&amp;$M60&amp;"_new",Ammortamento_Finanziario!$H:$L,5,FALSE),VLOOKUP($M60,TT_Tabelle_Riferimento!$D$127:$H$164,5,FALSE))</f>
        <v>40</v>
      </c>
      <c r="PQ60" s="904">
        <f>+IFERROR(VLOOKUP(PQ$27&amp;"-"&amp;$M60&amp;"_new",Ammortamento_Finanziario!$H:$L,5,FALSE),VLOOKUP($M60,TT_Tabelle_Riferimento!$D$127:$H$164,5,FALSE))</f>
        <v>40</v>
      </c>
      <c r="PR60" s="904">
        <f>+IFERROR(VLOOKUP(PR$27&amp;"-"&amp;$M60&amp;"_new",Ammortamento_Finanziario!$H:$L,5,FALSE),VLOOKUP($M60,TT_Tabelle_Riferimento!$D$127:$H$164,5,FALSE))</f>
        <v>40</v>
      </c>
      <c r="PS60" s="904">
        <f>+IFERROR(VLOOKUP(PS$27&amp;"-"&amp;$M60&amp;"_new",Ammortamento_Finanziario!$H:$L,5,FALSE),VLOOKUP($M60,TT_Tabelle_Riferimento!$D$127:$H$164,5,FALSE))</f>
        <v>40</v>
      </c>
      <c r="PT60" s="904">
        <f>+IFERROR(VLOOKUP(PT$27&amp;"-"&amp;$M60&amp;"_new",Ammortamento_Finanziario!$H:$L,5,FALSE),VLOOKUP($M60,TT_Tabelle_Riferimento!$D$127:$H$164,5,FALSE))</f>
        <v>40</v>
      </c>
      <c r="PU60" s="904">
        <f>+IFERROR(VLOOKUP(PU$27&amp;"-"&amp;$M60&amp;"_new",Ammortamento_Finanziario!$H:$L,5,FALSE),VLOOKUP($M60,TT_Tabelle_Riferimento!$D$127:$H$164,5,FALSE))</f>
        <v>40</v>
      </c>
      <c r="PV60" s="904">
        <f>+IFERROR(VLOOKUP(PV$27&amp;"-"&amp;$M60&amp;"_new",Ammortamento_Finanziario!$H:$L,5,FALSE),VLOOKUP($M60,TT_Tabelle_Riferimento!$D$127:$H$164,5,FALSE))</f>
        <v>40</v>
      </c>
      <c r="PW60" s="904">
        <f>+IFERROR(VLOOKUP(PW$27&amp;"-"&amp;$M60&amp;"_new",Ammortamento_Finanziario!$H:$L,5,FALSE),VLOOKUP($M60,TT_Tabelle_Riferimento!$D$127:$H$164,5,FALSE))</f>
        <v>40</v>
      </c>
      <c r="PX60" s="904">
        <f>+IFERROR(VLOOKUP(PX$27&amp;"-"&amp;$M60&amp;"_new",Ammortamento_Finanziario!$H:$L,5,FALSE),VLOOKUP($M60,TT_Tabelle_Riferimento!$D$127:$H$164,5,FALSE))</f>
        <v>40</v>
      </c>
      <c r="PY60" s="904">
        <f>+IFERROR(VLOOKUP(PY$27&amp;"-"&amp;$M60&amp;"_new",Ammortamento_Finanziario!$H:$L,5,FALSE),VLOOKUP($M60,TT_Tabelle_Riferimento!$D$127:$H$164,5,FALSE))</f>
        <v>40</v>
      </c>
      <c r="PZ60" s="904">
        <f>+IFERROR(VLOOKUP(PZ$27&amp;"-"&amp;$M60&amp;"_new",Ammortamento_Finanziario!$H:$L,5,FALSE),VLOOKUP($M60,TT_Tabelle_Riferimento!$D$127:$H$164,5,FALSE))</f>
        <v>40</v>
      </c>
      <c r="QA60" s="904">
        <f>+IFERROR(VLOOKUP(QA$27&amp;"-"&amp;$M60&amp;"_new",Ammortamento_Finanziario!$H:$L,5,FALSE),VLOOKUP($M60,TT_Tabelle_Riferimento!$D$127:$H$164,5,FALSE))</f>
        <v>40</v>
      </c>
      <c r="QB60" s="904">
        <f>+IFERROR(VLOOKUP(QB$27&amp;"-"&amp;$M60&amp;"_new",Ammortamento_Finanziario!$H:$L,5,FALSE),VLOOKUP($M60,TT_Tabelle_Riferimento!$D$127:$H$164,5,FALSE))</f>
        <v>40</v>
      </c>
      <c r="QC60" s="904">
        <f>+IFERROR(VLOOKUP(QC$27&amp;"-"&amp;$M60&amp;"_new",Ammortamento_Finanziario!$H:$L,5,FALSE),VLOOKUP($M60,TT_Tabelle_Riferimento!$D$127:$H$164,5,FALSE))</f>
        <v>40</v>
      </c>
      <c r="QD60" s="904">
        <f>+IFERROR(VLOOKUP(QD$27&amp;"-"&amp;$M60&amp;"_new",Ammortamento_Finanziario!$H:$L,5,FALSE),VLOOKUP($M60,TT_Tabelle_Riferimento!$D$127:$H$164,5,FALSE))</f>
        <v>40</v>
      </c>
      <c r="QE60" s="904">
        <f>+IFERROR(VLOOKUP(QE$27&amp;"-"&amp;$M60&amp;"_new",Ammortamento_Finanziario!$H:$L,5,FALSE),VLOOKUP($M60,TT_Tabelle_Riferimento!$D$127:$H$164,5,FALSE))</f>
        <v>40</v>
      </c>
      <c r="QF60" s="904">
        <f>+IFERROR(VLOOKUP(QF$27&amp;"-"&amp;$M60&amp;"_new",Ammortamento_Finanziario!$H:$L,5,FALSE),VLOOKUP($M60,TT_Tabelle_Riferimento!$D$127:$H$164,5,FALSE))</f>
        <v>40</v>
      </c>
      <c r="QG60" s="904">
        <f>+IFERROR(VLOOKUP(QG$27&amp;"-"&amp;$M60&amp;"_new",Ammortamento_Finanziario!$H:$L,5,FALSE),VLOOKUP($M60,TT_Tabelle_Riferimento!$D$127:$H$164,5,FALSE))</f>
        <v>40</v>
      </c>
      <c r="QH60" s="1762">
        <f>+IFERROR(VLOOKUP(QH$27&amp;"-"&amp;$M60&amp;"_new",Ammortamento_Finanziario!$H:$L,5,FALSE),VLOOKUP($M60,TT_Tabelle_Riferimento!$D$127:$H$164,5,FALSE))</f>
        <v>40</v>
      </c>
      <c r="QI60" s="1762">
        <f>+IFERROR(VLOOKUP(QI$27&amp;"-"&amp;$M60&amp;"_new",Ammortamento_Finanziario!$H:$L,5,FALSE),VLOOKUP($M60,TT_Tabelle_Riferimento!$D$127:$H$164,5,FALSE))</f>
        <v>40</v>
      </c>
      <c r="QJ60" s="904">
        <f>+IFERROR(VLOOKUP(QJ$27&amp;"-"&amp;$M60&amp;"_new",Ammortamento_Finanziario!$H:$L,5,FALSE),VLOOKUP($M60,TT_Tabelle_Riferimento!$D$127:$H$164,5,FALSE))</f>
        <v>40</v>
      </c>
      <c r="QK60" s="904">
        <f>+IFERROR(VLOOKUP(QK$27&amp;"-"&amp;$M60&amp;"_new",Ammortamento_Finanziario!$H:$L,5,FALSE),VLOOKUP($M60,TT_Tabelle_Riferimento!$D$127:$H$164,5,FALSE))</f>
        <v>40</v>
      </c>
      <c r="QL60" s="904">
        <f>+IFERROR(VLOOKUP(QL$27&amp;"-"&amp;$M60&amp;"_new",Ammortamento_Finanziario!$H:$L,5,FALSE),VLOOKUP($M60,TT_Tabelle_Riferimento!$D$127:$H$164,5,FALSE))</f>
        <v>40</v>
      </c>
      <c r="QM60" s="904">
        <f>+IFERROR(VLOOKUP(QM$27&amp;"-"&amp;$M60&amp;"_new",Ammortamento_Finanziario!$H:$L,5,FALSE),VLOOKUP($M60,TT_Tabelle_Riferimento!$D$127:$H$164,5,FALSE))</f>
        <v>40</v>
      </c>
      <c r="QN60" s="904">
        <f>+IFERROR(VLOOKUP(QN$27&amp;"-"&amp;$M60&amp;"_new",Ammortamento_Finanziario!$H:$L,5,FALSE),VLOOKUP($M60,TT_Tabelle_Riferimento!$D$127:$H$164,5,FALSE))</f>
        <v>40</v>
      </c>
      <c r="QO60" s="904">
        <f>+IFERROR(VLOOKUP(QO$27&amp;"-"&amp;$M60&amp;"_new",Ammortamento_Finanziario!$H:$L,5,FALSE),VLOOKUP($M60,TT_Tabelle_Riferimento!$D$127:$H$164,5,FALSE))</f>
        <v>40</v>
      </c>
      <c r="QP60" s="904">
        <f>+IFERROR(VLOOKUP(QP$27&amp;"-"&amp;$M60&amp;"_new",Ammortamento_Finanziario!$H:$L,5,FALSE),VLOOKUP($M60,TT_Tabelle_Riferimento!$D$127:$H$164,5,FALSE))</f>
        <v>40</v>
      </c>
      <c r="QQ60" s="904">
        <f>+IFERROR(VLOOKUP(QQ$27&amp;"-"&amp;$M60&amp;"_new",Ammortamento_Finanziario!$H:$L,5,FALSE),VLOOKUP($M60,TT_Tabelle_Riferimento!$D$127:$H$164,5,FALSE))</f>
        <v>40</v>
      </c>
      <c r="QR60" s="904">
        <f>+IFERROR(VLOOKUP(QR$27&amp;"-"&amp;$M60&amp;"_new",Ammortamento_Finanziario!$H:$L,5,FALSE),VLOOKUP($M60,TT_Tabelle_Riferimento!$D$127:$H$164,5,FALSE))</f>
        <v>40</v>
      </c>
      <c r="QS60" s="904">
        <f>+IFERROR(VLOOKUP(QS$27&amp;"-"&amp;$M60&amp;"_new",Ammortamento_Finanziario!$H:$L,5,FALSE),VLOOKUP($M60,TT_Tabelle_Riferimento!$D$127:$H$164,5,FALSE))</f>
        <v>40</v>
      </c>
      <c r="QT60" s="904">
        <f>+IFERROR(VLOOKUP(QT$27&amp;"-"&amp;$M60&amp;"_new",Ammortamento_Finanziario!$H:$L,5,FALSE),VLOOKUP($M60,TT_Tabelle_Riferimento!$D$127:$H$164,5,FALSE))</f>
        <v>40</v>
      </c>
      <c r="QU60" s="904">
        <f>+IFERROR(VLOOKUP(QU$27&amp;"-"&amp;$M60&amp;"_new",Ammortamento_Finanziario!$H:$L,5,FALSE),VLOOKUP($M60,TT_Tabelle_Riferimento!$D$127:$H$164,5,FALSE))</f>
        <v>40</v>
      </c>
      <c r="QV60" s="904">
        <f>+IFERROR(VLOOKUP(QV$27&amp;"-"&amp;$M60&amp;"_new",Ammortamento_Finanziario!$H:$L,5,FALSE),VLOOKUP($M60,TT_Tabelle_Riferimento!$D$127:$H$164,5,FALSE))</f>
        <v>40</v>
      </c>
      <c r="QW60" s="904">
        <f>+IFERROR(VLOOKUP(QW$27&amp;"-"&amp;$M60&amp;"_new",Ammortamento_Finanziario!$H:$L,5,FALSE),VLOOKUP($M60,TT_Tabelle_Riferimento!$D$127:$H$164,5,FALSE))</f>
        <v>40</v>
      </c>
      <c r="QX60" s="904">
        <f>+IFERROR(VLOOKUP(QX$27&amp;"-"&amp;$M60&amp;"_new",Ammortamento_Finanziario!$H:$L,5,FALSE),VLOOKUP($M60,TT_Tabelle_Riferimento!$D$127:$H$164,5,FALSE))</f>
        <v>40</v>
      </c>
      <c r="QY60" s="904">
        <f>+IFERROR(VLOOKUP(QY$27&amp;"-"&amp;$M60&amp;"_new",Ammortamento_Finanziario!$H:$L,5,FALSE),VLOOKUP($M60,TT_Tabelle_Riferimento!$D$127:$H$164,5,FALSE))</f>
        <v>40</v>
      </c>
      <c r="QZ60" s="904">
        <f>+IFERROR(VLOOKUP(QZ$27&amp;"-"&amp;$M60&amp;"_new",Ammortamento_Finanziario!$H:$L,5,FALSE),VLOOKUP($M60,TT_Tabelle_Riferimento!$D$127:$H$164,5,FALSE))</f>
        <v>40</v>
      </c>
      <c r="RA60" s="904">
        <f>+IFERROR(VLOOKUP(RA$27&amp;"-"&amp;$M60&amp;"_new",Ammortamento_Finanziario!$H:$L,5,FALSE),VLOOKUP($M60,TT_Tabelle_Riferimento!$D$127:$H$164,5,FALSE))</f>
        <v>40</v>
      </c>
      <c r="RB60" s="904">
        <f>+IFERROR(VLOOKUP(RB$27&amp;"-"&amp;$M60&amp;"_new",Ammortamento_Finanziario!$H:$L,5,FALSE),VLOOKUP($M60,TT_Tabelle_Riferimento!$D$127:$H$164,5,FALSE))</f>
        <v>40</v>
      </c>
      <c r="RC60" s="1762">
        <f>+IFERROR(VLOOKUP(RC$27&amp;"-"&amp;$M60&amp;"_new",Ammortamento_Finanziario!$H:$L,5,FALSE),VLOOKUP($M60,TT_Tabelle_Riferimento!$D$127:$H$164,5,FALSE))</f>
        <v>40</v>
      </c>
      <c r="RD60" s="904">
        <f>+IFERROR(VLOOKUP(RD$27&amp;"-"&amp;$M60&amp;"_new",Ammortamento_Finanziario!$H:$L,5,FALSE),VLOOKUP($M60,TT_Tabelle_Riferimento!$D$127:$H$164,5,FALSE))</f>
        <v>40</v>
      </c>
      <c r="RE60" s="904">
        <f>+IFERROR(VLOOKUP(RE$27&amp;"-"&amp;$M60&amp;"_new",Ammortamento_Finanziario!$H:$L,5,FALSE),VLOOKUP($M60,TT_Tabelle_Riferimento!$D$127:$H$164,5,FALSE))</f>
        <v>40</v>
      </c>
      <c r="RF60" s="904">
        <f>+IFERROR(VLOOKUP(RF$27&amp;"-"&amp;$M60&amp;"_new",Ammortamento_Finanziario!$H:$L,5,FALSE),VLOOKUP($M60,TT_Tabelle_Riferimento!$D$127:$H$164,5,FALSE))</f>
        <v>40</v>
      </c>
      <c r="RG60" s="904">
        <f>+IFERROR(VLOOKUP(RG$27&amp;"-"&amp;$M60&amp;"_new",Ammortamento_Finanziario!$H:$L,5,FALSE),VLOOKUP($M60,TT_Tabelle_Riferimento!$D$127:$H$164,5,FALSE))</f>
        <v>40</v>
      </c>
      <c r="RH60" s="904">
        <f>+IFERROR(VLOOKUP(RH$27&amp;"-"&amp;$M60&amp;"_new",Ammortamento_Finanziario!$H:$L,5,FALSE),VLOOKUP($M60,TT_Tabelle_Riferimento!$D$127:$H$164,5,FALSE))</f>
        <v>40</v>
      </c>
      <c r="RI60" s="904">
        <f>+IFERROR(VLOOKUP(RI$27&amp;"-"&amp;$M60&amp;"_new",Ammortamento_Finanziario!$H:$L,5,FALSE),VLOOKUP($M60,TT_Tabelle_Riferimento!$D$127:$H$164,5,FALSE))</f>
        <v>40</v>
      </c>
      <c r="RJ60" s="904">
        <f>+IFERROR(VLOOKUP(RJ$27&amp;"-"&amp;$M60&amp;"_new",Ammortamento_Finanziario!$H:$L,5,FALSE),VLOOKUP($M60,TT_Tabelle_Riferimento!$D$127:$H$164,5,FALSE))</f>
        <v>40</v>
      </c>
      <c r="RK60" s="904">
        <f>+IFERROR(VLOOKUP(RK$27&amp;"-"&amp;$M60&amp;"_new",Ammortamento_Finanziario!$H:$L,5,FALSE),VLOOKUP($M60,TT_Tabelle_Riferimento!$D$127:$H$164,5,FALSE))</f>
        <v>40</v>
      </c>
      <c r="RL60" s="904">
        <f>+IFERROR(VLOOKUP(RL$27&amp;"-"&amp;$M60&amp;"_new",Ammortamento_Finanziario!$H:$L,5,FALSE),VLOOKUP($M60,TT_Tabelle_Riferimento!$D$127:$H$164,5,FALSE))</f>
        <v>40</v>
      </c>
      <c r="RM60" s="904">
        <f>+IFERROR(VLOOKUP(RM$27&amp;"-"&amp;$M60&amp;"_new",Ammortamento_Finanziario!$H:$L,5,FALSE),VLOOKUP($M60,TT_Tabelle_Riferimento!$D$127:$H$164,5,FALSE))</f>
        <v>40</v>
      </c>
      <c r="RN60" s="904">
        <f>+IFERROR(VLOOKUP(RN$27&amp;"-"&amp;$M60&amp;"_new",Ammortamento_Finanziario!$H:$L,5,FALSE),VLOOKUP($M60,TT_Tabelle_Riferimento!$D$127:$H$164,5,FALSE))</f>
        <v>40</v>
      </c>
      <c r="RO60" s="904">
        <f>+IFERROR(VLOOKUP(RO$27&amp;"-"&amp;$M60&amp;"_new",Ammortamento_Finanziario!$H:$L,5,FALSE),VLOOKUP($M60,TT_Tabelle_Riferimento!$D$127:$H$164,5,FALSE))</f>
        <v>40</v>
      </c>
      <c r="RP60" s="904">
        <f>+IFERROR(VLOOKUP(RP$27&amp;"-"&amp;$M60&amp;"_new",Ammortamento_Finanziario!$H:$L,5,FALSE),VLOOKUP($M60,TT_Tabelle_Riferimento!$D$127:$H$164,5,FALSE))</f>
        <v>40</v>
      </c>
      <c r="RQ60" s="904">
        <f>+IFERROR(VLOOKUP(RQ$27&amp;"-"&amp;$M60&amp;"_new",Ammortamento_Finanziario!$H:$L,5,FALSE),VLOOKUP($M60,TT_Tabelle_Riferimento!$D$127:$H$164,5,FALSE))</f>
        <v>40</v>
      </c>
      <c r="RR60" s="904">
        <f>+IFERROR(VLOOKUP(RR$27&amp;"-"&amp;$M60&amp;"_new",Ammortamento_Finanziario!$H:$L,5,FALSE),VLOOKUP($M60,TT_Tabelle_Riferimento!$D$127:$H$164,5,FALSE))</f>
        <v>40</v>
      </c>
      <c r="RS60" s="904">
        <f>+IFERROR(VLOOKUP(RS$27&amp;"-"&amp;$M60&amp;"_new",Ammortamento_Finanziario!$H:$L,5,FALSE),VLOOKUP($M60,TT_Tabelle_Riferimento!$D$127:$H$164,5,FALSE))</f>
        <v>40</v>
      </c>
      <c r="RT60" s="904">
        <f>+IFERROR(VLOOKUP(RT$27&amp;"-"&amp;$M60&amp;"_new",Ammortamento_Finanziario!$H:$L,5,FALSE),VLOOKUP($M60,TT_Tabelle_Riferimento!$D$127:$H$164,5,FALSE))</f>
        <v>40</v>
      </c>
      <c r="RU60" s="904">
        <f>+IFERROR(VLOOKUP(RU$27&amp;"-"&amp;$M60&amp;"_new",Ammortamento_Finanziario!$H:$L,5,FALSE),VLOOKUP($M60,TT_Tabelle_Riferimento!$D$127:$H$164,5,FALSE))</f>
        <v>40</v>
      </c>
      <c r="RV60" s="904">
        <f>+IFERROR(VLOOKUP(RV$27&amp;"-"&amp;$M60&amp;"_new",Ammortamento_Finanziario!$H:$L,5,FALSE),VLOOKUP($M60,TT_Tabelle_Riferimento!$D$127:$H$164,5,FALSE))</f>
        <v>40</v>
      </c>
    </row>
    <row r="61" spans="4:490">
      <c r="D61" s="135" t="s">
        <v>202</v>
      </c>
      <c r="E61" s="1264">
        <f>+SUMIFS(IMN_gestore!X:X,IMN_gestore!$G:$G,"Res")</f>
        <v>0</v>
      </c>
      <c r="F61" s="1264">
        <f>+SUMIFS(IMN_gestore!AI:AI,IMN_gestore!$G:$G,"Res")</f>
        <v>0</v>
      </c>
      <c r="G61" s="1264">
        <f>+SUMIFS(IMN_gestore!AT:AT,IMN_gestore!$G:$G,"Res")</f>
        <v>0</v>
      </c>
      <c r="H61" s="1264">
        <f>+SUMIFS(IMN_gestore!BE:BE,IMN_gestore!$G:$G,"Res")</f>
        <v>0</v>
      </c>
      <c r="I61" s="1264">
        <f>+SUMIFS(IMN_gestore!$BP:$BP,IMN_gestore!$G:$G,"Res")</f>
        <v>0</v>
      </c>
      <c r="J61" s="1264">
        <f>+SUMIFS(IMN_gestore!$CA:$CA,IMN_gestore!$G:$G,"Res")</f>
        <v>0</v>
      </c>
      <c r="K61" s="12"/>
      <c r="L61" s="12"/>
      <c r="M61" s="1756">
        <v>34</v>
      </c>
      <c r="N61" s="1759">
        <v>0</v>
      </c>
      <c r="O61" s="1759">
        <v>0</v>
      </c>
      <c r="P61" s="1759">
        <v>0</v>
      </c>
      <c r="Q61" s="1759">
        <v>0</v>
      </c>
      <c r="R61" s="1759">
        <v>0</v>
      </c>
      <c r="S61" s="1759">
        <v>0</v>
      </c>
      <c r="T61" s="1759">
        <v>0</v>
      </c>
      <c r="U61" s="1759">
        <v>0</v>
      </c>
      <c r="V61" s="1759">
        <v>0</v>
      </c>
      <c r="W61" s="1759">
        <v>0</v>
      </c>
      <c r="X61" s="1759">
        <v>0</v>
      </c>
      <c r="Y61" s="1759">
        <v>0</v>
      </c>
      <c r="Z61" s="1759">
        <v>0</v>
      </c>
      <c r="AA61" s="1759">
        <v>0</v>
      </c>
      <c r="AB61" s="1759">
        <v>0</v>
      </c>
      <c r="AC61" s="1759">
        <v>0</v>
      </c>
      <c r="AD61" s="1759">
        <v>0</v>
      </c>
      <c r="AE61" s="1759">
        <v>0</v>
      </c>
      <c r="AF61" s="1759">
        <v>0</v>
      </c>
      <c r="AG61" s="1759">
        <v>0</v>
      </c>
      <c r="AH61" s="1759">
        <v>0</v>
      </c>
      <c r="AI61" s="1759">
        <v>0</v>
      </c>
      <c r="AJ61" s="1759">
        <v>0</v>
      </c>
      <c r="AK61" s="1759">
        <v>0</v>
      </c>
      <c r="AL61" s="1759">
        <v>0</v>
      </c>
      <c r="AM61" s="1759">
        <v>0</v>
      </c>
      <c r="AN61" s="1759">
        <v>0</v>
      </c>
      <c r="AO61" s="1759">
        <v>0</v>
      </c>
      <c r="AP61" s="1759">
        <v>0</v>
      </c>
      <c r="AQ61" s="1759">
        <v>0</v>
      </c>
      <c r="AR61" s="1759">
        <v>0</v>
      </c>
      <c r="AS61" s="1759">
        <v>0</v>
      </c>
      <c r="AT61" s="1759">
        <v>0</v>
      </c>
      <c r="AU61" s="1759">
        <v>0</v>
      </c>
      <c r="AV61" s="1759">
        <v>0</v>
      </c>
      <c r="AW61" s="1759">
        <v>0</v>
      </c>
      <c r="AX61" s="1759">
        <v>0</v>
      </c>
      <c r="AY61" s="1759">
        <v>0</v>
      </c>
      <c r="AZ61" s="1759">
        <v>0</v>
      </c>
      <c r="BA61" s="1759">
        <v>0</v>
      </c>
      <c r="BB61" s="1759">
        <v>0</v>
      </c>
      <c r="BC61" s="1759">
        <v>0</v>
      </c>
      <c r="BD61" s="1759">
        <v>0</v>
      </c>
      <c r="BE61" s="1759">
        <v>0</v>
      </c>
      <c r="BF61" s="1759">
        <v>0</v>
      </c>
      <c r="BG61" s="1759">
        <v>0</v>
      </c>
      <c r="BH61" s="1759">
        <v>0</v>
      </c>
      <c r="BI61" s="1759">
        <v>0</v>
      </c>
      <c r="BJ61" s="1759">
        <v>0</v>
      </c>
      <c r="BK61" s="1759">
        <v>0</v>
      </c>
      <c r="BL61" s="1759">
        <v>0</v>
      </c>
      <c r="BM61" s="1759">
        <v>0</v>
      </c>
      <c r="BN61" s="1759">
        <v>0</v>
      </c>
      <c r="BO61" s="1759">
        <v>0</v>
      </c>
      <c r="BP61" s="1759">
        <v>0</v>
      </c>
      <c r="BQ61" s="1759">
        <v>0</v>
      </c>
      <c r="BR61" s="1759">
        <v>0</v>
      </c>
      <c r="BS61" s="1759">
        <v>0</v>
      </c>
      <c r="BT61" s="1759">
        <v>0</v>
      </c>
      <c r="BU61" s="1759">
        <v>0</v>
      </c>
      <c r="BV61" s="1759">
        <v>0</v>
      </c>
      <c r="BW61" s="1759">
        <v>0</v>
      </c>
      <c r="BX61" s="1759">
        <v>0</v>
      </c>
      <c r="BY61" s="1759">
        <v>0</v>
      </c>
      <c r="BZ61" s="1759">
        <v>0</v>
      </c>
      <c r="CA61" s="1759">
        <v>0</v>
      </c>
      <c r="CB61" s="1759">
        <v>0</v>
      </c>
      <c r="CC61" s="1759">
        <v>0</v>
      </c>
      <c r="CD61" s="1759">
        <v>0</v>
      </c>
      <c r="CE61" s="1759">
        <v>0</v>
      </c>
      <c r="CF61" s="1759">
        <v>0</v>
      </c>
      <c r="CG61" s="1759">
        <v>0</v>
      </c>
      <c r="CH61" s="1759">
        <v>0</v>
      </c>
      <c r="CI61" s="1759">
        <v>0</v>
      </c>
      <c r="CJ61" s="1759">
        <v>0</v>
      </c>
      <c r="CK61" s="1759">
        <v>0</v>
      </c>
      <c r="CL61" s="1759">
        <v>0</v>
      </c>
      <c r="CM61" s="1759">
        <v>0</v>
      </c>
      <c r="CN61" s="1759">
        <v>0</v>
      </c>
      <c r="CO61" s="1759">
        <v>0</v>
      </c>
      <c r="CP61" s="1759">
        <v>0</v>
      </c>
      <c r="CQ61" s="1759">
        <v>0</v>
      </c>
      <c r="CR61" s="1759">
        <v>0</v>
      </c>
      <c r="CS61" s="1759">
        <v>0</v>
      </c>
      <c r="CT61" s="1759">
        <v>0</v>
      </c>
      <c r="CU61" s="1759">
        <v>0</v>
      </c>
      <c r="CV61" s="1759">
        <v>0</v>
      </c>
      <c r="CW61" s="1759">
        <v>0</v>
      </c>
      <c r="CX61" s="1759">
        <v>0</v>
      </c>
      <c r="CY61" s="1759">
        <v>0</v>
      </c>
      <c r="CZ61" s="1759">
        <v>0</v>
      </c>
      <c r="DA61" s="1759">
        <v>0</v>
      </c>
      <c r="DB61" s="1759">
        <v>0</v>
      </c>
      <c r="DC61" s="1759">
        <v>0</v>
      </c>
      <c r="DD61" s="1759">
        <v>0</v>
      </c>
      <c r="DE61" s="1759">
        <v>0</v>
      </c>
      <c r="DF61" s="1759">
        <v>0</v>
      </c>
      <c r="DG61" s="1759">
        <v>0</v>
      </c>
      <c r="DH61" s="1759">
        <v>0</v>
      </c>
      <c r="DI61" s="1759">
        <v>0</v>
      </c>
      <c r="DJ61" s="1759">
        <v>0</v>
      </c>
      <c r="DK61" s="1759">
        <v>0</v>
      </c>
      <c r="DL61" s="1759">
        <v>0</v>
      </c>
      <c r="DM61" s="1759">
        <v>0</v>
      </c>
      <c r="DN61" s="1759">
        <v>0</v>
      </c>
      <c r="DO61" s="1759">
        <v>0</v>
      </c>
      <c r="DP61" s="1759">
        <v>0</v>
      </c>
      <c r="DQ61" s="1759">
        <v>0</v>
      </c>
      <c r="DR61" s="1759">
        <v>0</v>
      </c>
      <c r="DS61" s="1759">
        <v>0</v>
      </c>
      <c r="DT61" s="1759">
        <v>0</v>
      </c>
      <c r="DU61" s="1759">
        <v>0</v>
      </c>
      <c r="DV61" s="1759">
        <v>0</v>
      </c>
      <c r="DW61" s="1759">
        <v>0</v>
      </c>
      <c r="DX61" s="1759">
        <v>0</v>
      </c>
      <c r="DY61" s="1759">
        <v>0</v>
      </c>
      <c r="DZ61" s="1759">
        <v>0</v>
      </c>
      <c r="EA61" s="1759">
        <v>0</v>
      </c>
      <c r="EB61" s="1759">
        <v>0</v>
      </c>
      <c r="EC61" s="1759">
        <v>0</v>
      </c>
      <c r="ED61" s="1759">
        <v>0</v>
      </c>
      <c r="EE61" s="1759">
        <v>0</v>
      </c>
      <c r="EF61" s="1759">
        <v>0</v>
      </c>
      <c r="EG61" s="1759">
        <v>0</v>
      </c>
      <c r="EH61" s="1759">
        <v>0</v>
      </c>
      <c r="EI61" s="1759">
        <v>0</v>
      </c>
      <c r="EJ61" s="1759">
        <v>0</v>
      </c>
      <c r="EK61" s="1759">
        <v>0</v>
      </c>
      <c r="EL61" s="1759">
        <v>0</v>
      </c>
      <c r="EM61" s="1759">
        <v>0</v>
      </c>
      <c r="EN61" s="1759">
        <v>0</v>
      </c>
      <c r="EO61" s="1759">
        <v>0</v>
      </c>
      <c r="EP61" s="1759">
        <v>0</v>
      </c>
      <c r="EQ61" s="1759">
        <v>0</v>
      </c>
      <c r="ER61" s="1759">
        <v>0</v>
      </c>
      <c r="ES61" s="1759">
        <v>0</v>
      </c>
      <c r="ET61" s="1759">
        <v>0</v>
      </c>
      <c r="EU61" s="1759">
        <v>0</v>
      </c>
      <c r="EV61" s="1759">
        <v>0</v>
      </c>
      <c r="EW61" s="1759">
        <v>0</v>
      </c>
      <c r="EX61" s="1759">
        <v>0</v>
      </c>
      <c r="EY61" s="1759">
        <v>0</v>
      </c>
      <c r="EZ61" s="1759">
        <v>0</v>
      </c>
      <c r="FA61" s="1759">
        <v>0</v>
      </c>
      <c r="FB61" s="1759">
        <v>0</v>
      </c>
      <c r="FC61" s="1759">
        <v>0</v>
      </c>
      <c r="FD61" s="1759">
        <v>0</v>
      </c>
      <c r="FE61" s="1759">
        <v>0</v>
      </c>
      <c r="FF61" s="1759">
        <v>0</v>
      </c>
      <c r="FG61" s="1759">
        <v>0</v>
      </c>
      <c r="FH61" s="1759">
        <v>0</v>
      </c>
      <c r="FI61" s="1759">
        <v>0</v>
      </c>
      <c r="FJ61" s="1759">
        <v>0</v>
      </c>
      <c r="FK61" s="1759">
        <v>0</v>
      </c>
      <c r="FL61" s="1759">
        <v>0</v>
      </c>
      <c r="FM61" s="1759">
        <v>0</v>
      </c>
      <c r="FN61" s="1759">
        <v>0</v>
      </c>
      <c r="FO61" s="1759">
        <v>0</v>
      </c>
      <c r="FP61" s="1759">
        <v>0</v>
      </c>
      <c r="FQ61" s="1759">
        <v>0</v>
      </c>
      <c r="FR61" s="1759">
        <v>0</v>
      </c>
      <c r="FS61" s="1759">
        <v>0</v>
      </c>
      <c r="FT61" s="1759">
        <v>0</v>
      </c>
      <c r="FU61" s="1759">
        <v>0</v>
      </c>
      <c r="FV61" s="1759">
        <v>0</v>
      </c>
      <c r="FW61" s="1759">
        <v>0</v>
      </c>
      <c r="FX61" s="1759">
        <v>0</v>
      </c>
      <c r="FY61" s="1759">
        <v>0</v>
      </c>
      <c r="FZ61" s="1759">
        <v>0</v>
      </c>
      <c r="GA61" s="1759">
        <v>0</v>
      </c>
      <c r="GB61" s="1759">
        <v>0</v>
      </c>
      <c r="GC61" s="1759">
        <v>0</v>
      </c>
      <c r="GD61" s="1759">
        <v>0</v>
      </c>
      <c r="GE61" s="1759">
        <v>0</v>
      </c>
      <c r="GF61" s="1759">
        <v>0</v>
      </c>
      <c r="GG61" s="1759">
        <v>0</v>
      </c>
      <c r="GH61" s="1759">
        <v>0</v>
      </c>
      <c r="GI61" s="1759">
        <v>0</v>
      </c>
      <c r="GJ61" s="1759">
        <v>0</v>
      </c>
      <c r="GK61" s="1759">
        <v>0</v>
      </c>
      <c r="GL61" s="1759">
        <v>0</v>
      </c>
      <c r="GM61" s="1759">
        <v>0</v>
      </c>
      <c r="GN61" s="1759">
        <v>0</v>
      </c>
      <c r="GO61" s="1759">
        <v>0</v>
      </c>
      <c r="GP61" s="1759">
        <v>0</v>
      </c>
      <c r="GQ61" s="1759">
        <v>0</v>
      </c>
      <c r="GR61" s="1759">
        <v>0</v>
      </c>
      <c r="GS61" s="1759">
        <v>0</v>
      </c>
      <c r="GT61" s="1759">
        <v>0</v>
      </c>
      <c r="GU61" s="1759">
        <v>0</v>
      </c>
      <c r="GV61" s="1759">
        <v>0</v>
      </c>
      <c r="GW61" s="1759">
        <v>0</v>
      </c>
      <c r="GX61" s="1759">
        <v>0</v>
      </c>
      <c r="GY61" s="1759">
        <v>0</v>
      </c>
      <c r="GZ61" s="1759">
        <v>0</v>
      </c>
      <c r="HA61" s="1759">
        <v>0</v>
      </c>
      <c r="HB61" s="1759">
        <v>0</v>
      </c>
      <c r="HC61" s="1759">
        <v>0</v>
      </c>
      <c r="HD61" s="1759">
        <v>0</v>
      </c>
      <c r="HE61" s="1759">
        <v>0</v>
      </c>
      <c r="HF61" s="1759">
        <v>0</v>
      </c>
      <c r="HG61" s="1759">
        <v>0</v>
      </c>
      <c r="HH61" s="1759">
        <v>0</v>
      </c>
      <c r="HI61" s="1759">
        <v>0</v>
      </c>
      <c r="HJ61" s="1759">
        <v>0</v>
      </c>
      <c r="HK61" s="1759">
        <v>0</v>
      </c>
      <c r="HL61" s="1759">
        <v>0</v>
      </c>
      <c r="HM61" s="1759">
        <v>0</v>
      </c>
      <c r="HN61" s="1759">
        <v>0</v>
      </c>
      <c r="HO61" s="1759">
        <v>0</v>
      </c>
      <c r="HP61" s="1759">
        <v>0</v>
      </c>
      <c r="HQ61" s="1759">
        <v>0</v>
      </c>
      <c r="HR61" s="1759">
        <v>0</v>
      </c>
      <c r="HS61" s="1759">
        <v>0</v>
      </c>
      <c r="HT61" s="1759">
        <v>0</v>
      </c>
      <c r="HU61" s="1759">
        <v>0</v>
      </c>
      <c r="HV61" s="1759">
        <v>0</v>
      </c>
      <c r="HW61" s="1759">
        <v>0</v>
      </c>
      <c r="HX61" s="1759">
        <v>0</v>
      </c>
      <c r="HY61" s="1759">
        <v>0</v>
      </c>
      <c r="HZ61" s="1759">
        <v>0</v>
      </c>
      <c r="IA61" s="1759">
        <v>0</v>
      </c>
      <c r="IB61" s="1759">
        <v>0</v>
      </c>
      <c r="IC61" s="1759">
        <v>0</v>
      </c>
      <c r="ID61" s="1759">
        <v>0</v>
      </c>
      <c r="IE61" s="1759">
        <v>0</v>
      </c>
      <c r="IF61" s="1759">
        <v>0</v>
      </c>
      <c r="IG61" s="1759">
        <v>0</v>
      </c>
      <c r="IH61" s="1759">
        <v>0</v>
      </c>
      <c r="II61" s="1759">
        <v>0</v>
      </c>
      <c r="IJ61" s="1759">
        <v>0</v>
      </c>
      <c r="IK61" s="1759">
        <v>0</v>
      </c>
      <c r="IL61" s="1759">
        <v>0</v>
      </c>
      <c r="IM61" s="1759">
        <v>0</v>
      </c>
      <c r="IN61" s="1759">
        <v>0</v>
      </c>
      <c r="IO61" s="1759">
        <v>0</v>
      </c>
      <c r="IP61" s="1759">
        <v>0</v>
      </c>
      <c r="IQ61" s="1759">
        <v>0</v>
      </c>
      <c r="IR61" s="1759">
        <v>0</v>
      </c>
      <c r="IS61" s="1759">
        <v>0</v>
      </c>
      <c r="IT61" s="1759">
        <v>0</v>
      </c>
      <c r="IU61" s="1759">
        <v>0</v>
      </c>
      <c r="IV61" s="1759">
        <v>0</v>
      </c>
      <c r="IW61" s="1759">
        <v>0</v>
      </c>
      <c r="IX61" s="1759">
        <v>0</v>
      </c>
      <c r="IY61" s="1759">
        <v>0</v>
      </c>
      <c r="IZ61" s="1759">
        <v>0</v>
      </c>
      <c r="JA61" s="1759">
        <v>0</v>
      </c>
      <c r="JB61" s="1759">
        <v>0</v>
      </c>
      <c r="JC61" s="1759">
        <v>0</v>
      </c>
      <c r="JD61" s="1759">
        <v>0</v>
      </c>
      <c r="JE61" s="1759">
        <v>0</v>
      </c>
      <c r="JF61" s="1759">
        <v>0</v>
      </c>
      <c r="JG61" s="1759">
        <v>0</v>
      </c>
      <c r="JH61" s="1759">
        <v>0</v>
      </c>
      <c r="JI61" s="1759">
        <v>0</v>
      </c>
      <c r="JJ61" s="1759">
        <v>0</v>
      </c>
      <c r="JK61" s="1759">
        <v>0</v>
      </c>
      <c r="JL61" s="1759">
        <v>0</v>
      </c>
      <c r="JM61" s="1759">
        <v>0</v>
      </c>
      <c r="JN61" s="1759">
        <v>0</v>
      </c>
      <c r="JO61" s="1759">
        <v>0</v>
      </c>
      <c r="JP61" s="1759">
        <v>0</v>
      </c>
      <c r="JQ61" s="1759">
        <v>0</v>
      </c>
      <c r="JR61" s="1759">
        <v>0</v>
      </c>
      <c r="JS61" s="1759">
        <v>0</v>
      </c>
      <c r="JT61" s="1759">
        <v>0</v>
      </c>
      <c r="JU61" s="1759">
        <v>0</v>
      </c>
      <c r="JV61" s="1759">
        <v>0</v>
      </c>
      <c r="JW61" s="1759">
        <v>0</v>
      </c>
      <c r="JX61" s="1759">
        <v>0</v>
      </c>
      <c r="JY61" s="1759">
        <v>0</v>
      </c>
      <c r="JZ61" s="1759">
        <v>0</v>
      </c>
      <c r="KA61" s="1759">
        <v>0</v>
      </c>
      <c r="KB61" s="1759">
        <v>0</v>
      </c>
      <c r="KC61" s="1759">
        <v>0</v>
      </c>
      <c r="KD61" s="1759">
        <v>0</v>
      </c>
      <c r="KE61" s="1759">
        <v>0</v>
      </c>
      <c r="KF61" s="1759">
        <v>0</v>
      </c>
      <c r="KG61" s="1759">
        <v>0</v>
      </c>
      <c r="KH61" s="1759">
        <v>0</v>
      </c>
      <c r="KI61" s="1759">
        <v>0</v>
      </c>
      <c r="KJ61" s="1759">
        <v>0</v>
      </c>
      <c r="KK61" s="1759">
        <v>0</v>
      </c>
      <c r="KL61" s="1759">
        <v>0</v>
      </c>
      <c r="KM61" s="1759">
        <v>0</v>
      </c>
      <c r="KN61" s="1759">
        <v>0</v>
      </c>
      <c r="KO61" s="1759">
        <v>0</v>
      </c>
      <c r="KP61" s="1759">
        <v>0</v>
      </c>
      <c r="KQ61" s="904">
        <f>+IFERROR(VLOOKUP(KQ$27&amp;"-"&amp;$M61&amp;"_new",Ammortamento_Finanziario!$H:$L,5,FALSE),VLOOKUP($M61,TT_Tabelle_Riferimento!$D$127:$H$164,5,FALSE))</f>
        <v>40</v>
      </c>
      <c r="KR61" s="904">
        <f>+IFERROR(VLOOKUP(KR$27&amp;"-"&amp;$M61&amp;"_new",Ammortamento_Finanziario!$H:$L,5,FALSE),VLOOKUP($M61,TT_Tabelle_Riferimento!$D$127:$H$164,5,FALSE))</f>
        <v>40</v>
      </c>
      <c r="KS61" s="1762">
        <f>+IFERROR(VLOOKUP(KS$27&amp;"-"&amp;$M61&amp;"_new",Ammortamento_Finanziario!$H:$L,5,FALSE),VLOOKUP($M61,TT_Tabelle_Riferimento!$D$127:$H$164,5,FALSE))</f>
        <v>40</v>
      </c>
      <c r="KT61" s="1762">
        <f>+IFERROR(VLOOKUP(KT$27&amp;"-"&amp;$M61&amp;"_new",Ammortamento_Finanziario!$H:$L,5,FALSE),VLOOKUP($M61,TT_Tabelle_Riferimento!$D$127:$H$164,5,FALSE))</f>
        <v>40</v>
      </c>
      <c r="KU61" s="1762">
        <f>+IFERROR(VLOOKUP(KU$27&amp;"-"&amp;$M61&amp;"_new",Ammortamento_Finanziario!$H:$L,5,FALSE),VLOOKUP($M61,TT_Tabelle_Riferimento!$D$127:$H$164,5,FALSE))</f>
        <v>40</v>
      </c>
      <c r="KV61" s="1762">
        <f>+IFERROR(VLOOKUP(KV$27&amp;"-"&amp;$M61&amp;"_new",Ammortamento_Finanziario!$H:$L,5,FALSE),VLOOKUP($M61,TT_Tabelle_Riferimento!$D$127:$H$164,5,FALSE))</f>
        <v>40</v>
      </c>
      <c r="KW61" s="1762">
        <f>+IFERROR(VLOOKUP(KW$27&amp;"-"&amp;$M61&amp;"_new",Ammortamento_Finanziario!$H:$L,5,FALSE),VLOOKUP($M61,TT_Tabelle_Riferimento!$D$127:$H$164,5,FALSE))</f>
        <v>40</v>
      </c>
      <c r="KX61" s="1762">
        <f>+IFERROR(VLOOKUP(KX$27&amp;"-"&amp;$M61&amp;"_new",Ammortamento_Finanziario!$H:$L,5,FALSE),VLOOKUP($M61,TT_Tabelle_Riferimento!$D$127:$H$164,5,FALSE))</f>
        <v>40</v>
      </c>
      <c r="KY61" s="904">
        <f>+IFERROR(VLOOKUP(KY$27&amp;"-"&amp;$M61&amp;"_new",Ammortamento_Finanziario!$H:$L,5,FALSE),VLOOKUP($M61,TT_Tabelle_Riferimento!$D$127:$H$164,5,FALSE))</f>
        <v>40</v>
      </c>
      <c r="KZ61" s="904">
        <f>+IFERROR(VLOOKUP(KZ$27&amp;"-"&amp;$M61&amp;"_new",Ammortamento_Finanziario!$H:$L,5,FALSE),VLOOKUP($M61,TT_Tabelle_Riferimento!$D$127:$H$164,5,FALSE))</f>
        <v>40</v>
      </c>
      <c r="LA61" s="904">
        <f>+IFERROR(VLOOKUP(LA$27&amp;"-"&amp;$M61&amp;"_new",Ammortamento_Finanziario!$H:$L,5,FALSE),VLOOKUP($M61,TT_Tabelle_Riferimento!$D$127:$H$164,5,FALSE))</f>
        <v>40</v>
      </c>
      <c r="LB61" s="904">
        <f>+IFERROR(VLOOKUP(LB$27&amp;"-"&amp;$M61&amp;"_new",Ammortamento_Finanziario!$H:$L,5,FALSE),VLOOKUP($M61,TT_Tabelle_Riferimento!$D$127:$H$164,5,FALSE))</f>
        <v>40</v>
      </c>
      <c r="LC61" s="904">
        <f>+IFERROR(VLOOKUP(LC$27&amp;"-"&amp;$M61&amp;"_new",Ammortamento_Finanziario!$H:$L,5,FALSE),VLOOKUP($M61,TT_Tabelle_Riferimento!$D$127:$H$164,5,FALSE))</f>
        <v>40</v>
      </c>
      <c r="LD61" s="904">
        <f>+IFERROR(VLOOKUP(LD$27&amp;"-"&amp;$M61&amp;"_new",Ammortamento_Finanziario!$H:$L,5,FALSE),VLOOKUP($M61,TT_Tabelle_Riferimento!$D$127:$H$164,5,FALSE))</f>
        <v>40</v>
      </c>
      <c r="LE61" s="904">
        <f>+IFERROR(VLOOKUP(LE$27&amp;"-"&amp;$M61&amp;"_new",Ammortamento_Finanziario!$H:$L,5,FALSE),VLOOKUP($M61,TT_Tabelle_Riferimento!$D$127:$H$164,5,FALSE))</f>
        <v>40</v>
      </c>
      <c r="LF61" s="904">
        <f>+IFERROR(VLOOKUP(LF$27&amp;"-"&amp;$M61&amp;"_new",Ammortamento_Finanziario!$H:$L,5,FALSE),VLOOKUP($M61,TT_Tabelle_Riferimento!$D$127:$H$164,5,FALSE))</f>
        <v>40</v>
      </c>
      <c r="LG61" s="904">
        <f>+IFERROR(VLOOKUP(LG$27&amp;"-"&amp;$M61&amp;"_new",Ammortamento_Finanziario!$H:$L,5,FALSE),VLOOKUP($M61,TT_Tabelle_Riferimento!$D$127:$H$164,5,FALSE))</f>
        <v>40</v>
      </c>
      <c r="LH61" s="904">
        <f>+IFERROR(VLOOKUP(LH$27&amp;"-"&amp;$M61&amp;"_new",Ammortamento_Finanziario!$H:$L,5,FALSE),VLOOKUP($M61,TT_Tabelle_Riferimento!$D$127:$H$164,5,FALSE))</f>
        <v>40</v>
      </c>
      <c r="LI61" s="904">
        <f>+IFERROR(VLOOKUP(LI$27&amp;"-"&amp;$M61&amp;"_new",Ammortamento_Finanziario!$H:$L,5,FALSE),VLOOKUP($M61,TT_Tabelle_Riferimento!$D$127:$H$164,5,FALSE))</f>
        <v>40</v>
      </c>
      <c r="LJ61" s="904">
        <f>+IFERROR(VLOOKUP(LJ$27&amp;"-"&amp;$M61&amp;"_new",Ammortamento_Finanziario!$H:$L,5,FALSE),VLOOKUP($M61,TT_Tabelle_Riferimento!$D$127:$H$164,5,FALSE))</f>
        <v>40</v>
      </c>
      <c r="LK61" s="904">
        <f>+IFERROR(VLOOKUP(LK$27&amp;"-"&amp;$M61&amp;"_new",Ammortamento_Finanziario!$H:$L,5,FALSE),VLOOKUP($M61,TT_Tabelle_Riferimento!$D$127:$H$164,5,FALSE))</f>
        <v>40</v>
      </c>
      <c r="LL61" s="904">
        <f>+IFERROR(VLOOKUP(LL$27&amp;"-"&amp;$M61&amp;"_new",Ammortamento_Finanziario!$H:$L,5,FALSE),VLOOKUP($M61,TT_Tabelle_Riferimento!$D$127:$H$164,5,FALSE))</f>
        <v>40</v>
      </c>
      <c r="LM61" s="904">
        <f>+IFERROR(VLOOKUP(LM$27&amp;"-"&amp;$M61&amp;"_new",Ammortamento_Finanziario!$H:$L,5,FALSE),VLOOKUP($M61,TT_Tabelle_Riferimento!$D$127:$H$164,5,FALSE))</f>
        <v>40</v>
      </c>
      <c r="LN61" s="904">
        <f>+IFERROR(VLOOKUP(LN$27&amp;"-"&amp;$M61&amp;"_new",Ammortamento_Finanziario!$H:$L,5,FALSE),VLOOKUP($M61,TT_Tabelle_Riferimento!$D$127:$H$164,5,FALSE))</f>
        <v>40</v>
      </c>
      <c r="LO61" s="904">
        <f>+IFERROR(VLOOKUP(LO$27&amp;"-"&amp;$M61&amp;"_new",Ammortamento_Finanziario!$H:$L,5,FALSE),VLOOKUP($M61,TT_Tabelle_Riferimento!$D$127:$H$164,5,FALSE))</f>
        <v>40</v>
      </c>
      <c r="LP61" s="904">
        <f>+IFERROR(VLOOKUP(LP$27&amp;"-"&amp;$M61&amp;"_new",Ammortamento_Finanziario!$H:$L,5,FALSE),VLOOKUP($M61,TT_Tabelle_Riferimento!$D$127:$H$164,5,FALSE))</f>
        <v>40</v>
      </c>
      <c r="LQ61" s="904">
        <f>+IFERROR(VLOOKUP(LQ$27&amp;"-"&amp;$M61&amp;"_new",Ammortamento_Finanziario!$H:$L,5,FALSE),VLOOKUP($M61,TT_Tabelle_Riferimento!$D$127:$H$164,5,FALSE))</f>
        <v>40</v>
      </c>
      <c r="LR61" s="904">
        <f>+IFERROR(VLOOKUP(LR$27&amp;"-"&amp;$M61&amp;"_new",Ammortamento_Finanziario!$H:$L,5,FALSE),VLOOKUP($M61,TT_Tabelle_Riferimento!$D$127:$H$164,5,FALSE))</f>
        <v>40</v>
      </c>
      <c r="LS61" s="1762">
        <f>+IFERROR(VLOOKUP(LS$27&amp;"-"&amp;$M61&amp;"_new",Ammortamento_Finanziario!$H:$L,5,FALSE),VLOOKUP($M61,TT_Tabelle_Riferimento!$D$127:$H$164,5,FALSE))</f>
        <v>40</v>
      </c>
      <c r="LT61" s="1762">
        <f>+IFERROR(VLOOKUP(LT$27&amp;"-"&amp;$M61&amp;"_new",Ammortamento_Finanziario!$H:$L,5,FALSE),VLOOKUP($M61,TT_Tabelle_Riferimento!$D$127:$H$164,5,FALSE))</f>
        <v>40</v>
      </c>
      <c r="LU61" s="1762">
        <f>+IFERROR(VLOOKUP(LU$27&amp;"-"&amp;$M61&amp;"_new",Ammortamento_Finanziario!$H:$L,5,FALSE),VLOOKUP($M61,TT_Tabelle_Riferimento!$D$127:$H$164,5,FALSE))</f>
        <v>40</v>
      </c>
      <c r="LV61" s="1762">
        <f>+IFERROR(VLOOKUP(LV$27&amp;"-"&amp;$M61&amp;"_new",Ammortamento_Finanziario!$H:$L,5,FALSE),VLOOKUP($M61,TT_Tabelle_Riferimento!$D$127:$H$164,5,FALSE))</f>
        <v>40</v>
      </c>
      <c r="LW61" s="1762">
        <f>+IFERROR(VLOOKUP(LW$27&amp;"-"&amp;$M61&amp;"_new",Ammortamento_Finanziario!$H:$L,5,FALSE),VLOOKUP($M61,TT_Tabelle_Riferimento!$D$127:$H$164,5,FALSE))</f>
        <v>40</v>
      </c>
      <c r="LX61" s="1762">
        <f>+IFERROR(VLOOKUP(LX$27&amp;"-"&amp;$M61&amp;"_new",Ammortamento_Finanziario!$H:$L,5,FALSE),VLOOKUP($M61,TT_Tabelle_Riferimento!$D$127:$H$164,5,FALSE))</f>
        <v>40</v>
      </c>
      <c r="LY61" s="904">
        <f>+IFERROR(VLOOKUP(LY$27&amp;"-"&amp;$M61&amp;"_new",Ammortamento_Finanziario!$H:$L,5,FALSE),VLOOKUP($M61,TT_Tabelle_Riferimento!$D$127:$H$164,5,FALSE))</f>
        <v>40</v>
      </c>
      <c r="LZ61" s="904">
        <f>+IFERROR(VLOOKUP(LZ$27&amp;"-"&amp;$M61&amp;"_new",Ammortamento_Finanziario!$H:$L,5,FALSE),VLOOKUP($M61,TT_Tabelle_Riferimento!$D$127:$H$164,5,FALSE))</f>
        <v>40</v>
      </c>
      <c r="MA61" s="904">
        <f>+IFERROR(VLOOKUP(MA$27&amp;"-"&amp;$M61&amp;"_new",Ammortamento_Finanziario!$H:$L,5,FALSE),VLOOKUP($M61,TT_Tabelle_Riferimento!$D$127:$H$164,5,FALSE))</f>
        <v>40</v>
      </c>
      <c r="MB61" s="904">
        <f>+IFERROR(VLOOKUP(MB$27&amp;"-"&amp;$M61&amp;"_new",Ammortamento_Finanziario!$H:$L,5,FALSE),VLOOKUP($M61,TT_Tabelle_Riferimento!$D$127:$H$164,5,FALSE))</f>
        <v>40</v>
      </c>
      <c r="MC61" s="904">
        <f>+IFERROR(VLOOKUP(MC$27&amp;"-"&amp;$M61&amp;"_new",Ammortamento_Finanziario!$H:$L,5,FALSE),VLOOKUP($M61,TT_Tabelle_Riferimento!$D$127:$H$164,5,FALSE))</f>
        <v>40</v>
      </c>
      <c r="MD61" s="904">
        <f>+IFERROR(VLOOKUP(MD$27&amp;"-"&amp;$M61&amp;"_new",Ammortamento_Finanziario!$H:$L,5,FALSE),VLOOKUP($M61,TT_Tabelle_Riferimento!$D$127:$H$164,5,FALSE))</f>
        <v>40</v>
      </c>
      <c r="ME61" s="904">
        <f>+IFERROR(VLOOKUP(ME$27&amp;"-"&amp;$M61&amp;"_new",Ammortamento_Finanziario!$H:$L,5,FALSE),VLOOKUP($M61,TT_Tabelle_Riferimento!$D$127:$H$164,5,FALSE))</f>
        <v>40</v>
      </c>
      <c r="MF61" s="904">
        <f>+IFERROR(VLOOKUP(MF$27&amp;"-"&amp;$M61&amp;"_new",Ammortamento_Finanziario!$H:$L,5,FALSE),VLOOKUP($M61,TT_Tabelle_Riferimento!$D$127:$H$164,5,FALSE))</f>
        <v>40</v>
      </c>
      <c r="MG61" s="904">
        <f>+IFERROR(VLOOKUP(MG$27&amp;"-"&amp;$M61&amp;"_new",Ammortamento_Finanziario!$H:$L,5,FALSE),VLOOKUP($M61,TT_Tabelle_Riferimento!$D$127:$H$164,5,FALSE))</f>
        <v>40</v>
      </c>
      <c r="MH61" s="904">
        <f>+IFERROR(VLOOKUP(MH$27&amp;"-"&amp;$M61&amp;"_new",Ammortamento_Finanziario!$H:$L,5,FALSE),VLOOKUP($M61,TT_Tabelle_Riferimento!$D$127:$H$164,5,FALSE))</f>
        <v>40</v>
      </c>
      <c r="MI61" s="904">
        <f>+IFERROR(VLOOKUP(MI$27&amp;"-"&amp;$M61&amp;"_new",Ammortamento_Finanziario!$H:$L,5,FALSE),VLOOKUP($M61,TT_Tabelle_Riferimento!$D$127:$H$164,5,FALSE))</f>
        <v>40</v>
      </c>
      <c r="MJ61" s="904">
        <f>+IFERROR(VLOOKUP(MJ$27&amp;"-"&amp;$M61&amp;"_new",Ammortamento_Finanziario!$H:$L,5,FALSE),VLOOKUP($M61,TT_Tabelle_Riferimento!$D$127:$H$164,5,FALSE))</f>
        <v>40</v>
      </c>
      <c r="MK61" s="904">
        <f>+IFERROR(VLOOKUP(MK$27&amp;"-"&amp;$M61&amp;"_new",Ammortamento_Finanziario!$H:$L,5,FALSE),VLOOKUP($M61,TT_Tabelle_Riferimento!$D$127:$H$164,5,FALSE))</f>
        <v>40</v>
      </c>
      <c r="ML61" s="904">
        <f>+IFERROR(VLOOKUP(ML$27&amp;"-"&amp;$M61&amp;"_new",Ammortamento_Finanziario!$H:$L,5,FALSE),VLOOKUP($M61,TT_Tabelle_Riferimento!$D$127:$H$164,5,FALSE))</f>
        <v>40</v>
      </c>
      <c r="MM61" s="904">
        <f>+IFERROR(VLOOKUP(MM$27&amp;"-"&amp;$M61&amp;"_new",Ammortamento_Finanziario!$H:$L,5,FALSE),VLOOKUP($M61,TT_Tabelle_Riferimento!$D$127:$H$164,5,FALSE))</f>
        <v>40</v>
      </c>
      <c r="MN61" s="904">
        <f>+IFERROR(VLOOKUP(MN$27&amp;"-"&amp;$M61&amp;"_new",Ammortamento_Finanziario!$H:$L,5,FALSE),VLOOKUP($M61,TT_Tabelle_Riferimento!$D$127:$H$164,5,FALSE))</f>
        <v>40</v>
      </c>
      <c r="MO61" s="904">
        <f>+IFERROR(VLOOKUP(MO$27&amp;"-"&amp;$M61&amp;"_new",Ammortamento_Finanziario!$H:$L,5,FALSE),VLOOKUP($M61,TT_Tabelle_Riferimento!$D$127:$H$164,5,FALSE))</f>
        <v>40</v>
      </c>
      <c r="MP61" s="904">
        <f>+IFERROR(VLOOKUP(MP$27&amp;"-"&amp;$M61&amp;"_new",Ammortamento_Finanziario!$H:$L,5,FALSE),VLOOKUP($M61,TT_Tabelle_Riferimento!$D$127:$H$164,5,FALSE))</f>
        <v>40</v>
      </c>
      <c r="MQ61" s="904">
        <f>+IFERROR(VLOOKUP(MQ$27&amp;"-"&amp;$M61&amp;"_new",Ammortamento_Finanziario!$H:$L,5,FALSE),VLOOKUP($M61,TT_Tabelle_Riferimento!$D$127:$H$164,5,FALSE))</f>
        <v>40</v>
      </c>
      <c r="MR61" s="1762">
        <f>+IFERROR(VLOOKUP(MR$27&amp;"-"&amp;$M61&amp;"_new",Ammortamento_Finanziario!$H:$L,5,FALSE),VLOOKUP($M61,TT_Tabelle_Riferimento!$D$127:$H$164,5,FALSE))</f>
        <v>40</v>
      </c>
      <c r="MS61" s="1762">
        <f>+IFERROR(VLOOKUP(MS$27&amp;"-"&amp;$M61&amp;"_new",Ammortamento_Finanziario!$H:$L,5,FALSE),VLOOKUP($M61,TT_Tabelle_Riferimento!$D$127:$H$164,5,FALSE))</f>
        <v>40</v>
      </c>
      <c r="MT61" s="1762">
        <f>+IFERROR(VLOOKUP(MT$27&amp;"-"&amp;$M61&amp;"_new",Ammortamento_Finanziario!$H:$L,5,FALSE),VLOOKUP($M61,TT_Tabelle_Riferimento!$D$127:$H$164,5,FALSE))</f>
        <v>40</v>
      </c>
      <c r="MU61" s="1762">
        <f>+IFERROR(VLOOKUP(MU$27&amp;"-"&amp;$M61&amp;"_new",Ammortamento_Finanziario!$H:$L,5,FALSE),VLOOKUP($M61,TT_Tabelle_Riferimento!$D$127:$H$164,5,FALSE))</f>
        <v>40</v>
      </c>
      <c r="MV61" s="1762">
        <f>+IFERROR(VLOOKUP(MV$27&amp;"-"&amp;$M61&amp;"_new",Ammortamento_Finanziario!$H:$L,5,FALSE),VLOOKUP($M61,TT_Tabelle_Riferimento!$D$127:$H$164,5,FALSE))</f>
        <v>40</v>
      </c>
      <c r="MW61" s="1762">
        <f>+IFERROR(VLOOKUP(MW$27&amp;"-"&amp;$M61&amp;"_new",Ammortamento_Finanziario!$H:$L,5,FALSE),VLOOKUP($M61,TT_Tabelle_Riferimento!$D$127:$H$164,5,FALSE))</f>
        <v>40</v>
      </c>
      <c r="MX61" s="904">
        <f>+IFERROR(VLOOKUP(MX$27&amp;"-"&amp;$M61&amp;"_new",Ammortamento_Finanziario!$H:$L,5,FALSE),VLOOKUP($M61,TT_Tabelle_Riferimento!$D$127:$H$164,5,FALSE))</f>
        <v>40</v>
      </c>
      <c r="MY61" s="904">
        <f>+IFERROR(VLOOKUP(MY$27&amp;"-"&amp;$M61&amp;"_new",Ammortamento_Finanziario!$H:$L,5,FALSE),VLOOKUP($M61,TT_Tabelle_Riferimento!$D$127:$H$164,5,FALSE))</f>
        <v>40</v>
      </c>
      <c r="MZ61" s="904">
        <f>+IFERROR(VLOOKUP(MZ$27&amp;"-"&amp;$M61&amp;"_new",Ammortamento_Finanziario!$H:$L,5,FALSE),VLOOKUP($M61,TT_Tabelle_Riferimento!$D$127:$H$164,5,FALSE))</f>
        <v>40</v>
      </c>
      <c r="NA61" s="904">
        <f>+IFERROR(VLOOKUP(NA$27&amp;"-"&amp;$M61&amp;"_new",Ammortamento_Finanziario!$H:$L,5,FALSE),VLOOKUP($M61,TT_Tabelle_Riferimento!$D$127:$H$164,5,FALSE))</f>
        <v>40</v>
      </c>
      <c r="NB61" s="904">
        <f>+IFERROR(VLOOKUP(NB$27&amp;"-"&amp;$M61&amp;"_new",Ammortamento_Finanziario!$H:$L,5,FALSE),VLOOKUP($M61,TT_Tabelle_Riferimento!$D$127:$H$164,5,FALSE))</f>
        <v>40</v>
      </c>
      <c r="NC61" s="904">
        <f>+IFERROR(VLOOKUP(NC$27&amp;"-"&amp;$M61&amp;"_new",Ammortamento_Finanziario!$H:$L,5,FALSE),VLOOKUP($M61,TT_Tabelle_Riferimento!$D$127:$H$164,5,FALSE))</f>
        <v>40</v>
      </c>
      <c r="ND61" s="904">
        <f>+IFERROR(VLOOKUP(ND$27&amp;"-"&amp;$M61&amp;"_new",Ammortamento_Finanziario!$H:$L,5,FALSE),VLOOKUP($M61,TT_Tabelle_Riferimento!$D$127:$H$164,5,FALSE))</f>
        <v>40</v>
      </c>
      <c r="NE61" s="904">
        <f>+IFERROR(VLOOKUP(NE$27&amp;"-"&amp;$M61&amp;"_new",Ammortamento_Finanziario!$H:$L,5,FALSE),VLOOKUP($M61,TT_Tabelle_Riferimento!$D$127:$H$164,5,FALSE))</f>
        <v>40</v>
      </c>
      <c r="NF61" s="904">
        <f>+IFERROR(VLOOKUP(NF$27&amp;"-"&amp;$M61&amp;"_new",Ammortamento_Finanziario!$H:$L,5,FALSE),VLOOKUP($M61,TT_Tabelle_Riferimento!$D$127:$H$164,5,FALSE))</f>
        <v>40</v>
      </c>
      <c r="NG61" s="904">
        <f>+IFERROR(VLOOKUP(NG$27&amp;"-"&amp;$M61&amp;"_new",Ammortamento_Finanziario!$H:$L,5,FALSE),VLOOKUP($M61,TT_Tabelle_Riferimento!$D$127:$H$164,5,FALSE))</f>
        <v>40</v>
      </c>
      <c r="NH61" s="904">
        <f>+IFERROR(VLOOKUP(NH$27&amp;"-"&amp;$M61&amp;"_new",Ammortamento_Finanziario!$H:$L,5,FALSE),VLOOKUP($M61,TT_Tabelle_Riferimento!$D$127:$H$164,5,FALSE))</f>
        <v>40</v>
      </c>
      <c r="NI61" s="904">
        <f>+IFERROR(VLOOKUP(NI$27&amp;"-"&amp;$M61&amp;"_new",Ammortamento_Finanziario!$H:$L,5,FALSE),VLOOKUP($M61,TT_Tabelle_Riferimento!$D$127:$H$164,5,FALSE))</f>
        <v>40</v>
      </c>
      <c r="NJ61" s="904">
        <f>+IFERROR(VLOOKUP(NJ$27&amp;"-"&amp;$M61&amp;"_new",Ammortamento_Finanziario!$H:$L,5,FALSE),VLOOKUP($M61,TT_Tabelle_Riferimento!$D$127:$H$164,5,FALSE))</f>
        <v>40</v>
      </c>
      <c r="NK61" s="904">
        <f>+IFERROR(VLOOKUP(NK$27&amp;"-"&amp;$M61&amp;"_new",Ammortamento_Finanziario!$H:$L,5,FALSE),VLOOKUP($M61,TT_Tabelle_Riferimento!$D$127:$H$164,5,FALSE))</f>
        <v>40</v>
      </c>
      <c r="NL61" s="904">
        <f>+IFERROR(VLOOKUP(NL$27&amp;"-"&amp;$M61&amp;"_new",Ammortamento_Finanziario!$H:$L,5,FALSE),VLOOKUP($M61,TT_Tabelle_Riferimento!$D$127:$H$164,5,FALSE))</f>
        <v>40</v>
      </c>
      <c r="NM61" s="904">
        <f>+IFERROR(VLOOKUP(NM$27&amp;"-"&amp;$M61&amp;"_new",Ammortamento_Finanziario!$H:$L,5,FALSE),VLOOKUP($M61,TT_Tabelle_Riferimento!$D$127:$H$164,5,FALSE))</f>
        <v>40</v>
      </c>
      <c r="NN61" s="904">
        <f>+IFERROR(VLOOKUP(NN$27&amp;"-"&amp;$M61&amp;"_new",Ammortamento_Finanziario!$H:$L,5,FALSE),VLOOKUP($M61,TT_Tabelle_Riferimento!$D$127:$H$164,5,FALSE))</f>
        <v>40</v>
      </c>
      <c r="NO61" s="904">
        <f>+IFERROR(VLOOKUP(NO$27&amp;"-"&amp;$M61&amp;"_new",Ammortamento_Finanziario!$H:$L,5,FALSE),VLOOKUP($M61,TT_Tabelle_Riferimento!$D$127:$H$164,5,FALSE))</f>
        <v>40</v>
      </c>
      <c r="NP61" s="904">
        <f>+IFERROR(VLOOKUP(NP$27&amp;"-"&amp;$M61&amp;"_new",Ammortamento_Finanziario!$H:$L,5,FALSE),VLOOKUP($M61,TT_Tabelle_Riferimento!$D$127:$H$164,5,FALSE))</f>
        <v>40</v>
      </c>
      <c r="NQ61" s="1762">
        <f>+IFERROR(VLOOKUP(NQ$27&amp;"-"&amp;$M61&amp;"_new",Ammortamento_Finanziario!$H:$L,5,FALSE),VLOOKUP($M61,TT_Tabelle_Riferimento!$D$127:$H$164,5,FALSE))</f>
        <v>40</v>
      </c>
      <c r="NR61" s="1762">
        <f>+IFERROR(VLOOKUP(NR$27&amp;"-"&amp;$M61&amp;"_new",Ammortamento_Finanziario!$H:$L,5,FALSE),VLOOKUP($M61,TT_Tabelle_Riferimento!$D$127:$H$164,5,FALSE))</f>
        <v>40</v>
      </c>
      <c r="NS61" s="1762">
        <f>+IFERROR(VLOOKUP(NS$27&amp;"-"&amp;$M61&amp;"_new",Ammortamento_Finanziario!$H:$L,5,FALSE),VLOOKUP($M61,TT_Tabelle_Riferimento!$D$127:$H$164,5,FALSE))</f>
        <v>40</v>
      </c>
      <c r="NT61" s="1762">
        <f>+IFERROR(VLOOKUP(NT$27&amp;"-"&amp;$M61&amp;"_new",Ammortamento_Finanziario!$H:$L,5,FALSE),VLOOKUP($M61,TT_Tabelle_Riferimento!$D$127:$H$164,5,FALSE))</f>
        <v>40</v>
      </c>
      <c r="NU61" s="1762">
        <f>+IFERROR(VLOOKUP(NU$27&amp;"-"&amp;$M61&amp;"_new",Ammortamento_Finanziario!$H:$L,5,FALSE),VLOOKUP($M61,TT_Tabelle_Riferimento!$D$127:$H$164,5,FALSE))</f>
        <v>40</v>
      </c>
      <c r="NV61" s="904">
        <f>+IFERROR(VLOOKUP(NV$27&amp;"-"&amp;$M61&amp;"_new",Ammortamento_Finanziario!$H:$L,5,FALSE),VLOOKUP($M61,TT_Tabelle_Riferimento!$D$127:$H$164,5,FALSE))</f>
        <v>40</v>
      </c>
      <c r="NW61" s="904">
        <f>+IFERROR(VLOOKUP(NW$27&amp;"-"&amp;$M61&amp;"_new",Ammortamento_Finanziario!$H:$L,5,FALSE),VLOOKUP($M61,TT_Tabelle_Riferimento!$D$127:$H$164,5,FALSE))</f>
        <v>40</v>
      </c>
      <c r="NX61" s="904">
        <f>+IFERROR(VLOOKUP(NX$27&amp;"-"&amp;$M61&amp;"_new",Ammortamento_Finanziario!$H:$L,5,FALSE),VLOOKUP($M61,TT_Tabelle_Riferimento!$D$127:$H$164,5,FALSE))</f>
        <v>40</v>
      </c>
      <c r="NY61" s="904">
        <f>+IFERROR(VLOOKUP(NY$27&amp;"-"&amp;$M61&amp;"_new",Ammortamento_Finanziario!$H:$L,5,FALSE),VLOOKUP($M61,TT_Tabelle_Riferimento!$D$127:$H$164,5,FALSE))</f>
        <v>40</v>
      </c>
      <c r="NZ61" s="904">
        <f>+IFERROR(VLOOKUP(NZ$27&amp;"-"&amp;$M61&amp;"_new",Ammortamento_Finanziario!$H:$L,5,FALSE),VLOOKUP($M61,TT_Tabelle_Riferimento!$D$127:$H$164,5,FALSE))</f>
        <v>40</v>
      </c>
      <c r="OA61" s="904">
        <f>+IFERROR(VLOOKUP(OA$27&amp;"-"&amp;$M61&amp;"_new",Ammortamento_Finanziario!$H:$L,5,FALSE),VLOOKUP($M61,TT_Tabelle_Riferimento!$D$127:$H$164,5,FALSE))</f>
        <v>40</v>
      </c>
      <c r="OB61" s="904">
        <f>+IFERROR(VLOOKUP(OB$27&amp;"-"&amp;$M61&amp;"_new",Ammortamento_Finanziario!$H:$L,5,FALSE),VLOOKUP($M61,TT_Tabelle_Riferimento!$D$127:$H$164,5,FALSE))</f>
        <v>40</v>
      </c>
      <c r="OC61" s="904">
        <f>+IFERROR(VLOOKUP(OC$27&amp;"-"&amp;$M61&amp;"_new",Ammortamento_Finanziario!$H:$L,5,FALSE),VLOOKUP($M61,TT_Tabelle_Riferimento!$D$127:$H$164,5,FALSE))</f>
        <v>40</v>
      </c>
      <c r="OD61" s="904">
        <f>+IFERROR(VLOOKUP(OD$27&amp;"-"&amp;$M61&amp;"_new",Ammortamento_Finanziario!$H:$L,5,FALSE),VLOOKUP($M61,TT_Tabelle_Riferimento!$D$127:$H$164,5,FALSE))</f>
        <v>40</v>
      </c>
      <c r="OE61" s="904">
        <f>+IFERROR(VLOOKUP(OE$27&amp;"-"&amp;$M61&amp;"_new",Ammortamento_Finanziario!$H:$L,5,FALSE),VLOOKUP($M61,TT_Tabelle_Riferimento!$D$127:$H$164,5,FALSE))</f>
        <v>40</v>
      </c>
      <c r="OF61" s="904">
        <f>+IFERROR(VLOOKUP(OF$27&amp;"-"&amp;$M61&amp;"_new",Ammortamento_Finanziario!$H:$L,5,FALSE),VLOOKUP($M61,TT_Tabelle_Riferimento!$D$127:$H$164,5,FALSE))</f>
        <v>40</v>
      </c>
      <c r="OG61" s="904">
        <f>+IFERROR(VLOOKUP(OG$27&amp;"-"&amp;$M61&amp;"_new",Ammortamento_Finanziario!$H:$L,5,FALSE),VLOOKUP($M61,TT_Tabelle_Riferimento!$D$127:$H$164,5,FALSE))</f>
        <v>40</v>
      </c>
      <c r="OH61" s="904">
        <f>+IFERROR(VLOOKUP(OH$27&amp;"-"&amp;$M61&amp;"_new",Ammortamento_Finanziario!$H:$L,5,FALSE),VLOOKUP($M61,TT_Tabelle_Riferimento!$D$127:$H$164,5,FALSE))</f>
        <v>40</v>
      </c>
      <c r="OI61" s="904">
        <f>+IFERROR(VLOOKUP(OI$27&amp;"-"&amp;$M61&amp;"_new",Ammortamento_Finanziario!$H:$L,5,FALSE),VLOOKUP($M61,TT_Tabelle_Riferimento!$D$127:$H$164,5,FALSE))</f>
        <v>40</v>
      </c>
      <c r="OJ61" s="904">
        <f>+IFERROR(VLOOKUP(OJ$27&amp;"-"&amp;$M61&amp;"_new",Ammortamento_Finanziario!$H:$L,5,FALSE),VLOOKUP($M61,TT_Tabelle_Riferimento!$D$127:$H$164,5,FALSE))</f>
        <v>40</v>
      </c>
      <c r="OK61" s="904">
        <f>+IFERROR(VLOOKUP(OK$27&amp;"-"&amp;$M61&amp;"_new",Ammortamento_Finanziario!$H:$L,5,FALSE),VLOOKUP($M61,TT_Tabelle_Riferimento!$D$127:$H$164,5,FALSE))</f>
        <v>40</v>
      </c>
      <c r="OL61" s="904">
        <f>+IFERROR(VLOOKUP(OL$27&amp;"-"&amp;$M61&amp;"_new",Ammortamento_Finanziario!$H:$L,5,FALSE),VLOOKUP($M61,TT_Tabelle_Riferimento!$D$127:$H$164,5,FALSE))</f>
        <v>40</v>
      </c>
      <c r="OM61" s="904">
        <f>+IFERROR(VLOOKUP(OM$27&amp;"-"&amp;$M61&amp;"_new",Ammortamento_Finanziario!$H:$L,5,FALSE),VLOOKUP($M61,TT_Tabelle_Riferimento!$D$127:$H$164,5,FALSE))</f>
        <v>40</v>
      </c>
      <c r="ON61" s="904">
        <f>+IFERROR(VLOOKUP(ON$27&amp;"-"&amp;$M61&amp;"_new",Ammortamento_Finanziario!$H:$L,5,FALSE),VLOOKUP($M61,TT_Tabelle_Riferimento!$D$127:$H$164,5,FALSE))</f>
        <v>40</v>
      </c>
      <c r="OO61" s="1762">
        <f>+IFERROR(VLOOKUP(OO$27&amp;"-"&amp;$M61&amp;"_new",Ammortamento_Finanziario!$H:$L,5,FALSE),VLOOKUP($M61,TT_Tabelle_Riferimento!$D$127:$H$164,5,FALSE))</f>
        <v>40</v>
      </c>
      <c r="OP61" s="1762">
        <f>+IFERROR(VLOOKUP(OP$27&amp;"-"&amp;$M61&amp;"_new",Ammortamento_Finanziario!$H:$L,5,FALSE),VLOOKUP($M61,TT_Tabelle_Riferimento!$D$127:$H$164,5,FALSE))</f>
        <v>40</v>
      </c>
      <c r="OQ61" s="1762">
        <f>+IFERROR(VLOOKUP(OQ$27&amp;"-"&amp;$M61&amp;"_new",Ammortamento_Finanziario!$H:$L,5,FALSE),VLOOKUP($M61,TT_Tabelle_Riferimento!$D$127:$H$164,5,FALSE))</f>
        <v>40</v>
      </c>
      <c r="OR61" s="1762">
        <f>+IFERROR(VLOOKUP(OR$27&amp;"-"&amp;$M61&amp;"_new",Ammortamento_Finanziario!$H:$L,5,FALSE),VLOOKUP($M61,TT_Tabelle_Riferimento!$D$127:$H$164,5,FALSE))</f>
        <v>40</v>
      </c>
      <c r="OS61" s="904">
        <f>+IFERROR(VLOOKUP(OS$27&amp;"-"&amp;$M61&amp;"_new",Ammortamento_Finanziario!$H:$L,5,FALSE),VLOOKUP($M61,TT_Tabelle_Riferimento!$D$127:$H$164,5,FALSE))</f>
        <v>40</v>
      </c>
      <c r="OT61" s="904">
        <f>+IFERROR(VLOOKUP(OT$27&amp;"-"&amp;$M61&amp;"_new",Ammortamento_Finanziario!$H:$L,5,FALSE),VLOOKUP($M61,TT_Tabelle_Riferimento!$D$127:$H$164,5,FALSE))</f>
        <v>40</v>
      </c>
      <c r="OU61" s="904">
        <f>+IFERROR(VLOOKUP(OU$27&amp;"-"&amp;$M61&amp;"_new",Ammortamento_Finanziario!$H:$L,5,FALSE),VLOOKUP($M61,TT_Tabelle_Riferimento!$D$127:$H$164,5,FALSE))</f>
        <v>40</v>
      </c>
      <c r="OV61" s="904">
        <f>+IFERROR(VLOOKUP(OV$27&amp;"-"&amp;$M61&amp;"_new",Ammortamento_Finanziario!$H:$L,5,FALSE),VLOOKUP($M61,TT_Tabelle_Riferimento!$D$127:$H$164,5,FALSE))</f>
        <v>40</v>
      </c>
      <c r="OW61" s="904">
        <f>+IFERROR(VLOOKUP(OW$27&amp;"-"&amp;$M61&amp;"_new",Ammortamento_Finanziario!$H:$L,5,FALSE),VLOOKUP($M61,TT_Tabelle_Riferimento!$D$127:$H$164,5,FALSE))</f>
        <v>40</v>
      </c>
      <c r="OX61" s="904">
        <f>+IFERROR(VLOOKUP(OX$27&amp;"-"&amp;$M61&amp;"_new",Ammortamento_Finanziario!$H:$L,5,FALSE),VLOOKUP($M61,TT_Tabelle_Riferimento!$D$127:$H$164,5,FALSE))</f>
        <v>40</v>
      </c>
      <c r="OY61" s="904">
        <f>+IFERROR(VLOOKUP(OY$27&amp;"-"&amp;$M61&amp;"_new",Ammortamento_Finanziario!$H:$L,5,FALSE),VLOOKUP($M61,TT_Tabelle_Riferimento!$D$127:$H$164,5,FALSE))</f>
        <v>40</v>
      </c>
      <c r="OZ61" s="904">
        <f>+IFERROR(VLOOKUP(OZ$27&amp;"-"&amp;$M61&amp;"_new",Ammortamento_Finanziario!$H:$L,5,FALSE),VLOOKUP($M61,TT_Tabelle_Riferimento!$D$127:$H$164,5,FALSE))</f>
        <v>40</v>
      </c>
      <c r="PA61" s="904">
        <f>+IFERROR(VLOOKUP(PA$27&amp;"-"&amp;$M61&amp;"_new",Ammortamento_Finanziario!$H:$L,5,FALSE),VLOOKUP($M61,TT_Tabelle_Riferimento!$D$127:$H$164,5,FALSE))</f>
        <v>40</v>
      </c>
      <c r="PB61" s="904">
        <f>+IFERROR(VLOOKUP(PB$27&amp;"-"&amp;$M61&amp;"_new",Ammortamento_Finanziario!$H:$L,5,FALSE),VLOOKUP($M61,TT_Tabelle_Riferimento!$D$127:$H$164,5,FALSE))</f>
        <v>40</v>
      </c>
      <c r="PC61" s="904">
        <f>+IFERROR(VLOOKUP(PC$27&amp;"-"&amp;$M61&amp;"_new",Ammortamento_Finanziario!$H:$L,5,FALSE),VLOOKUP($M61,TT_Tabelle_Riferimento!$D$127:$H$164,5,FALSE))</f>
        <v>40</v>
      </c>
      <c r="PD61" s="904">
        <f>+IFERROR(VLOOKUP(PD$27&amp;"-"&amp;$M61&amp;"_new",Ammortamento_Finanziario!$H:$L,5,FALSE),VLOOKUP($M61,TT_Tabelle_Riferimento!$D$127:$H$164,5,FALSE))</f>
        <v>40</v>
      </c>
      <c r="PE61" s="904">
        <f>+IFERROR(VLOOKUP(PE$27&amp;"-"&amp;$M61&amp;"_new",Ammortamento_Finanziario!$H:$L,5,FALSE),VLOOKUP($M61,TT_Tabelle_Riferimento!$D$127:$H$164,5,FALSE))</f>
        <v>40</v>
      </c>
      <c r="PF61" s="904">
        <f>+IFERROR(VLOOKUP(PF$27&amp;"-"&amp;$M61&amp;"_new",Ammortamento_Finanziario!$H:$L,5,FALSE),VLOOKUP($M61,TT_Tabelle_Riferimento!$D$127:$H$164,5,FALSE))</f>
        <v>40</v>
      </c>
      <c r="PG61" s="904">
        <f>+IFERROR(VLOOKUP(PG$27&amp;"-"&amp;$M61&amp;"_new",Ammortamento_Finanziario!$H:$L,5,FALSE),VLOOKUP($M61,TT_Tabelle_Riferimento!$D$127:$H$164,5,FALSE))</f>
        <v>40</v>
      </c>
      <c r="PH61" s="904">
        <f>+IFERROR(VLOOKUP(PH$27&amp;"-"&amp;$M61&amp;"_new",Ammortamento_Finanziario!$H:$L,5,FALSE),VLOOKUP($M61,TT_Tabelle_Riferimento!$D$127:$H$164,5,FALSE))</f>
        <v>40</v>
      </c>
      <c r="PI61" s="904">
        <f>+IFERROR(VLOOKUP(PI$27&amp;"-"&amp;$M61&amp;"_new",Ammortamento_Finanziario!$H:$L,5,FALSE),VLOOKUP($M61,TT_Tabelle_Riferimento!$D$127:$H$164,5,FALSE))</f>
        <v>40</v>
      </c>
      <c r="PJ61" s="904">
        <f>+IFERROR(VLOOKUP(PJ$27&amp;"-"&amp;$M61&amp;"_new",Ammortamento_Finanziario!$H:$L,5,FALSE),VLOOKUP($M61,TT_Tabelle_Riferimento!$D$127:$H$164,5,FALSE))</f>
        <v>40</v>
      </c>
      <c r="PK61" s="904">
        <f>+IFERROR(VLOOKUP(PK$27&amp;"-"&amp;$M61&amp;"_new",Ammortamento_Finanziario!$H:$L,5,FALSE),VLOOKUP($M61,TT_Tabelle_Riferimento!$D$127:$H$164,5,FALSE))</f>
        <v>40</v>
      </c>
      <c r="PL61" s="1762">
        <f>+IFERROR(VLOOKUP(PL$27&amp;"-"&amp;$M61&amp;"_new",Ammortamento_Finanziario!$H:$L,5,FALSE),VLOOKUP($M61,TT_Tabelle_Riferimento!$D$127:$H$164,5,FALSE))</f>
        <v>40</v>
      </c>
      <c r="PM61" s="1762">
        <f>+IFERROR(VLOOKUP(PM$27&amp;"-"&amp;$M61&amp;"_new",Ammortamento_Finanziario!$H:$L,5,FALSE),VLOOKUP($M61,TT_Tabelle_Riferimento!$D$127:$H$164,5,FALSE))</f>
        <v>40</v>
      </c>
      <c r="PN61" s="1762">
        <f>+IFERROR(VLOOKUP(PN$27&amp;"-"&amp;$M61&amp;"_new",Ammortamento_Finanziario!$H:$L,5,FALSE),VLOOKUP($M61,TT_Tabelle_Riferimento!$D$127:$H$164,5,FALSE))</f>
        <v>40</v>
      </c>
      <c r="PO61" s="904">
        <f>+IFERROR(VLOOKUP(PO$27&amp;"-"&amp;$M61&amp;"_new",Ammortamento_Finanziario!$H:$L,5,FALSE),VLOOKUP($M61,TT_Tabelle_Riferimento!$D$127:$H$164,5,FALSE))</f>
        <v>40</v>
      </c>
      <c r="PP61" s="904">
        <f>+IFERROR(VLOOKUP(PP$27&amp;"-"&amp;$M61&amp;"_new",Ammortamento_Finanziario!$H:$L,5,FALSE),VLOOKUP($M61,TT_Tabelle_Riferimento!$D$127:$H$164,5,FALSE))</f>
        <v>40</v>
      </c>
      <c r="PQ61" s="904">
        <f>+IFERROR(VLOOKUP(PQ$27&amp;"-"&amp;$M61&amp;"_new",Ammortamento_Finanziario!$H:$L,5,FALSE),VLOOKUP($M61,TT_Tabelle_Riferimento!$D$127:$H$164,5,FALSE))</f>
        <v>40</v>
      </c>
      <c r="PR61" s="904">
        <f>+IFERROR(VLOOKUP(PR$27&amp;"-"&amp;$M61&amp;"_new",Ammortamento_Finanziario!$H:$L,5,FALSE),VLOOKUP($M61,TT_Tabelle_Riferimento!$D$127:$H$164,5,FALSE))</f>
        <v>40</v>
      </c>
      <c r="PS61" s="904">
        <f>+IFERROR(VLOOKUP(PS$27&amp;"-"&amp;$M61&amp;"_new",Ammortamento_Finanziario!$H:$L,5,FALSE),VLOOKUP($M61,TT_Tabelle_Riferimento!$D$127:$H$164,5,FALSE))</f>
        <v>40</v>
      </c>
      <c r="PT61" s="904">
        <f>+IFERROR(VLOOKUP(PT$27&amp;"-"&amp;$M61&amp;"_new",Ammortamento_Finanziario!$H:$L,5,FALSE),VLOOKUP($M61,TT_Tabelle_Riferimento!$D$127:$H$164,5,FALSE))</f>
        <v>40</v>
      </c>
      <c r="PU61" s="904">
        <f>+IFERROR(VLOOKUP(PU$27&amp;"-"&amp;$M61&amp;"_new",Ammortamento_Finanziario!$H:$L,5,FALSE),VLOOKUP($M61,TT_Tabelle_Riferimento!$D$127:$H$164,5,FALSE))</f>
        <v>40</v>
      </c>
      <c r="PV61" s="904">
        <f>+IFERROR(VLOOKUP(PV$27&amp;"-"&amp;$M61&amp;"_new",Ammortamento_Finanziario!$H:$L,5,FALSE),VLOOKUP($M61,TT_Tabelle_Riferimento!$D$127:$H$164,5,FALSE))</f>
        <v>40</v>
      </c>
      <c r="PW61" s="904">
        <f>+IFERROR(VLOOKUP(PW$27&amp;"-"&amp;$M61&amp;"_new",Ammortamento_Finanziario!$H:$L,5,FALSE),VLOOKUP($M61,TT_Tabelle_Riferimento!$D$127:$H$164,5,FALSE))</f>
        <v>40</v>
      </c>
      <c r="PX61" s="904">
        <f>+IFERROR(VLOOKUP(PX$27&amp;"-"&amp;$M61&amp;"_new",Ammortamento_Finanziario!$H:$L,5,FALSE),VLOOKUP($M61,TT_Tabelle_Riferimento!$D$127:$H$164,5,FALSE))</f>
        <v>40</v>
      </c>
      <c r="PY61" s="904">
        <f>+IFERROR(VLOOKUP(PY$27&amp;"-"&amp;$M61&amp;"_new",Ammortamento_Finanziario!$H:$L,5,FALSE),VLOOKUP($M61,TT_Tabelle_Riferimento!$D$127:$H$164,5,FALSE))</f>
        <v>40</v>
      </c>
      <c r="PZ61" s="904">
        <f>+IFERROR(VLOOKUP(PZ$27&amp;"-"&amp;$M61&amp;"_new",Ammortamento_Finanziario!$H:$L,5,FALSE),VLOOKUP($M61,TT_Tabelle_Riferimento!$D$127:$H$164,5,FALSE))</f>
        <v>40</v>
      </c>
      <c r="QA61" s="904">
        <f>+IFERROR(VLOOKUP(QA$27&amp;"-"&amp;$M61&amp;"_new",Ammortamento_Finanziario!$H:$L,5,FALSE),VLOOKUP($M61,TT_Tabelle_Riferimento!$D$127:$H$164,5,FALSE))</f>
        <v>40</v>
      </c>
      <c r="QB61" s="904">
        <f>+IFERROR(VLOOKUP(QB$27&amp;"-"&amp;$M61&amp;"_new",Ammortamento_Finanziario!$H:$L,5,FALSE),VLOOKUP($M61,TT_Tabelle_Riferimento!$D$127:$H$164,5,FALSE))</f>
        <v>40</v>
      </c>
      <c r="QC61" s="904">
        <f>+IFERROR(VLOOKUP(QC$27&amp;"-"&amp;$M61&amp;"_new",Ammortamento_Finanziario!$H:$L,5,FALSE),VLOOKUP($M61,TT_Tabelle_Riferimento!$D$127:$H$164,5,FALSE))</f>
        <v>40</v>
      </c>
      <c r="QD61" s="904">
        <f>+IFERROR(VLOOKUP(QD$27&amp;"-"&amp;$M61&amp;"_new",Ammortamento_Finanziario!$H:$L,5,FALSE),VLOOKUP($M61,TT_Tabelle_Riferimento!$D$127:$H$164,5,FALSE))</f>
        <v>40</v>
      </c>
      <c r="QE61" s="904">
        <f>+IFERROR(VLOOKUP(QE$27&amp;"-"&amp;$M61&amp;"_new",Ammortamento_Finanziario!$H:$L,5,FALSE),VLOOKUP($M61,TT_Tabelle_Riferimento!$D$127:$H$164,5,FALSE))</f>
        <v>40</v>
      </c>
      <c r="QF61" s="904">
        <f>+IFERROR(VLOOKUP(QF$27&amp;"-"&amp;$M61&amp;"_new",Ammortamento_Finanziario!$H:$L,5,FALSE),VLOOKUP($M61,TT_Tabelle_Riferimento!$D$127:$H$164,5,FALSE))</f>
        <v>40</v>
      </c>
      <c r="QG61" s="904">
        <f>+IFERROR(VLOOKUP(QG$27&amp;"-"&amp;$M61&amp;"_new",Ammortamento_Finanziario!$H:$L,5,FALSE),VLOOKUP($M61,TT_Tabelle_Riferimento!$D$127:$H$164,5,FALSE))</f>
        <v>40</v>
      </c>
      <c r="QH61" s="1762">
        <f>+IFERROR(VLOOKUP(QH$27&amp;"-"&amp;$M61&amp;"_new",Ammortamento_Finanziario!$H:$L,5,FALSE),VLOOKUP($M61,TT_Tabelle_Riferimento!$D$127:$H$164,5,FALSE))</f>
        <v>40</v>
      </c>
      <c r="QI61" s="1762">
        <f>+IFERROR(VLOOKUP(QI$27&amp;"-"&amp;$M61&amp;"_new",Ammortamento_Finanziario!$H:$L,5,FALSE),VLOOKUP($M61,TT_Tabelle_Riferimento!$D$127:$H$164,5,FALSE))</f>
        <v>40</v>
      </c>
      <c r="QJ61" s="904">
        <f>+IFERROR(VLOOKUP(QJ$27&amp;"-"&amp;$M61&amp;"_new",Ammortamento_Finanziario!$H:$L,5,FALSE),VLOOKUP($M61,TT_Tabelle_Riferimento!$D$127:$H$164,5,FALSE))</f>
        <v>40</v>
      </c>
      <c r="QK61" s="904">
        <f>+IFERROR(VLOOKUP(QK$27&amp;"-"&amp;$M61&amp;"_new",Ammortamento_Finanziario!$H:$L,5,FALSE),VLOOKUP($M61,TT_Tabelle_Riferimento!$D$127:$H$164,5,FALSE))</f>
        <v>40</v>
      </c>
      <c r="QL61" s="904">
        <f>+IFERROR(VLOOKUP(QL$27&amp;"-"&amp;$M61&amp;"_new",Ammortamento_Finanziario!$H:$L,5,FALSE),VLOOKUP($M61,TT_Tabelle_Riferimento!$D$127:$H$164,5,FALSE))</f>
        <v>40</v>
      </c>
      <c r="QM61" s="904">
        <f>+IFERROR(VLOOKUP(QM$27&amp;"-"&amp;$M61&amp;"_new",Ammortamento_Finanziario!$H:$L,5,FALSE),VLOOKUP($M61,TT_Tabelle_Riferimento!$D$127:$H$164,5,FALSE))</f>
        <v>40</v>
      </c>
      <c r="QN61" s="904">
        <f>+IFERROR(VLOOKUP(QN$27&amp;"-"&amp;$M61&amp;"_new",Ammortamento_Finanziario!$H:$L,5,FALSE),VLOOKUP($M61,TT_Tabelle_Riferimento!$D$127:$H$164,5,FALSE))</f>
        <v>40</v>
      </c>
      <c r="QO61" s="904">
        <f>+IFERROR(VLOOKUP(QO$27&amp;"-"&amp;$M61&amp;"_new",Ammortamento_Finanziario!$H:$L,5,FALSE),VLOOKUP($M61,TT_Tabelle_Riferimento!$D$127:$H$164,5,FALSE))</f>
        <v>40</v>
      </c>
      <c r="QP61" s="904">
        <f>+IFERROR(VLOOKUP(QP$27&amp;"-"&amp;$M61&amp;"_new",Ammortamento_Finanziario!$H:$L,5,FALSE),VLOOKUP($M61,TT_Tabelle_Riferimento!$D$127:$H$164,5,FALSE))</f>
        <v>40</v>
      </c>
      <c r="QQ61" s="904">
        <f>+IFERROR(VLOOKUP(QQ$27&amp;"-"&amp;$M61&amp;"_new",Ammortamento_Finanziario!$H:$L,5,FALSE),VLOOKUP($M61,TT_Tabelle_Riferimento!$D$127:$H$164,5,FALSE))</f>
        <v>40</v>
      </c>
      <c r="QR61" s="904">
        <f>+IFERROR(VLOOKUP(QR$27&amp;"-"&amp;$M61&amp;"_new",Ammortamento_Finanziario!$H:$L,5,FALSE),VLOOKUP($M61,TT_Tabelle_Riferimento!$D$127:$H$164,5,FALSE))</f>
        <v>40</v>
      </c>
      <c r="QS61" s="904">
        <f>+IFERROR(VLOOKUP(QS$27&amp;"-"&amp;$M61&amp;"_new",Ammortamento_Finanziario!$H:$L,5,FALSE),VLOOKUP($M61,TT_Tabelle_Riferimento!$D$127:$H$164,5,FALSE))</f>
        <v>40</v>
      </c>
      <c r="QT61" s="904">
        <f>+IFERROR(VLOOKUP(QT$27&amp;"-"&amp;$M61&amp;"_new",Ammortamento_Finanziario!$H:$L,5,FALSE),VLOOKUP($M61,TT_Tabelle_Riferimento!$D$127:$H$164,5,FALSE))</f>
        <v>40</v>
      </c>
      <c r="QU61" s="904">
        <f>+IFERROR(VLOOKUP(QU$27&amp;"-"&amp;$M61&amp;"_new",Ammortamento_Finanziario!$H:$L,5,FALSE),VLOOKUP($M61,TT_Tabelle_Riferimento!$D$127:$H$164,5,FALSE))</f>
        <v>40</v>
      </c>
      <c r="QV61" s="904">
        <f>+IFERROR(VLOOKUP(QV$27&amp;"-"&amp;$M61&amp;"_new",Ammortamento_Finanziario!$H:$L,5,FALSE),VLOOKUP($M61,TT_Tabelle_Riferimento!$D$127:$H$164,5,FALSE))</f>
        <v>40</v>
      </c>
      <c r="QW61" s="904">
        <f>+IFERROR(VLOOKUP(QW$27&amp;"-"&amp;$M61&amp;"_new",Ammortamento_Finanziario!$H:$L,5,FALSE),VLOOKUP($M61,TT_Tabelle_Riferimento!$D$127:$H$164,5,FALSE))</f>
        <v>40</v>
      </c>
      <c r="QX61" s="904">
        <f>+IFERROR(VLOOKUP(QX$27&amp;"-"&amp;$M61&amp;"_new",Ammortamento_Finanziario!$H:$L,5,FALSE),VLOOKUP($M61,TT_Tabelle_Riferimento!$D$127:$H$164,5,FALSE))</f>
        <v>40</v>
      </c>
      <c r="QY61" s="904">
        <f>+IFERROR(VLOOKUP(QY$27&amp;"-"&amp;$M61&amp;"_new",Ammortamento_Finanziario!$H:$L,5,FALSE),VLOOKUP($M61,TT_Tabelle_Riferimento!$D$127:$H$164,5,FALSE))</f>
        <v>40</v>
      </c>
      <c r="QZ61" s="904">
        <f>+IFERROR(VLOOKUP(QZ$27&amp;"-"&amp;$M61&amp;"_new",Ammortamento_Finanziario!$H:$L,5,FALSE),VLOOKUP($M61,TT_Tabelle_Riferimento!$D$127:$H$164,5,FALSE))</f>
        <v>40</v>
      </c>
      <c r="RA61" s="904">
        <f>+IFERROR(VLOOKUP(RA$27&amp;"-"&amp;$M61&amp;"_new",Ammortamento_Finanziario!$H:$L,5,FALSE),VLOOKUP($M61,TT_Tabelle_Riferimento!$D$127:$H$164,5,FALSE))</f>
        <v>40</v>
      </c>
      <c r="RB61" s="904">
        <f>+IFERROR(VLOOKUP(RB$27&amp;"-"&amp;$M61&amp;"_new",Ammortamento_Finanziario!$H:$L,5,FALSE),VLOOKUP($M61,TT_Tabelle_Riferimento!$D$127:$H$164,5,FALSE))</f>
        <v>40</v>
      </c>
      <c r="RC61" s="1762">
        <f>+IFERROR(VLOOKUP(RC$27&amp;"-"&amp;$M61&amp;"_new",Ammortamento_Finanziario!$H:$L,5,FALSE),VLOOKUP($M61,TT_Tabelle_Riferimento!$D$127:$H$164,5,FALSE))</f>
        <v>40</v>
      </c>
      <c r="RD61" s="904">
        <f>+IFERROR(VLOOKUP(RD$27&amp;"-"&amp;$M61&amp;"_new",Ammortamento_Finanziario!$H:$L,5,FALSE),VLOOKUP($M61,TT_Tabelle_Riferimento!$D$127:$H$164,5,FALSE))</f>
        <v>40</v>
      </c>
      <c r="RE61" s="904">
        <f>+IFERROR(VLOOKUP(RE$27&amp;"-"&amp;$M61&amp;"_new",Ammortamento_Finanziario!$H:$L,5,FALSE),VLOOKUP($M61,TT_Tabelle_Riferimento!$D$127:$H$164,5,FALSE))</f>
        <v>40</v>
      </c>
      <c r="RF61" s="904">
        <f>+IFERROR(VLOOKUP(RF$27&amp;"-"&amp;$M61&amp;"_new",Ammortamento_Finanziario!$H:$L,5,FALSE),VLOOKUP($M61,TT_Tabelle_Riferimento!$D$127:$H$164,5,FALSE))</f>
        <v>40</v>
      </c>
      <c r="RG61" s="904">
        <f>+IFERROR(VLOOKUP(RG$27&amp;"-"&amp;$M61&amp;"_new",Ammortamento_Finanziario!$H:$L,5,FALSE),VLOOKUP($M61,TT_Tabelle_Riferimento!$D$127:$H$164,5,FALSE))</f>
        <v>40</v>
      </c>
      <c r="RH61" s="904">
        <f>+IFERROR(VLOOKUP(RH$27&amp;"-"&amp;$M61&amp;"_new",Ammortamento_Finanziario!$H:$L,5,FALSE),VLOOKUP($M61,TT_Tabelle_Riferimento!$D$127:$H$164,5,FALSE))</f>
        <v>40</v>
      </c>
      <c r="RI61" s="904">
        <f>+IFERROR(VLOOKUP(RI$27&amp;"-"&amp;$M61&amp;"_new",Ammortamento_Finanziario!$H:$L,5,FALSE),VLOOKUP($M61,TT_Tabelle_Riferimento!$D$127:$H$164,5,FALSE))</f>
        <v>40</v>
      </c>
      <c r="RJ61" s="904">
        <f>+IFERROR(VLOOKUP(RJ$27&amp;"-"&amp;$M61&amp;"_new",Ammortamento_Finanziario!$H:$L,5,FALSE),VLOOKUP($M61,TT_Tabelle_Riferimento!$D$127:$H$164,5,FALSE))</f>
        <v>40</v>
      </c>
      <c r="RK61" s="904">
        <f>+IFERROR(VLOOKUP(RK$27&amp;"-"&amp;$M61&amp;"_new",Ammortamento_Finanziario!$H:$L,5,FALSE),VLOOKUP($M61,TT_Tabelle_Riferimento!$D$127:$H$164,5,FALSE))</f>
        <v>40</v>
      </c>
      <c r="RL61" s="904">
        <f>+IFERROR(VLOOKUP(RL$27&amp;"-"&amp;$M61&amp;"_new",Ammortamento_Finanziario!$H:$L,5,FALSE),VLOOKUP($M61,TT_Tabelle_Riferimento!$D$127:$H$164,5,FALSE))</f>
        <v>40</v>
      </c>
      <c r="RM61" s="904">
        <f>+IFERROR(VLOOKUP(RM$27&amp;"-"&amp;$M61&amp;"_new",Ammortamento_Finanziario!$H:$L,5,FALSE),VLOOKUP($M61,TT_Tabelle_Riferimento!$D$127:$H$164,5,FALSE))</f>
        <v>40</v>
      </c>
      <c r="RN61" s="904">
        <f>+IFERROR(VLOOKUP(RN$27&amp;"-"&amp;$M61&amp;"_new",Ammortamento_Finanziario!$H:$L,5,FALSE),VLOOKUP($M61,TT_Tabelle_Riferimento!$D$127:$H$164,5,FALSE))</f>
        <v>40</v>
      </c>
      <c r="RO61" s="904">
        <f>+IFERROR(VLOOKUP(RO$27&amp;"-"&amp;$M61&amp;"_new",Ammortamento_Finanziario!$H:$L,5,FALSE),VLOOKUP($M61,TT_Tabelle_Riferimento!$D$127:$H$164,5,FALSE))</f>
        <v>40</v>
      </c>
      <c r="RP61" s="904">
        <f>+IFERROR(VLOOKUP(RP$27&amp;"-"&amp;$M61&amp;"_new",Ammortamento_Finanziario!$H:$L,5,FALSE),VLOOKUP($M61,TT_Tabelle_Riferimento!$D$127:$H$164,5,FALSE))</f>
        <v>40</v>
      </c>
      <c r="RQ61" s="904">
        <f>+IFERROR(VLOOKUP(RQ$27&amp;"-"&amp;$M61&amp;"_new",Ammortamento_Finanziario!$H:$L,5,FALSE),VLOOKUP($M61,TT_Tabelle_Riferimento!$D$127:$H$164,5,FALSE))</f>
        <v>40</v>
      </c>
      <c r="RR61" s="904">
        <f>+IFERROR(VLOOKUP(RR$27&amp;"-"&amp;$M61&amp;"_new",Ammortamento_Finanziario!$H:$L,5,FALSE),VLOOKUP($M61,TT_Tabelle_Riferimento!$D$127:$H$164,5,FALSE))</f>
        <v>40</v>
      </c>
      <c r="RS61" s="904">
        <f>+IFERROR(VLOOKUP(RS$27&amp;"-"&amp;$M61&amp;"_new",Ammortamento_Finanziario!$H:$L,5,FALSE),VLOOKUP($M61,TT_Tabelle_Riferimento!$D$127:$H$164,5,FALSE))</f>
        <v>40</v>
      </c>
      <c r="RT61" s="904">
        <f>+IFERROR(VLOOKUP(RT$27&amp;"-"&amp;$M61&amp;"_new",Ammortamento_Finanziario!$H:$L,5,FALSE),VLOOKUP($M61,TT_Tabelle_Riferimento!$D$127:$H$164,5,FALSE))</f>
        <v>40</v>
      </c>
      <c r="RU61" s="904">
        <f>+IFERROR(VLOOKUP(RU$27&amp;"-"&amp;$M61&amp;"_new",Ammortamento_Finanziario!$H:$L,5,FALSE),VLOOKUP($M61,TT_Tabelle_Riferimento!$D$127:$H$164,5,FALSE))</f>
        <v>40</v>
      </c>
      <c r="RV61" s="904">
        <f>+IFERROR(VLOOKUP(RV$27&amp;"-"&amp;$M61&amp;"_new",Ammortamento_Finanziario!$H:$L,5,FALSE),VLOOKUP($M61,TT_Tabelle_Riferimento!$D$127:$H$164,5,FALSE))</f>
        <v>40</v>
      </c>
    </row>
    <row r="62" spans="4:490">
      <c r="D62" s="137"/>
      <c r="E62" s="136"/>
      <c r="F62" s="136"/>
      <c r="G62" s="136"/>
      <c r="H62" s="136"/>
      <c r="I62" s="136"/>
      <c r="J62" s="136"/>
      <c r="K62" s="12"/>
      <c r="L62" s="12"/>
      <c r="M62" s="1756">
        <v>35</v>
      </c>
      <c r="N62" s="1759">
        <v>0</v>
      </c>
      <c r="O62" s="1759">
        <v>0</v>
      </c>
      <c r="P62" s="1759">
        <v>0</v>
      </c>
      <c r="Q62" s="1759">
        <v>0</v>
      </c>
      <c r="R62" s="1759">
        <v>0</v>
      </c>
      <c r="S62" s="1759">
        <v>0</v>
      </c>
      <c r="T62" s="1759">
        <v>0</v>
      </c>
      <c r="U62" s="1759">
        <v>0</v>
      </c>
      <c r="V62" s="1759">
        <v>0</v>
      </c>
      <c r="W62" s="1759">
        <v>0</v>
      </c>
      <c r="X62" s="1759">
        <v>0</v>
      </c>
      <c r="Y62" s="1759">
        <v>0</v>
      </c>
      <c r="Z62" s="1759">
        <v>0</v>
      </c>
      <c r="AA62" s="1759">
        <v>0</v>
      </c>
      <c r="AB62" s="1759">
        <v>0</v>
      </c>
      <c r="AC62" s="1759">
        <v>0</v>
      </c>
      <c r="AD62" s="1759">
        <v>0</v>
      </c>
      <c r="AE62" s="1759">
        <v>0</v>
      </c>
      <c r="AF62" s="1759">
        <v>0</v>
      </c>
      <c r="AG62" s="1759">
        <v>0</v>
      </c>
      <c r="AH62" s="1759">
        <v>0</v>
      </c>
      <c r="AI62" s="1759">
        <v>0</v>
      </c>
      <c r="AJ62" s="1759">
        <v>0</v>
      </c>
      <c r="AK62" s="1759">
        <v>0</v>
      </c>
      <c r="AL62" s="1759">
        <v>0</v>
      </c>
      <c r="AM62" s="1759">
        <v>0</v>
      </c>
      <c r="AN62" s="1759">
        <v>0</v>
      </c>
      <c r="AO62" s="1759">
        <v>0</v>
      </c>
      <c r="AP62" s="1759">
        <v>0</v>
      </c>
      <c r="AQ62" s="1759">
        <v>0</v>
      </c>
      <c r="AR62" s="1759">
        <v>0</v>
      </c>
      <c r="AS62" s="1759">
        <v>0</v>
      </c>
      <c r="AT62" s="1759">
        <v>0</v>
      </c>
      <c r="AU62" s="1759">
        <v>0</v>
      </c>
      <c r="AV62" s="1759">
        <v>0</v>
      </c>
      <c r="AW62" s="1759">
        <v>0</v>
      </c>
      <c r="AX62" s="1759">
        <v>0</v>
      </c>
      <c r="AY62" s="1759">
        <v>0</v>
      </c>
      <c r="AZ62" s="1759">
        <v>0</v>
      </c>
      <c r="BA62" s="1759">
        <v>0</v>
      </c>
      <c r="BB62" s="1759">
        <v>0</v>
      </c>
      <c r="BC62" s="1759">
        <v>0</v>
      </c>
      <c r="BD62" s="1759">
        <v>0</v>
      </c>
      <c r="BE62" s="1759">
        <v>0</v>
      </c>
      <c r="BF62" s="1759">
        <v>0</v>
      </c>
      <c r="BG62" s="1759">
        <v>0</v>
      </c>
      <c r="BH62" s="1759">
        <v>0</v>
      </c>
      <c r="BI62" s="1759">
        <v>0</v>
      </c>
      <c r="BJ62" s="1759">
        <v>0</v>
      </c>
      <c r="BK62" s="1759">
        <v>0</v>
      </c>
      <c r="BL62" s="1759">
        <v>0</v>
      </c>
      <c r="BM62" s="1759">
        <v>0</v>
      </c>
      <c r="BN62" s="1759">
        <v>0</v>
      </c>
      <c r="BO62" s="1759">
        <v>0</v>
      </c>
      <c r="BP62" s="1759">
        <v>0</v>
      </c>
      <c r="BQ62" s="1759">
        <v>0</v>
      </c>
      <c r="BR62" s="1759">
        <v>0</v>
      </c>
      <c r="BS62" s="1759">
        <v>0</v>
      </c>
      <c r="BT62" s="1759">
        <v>0</v>
      </c>
      <c r="BU62" s="1759">
        <v>0</v>
      </c>
      <c r="BV62" s="1759">
        <v>0</v>
      </c>
      <c r="BW62" s="1759">
        <v>0</v>
      </c>
      <c r="BX62" s="1759">
        <v>0</v>
      </c>
      <c r="BY62" s="1759">
        <v>0</v>
      </c>
      <c r="BZ62" s="1759">
        <v>0</v>
      </c>
      <c r="CA62" s="1759">
        <v>0</v>
      </c>
      <c r="CB62" s="1759">
        <v>0</v>
      </c>
      <c r="CC62" s="1759">
        <v>0</v>
      </c>
      <c r="CD62" s="1759">
        <v>0</v>
      </c>
      <c r="CE62" s="1759">
        <v>0</v>
      </c>
      <c r="CF62" s="1759">
        <v>0</v>
      </c>
      <c r="CG62" s="1759">
        <v>0</v>
      </c>
      <c r="CH62" s="1759">
        <v>0</v>
      </c>
      <c r="CI62" s="1759">
        <v>0</v>
      </c>
      <c r="CJ62" s="1759">
        <v>0</v>
      </c>
      <c r="CK62" s="1759">
        <v>0</v>
      </c>
      <c r="CL62" s="1759">
        <v>0</v>
      </c>
      <c r="CM62" s="1759">
        <v>0</v>
      </c>
      <c r="CN62" s="1759">
        <v>0</v>
      </c>
      <c r="CO62" s="1759">
        <v>0</v>
      </c>
      <c r="CP62" s="1759">
        <v>0</v>
      </c>
      <c r="CQ62" s="1759">
        <v>0</v>
      </c>
      <c r="CR62" s="1759">
        <v>0</v>
      </c>
      <c r="CS62" s="1759">
        <v>0</v>
      </c>
      <c r="CT62" s="1759">
        <v>0</v>
      </c>
      <c r="CU62" s="1759">
        <v>0</v>
      </c>
      <c r="CV62" s="1759">
        <v>0</v>
      </c>
      <c r="CW62" s="1759">
        <v>0</v>
      </c>
      <c r="CX62" s="1759">
        <v>0</v>
      </c>
      <c r="CY62" s="1759">
        <v>0</v>
      </c>
      <c r="CZ62" s="1759">
        <v>0</v>
      </c>
      <c r="DA62" s="1759">
        <v>0</v>
      </c>
      <c r="DB62" s="1759">
        <v>0</v>
      </c>
      <c r="DC62" s="1759">
        <v>0</v>
      </c>
      <c r="DD62" s="1759">
        <v>0</v>
      </c>
      <c r="DE62" s="1759">
        <v>0</v>
      </c>
      <c r="DF62" s="1759">
        <v>0</v>
      </c>
      <c r="DG62" s="1759">
        <v>0</v>
      </c>
      <c r="DH62" s="1759">
        <v>0</v>
      </c>
      <c r="DI62" s="1759">
        <v>0</v>
      </c>
      <c r="DJ62" s="1759">
        <v>0</v>
      </c>
      <c r="DK62" s="1759">
        <v>0</v>
      </c>
      <c r="DL62" s="1759">
        <v>0</v>
      </c>
      <c r="DM62" s="1759">
        <v>0</v>
      </c>
      <c r="DN62" s="1759">
        <v>0</v>
      </c>
      <c r="DO62" s="1759">
        <v>0</v>
      </c>
      <c r="DP62" s="1759">
        <v>0</v>
      </c>
      <c r="DQ62" s="1759">
        <v>0</v>
      </c>
      <c r="DR62" s="1759">
        <v>0</v>
      </c>
      <c r="DS62" s="1759">
        <v>0</v>
      </c>
      <c r="DT62" s="1759">
        <v>0</v>
      </c>
      <c r="DU62" s="1759">
        <v>0</v>
      </c>
      <c r="DV62" s="1759">
        <v>0</v>
      </c>
      <c r="DW62" s="1759">
        <v>0</v>
      </c>
      <c r="DX62" s="1759">
        <v>0</v>
      </c>
      <c r="DY62" s="1759">
        <v>0</v>
      </c>
      <c r="DZ62" s="1759">
        <v>0</v>
      </c>
      <c r="EA62" s="1759">
        <v>0</v>
      </c>
      <c r="EB62" s="1759">
        <v>0</v>
      </c>
      <c r="EC62" s="1759">
        <v>0</v>
      </c>
      <c r="ED62" s="1759">
        <v>0</v>
      </c>
      <c r="EE62" s="1759">
        <v>0</v>
      </c>
      <c r="EF62" s="1759">
        <v>0</v>
      </c>
      <c r="EG62" s="1759">
        <v>0</v>
      </c>
      <c r="EH62" s="1759">
        <v>0</v>
      </c>
      <c r="EI62" s="1759">
        <v>0</v>
      </c>
      <c r="EJ62" s="1759">
        <v>0</v>
      </c>
      <c r="EK62" s="1759">
        <v>0</v>
      </c>
      <c r="EL62" s="1759">
        <v>0</v>
      </c>
      <c r="EM62" s="1759">
        <v>0</v>
      </c>
      <c r="EN62" s="1759">
        <v>0</v>
      </c>
      <c r="EO62" s="1759">
        <v>0</v>
      </c>
      <c r="EP62" s="1759">
        <v>0</v>
      </c>
      <c r="EQ62" s="1759">
        <v>0</v>
      </c>
      <c r="ER62" s="1759">
        <v>0</v>
      </c>
      <c r="ES62" s="1759">
        <v>0</v>
      </c>
      <c r="ET62" s="1759">
        <v>0</v>
      </c>
      <c r="EU62" s="1759">
        <v>0</v>
      </c>
      <c r="EV62" s="1759">
        <v>0</v>
      </c>
      <c r="EW62" s="1759">
        <v>0</v>
      </c>
      <c r="EX62" s="1759">
        <v>0</v>
      </c>
      <c r="EY62" s="1759">
        <v>0</v>
      </c>
      <c r="EZ62" s="1759">
        <v>0</v>
      </c>
      <c r="FA62" s="1759">
        <v>0</v>
      </c>
      <c r="FB62" s="1759">
        <v>0</v>
      </c>
      <c r="FC62" s="1759">
        <v>0</v>
      </c>
      <c r="FD62" s="1759">
        <v>0</v>
      </c>
      <c r="FE62" s="1759">
        <v>0</v>
      </c>
      <c r="FF62" s="1759">
        <v>0</v>
      </c>
      <c r="FG62" s="1759">
        <v>0</v>
      </c>
      <c r="FH62" s="1759">
        <v>0</v>
      </c>
      <c r="FI62" s="1759">
        <v>0</v>
      </c>
      <c r="FJ62" s="1759">
        <v>0</v>
      </c>
      <c r="FK62" s="1759">
        <v>0</v>
      </c>
      <c r="FL62" s="1759">
        <v>0</v>
      </c>
      <c r="FM62" s="1759">
        <v>0</v>
      </c>
      <c r="FN62" s="1759">
        <v>0</v>
      </c>
      <c r="FO62" s="1759">
        <v>0</v>
      </c>
      <c r="FP62" s="1759">
        <v>0</v>
      </c>
      <c r="FQ62" s="1759">
        <v>0</v>
      </c>
      <c r="FR62" s="1759">
        <v>0</v>
      </c>
      <c r="FS62" s="1759">
        <v>0</v>
      </c>
      <c r="FT62" s="1759">
        <v>0</v>
      </c>
      <c r="FU62" s="1759">
        <v>0</v>
      </c>
      <c r="FV62" s="1759">
        <v>0</v>
      </c>
      <c r="FW62" s="1759">
        <v>0</v>
      </c>
      <c r="FX62" s="1759">
        <v>0</v>
      </c>
      <c r="FY62" s="1759">
        <v>0</v>
      </c>
      <c r="FZ62" s="1759">
        <v>0</v>
      </c>
      <c r="GA62" s="1759">
        <v>0</v>
      </c>
      <c r="GB62" s="1759">
        <v>0</v>
      </c>
      <c r="GC62" s="1759">
        <v>0</v>
      </c>
      <c r="GD62" s="1759">
        <v>0</v>
      </c>
      <c r="GE62" s="1759">
        <v>0</v>
      </c>
      <c r="GF62" s="1759">
        <v>0</v>
      </c>
      <c r="GG62" s="1759">
        <v>0</v>
      </c>
      <c r="GH62" s="1759">
        <v>0</v>
      </c>
      <c r="GI62" s="1759">
        <v>0</v>
      </c>
      <c r="GJ62" s="1759">
        <v>0</v>
      </c>
      <c r="GK62" s="1759">
        <v>0</v>
      </c>
      <c r="GL62" s="1759">
        <v>0</v>
      </c>
      <c r="GM62" s="1759">
        <v>0</v>
      </c>
      <c r="GN62" s="1759">
        <v>0</v>
      </c>
      <c r="GO62" s="1759">
        <v>0</v>
      </c>
      <c r="GP62" s="1759">
        <v>0</v>
      </c>
      <c r="GQ62" s="1759">
        <v>0</v>
      </c>
      <c r="GR62" s="1759">
        <v>0</v>
      </c>
      <c r="GS62" s="1759">
        <v>0</v>
      </c>
      <c r="GT62" s="1759">
        <v>0</v>
      </c>
      <c r="GU62" s="1759">
        <v>0</v>
      </c>
      <c r="GV62" s="1759">
        <v>0</v>
      </c>
      <c r="GW62" s="1759">
        <v>0</v>
      </c>
      <c r="GX62" s="1759">
        <v>0</v>
      </c>
      <c r="GY62" s="1759">
        <v>0</v>
      </c>
      <c r="GZ62" s="1759">
        <v>0</v>
      </c>
      <c r="HA62" s="1759">
        <v>0</v>
      </c>
      <c r="HB62" s="1759">
        <v>0</v>
      </c>
      <c r="HC62" s="1759">
        <v>0</v>
      </c>
      <c r="HD62" s="1759">
        <v>0</v>
      </c>
      <c r="HE62" s="1759">
        <v>0</v>
      </c>
      <c r="HF62" s="1759">
        <v>0</v>
      </c>
      <c r="HG62" s="1759">
        <v>0</v>
      </c>
      <c r="HH62" s="1759">
        <v>0</v>
      </c>
      <c r="HI62" s="1759">
        <v>0</v>
      </c>
      <c r="HJ62" s="1759">
        <v>0</v>
      </c>
      <c r="HK62" s="1759">
        <v>0</v>
      </c>
      <c r="HL62" s="1759">
        <v>0</v>
      </c>
      <c r="HM62" s="1759">
        <v>0</v>
      </c>
      <c r="HN62" s="1759">
        <v>0</v>
      </c>
      <c r="HO62" s="1759">
        <v>0</v>
      </c>
      <c r="HP62" s="1759">
        <v>0</v>
      </c>
      <c r="HQ62" s="1759">
        <v>0</v>
      </c>
      <c r="HR62" s="1759">
        <v>0</v>
      </c>
      <c r="HS62" s="1759">
        <v>0</v>
      </c>
      <c r="HT62" s="1759">
        <v>0</v>
      </c>
      <c r="HU62" s="1759">
        <v>0</v>
      </c>
      <c r="HV62" s="1759">
        <v>0</v>
      </c>
      <c r="HW62" s="1759">
        <v>0</v>
      </c>
      <c r="HX62" s="1759">
        <v>0</v>
      </c>
      <c r="HY62" s="1759">
        <v>0</v>
      </c>
      <c r="HZ62" s="1759">
        <v>0</v>
      </c>
      <c r="IA62" s="1759">
        <v>0</v>
      </c>
      <c r="IB62" s="1759">
        <v>0</v>
      </c>
      <c r="IC62" s="1759">
        <v>0</v>
      </c>
      <c r="ID62" s="1759">
        <v>0</v>
      </c>
      <c r="IE62" s="1759">
        <v>0</v>
      </c>
      <c r="IF62" s="1759">
        <v>0</v>
      </c>
      <c r="IG62" s="1759">
        <v>0</v>
      </c>
      <c r="IH62" s="1759">
        <v>0</v>
      </c>
      <c r="II62" s="1759">
        <v>0</v>
      </c>
      <c r="IJ62" s="1759">
        <v>0</v>
      </c>
      <c r="IK62" s="1759">
        <v>0</v>
      </c>
      <c r="IL62" s="1759">
        <v>0</v>
      </c>
      <c r="IM62" s="1759">
        <v>0</v>
      </c>
      <c r="IN62" s="1759">
        <v>0</v>
      </c>
      <c r="IO62" s="1759">
        <v>0</v>
      </c>
      <c r="IP62" s="1759">
        <v>0</v>
      </c>
      <c r="IQ62" s="1759">
        <v>0</v>
      </c>
      <c r="IR62" s="1759">
        <v>0</v>
      </c>
      <c r="IS62" s="1759">
        <v>0</v>
      </c>
      <c r="IT62" s="1759">
        <v>0</v>
      </c>
      <c r="IU62" s="1759">
        <v>0</v>
      </c>
      <c r="IV62" s="1759">
        <v>0</v>
      </c>
      <c r="IW62" s="1759">
        <v>0</v>
      </c>
      <c r="IX62" s="1759">
        <v>0</v>
      </c>
      <c r="IY62" s="1759">
        <v>0</v>
      </c>
      <c r="IZ62" s="1759">
        <v>0</v>
      </c>
      <c r="JA62" s="1759">
        <v>0</v>
      </c>
      <c r="JB62" s="1759">
        <v>0</v>
      </c>
      <c r="JC62" s="1759">
        <v>0</v>
      </c>
      <c r="JD62" s="1759">
        <v>0</v>
      </c>
      <c r="JE62" s="1759">
        <v>0</v>
      </c>
      <c r="JF62" s="1759">
        <v>0</v>
      </c>
      <c r="JG62" s="1759">
        <v>0</v>
      </c>
      <c r="JH62" s="1759">
        <v>0</v>
      </c>
      <c r="JI62" s="1759">
        <v>0</v>
      </c>
      <c r="JJ62" s="1759">
        <v>0</v>
      </c>
      <c r="JK62" s="1759">
        <v>0</v>
      </c>
      <c r="JL62" s="1759">
        <v>0</v>
      </c>
      <c r="JM62" s="1759">
        <v>0</v>
      </c>
      <c r="JN62" s="1759">
        <v>0</v>
      </c>
      <c r="JO62" s="1759">
        <v>0</v>
      </c>
      <c r="JP62" s="1759">
        <v>0</v>
      </c>
      <c r="JQ62" s="1759">
        <v>0</v>
      </c>
      <c r="JR62" s="1759">
        <v>0</v>
      </c>
      <c r="JS62" s="1759">
        <v>0</v>
      </c>
      <c r="JT62" s="1759">
        <v>0</v>
      </c>
      <c r="JU62" s="1759">
        <v>0</v>
      </c>
      <c r="JV62" s="1759">
        <v>0</v>
      </c>
      <c r="JW62" s="1759">
        <v>0</v>
      </c>
      <c r="JX62" s="1759">
        <v>0</v>
      </c>
      <c r="JY62" s="1759">
        <v>0</v>
      </c>
      <c r="JZ62" s="1759">
        <v>0</v>
      </c>
      <c r="KA62" s="1759">
        <v>0</v>
      </c>
      <c r="KB62" s="1759">
        <v>0</v>
      </c>
      <c r="KC62" s="1759">
        <v>0</v>
      </c>
      <c r="KD62" s="1759">
        <v>0</v>
      </c>
      <c r="KE62" s="1759">
        <v>0</v>
      </c>
      <c r="KF62" s="1759">
        <v>0</v>
      </c>
      <c r="KG62" s="1759">
        <v>0</v>
      </c>
      <c r="KH62" s="1759">
        <v>0</v>
      </c>
      <c r="KI62" s="1759">
        <v>0</v>
      </c>
      <c r="KJ62" s="1759">
        <v>0</v>
      </c>
      <c r="KK62" s="1759">
        <v>0</v>
      </c>
      <c r="KL62" s="1759">
        <v>0</v>
      </c>
      <c r="KM62" s="1759">
        <v>0</v>
      </c>
      <c r="KN62" s="1759">
        <v>0</v>
      </c>
      <c r="KO62" s="1759">
        <v>0</v>
      </c>
      <c r="KP62" s="1759">
        <v>0</v>
      </c>
      <c r="KQ62" s="904">
        <f>+IFERROR(VLOOKUP(KQ$27&amp;"-"&amp;$M62&amp;"_new",Ammortamento_Finanziario!$H:$L,5,FALSE),VLOOKUP($M62,TT_Tabelle_Riferimento!$D$127:$H$164,5,FALSE))</f>
        <v>20</v>
      </c>
      <c r="KR62" s="904">
        <f>+IFERROR(VLOOKUP(KR$27&amp;"-"&amp;$M62&amp;"_new",Ammortamento_Finanziario!$H:$L,5,FALSE),VLOOKUP($M62,TT_Tabelle_Riferimento!$D$127:$H$164,5,FALSE))</f>
        <v>20</v>
      </c>
      <c r="KS62" s="1762">
        <f>+IFERROR(VLOOKUP(KS$27&amp;"-"&amp;$M62&amp;"_new",Ammortamento_Finanziario!$H:$L,5,FALSE),VLOOKUP($M62,TT_Tabelle_Riferimento!$D$127:$H$164,5,FALSE))</f>
        <v>20</v>
      </c>
      <c r="KT62" s="1762">
        <f>+IFERROR(VLOOKUP(KT$27&amp;"-"&amp;$M62&amp;"_new",Ammortamento_Finanziario!$H:$L,5,FALSE),VLOOKUP($M62,TT_Tabelle_Riferimento!$D$127:$H$164,5,FALSE))</f>
        <v>20</v>
      </c>
      <c r="KU62" s="1762">
        <f>+IFERROR(VLOOKUP(KU$27&amp;"-"&amp;$M62&amp;"_new",Ammortamento_Finanziario!$H:$L,5,FALSE),VLOOKUP($M62,TT_Tabelle_Riferimento!$D$127:$H$164,5,FALSE))</f>
        <v>20</v>
      </c>
      <c r="KV62" s="1762">
        <f>+IFERROR(VLOOKUP(KV$27&amp;"-"&amp;$M62&amp;"_new",Ammortamento_Finanziario!$H:$L,5,FALSE),VLOOKUP($M62,TT_Tabelle_Riferimento!$D$127:$H$164,5,FALSE))</f>
        <v>20</v>
      </c>
      <c r="KW62" s="1762">
        <f>+IFERROR(VLOOKUP(KW$27&amp;"-"&amp;$M62&amp;"_new",Ammortamento_Finanziario!$H:$L,5,FALSE),VLOOKUP($M62,TT_Tabelle_Riferimento!$D$127:$H$164,5,FALSE))</f>
        <v>20</v>
      </c>
      <c r="KX62" s="1762">
        <f>+IFERROR(VLOOKUP(KX$27&amp;"-"&amp;$M62&amp;"_new",Ammortamento_Finanziario!$H:$L,5,FALSE),VLOOKUP($M62,TT_Tabelle_Riferimento!$D$127:$H$164,5,FALSE))</f>
        <v>20</v>
      </c>
      <c r="KY62" s="904">
        <f>+IFERROR(VLOOKUP(KY$27&amp;"-"&amp;$M62&amp;"_new",Ammortamento_Finanziario!$H:$L,5,FALSE),VLOOKUP($M62,TT_Tabelle_Riferimento!$D$127:$H$164,5,FALSE))</f>
        <v>20</v>
      </c>
      <c r="KZ62" s="904">
        <f>+IFERROR(VLOOKUP(KZ$27&amp;"-"&amp;$M62&amp;"_new",Ammortamento_Finanziario!$H:$L,5,FALSE),VLOOKUP($M62,TT_Tabelle_Riferimento!$D$127:$H$164,5,FALSE))</f>
        <v>20</v>
      </c>
      <c r="LA62" s="904">
        <f>+IFERROR(VLOOKUP(LA$27&amp;"-"&amp;$M62&amp;"_new",Ammortamento_Finanziario!$H:$L,5,FALSE),VLOOKUP($M62,TT_Tabelle_Riferimento!$D$127:$H$164,5,FALSE))</f>
        <v>20</v>
      </c>
      <c r="LB62" s="904">
        <f>+IFERROR(VLOOKUP(LB$27&amp;"-"&amp;$M62&amp;"_new",Ammortamento_Finanziario!$H:$L,5,FALSE),VLOOKUP($M62,TT_Tabelle_Riferimento!$D$127:$H$164,5,FALSE))</f>
        <v>20</v>
      </c>
      <c r="LC62" s="904">
        <f>+IFERROR(VLOOKUP(LC$27&amp;"-"&amp;$M62&amp;"_new",Ammortamento_Finanziario!$H:$L,5,FALSE),VLOOKUP($M62,TT_Tabelle_Riferimento!$D$127:$H$164,5,FALSE))</f>
        <v>20</v>
      </c>
      <c r="LD62" s="904">
        <f>+IFERROR(VLOOKUP(LD$27&amp;"-"&amp;$M62&amp;"_new",Ammortamento_Finanziario!$H:$L,5,FALSE),VLOOKUP($M62,TT_Tabelle_Riferimento!$D$127:$H$164,5,FALSE))</f>
        <v>20</v>
      </c>
      <c r="LE62" s="904">
        <f>+IFERROR(VLOOKUP(LE$27&amp;"-"&amp;$M62&amp;"_new",Ammortamento_Finanziario!$H:$L,5,FALSE),VLOOKUP($M62,TT_Tabelle_Riferimento!$D$127:$H$164,5,FALSE))</f>
        <v>20</v>
      </c>
      <c r="LF62" s="904">
        <f>+IFERROR(VLOOKUP(LF$27&amp;"-"&amp;$M62&amp;"_new",Ammortamento_Finanziario!$H:$L,5,FALSE),VLOOKUP($M62,TT_Tabelle_Riferimento!$D$127:$H$164,5,FALSE))</f>
        <v>20</v>
      </c>
      <c r="LG62" s="904">
        <f>+IFERROR(VLOOKUP(LG$27&amp;"-"&amp;$M62&amp;"_new",Ammortamento_Finanziario!$H:$L,5,FALSE),VLOOKUP($M62,TT_Tabelle_Riferimento!$D$127:$H$164,5,FALSE))</f>
        <v>20</v>
      </c>
      <c r="LH62" s="904">
        <f>+IFERROR(VLOOKUP(LH$27&amp;"-"&amp;$M62&amp;"_new",Ammortamento_Finanziario!$H:$L,5,FALSE),VLOOKUP($M62,TT_Tabelle_Riferimento!$D$127:$H$164,5,FALSE))</f>
        <v>20</v>
      </c>
      <c r="LI62" s="904">
        <f>+IFERROR(VLOOKUP(LI$27&amp;"-"&amp;$M62&amp;"_new",Ammortamento_Finanziario!$H:$L,5,FALSE),VLOOKUP($M62,TT_Tabelle_Riferimento!$D$127:$H$164,5,FALSE))</f>
        <v>20</v>
      </c>
      <c r="LJ62" s="904">
        <f>+IFERROR(VLOOKUP(LJ$27&amp;"-"&amp;$M62&amp;"_new",Ammortamento_Finanziario!$H:$L,5,FALSE),VLOOKUP($M62,TT_Tabelle_Riferimento!$D$127:$H$164,5,FALSE))</f>
        <v>20</v>
      </c>
      <c r="LK62" s="904">
        <f>+IFERROR(VLOOKUP(LK$27&amp;"-"&amp;$M62&amp;"_new",Ammortamento_Finanziario!$H:$L,5,FALSE),VLOOKUP($M62,TT_Tabelle_Riferimento!$D$127:$H$164,5,FALSE))</f>
        <v>20</v>
      </c>
      <c r="LL62" s="904">
        <f>+IFERROR(VLOOKUP(LL$27&amp;"-"&amp;$M62&amp;"_new",Ammortamento_Finanziario!$H:$L,5,FALSE),VLOOKUP($M62,TT_Tabelle_Riferimento!$D$127:$H$164,5,FALSE))</f>
        <v>20</v>
      </c>
      <c r="LM62" s="904">
        <f>+IFERROR(VLOOKUP(LM$27&amp;"-"&amp;$M62&amp;"_new",Ammortamento_Finanziario!$H:$L,5,FALSE),VLOOKUP($M62,TT_Tabelle_Riferimento!$D$127:$H$164,5,FALSE))</f>
        <v>20</v>
      </c>
      <c r="LN62" s="904">
        <f>+IFERROR(VLOOKUP(LN$27&amp;"-"&amp;$M62&amp;"_new",Ammortamento_Finanziario!$H:$L,5,FALSE),VLOOKUP($M62,TT_Tabelle_Riferimento!$D$127:$H$164,5,FALSE))</f>
        <v>20</v>
      </c>
      <c r="LO62" s="904">
        <f>+IFERROR(VLOOKUP(LO$27&amp;"-"&amp;$M62&amp;"_new",Ammortamento_Finanziario!$H:$L,5,FALSE),VLOOKUP($M62,TT_Tabelle_Riferimento!$D$127:$H$164,5,FALSE))</f>
        <v>20</v>
      </c>
      <c r="LP62" s="904">
        <f>+IFERROR(VLOOKUP(LP$27&amp;"-"&amp;$M62&amp;"_new",Ammortamento_Finanziario!$H:$L,5,FALSE),VLOOKUP($M62,TT_Tabelle_Riferimento!$D$127:$H$164,5,FALSE))</f>
        <v>20</v>
      </c>
      <c r="LQ62" s="904">
        <f>+IFERROR(VLOOKUP(LQ$27&amp;"-"&amp;$M62&amp;"_new",Ammortamento_Finanziario!$H:$L,5,FALSE),VLOOKUP($M62,TT_Tabelle_Riferimento!$D$127:$H$164,5,FALSE))</f>
        <v>20</v>
      </c>
      <c r="LR62" s="904">
        <f>+IFERROR(VLOOKUP(LR$27&amp;"-"&amp;$M62&amp;"_new",Ammortamento_Finanziario!$H:$L,5,FALSE),VLOOKUP($M62,TT_Tabelle_Riferimento!$D$127:$H$164,5,FALSE))</f>
        <v>20</v>
      </c>
      <c r="LS62" s="1762">
        <f>+IFERROR(VLOOKUP(LS$27&amp;"-"&amp;$M62&amp;"_new",Ammortamento_Finanziario!$H:$L,5,FALSE),VLOOKUP($M62,TT_Tabelle_Riferimento!$D$127:$H$164,5,FALSE))</f>
        <v>20</v>
      </c>
      <c r="LT62" s="1762">
        <f>+IFERROR(VLOOKUP(LT$27&amp;"-"&amp;$M62&amp;"_new",Ammortamento_Finanziario!$H:$L,5,FALSE),VLOOKUP($M62,TT_Tabelle_Riferimento!$D$127:$H$164,5,FALSE))</f>
        <v>20</v>
      </c>
      <c r="LU62" s="1762">
        <f>+IFERROR(VLOOKUP(LU$27&amp;"-"&amp;$M62&amp;"_new",Ammortamento_Finanziario!$H:$L,5,FALSE),VLOOKUP($M62,TT_Tabelle_Riferimento!$D$127:$H$164,5,FALSE))</f>
        <v>20</v>
      </c>
      <c r="LV62" s="1762">
        <f>+IFERROR(VLOOKUP(LV$27&amp;"-"&amp;$M62&amp;"_new",Ammortamento_Finanziario!$H:$L,5,FALSE),VLOOKUP($M62,TT_Tabelle_Riferimento!$D$127:$H$164,5,FALSE))</f>
        <v>20</v>
      </c>
      <c r="LW62" s="1762">
        <f>+IFERROR(VLOOKUP(LW$27&amp;"-"&amp;$M62&amp;"_new",Ammortamento_Finanziario!$H:$L,5,FALSE),VLOOKUP($M62,TT_Tabelle_Riferimento!$D$127:$H$164,5,FALSE))</f>
        <v>20</v>
      </c>
      <c r="LX62" s="1762">
        <f>+IFERROR(VLOOKUP(LX$27&amp;"-"&amp;$M62&amp;"_new",Ammortamento_Finanziario!$H:$L,5,FALSE),VLOOKUP($M62,TT_Tabelle_Riferimento!$D$127:$H$164,5,FALSE))</f>
        <v>20</v>
      </c>
      <c r="LY62" s="904">
        <f>+IFERROR(VLOOKUP(LY$27&amp;"-"&amp;$M62&amp;"_new",Ammortamento_Finanziario!$H:$L,5,FALSE),VLOOKUP($M62,TT_Tabelle_Riferimento!$D$127:$H$164,5,FALSE))</f>
        <v>20</v>
      </c>
      <c r="LZ62" s="904">
        <f>+IFERROR(VLOOKUP(LZ$27&amp;"-"&amp;$M62&amp;"_new",Ammortamento_Finanziario!$H:$L,5,FALSE),VLOOKUP($M62,TT_Tabelle_Riferimento!$D$127:$H$164,5,FALSE))</f>
        <v>20</v>
      </c>
      <c r="MA62" s="904">
        <f>+IFERROR(VLOOKUP(MA$27&amp;"-"&amp;$M62&amp;"_new",Ammortamento_Finanziario!$H:$L,5,FALSE),VLOOKUP($M62,TT_Tabelle_Riferimento!$D$127:$H$164,5,FALSE))</f>
        <v>20</v>
      </c>
      <c r="MB62" s="904">
        <f>+IFERROR(VLOOKUP(MB$27&amp;"-"&amp;$M62&amp;"_new",Ammortamento_Finanziario!$H:$L,5,FALSE),VLOOKUP($M62,TT_Tabelle_Riferimento!$D$127:$H$164,5,FALSE))</f>
        <v>20</v>
      </c>
      <c r="MC62" s="904">
        <f>+IFERROR(VLOOKUP(MC$27&amp;"-"&amp;$M62&amp;"_new",Ammortamento_Finanziario!$H:$L,5,FALSE),VLOOKUP($M62,TT_Tabelle_Riferimento!$D$127:$H$164,5,FALSE))</f>
        <v>20</v>
      </c>
      <c r="MD62" s="904">
        <f>+IFERROR(VLOOKUP(MD$27&amp;"-"&amp;$M62&amp;"_new",Ammortamento_Finanziario!$H:$L,5,FALSE),VLOOKUP($M62,TT_Tabelle_Riferimento!$D$127:$H$164,5,FALSE))</f>
        <v>20</v>
      </c>
      <c r="ME62" s="904">
        <f>+IFERROR(VLOOKUP(ME$27&amp;"-"&amp;$M62&amp;"_new",Ammortamento_Finanziario!$H:$L,5,FALSE),VLOOKUP($M62,TT_Tabelle_Riferimento!$D$127:$H$164,5,FALSE))</f>
        <v>20</v>
      </c>
      <c r="MF62" s="904">
        <f>+IFERROR(VLOOKUP(MF$27&amp;"-"&amp;$M62&amp;"_new",Ammortamento_Finanziario!$H:$L,5,FALSE),VLOOKUP($M62,TT_Tabelle_Riferimento!$D$127:$H$164,5,FALSE))</f>
        <v>20</v>
      </c>
      <c r="MG62" s="904">
        <f>+IFERROR(VLOOKUP(MG$27&amp;"-"&amp;$M62&amp;"_new",Ammortamento_Finanziario!$H:$L,5,FALSE),VLOOKUP($M62,TT_Tabelle_Riferimento!$D$127:$H$164,5,FALSE))</f>
        <v>20</v>
      </c>
      <c r="MH62" s="904">
        <f>+IFERROR(VLOOKUP(MH$27&amp;"-"&amp;$M62&amp;"_new",Ammortamento_Finanziario!$H:$L,5,FALSE),VLOOKUP($M62,TT_Tabelle_Riferimento!$D$127:$H$164,5,FALSE))</f>
        <v>20</v>
      </c>
      <c r="MI62" s="904">
        <f>+IFERROR(VLOOKUP(MI$27&amp;"-"&amp;$M62&amp;"_new",Ammortamento_Finanziario!$H:$L,5,FALSE),VLOOKUP($M62,TT_Tabelle_Riferimento!$D$127:$H$164,5,FALSE))</f>
        <v>20</v>
      </c>
      <c r="MJ62" s="904">
        <f>+IFERROR(VLOOKUP(MJ$27&amp;"-"&amp;$M62&amp;"_new",Ammortamento_Finanziario!$H:$L,5,FALSE),VLOOKUP($M62,TT_Tabelle_Riferimento!$D$127:$H$164,5,FALSE))</f>
        <v>20</v>
      </c>
      <c r="MK62" s="904">
        <f>+IFERROR(VLOOKUP(MK$27&amp;"-"&amp;$M62&amp;"_new",Ammortamento_Finanziario!$H:$L,5,FALSE),VLOOKUP($M62,TT_Tabelle_Riferimento!$D$127:$H$164,5,FALSE))</f>
        <v>20</v>
      </c>
      <c r="ML62" s="904">
        <f>+IFERROR(VLOOKUP(ML$27&amp;"-"&amp;$M62&amp;"_new",Ammortamento_Finanziario!$H:$L,5,FALSE),VLOOKUP($M62,TT_Tabelle_Riferimento!$D$127:$H$164,5,FALSE))</f>
        <v>20</v>
      </c>
      <c r="MM62" s="904">
        <f>+IFERROR(VLOOKUP(MM$27&amp;"-"&amp;$M62&amp;"_new",Ammortamento_Finanziario!$H:$L,5,FALSE),VLOOKUP($M62,TT_Tabelle_Riferimento!$D$127:$H$164,5,FALSE))</f>
        <v>20</v>
      </c>
      <c r="MN62" s="904">
        <f>+IFERROR(VLOOKUP(MN$27&amp;"-"&amp;$M62&amp;"_new",Ammortamento_Finanziario!$H:$L,5,FALSE),VLOOKUP($M62,TT_Tabelle_Riferimento!$D$127:$H$164,5,FALSE))</f>
        <v>20</v>
      </c>
      <c r="MO62" s="904">
        <f>+IFERROR(VLOOKUP(MO$27&amp;"-"&amp;$M62&amp;"_new",Ammortamento_Finanziario!$H:$L,5,FALSE),VLOOKUP($M62,TT_Tabelle_Riferimento!$D$127:$H$164,5,FALSE))</f>
        <v>20</v>
      </c>
      <c r="MP62" s="904">
        <f>+IFERROR(VLOOKUP(MP$27&amp;"-"&amp;$M62&amp;"_new",Ammortamento_Finanziario!$H:$L,5,FALSE),VLOOKUP($M62,TT_Tabelle_Riferimento!$D$127:$H$164,5,FALSE))</f>
        <v>20</v>
      </c>
      <c r="MQ62" s="904">
        <f>+IFERROR(VLOOKUP(MQ$27&amp;"-"&amp;$M62&amp;"_new",Ammortamento_Finanziario!$H:$L,5,FALSE),VLOOKUP($M62,TT_Tabelle_Riferimento!$D$127:$H$164,5,FALSE))</f>
        <v>20</v>
      </c>
      <c r="MR62" s="1762">
        <f>+IFERROR(VLOOKUP(MR$27&amp;"-"&amp;$M62&amp;"_new",Ammortamento_Finanziario!$H:$L,5,FALSE),VLOOKUP($M62,TT_Tabelle_Riferimento!$D$127:$H$164,5,FALSE))</f>
        <v>20</v>
      </c>
      <c r="MS62" s="1762">
        <f>+IFERROR(VLOOKUP(MS$27&amp;"-"&amp;$M62&amp;"_new",Ammortamento_Finanziario!$H:$L,5,FALSE),VLOOKUP($M62,TT_Tabelle_Riferimento!$D$127:$H$164,5,FALSE))</f>
        <v>20</v>
      </c>
      <c r="MT62" s="1762">
        <f>+IFERROR(VLOOKUP(MT$27&amp;"-"&amp;$M62&amp;"_new",Ammortamento_Finanziario!$H:$L,5,FALSE),VLOOKUP($M62,TT_Tabelle_Riferimento!$D$127:$H$164,5,FALSE))</f>
        <v>20</v>
      </c>
      <c r="MU62" s="1762">
        <f>+IFERROR(VLOOKUP(MU$27&amp;"-"&amp;$M62&amp;"_new",Ammortamento_Finanziario!$H:$L,5,FALSE),VLOOKUP($M62,TT_Tabelle_Riferimento!$D$127:$H$164,5,FALSE))</f>
        <v>20</v>
      </c>
      <c r="MV62" s="1762">
        <f>+IFERROR(VLOOKUP(MV$27&amp;"-"&amp;$M62&amp;"_new",Ammortamento_Finanziario!$H:$L,5,FALSE),VLOOKUP($M62,TT_Tabelle_Riferimento!$D$127:$H$164,5,FALSE))</f>
        <v>20</v>
      </c>
      <c r="MW62" s="1762">
        <f>+IFERROR(VLOOKUP(MW$27&amp;"-"&amp;$M62&amp;"_new",Ammortamento_Finanziario!$H:$L,5,FALSE),VLOOKUP($M62,TT_Tabelle_Riferimento!$D$127:$H$164,5,FALSE))</f>
        <v>20</v>
      </c>
      <c r="MX62" s="904">
        <f>+IFERROR(VLOOKUP(MX$27&amp;"-"&amp;$M62&amp;"_new",Ammortamento_Finanziario!$H:$L,5,FALSE),VLOOKUP($M62,TT_Tabelle_Riferimento!$D$127:$H$164,5,FALSE))</f>
        <v>20</v>
      </c>
      <c r="MY62" s="904">
        <f>+IFERROR(VLOOKUP(MY$27&amp;"-"&amp;$M62&amp;"_new",Ammortamento_Finanziario!$H:$L,5,FALSE),VLOOKUP($M62,TT_Tabelle_Riferimento!$D$127:$H$164,5,FALSE))</f>
        <v>20</v>
      </c>
      <c r="MZ62" s="904">
        <f>+IFERROR(VLOOKUP(MZ$27&amp;"-"&amp;$M62&amp;"_new",Ammortamento_Finanziario!$H:$L,5,FALSE),VLOOKUP($M62,TT_Tabelle_Riferimento!$D$127:$H$164,5,FALSE))</f>
        <v>20</v>
      </c>
      <c r="NA62" s="904">
        <f>+IFERROR(VLOOKUP(NA$27&amp;"-"&amp;$M62&amp;"_new",Ammortamento_Finanziario!$H:$L,5,FALSE),VLOOKUP($M62,TT_Tabelle_Riferimento!$D$127:$H$164,5,FALSE))</f>
        <v>20</v>
      </c>
      <c r="NB62" s="904">
        <f>+IFERROR(VLOOKUP(NB$27&amp;"-"&amp;$M62&amp;"_new",Ammortamento_Finanziario!$H:$L,5,FALSE),VLOOKUP($M62,TT_Tabelle_Riferimento!$D$127:$H$164,5,FALSE))</f>
        <v>20</v>
      </c>
      <c r="NC62" s="904">
        <f>+IFERROR(VLOOKUP(NC$27&amp;"-"&amp;$M62&amp;"_new",Ammortamento_Finanziario!$H:$L,5,FALSE),VLOOKUP($M62,TT_Tabelle_Riferimento!$D$127:$H$164,5,FALSE))</f>
        <v>20</v>
      </c>
      <c r="ND62" s="904">
        <f>+IFERROR(VLOOKUP(ND$27&amp;"-"&amp;$M62&amp;"_new",Ammortamento_Finanziario!$H:$L,5,FALSE),VLOOKUP($M62,TT_Tabelle_Riferimento!$D$127:$H$164,5,FALSE))</f>
        <v>20</v>
      </c>
      <c r="NE62" s="904">
        <f>+IFERROR(VLOOKUP(NE$27&amp;"-"&amp;$M62&amp;"_new",Ammortamento_Finanziario!$H:$L,5,FALSE),VLOOKUP($M62,TT_Tabelle_Riferimento!$D$127:$H$164,5,FALSE))</f>
        <v>20</v>
      </c>
      <c r="NF62" s="904">
        <f>+IFERROR(VLOOKUP(NF$27&amp;"-"&amp;$M62&amp;"_new",Ammortamento_Finanziario!$H:$L,5,FALSE),VLOOKUP($M62,TT_Tabelle_Riferimento!$D$127:$H$164,5,FALSE))</f>
        <v>20</v>
      </c>
      <c r="NG62" s="904">
        <f>+IFERROR(VLOOKUP(NG$27&amp;"-"&amp;$M62&amp;"_new",Ammortamento_Finanziario!$H:$L,5,FALSE),VLOOKUP($M62,TT_Tabelle_Riferimento!$D$127:$H$164,5,FALSE))</f>
        <v>20</v>
      </c>
      <c r="NH62" s="904">
        <f>+IFERROR(VLOOKUP(NH$27&amp;"-"&amp;$M62&amp;"_new",Ammortamento_Finanziario!$H:$L,5,FALSE),VLOOKUP($M62,TT_Tabelle_Riferimento!$D$127:$H$164,5,FALSE))</f>
        <v>20</v>
      </c>
      <c r="NI62" s="904">
        <f>+IFERROR(VLOOKUP(NI$27&amp;"-"&amp;$M62&amp;"_new",Ammortamento_Finanziario!$H:$L,5,FALSE),VLOOKUP($M62,TT_Tabelle_Riferimento!$D$127:$H$164,5,FALSE))</f>
        <v>20</v>
      </c>
      <c r="NJ62" s="904">
        <f>+IFERROR(VLOOKUP(NJ$27&amp;"-"&amp;$M62&amp;"_new",Ammortamento_Finanziario!$H:$L,5,FALSE),VLOOKUP($M62,TT_Tabelle_Riferimento!$D$127:$H$164,5,FALSE))</f>
        <v>20</v>
      </c>
      <c r="NK62" s="904">
        <f>+IFERROR(VLOOKUP(NK$27&amp;"-"&amp;$M62&amp;"_new",Ammortamento_Finanziario!$H:$L,5,FALSE),VLOOKUP($M62,TT_Tabelle_Riferimento!$D$127:$H$164,5,FALSE))</f>
        <v>20</v>
      </c>
      <c r="NL62" s="904">
        <f>+IFERROR(VLOOKUP(NL$27&amp;"-"&amp;$M62&amp;"_new",Ammortamento_Finanziario!$H:$L,5,FALSE),VLOOKUP($M62,TT_Tabelle_Riferimento!$D$127:$H$164,5,FALSE))</f>
        <v>20</v>
      </c>
      <c r="NM62" s="904">
        <f>+IFERROR(VLOOKUP(NM$27&amp;"-"&amp;$M62&amp;"_new",Ammortamento_Finanziario!$H:$L,5,FALSE),VLOOKUP($M62,TT_Tabelle_Riferimento!$D$127:$H$164,5,FALSE))</f>
        <v>20</v>
      </c>
      <c r="NN62" s="904">
        <f>+IFERROR(VLOOKUP(NN$27&amp;"-"&amp;$M62&amp;"_new",Ammortamento_Finanziario!$H:$L,5,FALSE),VLOOKUP($M62,TT_Tabelle_Riferimento!$D$127:$H$164,5,FALSE))</f>
        <v>20</v>
      </c>
      <c r="NO62" s="904">
        <f>+IFERROR(VLOOKUP(NO$27&amp;"-"&amp;$M62&amp;"_new",Ammortamento_Finanziario!$H:$L,5,FALSE),VLOOKUP($M62,TT_Tabelle_Riferimento!$D$127:$H$164,5,FALSE))</f>
        <v>20</v>
      </c>
      <c r="NP62" s="904">
        <f>+IFERROR(VLOOKUP(NP$27&amp;"-"&amp;$M62&amp;"_new",Ammortamento_Finanziario!$H:$L,5,FALSE),VLOOKUP($M62,TT_Tabelle_Riferimento!$D$127:$H$164,5,FALSE))</f>
        <v>20</v>
      </c>
      <c r="NQ62" s="1762">
        <f>+IFERROR(VLOOKUP(NQ$27&amp;"-"&amp;$M62&amp;"_new",Ammortamento_Finanziario!$H:$L,5,FALSE),VLOOKUP($M62,TT_Tabelle_Riferimento!$D$127:$H$164,5,FALSE))</f>
        <v>20</v>
      </c>
      <c r="NR62" s="1762">
        <f>+IFERROR(VLOOKUP(NR$27&amp;"-"&amp;$M62&amp;"_new",Ammortamento_Finanziario!$H:$L,5,FALSE),VLOOKUP($M62,TT_Tabelle_Riferimento!$D$127:$H$164,5,FALSE))</f>
        <v>20</v>
      </c>
      <c r="NS62" s="1762">
        <f>+IFERROR(VLOOKUP(NS$27&amp;"-"&amp;$M62&amp;"_new",Ammortamento_Finanziario!$H:$L,5,FALSE),VLOOKUP($M62,TT_Tabelle_Riferimento!$D$127:$H$164,5,FALSE))</f>
        <v>20</v>
      </c>
      <c r="NT62" s="1762">
        <f>+IFERROR(VLOOKUP(NT$27&amp;"-"&amp;$M62&amp;"_new",Ammortamento_Finanziario!$H:$L,5,FALSE),VLOOKUP($M62,TT_Tabelle_Riferimento!$D$127:$H$164,5,FALSE))</f>
        <v>20</v>
      </c>
      <c r="NU62" s="1762">
        <f>+IFERROR(VLOOKUP(NU$27&amp;"-"&amp;$M62&amp;"_new",Ammortamento_Finanziario!$H:$L,5,FALSE),VLOOKUP($M62,TT_Tabelle_Riferimento!$D$127:$H$164,5,FALSE))</f>
        <v>20</v>
      </c>
      <c r="NV62" s="904">
        <f>+IFERROR(VLOOKUP(NV$27&amp;"-"&amp;$M62&amp;"_new",Ammortamento_Finanziario!$H:$L,5,FALSE),VLOOKUP($M62,TT_Tabelle_Riferimento!$D$127:$H$164,5,FALSE))</f>
        <v>20</v>
      </c>
      <c r="NW62" s="904">
        <f>+IFERROR(VLOOKUP(NW$27&amp;"-"&amp;$M62&amp;"_new",Ammortamento_Finanziario!$H:$L,5,FALSE),VLOOKUP($M62,TT_Tabelle_Riferimento!$D$127:$H$164,5,FALSE))</f>
        <v>20</v>
      </c>
      <c r="NX62" s="904">
        <f>+IFERROR(VLOOKUP(NX$27&amp;"-"&amp;$M62&amp;"_new",Ammortamento_Finanziario!$H:$L,5,FALSE),VLOOKUP($M62,TT_Tabelle_Riferimento!$D$127:$H$164,5,FALSE))</f>
        <v>20</v>
      </c>
      <c r="NY62" s="904">
        <f>+IFERROR(VLOOKUP(NY$27&amp;"-"&amp;$M62&amp;"_new",Ammortamento_Finanziario!$H:$L,5,FALSE),VLOOKUP($M62,TT_Tabelle_Riferimento!$D$127:$H$164,5,FALSE))</f>
        <v>20</v>
      </c>
      <c r="NZ62" s="904">
        <f>+IFERROR(VLOOKUP(NZ$27&amp;"-"&amp;$M62&amp;"_new",Ammortamento_Finanziario!$H:$L,5,FALSE),VLOOKUP($M62,TT_Tabelle_Riferimento!$D$127:$H$164,5,FALSE))</f>
        <v>20</v>
      </c>
      <c r="OA62" s="904">
        <f>+IFERROR(VLOOKUP(OA$27&amp;"-"&amp;$M62&amp;"_new",Ammortamento_Finanziario!$H:$L,5,FALSE),VLOOKUP($M62,TT_Tabelle_Riferimento!$D$127:$H$164,5,FALSE))</f>
        <v>20</v>
      </c>
      <c r="OB62" s="904">
        <f>+IFERROR(VLOOKUP(OB$27&amp;"-"&amp;$M62&amp;"_new",Ammortamento_Finanziario!$H:$L,5,FALSE),VLOOKUP($M62,TT_Tabelle_Riferimento!$D$127:$H$164,5,FALSE))</f>
        <v>20</v>
      </c>
      <c r="OC62" s="904">
        <f>+IFERROR(VLOOKUP(OC$27&amp;"-"&amp;$M62&amp;"_new",Ammortamento_Finanziario!$H:$L,5,FALSE),VLOOKUP($M62,TT_Tabelle_Riferimento!$D$127:$H$164,5,FALSE))</f>
        <v>20</v>
      </c>
      <c r="OD62" s="904">
        <f>+IFERROR(VLOOKUP(OD$27&amp;"-"&amp;$M62&amp;"_new",Ammortamento_Finanziario!$H:$L,5,FALSE),VLOOKUP($M62,TT_Tabelle_Riferimento!$D$127:$H$164,5,FALSE))</f>
        <v>20</v>
      </c>
      <c r="OE62" s="904">
        <f>+IFERROR(VLOOKUP(OE$27&amp;"-"&amp;$M62&amp;"_new",Ammortamento_Finanziario!$H:$L,5,FALSE),VLOOKUP($M62,TT_Tabelle_Riferimento!$D$127:$H$164,5,FALSE))</f>
        <v>20</v>
      </c>
      <c r="OF62" s="904">
        <f>+IFERROR(VLOOKUP(OF$27&amp;"-"&amp;$M62&amp;"_new",Ammortamento_Finanziario!$H:$L,5,FALSE),VLOOKUP($M62,TT_Tabelle_Riferimento!$D$127:$H$164,5,FALSE))</f>
        <v>20</v>
      </c>
      <c r="OG62" s="904">
        <f>+IFERROR(VLOOKUP(OG$27&amp;"-"&amp;$M62&amp;"_new",Ammortamento_Finanziario!$H:$L,5,FALSE),VLOOKUP($M62,TT_Tabelle_Riferimento!$D$127:$H$164,5,FALSE))</f>
        <v>20</v>
      </c>
      <c r="OH62" s="904">
        <f>+IFERROR(VLOOKUP(OH$27&amp;"-"&amp;$M62&amp;"_new",Ammortamento_Finanziario!$H:$L,5,FALSE),VLOOKUP($M62,TT_Tabelle_Riferimento!$D$127:$H$164,5,FALSE))</f>
        <v>20</v>
      </c>
      <c r="OI62" s="904">
        <f>+IFERROR(VLOOKUP(OI$27&amp;"-"&amp;$M62&amp;"_new",Ammortamento_Finanziario!$H:$L,5,FALSE),VLOOKUP($M62,TT_Tabelle_Riferimento!$D$127:$H$164,5,FALSE))</f>
        <v>20</v>
      </c>
      <c r="OJ62" s="904">
        <f>+IFERROR(VLOOKUP(OJ$27&amp;"-"&amp;$M62&amp;"_new",Ammortamento_Finanziario!$H:$L,5,FALSE),VLOOKUP($M62,TT_Tabelle_Riferimento!$D$127:$H$164,5,FALSE))</f>
        <v>20</v>
      </c>
      <c r="OK62" s="904">
        <f>+IFERROR(VLOOKUP(OK$27&amp;"-"&amp;$M62&amp;"_new",Ammortamento_Finanziario!$H:$L,5,FALSE),VLOOKUP($M62,TT_Tabelle_Riferimento!$D$127:$H$164,5,FALSE))</f>
        <v>20</v>
      </c>
      <c r="OL62" s="904">
        <f>+IFERROR(VLOOKUP(OL$27&amp;"-"&amp;$M62&amp;"_new",Ammortamento_Finanziario!$H:$L,5,FALSE),VLOOKUP($M62,TT_Tabelle_Riferimento!$D$127:$H$164,5,FALSE))</f>
        <v>20</v>
      </c>
      <c r="OM62" s="904">
        <f>+IFERROR(VLOOKUP(OM$27&amp;"-"&amp;$M62&amp;"_new",Ammortamento_Finanziario!$H:$L,5,FALSE),VLOOKUP($M62,TT_Tabelle_Riferimento!$D$127:$H$164,5,FALSE))</f>
        <v>20</v>
      </c>
      <c r="ON62" s="904">
        <f>+IFERROR(VLOOKUP(ON$27&amp;"-"&amp;$M62&amp;"_new",Ammortamento_Finanziario!$H:$L,5,FALSE),VLOOKUP($M62,TT_Tabelle_Riferimento!$D$127:$H$164,5,FALSE))</f>
        <v>20</v>
      </c>
      <c r="OO62" s="1762">
        <f>+IFERROR(VLOOKUP(OO$27&amp;"-"&amp;$M62&amp;"_new",Ammortamento_Finanziario!$H:$L,5,FALSE),VLOOKUP($M62,TT_Tabelle_Riferimento!$D$127:$H$164,5,FALSE))</f>
        <v>20</v>
      </c>
      <c r="OP62" s="1762">
        <f>+IFERROR(VLOOKUP(OP$27&amp;"-"&amp;$M62&amp;"_new",Ammortamento_Finanziario!$H:$L,5,FALSE),VLOOKUP($M62,TT_Tabelle_Riferimento!$D$127:$H$164,5,FALSE))</f>
        <v>20</v>
      </c>
      <c r="OQ62" s="1762">
        <f>+IFERROR(VLOOKUP(OQ$27&amp;"-"&amp;$M62&amp;"_new",Ammortamento_Finanziario!$H:$L,5,FALSE),VLOOKUP($M62,TT_Tabelle_Riferimento!$D$127:$H$164,5,FALSE))</f>
        <v>20</v>
      </c>
      <c r="OR62" s="1762">
        <f>+IFERROR(VLOOKUP(OR$27&amp;"-"&amp;$M62&amp;"_new",Ammortamento_Finanziario!$H:$L,5,FALSE),VLOOKUP($M62,TT_Tabelle_Riferimento!$D$127:$H$164,5,FALSE))</f>
        <v>20</v>
      </c>
      <c r="OS62" s="904">
        <f>+IFERROR(VLOOKUP(OS$27&amp;"-"&amp;$M62&amp;"_new",Ammortamento_Finanziario!$H:$L,5,FALSE),VLOOKUP($M62,TT_Tabelle_Riferimento!$D$127:$H$164,5,FALSE))</f>
        <v>20</v>
      </c>
      <c r="OT62" s="904">
        <f>+IFERROR(VLOOKUP(OT$27&amp;"-"&amp;$M62&amp;"_new",Ammortamento_Finanziario!$H:$L,5,FALSE),VLOOKUP($M62,TT_Tabelle_Riferimento!$D$127:$H$164,5,FALSE))</f>
        <v>20</v>
      </c>
      <c r="OU62" s="904">
        <f>+IFERROR(VLOOKUP(OU$27&amp;"-"&amp;$M62&amp;"_new",Ammortamento_Finanziario!$H:$L,5,FALSE),VLOOKUP($M62,TT_Tabelle_Riferimento!$D$127:$H$164,5,FALSE))</f>
        <v>20</v>
      </c>
      <c r="OV62" s="904">
        <f>+IFERROR(VLOOKUP(OV$27&amp;"-"&amp;$M62&amp;"_new",Ammortamento_Finanziario!$H:$L,5,FALSE),VLOOKUP($M62,TT_Tabelle_Riferimento!$D$127:$H$164,5,FALSE))</f>
        <v>20</v>
      </c>
      <c r="OW62" s="904">
        <f>+IFERROR(VLOOKUP(OW$27&amp;"-"&amp;$M62&amp;"_new",Ammortamento_Finanziario!$H:$L,5,FALSE),VLOOKUP($M62,TT_Tabelle_Riferimento!$D$127:$H$164,5,FALSE))</f>
        <v>20</v>
      </c>
      <c r="OX62" s="904">
        <f>+IFERROR(VLOOKUP(OX$27&amp;"-"&amp;$M62&amp;"_new",Ammortamento_Finanziario!$H:$L,5,FALSE),VLOOKUP($M62,TT_Tabelle_Riferimento!$D$127:$H$164,5,FALSE))</f>
        <v>20</v>
      </c>
      <c r="OY62" s="904">
        <f>+IFERROR(VLOOKUP(OY$27&amp;"-"&amp;$M62&amp;"_new",Ammortamento_Finanziario!$H:$L,5,FALSE),VLOOKUP($M62,TT_Tabelle_Riferimento!$D$127:$H$164,5,FALSE))</f>
        <v>20</v>
      </c>
      <c r="OZ62" s="904">
        <f>+IFERROR(VLOOKUP(OZ$27&amp;"-"&amp;$M62&amp;"_new",Ammortamento_Finanziario!$H:$L,5,FALSE),VLOOKUP($M62,TT_Tabelle_Riferimento!$D$127:$H$164,5,FALSE))</f>
        <v>20</v>
      </c>
      <c r="PA62" s="904">
        <f>+IFERROR(VLOOKUP(PA$27&amp;"-"&amp;$M62&amp;"_new",Ammortamento_Finanziario!$H:$L,5,FALSE),VLOOKUP($M62,TT_Tabelle_Riferimento!$D$127:$H$164,5,FALSE))</f>
        <v>20</v>
      </c>
      <c r="PB62" s="904">
        <f>+IFERROR(VLOOKUP(PB$27&amp;"-"&amp;$M62&amp;"_new",Ammortamento_Finanziario!$H:$L,5,FALSE),VLOOKUP($M62,TT_Tabelle_Riferimento!$D$127:$H$164,5,FALSE))</f>
        <v>20</v>
      </c>
      <c r="PC62" s="904">
        <f>+IFERROR(VLOOKUP(PC$27&amp;"-"&amp;$M62&amp;"_new",Ammortamento_Finanziario!$H:$L,5,FALSE),VLOOKUP($M62,TT_Tabelle_Riferimento!$D$127:$H$164,5,FALSE))</f>
        <v>20</v>
      </c>
      <c r="PD62" s="904">
        <f>+IFERROR(VLOOKUP(PD$27&amp;"-"&amp;$M62&amp;"_new",Ammortamento_Finanziario!$H:$L,5,FALSE),VLOOKUP($M62,TT_Tabelle_Riferimento!$D$127:$H$164,5,FALSE))</f>
        <v>20</v>
      </c>
      <c r="PE62" s="904">
        <f>+IFERROR(VLOOKUP(PE$27&amp;"-"&amp;$M62&amp;"_new",Ammortamento_Finanziario!$H:$L,5,FALSE),VLOOKUP($M62,TT_Tabelle_Riferimento!$D$127:$H$164,5,FALSE))</f>
        <v>20</v>
      </c>
      <c r="PF62" s="904">
        <f>+IFERROR(VLOOKUP(PF$27&amp;"-"&amp;$M62&amp;"_new",Ammortamento_Finanziario!$H:$L,5,FALSE),VLOOKUP($M62,TT_Tabelle_Riferimento!$D$127:$H$164,5,FALSE))</f>
        <v>20</v>
      </c>
      <c r="PG62" s="904">
        <f>+IFERROR(VLOOKUP(PG$27&amp;"-"&amp;$M62&amp;"_new",Ammortamento_Finanziario!$H:$L,5,FALSE),VLOOKUP($M62,TT_Tabelle_Riferimento!$D$127:$H$164,5,FALSE))</f>
        <v>20</v>
      </c>
      <c r="PH62" s="904">
        <f>+IFERROR(VLOOKUP(PH$27&amp;"-"&amp;$M62&amp;"_new",Ammortamento_Finanziario!$H:$L,5,FALSE),VLOOKUP($M62,TT_Tabelle_Riferimento!$D$127:$H$164,5,FALSE))</f>
        <v>20</v>
      </c>
      <c r="PI62" s="904">
        <f>+IFERROR(VLOOKUP(PI$27&amp;"-"&amp;$M62&amp;"_new",Ammortamento_Finanziario!$H:$L,5,FALSE),VLOOKUP($M62,TT_Tabelle_Riferimento!$D$127:$H$164,5,FALSE))</f>
        <v>20</v>
      </c>
      <c r="PJ62" s="904">
        <f>+IFERROR(VLOOKUP(PJ$27&amp;"-"&amp;$M62&amp;"_new",Ammortamento_Finanziario!$H:$L,5,FALSE),VLOOKUP($M62,TT_Tabelle_Riferimento!$D$127:$H$164,5,FALSE))</f>
        <v>20</v>
      </c>
      <c r="PK62" s="904">
        <f>+IFERROR(VLOOKUP(PK$27&amp;"-"&amp;$M62&amp;"_new",Ammortamento_Finanziario!$H:$L,5,FALSE),VLOOKUP($M62,TT_Tabelle_Riferimento!$D$127:$H$164,5,FALSE))</f>
        <v>20</v>
      </c>
      <c r="PL62" s="1762">
        <f>+IFERROR(VLOOKUP(PL$27&amp;"-"&amp;$M62&amp;"_new",Ammortamento_Finanziario!$H:$L,5,FALSE),VLOOKUP($M62,TT_Tabelle_Riferimento!$D$127:$H$164,5,FALSE))</f>
        <v>20</v>
      </c>
      <c r="PM62" s="1762">
        <f>+IFERROR(VLOOKUP(PM$27&amp;"-"&amp;$M62&amp;"_new",Ammortamento_Finanziario!$H:$L,5,FALSE),VLOOKUP($M62,TT_Tabelle_Riferimento!$D$127:$H$164,5,FALSE))</f>
        <v>20</v>
      </c>
      <c r="PN62" s="1762">
        <f>+IFERROR(VLOOKUP(PN$27&amp;"-"&amp;$M62&amp;"_new",Ammortamento_Finanziario!$H:$L,5,FALSE),VLOOKUP($M62,TT_Tabelle_Riferimento!$D$127:$H$164,5,FALSE))</f>
        <v>20</v>
      </c>
      <c r="PO62" s="904">
        <f>+IFERROR(VLOOKUP(PO$27&amp;"-"&amp;$M62&amp;"_new",Ammortamento_Finanziario!$H:$L,5,FALSE),VLOOKUP($M62,TT_Tabelle_Riferimento!$D$127:$H$164,5,FALSE))</f>
        <v>20</v>
      </c>
      <c r="PP62" s="904">
        <f>+IFERROR(VLOOKUP(PP$27&amp;"-"&amp;$M62&amp;"_new",Ammortamento_Finanziario!$H:$L,5,FALSE),VLOOKUP($M62,TT_Tabelle_Riferimento!$D$127:$H$164,5,FALSE))</f>
        <v>20</v>
      </c>
      <c r="PQ62" s="904">
        <f>+IFERROR(VLOOKUP(PQ$27&amp;"-"&amp;$M62&amp;"_new",Ammortamento_Finanziario!$H:$L,5,FALSE),VLOOKUP($M62,TT_Tabelle_Riferimento!$D$127:$H$164,5,FALSE))</f>
        <v>20</v>
      </c>
      <c r="PR62" s="904">
        <f>+IFERROR(VLOOKUP(PR$27&amp;"-"&amp;$M62&amp;"_new",Ammortamento_Finanziario!$H:$L,5,FALSE),VLOOKUP($M62,TT_Tabelle_Riferimento!$D$127:$H$164,5,FALSE))</f>
        <v>20</v>
      </c>
      <c r="PS62" s="904">
        <f>+IFERROR(VLOOKUP(PS$27&amp;"-"&amp;$M62&amp;"_new",Ammortamento_Finanziario!$H:$L,5,FALSE),VLOOKUP($M62,TT_Tabelle_Riferimento!$D$127:$H$164,5,FALSE))</f>
        <v>20</v>
      </c>
      <c r="PT62" s="904">
        <f>+IFERROR(VLOOKUP(PT$27&amp;"-"&amp;$M62&amp;"_new",Ammortamento_Finanziario!$H:$L,5,FALSE),VLOOKUP($M62,TT_Tabelle_Riferimento!$D$127:$H$164,5,FALSE))</f>
        <v>20</v>
      </c>
      <c r="PU62" s="904">
        <f>+IFERROR(VLOOKUP(PU$27&amp;"-"&amp;$M62&amp;"_new",Ammortamento_Finanziario!$H:$L,5,FALSE),VLOOKUP($M62,TT_Tabelle_Riferimento!$D$127:$H$164,5,FALSE))</f>
        <v>20</v>
      </c>
      <c r="PV62" s="904">
        <f>+IFERROR(VLOOKUP(PV$27&amp;"-"&amp;$M62&amp;"_new",Ammortamento_Finanziario!$H:$L,5,FALSE),VLOOKUP($M62,TT_Tabelle_Riferimento!$D$127:$H$164,5,FALSE))</f>
        <v>20</v>
      </c>
      <c r="PW62" s="904">
        <f>+IFERROR(VLOOKUP(PW$27&amp;"-"&amp;$M62&amp;"_new",Ammortamento_Finanziario!$H:$L,5,FALSE),VLOOKUP($M62,TT_Tabelle_Riferimento!$D$127:$H$164,5,FALSE))</f>
        <v>20</v>
      </c>
      <c r="PX62" s="904">
        <f>+IFERROR(VLOOKUP(PX$27&amp;"-"&amp;$M62&amp;"_new",Ammortamento_Finanziario!$H:$L,5,FALSE),VLOOKUP($M62,TT_Tabelle_Riferimento!$D$127:$H$164,5,FALSE))</f>
        <v>20</v>
      </c>
      <c r="PY62" s="904">
        <f>+IFERROR(VLOOKUP(PY$27&amp;"-"&amp;$M62&amp;"_new",Ammortamento_Finanziario!$H:$L,5,FALSE),VLOOKUP($M62,TT_Tabelle_Riferimento!$D$127:$H$164,5,FALSE))</f>
        <v>20</v>
      </c>
      <c r="PZ62" s="904">
        <f>+IFERROR(VLOOKUP(PZ$27&amp;"-"&amp;$M62&amp;"_new",Ammortamento_Finanziario!$H:$L,5,FALSE),VLOOKUP($M62,TT_Tabelle_Riferimento!$D$127:$H$164,5,FALSE))</f>
        <v>20</v>
      </c>
      <c r="QA62" s="904">
        <f>+IFERROR(VLOOKUP(QA$27&amp;"-"&amp;$M62&amp;"_new",Ammortamento_Finanziario!$H:$L,5,FALSE),VLOOKUP($M62,TT_Tabelle_Riferimento!$D$127:$H$164,5,FALSE))</f>
        <v>20</v>
      </c>
      <c r="QB62" s="904">
        <f>+IFERROR(VLOOKUP(QB$27&amp;"-"&amp;$M62&amp;"_new",Ammortamento_Finanziario!$H:$L,5,FALSE),VLOOKUP($M62,TT_Tabelle_Riferimento!$D$127:$H$164,5,FALSE))</f>
        <v>20</v>
      </c>
      <c r="QC62" s="904">
        <f>+IFERROR(VLOOKUP(QC$27&amp;"-"&amp;$M62&amp;"_new",Ammortamento_Finanziario!$H:$L,5,FALSE),VLOOKUP($M62,TT_Tabelle_Riferimento!$D$127:$H$164,5,FALSE))</f>
        <v>20</v>
      </c>
      <c r="QD62" s="904">
        <f>+IFERROR(VLOOKUP(QD$27&amp;"-"&amp;$M62&amp;"_new",Ammortamento_Finanziario!$H:$L,5,FALSE),VLOOKUP($M62,TT_Tabelle_Riferimento!$D$127:$H$164,5,FALSE))</f>
        <v>20</v>
      </c>
      <c r="QE62" s="904">
        <f>+IFERROR(VLOOKUP(QE$27&amp;"-"&amp;$M62&amp;"_new",Ammortamento_Finanziario!$H:$L,5,FALSE),VLOOKUP($M62,TT_Tabelle_Riferimento!$D$127:$H$164,5,FALSE))</f>
        <v>20</v>
      </c>
      <c r="QF62" s="904">
        <f>+IFERROR(VLOOKUP(QF$27&amp;"-"&amp;$M62&amp;"_new",Ammortamento_Finanziario!$H:$L,5,FALSE),VLOOKUP($M62,TT_Tabelle_Riferimento!$D$127:$H$164,5,FALSE))</f>
        <v>20</v>
      </c>
      <c r="QG62" s="904">
        <f>+IFERROR(VLOOKUP(QG$27&amp;"-"&amp;$M62&amp;"_new",Ammortamento_Finanziario!$H:$L,5,FALSE),VLOOKUP($M62,TT_Tabelle_Riferimento!$D$127:$H$164,5,FALSE))</f>
        <v>20</v>
      </c>
      <c r="QH62" s="1762">
        <f>+IFERROR(VLOOKUP(QH$27&amp;"-"&amp;$M62&amp;"_new",Ammortamento_Finanziario!$H:$L,5,FALSE),VLOOKUP($M62,TT_Tabelle_Riferimento!$D$127:$H$164,5,FALSE))</f>
        <v>20</v>
      </c>
      <c r="QI62" s="1762">
        <f>+IFERROR(VLOOKUP(QI$27&amp;"-"&amp;$M62&amp;"_new",Ammortamento_Finanziario!$H:$L,5,FALSE),VLOOKUP($M62,TT_Tabelle_Riferimento!$D$127:$H$164,5,FALSE))</f>
        <v>20</v>
      </c>
      <c r="QJ62" s="904">
        <f>+IFERROR(VLOOKUP(QJ$27&amp;"-"&amp;$M62&amp;"_new",Ammortamento_Finanziario!$H:$L,5,FALSE),VLOOKUP($M62,TT_Tabelle_Riferimento!$D$127:$H$164,5,FALSE))</f>
        <v>20</v>
      </c>
      <c r="QK62" s="904">
        <f>+IFERROR(VLOOKUP(QK$27&amp;"-"&amp;$M62&amp;"_new",Ammortamento_Finanziario!$H:$L,5,FALSE),VLOOKUP($M62,TT_Tabelle_Riferimento!$D$127:$H$164,5,FALSE))</f>
        <v>20</v>
      </c>
      <c r="QL62" s="904">
        <f>+IFERROR(VLOOKUP(QL$27&amp;"-"&amp;$M62&amp;"_new",Ammortamento_Finanziario!$H:$L,5,FALSE),VLOOKUP($M62,TT_Tabelle_Riferimento!$D$127:$H$164,5,FALSE))</f>
        <v>20</v>
      </c>
      <c r="QM62" s="904">
        <f>+IFERROR(VLOOKUP(QM$27&amp;"-"&amp;$M62&amp;"_new",Ammortamento_Finanziario!$H:$L,5,FALSE),VLOOKUP($M62,TT_Tabelle_Riferimento!$D$127:$H$164,5,FALSE))</f>
        <v>20</v>
      </c>
      <c r="QN62" s="904">
        <f>+IFERROR(VLOOKUP(QN$27&amp;"-"&amp;$M62&amp;"_new",Ammortamento_Finanziario!$H:$L,5,FALSE),VLOOKUP($M62,TT_Tabelle_Riferimento!$D$127:$H$164,5,FALSE))</f>
        <v>20</v>
      </c>
      <c r="QO62" s="904">
        <f>+IFERROR(VLOOKUP(QO$27&amp;"-"&amp;$M62&amp;"_new",Ammortamento_Finanziario!$H:$L,5,FALSE),VLOOKUP($M62,TT_Tabelle_Riferimento!$D$127:$H$164,5,FALSE))</f>
        <v>20</v>
      </c>
      <c r="QP62" s="904">
        <f>+IFERROR(VLOOKUP(QP$27&amp;"-"&amp;$M62&amp;"_new",Ammortamento_Finanziario!$H:$L,5,FALSE),VLOOKUP($M62,TT_Tabelle_Riferimento!$D$127:$H$164,5,FALSE))</f>
        <v>20</v>
      </c>
      <c r="QQ62" s="904">
        <f>+IFERROR(VLOOKUP(QQ$27&amp;"-"&amp;$M62&amp;"_new",Ammortamento_Finanziario!$H:$L,5,FALSE),VLOOKUP($M62,TT_Tabelle_Riferimento!$D$127:$H$164,5,FALSE))</f>
        <v>20</v>
      </c>
      <c r="QR62" s="904">
        <f>+IFERROR(VLOOKUP(QR$27&amp;"-"&amp;$M62&amp;"_new",Ammortamento_Finanziario!$H:$L,5,FALSE),VLOOKUP($M62,TT_Tabelle_Riferimento!$D$127:$H$164,5,FALSE))</f>
        <v>20</v>
      </c>
      <c r="QS62" s="904">
        <f>+IFERROR(VLOOKUP(QS$27&amp;"-"&amp;$M62&amp;"_new",Ammortamento_Finanziario!$H:$L,5,FALSE),VLOOKUP($M62,TT_Tabelle_Riferimento!$D$127:$H$164,5,FALSE))</f>
        <v>20</v>
      </c>
      <c r="QT62" s="904">
        <f>+IFERROR(VLOOKUP(QT$27&amp;"-"&amp;$M62&amp;"_new",Ammortamento_Finanziario!$H:$L,5,FALSE),VLOOKUP($M62,TT_Tabelle_Riferimento!$D$127:$H$164,5,FALSE))</f>
        <v>20</v>
      </c>
      <c r="QU62" s="904">
        <f>+IFERROR(VLOOKUP(QU$27&amp;"-"&amp;$M62&amp;"_new",Ammortamento_Finanziario!$H:$L,5,FALSE),VLOOKUP($M62,TT_Tabelle_Riferimento!$D$127:$H$164,5,FALSE))</f>
        <v>20</v>
      </c>
      <c r="QV62" s="904">
        <f>+IFERROR(VLOOKUP(QV$27&amp;"-"&amp;$M62&amp;"_new",Ammortamento_Finanziario!$H:$L,5,FALSE),VLOOKUP($M62,TT_Tabelle_Riferimento!$D$127:$H$164,5,FALSE))</f>
        <v>20</v>
      </c>
      <c r="QW62" s="904">
        <f>+IFERROR(VLOOKUP(QW$27&amp;"-"&amp;$M62&amp;"_new",Ammortamento_Finanziario!$H:$L,5,FALSE),VLOOKUP($M62,TT_Tabelle_Riferimento!$D$127:$H$164,5,FALSE))</f>
        <v>20</v>
      </c>
      <c r="QX62" s="904">
        <f>+IFERROR(VLOOKUP(QX$27&amp;"-"&amp;$M62&amp;"_new",Ammortamento_Finanziario!$H:$L,5,FALSE),VLOOKUP($M62,TT_Tabelle_Riferimento!$D$127:$H$164,5,FALSE))</f>
        <v>20</v>
      </c>
      <c r="QY62" s="904">
        <f>+IFERROR(VLOOKUP(QY$27&amp;"-"&amp;$M62&amp;"_new",Ammortamento_Finanziario!$H:$L,5,FALSE),VLOOKUP($M62,TT_Tabelle_Riferimento!$D$127:$H$164,5,FALSE))</f>
        <v>20</v>
      </c>
      <c r="QZ62" s="904">
        <f>+IFERROR(VLOOKUP(QZ$27&amp;"-"&amp;$M62&amp;"_new",Ammortamento_Finanziario!$H:$L,5,FALSE),VLOOKUP($M62,TT_Tabelle_Riferimento!$D$127:$H$164,5,FALSE))</f>
        <v>20</v>
      </c>
      <c r="RA62" s="904">
        <f>+IFERROR(VLOOKUP(RA$27&amp;"-"&amp;$M62&amp;"_new",Ammortamento_Finanziario!$H:$L,5,FALSE),VLOOKUP($M62,TT_Tabelle_Riferimento!$D$127:$H$164,5,FALSE))</f>
        <v>20</v>
      </c>
      <c r="RB62" s="904">
        <f>+IFERROR(VLOOKUP(RB$27&amp;"-"&amp;$M62&amp;"_new",Ammortamento_Finanziario!$H:$L,5,FALSE),VLOOKUP($M62,TT_Tabelle_Riferimento!$D$127:$H$164,5,FALSE))</f>
        <v>20</v>
      </c>
      <c r="RC62" s="1762">
        <f>+IFERROR(VLOOKUP(RC$27&amp;"-"&amp;$M62&amp;"_new",Ammortamento_Finanziario!$H:$L,5,FALSE),VLOOKUP($M62,TT_Tabelle_Riferimento!$D$127:$H$164,5,FALSE))</f>
        <v>20</v>
      </c>
      <c r="RD62" s="904">
        <f>+IFERROR(VLOOKUP(RD$27&amp;"-"&amp;$M62&amp;"_new",Ammortamento_Finanziario!$H:$L,5,FALSE),VLOOKUP($M62,TT_Tabelle_Riferimento!$D$127:$H$164,5,FALSE))</f>
        <v>20</v>
      </c>
      <c r="RE62" s="904">
        <f>+IFERROR(VLOOKUP(RE$27&amp;"-"&amp;$M62&amp;"_new",Ammortamento_Finanziario!$H:$L,5,FALSE),VLOOKUP($M62,TT_Tabelle_Riferimento!$D$127:$H$164,5,FALSE))</f>
        <v>20</v>
      </c>
      <c r="RF62" s="904">
        <f>+IFERROR(VLOOKUP(RF$27&amp;"-"&amp;$M62&amp;"_new",Ammortamento_Finanziario!$H:$L,5,FALSE),VLOOKUP($M62,TT_Tabelle_Riferimento!$D$127:$H$164,5,FALSE))</f>
        <v>20</v>
      </c>
      <c r="RG62" s="904">
        <f>+IFERROR(VLOOKUP(RG$27&amp;"-"&amp;$M62&amp;"_new",Ammortamento_Finanziario!$H:$L,5,FALSE),VLOOKUP($M62,TT_Tabelle_Riferimento!$D$127:$H$164,5,FALSE))</f>
        <v>20</v>
      </c>
      <c r="RH62" s="904">
        <f>+IFERROR(VLOOKUP(RH$27&amp;"-"&amp;$M62&amp;"_new",Ammortamento_Finanziario!$H:$L,5,FALSE),VLOOKUP($M62,TT_Tabelle_Riferimento!$D$127:$H$164,5,FALSE))</f>
        <v>20</v>
      </c>
      <c r="RI62" s="904">
        <f>+IFERROR(VLOOKUP(RI$27&amp;"-"&amp;$M62&amp;"_new",Ammortamento_Finanziario!$H:$L,5,FALSE),VLOOKUP($M62,TT_Tabelle_Riferimento!$D$127:$H$164,5,FALSE))</f>
        <v>20</v>
      </c>
      <c r="RJ62" s="904">
        <f>+IFERROR(VLOOKUP(RJ$27&amp;"-"&amp;$M62&amp;"_new",Ammortamento_Finanziario!$H:$L,5,FALSE),VLOOKUP($M62,TT_Tabelle_Riferimento!$D$127:$H$164,5,FALSE))</f>
        <v>20</v>
      </c>
      <c r="RK62" s="904">
        <f>+IFERROR(VLOOKUP(RK$27&amp;"-"&amp;$M62&amp;"_new",Ammortamento_Finanziario!$H:$L,5,FALSE),VLOOKUP($M62,TT_Tabelle_Riferimento!$D$127:$H$164,5,FALSE))</f>
        <v>20</v>
      </c>
      <c r="RL62" s="904">
        <f>+IFERROR(VLOOKUP(RL$27&amp;"-"&amp;$M62&amp;"_new",Ammortamento_Finanziario!$H:$L,5,FALSE),VLOOKUP($M62,TT_Tabelle_Riferimento!$D$127:$H$164,5,FALSE))</f>
        <v>20</v>
      </c>
      <c r="RM62" s="904">
        <f>+IFERROR(VLOOKUP(RM$27&amp;"-"&amp;$M62&amp;"_new",Ammortamento_Finanziario!$H:$L,5,FALSE),VLOOKUP($M62,TT_Tabelle_Riferimento!$D$127:$H$164,5,FALSE))</f>
        <v>20</v>
      </c>
      <c r="RN62" s="904">
        <f>+IFERROR(VLOOKUP(RN$27&amp;"-"&amp;$M62&amp;"_new",Ammortamento_Finanziario!$H:$L,5,FALSE),VLOOKUP($M62,TT_Tabelle_Riferimento!$D$127:$H$164,5,FALSE))</f>
        <v>20</v>
      </c>
      <c r="RO62" s="904">
        <f>+IFERROR(VLOOKUP(RO$27&amp;"-"&amp;$M62&amp;"_new",Ammortamento_Finanziario!$H:$L,5,FALSE),VLOOKUP($M62,TT_Tabelle_Riferimento!$D$127:$H$164,5,FALSE))</f>
        <v>20</v>
      </c>
      <c r="RP62" s="904">
        <f>+IFERROR(VLOOKUP(RP$27&amp;"-"&amp;$M62&amp;"_new",Ammortamento_Finanziario!$H:$L,5,FALSE),VLOOKUP($M62,TT_Tabelle_Riferimento!$D$127:$H$164,5,FALSE))</f>
        <v>20</v>
      </c>
      <c r="RQ62" s="904">
        <f>+IFERROR(VLOOKUP(RQ$27&amp;"-"&amp;$M62&amp;"_new",Ammortamento_Finanziario!$H:$L,5,FALSE),VLOOKUP($M62,TT_Tabelle_Riferimento!$D$127:$H$164,5,FALSE))</f>
        <v>20</v>
      </c>
      <c r="RR62" s="904">
        <f>+IFERROR(VLOOKUP(RR$27&amp;"-"&amp;$M62&amp;"_new",Ammortamento_Finanziario!$H:$L,5,FALSE),VLOOKUP($M62,TT_Tabelle_Riferimento!$D$127:$H$164,5,FALSE))</f>
        <v>20</v>
      </c>
      <c r="RS62" s="904">
        <f>+IFERROR(VLOOKUP(RS$27&amp;"-"&amp;$M62&amp;"_new",Ammortamento_Finanziario!$H:$L,5,FALSE),VLOOKUP($M62,TT_Tabelle_Riferimento!$D$127:$H$164,5,FALSE))</f>
        <v>20</v>
      </c>
      <c r="RT62" s="904">
        <f>+IFERROR(VLOOKUP(RT$27&amp;"-"&amp;$M62&amp;"_new",Ammortamento_Finanziario!$H:$L,5,FALSE),VLOOKUP($M62,TT_Tabelle_Riferimento!$D$127:$H$164,5,FALSE))</f>
        <v>20</v>
      </c>
      <c r="RU62" s="904">
        <f>+IFERROR(VLOOKUP(RU$27&amp;"-"&amp;$M62&amp;"_new",Ammortamento_Finanziario!$H:$L,5,FALSE),VLOOKUP($M62,TT_Tabelle_Riferimento!$D$127:$H$164,5,FALSE))</f>
        <v>20</v>
      </c>
      <c r="RV62" s="904">
        <f>+IFERROR(VLOOKUP(RV$27&amp;"-"&amp;$M62&amp;"_new",Ammortamento_Finanziario!$H:$L,5,FALSE),VLOOKUP($M62,TT_Tabelle_Riferimento!$D$127:$H$164,5,FALSE))</f>
        <v>20</v>
      </c>
    </row>
    <row r="63" spans="4:490">
      <c r="K63" s="12"/>
      <c r="L63" s="12"/>
      <c r="M63" s="1756">
        <v>36</v>
      </c>
      <c r="N63" s="1759">
        <v>0</v>
      </c>
      <c r="O63" s="1759">
        <v>0</v>
      </c>
      <c r="P63" s="1759">
        <v>0</v>
      </c>
      <c r="Q63" s="1759">
        <v>0</v>
      </c>
      <c r="R63" s="1759">
        <v>0</v>
      </c>
      <c r="S63" s="1759">
        <v>0</v>
      </c>
      <c r="T63" s="1759">
        <v>0</v>
      </c>
      <c r="U63" s="1759">
        <v>0</v>
      </c>
      <c r="V63" s="1759">
        <v>0</v>
      </c>
      <c r="W63" s="1759">
        <v>0</v>
      </c>
      <c r="X63" s="1759">
        <v>0</v>
      </c>
      <c r="Y63" s="1759">
        <v>0</v>
      </c>
      <c r="Z63" s="1759">
        <v>0</v>
      </c>
      <c r="AA63" s="1759">
        <v>0</v>
      </c>
      <c r="AB63" s="1759">
        <v>0</v>
      </c>
      <c r="AC63" s="1759">
        <v>0</v>
      </c>
      <c r="AD63" s="1759">
        <v>0</v>
      </c>
      <c r="AE63" s="1759">
        <v>0</v>
      </c>
      <c r="AF63" s="1759">
        <v>0</v>
      </c>
      <c r="AG63" s="1759">
        <v>0</v>
      </c>
      <c r="AH63" s="1759">
        <v>0</v>
      </c>
      <c r="AI63" s="1759">
        <v>0</v>
      </c>
      <c r="AJ63" s="1759">
        <v>0</v>
      </c>
      <c r="AK63" s="1759">
        <v>0</v>
      </c>
      <c r="AL63" s="1759">
        <v>0</v>
      </c>
      <c r="AM63" s="1759">
        <v>0</v>
      </c>
      <c r="AN63" s="1759">
        <v>0</v>
      </c>
      <c r="AO63" s="1759">
        <v>0</v>
      </c>
      <c r="AP63" s="1759">
        <v>0</v>
      </c>
      <c r="AQ63" s="1759">
        <v>0</v>
      </c>
      <c r="AR63" s="1759">
        <v>0</v>
      </c>
      <c r="AS63" s="1759">
        <v>0</v>
      </c>
      <c r="AT63" s="1759">
        <v>0</v>
      </c>
      <c r="AU63" s="1759">
        <v>0</v>
      </c>
      <c r="AV63" s="1759">
        <v>0</v>
      </c>
      <c r="AW63" s="1759">
        <v>0</v>
      </c>
      <c r="AX63" s="1759">
        <v>0</v>
      </c>
      <c r="AY63" s="1759">
        <v>0</v>
      </c>
      <c r="AZ63" s="1759">
        <v>0</v>
      </c>
      <c r="BA63" s="1759">
        <v>0</v>
      </c>
      <c r="BB63" s="1759">
        <v>0</v>
      </c>
      <c r="BC63" s="1759">
        <v>0</v>
      </c>
      <c r="BD63" s="1759">
        <v>0</v>
      </c>
      <c r="BE63" s="1759">
        <v>0</v>
      </c>
      <c r="BF63" s="1759">
        <v>0</v>
      </c>
      <c r="BG63" s="1759">
        <v>0</v>
      </c>
      <c r="BH63" s="1759">
        <v>0</v>
      </c>
      <c r="BI63" s="1759">
        <v>0</v>
      </c>
      <c r="BJ63" s="1759">
        <v>0</v>
      </c>
      <c r="BK63" s="1759">
        <v>0</v>
      </c>
      <c r="BL63" s="1759">
        <v>0</v>
      </c>
      <c r="BM63" s="1759">
        <v>0</v>
      </c>
      <c r="BN63" s="1759">
        <v>0</v>
      </c>
      <c r="BO63" s="1759">
        <v>0</v>
      </c>
      <c r="BP63" s="1759">
        <v>0</v>
      </c>
      <c r="BQ63" s="1759">
        <v>0</v>
      </c>
      <c r="BR63" s="1759">
        <v>0</v>
      </c>
      <c r="BS63" s="1759">
        <v>0</v>
      </c>
      <c r="BT63" s="1759">
        <v>0</v>
      </c>
      <c r="BU63" s="1759">
        <v>0</v>
      </c>
      <c r="BV63" s="1759">
        <v>0</v>
      </c>
      <c r="BW63" s="1759">
        <v>0</v>
      </c>
      <c r="BX63" s="1759">
        <v>0</v>
      </c>
      <c r="BY63" s="1759">
        <v>0</v>
      </c>
      <c r="BZ63" s="1759">
        <v>0</v>
      </c>
      <c r="CA63" s="1759">
        <v>0</v>
      </c>
      <c r="CB63" s="1759">
        <v>0</v>
      </c>
      <c r="CC63" s="1759">
        <v>0</v>
      </c>
      <c r="CD63" s="1759">
        <v>0</v>
      </c>
      <c r="CE63" s="1759">
        <v>0</v>
      </c>
      <c r="CF63" s="1759">
        <v>0</v>
      </c>
      <c r="CG63" s="1759">
        <v>0</v>
      </c>
      <c r="CH63" s="1759">
        <v>0</v>
      </c>
      <c r="CI63" s="1759">
        <v>0</v>
      </c>
      <c r="CJ63" s="1759">
        <v>0</v>
      </c>
      <c r="CK63" s="1759">
        <v>0</v>
      </c>
      <c r="CL63" s="1759">
        <v>0</v>
      </c>
      <c r="CM63" s="1759">
        <v>0</v>
      </c>
      <c r="CN63" s="1759">
        <v>0</v>
      </c>
      <c r="CO63" s="1759">
        <v>0</v>
      </c>
      <c r="CP63" s="1759">
        <v>0</v>
      </c>
      <c r="CQ63" s="1759">
        <v>0</v>
      </c>
      <c r="CR63" s="1759">
        <v>0</v>
      </c>
      <c r="CS63" s="1759">
        <v>0</v>
      </c>
      <c r="CT63" s="1759">
        <v>0</v>
      </c>
      <c r="CU63" s="1759">
        <v>0</v>
      </c>
      <c r="CV63" s="1759">
        <v>0</v>
      </c>
      <c r="CW63" s="1759">
        <v>0</v>
      </c>
      <c r="CX63" s="1759">
        <v>0</v>
      </c>
      <c r="CY63" s="1759">
        <v>0</v>
      </c>
      <c r="CZ63" s="1759">
        <v>0</v>
      </c>
      <c r="DA63" s="1759">
        <v>0</v>
      </c>
      <c r="DB63" s="1759">
        <v>0</v>
      </c>
      <c r="DC63" s="1759">
        <v>0</v>
      </c>
      <c r="DD63" s="1759">
        <v>0</v>
      </c>
      <c r="DE63" s="1759">
        <v>0</v>
      </c>
      <c r="DF63" s="1759">
        <v>0</v>
      </c>
      <c r="DG63" s="1759">
        <v>0</v>
      </c>
      <c r="DH63" s="1759">
        <v>0</v>
      </c>
      <c r="DI63" s="1759">
        <v>0</v>
      </c>
      <c r="DJ63" s="1759">
        <v>0</v>
      </c>
      <c r="DK63" s="1759">
        <v>0</v>
      </c>
      <c r="DL63" s="1759">
        <v>0</v>
      </c>
      <c r="DM63" s="1759">
        <v>0</v>
      </c>
      <c r="DN63" s="1759">
        <v>0</v>
      </c>
      <c r="DO63" s="1759">
        <v>0</v>
      </c>
      <c r="DP63" s="1759">
        <v>0</v>
      </c>
      <c r="DQ63" s="1759">
        <v>0</v>
      </c>
      <c r="DR63" s="1759">
        <v>0</v>
      </c>
      <c r="DS63" s="1759">
        <v>0</v>
      </c>
      <c r="DT63" s="1759">
        <v>0</v>
      </c>
      <c r="DU63" s="1759">
        <v>0</v>
      </c>
      <c r="DV63" s="1759">
        <v>0</v>
      </c>
      <c r="DW63" s="1759">
        <v>0</v>
      </c>
      <c r="DX63" s="1759">
        <v>0</v>
      </c>
      <c r="DY63" s="1759">
        <v>0</v>
      </c>
      <c r="DZ63" s="1759">
        <v>0</v>
      </c>
      <c r="EA63" s="1759">
        <v>0</v>
      </c>
      <c r="EB63" s="1759">
        <v>0</v>
      </c>
      <c r="EC63" s="1759">
        <v>0</v>
      </c>
      <c r="ED63" s="1759">
        <v>0</v>
      </c>
      <c r="EE63" s="1759">
        <v>0</v>
      </c>
      <c r="EF63" s="1759">
        <v>0</v>
      </c>
      <c r="EG63" s="1759">
        <v>0</v>
      </c>
      <c r="EH63" s="1759">
        <v>0</v>
      </c>
      <c r="EI63" s="1759">
        <v>0</v>
      </c>
      <c r="EJ63" s="1759">
        <v>0</v>
      </c>
      <c r="EK63" s="1759">
        <v>0</v>
      </c>
      <c r="EL63" s="1759">
        <v>0</v>
      </c>
      <c r="EM63" s="1759">
        <v>0</v>
      </c>
      <c r="EN63" s="1759">
        <v>0</v>
      </c>
      <c r="EO63" s="1759">
        <v>0</v>
      </c>
      <c r="EP63" s="1759">
        <v>0</v>
      </c>
      <c r="EQ63" s="1759">
        <v>0</v>
      </c>
      <c r="ER63" s="1759">
        <v>0</v>
      </c>
      <c r="ES63" s="1759">
        <v>0</v>
      </c>
      <c r="ET63" s="1759">
        <v>0</v>
      </c>
      <c r="EU63" s="1759">
        <v>0</v>
      </c>
      <c r="EV63" s="1759">
        <v>0</v>
      </c>
      <c r="EW63" s="1759">
        <v>0</v>
      </c>
      <c r="EX63" s="1759">
        <v>0</v>
      </c>
      <c r="EY63" s="1759">
        <v>0</v>
      </c>
      <c r="EZ63" s="1759">
        <v>0</v>
      </c>
      <c r="FA63" s="1759">
        <v>0</v>
      </c>
      <c r="FB63" s="1759">
        <v>0</v>
      </c>
      <c r="FC63" s="1759">
        <v>0</v>
      </c>
      <c r="FD63" s="1759">
        <v>0</v>
      </c>
      <c r="FE63" s="1759">
        <v>0</v>
      </c>
      <c r="FF63" s="1759">
        <v>0</v>
      </c>
      <c r="FG63" s="1759">
        <v>0</v>
      </c>
      <c r="FH63" s="1759">
        <v>0</v>
      </c>
      <c r="FI63" s="1759">
        <v>0</v>
      </c>
      <c r="FJ63" s="1759">
        <v>0</v>
      </c>
      <c r="FK63" s="1759">
        <v>0</v>
      </c>
      <c r="FL63" s="1759">
        <v>0</v>
      </c>
      <c r="FM63" s="1759">
        <v>0</v>
      </c>
      <c r="FN63" s="1759">
        <v>0</v>
      </c>
      <c r="FO63" s="1759">
        <v>0</v>
      </c>
      <c r="FP63" s="1759">
        <v>0</v>
      </c>
      <c r="FQ63" s="1759">
        <v>0</v>
      </c>
      <c r="FR63" s="1759">
        <v>0</v>
      </c>
      <c r="FS63" s="1759">
        <v>0</v>
      </c>
      <c r="FT63" s="1759">
        <v>0</v>
      </c>
      <c r="FU63" s="1759">
        <v>0</v>
      </c>
      <c r="FV63" s="1759">
        <v>0</v>
      </c>
      <c r="FW63" s="1759">
        <v>0</v>
      </c>
      <c r="FX63" s="1759">
        <v>0</v>
      </c>
      <c r="FY63" s="1759">
        <v>0</v>
      </c>
      <c r="FZ63" s="1759">
        <v>0</v>
      </c>
      <c r="GA63" s="1759">
        <v>0</v>
      </c>
      <c r="GB63" s="1759">
        <v>0</v>
      </c>
      <c r="GC63" s="1759">
        <v>0</v>
      </c>
      <c r="GD63" s="1759">
        <v>0</v>
      </c>
      <c r="GE63" s="1759">
        <v>0</v>
      </c>
      <c r="GF63" s="1759">
        <v>0</v>
      </c>
      <c r="GG63" s="1759">
        <v>0</v>
      </c>
      <c r="GH63" s="1759">
        <v>0</v>
      </c>
      <c r="GI63" s="1759">
        <v>0</v>
      </c>
      <c r="GJ63" s="1759">
        <v>0</v>
      </c>
      <c r="GK63" s="1759">
        <v>0</v>
      </c>
      <c r="GL63" s="1759">
        <v>0</v>
      </c>
      <c r="GM63" s="1759">
        <v>0</v>
      </c>
      <c r="GN63" s="1759">
        <v>0</v>
      </c>
      <c r="GO63" s="1759">
        <v>0</v>
      </c>
      <c r="GP63" s="1759">
        <v>0</v>
      </c>
      <c r="GQ63" s="1759">
        <v>0</v>
      </c>
      <c r="GR63" s="1759">
        <v>0</v>
      </c>
      <c r="GS63" s="1759">
        <v>0</v>
      </c>
      <c r="GT63" s="1759">
        <v>0</v>
      </c>
      <c r="GU63" s="1759">
        <v>0</v>
      </c>
      <c r="GV63" s="1759">
        <v>0</v>
      </c>
      <c r="GW63" s="1759">
        <v>0</v>
      </c>
      <c r="GX63" s="1759">
        <v>0</v>
      </c>
      <c r="GY63" s="1759">
        <v>0</v>
      </c>
      <c r="GZ63" s="1759">
        <v>0</v>
      </c>
      <c r="HA63" s="1759">
        <v>0</v>
      </c>
      <c r="HB63" s="1759">
        <v>0</v>
      </c>
      <c r="HC63" s="1759">
        <v>0</v>
      </c>
      <c r="HD63" s="1759">
        <v>0</v>
      </c>
      <c r="HE63" s="1759">
        <v>0</v>
      </c>
      <c r="HF63" s="1759">
        <v>0</v>
      </c>
      <c r="HG63" s="1759">
        <v>0</v>
      </c>
      <c r="HH63" s="1759">
        <v>0</v>
      </c>
      <c r="HI63" s="1759">
        <v>0</v>
      </c>
      <c r="HJ63" s="1759">
        <v>0</v>
      </c>
      <c r="HK63" s="1759">
        <v>0</v>
      </c>
      <c r="HL63" s="1759">
        <v>0</v>
      </c>
      <c r="HM63" s="1759">
        <v>0</v>
      </c>
      <c r="HN63" s="1759">
        <v>0</v>
      </c>
      <c r="HO63" s="1759">
        <v>0</v>
      </c>
      <c r="HP63" s="1759">
        <v>0</v>
      </c>
      <c r="HQ63" s="1759">
        <v>0</v>
      </c>
      <c r="HR63" s="1759">
        <v>0</v>
      </c>
      <c r="HS63" s="1759">
        <v>0</v>
      </c>
      <c r="HT63" s="1759">
        <v>0</v>
      </c>
      <c r="HU63" s="1759">
        <v>0</v>
      </c>
      <c r="HV63" s="1759">
        <v>0</v>
      </c>
      <c r="HW63" s="1759">
        <v>0</v>
      </c>
      <c r="HX63" s="1759">
        <v>0</v>
      </c>
      <c r="HY63" s="1759">
        <v>0</v>
      </c>
      <c r="HZ63" s="1759">
        <v>0</v>
      </c>
      <c r="IA63" s="1759">
        <v>0</v>
      </c>
      <c r="IB63" s="1759">
        <v>0</v>
      </c>
      <c r="IC63" s="1759">
        <v>0</v>
      </c>
      <c r="ID63" s="1759">
        <v>0</v>
      </c>
      <c r="IE63" s="1759">
        <v>0</v>
      </c>
      <c r="IF63" s="1759">
        <v>0</v>
      </c>
      <c r="IG63" s="1759">
        <v>0</v>
      </c>
      <c r="IH63" s="1759">
        <v>0</v>
      </c>
      <c r="II63" s="1759">
        <v>0</v>
      </c>
      <c r="IJ63" s="1759">
        <v>0</v>
      </c>
      <c r="IK63" s="1759">
        <v>0</v>
      </c>
      <c r="IL63" s="1759">
        <v>0</v>
      </c>
      <c r="IM63" s="1759">
        <v>0</v>
      </c>
      <c r="IN63" s="1759">
        <v>0</v>
      </c>
      <c r="IO63" s="1759">
        <v>0</v>
      </c>
      <c r="IP63" s="1759">
        <v>0</v>
      </c>
      <c r="IQ63" s="1759">
        <v>0</v>
      </c>
      <c r="IR63" s="1759">
        <v>0</v>
      </c>
      <c r="IS63" s="1759">
        <v>0</v>
      </c>
      <c r="IT63" s="1759">
        <v>0</v>
      </c>
      <c r="IU63" s="1759">
        <v>0</v>
      </c>
      <c r="IV63" s="1759">
        <v>0</v>
      </c>
      <c r="IW63" s="1759">
        <v>0</v>
      </c>
      <c r="IX63" s="1759">
        <v>0</v>
      </c>
      <c r="IY63" s="1759">
        <v>0</v>
      </c>
      <c r="IZ63" s="1759">
        <v>0</v>
      </c>
      <c r="JA63" s="1759">
        <v>0</v>
      </c>
      <c r="JB63" s="1759">
        <v>0</v>
      </c>
      <c r="JC63" s="1759">
        <v>0</v>
      </c>
      <c r="JD63" s="1759">
        <v>0</v>
      </c>
      <c r="JE63" s="1759">
        <v>0</v>
      </c>
      <c r="JF63" s="1759">
        <v>0</v>
      </c>
      <c r="JG63" s="1759">
        <v>0</v>
      </c>
      <c r="JH63" s="1759">
        <v>0</v>
      </c>
      <c r="JI63" s="1759">
        <v>0</v>
      </c>
      <c r="JJ63" s="1759">
        <v>0</v>
      </c>
      <c r="JK63" s="1759">
        <v>0</v>
      </c>
      <c r="JL63" s="1759">
        <v>0</v>
      </c>
      <c r="JM63" s="1759">
        <v>0</v>
      </c>
      <c r="JN63" s="1759">
        <v>0</v>
      </c>
      <c r="JO63" s="1759">
        <v>0</v>
      </c>
      <c r="JP63" s="1759">
        <v>0</v>
      </c>
      <c r="JQ63" s="1759">
        <v>0</v>
      </c>
      <c r="JR63" s="1759">
        <v>0</v>
      </c>
      <c r="JS63" s="1759">
        <v>0</v>
      </c>
      <c r="JT63" s="1759">
        <v>0</v>
      </c>
      <c r="JU63" s="1759">
        <v>0</v>
      </c>
      <c r="JV63" s="1759">
        <v>0</v>
      </c>
      <c r="JW63" s="1759">
        <v>0</v>
      </c>
      <c r="JX63" s="1759">
        <v>0</v>
      </c>
      <c r="JY63" s="1759">
        <v>0</v>
      </c>
      <c r="JZ63" s="1759">
        <v>0</v>
      </c>
      <c r="KA63" s="1759">
        <v>0</v>
      </c>
      <c r="KB63" s="1759">
        <v>0</v>
      </c>
      <c r="KC63" s="1759">
        <v>0</v>
      </c>
      <c r="KD63" s="1759">
        <v>0</v>
      </c>
      <c r="KE63" s="1759">
        <v>0</v>
      </c>
      <c r="KF63" s="1759">
        <v>0</v>
      </c>
      <c r="KG63" s="1759">
        <v>0</v>
      </c>
      <c r="KH63" s="1759">
        <v>0</v>
      </c>
      <c r="KI63" s="1759">
        <v>0</v>
      </c>
      <c r="KJ63" s="1759">
        <v>0</v>
      </c>
      <c r="KK63" s="1759">
        <v>0</v>
      </c>
      <c r="KL63" s="1759">
        <v>0</v>
      </c>
      <c r="KM63" s="1759">
        <v>0</v>
      </c>
      <c r="KN63" s="1759">
        <v>0</v>
      </c>
      <c r="KO63" s="1759">
        <v>0</v>
      </c>
      <c r="KP63" s="1759">
        <v>0</v>
      </c>
      <c r="KQ63" s="904">
        <f>+IFERROR(VLOOKUP(KQ$27&amp;"-"&amp;$M63&amp;"_new",Ammortamento_Finanziario!$H:$L,5,FALSE),VLOOKUP($M63,TT_Tabelle_Riferimento!$D$127:$H$164,5,FALSE))</f>
        <v>5</v>
      </c>
      <c r="KR63" s="904">
        <f>+IFERROR(VLOOKUP(KR$27&amp;"-"&amp;$M63&amp;"_new",Ammortamento_Finanziario!$H:$L,5,FALSE),VLOOKUP($M63,TT_Tabelle_Riferimento!$D$127:$H$164,5,FALSE))</f>
        <v>5</v>
      </c>
      <c r="KS63" s="1762">
        <f>+IFERROR(VLOOKUP(KS$27&amp;"-"&amp;$M63&amp;"_new",Ammortamento_Finanziario!$H:$L,5,FALSE),VLOOKUP($M63,TT_Tabelle_Riferimento!$D$127:$H$164,5,FALSE))</f>
        <v>5</v>
      </c>
      <c r="KT63" s="1762">
        <f>+IFERROR(VLOOKUP(KT$27&amp;"-"&amp;$M63&amp;"_new",Ammortamento_Finanziario!$H:$L,5,FALSE),VLOOKUP($M63,TT_Tabelle_Riferimento!$D$127:$H$164,5,FALSE))</f>
        <v>5</v>
      </c>
      <c r="KU63" s="1762">
        <f>+IFERROR(VLOOKUP(KU$27&amp;"-"&amp;$M63&amp;"_new",Ammortamento_Finanziario!$H:$L,5,FALSE),VLOOKUP($M63,TT_Tabelle_Riferimento!$D$127:$H$164,5,FALSE))</f>
        <v>5</v>
      </c>
      <c r="KV63" s="1762">
        <f>+IFERROR(VLOOKUP(KV$27&amp;"-"&amp;$M63&amp;"_new",Ammortamento_Finanziario!$H:$L,5,FALSE),VLOOKUP($M63,TT_Tabelle_Riferimento!$D$127:$H$164,5,FALSE))</f>
        <v>5</v>
      </c>
      <c r="KW63" s="1762">
        <f>+IFERROR(VLOOKUP(KW$27&amp;"-"&amp;$M63&amp;"_new",Ammortamento_Finanziario!$H:$L,5,FALSE),VLOOKUP($M63,TT_Tabelle_Riferimento!$D$127:$H$164,5,FALSE))</f>
        <v>5</v>
      </c>
      <c r="KX63" s="1762">
        <f>+IFERROR(VLOOKUP(KX$27&amp;"-"&amp;$M63&amp;"_new",Ammortamento_Finanziario!$H:$L,5,FALSE),VLOOKUP($M63,TT_Tabelle_Riferimento!$D$127:$H$164,5,FALSE))</f>
        <v>5</v>
      </c>
      <c r="KY63" s="904">
        <f>+IFERROR(VLOOKUP(KY$27&amp;"-"&amp;$M63&amp;"_new",Ammortamento_Finanziario!$H:$L,5,FALSE),VLOOKUP($M63,TT_Tabelle_Riferimento!$D$127:$H$164,5,FALSE))</f>
        <v>5</v>
      </c>
      <c r="KZ63" s="904">
        <f>+IFERROR(VLOOKUP(KZ$27&amp;"-"&amp;$M63&amp;"_new",Ammortamento_Finanziario!$H:$L,5,FALSE),VLOOKUP($M63,TT_Tabelle_Riferimento!$D$127:$H$164,5,FALSE))</f>
        <v>5</v>
      </c>
      <c r="LA63" s="904">
        <f>+IFERROR(VLOOKUP(LA$27&amp;"-"&amp;$M63&amp;"_new",Ammortamento_Finanziario!$H:$L,5,FALSE),VLOOKUP($M63,TT_Tabelle_Riferimento!$D$127:$H$164,5,FALSE))</f>
        <v>5</v>
      </c>
      <c r="LB63" s="904">
        <f>+IFERROR(VLOOKUP(LB$27&amp;"-"&amp;$M63&amp;"_new",Ammortamento_Finanziario!$H:$L,5,FALSE),VLOOKUP($M63,TT_Tabelle_Riferimento!$D$127:$H$164,5,FALSE))</f>
        <v>5</v>
      </c>
      <c r="LC63" s="904">
        <f>+IFERROR(VLOOKUP(LC$27&amp;"-"&amp;$M63&amp;"_new",Ammortamento_Finanziario!$H:$L,5,FALSE),VLOOKUP($M63,TT_Tabelle_Riferimento!$D$127:$H$164,5,FALSE))</f>
        <v>5</v>
      </c>
      <c r="LD63" s="904">
        <f>+IFERROR(VLOOKUP(LD$27&amp;"-"&amp;$M63&amp;"_new",Ammortamento_Finanziario!$H:$L,5,FALSE),VLOOKUP($M63,TT_Tabelle_Riferimento!$D$127:$H$164,5,FALSE))</f>
        <v>5</v>
      </c>
      <c r="LE63" s="904">
        <f>+IFERROR(VLOOKUP(LE$27&amp;"-"&amp;$M63&amp;"_new",Ammortamento_Finanziario!$H:$L,5,FALSE),VLOOKUP($M63,TT_Tabelle_Riferimento!$D$127:$H$164,5,FALSE))</f>
        <v>5</v>
      </c>
      <c r="LF63" s="904">
        <f>+IFERROR(VLOOKUP(LF$27&amp;"-"&amp;$M63&amp;"_new",Ammortamento_Finanziario!$H:$L,5,FALSE),VLOOKUP($M63,TT_Tabelle_Riferimento!$D$127:$H$164,5,FALSE))</f>
        <v>5</v>
      </c>
      <c r="LG63" s="904">
        <f>+IFERROR(VLOOKUP(LG$27&amp;"-"&amp;$M63&amp;"_new",Ammortamento_Finanziario!$H:$L,5,FALSE),VLOOKUP($M63,TT_Tabelle_Riferimento!$D$127:$H$164,5,FALSE))</f>
        <v>5</v>
      </c>
      <c r="LH63" s="904">
        <f>+IFERROR(VLOOKUP(LH$27&amp;"-"&amp;$M63&amp;"_new",Ammortamento_Finanziario!$H:$L,5,FALSE),VLOOKUP($M63,TT_Tabelle_Riferimento!$D$127:$H$164,5,FALSE))</f>
        <v>5</v>
      </c>
      <c r="LI63" s="904">
        <f>+IFERROR(VLOOKUP(LI$27&amp;"-"&amp;$M63&amp;"_new",Ammortamento_Finanziario!$H:$L,5,FALSE),VLOOKUP($M63,TT_Tabelle_Riferimento!$D$127:$H$164,5,FALSE))</f>
        <v>5</v>
      </c>
      <c r="LJ63" s="904">
        <f>+IFERROR(VLOOKUP(LJ$27&amp;"-"&amp;$M63&amp;"_new",Ammortamento_Finanziario!$H:$L,5,FALSE),VLOOKUP($M63,TT_Tabelle_Riferimento!$D$127:$H$164,5,FALSE))</f>
        <v>5</v>
      </c>
      <c r="LK63" s="904">
        <f>+IFERROR(VLOOKUP(LK$27&amp;"-"&amp;$M63&amp;"_new",Ammortamento_Finanziario!$H:$L,5,FALSE),VLOOKUP($M63,TT_Tabelle_Riferimento!$D$127:$H$164,5,FALSE))</f>
        <v>5</v>
      </c>
      <c r="LL63" s="904">
        <f>+IFERROR(VLOOKUP(LL$27&amp;"-"&amp;$M63&amp;"_new",Ammortamento_Finanziario!$H:$L,5,FALSE),VLOOKUP($M63,TT_Tabelle_Riferimento!$D$127:$H$164,5,FALSE))</f>
        <v>5</v>
      </c>
      <c r="LM63" s="904">
        <f>+IFERROR(VLOOKUP(LM$27&amp;"-"&amp;$M63&amp;"_new",Ammortamento_Finanziario!$H:$L,5,FALSE),VLOOKUP($M63,TT_Tabelle_Riferimento!$D$127:$H$164,5,FALSE))</f>
        <v>5</v>
      </c>
      <c r="LN63" s="904">
        <f>+IFERROR(VLOOKUP(LN$27&amp;"-"&amp;$M63&amp;"_new",Ammortamento_Finanziario!$H:$L,5,FALSE),VLOOKUP($M63,TT_Tabelle_Riferimento!$D$127:$H$164,5,FALSE))</f>
        <v>5</v>
      </c>
      <c r="LO63" s="904">
        <f>+IFERROR(VLOOKUP(LO$27&amp;"-"&amp;$M63&amp;"_new",Ammortamento_Finanziario!$H:$L,5,FALSE),VLOOKUP($M63,TT_Tabelle_Riferimento!$D$127:$H$164,5,FALSE))</f>
        <v>5</v>
      </c>
      <c r="LP63" s="904">
        <f>+IFERROR(VLOOKUP(LP$27&amp;"-"&amp;$M63&amp;"_new",Ammortamento_Finanziario!$H:$L,5,FALSE),VLOOKUP($M63,TT_Tabelle_Riferimento!$D$127:$H$164,5,FALSE))</f>
        <v>5</v>
      </c>
      <c r="LQ63" s="904">
        <f>+IFERROR(VLOOKUP(LQ$27&amp;"-"&amp;$M63&amp;"_new",Ammortamento_Finanziario!$H:$L,5,FALSE),VLOOKUP($M63,TT_Tabelle_Riferimento!$D$127:$H$164,5,FALSE))</f>
        <v>5</v>
      </c>
      <c r="LR63" s="904">
        <f>+IFERROR(VLOOKUP(LR$27&amp;"-"&amp;$M63&amp;"_new",Ammortamento_Finanziario!$H:$L,5,FALSE),VLOOKUP($M63,TT_Tabelle_Riferimento!$D$127:$H$164,5,FALSE))</f>
        <v>5</v>
      </c>
      <c r="LS63" s="1762">
        <f>+IFERROR(VLOOKUP(LS$27&amp;"-"&amp;$M63&amp;"_new",Ammortamento_Finanziario!$H:$L,5,FALSE),VLOOKUP($M63,TT_Tabelle_Riferimento!$D$127:$H$164,5,FALSE))</f>
        <v>5</v>
      </c>
      <c r="LT63" s="1762">
        <f>+IFERROR(VLOOKUP(LT$27&amp;"-"&amp;$M63&amp;"_new",Ammortamento_Finanziario!$H:$L,5,FALSE),VLOOKUP($M63,TT_Tabelle_Riferimento!$D$127:$H$164,5,FALSE))</f>
        <v>5</v>
      </c>
      <c r="LU63" s="1762">
        <f>+IFERROR(VLOOKUP(LU$27&amp;"-"&amp;$M63&amp;"_new",Ammortamento_Finanziario!$H:$L,5,FALSE),VLOOKUP($M63,TT_Tabelle_Riferimento!$D$127:$H$164,5,FALSE))</f>
        <v>5</v>
      </c>
      <c r="LV63" s="1762">
        <f>+IFERROR(VLOOKUP(LV$27&amp;"-"&amp;$M63&amp;"_new",Ammortamento_Finanziario!$H:$L,5,FALSE),VLOOKUP($M63,TT_Tabelle_Riferimento!$D$127:$H$164,5,FALSE))</f>
        <v>5</v>
      </c>
      <c r="LW63" s="1762">
        <f>+IFERROR(VLOOKUP(LW$27&amp;"-"&amp;$M63&amp;"_new",Ammortamento_Finanziario!$H:$L,5,FALSE),VLOOKUP($M63,TT_Tabelle_Riferimento!$D$127:$H$164,5,FALSE))</f>
        <v>5</v>
      </c>
      <c r="LX63" s="1762">
        <f>+IFERROR(VLOOKUP(LX$27&amp;"-"&amp;$M63&amp;"_new",Ammortamento_Finanziario!$H:$L,5,FALSE),VLOOKUP($M63,TT_Tabelle_Riferimento!$D$127:$H$164,5,FALSE))</f>
        <v>5</v>
      </c>
      <c r="LY63" s="904">
        <f>+IFERROR(VLOOKUP(LY$27&amp;"-"&amp;$M63&amp;"_new",Ammortamento_Finanziario!$H:$L,5,FALSE),VLOOKUP($M63,TT_Tabelle_Riferimento!$D$127:$H$164,5,FALSE))</f>
        <v>5</v>
      </c>
      <c r="LZ63" s="904">
        <f>+IFERROR(VLOOKUP(LZ$27&amp;"-"&amp;$M63&amp;"_new",Ammortamento_Finanziario!$H:$L,5,FALSE),VLOOKUP($M63,TT_Tabelle_Riferimento!$D$127:$H$164,5,FALSE))</f>
        <v>5</v>
      </c>
      <c r="MA63" s="904">
        <f>+IFERROR(VLOOKUP(MA$27&amp;"-"&amp;$M63&amp;"_new",Ammortamento_Finanziario!$H:$L,5,FALSE),VLOOKUP($M63,TT_Tabelle_Riferimento!$D$127:$H$164,5,FALSE))</f>
        <v>5</v>
      </c>
      <c r="MB63" s="904">
        <f>+IFERROR(VLOOKUP(MB$27&amp;"-"&amp;$M63&amp;"_new",Ammortamento_Finanziario!$H:$L,5,FALSE),VLOOKUP($M63,TT_Tabelle_Riferimento!$D$127:$H$164,5,FALSE))</f>
        <v>5</v>
      </c>
      <c r="MC63" s="904">
        <f>+IFERROR(VLOOKUP(MC$27&amp;"-"&amp;$M63&amp;"_new",Ammortamento_Finanziario!$H:$L,5,FALSE),VLOOKUP($M63,TT_Tabelle_Riferimento!$D$127:$H$164,5,FALSE))</f>
        <v>5</v>
      </c>
      <c r="MD63" s="904">
        <f>+IFERROR(VLOOKUP(MD$27&amp;"-"&amp;$M63&amp;"_new",Ammortamento_Finanziario!$H:$L,5,FALSE),VLOOKUP($M63,TT_Tabelle_Riferimento!$D$127:$H$164,5,FALSE))</f>
        <v>5</v>
      </c>
      <c r="ME63" s="904">
        <f>+IFERROR(VLOOKUP(ME$27&amp;"-"&amp;$M63&amp;"_new",Ammortamento_Finanziario!$H:$L,5,FALSE),VLOOKUP($M63,TT_Tabelle_Riferimento!$D$127:$H$164,5,FALSE))</f>
        <v>5</v>
      </c>
      <c r="MF63" s="904">
        <f>+IFERROR(VLOOKUP(MF$27&amp;"-"&amp;$M63&amp;"_new",Ammortamento_Finanziario!$H:$L,5,FALSE),VLOOKUP($M63,TT_Tabelle_Riferimento!$D$127:$H$164,5,FALSE))</f>
        <v>5</v>
      </c>
      <c r="MG63" s="904">
        <f>+IFERROR(VLOOKUP(MG$27&amp;"-"&amp;$M63&amp;"_new",Ammortamento_Finanziario!$H:$L,5,FALSE),VLOOKUP($M63,TT_Tabelle_Riferimento!$D$127:$H$164,5,FALSE))</f>
        <v>5</v>
      </c>
      <c r="MH63" s="904">
        <f>+IFERROR(VLOOKUP(MH$27&amp;"-"&amp;$M63&amp;"_new",Ammortamento_Finanziario!$H:$L,5,FALSE),VLOOKUP($M63,TT_Tabelle_Riferimento!$D$127:$H$164,5,FALSE))</f>
        <v>5</v>
      </c>
      <c r="MI63" s="904">
        <f>+IFERROR(VLOOKUP(MI$27&amp;"-"&amp;$M63&amp;"_new",Ammortamento_Finanziario!$H:$L,5,FALSE),VLOOKUP($M63,TT_Tabelle_Riferimento!$D$127:$H$164,5,FALSE))</f>
        <v>5</v>
      </c>
      <c r="MJ63" s="904">
        <f>+IFERROR(VLOOKUP(MJ$27&amp;"-"&amp;$M63&amp;"_new",Ammortamento_Finanziario!$H:$L,5,FALSE),VLOOKUP($M63,TT_Tabelle_Riferimento!$D$127:$H$164,5,FALSE))</f>
        <v>5</v>
      </c>
      <c r="MK63" s="904">
        <f>+IFERROR(VLOOKUP(MK$27&amp;"-"&amp;$M63&amp;"_new",Ammortamento_Finanziario!$H:$L,5,FALSE),VLOOKUP($M63,TT_Tabelle_Riferimento!$D$127:$H$164,5,FALSE))</f>
        <v>5</v>
      </c>
      <c r="ML63" s="904">
        <f>+IFERROR(VLOOKUP(ML$27&amp;"-"&amp;$M63&amp;"_new",Ammortamento_Finanziario!$H:$L,5,FALSE),VLOOKUP($M63,TT_Tabelle_Riferimento!$D$127:$H$164,5,FALSE))</f>
        <v>5</v>
      </c>
      <c r="MM63" s="904">
        <f>+IFERROR(VLOOKUP(MM$27&amp;"-"&amp;$M63&amp;"_new",Ammortamento_Finanziario!$H:$L,5,FALSE),VLOOKUP($M63,TT_Tabelle_Riferimento!$D$127:$H$164,5,FALSE))</f>
        <v>5</v>
      </c>
      <c r="MN63" s="904">
        <f>+IFERROR(VLOOKUP(MN$27&amp;"-"&amp;$M63&amp;"_new",Ammortamento_Finanziario!$H:$L,5,FALSE),VLOOKUP($M63,TT_Tabelle_Riferimento!$D$127:$H$164,5,FALSE))</f>
        <v>5</v>
      </c>
      <c r="MO63" s="904">
        <f>+IFERROR(VLOOKUP(MO$27&amp;"-"&amp;$M63&amp;"_new",Ammortamento_Finanziario!$H:$L,5,FALSE),VLOOKUP($M63,TT_Tabelle_Riferimento!$D$127:$H$164,5,FALSE))</f>
        <v>5</v>
      </c>
      <c r="MP63" s="904">
        <f>+IFERROR(VLOOKUP(MP$27&amp;"-"&amp;$M63&amp;"_new",Ammortamento_Finanziario!$H:$L,5,FALSE),VLOOKUP($M63,TT_Tabelle_Riferimento!$D$127:$H$164,5,FALSE))</f>
        <v>5</v>
      </c>
      <c r="MQ63" s="904">
        <f>+IFERROR(VLOOKUP(MQ$27&amp;"-"&amp;$M63&amp;"_new",Ammortamento_Finanziario!$H:$L,5,FALSE),VLOOKUP($M63,TT_Tabelle_Riferimento!$D$127:$H$164,5,FALSE))</f>
        <v>5</v>
      </c>
      <c r="MR63" s="1762">
        <f>+IFERROR(VLOOKUP(MR$27&amp;"-"&amp;$M63&amp;"_new",Ammortamento_Finanziario!$H:$L,5,FALSE),VLOOKUP($M63,TT_Tabelle_Riferimento!$D$127:$H$164,5,FALSE))</f>
        <v>5</v>
      </c>
      <c r="MS63" s="1762">
        <f>+IFERROR(VLOOKUP(MS$27&amp;"-"&amp;$M63&amp;"_new",Ammortamento_Finanziario!$H:$L,5,FALSE),VLOOKUP($M63,TT_Tabelle_Riferimento!$D$127:$H$164,5,FALSE))</f>
        <v>5</v>
      </c>
      <c r="MT63" s="1762">
        <f>+IFERROR(VLOOKUP(MT$27&amp;"-"&amp;$M63&amp;"_new",Ammortamento_Finanziario!$H:$L,5,FALSE),VLOOKUP($M63,TT_Tabelle_Riferimento!$D$127:$H$164,5,FALSE))</f>
        <v>5</v>
      </c>
      <c r="MU63" s="1762">
        <f>+IFERROR(VLOOKUP(MU$27&amp;"-"&amp;$M63&amp;"_new",Ammortamento_Finanziario!$H:$L,5,FALSE),VLOOKUP($M63,TT_Tabelle_Riferimento!$D$127:$H$164,5,FALSE))</f>
        <v>5</v>
      </c>
      <c r="MV63" s="1762">
        <f>+IFERROR(VLOOKUP(MV$27&amp;"-"&amp;$M63&amp;"_new",Ammortamento_Finanziario!$H:$L,5,FALSE),VLOOKUP($M63,TT_Tabelle_Riferimento!$D$127:$H$164,5,FALSE))</f>
        <v>5</v>
      </c>
      <c r="MW63" s="1762">
        <f>+IFERROR(VLOOKUP(MW$27&amp;"-"&amp;$M63&amp;"_new",Ammortamento_Finanziario!$H:$L,5,FALSE),VLOOKUP($M63,TT_Tabelle_Riferimento!$D$127:$H$164,5,FALSE))</f>
        <v>5</v>
      </c>
      <c r="MX63" s="904">
        <f>+IFERROR(VLOOKUP(MX$27&amp;"-"&amp;$M63&amp;"_new",Ammortamento_Finanziario!$H:$L,5,FALSE),VLOOKUP($M63,TT_Tabelle_Riferimento!$D$127:$H$164,5,FALSE))</f>
        <v>5</v>
      </c>
      <c r="MY63" s="904">
        <f>+IFERROR(VLOOKUP(MY$27&amp;"-"&amp;$M63&amp;"_new",Ammortamento_Finanziario!$H:$L,5,FALSE),VLOOKUP($M63,TT_Tabelle_Riferimento!$D$127:$H$164,5,FALSE))</f>
        <v>5</v>
      </c>
      <c r="MZ63" s="904">
        <f>+IFERROR(VLOOKUP(MZ$27&amp;"-"&amp;$M63&amp;"_new",Ammortamento_Finanziario!$H:$L,5,FALSE),VLOOKUP($M63,TT_Tabelle_Riferimento!$D$127:$H$164,5,FALSE))</f>
        <v>5</v>
      </c>
      <c r="NA63" s="904">
        <f>+IFERROR(VLOOKUP(NA$27&amp;"-"&amp;$M63&amp;"_new",Ammortamento_Finanziario!$H:$L,5,FALSE),VLOOKUP($M63,TT_Tabelle_Riferimento!$D$127:$H$164,5,FALSE))</f>
        <v>5</v>
      </c>
      <c r="NB63" s="904">
        <f>+IFERROR(VLOOKUP(NB$27&amp;"-"&amp;$M63&amp;"_new",Ammortamento_Finanziario!$H:$L,5,FALSE),VLOOKUP($M63,TT_Tabelle_Riferimento!$D$127:$H$164,5,FALSE))</f>
        <v>5</v>
      </c>
      <c r="NC63" s="904">
        <f>+IFERROR(VLOOKUP(NC$27&amp;"-"&amp;$M63&amp;"_new",Ammortamento_Finanziario!$H:$L,5,FALSE),VLOOKUP($M63,TT_Tabelle_Riferimento!$D$127:$H$164,5,FALSE))</f>
        <v>5</v>
      </c>
      <c r="ND63" s="904">
        <f>+IFERROR(VLOOKUP(ND$27&amp;"-"&amp;$M63&amp;"_new",Ammortamento_Finanziario!$H:$L,5,FALSE),VLOOKUP($M63,TT_Tabelle_Riferimento!$D$127:$H$164,5,FALSE))</f>
        <v>5</v>
      </c>
      <c r="NE63" s="904">
        <f>+IFERROR(VLOOKUP(NE$27&amp;"-"&amp;$M63&amp;"_new",Ammortamento_Finanziario!$H:$L,5,FALSE),VLOOKUP($M63,TT_Tabelle_Riferimento!$D$127:$H$164,5,FALSE))</f>
        <v>5</v>
      </c>
      <c r="NF63" s="904">
        <f>+IFERROR(VLOOKUP(NF$27&amp;"-"&amp;$M63&amp;"_new",Ammortamento_Finanziario!$H:$L,5,FALSE),VLOOKUP($M63,TT_Tabelle_Riferimento!$D$127:$H$164,5,FALSE))</f>
        <v>5</v>
      </c>
      <c r="NG63" s="904">
        <f>+IFERROR(VLOOKUP(NG$27&amp;"-"&amp;$M63&amp;"_new",Ammortamento_Finanziario!$H:$L,5,FALSE),VLOOKUP($M63,TT_Tabelle_Riferimento!$D$127:$H$164,5,FALSE))</f>
        <v>5</v>
      </c>
      <c r="NH63" s="904">
        <f>+IFERROR(VLOOKUP(NH$27&amp;"-"&amp;$M63&amp;"_new",Ammortamento_Finanziario!$H:$L,5,FALSE),VLOOKUP($M63,TT_Tabelle_Riferimento!$D$127:$H$164,5,FALSE))</f>
        <v>5</v>
      </c>
      <c r="NI63" s="904">
        <f>+IFERROR(VLOOKUP(NI$27&amp;"-"&amp;$M63&amp;"_new",Ammortamento_Finanziario!$H:$L,5,FALSE),VLOOKUP($M63,TT_Tabelle_Riferimento!$D$127:$H$164,5,FALSE))</f>
        <v>5</v>
      </c>
      <c r="NJ63" s="904">
        <f>+IFERROR(VLOOKUP(NJ$27&amp;"-"&amp;$M63&amp;"_new",Ammortamento_Finanziario!$H:$L,5,FALSE),VLOOKUP($M63,TT_Tabelle_Riferimento!$D$127:$H$164,5,FALSE))</f>
        <v>5</v>
      </c>
      <c r="NK63" s="904">
        <f>+IFERROR(VLOOKUP(NK$27&amp;"-"&amp;$M63&amp;"_new",Ammortamento_Finanziario!$H:$L,5,FALSE),VLOOKUP($M63,TT_Tabelle_Riferimento!$D$127:$H$164,5,FALSE))</f>
        <v>5</v>
      </c>
      <c r="NL63" s="904">
        <f>+IFERROR(VLOOKUP(NL$27&amp;"-"&amp;$M63&amp;"_new",Ammortamento_Finanziario!$H:$L,5,FALSE),VLOOKUP($M63,TT_Tabelle_Riferimento!$D$127:$H$164,5,FALSE))</f>
        <v>5</v>
      </c>
      <c r="NM63" s="904">
        <f>+IFERROR(VLOOKUP(NM$27&amp;"-"&amp;$M63&amp;"_new",Ammortamento_Finanziario!$H:$L,5,FALSE),VLOOKUP($M63,TT_Tabelle_Riferimento!$D$127:$H$164,5,FALSE))</f>
        <v>5</v>
      </c>
      <c r="NN63" s="904">
        <f>+IFERROR(VLOOKUP(NN$27&amp;"-"&amp;$M63&amp;"_new",Ammortamento_Finanziario!$H:$L,5,FALSE),VLOOKUP($M63,TT_Tabelle_Riferimento!$D$127:$H$164,5,FALSE))</f>
        <v>5</v>
      </c>
      <c r="NO63" s="904">
        <f>+IFERROR(VLOOKUP(NO$27&amp;"-"&amp;$M63&amp;"_new",Ammortamento_Finanziario!$H:$L,5,FALSE),VLOOKUP($M63,TT_Tabelle_Riferimento!$D$127:$H$164,5,FALSE))</f>
        <v>5</v>
      </c>
      <c r="NP63" s="904">
        <f>+IFERROR(VLOOKUP(NP$27&amp;"-"&amp;$M63&amp;"_new",Ammortamento_Finanziario!$H:$L,5,FALSE),VLOOKUP($M63,TT_Tabelle_Riferimento!$D$127:$H$164,5,FALSE))</f>
        <v>5</v>
      </c>
      <c r="NQ63" s="1762">
        <f>+IFERROR(VLOOKUP(NQ$27&amp;"-"&amp;$M63&amp;"_new",Ammortamento_Finanziario!$H:$L,5,FALSE),VLOOKUP($M63,TT_Tabelle_Riferimento!$D$127:$H$164,5,FALSE))</f>
        <v>5</v>
      </c>
      <c r="NR63" s="1762">
        <f>+IFERROR(VLOOKUP(NR$27&amp;"-"&amp;$M63&amp;"_new",Ammortamento_Finanziario!$H:$L,5,FALSE),VLOOKUP($M63,TT_Tabelle_Riferimento!$D$127:$H$164,5,FALSE))</f>
        <v>5</v>
      </c>
      <c r="NS63" s="1762">
        <f>+IFERROR(VLOOKUP(NS$27&amp;"-"&amp;$M63&amp;"_new",Ammortamento_Finanziario!$H:$L,5,FALSE),VLOOKUP($M63,TT_Tabelle_Riferimento!$D$127:$H$164,5,FALSE))</f>
        <v>5</v>
      </c>
      <c r="NT63" s="1762">
        <f>+IFERROR(VLOOKUP(NT$27&amp;"-"&amp;$M63&amp;"_new",Ammortamento_Finanziario!$H:$L,5,FALSE),VLOOKUP($M63,TT_Tabelle_Riferimento!$D$127:$H$164,5,FALSE))</f>
        <v>5</v>
      </c>
      <c r="NU63" s="1762">
        <f>+IFERROR(VLOOKUP(NU$27&amp;"-"&amp;$M63&amp;"_new",Ammortamento_Finanziario!$H:$L,5,FALSE),VLOOKUP($M63,TT_Tabelle_Riferimento!$D$127:$H$164,5,FALSE))</f>
        <v>5</v>
      </c>
      <c r="NV63" s="904">
        <f>+IFERROR(VLOOKUP(NV$27&amp;"-"&amp;$M63&amp;"_new",Ammortamento_Finanziario!$H:$L,5,FALSE),VLOOKUP($M63,TT_Tabelle_Riferimento!$D$127:$H$164,5,FALSE))</f>
        <v>5</v>
      </c>
      <c r="NW63" s="904">
        <f>+IFERROR(VLOOKUP(NW$27&amp;"-"&amp;$M63&amp;"_new",Ammortamento_Finanziario!$H:$L,5,FALSE),VLOOKUP($M63,TT_Tabelle_Riferimento!$D$127:$H$164,5,FALSE))</f>
        <v>5</v>
      </c>
      <c r="NX63" s="904">
        <f>+IFERROR(VLOOKUP(NX$27&amp;"-"&amp;$M63&amp;"_new",Ammortamento_Finanziario!$H:$L,5,FALSE),VLOOKUP($M63,TT_Tabelle_Riferimento!$D$127:$H$164,5,FALSE))</f>
        <v>5</v>
      </c>
      <c r="NY63" s="904">
        <f>+IFERROR(VLOOKUP(NY$27&amp;"-"&amp;$M63&amp;"_new",Ammortamento_Finanziario!$H:$L,5,FALSE),VLOOKUP($M63,TT_Tabelle_Riferimento!$D$127:$H$164,5,FALSE))</f>
        <v>5</v>
      </c>
      <c r="NZ63" s="904">
        <f>+IFERROR(VLOOKUP(NZ$27&amp;"-"&amp;$M63&amp;"_new",Ammortamento_Finanziario!$H:$L,5,FALSE),VLOOKUP($M63,TT_Tabelle_Riferimento!$D$127:$H$164,5,FALSE))</f>
        <v>5</v>
      </c>
      <c r="OA63" s="904">
        <f>+IFERROR(VLOOKUP(OA$27&amp;"-"&amp;$M63&amp;"_new",Ammortamento_Finanziario!$H:$L,5,FALSE),VLOOKUP($M63,TT_Tabelle_Riferimento!$D$127:$H$164,5,FALSE))</f>
        <v>5</v>
      </c>
      <c r="OB63" s="904">
        <f>+IFERROR(VLOOKUP(OB$27&amp;"-"&amp;$M63&amp;"_new",Ammortamento_Finanziario!$H:$L,5,FALSE),VLOOKUP($M63,TT_Tabelle_Riferimento!$D$127:$H$164,5,FALSE))</f>
        <v>5</v>
      </c>
      <c r="OC63" s="904">
        <f>+IFERROR(VLOOKUP(OC$27&amp;"-"&amp;$M63&amp;"_new",Ammortamento_Finanziario!$H:$L,5,FALSE),VLOOKUP($M63,TT_Tabelle_Riferimento!$D$127:$H$164,5,FALSE))</f>
        <v>5</v>
      </c>
      <c r="OD63" s="904">
        <f>+IFERROR(VLOOKUP(OD$27&amp;"-"&amp;$M63&amp;"_new",Ammortamento_Finanziario!$H:$L,5,FALSE),VLOOKUP($M63,TT_Tabelle_Riferimento!$D$127:$H$164,5,FALSE))</f>
        <v>5</v>
      </c>
      <c r="OE63" s="904">
        <f>+IFERROR(VLOOKUP(OE$27&amp;"-"&amp;$M63&amp;"_new",Ammortamento_Finanziario!$H:$L,5,FALSE),VLOOKUP($M63,TT_Tabelle_Riferimento!$D$127:$H$164,5,FALSE))</f>
        <v>5</v>
      </c>
      <c r="OF63" s="904">
        <f>+IFERROR(VLOOKUP(OF$27&amp;"-"&amp;$M63&amp;"_new",Ammortamento_Finanziario!$H:$L,5,FALSE),VLOOKUP($M63,TT_Tabelle_Riferimento!$D$127:$H$164,5,FALSE))</f>
        <v>5</v>
      </c>
      <c r="OG63" s="904">
        <f>+IFERROR(VLOOKUP(OG$27&amp;"-"&amp;$M63&amp;"_new",Ammortamento_Finanziario!$H:$L,5,FALSE),VLOOKUP($M63,TT_Tabelle_Riferimento!$D$127:$H$164,5,FALSE))</f>
        <v>5</v>
      </c>
      <c r="OH63" s="904">
        <f>+IFERROR(VLOOKUP(OH$27&amp;"-"&amp;$M63&amp;"_new",Ammortamento_Finanziario!$H:$L,5,FALSE),VLOOKUP($M63,TT_Tabelle_Riferimento!$D$127:$H$164,5,FALSE))</f>
        <v>5</v>
      </c>
      <c r="OI63" s="904">
        <f>+IFERROR(VLOOKUP(OI$27&amp;"-"&amp;$M63&amp;"_new",Ammortamento_Finanziario!$H:$L,5,FALSE),VLOOKUP($M63,TT_Tabelle_Riferimento!$D$127:$H$164,5,FALSE))</f>
        <v>5</v>
      </c>
      <c r="OJ63" s="904">
        <f>+IFERROR(VLOOKUP(OJ$27&amp;"-"&amp;$M63&amp;"_new",Ammortamento_Finanziario!$H:$L,5,FALSE),VLOOKUP($M63,TT_Tabelle_Riferimento!$D$127:$H$164,5,FALSE))</f>
        <v>5</v>
      </c>
      <c r="OK63" s="904">
        <f>+IFERROR(VLOOKUP(OK$27&amp;"-"&amp;$M63&amp;"_new",Ammortamento_Finanziario!$H:$L,5,FALSE),VLOOKUP($M63,TT_Tabelle_Riferimento!$D$127:$H$164,5,FALSE))</f>
        <v>5</v>
      </c>
      <c r="OL63" s="904">
        <f>+IFERROR(VLOOKUP(OL$27&amp;"-"&amp;$M63&amp;"_new",Ammortamento_Finanziario!$H:$L,5,FALSE),VLOOKUP($M63,TT_Tabelle_Riferimento!$D$127:$H$164,5,FALSE))</f>
        <v>5</v>
      </c>
      <c r="OM63" s="904">
        <f>+IFERROR(VLOOKUP(OM$27&amp;"-"&amp;$M63&amp;"_new",Ammortamento_Finanziario!$H:$L,5,FALSE),VLOOKUP($M63,TT_Tabelle_Riferimento!$D$127:$H$164,5,FALSE))</f>
        <v>5</v>
      </c>
      <c r="ON63" s="904">
        <f>+IFERROR(VLOOKUP(ON$27&amp;"-"&amp;$M63&amp;"_new",Ammortamento_Finanziario!$H:$L,5,FALSE),VLOOKUP($M63,TT_Tabelle_Riferimento!$D$127:$H$164,5,FALSE))</f>
        <v>5</v>
      </c>
      <c r="OO63" s="1762">
        <f>+IFERROR(VLOOKUP(OO$27&amp;"-"&amp;$M63&amp;"_new",Ammortamento_Finanziario!$H:$L,5,FALSE),VLOOKUP($M63,TT_Tabelle_Riferimento!$D$127:$H$164,5,FALSE))</f>
        <v>5</v>
      </c>
      <c r="OP63" s="1762">
        <f>+IFERROR(VLOOKUP(OP$27&amp;"-"&amp;$M63&amp;"_new",Ammortamento_Finanziario!$H:$L,5,FALSE),VLOOKUP($M63,TT_Tabelle_Riferimento!$D$127:$H$164,5,FALSE))</f>
        <v>5</v>
      </c>
      <c r="OQ63" s="1762">
        <f>+IFERROR(VLOOKUP(OQ$27&amp;"-"&amp;$M63&amp;"_new",Ammortamento_Finanziario!$H:$L,5,FALSE),VLOOKUP($M63,TT_Tabelle_Riferimento!$D$127:$H$164,5,FALSE))</f>
        <v>5</v>
      </c>
      <c r="OR63" s="1762">
        <f>+IFERROR(VLOOKUP(OR$27&amp;"-"&amp;$M63&amp;"_new",Ammortamento_Finanziario!$H:$L,5,FALSE),VLOOKUP($M63,TT_Tabelle_Riferimento!$D$127:$H$164,5,FALSE))</f>
        <v>5</v>
      </c>
      <c r="OS63" s="904">
        <f>+IFERROR(VLOOKUP(OS$27&amp;"-"&amp;$M63&amp;"_new",Ammortamento_Finanziario!$H:$L,5,FALSE),VLOOKUP($M63,TT_Tabelle_Riferimento!$D$127:$H$164,5,FALSE))</f>
        <v>5</v>
      </c>
      <c r="OT63" s="904">
        <f>+IFERROR(VLOOKUP(OT$27&amp;"-"&amp;$M63&amp;"_new",Ammortamento_Finanziario!$H:$L,5,FALSE),VLOOKUP($M63,TT_Tabelle_Riferimento!$D$127:$H$164,5,FALSE))</f>
        <v>5</v>
      </c>
      <c r="OU63" s="904">
        <f>+IFERROR(VLOOKUP(OU$27&amp;"-"&amp;$M63&amp;"_new",Ammortamento_Finanziario!$H:$L,5,FALSE),VLOOKUP($M63,TT_Tabelle_Riferimento!$D$127:$H$164,5,FALSE))</f>
        <v>5</v>
      </c>
      <c r="OV63" s="904">
        <f>+IFERROR(VLOOKUP(OV$27&amp;"-"&amp;$M63&amp;"_new",Ammortamento_Finanziario!$H:$L,5,FALSE),VLOOKUP($M63,TT_Tabelle_Riferimento!$D$127:$H$164,5,FALSE))</f>
        <v>5</v>
      </c>
      <c r="OW63" s="904">
        <f>+IFERROR(VLOOKUP(OW$27&amp;"-"&amp;$M63&amp;"_new",Ammortamento_Finanziario!$H:$L,5,FALSE),VLOOKUP($M63,TT_Tabelle_Riferimento!$D$127:$H$164,5,FALSE))</f>
        <v>5</v>
      </c>
      <c r="OX63" s="904">
        <f>+IFERROR(VLOOKUP(OX$27&amp;"-"&amp;$M63&amp;"_new",Ammortamento_Finanziario!$H:$L,5,FALSE),VLOOKUP($M63,TT_Tabelle_Riferimento!$D$127:$H$164,5,FALSE))</f>
        <v>5</v>
      </c>
      <c r="OY63" s="904">
        <f>+IFERROR(VLOOKUP(OY$27&amp;"-"&amp;$M63&amp;"_new",Ammortamento_Finanziario!$H:$L,5,FALSE),VLOOKUP($M63,TT_Tabelle_Riferimento!$D$127:$H$164,5,FALSE))</f>
        <v>5</v>
      </c>
      <c r="OZ63" s="904">
        <f>+IFERROR(VLOOKUP(OZ$27&amp;"-"&amp;$M63&amp;"_new",Ammortamento_Finanziario!$H:$L,5,FALSE),VLOOKUP($M63,TT_Tabelle_Riferimento!$D$127:$H$164,5,FALSE))</f>
        <v>5</v>
      </c>
      <c r="PA63" s="904">
        <f>+IFERROR(VLOOKUP(PA$27&amp;"-"&amp;$M63&amp;"_new",Ammortamento_Finanziario!$H:$L,5,FALSE),VLOOKUP($M63,TT_Tabelle_Riferimento!$D$127:$H$164,5,FALSE))</f>
        <v>5</v>
      </c>
      <c r="PB63" s="904">
        <f>+IFERROR(VLOOKUP(PB$27&amp;"-"&amp;$M63&amp;"_new",Ammortamento_Finanziario!$H:$L,5,FALSE),VLOOKUP($M63,TT_Tabelle_Riferimento!$D$127:$H$164,5,FALSE))</f>
        <v>5</v>
      </c>
      <c r="PC63" s="904">
        <f>+IFERROR(VLOOKUP(PC$27&amp;"-"&amp;$M63&amp;"_new",Ammortamento_Finanziario!$H:$L,5,FALSE),VLOOKUP($M63,TT_Tabelle_Riferimento!$D$127:$H$164,5,FALSE))</f>
        <v>5</v>
      </c>
      <c r="PD63" s="904">
        <f>+IFERROR(VLOOKUP(PD$27&amp;"-"&amp;$M63&amp;"_new",Ammortamento_Finanziario!$H:$L,5,FALSE),VLOOKUP($M63,TT_Tabelle_Riferimento!$D$127:$H$164,5,FALSE))</f>
        <v>5</v>
      </c>
      <c r="PE63" s="904">
        <f>+IFERROR(VLOOKUP(PE$27&amp;"-"&amp;$M63&amp;"_new",Ammortamento_Finanziario!$H:$L,5,FALSE),VLOOKUP($M63,TT_Tabelle_Riferimento!$D$127:$H$164,5,FALSE))</f>
        <v>5</v>
      </c>
      <c r="PF63" s="904">
        <f>+IFERROR(VLOOKUP(PF$27&amp;"-"&amp;$M63&amp;"_new",Ammortamento_Finanziario!$H:$L,5,FALSE),VLOOKUP($M63,TT_Tabelle_Riferimento!$D$127:$H$164,5,FALSE))</f>
        <v>5</v>
      </c>
      <c r="PG63" s="904">
        <f>+IFERROR(VLOOKUP(PG$27&amp;"-"&amp;$M63&amp;"_new",Ammortamento_Finanziario!$H:$L,5,FALSE),VLOOKUP($M63,TT_Tabelle_Riferimento!$D$127:$H$164,5,FALSE))</f>
        <v>5</v>
      </c>
      <c r="PH63" s="904">
        <f>+IFERROR(VLOOKUP(PH$27&amp;"-"&amp;$M63&amp;"_new",Ammortamento_Finanziario!$H:$L,5,FALSE),VLOOKUP($M63,TT_Tabelle_Riferimento!$D$127:$H$164,5,FALSE))</f>
        <v>5</v>
      </c>
      <c r="PI63" s="904">
        <f>+IFERROR(VLOOKUP(PI$27&amp;"-"&amp;$M63&amp;"_new",Ammortamento_Finanziario!$H:$L,5,FALSE),VLOOKUP($M63,TT_Tabelle_Riferimento!$D$127:$H$164,5,FALSE))</f>
        <v>5</v>
      </c>
      <c r="PJ63" s="904">
        <f>+IFERROR(VLOOKUP(PJ$27&amp;"-"&amp;$M63&amp;"_new",Ammortamento_Finanziario!$H:$L,5,FALSE),VLOOKUP($M63,TT_Tabelle_Riferimento!$D$127:$H$164,5,FALSE))</f>
        <v>5</v>
      </c>
      <c r="PK63" s="904">
        <f>+IFERROR(VLOOKUP(PK$27&amp;"-"&amp;$M63&amp;"_new",Ammortamento_Finanziario!$H:$L,5,FALSE),VLOOKUP($M63,TT_Tabelle_Riferimento!$D$127:$H$164,5,FALSE))</f>
        <v>5</v>
      </c>
      <c r="PL63" s="1762">
        <f>+IFERROR(VLOOKUP(PL$27&amp;"-"&amp;$M63&amp;"_new",Ammortamento_Finanziario!$H:$L,5,FALSE),VLOOKUP($M63,TT_Tabelle_Riferimento!$D$127:$H$164,5,FALSE))</f>
        <v>5</v>
      </c>
      <c r="PM63" s="1762">
        <f>+IFERROR(VLOOKUP(PM$27&amp;"-"&amp;$M63&amp;"_new",Ammortamento_Finanziario!$H:$L,5,FALSE),VLOOKUP($M63,TT_Tabelle_Riferimento!$D$127:$H$164,5,FALSE))</f>
        <v>5</v>
      </c>
      <c r="PN63" s="1762">
        <f>+IFERROR(VLOOKUP(PN$27&amp;"-"&amp;$M63&amp;"_new",Ammortamento_Finanziario!$H:$L,5,FALSE),VLOOKUP($M63,TT_Tabelle_Riferimento!$D$127:$H$164,5,FALSE))</f>
        <v>5</v>
      </c>
      <c r="PO63" s="904">
        <f>+IFERROR(VLOOKUP(PO$27&amp;"-"&amp;$M63&amp;"_new",Ammortamento_Finanziario!$H:$L,5,FALSE),VLOOKUP($M63,TT_Tabelle_Riferimento!$D$127:$H$164,5,FALSE))</f>
        <v>5</v>
      </c>
      <c r="PP63" s="904">
        <f>+IFERROR(VLOOKUP(PP$27&amp;"-"&amp;$M63&amp;"_new",Ammortamento_Finanziario!$H:$L,5,FALSE),VLOOKUP($M63,TT_Tabelle_Riferimento!$D$127:$H$164,5,FALSE))</f>
        <v>5</v>
      </c>
      <c r="PQ63" s="904">
        <f>+IFERROR(VLOOKUP(PQ$27&amp;"-"&amp;$M63&amp;"_new",Ammortamento_Finanziario!$H:$L,5,FALSE),VLOOKUP($M63,TT_Tabelle_Riferimento!$D$127:$H$164,5,FALSE))</f>
        <v>5</v>
      </c>
      <c r="PR63" s="904">
        <f>+IFERROR(VLOOKUP(PR$27&amp;"-"&amp;$M63&amp;"_new",Ammortamento_Finanziario!$H:$L,5,FALSE),VLOOKUP($M63,TT_Tabelle_Riferimento!$D$127:$H$164,5,FALSE))</f>
        <v>5</v>
      </c>
      <c r="PS63" s="904">
        <f>+IFERROR(VLOOKUP(PS$27&amp;"-"&amp;$M63&amp;"_new",Ammortamento_Finanziario!$H:$L,5,FALSE),VLOOKUP($M63,TT_Tabelle_Riferimento!$D$127:$H$164,5,FALSE))</f>
        <v>5</v>
      </c>
      <c r="PT63" s="904">
        <f>+IFERROR(VLOOKUP(PT$27&amp;"-"&amp;$M63&amp;"_new",Ammortamento_Finanziario!$H:$L,5,FALSE),VLOOKUP($M63,TT_Tabelle_Riferimento!$D$127:$H$164,5,FALSE))</f>
        <v>5</v>
      </c>
      <c r="PU63" s="904">
        <f>+IFERROR(VLOOKUP(PU$27&amp;"-"&amp;$M63&amp;"_new",Ammortamento_Finanziario!$H:$L,5,FALSE),VLOOKUP($M63,TT_Tabelle_Riferimento!$D$127:$H$164,5,FALSE))</f>
        <v>5</v>
      </c>
      <c r="PV63" s="904">
        <f>+IFERROR(VLOOKUP(PV$27&amp;"-"&amp;$M63&amp;"_new",Ammortamento_Finanziario!$H:$L,5,FALSE),VLOOKUP($M63,TT_Tabelle_Riferimento!$D$127:$H$164,5,FALSE))</f>
        <v>5</v>
      </c>
      <c r="PW63" s="904">
        <f>+IFERROR(VLOOKUP(PW$27&amp;"-"&amp;$M63&amp;"_new",Ammortamento_Finanziario!$H:$L,5,FALSE),VLOOKUP($M63,TT_Tabelle_Riferimento!$D$127:$H$164,5,FALSE))</f>
        <v>5</v>
      </c>
      <c r="PX63" s="904">
        <f>+IFERROR(VLOOKUP(PX$27&amp;"-"&amp;$M63&amp;"_new",Ammortamento_Finanziario!$H:$L,5,FALSE),VLOOKUP($M63,TT_Tabelle_Riferimento!$D$127:$H$164,5,FALSE))</f>
        <v>5</v>
      </c>
      <c r="PY63" s="904">
        <f>+IFERROR(VLOOKUP(PY$27&amp;"-"&amp;$M63&amp;"_new",Ammortamento_Finanziario!$H:$L,5,FALSE),VLOOKUP($M63,TT_Tabelle_Riferimento!$D$127:$H$164,5,FALSE))</f>
        <v>5</v>
      </c>
      <c r="PZ63" s="904">
        <f>+IFERROR(VLOOKUP(PZ$27&amp;"-"&amp;$M63&amp;"_new",Ammortamento_Finanziario!$H:$L,5,FALSE),VLOOKUP($M63,TT_Tabelle_Riferimento!$D$127:$H$164,5,FALSE))</f>
        <v>5</v>
      </c>
      <c r="QA63" s="904">
        <f>+IFERROR(VLOOKUP(QA$27&amp;"-"&amp;$M63&amp;"_new",Ammortamento_Finanziario!$H:$L,5,FALSE),VLOOKUP($M63,TT_Tabelle_Riferimento!$D$127:$H$164,5,FALSE))</f>
        <v>5</v>
      </c>
      <c r="QB63" s="904">
        <f>+IFERROR(VLOOKUP(QB$27&amp;"-"&amp;$M63&amp;"_new",Ammortamento_Finanziario!$H:$L,5,FALSE),VLOOKUP($M63,TT_Tabelle_Riferimento!$D$127:$H$164,5,FALSE))</f>
        <v>5</v>
      </c>
      <c r="QC63" s="904">
        <f>+IFERROR(VLOOKUP(QC$27&amp;"-"&amp;$M63&amp;"_new",Ammortamento_Finanziario!$H:$L,5,FALSE),VLOOKUP($M63,TT_Tabelle_Riferimento!$D$127:$H$164,5,FALSE))</f>
        <v>5</v>
      </c>
      <c r="QD63" s="904">
        <f>+IFERROR(VLOOKUP(QD$27&amp;"-"&amp;$M63&amp;"_new",Ammortamento_Finanziario!$H:$L,5,FALSE),VLOOKUP($M63,TT_Tabelle_Riferimento!$D$127:$H$164,5,FALSE))</f>
        <v>5</v>
      </c>
      <c r="QE63" s="904">
        <f>+IFERROR(VLOOKUP(QE$27&amp;"-"&amp;$M63&amp;"_new",Ammortamento_Finanziario!$H:$L,5,FALSE),VLOOKUP($M63,TT_Tabelle_Riferimento!$D$127:$H$164,5,FALSE))</f>
        <v>5</v>
      </c>
      <c r="QF63" s="904">
        <f>+IFERROR(VLOOKUP(QF$27&amp;"-"&amp;$M63&amp;"_new",Ammortamento_Finanziario!$H:$L,5,FALSE),VLOOKUP($M63,TT_Tabelle_Riferimento!$D$127:$H$164,5,FALSE))</f>
        <v>5</v>
      </c>
      <c r="QG63" s="904">
        <f>+IFERROR(VLOOKUP(QG$27&amp;"-"&amp;$M63&amp;"_new",Ammortamento_Finanziario!$H:$L,5,FALSE),VLOOKUP($M63,TT_Tabelle_Riferimento!$D$127:$H$164,5,FALSE))</f>
        <v>5</v>
      </c>
      <c r="QH63" s="1762">
        <f>+IFERROR(VLOOKUP(QH$27&amp;"-"&amp;$M63&amp;"_new",Ammortamento_Finanziario!$H:$L,5,FALSE),VLOOKUP($M63,TT_Tabelle_Riferimento!$D$127:$H$164,5,FALSE))</f>
        <v>5</v>
      </c>
      <c r="QI63" s="1762">
        <f>+IFERROR(VLOOKUP(QI$27&amp;"-"&amp;$M63&amp;"_new",Ammortamento_Finanziario!$H:$L,5,FALSE),VLOOKUP($M63,TT_Tabelle_Riferimento!$D$127:$H$164,5,FALSE))</f>
        <v>5</v>
      </c>
      <c r="QJ63" s="904">
        <f>+IFERROR(VLOOKUP(QJ$27&amp;"-"&amp;$M63&amp;"_new",Ammortamento_Finanziario!$H:$L,5,FALSE),VLOOKUP($M63,TT_Tabelle_Riferimento!$D$127:$H$164,5,FALSE))</f>
        <v>5</v>
      </c>
      <c r="QK63" s="904">
        <f>+IFERROR(VLOOKUP(QK$27&amp;"-"&amp;$M63&amp;"_new",Ammortamento_Finanziario!$H:$L,5,FALSE),VLOOKUP($M63,TT_Tabelle_Riferimento!$D$127:$H$164,5,FALSE))</f>
        <v>5</v>
      </c>
      <c r="QL63" s="904">
        <f>+IFERROR(VLOOKUP(QL$27&amp;"-"&amp;$M63&amp;"_new",Ammortamento_Finanziario!$H:$L,5,FALSE),VLOOKUP($M63,TT_Tabelle_Riferimento!$D$127:$H$164,5,FALSE))</f>
        <v>5</v>
      </c>
      <c r="QM63" s="904">
        <f>+IFERROR(VLOOKUP(QM$27&amp;"-"&amp;$M63&amp;"_new",Ammortamento_Finanziario!$H:$L,5,FALSE),VLOOKUP($M63,TT_Tabelle_Riferimento!$D$127:$H$164,5,FALSE))</f>
        <v>5</v>
      </c>
      <c r="QN63" s="904">
        <f>+IFERROR(VLOOKUP(QN$27&amp;"-"&amp;$M63&amp;"_new",Ammortamento_Finanziario!$H:$L,5,FALSE),VLOOKUP($M63,TT_Tabelle_Riferimento!$D$127:$H$164,5,FALSE))</f>
        <v>5</v>
      </c>
      <c r="QO63" s="904">
        <f>+IFERROR(VLOOKUP(QO$27&amp;"-"&amp;$M63&amp;"_new",Ammortamento_Finanziario!$H:$L,5,FALSE),VLOOKUP($M63,TT_Tabelle_Riferimento!$D$127:$H$164,5,FALSE))</f>
        <v>5</v>
      </c>
      <c r="QP63" s="904">
        <f>+IFERROR(VLOOKUP(QP$27&amp;"-"&amp;$M63&amp;"_new",Ammortamento_Finanziario!$H:$L,5,FALSE),VLOOKUP($M63,TT_Tabelle_Riferimento!$D$127:$H$164,5,FALSE))</f>
        <v>5</v>
      </c>
      <c r="QQ63" s="904">
        <f>+IFERROR(VLOOKUP(QQ$27&amp;"-"&amp;$M63&amp;"_new",Ammortamento_Finanziario!$H:$L,5,FALSE),VLOOKUP($M63,TT_Tabelle_Riferimento!$D$127:$H$164,5,FALSE))</f>
        <v>5</v>
      </c>
      <c r="QR63" s="904">
        <f>+IFERROR(VLOOKUP(QR$27&amp;"-"&amp;$M63&amp;"_new",Ammortamento_Finanziario!$H:$L,5,FALSE),VLOOKUP($M63,TT_Tabelle_Riferimento!$D$127:$H$164,5,FALSE))</f>
        <v>5</v>
      </c>
      <c r="QS63" s="904">
        <f>+IFERROR(VLOOKUP(QS$27&amp;"-"&amp;$M63&amp;"_new",Ammortamento_Finanziario!$H:$L,5,FALSE),VLOOKUP($M63,TT_Tabelle_Riferimento!$D$127:$H$164,5,FALSE))</f>
        <v>5</v>
      </c>
      <c r="QT63" s="904">
        <f>+IFERROR(VLOOKUP(QT$27&amp;"-"&amp;$M63&amp;"_new",Ammortamento_Finanziario!$H:$L,5,FALSE),VLOOKUP($M63,TT_Tabelle_Riferimento!$D$127:$H$164,5,FALSE))</f>
        <v>5</v>
      </c>
      <c r="QU63" s="904">
        <f>+IFERROR(VLOOKUP(QU$27&amp;"-"&amp;$M63&amp;"_new",Ammortamento_Finanziario!$H:$L,5,FALSE),VLOOKUP($M63,TT_Tabelle_Riferimento!$D$127:$H$164,5,FALSE))</f>
        <v>5</v>
      </c>
      <c r="QV63" s="904">
        <f>+IFERROR(VLOOKUP(QV$27&amp;"-"&amp;$M63&amp;"_new",Ammortamento_Finanziario!$H:$L,5,FALSE),VLOOKUP($M63,TT_Tabelle_Riferimento!$D$127:$H$164,5,FALSE))</f>
        <v>5</v>
      </c>
      <c r="QW63" s="904">
        <f>+IFERROR(VLOOKUP(QW$27&amp;"-"&amp;$M63&amp;"_new",Ammortamento_Finanziario!$H:$L,5,FALSE),VLOOKUP($M63,TT_Tabelle_Riferimento!$D$127:$H$164,5,FALSE))</f>
        <v>5</v>
      </c>
      <c r="QX63" s="904">
        <f>+IFERROR(VLOOKUP(QX$27&amp;"-"&amp;$M63&amp;"_new",Ammortamento_Finanziario!$H:$L,5,FALSE),VLOOKUP($M63,TT_Tabelle_Riferimento!$D$127:$H$164,5,FALSE))</f>
        <v>5</v>
      </c>
      <c r="QY63" s="904">
        <f>+IFERROR(VLOOKUP(QY$27&amp;"-"&amp;$M63&amp;"_new",Ammortamento_Finanziario!$H:$L,5,FALSE),VLOOKUP($M63,TT_Tabelle_Riferimento!$D$127:$H$164,5,FALSE))</f>
        <v>5</v>
      </c>
      <c r="QZ63" s="904">
        <f>+IFERROR(VLOOKUP(QZ$27&amp;"-"&amp;$M63&amp;"_new",Ammortamento_Finanziario!$H:$L,5,FALSE),VLOOKUP($M63,TT_Tabelle_Riferimento!$D$127:$H$164,5,FALSE))</f>
        <v>5</v>
      </c>
      <c r="RA63" s="904">
        <f>+IFERROR(VLOOKUP(RA$27&amp;"-"&amp;$M63&amp;"_new",Ammortamento_Finanziario!$H:$L,5,FALSE),VLOOKUP($M63,TT_Tabelle_Riferimento!$D$127:$H$164,5,FALSE))</f>
        <v>5</v>
      </c>
      <c r="RB63" s="904">
        <f>+IFERROR(VLOOKUP(RB$27&amp;"-"&amp;$M63&amp;"_new",Ammortamento_Finanziario!$H:$L,5,FALSE),VLOOKUP($M63,TT_Tabelle_Riferimento!$D$127:$H$164,5,FALSE))</f>
        <v>5</v>
      </c>
      <c r="RC63" s="1762">
        <f>+IFERROR(VLOOKUP(RC$27&amp;"-"&amp;$M63&amp;"_new",Ammortamento_Finanziario!$H:$L,5,FALSE),VLOOKUP($M63,TT_Tabelle_Riferimento!$D$127:$H$164,5,FALSE))</f>
        <v>5</v>
      </c>
      <c r="RD63" s="904">
        <f>+IFERROR(VLOOKUP(RD$27&amp;"-"&amp;$M63&amp;"_new",Ammortamento_Finanziario!$H:$L,5,FALSE),VLOOKUP($M63,TT_Tabelle_Riferimento!$D$127:$H$164,5,FALSE))</f>
        <v>5</v>
      </c>
      <c r="RE63" s="904">
        <f>+IFERROR(VLOOKUP(RE$27&amp;"-"&amp;$M63&amp;"_new",Ammortamento_Finanziario!$H:$L,5,FALSE),VLOOKUP($M63,TT_Tabelle_Riferimento!$D$127:$H$164,5,FALSE))</f>
        <v>5</v>
      </c>
      <c r="RF63" s="904">
        <f>+IFERROR(VLOOKUP(RF$27&amp;"-"&amp;$M63&amp;"_new",Ammortamento_Finanziario!$H:$L,5,FALSE),VLOOKUP($M63,TT_Tabelle_Riferimento!$D$127:$H$164,5,FALSE))</f>
        <v>5</v>
      </c>
      <c r="RG63" s="904">
        <f>+IFERROR(VLOOKUP(RG$27&amp;"-"&amp;$M63&amp;"_new",Ammortamento_Finanziario!$H:$L,5,FALSE),VLOOKUP($M63,TT_Tabelle_Riferimento!$D$127:$H$164,5,FALSE))</f>
        <v>5</v>
      </c>
      <c r="RH63" s="904">
        <f>+IFERROR(VLOOKUP(RH$27&amp;"-"&amp;$M63&amp;"_new",Ammortamento_Finanziario!$H:$L,5,FALSE),VLOOKUP($M63,TT_Tabelle_Riferimento!$D$127:$H$164,5,FALSE))</f>
        <v>5</v>
      </c>
      <c r="RI63" s="904">
        <f>+IFERROR(VLOOKUP(RI$27&amp;"-"&amp;$M63&amp;"_new",Ammortamento_Finanziario!$H:$L,5,FALSE),VLOOKUP($M63,TT_Tabelle_Riferimento!$D$127:$H$164,5,FALSE))</f>
        <v>5</v>
      </c>
      <c r="RJ63" s="904">
        <f>+IFERROR(VLOOKUP(RJ$27&amp;"-"&amp;$M63&amp;"_new",Ammortamento_Finanziario!$H:$L,5,FALSE),VLOOKUP($M63,TT_Tabelle_Riferimento!$D$127:$H$164,5,FALSE))</f>
        <v>5</v>
      </c>
      <c r="RK63" s="904">
        <f>+IFERROR(VLOOKUP(RK$27&amp;"-"&amp;$M63&amp;"_new",Ammortamento_Finanziario!$H:$L,5,FALSE),VLOOKUP($M63,TT_Tabelle_Riferimento!$D$127:$H$164,5,FALSE))</f>
        <v>5</v>
      </c>
      <c r="RL63" s="904">
        <f>+IFERROR(VLOOKUP(RL$27&amp;"-"&amp;$M63&amp;"_new",Ammortamento_Finanziario!$H:$L,5,FALSE),VLOOKUP($M63,TT_Tabelle_Riferimento!$D$127:$H$164,5,FALSE))</f>
        <v>5</v>
      </c>
      <c r="RM63" s="904">
        <f>+IFERROR(VLOOKUP(RM$27&amp;"-"&amp;$M63&amp;"_new",Ammortamento_Finanziario!$H:$L,5,FALSE),VLOOKUP($M63,TT_Tabelle_Riferimento!$D$127:$H$164,5,FALSE))</f>
        <v>5</v>
      </c>
      <c r="RN63" s="904">
        <f>+IFERROR(VLOOKUP(RN$27&amp;"-"&amp;$M63&amp;"_new",Ammortamento_Finanziario!$H:$L,5,FALSE),VLOOKUP($M63,TT_Tabelle_Riferimento!$D$127:$H$164,5,FALSE))</f>
        <v>5</v>
      </c>
      <c r="RO63" s="904">
        <f>+IFERROR(VLOOKUP(RO$27&amp;"-"&amp;$M63&amp;"_new",Ammortamento_Finanziario!$H:$L,5,FALSE),VLOOKUP($M63,TT_Tabelle_Riferimento!$D$127:$H$164,5,FALSE))</f>
        <v>5</v>
      </c>
      <c r="RP63" s="904">
        <f>+IFERROR(VLOOKUP(RP$27&amp;"-"&amp;$M63&amp;"_new",Ammortamento_Finanziario!$H:$L,5,FALSE),VLOOKUP($M63,TT_Tabelle_Riferimento!$D$127:$H$164,5,FALSE))</f>
        <v>5</v>
      </c>
      <c r="RQ63" s="904">
        <f>+IFERROR(VLOOKUP(RQ$27&amp;"-"&amp;$M63&amp;"_new",Ammortamento_Finanziario!$H:$L,5,FALSE),VLOOKUP($M63,TT_Tabelle_Riferimento!$D$127:$H$164,5,FALSE))</f>
        <v>5</v>
      </c>
      <c r="RR63" s="904">
        <f>+IFERROR(VLOOKUP(RR$27&amp;"-"&amp;$M63&amp;"_new",Ammortamento_Finanziario!$H:$L,5,FALSE),VLOOKUP($M63,TT_Tabelle_Riferimento!$D$127:$H$164,5,FALSE))</f>
        <v>5</v>
      </c>
      <c r="RS63" s="904">
        <f>+IFERROR(VLOOKUP(RS$27&amp;"-"&amp;$M63&amp;"_new",Ammortamento_Finanziario!$H:$L,5,FALSE),VLOOKUP($M63,TT_Tabelle_Riferimento!$D$127:$H$164,5,FALSE))</f>
        <v>5</v>
      </c>
      <c r="RT63" s="904">
        <f>+IFERROR(VLOOKUP(RT$27&amp;"-"&amp;$M63&amp;"_new",Ammortamento_Finanziario!$H:$L,5,FALSE),VLOOKUP($M63,TT_Tabelle_Riferimento!$D$127:$H$164,5,FALSE))</f>
        <v>5</v>
      </c>
      <c r="RU63" s="904">
        <f>+IFERROR(VLOOKUP(RU$27&amp;"-"&amp;$M63&amp;"_new",Ammortamento_Finanziario!$H:$L,5,FALSE),VLOOKUP($M63,TT_Tabelle_Riferimento!$D$127:$H$164,5,FALSE))</f>
        <v>5</v>
      </c>
      <c r="RV63" s="904">
        <f>+IFERROR(VLOOKUP(RV$27&amp;"-"&amp;$M63&amp;"_new",Ammortamento_Finanziario!$H:$L,5,FALSE),VLOOKUP($M63,TT_Tabelle_Riferimento!$D$127:$H$164,5,FALSE))</f>
        <v>5</v>
      </c>
    </row>
    <row r="64" spans="4:490" ht="15.75">
      <c r="D64" s="126" t="s">
        <v>30416</v>
      </c>
      <c r="E64" s="10"/>
      <c r="F64" s="10"/>
      <c r="G64" s="10"/>
      <c r="H64" s="10"/>
      <c r="K64" s="12"/>
      <c r="L64" s="12"/>
      <c r="M64" s="1756">
        <v>37</v>
      </c>
      <c r="N64" s="1759">
        <v>0</v>
      </c>
      <c r="O64" s="1759">
        <v>0</v>
      </c>
      <c r="P64" s="1759">
        <v>0</v>
      </c>
      <c r="Q64" s="1759">
        <v>0</v>
      </c>
      <c r="R64" s="1759">
        <v>0</v>
      </c>
      <c r="S64" s="1759">
        <v>0</v>
      </c>
      <c r="T64" s="1759">
        <v>0</v>
      </c>
      <c r="U64" s="1759">
        <v>0</v>
      </c>
      <c r="V64" s="1759">
        <v>0</v>
      </c>
      <c r="W64" s="1759">
        <v>0</v>
      </c>
      <c r="X64" s="1759">
        <v>0</v>
      </c>
      <c r="Y64" s="1759">
        <v>0</v>
      </c>
      <c r="Z64" s="1759">
        <v>0</v>
      </c>
      <c r="AA64" s="1759">
        <v>0</v>
      </c>
      <c r="AB64" s="1759">
        <v>0</v>
      </c>
      <c r="AC64" s="1759">
        <v>0</v>
      </c>
      <c r="AD64" s="1759">
        <v>0</v>
      </c>
      <c r="AE64" s="1759">
        <v>0</v>
      </c>
      <c r="AF64" s="1759">
        <v>0</v>
      </c>
      <c r="AG64" s="1759">
        <v>0</v>
      </c>
      <c r="AH64" s="1759">
        <v>0</v>
      </c>
      <c r="AI64" s="1759">
        <v>0</v>
      </c>
      <c r="AJ64" s="1759">
        <v>0</v>
      </c>
      <c r="AK64" s="1759">
        <v>0</v>
      </c>
      <c r="AL64" s="1759">
        <v>0</v>
      </c>
      <c r="AM64" s="1759">
        <v>0</v>
      </c>
      <c r="AN64" s="1759">
        <v>0</v>
      </c>
      <c r="AO64" s="1759">
        <v>0</v>
      </c>
      <c r="AP64" s="1759">
        <v>0</v>
      </c>
      <c r="AQ64" s="1759">
        <v>0</v>
      </c>
      <c r="AR64" s="1759">
        <v>0</v>
      </c>
      <c r="AS64" s="1759">
        <v>0</v>
      </c>
      <c r="AT64" s="1759">
        <v>0</v>
      </c>
      <c r="AU64" s="1759">
        <v>0</v>
      </c>
      <c r="AV64" s="1759">
        <v>0</v>
      </c>
      <c r="AW64" s="1759">
        <v>0</v>
      </c>
      <c r="AX64" s="1759">
        <v>0</v>
      </c>
      <c r="AY64" s="1759">
        <v>0</v>
      </c>
      <c r="AZ64" s="1759">
        <v>0</v>
      </c>
      <c r="BA64" s="1759">
        <v>0</v>
      </c>
      <c r="BB64" s="1759">
        <v>0</v>
      </c>
      <c r="BC64" s="1759">
        <v>0</v>
      </c>
      <c r="BD64" s="1759">
        <v>0</v>
      </c>
      <c r="BE64" s="1759">
        <v>0</v>
      </c>
      <c r="BF64" s="1759">
        <v>0</v>
      </c>
      <c r="BG64" s="1759">
        <v>0</v>
      </c>
      <c r="BH64" s="1759">
        <v>0</v>
      </c>
      <c r="BI64" s="1759">
        <v>0</v>
      </c>
      <c r="BJ64" s="1759">
        <v>0</v>
      </c>
      <c r="BK64" s="1759">
        <v>0</v>
      </c>
      <c r="BL64" s="1759">
        <v>0</v>
      </c>
      <c r="BM64" s="1759">
        <v>0</v>
      </c>
      <c r="BN64" s="1759">
        <v>0</v>
      </c>
      <c r="BO64" s="1759">
        <v>0</v>
      </c>
      <c r="BP64" s="1759">
        <v>0</v>
      </c>
      <c r="BQ64" s="1759">
        <v>0</v>
      </c>
      <c r="BR64" s="1759">
        <v>0</v>
      </c>
      <c r="BS64" s="1759">
        <v>0</v>
      </c>
      <c r="BT64" s="1759">
        <v>0</v>
      </c>
      <c r="BU64" s="1759">
        <v>0</v>
      </c>
      <c r="BV64" s="1759">
        <v>0</v>
      </c>
      <c r="BW64" s="1759">
        <v>0</v>
      </c>
      <c r="BX64" s="1759">
        <v>0</v>
      </c>
      <c r="BY64" s="1759">
        <v>0</v>
      </c>
      <c r="BZ64" s="1759">
        <v>0</v>
      </c>
      <c r="CA64" s="1759">
        <v>0</v>
      </c>
      <c r="CB64" s="1759">
        <v>0</v>
      </c>
      <c r="CC64" s="1759">
        <v>0</v>
      </c>
      <c r="CD64" s="1759">
        <v>0</v>
      </c>
      <c r="CE64" s="1759">
        <v>0</v>
      </c>
      <c r="CF64" s="1759">
        <v>0</v>
      </c>
      <c r="CG64" s="1759">
        <v>0</v>
      </c>
      <c r="CH64" s="1759">
        <v>0</v>
      </c>
      <c r="CI64" s="1759">
        <v>0</v>
      </c>
      <c r="CJ64" s="1759">
        <v>0</v>
      </c>
      <c r="CK64" s="1759">
        <v>0</v>
      </c>
      <c r="CL64" s="1759">
        <v>0</v>
      </c>
      <c r="CM64" s="1759">
        <v>0</v>
      </c>
      <c r="CN64" s="1759">
        <v>0</v>
      </c>
      <c r="CO64" s="1759">
        <v>0</v>
      </c>
      <c r="CP64" s="1759">
        <v>0</v>
      </c>
      <c r="CQ64" s="1759">
        <v>0</v>
      </c>
      <c r="CR64" s="1759">
        <v>0</v>
      </c>
      <c r="CS64" s="1759">
        <v>0</v>
      </c>
      <c r="CT64" s="1759">
        <v>0</v>
      </c>
      <c r="CU64" s="1759">
        <v>0</v>
      </c>
      <c r="CV64" s="1759">
        <v>0</v>
      </c>
      <c r="CW64" s="1759">
        <v>0</v>
      </c>
      <c r="CX64" s="1759">
        <v>0</v>
      </c>
      <c r="CY64" s="1759">
        <v>0</v>
      </c>
      <c r="CZ64" s="1759">
        <v>0</v>
      </c>
      <c r="DA64" s="1759">
        <v>0</v>
      </c>
      <c r="DB64" s="1759">
        <v>0</v>
      </c>
      <c r="DC64" s="1759">
        <v>0</v>
      </c>
      <c r="DD64" s="1759">
        <v>0</v>
      </c>
      <c r="DE64" s="1759">
        <v>0</v>
      </c>
      <c r="DF64" s="1759">
        <v>0</v>
      </c>
      <c r="DG64" s="1759">
        <v>0</v>
      </c>
      <c r="DH64" s="1759">
        <v>0</v>
      </c>
      <c r="DI64" s="1759">
        <v>0</v>
      </c>
      <c r="DJ64" s="1759">
        <v>0</v>
      </c>
      <c r="DK64" s="1759">
        <v>0</v>
      </c>
      <c r="DL64" s="1759">
        <v>0</v>
      </c>
      <c r="DM64" s="1759">
        <v>0</v>
      </c>
      <c r="DN64" s="1759">
        <v>0</v>
      </c>
      <c r="DO64" s="1759">
        <v>0</v>
      </c>
      <c r="DP64" s="1759">
        <v>0</v>
      </c>
      <c r="DQ64" s="1759">
        <v>0</v>
      </c>
      <c r="DR64" s="1759">
        <v>0</v>
      </c>
      <c r="DS64" s="1759">
        <v>0</v>
      </c>
      <c r="DT64" s="1759">
        <v>0</v>
      </c>
      <c r="DU64" s="1759">
        <v>0</v>
      </c>
      <c r="DV64" s="1759">
        <v>0</v>
      </c>
      <c r="DW64" s="1759">
        <v>0</v>
      </c>
      <c r="DX64" s="1759">
        <v>0</v>
      </c>
      <c r="DY64" s="1759">
        <v>0</v>
      </c>
      <c r="DZ64" s="1759">
        <v>0</v>
      </c>
      <c r="EA64" s="1759">
        <v>0</v>
      </c>
      <c r="EB64" s="1759">
        <v>0</v>
      </c>
      <c r="EC64" s="1759">
        <v>0</v>
      </c>
      <c r="ED64" s="1759">
        <v>0</v>
      </c>
      <c r="EE64" s="1759">
        <v>0</v>
      </c>
      <c r="EF64" s="1759">
        <v>0</v>
      </c>
      <c r="EG64" s="1759">
        <v>0</v>
      </c>
      <c r="EH64" s="1759">
        <v>0</v>
      </c>
      <c r="EI64" s="1759">
        <v>0</v>
      </c>
      <c r="EJ64" s="1759">
        <v>0</v>
      </c>
      <c r="EK64" s="1759">
        <v>0</v>
      </c>
      <c r="EL64" s="1759">
        <v>0</v>
      </c>
      <c r="EM64" s="1759">
        <v>0</v>
      </c>
      <c r="EN64" s="1759">
        <v>0</v>
      </c>
      <c r="EO64" s="1759">
        <v>0</v>
      </c>
      <c r="EP64" s="1759">
        <v>0</v>
      </c>
      <c r="EQ64" s="1759">
        <v>0</v>
      </c>
      <c r="ER64" s="1759">
        <v>0</v>
      </c>
      <c r="ES64" s="1759">
        <v>0</v>
      </c>
      <c r="ET64" s="1759">
        <v>0</v>
      </c>
      <c r="EU64" s="1759">
        <v>0</v>
      </c>
      <c r="EV64" s="1759">
        <v>0</v>
      </c>
      <c r="EW64" s="1759">
        <v>0</v>
      </c>
      <c r="EX64" s="1759">
        <v>0</v>
      </c>
      <c r="EY64" s="1759">
        <v>0</v>
      </c>
      <c r="EZ64" s="1759">
        <v>0</v>
      </c>
      <c r="FA64" s="1759">
        <v>0</v>
      </c>
      <c r="FB64" s="1759">
        <v>0</v>
      </c>
      <c r="FC64" s="1759">
        <v>0</v>
      </c>
      <c r="FD64" s="1759">
        <v>0</v>
      </c>
      <c r="FE64" s="1759">
        <v>0</v>
      </c>
      <c r="FF64" s="1759">
        <v>0</v>
      </c>
      <c r="FG64" s="1759">
        <v>0</v>
      </c>
      <c r="FH64" s="1759">
        <v>0</v>
      </c>
      <c r="FI64" s="1759">
        <v>0</v>
      </c>
      <c r="FJ64" s="1759">
        <v>0</v>
      </c>
      <c r="FK64" s="1759">
        <v>0</v>
      </c>
      <c r="FL64" s="1759">
        <v>0</v>
      </c>
      <c r="FM64" s="1759">
        <v>0</v>
      </c>
      <c r="FN64" s="1759">
        <v>0</v>
      </c>
      <c r="FO64" s="1759">
        <v>0</v>
      </c>
      <c r="FP64" s="1759">
        <v>0</v>
      </c>
      <c r="FQ64" s="1759">
        <v>0</v>
      </c>
      <c r="FR64" s="1759">
        <v>0</v>
      </c>
      <c r="FS64" s="1759">
        <v>0</v>
      </c>
      <c r="FT64" s="1759">
        <v>0</v>
      </c>
      <c r="FU64" s="1759">
        <v>0</v>
      </c>
      <c r="FV64" s="1759">
        <v>0</v>
      </c>
      <c r="FW64" s="1759">
        <v>0</v>
      </c>
      <c r="FX64" s="1759">
        <v>0</v>
      </c>
      <c r="FY64" s="1759">
        <v>0</v>
      </c>
      <c r="FZ64" s="1759">
        <v>0</v>
      </c>
      <c r="GA64" s="1759">
        <v>0</v>
      </c>
      <c r="GB64" s="1759">
        <v>0</v>
      </c>
      <c r="GC64" s="1759">
        <v>0</v>
      </c>
      <c r="GD64" s="1759">
        <v>0</v>
      </c>
      <c r="GE64" s="1759">
        <v>0</v>
      </c>
      <c r="GF64" s="1759">
        <v>0</v>
      </c>
      <c r="GG64" s="1759">
        <v>0</v>
      </c>
      <c r="GH64" s="1759">
        <v>0</v>
      </c>
      <c r="GI64" s="1759">
        <v>0</v>
      </c>
      <c r="GJ64" s="1759">
        <v>0</v>
      </c>
      <c r="GK64" s="1759">
        <v>0</v>
      </c>
      <c r="GL64" s="1759">
        <v>0</v>
      </c>
      <c r="GM64" s="1759">
        <v>0</v>
      </c>
      <c r="GN64" s="1759">
        <v>0</v>
      </c>
      <c r="GO64" s="1759">
        <v>0</v>
      </c>
      <c r="GP64" s="1759">
        <v>0</v>
      </c>
      <c r="GQ64" s="1759">
        <v>0</v>
      </c>
      <c r="GR64" s="1759">
        <v>0</v>
      </c>
      <c r="GS64" s="1759">
        <v>0</v>
      </c>
      <c r="GT64" s="1759">
        <v>0</v>
      </c>
      <c r="GU64" s="1759">
        <v>0</v>
      </c>
      <c r="GV64" s="1759">
        <v>0</v>
      </c>
      <c r="GW64" s="1759">
        <v>0</v>
      </c>
      <c r="GX64" s="1759">
        <v>0</v>
      </c>
      <c r="GY64" s="1759">
        <v>0</v>
      </c>
      <c r="GZ64" s="1759">
        <v>0</v>
      </c>
      <c r="HA64" s="1759">
        <v>0</v>
      </c>
      <c r="HB64" s="1759">
        <v>0</v>
      </c>
      <c r="HC64" s="1759">
        <v>0</v>
      </c>
      <c r="HD64" s="1759">
        <v>0</v>
      </c>
      <c r="HE64" s="1759">
        <v>0</v>
      </c>
      <c r="HF64" s="1759">
        <v>0</v>
      </c>
      <c r="HG64" s="1759">
        <v>0</v>
      </c>
      <c r="HH64" s="1759">
        <v>0</v>
      </c>
      <c r="HI64" s="1759">
        <v>0</v>
      </c>
      <c r="HJ64" s="1759">
        <v>0</v>
      </c>
      <c r="HK64" s="1759">
        <v>0</v>
      </c>
      <c r="HL64" s="1759">
        <v>0</v>
      </c>
      <c r="HM64" s="1759">
        <v>0</v>
      </c>
      <c r="HN64" s="1759">
        <v>0</v>
      </c>
      <c r="HO64" s="1759">
        <v>0</v>
      </c>
      <c r="HP64" s="1759">
        <v>0</v>
      </c>
      <c r="HQ64" s="1759">
        <v>0</v>
      </c>
      <c r="HR64" s="1759">
        <v>0</v>
      </c>
      <c r="HS64" s="1759">
        <v>0</v>
      </c>
      <c r="HT64" s="1759">
        <v>0</v>
      </c>
      <c r="HU64" s="1759">
        <v>0</v>
      </c>
      <c r="HV64" s="1759">
        <v>0</v>
      </c>
      <c r="HW64" s="1759">
        <v>0</v>
      </c>
      <c r="HX64" s="1759">
        <v>0</v>
      </c>
      <c r="HY64" s="1759">
        <v>0</v>
      </c>
      <c r="HZ64" s="1759">
        <v>0</v>
      </c>
      <c r="IA64" s="1759">
        <v>0</v>
      </c>
      <c r="IB64" s="1759">
        <v>0</v>
      </c>
      <c r="IC64" s="1759">
        <v>0</v>
      </c>
      <c r="ID64" s="1759">
        <v>0</v>
      </c>
      <c r="IE64" s="1759">
        <v>0</v>
      </c>
      <c r="IF64" s="1759">
        <v>0</v>
      </c>
      <c r="IG64" s="1759">
        <v>0</v>
      </c>
      <c r="IH64" s="1759">
        <v>0</v>
      </c>
      <c r="II64" s="1759">
        <v>0</v>
      </c>
      <c r="IJ64" s="1759">
        <v>0</v>
      </c>
      <c r="IK64" s="1759">
        <v>0</v>
      </c>
      <c r="IL64" s="1759">
        <v>0</v>
      </c>
      <c r="IM64" s="1759">
        <v>0</v>
      </c>
      <c r="IN64" s="1759">
        <v>0</v>
      </c>
      <c r="IO64" s="1759">
        <v>0</v>
      </c>
      <c r="IP64" s="1759">
        <v>0</v>
      </c>
      <c r="IQ64" s="1759">
        <v>0</v>
      </c>
      <c r="IR64" s="1759">
        <v>0</v>
      </c>
      <c r="IS64" s="1759">
        <v>0</v>
      </c>
      <c r="IT64" s="1759">
        <v>0</v>
      </c>
      <c r="IU64" s="1759">
        <v>0</v>
      </c>
      <c r="IV64" s="1759">
        <v>0</v>
      </c>
      <c r="IW64" s="1759">
        <v>0</v>
      </c>
      <c r="IX64" s="1759">
        <v>0</v>
      </c>
      <c r="IY64" s="1759">
        <v>0</v>
      </c>
      <c r="IZ64" s="1759">
        <v>0</v>
      </c>
      <c r="JA64" s="1759">
        <v>0</v>
      </c>
      <c r="JB64" s="1759">
        <v>0</v>
      </c>
      <c r="JC64" s="1759">
        <v>0</v>
      </c>
      <c r="JD64" s="1759">
        <v>0</v>
      </c>
      <c r="JE64" s="1759">
        <v>0</v>
      </c>
      <c r="JF64" s="1759">
        <v>0</v>
      </c>
      <c r="JG64" s="1759">
        <v>0</v>
      </c>
      <c r="JH64" s="1759">
        <v>0</v>
      </c>
      <c r="JI64" s="1759">
        <v>0</v>
      </c>
      <c r="JJ64" s="1759">
        <v>0</v>
      </c>
      <c r="JK64" s="1759">
        <v>0</v>
      </c>
      <c r="JL64" s="1759">
        <v>0</v>
      </c>
      <c r="JM64" s="1759">
        <v>0</v>
      </c>
      <c r="JN64" s="1759">
        <v>0</v>
      </c>
      <c r="JO64" s="1759">
        <v>0</v>
      </c>
      <c r="JP64" s="1759">
        <v>0</v>
      </c>
      <c r="JQ64" s="1759">
        <v>0</v>
      </c>
      <c r="JR64" s="1759">
        <v>0</v>
      </c>
      <c r="JS64" s="1759">
        <v>0</v>
      </c>
      <c r="JT64" s="1759">
        <v>0</v>
      </c>
      <c r="JU64" s="1759">
        <v>0</v>
      </c>
      <c r="JV64" s="1759">
        <v>0</v>
      </c>
      <c r="JW64" s="1759">
        <v>0</v>
      </c>
      <c r="JX64" s="1759">
        <v>0</v>
      </c>
      <c r="JY64" s="1759">
        <v>0</v>
      </c>
      <c r="JZ64" s="1759">
        <v>0</v>
      </c>
      <c r="KA64" s="1759">
        <v>0</v>
      </c>
      <c r="KB64" s="1759">
        <v>0</v>
      </c>
      <c r="KC64" s="1759">
        <v>0</v>
      </c>
      <c r="KD64" s="1759">
        <v>0</v>
      </c>
      <c r="KE64" s="1759">
        <v>0</v>
      </c>
      <c r="KF64" s="1759">
        <v>0</v>
      </c>
      <c r="KG64" s="1759">
        <v>0</v>
      </c>
      <c r="KH64" s="1759">
        <v>0</v>
      </c>
      <c r="KI64" s="1759">
        <v>0</v>
      </c>
      <c r="KJ64" s="1759">
        <v>0</v>
      </c>
      <c r="KK64" s="1759">
        <v>0</v>
      </c>
      <c r="KL64" s="1759">
        <v>0</v>
      </c>
      <c r="KM64" s="1759">
        <v>0</v>
      </c>
      <c r="KN64" s="1759">
        <v>0</v>
      </c>
      <c r="KO64" s="1759">
        <v>0</v>
      </c>
      <c r="KP64" s="1759">
        <v>0</v>
      </c>
      <c r="KQ64" s="904">
        <f>+IFERROR(VLOOKUP(KQ$27&amp;"-"&amp;$M64&amp;"_new",Ammortamento_Finanziario!$H:$L,5,FALSE),VLOOKUP($M64,TT_Tabelle_Riferimento!$D$127:$H$164,5,FALSE))</f>
        <v>7</v>
      </c>
      <c r="KR64" s="904">
        <f>+IFERROR(VLOOKUP(KR$27&amp;"-"&amp;$M64&amp;"_new",Ammortamento_Finanziario!$H:$L,5,FALSE),VLOOKUP($M64,TT_Tabelle_Riferimento!$D$127:$H$164,5,FALSE))</f>
        <v>7</v>
      </c>
      <c r="KS64" s="1762">
        <f>+IFERROR(VLOOKUP(KS$27&amp;"-"&amp;$M64&amp;"_new",Ammortamento_Finanziario!$H:$L,5,FALSE),VLOOKUP($M64,TT_Tabelle_Riferimento!$D$127:$H$164,5,FALSE))</f>
        <v>7</v>
      </c>
      <c r="KT64" s="1762">
        <f>+IFERROR(VLOOKUP(KT$27&amp;"-"&amp;$M64&amp;"_new",Ammortamento_Finanziario!$H:$L,5,FALSE),VLOOKUP($M64,TT_Tabelle_Riferimento!$D$127:$H$164,5,FALSE))</f>
        <v>7</v>
      </c>
      <c r="KU64" s="1762">
        <f>+IFERROR(VLOOKUP(KU$27&amp;"-"&amp;$M64&amp;"_new",Ammortamento_Finanziario!$H:$L,5,FALSE),VLOOKUP($M64,TT_Tabelle_Riferimento!$D$127:$H$164,5,FALSE))</f>
        <v>7</v>
      </c>
      <c r="KV64" s="1762">
        <f>+IFERROR(VLOOKUP(KV$27&amp;"-"&amp;$M64&amp;"_new",Ammortamento_Finanziario!$H:$L,5,FALSE),VLOOKUP($M64,TT_Tabelle_Riferimento!$D$127:$H$164,5,FALSE))</f>
        <v>7</v>
      </c>
      <c r="KW64" s="1762">
        <f>+IFERROR(VLOOKUP(KW$27&amp;"-"&amp;$M64&amp;"_new",Ammortamento_Finanziario!$H:$L,5,FALSE),VLOOKUP($M64,TT_Tabelle_Riferimento!$D$127:$H$164,5,FALSE))</f>
        <v>7</v>
      </c>
      <c r="KX64" s="1762">
        <f>+IFERROR(VLOOKUP(KX$27&amp;"-"&amp;$M64&amp;"_new",Ammortamento_Finanziario!$H:$L,5,FALSE),VLOOKUP($M64,TT_Tabelle_Riferimento!$D$127:$H$164,5,FALSE))</f>
        <v>7</v>
      </c>
      <c r="KY64" s="904">
        <f>+IFERROR(VLOOKUP(KY$27&amp;"-"&amp;$M64&amp;"_new",Ammortamento_Finanziario!$H:$L,5,FALSE),VLOOKUP($M64,TT_Tabelle_Riferimento!$D$127:$H$164,5,FALSE))</f>
        <v>7</v>
      </c>
      <c r="KZ64" s="904">
        <f>+IFERROR(VLOOKUP(KZ$27&amp;"-"&amp;$M64&amp;"_new",Ammortamento_Finanziario!$H:$L,5,FALSE),VLOOKUP($M64,TT_Tabelle_Riferimento!$D$127:$H$164,5,FALSE))</f>
        <v>7</v>
      </c>
      <c r="LA64" s="904">
        <f>+IFERROR(VLOOKUP(LA$27&amp;"-"&amp;$M64&amp;"_new",Ammortamento_Finanziario!$H:$L,5,FALSE),VLOOKUP($M64,TT_Tabelle_Riferimento!$D$127:$H$164,5,FALSE))</f>
        <v>7</v>
      </c>
      <c r="LB64" s="904">
        <f>+IFERROR(VLOOKUP(LB$27&amp;"-"&amp;$M64&amp;"_new",Ammortamento_Finanziario!$H:$L,5,FALSE),VLOOKUP($M64,TT_Tabelle_Riferimento!$D$127:$H$164,5,FALSE))</f>
        <v>7</v>
      </c>
      <c r="LC64" s="904">
        <f>+IFERROR(VLOOKUP(LC$27&amp;"-"&amp;$M64&amp;"_new",Ammortamento_Finanziario!$H:$L,5,FALSE),VLOOKUP($M64,TT_Tabelle_Riferimento!$D$127:$H$164,5,FALSE))</f>
        <v>7</v>
      </c>
      <c r="LD64" s="904">
        <f>+IFERROR(VLOOKUP(LD$27&amp;"-"&amp;$M64&amp;"_new",Ammortamento_Finanziario!$H:$L,5,FALSE),VLOOKUP($M64,TT_Tabelle_Riferimento!$D$127:$H$164,5,FALSE))</f>
        <v>7</v>
      </c>
      <c r="LE64" s="904">
        <f>+IFERROR(VLOOKUP(LE$27&amp;"-"&amp;$M64&amp;"_new",Ammortamento_Finanziario!$H:$L,5,FALSE),VLOOKUP($M64,TT_Tabelle_Riferimento!$D$127:$H$164,5,FALSE))</f>
        <v>7</v>
      </c>
      <c r="LF64" s="904">
        <f>+IFERROR(VLOOKUP(LF$27&amp;"-"&amp;$M64&amp;"_new",Ammortamento_Finanziario!$H:$L,5,FALSE),VLOOKUP($M64,TT_Tabelle_Riferimento!$D$127:$H$164,5,FALSE))</f>
        <v>7</v>
      </c>
      <c r="LG64" s="904">
        <f>+IFERROR(VLOOKUP(LG$27&amp;"-"&amp;$M64&amp;"_new",Ammortamento_Finanziario!$H:$L,5,FALSE),VLOOKUP($M64,TT_Tabelle_Riferimento!$D$127:$H$164,5,FALSE))</f>
        <v>7</v>
      </c>
      <c r="LH64" s="904">
        <f>+IFERROR(VLOOKUP(LH$27&amp;"-"&amp;$M64&amp;"_new",Ammortamento_Finanziario!$H:$L,5,FALSE),VLOOKUP($M64,TT_Tabelle_Riferimento!$D$127:$H$164,5,FALSE))</f>
        <v>7</v>
      </c>
      <c r="LI64" s="904">
        <f>+IFERROR(VLOOKUP(LI$27&amp;"-"&amp;$M64&amp;"_new",Ammortamento_Finanziario!$H:$L,5,FALSE),VLOOKUP($M64,TT_Tabelle_Riferimento!$D$127:$H$164,5,FALSE))</f>
        <v>7</v>
      </c>
      <c r="LJ64" s="904">
        <f>+IFERROR(VLOOKUP(LJ$27&amp;"-"&amp;$M64&amp;"_new",Ammortamento_Finanziario!$H:$L,5,FALSE),VLOOKUP($M64,TT_Tabelle_Riferimento!$D$127:$H$164,5,FALSE))</f>
        <v>7</v>
      </c>
      <c r="LK64" s="904">
        <f>+IFERROR(VLOOKUP(LK$27&amp;"-"&amp;$M64&amp;"_new",Ammortamento_Finanziario!$H:$L,5,FALSE),VLOOKUP($M64,TT_Tabelle_Riferimento!$D$127:$H$164,5,FALSE))</f>
        <v>7</v>
      </c>
      <c r="LL64" s="904">
        <f>+IFERROR(VLOOKUP(LL$27&amp;"-"&amp;$M64&amp;"_new",Ammortamento_Finanziario!$H:$L,5,FALSE),VLOOKUP($M64,TT_Tabelle_Riferimento!$D$127:$H$164,5,FALSE))</f>
        <v>7</v>
      </c>
      <c r="LM64" s="904">
        <f>+IFERROR(VLOOKUP(LM$27&amp;"-"&amp;$M64&amp;"_new",Ammortamento_Finanziario!$H:$L,5,FALSE),VLOOKUP($M64,TT_Tabelle_Riferimento!$D$127:$H$164,5,FALSE))</f>
        <v>7</v>
      </c>
      <c r="LN64" s="904">
        <f>+IFERROR(VLOOKUP(LN$27&amp;"-"&amp;$M64&amp;"_new",Ammortamento_Finanziario!$H:$L,5,FALSE),VLOOKUP($M64,TT_Tabelle_Riferimento!$D$127:$H$164,5,FALSE))</f>
        <v>7</v>
      </c>
      <c r="LO64" s="904">
        <f>+IFERROR(VLOOKUP(LO$27&amp;"-"&amp;$M64&amp;"_new",Ammortamento_Finanziario!$H:$L,5,FALSE),VLOOKUP($M64,TT_Tabelle_Riferimento!$D$127:$H$164,5,FALSE))</f>
        <v>7</v>
      </c>
      <c r="LP64" s="904">
        <f>+IFERROR(VLOOKUP(LP$27&amp;"-"&amp;$M64&amp;"_new",Ammortamento_Finanziario!$H:$L,5,FALSE),VLOOKUP($M64,TT_Tabelle_Riferimento!$D$127:$H$164,5,FALSE))</f>
        <v>7</v>
      </c>
      <c r="LQ64" s="904">
        <f>+IFERROR(VLOOKUP(LQ$27&amp;"-"&amp;$M64&amp;"_new",Ammortamento_Finanziario!$H:$L,5,FALSE),VLOOKUP($M64,TT_Tabelle_Riferimento!$D$127:$H$164,5,FALSE))</f>
        <v>7</v>
      </c>
      <c r="LR64" s="904">
        <f>+IFERROR(VLOOKUP(LR$27&amp;"-"&amp;$M64&amp;"_new",Ammortamento_Finanziario!$H:$L,5,FALSE),VLOOKUP($M64,TT_Tabelle_Riferimento!$D$127:$H$164,5,FALSE))</f>
        <v>7</v>
      </c>
      <c r="LS64" s="1762">
        <f>+IFERROR(VLOOKUP(LS$27&amp;"-"&amp;$M64&amp;"_new",Ammortamento_Finanziario!$H:$L,5,FALSE),VLOOKUP($M64,TT_Tabelle_Riferimento!$D$127:$H$164,5,FALSE))</f>
        <v>7</v>
      </c>
      <c r="LT64" s="1762">
        <f>+IFERROR(VLOOKUP(LT$27&amp;"-"&amp;$M64&amp;"_new",Ammortamento_Finanziario!$H:$L,5,FALSE),VLOOKUP($M64,TT_Tabelle_Riferimento!$D$127:$H$164,5,FALSE))</f>
        <v>7</v>
      </c>
      <c r="LU64" s="1762">
        <f>+IFERROR(VLOOKUP(LU$27&amp;"-"&amp;$M64&amp;"_new",Ammortamento_Finanziario!$H:$L,5,FALSE),VLOOKUP($M64,TT_Tabelle_Riferimento!$D$127:$H$164,5,FALSE))</f>
        <v>7</v>
      </c>
      <c r="LV64" s="1762">
        <f>+IFERROR(VLOOKUP(LV$27&amp;"-"&amp;$M64&amp;"_new",Ammortamento_Finanziario!$H:$L,5,FALSE),VLOOKUP($M64,TT_Tabelle_Riferimento!$D$127:$H$164,5,FALSE))</f>
        <v>7</v>
      </c>
      <c r="LW64" s="1762">
        <f>+IFERROR(VLOOKUP(LW$27&amp;"-"&amp;$M64&amp;"_new",Ammortamento_Finanziario!$H:$L,5,FALSE),VLOOKUP($M64,TT_Tabelle_Riferimento!$D$127:$H$164,5,FALSE))</f>
        <v>7</v>
      </c>
      <c r="LX64" s="1762">
        <f>+IFERROR(VLOOKUP(LX$27&amp;"-"&amp;$M64&amp;"_new",Ammortamento_Finanziario!$H:$L,5,FALSE),VLOOKUP($M64,TT_Tabelle_Riferimento!$D$127:$H$164,5,FALSE))</f>
        <v>7</v>
      </c>
      <c r="LY64" s="904">
        <f>+IFERROR(VLOOKUP(LY$27&amp;"-"&amp;$M64&amp;"_new",Ammortamento_Finanziario!$H:$L,5,FALSE),VLOOKUP($M64,TT_Tabelle_Riferimento!$D$127:$H$164,5,FALSE))</f>
        <v>7</v>
      </c>
      <c r="LZ64" s="904">
        <f>+IFERROR(VLOOKUP(LZ$27&amp;"-"&amp;$M64&amp;"_new",Ammortamento_Finanziario!$H:$L,5,FALSE),VLOOKUP($M64,TT_Tabelle_Riferimento!$D$127:$H$164,5,FALSE))</f>
        <v>7</v>
      </c>
      <c r="MA64" s="904">
        <f>+IFERROR(VLOOKUP(MA$27&amp;"-"&amp;$M64&amp;"_new",Ammortamento_Finanziario!$H:$L,5,FALSE),VLOOKUP($M64,TT_Tabelle_Riferimento!$D$127:$H$164,5,FALSE))</f>
        <v>7</v>
      </c>
      <c r="MB64" s="904">
        <f>+IFERROR(VLOOKUP(MB$27&amp;"-"&amp;$M64&amp;"_new",Ammortamento_Finanziario!$H:$L,5,FALSE),VLOOKUP($M64,TT_Tabelle_Riferimento!$D$127:$H$164,5,FALSE))</f>
        <v>7</v>
      </c>
      <c r="MC64" s="904">
        <f>+IFERROR(VLOOKUP(MC$27&amp;"-"&amp;$M64&amp;"_new",Ammortamento_Finanziario!$H:$L,5,FALSE),VLOOKUP($M64,TT_Tabelle_Riferimento!$D$127:$H$164,5,FALSE))</f>
        <v>7</v>
      </c>
      <c r="MD64" s="904">
        <f>+IFERROR(VLOOKUP(MD$27&amp;"-"&amp;$M64&amp;"_new",Ammortamento_Finanziario!$H:$L,5,FALSE),VLOOKUP($M64,TT_Tabelle_Riferimento!$D$127:$H$164,5,FALSE))</f>
        <v>7</v>
      </c>
      <c r="ME64" s="904">
        <f>+IFERROR(VLOOKUP(ME$27&amp;"-"&amp;$M64&amp;"_new",Ammortamento_Finanziario!$H:$L,5,FALSE),VLOOKUP($M64,TT_Tabelle_Riferimento!$D$127:$H$164,5,FALSE))</f>
        <v>7</v>
      </c>
      <c r="MF64" s="904">
        <f>+IFERROR(VLOOKUP(MF$27&amp;"-"&amp;$M64&amp;"_new",Ammortamento_Finanziario!$H:$L,5,FALSE),VLOOKUP($M64,TT_Tabelle_Riferimento!$D$127:$H$164,5,FALSE))</f>
        <v>7</v>
      </c>
      <c r="MG64" s="904">
        <f>+IFERROR(VLOOKUP(MG$27&amp;"-"&amp;$M64&amp;"_new",Ammortamento_Finanziario!$H:$L,5,FALSE),VLOOKUP($M64,TT_Tabelle_Riferimento!$D$127:$H$164,5,FALSE))</f>
        <v>7</v>
      </c>
      <c r="MH64" s="904">
        <f>+IFERROR(VLOOKUP(MH$27&amp;"-"&amp;$M64&amp;"_new",Ammortamento_Finanziario!$H:$L,5,FALSE),VLOOKUP($M64,TT_Tabelle_Riferimento!$D$127:$H$164,5,FALSE))</f>
        <v>7</v>
      </c>
      <c r="MI64" s="904">
        <f>+IFERROR(VLOOKUP(MI$27&amp;"-"&amp;$M64&amp;"_new",Ammortamento_Finanziario!$H:$L,5,FALSE),VLOOKUP($M64,TT_Tabelle_Riferimento!$D$127:$H$164,5,FALSE))</f>
        <v>7</v>
      </c>
      <c r="MJ64" s="904">
        <f>+IFERROR(VLOOKUP(MJ$27&amp;"-"&amp;$M64&amp;"_new",Ammortamento_Finanziario!$H:$L,5,FALSE),VLOOKUP($M64,TT_Tabelle_Riferimento!$D$127:$H$164,5,FALSE))</f>
        <v>7</v>
      </c>
      <c r="MK64" s="904">
        <f>+IFERROR(VLOOKUP(MK$27&amp;"-"&amp;$M64&amp;"_new",Ammortamento_Finanziario!$H:$L,5,FALSE),VLOOKUP($M64,TT_Tabelle_Riferimento!$D$127:$H$164,5,FALSE))</f>
        <v>7</v>
      </c>
      <c r="ML64" s="904">
        <f>+IFERROR(VLOOKUP(ML$27&amp;"-"&amp;$M64&amp;"_new",Ammortamento_Finanziario!$H:$L,5,FALSE),VLOOKUP($M64,TT_Tabelle_Riferimento!$D$127:$H$164,5,FALSE))</f>
        <v>7</v>
      </c>
      <c r="MM64" s="904">
        <f>+IFERROR(VLOOKUP(MM$27&amp;"-"&amp;$M64&amp;"_new",Ammortamento_Finanziario!$H:$L,5,FALSE),VLOOKUP($M64,TT_Tabelle_Riferimento!$D$127:$H$164,5,FALSE))</f>
        <v>7</v>
      </c>
      <c r="MN64" s="904">
        <f>+IFERROR(VLOOKUP(MN$27&amp;"-"&amp;$M64&amp;"_new",Ammortamento_Finanziario!$H:$L,5,FALSE),VLOOKUP($M64,TT_Tabelle_Riferimento!$D$127:$H$164,5,FALSE))</f>
        <v>7</v>
      </c>
      <c r="MO64" s="904">
        <f>+IFERROR(VLOOKUP(MO$27&amp;"-"&amp;$M64&amp;"_new",Ammortamento_Finanziario!$H:$L,5,FALSE),VLOOKUP($M64,TT_Tabelle_Riferimento!$D$127:$H$164,5,FALSE))</f>
        <v>7</v>
      </c>
      <c r="MP64" s="904">
        <f>+IFERROR(VLOOKUP(MP$27&amp;"-"&amp;$M64&amp;"_new",Ammortamento_Finanziario!$H:$L,5,FALSE),VLOOKUP($M64,TT_Tabelle_Riferimento!$D$127:$H$164,5,FALSE))</f>
        <v>7</v>
      </c>
      <c r="MQ64" s="904">
        <f>+IFERROR(VLOOKUP(MQ$27&amp;"-"&amp;$M64&amp;"_new",Ammortamento_Finanziario!$H:$L,5,FALSE),VLOOKUP($M64,TT_Tabelle_Riferimento!$D$127:$H$164,5,FALSE))</f>
        <v>7</v>
      </c>
      <c r="MR64" s="1762">
        <f>+IFERROR(VLOOKUP(MR$27&amp;"-"&amp;$M64&amp;"_new",Ammortamento_Finanziario!$H:$L,5,FALSE),VLOOKUP($M64,TT_Tabelle_Riferimento!$D$127:$H$164,5,FALSE))</f>
        <v>7</v>
      </c>
      <c r="MS64" s="1762">
        <f>+IFERROR(VLOOKUP(MS$27&amp;"-"&amp;$M64&amp;"_new",Ammortamento_Finanziario!$H:$L,5,FALSE),VLOOKUP($M64,TT_Tabelle_Riferimento!$D$127:$H$164,5,FALSE))</f>
        <v>7</v>
      </c>
      <c r="MT64" s="1762">
        <f>+IFERROR(VLOOKUP(MT$27&amp;"-"&amp;$M64&amp;"_new",Ammortamento_Finanziario!$H:$L,5,FALSE),VLOOKUP($M64,TT_Tabelle_Riferimento!$D$127:$H$164,5,FALSE))</f>
        <v>7</v>
      </c>
      <c r="MU64" s="1762">
        <f>+IFERROR(VLOOKUP(MU$27&amp;"-"&amp;$M64&amp;"_new",Ammortamento_Finanziario!$H:$L,5,FALSE),VLOOKUP($M64,TT_Tabelle_Riferimento!$D$127:$H$164,5,FALSE))</f>
        <v>7</v>
      </c>
      <c r="MV64" s="1762">
        <f>+IFERROR(VLOOKUP(MV$27&amp;"-"&amp;$M64&amp;"_new",Ammortamento_Finanziario!$H:$L,5,FALSE),VLOOKUP($M64,TT_Tabelle_Riferimento!$D$127:$H$164,5,FALSE))</f>
        <v>7</v>
      </c>
      <c r="MW64" s="1762">
        <f>+IFERROR(VLOOKUP(MW$27&amp;"-"&amp;$M64&amp;"_new",Ammortamento_Finanziario!$H:$L,5,FALSE),VLOOKUP($M64,TT_Tabelle_Riferimento!$D$127:$H$164,5,FALSE))</f>
        <v>7</v>
      </c>
      <c r="MX64" s="904">
        <f>+IFERROR(VLOOKUP(MX$27&amp;"-"&amp;$M64&amp;"_new",Ammortamento_Finanziario!$H:$L,5,FALSE),VLOOKUP($M64,TT_Tabelle_Riferimento!$D$127:$H$164,5,FALSE))</f>
        <v>7</v>
      </c>
      <c r="MY64" s="904">
        <f>+IFERROR(VLOOKUP(MY$27&amp;"-"&amp;$M64&amp;"_new",Ammortamento_Finanziario!$H:$L,5,FALSE),VLOOKUP($M64,TT_Tabelle_Riferimento!$D$127:$H$164,5,FALSE))</f>
        <v>7</v>
      </c>
      <c r="MZ64" s="904">
        <f>+IFERROR(VLOOKUP(MZ$27&amp;"-"&amp;$M64&amp;"_new",Ammortamento_Finanziario!$H:$L,5,FALSE),VLOOKUP($M64,TT_Tabelle_Riferimento!$D$127:$H$164,5,FALSE))</f>
        <v>7</v>
      </c>
      <c r="NA64" s="904">
        <f>+IFERROR(VLOOKUP(NA$27&amp;"-"&amp;$M64&amp;"_new",Ammortamento_Finanziario!$H:$L,5,FALSE),VLOOKUP($M64,TT_Tabelle_Riferimento!$D$127:$H$164,5,FALSE))</f>
        <v>7</v>
      </c>
      <c r="NB64" s="904">
        <f>+IFERROR(VLOOKUP(NB$27&amp;"-"&amp;$M64&amp;"_new",Ammortamento_Finanziario!$H:$L,5,FALSE),VLOOKUP($M64,TT_Tabelle_Riferimento!$D$127:$H$164,5,FALSE))</f>
        <v>7</v>
      </c>
      <c r="NC64" s="904">
        <f>+IFERROR(VLOOKUP(NC$27&amp;"-"&amp;$M64&amp;"_new",Ammortamento_Finanziario!$H:$L,5,FALSE),VLOOKUP($M64,TT_Tabelle_Riferimento!$D$127:$H$164,5,FALSE))</f>
        <v>7</v>
      </c>
      <c r="ND64" s="904">
        <f>+IFERROR(VLOOKUP(ND$27&amp;"-"&amp;$M64&amp;"_new",Ammortamento_Finanziario!$H:$L,5,FALSE),VLOOKUP($M64,TT_Tabelle_Riferimento!$D$127:$H$164,5,FALSE))</f>
        <v>7</v>
      </c>
      <c r="NE64" s="904">
        <f>+IFERROR(VLOOKUP(NE$27&amp;"-"&amp;$M64&amp;"_new",Ammortamento_Finanziario!$H:$L,5,FALSE),VLOOKUP($M64,TT_Tabelle_Riferimento!$D$127:$H$164,5,FALSE))</f>
        <v>7</v>
      </c>
      <c r="NF64" s="904">
        <f>+IFERROR(VLOOKUP(NF$27&amp;"-"&amp;$M64&amp;"_new",Ammortamento_Finanziario!$H:$L,5,FALSE),VLOOKUP($M64,TT_Tabelle_Riferimento!$D$127:$H$164,5,FALSE))</f>
        <v>7</v>
      </c>
      <c r="NG64" s="904">
        <f>+IFERROR(VLOOKUP(NG$27&amp;"-"&amp;$M64&amp;"_new",Ammortamento_Finanziario!$H:$L,5,FALSE),VLOOKUP($M64,TT_Tabelle_Riferimento!$D$127:$H$164,5,FALSE))</f>
        <v>7</v>
      </c>
      <c r="NH64" s="904">
        <f>+IFERROR(VLOOKUP(NH$27&amp;"-"&amp;$M64&amp;"_new",Ammortamento_Finanziario!$H:$L,5,FALSE),VLOOKUP($M64,TT_Tabelle_Riferimento!$D$127:$H$164,5,FALSE))</f>
        <v>7</v>
      </c>
      <c r="NI64" s="904">
        <f>+IFERROR(VLOOKUP(NI$27&amp;"-"&amp;$M64&amp;"_new",Ammortamento_Finanziario!$H:$L,5,FALSE),VLOOKUP($M64,TT_Tabelle_Riferimento!$D$127:$H$164,5,FALSE))</f>
        <v>7</v>
      </c>
      <c r="NJ64" s="904">
        <f>+IFERROR(VLOOKUP(NJ$27&amp;"-"&amp;$M64&amp;"_new",Ammortamento_Finanziario!$H:$L,5,FALSE),VLOOKUP($M64,TT_Tabelle_Riferimento!$D$127:$H$164,5,FALSE))</f>
        <v>7</v>
      </c>
      <c r="NK64" s="904">
        <f>+IFERROR(VLOOKUP(NK$27&amp;"-"&amp;$M64&amp;"_new",Ammortamento_Finanziario!$H:$L,5,FALSE),VLOOKUP($M64,TT_Tabelle_Riferimento!$D$127:$H$164,5,FALSE))</f>
        <v>7</v>
      </c>
      <c r="NL64" s="904">
        <f>+IFERROR(VLOOKUP(NL$27&amp;"-"&amp;$M64&amp;"_new",Ammortamento_Finanziario!$H:$L,5,FALSE),VLOOKUP($M64,TT_Tabelle_Riferimento!$D$127:$H$164,5,FALSE))</f>
        <v>7</v>
      </c>
      <c r="NM64" s="904">
        <f>+IFERROR(VLOOKUP(NM$27&amp;"-"&amp;$M64&amp;"_new",Ammortamento_Finanziario!$H:$L,5,FALSE),VLOOKUP($M64,TT_Tabelle_Riferimento!$D$127:$H$164,5,FALSE))</f>
        <v>7</v>
      </c>
      <c r="NN64" s="904">
        <f>+IFERROR(VLOOKUP(NN$27&amp;"-"&amp;$M64&amp;"_new",Ammortamento_Finanziario!$H:$L,5,FALSE),VLOOKUP($M64,TT_Tabelle_Riferimento!$D$127:$H$164,5,FALSE))</f>
        <v>7</v>
      </c>
      <c r="NO64" s="904">
        <f>+IFERROR(VLOOKUP(NO$27&amp;"-"&amp;$M64&amp;"_new",Ammortamento_Finanziario!$H:$L,5,FALSE),VLOOKUP($M64,TT_Tabelle_Riferimento!$D$127:$H$164,5,FALSE))</f>
        <v>7</v>
      </c>
      <c r="NP64" s="904">
        <f>+IFERROR(VLOOKUP(NP$27&amp;"-"&amp;$M64&amp;"_new",Ammortamento_Finanziario!$H:$L,5,FALSE),VLOOKUP($M64,TT_Tabelle_Riferimento!$D$127:$H$164,5,FALSE))</f>
        <v>7</v>
      </c>
      <c r="NQ64" s="1762">
        <f>+IFERROR(VLOOKUP(NQ$27&amp;"-"&amp;$M64&amp;"_new",Ammortamento_Finanziario!$H:$L,5,FALSE),VLOOKUP($M64,TT_Tabelle_Riferimento!$D$127:$H$164,5,FALSE))</f>
        <v>7</v>
      </c>
      <c r="NR64" s="1762">
        <f>+IFERROR(VLOOKUP(NR$27&amp;"-"&amp;$M64&amp;"_new",Ammortamento_Finanziario!$H:$L,5,FALSE),VLOOKUP($M64,TT_Tabelle_Riferimento!$D$127:$H$164,5,FALSE))</f>
        <v>7</v>
      </c>
      <c r="NS64" s="1762">
        <f>+IFERROR(VLOOKUP(NS$27&amp;"-"&amp;$M64&amp;"_new",Ammortamento_Finanziario!$H:$L,5,FALSE),VLOOKUP($M64,TT_Tabelle_Riferimento!$D$127:$H$164,5,FALSE))</f>
        <v>7</v>
      </c>
      <c r="NT64" s="1762">
        <f>+IFERROR(VLOOKUP(NT$27&amp;"-"&amp;$M64&amp;"_new",Ammortamento_Finanziario!$H:$L,5,FALSE),VLOOKUP($M64,TT_Tabelle_Riferimento!$D$127:$H$164,5,FALSE))</f>
        <v>7</v>
      </c>
      <c r="NU64" s="1762">
        <f>+IFERROR(VLOOKUP(NU$27&amp;"-"&amp;$M64&amp;"_new",Ammortamento_Finanziario!$H:$L,5,FALSE),VLOOKUP($M64,TT_Tabelle_Riferimento!$D$127:$H$164,5,FALSE))</f>
        <v>7</v>
      </c>
      <c r="NV64" s="904">
        <f>+IFERROR(VLOOKUP(NV$27&amp;"-"&amp;$M64&amp;"_new",Ammortamento_Finanziario!$H:$L,5,FALSE),VLOOKUP($M64,TT_Tabelle_Riferimento!$D$127:$H$164,5,FALSE))</f>
        <v>7</v>
      </c>
      <c r="NW64" s="904">
        <f>+IFERROR(VLOOKUP(NW$27&amp;"-"&amp;$M64&amp;"_new",Ammortamento_Finanziario!$H:$L,5,FALSE),VLOOKUP($M64,TT_Tabelle_Riferimento!$D$127:$H$164,5,FALSE))</f>
        <v>7</v>
      </c>
      <c r="NX64" s="904">
        <f>+IFERROR(VLOOKUP(NX$27&amp;"-"&amp;$M64&amp;"_new",Ammortamento_Finanziario!$H:$L,5,FALSE),VLOOKUP($M64,TT_Tabelle_Riferimento!$D$127:$H$164,5,FALSE))</f>
        <v>7</v>
      </c>
      <c r="NY64" s="904">
        <f>+IFERROR(VLOOKUP(NY$27&amp;"-"&amp;$M64&amp;"_new",Ammortamento_Finanziario!$H:$L,5,FALSE),VLOOKUP($M64,TT_Tabelle_Riferimento!$D$127:$H$164,5,FALSE))</f>
        <v>7</v>
      </c>
      <c r="NZ64" s="904">
        <f>+IFERROR(VLOOKUP(NZ$27&amp;"-"&amp;$M64&amp;"_new",Ammortamento_Finanziario!$H:$L,5,FALSE),VLOOKUP($M64,TT_Tabelle_Riferimento!$D$127:$H$164,5,FALSE))</f>
        <v>7</v>
      </c>
      <c r="OA64" s="904">
        <f>+IFERROR(VLOOKUP(OA$27&amp;"-"&amp;$M64&amp;"_new",Ammortamento_Finanziario!$H:$L,5,FALSE),VLOOKUP($M64,TT_Tabelle_Riferimento!$D$127:$H$164,5,FALSE))</f>
        <v>7</v>
      </c>
      <c r="OB64" s="904">
        <f>+IFERROR(VLOOKUP(OB$27&amp;"-"&amp;$M64&amp;"_new",Ammortamento_Finanziario!$H:$L,5,FALSE),VLOOKUP($M64,TT_Tabelle_Riferimento!$D$127:$H$164,5,FALSE))</f>
        <v>7</v>
      </c>
      <c r="OC64" s="904">
        <f>+IFERROR(VLOOKUP(OC$27&amp;"-"&amp;$M64&amp;"_new",Ammortamento_Finanziario!$H:$L,5,FALSE),VLOOKUP($M64,TT_Tabelle_Riferimento!$D$127:$H$164,5,FALSE))</f>
        <v>7</v>
      </c>
      <c r="OD64" s="904">
        <f>+IFERROR(VLOOKUP(OD$27&amp;"-"&amp;$M64&amp;"_new",Ammortamento_Finanziario!$H:$L,5,FALSE),VLOOKUP($M64,TT_Tabelle_Riferimento!$D$127:$H$164,5,FALSE))</f>
        <v>7</v>
      </c>
      <c r="OE64" s="904">
        <f>+IFERROR(VLOOKUP(OE$27&amp;"-"&amp;$M64&amp;"_new",Ammortamento_Finanziario!$H:$L,5,FALSE),VLOOKUP($M64,TT_Tabelle_Riferimento!$D$127:$H$164,5,FALSE))</f>
        <v>7</v>
      </c>
      <c r="OF64" s="904">
        <f>+IFERROR(VLOOKUP(OF$27&amp;"-"&amp;$M64&amp;"_new",Ammortamento_Finanziario!$H:$L,5,FALSE),VLOOKUP($M64,TT_Tabelle_Riferimento!$D$127:$H$164,5,FALSE))</f>
        <v>7</v>
      </c>
      <c r="OG64" s="904">
        <f>+IFERROR(VLOOKUP(OG$27&amp;"-"&amp;$M64&amp;"_new",Ammortamento_Finanziario!$H:$L,5,FALSE),VLOOKUP($M64,TT_Tabelle_Riferimento!$D$127:$H$164,5,FALSE))</f>
        <v>7</v>
      </c>
      <c r="OH64" s="904">
        <f>+IFERROR(VLOOKUP(OH$27&amp;"-"&amp;$M64&amp;"_new",Ammortamento_Finanziario!$H:$L,5,FALSE),VLOOKUP($M64,TT_Tabelle_Riferimento!$D$127:$H$164,5,FALSE))</f>
        <v>7</v>
      </c>
      <c r="OI64" s="904">
        <f>+IFERROR(VLOOKUP(OI$27&amp;"-"&amp;$M64&amp;"_new",Ammortamento_Finanziario!$H:$L,5,FALSE),VLOOKUP($M64,TT_Tabelle_Riferimento!$D$127:$H$164,5,FALSE))</f>
        <v>7</v>
      </c>
      <c r="OJ64" s="904">
        <f>+IFERROR(VLOOKUP(OJ$27&amp;"-"&amp;$M64&amp;"_new",Ammortamento_Finanziario!$H:$L,5,FALSE),VLOOKUP($M64,TT_Tabelle_Riferimento!$D$127:$H$164,5,FALSE))</f>
        <v>7</v>
      </c>
      <c r="OK64" s="904">
        <f>+IFERROR(VLOOKUP(OK$27&amp;"-"&amp;$M64&amp;"_new",Ammortamento_Finanziario!$H:$L,5,FALSE),VLOOKUP($M64,TT_Tabelle_Riferimento!$D$127:$H$164,5,FALSE))</f>
        <v>7</v>
      </c>
      <c r="OL64" s="904">
        <f>+IFERROR(VLOOKUP(OL$27&amp;"-"&amp;$M64&amp;"_new",Ammortamento_Finanziario!$H:$L,5,FALSE),VLOOKUP($M64,TT_Tabelle_Riferimento!$D$127:$H$164,5,FALSE))</f>
        <v>7</v>
      </c>
      <c r="OM64" s="904">
        <f>+IFERROR(VLOOKUP(OM$27&amp;"-"&amp;$M64&amp;"_new",Ammortamento_Finanziario!$H:$L,5,FALSE),VLOOKUP($M64,TT_Tabelle_Riferimento!$D$127:$H$164,5,FALSE))</f>
        <v>7</v>
      </c>
      <c r="ON64" s="904">
        <f>+IFERROR(VLOOKUP(ON$27&amp;"-"&amp;$M64&amp;"_new",Ammortamento_Finanziario!$H:$L,5,FALSE),VLOOKUP($M64,TT_Tabelle_Riferimento!$D$127:$H$164,5,FALSE))</f>
        <v>7</v>
      </c>
      <c r="OO64" s="1762">
        <f>+IFERROR(VLOOKUP(OO$27&amp;"-"&amp;$M64&amp;"_new",Ammortamento_Finanziario!$H:$L,5,FALSE),VLOOKUP($M64,TT_Tabelle_Riferimento!$D$127:$H$164,5,FALSE))</f>
        <v>7</v>
      </c>
      <c r="OP64" s="1762">
        <f>+IFERROR(VLOOKUP(OP$27&amp;"-"&amp;$M64&amp;"_new",Ammortamento_Finanziario!$H:$L,5,FALSE),VLOOKUP($M64,TT_Tabelle_Riferimento!$D$127:$H$164,5,FALSE))</f>
        <v>7</v>
      </c>
      <c r="OQ64" s="1762">
        <f>+IFERROR(VLOOKUP(OQ$27&amp;"-"&amp;$M64&amp;"_new",Ammortamento_Finanziario!$H:$L,5,FALSE),VLOOKUP($M64,TT_Tabelle_Riferimento!$D$127:$H$164,5,FALSE))</f>
        <v>7</v>
      </c>
      <c r="OR64" s="1762">
        <f>+IFERROR(VLOOKUP(OR$27&amp;"-"&amp;$M64&amp;"_new",Ammortamento_Finanziario!$H:$L,5,FALSE),VLOOKUP($M64,TT_Tabelle_Riferimento!$D$127:$H$164,5,FALSE))</f>
        <v>7</v>
      </c>
      <c r="OS64" s="904">
        <f>+IFERROR(VLOOKUP(OS$27&amp;"-"&amp;$M64&amp;"_new",Ammortamento_Finanziario!$H:$L,5,FALSE),VLOOKUP($M64,TT_Tabelle_Riferimento!$D$127:$H$164,5,FALSE))</f>
        <v>7</v>
      </c>
      <c r="OT64" s="904">
        <f>+IFERROR(VLOOKUP(OT$27&amp;"-"&amp;$M64&amp;"_new",Ammortamento_Finanziario!$H:$L,5,FALSE),VLOOKUP($M64,TT_Tabelle_Riferimento!$D$127:$H$164,5,FALSE))</f>
        <v>7</v>
      </c>
      <c r="OU64" s="904">
        <f>+IFERROR(VLOOKUP(OU$27&amp;"-"&amp;$M64&amp;"_new",Ammortamento_Finanziario!$H:$L,5,FALSE),VLOOKUP($M64,TT_Tabelle_Riferimento!$D$127:$H$164,5,FALSE))</f>
        <v>7</v>
      </c>
      <c r="OV64" s="904">
        <f>+IFERROR(VLOOKUP(OV$27&amp;"-"&amp;$M64&amp;"_new",Ammortamento_Finanziario!$H:$L,5,FALSE),VLOOKUP($M64,TT_Tabelle_Riferimento!$D$127:$H$164,5,FALSE))</f>
        <v>7</v>
      </c>
      <c r="OW64" s="904">
        <f>+IFERROR(VLOOKUP(OW$27&amp;"-"&amp;$M64&amp;"_new",Ammortamento_Finanziario!$H:$L,5,FALSE),VLOOKUP($M64,TT_Tabelle_Riferimento!$D$127:$H$164,5,FALSE))</f>
        <v>7</v>
      </c>
      <c r="OX64" s="904">
        <f>+IFERROR(VLOOKUP(OX$27&amp;"-"&amp;$M64&amp;"_new",Ammortamento_Finanziario!$H:$L,5,FALSE),VLOOKUP($M64,TT_Tabelle_Riferimento!$D$127:$H$164,5,FALSE))</f>
        <v>7</v>
      </c>
      <c r="OY64" s="904">
        <f>+IFERROR(VLOOKUP(OY$27&amp;"-"&amp;$M64&amp;"_new",Ammortamento_Finanziario!$H:$L,5,FALSE),VLOOKUP($M64,TT_Tabelle_Riferimento!$D$127:$H$164,5,FALSE))</f>
        <v>7</v>
      </c>
      <c r="OZ64" s="904">
        <f>+IFERROR(VLOOKUP(OZ$27&amp;"-"&amp;$M64&amp;"_new",Ammortamento_Finanziario!$H:$L,5,FALSE),VLOOKUP($M64,TT_Tabelle_Riferimento!$D$127:$H$164,5,FALSE))</f>
        <v>7</v>
      </c>
      <c r="PA64" s="904">
        <f>+IFERROR(VLOOKUP(PA$27&amp;"-"&amp;$M64&amp;"_new",Ammortamento_Finanziario!$H:$L,5,FALSE),VLOOKUP($M64,TT_Tabelle_Riferimento!$D$127:$H$164,5,FALSE))</f>
        <v>7</v>
      </c>
      <c r="PB64" s="904">
        <f>+IFERROR(VLOOKUP(PB$27&amp;"-"&amp;$M64&amp;"_new",Ammortamento_Finanziario!$H:$L,5,FALSE),VLOOKUP($M64,TT_Tabelle_Riferimento!$D$127:$H$164,5,FALSE))</f>
        <v>7</v>
      </c>
      <c r="PC64" s="904">
        <f>+IFERROR(VLOOKUP(PC$27&amp;"-"&amp;$M64&amp;"_new",Ammortamento_Finanziario!$H:$L,5,FALSE),VLOOKUP($M64,TT_Tabelle_Riferimento!$D$127:$H$164,5,FALSE))</f>
        <v>7</v>
      </c>
      <c r="PD64" s="904">
        <f>+IFERROR(VLOOKUP(PD$27&amp;"-"&amp;$M64&amp;"_new",Ammortamento_Finanziario!$H:$L,5,FALSE),VLOOKUP($M64,TT_Tabelle_Riferimento!$D$127:$H$164,5,FALSE))</f>
        <v>7</v>
      </c>
      <c r="PE64" s="904">
        <f>+IFERROR(VLOOKUP(PE$27&amp;"-"&amp;$M64&amp;"_new",Ammortamento_Finanziario!$H:$L,5,FALSE),VLOOKUP($M64,TT_Tabelle_Riferimento!$D$127:$H$164,5,FALSE))</f>
        <v>7</v>
      </c>
      <c r="PF64" s="904">
        <f>+IFERROR(VLOOKUP(PF$27&amp;"-"&amp;$M64&amp;"_new",Ammortamento_Finanziario!$H:$L,5,FALSE),VLOOKUP($M64,TT_Tabelle_Riferimento!$D$127:$H$164,5,FALSE))</f>
        <v>7</v>
      </c>
      <c r="PG64" s="904">
        <f>+IFERROR(VLOOKUP(PG$27&amp;"-"&amp;$M64&amp;"_new",Ammortamento_Finanziario!$H:$L,5,FALSE),VLOOKUP($M64,TT_Tabelle_Riferimento!$D$127:$H$164,5,FALSE))</f>
        <v>7</v>
      </c>
      <c r="PH64" s="904">
        <f>+IFERROR(VLOOKUP(PH$27&amp;"-"&amp;$M64&amp;"_new",Ammortamento_Finanziario!$H:$L,5,FALSE),VLOOKUP($M64,TT_Tabelle_Riferimento!$D$127:$H$164,5,FALSE))</f>
        <v>7</v>
      </c>
      <c r="PI64" s="904">
        <f>+IFERROR(VLOOKUP(PI$27&amp;"-"&amp;$M64&amp;"_new",Ammortamento_Finanziario!$H:$L,5,FALSE),VLOOKUP($M64,TT_Tabelle_Riferimento!$D$127:$H$164,5,FALSE))</f>
        <v>7</v>
      </c>
      <c r="PJ64" s="904">
        <f>+IFERROR(VLOOKUP(PJ$27&amp;"-"&amp;$M64&amp;"_new",Ammortamento_Finanziario!$H:$L,5,FALSE),VLOOKUP($M64,TT_Tabelle_Riferimento!$D$127:$H$164,5,FALSE))</f>
        <v>7</v>
      </c>
      <c r="PK64" s="904">
        <f>+IFERROR(VLOOKUP(PK$27&amp;"-"&amp;$M64&amp;"_new",Ammortamento_Finanziario!$H:$L,5,FALSE),VLOOKUP($M64,TT_Tabelle_Riferimento!$D$127:$H$164,5,FALSE))</f>
        <v>7</v>
      </c>
      <c r="PL64" s="1762">
        <f>+IFERROR(VLOOKUP(PL$27&amp;"-"&amp;$M64&amp;"_new",Ammortamento_Finanziario!$H:$L,5,FALSE),VLOOKUP($M64,TT_Tabelle_Riferimento!$D$127:$H$164,5,FALSE))</f>
        <v>7</v>
      </c>
      <c r="PM64" s="1762">
        <f>+IFERROR(VLOOKUP(PM$27&amp;"-"&amp;$M64&amp;"_new",Ammortamento_Finanziario!$H:$L,5,FALSE),VLOOKUP($M64,TT_Tabelle_Riferimento!$D$127:$H$164,5,FALSE))</f>
        <v>7</v>
      </c>
      <c r="PN64" s="1762">
        <f>+IFERROR(VLOOKUP(PN$27&amp;"-"&amp;$M64&amp;"_new",Ammortamento_Finanziario!$H:$L,5,FALSE),VLOOKUP($M64,TT_Tabelle_Riferimento!$D$127:$H$164,5,FALSE))</f>
        <v>7</v>
      </c>
      <c r="PO64" s="904">
        <f>+IFERROR(VLOOKUP(PO$27&amp;"-"&amp;$M64&amp;"_new",Ammortamento_Finanziario!$H:$L,5,FALSE),VLOOKUP($M64,TT_Tabelle_Riferimento!$D$127:$H$164,5,FALSE))</f>
        <v>7</v>
      </c>
      <c r="PP64" s="904">
        <f>+IFERROR(VLOOKUP(PP$27&amp;"-"&amp;$M64&amp;"_new",Ammortamento_Finanziario!$H:$L,5,FALSE),VLOOKUP($M64,TT_Tabelle_Riferimento!$D$127:$H$164,5,FALSE))</f>
        <v>7</v>
      </c>
      <c r="PQ64" s="904">
        <f>+IFERROR(VLOOKUP(PQ$27&amp;"-"&amp;$M64&amp;"_new",Ammortamento_Finanziario!$H:$L,5,FALSE),VLOOKUP($M64,TT_Tabelle_Riferimento!$D$127:$H$164,5,FALSE))</f>
        <v>7</v>
      </c>
      <c r="PR64" s="904">
        <f>+IFERROR(VLOOKUP(PR$27&amp;"-"&amp;$M64&amp;"_new",Ammortamento_Finanziario!$H:$L,5,FALSE),VLOOKUP($M64,TT_Tabelle_Riferimento!$D$127:$H$164,5,FALSE))</f>
        <v>7</v>
      </c>
      <c r="PS64" s="904">
        <f>+IFERROR(VLOOKUP(PS$27&amp;"-"&amp;$M64&amp;"_new",Ammortamento_Finanziario!$H:$L,5,FALSE),VLOOKUP($M64,TT_Tabelle_Riferimento!$D$127:$H$164,5,FALSE))</f>
        <v>7</v>
      </c>
      <c r="PT64" s="904">
        <f>+IFERROR(VLOOKUP(PT$27&amp;"-"&amp;$M64&amp;"_new",Ammortamento_Finanziario!$H:$L,5,FALSE),VLOOKUP($M64,TT_Tabelle_Riferimento!$D$127:$H$164,5,FALSE))</f>
        <v>7</v>
      </c>
      <c r="PU64" s="904">
        <f>+IFERROR(VLOOKUP(PU$27&amp;"-"&amp;$M64&amp;"_new",Ammortamento_Finanziario!$H:$L,5,FALSE),VLOOKUP($M64,TT_Tabelle_Riferimento!$D$127:$H$164,5,FALSE))</f>
        <v>7</v>
      </c>
      <c r="PV64" s="904">
        <f>+IFERROR(VLOOKUP(PV$27&amp;"-"&amp;$M64&amp;"_new",Ammortamento_Finanziario!$H:$L,5,FALSE),VLOOKUP($M64,TT_Tabelle_Riferimento!$D$127:$H$164,5,FALSE))</f>
        <v>7</v>
      </c>
      <c r="PW64" s="904">
        <f>+IFERROR(VLOOKUP(PW$27&amp;"-"&amp;$M64&amp;"_new",Ammortamento_Finanziario!$H:$L,5,FALSE),VLOOKUP($M64,TT_Tabelle_Riferimento!$D$127:$H$164,5,FALSE))</f>
        <v>7</v>
      </c>
      <c r="PX64" s="904">
        <f>+IFERROR(VLOOKUP(PX$27&amp;"-"&amp;$M64&amp;"_new",Ammortamento_Finanziario!$H:$L,5,FALSE),VLOOKUP($M64,TT_Tabelle_Riferimento!$D$127:$H$164,5,FALSE))</f>
        <v>7</v>
      </c>
      <c r="PY64" s="904">
        <f>+IFERROR(VLOOKUP(PY$27&amp;"-"&amp;$M64&amp;"_new",Ammortamento_Finanziario!$H:$L,5,FALSE),VLOOKUP($M64,TT_Tabelle_Riferimento!$D$127:$H$164,5,FALSE))</f>
        <v>7</v>
      </c>
      <c r="PZ64" s="904">
        <f>+IFERROR(VLOOKUP(PZ$27&amp;"-"&amp;$M64&amp;"_new",Ammortamento_Finanziario!$H:$L,5,FALSE),VLOOKUP($M64,TT_Tabelle_Riferimento!$D$127:$H$164,5,FALSE))</f>
        <v>7</v>
      </c>
      <c r="QA64" s="904">
        <f>+IFERROR(VLOOKUP(QA$27&amp;"-"&amp;$M64&amp;"_new",Ammortamento_Finanziario!$H:$L,5,FALSE),VLOOKUP($M64,TT_Tabelle_Riferimento!$D$127:$H$164,5,FALSE))</f>
        <v>7</v>
      </c>
      <c r="QB64" s="904">
        <f>+IFERROR(VLOOKUP(QB$27&amp;"-"&amp;$M64&amp;"_new",Ammortamento_Finanziario!$H:$L,5,FALSE),VLOOKUP($M64,TT_Tabelle_Riferimento!$D$127:$H$164,5,FALSE))</f>
        <v>7</v>
      </c>
      <c r="QC64" s="904">
        <f>+IFERROR(VLOOKUP(QC$27&amp;"-"&amp;$M64&amp;"_new",Ammortamento_Finanziario!$H:$L,5,FALSE),VLOOKUP($M64,TT_Tabelle_Riferimento!$D$127:$H$164,5,FALSE))</f>
        <v>7</v>
      </c>
      <c r="QD64" s="904">
        <f>+IFERROR(VLOOKUP(QD$27&amp;"-"&amp;$M64&amp;"_new",Ammortamento_Finanziario!$H:$L,5,FALSE),VLOOKUP($M64,TT_Tabelle_Riferimento!$D$127:$H$164,5,FALSE))</f>
        <v>7</v>
      </c>
      <c r="QE64" s="904">
        <f>+IFERROR(VLOOKUP(QE$27&amp;"-"&amp;$M64&amp;"_new",Ammortamento_Finanziario!$H:$L,5,FALSE),VLOOKUP($M64,TT_Tabelle_Riferimento!$D$127:$H$164,5,FALSE))</f>
        <v>7</v>
      </c>
      <c r="QF64" s="904">
        <f>+IFERROR(VLOOKUP(QF$27&amp;"-"&amp;$M64&amp;"_new",Ammortamento_Finanziario!$H:$L,5,FALSE),VLOOKUP($M64,TT_Tabelle_Riferimento!$D$127:$H$164,5,FALSE))</f>
        <v>7</v>
      </c>
      <c r="QG64" s="904">
        <f>+IFERROR(VLOOKUP(QG$27&amp;"-"&amp;$M64&amp;"_new",Ammortamento_Finanziario!$H:$L,5,FALSE),VLOOKUP($M64,TT_Tabelle_Riferimento!$D$127:$H$164,5,FALSE))</f>
        <v>7</v>
      </c>
      <c r="QH64" s="1762">
        <f>+IFERROR(VLOOKUP(QH$27&amp;"-"&amp;$M64&amp;"_new",Ammortamento_Finanziario!$H:$L,5,FALSE),VLOOKUP($M64,TT_Tabelle_Riferimento!$D$127:$H$164,5,FALSE))</f>
        <v>7</v>
      </c>
      <c r="QI64" s="1762">
        <f>+IFERROR(VLOOKUP(QI$27&amp;"-"&amp;$M64&amp;"_new",Ammortamento_Finanziario!$H:$L,5,FALSE),VLOOKUP($M64,TT_Tabelle_Riferimento!$D$127:$H$164,5,FALSE))</f>
        <v>7</v>
      </c>
      <c r="QJ64" s="904">
        <f>+IFERROR(VLOOKUP(QJ$27&amp;"-"&amp;$M64&amp;"_new",Ammortamento_Finanziario!$H:$L,5,FALSE),VLOOKUP($M64,TT_Tabelle_Riferimento!$D$127:$H$164,5,FALSE))</f>
        <v>7</v>
      </c>
      <c r="QK64" s="904">
        <f>+IFERROR(VLOOKUP(QK$27&amp;"-"&amp;$M64&amp;"_new",Ammortamento_Finanziario!$H:$L,5,FALSE),VLOOKUP($M64,TT_Tabelle_Riferimento!$D$127:$H$164,5,FALSE))</f>
        <v>7</v>
      </c>
      <c r="QL64" s="904">
        <f>+IFERROR(VLOOKUP(QL$27&amp;"-"&amp;$M64&amp;"_new",Ammortamento_Finanziario!$H:$L,5,FALSE),VLOOKUP($M64,TT_Tabelle_Riferimento!$D$127:$H$164,5,FALSE))</f>
        <v>7</v>
      </c>
      <c r="QM64" s="904">
        <f>+IFERROR(VLOOKUP(QM$27&amp;"-"&amp;$M64&amp;"_new",Ammortamento_Finanziario!$H:$L,5,FALSE),VLOOKUP($M64,TT_Tabelle_Riferimento!$D$127:$H$164,5,FALSE))</f>
        <v>7</v>
      </c>
      <c r="QN64" s="904">
        <f>+IFERROR(VLOOKUP(QN$27&amp;"-"&amp;$M64&amp;"_new",Ammortamento_Finanziario!$H:$L,5,FALSE),VLOOKUP($M64,TT_Tabelle_Riferimento!$D$127:$H$164,5,FALSE))</f>
        <v>7</v>
      </c>
      <c r="QO64" s="904">
        <f>+IFERROR(VLOOKUP(QO$27&amp;"-"&amp;$M64&amp;"_new",Ammortamento_Finanziario!$H:$L,5,FALSE),VLOOKUP($M64,TT_Tabelle_Riferimento!$D$127:$H$164,5,FALSE))</f>
        <v>7</v>
      </c>
      <c r="QP64" s="904">
        <f>+IFERROR(VLOOKUP(QP$27&amp;"-"&amp;$M64&amp;"_new",Ammortamento_Finanziario!$H:$L,5,FALSE),VLOOKUP($M64,TT_Tabelle_Riferimento!$D$127:$H$164,5,FALSE))</f>
        <v>7</v>
      </c>
      <c r="QQ64" s="904">
        <f>+IFERROR(VLOOKUP(QQ$27&amp;"-"&amp;$M64&amp;"_new",Ammortamento_Finanziario!$H:$L,5,FALSE),VLOOKUP($M64,TT_Tabelle_Riferimento!$D$127:$H$164,5,FALSE))</f>
        <v>7</v>
      </c>
      <c r="QR64" s="904">
        <f>+IFERROR(VLOOKUP(QR$27&amp;"-"&amp;$M64&amp;"_new",Ammortamento_Finanziario!$H:$L,5,FALSE),VLOOKUP($M64,TT_Tabelle_Riferimento!$D$127:$H$164,5,FALSE))</f>
        <v>7</v>
      </c>
      <c r="QS64" s="904">
        <f>+IFERROR(VLOOKUP(QS$27&amp;"-"&amp;$M64&amp;"_new",Ammortamento_Finanziario!$H:$L,5,FALSE),VLOOKUP($M64,TT_Tabelle_Riferimento!$D$127:$H$164,5,FALSE))</f>
        <v>7</v>
      </c>
      <c r="QT64" s="904">
        <f>+IFERROR(VLOOKUP(QT$27&amp;"-"&amp;$M64&amp;"_new",Ammortamento_Finanziario!$H:$L,5,FALSE),VLOOKUP($M64,TT_Tabelle_Riferimento!$D$127:$H$164,5,FALSE))</f>
        <v>7</v>
      </c>
      <c r="QU64" s="904">
        <f>+IFERROR(VLOOKUP(QU$27&amp;"-"&amp;$M64&amp;"_new",Ammortamento_Finanziario!$H:$L,5,FALSE),VLOOKUP($M64,TT_Tabelle_Riferimento!$D$127:$H$164,5,FALSE))</f>
        <v>7</v>
      </c>
      <c r="QV64" s="904">
        <f>+IFERROR(VLOOKUP(QV$27&amp;"-"&amp;$M64&amp;"_new",Ammortamento_Finanziario!$H:$L,5,FALSE),VLOOKUP($M64,TT_Tabelle_Riferimento!$D$127:$H$164,5,FALSE))</f>
        <v>7</v>
      </c>
      <c r="QW64" s="904">
        <f>+IFERROR(VLOOKUP(QW$27&amp;"-"&amp;$M64&amp;"_new",Ammortamento_Finanziario!$H:$L,5,FALSE),VLOOKUP($M64,TT_Tabelle_Riferimento!$D$127:$H$164,5,FALSE))</f>
        <v>7</v>
      </c>
      <c r="QX64" s="904">
        <f>+IFERROR(VLOOKUP(QX$27&amp;"-"&amp;$M64&amp;"_new",Ammortamento_Finanziario!$H:$L,5,FALSE),VLOOKUP($M64,TT_Tabelle_Riferimento!$D$127:$H$164,5,FALSE))</f>
        <v>7</v>
      </c>
      <c r="QY64" s="904">
        <f>+IFERROR(VLOOKUP(QY$27&amp;"-"&amp;$M64&amp;"_new",Ammortamento_Finanziario!$H:$L,5,FALSE),VLOOKUP($M64,TT_Tabelle_Riferimento!$D$127:$H$164,5,FALSE))</f>
        <v>7</v>
      </c>
      <c r="QZ64" s="904">
        <f>+IFERROR(VLOOKUP(QZ$27&amp;"-"&amp;$M64&amp;"_new",Ammortamento_Finanziario!$H:$L,5,FALSE),VLOOKUP($M64,TT_Tabelle_Riferimento!$D$127:$H$164,5,FALSE))</f>
        <v>7</v>
      </c>
      <c r="RA64" s="904">
        <f>+IFERROR(VLOOKUP(RA$27&amp;"-"&amp;$M64&amp;"_new",Ammortamento_Finanziario!$H:$L,5,FALSE),VLOOKUP($M64,TT_Tabelle_Riferimento!$D$127:$H$164,5,FALSE))</f>
        <v>7</v>
      </c>
      <c r="RB64" s="904">
        <f>+IFERROR(VLOOKUP(RB$27&amp;"-"&amp;$M64&amp;"_new",Ammortamento_Finanziario!$H:$L,5,FALSE),VLOOKUP($M64,TT_Tabelle_Riferimento!$D$127:$H$164,5,FALSE))</f>
        <v>7</v>
      </c>
      <c r="RC64" s="1762">
        <f>+IFERROR(VLOOKUP(RC$27&amp;"-"&amp;$M64&amp;"_new",Ammortamento_Finanziario!$H:$L,5,FALSE),VLOOKUP($M64,TT_Tabelle_Riferimento!$D$127:$H$164,5,FALSE))</f>
        <v>7</v>
      </c>
      <c r="RD64" s="904">
        <f>+IFERROR(VLOOKUP(RD$27&amp;"-"&amp;$M64&amp;"_new",Ammortamento_Finanziario!$H:$L,5,FALSE),VLOOKUP($M64,TT_Tabelle_Riferimento!$D$127:$H$164,5,FALSE))</f>
        <v>7</v>
      </c>
      <c r="RE64" s="904">
        <f>+IFERROR(VLOOKUP(RE$27&amp;"-"&amp;$M64&amp;"_new",Ammortamento_Finanziario!$H:$L,5,FALSE),VLOOKUP($M64,TT_Tabelle_Riferimento!$D$127:$H$164,5,FALSE))</f>
        <v>7</v>
      </c>
      <c r="RF64" s="904">
        <f>+IFERROR(VLOOKUP(RF$27&amp;"-"&amp;$M64&amp;"_new",Ammortamento_Finanziario!$H:$L,5,FALSE),VLOOKUP($M64,TT_Tabelle_Riferimento!$D$127:$H$164,5,FALSE))</f>
        <v>7</v>
      </c>
      <c r="RG64" s="904">
        <f>+IFERROR(VLOOKUP(RG$27&amp;"-"&amp;$M64&amp;"_new",Ammortamento_Finanziario!$H:$L,5,FALSE),VLOOKUP($M64,TT_Tabelle_Riferimento!$D$127:$H$164,5,FALSE))</f>
        <v>7</v>
      </c>
      <c r="RH64" s="904">
        <f>+IFERROR(VLOOKUP(RH$27&amp;"-"&amp;$M64&amp;"_new",Ammortamento_Finanziario!$H:$L,5,FALSE),VLOOKUP($M64,TT_Tabelle_Riferimento!$D$127:$H$164,5,FALSE))</f>
        <v>7</v>
      </c>
      <c r="RI64" s="904">
        <f>+IFERROR(VLOOKUP(RI$27&amp;"-"&amp;$M64&amp;"_new",Ammortamento_Finanziario!$H:$L,5,FALSE),VLOOKUP($M64,TT_Tabelle_Riferimento!$D$127:$H$164,5,FALSE))</f>
        <v>7</v>
      </c>
      <c r="RJ64" s="904">
        <f>+IFERROR(VLOOKUP(RJ$27&amp;"-"&amp;$M64&amp;"_new",Ammortamento_Finanziario!$H:$L,5,FALSE),VLOOKUP($M64,TT_Tabelle_Riferimento!$D$127:$H$164,5,FALSE))</f>
        <v>7</v>
      </c>
      <c r="RK64" s="904">
        <f>+IFERROR(VLOOKUP(RK$27&amp;"-"&amp;$M64&amp;"_new",Ammortamento_Finanziario!$H:$L,5,FALSE),VLOOKUP($M64,TT_Tabelle_Riferimento!$D$127:$H$164,5,FALSE))</f>
        <v>7</v>
      </c>
      <c r="RL64" s="904">
        <f>+IFERROR(VLOOKUP(RL$27&amp;"-"&amp;$M64&amp;"_new",Ammortamento_Finanziario!$H:$L,5,FALSE),VLOOKUP($M64,TT_Tabelle_Riferimento!$D$127:$H$164,5,FALSE))</f>
        <v>7</v>
      </c>
      <c r="RM64" s="904">
        <f>+IFERROR(VLOOKUP(RM$27&amp;"-"&amp;$M64&amp;"_new",Ammortamento_Finanziario!$H:$L,5,FALSE),VLOOKUP($M64,TT_Tabelle_Riferimento!$D$127:$H$164,5,FALSE))</f>
        <v>7</v>
      </c>
      <c r="RN64" s="904">
        <f>+IFERROR(VLOOKUP(RN$27&amp;"-"&amp;$M64&amp;"_new",Ammortamento_Finanziario!$H:$L,5,FALSE),VLOOKUP($M64,TT_Tabelle_Riferimento!$D$127:$H$164,5,FALSE))</f>
        <v>7</v>
      </c>
      <c r="RO64" s="904">
        <f>+IFERROR(VLOOKUP(RO$27&amp;"-"&amp;$M64&amp;"_new",Ammortamento_Finanziario!$H:$L,5,FALSE),VLOOKUP($M64,TT_Tabelle_Riferimento!$D$127:$H$164,5,FALSE))</f>
        <v>7</v>
      </c>
      <c r="RP64" s="904">
        <f>+IFERROR(VLOOKUP(RP$27&amp;"-"&amp;$M64&amp;"_new",Ammortamento_Finanziario!$H:$L,5,FALSE),VLOOKUP($M64,TT_Tabelle_Riferimento!$D$127:$H$164,5,FALSE))</f>
        <v>7</v>
      </c>
      <c r="RQ64" s="904">
        <f>+IFERROR(VLOOKUP(RQ$27&amp;"-"&amp;$M64&amp;"_new",Ammortamento_Finanziario!$H:$L,5,FALSE),VLOOKUP($M64,TT_Tabelle_Riferimento!$D$127:$H$164,5,FALSE))</f>
        <v>7</v>
      </c>
      <c r="RR64" s="904">
        <f>+IFERROR(VLOOKUP(RR$27&amp;"-"&amp;$M64&amp;"_new",Ammortamento_Finanziario!$H:$L,5,FALSE),VLOOKUP($M64,TT_Tabelle_Riferimento!$D$127:$H$164,5,FALSE))</f>
        <v>7</v>
      </c>
      <c r="RS64" s="904">
        <f>+IFERROR(VLOOKUP(RS$27&amp;"-"&amp;$M64&amp;"_new",Ammortamento_Finanziario!$H:$L,5,FALSE),VLOOKUP($M64,TT_Tabelle_Riferimento!$D$127:$H$164,5,FALSE))</f>
        <v>7</v>
      </c>
      <c r="RT64" s="904">
        <f>+IFERROR(VLOOKUP(RT$27&amp;"-"&amp;$M64&amp;"_new",Ammortamento_Finanziario!$H:$L,5,FALSE),VLOOKUP($M64,TT_Tabelle_Riferimento!$D$127:$H$164,5,FALSE))</f>
        <v>7</v>
      </c>
      <c r="RU64" s="904">
        <f>+IFERROR(VLOOKUP(RU$27&amp;"-"&amp;$M64&amp;"_new",Ammortamento_Finanziario!$H:$L,5,FALSE),VLOOKUP($M64,TT_Tabelle_Riferimento!$D$127:$H$164,5,FALSE))</f>
        <v>7</v>
      </c>
      <c r="RV64" s="904">
        <f>+IFERROR(VLOOKUP(RV$27&amp;"-"&amp;$M64&amp;"_new",Ammortamento_Finanziario!$H:$L,5,FALSE),VLOOKUP($M64,TT_Tabelle_Riferimento!$D$127:$H$164,5,FALSE))</f>
        <v>7</v>
      </c>
    </row>
    <row r="65" spans="4:490">
      <c r="E65" s="1774">
        <v>2024</v>
      </c>
      <c r="F65" s="1774">
        <v>2025</v>
      </c>
      <c r="G65" s="1771">
        <v>2026</v>
      </c>
      <c r="H65" s="1772">
        <v>2027</v>
      </c>
      <c r="I65" s="1774">
        <v>2028</v>
      </c>
      <c r="J65" s="1774">
        <v>2029</v>
      </c>
      <c r="K65" s="12"/>
      <c r="L65" s="12"/>
      <c r="M65" s="1760">
        <v>38</v>
      </c>
      <c r="N65" s="1761">
        <v>0</v>
      </c>
      <c r="O65" s="1761">
        <v>0</v>
      </c>
      <c r="P65" s="1761">
        <v>0</v>
      </c>
      <c r="Q65" s="1761">
        <v>0</v>
      </c>
      <c r="R65" s="1761">
        <v>0</v>
      </c>
      <c r="S65" s="1761">
        <v>0</v>
      </c>
      <c r="T65" s="1761">
        <v>0</v>
      </c>
      <c r="U65" s="1761">
        <v>0</v>
      </c>
      <c r="V65" s="1761">
        <v>0</v>
      </c>
      <c r="W65" s="1761">
        <v>0</v>
      </c>
      <c r="X65" s="1761">
        <v>0</v>
      </c>
      <c r="Y65" s="1761">
        <v>0</v>
      </c>
      <c r="Z65" s="1761">
        <v>0</v>
      </c>
      <c r="AA65" s="1761">
        <v>0</v>
      </c>
      <c r="AB65" s="1761">
        <v>0</v>
      </c>
      <c r="AC65" s="1761">
        <v>0</v>
      </c>
      <c r="AD65" s="1761">
        <v>0</v>
      </c>
      <c r="AE65" s="1761">
        <v>0</v>
      </c>
      <c r="AF65" s="1761">
        <v>0</v>
      </c>
      <c r="AG65" s="1761">
        <v>0</v>
      </c>
      <c r="AH65" s="1761">
        <v>0</v>
      </c>
      <c r="AI65" s="1761">
        <v>0</v>
      </c>
      <c r="AJ65" s="1761">
        <v>0</v>
      </c>
      <c r="AK65" s="1761">
        <v>0</v>
      </c>
      <c r="AL65" s="1761">
        <v>0</v>
      </c>
      <c r="AM65" s="1761">
        <v>0</v>
      </c>
      <c r="AN65" s="1761">
        <v>0</v>
      </c>
      <c r="AO65" s="1761">
        <v>0</v>
      </c>
      <c r="AP65" s="1761">
        <v>0</v>
      </c>
      <c r="AQ65" s="1761">
        <v>0</v>
      </c>
      <c r="AR65" s="1761">
        <v>0</v>
      </c>
      <c r="AS65" s="1761">
        <v>0</v>
      </c>
      <c r="AT65" s="1761">
        <v>0</v>
      </c>
      <c r="AU65" s="1761">
        <v>0</v>
      </c>
      <c r="AV65" s="1761">
        <v>0</v>
      </c>
      <c r="AW65" s="1761">
        <v>0</v>
      </c>
      <c r="AX65" s="1761">
        <v>0</v>
      </c>
      <c r="AY65" s="1761">
        <v>0</v>
      </c>
      <c r="AZ65" s="1761">
        <v>0</v>
      </c>
      <c r="BA65" s="1761">
        <v>0</v>
      </c>
      <c r="BB65" s="1761">
        <v>0</v>
      </c>
      <c r="BC65" s="1761">
        <v>0</v>
      </c>
      <c r="BD65" s="1761">
        <v>0</v>
      </c>
      <c r="BE65" s="1761">
        <v>0</v>
      </c>
      <c r="BF65" s="1761">
        <v>0</v>
      </c>
      <c r="BG65" s="1761">
        <v>0</v>
      </c>
      <c r="BH65" s="1761">
        <v>0</v>
      </c>
      <c r="BI65" s="1761">
        <v>0</v>
      </c>
      <c r="BJ65" s="1761">
        <v>0</v>
      </c>
      <c r="BK65" s="1761">
        <v>0</v>
      </c>
      <c r="BL65" s="1761">
        <v>0</v>
      </c>
      <c r="BM65" s="1761">
        <v>0</v>
      </c>
      <c r="BN65" s="1761">
        <v>0</v>
      </c>
      <c r="BO65" s="1761">
        <v>0</v>
      </c>
      <c r="BP65" s="1761">
        <v>0</v>
      </c>
      <c r="BQ65" s="1761">
        <v>0</v>
      </c>
      <c r="BR65" s="1761">
        <v>0</v>
      </c>
      <c r="BS65" s="1761">
        <v>0</v>
      </c>
      <c r="BT65" s="1761">
        <v>0</v>
      </c>
      <c r="BU65" s="1761">
        <v>0</v>
      </c>
      <c r="BV65" s="1761">
        <v>0</v>
      </c>
      <c r="BW65" s="1761">
        <v>0</v>
      </c>
      <c r="BX65" s="1761">
        <v>0</v>
      </c>
      <c r="BY65" s="1761">
        <v>0</v>
      </c>
      <c r="BZ65" s="1761">
        <v>0</v>
      </c>
      <c r="CA65" s="1761">
        <v>0</v>
      </c>
      <c r="CB65" s="1761">
        <v>0</v>
      </c>
      <c r="CC65" s="1761">
        <v>0</v>
      </c>
      <c r="CD65" s="1761">
        <v>0</v>
      </c>
      <c r="CE65" s="1761">
        <v>0</v>
      </c>
      <c r="CF65" s="1761">
        <v>0</v>
      </c>
      <c r="CG65" s="1761">
        <v>0</v>
      </c>
      <c r="CH65" s="1761">
        <v>0</v>
      </c>
      <c r="CI65" s="1761">
        <v>0</v>
      </c>
      <c r="CJ65" s="1761">
        <v>0</v>
      </c>
      <c r="CK65" s="1761">
        <v>0</v>
      </c>
      <c r="CL65" s="1761">
        <v>0</v>
      </c>
      <c r="CM65" s="1761">
        <v>0</v>
      </c>
      <c r="CN65" s="1761">
        <v>0</v>
      </c>
      <c r="CO65" s="1761">
        <v>0</v>
      </c>
      <c r="CP65" s="1761">
        <v>0</v>
      </c>
      <c r="CQ65" s="1761">
        <v>0</v>
      </c>
      <c r="CR65" s="1761">
        <v>0</v>
      </c>
      <c r="CS65" s="1761">
        <v>0</v>
      </c>
      <c r="CT65" s="1761">
        <v>0</v>
      </c>
      <c r="CU65" s="1761">
        <v>0</v>
      </c>
      <c r="CV65" s="1761">
        <v>0</v>
      </c>
      <c r="CW65" s="1761">
        <v>0</v>
      </c>
      <c r="CX65" s="1761">
        <v>0</v>
      </c>
      <c r="CY65" s="1761">
        <v>0</v>
      </c>
      <c r="CZ65" s="1761">
        <v>0</v>
      </c>
      <c r="DA65" s="1761">
        <v>0</v>
      </c>
      <c r="DB65" s="1761">
        <v>0</v>
      </c>
      <c r="DC65" s="1761">
        <v>0</v>
      </c>
      <c r="DD65" s="1761">
        <v>0</v>
      </c>
      <c r="DE65" s="1761">
        <v>0</v>
      </c>
      <c r="DF65" s="1761">
        <v>0</v>
      </c>
      <c r="DG65" s="1761">
        <v>0</v>
      </c>
      <c r="DH65" s="1761">
        <v>0</v>
      </c>
      <c r="DI65" s="1761">
        <v>0</v>
      </c>
      <c r="DJ65" s="1761">
        <v>0</v>
      </c>
      <c r="DK65" s="1761">
        <v>0</v>
      </c>
      <c r="DL65" s="1761">
        <v>0</v>
      </c>
      <c r="DM65" s="1761">
        <v>0</v>
      </c>
      <c r="DN65" s="1761">
        <v>0</v>
      </c>
      <c r="DO65" s="1761">
        <v>0</v>
      </c>
      <c r="DP65" s="1761">
        <v>0</v>
      </c>
      <c r="DQ65" s="1761">
        <v>0</v>
      </c>
      <c r="DR65" s="1761">
        <v>0</v>
      </c>
      <c r="DS65" s="1761">
        <v>0</v>
      </c>
      <c r="DT65" s="1761">
        <v>0</v>
      </c>
      <c r="DU65" s="1761">
        <v>0</v>
      </c>
      <c r="DV65" s="1761">
        <v>0</v>
      </c>
      <c r="DW65" s="1761">
        <v>0</v>
      </c>
      <c r="DX65" s="1761">
        <v>0</v>
      </c>
      <c r="DY65" s="1761">
        <v>0</v>
      </c>
      <c r="DZ65" s="1761">
        <v>0</v>
      </c>
      <c r="EA65" s="1761">
        <v>0</v>
      </c>
      <c r="EB65" s="1761">
        <v>0</v>
      </c>
      <c r="EC65" s="1761">
        <v>0</v>
      </c>
      <c r="ED65" s="1761">
        <v>0</v>
      </c>
      <c r="EE65" s="1761">
        <v>0</v>
      </c>
      <c r="EF65" s="1761">
        <v>0</v>
      </c>
      <c r="EG65" s="1761">
        <v>0</v>
      </c>
      <c r="EH65" s="1761">
        <v>0</v>
      </c>
      <c r="EI65" s="1761">
        <v>0</v>
      </c>
      <c r="EJ65" s="1761">
        <v>0</v>
      </c>
      <c r="EK65" s="1761">
        <v>0</v>
      </c>
      <c r="EL65" s="1761">
        <v>0</v>
      </c>
      <c r="EM65" s="1761">
        <v>0</v>
      </c>
      <c r="EN65" s="1761">
        <v>0</v>
      </c>
      <c r="EO65" s="1761">
        <v>0</v>
      </c>
      <c r="EP65" s="1761">
        <v>0</v>
      </c>
      <c r="EQ65" s="1761">
        <v>0</v>
      </c>
      <c r="ER65" s="1761">
        <v>0</v>
      </c>
      <c r="ES65" s="1761">
        <v>0</v>
      </c>
      <c r="ET65" s="1761">
        <v>0</v>
      </c>
      <c r="EU65" s="1761">
        <v>0</v>
      </c>
      <c r="EV65" s="1761">
        <v>0</v>
      </c>
      <c r="EW65" s="1761">
        <v>0</v>
      </c>
      <c r="EX65" s="1761">
        <v>0</v>
      </c>
      <c r="EY65" s="1761">
        <v>0</v>
      </c>
      <c r="EZ65" s="1761">
        <v>0</v>
      </c>
      <c r="FA65" s="1761">
        <v>0</v>
      </c>
      <c r="FB65" s="1761">
        <v>0</v>
      </c>
      <c r="FC65" s="1761">
        <v>0</v>
      </c>
      <c r="FD65" s="1761">
        <v>0</v>
      </c>
      <c r="FE65" s="1761">
        <v>0</v>
      </c>
      <c r="FF65" s="1761">
        <v>0</v>
      </c>
      <c r="FG65" s="1761">
        <v>0</v>
      </c>
      <c r="FH65" s="1761">
        <v>0</v>
      </c>
      <c r="FI65" s="1761">
        <v>0</v>
      </c>
      <c r="FJ65" s="1761">
        <v>0</v>
      </c>
      <c r="FK65" s="1761">
        <v>0</v>
      </c>
      <c r="FL65" s="1761">
        <v>0</v>
      </c>
      <c r="FM65" s="1761">
        <v>0</v>
      </c>
      <c r="FN65" s="1761">
        <v>0</v>
      </c>
      <c r="FO65" s="1761">
        <v>0</v>
      </c>
      <c r="FP65" s="1761">
        <v>0</v>
      </c>
      <c r="FQ65" s="1761">
        <v>0</v>
      </c>
      <c r="FR65" s="1761">
        <v>0</v>
      </c>
      <c r="FS65" s="1761">
        <v>0</v>
      </c>
      <c r="FT65" s="1761">
        <v>0</v>
      </c>
      <c r="FU65" s="1761">
        <v>0</v>
      </c>
      <c r="FV65" s="1761">
        <v>0</v>
      </c>
      <c r="FW65" s="1761">
        <v>0</v>
      </c>
      <c r="FX65" s="1761">
        <v>0</v>
      </c>
      <c r="FY65" s="1761">
        <v>0</v>
      </c>
      <c r="FZ65" s="1761">
        <v>0</v>
      </c>
      <c r="GA65" s="1761">
        <v>0</v>
      </c>
      <c r="GB65" s="1761">
        <v>0</v>
      </c>
      <c r="GC65" s="1761">
        <v>0</v>
      </c>
      <c r="GD65" s="1761">
        <v>0</v>
      </c>
      <c r="GE65" s="1761">
        <v>0</v>
      </c>
      <c r="GF65" s="1761">
        <v>0</v>
      </c>
      <c r="GG65" s="1761">
        <v>0</v>
      </c>
      <c r="GH65" s="1761">
        <v>0</v>
      </c>
      <c r="GI65" s="1761">
        <v>0</v>
      </c>
      <c r="GJ65" s="1761">
        <v>0</v>
      </c>
      <c r="GK65" s="1761">
        <v>0</v>
      </c>
      <c r="GL65" s="1761">
        <v>0</v>
      </c>
      <c r="GM65" s="1761">
        <v>0</v>
      </c>
      <c r="GN65" s="1761">
        <v>0</v>
      </c>
      <c r="GO65" s="1761">
        <v>0</v>
      </c>
      <c r="GP65" s="1761">
        <v>0</v>
      </c>
      <c r="GQ65" s="1761">
        <v>0</v>
      </c>
      <c r="GR65" s="1761">
        <v>0</v>
      </c>
      <c r="GS65" s="1761">
        <v>0</v>
      </c>
      <c r="GT65" s="1761">
        <v>0</v>
      </c>
      <c r="GU65" s="1761">
        <v>0</v>
      </c>
      <c r="GV65" s="1761">
        <v>0</v>
      </c>
      <c r="GW65" s="1761">
        <v>0</v>
      </c>
      <c r="GX65" s="1761">
        <v>0</v>
      </c>
      <c r="GY65" s="1761">
        <v>0</v>
      </c>
      <c r="GZ65" s="1761">
        <v>0</v>
      </c>
      <c r="HA65" s="1761">
        <v>0</v>
      </c>
      <c r="HB65" s="1761">
        <v>0</v>
      </c>
      <c r="HC65" s="1761">
        <v>0</v>
      </c>
      <c r="HD65" s="1761">
        <v>0</v>
      </c>
      <c r="HE65" s="1761">
        <v>0</v>
      </c>
      <c r="HF65" s="1761">
        <v>0</v>
      </c>
      <c r="HG65" s="1761">
        <v>0</v>
      </c>
      <c r="HH65" s="1761">
        <v>0</v>
      </c>
      <c r="HI65" s="1761">
        <v>0</v>
      </c>
      <c r="HJ65" s="1761">
        <v>0</v>
      </c>
      <c r="HK65" s="1761">
        <v>0</v>
      </c>
      <c r="HL65" s="1761">
        <v>0</v>
      </c>
      <c r="HM65" s="1761">
        <v>0</v>
      </c>
      <c r="HN65" s="1761">
        <v>0</v>
      </c>
      <c r="HO65" s="1761">
        <v>0</v>
      </c>
      <c r="HP65" s="1761">
        <v>0</v>
      </c>
      <c r="HQ65" s="1761">
        <v>0</v>
      </c>
      <c r="HR65" s="1761">
        <v>0</v>
      </c>
      <c r="HS65" s="1761">
        <v>0</v>
      </c>
      <c r="HT65" s="1761">
        <v>0</v>
      </c>
      <c r="HU65" s="1761">
        <v>0</v>
      </c>
      <c r="HV65" s="1761">
        <v>0</v>
      </c>
      <c r="HW65" s="1761">
        <v>0</v>
      </c>
      <c r="HX65" s="1761">
        <v>0</v>
      </c>
      <c r="HY65" s="1761">
        <v>0</v>
      </c>
      <c r="HZ65" s="1761">
        <v>0</v>
      </c>
      <c r="IA65" s="1761">
        <v>0</v>
      </c>
      <c r="IB65" s="1761">
        <v>0</v>
      </c>
      <c r="IC65" s="1761">
        <v>0</v>
      </c>
      <c r="ID65" s="1761">
        <v>0</v>
      </c>
      <c r="IE65" s="1761">
        <v>0</v>
      </c>
      <c r="IF65" s="1761">
        <v>0</v>
      </c>
      <c r="IG65" s="1761">
        <v>0</v>
      </c>
      <c r="IH65" s="1761">
        <v>0</v>
      </c>
      <c r="II65" s="1761">
        <v>0</v>
      </c>
      <c r="IJ65" s="1761">
        <v>0</v>
      </c>
      <c r="IK65" s="1761">
        <v>0</v>
      </c>
      <c r="IL65" s="1761">
        <v>0</v>
      </c>
      <c r="IM65" s="1761">
        <v>0</v>
      </c>
      <c r="IN65" s="1761">
        <v>0</v>
      </c>
      <c r="IO65" s="1761">
        <v>0</v>
      </c>
      <c r="IP65" s="1761">
        <v>0</v>
      </c>
      <c r="IQ65" s="1761">
        <v>0</v>
      </c>
      <c r="IR65" s="1761">
        <v>0</v>
      </c>
      <c r="IS65" s="1761">
        <v>0</v>
      </c>
      <c r="IT65" s="1761">
        <v>0</v>
      </c>
      <c r="IU65" s="1761">
        <v>0</v>
      </c>
      <c r="IV65" s="1761">
        <v>0</v>
      </c>
      <c r="IW65" s="1761">
        <v>0</v>
      </c>
      <c r="IX65" s="1761">
        <v>0</v>
      </c>
      <c r="IY65" s="1761">
        <v>0</v>
      </c>
      <c r="IZ65" s="1761">
        <v>0</v>
      </c>
      <c r="JA65" s="1761">
        <v>0</v>
      </c>
      <c r="JB65" s="1761">
        <v>0</v>
      </c>
      <c r="JC65" s="1761">
        <v>0</v>
      </c>
      <c r="JD65" s="1761">
        <v>0</v>
      </c>
      <c r="JE65" s="1761">
        <v>0</v>
      </c>
      <c r="JF65" s="1761">
        <v>0</v>
      </c>
      <c r="JG65" s="1761">
        <v>0</v>
      </c>
      <c r="JH65" s="1761">
        <v>0</v>
      </c>
      <c r="JI65" s="1761">
        <v>0</v>
      </c>
      <c r="JJ65" s="1761">
        <v>0</v>
      </c>
      <c r="JK65" s="1761">
        <v>0</v>
      </c>
      <c r="JL65" s="1761">
        <v>0</v>
      </c>
      <c r="JM65" s="1761">
        <v>0</v>
      </c>
      <c r="JN65" s="1761">
        <v>0</v>
      </c>
      <c r="JO65" s="1761">
        <v>0</v>
      </c>
      <c r="JP65" s="1761">
        <v>0</v>
      </c>
      <c r="JQ65" s="1761">
        <v>0</v>
      </c>
      <c r="JR65" s="1761">
        <v>0</v>
      </c>
      <c r="JS65" s="1761">
        <v>0</v>
      </c>
      <c r="JT65" s="1761">
        <v>0</v>
      </c>
      <c r="JU65" s="1761">
        <v>0</v>
      </c>
      <c r="JV65" s="1761">
        <v>0</v>
      </c>
      <c r="JW65" s="1761">
        <v>0</v>
      </c>
      <c r="JX65" s="1761">
        <v>0</v>
      </c>
      <c r="JY65" s="1761">
        <v>0</v>
      </c>
      <c r="JZ65" s="1761">
        <v>0</v>
      </c>
      <c r="KA65" s="1761">
        <v>0</v>
      </c>
      <c r="KB65" s="1761">
        <v>0</v>
      </c>
      <c r="KC65" s="1761">
        <v>0</v>
      </c>
      <c r="KD65" s="1761">
        <v>0</v>
      </c>
      <c r="KE65" s="1761">
        <v>0</v>
      </c>
      <c r="KF65" s="1761">
        <v>0</v>
      </c>
      <c r="KG65" s="1761">
        <v>0</v>
      </c>
      <c r="KH65" s="1761">
        <v>0</v>
      </c>
      <c r="KI65" s="1761">
        <v>0</v>
      </c>
      <c r="KJ65" s="1761">
        <v>0</v>
      </c>
      <c r="KK65" s="1761">
        <v>0</v>
      </c>
      <c r="KL65" s="1761">
        <v>0</v>
      </c>
      <c r="KM65" s="1761">
        <v>0</v>
      </c>
      <c r="KN65" s="1761">
        <v>0</v>
      </c>
      <c r="KO65" s="1761">
        <v>0</v>
      </c>
      <c r="KP65" s="1761">
        <v>0</v>
      </c>
      <c r="KQ65" s="1736">
        <f>+IFERROR(VLOOKUP(KQ$27&amp;"-"&amp;$M65&amp;"_new",Ammortamento_Finanziario!$H:$L,5,FALSE),VLOOKUP($M65,TT_Tabelle_Riferimento!$D$127:$H$164,5,FALSE))</f>
        <v>60</v>
      </c>
      <c r="KR65" s="1736">
        <f>+IFERROR(VLOOKUP(KR$27&amp;"-"&amp;$M65&amp;"_new",Ammortamento_Finanziario!$H:$L,5,FALSE),VLOOKUP($M65,TT_Tabelle_Riferimento!$D$127:$H$164,5,FALSE))</f>
        <v>60</v>
      </c>
      <c r="KS65" s="1764">
        <f>+IFERROR(VLOOKUP(KS$27&amp;"-"&amp;$M65&amp;"_new",Ammortamento_Finanziario!$H:$L,5,FALSE),VLOOKUP($M65,TT_Tabelle_Riferimento!$D$127:$H$164,5,FALSE))</f>
        <v>60</v>
      </c>
      <c r="KT65" s="1764">
        <f>+IFERROR(VLOOKUP(KT$27&amp;"-"&amp;$M65&amp;"_new",Ammortamento_Finanziario!$H:$L,5,FALSE),VLOOKUP($M65,TT_Tabelle_Riferimento!$D$127:$H$164,5,FALSE))</f>
        <v>60</v>
      </c>
      <c r="KU65" s="1764">
        <f>+IFERROR(VLOOKUP(KU$27&amp;"-"&amp;$M65&amp;"_new",Ammortamento_Finanziario!$H:$L,5,FALSE),VLOOKUP($M65,TT_Tabelle_Riferimento!$D$127:$H$164,5,FALSE))</f>
        <v>60</v>
      </c>
      <c r="KV65" s="1764">
        <f>+IFERROR(VLOOKUP(KV$27&amp;"-"&amp;$M65&amp;"_new",Ammortamento_Finanziario!$H:$L,5,FALSE),VLOOKUP($M65,TT_Tabelle_Riferimento!$D$127:$H$164,5,FALSE))</f>
        <v>60</v>
      </c>
      <c r="KW65" s="1764">
        <f>+IFERROR(VLOOKUP(KW$27&amp;"-"&amp;$M65&amp;"_new",Ammortamento_Finanziario!$H:$L,5,FALSE),VLOOKUP($M65,TT_Tabelle_Riferimento!$D$127:$H$164,5,FALSE))</f>
        <v>60</v>
      </c>
      <c r="KX65" s="1764">
        <f>+IFERROR(VLOOKUP(KX$27&amp;"-"&amp;$M65&amp;"_new",Ammortamento_Finanziario!$H:$L,5,FALSE),VLOOKUP($M65,TT_Tabelle_Riferimento!$D$127:$H$164,5,FALSE))</f>
        <v>60</v>
      </c>
      <c r="KY65" s="1736">
        <f>+IFERROR(VLOOKUP(KY$27&amp;"-"&amp;$M65&amp;"_new",Ammortamento_Finanziario!$H:$L,5,FALSE),VLOOKUP($M65,TT_Tabelle_Riferimento!$D$127:$H$164,5,FALSE))</f>
        <v>60</v>
      </c>
      <c r="KZ65" s="1736">
        <f>+IFERROR(VLOOKUP(KZ$27&amp;"-"&amp;$M65&amp;"_new",Ammortamento_Finanziario!$H:$L,5,FALSE),VLOOKUP($M65,TT_Tabelle_Riferimento!$D$127:$H$164,5,FALSE))</f>
        <v>60</v>
      </c>
      <c r="LA65" s="1736">
        <f>+IFERROR(VLOOKUP(LA$27&amp;"-"&amp;$M65&amp;"_new",Ammortamento_Finanziario!$H:$L,5,FALSE),VLOOKUP($M65,TT_Tabelle_Riferimento!$D$127:$H$164,5,FALSE))</f>
        <v>60</v>
      </c>
      <c r="LB65" s="1736">
        <f>+IFERROR(VLOOKUP(LB$27&amp;"-"&amp;$M65&amp;"_new",Ammortamento_Finanziario!$H:$L,5,FALSE),VLOOKUP($M65,TT_Tabelle_Riferimento!$D$127:$H$164,5,FALSE))</f>
        <v>60</v>
      </c>
      <c r="LC65" s="1736">
        <f>+IFERROR(VLOOKUP(LC$27&amp;"-"&amp;$M65&amp;"_new",Ammortamento_Finanziario!$H:$L,5,FALSE),VLOOKUP($M65,TT_Tabelle_Riferimento!$D$127:$H$164,5,FALSE))</f>
        <v>60</v>
      </c>
      <c r="LD65" s="1736">
        <f>+IFERROR(VLOOKUP(LD$27&amp;"-"&amp;$M65&amp;"_new",Ammortamento_Finanziario!$H:$L,5,FALSE),VLOOKUP($M65,TT_Tabelle_Riferimento!$D$127:$H$164,5,FALSE))</f>
        <v>60</v>
      </c>
      <c r="LE65" s="1736">
        <f>+IFERROR(VLOOKUP(LE$27&amp;"-"&amp;$M65&amp;"_new",Ammortamento_Finanziario!$H:$L,5,FALSE),VLOOKUP($M65,TT_Tabelle_Riferimento!$D$127:$H$164,5,FALSE))</f>
        <v>60</v>
      </c>
      <c r="LF65" s="1736">
        <f>+IFERROR(VLOOKUP(LF$27&amp;"-"&amp;$M65&amp;"_new",Ammortamento_Finanziario!$H:$L,5,FALSE),VLOOKUP($M65,TT_Tabelle_Riferimento!$D$127:$H$164,5,FALSE))</f>
        <v>60</v>
      </c>
      <c r="LG65" s="1736">
        <f>+IFERROR(VLOOKUP(LG$27&amp;"-"&amp;$M65&amp;"_new",Ammortamento_Finanziario!$H:$L,5,FALSE),VLOOKUP($M65,TT_Tabelle_Riferimento!$D$127:$H$164,5,FALSE))</f>
        <v>60</v>
      </c>
      <c r="LH65" s="1736">
        <f>+IFERROR(VLOOKUP(LH$27&amp;"-"&amp;$M65&amp;"_new",Ammortamento_Finanziario!$H:$L,5,FALSE),VLOOKUP($M65,TT_Tabelle_Riferimento!$D$127:$H$164,5,FALSE))</f>
        <v>60</v>
      </c>
      <c r="LI65" s="1736">
        <f>+IFERROR(VLOOKUP(LI$27&amp;"-"&amp;$M65&amp;"_new",Ammortamento_Finanziario!$H:$L,5,FALSE),VLOOKUP($M65,TT_Tabelle_Riferimento!$D$127:$H$164,5,FALSE))</f>
        <v>60</v>
      </c>
      <c r="LJ65" s="1736">
        <f>+IFERROR(VLOOKUP(LJ$27&amp;"-"&amp;$M65&amp;"_new",Ammortamento_Finanziario!$H:$L,5,FALSE),VLOOKUP($M65,TT_Tabelle_Riferimento!$D$127:$H$164,5,FALSE))</f>
        <v>60</v>
      </c>
      <c r="LK65" s="1736">
        <f>+IFERROR(VLOOKUP(LK$27&amp;"-"&amp;$M65&amp;"_new",Ammortamento_Finanziario!$H:$L,5,FALSE),VLOOKUP($M65,TT_Tabelle_Riferimento!$D$127:$H$164,5,FALSE))</f>
        <v>60</v>
      </c>
      <c r="LL65" s="1736">
        <f>+IFERROR(VLOOKUP(LL$27&amp;"-"&amp;$M65&amp;"_new",Ammortamento_Finanziario!$H:$L,5,FALSE),VLOOKUP($M65,TT_Tabelle_Riferimento!$D$127:$H$164,5,FALSE))</f>
        <v>60</v>
      </c>
      <c r="LM65" s="1736">
        <f>+IFERROR(VLOOKUP(LM$27&amp;"-"&amp;$M65&amp;"_new",Ammortamento_Finanziario!$H:$L,5,FALSE),VLOOKUP($M65,TT_Tabelle_Riferimento!$D$127:$H$164,5,FALSE))</f>
        <v>60</v>
      </c>
      <c r="LN65" s="1736">
        <f>+IFERROR(VLOOKUP(LN$27&amp;"-"&amp;$M65&amp;"_new",Ammortamento_Finanziario!$H:$L,5,FALSE),VLOOKUP($M65,TT_Tabelle_Riferimento!$D$127:$H$164,5,FALSE))</f>
        <v>60</v>
      </c>
      <c r="LO65" s="1736">
        <f>+IFERROR(VLOOKUP(LO$27&amp;"-"&amp;$M65&amp;"_new",Ammortamento_Finanziario!$H:$L,5,FALSE),VLOOKUP($M65,TT_Tabelle_Riferimento!$D$127:$H$164,5,FALSE))</f>
        <v>60</v>
      </c>
      <c r="LP65" s="1736">
        <f>+IFERROR(VLOOKUP(LP$27&amp;"-"&amp;$M65&amp;"_new",Ammortamento_Finanziario!$H:$L,5,FALSE),VLOOKUP($M65,TT_Tabelle_Riferimento!$D$127:$H$164,5,FALSE))</f>
        <v>60</v>
      </c>
      <c r="LQ65" s="1736">
        <f>+IFERROR(VLOOKUP(LQ$27&amp;"-"&amp;$M65&amp;"_new",Ammortamento_Finanziario!$H:$L,5,FALSE),VLOOKUP($M65,TT_Tabelle_Riferimento!$D$127:$H$164,5,FALSE))</f>
        <v>60</v>
      </c>
      <c r="LR65" s="1736">
        <f>+IFERROR(VLOOKUP(LR$27&amp;"-"&amp;$M65&amp;"_new",Ammortamento_Finanziario!$H:$L,5,FALSE),VLOOKUP($M65,TT_Tabelle_Riferimento!$D$127:$H$164,5,FALSE))</f>
        <v>60</v>
      </c>
      <c r="LS65" s="1764">
        <f>+IFERROR(VLOOKUP(LS$27&amp;"-"&amp;$M65&amp;"_new",Ammortamento_Finanziario!$H:$L,5,FALSE),VLOOKUP($M65,TT_Tabelle_Riferimento!$D$127:$H$164,5,FALSE))</f>
        <v>60</v>
      </c>
      <c r="LT65" s="1764">
        <f>+IFERROR(VLOOKUP(LT$27&amp;"-"&amp;$M65&amp;"_new",Ammortamento_Finanziario!$H:$L,5,FALSE),VLOOKUP($M65,TT_Tabelle_Riferimento!$D$127:$H$164,5,FALSE))</f>
        <v>60</v>
      </c>
      <c r="LU65" s="1764">
        <f>+IFERROR(VLOOKUP(LU$27&amp;"-"&amp;$M65&amp;"_new",Ammortamento_Finanziario!$H:$L,5,FALSE),VLOOKUP($M65,TT_Tabelle_Riferimento!$D$127:$H$164,5,FALSE))</f>
        <v>60</v>
      </c>
      <c r="LV65" s="1764">
        <f>+IFERROR(VLOOKUP(LV$27&amp;"-"&amp;$M65&amp;"_new",Ammortamento_Finanziario!$H:$L,5,FALSE),VLOOKUP($M65,TT_Tabelle_Riferimento!$D$127:$H$164,5,FALSE))</f>
        <v>60</v>
      </c>
      <c r="LW65" s="1764">
        <f>+IFERROR(VLOOKUP(LW$27&amp;"-"&amp;$M65&amp;"_new",Ammortamento_Finanziario!$H:$L,5,FALSE),VLOOKUP($M65,TT_Tabelle_Riferimento!$D$127:$H$164,5,FALSE))</f>
        <v>60</v>
      </c>
      <c r="LX65" s="1764">
        <f>+IFERROR(VLOOKUP(LX$27&amp;"-"&amp;$M65&amp;"_new",Ammortamento_Finanziario!$H:$L,5,FALSE),VLOOKUP($M65,TT_Tabelle_Riferimento!$D$127:$H$164,5,FALSE))</f>
        <v>60</v>
      </c>
      <c r="LY65" s="1736">
        <f>+IFERROR(VLOOKUP(LY$27&amp;"-"&amp;$M65&amp;"_new",Ammortamento_Finanziario!$H:$L,5,FALSE),VLOOKUP($M65,TT_Tabelle_Riferimento!$D$127:$H$164,5,FALSE))</f>
        <v>60</v>
      </c>
      <c r="LZ65" s="1736">
        <f>+IFERROR(VLOOKUP(LZ$27&amp;"-"&amp;$M65&amp;"_new",Ammortamento_Finanziario!$H:$L,5,FALSE),VLOOKUP($M65,TT_Tabelle_Riferimento!$D$127:$H$164,5,FALSE))</f>
        <v>60</v>
      </c>
      <c r="MA65" s="1736">
        <f>+IFERROR(VLOOKUP(MA$27&amp;"-"&amp;$M65&amp;"_new",Ammortamento_Finanziario!$H:$L,5,FALSE),VLOOKUP($M65,TT_Tabelle_Riferimento!$D$127:$H$164,5,FALSE))</f>
        <v>60</v>
      </c>
      <c r="MB65" s="1736">
        <f>+IFERROR(VLOOKUP(MB$27&amp;"-"&amp;$M65&amp;"_new",Ammortamento_Finanziario!$H:$L,5,FALSE),VLOOKUP($M65,TT_Tabelle_Riferimento!$D$127:$H$164,5,FALSE))</f>
        <v>60</v>
      </c>
      <c r="MC65" s="1736">
        <f>+IFERROR(VLOOKUP(MC$27&amp;"-"&amp;$M65&amp;"_new",Ammortamento_Finanziario!$H:$L,5,FALSE),VLOOKUP($M65,TT_Tabelle_Riferimento!$D$127:$H$164,5,FALSE))</f>
        <v>60</v>
      </c>
      <c r="MD65" s="1736">
        <f>+IFERROR(VLOOKUP(MD$27&amp;"-"&amp;$M65&amp;"_new",Ammortamento_Finanziario!$H:$L,5,FALSE),VLOOKUP($M65,TT_Tabelle_Riferimento!$D$127:$H$164,5,FALSE))</f>
        <v>60</v>
      </c>
      <c r="ME65" s="1736">
        <f>+IFERROR(VLOOKUP(ME$27&amp;"-"&amp;$M65&amp;"_new",Ammortamento_Finanziario!$H:$L,5,FALSE),VLOOKUP($M65,TT_Tabelle_Riferimento!$D$127:$H$164,5,FALSE))</f>
        <v>60</v>
      </c>
      <c r="MF65" s="1736">
        <f>+IFERROR(VLOOKUP(MF$27&amp;"-"&amp;$M65&amp;"_new",Ammortamento_Finanziario!$H:$L,5,FALSE),VLOOKUP($M65,TT_Tabelle_Riferimento!$D$127:$H$164,5,FALSE))</f>
        <v>60</v>
      </c>
      <c r="MG65" s="1736">
        <f>+IFERROR(VLOOKUP(MG$27&amp;"-"&amp;$M65&amp;"_new",Ammortamento_Finanziario!$H:$L,5,FALSE),VLOOKUP($M65,TT_Tabelle_Riferimento!$D$127:$H$164,5,FALSE))</f>
        <v>60</v>
      </c>
      <c r="MH65" s="1736">
        <f>+IFERROR(VLOOKUP(MH$27&amp;"-"&amp;$M65&amp;"_new",Ammortamento_Finanziario!$H:$L,5,FALSE),VLOOKUP($M65,TT_Tabelle_Riferimento!$D$127:$H$164,5,FALSE))</f>
        <v>60</v>
      </c>
      <c r="MI65" s="1736">
        <f>+IFERROR(VLOOKUP(MI$27&amp;"-"&amp;$M65&amp;"_new",Ammortamento_Finanziario!$H:$L,5,FALSE),VLOOKUP($M65,TT_Tabelle_Riferimento!$D$127:$H$164,5,FALSE))</f>
        <v>60</v>
      </c>
      <c r="MJ65" s="1736">
        <f>+IFERROR(VLOOKUP(MJ$27&amp;"-"&amp;$M65&amp;"_new",Ammortamento_Finanziario!$H:$L,5,FALSE),VLOOKUP($M65,TT_Tabelle_Riferimento!$D$127:$H$164,5,FALSE))</f>
        <v>60</v>
      </c>
      <c r="MK65" s="1736">
        <f>+IFERROR(VLOOKUP(MK$27&amp;"-"&amp;$M65&amp;"_new",Ammortamento_Finanziario!$H:$L,5,FALSE),VLOOKUP($M65,TT_Tabelle_Riferimento!$D$127:$H$164,5,FALSE))</f>
        <v>60</v>
      </c>
      <c r="ML65" s="1736">
        <f>+IFERROR(VLOOKUP(ML$27&amp;"-"&amp;$M65&amp;"_new",Ammortamento_Finanziario!$H:$L,5,FALSE),VLOOKUP($M65,TT_Tabelle_Riferimento!$D$127:$H$164,5,FALSE))</f>
        <v>60</v>
      </c>
      <c r="MM65" s="1736">
        <f>+IFERROR(VLOOKUP(MM$27&amp;"-"&amp;$M65&amp;"_new",Ammortamento_Finanziario!$H:$L,5,FALSE),VLOOKUP($M65,TT_Tabelle_Riferimento!$D$127:$H$164,5,FALSE))</f>
        <v>60</v>
      </c>
      <c r="MN65" s="1736">
        <f>+IFERROR(VLOOKUP(MN$27&amp;"-"&amp;$M65&amp;"_new",Ammortamento_Finanziario!$H:$L,5,FALSE),VLOOKUP($M65,TT_Tabelle_Riferimento!$D$127:$H$164,5,FALSE))</f>
        <v>60</v>
      </c>
      <c r="MO65" s="1736">
        <f>+IFERROR(VLOOKUP(MO$27&amp;"-"&amp;$M65&amp;"_new",Ammortamento_Finanziario!$H:$L,5,FALSE),VLOOKUP($M65,TT_Tabelle_Riferimento!$D$127:$H$164,5,FALSE))</f>
        <v>60</v>
      </c>
      <c r="MP65" s="1736">
        <f>+IFERROR(VLOOKUP(MP$27&amp;"-"&amp;$M65&amp;"_new",Ammortamento_Finanziario!$H:$L,5,FALSE),VLOOKUP($M65,TT_Tabelle_Riferimento!$D$127:$H$164,5,FALSE))</f>
        <v>60</v>
      </c>
      <c r="MQ65" s="1736">
        <f>+IFERROR(VLOOKUP(MQ$27&amp;"-"&amp;$M65&amp;"_new",Ammortamento_Finanziario!$H:$L,5,FALSE),VLOOKUP($M65,TT_Tabelle_Riferimento!$D$127:$H$164,5,FALSE))</f>
        <v>60</v>
      </c>
      <c r="MR65" s="1764">
        <f>+IFERROR(VLOOKUP(MR$27&amp;"-"&amp;$M65&amp;"_new",Ammortamento_Finanziario!$H:$L,5,FALSE),VLOOKUP($M65,TT_Tabelle_Riferimento!$D$127:$H$164,5,FALSE))</f>
        <v>60</v>
      </c>
      <c r="MS65" s="1764">
        <f>+IFERROR(VLOOKUP(MS$27&amp;"-"&amp;$M65&amp;"_new",Ammortamento_Finanziario!$H:$L,5,FALSE),VLOOKUP($M65,TT_Tabelle_Riferimento!$D$127:$H$164,5,FALSE))</f>
        <v>60</v>
      </c>
      <c r="MT65" s="1764">
        <f>+IFERROR(VLOOKUP(MT$27&amp;"-"&amp;$M65&amp;"_new",Ammortamento_Finanziario!$H:$L,5,FALSE),VLOOKUP($M65,TT_Tabelle_Riferimento!$D$127:$H$164,5,FALSE))</f>
        <v>60</v>
      </c>
      <c r="MU65" s="1764">
        <f>+IFERROR(VLOOKUP(MU$27&amp;"-"&amp;$M65&amp;"_new",Ammortamento_Finanziario!$H:$L,5,FALSE),VLOOKUP($M65,TT_Tabelle_Riferimento!$D$127:$H$164,5,FALSE))</f>
        <v>60</v>
      </c>
      <c r="MV65" s="1764">
        <f>+IFERROR(VLOOKUP(MV$27&amp;"-"&amp;$M65&amp;"_new",Ammortamento_Finanziario!$H:$L,5,FALSE),VLOOKUP($M65,TT_Tabelle_Riferimento!$D$127:$H$164,5,FALSE))</f>
        <v>60</v>
      </c>
      <c r="MW65" s="1764">
        <f>+IFERROR(VLOOKUP(MW$27&amp;"-"&amp;$M65&amp;"_new",Ammortamento_Finanziario!$H:$L,5,FALSE),VLOOKUP($M65,TT_Tabelle_Riferimento!$D$127:$H$164,5,FALSE))</f>
        <v>60</v>
      </c>
      <c r="MX65" s="1736">
        <f>+IFERROR(VLOOKUP(MX$27&amp;"-"&amp;$M65&amp;"_new",Ammortamento_Finanziario!$H:$L,5,FALSE),VLOOKUP($M65,TT_Tabelle_Riferimento!$D$127:$H$164,5,FALSE))</f>
        <v>60</v>
      </c>
      <c r="MY65" s="1736">
        <f>+IFERROR(VLOOKUP(MY$27&amp;"-"&amp;$M65&amp;"_new",Ammortamento_Finanziario!$H:$L,5,FALSE),VLOOKUP($M65,TT_Tabelle_Riferimento!$D$127:$H$164,5,FALSE))</f>
        <v>60</v>
      </c>
      <c r="MZ65" s="1736">
        <f>+IFERROR(VLOOKUP(MZ$27&amp;"-"&amp;$M65&amp;"_new",Ammortamento_Finanziario!$H:$L,5,FALSE),VLOOKUP($M65,TT_Tabelle_Riferimento!$D$127:$H$164,5,FALSE))</f>
        <v>60</v>
      </c>
      <c r="NA65" s="1736">
        <f>+IFERROR(VLOOKUP(NA$27&amp;"-"&amp;$M65&amp;"_new",Ammortamento_Finanziario!$H:$L,5,FALSE),VLOOKUP($M65,TT_Tabelle_Riferimento!$D$127:$H$164,5,FALSE))</f>
        <v>60</v>
      </c>
      <c r="NB65" s="1736">
        <f>+IFERROR(VLOOKUP(NB$27&amp;"-"&amp;$M65&amp;"_new",Ammortamento_Finanziario!$H:$L,5,FALSE),VLOOKUP($M65,TT_Tabelle_Riferimento!$D$127:$H$164,5,FALSE))</f>
        <v>60</v>
      </c>
      <c r="NC65" s="1736">
        <f>+IFERROR(VLOOKUP(NC$27&amp;"-"&amp;$M65&amp;"_new",Ammortamento_Finanziario!$H:$L,5,FALSE),VLOOKUP($M65,TT_Tabelle_Riferimento!$D$127:$H$164,5,FALSE))</f>
        <v>60</v>
      </c>
      <c r="ND65" s="1736">
        <f>+IFERROR(VLOOKUP(ND$27&amp;"-"&amp;$M65&amp;"_new",Ammortamento_Finanziario!$H:$L,5,FALSE),VLOOKUP($M65,TT_Tabelle_Riferimento!$D$127:$H$164,5,FALSE))</f>
        <v>60</v>
      </c>
      <c r="NE65" s="1736">
        <f>+IFERROR(VLOOKUP(NE$27&amp;"-"&amp;$M65&amp;"_new",Ammortamento_Finanziario!$H:$L,5,FALSE),VLOOKUP($M65,TT_Tabelle_Riferimento!$D$127:$H$164,5,FALSE))</f>
        <v>60</v>
      </c>
      <c r="NF65" s="1736">
        <f>+IFERROR(VLOOKUP(NF$27&amp;"-"&amp;$M65&amp;"_new",Ammortamento_Finanziario!$H:$L,5,FALSE),VLOOKUP($M65,TT_Tabelle_Riferimento!$D$127:$H$164,5,FALSE))</f>
        <v>60</v>
      </c>
      <c r="NG65" s="1736">
        <f>+IFERROR(VLOOKUP(NG$27&amp;"-"&amp;$M65&amp;"_new",Ammortamento_Finanziario!$H:$L,5,FALSE),VLOOKUP($M65,TT_Tabelle_Riferimento!$D$127:$H$164,5,FALSE))</f>
        <v>60</v>
      </c>
      <c r="NH65" s="1736">
        <f>+IFERROR(VLOOKUP(NH$27&amp;"-"&amp;$M65&amp;"_new",Ammortamento_Finanziario!$H:$L,5,FALSE),VLOOKUP($M65,TT_Tabelle_Riferimento!$D$127:$H$164,5,FALSE))</f>
        <v>60</v>
      </c>
      <c r="NI65" s="1736">
        <f>+IFERROR(VLOOKUP(NI$27&amp;"-"&amp;$M65&amp;"_new",Ammortamento_Finanziario!$H:$L,5,FALSE),VLOOKUP($M65,TT_Tabelle_Riferimento!$D$127:$H$164,5,FALSE))</f>
        <v>60</v>
      </c>
      <c r="NJ65" s="1736">
        <f>+IFERROR(VLOOKUP(NJ$27&amp;"-"&amp;$M65&amp;"_new",Ammortamento_Finanziario!$H:$L,5,FALSE),VLOOKUP($M65,TT_Tabelle_Riferimento!$D$127:$H$164,5,FALSE))</f>
        <v>60</v>
      </c>
      <c r="NK65" s="1736">
        <f>+IFERROR(VLOOKUP(NK$27&amp;"-"&amp;$M65&amp;"_new",Ammortamento_Finanziario!$H:$L,5,FALSE),VLOOKUP($M65,TT_Tabelle_Riferimento!$D$127:$H$164,5,FALSE))</f>
        <v>60</v>
      </c>
      <c r="NL65" s="1736">
        <f>+IFERROR(VLOOKUP(NL$27&amp;"-"&amp;$M65&amp;"_new",Ammortamento_Finanziario!$H:$L,5,FALSE),VLOOKUP($M65,TT_Tabelle_Riferimento!$D$127:$H$164,5,FALSE))</f>
        <v>60</v>
      </c>
      <c r="NM65" s="1736">
        <f>+IFERROR(VLOOKUP(NM$27&amp;"-"&amp;$M65&amp;"_new",Ammortamento_Finanziario!$H:$L,5,FALSE),VLOOKUP($M65,TT_Tabelle_Riferimento!$D$127:$H$164,5,FALSE))</f>
        <v>60</v>
      </c>
      <c r="NN65" s="1736">
        <f>+IFERROR(VLOOKUP(NN$27&amp;"-"&amp;$M65&amp;"_new",Ammortamento_Finanziario!$H:$L,5,FALSE),VLOOKUP($M65,TT_Tabelle_Riferimento!$D$127:$H$164,5,FALSE))</f>
        <v>60</v>
      </c>
      <c r="NO65" s="1736">
        <f>+IFERROR(VLOOKUP(NO$27&amp;"-"&amp;$M65&amp;"_new",Ammortamento_Finanziario!$H:$L,5,FALSE),VLOOKUP($M65,TT_Tabelle_Riferimento!$D$127:$H$164,5,FALSE))</f>
        <v>60</v>
      </c>
      <c r="NP65" s="1736">
        <f>+IFERROR(VLOOKUP(NP$27&amp;"-"&amp;$M65&amp;"_new",Ammortamento_Finanziario!$H:$L,5,FALSE),VLOOKUP($M65,TT_Tabelle_Riferimento!$D$127:$H$164,5,FALSE))</f>
        <v>60</v>
      </c>
      <c r="NQ65" s="1764">
        <f>+IFERROR(VLOOKUP(NQ$27&amp;"-"&amp;$M65&amp;"_new",Ammortamento_Finanziario!$H:$L,5,FALSE),VLOOKUP($M65,TT_Tabelle_Riferimento!$D$127:$H$164,5,FALSE))</f>
        <v>60</v>
      </c>
      <c r="NR65" s="1764">
        <f>+IFERROR(VLOOKUP(NR$27&amp;"-"&amp;$M65&amp;"_new",Ammortamento_Finanziario!$H:$L,5,FALSE),VLOOKUP($M65,TT_Tabelle_Riferimento!$D$127:$H$164,5,FALSE))</f>
        <v>60</v>
      </c>
      <c r="NS65" s="1764">
        <f>+IFERROR(VLOOKUP(NS$27&amp;"-"&amp;$M65&amp;"_new",Ammortamento_Finanziario!$H:$L,5,FALSE),VLOOKUP($M65,TT_Tabelle_Riferimento!$D$127:$H$164,5,FALSE))</f>
        <v>60</v>
      </c>
      <c r="NT65" s="1764">
        <f>+IFERROR(VLOOKUP(NT$27&amp;"-"&amp;$M65&amp;"_new",Ammortamento_Finanziario!$H:$L,5,FALSE),VLOOKUP($M65,TT_Tabelle_Riferimento!$D$127:$H$164,5,FALSE))</f>
        <v>60</v>
      </c>
      <c r="NU65" s="1764">
        <f>+IFERROR(VLOOKUP(NU$27&amp;"-"&amp;$M65&amp;"_new",Ammortamento_Finanziario!$H:$L,5,FALSE),VLOOKUP($M65,TT_Tabelle_Riferimento!$D$127:$H$164,5,FALSE))</f>
        <v>60</v>
      </c>
      <c r="NV65" s="1736">
        <f>+IFERROR(VLOOKUP(NV$27&amp;"-"&amp;$M65&amp;"_new",Ammortamento_Finanziario!$H:$L,5,FALSE),VLOOKUP($M65,TT_Tabelle_Riferimento!$D$127:$H$164,5,FALSE))</f>
        <v>60</v>
      </c>
      <c r="NW65" s="1736">
        <f>+IFERROR(VLOOKUP(NW$27&amp;"-"&amp;$M65&amp;"_new",Ammortamento_Finanziario!$H:$L,5,FALSE),VLOOKUP($M65,TT_Tabelle_Riferimento!$D$127:$H$164,5,FALSE))</f>
        <v>60</v>
      </c>
      <c r="NX65" s="1736">
        <f>+IFERROR(VLOOKUP(NX$27&amp;"-"&amp;$M65&amp;"_new",Ammortamento_Finanziario!$H:$L,5,FALSE),VLOOKUP($M65,TT_Tabelle_Riferimento!$D$127:$H$164,5,FALSE))</f>
        <v>60</v>
      </c>
      <c r="NY65" s="1736">
        <f>+IFERROR(VLOOKUP(NY$27&amp;"-"&amp;$M65&amp;"_new",Ammortamento_Finanziario!$H:$L,5,FALSE),VLOOKUP($M65,TT_Tabelle_Riferimento!$D$127:$H$164,5,FALSE))</f>
        <v>60</v>
      </c>
      <c r="NZ65" s="1736">
        <f>+IFERROR(VLOOKUP(NZ$27&amp;"-"&amp;$M65&amp;"_new",Ammortamento_Finanziario!$H:$L,5,FALSE),VLOOKUP($M65,TT_Tabelle_Riferimento!$D$127:$H$164,5,FALSE))</f>
        <v>60</v>
      </c>
      <c r="OA65" s="1736">
        <f>+IFERROR(VLOOKUP(OA$27&amp;"-"&amp;$M65&amp;"_new",Ammortamento_Finanziario!$H:$L,5,FALSE),VLOOKUP($M65,TT_Tabelle_Riferimento!$D$127:$H$164,5,FALSE))</f>
        <v>60</v>
      </c>
      <c r="OB65" s="1736">
        <f>+IFERROR(VLOOKUP(OB$27&amp;"-"&amp;$M65&amp;"_new",Ammortamento_Finanziario!$H:$L,5,FALSE),VLOOKUP($M65,TT_Tabelle_Riferimento!$D$127:$H$164,5,FALSE))</f>
        <v>60</v>
      </c>
      <c r="OC65" s="1736">
        <f>+IFERROR(VLOOKUP(OC$27&amp;"-"&amp;$M65&amp;"_new",Ammortamento_Finanziario!$H:$L,5,FALSE),VLOOKUP($M65,TT_Tabelle_Riferimento!$D$127:$H$164,5,FALSE))</f>
        <v>60</v>
      </c>
      <c r="OD65" s="1736">
        <f>+IFERROR(VLOOKUP(OD$27&amp;"-"&amp;$M65&amp;"_new",Ammortamento_Finanziario!$H:$L,5,FALSE),VLOOKUP($M65,TT_Tabelle_Riferimento!$D$127:$H$164,5,FALSE))</f>
        <v>60</v>
      </c>
      <c r="OE65" s="1736">
        <f>+IFERROR(VLOOKUP(OE$27&amp;"-"&amp;$M65&amp;"_new",Ammortamento_Finanziario!$H:$L,5,FALSE),VLOOKUP($M65,TT_Tabelle_Riferimento!$D$127:$H$164,5,FALSE))</f>
        <v>60</v>
      </c>
      <c r="OF65" s="1736">
        <f>+IFERROR(VLOOKUP(OF$27&amp;"-"&amp;$M65&amp;"_new",Ammortamento_Finanziario!$H:$L,5,FALSE),VLOOKUP($M65,TT_Tabelle_Riferimento!$D$127:$H$164,5,FALSE))</f>
        <v>60</v>
      </c>
      <c r="OG65" s="1736">
        <f>+IFERROR(VLOOKUP(OG$27&amp;"-"&amp;$M65&amp;"_new",Ammortamento_Finanziario!$H:$L,5,FALSE),VLOOKUP($M65,TT_Tabelle_Riferimento!$D$127:$H$164,5,FALSE))</f>
        <v>60</v>
      </c>
      <c r="OH65" s="1736">
        <f>+IFERROR(VLOOKUP(OH$27&amp;"-"&amp;$M65&amp;"_new",Ammortamento_Finanziario!$H:$L,5,FALSE),VLOOKUP($M65,TT_Tabelle_Riferimento!$D$127:$H$164,5,FALSE))</f>
        <v>60</v>
      </c>
      <c r="OI65" s="1736">
        <f>+IFERROR(VLOOKUP(OI$27&amp;"-"&amp;$M65&amp;"_new",Ammortamento_Finanziario!$H:$L,5,FALSE),VLOOKUP($M65,TT_Tabelle_Riferimento!$D$127:$H$164,5,FALSE))</f>
        <v>60</v>
      </c>
      <c r="OJ65" s="1736">
        <f>+IFERROR(VLOOKUP(OJ$27&amp;"-"&amp;$M65&amp;"_new",Ammortamento_Finanziario!$H:$L,5,FALSE),VLOOKUP($M65,TT_Tabelle_Riferimento!$D$127:$H$164,5,FALSE))</f>
        <v>60</v>
      </c>
      <c r="OK65" s="1736">
        <f>+IFERROR(VLOOKUP(OK$27&amp;"-"&amp;$M65&amp;"_new",Ammortamento_Finanziario!$H:$L,5,FALSE),VLOOKUP($M65,TT_Tabelle_Riferimento!$D$127:$H$164,5,FALSE))</f>
        <v>60</v>
      </c>
      <c r="OL65" s="1736">
        <f>+IFERROR(VLOOKUP(OL$27&amp;"-"&amp;$M65&amp;"_new",Ammortamento_Finanziario!$H:$L,5,FALSE),VLOOKUP($M65,TT_Tabelle_Riferimento!$D$127:$H$164,5,FALSE))</f>
        <v>60</v>
      </c>
      <c r="OM65" s="1736">
        <f>+IFERROR(VLOOKUP(OM$27&amp;"-"&amp;$M65&amp;"_new",Ammortamento_Finanziario!$H:$L,5,FALSE),VLOOKUP($M65,TT_Tabelle_Riferimento!$D$127:$H$164,5,FALSE))</f>
        <v>60</v>
      </c>
      <c r="ON65" s="1736">
        <f>+IFERROR(VLOOKUP(ON$27&amp;"-"&amp;$M65&amp;"_new",Ammortamento_Finanziario!$H:$L,5,FALSE),VLOOKUP($M65,TT_Tabelle_Riferimento!$D$127:$H$164,5,FALSE))</f>
        <v>60</v>
      </c>
      <c r="OO65" s="1764">
        <f>+IFERROR(VLOOKUP(OO$27&amp;"-"&amp;$M65&amp;"_new",Ammortamento_Finanziario!$H:$L,5,FALSE),VLOOKUP($M65,TT_Tabelle_Riferimento!$D$127:$H$164,5,FALSE))</f>
        <v>60</v>
      </c>
      <c r="OP65" s="1764">
        <f>+IFERROR(VLOOKUP(OP$27&amp;"-"&amp;$M65&amp;"_new",Ammortamento_Finanziario!$H:$L,5,FALSE),VLOOKUP($M65,TT_Tabelle_Riferimento!$D$127:$H$164,5,FALSE))</f>
        <v>60</v>
      </c>
      <c r="OQ65" s="1764">
        <f>+IFERROR(VLOOKUP(OQ$27&amp;"-"&amp;$M65&amp;"_new",Ammortamento_Finanziario!$H:$L,5,FALSE),VLOOKUP($M65,TT_Tabelle_Riferimento!$D$127:$H$164,5,FALSE))</f>
        <v>60</v>
      </c>
      <c r="OR65" s="1764">
        <f>+IFERROR(VLOOKUP(OR$27&amp;"-"&amp;$M65&amp;"_new",Ammortamento_Finanziario!$H:$L,5,FALSE),VLOOKUP($M65,TT_Tabelle_Riferimento!$D$127:$H$164,5,FALSE))</f>
        <v>60</v>
      </c>
      <c r="OS65" s="1736">
        <f>+IFERROR(VLOOKUP(OS$27&amp;"-"&amp;$M65&amp;"_new",Ammortamento_Finanziario!$H:$L,5,FALSE),VLOOKUP($M65,TT_Tabelle_Riferimento!$D$127:$H$164,5,FALSE))</f>
        <v>60</v>
      </c>
      <c r="OT65" s="1736">
        <f>+IFERROR(VLOOKUP(OT$27&amp;"-"&amp;$M65&amp;"_new",Ammortamento_Finanziario!$H:$L,5,FALSE),VLOOKUP($M65,TT_Tabelle_Riferimento!$D$127:$H$164,5,FALSE))</f>
        <v>60</v>
      </c>
      <c r="OU65" s="1736">
        <f>+IFERROR(VLOOKUP(OU$27&amp;"-"&amp;$M65&amp;"_new",Ammortamento_Finanziario!$H:$L,5,FALSE),VLOOKUP($M65,TT_Tabelle_Riferimento!$D$127:$H$164,5,FALSE))</f>
        <v>60</v>
      </c>
      <c r="OV65" s="1736">
        <f>+IFERROR(VLOOKUP(OV$27&amp;"-"&amp;$M65&amp;"_new",Ammortamento_Finanziario!$H:$L,5,FALSE),VLOOKUP($M65,TT_Tabelle_Riferimento!$D$127:$H$164,5,FALSE))</f>
        <v>60</v>
      </c>
      <c r="OW65" s="1736">
        <f>+IFERROR(VLOOKUP(OW$27&amp;"-"&amp;$M65&amp;"_new",Ammortamento_Finanziario!$H:$L,5,FALSE),VLOOKUP($M65,TT_Tabelle_Riferimento!$D$127:$H$164,5,FALSE))</f>
        <v>60</v>
      </c>
      <c r="OX65" s="1736">
        <f>+IFERROR(VLOOKUP(OX$27&amp;"-"&amp;$M65&amp;"_new",Ammortamento_Finanziario!$H:$L,5,FALSE),VLOOKUP($M65,TT_Tabelle_Riferimento!$D$127:$H$164,5,FALSE))</f>
        <v>60</v>
      </c>
      <c r="OY65" s="1736">
        <f>+IFERROR(VLOOKUP(OY$27&amp;"-"&amp;$M65&amp;"_new",Ammortamento_Finanziario!$H:$L,5,FALSE),VLOOKUP($M65,TT_Tabelle_Riferimento!$D$127:$H$164,5,FALSE))</f>
        <v>60</v>
      </c>
      <c r="OZ65" s="1736">
        <f>+IFERROR(VLOOKUP(OZ$27&amp;"-"&amp;$M65&amp;"_new",Ammortamento_Finanziario!$H:$L,5,FALSE),VLOOKUP($M65,TT_Tabelle_Riferimento!$D$127:$H$164,5,FALSE))</f>
        <v>60</v>
      </c>
      <c r="PA65" s="1736">
        <f>+IFERROR(VLOOKUP(PA$27&amp;"-"&amp;$M65&amp;"_new",Ammortamento_Finanziario!$H:$L,5,FALSE),VLOOKUP($M65,TT_Tabelle_Riferimento!$D$127:$H$164,5,FALSE))</f>
        <v>60</v>
      </c>
      <c r="PB65" s="1736">
        <f>+IFERROR(VLOOKUP(PB$27&amp;"-"&amp;$M65&amp;"_new",Ammortamento_Finanziario!$H:$L,5,FALSE),VLOOKUP($M65,TT_Tabelle_Riferimento!$D$127:$H$164,5,FALSE))</f>
        <v>60</v>
      </c>
      <c r="PC65" s="1736">
        <f>+IFERROR(VLOOKUP(PC$27&amp;"-"&amp;$M65&amp;"_new",Ammortamento_Finanziario!$H:$L,5,FALSE),VLOOKUP($M65,TT_Tabelle_Riferimento!$D$127:$H$164,5,FALSE))</f>
        <v>60</v>
      </c>
      <c r="PD65" s="1736">
        <f>+IFERROR(VLOOKUP(PD$27&amp;"-"&amp;$M65&amp;"_new",Ammortamento_Finanziario!$H:$L,5,FALSE),VLOOKUP($M65,TT_Tabelle_Riferimento!$D$127:$H$164,5,FALSE))</f>
        <v>60</v>
      </c>
      <c r="PE65" s="1736">
        <f>+IFERROR(VLOOKUP(PE$27&amp;"-"&amp;$M65&amp;"_new",Ammortamento_Finanziario!$H:$L,5,FALSE),VLOOKUP($M65,TT_Tabelle_Riferimento!$D$127:$H$164,5,FALSE))</f>
        <v>60</v>
      </c>
      <c r="PF65" s="1736">
        <f>+IFERROR(VLOOKUP(PF$27&amp;"-"&amp;$M65&amp;"_new",Ammortamento_Finanziario!$H:$L,5,FALSE),VLOOKUP($M65,TT_Tabelle_Riferimento!$D$127:$H$164,5,FALSE))</f>
        <v>60</v>
      </c>
      <c r="PG65" s="1736">
        <f>+IFERROR(VLOOKUP(PG$27&amp;"-"&amp;$M65&amp;"_new",Ammortamento_Finanziario!$H:$L,5,FALSE),VLOOKUP($M65,TT_Tabelle_Riferimento!$D$127:$H$164,5,FALSE))</f>
        <v>60</v>
      </c>
      <c r="PH65" s="1736">
        <f>+IFERROR(VLOOKUP(PH$27&amp;"-"&amp;$M65&amp;"_new",Ammortamento_Finanziario!$H:$L,5,FALSE),VLOOKUP($M65,TT_Tabelle_Riferimento!$D$127:$H$164,5,FALSE))</f>
        <v>60</v>
      </c>
      <c r="PI65" s="1736">
        <f>+IFERROR(VLOOKUP(PI$27&amp;"-"&amp;$M65&amp;"_new",Ammortamento_Finanziario!$H:$L,5,FALSE),VLOOKUP($M65,TT_Tabelle_Riferimento!$D$127:$H$164,5,FALSE))</f>
        <v>60</v>
      </c>
      <c r="PJ65" s="1736">
        <f>+IFERROR(VLOOKUP(PJ$27&amp;"-"&amp;$M65&amp;"_new",Ammortamento_Finanziario!$H:$L,5,FALSE),VLOOKUP($M65,TT_Tabelle_Riferimento!$D$127:$H$164,5,FALSE))</f>
        <v>60</v>
      </c>
      <c r="PK65" s="1736">
        <f>+IFERROR(VLOOKUP(PK$27&amp;"-"&amp;$M65&amp;"_new",Ammortamento_Finanziario!$H:$L,5,FALSE),VLOOKUP($M65,TT_Tabelle_Riferimento!$D$127:$H$164,5,FALSE))</f>
        <v>60</v>
      </c>
      <c r="PL65" s="1764">
        <f>+IFERROR(VLOOKUP(PL$27&amp;"-"&amp;$M65&amp;"_new",Ammortamento_Finanziario!$H:$L,5,FALSE),VLOOKUP($M65,TT_Tabelle_Riferimento!$D$127:$H$164,5,FALSE))</f>
        <v>60</v>
      </c>
      <c r="PM65" s="1764">
        <f>+IFERROR(VLOOKUP(PM$27&amp;"-"&amp;$M65&amp;"_new",Ammortamento_Finanziario!$H:$L,5,FALSE),VLOOKUP($M65,TT_Tabelle_Riferimento!$D$127:$H$164,5,FALSE))</f>
        <v>60</v>
      </c>
      <c r="PN65" s="1764">
        <f>+IFERROR(VLOOKUP(PN$27&amp;"-"&amp;$M65&amp;"_new",Ammortamento_Finanziario!$H:$L,5,FALSE),VLOOKUP($M65,TT_Tabelle_Riferimento!$D$127:$H$164,5,FALSE))</f>
        <v>60</v>
      </c>
      <c r="PO65" s="1736">
        <f>+IFERROR(VLOOKUP(PO$27&amp;"-"&amp;$M65&amp;"_new",Ammortamento_Finanziario!$H:$L,5,FALSE),VLOOKUP($M65,TT_Tabelle_Riferimento!$D$127:$H$164,5,FALSE))</f>
        <v>60</v>
      </c>
      <c r="PP65" s="1736">
        <f>+IFERROR(VLOOKUP(PP$27&amp;"-"&amp;$M65&amp;"_new",Ammortamento_Finanziario!$H:$L,5,FALSE),VLOOKUP($M65,TT_Tabelle_Riferimento!$D$127:$H$164,5,FALSE))</f>
        <v>60</v>
      </c>
      <c r="PQ65" s="1736">
        <f>+IFERROR(VLOOKUP(PQ$27&amp;"-"&amp;$M65&amp;"_new",Ammortamento_Finanziario!$H:$L,5,FALSE),VLOOKUP($M65,TT_Tabelle_Riferimento!$D$127:$H$164,5,FALSE))</f>
        <v>60</v>
      </c>
      <c r="PR65" s="1736">
        <f>+IFERROR(VLOOKUP(PR$27&amp;"-"&amp;$M65&amp;"_new",Ammortamento_Finanziario!$H:$L,5,FALSE),VLOOKUP($M65,TT_Tabelle_Riferimento!$D$127:$H$164,5,FALSE))</f>
        <v>60</v>
      </c>
      <c r="PS65" s="1736">
        <f>+IFERROR(VLOOKUP(PS$27&amp;"-"&amp;$M65&amp;"_new",Ammortamento_Finanziario!$H:$L,5,FALSE),VLOOKUP($M65,TT_Tabelle_Riferimento!$D$127:$H$164,5,FALSE))</f>
        <v>60</v>
      </c>
      <c r="PT65" s="1736">
        <f>+IFERROR(VLOOKUP(PT$27&amp;"-"&amp;$M65&amp;"_new",Ammortamento_Finanziario!$H:$L,5,FALSE),VLOOKUP($M65,TT_Tabelle_Riferimento!$D$127:$H$164,5,FALSE))</f>
        <v>60</v>
      </c>
      <c r="PU65" s="1736">
        <f>+IFERROR(VLOOKUP(PU$27&amp;"-"&amp;$M65&amp;"_new",Ammortamento_Finanziario!$H:$L,5,FALSE),VLOOKUP($M65,TT_Tabelle_Riferimento!$D$127:$H$164,5,FALSE))</f>
        <v>60</v>
      </c>
      <c r="PV65" s="1736">
        <f>+IFERROR(VLOOKUP(PV$27&amp;"-"&amp;$M65&amp;"_new",Ammortamento_Finanziario!$H:$L,5,FALSE),VLOOKUP($M65,TT_Tabelle_Riferimento!$D$127:$H$164,5,FALSE))</f>
        <v>60</v>
      </c>
      <c r="PW65" s="1736">
        <f>+IFERROR(VLOOKUP(PW$27&amp;"-"&amp;$M65&amp;"_new",Ammortamento_Finanziario!$H:$L,5,FALSE),VLOOKUP($M65,TT_Tabelle_Riferimento!$D$127:$H$164,5,FALSE))</f>
        <v>60</v>
      </c>
      <c r="PX65" s="1736">
        <f>+IFERROR(VLOOKUP(PX$27&amp;"-"&amp;$M65&amp;"_new",Ammortamento_Finanziario!$H:$L,5,FALSE),VLOOKUP($M65,TT_Tabelle_Riferimento!$D$127:$H$164,5,FALSE))</f>
        <v>60</v>
      </c>
      <c r="PY65" s="1736">
        <f>+IFERROR(VLOOKUP(PY$27&amp;"-"&amp;$M65&amp;"_new",Ammortamento_Finanziario!$H:$L,5,FALSE),VLOOKUP($M65,TT_Tabelle_Riferimento!$D$127:$H$164,5,FALSE))</f>
        <v>60</v>
      </c>
      <c r="PZ65" s="1736">
        <f>+IFERROR(VLOOKUP(PZ$27&amp;"-"&amp;$M65&amp;"_new",Ammortamento_Finanziario!$H:$L,5,FALSE),VLOOKUP($M65,TT_Tabelle_Riferimento!$D$127:$H$164,5,FALSE))</f>
        <v>60</v>
      </c>
      <c r="QA65" s="1736">
        <f>+IFERROR(VLOOKUP(QA$27&amp;"-"&amp;$M65&amp;"_new",Ammortamento_Finanziario!$H:$L,5,FALSE),VLOOKUP($M65,TT_Tabelle_Riferimento!$D$127:$H$164,5,FALSE))</f>
        <v>60</v>
      </c>
      <c r="QB65" s="1736">
        <f>+IFERROR(VLOOKUP(QB$27&amp;"-"&amp;$M65&amp;"_new",Ammortamento_Finanziario!$H:$L,5,FALSE),VLOOKUP($M65,TT_Tabelle_Riferimento!$D$127:$H$164,5,FALSE))</f>
        <v>60</v>
      </c>
      <c r="QC65" s="1736">
        <f>+IFERROR(VLOOKUP(QC$27&amp;"-"&amp;$M65&amp;"_new",Ammortamento_Finanziario!$H:$L,5,FALSE),VLOOKUP($M65,TT_Tabelle_Riferimento!$D$127:$H$164,5,FALSE))</f>
        <v>60</v>
      </c>
      <c r="QD65" s="1736">
        <f>+IFERROR(VLOOKUP(QD$27&amp;"-"&amp;$M65&amp;"_new",Ammortamento_Finanziario!$H:$L,5,FALSE),VLOOKUP($M65,TT_Tabelle_Riferimento!$D$127:$H$164,5,FALSE))</f>
        <v>60</v>
      </c>
      <c r="QE65" s="1736">
        <f>+IFERROR(VLOOKUP(QE$27&amp;"-"&amp;$M65&amp;"_new",Ammortamento_Finanziario!$H:$L,5,FALSE),VLOOKUP($M65,TT_Tabelle_Riferimento!$D$127:$H$164,5,FALSE))</f>
        <v>60</v>
      </c>
      <c r="QF65" s="1736">
        <f>+IFERROR(VLOOKUP(QF$27&amp;"-"&amp;$M65&amp;"_new",Ammortamento_Finanziario!$H:$L,5,FALSE),VLOOKUP($M65,TT_Tabelle_Riferimento!$D$127:$H$164,5,FALSE))</f>
        <v>60</v>
      </c>
      <c r="QG65" s="1736">
        <f>+IFERROR(VLOOKUP(QG$27&amp;"-"&amp;$M65&amp;"_new",Ammortamento_Finanziario!$H:$L,5,FALSE),VLOOKUP($M65,TT_Tabelle_Riferimento!$D$127:$H$164,5,FALSE))</f>
        <v>60</v>
      </c>
      <c r="QH65" s="1764">
        <f>+IFERROR(VLOOKUP(QH$27&amp;"-"&amp;$M65&amp;"_new",Ammortamento_Finanziario!$H:$L,5,FALSE),VLOOKUP($M65,TT_Tabelle_Riferimento!$D$127:$H$164,5,FALSE))</f>
        <v>60</v>
      </c>
      <c r="QI65" s="1764">
        <f>+IFERROR(VLOOKUP(QI$27&amp;"-"&amp;$M65&amp;"_new",Ammortamento_Finanziario!$H:$L,5,FALSE),VLOOKUP($M65,TT_Tabelle_Riferimento!$D$127:$H$164,5,FALSE))</f>
        <v>60</v>
      </c>
      <c r="QJ65" s="1736">
        <f>+IFERROR(VLOOKUP(QJ$27&amp;"-"&amp;$M65&amp;"_new",Ammortamento_Finanziario!$H:$L,5,FALSE),VLOOKUP($M65,TT_Tabelle_Riferimento!$D$127:$H$164,5,FALSE))</f>
        <v>60</v>
      </c>
      <c r="QK65" s="1736">
        <f>+IFERROR(VLOOKUP(QK$27&amp;"-"&amp;$M65&amp;"_new",Ammortamento_Finanziario!$H:$L,5,FALSE),VLOOKUP($M65,TT_Tabelle_Riferimento!$D$127:$H$164,5,FALSE))</f>
        <v>60</v>
      </c>
      <c r="QL65" s="1736">
        <f>+IFERROR(VLOOKUP(QL$27&amp;"-"&amp;$M65&amp;"_new",Ammortamento_Finanziario!$H:$L,5,FALSE),VLOOKUP($M65,TT_Tabelle_Riferimento!$D$127:$H$164,5,FALSE))</f>
        <v>60</v>
      </c>
      <c r="QM65" s="1736">
        <f>+IFERROR(VLOOKUP(QM$27&amp;"-"&amp;$M65&amp;"_new",Ammortamento_Finanziario!$H:$L,5,FALSE),VLOOKUP($M65,TT_Tabelle_Riferimento!$D$127:$H$164,5,FALSE))</f>
        <v>60</v>
      </c>
      <c r="QN65" s="1736">
        <f>+IFERROR(VLOOKUP(QN$27&amp;"-"&amp;$M65&amp;"_new",Ammortamento_Finanziario!$H:$L,5,FALSE),VLOOKUP($M65,TT_Tabelle_Riferimento!$D$127:$H$164,5,FALSE))</f>
        <v>60</v>
      </c>
      <c r="QO65" s="1736">
        <f>+IFERROR(VLOOKUP(QO$27&amp;"-"&amp;$M65&amp;"_new",Ammortamento_Finanziario!$H:$L,5,FALSE),VLOOKUP($M65,TT_Tabelle_Riferimento!$D$127:$H$164,5,FALSE))</f>
        <v>60</v>
      </c>
      <c r="QP65" s="1736">
        <f>+IFERROR(VLOOKUP(QP$27&amp;"-"&amp;$M65&amp;"_new",Ammortamento_Finanziario!$H:$L,5,FALSE),VLOOKUP($M65,TT_Tabelle_Riferimento!$D$127:$H$164,5,FALSE))</f>
        <v>60</v>
      </c>
      <c r="QQ65" s="1736">
        <f>+IFERROR(VLOOKUP(QQ$27&amp;"-"&amp;$M65&amp;"_new",Ammortamento_Finanziario!$H:$L,5,FALSE),VLOOKUP($M65,TT_Tabelle_Riferimento!$D$127:$H$164,5,FALSE))</f>
        <v>60</v>
      </c>
      <c r="QR65" s="1736">
        <f>+IFERROR(VLOOKUP(QR$27&amp;"-"&amp;$M65&amp;"_new",Ammortamento_Finanziario!$H:$L,5,FALSE),VLOOKUP($M65,TT_Tabelle_Riferimento!$D$127:$H$164,5,FALSE))</f>
        <v>60</v>
      </c>
      <c r="QS65" s="1736">
        <f>+IFERROR(VLOOKUP(QS$27&amp;"-"&amp;$M65&amp;"_new",Ammortamento_Finanziario!$H:$L,5,FALSE),VLOOKUP($M65,TT_Tabelle_Riferimento!$D$127:$H$164,5,FALSE))</f>
        <v>60</v>
      </c>
      <c r="QT65" s="1736">
        <f>+IFERROR(VLOOKUP(QT$27&amp;"-"&amp;$M65&amp;"_new",Ammortamento_Finanziario!$H:$L,5,FALSE),VLOOKUP($M65,TT_Tabelle_Riferimento!$D$127:$H$164,5,FALSE))</f>
        <v>60</v>
      </c>
      <c r="QU65" s="1736">
        <f>+IFERROR(VLOOKUP(QU$27&amp;"-"&amp;$M65&amp;"_new",Ammortamento_Finanziario!$H:$L,5,FALSE),VLOOKUP($M65,TT_Tabelle_Riferimento!$D$127:$H$164,5,FALSE))</f>
        <v>60</v>
      </c>
      <c r="QV65" s="1736">
        <f>+IFERROR(VLOOKUP(QV$27&amp;"-"&amp;$M65&amp;"_new",Ammortamento_Finanziario!$H:$L,5,FALSE),VLOOKUP($M65,TT_Tabelle_Riferimento!$D$127:$H$164,5,FALSE))</f>
        <v>60</v>
      </c>
      <c r="QW65" s="1736">
        <f>+IFERROR(VLOOKUP(QW$27&amp;"-"&amp;$M65&amp;"_new",Ammortamento_Finanziario!$H:$L,5,FALSE),VLOOKUP($M65,TT_Tabelle_Riferimento!$D$127:$H$164,5,FALSE))</f>
        <v>60</v>
      </c>
      <c r="QX65" s="1736">
        <f>+IFERROR(VLOOKUP(QX$27&amp;"-"&amp;$M65&amp;"_new",Ammortamento_Finanziario!$H:$L,5,FALSE),VLOOKUP($M65,TT_Tabelle_Riferimento!$D$127:$H$164,5,FALSE))</f>
        <v>60</v>
      </c>
      <c r="QY65" s="1736">
        <f>+IFERROR(VLOOKUP(QY$27&amp;"-"&amp;$M65&amp;"_new",Ammortamento_Finanziario!$H:$L,5,FALSE),VLOOKUP($M65,TT_Tabelle_Riferimento!$D$127:$H$164,5,FALSE))</f>
        <v>60</v>
      </c>
      <c r="QZ65" s="1736">
        <f>+IFERROR(VLOOKUP(QZ$27&amp;"-"&amp;$M65&amp;"_new",Ammortamento_Finanziario!$H:$L,5,FALSE),VLOOKUP($M65,TT_Tabelle_Riferimento!$D$127:$H$164,5,FALSE))</f>
        <v>60</v>
      </c>
      <c r="RA65" s="1736">
        <f>+IFERROR(VLOOKUP(RA$27&amp;"-"&amp;$M65&amp;"_new",Ammortamento_Finanziario!$H:$L,5,FALSE),VLOOKUP($M65,TT_Tabelle_Riferimento!$D$127:$H$164,5,FALSE))</f>
        <v>60</v>
      </c>
      <c r="RB65" s="1736">
        <f>+IFERROR(VLOOKUP(RB$27&amp;"-"&amp;$M65&amp;"_new",Ammortamento_Finanziario!$H:$L,5,FALSE),VLOOKUP($M65,TT_Tabelle_Riferimento!$D$127:$H$164,5,FALSE))</f>
        <v>60</v>
      </c>
      <c r="RC65" s="1764">
        <f>+IFERROR(VLOOKUP(RC$27&amp;"-"&amp;$M65&amp;"_new",Ammortamento_Finanziario!$H:$L,5,FALSE),VLOOKUP($M65,TT_Tabelle_Riferimento!$D$127:$H$164,5,FALSE))</f>
        <v>60</v>
      </c>
      <c r="RD65" s="1736">
        <f>+IFERROR(VLOOKUP(RD$27&amp;"-"&amp;$M65&amp;"_new",Ammortamento_Finanziario!$H:$L,5,FALSE),VLOOKUP($M65,TT_Tabelle_Riferimento!$D$127:$H$164,5,FALSE))</f>
        <v>60</v>
      </c>
      <c r="RE65" s="1736">
        <f>+IFERROR(VLOOKUP(RE$27&amp;"-"&amp;$M65&amp;"_new",Ammortamento_Finanziario!$H:$L,5,FALSE),VLOOKUP($M65,TT_Tabelle_Riferimento!$D$127:$H$164,5,FALSE))</f>
        <v>60</v>
      </c>
      <c r="RF65" s="1736">
        <f>+IFERROR(VLOOKUP(RF$27&amp;"-"&amp;$M65&amp;"_new",Ammortamento_Finanziario!$H:$L,5,FALSE),VLOOKUP($M65,TT_Tabelle_Riferimento!$D$127:$H$164,5,FALSE))</f>
        <v>60</v>
      </c>
      <c r="RG65" s="1736">
        <f>+IFERROR(VLOOKUP(RG$27&amp;"-"&amp;$M65&amp;"_new",Ammortamento_Finanziario!$H:$L,5,FALSE),VLOOKUP($M65,TT_Tabelle_Riferimento!$D$127:$H$164,5,FALSE))</f>
        <v>60</v>
      </c>
      <c r="RH65" s="1736">
        <f>+IFERROR(VLOOKUP(RH$27&amp;"-"&amp;$M65&amp;"_new",Ammortamento_Finanziario!$H:$L,5,FALSE),VLOOKUP($M65,TT_Tabelle_Riferimento!$D$127:$H$164,5,FALSE))</f>
        <v>60</v>
      </c>
      <c r="RI65" s="1736">
        <f>+IFERROR(VLOOKUP(RI$27&amp;"-"&amp;$M65&amp;"_new",Ammortamento_Finanziario!$H:$L,5,FALSE),VLOOKUP($M65,TT_Tabelle_Riferimento!$D$127:$H$164,5,FALSE))</f>
        <v>60</v>
      </c>
      <c r="RJ65" s="1736">
        <f>+IFERROR(VLOOKUP(RJ$27&amp;"-"&amp;$M65&amp;"_new",Ammortamento_Finanziario!$H:$L,5,FALSE),VLOOKUP($M65,TT_Tabelle_Riferimento!$D$127:$H$164,5,FALSE))</f>
        <v>60</v>
      </c>
      <c r="RK65" s="1736">
        <f>+IFERROR(VLOOKUP(RK$27&amp;"-"&amp;$M65&amp;"_new",Ammortamento_Finanziario!$H:$L,5,FALSE),VLOOKUP($M65,TT_Tabelle_Riferimento!$D$127:$H$164,5,FALSE))</f>
        <v>60</v>
      </c>
      <c r="RL65" s="1736">
        <f>+IFERROR(VLOOKUP(RL$27&amp;"-"&amp;$M65&amp;"_new",Ammortamento_Finanziario!$H:$L,5,FALSE),VLOOKUP($M65,TT_Tabelle_Riferimento!$D$127:$H$164,5,FALSE))</f>
        <v>60</v>
      </c>
      <c r="RM65" s="1736">
        <f>+IFERROR(VLOOKUP(RM$27&amp;"-"&amp;$M65&amp;"_new",Ammortamento_Finanziario!$H:$L,5,FALSE),VLOOKUP($M65,TT_Tabelle_Riferimento!$D$127:$H$164,5,FALSE))</f>
        <v>60</v>
      </c>
      <c r="RN65" s="1736">
        <f>+IFERROR(VLOOKUP(RN$27&amp;"-"&amp;$M65&amp;"_new",Ammortamento_Finanziario!$H:$L,5,FALSE),VLOOKUP($M65,TT_Tabelle_Riferimento!$D$127:$H$164,5,FALSE))</f>
        <v>60</v>
      </c>
      <c r="RO65" s="1736">
        <f>+IFERROR(VLOOKUP(RO$27&amp;"-"&amp;$M65&amp;"_new",Ammortamento_Finanziario!$H:$L,5,FALSE),VLOOKUP($M65,TT_Tabelle_Riferimento!$D$127:$H$164,5,FALSE))</f>
        <v>60</v>
      </c>
      <c r="RP65" s="1736">
        <f>+IFERROR(VLOOKUP(RP$27&amp;"-"&amp;$M65&amp;"_new",Ammortamento_Finanziario!$H:$L,5,FALSE),VLOOKUP($M65,TT_Tabelle_Riferimento!$D$127:$H$164,5,FALSE))</f>
        <v>60</v>
      </c>
      <c r="RQ65" s="1736">
        <f>+IFERROR(VLOOKUP(RQ$27&amp;"-"&amp;$M65&amp;"_new",Ammortamento_Finanziario!$H:$L,5,FALSE),VLOOKUP($M65,TT_Tabelle_Riferimento!$D$127:$H$164,5,FALSE))</f>
        <v>60</v>
      </c>
      <c r="RR65" s="1736">
        <f>+IFERROR(VLOOKUP(RR$27&amp;"-"&amp;$M65&amp;"_new",Ammortamento_Finanziario!$H:$L,5,FALSE),VLOOKUP($M65,TT_Tabelle_Riferimento!$D$127:$H$164,5,FALSE))</f>
        <v>60</v>
      </c>
      <c r="RS65" s="1736">
        <f>+IFERROR(VLOOKUP(RS$27&amp;"-"&amp;$M65&amp;"_new",Ammortamento_Finanziario!$H:$L,5,FALSE),VLOOKUP($M65,TT_Tabelle_Riferimento!$D$127:$H$164,5,FALSE))</f>
        <v>60</v>
      </c>
      <c r="RT65" s="1736">
        <f>+IFERROR(VLOOKUP(RT$27&amp;"-"&amp;$M65&amp;"_new",Ammortamento_Finanziario!$H:$L,5,FALSE),VLOOKUP($M65,TT_Tabelle_Riferimento!$D$127:$H$164,5,FALSE))</f>
        <v>60</v>
      </c>
      <c r="RU65" s="1736">
        <f>+IFERROR(VLOOKUP(RU$27&amp;"-"&amp;$M65&amp;"_new",Ammortamento_Finanziario!$H:$L,5,FALSE),VLOOKUP($M65,TT_Tabelle_Riferimento!$D$127:$H$164,5,FALSE))</f>
        <v>60</v>
      </c>
      <c r="RV65" s="1736">
        <f>+IFERROR(VLOOKUP(RV$27&amp;"-"&amp;$M65&amp;"_new",Ammortamento_Finanziario!$H:$L,5,FALSE),VLOOKUP($M65,TT_Tabelle_Riferimento!$D$127:$H$164,5,FALSE))</f>
        <v>60</v>
      </c>
    </row>
    <row r="66" spans="4:490">
      <c r="D66" s="135" t="s">
        <v>199</v>
      </c>
      <c r="E66" s="719">
        <f>+SUMIFS(IMN_gestore!P:P,IMN_gestore!$E:$E,"&gt;="&amp;2012,IMN_gestore!$E:$E,"&lt;="&amp;2022,IMN_gestore!$G:$G,"Env")</f>
        <v>0</v>
      </c>
      <c r="F66" s="719">
        <f>+SUMIFS(IMN_gestore!AA:AA,IMN_gestore!$E:$E,"&gt;="&amp;2012,IMN_gestore!$E:$E,"&lt;="&amp;2023,IMN_gestore!$G:$G,"Env")</f>
        <v>0</v>
      </c>
      <c r="G66" s="719">
        <f>+SUMIFS(IMN_gestore!AL:AL,IMN_gestore!$E:$E,"&gt;="&amp;2012,IMN_gestore!$E:$E,"&lt;="&amp;2024,IMN_gestore!$G:$G,"Env")</f>
        <v>0</v>
      </c>
      <c r="H66" s="719">
        <f>+SUMIFS(IMN_gestore!AW:AW,IMN_gestore!$E:$E,"&gt;="&amp;2012,IMN_gestore!$E:$E,"&lt;="&amp;2025,IMN_gestore!$G:$G,"Env")</f>
        <v>0</v>
      </c>
      <c r="I66" s="719">
        <f>+SUMIFS(IMN_gestore!$BH:$BH,IMN_gestore!$E:$E,"&gt;="&amp;2012,IMN_gestore!$E:$E,"&lt;="&amp;2026,IMN_gestore!$G:$G,"Env")</f>
        <v>0</v>
      </c>
      <c r="J66" s="719">
        <f>+SUMIFS(IMN_gestore!$BS:$BS,IMN_gestore!$E:$E,"&gt;="&amp;2012,IMN_gestore!$E:$E,"&lt;="&amp;2027,IMN_gestore!$G:$G,"Env")</f>
        <v>0</v>
      </c>
      <c r="K66" s="12"/>
      <c r="L66" s="12"/>
      <c r="M66" s="1760">
        <v>39</v>
      </c>
      <c r="N66" s="1761">
        <v>0</v>
      </c>
      <c r="O66" s="1761">
        <v>0</v>
      </c>
      <c r="P66" s="1761">
        <v>0</v>
      </c>
      <c r="Q66" s="1761">
        <v>0</v>
      </c>
      <c r="R66" s="1761">
        <v>0</v>
      </c>
      <c r="S66" s="1761">
        <v>0</v>
      </c>
      <c r="T66" s="1761">
        <v>0</v>
      </c>
      <c r="U66" s="1761">
        <v>0</v>
      </c>
      <c r="V66" s="1761">
        <v>0</v>
      </c>
      <c r="W66" s="1761">
        <v>0</v>
      </c>
      <c r="X66" s="1761">
        <v>0</v>
      </c>
      <c r="Y66" s="1761">
        <v>0</v>
      </c>
      <c r="Z66" s="1761">
        <v>0</v>
      </c>
      <c r="AA66" s="1761">
        <v>0</v>
      </c>
      <c r="AB66" s="1761">
        <v>0</v>
      </c>
      <c r="AC66" s="1761">
        <v>0</v>
      </c>
      <c r="AD66" s="1761">
        <v>0</v>
      </c>
      <c r="AE66" s="1761">
        <v>0</v>
      </c>
      <c r="AF66" s="1761">
        <v>0</v>
      </c>
      <c r="AG66" s="1761">
        <v>0</v>
      </c>
      <c r="AH66" s="1761">
        <v>0</v>
      </c>
      <c r="AI66" s="1761">
        <v>0</v>
      </c>
      <c r="AJ66" s="1761">
        <v>0</v>
      </c>
      <c r="AK66" s="1761">
        <v>0</v>
      </c>
      <c r="AL66" s="1761">
        <v>0</v>
      </c>
      <c r="AM66" s="1761">
        <v>0</v>
      </c>
      <c r="AN66" s="1761">
        <v>0</v>
      </c>
      <c r="AO66" s="1761">
        <v>0</v>
      </c>
      <c r="AP66" s="1761">
        <v>0</v>
      </c>
      <c r="AQ66" s="1761">
        <v>0</v>
      </c>
      <c r="AR66" s="1761">
        <v>0</v>
      </c>
      <c r="AS66" s="1761">
        <v>0</v>
      </c>
      <c r="AT66" s="1761">
        <v>0</v>
      </c>
      <c r="AU66" s="1761">
        <v>0</v>
      </c>
      <c r="AV66" s="1761">
        <v>0</v>
      </c>
      <c r="AW66" s="1761">
        <v>0</v>
      </c>
      <c r="AX66" s="1761">
        <v>0</v>
      </c>
      <c r="AY66" s="1761">
        <v>0</v>
      </c>
      <c r="AZ66" s="1761">
        <v>0</v>
      </c>
      <c r="BA66" s="1761">
        <v>0</v>
      </c>
      <c r="BB66" s="1761">
        <v>0</v>
      </c>
      <c r="BC66" s="1761">
        <v>0</v>
      </c>
      <c r="BD66" s="1761">
        <v>0</v>
      </c>
      <c r="BE66" s="1761">
        <v>0</v>
      </c>
      <c r="BF66" s="1761">
        <v>0</v>
      </c>
      <c r="BG66" s="1761">
        <v>0</v>
      </c>
      <c r="BH66" s="1761">
        <v>0</v>
      </c>
      <c r="BI66" s="1761">
        <v>0</v>
      </c>
      <c r="BJ66" s="1761">
        <v>0</v>
      </c>
      <c r="BK66" s="1761">
        <v>0</v>
      </c>
      <c r="BL66" s="1761">
        <v>0</v>
      </c>
      <c r="BM66" s="1761">
        <v>0</v>
      </c>
      <c r="BN66" s="1761">
        <v>0</v>
      </c>
      <c r="BO66" s="1761">
        <v>0</v>
      </c>
      <c r="BP66" s="1761">
        <v>0</v>
      </c>
      <c r="BQ66" s="1761">
        <v>0</v>
      </c>
      <c r="BR66" s="1761">
        <v>0</v>
      </c>
      <c r="BS66" s="1761">
        <v>0</v>
      </c>
      <c r="BT66" s="1761">
        <v>0</v>
      </c>
      <c r="BU66" s="1761">
        <v>0</v>
      </c>
      <c r="BV66" s="1761">
        <v>0</v>
      </c>
      <c r="BW66" s="1761">
        <v>0</v>
      </c>
      <c r="BX66" s="1761">
        <v>0</v>
      </c>
      <c r="BY66" s="1761">
        <v>0</v>
      </c>
      <c r="BZ66" s="1761">
        <v>0</v>
      </c>
      <c r="CA66" s="1761">
        <v>0</v>
      </c>
      <c r="CB66" s="1761">
        <v>0</v>
      </c>
      <c r="CC66" s="1761">
        <v>0</v>
      </c>
      <c r="CD66" s="1761">
        <v>0</v>
      </c>
      <c r="CE66" s="1761">
        <v>0</v>
      </c>
      <c r="CF66" s="1761">
        <v>0</v>
      </c>
      <c r="CG66" s="1761">
        <v>0</v>
      </c>
      <c r="CH66" s="1761">
        <v>0</v>
      </c>
      <c r="CI66" s="1761">
        <v>0</v>
      </c>
      <c r="CJ66" s="1761">
        <v>0</v>
      </c>
      <c r="CK66" s="1761">
        <v>0</v>
      </c>
      <c r="CL66" s="1761">
        <v>0</v>
      </c>
      <c r="CM66" s="1761">
        <v>0</v>
      </c>
      <c r="CN66" s="1761">
        <v>0</v>
      </c>
      <c r="CO66" s="1761">
        <v>0</v>
      </c>
      <c r="CP66" s="1761">
        <v>0</v>
      </c>
      <c r="CQ66" s="1761">
        <v>0</v>
      </c>
      <c r="CR66" s="1761">
        <v>0</v>
      </c>
      <c r="CS66" s="1761">
        <v>0</v>
      </c>
      <c r="CT66" s="1761">
        <v>0</v>
      </c>
      <c r="CU66" s="1761">
        <v>0</v>
      </c>
      <c r="CV66" s="1761">
        <v>0</v>
      </c>
      <c r="CW66" s="1761">
        <v>0</v>
      </c>
      <c r="CX66" s="1761">
        <v>0</v>
      </c>
      <c r="CY66" s="1761">
        <v>0</v>
      </c>
      <c r="CZ66" s="1761">
        <v>0</v>
      </c>
      <c r="DA66" s="1761">
        <v>0</v>
      </c>
      <c r="DB66" s="1761">
        <v>0</v>
      </c>
      <c r="DC66" s="1761">
        <v>0</v>
      </c>
      <c r="DD66" s="1761">
        <v>0</v>
      </c>
      <c r="DE66" s="1761">
        <v>0</v>
      </c>
      <c r="DF66" s="1761">
        <v>0</v>
      </c>
      <c r="DG66" s="1761">
        <v>0</v>
      </c>
      <c r="DH66" s="1761">
        <v>0</v>
      </c>
      <c r="DI66" s="1761">
        <v>0</v>
      </c>
      <c r="DJ66" s="1761">
        <v>0</v>
      </c>
      <c r="DK66" s="1761">
        <v>0</v>
      </c>
      <c r="DL66" s="1761">
        <v>0</v>
      </c>
      <c r="DM66" s="1761">
        <v>0</v>
      </c>
      <c r="DN66" s="1761">
        <v>0</v>
      </c>
      <c r="DO66" s="1761">
        <v>0</v>
      </c>
      <c r="DP66" s="1761">
        <v>0</v>
      </c>
      <c r="DQ66" s="1761">
        <v>0</v>
      </c>
      <c r="DR66" s="1761">
        <v>0</v>
      </c>
      <c r="DS66" s="1761">
        <v>0</v>
      </c>
      <c r="DT66" s="1761">
        <v>0</v>
      </c>
      <c r="DU66" s="1761">
        <v>0</v>
      </c>
      <c r="DV66" s="1761">
        <v>0</v>
      </c>
      <c r="DW66" s="1761">
        <v>0</v>
      </c>
      <c r="DX66" s="1761">
        <v>0</v>
      </c>
      <c r="DY66" s="1761">
        <v>0</v>
      </c>
      <c r="DZ66" s="1761">
        <v>0</v>
      </c>
      <c r="EA66" s="1761">
        <v>0</v>
      </c>
      <c r="EB66" s="1761">
        <v>0</v>
      </c>
      <c r="EC66" s="1761">
        <v>0</v>
      </c>
      <c r="ED66" s="1761">
        <v>0</v>
      </c>
      <c r="EE66" s="1761">
        <v>0</v>
      </c>
      <c r="EF66" s="1761">
        <v>0</v>
      </c>
      <c r="EG66" s="1761">
        <v>0</v>
      </c>
      <c r="EH66" s="1761">
        <v>0</v>
      </c>
      <c r="EI66" s="1761">
        <v>0</v>
      </c>
      <c r="EJ66" s="1761">
        <v>0</v>
      </c>
      <c r="EK66" s="1761">
        <v>0</v>
      </c>
      <c r="EL66" s="1761">
        <v>0</v>
      </c>
      <c r="EM66" s="1761">
        <v>0</v>
      </c>
      <c r="EN66" s="1761">
        <v>0</v>
      </c>
      <c r="EO66" s="1761">
        <v>0</v>
      </c>
      <c r="EP66" s="1761">
        <v>0</v>
      </c>
      <c r="EQ66" s="1761">
        <v>0</v>
      </c>
      <c r="ER66" s="1761">
        <v>0</v>
      </c>
      <c r="ES66" s="1761">
        <v>0</v>
      </c>
      <c r="ET66" s="1761">
        <v>0</v>
      </c>
      <c r="EU66" s="1761">
        <v>0</v>
      </c>
      <c r="EV66" s="1761">
        <v>0</v>
      </c>
      <c r="EW66" s="1761">
        <v>0</v>
      </c>
      <c r="EX66" s="1761">
        <v>0</v>
      </c>
      <c r="EY66" s="1761">
        <v>0</v>
      </c>
      <c r="EZ66" s="1761">
        <v>0</v>
      </c>
      <c r="FA66" s="1761">
        <v>0</v>
      </c>
      <c r="FB66" s="1761">
        <v>0</v>
      </c>
      <c r="FC66" s="1761">
        <v>0</v>
      </c>
      <c r="FD66" s="1761">
        <v>0</v>
      </c>
      <c r="FE66" s="1761">
        <v>0</v>
      </c>
      <c r="FF66" s="1761">
        <v>0</v>
      </c>
      <c r="FG66" s="1761">
        <v>0</v>
      </c>
      <c r="FH66" s="1761">
        <v>0</v>
      </c>
      <c r="FI66" s="1761">
        <v>0</v>
      </c>
      <c r="FJ66" s="1761">
        <v>0</v>
      </c>
      <c r="FK66" s="1761">
        <v>0</v>
      </c>
      <c r="FL66" s="1761">
        <v>0</v>
      </c>
      <c r="FM66" s="1761">
        <v>0</v>
      </c>
      <c r="FN66" s="1761">
        <v>0</v>
      </c>
      <c r="FO66" s="1761">
        <v>0</v>
      </c>
      <c r="FP66" s="1761">
        <v>0</v>
      </c>
      <c r="FQ66" s="1761">
        <v>0</v>
      </c>
      <c r="FR66" s="1761">
        <v>0</v>
      </c>
      <c r="FS66" s="1761">
        <v>0</v>
      </c>
      <c r="FT66" s="1761">
        <v>0</v>
      </c>
      <c r="FU66" s="1761">
        <v>0</v>
      </c>
      <c r="FV66" s="1761">
        <v>0</v>
      </c>
      <c r="FW66" s="1761">
        <v>0</v>
      </c>
      <c r="FX66" s="1761">
        <v>0</v>
      </c>
      <c r="FY66" s="1761">
        <v>0</v>
      </c>
      <c r="FZ66" s="1761">
        <v>0</v>
      </c>
      <c r="GA66" s="1761">
        <v>0</v>
      </c>
      <c r="GB66" s="1761">
        <v>0</v>
      </c>
      <c r="GC66" s="1761">
        <v>0</v>
      </c>
      <c r="GD66" s="1761">
        <v>0</v>
      </c>
      <c r="GE66" s="1761">
        <v>0</v>
      </c>
      <c r="GF66" s="1761">
        <v>0</v>
      </c>
      <c r="GG66" s="1761">
        <v>0</v>
      </c>
      <c r="GH66" s="1761">
        <v>0</v>
      </c>
      <c r="GI66" s="1761">
        <v>0</v>
      </c>
      <c r="GJ66" s="1761">
        <v>0</v>
      </c>
      <c r="GK66" s="1761">
        <v>0</v>
      </c>
      <c r="GL66" s="1761">
        <v>0</v>
      </c>
      <c r="GM66" s="1761">
        <v>0</v>
      </c>
      <c r="GN66" s="1761">
        <v>0</v>
      </c>
      <c r="GO66" s="1761">
        <v>0</v>
      </c>
      <c r="GP66" s="1761">
        <v>0</v>
      </c>
      <c r="GQ66" s="1761">
        <v>0</v>
      </c>
      <c r="GR66" s="1761">
        <v>0</v>
      </c>
      <c r="GS66" s="1761">
        <v>0</v>
      </c>
      <c r="GT66" s="1761">
        <v>0</v>
      </c>
      <c r="GU66" s="1761">
        <v>0</v>
      </c>
      <c r="GV66" s="1761">
        <v>0</v>
      </c>
      <c r="GW66" s="1761">
        <v>0</v>
      </c>
      <c r="GX66" s="1761">
        <v>0</v>
      </c>
      <c r="GY66" s="1761">
        <v>0</v>
      </c>
      <c r="GZ66" s="1761">
        <v>0</v>
      </c>
      <c r="HA66" s="1761">
        <v>0</v>
      </c>
      <c r="HB66" s="1761">
        <v>0</v>
      </c>
      <c r="HC66" s="1761">
        <v>0</v>
      </c>
      <c r="HD66" s="1761">
        <v>0</v>
      </c>
      <c r="HE66" s="1761">
        <v>0</v>
      </c>
      <c r="HF66" s="1761">
        <v>0</v>
      </c>
      <c r="HG66" s="1761">
        <v>0</v>
      </c>
      <c r="HH66" s="1761">
        <v>0</v>
      </c>
      <c r="HI66" s="1761">
        <v>0</v>
      </c>
      <c r="HJ66" s="1761">
        <v>0</v>
      </c>
      <c r="HK66" s="1761">
        <v>0</v>
      </c>
      <c r="HL66" s="1761">
        <v>0</v>
      </c>
      <c r="HM66" s="1761">
        <v>0</v>
      </c>
      <c r="HN66" s="1761">
        <v>0</v>
      </c>
      <c r="HO66" s="1761">
        <v>0</v>
      </c>
      <c r="HP66" s="1761">
        <v>0</v>
      </c>
      <c r="HQ66" s="1761">
        <v>0</v>
      </c>
      <c r="HR66" s="1761">
        <v>0</v>
      </c>
      <c r="HS66" s="1761">
        <v>0</v>
      </c>
      <c r="HT66" s="1761">
        <v>0</v>
      </c>
      <c r="HU66" s="1761">
        <v>0</v>
      </c>
      <c r="HV66" s="1761">
        <v>0</v>
      </c>
      <c r="HW66" s="1761">
        <v>0</v>
      </c>
      <c r="HX66" s="1761">
        <v>0</v>
      </c>
      <c r="HY66" s="1761">
        <v>0</v>
      </c>
      <c r="HZ66" s="1761">
        <v>0</v>
      </c>
      <c r="IA66" s="1761">
        <v>0</v>
      </c>
      <c r="IB66" s="1761">
        <v>0</v>
      </c>
      <c r="IC66" s="1761">
        <v>0</v>
      </c>
      <c r="ID66" s="1761">
        <v>0</v>
      </c>
      <c r="IE66" s="1761">
        <v>0</v>
      </c>
      <c r="IF66" s="1761">
        <v>0</v>
      </c>
      <c r="IG66" s="1761">
        <v>0</v>
      </c>
      <c r="IH66" s="1761">
        <v>0</v>
      </c>
      <c r="II66" s="1761">
        <v>0</v>
      </c>
      <c r="IJ66" s="1761">
        <v>0</v>
      </c>
      <c r="IK66" s="1761">
        <v>0</v>
      </c>
      <c r="IL66" s="1761">
        <v>0</v>
      </c>
      <c r="IM66" s="1761">
        <v>0</v>
      </c>
      <c r="IN66" s="1761">
        <v>0</v>
      </c>
      <c r="IO66" s="1761">
        <v>0</v>
      </c>
      <c r="IP66" s="1761">
        <v>0</v>
      </c>
      <c r="IQ66" s="1761">
        <v>0</v>
      </c>
      <c r="IR66" s="1761">
        <v>0</v>
      </c>
      <c r="IS66" s="1761">
        <v>0</v>
      </c>
      <c r="IT66" s="1761">
        <v>0</v>
      </c>
      <c r="IU66" s="1761">
        <v>0</v>
      </c>
      <c r="IV66" s="1761">
        <v>0</v>
      </c>
      <c r="IW66" s="1761">
        <v>0</v>
      </c>
      <c r="IX66" s="1761">
        <v>0</v>
      </c>
      <c r="IY66" s="1761">
        <v>0</v>
      </c>
      <c r="IZ66" s="1761">
        <v>0</v>
      </c>
      <c r="JA66" s="1761">
        <v>0</v>
      </c>
      <c r="JB66" s="1761">
        <v>0</v>
      </c>
      <c r="JC66" s="1761">
        <v>0</v>
      </c>
      <c r="JD66" s="1761">
        <v>0</v>
      </c>
      <c r="JE66" s="1761">
        <v>0</v>
      </c>
      <c r="JF66" s="1761">
        <v>0</v>
      </c>
      <c r="JG66" s="1761">
        <v>0</v>
      </c>
      <c r="JH66" s="1761">
        <v>0</v>
      </c>
      <c r="JI66" s="1761">
        <v>0</v>
      </c>
      <c r="JJ66" s="1761">
        <v>0</v>
      </c>
      <c r="JK66" s="1761">
        <v>0</v>
      </c>
      <c r="JL66" s="1761">
        <v>0</v>
      </c>
      <c r="JM66" s="1761">
        <v>0</v>
      </c>
      <c r="JN66" s="1761">
        <v>0</v>
      </c>
      <c r="JO66" s="1761">
        <v>0</v>
      </c>
      <c r="JP66" s="1761">
        <v>0</v>
      </c>
      <c r="JQ66" s="1761">
        <v>0</v>
      </c>
      <c r="JR66" s="1761">
        <v>0</v>
      </c>
      <c r="JS66" s="1761">
        <v>0</v>
      </c>
      <c r="JT66" s="1761">
        <v>0</v>
      </c>
      <c r="JU66" s="1761">
        <v>0</v>
      </c>
      <c r="JV66" s="1761">
        <v>0</v>
      </c>
      <c r="JW66" s="1761">
        <v>0</v>
      </c>
      <c r="JX66" s="1761">
        <v>0</v>
      </c>
      <c r="JY66" s="1761">
        <v>0</v>
      </c>
      <c r="JZ66" s="1761">
        <v>0</v>
      </c>
      <c r="KA66" s="1761">
        <v>0</v>
      </c>
      <c r="KB66" s="1761">
        <v>0</v>
      </c>
      <c r="KC66" s="1761">
        <v>0</v>
      </c>
      <c r="KD66" s="1761">
        <v>0</v>
      </c>
      <c r="KE66" s="1761">
        <v>0</v>
      </c>
      <c r="KF66" s="1761">
        <v>0</v>
      </c>
      <c r="KG66" s="1761">
        <v>0</v>
      </c>
      <c r="KH66" s="1761">
        <v>0</v>
      </c>
      <c r="KI66" s="1761">
        <v>0</v>
      </c>
      <c r="KJ66" s="1761">
        <v>0</v>
      </c>
      <c r="KK66" s="1761">
        <v>0</v>
      </c>
      <c r="KL66" s="1761">
        <v>0</v>
      </c>
      <c r="KM66" s="1761">
        <v>0</v>
      </c>
      <c r="KN66" s="1761">
        <v>0</v>
      </c>
      <c r="KO66" s="1761">
        <v>0</v>
      </c>
      <c r="KP66" s="1761">
        <v>0</v>
      </c>
      <c r="KQ66" s="1736">
        <f>+IFERROR(VLOOKUP(KQ$27&amp;"-"&amp;$M66&amp;"_new",Ammortamento_Finanziario!$H:$L,5,FALSE),VLOOKUP($M66,TT_Tabelle_Riferimento!$D$127:$H$164,5,FALSE))</f>
        <v>30</v>
      </c>
      <c r="KR66" s="1736">
        <f>+IFERROR(VLOOKUP(KR$27&amp;"-"&amp;$M66&amp;"_new",Ammortamento_Finanziario!$H:$L,5,FALSE),VLOOKUP($M66,TT_Tabelle_Riferimento!$D$127:$H$164,5,FALSE))</f>
        <v>30</v>
      </c>
      <c r="KS66" s="1764">
        <f>+IFERROR(VLOOKUP(KS$27&amp;"-"&amp;$M66&amp;"_new",Ammortamento_Finanziario!$H:$L,5,FALSE),VLOOKUP($M66,TT_Tabelle_Riferimento!$D$127:$H$164,5,FALSE))</f>
        <v>30</v>
      </c>
      <c r="KT66" s="1764">
        <f>+IFERROR(VLOOKUP(KT$27&amp;"-"&amp;$M66&amp;"_new",Ammortamento_Finanziario!$H:$L,5,FALSE),VLOOKUP($M66,TT_Tabelle_Riferimento!$D$127:$H$164,5,FALSE))</f>
        <v>30</v>
      </c>
      <c r="KU66" s="1764">
        <f>+IFERROR(VLOOKUP(KU$27&amp;"-"&amp;$M66&amp;"_new",Ammortamento_Finanziario!$H:$L,5,FALSE),VLOOKUP($M66,TT_Tabelle_Riferimento!$D$127:$H$164,5,FALSE))</f>
        <v>30</v>
      </c>
      <c r="KV66" s="1764">
        <f>+IFERROR(VLOOKUP(KV$27&amp;"-"&amp;$M66&amp;"_new",Ammortamento_Finanziario!$H:$L,5,FALSE),VLOOKUP($M66,TT_Tabelle_Riferimento!$D$127:$H$164,5,FALSE))</f>
        <v>30</v>
      </c>
      <c r="KW66" s="1764">
        <f>+IFERROR(VLOOKUP(KW$27&amp;"-"&amp;$M66&amp;"_new",Ammortamento_Finanziario!$H:$L,5,FALSE),VLOOKUP($M66,TT_Tabelle_Riferimento!$D$127:$H$164,5,FALSE))</f>
        <v>30</v>
      </c>
      <c r="KX66" s="1764">
        <f>+IFERROR(VLOOKUP(KX$27&amp;"-"&amp;$M66&amp;"_new",Ammortamento_Finanziario!$H:$L,5,FALSE),VLOOKUP($M66,TT_Tabelle_Riferimento!$D$127:$H$164,5,FALSE))</f>
        <v>30</v>
      </c>
      <c r="KY66" s="1736">
        <f>+IFERROR(VLOOKUP(KY$27&amp;"-"&amp;$M66&amp;"_new",Ammortamento_Finanziario!$H:$L,5,FALSE),VLOOKUP($M66,TT_Tabelle_Riferimento!$D$127:$H$164,5,FALSE))</f>
        <v>30</v>
      </c>
      <c r="KZ66" s="1736">
        <f>+IFERROR(VLOOKUP(KZ$27&amp;"-"&amp;$M66&amp;"_new",Ammortamento_Finanziario!$H:$L,5,FALSE),VLOOKUP($M66,TT_Tabelle_Riferimento!$D$127:$H$164,5,FALSE))</f>
        <v>30</v>
      </c>
      <c r="LA66" s="1736">
        <f>+IFERROR(VLOOKUP(LA$27&amp;"-"&amp;$M66&amp;"_new",Ammortamento_Finanziario!$H:$L,5,FALSE),VLOOKUP($M66,TT_Tabelle_Riferimento!$D$127:$H$164,5,FALSE))</f>
        <v>30</v>
      </c>
      <c r="LB66" s="1736">
        <f>+IFERROR(VLOOKUP(LB$27&amp;"-"&amp;$M66&amp;"_new",Ammortamento_Finanziario!$H:$L,5,FALSE),VLOOKUP($M66,TT_Tabelle_Riferimento!$D$127:$H$164,5,FALSE))</f>
        <v>30</v>
      </c>
      <c r="LC66" s="1736">
        <f>+IFERROR(VLOOKUP(LC$27&amp;"-"&amp;$M66&amp;"_new",Ammortamento_Finanziario!$H:$L,5,FALSE),VLOOKUP($M66,TT_Tabelle_Riferimento!$D$127:$H$164,5,FALSE))</f>
        <v>30</v>
      </c>
      <c r="LD66" s="1736">
        <f>+IFERROR(VLOOKUP(LD$27&amp;"-"&amp;$M66&amp;"_new",Ammortamento_Finanziario!$H:$L,5,FALSE),VLOOKUP($M66,TT_Tabelle_Riferimento!$D$127:$H$164,5,FALSE))</f>
        <v>30</v>
      </c>
      <c r="LE66" s="1736">
        <f>+IFERROR(VLOOKUP(LE$27&amp;"-"&amp;$M66&amp;"_new",Ammortamento_Finanziario!$H:$L,5,FALSE),VLOOKUP($M66,TT_Tabelle_Riferimento!$D$127:$H$164,5,FALSE))</f>
        <v>30</v>
      </c>
      <c r="LF66" s="1736">
        <f>+IFERROR(VLOOKUP(LF$27&amp;"-"&amp;$M66&amp;"_new",Ammortamento_Finanziario!$H:$L,5,FALSE),VLOOKUP($M66,TT_Tabelle_Riferimento!$D$127:$H$164,5,FALSE))</f>
        <v>30</v>
      </c>
      <c r="LG66" s="1736">
        <f>+IFERROR(VLOOKUP(LG$27&amp;"-"&amp;$M66&amp;"_new",Ammortamento_Finanziario!$H:$L,5,FALSE),VLOOKUP($M66,TT_Tabelle_Riferimento!$D$127:$H$164,5,FALSE))</f>
        <v>30</v>
      </c>
      <c r="LH66" s="1736">
        <f>+IFERROR(VLOOKUP(LH$27&amp;"-"&amp;$M66&amp;"_new",Ammortamento_Finanziario!$H:$L,5,FALSE),VLOOKUP($M66,TT_Tabelle_Riferimento!$D$127:$H$164,5,FALSE))</f>
        <v>30</v>
      </c>
      <c r="LI66" s="1736">
        <f>+IFERROR(VLOOKUP(LI$27&amp;"-"&amp;$M66&amp;"_new",Ammortamento_Finanziario!$H:$L,5,FALSE),VLOOKUP($M66,TT_Tabelle_Riferimento!$D$127:$H$164,5,FALSE))</f>
        <v>30</v>
      </c>
      <c r="LJ66" s="1736">
        <f>+IFERROR(VLOOKUP(LJ$27&amp;"-"&amp;$M66&amp;"_new",Ammortamento_Finanziario!$H:$L,5,FALSE),VLOOKUP($M66,TT_Tabelle_Riferimento!$D$127:$H$164,5,FALSE))</f>
        <v>30</v>
      </c>
      <c r="LK66" s="1736">
        <f>+IFERROR(VLOOKUP(LK$27&amp;"-"&amp;$M66&amp;"_new",Ammortamento_Finanziario!$H:$L,5,FALSE),VLOOKUP($M66,TT_Tabelle_Riferimento!$D$127:$H$164,5,FALSE))</f>
        <v>30</v>
      </c>
      <c r="LL66" s="1736">
        <f>+IFERROR(VLOOKUP(LL$27&amp;"-"&amp;$M66&amp;"_new",Ammortamento_Finanziario!$H:$L,5,FALSE),VLOOKUP($M66,TT_Tabelle_Riferimento!$D$127:$H$164,5,FALSE))</f>
        <v>30</v>
      </c>
      <c r="LM66" s="1736">
        <f>+IFERROR(VLOOKUP(LM$27&amp;"-"&amp;$M66&amp;"_new",Ammortamento_Finanziario!$H:$L,5,FALSE),VLOOKUP($M66,TT_Tabelle_Riferimento!$D$127:$H$164,5,FALSE))</f>
        <v>30</v>
      </c>
      <c r="LN66" s="1736">
        <f>+IFERROR(VLOOKUP(LN$27&amp;"-"&amp;$M66&amp;"_new",Ammortamento_Finanziario!$H:$L,5,FALSE),VLOOKUP($M66,TT_Tabelle_Riferimento!$D$127:$H$164,5,FALSE))</f>
        <v>30</v>
      </c>
      <c r="LO66" s="1736">
        <f>+IFERROR(VLOOKUP(LO$27&amp;"-"&amp;$M66&amp;"_new",Ammortamento_Finanziario!$H:$L,5,FALSE),VLOOKUP($M66,TT_Tabelle_Riferimento!$D$127:$H$164,5,FALSE))</f>
        <v>30</v>
      </c>
      <c r="LP66" s="1736">
        <f>+IFERROR(VLOOKUP(LP$27&amp;"-"&amp;$M66&amp;"_new",Ammortamento_Finanziario!$H:$L,5,FALSE),VLOOKUP($M66,TT_Tabelle_Riferimento!$D$127:$H$164,5,FALSE))</f>
        <v>30</v>
      </c>
      <c r="LQ66" s="1736">
        <f>+IFERROR(VLOOKUP(LQ$27&amp;"-"&amp;$M66&amp;"_new",Ammortamento_Finanziario!$H:$L,5,FALSE),VLOOKUP($M66,TT_Tabelle_Riferimento!$D$127:$H$164,5,FALSE))</f>
        <v>30</v>
      </c>
      <c r="LR66" s="1736">
        <f>+IFERROR(VLOOKUP(LR$27&amp;"-"&amp;$M66&amp;"_new",Ammortamento_Finanziario!$H:$L,5,FALSE),VLOOKUP($M66,TT_Tabelle_Riferimento!$D$127:$H$164,5,FALSE))</f>
        <v>30</v>
      </c>
      <c r="LS66" s="1764">
        <f>+IFERROR(VLOOKUP(LS$27&amp;"-"&amp;$M66&amp;"_new",Ammortamento_Finanziario!$H:$L,5,FALSE),VLOOKUP($M66,TT_Tabelle_Riferimento!$D$127:$H$164,5,FALSE))</f>
        <v>30</v>
      </c>
      <c r="LT66" s="1764">
        <f>+IFERROR(VLOOKUP(LT$27&amp;"-"&amp;$M66&amp;"_new",Ammortamento_Finanziario!$H:$L,5,FALSE),VLOOKUP($M66,TT_Tabelle_Riferimento!$D$127:$H$164,5,FALSE))</f>
        <v>30</v>
      </c>
      <c r="LU66" s="1764">
        <f>+IFERROR(VLOOKUP(LU$27&amp;"-"&amp;$M66&amp;"_new",Ammortamento_Finanziario!$H:$L,5,FALSE),VLOOKUP($M66,TT_Tabelle_Riferimento!$D$127:$H$164,5,FALSE))</f>
        <v>30</v>
      </c>
      <c r="LV66" s="1764">
        <f>+IFERROR(VLOOKUP(LV$27&amp;"-"&amp;$M66&amp;"_new",Ammortamento_Finanziario!$H:$L,5,FALSE),VLOOKUP($M66,TT_Tabelle_Riferimento!$D$127:$H$164,5,FALSE))</f>
        <v>30</v>
      </c>
      <c r="LW66" s="1764">
        <f>+IFERROR(VLOOKUP(LW$27&amp;"-"&amp;$M66&amp;"_new",Ammortamento_Finanziario!$H:$L,5,FALSE),VLOOKUP($M66,TT_Tabelle_Riferimento!$D$127:$H$164,5,FALSE))</f>
        <v>30</v>
      </c>
      <c r="LX66" s="1764">
        <f>+IFERROR(VLOOKUP(LX$27&amp;"-"&amp;$M66&amp;"_new",Ammortamento_Finanziario!$H:$L,5,FALSE),VLOOKUP($M66,TT_Tabelle_Riferimento!$D$127:$H$164,5,FALSE))</f>
        <v>30</v>
      </c>
      <c r="LY66" s="1736">
        <f>+IFERROR(VLOOKUP(LY$27&amp;"-"&amp;$M66&amp;"_new",Ammortamento_Finanziario!$H:$L,5,FALSE),VLOOKUP($M66,TT_Tabelle_Riferimento!$D$127:$H$164,5,FALSE))</f>
        <v>30</v>
      </c>
      <c r="LZ66" s="1736">
        <f>+IFERROR(VLOOKUP(LZ$27&amp;"-"&amp;$M66&amp;"_new",Ammortamento_Finanziario!$H:$L,5,FALSE),VLOOKUP($M66,TT_Tabelle_Riferimento!$D$127:$H$164,5,FALSE))</f>
        <v>30</v>
      </c>
      <c r="MA66" s="1736">
        <f>+IFERROR(VLOOKUP(MA$27&amp;"-"&amp;$M66&amp;"_new",Ammortamento_Finanziario!$H:$L,5,FALSE),VLOOKUP($M66,TT_Tabelle_Riferimento!$D$127:$H$164,5,FALSE))</f>
        <v>30</v>
      </c>
      <c r="MB66" s="1736">
        <f>+IFERROR(VLOOKUP(MB$27&amp;"-"&amp;$M66&amp;"_new",Ammortamento_Finanziario!$H:$L,5,FALSE),VLOOKUP($M66,TT_Tabelle_Riferimento!$D$127:$H$164,5,FALSE))</f>
        <v>30</v>
      </c>
      <c r="MC66" s="1736">
        <f>+IFERROR(VLOOKUP(MC$27&amp;"-"&amp;$M66&amp;"_new",Ammortamento_Finanziario!$H:$L,5,FALSE),VLOOKUP($M66,TT_Tabelle_Riferimento!$D$127:$H$164,5,FALSE))</f>
        <v>30</v>
      </c>
      <c r="MD66" s="1736">
        <f>+IFERROR(VLOOKUP(MD$27&amp;"-"&amp;$M66&amp;"_new",Ammortamento_Finanziario!$H:$L,5,FALSE),VLOOKUP($M66,TT_Tabelle_Riferimento!$D$127:$H$164,5,FALSE))</f>
        <v>30</v>
      </c>
      <c r="ME66" s="1736">
        <f>+IFERROR(VLOOKUP(ME$27&amp;"-"&amp;$M66&amp;"_new",Ammortamento_Finanziario!$H:$L,5,FALSE),VLOOKUP($M66,TT_Tabelle_Riferimento!$D$127:$H$164,5,FALSE))</f>
        <v>30</v>
      </c>
      <c r="MF66" s="1736">
        <f>+IFERROR(VLOOKUP(MF$27&amp;"-"&amp;$M66&amp;"_new",Ammortamento_Finanziario!$H:$L,5,FALSE),VLOOKUP($M66,TT_Tabelle_Riferimento!$D$127:$H$164,5,FALSE))</f>
        <v>30</v>
      </c>
      <c r="MG66" s="1736">
        <f>+IFERROR(VLOOKUP(MG$27&amp;"-"&amp;$M66&amp;"_new",Ammortamento_Finanziario!$H:$L,5,FALSE),VLOOKUP($M66,TT_Tabelle_Riferimento!$D$127:$H$164,5,FALSE))</f>
        <v>30</v>
      </c>
      <c r="MH66" s="1736">
        <f>+IFERROR(VLOOKUP(MH$27&amp;"-"&amp;$M66&amp;"_new",Ammortamento_Finanziario!$H:$L,5,FALSE),VLOOKUP($M66,TT_Tabelle_Riferimento!$D$127:$H$164,5,FALSE))</f>
        <v>30</v>
      </c>
      <c r="MI66" s="1736">
        <f>+IFERROR(VLOOKUP(MI$27&amp;"-"&amp;$M66&amp;"_new",Ammortamento_Finanziario!$H:$L,5,FALSE),VLOOKUP($M66,TT_Tabelle_Riferimento!$D$127:$H$164,5,FALSE))</f>
        <v>30</v>
      </c>
      <c r="MJ66" s="1736">
        <f>+IFERROR(VLOOKUP(MJ$27&amp;"-"&amp;$M66&amp;"_new",Ammortamento_Finanziario!$H:$L,5,FALSE),VLOOKUP($M66,TT_Tabelle_Riferimento!$D$127:$H$164,5,FALSE))</f>
        <v>30</v>
      </c>
      <c r="MK66" s="1736">
        <f>+IFERROR(VLOOKUP(MK$27&amp;"-"&amp;$M66&amp;"_new",Ammortamento_Finanziario!$H:$L,5,FALSE),VLOOKUP($M66,TT_Tabelle_Riferimento!$D$127:$H$164,5,FALSE))</f>
        <v>30</v>
      </c>
      <c r="ML66" s="1736">
        <f>+IFERROR(VLOOKUP(ML$27&amp;"-"&amp;$M66&amp;"_new",Ammortamento_Finanziario!$H:$L,5,FALSE),VLOOKUP($M66,TT_Tabelle_Riferimento!$D$127:$H$164,5,FALSE))</f>
        <v>30</v>
      </c>
      <c r="MM66" s="1736">
        <f>+IFERROR(VLOOKUP(MM$27&amp;"-"&amp;$M66&amp;"_new",Ammortamento_Finanziario!$H:$L,5,FALSE),VLOOKUP($M66,TT_Tabelle_Riferimento!$D$127:$H$164,5,FALSE))</f>
        <v>30</v>
      </c>
      <c r="MN66" s="1736">
        <f>+IFERROR(VLOOKUP(MN$27&amp;"-"&amp;$M66&amp;"_new",Ammortamento_Finanziario!$H:$L,5,FALSE),VLOOKUP($M66,TT_Tabelle_Riferimento!$D$127:$H$164,5,FALSE))</f>
        <v>30</v>
      </c>
      <c r="MO66" s="1736">
        <f>+IFERROR(VLOOKUP(MO$27&amp;"-"&amp;$M66&amp;"_new",Ammortamento_Finanziario!$H:$L,5,FALSE),VLOOKUP($M66,TT_Tabelle_Riferimento!$D$127:$H$164,5,FALSE))</f>
        <v>30</v>
      </c>
      <c r="MP66" s="1736">
        <f>+IFERROR(VLOOKUP(MP$27&amp;"-"&amp;$M66&amp;"_new",Ammortamento_Finanziario!$H:$L,5,FALSE),VLOOKUP($M66,TT_Tabelle_Riferimento!$D$127:$H$164,5,FALSE))</f>
        <v>30</v>
      </c>
      <c r="MQ66" s="1736">
        <f>+IFERROR(VLOOKUP(MQ$27&amp;"-"&amp;$M66&amp;"_new",Ammortamento_Finanziario!$H:$L,5,FALSE),VLOOKUP($M66,TT_Tabelle_Riferimento!$D$127:$H$164,5,FALSE))</f>
        <v>30</v>
      </c>
      <c r="MR66" s="1764">
        <f>+IFERROR(VLOOKUP(MR$27&amp;"-"&amp;$M66&amp;"_new",Ammortamento_Finanziario!$H:$L,5,FALSE),VLOOKUP($M66,TT_Tabelle_Riferimento!$D$127:$H$164,5,FALSE))</f>
        <v>30</v>
      </c>
      <c r="MS66" s="1764">
        <f>+IFERROR(VLOOKUP(MS$27&amp;"-"&amp;$M66&amp;"_new",Ammortamento_Finanziario!$H:$L,5,FALSE),VLOOKUP($M66,TT_Tabelle_Riferimento!$D$127:$H$164,5,FALSE))</f>
        <v>30</v>
      </c>
      <c r="MT66" s="1764">
        <f>+IFERROR(VLOOKUP(MT$27&amp;"-"&amp;$M66&amp;"_new",Ammortamento_Finanziario!$H:$L,5,FALSE),VLOOKUP($M66,TT_Tabelle_Riferimento!$D$127:$H$164,5,FALSE))</f>
        <v>30</v>
      </c>
      <c r="MU66" s="1764">
        <f>+IFERROR(VLOOKUP(MU$27&amp;"-"&amp;$M66&amp;"_new",Ammortamento_Finanziario!$H:$L,5,FALSE),VLOOKUP($M66,TT_Tabelle_Riferimento!$D$127:$H$164,5,FALSE))</f>
        <v>30</v>
      </c>
      <c r="MV66" s="1764">
        <f>+IFERROR(VLOOKUP(MV$27&amp;"-"&amp;$M66&amp;"_new",Ammortamento_Finanziario!$H:$L,5,FALSE),VLOOKUP($M66,TT_Tabelle_Riferimento!$D$127:$H$164,5,FALSE))</f>
        <v>30</v>
      </c>
      <c r="MW66" s="1764">
        <f>+IFERROR(VLOOKUP(MW$27&amp;"-"&amp;$M66&amp;"_new",Ammortamento_Finanziario!$H:$L,5,FALSE),VLOOKUP($M66,TT_Tabelle_Riferimento!$D$127:$H$164,5,FALSE))</f>
        <v>30</v>
      </c>
      <c r="MX66" s="1736">
        <f>+IFERROR(VLOOKUP(MX$27&amp;"-"&amp;$M66&amp;"_new",Ammortamento_Finanziario!$H:$L,5,FALSE),VLOOKUP($M66,TT_Tabelle_Riferimento!$D$127:$H$164,5,FALSE))</f>
        <v>30</v>
      </c>
      <c r="MY66" s="1736">
        <f>+IFERROR(VLOOKUP(MY$27&amp;"-"&amp;$M66&amp;"_new",Ammortamento_Finanziario!$H:$L,5,FALSE),VLOOKUP($M66,TT_Tabelle_Riferimento!$D$127:$H$164,5,FALSE))</f>
        <v>30</v>
      </c>
      <c r="MZ66" s="1736">
        <f>+IFERROR(VLOOKUP(MZ$27&amp;"-"&amp;$M66&amp;"_new",Ammortamento_Finanziario!$H:$L,5,FALSE),VLOOKUP($M66,TT_Tabelle_Riferimento!$D$127:$H$164,5,FALSE))</f>
        <v>30</v>
      </c>
      <c r="NA66" s="1736">
        <f>+IFERROR(VLOOKUP(NA$27&amp;"-"&amp;$M66&amp;"_new",Ammortamento_Finanziario!$H:$L,5,FALSE),VLOOKUP($M66,TT_Tabelle_Riferimento!$D$127:$H$164,5,FALSE))</f>
        <v>30</v>
      </c>
      <c r="NB66" s="1736">
        <f>+IFERROR(VLOOKUP(NB$27&amp;"-"&amp;$M66&amp;"_new",Ammortamento_Finanziario!$H:$L,5,FALSE),VLOOKUP($M66,TT_Tabelle_Riferimento!$D$127:$H$164,5,FALSE))</f>
        <v>30</v>
      </c>
      <c r="NC66" s="1736">
        <f>+IFERROR(VLOOKUP(NC$27&amp;"-"&amp;$M66&amp;"_new",Ammortamento_Finanziario!$H:$L,5,FALSE),VLOOKUP($M66,TT_Tabelle_Riferimento!$D$127:$H$164,5,FALSE))</f>
        <v>30</v>
      </c>
      <c r="ND66" s="1736">
        <f>+IFERROR(VLOOKUP(ND$27&amp;"-"&amp;$M66&amp;"_new",Ammortamento_Finanziario!$H:$L,5,FALSE),VLOOKUP($M66,TT_Tabelle_Riferimento!$D$127:$H$164,5,FALSE))</f>
        <v>30</v>
      </c>
      <c r="NE66" s="1736">
        <f>+IFERROR(VLOOKUP(NE$27&amp;"-"&amp;$M66&amp;"_new",Ammortamento_Finanziario!$H:$L,5,FALSE),VLOOKUP($M66,TT_Tabelle_Riferimento!$D$127:$H$164,5,FALSE))</f>
        <v>30</v>
      </c>
      <c r="NF66" s="1736">
        <f>+IFERROR(VLOOKUP(NF$27&amp;"-"&amp;$M66&amp;"_new",Ammortamento_Finanziario!$H:$L,5,FALSE),VLOOKUP($M66,TT_Tabelle_Riferimento!$D$127:$H$164,5,FALSE))</f>
        <v>30</v>
      </c>
      <c r="NG66" s="1736">
        <f>+IFERROR(VLOOKUP(NG$27&amp;"-"&amp;$M66&amp;"_new",Ammortamento_Finanziario!$H:$L,5,FALSE),VLOOKUP($M66,TT_Tabelle_Riferimento!$D$127:$H$164,5,FALSE))</f>
        <v>30</v>
      </c>
      <c r="NH66" s="1736">
        <f>+IFERROR(VLOOKUP(NH$27&amp;"-"&amp;$M66&amp;"_new",Ammortamento_Finanziario!$H:$L,5,FALSE),VLOOKUP($M66,TT_Tabelle_Riferimento!$D$127:$H$164,5,FALSE))</f>
        <v>30</v>
      </c>
      <c r="NI66" s="1736">
        <f>+IFERROR(VLOOKUP(NI$27&amp;"-"&amp;$M66&amp;"_new",Ammortamento_Finanziario!$H:$L,5,FALSE),VLOOKUP($M66,TT_Tabelle_Riferimento!$D$127:$H$164,5,FALSE))</f>
        <v>30</v>
      </c>
      <c r="NJ66" s="1736">
        <f>+IFERROR(VLOOKUP(NJ$27&amp;"-"&amp;$M66&amp;"_new",Ammortamento_Finanziario!$H:$L,5,FALSE),VLOOKUP($M66,TT_Tabelle_Riferimento!$D$127:$H$164,5,FALSE))</f>
        <v>30</v>
      </c>
      <c r="NK66" s="1736">
        <f>+IFERROR(VLOOKUP(NK$27&amp;"-"&amp;$M66&amp;"_new",Ammortamento_Finanziario!$H:$L,5,FALSE),VLOOKUP($M66,TT_Tabelle_Riferimento!$D$127:$H$164,5,FALSE))</f>
        <v>30</v>
      </c>
      <c r="NL66" s="1736">
        <f>+IFERROR(VLOOKUP(NL$27&amp;"-"&amp;$M66&amp;"_new",Ammortamento_Finanziario!$H:$L,5,FALSE),VLOOKUP($M66,TT_Tabelle_Riferimento!$D$127:$H$164,5,FALSE))</f>
        <v>30</v>
      </c>
      <c r="NM66" s="1736">
        <f>+IFERROR(VLOOKUP(NM$27&amp;"-"&amp;$M66&amp;"_new",Ammortamento_Finanziario!$H:$L,5,FALSE),VLOOKUP($M66,TT_Tabelle_Riferimento!$D$127:$H$164,5,FALSE))</f>
        <v>30</v>
      </c>
      <c r="NN66" s="1736">
        <f>+IFERROR(VLOOKUP(NN$27&amp;"-"&amp;$M66&amp;"_new",Ammortamento_Finanziario!$H:$L,5,FALSE),VLOOKUP($M66,TT_Tabelle_Riferimento!$D$127:$H$164,5,FALSE))</f>
        <v>30</v>
      </c>
      <c r="NO66" s="1736">
        <f>+IFERROR(VLOOKUP(NO$27&amp;"-"&amp;$M66&amp;"_new",Ammortamento_Finanziario!$H:$L,5,FALSE),VLOOKUP($M66,TT_Tabelle_Riferimento!$D$127:$H$164,5,FALSE))</f>
        <v>30</v>
      </c>
      <c r="NP66" s="1736">
        <f>+IFERROR(VLOOKUP(NP$27&amp;"-"&amp;$M66&amp;"_new",Ammortamento_Finanziario!$H:$L,5,FALSE),VLOOKUP($M66,TT_Tabelle_Riferimento!$D$127:$H$164,5,FALSE))</f>
        <v>30</v>
      </c>
      <c r="NQ66" s="1764">
        <f>+IFERROR(VLOOKUP(NQ$27&amp;"-"&amp;$M66&amp;"_new",Ammortamento_Finanziario!$H:$L,5,FALSE),VLOOKUP($M66,TT_Tabelle_Riferimento!$D$127:$H$164,5,FALSE))</f>
        <v>30</v>
      </c>
      <c r="NR66" s="1764">
        <f>+IFERROR(VLOOKUP(NR$27&amp;"-"&amp;$M66&amp;"_new",Ammortamento_Finanziario!$H:$L,5,FALSE),VLOOKUP($M66,TT_Tabelle_Riferimento!$D$127:$H$164,5,FALSE))</f>
        <v>30</v>
      </c>
      <c r="NS66" s="1764">
        <f>+IFERROR(VLOOKUP(NS$27&amp;"-"&amp;$M66&amp;"_new",Ammortamento_Finanziario!$H:$L,5,FALSE),VLOOKUP($M66,TT_Tabelle_Riferimento!$D$127:$H$164,5,FALSE))</f>
        <v>30</v>
      </c>
      <c r="NT66" s="1764">
        <f>+IFERROR(VLOOKUP(NT$27&amp;"-"&amp;$M66&amp;"_new",Ammortamento_Finanziario!$H:$L,5,FALSE),VLOOKUP($M66,TT_Tabelle_Riferimento!$D$127:$H$164,5,FALSE))</f>
        <v>30</v>
      </c>
      <c r="NU66" s="1764">
        <f>+IFERROR(VLOOKUP(NU$27&amp;"-"&amp;$M66&amp;"_new",Ammortamento_Finanziario!$H:$L,5,FALSE),VLOOKUP($M66,TT_Tabelle_Riferimento!$D$127:$H$164,5,FALSE))</f>
        <v>30</v>
      </c>
      <c r="NV66" s="1736">
        <f>+IFERROR(VLOOKUP(NV$27&amp;"-"&amp;$M66&amp;"_new",Ammortamento_Finanziario!$H:$L,5,FALSE),VLOOKUP($M66,TT_Tabelle_Riferimento!$D$127:$H$164,5,FALSE))</f>
        <v>30</v>
      </c>
      <c r="NW66" s="1736">
        <f>+IFERROR(VLOOKUP(NW$27&amp;"-"&amp;$M66&amp;"_new",Ammortamento_Finanziario!$H:$L,5,FALSE),VLOOKUP($M66,TT_Tabelle_Riferimento!$D$127:$H$164,5,FALSE))</f>
        <v>30</v>
      </c>
      <c r="NX66" s="1736">
        <f>+IFERROR(VLOOKUP(NX$27&amp;"-"&amp;$M66&amp;"_new",Ammortamento_Finanziario!$H:$L,5,FALSE),VLOOKUP($M66,TT_Tabelle_Riferimento!$D$127:$H$164,5,FALSE))</f>
        <v>30</v>
      </c>
      <c r="NY66" s="1736">
        <f>+IFERROR(VLOOKUP(NY$27&amp;"-"&amp;$M66&amp;"_new",Ammortamento_Finanziario!$H:$L,5,FALSE),VLOOKUP($M66,TT_Tabelle_Riferimento!$D$127:$H$164,5,FALSE))</f>
        <v>30</v>
      </c>
      <c r="NZ66" s="1736">
        <f>+IFERROR(VLOOKUP(NZ$27&amp;"-"&amp;$M66&amp;"_new",Ammortamento_Finanziario!$H:$L,5,FALSE),VLOOKUP($M66,TT_Tabelle_Riferimento!$D$127:$H$164,5,FALSE))</f>
        <v>30</v>
      </c>
      <c r="OA66" s="1736">
        <f>+IFERROR(VLOOKUP(OA$27&amp;"-"&amp;$M66&amp;"_new",Ammortamento_Finanziario!$H:$L,5,FALSE),VLOOKUP($M66,TT_Tabelle_Riferimento!$D$127:$H$164,5,FALSE))</f>
        <v>30</v>
      </c>
      <c r="OB66" s="1736">
        <f>+IFERROR(VLOOKUP(OB$27&amp;"-"&amp;$M66&amp;"_new",Ammortamento_Finanziario!$H:$L,5,FALSE),VLOOKUP($M66,TT_Tabelle_Riferimento!$D$127:$H$164,5,FALSE))</f>
        <v>30</v>
      </c>
      <c r="OC66" s="1736">
        <f>+IFERROR(VLOOKUP(OC$27&amp;"-"&amp;$M66&amp;"_new",Ammortamento_Finanziario!$H:$L,5,FALSE),VLOOKUP($M66,TT_Tabelle_Riferimento!$D$127:$H$164,5,FALSE))</f>
        <v>30</v>
      </c>
      <c r="OD66" s="1736">
        <f>+IFERROR(VLOOKUP(OD$27&amp;"-"&amp;$M66&amp;"_new",Ammortamento_Finanziario!$H:$L,5,FALSE),VLOOKUP($M66,TT_Tabelle_Riferimento!$D$127:$H$164,5,FALSE))</f>
        <v>30</v>
      </c>
      <c r="OE66" s="1736">
        <f>+IFERROR(VLOOKUP(OE$27&amp;"-"&amp;$M66&amp;"_new",Ammortamento_Finanziario!$H:$L,5,FALSE),VLOOKUP($M66,TT_Tabelle_Riferimento!$D$127:$H$164,5,FALSE))</f>
        <v>30</v>
      </c>
      <c r="OF66" s="1736">
        <f>+IFERROR(VLOOKUP(OF$27&amp;"-"&amp;$M66&amp;"_new",Ammortamento_Finanziario!$H:$L,5,FALSE),VLOOKUP($M66,TT_Tabelle_Riferimento!$D$127:$H$164,5,FALSE))</f>
        <v>30</v>
      </c>
      <c r="OG66" s="1736">
        <f>+IFERROR(VLOOKUP(OG$27&amp;"-"&amp;$M66&amp;"_new",Ammortamento_Finanziario!$H:$L,5,FALSE),VLOOKUP($M66,TT_Tabelle_Riferimento!$D$127:$H$164,5,FALSE))</f>
        <v>30</v>
      </c>
      <c r="OH66" s="1736">
        <f>+IFERROR(VLOOKUP(OH$27&amp;"-"&amp;$M66&amp;"_new",Ammortamento_Finanziario!$H:$L,5,FALSE),VLOOKUP($M66,TT_Tabelle_Riferimento!$D$127:$H$164,5,FALSE))</f>
        <v>30</v>
      </c>
      <c r="OI66" s="1736">
        <f>+IFERROR(VLOOKUP(OI$27&amp;"-"&amp;$M66&amp;"_new",Ammortamento_Finanziario!$H:$L,5,FALSE),VLOOKUP($M66,TT_Tabelle_Riferimento!$D$127:$H$164,5,FALSE))</f>
        <v>30</v>
      </c>
      <c r="OJ66" s="1736">
        <f>+IFERROR(VLOOKUP(OJ$27&amp;"-"&amp;$M66&amp;"_new",Ammortamento_Finanziario!$H:$L,5,FALSE),VLOOKUP($M66,TT_Tabelle_Riferimento!$D$127:$H$164,5,FALSE))</f>
        <v>30</v>
      </c>
      <c r="OK66" s="1736">
        <f>+IFERROR(VLOOKUP(OK$27&amp;"-"&amp;$M66&amp;"_new",Ammortamento_Finanziario!$H:$L,5,FALSE),VLOOKUP($M66,TT_Tabelle_Riferimento!$D$127:$H$164,5,FALSE))</f>
        <v>30</v>
      </c>
      <c r="OL66" s="1736">
        <f>+IFERROR(VLOOKUP(OL$27&amp;"-"&amp;$M66&amp;"_new",Ammortamento_Finanziario!$H:$L,5,FALSE),VLOOKUP($M66,TT_Tabelle_Riferimento!$D$127:$H$164,5,FALSE))</f>
        <v>30</v>
      </c>
      <c r="OM66" s="1736">
        <f>+IFERROR(VLOOKUP(OM$27&amp;"-"&amp;$M66&amp;"_new",Ammortamento_Finanziario!$H:$L,5,FALSE),VLOOKUP($M66,TT_Tabelle_Riferimento!$D$127:$H$164,5,FALSE))</f>
        <v>30</v>
      </c>
      <c r="ON66" s="1736">
        <f>+IFERROR(VLOOKUP(ON$27&amp;"-"&amp;$M66&amp;"_new",Ammortamento_Finanziario!$H:$L,5,FALSE),VLOOKUP($M66,TT_Tabelle_Riferimento!$D$127:$H$164,5,FALSE))</f>
        <v>30</v>
      </c>
      <c r="OO66" s="1764">
        <f>+IFERROR(VLOOKUP(OO$27&amp;"-"&amp;$M66&amp;"_new",Ammortamento_Finanziario!$H:$L,5,FALSE),VLOOKUP($M66,TT_Tabelle_Riferimento!$D$127:$H$164,5,FALSE))</f>
        <v>30</v>
      </c>
      <c r="OP66" s="1764">
        <f>+IFERROR(VLOOKUP(OP$27&amp;"-"&amp;$M66&amp;"_new",Ammortamento_Finanziario!$H:$L,5,FALSE),VLOOKUP($M66,TT_Tabelle_Riferimento!$D$127:$H$164,5,FALSE))</f>
        <v>30</v>
      </c>
      <c r="OQ66" s="1764">
        <f>+IFERROR(VLOOKUP(OQ$27&amp;"-"&amp;$M66&amp;"_new",Ammortamento_Finanziario!$H:$L,5,FALSE),VLOOKUP($M66,TT_Tabelle_Riferimento!$D$127:$H$164,5,FALSE))</f>
        <v>30</v>
      </c>
      <c r="OR66" s="1764">
        <f>+IFERROR(VLOOKUP(OR$27&amp;"-"&amp;$M66&amp;"_new",Ammortamento_Finanziario!$H:$L,5,FALSE),VLOOKUP($M66,TT_Tabelle_Riferimento!$D$127:$H$164,5,FALSE))</f>
        <v>30</v>
      </c>
      <c r="OS66" s="1736">
        <f>+IFERROR(VLOOKUP(OS$27&amp;"-"&amp;$M66&amp;"_new",Ammortamento_Finanziario!$H:$L,5,FALSE),VLOOKUP($M66,TT_Tabelle_Riferimento!$D$127:$H$164,5,FALSE))</f>
        <v>30</v>
      </c>
      <c r="OT66" s="1736">
        <f>+IFERROR(VLOOKUP(OT$27&amp;"-"&amp;$M66&amp;"_new",Ammortamento_Finanziario!$H:$L,5,FALSE),VLOOKUP($M66,TT_Tabelle_Riferimento!$D$127:$H$164,5,FALSE))</f>
        <v>30</v>
      </c>
      <c r="OU66" s="1736">
        <f>+IFERROR(VLOOKUP(OU$27&amp;"-"&amp;$M66&amp;"_new",Ammortamento_Finanziario!$H:$L,5,FALSE),VLOOKUP($M66,TT_Tabelle_Riferimento!$D$127:$H$164,5,FALSE))</f>
        <v>30</v>
      </c>
      <c r="OV66" s="1736">
        <f>+IFERROR(VLOOKUP(OV$27&amp;"-"&amp;$M66&amp;"_new",Ammortamento_Finanziario!$H:$L,5,FALSE),VLOOKUP($M66,TT_Tabelle_Riferimento!$D$127:$H$164,5,FALSE))</f>
        <v>30</v>
      </c>
      <c r="OW66" s="1736">
        <f>+IFERROR(VLOOKUP(OW$27&amp;"-"&amp;$M66&amp;"_new",Ammortamento_Finanziario!$H:$L,5,FALSE),VLOOKUP($M66,TT_Tabelle_Riferimento!$D$127:$H$164,5,FALSE))</f>
        <v>30</v>
      </c>
      <c r="OX66" s="1736">
        <f>+IFERROR(VLOOKUP(OX$27&amp;"-"&amp;$M66&amp;"_new",Ammortamento_Finanziario!$H:$L,5,FALSE),VLOOKUP($M66,TT_Tabelle_Riferimento!$D$127:$H$164,5,FALSE))</f>
        <v>30</v>
      </c>
      <c r="OY66" s="1736">
        <f>+IFERROR(VLOOKUP(OY$27&amp;"-"&amp;$M66&amp;"_new",Ammortamento_Finanziario!$H:$L,5,FALSE),VLOOKUP($M66,TT_Tabelle_Riferimento!$D$127:$H$164,5,FALSE))</f>
        <v>30</v>
      </c>
      <c r="OZ66" s="1736">
        <f>+IFERROR(VLOOKUP(OZ$27&amp;"-"&amp;$M66&amp;"_new",Ammortamento_Finanziario!$H:$L,5,FALSE),VLOOKUP($M66,TT_Tabelle_Riferimento!$D$127:$H$164,5,FALSE))</f>
        <v>30</v>
      </c>
      <c r="PA66" s="1736">
        <f>+IFERROR(VLOOKUP(PA$27&amp;"-"&amp;$M66&amp;"_new",Ammortamento_Finanziario!$H:$L,5,FALSE),VLOOKUP($M66,TT_Tabelle_Riferimento!$D$127:$H$164,5,FALSE))</f>
        <v>30</v>
      </c>
      <c r="PB66" s="1736">
        <f>+IFERROR(VLOOKUP(PB$27&amp;"-"&amp;$M66&amp;"_new",Ammortamento_Finanziario!$H:$L,5,FALSE),VLOOKUP($M66,TT_Tabelle_Riferimento!$D$127:$H$164,5,FALSE))</f>
        <v>30</v>
      </c>
      <c r="PC66" s="1736">
        <f>+IFERROR(VLOOKUP(PC$27&amp;"-"&amp;$M66&amp;"_new",Ammortamento_Finanziario!$H:$L,5,FALSE),VLOOKUP($M66,TT_Tabelle_Riferimento!$D$127:$H$164,5,FALSE))</f>
        <v>30</v>
      </c>
      <c r="PD66" s="1736">
        <f>+IFERROR(VLOOKUP(PD$27&amp;"-"&amp;$M66&amp;"_new",Ammortamento_Finanziario!$H:$L,5,FALSE),VLOOKUP($M66,TT_Tabelle_Riferimento!$D$127:$H$164,5,FALSE))</f>
        <v>30</v>
      </c>
      <c r="PE66" s="1736">
        <f>+IFERROR(VLOOKUP(PE$27&amp;"-"&amp;$M66&amp;"_new",Ammortamento_Finanziario!$H:$L,5,FALSE),VLOOKUP($M66,TT_Tabelle_Riferimento!$D$127:$H$164,5,FALSE))</f>
        <v>30</v>
      </c>
      <c r="PF66" s="1736">
        <f>+IFERROR(VLOOKUP(PF$27&amp;"-"&amp;$M66&amp;"_new",Ammortamento_Finanziario!$H:$L,5,FALSE),VLOOKUP($M66,TT_Tabelle_Riferimento!$D$127:$H$164,5,FALSE))</f>
        <v>30</v>
      </c>
      <c r="PG66" s="1736">
        <f>+IFERROR(VLOOKUP(PG$27&amp;"-"&amp;$M66&amp;"_new",Ammortamento_Finanziario!$H:$L,5,FALSE),VLOOKUP($M66,TT_Tabelle_Riferimento!$D$127:$H$164,5,FALSE))</f>
        <v>30</v>
      </c>
      <c r="PH66" s="1736">
        <f>+IFERROR(VLOOKUP(PH$27&amp;"-"&amp;$M66&amp;"_new",Ammortamento_Finanziario!$H:$L,5,FALSE),VLOOKUP($M66,TT_Tabelle_Riferimento!$D$127:$H$164,5,FALSE))</f>
        <v>30</v>
      </c>
      <c r="PI66" s="1736">
        <f>+IFERROR(VLOOKUP(PI$27&amp;"-"&amp;$M66&amp;"_new",Ammortamento_Finanziario!$H:$L,5,FALSE),VLOOKUP($M66,TT_Tabelle_Riferimento!$D$127:$H$164,5,FALSE))</f>
        <v>30</v>
      </c>
      <c r="PJ66" s="1736">
        <f>+IFERROR(VLOOKUP(PJ$27&amp;"-"&amp;$M66&amp;"_new",Ammortamento_Finanziario!$H:$L,5,FALSE),VLOOKUP($M66,TT_Tabelle_Riferimento!$D$127:$H$164,5,FALSE))</f>
        <v>30</v>
      </c>
      <c r="PK66" s="1736">
        <f>+IFERROR(VLOOKUP(PK$27&amp;"-"&amp;$M66&amp;"_new",Ammortamento_Finanziario!$H:$L,5,FALSE),VLOOKUP($M66,TT_Tabelle_Riferimento!$D$127:$H$164,5,FALSE))</f>
        <v>30</v>
      </c>
      <c r="PL66" s="1764">
        <f>+IFERROR(VLOOKUP(PL$27&amp;"-"&amp;$M66&amp;"_new",Ammortamento_Finanziario!$H:$L,5,FALSE),VLOOKUP($M66,TT_Tabelle_Riferimento!$D$127:$H$164,5,FALSE))</f>
        <v>30</v>
      </c>
      <c r="PM66" s="1764">
        <f>+IFERROR(VLOOKUP(PM$27&amp;"-"&amp;$M66&amp;"_new",Ammortamento_Finanziario!$H:$L,5,FALSE),VLOOKUP($M66,TT_Tabelle_Riferimento!$D$127:$H$164,5,FALSE))</f>
        <v>30</v>
      </c>
      <c r="PN66" s="1764">
        <f>+IFERROR(VLOOKUP(PN$27&amp;"-"&amp;$M66&amp;"_new",Ammortamento_Finanziario!$H:$L,5,FALSE),VLOOKUP($M66,TT_Tabelle_Riferimento!$D$127:$H$164,5,FALSE))</f>
        <v>30</v>
      </c>
      <c r="PO66" s="1736">
        <f>+IFERROR(VLOOKUP(PO$27&amp;"-"&amp;$M66&amp;"_new",Ammortamento_Finanziario!$H:$L,5,FALSE),VLOOKUP($M66,TT_Tabelle_Riferimento!$D$127:$H$164,5,FALSE))</f>
        <v>30</v>
      </c>
      <c r="PP66" s="1736">
        <f>+IFERROR(VLOOKUP(PP$27&amp;"-"&amp;$M66&amp;"_new",Ammortamento_Finanziario!$H:$L,5,FALSE),VLOOKUP($M66,TT_Tabelle_Riferimento!$D$127:$H$164,5,FALSE))</f>
        <v>30</v>
      </c>
      <c r="PQ66" s="1736">
        <f>+IFERROR(VLOOKUP(PQ$27&amp;"-"&amp;$M66&amp;"_new",Ammortamento_Finanziario!$H:$L,5,FALSE),VLOOKUP($M66,TT_Tabelle_Riferimento!$D$127:$H$164,5,FALSE))</f>
        <v>30</v>
      </c>
      <c r="PR66" s="1736">
        <f>+IFERROR(VLOOKUP(PR$27&amp;"-"&amp;$M66&amp;"_new",Ammortamento_Finanziario!$H:$L,5,FALSE),VLOOKUP($M66,TT_Tabelle_Riferimento!$D$127:$H$164,5,FALSE))</f>
        <v>30</v>
      </c>
      <c r="PS66" s="1736">
        <f>+IFERROR(VLOOKUP(PS$27&amp;"-"&amp;$M66&amp;"_new",Ammortamento_Finanziario!$H:$L,5,FALSE),VLOOKUP($M66,TT_Tabelle_Riferimento!$D$127:$H$164,5,FALSE))</f>
        <v>30</v>
      </c>
      <c r="PT66" s="1736">
        <f>+IFERROR(VLOOKUP(PT$27&amp;"-"&amp;$M66&amp;"_new",Ammortamento_Finanziario!$H:$L,5,FALSE),VLOOKUP($M66,TT_Tabelle_Riferimento!$D$127:$H$164,5,FALSE))</f>
        <v>30</v>
      </c>
      <c r="PU66" s="1736">
        <f>+IFERROR(VLOOKUP(PU$27&amp;"-"&amp;$M66&amp;"_new",Ammortamento_Finanziario!$H:$L,5,FALSE),VLOOKUP($M66,TT_Tabelle_Riferimento!$D$127:$H$164,5,FALSE))</f>
        <v>30</v>
      </c>
      <c r="PV66" s="1736">
        <f>+IFERROR(VLOOKUP(PV$27&amp;"-"&amp;$M66&amp;"_new",Ammortamento_Finanziario!$H:$L,5,FALSE),VLOOKUP($M66,TT_Tabelle_Riferimento!$D$127:$H$164,5,FALSE))</f>
        <v>30</v>
      </c>
      <c r="PW66" s="1736">
        <f>+IFERROR(VLOOKUP(PW$27&amp;"-"&amp;$M66&amp;"_new",Ammortamento_Finanziario!$H:$L,5,FALSE),VLOOKUP($M66,TT_Tabelle_Riferimento!$D$127:$H$164,5,FALSE))</f>
        <v>30</v>
      </c>
      <c r="PX66" s="1736">
        <f>+IFERROR(VLOOKUP(PX$27&amp;"-"&amp;$M66&amp;"_new",Ammortamento_Finanziario!$H:$L,5,FALSE),VLOOKUP($M66,TT_Tabelle_Riferimento!$D$127:$H$164,5,FALSE))</f>
        <v>30</v>
      </c>
      <c r="PY66" s="1736">
        <f>+IFERROR(VLOOKUP(PY$27&amp;"-"&amp;$M66&amp;"_new",Ammortamento_Finanziario!$H:$L,5,FALSE),VLOOKUP($M66,TT_Tabelle_Riferimento!$D$127:$H$164,5,FALSE))</f>
        <v>30</v>
      </c>
      <c r="PZ66" s="1736">
        <f>+IFERROR(VLOOKUP(PZ$27&amp;"-"&amp;$M66&amp;"_new",Ammortamento_Finanziario!$H:$L,5,FALSE),VLOOKUP($M66,TT_Tabelle_Riferimento!$D$127:$H$164,5,FALSE))</f>
        <v>30</v>
      </c>
      <c r="QA66" s="1736">
        <f>+IFERROR(VLOOKUP(QA$27&amp;"-"&amp;$M66&amp;"_new",Ammortamento_Finanziario!$H:$L,5,FALSE),VLOOKUP($M66,TT_Tabelle_Riferimento!$D$127:$H$164,5,FALSE))</f>
        <v>30</v>
      </c>
      <c r="QB66" s="1736">
        <f>+IFERROR(VLOOKUP(QB$27&amp;"-"&amp;$M66&amp;"_new",Ammortamento_Finanziario!$H:$L,5,FALSE),VLOOKUP($M66,TT_Tabelle_Riferimento!$D$127:$H$164,5,FALSE))</f>
        <v>30</v>
      </c>
      <c r="QC66" s="1736">
        <f>+IFERROR(VLOOKUP(QC$27&amp;"-"&amp;$M66&amp;"_new",Ammortamento_Finanziario!$H:$L,5,FALSE),VLOOKUP($M66,TT_Tabelle_Riferimento!$D$127:$H$164,5,FALSE))</f>
        <v>30</v>
      </c>
      <c r="QD66" s="1736">
        <f>+IFERROR(VLOOKUP(QD$27&amp;"-"&amp;$M66&amp;"_new",Ammortamento_Finanziario!$H:$L,5,FALSE),VLOOKUP($M66,TT_Tabelle_Riferimento!$D$127:$H$164,5,FALSE))</f>
        <v>30</v>
      </c>
      <c r="QE66" s="1736">
        <f>+IFERROR(VLOOKUP(QE$27&amp;"-"&amp;$M66&amp;"_new",Ammortamento_Finanziario!$H:$L,5,FALSE),VLOOKUP($M66,TT_Tabelle_Riferimento!$D$127:$H$164,5,FALSE))</f>
        <v>30</v>
      </c>
      <c r="QF66" s="1736">
        <f>+IFERROR(VLOOKUP(QF$27&amp;"-"&amp;$M66&amp;"_new",Ammortamento_Finanziario!$H:$L,5,FALSE),VLOOKUP($M66,TT_Tabelle_Riferimento!$D$127:$H$164,5,FALSE))</f>
        <v>30</v>
      </c>
      <c r="QG66" s="1736">
        <f>+IFERROR(VLOOKUP(QG$27&amp;"-"&amp;$M66&amp;"_new",Ammortamento_Finanziario!$H:$L,5,FALSE),VLOOKUP($M66,TT_Tabelle_Riferimento!$D$127:$H$164,5,FALSE))</f>
        <v>30</v>
      </c>
      <c r="QH66" s="1764">
        <f>+IFERROR(VLOOKUP(QH$27&amp;"-"&amp;$M66&amp;"_new",Ammortamento_Finanziario!$H:$L,5,FALSE),VLOOKUP($M66,TT_Tabelle_Riferimento!$D$127:$H$164,5,FALSE))</f>
        <v>30</v>
      </c>
      <c r="QI66" s="1764">
        <f>+IFERROR(VLOOKUP(QI$27&amp;"-"&amp;$M66&amp;"_new",Ammortamento_Finanziario!$H:$L,5,FALSE),VLOOKUP($M66,TT_Tabelle_Riferimento!$D$127:$H$164,5,FALSE))</f>
        <v>30</v>
      </c>
      <c r="QJ66" s="1736">
        <f>+IFERROR(VLOOKUP(QJ$27&amp;"-"&amp;$M66&amp;"_new",Ammortamento_Finanziario!$H:$L,5,FALSE),VLOOKUP($M66,TT_Tabelle_Riferimento!$D$127:$H$164,5,FALSE))</f>
        <v>30</v>
      </c>
      <c r="QK66" s="1736">
        <f>+IFERROR(VLOOKUP(QK$27&amp;"-"&amp;$M66&amp;"_new",Ammortamento_Finanziario!$H:$L,5,FALSE),VLOOKUP($M66,TT_Tabelle_Riferimento!$D$127:$H$164,5,FALSE))</f>
        <v>30</v>
      </c>
      <c r="QL66" s="1736">
        <f>+IFERROR(VLOOKUP(QL$27&amp;"-"&amp;$M66&amp;"_new",Ammortamento_Finanziario!$H:$L,5,FALSE),VLOOKUP($M66,TT_Tabelle_Riferimento!$D$127:$H$164,5,FALSE))</f>
        <v>30</v>
      </c>
      <c r="QM66" s="1736">
        <f>+IFERROR(VLOOKUP(QM$27&amp;"-"&amp;$M66&amp;"_new",Ammortamento_Finanziario!$H:$L,5,FALSE),VLOOKUP($M66,TT_Tabelle_Riferimento!$D$127:$H$164,5,FALSE))</f>
        <v>30</v>
      </c>
      <c r="QN66" s="1736">
        <f>+IFERROR(VLOOKUP(QN$27&amp;"-"&amp;$M66&amp;"_new",Ammortamento_Finanziario!$H:$L,5,FALSE),VLOOKUP($M66,TT_Tabelle_Riferimento!$D$127:$H$164,5,FALSE))</f>
        <v>30</v>
      </c>
      <c r="QO66" s="1736">
        <f>+IFERROR(VLOOKUP(QO$27&amp;"-"&amp;$M66&amp;"_new",Ammortamento_Finanziario!$H:$L,5,FALSE),VLOOKUP($M66,TT_Tabelle_Riferimento!$D$127:$H$164,5,FALSE))</f>
        <v>30</v>
      </c>
      <c r="QP66" s="1736">
        <f>+IFERROR(VLOOKUP(QP$27&amp;"-"&amp;$M66&amp;"_new",Ammortamento_Finanziario!$H:$L,5,FALSE),VLOOKUP($M66,TT_Tabelle_Riferimento!$D$127:$H$164,5,FALSE))</f>
        <v>30</v>
      </c>
      <c r="QQ66" s="1736">
        <f>+IFERROR(VLOOKUP(QQ$27&amp;"-"&amp;$M66&amp;"_new",Ammortamento_Finanziario!$H:$L,5,FALSE),VLOOKUP($M66,TT_Tabelle_Riferimento!$D$127:$H$164,5,FALSE))</f>
        <v>30</v>
      </c>
      <c r="QR66" s="1736">
        <f>+IFERROR(VLOOKUP(QR$27&amp;"-"&amp;$M66&amp;"_new",Ammortamento_Finanziario!$H:$L,5,FALSE),VLOOKUP($M66,TT_Tabelle_Riferimento!$D$127:$H$164,5,FALSE))</f>
        <v>30</v>
      </c>
      <c r="QS66" s="1736">
        <f>+IFERROR(VLOOKUP(QS$27&amp;"-"&amp;$M66&amp;"_new",Ammortamento_Finanziario!$H:$L,5,FALSE),VLOOKUP($M66,TT_Tabelle_Riferimento!$D$127:$H$164,5,FALSE))</f>
        <v>30</v>
      </c>
      <c r="QT66" s="1736">
        <f>+IFERROR(VLOOKUP(QT$27&amp;"-"&amp;$M66&amp;"_new",Ammortamento_Finanziario!$H:$L,5,FALSE),VLOOKUP($M66,TT_Tabelle_Riferimento!$D$127:$H$164,5,FALSE))</f>
        <v>30</v>
      </c>
      <c r="QU66" s="1736">
        <f>+IFERROR(VLOOKUP(QU$27&amp;"-"&amp;$M66&amp;"_new",Ammortamento_Finanziario!$H:$L,5,FALSE),VLOOKUP($M66,TT_Tabelle_Riferimento!$D$127:$H$164,5,FALSE))</f>
        <v>30</v>
      </c>
      <c r="QV66" s="1736">
        <f>+IFERROR(VLOOKUP(QV$27&amp;"-"&amp;$M66&amp;"_new",Ammortamento_Finanziario!$H:$L,5,FALSE),VLOOKUP($M66,TT_Tabelle_Riferimento!$D$127:$H$164,5,FALSE))</f>
        <v>30</v>
      </c>
      <c r="QW66" s="1736">
        <f>+IFERROR(VLOOKUP(QW$27&amp;"-"&amp;$M66&amp;"_new",Ammortamento_Finanziario!$H:$L,5,FALSE),VLOOKUP($M66,TT_Tabelle_Riferimento!$D$127:$H$164,5,FALSE))</f>
        <v>30</v>
      </c>
      <c r="QX66" s="1736">
        <f>+IFERROR(VLOOKUP(QX$27&amp;"-"&amp;$M66&amp;"_new",Ammortamento_Finanziario!$H:$L,5,FALSE),VLOOKUP($M66,TT_Tabelle_Riferimento!$D$127:$H$164,5,FALSE))</f>
        <v>30</v>
      </c>
      <c r="QY66" s="1736">
        <f>+IFERROR(VLOOKUP(QY$27&amp;"-"&amp;$M66&amp;"_new",Ammortamento_Finanziario!$H:$L,5,FALSE),VLOOKUP($M66,TT_Tabelle_Riferimento!$D$127:$H$164,5,FALSE))</f>
        <v>30</v>
      </c>
      <c r="QZ66" s="1736">
        <f>+IFERROR(VLOOKUP(QZ$27&amp;"-"&amp;$M66&amp;"_new",Ammortamento_Finanziario!$H:$L,5,FALSE),VLOOKUP($M66,TT_Tabelle_Riferimento!$D$127:$H$164,5,FALSE))</f>
        <v>30</v>
      </c>
      <c r="RA66" s="1736">
        <f>+IFERROR(VLOOKUP(RA$27&amp;"-"&amp;$M66&amp;"_new",Ammortamento_Finanziario!$H:$L,5,FALSE),VLOOKUP($M66,TT_Tabelle_Riferimento!$D$127:$H$164,5,FALSE))</f>
        <v>30</v>
      </c>
      <c r="RB66" s="1736">
        <f>+IFERROR(VLOOKUP(RB$27&amp;"-"&amp;$M66&amp;"_new",Ammortamento_Finanziario!$H:$L,5,FALSE),VLOOKUP($M66,TT_Tabelle_Riferimento!$D$127:$H$164,5,FALSE))</f>
        <v>30</v>
      </c>
      <c r="RC66" s="1764">
        <f>+IFERROR(VLOOKUP(RC$27&amp;"-"&amp;$M66&amp;"_new",Ammortamento_Finanziario!$H:$L,5,FALSE),VLOOKUP($M66,TT_Tabelle_Riferimento!$D$127:$H$164,5,FALSE))</f>
        <v>30</v>
      </c>
      <c r="RD66" s="1736">
        <f>+IFERROR(VLOOKUP(RD$27&amp;"-"&amp;$M66&amp;"_new",Ammortamento_Finanziario!$H:$L,5,FALSE),VLOOKUP($M66,TT_Tabelle_Riferimento!$D$127:$H$164,5,FALSE))</f>
        <v>30</v>
      </c>
      <c r="RE66" s="1736">
        <f>+IFERROR(VLOOKUP(RE$27&amp;"-"&amp;$M66&amp;"_new",Ammortamento_Finanziario!$H:$L,5,FALSE),VLOOKUP($M66,TT_Tabelle_Riferimento!$D$127:$H$164,5,FALSE))</f>
        <v>30</v>
      </c>
      <c r="RF66" s="1736">
        <f>+IFERROR(VLOOKUP(RF$27&amp;"-"&amp;$M66&amp;"_new",Ammortamento_Finanziario!$H:$L,5,FALSE),VLOOKUP($M66,TT_Tabelle_Riferimento!$D$127:$H$164,5,FALSE))</f>
        <v>30</v>
      </c>
      <c r="RG66" s="1736">
        <f>+IFERROR(VLOOKUP(RG$27&amp;"-"&amp;$M66&amp;"_new",Ammortamento_Finanziario!$H:$L,5,FALSE),VLOOKUP($M66,TT_Tabelle_Riferimento!$D$127:$H$164,5,FALSE))</f>
        <v>30</v>
      </c>
      <c r="RH66" s="1736">
        <f>+IFERROR(VLOOKUP(RH$27&amp;"-"&amp;$M66&amp;"_new",Ammortamento_Finanziario!$H:$L,5,FALSE),VLOOKUP($M66,TT_Tabelle_Riferimento!$D$127:$H$164,5,FALSE))</f>
        <v>30</v>
      </c>
      <c r="RI66" s="1736">
        <f>+IFERROR(VLOOKUP(RI$27&amp;"-"&amp;$M66&amp;"_new",Ammortamento_Finanziario!$H:$L,5,FALSE),VLOOKUP($M66,TT_Tabelle_Riferimento!$D$127:$H$164,5,FALSE))</f>
        <v>30</v>
      </c>
      <c r="RJ66" s="1736">
        <f>+IFERROR(VLOOKUP(RJ$27&amp;"-"&amp;$M66&amp;"_new",Ammortamento_Finanziario!$H:$L,5,FALSE),VLOOKUP($M66,TT_Tabelle_Riferimento!$D$127:$H$164,5,FALSE))</f>
        <v>30</v>
      </c>
      <c r="RK66" s="1736">
        <f>+IFERROR(VLOOKUP(RK$27&amp;"-"&amp;$M66&amp;"_new",Ammortamento_Finanziario!$H:$L,5,FALSE),VLOOKUP($M66,TT_Tabelle_Riferimento!$D$127:$H$164,5,FALSE))</f>
        <v>30</v>
      </c>
      <c r="RL66" s="1736">
        <f>+IFERROR(VLOOKUP(RL$27&amp;"-"&amp;$M66&amp;"_new",Ammortamento_Finanziario!$H:$L,5,FALSE),VLOOKUP($M66,TT_Tabelle_Riferimento!$D$127:$H$164,5,FALSE))</f>
        <v>30</v>
      </c>
      <c r="RM66" s="1736">
        <f>+IFERROR(VLOOKUP(RM$27&amp;"-"&amp;$M66&amp;"_new",Ammortamento_Finanziario!$H:$L,5,FALSE),VLOOKUP($M66,TT_Tabelle_Riferimento!$D$127:$H$164,5,FALSE))</f>
        <v>30</v>
      </c>
      <c r="RN66" s="1736">
        <f>+IFERROR(VLOOKUP(RN$27&amp;"-"&amp;$M66&amp;"_new",Ammortamento_Finanziario!$H:$L,5,FALSE),VLOOKUP($M66,TT_Tabelle_Riferimento!$D$127:$H$164,5,FALSE))</f>
        <v>30</v>
      </c>
      <c r="RO66" s="1736">
        <f>+IFERROR(VLOOKUP(RO$27&amp;"-"&amp;$M66&amp;"_new",Ammortamento_Finanziario!$H:$L,5,FALSE),VLOOKUP($M66,TT_Tabelle_Riferimento!$D$127:$H$164,5,FALSE))</f>
        <v>30</v>
      </c>
      <c r="RP66" s="1736">
        <f>+IFERROR(VLOOKUP(RP$27&amp;"-"&amp;$M66&amp;"_new",Ammortamento_Finanziario!$H:$L,5,FALSE),VLOOKUP($M66,TT_Tabelle_Riferimento!$D$127:$H$164,5,FALSE))</f>
        <v>30</v>
      </c>
      <c r="RQ66" s="1736">
        <f>+IFERROR(VLOOKUP(RQ$27&amp;"-"&amp;$M66&amp;"_new",Ammortamento_Finanziario!$H:$L,5,FALSE),VLOOKUP($M66,TT_Tabelle_Riferimento!$D$127:$H$164,5,FALSE))</f>
        <v>30</v>
      </c>
      <c r="RR66" s="1736">
        <f>+IFERROR(VLOOKUP(RR$27&amp;"-"&amp;$M66&amp;"_new",Ammortamento_Finanziario!$H:$L,5,FALSE),VLOOKUP($M66,TT_Tabelle_Riferimento!$D$127:$H$164,5,FALSE))</f>
        <v>30</v>
      </c>
      <c r="RS66" s="1736">
        <f>+IFERROR(VLOOKUP(RS$27&amp;"-"&amp;$M66&amp;"_new",Ammortamento_Finanziario!$H:$L,5,FALSE),VLOOKUP($M66,TT_Tabelle_Riferimento!$D$127:$H$164,5,FALSE))</f>
        <v>30</v>
      </c>
      <c r="RT66" s="1736">
        <f>+IFERROR(VLOOKUP(RT$27&amp;"-"&amp;$M66&amp;"_new",Ammortamento_Finanziario!$H:$L,5,FALSE),VLOOKUP($M66,TT_Tabelle_Riferimento!$D$127:$H$164,5,FALSE))</f>
        <v>30</v>
      </c>
      <c r="RU66" s="1736">
        <f>+IFERROR(VLOOKUP(RU$27&amp;"-"&amp;$M66&amp;"_new",Ammortamento_Finanziario!$H:$L,5,FALSE),VLOOKUP($M66,TT_Tabelle_Riferimento!$D$127:$H$164,5,FALSE))</f>
        <v>30</v>
      </c>
      <c r="RV66" s="1736">
        <f>+IFERROR(VLOOKUP(RV$27&amp;"-"&amp;$M66&amp;"_new",Ammortamento_Finanziario!$H:$L,5,FALSE),VLOOKUP($M66,TT_Tabelle_Riferimento!$D$127:$H$164,5,FALSE))</f>
        <v>30</v>
      </c>
    </row>
    <row r="67" spans="4:490">
      <c r="D67" s="135" t="s">
        <v>224</v>
      </c>
      <c r="E67" s="1264">
        <f>+SUMIFS(IMN_gestore!Q:Q,IMN_gestore!$E:$E,"&gt;="&amp;2012,IMN_gestore!$E:$E,"&lt;="&amp;2022,IMN_gestore!$G:$G,"Env")</f>
        <v>0</v>
      </c>
      <c r="F67" s="1264">
        <f>+SUMIFS(IMN_gestore!AB:AB,IMN_gestore!$E:$E,"&gt;="&amp;2012,IMN_gestore!$E:$E,"&lt;="&amp;2023,IMN_gestore!$G:$G,"Env")</f>
        <v>0</v>
      </c>
      <c r="G67" s="1264">
        <f>+SUMIFS(IMN_gestore!AM:AM,IMN_gestore!$E:$E,"&gt;="&amp;2012,IMN_gestore!$E:$E,"&lt;="&amp;2024,IMN_gestore!$G:$G,"Env")</f>
        <v>0</v>
      </c>
      <c r="H67" s="1264">
        <f>+SUMIFS(IMN_gestore!AX:AX,IMN_gestore!$E:$E,"&gt;="&amp;2012,IMN_gestore!$E:$E,"&lt;="&amp;2025,IMN_gestore!$G:$G,"Env")</f>
        <v>0</v>
      </c>
      <c r="I67" s="1264">
        <f>+SUMIFS(IMN_gestore!$BI:$BI,IMN_gestore!$E:$E,"&gt;="&amp;2012,IMN_gestore!$E:$E,"&lt;="&amp;2026,IMN_gestore!$G:$G,"Env")</f>
        <v>0</v>
      </c>
      <c r="J67" s="1264">
        <f>+SUMIFS(IMN_gestore!$BT:$BT,IMN_gestore!$E:$E,"&gt;="&amp;2012,IMN_gestore!$E:$E,"&lt;="&amp;2027,IMN_gestore!$G:$G,"Env")</f>
        <v>0</v>
      </c>
      <c r="K67" s="12"/>
      <c r="L67" s="12"/>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s="8"/>
    </row>
    <row r="68" spans="4:490">
      <c r="D68" s="135" t="s">
        <v>200</v>
      </c>
      <c r="E68" s="719">
        <f>+SUMIFS(IMN_gestore!R:R,IMN_gestore!$E:$E,"&gt;="&amp;2012,IMN_gestore!$E:$E,"&lt;="&amp;2022,IMN_gestore!$G:$G,"Env")</f>
        <v>0</v>
      </c>
      <c r="F68" s="719">
        <f>+SUMIFS(IMN_gestore!AC:AC,IMN_gestore!$E:$E,"&gt;="&amp;2012,IMN_gestore!$E:$E,"&lt;="&amp;2023,IMN_gestore!$G:$G,"Env")</f>
        <v>0</v>
      </c>
      <c r="G68" s="719">
        <f>+SUMIFS(IMN_gestore!AN:AN,IMN_gestore!$E:$E,"&gt;="&amp;2012,IMN_gestore!$E:$E,"&lt;="&amp;2024,IMN_gestore!$G:$G,"Env")</f>
        <v>0</v>
      </c>
      <c r="H68" s="719">
        <f>+SUMIFS(IMN_gestore!AY:AY,IMN_gestore!$E:$E,"&gt;="&amp;2012,IMN_gestore!$E:$E,"&lt;="&amp;2025,IMN_gestore!$G:$G,"Env")</f>
        <v>0</v>
      </c>
      <c r="I68" s="719">
        <f>+SUMIFS(IMN_gestore!$BJ:$BJ,IMN_gestore!$E:$E,"&gt;="&amp;2012,IMN_gestore!$E:$E,"&lt;="&amp;2026,IMN_gestore!$G:$G,"Env")</f>
        <v>0</v>
      </c>
      <c r="J68" s="719">
        <f>+SUMIFS(IMN_gestore!$BU:$BU,IMN_gestore!$E:$E,"&gt;="&amp;2012,IMN_gestore!$E:$E,"&lt;="&amp;2027,IMN_gestore!$G:$G,"Env")</f>
        <v>0</v>
      </c>
      <c r="K68" s="12"/>
      <c r="L68" s="12"/>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s="8"/>
    </row>
    <row r="69" spans="4:490">
      <c r="D69" s="135" t="s">
        <v>201</v>
      </c>
      <c r="E69" s="1264">
        <f>+SUMIFS(IMN_gestore!T:T,IMN_gestore!$E:$E,"&gt;="&amp;2012,IMN_gestore!$E:$E,"&lt;="&amp;2022,IMN_gestore!$G:$G,"Env")</f>
        <v>0</v>
      </c>
      <c r="F69" s="1264">
        <f>+SUMIFS(IMN_gestore!AE:AE,IMN_gestore!$E:$E,"&gt;="&amp;2012,IMN_gestore!$E:$E,"&lt;="&amp;2023,IMN_gestore!$G:$G,"Env")</f>
        <v>0</v>
      </c>
      <c r="G69" s="1264">
        <f>+SUMIFS(IMN_gestore!AP:AP,IMN_gestore!$E:$E,"&gt;="&amp;2012,IMN_gestore!$E:$E,"&lt;="&amp;2024,IMN_gestore!$G:$G,"Env")</f>
        <v>0</v>
      </c>
      <c r="H69" s="1264">
        <f>+SUMIFS(IMN_gestore!BA:BA,IMN_gestore!$E:$E,"&gt;="&amp;2012,IMN_gestore!$E:$E,"&lt;="&amp;2025,IMN_gestore!$G:$G,"Env")</f>
        <v>0</v>
      </c>
      <c r="I69" s="1264">
        <f>+SUMIFS(IMN_gestore!$BL:$BL,IMN_gestore!$E:$E,"&gt;="&amp;2012,IMN_gestore!$E:$E,"&lt;="&amp;2026,IMN_gestore!$G:$G,"Env")</f>
        <v>0</v>
      </c>
      <c r="J69" s="1264">
        <f>+SUMIFS(IMN_gestore!$BW:$BW,IMN_gestore!$E:$E,"&gt;="&amp;2012,IMN_gestore!$E:$E,"&lt;="&amp;2027,IMN_gestore!$G:$G,"Env")</f>
        <v>0</v>
      </c>
      <c r="K69" s="12"/>
      <c r="L69" s="12"/>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s="8"/>
    </row>
    <row r="70" spans="4:490">
      <c r="D70" s="135" t="s">
        <v>22700</v>
      </c>
      <c r="E70" s="719">
        <f>+SUMIFS(IMN_gestore!U:U,IMN_gestore!$E:$E,"&gt;="&amp;2012,IMN_gestore!$E:$E,"&lt;="&amp;2022,IMN_gestore!$G:$G,"Env")</f>
        <v>0</v>
      </c>
      <c r="F70" s="719">
        <f>+SUMIFS(IMN_gestore!AF:AF,IMN_gestore!$E:$E,"&gt;="&amp;2012,IMN_gestore!$E:$E,"&lt;="&amp;2023,IMN_gestore!$G:$G,"Env")</f>
        <v>0</v>
      </c>
      <c r="G70" s="719">
        <f>+SUMIFS(IMN_gestore!AQ:AQ,IMN_gestore!$E:$E,"&gt;="&amp;2012,IMN_gestore!$E:$E,"&lt;="&amp;2024,IMN_gestore!$G:$G,"Env")</f>
        <v>0</v>
      </c>
      <c r="H70" s="719">
        <f>+SUMIFS(IMN_gestore!BB:BB,IMN_gestore!$E:$E,"&gt;="&amp;2012,IMN_gestore!$E:$E,"&lt;="&amp;2025,IMN_gestore!$G:$G,"Env")</f>
        <v>0</v>
      </c>
      <c r="I70" s="719">
        <f>+SUMIFS(IMN_gestore!$BM:$BM,IMN_gestore!$E:$E,"&gt;="&amp;2012,IMN_gestore!$E:$E,"&lt;="&amp;2026,IMN_gestore!$G:$G,"Env")</f>
        <v>0</v>
      </c>
      <c r="J70" s="719">
        <f>+SUMIFS(IMN_gestore!$BX:$BX,IMN_gestore!$E:$E,"&gt;="&amp;2012,IMN_gestore!$E:$E,"&lt;="&amp;2027,IMN_gestore!$G:$G,"Env")</f>
        <v>0</v>
      </c>
      <c r="K70" s="12"/>
      <c r="L70" s="12"/>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s="8"/>
    </row>
    <row r="71" spans="4:490">
      <c r="D71" s="135" t="s">
        <v>22734</v>
      </c>
      <c r="E71" s="1264">
        <f>+SUMIFS(IMN_gestore!V:V,IMN_gestore!$E:$E,"&gt;="&amp;2012,IMN_gestore!$E:$E,"&lt;="&amp;2022,IMN_gestore!$G:$G,"Env")</f>
        <v>0</v>
      </c>
      <c r="F71" s="1264">
        <f>+SUMIFS(IMN_gestore!AG:AG,IMN_gestore!$E:$E,"&gt;="&amp;2012,IMN_gestore!$E:$E,"&lt;="&amp;2023,IMN_gestore!$G:$G,"Env")</f>
        <v>0</v>
      </c>
      <c r="G71" s="1264">
        <f>+SUMIFS(IMN_gestore!AR:AR,IMN_gestore!$E:$E,"&gt;="&amp;2012,IMN_gestore!$E:$E,"&lt;="&amp;2024,IMN_gestore!$G:$G,"Env")</f>
        <v>0</v>
      </c>
      <c r="H71" s="1264">
        <f>+SUMIFS(IMN_gestore!BC:BC,IMN_gestore!$E:$E,"&gt;="&amp;2012,IMN_gestore!$E:$E,"&lt;="&amp;2025,IMN_gestore!$G:$G,"Env")</f>
        <v>0</v>
      </c>
      <c r="I71" s="1264">
        <f>+SUMIFS(IMN_gestore!$BN:$BN,IMN_gestore!$E:$E,"&gt;="&amp;2012,IMN_gestore!$E:$E,"&lt;="&amp;2026,IMN_gestore!$G:$G,"Env")</f>
        <v>0</v>
      </c>
      <c r="J71" s="1264">
        <f>+SUMIFS(IMN_gestore!$BY:$BY,IMN_gestore!$E:$E,"&gt;="&amp;2012,IMN_gestore!$E:$E,"&lt;="&amp;2027,IMN_gestore!$G:$G,"Env")</f>
        <v>0</v>
      </c>
      <c r="K71" s="12"/>
      <c r="L71" s="12"/>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s="8"/>
    </row>
    <row r="72" spans="4:490" ht="15.75">
      <c r="D72" s="135" t="s">
        <v>22702</v>
      </c>
      <c r="E72" s="719">
        <f>+SUMIFS(IMN_gestore!W:W,IMN_gestore!$E:$E,"&gt;="&amp;2012,IMN_gestore!$E:$E,"&lt;="&amp;2022,IMN_gestore!$G:$G,"Env")</f>
        <v>0</v>
      </c>
      <c r="F72" s="719">
        <f>+SUMIFS(IMN_gestore!AH:AH,IMN_gestore!$E:$E,"&gt;="&amp;2012,IMN_gestore!$E:$E,"&lt;="&amp;2023,IMN_gestore!$G:$G,"Env")</f>
        <v>0</v>
      </c>
      <c r="G72" s="719">
        <f>+SUMIFS(IMN_gestore!AS:AS,IMN_gestore!$E:$E,"&gt;="&amp;2012,IMN_gestore!$E:$E,"&lt;="&amp;2024,IMN_gestore!$G:$G,"Env")</f>
        <v>0</v>
      </c>
      <c r="H72" s="719">
        <f>+SUMIFS(IMN_gestore!BD:BD,IMN_gestore!$E:$E,"&gt;="&amp;2012,IMN_gestore!$E:$E,"&lt;="&amp;2025,IMN_gestore!$G:$G,"Env")</f>
        <v>0</v>
      </c>
      <c r="I72" s="719">
        <f>+SUMIFS(IMN_gestore!$BO:$BO,IMN_gestore!$E:$E,"&gt;="&amp;2012,IMN_gestore!$E:$E,"&lt;="&amp;2026,IMN_gestore!$G:$G,"Env")</f>
        <v>0</v>
      </c>
      <c r="J72" s="719">
        <f>+SUMIFS(IMN_gestore!$BZ:$BZ,IMN_gestore!$E:$E,"&gt;="&amp;2012,IMN_gestore!$E:$E,"&lt;="&amp;2027,IMN_gestore!$G:$G,"Env")</f>
        <v>0</v>
      </c>
      <c r="K72" s="12"/>
      <c r="L72" s="1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s="8"/>
    </row>
    <row r="73" spans="4:490">
      <c r="D73" s="135" t="s">
        <v>202</v>
      </c>
      <c r="E73" s="1264">
        <f>+SUMIFS(IMN_gestore!X:X,IMN_gestore!$E:$E,"&gt;="&amp;2012,IMN_gestore!$E:$E,"&lt;="&amp;2022,IMN_gestore!$G:$G,"Env")</f>
        <v>0</v>
      </c>
      <c r="F73" s="1264">
        <f>+SUMIFS(IMN_gestore!AI:AI,IMN_gestore!$E:$E,"&gt;="&amp;2012,IMN_gestore!$E:$E,"&lt;="&amp;2023,IMN_gestore!$G:$G,"Env")</f>
        <v>0</v>
      </c>
      <c r="G73" s="1264">
        <f>+SUMIFS(IMN_gestore!AT:AT,IMN_gestore!$E:$E,"&gt;="&amp;2012,IMN_gestore!$E:$E,"&lt;="&amp;2024,IMN_gestore!$G:$G,"Env")</f>
        <v>0</v>
      </c>
      <c r="H73" s="1264">
        <f>+SUMIFS(IMN_gestore!BE:BE,IMN_gestore!$E:$E,"&gt;="&amp;2012,IMN_gestore!$E:$E,"&lt;="&amp;2025,IMN_gestore!$G:$G,"Env")</f>
        <v>0</v>
      </c>
      <c r="I73" s="1264">
        <f>+SUMIFS(IMN_gestore!$BP:$BP,IMN_gestore!$E:$E,"&gt;="&amp;2012,IMN_gestore!$E:$E,"&lt;="&amp;2026,IMN_gestore!$G:$G,"Env")</f>
        <v>0</v>
      </c>
      <c r="J73" s="1264">
        <f>+SUMIFS(IMN_gestore!$CA:$CA,IMN_gestore!$E:$E,"&gt;="&amp;2012,IMN_gestore!$E:$E,"&lt;="&amp;2027,IMN_gestore!$G:$G,"Env")</f>
        <v>0</v>
      </c>
      <c r="K73" s="12"/>
      <c r="L73" s="12"/>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s="8"/>
    </row>
    <row r="74" spans="4:490">
      <c r="K74" s="12"/>
      <c r="L74" s="12"/>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s="8"/>
    </row>
    <row r="75" spans="4:490">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s="8"/>
    </row>
    <row r="76" spans="4:490" ht="15.75">
      <c r="D76" s="126" t="s">
        <v>30417</v>
      </c>
      <c r="E76" s="10"/>
      <c r="F76" s="10"/>
      <c r="G76" s="10"/>
      <c r="H76" s="10"/>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s="8"/>
    </row>
    <row r="77" spans="4:490">
      <c r="E77" s="1774">
        <v>2024</v>
      </c>
      <c r="F77" s="1774">
        <v>2025</v>
      </c>
      <c r="G77" s="1771">
        <v>2026</v>
      </c>
      <c r="H77" s="1772">
        <v>2027</v>
      </c>
      <c r="I77" s="1774">
        <v>2028</v>
      </c>
      <c r="J77" s="1774">
        <v>2029</v>
      </c>
      <c r="IL77" s="8"/>
    </row>
    <row r="78" spans="4:490">
      <c r="D78" s="135" t="s">
        <v>199</v>
      </c>
      <c r="E78" s="719">
        <f>+SUMIFS(IMN_gestore!P:P,IMN_gestore!$E:$E,"&gt;="&amp;2012,IMN_gestore!$E:$E,"&lt;="&amp;2022,IMN_gestore!$G:$G,"Res")</f>
        <v>0</v>
      </c>
      <c r="F78" s="719">
        <f>+SUMIFS(IMN_gestore!AA:AA,IMN_gestore!$E:$E,"&gt;="&amp;2012,IMN_gestore!$E:$E,"&lt;="&amp;2023,IMN_gestore!$G:$G,"Res")</f>
        <v>0</v>
      </c>
      <c r="G78" s="719">
        <f>+SUMIFS(IMN_gestore!AL:AL,IMN_gestore!$E:$E,"&gt;="&amp;2012,IMN_gestore!$E:$E,"&lt;="&amp;2024,IMN_gestore!$G:$G,"Res")</f>
        <v>0</v>
      </c>
      <c r="H78" s="719">
        <f>+SUMIFS(IMN_gestore!AW:AW,IMN_gestore!$E:$E,"&gt;="&amp;2012,IMN_gestore!$E:$E,"&lt;="&amp;2025,IMN_gestore!$G:$G,"Res")</f>
        <v>0</v>
      </c>
      <c r="I78" s="719">
        <f>+SUMIFS(IMN_gestore!$BH:$BH,IMN_gestore!$E:$E,"&gt;="&amp;2012,IMN_gestore!$E:$E,"&lt;="&amp;2026,IMN_gestore!$G:$G,"Res")</f>
        <v>0</v>
      </c>
      <c r="J78" s="719">
        <f>+SUMIFS(IMN_gestore!$BS:$BS,IMN_gestore!$E:$E,"&gt;="&amp;2012,IMN_gestore!$E:$E,"&lt;="&amp;2027,IMN_gestore!$G:$G,"Res")</f>
        <v>0</v>
      </c>
      <c r="IL78" s="8"/>
    </row>
    <row r="79" spans="4:490">
      <c r="D79" s="135" t="s">
        <v>224</v>
      </c>
      <c r="E79" s="1264">
        <f>+SUMIFS(IMN_gestore!Q:Q,IMN_gestore!$E:$E,"&gt;="&amp;2012,IMN_gestore!$E:$E,"&lt;="&amp;2022,IMN_gestore!$G:$G,"Res")</f>
        <v>0</v>
      </c>
      <c r="F79" s="1264">
        <f>+SUMIFS(IMN_gestore!AB:AB,IMN_gestore!$E:$E,"&gt;="&amp;2012,IMN_gestore!$E:$E,"&lt;="&amp;2023,IMN_gestore!$G:$G,"Res")</f>
        <v>0</v>
      </c>
      <c r="G79" s="1264">
        <f>+SUMIFS(IMN_gestore!AM:AM,IMN_gestore!$E:$E,"&gt;="&amp;2012,IMN_gestore!$E:$E,"&lt;="&amp;2024,IMN_gestore!$G:$G,"Res")</f>
        <v>0</v>
      </c>
      <c r="H79" s="1264">
        <f>+SUMIFS(IMN_gestore!AX:AX,IMN_gestore!$E:$E,"&gt;="&amp;2012,IMN_gestore!$E:$E,"&lt;="&amp;2025,IMN_gestore!$G:$G,"Res")</f>
        <v>0</v>
      </c>
      <c r="I79" s="1264">
        <f>+SUMIFS(IMN_gestore!$BI:$BI,IMN_gestore!$E:$E,"&gt;="&amp;2012,IMN_gestore!$E:$E,"&lt;="&amp;2026,IMN_gestore!$G:$G,"Res")</f>
        <v>0</v>
      </c>
      <c r="J79" s="1264">
        <f>+SUMIFS(IMN_gestore!$BT:$BT,IMN_gestore!$E:$E,"&gt;="&amp;2012,IMN_gestore!$E:$E,"&lt;="&amp;2027,IMN_gestore!$G:$G,"Res")</f>
        <v>0</v>
      </c>
      <c r="M79" s="67" t="s">
        <v>30386</v>
      </c>
      <c r="N79" s="9"/>
      <c r="O79" s="9"/>
      <c r="P79" s="9"/>
      <c r="Q79" s="9"/>
      <c r="R79" s="9"/>
      <c r="S79" s="9"/>
      <c r="T79" s="9"/>
      <c r="U79" s="9"/>
      <c r="V79" s="9"/>
    </row>
    <row r="80" spans="4:490">
      <c r="D80" s="135" t="s">
        <v>200</v>
      </c>
      <c r="E80" s="719">
        <f>+SUMIFS(IMN_gestore!R:R,IMN_gestore!$E:$E,"&gt;="&amp;2012,IMN_gestore!$E:$E,"&lt;="&amp;2022,IMN_gestore!$G:$G,"Res")</f>
        <v>0</v>
      </c>
      <c r="F80" s="719">
        <f>+SUMIFS(IMN_gestore!AC:AC,IMN_gestore!$E:$E,"&gt;="&amp;2012,IMN_gestore!$E:$E,"&lt;="&amp;2023,IMN_gestore!$G:$G,"Res")</f>
        <v>0</v>
      </c>
      <c r="G80" s="719">
        <f>+SUMIFS(IMN_gestore!AN:AN,IMN_gestore!$E:$E,"&gt;="&amp;2012,IMN_gestore!$E:$E,"&lt;="&amp;2024,IMN_gestore!$G:$G,"Res")</f>
        <v>0</v>
      </c>
      <c r="H80" s="719">
        <f>+SUMIFS(IMN_gestore!AY:AY,IMN_gestore!$E:$E,"&gt;="&amp;2012,IMN_gestore!$E:$E,"&lt;="&amp;2025,IMN_gestore!$G:$G,"Res")</f>
        <v>0</v>
      </c>
      <c r="I80" s="719">
        <f>+SUMIFS(IMN_gestore!$BJ:$BJ,IMN_gestore!$E:$E,"&gt;="&amp;2012,IMN_gestore!$E:$E,"&lt;="&amp;2026,IMN_gestore!$G:$G,"Res")</f>
        <v>0</v>
      </c>
      <c r="J80" s="719">
        <f>+SUMIFS(IMN_gestore!$BU:$BU,IMN_gestore!$E:$E,"&gt;="&amp;2012,IMN_gestore!$E:$E,"&lt;="&amp;2027,IMN_gestore!$G:$G,"Res")</f>
        <v>0</v>
      </c>
      <c r="M80"/>
      <c r="N80" s="11"/>
      <c r="O80" s="11"/>
      <c r="P80" s="11"/>
      <c r="Q80" s="11"/>
      <c r="R80" s="11"/>
      <c r="S80" s="11"/>
      <c r="T80" s="11"/>
      <c r="U80" s="11"/>
      <c r="V80" s="11"/>
    </row>
    <row r="81" spans="4:50">
      <c r="D81" s="135" t="s">
        <v>201</v>
      </c>
      <c r="E81" s="1264">
        <f>+SUMIFS(IMN_gestore!T:T,IMN_gestore!$E:$E,"&gt;="&amp;2012,IMN_gestore!$E:$E,"&lt;="&amp;2022,IMN_gestore!$G:$G,"Res")</f>
        <v>0</v>
      </c>
      <c r="F81" s="1264">
        <f>+SUMIFS(IMN_gestore!AE:AE,IMN_gestore!$E:$E,"&gt;="&amp;2012,IMN_gestore!$E:$E,"&lt;="&amp;2023,IMN_gestore!$G:$G,"Res")</f>
        <v>0</v>
      </c>
      <c r="G81" s="1264">
        <f>+SUMIFS(IMN_gestore!AP:AP,IMN_gestore!$E:$E,"&gt;="&amp;2012,IMN_gestore!$E:$E,"&lt;="&amp;2024,IMN_gestore!$G:$G,"Res")</f>
        <v>0</v>
      </c>
      <c r="H81" s="1264">
        <f>+SUMIFS(IMN_gestore!BA:BA,IMN_gestore!$E:$E,"&gt;="&amp;2012,IMN_gestore!$E:$E,"&lt;="&amp;2025,IMN_gestore!$G:$G,"Res")</f>
        <v>0</v>
      </c>
      <c r="I81" s="1264">
        <f>+SUMIFS(IMN_gestore!$BL:$BL,IMN_gestore!$E:$E,"&gt;="&amp;2012,IMN_gestore!$E:$E,"&lt;="&amp;2026,IMN_gestore!$G:$G,"Res")</f>
        <v>0</v>
      </c>
      <c r="J81" s="1264">
        <f>+SUMIFS(IMN_gestore!$BW:$BW,IMN_gestore!$E:$E,"&gt;="&amp;2012,IMN_gestore!$E:$E,"&lt;="&amp;2027,IMN_gestore!$G:$G,"Res")</f>
        <v>0</v>
      </c>
      <c r="M81" s="632" t="s">
        <v>110</v>
      </c>
      <c r="N81" s="623">
        <v>2011</v>
      </c>
      <c r="O81" s="623">
        <v>2012</v>
      </c>
      <c r="P81" s="623">
        <v>2013</v>
      </c>
      <c r="Q81" s="623">
        <v>2014</v>
      </c>
      <c r="R81" s="623">
        <v>2015</v>
      </c>
      <c r="S81" s="623">
        <v>2016</v>
      </c>
      <c r="T81" s="623">
        <v>2017</v>
      </c>
      <c r="U81" s="623">
        <v>2018</v>
      </c>
      <c r="V81" s="623">
        <v>2019</v>
      </c>
      <c r="W81" s="623">
        <v>2020</v>
      </c>
      <c r="X81" s="623">
        <v>2021</v>
      </c>
      <c r="Y81" s="623">
        <v>2022</v>
      </c>
      <c r="Z81" s="623">
        <v>2023</v>
      </c>
      <c r="AA81" s="623">
        <v>2024</v>
      </c>
      <c r="AB81" s="623">
        <v>2025</v>
      </c>
      <c r="AC81" s="623">
        <v>2026</v>
      </c>
      <c r="AD81" s="623">
        <v>2027</v>
      </c>
      <c r="AE81" s="623">
        <v>2028</v>
      </c>
      <c r="AF81" s="623">
        <v>2029</v>
      </c>
      <c r="AG81" s="623">
        <v>2030</v>
      </c>
      <c r="AH81" s="623">
        <v>2031</v>
      </c>
      <c r="AI81" s="623">
        <v>2032</v>
      </c>
      <c r="AJ81" s="623">
        <v>2033</v>
      </c>
      <c r="AK81" s="623">
        <v>2034</v>
      </c>
      <c r="AL81" s="623">
        <v>2035</v>
      </c>
      <c r="AM81" s="623">
        <v>2036</v>
      </c>
      <c r="AN81" s="623">
        <v>2037</v>
      </c>
      <c r="AO81" s="623">
        <v>2038</v>
      </c>
      <c r="AP81" s="623">
        <v>2039</v>
      </c>
      <c r="AQ81" s="623">
        <v>2040</v>
      </c>
      <c r="AR81" s="623">
        <v>2041</v>
      </c>
      <c r="AS81" s="623">
        <v>2042</v>
      </c>
      <c r="AT81" s="623">
        <v>2043</v>
      </c>
      <c r="AU81" s="623">
        <v>2044</v>
      </c>
      <c r="AV81" s="623">
        <v>2045</v>
      </c>
      <c r="AW81" s="623">
        <v>2046</v>
      </c>
      <c r="AX81" s="623">
        <v>2047</v>
      </c>
    </row>
    <row r="82" spans="4:50">
      <c r="D82" s="135" t="s">
        <v>22700</v>
      </c>
      <c r="E82" s="719">
        <f>+SUMIFS(IMN_gestore!U:U,IMN_gestore!$E:$E,"&gt;="&amp;2012,IMN_gestore!$E:$E,"&lt;="&amp;2022,IMN_gestore!$G:$G,"Res")</f>
        <v>0</v>
      </c>
      <c r="F82" s="719">
        <f>+SUMIFS(IMN_gestore!AF:AF,IMN_gestore!$E:$E,"&gt;="&amp;2012,IMN_gestore!$E:$E,"&lt;="&amp;2023,IMN_gestore!$G:$G,"Res")</f>
        <v>0</v>
      </c>
      <c r="G82" s="719">
        <f>+SUMIFS(IMN_gestore!AQ:AQ,IMN_gestore!$E:$E,"&gt;="&amp;2012,IMN_gestore!$E:$E,"&lt;="&amp;2024,IMN_gestore!$G:$G,"Res")</f>
        <v>0</v>
      </c>
      <c r="H82" s="719">
        <f>+SUMIFS(IMN_gestore!BB:BB,IMN_gestore!$E:$E,"&gt;="&amp;2012,IMN_gestore!$E:$E,"&lt;="&amp;2025,IMN_gestore!$G:$G,"Res")</f>
        <v>0</v>
      </c>
      <c r="I82" s="719">
        <f>+SUMIFS(IMN_gestore!$BM:$BM,IMN_gestore!$E:$E,"&gt;="&amp;2012,IMN_gestore!$E:$E,"&lt;="&amp;2026,IMN_gestore!$G:$G,"Res")</f>
        <v>0</v>
      </c>
      <c r="J82" s="719">
        <f>+SUMIFS(IMN_gestore!$BX:$BX,IMN_gestore!$E:$E,"&gt;="&amp;2012,IMN_gestore!$E:$E,"&lt;="&amp;2027,IMN_gestore!$G:$G,"Res")</f>
        <v>0</v>
      </c>
      <c r="M82" s="569">
        <v>1</v>
      </c>
      <c r="N82" s="626"/>
      <c r="O82" s="626"/>
      <c r="P82" s="626"/>
      <c r="Q82" s="626"/>
      <c r="R82" s="626"/>
      <c r="S82" s="626"/>
      <c r="T82" s="626"/>
      <c r="U82" s="626"/>
      <c r="V82" s="626"/>
      <c r="W82" s="626"/>
      <c r="X82" s="626"/>
      <c r="Y82" s="626"/>
      <c r="Z82" s="626"/>
      <c r="AA82" s="626"/>
      <c r="AB82" s="626"/>
      <c r="AC82" s="626"/>
      <c r="AD82" s="626"/>
      <c r="AE82" s="626"/>
      <c r="AF82" s="626"/>
    </row>
    <row r="83" spans="4:50">
      <c r="D83" s="135" t="s">
        <v>22734</v>
      </c>
      <c r="E83" s="1264">
        <f>+SUMIFS(IMN_gestore!V:V,IMN_gestore!$E:$E,"&gt;="&amp;2012,IMN_gestore!$E:$E,"&lt;="&amp;2022,IMN_gestore!$G:$G,"Res")</f>
        <v>0</v>
      </c>
      <c r="F83" s="1264">
        <f>+SUMIFS(IMN_gestore!AG:AG,IMN_gestore!$E:$E,"&gt;="&amp;2012,IMN_gestore!$E:$E,"&lt;="&amp;2023,IMN_gestore!$G:$G,"Res")</f>
        <v>0</v>
      </c>
      <c r="G83" s="1264">
        <f>+SUMIFS(IMN_gestore!AR:AR,IMN_gestore!$E:$E,"&gt;="&amp;2012,IMN_gestore!$E:$E,"&lt;="&amp;2024,IMN_gestore!$G:$G,"Res")</f>
        <v>0</v>
      </c>
      <c r="H83" s="1264">
        <f>+SUMIFS(IMN_gestore!BC:BC,IMN_gestore!$E:$E,"&gt;="&amp;2012,IMN_gestore!$E:$E,"&lt;="&amp;2025,IMN_gestore!$G:$G,"Res")</f>
        <v>0</v>
      </c>
      <c r="I83" s="1264">
        <f>+SUMIFS(IMN_gestore!$BN:$BN,IMN_gestore!$E:$E,"&gt;="&amp;2012,IMN_gestore!$E:$E,"&lt;="&amp;2026,IMN_gestore!$G:$G,"Res")</f>
        <v>0</v>
      </c>
      <c r="J83" s="1264">
        <f>+SUMIFS(IMN_gestore!$BY:$BY,IMN_gestore!$E:$E,"&gt;="&amp;2012,IMN_gestore!$E:$E,"&lt;="&amp;2027,IMN_gestore!$G:$G,"Res")</f>
        <v>0</v>
      </c>
      <c r="M83" s="569">
        <v>2</v>
      </c>
      <c r="N83" s="627">
        <v>40</v>
      </c>
      <c r="O83" s="627">
        <v>40</v>
      </c>
      <c r="P83" s="627">
        <v>40</v>
      </c>
      <c r="Q83" s="627">
        <v>40</v>
      </c>
      <c r="R83" s="627">
        <v>40</v>
      </c>
      <c r="S83" s="627">
        <v>40</v>
      </c>
      <c r="T83" s="627">
        <v>40</v>
      </c>
      <c r="U83" s="627">
        <v>40</v>
      </c>
      <c r="V83" s="627">
        <v>40</v>
      </c>
      <c r="W83" s="627">
        <v>40</v>
      </c>
      <c r="X83" s="627">
        <v>40</v>
      </c>
      <c r="Y83" s="627">
        <v>40</v>
      </c>
      <c r="Z83" s="627">
        <v>40</v>
      </c>
      <c r="AA83" s="627">
        <v>40</v>
      </c>
      <c r="AB83" s="627">
        <v>40</v>
      </c>
      <c r="AC83" s="627">
        <v>40</v>
      </c>
      <c r="AD83" s="627">
        <v>40</v>
      </c>
      <c r="AE83" s="627">
        <v>40</v>
      </c>
      <c r="AF83" s="627">
        <v>40</v>
      </c>
    </row>
    <row r="84" spans="4:50" ht="15.75">
      <c r="D84" s="135" t="s">
        <v>22702</v>
      </c>
      <c r="E84" s="719">
        <f>+SUMIFS(IMN_gestore!W:W,IMN_gestore!$E:$E,"&gt;="&amp;2012,IMN_gestore!$E:$E,"&lt;="&amp;2022,IMN_gestore!$G:$G,"Res")</f>
        <v>0</v>
      </c>
      <c r="F84" s="719">
        <f>+SUMIFS(IMN_gestore!AH:AH,IMN_gestore!$E:$E,"&gt;="&amp;2012,IMN_gestore!$E:$E,"&lt;="&amp;2023,IMN_gestore!$G:$G,"Res")</f>
        <v>0</v>
      </c>
      <c r="G84" s="719">
        <f>+SUMIFS(IMN_gestore!AS:AS,IMN_gestore!$E:$E,"&gt;="&amp;2012,IMN_gestore!$E:$E,"&lt;="&amp;2024,IMN_gestore!$G:$G,"Res")</f>
        <v>0</v>
      </c>
      <c r="H84" s="719">
        <f>+SUMIFS(IMN_gestore!BD:BD,IMN_gestore!$E:$E,"&gt;="&amp;2012,IMN_gestore!$E:$E,"&lt;="&amp;2025,IMN_gestore!$G:$G,"Res")</f>
        <v>0</v>
      </c>
      <c r="I84" s="719">
        <f>+SUMIFS(IMN_gestore!$BO:$BO,IMN_gestore!$E:$E,"&gt;="&amp;2012,IMN_gestore!$E:$E,"&lt;="&amp;2026,IMN_gestore!$G:$G,"Res")</f>
        <v>0</v>
      </c>
      <c r="J84" s="719">
        <f>+SUMIFS(IMN_gestore!$BZ:$BZ,IMN_gestore!$E:$E,"&gt;="&amp;2012,IMN_gestore!$E:$E,"&lt;="&amp;2027,IMN_gestore!$G:$G,"Res")</f>
        <v>0</v>
      </c>
      <c r="M84" s="569">
        <v>3</v>
      </c>
      <c r="N84" s="627">
        <v>40</v>
      </c>
      <c r="O84" s="627">
        <v>40</v>
      </c>
      <c r="P84" s="627">
        <v>40</v>
      </c>
      <c r="Q84" s="627">
        <v>40</v>
      </c>
      <c r="R84" s="627">
        <v>40</v>
      </c>
      <c r="S84" s="627">
        <v>40</v>
      </c>
      <c r="T84" s="627">
        <v>40</v>
      </c>
      <c r="U84" s="627">
        <v>40</v>
      </c>
      <c r="V84" s="627">
        <v>40</v>
      </c>
      <c r="W84" s="627">
        <v>40</v>
      </c>
      <c r="X84" s="627">
        <v>40</v>
      </c>
      <c r="Y84" s="627">
        <v>40</v>
      </c>
      <c r="Z84" s="627">
        <v>40</v>
      </c>
      <c r="AA84" s="627">
        <v>40</v>
      </c>
      <c r="AB84" s="627">
        <v>40</v>
      </c>
      <c r="AC84" s="627">
        <v>40</v>
      </c>
      <c r="AD84" s="627">
        <v>40</v>
      </c>
      <c r="AE84" s="627">
        <v>40</v>
      </c>
      <c r="AF84" s="627">
        <v>40</v>
      </c>
    </row>
    <row r="85" spans="4:50">
      <c r="D85" s="135" t="s">
        <v>202</v>
      </c>
      <c r="E85" s="1264">
        <f>+SUMIFS(IMN_gestore!X:X,IMN_gestore!$E:$E,"&gt;="&amp;2012,IMN_gestore!$E:$E,"&lt;="&amp;2022,IMN_gestore!$G:$G,"Res")</f>
        <v>0</v>
      </c>
      <c r="F85" s="1264">
        <f>+SUMIFS(IMN_gestore!AI:AI,IMN_gestore!$E:$E,"&gt;="&amp;2012,IMN_gestore!$E:$E,"&lt;="&amp;2023,IMN_gestore!$G:$G,"Res")</f>
        <v>0</v>
      </c>
      <c r="G85" s="1264">
        <f>+SUMIFS(IMN_gestore!AT:AT,IMN_gestore!$E:$E,"&gt;="&amp;2012,IMN_gestore!$E:$E,"&lt;="&amp;2024,IMN_gestore!$G:$G,"Res")</f>
        <v>0</v>
      </c>
      <c r="H85" s="1264">
        <f>+SUMIFS(IMN_gestore!BE:BE,IMN_gestore!$E:$E,"&gt;="&amp;2012,IMN_gestore!$E:$E,"&lt;="&amp;2025,IMN_gestore!$G:$G,"Res")</f>
        <v>0</v>
      </c>
      <c r="I85" s="1264">
        <f>+SUMIFS(IMN_gestore!$BP:$BP,IMN_gestore!$E:$E,"&gt;="&amp;2012,IMN_gestore!$E:$E,"&lt;="&amp;2026,IMN_gestore!$G:$G,"Res")</f>
        <v>0</v>
      </c>
      <c r="J85" s="1264">
        <f>+SUMIFS(IMN_gestore!$CA:$CA,IMN_gestore!$E:$E,"&gt;="&amp;2012,IMN_gestore!$E:$E,"&lt;="&amp;2027,IMN_gestore!$G:$G,"Res")</f>
        <v>0</v>
      </c>
      <c r="M85" s="569">
        <v>4</v>
      </c>
      <c r="N85" s="627">
        <v>40</v>
      </c>
      <c r="O85" s="627">
        <v>40</v>
      </c>
      <c r="P85" s="627">
        <v>40</v>
      </c>
      <c r="Q85" s="627">
        <v>40</v>
      </c>
      <c r="R85" s="627">
        <v>40</v>
      </c>
      <c r="S85" s="627">
        <v>40</v>
      </c>
      <c r="T85" s="627">
        <v>40</v>
      </c>
      <c r="U85" s="627">
        <v>40</v>
      </c>
      <c r="V85" s="627">
        <v>40</v>
      </c>
      <c r="W85" s="627">
        <v>40</v>
      </c>
      <c r="X85" s="627">
        <v>40</v>
      </c>
      <c r="Y85" s="627">
        <v>40</v>
      </c>
      <c r="Z85" s="627">
        <v>40</v>
      </c>
      <c r="AA85" s="627">
        <v>40</v>
      </c>
      <c r="AB85" s="627">
        <v>40</v>
      </c>
      <c r="AC85" s="627">
        <v>40</v>
      </c>
      <c r="AD85" s="627">
        <v>40</v>
      </c>
      <c r="AE85" s="627">
        <v>40</v>
      </c>
      <c r="AF85" s="627">
        <v>40</v>
      </c>
    </row>
    <row r="86" spans="4:50">
      <c r="M86" s="569">
        <v>5</v>
      </c>
      <c r="N86" s="627">
        <v>40</v>
      </c>
      <c r="O86" s="627">
        <v>40</v>
      </c>
      <c r="P86" s="627">
        <v>40</v>
      </c>
      <c r="Q86" s="627">
        <v>40</v>
      </c>
      <c r="R86" s="627">
        <v>40</v>
      </c>
      <c r="S86" s="627">
        <v>40</v>
      </c>
      <c r="T86" s="627">
        <v>40</v>
      </c>
      <c r="U86" s="627">
        <v>40</v>
      </c>
      <c r="V86" s="627">
        <v>40</v>
      </c>
      <c r="W86" s="627">
        <v>40</v>
      </c>
      <c r="X86" s="627">
        <v>40</v>
      </c>
      <c r="Y86" s="627">
        <v>40</v>
      </c>
      <c r="Z86" s="627">
        <v>40</v>
      </c>
      <c r="AA86" s="627">
        <v>40</v>
      </c>
      <c r="AB86" s="627">
        <v>40</v>
      </c>
      <c r="AC86" s="627">
        <v>40</v>
      </c>
      <c r="AD86" s="627">
        <v>40</v>
      </c>
      <c r="AE86" s="627">
        <v>40</v>
      </c>
      <c r="AF86" s="627">
        <v>40</v>
      </c>
    </row>
    <row r="87" spans="4:50">
      <c r="M87" s="569">
        <v>6</v>
      </c>
      <c r="N87" s="627">
        <v>50</v>
      </c>
      <c r="O87" s="627">
        <v>50</v>
      </c>
      <c r="P87" s="627">
        <v>50</v>
      </c>
      <c r="Q87" s="627">
        <v>50</v>
      </c>
      <c r="R87" s="627">
        <v>50</v>
      </c>
      <c r="S87" s="627">
        <v>50</v>
      </c>
      <c r="T87" s="627">
        <v>50</v>
      </c>
      <c r="U87" s="627">
        <v>50</v>
      </c>
      <c r="V87" s="627">
        <v>50</v>
      </c>
      <c r="W87" s="627">
        <v>50</v>
      </c>
      <c r="X87" s="627">
        <v>50</v>
      </c>
      <c r="Y87" s="627">
        <v>50</v>
      </c>
      <c r="Z87" s="627">
        <v>50</v>
      </c>
      <c r="AA87" s="627">
        <v>50</v>
      </c>
      <c r="AB87" s="627">
        <v>50</v>
      </c>
      <c r="AC87" s="627">
        <v>50</v>
      </c>
      <c r="AD87" s="627">
        <v>50</v>
      </c>
      <c r="AE87" s="627">
        <v>50</v>
      </c>
      <c r="AF87" s="627">
        <v>50</v>
      </c>
    </row>
    <row r="88" spans="4:50">
      <c r="M88" s="569">
        <v>7</v>
      </c>
      <c r="N88" s="627">
        <v>12</v>
      </c>
      <c r="O88" s="627">
        <v>12</v>
      </c>
      <c r="P88" s="627">
        <v>12</v>
      </c>
      <c r="Q88" s="627">
        <v>12</v>
      </c>
      <c r="R88" s="627">
        <v>12</v>
      </c>
      <c r="S88" s="627">
        <v>12</v>
      </c>
      <c r="T88" s="627">
        <v>12</v>
      </c>
      <c r="U88" s="627">
        <v>12</v>
      </c>
      <c r="V88" s="627">
        <v>12</v>
      </c>
      <c r="W88" s="627">
        <v>12</v>
      </c>
      <c r="X88" s="627">
        <v>12</v>
      </c>
      <c r="Y88" s="627">
        <v>12</v>
      </c>
      <c r="Z88" s="627">
        <v>12</v>
      </c>
      <c r="AA88" s="627">
        <v>12</v>
      </c>
      <c r="AB88" s="627">
        <v>12</v>
      </c>
      <c r="AC88" s="627">
        <v>12</v>
      </c>
      <c r="AD88" s="627">
        <v>12</v>
      </c>
      <c r="AE88" s="627">
        <v>12</v>
      </c>
      <c r="AF88" s="627">
        <v>12</v>
      </c>
    </row>
    <row r="89" spans="4:50">
      <c r="D89" s="126" t="s">
        <v>26770</v>
      </c>
      <c r="E89" s="8"/>
      <c r="F89" s="8"/>
      <c r="G89" s="12"/>
      <c r="H89" s="8"/>
      <c r="J89"/>
      <c r="M89" s="569">
        <v>8</v>
      </c>
      <c r="N89" s="627">
        <v>8</v>
      </c>
      <c r="O89" s="627">
        <v>8</v>
      </c>
      <c r="P89" s="627">
        <v>8</v>
      </c>
      <c r="Q89" s="627">
        <v>8</v>
      </c>
      <c r="R89" s="627">
        <v>8</v>
      </c>
      <c r="S89" s="627">
        <v>8</v>
      </c>
      <c r="T89" s="627">
        <v>8</v>
      </c>
      <c r="U89" s="627">
        <v>8</v>
      </c>
      <c r="V89" s="627">
        <v>8</v>
      </c>
      <c r="W89" s="627">
        <v>8</v>
      </c>
      <c r="X89" s="627">
        <v>8</v>
      </c>
      <c r="Y89" s="627">
        <v>8</v>
      </c>
      <c r="Z89" s="627">
        <v>8</v>
      </c>
      <c r="AA89" s="627">
        <v>8</v>
      </c>
      <c r="AB89" s="627">
        <v>8</v>
      </c>
      <c r="AC89" s="627">
        <v>8</v>
      </c>
      <c r="AD89" s="627">
        <v>8</v>
      </c>
      <c r="AE89" s="627">
        <v>8</v>
      </c>
      <c r="AF89" s="627">
        <v>8</v>
      </c>
    </row>
    <row r="90" spans="4:50">
      <c r="D90" s="8"/>
      <c r="E90" s="1774">
        <v>2024</v>
      </c>
      <c r="F90" s="1774">
        <v>2025</v>
      </c>
      <c r="G90" s="1771">
        <v>2026</v>
      </c>
      <c r="H90" s="1772">
        <v>2027</v>
      </c>
      <c r="I90" s="1774">
        <v>2028</v>
      </c>
      <c r="J90" s="1774">
        <v>2029</v>
      </c>
      <c r="M90" s="569">
        <v>9</v>
      </c>
      <c r="N90" s="627">
        <v>15</v>
      </c>
      <c r="O90" s="627">
        <v>15</v>
      </c>
      <c r="P90" s="627">
        <v>15</v>
      </c>
      <c r="Q90" s="627">
        <v>15</v>
      </c>
      <c r="R90" s="627">
        <v>15</v>
      </c>
      <c r="S90" s="627">
        <v>15</v>
      </c>
      <c r="T90" s="627">
        <v>15</v>
      </c>
      <c r="U90" s="627">
        <v>15</v>
      </c>
      <c r="V90" s="627">
        <v>15</v>
      </c>
      <c r="W90" s="627">
        <v>15</v>
      </c>
      <c r="X90" s="627">
        <v>15</v>
      </c>
      <c r="Y90" s="627">
        <v>15</v>
      </c>
      <c r="Z90" s="627">
        <v>15</v>
      </c>
      <c r="AA90" s="627">
        <v>15</v>
      </c>
      <c r="AB90" s="627">
        <v>15</v>
      </c>
      <c r="AC90" s="627">
        <v>15</v>
      </c>
      <c r="AD90" s="627">
        <v>15</v>
      </c>
      <c r="AE90" s="627">
        <v>15</v>
      </c>
      <c r="AF90" s="627">
        <v>15</v>
      </c>
    </row>
    <row r="91" spans="4:50" ht="15.75">
      <c r="D91" s="56" t="s">
        <v>22737</v>
      </c>
      <c r="E91" s="719">
        <f>+SUM(IMN_Proprietari!$S:$S)</f>
        <v>0</v>
      </c>
      <c r="F91" s="719">
        <f>+SUM(IMN_Proprietari!$AC:$AC)</f>
        <v>0</v>
      </c>
      <c r="G91" s="719">
        <f>+SUM(IMN_Proprietari!$AM:$AM)</f>
        <v>0</v>
      </c>
      <c r="H91" s="719">
        <f>+SUM(IMN_Proprietari!$AW:$AW)</f>
        <v>0</v>
      </c>
      <c r="I91" s="719">
        <f>+SUM(IMN_Proprietari!$BG:$BG)</f>
        <v>0</v>
      </c>
      <c r="J91" s="719">
        <f>+SUM(IMN_Proprietari!$BQ:$BQ)</f>
        <v>0</v>
      </c>
      <c r="M91" s="569">
        <v>10</v>
      </c>
      <c r="N91" s="627">
        <v>15</v>
      </c>
      <c r="O91" s="627">
        <v>15</v>
      </c>
      <c r="P91" s="627">
        <v>15</v>
      </c>
      <c r="Q91" s="627">
        <v>15</v>
      </c>
      <c r="R91" s="627">
        <v>15</v>
      </c>
      <c r="S91" s="627">
        <v>15</v>
      </c>
      <c r="T91" s="627">
        <v>15</v>
      </c>
      <c r="U91" s="627">
        <v>15</v>
      </c>
      <c r="V91" s="627">
        <v>15</v>
      </c>
      <c r="W91" s="627">
        <v>15</v>
      </c>
      <c r="X91" s="627">
        <v>15</v>
      </c>
      <c r="Y91" s="627">
        <v>15</v>
      </c>
      <c r="Z91" s="627">
        <v>15</v>
      </c>
      <c r="AA91" s="627">
        <v>15</v>
      </c>
      <c r="AB91" s="627">
        <v>15</v>
      </c>
      <c r="AC91" s="627">
        <v>15</v>
      </c>
      <c r="AD91" s="627">
        <v>15</v>
      </c>
      <c r="AE91" s="627">
        <v>15</v>
      </c>
      <c r="AF91" s="627">
        <v>15</v>
      </c>
    </row>
    <row r="92" spans="4:50" ht="15.75">
      <c r="D92" s="56" t="s">
        <v>24833</v>
      </c>
      <c r="E92" s="1264">
        <f>+SUM(IMN_Proprietari!$T:$T)</f>
        <v>0</v>
      </c>
      <c r="F92" s="1264">
        <f>+SUM(IMN_Proprietari!$AD:$AD)</f>
        <v>0</v>
      </c>
      <c r="G92" s="1264">
        <f>+SUM(IMN_Proprietari!$AN:$AN)</f>
        <v>0</v>
      </c>
      <c r="H92" s="1264">
        <f>+SUM(IMN_Proprietari!$AX:$AX)</f>
        <v>0</v>
      </c>
      <c r="I92" s="1264">
        <f>+SUM(IMN_Proprietari!$BH:$BH)</f>
        <v>0</v>
      </c>
      <c r="J92" s="1264">
        <f>+SUM(IMN_Proprietari!$BR:$BR)</f>
        <v>0</v>
      </c>
      <c r="M92" s="569">
        <v>11</v>
      </c>
      <c r="N92" s="627">
        <v>20</v>
      </c>
      <c r="O92" s="627">
        <v>20</v>
      </c>
      <c r="P92" s="627">
        <v>20</v>
      </c>
      <c r="Q92" s="627">
        <v>20</v>
      </c>
      <c r="R92" s="627">
        <v>20</v>
      </c>
      <c r="S92" s="627">
        <v>20</v>
      </c>
      <c r="T92" s="627">
        <v>20</v>
      </c>
      <c r="U92" s="627">
        <v>20</v>
      </c>
      <c r="V92" s="627">
        <v>20</v>
      </c>
      <c r="W92" s="627">
        <v>20</v>
      </c>
      <c r="X92" s="627">
        <v>20</v>
      </c>
      <c r="Y92" s="627">
        <v>20</v>
      </c>
      <c r="Z92" s="627">
        <v>20</v>
      </c>
      <c r="AA92" s="627">
        <v>20</v>
      </c>
      <c r="AB92" s="627">
        <v>20</v>
      </c>
      <c r="AC92" s="627">
        <v>20</v>
      </c>
      <c r="AD92" s="627">
        <v>20</v>
      </c>
      <c r="AE92" s="627">
        <v>20</v>
      </c>
      <c r="AF92" s="627">
        <v>20</v>
      </c>
    </row>
    <row r="93" spans="4:50" ht="15.75">
      <c r="D93" s="56" t="s">
        <v>24834</v>
      </c>
      <c r="E93" s="719">
        <f>+E91-E92</f>
        <v>0</v>
      </c>
      <c r="F93" s="719">
        <f>+F91-F92</f>
        <v>0</v>
      </c>
      <c r="G93" s="719">
        <f>+G91-G92</f>
        <v>0</v>
      </c>
      <c r="H93" s="719">
        <f>+H91-H92</f>
        <v>0</v>
      </c>
      <c r="I93" s="719">
        <f>+SUM(IMN_Proprietari!$BI:$BI)</f>
        <v>0</v>
      </c>
      <c r="J93" s="719">
        <f>+SUM(IMN_Proprietari!$BS:$BS)</f>
        <v>0</v>
      </c>
      <c r="M93" s="569">
        <v>12</v>
      </c>
      <c r="N93" s="627">
        <v>10</v>
      </c>
      <c r="O93" s="627">
        <v>10</v>
      </c>
      <c r="P93" s="627">
        <v>10</v>
      </c>
      <c r="Q93" s="627">
        <v>10</v>
      </c>
      <c r="R93" s="627">
        <v>10</v>
      </c>
      <c r="S93" s="627">
        <v>10</v>
      </c>
      <c r="T93" s="627">
        <v>10</v>
      </c>
      <c r="U93" s="627">
        <v>10</v>
      </c>
      <c r="V93" s="627">
        <v>10</v>
      </c>
      <c r="W93" s="627">
        <v>10</v>
      </c>
      <c r="X93" s="627">
        <v>10</v>
      </c>
      <c r="Y93" s="627">
        <v>10</v>
      </c>
      <c r="Z93" s="627">
        <v>10</v>
      </c>
      <c r="AA93" s="627">
        <v>10</v>
      </c>
      <c r="AB93" s="627">
        <v>10</v>
      </c>
      <c r="AC93" s="627">
        <v>10</v>
      </c>
      <c r="AD93" s="627">
        <v>10</v>
      </c>
      <c r="AE93" s="627">
        <v>10</v>
      </c>
      <c r="AF93" s="627">
        <v>10</v>
      </c>
    </row>
    <row r="94" spans="4:50" ht="15.75">
      <c r="D94" s="56" t="s">
        <v>24835</v>
      </c>
      <c r="E94" s="1264">
        <f>+SUM(IMN_Proprietari!$V:$V)</f>
        <v>0</v>
      </c>
      <c r="F94" s="1264">
        <f>+SUM(IMN_Proprietari!$AF:$AF)</f>
        <v>0</v>
      </c>
      <c r="G94" s="1264">
        <f>+SUM(IMN_Proprietari!$AP:$AP)</f>
        <v>0</v>
      </c>
      <c r="H94" s="1264">
        <f>+SUM(IMN_Proprietari!$AZ:$AZ)</f>
        <v>0</v>
      </c>
      <c r="I94" s="1264">
        <f>+SUM(IMN_Proprietari!$BJ:$BJ)</f>
        <v>0</v>
      </c>
      <c r="J94" s="1264">
        <f>+SUM(IMN_Proprietari!$BT:$BT)</f>
        <v>0</v>
      </c>
      <c r="M94" s="570">
        <v>13</v>
      </c>
      <c r="N94" s="627">
        <v>8</v>
      </c>
      <c r="O94" s="627">
        <v>8</v>
      </c>
      <c r="P94" s="627">
        <v>8</v>
      </c>
      <c r="Q94" s="627">
        <v>8</v>
      </c>
      <c r="R94" s="627">
        <v>8</v>
      </c>
      <c r="S94" s="627">
        <v>8</v>
      </c>
      <c r="T94" s="627">
        <v>8</v>
      </c>
      <c r="U94" s="627">
        <v>8</v>
      </c>
      <c r="V94" s="627">
        <v>8</v>
      </c>
      <c r="W94" s="627">
        <v>8</v>
      </c>
      <c r="X94" s="627">
        <v>8</v>
      </c>
      <c r="Y94" s="627">
        <v>8</v>
      </c>
      <c r="Z94" s="627">
        <v>8</v>
      </c>
      <c r="AA94" s="627">
        <v>8</v>
      </c>
      <c r="AB94" s="627">
        <v>8</v>
      </c>
      <c r="AC94" s="627">
        <v>8</v>
      </c>
      <c r="AD94" s="627">
        <v>8</v>
      </c>
      <c r="AE94" s="627">
        <v>8</v>
      </c>
      <c r="AF94" s="627">
        <v>8</v>
      </c>
    </row>
    <row r="95" spans="4:50" ht="15.75">
      <c r="D95" s="56" t="s">
        <v>24836</v>
      </c>
      <c r="E95" s="719">
        <f>+SUM(IMN_Proprietari!$W:$W)</f>
        <v>0</v>
      </c>
      <c r="F95" s="719">
        <f>+SUM(IMN_Proprietari!$AG:$AG)</f>
        <v>0</v>
      </c>
      <c r="G95" s="719">
        <f>+SUM(IMN_Proprietari!$AQ:$AQ)</f>
        <v>0</v>
      </c>
      <c r="H95" s="719">
        <f>+SUM(IMN_Proprietari!$BA:$BA)</f>
        <v>0</v>
      </c>
      <c r="I95" s="719">
        <f>+SUM(IMN_Proprietari!$BK:$BK)</f>
        <v>0</v>
      </c>
      <c r="J95" s="719">
        <f>+SUM(IMN_Proprietari!$BU:$BU)</f>
        <v>0</v>
      </c>
      <c r="M95" s="570">
        <v>14</v>
      </c>
      <c r="N95" s="627">
        <v>5</v>
      </c>
      <c r="O95" s="627">
        <v>5</v>
      </c>
      <c r="P95" s="627">
        <v>5</v>
      </c>
      <c r="Q95" s="627">
        <v>5</v>
      </c>
      <c r="R95" s="627">
        <v>5</v>
      </c>
      <c r="S95" s="627">
        <v>5</v>
      </c>
      <c r="T95" s="627">
        <v>5</v>
      </c>
      <c r="U95" s="627">
        <v>5</v>
      </c>
      <c r="V95" s="627">
        <v>5</v>
      </c>
      <c r="W95" s="627">
        <v>5</v>
      </c>
      <c r="X95" s="627">
        <v>5</v>
      </c>
      <c r="Y95" s="627">
        <v>5</v>
      </c>
      <c r="Z95" s="627">
        <v>5</v>
      </c>
      <c r="AA95" s="627">
        <v>5</v>
      </c>
      <c r="AB95" s="627">
        <v>5</v>
      </c>
      <c r="AC95" s="627">
        <v>5</v>
      </c>
      <c r="AD95" s="627">
        <v>5</v>
      </c>
      <c r="AE95" s="627">
        <v>5</v>
      </c>
      <c r="AF95" s="627">
        <v>5</v>
      </c>
    </row>
    <row r="96" spans="4:50" ht="15.75">
      <c r="D96" s="56" t="s">
        <v>24837</v>
      </c>
      <c r="E96" s="1264">
        <f>+SUM(IMN_Proprietari!$X:$X)</f>
        <v>0</v>
      </c>
      <c r="F96" s="1264">
        <f>+SUM(IMN_Proprietari!$AH:$AH)</f>
        <v>0</v>
      </c>
      <c r="G96" s="1264">
        <f>+SUM(IMN_Proprietari!$AR:$AR)</f>
        <v>0</v>
      </c>
      <c r="H96" s="1264">
        <f>+SUM(IMN_Proprietari!$BB:$BB)</f>
        <v>0</v>
      </c>
      <c r="I96" s="1264">
        <f>+SUM(IMN_Proprietari!$BL:$BL)</f>
        <v>0</v>
      </c>
      <c r="J96" s="1264">
        <f>+SUM(IMN_Proprietari!$BV:$BV)</f>
        <v>0</v>
      </c>
      <c r="M96" s="569">
        <v>15</v>
      </c>
      <c r="N96" s="627">
        <v>5</v>
      </c>
      <c r="O96" s="627">
        <v>5</v>
      </c>
      <c r="P96" s="627">
        <v>5</v>
      </c>
      <c r="Q96" s="627">
        <v>5</v>
      </c>
      <c r="R96" s="627">
        <v>5</v>
      </c>
      <c r="S96" s="627">
        <v>5</v>
      </c>
      <c r="T96" s="627">
        <v>5</v>
      </c>
      <c r="U96" s="627">
        <v>5</v>
      </c>
      <c r="V96" s="627">
        <v>5</v>
      </c>
      <c r="W96" s="627">
        <v>5</v>
      </c>
      <c r="X96" s="627">
        <v>5</v>
      </c>
      <c r="Y96" s="627">
        <v>5</v>
      </c>
      <c r="Z96" s="627">
        <v>5</v>
      </c>
      <c r="AA96" s="627">
        <v>5</v>
      </c>
      <c r="AB96" s="627">
        <v>5</v>
      </c>
      <c r="AC96" s="627">
        <v>5</v>
      </c>
      <c r="AD96" s="627">
        <v>5</v>
      </c>
      <c r="AE96" s="627">
        <v>5</v>
      </c>
      <c r="AF96" s="627">
        <v>5</v>
      </c>
    </row>
    <row r="97" spans="4:32" ht="15.75">
      <c r="D97" s="56" t="s">
        <v>24838</v>
      </c>
      <c r="E97" s="719">
        <f>+E95-E96</f>
        <v>0</v>
      </c>
      <c r="F97" s="719">
        <f>+F95-F96</f>
        <v>0</v>
      </c>
      <c r="G97" s="719">
        <f>+G95-G96</f>
        <v>0</v>
      </c>
      <c r="H97" s="719">
        <f>+H95-H96</f>
        <v>0</v>
      </c>
      <c r="I97" s="719">
        <f>+SUM(IMN_Proprietari!$BM:$BM)</f>
        <v>0</v>
      </c>
      <c r="J97" s="719">
        <f>+SUM(IMN_Proprietari!$BW:$BW)</f>
        <v>0</v>
      </c>
      <c r="M97" s="569">
        <v>16</v>
      </c>
      <c r="N97" s="627">
        <v>7</v>
      </c>
      <c r="O97" s="627">
        <v>7</v>
      </c>
      <c r="P97" s="627">
        <v>7</v>
      </c>
      <c r="Q97" s="627">
        <v>7</v>
      </c>
      <c r="R97" s="627">
        <v>7</v>
      </c>
      <c r="S97" s="627">
        <v>7</v>
      </c>
      <c r="T97" s="627">
        <v>7</v>
      </c>
      <c r="U97" s="627">
        <v>7</v>
      </c>
      <c r="V97" s="627">
        <v>7</v>
      </c>
      <c r="W97" s="627">
        <v>7</v>
      </c>
      <c r="X97" s="627">
        <v>7</v>
      </c>
      <c r="Y97" s="627">
        <v>7</v>
      </c>
      <c r="Z97" s="627">
        <v>7</v>
      </c>
      <c r="AA97" s="627">
        <v>7</v>
      </c>
      <c r="AB97" s="627">
        <v>7</v>
      </c>
      <c r="AC97" s="627">
        <v>7</v>
      </c>
      <c r="AD97" s="627">
        <v>7</v>
      </c>
      <c r="AE97" s="627">
        <v>7</v>
      </c>
      <c r="AF97" s="627">
        <v>7</v>
      </c>
    </row>
    <row r="98" spans="4:32" ht="15.75">
      <c r="D98" s="56" t="s">
        <v>24839</v>
      </c>
      <c r="E98" s="1264">
        <f>+SUM(IMN_Proprietari!$Z:$Z)</f>
        <v>0</v>
      </c>
      <c r="F98" s="1264">
        <f>+SUM(IMN_Proprietari!$AJ:$AJ)</f>
        <v>0</v>
      </c>
      <c r="G98" s="1264">
        <f>+SUM(IMN_Proprietari!$AT:$AT)</f>
        <v>0</v>
      </c>
      <c r="H98" s="1264">
        <f>+SUM(IMN_Proprietari!$BD:$BD)</f>
        <v>0</v>
      </c>
      <c r="I98" s="1264">
        <f>+SUM(IMN_Proprietari!$BN:$BN)</f>
        <v>0</v>
      </c>
      <c r="J98" s="1264">
        <f>+SUM(IMN_Proprietari!$BX:$BX)</f>
        <v>0</v>
      </c>
    </row>
    <row r="99" spans="4:32">
      <c r="G99" s="718"/>
      <c r="J99"/>
    </row>
    <row r="100" spans="4:32">
      <c r="G100" s="718"/>
      <c r="M100" s="67" t="s">
        <v>30387</v>
      </c>
    </row>
    <row r="101" spans="4:32">
      <c r="G101" s="718"/>
    </row>
    <row r="102" spans="4:32">
      <c r="G102" s="718"/>
      <c r="M102" s="632" t="s">
        <v>110</v>
      </c>
      <c r="N102" s="632">
        <v>2011</v>
      </c>
      <c r="O102" s="632">
        <v>2012</v>
      </c>
      <c r="P102" s="632">
        <v>2013</v>
      </c>
      <c r="Q102" s="632">
        <v>2014</v>
      </c>
      <c r="R102" s="632">
        <v>2015</v>
      </c>
      <c r="S102" s="632">
        <v>2016</v>
      </c>
      <c r="T102" s="632">
        <v>2017</v>
      </c>
      <c r="U102" s="632">
        <v>2018</v>
      </c>
      <c r="V102" s="632">
        <v>2019</v>
      </c>
      <c r="W102" s="632">
        <v>2020</v>
      </c>
      <c r="X102" s="632">
        <v>2021</v>
      </c>
      <c r="Y102" s="632">
        <v>2022</v>
      </c>
      <c r="Z102" s="632">
        <v>2023</v>
      </c>
      <c r="AA102" s="632">
        <v>2024</v>
      </c>
      <c r="AB102" s="632">
        <v>2025</v>
      </c>
      <c r="AC102" s="632">
        <v>2026</v>
      </c>
      <c r="AD102" s="632">
        <v>2027</v>
      </c>
      <c r="AE102" s="632">
        <v>2028</v>
      </c>
      <c r="AF102" s="632">
        <v>2029</v>
      </c>
    </row>
    <row r="103" spans="4:32">
      <c r="G103" s="718"/>
      <c r="M103" s="569">
        <v>1</v>
      </c>
      <c r="N103" s="569">
        <v>0</v>
      </c>
      <c r="O103" s="569">
        <v>0</v>
      </c>
      <c r="P103" s="569">
        <v>0</v>
      </c>
      <c r="Q103" s="569">
        <v>0</v>
      </c>
      <c r="R103" s="569">
        <v>0</v>
      </c>
      <c r="S103" s="569">
        <v>0</v>
      </c>
      <c r="T103" s="569">
        <v>0</v>
      </c>
      <c r="U103" s="569">
        <v>0</v>
      </c>
      <c r="V103" s="569">
        <v>0</v>
      </c>
      <c r="W103" s="569">
        <v>0</v>
      </c>
      <c r="X103" s="569">
        <v>0</v>
      </c>
      <c r="Y103" s="569">
        <v>0</v>
      </c>
      <c r="Z103" s="569">
        <v>0</v>
      </c>
      <c r="AA103" s="569">
        <v>0</v>
      </c>
      <c r="AB103" s="569">
        <v>0</v>
      </c>
      <c r="AC103" s="569">
        <v>0</v>
      </c>
      <c r="AD103" s="569">
        <v>0</v>
      </c>
      <c r="AE103" s="569">
        <v>0</v>
      </c>
      <c r="AF103" s="569">
        <v>0</v>
      </c>
    </row>
    <row r="104" spans="4:32">
      <c r="G104" s="718"/>
      <c r="M104" s="569">
        <v>2</v>
      </c>
      <c r="N104" s="569">
        <v>40</v>
      </c>
      <c r="O104" s="569">
        <v>40</v>
      </c>
      <c r="P104" s="569">
        <v>40</v>
      </c>
      <c r="Q104" s="569">
        <v>40</v>
      </c>
      <c r="R104" s="569">
        <v>40</v>
      </c>
      <c r="S104" s="569">
        <v>40</v>
      </c>
      <c r="T104" s="569">
        <v>40</v>
      </c>
      <c r="U104" s="569">
        <v>40</v>
      </c>
      <c r="V104" s="569">
        <v>40</v>
      </c>
      <c r="W104" s="569">
        <v>40</v>
      </c>
      <c r="X104" s="569">
        <v>40</v>
      </c>
      <c r="Y104" s="569">
        <v>40</v>
      </c>
      <c r="Z104" s="569">
        <v>40</v>
      </c>
      <c r="AA104" s="569">
        <v>40</v>
      </c>
      <c r="AB104" s="569">
        <v>40</v>
      </c>
      <c r="AC104" s="569">
        <v>40</v>
      </c>
      <c r="AD104" s="569">
        <v>40</v>
      </c>
      <c r="AE104" s="569">
        <v>40</v>
      </c>
      <c r="AF104" s="569">
        <v>40</v>
      </c>
    </row>
    <row r="105" spans="4:32">
      <c r="G105" s="718"/>
      <c r="M105" s="569">
        <v>3</v>
      </c>
      <c r="N105" s="569">
        <v>40</v>
      </c>
      <c r="O105" s="569">
        <v>40</v>
      </c>
      <c r="P105" s="569">
        <v>40</v>
      </c>
      <c r="Q105" s="569">
        <v>40</v>
      </c>
      <c r="R105" s="569">
        <v>40</v>
      </c>
      <c r="S105" s="569">
        <v>40</v>
      </c>
      <c r="T105" s="569">
        <v>40</v>
      </c>
      <c r="U105" s="569">
        <v>40</v>
      </c>
      <c r="V105" s="569">
        <v>40</v>
      </c>
      <c r="W105" s="569">
        <v>40</v>
      </c>
      <c r="X105" s="569">
        <v>40</v>
      </c>
      <c r="Y105" s="569">
        <v>40</v>
      </c>
      <c r="Z105" s="569">
        <v>40</v>
      </c>
      <c r="AA105" s="569">
        <v>40</v>
      </c>
      <c r="AB105" s="569">
        <v>40</v>
      </c>
      <c r="AC105" s="569">
        <v>40</v>
      </c>
      <c r="AD105" s="569">
        <v>40</v>
      </c>
      <c r="AE105" s="569">
        <v>40</v>
      </c>
      <c r="AF105" s="569">
        <v>40</v>
      </c>
    </row>
    <row r="106" spans="4:32">
      <c r="M106" s="569">
        <v>4</v>
      </c>
      <c r="N106" s="569">
        <v>40</v>
      </c>
      <c r="O106" s="569">
        <v>40</v>
      </c>
      <c r="P106" s="569">
        <v>40</v>
      </c>
      <c r="Q106" s="569">
        <v>40</v>
      </c>
      <c r="R106" s="569">
        <v>40</v>
      </c>
      <c r="S106" s="569">
        <v>40</v>
      </c>
      <c r="T106" s="569">
        <v>40</v>
      </c>
      <c r="U106" s="569">
        <v>40</v>
      </c>
      <c r="V106" s="569">
        <v>40</v>
      </c>
      <c r="W106" s="569">
        <v>40</v>
      </c>
      <c r="X106" s="569">
        <v>40</v>
      </c>
      <c r="Y106" s="569">
        <v>40</v>
      </c>
      <c r="Z106" s="569">
        <v>40</v>
      </c>
      <c r="AA106" s="569">
        <v>40</v>
      </c>
      <c r="AB106" s="569">
        <v>40</v>
      </c>
      <c r="AC106" s="569">
        <v>40</v>
      </c>
      <c r="AD106" s="569">
        <v>40</v>
      </c>
      <c r="AE106" s="569">
        <v>40</v>
      </c>
      <c r="AF106" s="569">
        <v>40</v>
      </c>
    </row>
    <row r="107" spans="4:32">
      <c r="M107" s="569">
        <v>5</v>
      </c>
      <c r="N107" s="569">
        <v>8</v>
      </c>
      <c r="O107" s="569">
        <v>8</v>
      </c>
      <c r="P107" s="569">
        <v>8</v>
      </c>
      <c r="Q107" s="569">
        <v>8</v>
      </c>
      <c r="R107" s="569">
        <v>8</v>
      </c>
      <c r="S107" s="569">
        <v>8</v>
      </c>
      <c r="T107" s="569">
        <v>8</v>
      </c>
      <c r="U107" s="569">
        <v>8</v>
      </c>
      <c r="V107" s="569">
        <v>8</v>
      </c>
      <c r="W107" s="569">
        <v>8</v>
      </c>
      <c r="X107" s="569">
        <v>8</v>
      </c>
      <c r="Y107" s="569">
        <v>8</v>
      </c>
      <c r="Z107" s="569">
        <v>8</v>
      </c>
      <c r="AA107" s="569">
        <v>8</v>
      </c>
      <c r="AB107" s="569">
        <v>8</v>
      </c>
      <c r="AC107" s="569">
        <v>8</v>
      </c>
      <c r="AD107" s="569">
        <v>8</v>
      </c>
      <c r="AE107" s="569">
        <v>8</v>
      </c>
      <c r="AF107" s="569">
        <v>8</v>
      </c>
    </row>
    <row r="108" spans="4:32">
      <c r="M108" s="569">
        <v>6</v>
      </c>
      <c r="N108" s="569">
        <v>20</v>
      </c>
      <c r="O108" s="569">
        <v>20</v>
      </c>
      <c r="P108" s="569">
        <v>20</v>
      </c>
      <c r="Q108" s="569">
        <v>20</v>
      </c>
      <c r="R108" s="569">
        <v>20</v>
      </c>
      <c r="S108" s="569">
        <v>20</v>
      </c>
      <c r="T108" s="569">
        <v>20</v>
      </c>
      <c r="U108" s="569">
        <v>20</v>
      </c>
      <c r="V108" s="569">
        <v>20</v>
      </c>
      <c r="W108" s="569">
        <v>20</v>
      </c>
      <c r="X108" s="569">
        <v>20</v>
      </c>
      <c r="Y108" s="569">
        <v>20</v>
      </c>
      <c r="Z108" s="569">
        <v>20</v>
      </c>
      <c r="AA108" s="569">
        <v>20</v>
      </c>
      <c r="AB108" s="569">
        <v>20</v>
      </c>
      <c r="AC108" s="569">
        <v>20</v>
      </c>
      <c r="AD108" s="569">
        <v>20</v>
      </c>
      <c r="AE108" s="569">
        <v>20</v>
      </c>
      <c r="AF108" s="569">
        <v>20</v>
      </c>
    </row>
    <row r="109" spans="4:32">
      <c r="M109" s="569">
        <v>7</v>
      </c>
      <c r="N109" s="569">
        <v>12</v>
      </c>
      <c r="O109" s="569">
        <v>12</v>
      </c>
      <c r="P109" s="569">
        <v>12</v>
      </c>
      <c r="Q109" s="569">
        <v>12</v>
      </c>
      <c r="R109" s="569">
        <v>12</v>
      </c>
      <c r="S109" s="569">
        <v>12</v>
      </c>
      <c r="T109" s="569">
        <v>12</v>
      </c>
      <c r="U109" s="569">
        <v>12</v>
      </c>
      <c r="V109" s="569">
        <v>12</v>
      </c>
      <c r="W109" s="569">
        <v>12</v>
      </c>
      <c r="X109" s="569">
        <v>12</v>
      </c>
      <c r="Y109" s="569">
        <v>12</v>
      </c>
      <c r="Z109" s="569">
        <v>12</v>
      </c>
      <c r="AA109" s="569">
        <v>12</v>
      </c>
      <c r="AB109" s="569">
        <v>12</v>
      </c>
      <c r="AC109" s="569">
        <v>12</v>
      </c>
      <c r="AD109" s="569">
        <v>12</v>
      </c>
      <c r="AE109" s="569">
        <v>12</v>
      </c>
      <c r="AF109" s="569">
        <v>12</v>
      </c>
    </row>
    <row r="110" spans="4:32">
      <c r="M110" s="569">
        <v>8</v>
      </c>
      <c r="N110" s="569">
        <v>10</v>
      </c>
      <c r="O110" s="569">
        <v>10</v>
      </c>
      <c r="P110" s="569">
        <v>10</v>
      </c>
      <c r="Q110" s="569">
        <v>10</v>
      </c>
      <c r="R110" s="569">
        <v>10</v>
      </c>
      <c r="S110" s="569">
        <v>10</v>
      </c>
      <c r="T110" s="569">
        <v>10</v>
      </c>
      <c r="U110" s="569">
        <v>10</v>
      </c>
      <c r="V110" s="569">
        <v>10</v>
      </c>
      <c r="W110" s="569">
        <v>10</v>
      </c>
      <c r="X110" s="569">
        <v>10</v>
      </c>
      <c r="Y110" s="569">
        <v>10</v>
      </c>
      <c r="Z110" s="569">
        <v>10</v>
      </c>
      <c r="AA110" s="569">
        <v>10</v>
      </c>
      <c r="AB110" s="569">
        <v>10</v>
      </c>
      <c r="AC110" s="569">
        <v>10</v>
      </c>
      <c r="AD110" s="569">
        <v>10</v>
      </c>
      <c r="AE110" s="569">
        <v>10</v>
      </c>
      <c r="AF110" s="569">
        <v>10</v>
      </c>
    </row>
    <row r="111" spans="4:32">
      <c r="M111" s="569">
        <v>9</v>
      </c>
      <c r="N111" s="569">
        <v>5</v>
      </c>
      <c r="O111" s="569">
        <v>5</v>
      </c>
      <c r="P111" s="569">
        <v>5</v>
      </c>
      <c r="Q111" s="569">
        <v>5</v>
      </c>
      <c r="R111" s="569">
        <v>5</v>
      </c>
      <c r="S111" s="569">
        <v>5</v>
      </c>
      <c r="T111" s="569">
        <v>5</v>
      </c>
      <c r="U111" s="569">
        <v>5</v>
      </c>
      <c r="V111" s="569">
        <v>5</v>
      </c>
      <c r="W111" s="569">
        <v>5</v>
      </c>
      <c r="X111" s="569">
        <v>5</v>
      </c>
      <c r="Y111" s="569">
        <v>5</v>
      </c>
      <c r="Z111" s="569">
        <v>5</v>
      </c>
      <c r="AA111" s="569">
        <v>5</v>
      </c>
      <c r="AB111" s="569">
        <v>5</v>
      </c>
      <c r="AC111" s="569">
        <v>5</v>
      </c>
      <c r="AD111" s="569">
        <v>5</v>
      </c>
      <c r="AE111" s="569">
        <v>5</v>
      </c>
      <c r="AF111" s="569">
        <v>5</v>
      </c>
    </row>
    <row r="112" spans="4:32">
      <c r="M112" s="569">
        <v>10</v>
      </c>
      <c r="N112" s="569">
        <v>8</v>
      </c>
      <c r="O112" s="569">
        <v>8</v>
      </c>
      <c r="P112" s="569">
        <v>8</v>
      </c>
      <c r="Q112" s="569">
        <v>8</v>
      </c>
      <c r="R112" s="569">
        <v>8</v>
      </c>
      <c r="S112" s="569">
        <v>8</v>
      </c>
      <c r="T112" s="569">
        <v>8</v>
      </c>
      <c r="U112" s="569">
        <v>8</v>
      </c>
      <c r="V112" s="569">
        <v>8</v>
      </c>
      <c r="W112" s="569">
        <v>8</v>
      </c>
      <c r="X112" s="569">
        <v>8</v>
      </c>
      <c r="Y112" s="569">
        <v>8</v>
      </c>
      <c r="Z112" s="569">
        <v>8</v>
      </c>
      <c r="AA112" s="569">
        <v>8</v>
      </c>
      <c r="AB112" s="569">
        <v>8</v>
      </c>
      <c r="AC112" s="569">
        <v>8</v>
      </c>
      <c r="AD112" s="569">
        <v>8</v>
      </c>
      <c r="AE112" s="569">
        <v>8</v>
      </c>
      <c r="AF112" s="569">
        <v>8</v>
      </c>
    </row>
    <row r="113" spans="13:32">
      <c r="M113" s="569">
        <v>11</v>
      </c>
      <c r="N113" s="569">
        <v>50</v>
      </c>
      <c r="O113" s="569">
        <v>50</v>
      </c>
      <c r="P113" s="569">
        <v>50</v>
      </c>
      <c r="Q113" s="569">
        <v>50</v>
      </c>
      <c r="R113" s="569">
        <v>50</v>
      </c>
      <c r="S113" s="569">
        <v>50</v>
      </c>
      <c r="T113" s="569">
        <v>50</v>
      </c>
      <c r="U113" s="569">
        <v>50</v>
      </c>
      <c r="V113" s="569">
        <v>50</v>
      </c>
      <c r="W113" s="569">
        <v>50</v>
      </c>
      <c r="X113" s="569">
        <v>50</v>
      </c>
      <c r="Y113" s="569">
        <v>50</v>
      </c>
      <c r="Z113" s="569">
        <v>50</v>
      </c>
      <c r="AA113" s="569">
        <v>50</v>
      </c>
      <c r="AB113" s="569">
        <v>50</v>
      </c>
      <c r="AC113" s="569">
        <v>50</v>
      </c>
      <c r="AD113" s="569">
        <v>50</v>
      </c>
      <c r="AE113" s="569">
        <v>50</v>
      </c>
      <c r="AF113" s="569">
        <v>50</v>
      </c>
    </row>
    <row r="114" spans="13:32">
      <c r="M114" s="569">
        <v>12</v>
      </c>
      <c r="N114" s="569">
        <v>40</v>
      </c>
      <c r="O114" s="569">
        <v>40</v>
      </c>
      <c r="P114" s="569">
        <v>40</v>
      </c>
      <c r="Q114" s="569">
        <v>40</v>
      </c>
      <c r="R114" s="569">
        <v>40</v>
      </c>
      <c r="S114" s="569">
        <v>40</v>
      </c>
      <c r="T114" s="569">
        <v>40</v>
      </c>
      <c r="U114" s="569">
        <v>40</v>
      </c>
      <c r="V114" s="569">
        <v>40</v>
      </c>
      <c r="W114" s="569">
        <v>40</v>
      </c>
      <c r="X114" s="569">
        <v>40</v>
      </c>
      <c r="Y114" s="569">
        <v>40</v>
      </c>
      <c r="Z114" s="569">
        <v>40</v>
      </c>
      <c r="AA114" s="569">
        <v>40</v>
      </c>
      <c r="AB114" s="569">
        <v>40</v>
      </c>
      <c r="AC114" s="569">
        <v>40</v>
      </c>
      <c r="AD114" s="569">
        <v>40</v>
      </c>
      <c r="AE114" s="569">
        <v>40</v>
      </c>
      <c r="AF114" s="569">
        <v>40</v>
      </c>
    </row>
    <row r="115" spans="13:32">
      <c r="M115" s="569">
        <v>13</v>
      </c>
      <c r="N115" s="569">
        <v>40</v>
      </c>
      <c r="O115" s="569">
        <v>40</v>
      </c>
      <c r="P115" s="569">
        <v>40</v>
      </c>
      <c r="Q115" s="569">
        <v>40</v>
      </c>
      <c r="R115" s="569">
        <v>40</v>
      </c>
      <c r="S115" s="569">
        <v>40</v>
      </c>
      <c r="T115" s="569">
        <v>40</v>
      </c>
      <c r="U115" s="569">
        <v>40</v>
      </c>
      <c r="V115" s="569">
        <v>40</v>
      </c>
      <c r="W115" s="569">
        <v>40</v>
      </c>
      <c r="X115" s="569">
        <v>40</v>
      </c>
      <c r="Y115" s="569">
        <v>40</v>
      </c>
      <c r="Z115" s="569">
        <v>40</v>
      </c>
      <c r="AA115" s="569">
        <v>40</v>
      </c>
      <c r="AB115" s="569">
        <v>40</v>
      </c>
      <c r="AC115" s="569">
        <v>40</v>
      </c>
      <c r="AD115" s="569">
        <v>40</v>
      </c>
      <c r="AE115" s="569">
        <v>40</v>
      </c>
      <c r="AF115" s="569">
        <v>40</v>
      </c>
    </row>
    <row r="116" spans="13:32">
      <c r="M116" s="569">
        <v>14</v>
      </c>
      <c r="N116" s="569">
        <v>8</v>
      </c>
      <c r="O116" s="569">
        <v>8</v>
      </c>
      <c r="P116" s="569">
        <v>8</v>
      </c>
      <c r="Q116" s="569">
        <v>8</v>
      </c>
      <c r="R116" s="569">
        <v>8</v>
      </c>
      <c r="S116" s="569">
        <v>8</v>
      </c>
      <c r="T116" s="569">
        <v>8</v>
      </c>
      <c r="U116" s="569">
        <v>8</v>
      </c>
      <c r="V116" s="569">
        <v>8</v>
      </c>
      <c r="W116" s="569">
        <v>8</v>
      </c>
      <c r="X116" s="569">
        <v>8</v>
      </c>
      <c r="Y116" s="569">
        <v>8</v>
      </c>
      <c r="Z116" s="569">
        <v>8</v>
      </c>
      <c r="AA116" s="569">
        <v>8</v>
      </c>
      <c r="AB116" s="569">
        <v>8</v>
      </c>
      <c r="AC116" s="569">
        <v>8</v>
      </c>
      <c r="AD116" s="569">
        <v>8</v>
      </c>
      <c r="AE116" s="569">
        <v>8</v>
      </c>
      <c r="AF116" s="569">
        <v>8</v>
      </c>
    </row>
    <row r="117" spans="13:32">
      <c r="M117" s="569">
        <v>15</v>
      </c>
      <c r="N117" s="569">
        <v>10</v>
      </c>
      <c r="O117" s="569">
        <v>10</v>
      </c>
      <c r="P117" s="569">
        <v>10</v>
      </c>
      <c r="Q117" s="569">
        <v>10</v>
      </c>
      <c r="R117" s="569">
        <v>10</v>
      </c>
      <c r="S117" s="569">
        <v>10</v>
      </c>
      <c r="T117" s="569">
        <v>10</v>
      </c>
      <c r="U117" s="569">
        <v>10</v>
      </c>
      <c r="V117" s="569">
        <v>10</v>
      </c>
      <c r="W117" s="569">
        <v>10</v>
      </c>
      <c r="X117" s="569">
        <v>10</v>
      </c>
      <c r="Y117" s="569">
        <v>10</v>
      </c>
      <c r="Z117" s="569">
        <v>10</v>
      </c>
      <c r="AA117" s="569">
        <v>10</v>
      </c>
      <c r="AB117" s="569">
        <v>10</v>
      </c>
      <c r="AC117" s="569">
        <v>10</v>
      </c>
      <c r="AD117" s="569">
        <v>10</v>
      </c>
      <c r="AE117" s="569">
        <v>10</v>
      </c>
      <c r="AF117" s="569">
        <v>10</v>
      </c>
    </row>
    <row r="118" spans="13:32">
      <c r="M118" s="569">
        <v>16</v>
      </c>
      <c r="N118" s="569">
        <v>5</v>
      </c>
      <c r="O118" s="569">
        <v>5</v>
      </c>
      <c r="P118" s="569">
        <v>5</v>
      </c>
      <c r="Q118" s="569">
        <v>5</v>
      </c>
      <c r="R118" s="569">
        <v>5</v>
      </c>
      <c r="S118" s="569">
        <v>5</v>
      </c>
      <c r="T118" s="569">
        <v>5</v>
      </c>
      <c r="U118" s="569">
        <v>5</v>
      </c>
      <c r="V118" s="569">
        <v>5</v>
      </c>
      <c r="W118" s="569">
        <v>5</v>
      </c>
      <c r="X118" s="569">
        <v>5</v>
      </c>
      <c r="Y118" s="569">
        <v>5</v>
      </c>
      <c r="Z118" s="569">
        <v>5</v>
      </c>
      <c r="AA118" s="569">
        <v>5</v>
      </c>
      <c r="AB118" s="569">
        <v>5</v>
      </c>
      <c r="AC118" s="569">
        <v>5</v>
      </c>
      <c r="AD118" s="569">
        <v>5</v>
      </c>
      <c r="AE118" s="569">
        <v>5</v>
      </c>
      <c r="AF118" s="569">
        <v>5</v>
      </c>
    </row>
    <row r="119" spans="13:32">
      <c r="M119" s="569">
        <v>17</v>
      </c>
      <c r="N119" s="569">
        <v>0</v>
      </c>
      <c r="O119" s="569">
        <v>0</v>
      </c>
      <c r="P119" s="569">
        <v>0</v>
      </c>
      <c r="Q119" s="569">
        <v>0</v>
      </c>
      <c r="R119" s="569">
        <v>0</v>
      </c>
      <c r="S119" s="569">
        <v>0</v>
      </c>
      <c r="T119" s="569">
        <v>0</v>
      </c>
      <c r="U119" s="569">
        <v>0</v>
      </c>
      <c r="V119" s="569">
        <v>0</v>
      </c>
      <c r="W119" s="569">
        <v>0</v>
      </c>
      <c r="X119" s="569">
        <v>0</v>
      </c>
      <c r="Y119" s="569">
        <v>0</v>
      </c>
      <c r="Z119" s="569">
        <v>0</v>
      </c>
      <c r="AA119" s="569">
        <v>0</v>
      </c>
      <c r="AB119" s="569">
        <v>0</v>
      </c>
      <c r="AC119" s="569">
        <v>0</v>
      </c>
      <c r="AD119" s="569">
        <v>0</v>
      </c>
      <c r="AE119" s="569">
        <v>0</v>
      </c>
      <c r="AF119" s="569">
        <v>0</v>
      </c>
    </row>
    <row r="120" spans="13:32">
      <c r="M120" s="569">
        <v>18</v>
      </c>
      <c r="N120" s="569">
        <v>8</v>
      </c>
      <c r="O120" s="569">
        <v>8</v>
      </c>
      <c r="P120" s="569">
        <v>8</v>
      </c>
      <c r="Q120" s="569">
        <v>8</v>
      </c>
      <c r="R120" s="569">
        <v>8</v>
      </c>
      <c r="S120" s="569">
        <v>8</v>
      </c>
      <c r="T120" s="569">
        <v>8</v>
      </c>
      <c r="U120" s="569">
        <v>8</v>
      </c>
      <c r="V120" s="569">
        <v>8</v>
      </c>
      <c r="W120" s="569">
        <v>8</v>
      </c>
      <c r="X120" s="569">
        <v>8</v>
      </c>
      <c r="Y120" s="569">
        <v>8</v>
      </c>
      <c r="Z120" s="569">
        <v>8</v>
      </c>
      <c r="AA120" s="569">
        <v>8</v>
      </c>
      <c r="AB120" s="569">
        <v>8</v>
      </c>
      <c r="AC120" s="569">
        <v>8</v>
      </c>
      <c r="AD120" s="569">
        <v>8</v>
      </c>
      <c r="AE120" s="569">
        <v>8</v>
      </c>
      <c r="AF120" s="569">
        <v>8</v>
      </c>
    </row>
    <row r="121" spans="13:32">
      <c r="M121" s="569">
        <v>19</v>
      </c>
      <c r="N121" s="569">
        <v>8</v>
      </c>
      <c r="O121" s="569">
        <v>8</v>
      </c>
      <c r="P121" s="569">
        <v>8</v>
      </c>
      <c r="Q121" s="569">
        <v>8</v>
      </c>
      <c r="R121" s="569">
        <v>8</v>
      </c>
      <c r="S121" s="569">
        <v>8</v>
      </c>
      <c r="T121" s="569">
        <v>8</v>
      </c>
      <c r="U121" s="569">
        <v>8</v>
      </c>
      <c r="V121" s="569">
        <v>8</v>
      </c>
      <c r="W121" s="569">
        <v>8</v>
      </c>
      <c r="X121" s="569">
        <v>8</v>
      </c>
      <c r="Y121" s="569">
        <v>8</v>
      </c>
      <c r="Z121" s="569">
        <v>8</v>
      </c>
      <c r="AA121" s="569">
        <v>8</v>
      </c>
      <c r="AB121" s="569">
        <v>8</v>
      </c>
      <c r="AC121" s="569">
        <v>8</v>
      </c>
      <c r="AD121" s="569">
        <v>8</v>
      </c>
      <c r="AE121" s="569">
        <v>8</v>
      </c>
      <c r="AF121" s="569">
        <v>8</v>
      </c>
    </row>
    <row r="122" spans="13:32">
      <c r="M122" s="569">
        <v>20</v>
      </c>
      <c r="N122" s="569">
        <v>40</v>
      </c>
      <c r="O122" s="569">
        <v>40</v>
      </c>
      <c r="P122" s="569">
        <v>40</v>
      </c>
      <c r="Q122" s="569">
        <v>40</v>
      </c>
      <c r="R122" s="569">
        <v>40</v>
      </c>
      <c r="S122" s="569">
        <v>40</v>
      </c>
      <c r="T122" s="569">
        <v>40</v>
      </c>
      <c r="U122" s="569">
        <v>40</v>
      </c>
      <c r="V122" s="569">
        <v>40</v>
      </c>
      <c r="W122" s="569">
        <v>40</v>
      </c>
      <c r="X122" s="569">
        <v>40</v>
      </c>
      <c r="Y122" s="569">
        <v>40</v>
      </c>
      <c r="Z122" s="569">
        <v>40</v>
      </c>
      <c r="AA122" s="569">
        <v>40</v>
      </c>
      <c r="AB122" s="569">
        <v>40</v>
      </c>
      <c r="AC122" s="569">
        <v>40</v>
      </c>
      <c r="AD122" s="569">
        <v>40</v>
      </c>
      <c r="AE122" s="569">
        <v>40</v>
      </c>
      <c r="AF122" s="569">
        <v>40</v>
      </c>
    </row>
    <row r="123" spans="13:32">
      <c r="M123" s="569">
        <v>21</v>
      </c>
      <c r="N123" s="569">
        <v>20</v>
      </c>
      <c r="O123" s="569">
        <v>20</v>
      </c>
      <c r="P123" s="569">
        <v>20</v>
      </c>
      <c r="Q123" s="569">
        <v>20</v>
      </c>
      <c r="R123" s="569">
        <v>20</v>
      </c>
      <c r="S123" s="569">
        <v>20</v>
      </c>
      <c r="T123" s="569">
        <v>20</v>
      </c>
      <c r="U123" s="569">
        <v>20</v>
      </c>
      <c r="V123" s="569">
        <v>20</v>
      </c>
      <c r="W123" s="569">
        <v>20</v>
      </c>
      <c r="X123" s="569">
        <v>20</v>
      </c>
      <c r="Y123" s="569">
        <v>20</v>
      </c>
      <c r="Z123" s="569">
        <v>20</v>
      </c>
      <c r="AA123" s="569">
        <v>20</v>
      </c>
      <c r="AB123" s="569">
        <v>20</v>
      </c>
      <c r="AC123" s="569">
        <v>20</v>
      </c>
      <c r="AD123" s="569">
        <v>20</v>
      </c>
      <c r="AE123" s="569">
        <v>20</v>
      </c>
      <c r="AF123" s="569">
        <v>20</v>
      </c>
    </row>
    <row r="124" spans="13:32">
      <c r="M124" s="569">
        <v>22</v>
      </c>
      <c r="N124" s="569">
        <v>20</v>
      </c>
      <c r="O124" s="569">
        <v>20</v>
      </c>
      <c r="P124" s="569">
        <v>20</v>
      </c>
      <c r="Q124" s="569">
        <v>20</v>
      </c>
      <c r="R124" s="569">
        <v>20</v>
      </c>
      <c r="S124" s="569">
        <v>20</v>
      </c>
      <c r="T124" s="569">
        <v>20</v>
      </c>
      <c r="U124" s="569">
        <v>20</v>
      </c>
      <c r="V124" s="569">
        <v>20</v>
      </c>
      <c r="W124" s="569">
        <v>20</v>
      </c>
      <c r="X124" s="569">
        <v>20</v>
      </c>
      <c r="Y124" s="569">
        <v>20</v>
      </c>
      <c r="Z124" s="569">
        <v>20</v>
      </c>
      <c r="AA124" s="569">
        <v>20</v>
      </c>
      <c r="AB124" s="569">
        <v>20</v>
      </c>
      <c r="AC124" s="569">
        <v>20</v>
      </c>
      <c r="AD124" s="569">
        <v>20</v>
      </c>
      <c r="AE124" s="569">
        <v>20</v>
      </c>
      <c r="AF124" s="569">
        <v>20</v>
      </c>
    </row>
    <row r="125" spans="13:32">
      <c r="M125" s="569">
        <v>23</v>
      </c>
      <c r="N125" s="569">
        <v>20</v>
      </c>
      <c r="O125" s="569">
        <v>20</v>
      </c>
      <c r="P125" s="569">
        <v>20</v>
      </c>
      <c r="Q125" s="569">
        <v>20</v>
      </c>
      <c r="R125" s="569">
        <v>20</v>
      </c>
      <c r="S125" s="569">
        <v>20</v>
      </c>
      <c r="T125" s="569">
        <v>20</v>
      </c>
      <c r="U125" s="569">
        <v>20</v>
      </c>
      <c r="V125" s="569">
        <v>20</v>
      </c>
      <c r="W125" s="569">
        <v>20</v>
      </c>
      <c r="X125" s="569">
        <v>20</v>
      </c>
      <c r="Y125" s="569">
        <v>20</v>
      </c>
      <c r="Z125" s="569">
        <v>20</v>
      </c>
      <c r="AA125" s="569">
        <v>20</v>
      </c>
      <c r="AB125" s="569">
        <v>20</v>
      </c>
      <c r="AC125" s="569">
        <v>20</v>
      </c>
      <c r="AD125" s="569">
        <v>20</v>
      </c>
      <c r="AE125" s="569">
        <v>20</v>
      </c>
      <c r="AF125" s="569">
        <v>20</v>
      </c>
    </row>
    <row r="126" spans="13:32">
      <c r="M126" s="569">
        <v>24</v>
      </c>
      <c r="N126" s="569">
        <v>20</v>
      </c>
      <c r="O126" s="569">
        <v>20</v>
      </c>
      <c r="P126" s="569">
        <v>20</v>
      </c>
      <c r="Q126" s="569">
        <v>20</v>
      </c>
      <c r="R126" s="569">
        <v>20</v>
      </c>
      <c r="S126" s="569">
        <v>20</v>
      </c>
      <c r="T126" s="569">
        <v>20</v>
      </c>
      <c r="U126" s="569">
        <v>20</v>
      </c>
      <c r="V126" s="569">
        <v>20</v>
      </c>
      <c r="W126" s="569">
        <v>20</v>
      </c>
      <c r="X126" s="569">
        <v>20</v>
      </c>
      <c r="Y126" s="569">
        <v>20</v>
      </c>
      <c r="Z126" s="569">
        <v>20</v>
      </c>
      <c r="AA126" s="569">
        <v>20</v>
      </c>
      <c r="AB126" s="569">
        <v>20</v>
      </c>
      <c r="AC126" s="569">
        <v>20</v>
      </c>
      <c r="AD126" s="569">
        <v>20</v>
      </c>
      <c r="AE126" s="569">
        <v>20</v>
      </c>
      <c r="AF126" s="569">
        <v>20</v>
      </c>
    </row>
    <row r="127" spans="13:32">
      <c r="M127" s="569">
        <v>25</v>
      </c>
      <c r="N127" s="569">
        <v>10</v>
      </c>
      <c r="O127" s="569">
        <v>10</v>
      </c>
      <c r="P127" s="569">
        <v>10</v>
      </c>
      <c r="Q127" s="569">
        <v>10</v>
      </c>
      <c r="R127" s="569">
        <v>10</v>
      </c>
      <c r="S127" s="569">
        <v>10</v>
      </c>
      <c r="T127" s="569">
        <v>10</v>
      </c>
      <c r="U127" s="569">
        <v>10</v>
      </c>
      <c r="V127" s="569">
        <v>10</v>
      </c>
      <c r="W127" s="569">
        <v>10</v>
      </c>
      <c r="X127" s="569">
        <v>10</v>
      </c>
      <c r="Y127" s="569">
        <v>10</v>
      </c>
      <c r="Z127" s="569">
        <v>10</v>
      </c>
      <c r="AA127" s="569">
        <v>10</v>
      </c>
      <c r="AB127" s="569">
        <v>10</v>
      </c>
      <c r="AC127" s="569">
        <v>10</v>
      </c>
      <c r="AD127" s="569">
        <v>10</v>
      </c>
      <c r="AE127" s="569">
        <v>10</v>
      </c>
      <c r="AF127" s="569">
        <v>10</v>
      </c>
    </row>
    <row r="128" spans="13:32">
      <c r="M128" s="569">
        <v>26</v>
      </c>
      <c r="N128" s="569">
        <v>5</v>
      </c>
      <c r="O128" s="569">
        <v>5</v>
      </c>
      <c r="P128" s="569">
        <v>5</v>
      </c>
      <c r="Q128" s="569">
        <v>5</v>
      </c>
      <c r="R128" s="569">
        <v>5</v>
      </c>
      <c r="S128" s="569">
        <v>5</v>
      </c>
      <c r="T128" s="569">
        <v>5</v>
      </c>
      <c r="U128" s="569">
        <v>5</v>
      </c>
      <c r="V128" s="569">
        <v>5</v>
      </c>
      <c r="W128" s="569">
        <v>5</v>
      </c>
      <c r="X128" s="569">
        <v>5</v>
      </c>
      <c r="Y128" s="569">
        <v>5</v>
      </c>
      <c r="Z128" s="569">
        <v>5</v>
      </c>
      <c r="AA128" s="569">
        <v>5</v>
      </c>
      <c r="AB128" s="569">
        <v>5</v>
      </c>
      <c r="AC128" s="569">
        <v>5</v>
      </c>
      <c r="AD128" s="569">
        <v>5</v>
      </c>
      <c r="AE128" s="569">
        <v>5</v>
      </c>
      <c r="AF128" s="569">
        <v>5</v>
      </c>
    </row>
    <row r="129" spans="13:32">
      <c r="M129" s="569">
        <v>27</v>
      </c>
      <c r="N129" s="569">
        <v>8</v>
      </c>
      <c r="O129" s="569">
        <v>8</v>
      </c>
      <c r="P129" s="569">
        <v>8</v>
      </c>
      <c r="Q129" s="569">
        <v>8</v>
      </c>
      <c r="R129" s="569">
        <v>8</v>
      </c>
      <c r="S129" s="569">
        <v>8</v>
      </c>
      <c r="T129" s="569">
        <v>8</v>
      </c>
      <c r="U129" s="569">
        <v>8</v>
      </c>
      <c r="V129" s="569">
        <v>8</v>
      </c>
      <c r="W129" s="569">
        <v>8</v>
      </c>
      <c r="X129" s="569">
        <v>8</v>
      </c>
      <c r="Y129" s="569">
        <v>8</v>
      </c>
      <c r="Z129" s="569">
        <v>8</v>
      </c>
      <c r="AA129" s="569">
        <v>8</v>
      </c>
      <c r="AB129" s="569">
        <v>8</v>
      </c>
      <c r="AC129" s="569">
        <v>8</v>
      </c>
      <c r="AD129" s="569">
        <v>8</v>
      </c>
      <c r="AE129" s="569">
        <v>8</v>
      </c>
      <c r="AF129" s="569">
        <v>8</v>
      </c>
    </row>
    <row r="130" spans="13:32">
      <c r="M130" s="569">
        <v>28</v>
      </c>
      <c r="N130" s="569">
        <v>20</v>
      </c>
      <c r="O130" s="569">
        <v>20</v>
      </c>
      <c r="P130" s="569">
        <v>20</v>
      </c>
      <c r="Q130" s="569">
        <v>20</v>
      </c>
      <c r="R130" s="569">
        <v>20</v>
      </c>
      <c r="S130" s="569">
        <v>20</v>
      </c>
      <c r="T130" s="569">
        <v>20</v>
      </c>
      <c r="U130" s="569">
        <v>20</v>
      </c>
      <c r="V130" s="569">
        <v>20</v>
      </c>
      <c r="W130" s="569">
        <v>20</v>
      </c>
      <c r="X130" s="569">
        <v>20</v>
      </c>
      <c r="Y130" s="569">
        <v>20</v>
      </c>
      <c r="Z130" s="569">
        <v>20</v>
      </c>
      <c r="AA130" s="569">
        <v>20</v>
      </c>
      <c r="AB130" s="569">
        <v>20</v>
      </c>
      <c r="AC130" s="569">
        <v>20</v>
      </c>
      <c r="AD130" s="569">
        <v>20</v>
      </c>
      <c r="AE130" s="569">
        <v>20</v>
      </c>
      <c r="AF130" s="569">
        <v>20</v>
      </c>
    </row>
    <row r="131" spans="13:32">
      <c r="M131" s="569">
        <v>29</v>
      </c>
      <c r="N131" s="569">
        <v>10</v>
      </c>
      <c r="O131" s="569">
        <v>10</v>
      </c>
      <c r="P131" s="569">
        <v>10</v>
      </c>
      <c r="Q131" s="569">
        <v>10</v>
      </c>
      <c r="R131" s="569">
        <v>10</v>
      </c>
      <c r="S131" s="569">
        <v>10</v>
      </c>
      <c r="T131" s="569">
        <v>10</v>
      </c>
      <c r="U131" s="569">
        <v>10</v>
      </c>
      <c r="V131" s="569">
        <v>10</v>
      </c>
      <c r="W131" s="569">
        <v>10</v>
      </c>
      <c r="X131" s="569">
        <v>10</v>
      </c>
      <c r="Y131" s="569">
        <v>10</v>
      </c>
      <c r="Z131" s="569">
        <v>10</v>
      </c>
      <c r="AA131" s="569">
        <v>10</v>
      </c>
      <c r="AB131" s="569">
        <v>10</v>
      </c>
      <c r="AC131" s="569">
        <v>10</v>
      </c>
      <c r="AD131" s="569">
        <v>10</v>
      </c>
      <c r="AE131" s="569">
        <v>10</v>
      </c>
      <c r="AF131" s="569">
        <v>10</v>
      </c>
    </row>
    <row r="132" spans="13:32">
      <c r="M132" s="569">
        <v>30</v>
      </c>
      <c r="N132" s="569">
        <v>5</v>
      </c>
      <c r="O132" s="569">
        <v>5</v>
      </c>
      <c r="P132" s="569">
        <v>5</v>
      </c>
      <c r="Q132" s="569">
        <v>5</v>
      </c>
      <c r="R132" s="569">
        <v>5</v>
      </c>
      <c r="S132" s="569">
        <v>5</v>
      </c>
      <c r="T132" s="569">
        <v>5</v>
      </c>
      <c r="U132" s="569">
        <v>5</v>
      </c>
      <c r="V132" s="569">
        <v>5</v>
      </c>
      <c r="W132" s="569">
        <v>5</v>
      </c>
      <c r="X132" s="569">
        <v>5</v>
      </c>
      <c r="Y132" s="569">
        <v>5</v>
      </c>
      <c r="Z132" s="569">
        <v>5</v>
      </c>
      <c r="AA132" s="569">
        <v>5</v>
      </c>
      <c r="AB132" s="569">
        <v>5</v>
      </c>
      <c r="AC132" s="569">
        <v>5</v>
      </c>
      <c r="AD132" s="569">
        <v>5</v>
      </c>
      <c r="AE132" s="569">
        <v>5</v>
      </c>
      <c r="AF132" s="569">
        <v>5</v>
      </c>
    </row>
    <row r="133" spans="13:32">
      <c r="M133" s="569">
        <v>31</v>
      </c>
      <c r="N133" s="569">
        <v>8</v>
      </c>
      <c r="O133" s="569">
        <v>8</v>
      </c>
      <c r="P133" s="569">
        <v>8</v>
      </c>
      <c r="Q133" s="569">
        <v>8</v>
      </c>
      <c r="R133" s="569">
        <v>8</v>
      </c>
      <c r="S133" s="569">
        <v>8</v>
      </c>
      <c r="T133" s="569">
        <v>8</v>
      </c>
      <c r="U133" s="569">
        <v>8</v>
      </c>
      <c r="V133" s="569">
        <v>8</v>
      </c>
      <c r="W133" s="569">
        <v>8</v>
      </c>
      <c r="X133" s="569">
        <v>8</v>
      </c>
      <c r="Y133" s="569">
        <v>8</v>
      </c>
      <c r="Z133" s="569">
        <v>8</v>
      </c>
      <c r="AA133" s="569">
        <v>8</v>
      </c>
      <c r="AB133" s="569">
        <v>8</v>
      </c>
      <c r="AC133" s="569">
        <v>8</v>
      </c>
      <c r="AD133" s="569">
        <v>8</v>
      </c>
      <c r="AE133" s="569">
        <v>8</v>
      </c>
      <c r="AF133" s="569">
        <v>8</v>
      </c>
    </row>
    <row r="134" spans="13:32">
      <c r="M134" s="569">
        <v>32</v>
      </c>
      <c r="N134" s="569">
        <v>5</v>
      </c>
      <c r="O134" s="569">
        <v>5</v>
      </c>
      <c r="P134" s="569">
        <v>5</v>
      </c>
      <c r="Q134" s="569">
        <v>5</v>
      </c>
      <c r="R134" s="569">
        <v>5</v>
      </c>
      <c r="S134" s="569">
        <v>5</v>
      </c>
      <c r="T134" s="569">
        <v>5</v>
      </c>
      <c r="U134" s="569">
        <v>5</v>
      </c>
      <c r="V134" s="569">
        <v>5</v>
      </c>
      <c r="W134" s="569">
        <v>5</v>
      </c>
      <c r="X134" s="569">
        <v>5</v>
      </c>
      <c r="Y134" s="569">
        <v>5</v>
      </c>
      <c r="Z134" s="569">
        <v>5</v>
      </c>
      <c r="AA134" s="569">
        <v>5</v>
      </c>
      <c r="AB134" s="569">
        <v>5</v>
      </c>
      <c r="AC134" s="569">
        <v>5</v>
      </c>
      <c r="AD134" s="569">
        <v>5</v>
      </c>
      <c r="AE134" s="569">
        <v>5</v>
      </c>
      <c r="AF134" s="569">
        <v>5</v>
      </c>
    </row>
    <row r="135" spans="13:32">
      <c r="M135" s="569">
        <v>33</v>
      </c>
      <c r="N135" s="569">
        <v>40</v>
      </c>
      <c r="O135" s="569">
        <v>40</v>
      </c>
      <c r="P135" s="569">
        <v>40</v>
      </c>
      <c r="Q135" s="569">
        <v>40</v>
      </c>
      <c r="R135" s="569">
        <v>40</v>
      </c>
      <c r="S135" s="569">
        <v>40</v>
      </c>
      <c r="T135" s="569">
        <v>40</v>
      </c>
      <c r="U135" s="569">
        <v>40</v>
      </c>
      <c r="V135" s="569">
        <v>40</v>
      </c>
      <c r="W135" s="569">
        <v>40</v>
      </c>
      <c r="X135" s="569">
        <v>40</v>
      </c>
      <c r="Y135" s="569">
        <v>40</v>
      </c>
      <c r="Z135" s="569">
        <v>40</v>
      </c>
      <c r="AA135" s="569">
        <v>40</v>
      </c>
      <c r="AB135" s="569">
        <v>40</v>
      </c>
      <c r="AC135" s="569">
        <v>40</v>
      </c>
      <c r="AD135" s="569">
        <v>40</v>
      </c>
      <c r="AE135" s="569">
        <v>40</v>
      </c>
      <c r="AF135" s="569">
        <v>40</v>
      </c>
    </row>
    <row r="136" spans="13:32">
      <c r="M136" s="569">
        <v>34</v>
      </c>
      <c r="N136" s="569">
        <v>40</v>
      </c>
      <c r="O136" s="569">
        <v>40</v>
      </c>
      <c r="P136" s="569">
        <v>40</v>
      </c>
      <c r="Q136" s="569">
        <v>40</v>
      </c>
      <c r="R136" s="569">
        <v>40</v>
      </c>
      <c r="S136" s="569">
        <v>40</v>
      </c>
      <c r="T136" s="569">
        <v>40</v>
      </c>
      <c r="U136" s="569">
        <v>40</v>
      </c>
      <c r="V136" s="569">
        <v>40</v>
      </c>
      <c r="W136" s="569">
        <v>40</v>
      </c>
      <c r="X136" s="569">
        <v>40</v>
      </c>
      <c r="Y136" s="569">
        <v>40</v>
      </c>
      <c r="Z136" s="569">
        <v>40</v>
      </c>
      <c r="AA136" s="569">
        <v>40</v>
      </c>
      <c r="AB136" s="569">
        <v>40</v>
      </c>
      <c r="AC136" s="569">
        <v>40</v>
      </c>
      <c r="AD136" s="569">
        <v>40</v>
      </c>
      <c r="AE136" s="569">
        <v>40</v>
      </c>
      <c r="AF136" s="569">
        <v>40</v>
      </c>
    </row>
    <row r="137" spans="13:32">
      <c r="M137" s="569">
        <v>35</v>
      </c>
      <c r="N137" s="569">
        <v>20</v>
      </c>
      <c r="O137" s="569">
        <v>20</v>
      </c>
      <c r="P137" s="569">
        <v>20</v>
      </c>
      <c r="Q137" s="569">
        <v>20</v>
      </c>
      <c r="R137" s="569">
        <v>20</v>
      </c>
      <c r="S137" s="569">
        <v>20</v>
      </c>
      <c r="T137" s="569">
        <v>20</v>
      </c>
      <c r="U137" s="569">
        <v>20</v>
      </c>
      <c r="V137" s="569">
        <v>20</v>
      </c>
      <c r="W137" s="569">
        <v>20</v>
      </c>
      <c r="X137" s="569">
        <v>20</v>
      </c>
      <c r="Y137" s="569">
        <v>20</v>
      </c>
      <c r="Z137" s="569">
        <v>20</v>
      </c>
      <c r="AA137" s="569">
        <v>20</v>
      </c>
      <c r="AB137" s="569">
        <v>20</v>
      </c>
      <c r="AC137" s="569">
        <v>20</v>
      </c>
      <c r="AD137" s="569">
        <v>20</v>
      </c>
      <c r="AE137" s="569">
        <v>20</v>
      </c>
      <c r="AF137" s="569">
        <v>20</v>
      </c>
    </row>
    <row r="138" spans="13:32">
      <c r="M138" s="569">
        <v>36</v>
      </c>
      <c r="N138" s="569">
        <v>5</v>
      </c>
      <c r="O138" s="569">
        <v>5</v>
      </c>
      <c r="P138" s="569">
        <v>5</v>
      </c>
      <c r="Q138" s="569">
        <v>5</v>
      </c>
      <c r="R138" s="569">
        <v>5</v>
      </c>
      <c r="S138" s="569">
        <v>5</v>
      </c>
      <c r="T138" s="569">
        <v>5</v>
      </c>
      <c r="U138" s="569">
        <v>5</v>
      </c>
      <c r="V138" s="569">
        <v>5</v>
      </c>
      <c r="W138" s="569">
        <v>5</v>
      </c>
      <c r="X138" s="569">
        <v>5</v>
      </c>
      <c r="Y138" s="569">
        <v>5</v>
      </c>
      <c r="Z138" s="569">
        <v>5</v>
      </c>
      <c r="AA138" s="569">
        <v>5</v>
      </c>
      <c r="AB138" s="569">
        <v>5</v>
      </c>
      <c r="AC138" s="569">
        <v>5</v>
      </c>
      <c r="AD138" s="569">
        <v>5</v>
      </c>
      <c r="AE138" s="569">
        <v>5</v>
      </c>
      <c r="AF138" s="569">
        <v>5</v>
      </c>
    </row>
    <row r="139" spans="13:32">
      <c r="M139" s="569">
        <v>37</v>
      </c>
      <c r="N139" s="569">
        <v>7</v>
      </c>
      <c r="O139" s="569">
        <v>7</v>
      </c>
      <c r="P139" s="569">
        <v>7</v>
      </c>
      <c r="Q139" s="569">
        <v>7</v>
      </c>
      <c r="R139" s="569">
        <v>7</v>
      </c>
      <c r="S139" s="569">
        <v>7</v>
      </c>
      <c r="T139" s="569">
        <v>7</v>
      </c>
      <c r="U139" s="569">
        <v>7</v>
      </c>
      <c r="V139" s="569">
        <v>7</v>
      </c>
      <c r="W139" s="569">
        <v>7</v>
      </c>
      <c r="X139" s="569">
        <v>7</v>
      </c>
      <c r="Y139" s="569">
        <v>7</v>
      </c>
      <c r="Z139" s="569">
        <v>7</v>
      </c>
      <c r="AA139" s="569">
        <v>7</v>
      </c>
      <c r="AB139" s="569">
        <v>7</v>
      </c>
      <c r="AC139" s="569">
        <v>7</v>
      </c>
      <c r="AD139" s="569">
        <v>7</v>
      </c>
      <c r="AE139" s="569">
        <v>7</v>
      </c>
      <c r="AF139" s="569">
        <v>7</v>
      </c>
    </row>
    <row r="140" spans="13:32">
      <c r="M140" s="569">
        <v>38</v>
      </c>
      <c r="N140" s="569">
        <v>60</v>
      </c>
      <c r="O140" s="569">
        <v>60</v>
      </c>
      <c r="P140" s="569">
        <v>60</v>
      </c>
      <c r="Q140" s="569">
        <v>60</v>
      </c>
      <c r="R140" s="569">
        <v>60</v>
      </c>
      <c r="S140" s="569">
        <v>60</v>
      </c>
      <c r="T140" s="569">
        <v>60</v>
      </c>
      <c r="U140" s="569">
        <v>60</v>
      </c>
      <c r="V140" s="569">
        <v>60</v>
      </c>
      <c r="W140" s="569">
        <v>60</v>
      </c>
      <c r="X140" s="569">
        <v>60</v>
      </c>
      <c r="Y140" s="569">
        <v>60</v>
      </c>
      <c r="Z140" s="569">
        <v>60</v>
      </c>
      <c r="AA140" s="569">
        <v>60</v>
      </c>
      <c r="AB140" s="569">
        <v>60</v>
      </c>
      <c r="AC140" s="569">
        <v>60</v>
      </c>
      <c r="AD140" s="569">
        <v>60</v>
      </c>
      <c r="AE140" s="569">
        <v>60</v>
      </c>
      <c r="AF140" s="569">
        <v>60</v>
      </c>
    </row>
    <row r="141" spans="13:32">
      <c r="M141" s="569">
        <v>39</v>
      </c>
      <c r="N141" s="569">
        <v>50</v>
      </c>
      <c r="O141" s="569">
        <v>50</v>
      </c>
      <c r="P141" s="569">
        <v>50</v>
      </c>
      <c r="Q141" s="569">
        <v>50</v>
      </c>
      <c r="R141" s="569">
        <v>50</v>
      </c>
      <c r="S141" s="569">
        <v>50</v>
      </c>
      <c r="T141" s="569">
        <v>50</v>
      </c>
      <c r="U141" s="569">
        <v>50</v>
      </c>
      <c r="V141" s="569">
        <v>50</v>
      </c>
      <c r="W141" s="569">
        <v>50</v>
      </c>
      <c r="X141" s="569">
        <v>50</v>
      </c>
      <c r="Y141" s="569">
        <v>50</v>
      </c>
      <c r="Z141" s="569">
        <v>50</v>
      </c>
      <c r="AA141" s="569">
        <v>50</v>
      </c>
      <c r="AB141" s="569">
        <v>50</v>
      </c>
      <c r="AC141" s="569">
        <v>50</v>
      </c>
      <c r="AD141" s="569">
        <v>50</v>
      </c>
      <c r="AE141" s="569">
        <v>50</v>
      </c>
      <c r="AF141" s="569">
        <v>50</v>
      </c>
    </row>
  </sheetData>
  <sheetProtection algorithmName="SHA-512" hashValue="q15PLQeHndXhUCNA6CsglQhQBbJyo6JhSzyW0YdJqmx866RwXpdaAukNkwhTiYcpC920hDN9D0ARi0k67r4lxg==" saltValue="gmlb2zM0qLlaVTp88wT1Vw==" spinCount="100000" sheet="1" objects="1" scenarios="1"/>
  <customSheetViews>
    <customSheetView guid="{849F61E1-F6D3-48F4-A6FF-68F8FE186D80}" scale="85" showGridLines="0" hiddenColumns="1" state="hidden">
      <pageMargins left="0.7" right="0.7" top="0.75" bottom="0.75" header="0.3" footer="0.3"/>
    </customSheetView>
    <customSheetView guid="{83029BA9-344F-4783-B8F2-6704FB40A582}" scale="85" showGridLines="0" hiddenColumns="1">
      <pageMargins left="0.7" right="0.7" top="0.75" bottom="0.75" header="0.3" footer="0.3"/>
    </customSheetView>
  </customSheetViews>
  <phoneticPr fontId="341" type="noConversion"/>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FF939-A213-4131-8686-A17C8669AF10}">
  <sheetPr codeName="Foglio72">
    <tabColor rgb="FFFFFFE7"/>
  </sheetPr>
  <dimension ref="A1:AF64"/>
  <sheetViews>
    <sheetView showGridLines="0" zoomScale="85" zoomScaleNormal="85" workbookViewId="0">
      <pane ySplit="2" topLeftCell="A3" activePane="bottomLeft" state="frozen"/>
      <selection pane="bottomLeft" sqref="A1:C1"/>
    </sheetView>
  </sheetViews>
  <sheetFormatPr defaultColWidth="9.42578125" defaultRowHeight="15.75"/>
  <cols>
    <col min="1" max="1" width="17.42578125" style="912" customWidth="1"/>
    <col min="2" max="2" width="55.42578125" style="912" customWidth="1"/>
    <col min="3" max="3" width="41.42578125" style="912" customWidth="1"/>
    <col min="4" max="4" width="6.5703125" style="912" customWidth="1"/>
    <col min="5" max="5" width="6.42578125" style="912" customWidth="1"/>
    <col min="6" max="6" width="18.42578125" style="912" customWidth="1"/>
    <col min="7" max="7" width="48.5703125" style="912" customWidth="1"/>
    <col min="8" max="8" width="20.5703125" style="912" customWidth="1"/>
    <col min="9" max="24" width="20.5703125" style="912" hidden="1" customWidth="1"/>
    <col min="25" max="25" width="9.42578125" style="912"/>
    <col min="26" max="26" width="45.5703125" style="912" customWidth="1"/>
    <col min="27" max="27" width="38" style="912" customWidth="1"/>
    <col min="28" max="28" width="40.5703125" style="912" customWidth="1"/>
    <col min="29" max="31" width="38" style="912" customWidth="1"/>
    <col min="32" max="32" width="40.5703125" style="912" customWidth="1"/>
    <col min="33" max="16384" width="9.42578125" style="912"/>
  </cols>
  <sheetData>
    <row r="1" spans="1:32">
      <c r="A1" s="3680" t="s">
        <v>25465</v>
      </c>
      <c r="B1" s="3680"/>
      <c r="C1" s="3680"/>
      <c r="D1" s="911"/>
      <c r="E1" s="911"/>
      <c r="F1" s="3681" t="s">
        <v>25466</v>
      </c>
      <c r="G1" s="3681"/>
      <c r="H1" s="3681"/>
      <c r="I1" s="3681"/>
      <c r="J1" s="3681"/>
      <c r="K1" s="3681"/>
      <c r="L1" s="3681"/>
      <c r="M1" s="3681"/>
      <c r="N1" s="3681"/>
      <c r="O1" s="3681"/>
      <c r="P1" s="3681"/>
      <c r="Q1" s="3681"/>
      <c r="R1" s="3681"/>
      <c r="S1" s="3681"/>
      <c r="T1" s="3681"/>
      <c r="U1" s="3681"/>
      <c r="V1" s="3681"/>
      <c r="W1" s="3681"/>
      <c r="X1" s="3681"/>
      <c r="Y1" s="3681"/>
      <c r="Z1" s="3681"/>
      <c r="AA1" s="3681"/>
      <c r="AB1" s="3681"/>
      <c r="AC1" s="3681"/>
    </row>
    <row r="2" spans="1:32">
      <c r="A2" s="911"/>
      <c r="B2" s="911"/>
      <c r="C2" s="911"/>
      <c r="D2" s="911"/>
      <c r="E2" s="911"/>
    </row>
    <row r="3" spans="1:32" ht="51" customHeight="1">
      <c r="A3" s="913" t="s">
        <v>25467</v>
      </c>
      <c r="B3" s="913" t="s">
        <v>25468</v>
      </c>
      <c r="C3" s="1238" t="s">
        <v>25469</v>
      </c>
      <c r="D3" s="914"/>
      <c r="E3" s="911"/>
      <c r="F3" s="1436" t="s">
        <v>26932</v>
      </c>
      <c r="G3" s="1436" t="s">
        <v>26933</v>
      </c>
      <c r="H3" s="1436" t="s">
        <v>25470</v>
      </c>
      <c r="I3" s="1437" t="s">
        <v>30132</v>
      </c>
      <c r="J3" s="1437" t="s">
        <v>26493</v>
      </c>
      <c r="K3" s="1437" t="s">
        <v>26494</v>
      </c>
      <c r="L3" s="1437" t="s">
        <v>26495</v>
      </c>
      <c r="M3" s="1437" t="s">
        <v>26496</v>
      </c>
      <c r="N3" s="1437" t="s">
        <v>25471</v>
      </c>
      <c r="O3" s="1437" t="s">
        <v>25452</v>
      </c>
      <c r="P3" s="1437" t="s">
        <v>25472</v>
      </c>
      <c r="Q3" s="1437" t="s">
        <v>25455</v>
      </c>
      <c r="R3" s="1437" t="s">
        <v>25457</v>
      </c>
      <c r="S3" s="1437" t="s">
        <v>25459</v>
      </c>
      <c r="T3" s="1437" t="s">
        <v>25462</v>
      </c>
      <c r="U3" s="1437" t="s">
        <v>25464</v>
      </c>
      <c r="V3" s="1437" t="s">
        <v>25473</v>
      </c>
      <c r="W3" s="1437" t="s">
        <v>26953</v>
      </c>
      <c r="X3" s="1437" t="s">
        <v>26955</v>
      </c>
      <c r="Z3" s="913" t="s">
        <v>26934</v>
      </c>
      <c r="AA3" s="913" t="s">
        <v>25474</v>
      </c>
      <c r="AB3" s="1238" t="s">
        <v>25475</v>
      </c>
    </row>
    <row r="4" spans="1:32" ht="55.35" customHeight="1">
      <c r="A4" s="1239" t="s">
        <v>25476</v>
      </c>
      <c r="B4" s="1240" t="s">
        <v>25477</v>
      </c>
      <c r="C4" s="1239" t="s">
        <v>25478</v>
      </c>
      <c r="D4" s="915"/>
      <c r="E4" s="911"/>
      <c r="F4" s="1438" t="s">
        <v>25479</v>
      </c>
      <c r="G4" s="1438" t="s">
        <v>25480</v>
      </c>
      <c r="H4" s="1438" t="s">
        <v>30623</v>
      </c>
      <c r="I4" s="1946"/>
      <c r="J4" s="1438"/>
      <c r="K4" s="1438"/>
      <c r="L4" s="1438"/>
      <c r="M4" s="1438" t="s">
        <v>26496</v>
      </c>
      <c r="N4" s="1438" t="s">
        <v>25471</v>
      </c>
      <c r="O4" s="1438" t="s">
        <v>25452</v>
      </c>
      <c r="P4" s="1438" t="s">
        <v>25472</v>
      </c>
      <c r="Q4" s="1438"/>
      <c r="R4" s="1438"/>
      <c r="S4" s="1438"/>
      <c r="T4" s="1438"/>
      <c r="U4" s="1438"/>
      <c r="V4" s="1438"/>
      <c r="W4" s="1438"/>
      <c r="X4" s="1438"/>
      <c r="Z4" s="1239" t="s">
        <v>25481</v>
      </c>
      <c r="AA4" s="1241" t="s">
        <v>26497</v>
      </c>
      <c r="AB4" s="1241" t="s">
        <v>26935</v>
      </c>
    </row>
    <row r="5" spans="1:32" ht="55.35" customHeight="1">
      <c r="A5" s="1239" t="s">
        <v>25482</v>
      </c>
      <c r="B5" s="1240" t="s">
        <v>25483</v>
      </c>
      <c r="C5" s="1239" t="s">
        <v>25478</v>
      </c>
      <c r="D5" s="915"/>
      <c r="E5" s="911"/>
      <c r="F5" s="1435" t="s">
        <v>25484</v>
      </c>
      <c r="G5" s="1435" t="s">
        <v>25485</v>
      </c>
      <c r="H5" s="1435" t="s">
        <v>26498</v>
      </c>
      <c r="I5" s="1947"/>
      <c r="J5" s="1435"/>
      <c r="K5" s="1435"/>
      <c r="L5" s="1435"/>
      <c r="M5" s="1435" t="s">
        <v>26496</v>
      </c>
      <c r="N5" s="1435"/>
      <c r="O5" s="1435"/>
      <c r="P5" s="1435"/>
      <c r="Q5" s="1435" t="s">
        <v>25455</v>
      </c>
      <c r="R5" s="1435" t="s">
        <v>25457</v>
      </c>
      <c r="S5" s="1435" t="s">
        <v>25459</v>
      </c>
      <c r="T5" s="1435"/>
      <c r="U5" s="1435"/>
      <c r="V5" s="1435"/>
      <c r="W5" s="1435"/>
      <c r="X5" s="1435"/>
      <c r="Z5" s="1239" t="s">
        <v>25486</v>
      </c>
      <c r="AA5" s="1241" t="s">
        <v>26936</v>
      </c>
      <c r="AB5" s="1241" t="s">
        <v>26935</v>
      </c>
    </row>
    <row r="6" spans="1:32" ht="55.35" customHeight="1">
      <c r="A6" s="1239" t="s">
        <v>25487</v>
      </c>
      <c r="B6" s="1240" t="s">
        <v>25488</v>
      </c>
      <c r="C6" s="1239" t="s">
        <v>25478</v>
      </c>
      <c r="D6" s="915"/>
      <c r="E6" s="911"/>
      <c r="F6" s="1435" t="s">
        <v>25489</v>
      </c>
      <c r="G6" s="1435" t="s">
        <v>25490</v>
      </c>
      <c r="H6" s="1435" t="s">
        <v>30624</v>
      </c>
      <c r="I6" s="1947"/>
      <c r="J6" s="1435"/>
      <c r="K6" s="1435"/>
      <c r="L6" s="1435"/>
      <c r="M6" s="1435" t="s">
        <v>26496</v>
      </c>
      <c r="N6" s="1435"/>
      <c r="O6" s="1435"/>
      <c r="P6" s="1435"/>
      <c r="Q6" s="1435"/>
      <c r="R6" s="1435"/>
      <c r="S6" s="1435"/>
      <c r="T6" s="1435" t="s">
        <v>25462</v>
      </c>
      <c r="U6" s="1435" t="s">
        <v>25464</v>
      </c>
      <c r="V6" s="1435"/>
      <c r="W6" s="1435"/>
      <c r="X6" s="1435"/>
      <c r="Z6" s="1239" t="s">
        <v>27068</v>
      </c>
      <c r="AA6" s="1241" t="s">
        <v>25491</v>
      </c>
      <c r="AB6" s="1241" t="s">
        <v>26937</v>
      </c>
    </row>
    <row r="7" spans="1:32" ht="55.35" customHeight="1">
      <c r="A7" s="1239" t="s">
        <v>26493</v>
      </c>
      <c r="B7" s="1240" t="s">
        <v>25492</v>
      </c>
      <c r="C7" s="1239" t="s">
        <v>25447</v>
      </c>
      <c r="D7" s="915"/>
      <c r="E7" s="911"/>
      <c r="F7" s="1435" t="s">
        <v>25493</v>
      </c>
      <c r="G7" s="1435" t="s">
        <v>25494</v>
      </c>
      <c r="H7" s="1435" t="s">
        <v>26499</v>
      </c>
      <c r="I7" s="1947"/>
      <c r="J7" s="1435"/>
      <c r="K7" s="1435"/>
      <c r="L7" s="1435"/>
      <c r="M7" s="1435" t="s">
        <v>26496</v>
      </c>
      <c r="N7" s="1435"/>
      <c r="O7" s="1435"/>
      <c r="P7" s="1435"/>
      <c r="Q7" s="1435"/>
      <c r="R7" s="1435"/>
      <c r="S7" s="1435"/>
      <c r="T7" s="1435"/>
      <c r="U7" s="1435"/>
      <c r="V7" s="1435"/>
      <c r="W7" s="1435"/>
      <c r="X7" s="1435"/>
    </row>
    <row r="8" spans="1:32" ht="66" customHeight="1">
      <c r="A8" s="1239" t="s">
        <v>26494</v>
      </c>
      <c r="B8" s="1240" t="s">
        <v>25495</v>
      </c>
      <c r="C8" s="1239" t="s">
        <v>25447</v>
      </c>
      <c r="D8" s="915"/>
      <c r="E8" s="911"/>
      <c r="F8" s="1435" t="s">
        <v>25496</v>
      </c>
      <c r="G8" s="1435" t="s">
        <v>25497</v>
      </c>
      <c r="H8" s="1435" t="s">
        <v>26499</v>
      </c>
      <c r="I8" s="1947"/>
      <c r="J8" s="1435"/>
      <c r="K8" s="1435"/>
      <c r="L8" s="1435"/>
      <c r="M8" s="1435" t="s">
        <v>26496</v>
      </c>
      <c r="N8" s="1435"/>
      <c r="O8" s="1435"/>
      <c r="P8" s="1435"/>
      <c r="Q8" s="1435"/>
      <c r="R8" s="1435"/>
      <c r="S8" s="1435"/>
      <c r="T8" s="1435"/>
      <c r="U8" s="1435"/>
      <c r="V8" s="1435"/>
      <c r="W8" s="1435"/>
      <c r="X8" s="1435"/>
      <c r="Z8" s="1242" t="s">
        <v>26938</v>
      </c>
      <c r="AA8" s="1243" t="s">
        <v>133</v>
      </c>
      <c r="AB8" s="1243" t="s">
        <v>137</v>
      </c>
      <c r="AC8" s="916" t="s">
        <v>25498</v>
      </c>
    </row>
    <row r="9" spans="1:32" ht="55.35" customHeight="1">
      <c r="A9" s="1239" t="s">
        <v>26495</v>
      </c>
      <c r="B9" s="1240" t="s">
        <v>25499</v>
      </c>
      <c r="C9" s="1239" t="s">
        <v>25447</v>
      </c>
      <c r="D9" s="915"/>
      <c r="E9" s="911"/>
      <c r="F9" s="1435" t="s">
        <v>25500</v>
      </c>
      <c r="G9" s="1435" t="s">
        <v>25501</v>
      </c>
      <c r="H9" s="1435" t="s">
        <v>26499</v>
      </c>
      <c r="I9" s="1947"/>
      <c r="J9" s="1435"/>
      <c r="K9" s="1435"/>
      <c r="L9" s="1435"/>
      <c r="M9" s="1435" t="s">
        <v>26496</v>
      </c>
      <c r="N9" s="1435"/>
      <c r="O9" s="1435"/>
      <c r="P9" s="1435"/>
      <c r="Q9" s="1435"/>
      <c r="R9" s="1435"/>
      <c r="S9" s="1435"/>
      <c r="T9" s="1435"/>
      <c r="U9" s="1435"/>
      <c r="V9" s="1435"/>
      <c r="W9" s="1435"/>
      <c r="X9" s="1435"/>
      <c r="Z9" s="911"/>
      <c r="AA9" s="911"/>
      <c r="AB9" s="911"/>
      <c r="AC9" s="911"/>
    </row>
    <row r="10" spans="1:32" ht="55.35" customHeight="1">
      <c r="A10" s="1239" t="s">
        <v>26496</v>
      </c>
      <c r="B10" s="1240" t="s">
        <v>25502</v>
      </c>
      <c r="C10" s="1239" t="s">
        <v>25447</v>
      </c>
      <c r="D10" s="915"/>
      <c r="E10" s="911"/>
      <c r="F10" s="1435" t="s">
        <v>25503</v>
      </c>
      <c r="G10" s="1435" t="s">
        <v>25504</v>
      </c>
      <c r="H10" s="1435" t="s">
        <v>30613</v>
      </c>
      <c r="I10" s="1435" t="s">
        <v>30132</v>
      </c>
      <c r="J10" s="1435"/>
      <c r="K10" s="1435"/>
      <c r="L10" s="1435"/>
      <c r="M10" s="1435"/>
      <c r="N10" s="1435"/>
      <c r="O10" s="1435" t="s">
        <v>25452</v>
      </c>
      <c r="P10" s="1435"/>
      <c r="Q10" s="1435"/>
      <c r="R10" s="1435"/>
      <c r="S10" s="1435"/>
      <c r="T10" s="1435"/>
      <c r="U10" s="1435"/>
      <c r="V10" s="1435"/>
      <c r="W10" s="1435"/>
      <c r="X10" s="1435"/>
      <c r="Z10" s="3682" t="s">
        <v>26939</v>
      </c>
      <c r="AA10" s="1244" t="s">
        <v>26940</v>
      </c>
      <c r="AD10" s="3683" t="s">
        <v>26941</v>
      </c>
      <c r="AE10" s="1244" t="s">
        <v>30086</v>
      </c>
      <c r="AF10" s="1244" t="s">
        <v>30087</v>
      </c>
    </row>
    <row r="11" spans="1:32" ht="55.35" customHeight="1">
      <c r="A11" s="1440" t="s">
        <v>30132</v>
      </c>
      <c r="B11" s="1441" t="s">
        <v>30612</v>
      </c>
      <c r="C11" s="1440" t="s">
        <v>29692</v>
      </c>
      <c r="D11" s="915"/>
      <c r="E11" s="911"/>
      <c r="F11" s="1435" t="s">
        <v>25507</v>
      </c>
      <c r="G11" s="1435" t="s">
        <v>25508</v>
      </c>
      <c r="H11" s="1435" t="s">
        <v>30614</v>
      </c>
      <c r="I11" s="1435" t="s">
        <v>30132</v>
      </c>
      <c r="J11" s="1435"/>
      <c r="K11" s="1435"/>
      <c r="L11" s="1435"/>
      <c r="M11" s="1435"/>
      <c r="N11" s="1435"/>
      <c r="O11" s="1435"/>
      <c r="P11" s="1435" t="s">
        <v>25472</v>
      </c>
      <c r="Q11" s="1435"/>
      <c r="R11" s="1435"/>
      <c r="S11" s="1435"/>
      <c r="T11" s="1435"/>
      <c r="U11" s="1435"/>
      <c r="V11" s="1435"/>
      <c r="W11" s="1435"/>
      <c r="X11" s="1435"/>
      <c r="Z11" s="3682"/>
      <c r="AA11" s="1245" t="s">
        <v>27086</v>
      </c>
      <c r="AD11" s="3684"/>
      <c r="AE11" s="1244" t="s">
        <v>26942</v>
      </c>
      <c r="AF11" s="1244" t="s">
        <v>26943</v>
      </c>
    </row>
    <row r="12" spans="1:32" ht="55.35" customHeight="1">
      <c r="A12" s="1239" t="s">
        <v>25471</v>
      </c>
      <c r="B12" s="1239" t="s">
        <v>25505</v>
      </c>
      <c r="C12" s="1239" t="s">
        <v>25506</v>
      </c>
      <c r="D12" s="915"/>
      <c r="E12" s="911"/>
      <c r="F12" s="1435" t="s">
        <v>25509</v>
      </c>
      <c r="G12" s="1435" t="s">
        <v>25510</v>
      </c>
      <c r="H12" s="1435" t="s">
        <v>30615</v>
      </c>
      <c r="I12" s="1435" t="s">
        <v>30132</v>
      </c>
      <c r="J12" s="1435"/>
      <c r="K12" s="1435"/>
      <c r="L12" s="1435"/>
      <c r="M12" s="1435"/>
      <c r="N12" s="1435"/>
      <c r="O12" s="1435" t="s">
        <v>25452</v>
      </c>
      <c r="P12" s="1435" t="s">
        <v>25472</v>
      </c>
      <c r="Q12" s="1435"/>
      <c r="R12" s="1435"/>
      <c r="S12" s="1435"/>
      <c r="T12" s="1435"/>
      <c r="U12" s="1435"/>
      <c r="V12" s="1435"/>
      <c r="W12" s="1435"/>
      <c r="X12" s="1435"/>
      <c r="Z12" s="3682"/>
      <c r="AA12" s="1244" t="s">
        <v>26944</v>
      </c>
      <c r="AD12" s="3684"/>
      <c r="AE12" s="1244" t="s">
        <v>26945</v>
      </c>
      <c r="AF12" s="1244" t="s">
        <v>26946</v>
      </c>
    </row>
    <row r="13" spans="1:32" ht="61.35" customHeight="1">
      <c r="A13" s="1239" t="s">
        <v>25452</v>
      </c>
      <c r="B13" s="1239" t="s">
        <v>25453</v>
      </c>
      <c r="C13" s="1239" t="s">
        <v>25506</v>
      </c>
      <c r="D13" s="915"/>
      <c r="E13" s="911"/>
      <c r="F13" s="1435" t="s">
        <v>25513</v>
      </c>
      <c r="G13" s="1435" t="s">
        <v>25514</v>
      </c>
      <c r="H13" s="1435" t="s">
        <v>30613</v>
      </c>
      <c r="I13" s="1435" t="s">
        <v>30132</v>
      </c>
      <c r="J13" s="1435"/>
      <c r="K13" s="1435"/>
      <c r="L13" s="1435"/>
      <c r="M13" s="1435"/>
      <c r="N13" s="1435"/>
      <c r="O13" s="1435" t="s">
        <v>25452</v>
      </c>
      <c r="P13" s="1435"/>
      <c r="Q13" s="1435"/>
      <c r="R13" s="1435"/>
      <c r="S13" s="1435"/>
      <c r="T13" s="1435"/>
      <c r="U13" s="1435"/>
      <c r="V13" s="1435"/>
      <c r="W13" s="1435"/>
      <c r="X13" s="1435"/>
      <c r="Z13" s="3682"/>
      <c r="AA13" s="1245" t="s">
        <v>26947</v>
      </c>
      <c r="AD13" s="3684"/>
      <c r="AE13" s="1244" t="s">
        <v>30091</v>
      </c>
      <c r="AF13" s="1244" t="s">
        <v>30088</v>
      </c>
    </row>
    <row r="14" spans="1:32" ht="81" customHeight="1">
      <c r="A14" s="1239" t="s">
        <v>25472</v>
      </c>
      <c r="B14" s="1239" t="s">
        <v>25512</v>
      </c>
      <c r="C14" s="1239" t="s">
        <v>25506</v>
      </c>
      <c r="D14" s="918"/>
      <c r="E14" s="919"/>
      <c r="F14" s="1435" t="s">
        <v>25518</v>
      </c>
      <c r="G14" s="1435" t="s">
        <v>25519</v>
      </c>
      <c r="H14" s="1435" t="s">
        <v>30616</v>
      </c>
      <c r="I14" s="1947"/>
      <c r="J14" s="1435"/>
      <c r="K14" s="1435"/>
      <c r="L14" s="1435"/>
      <c r="M14" s="1435"/>
      <c r="N14" s="1435" t="s">
        <v>25471</v>
      </c>
      <c r="O14" s="1435" t="s">
        <v>25452</v>
      </c>
      <c r="P14" s="1435"/>
      <c r="Q14" s="1435"/>
      <c r="R14" s="1435"/>
      <c r="S14" s="1435"/>
      <c r="T14" s="1435"/>
      <c r="U14" s="1435"/>
      <c r="V14" s="1435"/>
      <c r="W14" s="1435"/>
      <c r="X14" s="1435"/>
      <c r="Z14" s="911"/>
      <c r="AA14" s="911"/>
      <c r="AB14" s="911"/>
      <c r="AD14" s="3684"/>
      <c r="AE14" s="1244" t="s">
        <v>30092</v>
      </c>
      <c r="AF14" s="1244" t="s">
        <v>30089</v>
      </c>
    </row>
    <row r="15" spans="1:32" ht="71.849999999999994" customHeight="1">
      <c r="A15" s="1239" t="s">
        <v>25455</v>
      </c>
      <c r="B15" s="1239" t="s">
        <v>25456</v>
      </c>
      <c r="C15" s="1240" t="s">
        <v>25517</v>
      </c>
      <c r="D15" s="918"/>
      <c r="E15" s="919"/>
      <c r="F15" s="1435" t="s">
        <v>25521</v>
      </c>
      <c r="G15" s="1435" t="s">
        <v>25522</v>
      </c>
      <c r="H15" s="1435" t="s">
        <v>30613</v>
      </c>
      <c r="I15" s="1435" t="s">
        <v>30132</v>
      </c>
      <c r="J15" s="1435"/>
      <c r="K15" s="1435"/>
      <c r="L15" s="1435"/>
      <c r="M15" s="1435"/>
      <c r="N15" s="1435"/>
      <c r="O15" s="1435" t="s">
        <v>25452</v>
      </c>
      <c r="P15" s="1435"/>
      <c r="Q15" s="1435"/>
      <c r="R15" s="1435"/>
      <c r="S15" s="1435"/>
      <c r="T15" s="1435"/>
      <c r="U15" s="1435"/>
      <c r="V15" s="1435"/>
      <c r="W15" s="1435"/>
      <c r="X15" s="1435"/>
      <c r="Z15" s="1246" t="s">
        <v>303</v>
      </c>
      <c r="AA15" s="1243" t="s">
        <v>25511</v>
      </c>
      <c r="AB15" s="1244" t="s">
        <v>26950</v>
      </c>
      <c r="AD15" s="3684"/>
      <c r="AE15" s="1244" t="s">
        <v>30093</v>
      </c>
      <c r="AF15" s="1244" t="s">
        <v>30089</v>
      </c>
    </row>
    <row r="16" spans="1:32" ht="76.349999999999994" customHeight="1">
      <c r="A16" s="1239" t="s">
        <v>25457</v>
      </c>
      <c r="B16" s="1239" t="s">
        <v>25458</v>
      </c>
      <c r="C16" s="1240" t="s">
        <v>25517</v>
      </c>
      <c r="D16" s="918"/>
      <c r="E16" s="919"/>
      <c r="F16" s="1435" t="s">
        <v>25523</v>
      </c>
      <c r="G16" s="1435" t="s">
        <v>25524</v>
      </c>
      <c r="H16" s="1435" t="s">
        <v>25554</v>
      </c>
      <c r="I16" s="1947"/>
      <c r="J16" s="1435"/>
      <c r="K16" s="1435"/>
      <c r="L16" s="1435"/>
      <c r="M16" s="1435"/>
      <c r="N16" s="1435"/>
      <c r="O16" s="1435" t="s">
        <v>25452</v>
      </c>
      <c r="P16" s="1435" t="s">
        <v>25472</v>
      </c>
      <c r="Q16" s="1435"/>
      <c r="R16" s="1435"/>
      <c r="S16" s="1435"/>
      <c r="T16" s="1435"/>
      <c r="U16" s="1435"/>
      <c r="V16" s="1435"/>
      <c r="W16" s="1435"/>
      <c r="X16" s="1435"/>
      <c r="Z16" s="1247" t="s">
        <v>25515</v>
      </c>
      <c r="AA16" s="1243" t="s">
        <v>25516</v>
      </c>
      <c r="AB16" s="1244" t="s">
        <v>26951</v>
      </c>
      <c r="AD16" s="3684"/>
      <c r="AE16" s="2789" t="s">
        <v>31483</v>
      </c>
      <c r="AF16" s="2789" t="s">
        <v>30089</v>
      </c>
    </row>
    <row r="17" spans="1:32" ht="71.099999999999994" customHeight="1">
      <c r="A17" s="1239" t="s">
        <v>25459</v>
      </c>
      <c r="B17" s="1239" t="s">
        <v>25460</v>
      </c>
      <c r="C17" s="1240" t="s">
        <v>25517</v>
      </c>
      <c r="D17" s="915"/>
      <c r="E17" s="911"/>
      <c r="F17" s="1435" t="s">
        <v>25525</v>
      </c>
      <c r="G17" s="1435" t="s">
        <v>25526</v>
      </c>
      <c r="H17" s="1435" t="s">
        <v>30617</v>
      </c>
      <c r="I17" s="1435" t="s">
        <v>30132</v>
      </c>
      <c r="J17" s="1435" t="s">
        <v>26493</v>
      </c>
      <c r="K17" s="1435"/>
      <c r="L17" s="1435"/>
      <c r="M17" s="1435"/>
      <c r="N17" s="1435" t="s">
        <v>25471</v>
      </c>
      <c r="O17" s="1435"/>
      <c r="P17" s="1435"/>
      <c r="Q17" s="1435"/>
      <c r="R17" s="1435"/>
      <c r="S17" s="1435"/>
      <c r="T17" s="1435"/>
      <c r="U17" s="1435"/>
      <c r="V17" s="1435"/>
      <c r="W17" s="1435"/>
      <c r="X17" s="1435"/>
      <c r="Z17" s="1248"/>
      <c r="AA17" s="1243" t="s">
        <v>25520</v>
      </c>
      <c r="AB17" s="1244" t="s">
        <v>26952</v>
      </c>
      <c r="AD17" s="3684"/>
      <c r="AE17" s="1244" t="s">
        <v>30926</v>
      </c>
      <c r="AF17" s="1244" t="s">
        <v>30089</v>
      </c>
    </row>
    <row r="18" spans="1:32" ht="55.35" customHeight="1">
      <c r="A18" s="1239" t="s">
        <v>25462</v>
      </c>
      <c r="B18" s="1239" t="s">
        <v>25463</v>
      </c>
      <c r="C18" s="1239" t="s">
        <v>25506</v>
      </c>
      <c r="D18" s="915"/>
      <c r="E18" s="911"/>
      <c r="F18" s="1435" t="s">
        <v>25530</v>
      </c>
      <c r="G18" s="1435" t="s">
        <v>25531</v>
      </c>
      <c r="H18" s="1435" t="s">
        <v>30618</v>
      </c>
      <c r="I18" s="1435" t="s">
        <v>30132</v>
      </c>
      <c r="J18" s="1435" t="s">
        <v>26493</v>
      </c>
      <c r="K18" s="1435"/>
      <c r="L18" s="1435"/>
      <c r="M18" s="1435"/>
      <c r="N18" s="1435" t="s">
        <v>25471</v>
      </c>
      <c r="O18" s="1435"/>
      <c r="P18" s="1435"/>
      <c r="Q18" s="1435"/>
      <c r="R18" s="1435"/>
      <c r="S18" s="1435"/>
      <c r="T18" s="1435"/>
      <c r="U18" s="1435"/>
      <c r="V18" s="1435"/>
      <c r="W18" s="1435"/>
      <c r="X18" s="1435"/>
      <c r="AD18" s="3684"/>
      <c r="AE18" s="1244" t="s">
        <v>30090</v>
      </c>
      <c r="AF18" s="1244" t="s">
        <v>30089</v>
      </c>
    </row>
    <row r="19" spans="1:32" ht="55.35" customHeight="1">
      <c r="A19" s="1239" t="s">
        <v>25464</v>
      </c>
      <c r="B19" s="1239" t="s">
        <v>25529</v>
      </c>
      <c r="C19" s="1239" t="s">
        <v>25506</v>
      </c>
      <c r="D19" s="915"/>
      <c r="E19" s="911"/>
      <c r="F19" s="1435" t="s">
        <v>25534</v>
      </c>
      <c r="G19" s="1435" t="s">
        <v>25535</v>
      </c>
      <c r="H19" s="1435" t="s">
        <v>30619</v>
      </c>
      <c r="I19" s="1435" t="s">
        <v>30132</v>
      </c>
      <c r="J19" s="1435"/>
      <c r="K19" s="1435"/>
      <c r="L19" s="1435"/>
      <c r="M19" s="1435"/>
      <c r="N19" s="1435" t="s">
        <v>25471</v>
      </c>
      <c r="O19" s="1435"/>
      <c r="P19" s="1435" t="s">
        <v>25472</v>
      </c>
      <c r="Q19" s="1435"/>
      <c r="R19" s="1435"/>
      <c r="S19" s="1435"/>
      <c r="T19" s="1435"/>
      <c r="U19" s="1435"/>
      <c r="V19" s="1435"/>
      <c r="W19" s="1435"/>
      <c r="X19" s="1435"/>
      <c r="AA19" s="1249" t="s">
        <v>133</v>
      </c>
      <c r="AB19" s="1249" t="s">
        <v>137</v>
      </c>
      <c r="AD19" s="3684"/>
      <c r="AE19" s="2789" t="s">
        <v>31484</v>
      </c>
      <c r="AF19" s="2789" t="s">
        <v>31485</v>
      </c>
    </row>
    <row r="20" spans="1:32" ht="42" customHeight="1">
      <c r="A20" s="1239" t="s">
        <v>25473</v>
      </c>
      <c r="B20" s="1240" t="s">
        <v>25532</v>
      </c>
      <c r="C20" s="1239" t="s">
        <v>25533</v>
      </c>
      <c r="D20" s="911"/>
      <c r="E20" s="911"/>
      <c r="F20" s="1435" t="s">
        <v>25536</v>
      </c>
      <c r="G20" s="1435" t="s">
        <v>25537</v>
      </c>
      <c r="H20" s="1435" t="s">
        <v>25472</v>
      </c>
      <c r="I20" s="1947"/>
      <c r="J20" s="1435"/>
      <c r="K20" s="1435"/>
      <c r="L20" s="1435"/>
      <c r="M20" s="1435"/>
      <c r="N20" s="1435"/>
      <c r="O20" s="1435"/>
      <c r="P20" s="1435" t="s">
        <v>25472</v>
      </c>
      <c r="Q20" s="1435"/>
      <c r="R20" s="1435"/>
      <c r="S20" s="1435"/>
      <c r="T20" s="1435"/>
      <c r="U20" s="1435"/>
      <c r="V20" s="1435"/>
      <c r="W20" s="1435"/>
      <c r="X20" s="1435"/>
      <c r="Z20" s="1250" t="s">
        <v>25527</v>
      </c>
      <c r="AA20" s="1251" t="s">
        <v>25528</v>
      </c>
      <c r="AB20" s="1251"/>
      <c r="AD20" s="3684"/>
      <c r="AE20" s="1244" t="s">
        <v>26948</v>
      </c>
      <c r="AF20" s="1244" t="s">
        <v>26949</v>
      </c>
    </row>
    <row r="21" spans="1:32" ht="44.25" customHeight="1">
      <c r="A21" s="1440" t="s">
        <v>26953</v>
      </c>
      <c r="B21" s="1441" t="s">
        <v>26954</v>
      </c>
      <c r="C21" s="1440" t="s">
        <v>29515</v>
      </c>
      <c r="D21" s="914"/>
      <c r="E21" s="911"/>
      <c r="F21" s="1435" t="s">
        <v>25538</v>
      </c>
      <c r="G21" s="1435" t="s">
        <v>30625</v>
      </c>
      <c r="H21" s="1435" t="s">
        <v>30620</v>
      </c>
      <c r="I21" s="1947"/>
      <c r="J21" s="1435"/>
      <c r="K21" s="1435" t="s">
        <v>26494</v>
      </c>
      <c r="L21" s="1435"/>
      <c r="M21" s="1435"/>
      <c r="N21" s="1435"/>
      <c r="O21" s="1435"/>
      <c r="P21" s="1435" t="s">
        <v>25472</v>
      </c>
      <c r="Q21" s="1435"/>
      <c r="R21" s="1435"/>
      <c r="S21" s="1435"/>
      <c r="T21" s="1435"/>
      <c r="U21" s="1435"/>
      <c r="V21" s="1435"/>
      <c r="W21" s="1435"/>
      <c r="X21" s="1435"/>
      <c r="Z21" s="1252" t="s">
        <v>29985</v>
      </c>
      <c r="AA21" s="1251" t="s">
        <v>25528</v>
      </c>
      <c r="AB21" s="1251"/>
    </row>
    <row r="22" spans="1:32" ht="55.35" customHeight="1">
      <c r="A22" s="1440" t="s">
        <v>26955</v>
      </c>
      <c r="B22" s="1441" t="s">
        <v>26956</v>
      </c>
      <c r="C22" s="1440" t="s">
        <v>29692</v>
      </c>
      <c r="D22" s="918"/>
      <c r="E22" s="911"/>
      <c r="F22" s="1435" t="s">
        <v>25539</v>
      </c>
      <c r="G22" s="1435" t="s">
        <v>25540</v>
      </c>
      <c r="H22" s="1435" t="s">
        <v>25541</v>
      </c>
      <c r="I22" s="1947"/>
      <c r="J22" s="1435"/>
      <c r="K22" s="1435"/>
      <c r="L22" s="1435"/>
      <c r="M22" s="1435"/>
      <c r="N22" s="1435"/>
      <c r="O22" s="1435"/>
      <c r="P22" s="1435"/>
      <c r="Q22" s="1435"/>
      <c r="R22" s="1435"/>
      <c r="S22" s="1435"/>
      <c r="T22" s="1435" t="s">
        <v>25462</v>
      </c>
      <c r="U22" s="1435"/>
      <c r="V22" s="1435" t="s">
        <v>25473</v>
      </c>
      <c r="W22" s="1435"/>
      <c r="X22" s="1435"/>
      <c r="Z22" s="1253" t="s">
        <v>26957</v>
      </c>
      <c r="AA22" s="1251" t="s">
        <v>25528</v>
      </c>
      <c r="AB22" s="1251"/>
    </row>
    <row r="23" spans="1:32" ht="55.35" customHeight="1">
      <c r="D23" s="918"/>
      <c r="E23" s="911"/>
      <c r="F23" s="1435" t="s">
        <v>25542</v>
      </c>
      <c r="G23" s="1435" t="s">
        <v>25543</v>
      </c>
      <c r="H23" s="1435" t="s">
        <v>30621</v>
      </c>
      <c r="I23" s="1947"/>
      <c r="J23" s="1435"/>
      <c r="K23" s="1435"/>
      <c r="L23" s="1435"/>
      <c r="M23" s="1435"/>
      <c r="N23" s="1435" t="s">
        <v>25471</v>
      </c>
      <c r="O23" s="1435"/>
      <c r="P23" s="1435" t="s">
        <v>25472</v>
      </c>
      <c r="Q23" s="1435"/>
      <c r="R23" s="1435"/>
      <c r="S23" s="1435"/>
      <c r="T23" s="1435"/>
      <c r="U23" s="1435"/>
      <c r="V23" s="1435"/>
      <c r="W23" s="1435"/>
      <c r="X23" s="1435"/>
    </row>
    <row r="24" spans="1:32" ht="55.35" customHeight="1">
      <c r="A24" s="911"/>
      <c r="B24" s="911"/>
      <c r="C24" s="911"/>
      <c r="D24" s="918"/>
      <c r="E24" s="911"/>
      <c r="F24" s="1435" t="s">
        <v>25544</v>
      </c>
      <c r="G24" s="1435" t="s">
        <v>25545</v>
      </c>
      <c r="H24" s="1439" t="s">
        <v>27113</v>
      </c>
      <c r="I24" s="1948"/>
      <c r="J24" s="1435"/>
      <c r="K24" s="1435"/>
      <c r="L24" s="1435"/>
      <c r="M24" s="1435"/>
      <c r="N24" s="1435"/>
      <c r="O24" s="1435"/>
      <c r="P24" s="1435" t="s">
        <v>25472</v>
      </c>
      <c r="Q24" s="1435"/>
      <c r="R24" s="1435"/>
      <c r="S24" s="1435"/>
      <c r="T24" s="1435"/>
      <c r="U24" s="1435"/>
      <c r="V24" s="1435" t="s">
        <v>25473</v>
      </c>
      <c r="W24" s="1435" t="s">
        <v>26953</v>
      </c>
      <c r="X24" s="1435" t="s">
        <v>26955</v>
      </c>
      <c r="Z24"/>
      <c r="AA24"/>
      <c r="AB24"/>
    </row>
    <row r="25" spans="1:32" ht="55.35" customHeight="1">
      <c r="A25" s="911"/>
      <c r="B25" s="911"/>
      <c r="C25" s="911"/>
      <c r="D25" s="911"/>
      <c r="E25" s="911"/>
      <c r="F25" s="1435" t="s">
        <v>25546</v>
      </c>
      <c r="G25" s="1435" t="s">
        <v>25547</v>
      </c>
      <c r="H25" s="1435" t="s">
        <v>30622</v>
      </c>
      <c r="I25" s="1947"/>
      <c r="J25" s="1435"/>
      <c r="K25" s="1435"/>
      <c r="L25" s="1435"/>
      <c r="M25" s="1435"/>
      <c r="N25" s="1435" t="s">
        <v>25471</v>
      </c>
      <c r="O25" s="1435" t="s">
        <v>25452</v>
      </c>
      <c r="P25" s="1435" t="s">
        <v>25472</v>
      </c>
      <c r="Q25" s="1435"/>
      <c r="R25" s="1435"/>
      <c r="S25" s="1435"/>
      <c r="T25" s="1435"/>
      <c r="U25" s="1435"/>
      <c r="V25" s="1435"/>
      <c r="W25" s="1435"/>
      <c r="X25" s="1435"/>
      <c r="Z25"/>
      <c r="AA25"/>
      <c r="AB25"/>
    </row>
    <row r="26" spans="1:32" ht="55.35" customHeight="1">
      <c r="A26" s="911"/>
      <c r="B26" s="911"/>
      <c r="C26" s="911"/>
      <c r="D26" s="911"/>
      <c r="E26" s="911"/>
      <c r="F26" s="1435" t="s">
        <v>25548</v>
      </c>
      <c r="G26" s="1435" t="s">
        <v>25549</v>
      </c>
      <c r="H26" s="1435" t="s">
        <v>30613</v>
      </c>
      <c r="I26" s="1435" t="s">
        <v>30132</v>
      </c>
      <c r="J26" s="1435"/>
      <c r="K26" s="1435"/>
      <c r="L26" s="1435"/>
      <c r="M26" s="1435"/>
      <c r="N26" s="1435"/>
      <c r="O26" s="1435" t="s">
        <v>25452</v>
      </c>
      <c r="P26" s="1435"/>
      <c r="Q26" s="1435"/>
      <c r="R26" s="1435"/>
      <c r="S26" s="1435"/>
      <c r="T26" s="1435"/>
      <c r="U26" s="1435"/>
      <c r="V26" s="1435"/>
      <c r="W26" s="1435"/>
      <c r="X26" s="1435"/>
      <c r="Z26"/>
      <c r="AA26"/>
      <c r="AB26"/>
    </row>
    <row r="27" spans="1:32" ht="55.35" customHeight="1">
      <c r="A27" s="911"/>
      <c r="B27" s="911"/>
      <c r="C27" s="911"/>
      <c r="D27" s="911"/>
      <c r="E27" s="911"/>
      <c r="F27" s="1435" t="s">
        <v>25550</v>
      </c>
      <c r="G27" s="1435" t="s">
        <v>25551</v>
      </c>
      <c r="H27" s="1435" t="s">
        <v>30613</v>
      </c>
      <c r="I27" s="1435" t="s">
        <v>30132</v>
      </c>
      <c r="J27" s="1435"/>
      <c r="K27" s="1435"/>
      <c r="L27" s="1435"/>
      <c r="M27" s="1435"/>
      <c r="N27" s="1435"/>
      <c r="O27" s="1435" t="s">
        <v>25452</v>
      </c>
      <c r="P27" s="1435"/>
      <c r="Q27" s="1435"/>
      <c r="R27" s="1435"/>
      <c r="S27" s="1435"/>
      <c r="T27" s="1435"/>
      <c r="U27" s="1435"/>
      <c r="V27" s="1435"/>
      <c r="W27" s="1435"/>
      <c r="X27" s="1435"/>
      <c r="Z27"/>
      <c r="AA27"/>
      <c r="AB27"/>
    </row>
    <row r="28" spans="1:32" ht="55.35" customHeight="1">
      <c r="B28" s="911"/>
      <c r="C28" s="911"/>
      <c r="D28" s="911"/>
      <c r="F28" s="1435" t="s">
        <v>25552</v>
      </c>
      <c r="G28" s="1435" t="s">
        <v>25553</v>
      </c>
      <c r="H28" s="1435" t="s">
        <v>25554</v>
      </c>
      <c r="I28" s="1947"/>
      <c r="J28" s="1435"/>
      <c r="K28" s="1435"/>
      <c r="L28" s="1435"/>
      <c r="M28" s="1435"/>
      <c r="N28" s="1435"/>
      <c r="O28" s="1435" t="s">
        <v>25452</v>
      </c>
      <c r="P28" s="1435" t="s">
        <v>25472</v>
      </c>
      <c r="Q28" s="1435"/>
      <c r="R28" s="1435"/>
      <c r="S28" s="1435"/>
      <c r="T28" s="1435"/>
      <c r="U28" s="1435"/>
      <c r="V28" s="1435"/>
      <c r="W28" s="1435"/>
      <c r="X28" s="1435"/>
      <c r="Z28"/>
      <c r="AA28"/>
      <c r="AB28"/>
    </row>
    <row r="29" spans="1:32" ht="55.35" customHeight="1">
      <c r="A29" s="911"/>
      <c r="B29" s="911"/>
      <c r="C29" s="911"/>
      <c r="D29" s="911"/>
      <c r="E29" s="911"/>
      <c r="F29" s="1435" t="s">
        <v>25555</v>
      </c>
      <c r="G29" s="1435" t="s">
        <v>25556</v>
      </c>
      <c r="H29" s="1435" t="s">
        <v>25471</v>
      </c>
      <c r="I29" s="1947"/>
      <c r="J29" s="1435"/>
      <c r="K29" s="1435"/>
      <c r="L29" s="1435"/>
      <c r="M29" s="1435"/>
      <c r="N29" s="1435" t="s">
        <v>25471</v>
      </c>
      <c r="O29" s="1435"/>
      <c r="P29" s="1435"/>
      <c r="Q29" s="1435"/>
      <c r="R29" s="1435"/>
      <c r="S29" s="1435"/>
      <c r="T29" s="1435"/>
      <c r="U29" s="1435"/>
      <c r="V29" s="1435"/>
      <c r="W29" s="1435"/>
      <c r="X29" s="1435"/>
    </row>
    <row r="30" spans="1:32" ht="55.35" customHeight="1">
      <c r="A30" s="911"/>
      <c r="B30" s="911"/>
      <c r="C30" s="911"/>
      <c r="D30" s="918"/>
      <c r="F30" s="1435" t="s">
        <v>25557</v>
      </c>
      <c r="G30" s="1435" t="s">
        <v>25558</v>
      </c>
      <c r="H30" s="1435" t="s">
        <v>26500</v>
      </c>
      <c r="I30" s="1947"/>
      <c r="J30" s="1435" t="s">
        <v>26493</v>
      </c>
      <c r="K30" s="1435"/>
      <c r="L30" s="1435"/>
      <c r="M30" s="1435"/>
      <c r="N30" s="1435" t="s">
        <v>25471</v>
      </c>
      <c r="O30" s="1435"/>
      <c r="P30" s="1435" t="s">
        <v>25472</v>
      </c>
      <c r="Q30" s="1435"/>
      <c r="R30" s="1435"/>
      <c r="S30" s="1435"/>
      <c r="T30" s="1435"/>
      <c r="U30" s="1435"/>
      <c r="V30" s="1435"/>
      <c r="W30" s="1435"/>
      <c r="X30" s="1435"/>
    </row>
    <row r="31" spans="1:32" ht="55.35" customHeight="1">
      <c r="A31" s="911"/>
      <c r="B31" s="911"/>
      <c r="C31" s="911"/>
      <c r="D31" s="911"/>
      <c r="E31" s="911"/>
      <c r="F31" s="1435" t="s">
        <v>25559</v>
      </c>
      <c r="G31" s="1435" t="s">
        <v>25560</v>
      </c>
      <c r="H31" s="1435" t="s">
        <v>28875</v>
      </c>
      <c r="I31" s="1947"/>
      <c r="J31" s="1435" t="s">
        <v>26493</v>
      </c>
      <c r="K31" s="1435"/>
      <c r="L31" s="1435"/>
      <c r="M31" s="1435"/>
      <c r="N31" s="1435" t="s">
        <v>25471</v>
      </c>
      <c r="O31" s="1435"/>
      <c r="P31" s="1435"/>
      <c r="Q31" s="1435"/>
      <c r="R31" s="1435"/>
      <c r="S31" s="1435"/>
      <c r="T31" s="1435"/>
      <c r="U31" s="1435"/>
      <c r="V31" s="1435"/>
      <c r="W31" s="1435"/>
      <c r="X31" s="1435" t="s">
        <v>26955</v>
      </c>
    </row>
    <row r="32" spans="1:32" ht="70.5" customHeight="1">
      <c r="A32" s="911"/>
      <c r="B32" s="911"/>
      <c r="C32" s="911"/>
      <c r="D32" s="917"/>
      <c r="E32" s="911"/>
      <c r="F32" s="1435" t="s">
        <v>25561</v>
      </c>
      <c r="G32" s="1435" t="s">
        <v>25562</v>
      </c>
      <c r="H32" s="1435" t="s">
        <v>26501</v>
      </c>
      <c r="I32" s="1947"/>
      <c r="J32" s="1435"/>
      <c r="K32" s="1435"/>
      <c r="L32" s="1435" t="s">
        <v>26495</v>
      </c>
      <c r="M32" s="1435"/>
      <c r="N32" s="1435"/>
      <c r="O32" s="1435"/>
      <c r="P32" s="1435"/>
      <c r="Q32" s="1435"/>
      <c r="R32" s="1435"/>
      <c r="S32" s="1435"/>
      <c r="T32" s="1435"/>
      <c r="U32" s="1435"/>
      <c r="V32" s="1435"/>
      <c r="W32" s="1435"/>
      <c r="X32" s="1435"/>
    </row>
    <row r="33" spans="1:24" ht="68.25" customHeight="1">
      <c r="A33" s="911"/>
      <c r="B33" s="911"/>
      <c r="C33" s="911"/>
      <c r="D33" s="911"/>
      <c r="E33" s="911"/>
      <c r="F33" s="1435" t="s">
        <v>25563</v>
      </c>
      <c r="G33" s="1435" t="s">
        <v>25564</v>
      </c>
      <c r="H33" s="1435" t="s">
        <v>27120</v>
      </c>
      <c r="I33" s="1947"/>
      <c r="J33" s="1435"/>
      <c r="K33" s="1435"/>
      <c r="L33" s="1435"/>
      <c r="M33" s="1435"/>
      <c r="N33" s="1435"/>
      <c r="O33" s="1435"/>
      <c r="P33" s="1435"/>
      <c r="Q33" s="1435"/>
      <c r="R33" s="1435"/>
      <c r="S33" s="1435"/>
      <c r="T33" s="1435" t="s">
        <v>25462</v>
      </c>
      <c r="U33" s="1435" t="s">
        <v>25464</v>
      </c>
      <c r="V33" s="1435" t="s">
        <v>25473</v>
      </c>
      <c r="W33" s="1435"/>
      <c r="X33" s="1435"/>
    </row>
    <row r="34" spans="1:24" ht="55.35" customHeight="1">
      <c r="A34" s="911"/>
      <c r="B34" s="911"/>
      <c r="C34" s="911"/>
      <c r="D34" s="918"/>
      <c r="E34" s="911"/>
      <c r="F34" s="1435" t="s">
        <v>25565</v>
      </c>
      <c r="G34" s="1435" t="s">
        <v>25566</v>
      </c>
      <c r="H34" s="1435" t="s">
        <v>25567</v>
      </c>
      <c r="I34" s="1947"/>
      <c r="J34" s="1435"/>
      <c r="K34" s="1435"/>
      <c r="L34" s="1435"/>
      <c r="M34" s="1435"/>
      <c r="N34" s="1435"/>
      <c r="O34" s="1435"/>
      <c r="P34" s="1435"/>
      <c r="Q34" s="1435" t="s">
        <v>25455</v>
      </c>
      <c r="R34" s="1435" t="s">
        <v>25457</v>
      </c>
      <c r="S34" s="1435"/>
      <c r="T34" s="1435"/>
      <c r="U34" s="1435"/>
      <c r="V34" s="1435"/>
      <c r="W34" s="1435"/>
      <c r="X34" s="1435"/>
    </row>
    <row r="35" spans="1:24" ht="55.35" customHeight="1">
      <c r="A35" s="911"/>
      <c r="B35" s="911"/>
      <c r="C35" s="911"/>
      <c r="D35" s="918"/>
      <c r="F35" s="1435" t="s">
        <v>25568</v>
      </c>
      <c r="G35" s="1435" t="s">
        <v>25569</v>
      </c>
      <c r="H35" s="1435" t="s">
        <v>25570</v>
      </c>
      <c r="I35" s="1947"/>
      <c r="J35" s="1435"/>
      <c r="K35" s="1435"/>
      <c r="L35" s="1435"/>
      <c r="M35" s="1435"/>
      <c r="N35" s="1435"/>
      <c r="O35" s="1435"/>
      <c r="P35" s="1435"/>
      <c r="Q35" s="1435" t="s">
        <v>25455</v>
      </c>
      <c r="R35" s="1435" t="s">
        <v>25457</v>
      </c>
      <c r="S35" s="1435"/>
      <c r="T35" s="1435"/>
      <c r="U35" s="1435" t="s">
        <v>25464</v>
      </c>
      <c r="V35" s="1435" t="s">
        <v>25473</v>
      </c>
      <c r="W35" s="1435"/>
      <c r="X35" s="1435"/>
    </row>
    <row r="36" spans="1:24" ht="55.35" customHeight="1">
      <c r="A36" s="911"/>
      <c r="B36" s="911"/>
      <c r="C36" s="911"/>
      <c r="D36" s="918"/>
      <c r="F36" s="1435" t="s">
        <v>25571</v>
      </c>
      <c r="G36" s="1435" t="s">
        <v>25572</v>
      </c>
      <c r="H36" s="1435" t="s">
        <v>25455</v>
      </c>
      <c r="I36" s="1947"/>
      <c r="J36" s="1435"/>
      <c r="K36" s="1435"/>
      <c r="L36" s="1435"/>
      <c r="M36" s="1435"/>
      <c r="N36" s="1435"/>
      <c r="O36" s="1435"/>
      <c r="P36" s="1435"/>
      <c r="Q36" s="1435" t="s">
        <v>25455</v>
      </c>
      <c r="R36" s="1435"/>
      <c r="S36" s="1435"/>
      <c r="T36" s="1435"/>
      <c r="U36" s="1435"/>
      <c r="V36" s="1435"/>
      <c r="W36" s="1435"/>
      <c r="X36" s="1435"/>
    </row>
    <row r="37" spans="1:24" ht="55.35" customHeight="1">
      <c r="F37" s="1435" t="s">
        <v>25573</v>
      </c>
      <c r="G37" s="1435" t="s">
        <v>25574</v>
      </c>
      <c r="H37" s="1435" t="s">
        <v>25575</v>
      </c>
      <c r="I37" s="1947"/>
      <c r="J37" s="1435"/>
      <c r="K37" s="1435"/>
      <c r="L37" s="1435"/>
      <c r="M37" s="1435"/>
      <c r="N37" s="1435"/>
      <c r="O37" s="1435"/>
      <c r="P37" s="1435"/>
      <c r="Q37" s="1435"/>
      <c r="R37" s="1435" t="s">
        <v>25457</v>
      </c>
      <c r="S37" s="1435" t="s">
        <v>25459</v>
      </c>
      <c r="T37" s="1435"/>
      <c r="U37" s="1435"/>
      <c r="V37" s="1435"/>
      <c r="W37" s="1435"/>
      <c r="X37" s="1435"/>
    </row>
    <row r="38" spans="1:24" ht="55.35" customHeight="1">
      <c r="F38" s="1435" t="s">
        <v>30626</v>
      </c>
      <c r="G38" s="1435" t="s">
        <v>30627</v>
      </c>
      <c r="H38" s="1435" t="s">
        <v>30132</v>
      </c>
      <c r="I38" s="1947" t="s">
        <v>30132</v>
      </c>
      <c r="J38" s="1435"/>
      <c r="K38" s="1435"/>
      <c r="L38" s="1435"/>
      <c r="M38" s="1435"/>
      <c r="N38" s="1435"/>
      <c r="O38" s="1435"/>
      <c r="P38" s="1435"/>
      <c r="Q38" s="1435"/>
      <c r="R38" s="1435"/>
      <c r="S38" s="1435"/>
      <c r="T38" s="1435"/>
      <c r="U38" s="1435"/>
      <c r="V38" s="1435"/>
      <c r="W38" s="1435"/>
      <c r="X38" s="1435"/>
    </row>
    <row r="39" spans="1:24" ht="55.35" customHeight="1">
      <c r="F39" s="1435" t="s">
        <v>25576</v>
      </c>
      <c r="G39" s="1435" t="s">
        <v>25577</v>
      </c>
      <c r="H39" s="1435" t="s">
        <v>25578</v>
      </c>
      <c r="I39" s="1435"/>
      <c r="J39" s="1435"/>
      <c r="K39" s="1435"/>
      <c r="L39" s="1435"/>
      <c r="M39" s="1435"/>
      <c r="N39" s="1435"/>
      <c r="O39" s="1435"/>
      <c r="P39" s="1435"/>
      <c r="Q39" s="1435" t="s">
        <v>25455</v>
      </c>
      <c r="R39" s="1435" t="s">
        <v>25457</v>
      </c>
      <c r="S39" s="1435"/>
      <c r="T39" s="1435"/>
      <c r="U39" s="1435" t="s">
        <v>25464</v>
      </c>
      <c r="V39" s="1435"/>
      <c r="W39" s="1435"/>
      <c r="X39" s="1435"/>
    </row>
    <row r="40" spans="1:24" ht="55.35" customHeight="1">
      <c r="F40" s="1435" t="s">
        <v>25579</v>
      </c>
      <c r="G40" s="1435" t="s">
        <v>25580</v>
      </c>
      <c r="H40" s="1435" t="s">
        <v>26501</v>
      </c>
      <c r="I40" s="1947"/>
      <c r="J40" s="1435"/>
      <c r="K40" s="1435"/>
      <c r="L40" s="1435" t="s">
        <v>26495</v>
      </c>
      <c r="M40" s="1435"/>
      <c r="N40" s="1435"/>
      <c r="O40" s="1435"/>
      <c r="P40" s="1435"/>
      <c r="Q40" s="1435"/>
      <c r="R40" s="1435"/>
      <c r="S40" s="1435"/>
      <c r="T40" s="1435"/>
      <c r="U40" s="1435"/>
      <c r="V40" s="1435"/>
      <c r="W40" s="1435"/>
      <c r="X40" s="1435"/>
    </row>
    <row r="41" spans="1:24" ht="55.35" customHeight="1">
      <c r="F41" s="1435" t="s">
        <v>25581</v>
      </c>
      <c r="G41" s="1435" t="s">
        <v>25582</v>
      </c>
      <c r="H41" s="1435" t="s">
        <v>27120</v>
      </c>
      <c r="I41" s="1947"/>
      <c r="J41" s="1435"/>
      <c r="K41" s="1435"/>
      <c r="L41" s="1435"/>
      <c r="M41" s="1435"/>
      <c r="N41" s="1435"/>
      <c r="O41" s="1435"/>
      <c r="P41" s="1435"/>
      <c r="Q41" s="1435"/>
      <c r="R41" s="1435"/>
      <c r="S41" s="1435"/>
      <c r="T41" s="1435" t="s">
        <v>25462</v>
      </c>
      <c r="U41" s="1435" t="s">
        <v>25464</v>
      </c>
      <c r="V41" s="1435" t="s">
        <v>25473</v>
      </c>
      <c r="W41" s="1435"/>
      <c r="X41" s="1435"/>
    </row>
    <row r="42" spans="1:24" ht="55.35" customHeight="1">
      <c r="F42" s="1435" t="s">
        <v>25583</v>
      </c>
      <c r="G42" s="1435" t="s">
        <v>25584</v>
      </c>
      <c r="H42" s="1435" t="s">
        <v>26501</v>
      </c>
      <c r="I42" s="1947"/>
      <c r="J42" s="1435"/>
      <c r="K42" s="1435"/>
      <c r="L42" s="1435" t="s">
        <v>26495</v>
      </c>
      <c r="M42" s="1435"/>
      <c r="N42" s="1435"/>
      <c r="O42" s="1435"/>
      <c r="P42" s="1435"/>
      <c r="Q42" s="1435"/>
      <c r="R42" s="1435"/>
      <c r="S42" s="1435"/>
      <c r="T42" s="1435"/>
      <c r="U42" s="1435"/>
      <c r="V42" s="1435"/>
      <c r="W42" s="1435"/>
      <c r="X42" s="1435"/>
    </row>
    <row r="43" spans="1:24" ht="55.35" customHeight="1">
      <c r="F43" s="1435" t="s">
        <v>25585</v>
      </c>
      <c r="G43" s="1435" t="s">
        <v>25586</v>
      </c>
      <c r="H43" s="1435" t="s">
        <v>26501</v>
      </c>
      <c r="I43" s="1947"/>
      <c r="J43" s="1435"/>
      <c r="K43" s="1435"/>
      <c r="L43" s="1435" t="s">
        <v>26495</v>
      </c>
      <c r="M43" s="1435"/>
      <c r="N43" s="1435"/>
      <c r="O43" s="1435"/>
      <c r="P43" s="1435"/>
      <c r="Q43" s="1435"/>
      <c r="R43" s="1435"/>
      <c r="S43" s="1435"/>
      <c r="T43" s="1435"/>
      <c r="U43" s="1435"/>
      <c r="V43" s="1435"/>
      <c r="W43" s="1435"/>
      <c r="X43" s="1435"/>
    </row>
    <row r="44" spans="1:24" ht="55.35" customHeight="1">
      <c r="F44" s="1435" t="s">
        <v>25587</v>
      </c>
      <c r="G44" s="1435" t="s">
        <v>25588</v>
      </c>
      <c r="H44" s="1435" t="s">
        <v>25589</v>
      </c>
      <c r="I44" s="1947"/>
      <c r="J44" s="1435"/>
      <c r="K44" s="1435"/>
      <c r="L44" s="1435"/>
      <c r="M44" s="1435"/>
      <c r="N44" s="1435"/>
      <c r="O44" s="1435"/>
      <c r="P44" s="1435"/>
      <c r="Q44" s="1435"/>
      <c r="R44" s="1435"/>
      <c r="S44" s="1435"/>
      <c r="T44" s="1435" t="s">
        <v>25462</v>
      </c>
      <c r="U44" s="1435" t="s">
        <v>25464</v>
      </c>
      <c r="V44" s="1435"/>
      <c r="W44" s="1435"/>
      <c r="X44" s="1435"/>
    </row>
    <row r="45" spans="1:24" ht="55.35" customHeight="1">
      <c r="F45" s="1435" t="s">
        <v>25590</v>
      </c>
      <c r="G45" s="1435" t="s">
        <v>25591</v>
      </c>
      <c r="H45" s="1435" t="s">
        <v>25592</v>
      </c>
      <c r="I45" s="1947"/>
      <c r="J45" s="1435"/>
      <c r="K45" s="1435"/>
      <c r="L45" s="1435"/>
      <c r="M45" s="1435"/>
      <c r="N45" s="1435"/>
      <c r="O45" s="1435"/>
      <c r="P45" s="1435"/>
      <c r="Q45" s="1435"/>
      <c r="R45" s="1435"/>
      <c r="S45" s="1435"/>
      <c r="T45" s="1435"/>
      <c r="U45" s="1435" t="s">
        <v>25464</v>
      </c>
      <c r="V45" s="1435" t="s">
        <v>25473</v>
      </c>
      <c r="W45" s="1435"/>
      <c r="X45" s="1435"/>
    </row>
    <row r="46" spans="1:24" ht="55.35" customHeight="1">
      <c r="F46" s="1435" t="s">
        <v>25593</v>
      </c>
      <c r="G46" s="1435" t="s">
        <v>25594</v>
      </c>
      <c r="H46" s="1435" t="s">
        <v>25595</v>
      </c>
      <c r="I46" s="1947"/>
      <c r="J46" s="1435"/>
      <c r="K46" s="1435"/>
      <c r="L46" s="1435"/>
      <c r="M46" s="1435"/>
      <c r="N46" s="1435"/>
      <c r="O46" s="1435"/>
      <c r="P46" s="1435"/>
      <c r="Q46" s="1435"/>
      <c r="R46" s="1435"/>
      <c r="S46" s="1435"/>
      <c r="T46" s="1435"/>
      <c r="U46" s="1435" t="s">
        <v>25464</v>
      </c>
      <c r="V46" s="1435" t="s">
        <v>25473</v>
      </c>
      <c r="W46" s="1435"/>
      <c r="X46" s="1435"/>
    </row>
    <row r="47" spans="1:24" ht="55.35" customHeight="1">
      <c r="F47" s="1435" t="s">
        <v>25596</v>
      </c>
      <c r="G47" s="1435" t="s">
        <v>25597</v>
      </c>
      <c r="H47" s="1435" t="s">
        <v>25464</v>
      </c>
      <c r="I47" s="1947"/>
      <c r="J47" s="1435"/>
      <c r="K47" s="1435"/>
      <c r="L47" s="1435"/>
      <c r="M47" s="1435"/>
      <c r="N47" s="1435"/>
      <c r="O47" s="1435"/>
      <c r="P47" s="1435"/>
      <c r="Q47" s="1435"/>
      <c r="R47" s="1435"/>
      <c r="S47" s="1435"/>
      <c r="T47" s="1435"/>
      <c r="U47" s="1435" t="s">
        <v>25464</v>
      </c>
      <c r="V47" s="1435"/>
      <c r="W47" s="1435"/>
      <c r="X47" s="1435"/>
    </row>
    <row r="48" spans="1:24" ht="55.35" customHeight="1">
      <c r="F48" s="1435" t="s">
        <v>25598</v>
      </c>
      <c r="G48" s="1435" t="s">
        <v>25599</v>
      </c>
      <c r="H48" s="1435" t="s">
        <v>25462</v>
      </c>
      <c r="I48" s="1947"/>
      <c r="J48" s="1435"/>
      <c r="K48" s="1435"/>
      <c r="L48" s="1435"/>
      <c r="M48" s="1435"/>
      <c r="N48" s="1435"/>
      <c r="O48" s="1435"/>
      <c r="P48" s="1435"/>
      <c r="Q48" s="1435"/>
      <c r="R48" s="1435"/>
      <c r="S48" s="1435"/>
      <c r="T48" s="1435" t="s">
        <v>25462</v>
      </c>
      <c r="U48" s="1435"/>
      <c r="V48" s="1435"/>
      <c r="W48" s="1435"/>
      <c r="X48" s="1435"/>
    </row>
    <row r="49" spans="6:24" ht="55.35" customHeight="1">
      <c r="F49" s="1435" t="s">
        <v>25600</v>
      </c>
      <c r="G49" s="1435" t="s">
        <v>25601</v>
      </c>
      <c r="H49" s="1435" t="s">
        <v>30628</v>
      </c>
      <c r="I49" s="1947" t="s">
        <v>30132</v>
      </c>
      <c r="J49" s="1435"/>
      <c r="K49" s="1435"/>
      <c r="L49" s="1435"/>
      <c r="M49" s="1435"/>
      <c r="N49" s="1435"/>
      <c r="O49" s="1435"/>
      <c r="P49" s="1435"/>
      <c r="Q49" s="1435"/>
      <c r="R49" s="1435"/>
      <c r="S49" s="1435"/>
      <c r="T49" s="1435"/>
      <c r="U49" s="1435"/>
      <c r="V49" s="1435" t="s">
        <v>25473</v>
      </c>
      <c r="W49" s="1435"/>
      <c r="X49" s="1435"/>
    </row>
    <row r="50" spans="6:24" ht="55.35" customHeight="1">
      <c r="F50" s="1435" t="s">
        <v>25602</v>
      </c>
      <c r="G50" s="1435" t="s">
        <v>25603</v>
      </c>
      <c r="H50" s="1435" t="s">
        <v>25595</v>
      </c>
      <c r="I50" s="1947"/>
      <c r="J50" s="1435"/>
      <c r="K50" s="1435"/>
      <c r="L50" s="1435"/>
      <c r="M50" s="1435"/>
      <c r="N50" s="1435"/>
      <c r="O50" s="1435"/>
      <c r="P50" s="1435"/>
      <c r="Q50" s="1435"/>
      <c r="R50" s="1435"/>
      <c r="S50" s="1435"/>
      <c r="T50" s="1435"/>
      <c r="U50" s="1435" t="s">
        <v>25464</v>
      </c>
      <c r="V50" s="1435" t="s">
        <v>25473</v>
      </c>
      <c r="W50" s="1435"/>
      <c r="X50" s="1435"/>
    </row>
    <row r="51" spans="6:24" ht="55.35" customHeight="1">
      <c r="F51" s="1435" t="s">
        <v>25604</v>
      </c>
      <c r="G51" s="1435" t="s">
        <v>25605</v>
      </c>
      <c r="H51" s="1435" t="s">
        <v>25464</v>
      </c>
      <c r="I51" s="1947"/>
      <c r="J51" s="1435"/>
      <c r="K51" s="1435"/>
      <c r="L51" s="1435"/>
      <c r="M51" s="1435"/>
      <c r="N51" s="1435"/>
      <c r="O51" s="1435"/>
      <c r="P51" s="1435"/>
      <c r="Q51" s="1435"/>
      <c r="R51" s="1435"/>
      <c r="S51" s="1435"/>
      <c r="T51" s="1435"/>
      <c r="U51" s="1435" t="s">
        <v>25464</v>
      </c>
      <c r="V51" s="1435"/>
      <c r="W51" s="1435"/>
      <c r="X51" s="1435"/>
    </row>
    <row r="52" spans="6:24" ht="55.35" customHeight="1">
      <c r="F52" s="1435" t="s">
        <v>25606</v>
      </c>
      <c r="G52" s="1435" t="s">
        <v>25607</v>
      </c>
      <c r="H52" s="1439" t="s">
        <v>27114</v>
      </c>
      <c r="I52" s="1947"/>
      <c r="J52" s="1435" t="s">
        <v>26493</v>
      </c>
      <c r="K52" s="1435"/>
      <c r="L52" s="1435"/>
      <c r="M52" s="1435"/>
      <c r="N52" s="1435" t="s">
        <v>25471</v>
      </c>
      <c r="O52" s="1435"/>
      <c r="P52" s="1435"/>
      <c r="Q52" s="1435"/>
      <c r="R52" s="1435"/>
      <c r="S52" s="1435"/>
      <c r="T52" s="1435"/>
      <c r="U52" s="1435"/>
      <c r="V52" s="1435" t="s">
        <v>25473</v>
      </c>
      <c r="W52" s="1435" t="s">
        <v>26953</v>
      </c>
      <c r="X52" s="1435" t="s">
        <v>26955</v>
      </c>
    </row>
    <row r="53" spans="6:24" ht="55.35" customHeight="1">
      <c r="F53" s="1435" t="s">
        <v>25608</v>
      </c>
      <c r="G53" s="1435" t="s">
        <v>25609</v>
      </c>
      <c r="H53" s="1439" t="s">
        <v>27115</v>
      </c>
      <c r="I53" s="1948"/>
      <c r="J53" s="1435"/>
      <c r="K53" s="1435"/>
      <c r="L53" s="1435"/>
      <c r="M53" s="1435"/>
      <c r="N53" s="1435"/>
      <c r="O53" s="1435" t="s">
        <v>25452</v>
      </c>
      <c r="P53" s="1435" t="s">
        <v>25472</v>
      </c>
      <c r="Q53" s="1435" t="s">
        <v>25455</v>
      </c>
      <c r="R53" s="1435" t="s">
        <v>25457</v>
      </c>
      <c r="S53" s="1435"/>
      <c r="T53" s="1435"/>
      <c r="U53" s="1435"/>
      <c r="V53" s="1435" t="s">
        <v>25473</v>
      </c>
      <c r="W53" s="1435" t="s">
        <v>26953</v>
      </c>
      <c r="X53" s="1435" t="s">
        <v>26955</v>
      </c>
    </row>
    <row r="54" spans="6:24" ht="55.35" customHeight="1">
      <c r="F54" s="1435" t="s">
        <v>25610</v>
      </c>
      <c r="G54" s="1435" t="s">
        <v>25611</v>
      </c>
      <c r="H54" s="1439" t="s">
        <v>27116</v>
      </c>
      <c r="I54" s="1948"/>
      <c r="J54" s="1435"/>
      <c r="K54" s="1435"/>
      <c r="L54" s="1435"/>
      <c r="M54" s="1435"/>
      <c r="N54" s="1435"/>
      <c r="O54" s="1435"/>
      <c r="P54" s="1435"/>
      <c r="Q54" s="1435"/>
      <c r="R54" s="1435"/>
      <c r="S54" s="1435"/>
      <c r="T54" s="1435"/>
      <c r="U54" s="1435"/>
      <c r="V54" s="1435" t="s">
        <v>25473</v>
      </c>
      <c r="W54" s="1435" t="s">
        <v>26953</v>
      </c>
      <c r="X54" s="1435" t="s">
        <v>26955</v>
      </c>
    </row>
    <row r="55" spans="6:24" ht="55.35" customHeight="1">
      <c r="F55" s="1435" t="s">
        <v>25612</v>
      </c>
      <c r="G55" s="1435" t="s">
        <v>25613</v>
      </c>
      <c r="H55" s="1435" t="s">
        <v>25473</v>
      </c>
      <c r="I55" s="1948"/>
      <c r="J55" s="1435"/>
      <c r="K55" s="1435"/>
      <c r="L55" s="1435"/>
      <c r="M55" s="1435"/>
      <c r="N55" s="1435"/>
      <c r="O55" s="1435"/>
      <c r="P55" s="1435"/>
      <c r="Q55" s="1435"/>
      <c r="R55" s="1435"/>
      <c r="S55" s="1435"/>
      <c r="T55" s="1435"/>
      <c r="U55" s="1435"/>
      <c r="V55" s="1435" t="s">
        <v>25473</v>
      </c>
      <c r="W55" s="1435"/>
      <c r="X55" s="1435"/>
    </row>
    <row r="56" spans="6:24" ht="55.35" customHeight="1">
      <c r="F56" s="1435" t="s">
        <v>25614</v>
      </c>
      <c r="G56" s="1435" t="s">
        <v>25615</v>
      </c>
      <c r="H56" s="1435" t="s">
        <v>25473</v>
      </c>
      <c r="I56" s="1947"/>
      <c r="J56" s="1435"/>
      <c r="K56" s="1435"/>
      <c r="L56" s="1435"/>
      <c r="M56" s="1435"/>
      <c r="N56" s="1435"/>
      <c r="O56" s="1435"/>
      <c r="P56" s="1435"/>
      <c r="Q56" s="1435"/>
      <c r="R56" s="1435"/>
      <c r="S56" s="1435"/>
      <c r="T56" s="1435"/>
      <c r="U56" s="1435"/>
      <c r="V56" s="1435" t="s">
        <v>25473</v>
      </c>
      <c r="W56" s="1435"/>
      <c r="X56" s="1435"/>
    </row>
    <row r="57" spans="6:24" ht="55.35" customHeight="1">
      <c r="F57" s="1435" t="s">
        <v>25616</v>
      </c>
      <c r="G57" s="1435" t="s">
        <v>25617</v>
      </c>
      <c r="H57" s="1435" t="s">
        <v>25473</v>
      </c>
      <c r="I57" s="1947"/>
      <c r="J57" s="1435"/>
      <c r="K57" s="1435"/>
      <c r="L57" s="1435"/>
      <c r="M57" s="1435"/>
      <c r="N57" s="1435"/>
      <c r="O57" s="1435"/>
      <c r="P57" s="1435"/>
      <c r="Q57" s="1435"/>
      <c r="R57" s="1435"/>
      <c r="S57" s="1435"/>
      <c r="T57" s="1435"/>
      <c r="U57" s="1435"/>
      <c r="V57" s="1435" t="s">
        <v>25473</v>
      </c>
      <c r="W57" s="1435"/>
      <c r="X57" s="1435"/>
    </row>
    <row r="58" spans="6:24" ht="55.35" customHeight="1">
      <c r="F58" s="1435" t="s">
        <v>25618</v>
      </c>
      <c r="G58" s="1435" t="s">
        <v>25619</v>
      </c>
      <c r="H58" s="1435" t="s">
        <v>30648</v>
      </c>
      <c r="I58" s="1947" t="s">
        <v>30132</v>
      </c>
      <c r="J58" s="1435"/>
      <c r="K58" s="1435"/>
      <c r="L58" s="1435"/>
      <c r="M58" s="1435"/>
      <c r="N58" s="1435" t="s">
        <v>25471</v>
      </c>
      <c r="O58" s="1435" t="s">
        <v>25452</v>
      </c>
      <c r="P58" s="1435" t="s">
        <v>25472</v>
      </c>
      <c r="Q58" s="1435" t="s">
        <v>25455</v>
      </c>
      <c r="R58" s="1435" t="s">
        <v>25457</v>
      </c>
      <c r="S58" s="1435" t="s">
        <v>25459</v>
      </c>
      <c r="T58" s="1435" t="s">
        <v>25462</v>
      </c>
      <c r="U58" s="1435" t="s">
        <v>25464</v>
      </c>
      <c r="V58" s="1435" t="s">
        <v>25473</v>
      </c>
      <c r="W58" s="1435"/>
      <c r="X58" s="1435"/>
    </row>
    <row r="59" spans="6:24" ht="55.35" customHeight="1">
      <c r="F59" s="1435" t="s">
        <v>25620</v>
      </c>
      <c r="G59" s="1435" t="s">
        <v>25621</v>
      </c>
      <c r="H59" s="1435" t="s">
        <v>25473</v>
      </c>
      <c r="I59" s="1947"/>
      <c r="J59" s="1435"/>
      <c r="K59" s="1435"/>
      <c r="L59" s="1435"/>
      <c r="M59" s="1435"/>
      <c r="N59" s="1435"/>
      <c r="O59" s="1435"/>
      <c r="P59" s="1435"/>
      <c r="Q59" s="1435"/>
      <c r="R59" s="1435"/>
      <c r="S59" s="1435"/>
      <c r="T59" s="1435"/>
      <c r="U59" s="1435"/>
      <c r="V59" s="1435" t="s">
        <v>25473</v>
      </c>
      <c r="W59" s="1435"/>
      <c r="X59" s="1435"/>
    </row>
    <row r="60" spans="6:24" ht="55.35" customHeight="1">
      <c r="F60" s="1435" t="s">
        <v>25622</v>
      </c>
      <c r="G60" s="1435" t="s">
        <v>25623</v>
      </c>
      <c r="H60" s="1435" t="s">
        <v>25473</v>
      </c>
      <c r="I60" s="1947"/>
      <c r="J60" s="1435"/>
      <c r="K60" s="1435"/>
      <c r="L60" s="1435"/>
      <c r="M60" s="1435"/>
      <c r="N60" s="1435"/>
      <c r="O60" s="1435"/>
      <c r="P60" s="1435"/>
      <c r="Q60" s="1435"/>
      <c r="R60" s="1435"/>
      <c r="S60" s="1435"/>
      <c r="T60" s="1435"/>
      <c r="U60" s="1435"/>
      <c r="V60" s="1435" t="s">
        <v>25473</v>
      </c>
      <c r="W60" s="1435"/>
      <c r="X60" s="1435"/>
    </row>
    <row r="61" spans="6:24" ht="55.35" customHeight="1">
      <c r="F61" s="1435" t="s">
        <v>25624</v>
      </c>
      <c r="G61" s="1435" t="s">
        <v>25625</v>
      </c>
      <c r="H61" s="1435" t="s">
        <v>25473</v>
      </c>
      <c r="I61" s="1947"/>
      <c r="J61" s="1435"/>
      <c r="K61" s="1435"/>
      <c r="L61" s="1435"/>
      <c r="M61" s="1435"/>
      <c r="N61" s="1435"/>
      <c r="O61" s="1435"/>
      <c r="P61" s="1435"/>
      <c r="Q61" s="1435"/>
      <c r="R61" s="1435"/>
      <c r="S61" s="1435"/>
      <c r="T61" s="1435"/>
      <c r="U61" s="1435"/>
      <c r="V61" s="1435" t="s">
        <v>25473</v>
      </c>
      <c r="W61" s="1435"/>
      <c r="X61" s="1435"/>
    </row>
    <row r="62" spans="6:24" ht="55.35" customHeight="1">
      <c r="F62" s="1435" t="s">
        <v>25626</v>
      </c>
      <c r="G62" s="1435" t="s">
        <v>25627</v>
      </c>
      <c r="H62" s="1435" t="s">
        <v>25473</v>
      </c>
      <c r="I62" s="1947"/>
      <c r="J62" s="1435"/>
      <c r="K62" s="1435"/>
      <c r="L62" s="1435"/>
      <c r="M62" s="1435"/>
      <c r="N62" s="1435"/>
      <c r="O62" s="1435"/>
      <c r="P62" s="1435"/>
      <c r="Q62" s="1435"/>
      <c r="R62" s="1435"/>
      <c r="S62" s="1435"/>
      <c r="T62" s="1435"/>
      <c r="U62" s="1435"/>
      <c r="V62" s="1435" t="s">
        <v>25473</v>
      </c>
      <c r="W62" s="1435"/>
      <c r="X62" s="1435"/>
    </row>
    <row r="63" spans="6:24" ht="55.35" customHeight="1">
      <c r="F63" s="1435" t="s">
        <v>25628</v>
      </c>
      <c r="G63" s="1435" t="s">
        <v>25629</v>
      </c>
      <c r="H63" s="1435" t="s">
        <v>30629</v>
      </c>
      <c r="I63" s="1947"/>
      <c r="J63" s="1435"/>
      <c r="K63" s="1435"/>
      <c r="L63" s="1435"/>
      <c r="M63" s="1435"/>
      <c r="N63" s="1435"/>
      <c r="O63" s="1435"/>
      <c r="P63" s="1435"/>
      <c r="Q63" s="1435"/>
      <c r="R63" s="1435"/>
      <c r="S63" s="1435"/>
      <c r="T63" s="1435" t="s">
        <v>25462</v>
      </c>
      <c r="U63" s="1435"/>
      <c r="V63" s="1435" t="s">
        <v>25473</v>
      </c>
      <c r="W63" s="1435"/>
      <c r="X63" s="1435"/>
    </row>
    <row r="64" spans="6:24" ht="47.25">
      <c r="F64" s="1435" t="s">
        <v>25630</v>
      </c>
      <c r="G64" s="1435" t="s">
        <v>25631</v>
      </c>
      <c r="H64" s="1435" t="s">
        <v>30630</v>
      </c>
      <c r="I64" s="1947"/>
      <c r="J64" s="1435"/>
      <c r="K64" s="1435"/>
      <c r="L64" s="1435"/>
      <c r="M64" s="1435"/>
      <c r="N64" s="1435"/>
      <c r="O64" s="1435"/>
      <c r="P64" s="1435"/>
      <c r="Q64" s="1435"/>
      <c r="R64" s="1435"/>
      <c r="S64" s="1435"/>
      <c r="T64" s="1435" t="s">
        <v>25462</v>
      </c>
      <c r="U64" s="1435"/>
      <c r="V64" s="1435"/>
      <c r="W64" s="1435"/>
      <c r="X64" s="1435"/>
    </row>
  </sheetData>
  <sheetProtection algorithmName="SHA-512" hashValue="P3DauyNHkwUAkon5mbAKeY/UON+Dkiuxg4+8Cw956quESHD8bjQbH1AOSfjak+YD4UlzE3tf48ygndDluhB4Vw==" saltValue="Rl2bZ+n/e1rT5Ve1pdsuvA==" spinCount="100000" sheet="1" objects="1" scenarios="1"/>
  <mergeCells count="4">
    <mergeCell ref="A1:C1"/>
    <mergeCell ref="F1:AC1"/>
    <mergeCell ref="Z10:Z13"/>
    <mergeCell ref="AD10:AD20"/>
  </mergeCell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E5F4A-4887-4DBC-911F-FAC4A0116F9E}">
  <sheetPr codeName="Foglio70">
    <tabColor rgb="FFC5D9F1"/>
  </sheetPr>
  <dimension ref="A1:CF45"/>
  <sheetViews>
    <sheetView showGridLines="0" zoomScale="85" zoomScaleNormal="85" workbookViewId="0">
      <pane xSplit="2" ySplit="4" topLeftCell="C5" activePane="bottomRight" state="frozen"/>
      <selection pane="topRight"/>
      <selection pane="bottomLeft"/>
      <selection pane="bottomRight" sqref="A1:B1"/>
    </sheetView>
  </sheetViews>
  <sheetFormatPr defaultColWidth="9.42578125" defaultRowHeight="15"/>
  <cols>
    <col min="1" max="1" width="13.42578125" customWidth="1"/>
    <col min="2" max="2" width="45.140625" customWidth="1"/>
    <col min="3" max="11" width="29.42578125" customWidth="1"/>
    <col min="12" max="12" width="24.5703125" customWidth="1"/>
    <col min="13" max="13" width="51.5703125" customWidth="1"/>
    <col min="14" max="15" width="29.42578125" customWidth="1"/>
    <col min="16" max="21" width="29.42578125" style="7" customWidth="1"/>
    <col min="22" max="31" width="29.42578125" style="7" hidden="1" customWidth="1"/>
    <col min="32" max="68" width="29.42578125" style="7" customWidth="1"/>
    <col min="69" max="80" width="29.42578125" customWidth="1"/>
    <col min="81" max="81" width="33.42578125" customWidth="1"/>
    <col min="82" max="84" width="29.42578125" customWidth="1"/>
  </cols>
  <sheetData>
    <row r="1" spans="1:84" ht="25.35" customHeight="1">
      <c r="A1" s="3685" t="s">
        <v>26482</v>
      </c>
      <c r="B1" s="3685"/>
      <c r="F1" s="920"/>
      <c r="G1" s="921"/>
      <c r="H1" s="922"/>
      <c r="J1" s="1482" t="s">
        <v>28873</v>
      </c>
      <c r="K1" s="922"/>
      <c r="L1" s="922"/>
      <c r="N1" s="922"/>
      <c r="O1" s="922"/>
      <c r="AA1" s="1409"/>
      <c r="AB1" s="1409"/>
      <c r="AF1" s="1410"/>
      <c r="AG1" s="1410"/>
      <c r="AM1" s="1411"/>
      <c r="BS1" s="921"/>
    </row>
    <row r="2" spans="1:84" ht="15" customHeight="1">
      <c r="A2" s="2101"/>
      <c r="B2" s="2101"/>
      <c r="D2" s="3270" t="s">
        <v>25632</v>
      </c>
      <c r="E2" s="103"/>
      <c r="F2" s="920"/>
      <c r="G2" s="921"/>
      <c r="H2" s="922"/>
      <c r="J2" s="253" t="b">
        <f ca="1">+D3&gt;0</f>
        <v>0</v>
      </c>
      <c r="K2" s="922"/>
      <c r="L2" s="922"/>
      <c r="N2" s="922"/>
      <c r="O2" s="922"/>
      <c r="P2" s="1412"/>
      <c r="Q2" s="1413"/>
      <c r="R2" s="1413"/>
      <c r="S2" s="1413"/>
      <c r="T2" s="1413"/>
      <c r="U2" s="1413"/>
      <c r="V2" s="1412"/>
      <c r="AB2" s="1409"/>
      <c r="AF2" s="1410"/>
      <c r="AG2" s="1410"/>
      <c r="AK2" s="1412" t="s">
        <v>31488</v>
      </c>
      <c r="AM2" s="1411"/>
      <c r="AU2" s="1412" t="s">
        <v>31492</v>
      </c>
      <c r="BS2" s="921"/>
      <c r="BV2" s="1254" t="s">
        <v>29576</v>
      </c>
      <c r="BW2" s="1255" t="s">
        <v>29577</v>
      </c>
      <c r="BX2" s="1255" t="s">
        <v>29578</v>
      </c>
      <c r="BY2" s="3268" t="s">
        <v>31495</v>
      </c>
      <c r="BZ2" s="1255" t="s">
        <v>26052</v>
      </c>
      <c r="CA2" s="1255" t="s">
        <v>26053</v>
      </c>
      <c r="CB2" s="1255"/>
      <c r="CC2" s="3269" t="s">
        <v>29579</v>
      </c>
      <c r="CD2" s="3268" t="s">
        <v>31496</v>
      </c>
      <c r="CE2" s="1255"/>
      <c r="CF2" s="1255"/>
    </row>
    <row r="3" spans="1:84" ht="15.75" customHeight="1">
      <c r="B3" s="923" t="s">
        <v>31486</v>
      </c>
      <c r="D3" s="1945">
        <f ca="1">+SUM(COUNTIF(OFFSET(BV4,1,0,COUNTA(CB:CB)-1,1),$BV$2),COUNTIF(OFFSET(BW4,1,0,COUNTA(CB:CB)-1,1),$BW$2),COUNTIF(OFFSET(BX4,1,0,COUNTA(CB:CB)-1,1),$BX$2),COUNTIF(OFFSET(BY4,1,0,COUNTA(CB:CB)-1,1),$BY$2),COUNTIF(OFFSET(BZ4,1,0,COUNTA(CB:CB)-1,1),$BZ$2),COUNTIF(OFFSET(CA4,1,0,COUNTA(CB:CB)-1,1),$CA$2),COUNTIF(OFFSET(CC4,1,0,COUNTA(CB:CB)-1,1),$CC$2),COUNTIF(OFFSET(CD4,1,0,COUNTA(CB:CB)-1,1),$CD$2))</f>
        <v>0</v>
      </c>
      <c r="E3" s="103" t="s">
        <v>25635</v>
      </c>
      <c r="P3" s="1412"/>
      <c r="Q3" s="1413"/>
      <c r="R3" s="1413"/>
      <c r="S3" s="1413"/>
      <c r="T3" s="1413"/>
      <c r="V3" s="3688"/>
      <c r="W3" s="3689"/>
      <c r="X3" s="3689"/>
      <c r="Y3" s="3689"/>
      <c r="Z3" s="3689"/>
      <c r="AA3" s="3690"/>
      <c r="AB3" s="3691"/>
      <c r="AC3" s="3691"/>
      <c r="AD3" s="3691"/>
      <c r="AE3" s="3691"/>
      <c r="AF3" s="3692" t="s">
        <v>31489</v>
      </c>
      <c r="AG3" s="3692"/>
      <c r="AH3" s="3692"/>
      <c r="AI3" s="3692"/>
      <c r="AJ3" s="3692"/>
      <c r="AK3" s="3693" t="s">
        <v>31491</v>
      </c>
      <c r="AL3" s="3694"/>
      <c r="AM3" s="3694"/>
      <c r="AN3" s="3694"/>
      <c r="AO3" s="3694"/>
      <c r="AP3" s="3695" t="s">
        <v>31490</v>
      </c>
      <c r="AQ3" s="3696"/>
      <c r="AR3" s="3696"/>
      <c r="AS3" s="3696"/>
      <c r="AT3" s="3697"/>
      <c r="AU3" s="3693" t="s">
        <v>30607</v>
      </c>
      <c r="AV3" s="3694"/>
      <c r="AW3" s="3694"/>
      <c r="AX3" s="3694"/>
      <c r="AY3" s="3694"/>
      <c r="AZ3" s="3688" t="s">
        <v>30608</v>
      </c>
      <c r="BA3" s="3689"/>
      <c r="BB3" s="3689"/>
      <c r="BC3" s="3689"/>
      <c r="BD3" s="3698"/>
      <c r="BE3" s="3693" t="s">
        <v>30637</v>
      </c>
      <c r="BF3" s="3694"/>
      <c r="BG3" s="3694"/>
      <c r="BH3" s="3694"/>
      <c r="BI3" s="3694"/>
      <c r="BJ3" s="3688" t="s">
        <v>30642</v>
      </c>
      <c r="BK3" s="3689"/>
      <c r="BL3" s="3689"/>
      <c r="BM3" s="3689"/>
      <c r="BN3" s="3698"/>
      <c r="BR3" s="7"/>
      <c r="BT3" s="3686" t="s">
        <v>31494</v>
      </c>
      <c r="BU3" s="3687"/>
    </row>
    <row r="4" spans="1:84" ht="65.25" customHeight="1">
      <c r="A4" s="1256" t="s">
        <v>25636</v>
      </c>
      <c r="B4" s="924" t="s">
        <v>25637</v>
      </c>
      <c r="C4" s="913" t="s">
        <v>31287</v>
      </c>
      <c r="D4" s="913" t="s">
        <v>26958</v>
      </c>
      <c r="E4" s="913" t="s">
        <v>31487</v>
      </c>
      <c r="F4" s="924" t="s">
        <v>25638</v>
      </c>
      <c r="G4" s="924" t="s">
        <v>25639</v>
      </c>
      <c r="H4" s="924" t="s">
        <v>25515</v>
      </c>
      <c r="I4" s="1253" t="s">
        <v>30924</v>
      </c>
      <c r="J4" s="913" t="s">
        <v>27121</v>
      </c>
      <c r="K4" s="913" t="s">
        <v>27119</v>
      </c>
      <c r="L4" s="913" t="s">
        <v>30631</v>
      </c>
      <c r="M4" s="913" t="s">
        <v>25403</v>
      </c>
      <c r="N4" s="913" t="s">
        <v>26939</v>
      </c>
      <c r="O4" s="913" t="s">
        <v>31901</v>
      </c>
      <c r="P4" s="1253" t="s">
        <v>30936</v>
      </c>
      <c r="Q4" s="1253" t="s">
        <v>30927</v>
      </c>
      <c r="R4" s="1253" t="s">
        <v>31219</v>
      </c>
      <c r="S4" s="1253" t="s">
        <v>30934</v>
      </c>
      <c r="T4" s="1253" t="s">
        <v>30933</v>
      </c>
      <c r="U4" s="2102" t="s">
        <v>31900</v>
      </c>
      <c r="V4" s="1414"/>
      <c r="W4" s="1415"/>
      <c r="X4" s="1414"/>
      <c r="Y4" s="1414"/>
      <c r="Z4" s="1415"/>
      <c r="AA4" s="1414"/>
      <c r="AB4" s="1415"/>
      <c r="AC4" s="1414"/>
      <c r="AD4" s="1414"/>
      <c r="AE4" s="1415"/>
      <c r="AF4" s="1414" t="s">
        <v>26962</v>
      </c>
      <c r="AG4" s="1415" t="s">
        <v>30632</v>
      </c>
      <c r="AH4" s="1414" t="s">
        <v>26963</v>
      </c>
      <c r="AI4" s="1414" t="s">
        <v>26964</v>
      </c>
      <c r="AJ4" s="1415" t="s">
        <v>26965</v>
      </c>
      <c r="AK4" s="1414" t="s">
        <v>26967</v>
      </c>
      <c r="AL4" s="1415" t="s">
        <v>30937</v>
      </c>
      <c r="AM4" s="1414" t="s">
        <v>29694</v>
      </c>
      <c r="AN4" s="1414" t="s">
        <v>26968</v>
      </c>
      <c r="AO4" s="1415" t="s">
        <v>30633</v>
      </c>
      <c r="AP4" s="1414" t="s">
        <v>26969</v>
      </c>
      <c r="AQ4" s="1415" t="s">
        <v>30938</v>
      </c>
      <c r="AR4" s="1414" t="s">
        <v>26970</v>
      </c>
      <c r="AS4" s="1414" t="s">
        <v>26971</v>
      </c>
      <c r="AT4" s="1415" t="s">
        <v>30634</v>
      </c>
      <c r="AU4" s="1414" t="s">
        <v>26972</v>
      </c>
      <c r="AV4" s="1415" t="s">
        <v>30939</v>
      </c>
      <c r="AW4" s="1414" t="s">
        <v>26973</v>
      </c>
      <c r="AX4" s="1414" t="s">
        <v>26974</v>
      </c>
      <c r="AY4" s="1415" t="s">
        <v>30635</v>
      </c>
      <c r="AZ4" s="1414" t="s">
        <v>26975</v>
      </c>
      <c r="BA4" s="1415" t="s">
        <v>30940</v>
      </c>
      <c r="BB4" s="1414" t="s">
        <v>29693</v>
      </c>
      <c r="BC4" s="1414" t="s">
        <v>26976</v>
      </c>
      <c r="BD4" s="1415" t="s">
        <v>30636</v>
      </c>
      <c r="BE4" s="1414" t="s">
        <v>30638</v>
      </c>
      <c r="BF4" s="1415" t="s">
        <v>30941</v>
      </c>
      <c r="BG4" s="1414" t="s">
        <v>30639</v>
      </c>
      <c r="BH4" s="1414" t="s">
        <v>30640</v>
      </c>
      <c r="BI4" s="1415" t="s">
        <v>30641</v>
      </c>
      <c r="BJ4" s="1414" t="s">
        <v>30643</v>
      </c>
      <c r="BK4" s="1415" t="s">
        <v>30942</v>
      </c>
      <c r="BL4" s="1414" t="s">
        <v>30644</v>
      </c>
      <c r="BM4" s="1414" t="s">
        <v>30645</v>
      </c>
      <c r="BN4" s="1415" t="s">
        <v>30646</v>
      </c>
      <c r="BO4" s="1416" t="s">
        <v>30647</v>
      </c>
      <c r="BP4" s="1416" t="s">
        <v>31493</v>
      </c>
      <c r="BQ4" s="2158" t="s">
        <v>25527</v>
      </c>
      <c r="BR4" s="2159" t="s">
        <v>30959</v>
      </c>
      <c r="BS4" s="2159" t="s">
        <v>30960</v>
      </c>
      <c r="BT4" s="2160" t="s">
        <v>30961</v>
      </c>
      <c r="BU4" s="2160" t="s">
        <v>30962</v>
      </c>
      <c r="BV4" s="923" t="s">
        <v>25640</v>
      </c>
      <c r="BW4" s="923" t="s">
        <v>25641</v>
      </c>
      <c r="BX4" s="923" t="s">
        <v>25642</v>
      </c>
      <c r="BY4" s="923" t="s">
        <v>25643</v>
      </c>
      <c r="BZ4" s="923" t="s">
        <v>26050</v>
      </c>
      <c r="CA4" s="923" t="s">
        <v>26051</v>
      </c>
      <c r="CB4" s="923" t="s">
        <v>22741</v>
      </c>
      <c r="CC4" s="923" t="s">
        <v>27117</v>
      </c>
      <c r="CD4" s="923" t="s">
        <v>27118</v>
      </c>
      <c r="CE4" s="923" t="s">
        <v>27069</v>
      </c>
      <c r="CF4" s="923" t="s">
        <v>30649</v>
      </c>
    </row>
    <row r="5" spans="1:84" ht="25.35" customHeight="1">
      <c r="A5" s="1257"/>
      <c r="B5" s="1258"/>
      <c r="C5" s="1260"/>
      <c r="D5" s="1257"/>
      <c r="E5" s="1257"/>
      <c r="F5" s="1257"/>
      <c r="G5" s="1257"/>
      <c r="H5" s="1257"/>
      <c r="I5" s="1257"/>
      <c r="J5" s="1257"/>
      <c r="K5" s="1257"/>
      <c r="L5" s="1550" t="str">
        <f>IF(M5="","",VLOOKUP(M5,TT_Tabelle_Riferimento!$G$127:$K$164,5,FALSE))</f>
        <v/>
      </c>
      <c r="M5" s="1735"/>
      <c r="N5" s="1259"/>
      <c r="O5" s="2098"/>
      <c r="P5" s="1260"/>
      <c r="Q5" s="2099"/>
      <c r="R5" s="2444"/>
      <c r="S5" s="1260"/>
      <c r="T5" s="2114"/>
      <c r="U5" s="1259"/>
      <c r="V5" s="1260"/>
      <c r="W5" s="1260"/>
      <c r="X5" s="1260"/>
      <c r="Y5" s="1260"/>
      <c r="Z5" s="1260"/>
      <c r="AA5" s="1417"/>
      <c r="AB5" s="1417"/>
      <c r="AC5" s="1417"/>
      <c r="AD5" s="1417"/>
      <c r="AE5" s="1417"/>
      <c r="AF5" s="1260"/>
      <c r="AG5" s="1260"/>
      <c r="AH5" s="1260"/>
      <c r="AI5" s="1260"/>
      <c r="AJ5" s="1260"/>
      <c r="AK5" s="1417"/>
      <c r="AL5" s="1417"/>
      <c r="AM5" s="1417"/>
      <c r="AN5" s="1417"/>
      <c r="AO5" s="1417"/>
      <c r="AP5" s="1260"/>
      <c r="AQ5" s="1260"/>
      <c r="AR5" s="1260"/>
      <c r="AS5" s="1260"/>
      <c r="AT5" s="1260"/>
      <c r="AU5" s="1417"/>
      <c r="AV5" s="1417"/>
      <c r="AW5" s="1417"/>
      <c r="AX5" s="1417"/>
      <c r="AY5" s="1417"/>
      <c r="AZ5" s="1260"/>
      <c r="BA5" s="1260"/>
      <c r="BB5" s="1260"/>
      <c r="BC5" s="1260"/>
      <c r="BD5" s="1260"/>
      <c r="BE5" s="1417"/>
      <c r="BF5" s="1417"/>
      <c r="BG5" s="1417"/>
      <c r="BH5" s="1417"/>
      <c r="BI5" s="1417"/>
      <c r="BJ5" s="1260"/>
      <c r="BK5" s="1260"/>
      <c r="BL5" s="1260"/>
      <c r="BM5" s="2115"/>
      <c r="BN5" s="2115"/>
      <c r="BO5" s="2115"/>
      <c r="BP5" s="2115"/>
      <c r="BQ5" s="2115"/>
      <c r="BR5" s="2115"/>
      <c r="BS5" s="2113"/>
      <c r="BT5" s="2115"/>
      <c r="BU5" s="2115"/>
      <c r="BV5" s="1551" t="str">
        <f>IF(AND(OR(ISNA(VLOOKUP(C5,'PdI-legenda'!$F$4:$F$64,1,FALSE))=TRUE,ISNA(VLOOKUP(D5,'PdI-legenda'!$A$7:$A$22,1,FALSE))=TRUE),SUM(P5:BP5,BT5:BU5)&lt;&gt;0),$BV$2,"")</f>
        <v/>
      </c>
      <c r="BW5" s="1551" t="str">
        <f>IFERROR(IF((INDEX('PdI-legenda'!$F$4:$X$64,MATCH($C5,'PdI-legenda'!$F$4:$F$64,0),MATCH($D5,'PdI-legenda'!$F$3:$X$3,0))=$D5),"",$BW$2),"")</f>
        <v/>
      </c>
      <c r="BX5" s="1551" t="str">
        <f>IF(AND(SUM(AF5:BP5,BT5:BU5)&lt;&gt;0,OR(A5="",B5="",C5="",D5="",H5="",J5="")),$BX$2,"")</f>
        <v/>
      </c>
      <c r="BY5" s="1551" t="str">
        <f>IF(AND(OR(BR5="x",BS5&lt;&gt;0),D5&lt;&gt;"Preq3"),$BY$2,"")</f>
        <v/>
      </c>
      <c r="BZ5" s="1551" t="str">
        <f>IF(OR(AJ5&gt;AI5,AO5&gt;AN5,AT5&gt;AS5,AY5&gt;AX5,BD5&gt;BC5,BI5&gt;BH5,BN5&gt;BM5),$BZ$2,"")</f>
        <v/>
      </c>
      <c r="CA5" s="1551" t="str">
        <f>IF(OR(AG5&gt;AF5,AL5&gt;AK5,AQ5&gt;AP5),$CA$2,"")</f>
        <v/>
      </c>
      <c r="CB5" s="925">
        <f>+ROW(CB5)-4</f>
        <v>1</v>
      </c>
      <c r="CC5" s="1551" t="str">
        <f>IF(OR(AF5&gt;AG5+AH5,AK5&gt;AL5+AM5,AP5&gt;AQ5+AR5),$CC$2,"")</f>
        <v/>
      </c>
      <c r="CD5" s="1551" t="str">
        <f>IFERROR(IF(AND(I5="x",VLOOKUP(L5,TT_Tabelle_Riferimento!$D$126:$H$164,5,FALSE)&lt;20),$CD$2,""),"")</f>
        <v/>
      </c>
      <c r="CE5" s="925" t="str">
        <f>+IFERROR(VLOOKUP(K5,TT_Tabelle_Riferimento!$G$3:$H$6,2,FALSE),"")</f>
        <v/>
      </c>
      <c r="CF5" s="925" t="str">
        <f>+IFERROR(VLOOKUP(M5,vu_new,5,FALSE),"")</f>
        <v/>
      </c>
    </row>
    <row r="29" spans="75:84">
      <c r="BW29" s="343"/>
      <c r="BX29" s="343"/>
      <c r="BY29" s="343"/>
      <c r="BZ29" s="343"/>
      <c r="CA29" s="343"/>
      <c r="CB29" s="343"/>
      <c r="CC29" s="343"/>
      <c r="CD29" s="343"/>
      <c r="CE29" s="343"/>
      <c r="CF29" s="343"/>
    </row>
    <row r="39" spans="36:73">
      <c r="AM39" s="1418"/>
      <c r="BR39" s="343"/>
      <c r="BT39" s="343"/>
      <c r="BU39" s="343"/>
    </row>
    <row r="45" spans="36:73">
      <c r="AJ45" s="1418"/>
      <c r="AK45" s="1418"/>
      <c r="AL45" s="1418"/>
      <c r="AN45" s="1418"/>
      <c r="AO45" s="1418"/>
      <c r="AP45" s="1418"/>
      <c r="AQ45" s="1418"/>
      <c r="AR45" s="1418"/>
      <c r="AS45" s="1418"/>
      <c r="AT45" s="1418"/>
      <c r="AU45" s="1418"/>
      <c r="AV45" s="1418"/>
      <c r="AW45" s="1418"/>
      <c r="AX45" s="1418"/>
      <c r="AY45" s="1418"/>
      <c r="AZ45" s="1418"/>
      <c r="BA45" s="1418"/>
      <c r="BB45" s="1418"/>
      <c r="BC45" s="1418"/>
      <c r="BD45" s="1418"/>
      <c r="BE45" s="1418"/>
      <c r="BF45" s="1418"/>
      <c r="BG45" s="1418"/>
      <c r="BH45" s="1418"/>
      <c r="BI45" s="1418"/>
      <c r="BJ45" s="1418"/>
      <c r="BK45" s="1418"/>
      <c r="BL45" s="1418"/>
      <c r="BM45" s="1418"/>
      <c r="BN45" s="1418"/>
      <c r="BO45" s="1418"/>
      <c r="BP45" s="1418"/>
      <c r="BQ45" s="343"/>
    </row>
  </sheetData>
  <sheetProtection algorithmName="SHA-512" hashValue="z7jGpRFJnANLlJse/ms7r0bZWTRNpHd3Ny+RkdJm3jm6N/mnBhvlWjPc9KO1bCvtoAMb2svhmOOjnQFzpzu00w==" saltValue="zNcAUrSrvq5Af4lZNFCdvg==" spinCount="100000" sheet="1" objects="1" scenarios="1"/>
  <mergeCells count="11">
    <mergeCell ref="A1:B1"/>
    <mergeCell ref="BT3:BU3"/>
    <mergeCell ref="V3:Z3"/>
    <mergeCell ref="AA3:AE3"/>
    <mergeCell ref="AF3:AJ3"/>
    <mergeCell ref="AK3:AO3"/>
    <mergeCell ref="AP3:AT3"/>
    <mergeCell ref="AU3:AY3"/>
    <mergeCell ref="AZ3:BD3"/>
    <mergeCell ref="BE3:BI3"/>
    <mergeCell ref="BJ3:BN3"/>
  </mergeCells>
  <conditionalFormatting sqref="BV5">
    <cfRule type="expression" dxfId="59" priority="48">
      <formula>BV5=BV$2</formula>
    </cfRule>
  </conditionalFormatting>
  <conditionalFormatting sqref="BW5">
    <cfRule type="expression" dxfId="58" priority="47">
      <formula>BW5=$BW$2</formula>
    </cfRule>
  </conditionalFormatting>
  <conditionalFormatting sqref="BX5">
    <cfRule type="expression" dxfId="57" priority="46">
      <formula>BX5=$BX$2</formula>
    </cfRule>
  </conditionalFormatting>
  <conditionalFormatting sqref="BY5">
    <cfRule type="expression" dxfId="56" priority="45">
      <formula>BY5=$BY$2</formula>
    </cfRule>
  </conditionalFormatting>
  <conditionalFormatting sqref="BZ5">
    <cfRule type="expression" dxfId="55" priority="44">
      <formula>BZ5=$BZ$2</formula>
    </cfRule>
  </conditionalFormatting>
  <conditionalFormatting sqref="CA5">
    <cfRule type="expression" dxfId="54" priority="43">
      <formula>CA5=$CA$2</formula>
    </cfRule>
  </conditionalFormatting>
  <conditionalFormatting sqref="CC5">
    <cfRule type="expression" dxfId="53" priority="42">
      <formula>CC5=$CC$2</formula>
    </cfRule>
  </conditionalFormatting>
  <conditionalFormatting sqref="CD5">
    <cfRule type="expression" dxfId="52" priority="41">
      <formula>CD5=$CD$2</formula>
    </cfRule>
  </conditionalFormatting>
  <dataValidations count="5">
    <dataValidation type="list" allowBlank="1" showInputMessage="1" showErrorMessage="1" sqref="K5" xr:uid="{E6D1A46F-4BC8-4731-89E1-8E42B29E0592}">
      <formula1>"Servizio idrico integrato,Altri servizi idrici"</formula1>
    </dataValidation>
    <dataValidation type="list" allowBlank="1" showInputMessage="1" showErrorMessage="1" sqref="U5" xr:uid="{A8B322E1-8C52-4671-AE34-889A1E312F2D}">
      <formula1>elenco</formula1>
    </dataValidation>
    <dataValidation type="list" allowBlank="1" showInputMessage="1" showErrorMessage="1" sqref="P5" xr:uid="{075FB068-CAC8-4785-9F0E-1F31B8AFDDB7}">
      <formula1>gestore_proprietario</formula1>
    </dataValidation>
    <dataValidation type="list" allowBlank="1" showInputMessage="1" showErrorMessage="1" sqref="Q5" xr:uid="{0F0B5FF7-1280-48D3-A14E-D83B26DFC8CF}">
      <formula1>infrastrutture_new</formula1>
    </dataValidation>
    <dataValidation type="list" allowBlank="1" showInputMessage="1" showErrorMessage="1" sqref="R5" xr:uid="{F93A2135-CFEE-4E1A-A300-5CFC4711F063}">
      <formula1>" ,x"</formula1>
    </dataValidation>
  </dataValidations>
  <hyperlinks>
    <hyperlink ref="D2" location="'PdI-crono_inv'!BV2" display="Vai a descrizione errori" xr:uid="{CB670328-5C5D-46EF-BD9B-8E9C761D67B1}"/>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05185" r:id="rId4" name="Button 1">
              <controlPr defaultSize="0" print="0" autoFill="0" autoPict="0" macro="[0]!Aggiunge_riga">
                <anchor moveWithCells="1" sizeWithCells="1">
                  <from>
                    <xdr:col>1</xdr:col>
                    <xdr:colOff>38100</xdr:colOff>
                    <xdr:row>3</xdr:row>
                    <xdr:rowOff>257175</xdr:rowOff>
                  </from>
                  <to>
                    <xdr:col>1</xdr:col>
                    <xdr:colOff>600075</xdr:colOff>
                    <xdr:row>3</xdr:row>
                    <xdr:rowOff>495300</xdr:rowOff>
                  </to>
                </anchor>
              </controlPr>
            </control>
          </mc:Choice>
        </mc:AlternateContent>
        <mc:AlternateContent xmlns:mc="http://schemas.openxmlformats.org/markup-compatibility/2006">
          <mc:Choice Requires="x14">
            <control shapeId="605186" r:id="rId5" name="Button 2">
              <controlPr defaultSize="0" print="0" autoFill="0" autoPict="0" macro="[0]!Elimina_riga">
                <anchor moveWithCells="1" sizeWithCells="1">
                  <from>
                    <xdr:col>1</xdr:col>
                    <xdr:colOff>2390775</xdr:colOff>
                    <xdr:row>3</xdr:row>
                    <xdr:rowOff>295275</xdr:rowOff>
                  </from>
                  <to>
                    <xdr:col>1</xdr:col>
                    <xdr:colOff>2857500</xdr:colOff>
                    <xdr:row>3</xdr:row>
                    <xdr:rowOff>523875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ErrorMessage="1" xr:uid="{58CA8F5C-04F0-4070-8409-83194E475A76}">
          <x14:formula1>
            <xm:f>'PdI-legenda'!$AA$22:$AB$22</xm:f>
          </x14:formula1>
          <xm:sqref>I5</xm:sqref>
        </x14:dataValidation>
        <x14:dataValidation type="list" allowBlank="1" showErrorMessage="1" xr:uid="{7A43AC94-5EC1-4564-8824-2E25E7AB6C9D}">
          <x14:formula1>
            <xm:f>'PdI-legenda'!$Z$4:$Z$6</xm:f>
          </x14:formula1>
          <xm:sqref>J5</xm:sqref>
        </x14:dataValidation>
        <x14:dataValidation type="list" allowBlank="1" showInputMessage="1" showErrorMessage="1" xr:uid="{FD809760-A2E3-4357-8807-6A2C3BCC4598}">
          <x14:formula1>
            <xm:f>'PdI-legenda'!$AA$21:$AB$21</xm:f>
          </x14:formula1>
          <xm:sqref>BR5</xm:sqref>
        </x14:dataValidation>
        <x14:dataValidation type="list" allowBlank="1" showInputMessage="1" showErrorMessage="1" xr:uid="{455266CD-E279-4534-8EB7-622B22406B37}">
          <x14:formula1>
            <xm:f>'PdI-legenda'!$AA$20:$AB$20</xm:f>
          </x14:formula1>
          <xm:sqref>BQ5</xm:sqref>
        </x14:dataValidation>
        <x14:dataValidation type="list" allowBlank="1" showInputMessage="1" showErrorMessage="1" xr:uid="{5DDA3B98-66A9-42C3-B6ED-B3290E234618}">
          <x14:formula1>
            <xm:f>'PdI-legenda'!$AA$10:$AA$13</xm:f>
          </x14:formula1>
          <xm:sqref>N5</xm:sqref>
        </x14:dataValidation>
        <x14:dataValidation type="list" allowBlank="1" showErrorMessage="1" xr:uid="{788DF3DD-DF77-4348-9C85-0C1E4799639F}">
          <x14:formula1>
            <xm:f>'PdI-legenda'!$AA$8:$AB$8</xm:f>
          </x14:formula1>
          <xm:sqref>E5</xm:sqref>
        </x14:dataValidation>
        <x14:dataValidation type="list" allowBlank="1" showErrorMessage="1" xr:uid="{B6FAE88C-0DC6-4C0A-A26C-FE612E95727B}">
          <x14:formula1>
            <xm:f>'PdI-legenda'!$AA$15:$AA$17</xm:f>
          </x14:formula1>
          <xm:sqref>H5</xm:sqref>
        </x14:dataValidation>
        <x14:dataValidation type="list" allowBlank="1" showInputMessage="1" showErrorMessage="1" xr:uid="{8D208A7B-1AAE-490B-824C-22019C32BE21}">
          <x14:formula1>
            <xm:f>TT_Tabelle_Riferimento!$G$127:$G$164</xm:f>
          </x14:formula1>
          <xm:sqref>M5</xm:sqref>
        </x14:dataValidation>
        <x14:dataValidation type="list" allowBlank="1" showErrorMessage="1" xr:uid="{90C5746B-F4F4-48D0-9C95-4C308F730550}">
          <x14:formula1>
            <xm:f>'PdI-legenda'!$A$7:$A$22</xm:f>
          </x14:formula1>
          <xm:sqref>D5</xm:sqref>
        </x14:dataValidation>
        <x14:dataValidation type="list" allowBlank="1" showInputMessage="1" showErrorMessage="1" xr:uid="{AB7665E3-B9FD-428C-BEAB-85648ABDD4D2}">
          <x14:formula1>
            <xm:f>'PdI-legenda'!$F$4:$F$64</xm:f>
          </x14:formula1>
          <xm:sqref>C5</xm:sqref>
        </x14:dataValidation>
        <x14:dataValidation type="list" allowBlank="1" showInputMessage="1" showErrorMessage="1" xr:uid="{1A15D035-C776-4867-9177-6829BB9FE90C}">
          <x14:formula1>
            <xm:f>'PdI-legenda'!$AE$10:$AE$20</xm:f>
          </x14:formula1>
          <xm:sqref>O5</xm:sqref>
        </x14:dataValidation>
      </x14:dataValidations>
    </ext>
  </extLs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B6AEF-74A2-4D5F-91E4-B96DA12219CC}">
  <sheetPr codeName="Foglio66">
    <tabColor rgb="FFC5D9F1"/>
  </sheetPr>
  <dimension ref="A1:AX5"/>
  <sheetViews>
    <sheetView showGridLines="0" zoomScale="85" zoomScaleNormal="85" workbookViewId="0">
      <pane ySplit="4" topLeftCell="A5" activePane="bottomLeft" state="frozen"/>
      <selection pane="bottomLeft"/>
    </sheetView>
  </sheetViews>
  <sheetFormatPr defaultColWidth="9.42578125" defaultRowHeight="15"/>
  <cols>
    <col min="1" max="1" width="37" bestFit="1" customWidth="1"/>
    <col min="2" max="2" width="48.5703125" style="7" customWidth="1"/>
    <col min="3" max="26" width="29.42578125" style="7" hidden="1" customWidth="1"/>
    <col min="27" max="27" width="29.42578125" style="7" customWidth="1"/>
    <col min="28" max="28" width="29.42578125" style="7" hidden="1" customWidth="1"/>
    <col min="29" max="30" width="29.42578125" style="7" customWidth="1"/>
    <col min="31" max="31" width="29.42578125" style="7" hidden="1" customWidth="1"/>
    <col min="32" max="33" width="29.42578125" style="7" customWidth="1"/>
    <col min="34" max="34" width="29.42578125" style="7" hidden="1" customWidth="1"/>
    <col min="35" max="36" width="29.42578125" style="7" customWidth="1"/>
    <col min="37" max="37" width="29.42578125" style="7" hidden="1" customWidth="1"/>
    <col min="38" max="39" width="29.42578125" style="7" customWidth="1"/>
    <col min="40" max="40" width="29.42578125" style="7" hidden="1" customWidth="1"/>
    <col min="41" max="42" width="29.42578125" style="7" customWidth="1"/>
    <col min="43" max="43" width="29.42578125" style="7" hidden="1" customWidth="1"/>
    <col min="44" max="46" width="29.42578125" style="7" customWidth="1"/>
    <col min="47" max="49" width="34.42578125" hidden="1" customWidth="1"/>
    <col min="50" max="50" width="9.42578125" style="1049"/>
  </cols>
  <sheetData>
    <row r="1" spans="1:50" ht="24" customHeight="1">
      <c r="A1" s="926" t="s">
        <v>30925</v>
      </c>
      <c r="O1" s="1409"/>
      <c r="P1" s="1409"/>
      <c r="Q1" s="1409"/>
      <c r="R1" s="1409"/>
      <c r="S1" s="1409"/>
      <c r="T1" s="1409"/>
      <c r="V1" s="1409"/>
      <c r="Y1" s="1409"/>
      <c r="AB1" s="1409"/>
      <c r="AE1" s="1409"/>
      <c r="AH1" s="1409"/>
      <c r="AK1" s="1409"/>
      <c r="AN1" s="1409"/>
      <c r="AQ1" s="1409"/>
    </row>
    <row r="2" spans="1:50" ht="24" customHeight="1">
      <c r="A2" s="338"/>
      <c r="B2" s="1448"/>
      <c r="O2" s="1409"/>
      <c r="P2" s="1409"/>
      <c r="Q2" s="1409"/>
      <c r="R2" s="1409"/>
      <c r="S2" s="1409"/>
      <c r="T2" s="1409"/>
      <c r="V2" s="1409"/>
      <c r="Y2" s="1409"/>
      <c r="AB2" s="1409"/>
      <c r="AE2" s="1409"/>
      <c r="AH2" s="1409"/>
      <c r="AK2" s="1409"/>
      <c r="AN2" s="1409"/>
      <c r="AQ2" s="1409"/>
    </row>
    <row r="3" spans="1:50" ht="15.75" customHeight="1">
      <c r="B3" s="1419"/>
      <c r="C3" s="3699" t="s">
        <v>27099</v>
      </c>
      <c r="D3" s="3700"/>
      <c r="E3" s="3700"/>
      <c r="F3" s="3699" t="s">
        <v>27098</v>
      </c>
      <c r="G3" s="3700"/>
      <c r="H3" s="3700"/>
      <c r="I3" s="3699" t="s">
        <v>30650</v>
      </c>
      <c r="J3" s="3700"/>
      <c r="K3" s="3700"/>
      <c r="L3" s="3699" t="s">
        <v>30651</v>
      </c>
      <c r="M3" s="3700"/>
      <c r="N3" s="3700"/>
      <c r="O3" s="3699" t="s">
        <v>30652</v>
      </c>
      <c r="P3" s="3700"/>
      <c r="Q3" s="3700"/>
      <c r="R3" s="3688" t="s">
        <v>26966</v>
      </c>
      <c r="S3" s="3689"/>
      <c r="T3" s="3689"/>
      <c r="U3" s="3699" t="s">
        <v>30609</v>
      </c>
      <c r="V3" s="3700"/>
      <c r="W3" s="3700"/>
      <c r="X3" s="3688" t="s">
        <v>30653</v>
      </c>
      <c r="Y3" s="3689"/>
      <c r="Z3" s="3698"/>
      <c r="AA3" s="3699" t="s">
        <v>30654</v>
      </c>
      <c r="AB3" s="3700"/>
      <c r="AC3" s="3700"/>
      <c r="AD3" s="3688" t="s">
        <v>30658</v>
      </c>
      <c r="AE3" s="3689"/>
      <c r="AF3" s="3698"/>
      <c r="AG3" s="3699" t="s">
        <v>30662</v>
      </c>
      <c r="AH3" s="3700"/>
      <c r="AI3" s="3700"/>
      <c r="AJ3" s="3688" t="s">
        <v>30663</v>
      </c>
      <c r="AK3" s="3689"/>
      <c r="AL3" s="3698"/>
      <c r="AM3" s="3699" t="s">
        <v>30670</v>
      </c>
      <c r="AN3" s="3700"/>
      <c r="AO3" s="3700"/>
      <c r="AP3" s="3688" t="s">
        <v>30610</v>
      </c>
      <c r="AQ3" s="3689"/>
      <c r="AR3" s="3698"/>
      <c r="AS3" s="3688" t="s">
        <v>30611</v>
      </c>
      <c r="AT3" s="3698"/>
    </row>
    <row r="4" spans="1:50" ht="65.25" customHeight="1">
      <c r="A4" s="1351" t="s">
        <v>25636</v>
      </c>
      <c r="B4" s="1420" t="s">
        <v>25637</v>
      </c>
      <c r="C4" s="1420" t="s">
        <v>26959</v>
      </c>
      <c r="D4" s="1420" t="s">
        <v>26960</v>
      </c>
      <c r="E4" s="1420" t="s">
        <v>26961</v>
      </c>
      <c r="F4" s="1420" t="s">
        <v>26962</v>
      </c>
      <c r="G4" s="1420" t="s">
        <v>26963</v>
      </c>
      <c r="H4" s="1420" t="s">
        <v>26964</v>
      </c>
      <c r="I4" s="1420" t="s">
        <v>26967</v>
      </c>
      <c r="J4" s="1420" t="s">
        <v>29694</v>
      </c>
      <c r="K4" s="1420" t="s">
        <v>26968</v>
      </c>
      <c r="L4" s="1420" t="s">
        <v>26969</v>
      </c>
      <c r="M4" s="1420" t="s">
        <v>26970</v>
      </c>
      <c r="N4" s="1420" t="s">
        <v>26971</v>
      </c>
      <c r="O4" s="1420" t="s">
        <v>26972</v>
      </c>
      <c r="P4" s="1420" t="s">
        <v>26973</v>
      </c>
      <c r="Q4" s="1420" t="s">
        <v>26974</v>
      </c>
      <c r="R4" s="1420" t="s">
        <v>26975</v>
      </c>
      <c r="S4" s="1420" t="s">
        <v>29693</v>
      </c>
      <c r="T4" s="1420" t="s">
        <v>26976</v>
      </c>
      <c r="U4" s="1420" t="s">
        <v>30638</v>
      </c>
      <c r="V4" s="1420" t="s">
        <v>30639</v>
      </c>
      <c r="W4" s="1420" t="s">
        <v>30640</v>
      </c>
      <c r="X4" s="1420" t="s">
        <v>30643</v>
      </c>
      <c r="Y4" s="1420" t="s">
        <v>30644</v>
      </c>
      <c r="Z4" s="1420" t="s">
        <v>30645</v>
      </c>
      <c r="AA4" s="1420" t="s">
        <v>30655</v>
      </c>
      <c r="AB4" s="1420" t="s">
        <v>30657</v>
      </c>
      <c r="AC4" s="1420" t="s">
        <v>30656</v>
      </c>
      <c r="AD4" s="1420" t="s">
        <v>30659</v>
      </c>
      <c r="AE4" s="1420" t="s">
        <v>30661</v>
      </c>
      <c r="AF4" s="1420" t="s">
        <v>30660</v>
      </c>
      <c r="AG4" s="1420" t="s">
        <v>30664</v>
      </c>
      <c r="AH4" s="1420" t="s">
        <v>30668</v>
      </c>
      <c r="AI4" s="1420" t="s">
        <v>30665</v>
      </c>
      <c r="AJ4" s="1420" t="s">
        <v>30666</v>
      </c>
      <c r="AK4" s="1420" t="s">
        <v>30669</v>
      </c>
      <c r="AL4" s="1420" t="s">
        <v>30667</v>
      </c>
      <c r="AM4" s="1420" t="s">
        <v>30671</v>
      </c>
      <c r="AN4" s="1420" t="s">
        <v>30673</v>
      </c>
      <c r="AO4" s="1420" t="s">
        <v>30672</v>
      </c>
      <c r="AP4" s="1420" t="s">
        <v>30674</v>
      </c>
      <c r="AQ4" s="1420" t="s">
        <v>30676</v>
      </c>
      <c r="AR4" s="1420" t="s">
        <v>30675</v>
      </c>
      <c r="AS4" s="1420" t="s">
        <v>30677</v>
      </c>
      <c r="AT4" s="1420" t="s">
        <v>30678</v>
      </c>
      <c r="AU4" s="923" t="s">
        <v>21</v>
      </c>
      <c r="AV4" s="923" t="s">
        <v>21</v>
      </c>
      <c r="AW4" s="923" t="s">
        <v>21</v>
      </c>
      <c r="AX4" s="1447" t="s">
        <v>22741</v>
      </c>
    </row>
    <row r="5" spans="1:50" ht="25.35" customHeight="1">
      <c r="A5" s="1257"/>
      <c r="B5" s="1258"/>
      <c r="C5" s="2153"/>
      <c r="D5" s="2153"/>
      <c r="E5" s="2153"/>
      <c r="F5" s="2153"/>
      <c r="G5" s="2153"/>
      <c r="H5" s="2153"/>
      <c r="I5" s="2153"/>
      <c r="J5" s="2153"/>
      <c r="K5" s="2153"/>
      <c r="L5" s="2153"/>
      <c r="M5" s="2153"/>
      <c r="N5" s="2153"/>
      <c r="O5" s="2154"/>
      <c r="P5" s="2154"/>
      <c r="Q5" s="2154"/>
      <c r="R5" s="2155"/>
      <c r="S5" s="2155"/>
      <c r="T5" s="2155"/>
      <c r="U5" s="2156"/>
      <c r="V5" s="2154"/>
      <c r="W5" s="2156"/>
      <c r="X5" s="2157"/>
      <c r="Y5" s="2157"/>
      <c r="Z5" s="2157"/>
      <c r="AA5" s="2156"/>
      <c r="AB5" s="2154"/>
      <c r="AC5" s="2156"/>
      <c r="AD5" s="2157"/>
      <c r="AE5" s="2157"/>
      <c r="AF5" s="2157"/>
      <c r="AG5" s="2156"/>
      <c r="AH5" s="2154"/>
      <c r="AI5" s="2156"/>
      <c r="AJ5" s="2157"/>
      <c r="AK5" s="2157"/>
      <c r="AL5" s="2157"/>
      <c r="AM5" s="2156"/>
      <c r="AN5" s="2154"/>
      <c r="AO5" s="2156"/>
      <c r="AP5" s="2157"/>
      <c r="AQ5" s="2157"/>
      <c r="AR5" s="2157"/>
      <c r="AS5" s="2157"/>
      <c r="AT5" s="2157"/>
      <c r="AU5" s="925"/>
      <c r="AV5" s="925"/>
      <c r="AW5" s="925"/>
      <c r="AX5" s="1049">
        <f>+ROW()-4</f>
        <v>1</v>
      </c>
    </row>
  </sheetData>
  <sheetProtection algorithmName="SHA-512" hashValue="ai+OJkezzxb614vsvMaOQJDoYLJ/hcNA+ZuAwo6T0ESXlcqSzSokTSLSlZH7+WjEc+aOtFqG6MYpk/xMSTpktw==" saltValue="7a5CcdN+BQxJFdR4K2kogw==" spinCount="100000" sheet="1" objects="1" scenarios="1"/>
  <mergeCells count="15">
    <mergeCell ref="AS3:AT3"/>
    <mergeCell ref="C3:E3"/>
    <mergeCell ref="O3:Q3"/>
    <mergeCell ref="R3:T3"/>
    <mergeCell ref="U3:W3"/>
    <mergeCell ref="X3:Z3"/>
    <mergeCell ref="L3:N3"/>
    <mergeCell ref="I3:K3"/>
    <mergeCell ref="F3:H3"/>
    <mergeCell ref="AA3:AC3"/>
    <mergeCell ref="AD3:AF3"/>
    <mergeCell ref="AG3:AI3"/>
    <mergeCell ref="AJ3:AL3"/>
    <mergeCell ref="AM3:AO3"/>
    <mergeCell ref="AP3:AR3"/>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06209" r:id="rId4" name="Button 1">
              <controlPr defaultSize="0" print="0" autoFill="0" autoPict="0" macro="[0]!Aggiunge_riga">
                <anchor moveWithCells="1" sizeWithCells="1">
                  <from>
                    <xdr:col>1</xdr:col>
                    <xdr:colOff>38100</xdr:colOff>
                    <xdr:row>3</xdr:row>
                    <xdr:rowOff>257175</xdr:rowOff>
                  </from>
                  <to>
                    <xdr:col>1</xdr:col>
                    <xdr:colOff>600075</xdr:colOff>
                    <xdr:row>3</xdr:row>
                    <xdr:rowOff>495300</xdr:rowOff>
                  </to>
                </anchor>
              </controlPr>
            </control>
          </mc:Choice>
        </mc:AlternateContent>
        <mc:AlternateContent xmlns:mc="http://schemas.openxmlformats.org/markup-compatibility/2006">
          <mc:Choice Requires="x14">
            <control shapeId="606210" r:id="rId5" name="Button 2">
              <controlPr defaultSize="0" print="0" autoFill="0" autoPict="0" macro="[0]!Elimina_riga">
                <anchor moveWithCells="1" sizeWithCells="1">
                  <from>
                    <xdr:col>1</xdr:col>
                    <xdr:colOff>2657475</xdr:colOff>
                    <xdr:row>3</xdr:row>
                    <xdr:rowOff>295275</xdr:rowOff>
                  </from>
                  <to>
                    <xdr:col>1</xdr:col>
                    <xdr:colOff>3114675</xdr:colOff>
                    <xdr:row>3</xdr:row>
                    <xdr:rowOff>523875</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3A601-784A-451E-93F7-8C7F48797596}">
  <sheetPr codeName="Foglio67">
    <tabColor rgb="FFC5D9F1"/>
  </sheetPr>
  <dimension ref="A1:EF181"/>
  <sheetViews>
    <sheetView showGridLines="0" zoomScale="85" zoomScaleNormal="85" workbookViewId="0">
      <pane xSplit="2" ySplit="3" topLeftCell="C4" activePane="bottomRight" state="frozen"/>
      <selection pane="topRight"/>
      <selection pane="bottomLeft"/>
      <selection pane="bottomRight"/>
    </sheetView>
  </sheetViews>
  <sheetFormatPr defaultColWidth="9.42578125" defaultRowHeight="15"/>
  <cols>
    <col min="1" max="1" width="20" customWidth="1"/>
    <col min="2" max="2" width="54.5703125" customWidth="1"/>
    <col min="3" max="4" width="29.42578125" customWidth="1"/>
    <col min="5" max="6" width="29.42578125" hidden="1" customWidth="1"/>
    <col min="7" max="7" width="29.42578125" customWidth="1"/>
    <col min="8" max="19" width="29.42578125" style="7" customWidth="1"/>
    <col min="20" max="20" width="29.42578125" style="7" hidden="1" customWidth="1"/>
    <col min="21" max="21" width="32.42578125" style="7" hidden="1" customWidth="1"/>
    <col min="22" max="22" width="29.42578125" style="7" customWidth="1"/>
    <col min="23" max="23" width="32.42578125" style="7" customWidth="1"/>
    <col min="24" max="24" width="29.42578125" style="7" customWidth="1"/>
    <col min="25" max="25" width="32.42578125" style="7" customWidth="1"/>
    <col min="26" max="26" width="55" bestFit="1" customWidth="1"/>
    <col min="27" max="27" width="78.42578125" bestFit="1" customWidth="1"/>
    <col min="28" max="28" width="22.42578125" hidden="1" customWidth="1"/>
    <col min="29" max="29" width="34.42578125" bestFit="1" customWidth="1"/>
    <col min="30" max="30" width="7.42578125" bestFit="1" customWidth="1"/>
    <col min="31" max="34" width="22.42578125" customWidth="1"/>
    <col min="35" max="35" width="41.5703125" customWidth="1"/>
    <col min="36" max="36" width="55.42578125" customWidth="1"/>
    <col min="37" max="37" width="61.42578125" customWidth="1"/>
    <col min="38" max="38" width="47.42578125" customWidth="1"/>
    <col min="39" max="39" width="50" customWidth="1"/>
    <col min="40" max="40" width="9.42578125" customWidth="1"/>
    <col min="41" max="48" width="26.5703125" customWidth="1"/>
  </cols>
  <sheetData>
    <row r="1" spans="1:31" ht="20.25" customHeight="1">
      <c r="A1" s="926" t="s">
        <v>25644</v>
      </c>
      <c r="D1" s="3325" t="s">
        <v>25632</v>
      </c>
      <c r="H1" s="1421" t="s">
        <v>31497</v>
      </c>
      <c r="J1" s="1482" t="s">
        <v>28873</v>
      </c>
      <c r="K1" s="2336"/>
      <c r="L1" s="1421" t="s">
        <v>31499</v>
      </c>
      <c r="M1" s="3326"/>
      <c r="V1" s="1421" t="s">
        <v>31509</v>
      </c>
      <c r="X1" s="1421"/>
      <c r="AE1" s="718"/>
    </row>
    <row r="2" spans="1:31" ht="29.25" customHeight="1">
      <c r="B2" s="1446" t="s">
        <v>31204</v>
      </c>
      <c r="C2" s="934"/>
      <c r="D2" s="1950">
        <f ca="1">SUM(COUNTIF(OFFSET(Z3,1,0,COUNTA(AD:AD)-1,1),$Z$2),COUNTIF(OFFSET(AA3,1,0,COUNTA(AD:AD)-1,1),$AA$2),COUNTIF(OFFSET(AC3,1,0,COUNTA(AD:AD)-1,1),$AC$2))</f>
        <v>0</v>
      </c>
      <c r="G2" s="103" t="s">
        <v>25635</v>
      </c>
      <c r="J2" s="253" t="b">
        <f ca="1">+D2&gt;0</f>
        <v>0</v>
      </c>
      <c r="K2" s="2083"/>
      <c r="L2" s="3701" t="s">
        <v>31498</v>
      </c>
      <c r="M2" s="3702"/>
      <c r="N2" s="3702"/>
      <c r="O2" s="3702"/>
      <c r="P2" s="3703" t="s">
        <v>31508</v>
      </c>
      <c r="Q2" s="3704"/>
      <c r="R2" s="3704"/>
      <c r="S2" s="3704"/>
      <c r="T2" s="1422"/>
      <c r="U2" s="1423"/>
      <c r="V2" s="1422" t="s">
        <v>30681</v>
      </c>
      <c r="W2" s="1423" t="s">
        <v>30682</v>
      </c>
      <c r="X2" s="1422" t="s">
        <v>30685</v>
      </c>
      <c r="Y2" s="1423" t="s">
        <v>30686</v>
      </c>
      <c r="Z2" s="1949" t="s">
        <v>25633</v>
      </c>
      <c r="AA2" s="1949" t="s">
        <v>25634</v>
      </c>
      <c r="AB2" s="343" t="s">
        <v>25645</v>
      </c>
      <c r="AC2" s="1949" t="s">
        <v>25646</v>
      </c>
    </row>
    <row r="3" spans="1:31" ht="65.25" customHeight="1">
      <c r="A3" s="2348" t="s">
        <v>25647</v>
      </c>
      <c r="B3" s="2348" t="s">
        <v>25637</v>
      </c>
      <c r="C3" s="913" t="s">
        <v>31287</v>
      </c>
      <c r="D3" s="2349" t="s">
        <v>25648</v>
      </c>
      <c r="G3" s="2348" t="s">
        <v>26977</v>
      </c>
      <c r="H3" s="2350" t="s">
        <v>30679</v>
      </c>
      <c r="I3" s="2350" t="s">
        <v>30680</v>
      </c>
      <c r="J3" s="2349" t="s">
        <v>27121</v>
      </c>
      <c r="K3" s="2351" t="s">
        <v>30990</v>
      </c>
      <c r="L3" s="2350" t="s">
        <v>31500</v>
      </c>
      <c r="M3" s="2350" t="s">
        <v>31501</v>
      </c>
      <c r="N3" s="2350" t="s">
        <v>31502</v>
      </c>
      <c r="O3" s="2352" t="s">
        <v>31503</v>
      </c>
      <c r="P3" s="2350" t="s">
        <v>31504</v>
      </c>
      <c r="Q3" s="2350" t="s">
        <v>31505</v>
      </c>
      <c r="R3" s="2350" t="s">
        <v>31506</v>
      </c>
      <c r="S3" s="2352" t="s">
        <v>31507</v>
      </c>
      <c r="T3" s="2352"/>
      <c r="U3" s="2352"/>
      <c r="V3" s="2352" t="s">
        <v>30683</v>
      </c>
      <c r="W3" s="2352" t="s">
        <v>30684</v>
      </c>
      <c r="X3" s="2352" t="s">
        <v>30688</v>
      </c>
      <c r="Y3" s="2352" t="s">
        <v>30687</v>
      </c>
      <c r="Z3" s="2353" t="s">
        <v>25640</v>
      </c>
      <c r="AA3" s="2353" t="s">
        <v>25641</v>
      </c>
      <c r="AB3" s="2354"/>
      <c r="AC3" s="2353" t="s">
        <v>25642</v>
      </c>
      <c r="AD3" s="2353" t="s">
        <v>22741</v>
      </c>
    </row>
    <row r="4" spans="1:31" ht="25.35" customHeight="1">
      <c r="A4" s="1261"/>
      <c r="B4" s="1262"/>
      <c r="C4" s="1257"/>
      <c r="D4" s="1263"/>
      <c r="E4" s="338"/>
      <c r="F4" s="338"/>
      <c r="G4" s="1262"/>
      <c r="H4" s="1424"/>
      <c r="I4" s="1424"/>
      <c r="J4" s="1260"/>
      <c r="K4" s="2337"/>
      <c r="L4" s="1425"/>
      <c r="M4" s="1425"/>
      <c r="N4" s="1425"/>
      <c r="O4" s="1425"/>
      <c r="P4" s="1426"/>
      <c r="Q4" s="1426"/>
      <c r="R4" s="1426"/>
      <c r="S4" s="1426"/>
      <c r="T4" s="1425"/>
      <c r="U4" s="1425"/>
      <c r="V4" s="1425"/>
      <c r="W4" s="1425"/>
      <c r="X4" s="1425"/>
      <c r="Y4" s="1425"/>
      <c r="Z4" s="3327" t="str">
        <f>IF(AND(OR(ISNA(VLOOKUP(C4,'PdI-legenda'!$F$4:$F$64,1,FALSE))=TRUE,ISNA(VLOOKUP(D4,'PdI-legenda'!$A$11:$A$19,1,FALSE))=TRUE),SUM(H4:I4,L4:Y4)&lt;&gt;0),$Z$2,"")</f>
        <v/>
      </c>
      <c r="AA4" s="2790" t="str">
        <f>IFERROR(IF((INDEX('PdI-legenda'!$F$4:$W$64,MATCH($C4,'PdI-legenda'!$F$4:$F$64,0),MATCH($D4,'PdI-legenda'!$F$3:$X$3,0))=$D4),"",$AA$2),"")</f>
        <v/>
      </c>
      <c r="AB4" s="2790" t="str">
        <f>IFERROR(IF((INDEX('PdI-legenda'!$F$4:$W$63,MATCH($C4,'PdI-legenda'!$F$4:$F$63,0),MATCH($D4,'PdI-legenda'!$F$3:$W$3,0))=$D4),"",$AA$2),"")</f>
        <v/>
      </c>
      <c r="AC4" s="3328" t="str">
        <f>IF(AND(SUM(H4:I4,L4:Y4)&lt;&gt;0,OR(A4="",B4="",C4="",D4="")),$AC$2,"")</f>
        <v/>
      </c>
      <c r="AD4" s="645">
        <f>ROW(AD4)-3</f>
        <v>1</v>
      </c>
    </row>
    <row r="115" spans="40:136">
      <c r="CI115" s="343"/>
      <c r="CJ115" s="343"/>
      <c r="CK115" s="343"/>
      <c r="CL115" s="343"/>
      <c r="CM115" s="343"/>
      <c r="CN115" s="343"/>
      <c r="CO115" s="343"/>
      <c r="CP115" s="343"/>
      <c r="CQ115" s="343"/>
      <c r="CR115" s="343"/>
      <c r="CS115" s="343"/>
      <c r="CT115" s="343"/>
      <c r="CU115" s="343"/>
      <c r="CV115" s="343"/>
      <c r="CW115" s="343"/>
      <c r="CX115" s="343"/>
      <c r="CY115" s="343"/>
      <c r="CZ115" s="343"/>
      <c r="DA115" s="343"/>
      <c r="DB115" s="343"/>
      <c r="DC115" s="343"/>
      <c r="DD115" s="343"/>
      <c r="DE115" s="343"/>
      <c r="DF115" s="343"/>
      <c r="DG115" s="343"/>
      <c r="DH115" s="343"/>
      <c r="DI115" s="343"/>
      <c r="DJ115" s="343"/>
      <c r="DK115" s="343"/>
      <c r="DL115" s="343"/>
      <c r="DM115" s="343"/>
      <c r="DN115" s="343"/>
      <c r="DO115" s="343"/>
      <c r="DP115" s="343"/>
      <c r="DQ115" s="343"/>
      <c r="DR115" s="343"/>
      <c r="DS115" s="343"/>
      <c r="DT115" s="343"/>
      <c r="DU115" s="343"/>
      <c r="DV115" s="343"/>
      <c r="DW115" s="343"/>
      <c r="DX115" s="343"/>
      <c r="DY115" s="343"/>
      <c r="DZ115" s="343"/>
      <c r="EA115" s="343"/>
      <c r="EB115" s="343"/>
      <c r="EC115" s="343"/>
      <c r="ED115" s="343"/>
      <c r="EE115" s="343"/>
      <c r="EF115" s="343"/>
    </row>
    <row r="127" spans="40:136">
      <c r="AN127" s="343"/>
    </row>
    <row r="165" spans="41:86">
      <c r="AU165" s="343"/>
      <c r="AV165" s="343"/>
      <c r="AW165" s="343"/>
      <c r="AX165" s="343"/>
      <c r="AY165" s="343"/>
      <c r="AZ165" s="343"/>
      <c r="BA165" s="343"/>
      <c r="BB165" s="343"/>
      <c r="BC165" s="343"/>
      <c r="BD165" s="343"/>
      <c r="BE165" s="343"/>
      <c r="BF165" s="343"/>
      <c r="BG165" s="343"/>
      <c r="BH165" s="343"/>
      <c r="BI165" s="343"/>
      <c r="BJ165" s="343"/>
      <c r="BK165" s="343"/>
      <c r="BL165" s="343"/>
      <c r="BM165" s="343"/>
      <c r="BN165" s="343"/>
      <c r="BO165" s="343"/>
      <c r="BP165" s="343"/>
      <c r="BQ165" s="343"/>
      <c r="BR165" s="343"/>
      <c r="BS165" s="343"/>
      <c r="BT165" s="343"/>
      <c r="BU165" s="343"/>
      <c r="BV165" s="343"/>
      <c r="BW165" s="343"/>
      <c r="BX165" s="343"/>
      <c r="BY165" s="343"/>
      <c r="BZ165" s="343"/>
      <c r="CA165" s="343"/>
      <c r="CB165" s="343"/>
      <c r="CC165" s="343"/>
      <c r="CD165" s="343"/>
      <c r="CE165" s="343"/>
      <c r="CF165" s="343"/>
      <c r="CG165" s="343"/>
      <c r="CH165" s="343"/>
    </row>
    <row r="175" spans="41:86">
      <c r="AO175" s="343"/>
      <c r="AP175" s="343"/>
      <c r="AQ175" s="343"/>
      <c r="AR175" s="343"/>
      <c r="AS175" s="343"/>
      <c r="AT175" s="343"/>
    </row>
    <row r="181" spans="39:39">
      <c r="AM181" s="343"/>
    </row>
  </sheetData>
  <sheetProtection algorithmName="SHA-512" hashValue="0ZddDU80jCO53g9VW/ObCOyATdg9/rKefA2rfINw+rU1RvG+rtWt33sz2v98HPXaOBkKE6sfKqhQ5aQBmwLqdA==" saltValue="9qQPdvDKvaJgYGLMF/UtbQ==" spinCount="100000" sheet="1" objects="1" scenarios="1"/>
  <mergeCells count="2">
    <mergeCell ref="L2:O2"/>
    <mergeCell ref="P2:S2"/>
  </mergeCells>
  <conditionalFormatting sqref="Z4">
    <cfRule type="expression" dxfId="51" priority="3">
      <formula>Z4=$Z$2</formula>
    </cfRule>
  </conditionalFormatting>
  <conditionalFormatting sqref="AA4:AB4">
    <cfRule type="expression" dxfId="50" priority="2">
      <formula>AA4=$AA$2</formula>
    </cfRule>
  </conditionalFormatting>
  <conditionalFormatting sqref="AC4">
    <cfRule type="expression" dxfId="49" priority="1">
      <formula>"ac4=$AC$2"</formula>
    </cfRule>
  </conditionalFormatting>
  <dataValidations count="1">
    <dataValidation type="list" allowBlank="1" showErrorMessage="1" sqref="K4" xr:uid="{C67AD99E-BF2A-4E20-9379-2E2E542B2DAD}">
      <formula1>"lettera a),lettera b),lettera c) 477/2023/R/IDR, lettera c) 225/2025/R/IDR"</formula1>
    </dataValidation>
  </dataValidations>
  <hyperlinks>
    <hyperlink ref="D1" location="'PdI-crono_ges'!Z3" display="Vai a descrizione errori" xr:uid="{528AC418-CD21-4058-97AB-AC3ACCFA52B2}"/>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07233" r:id="rId4" name="Button 1">
              <controlPr defaultSize="0" print="0" autoFill="0" autoPict="0" macro="[0]!Aggiunge_riga">
                <anchor moveWithCells="1" sizeWithCells="1">
                  <from>
                    <xdr:col>1</xdr:col>
                    <xdr:colOff>66675</xdr:colOff>
                    <xdr:row>2</xdr:row>
                    <xdr:rowOff>180975</xdr:rowOff>
                  </from>
                  <to>
                    <xdr:col>1</xdr:col>
                    <xdr:colOff>571500</xdr:colOff>
                    <xdr:row>2</xdr:row>
                    <xdr:rowOff>409575</xdr:rowOff>
                  </to>
                </anchor>
              </controlPr>
            </control>
          </mc:Choice>
        </mc:AlternateContent>
        <mc:AlternateContent xmlns:mc="http://schemas.openxmlformats.org/markup-compatibility/2006">
          <mc:Choice Requires="x14">
            <control shapeId="607234" r:id="rId5" name="Button 2">
              <controlPr defaultSize="0" print="0" autoFill="0" autoPict="0" macro="[0]!Elimina_riga">
                <anchor moveWithCells="1" sizeWithCells="1">
                  <from>
                    <xdr:col>1</xdr:col>
                    <xdr:colOff>3086100</xdr:colOff>
                    <xdr:row>2</xdr:row>
                    <xdr:rowOff>180975</xdr:rowOff>
                  </from>
                  <to>
                    <xdr:col>1</xdr:col>
                    <xdr:colOff>3543300</xdr:colOff>
                    <xdr:row>2</xdr:row>
                    <xdr:rowOff>447675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ErrorMessage="1" xr:uid="{71D2548C-65C0-4095-823C-275F29330D2F}">
          <x14:formula1>
            <xm:f>'PdI-legenda'!$Z$4:$Z$6</xm:f>
          </x14:formula1>
          <xm:sqref>J4</xm:sqref>
        </x14:dataValidation>
        <x14:dataValidation type="list" allowBlank="1" showErrorMessage="1" xr:uid="{34ABD31F-A071-4292-8F2E-8C870EA98C6D}">
          <x14:formula1>
            <xm:f>'PdI-legenda'!$A$11:$A$19</xm:f>
          </x14:formula1>
          <xm:sqref>D4</xm:sqref>
        </x14:dataValidation>
        <x14:dataValidation type="list" allowBlank="1" showInputMessage="1" showErrorMessage="1" xr:uid="{7F717274-1D2E-4ECB-BBDC-8D68B255A2FE}">
          <x14:formula1>
            <xm:f>'PdI-legenda'!$F$4:$F$64</xm:f>
          </x14:formula1>
          <xm:sqref>C4</xm:sqref>
        </x14:dataValidation>
      </x14:dataValidations>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91D04-7458-4860-B986-5406081859A7}">
  <sheetPr codeName="Foglio68">
    <tabColor rgb="FFFFFFE7"/>
    <pageSetUpPr fitToPage="1"/>
  </sheetPr>
  <dimension ref="A1:AD169"/>
  <sheetViews>
    <sheetView showGridLines="0" zoomScale="85" zoomScaleNormal="85" workbookViewId="0"/>
  </sheetViews>
  <sheetFormatPr defaultColWidth="9.42578125" defaultRowHeight="15"/>
  <cols>
    <col min="1" max="1" width="8.5703125" customWidth="1"/>
    <col min="2" max="2" width="69" customWidth="1"/>
    <col min="3" max="3" width="16.5703125" customWidth="1"/>
    <col min="4" max="4" width="18.28515625" customWidth="1"/>
    <col min="5" max="5" width="19.85546875" customWidth="1"/>
    <col min="6" max="6" width="16.42578125" customWidth="1"/>
    <col min="7" max="10" width="17" customWidth="1"/>
    <col min="11" max="11" width="20.42578125" customWidth="1"/>
    <col min="12" max="17" width="17" customWidth="1"/>
    <col min="18" max="18" width="15.7109375" customWidth="1"/>
    <col min="19" max="19" width="15.42578125" customWidth="1"/>
    <col min="20" max="20" width="23.28515625" customWidth="1"/>
    <col min="21" max="21" width="13" customWidth="1"/>
    <col min="22" max="22" width="16" customWidth="1"/>
    <col min="23" max="23" width="13" customWidth="1"/>
    <col min="24" max="24" width="13.42578125" customWidth="1"/>
    <col min="25" max="25" width="14.28515625" customWidth="1"/>
    <col min="26" max="26" width="14.42578125" customWidth="1"/>
    <col min="27" max="27" width="14" customWidth="1"/>
  </cols>
  <sheetData>
    <row r="1" spans="1:30" ht="30">
      <c r="B1" s="103"/>
      <c r="D1" s="3448" t="s">
        <v>25651</v>
      </c>
      <c r="E1" s="3449"/>
      <c r="F1" s="556"/>
      <c r="G1" s="556"/>
      <c r="I1" s="3450" t="s">
        <v>28874</v>
      </c>
      <c r="J1" s="3451"/>
      <c r="K1" s="3451"/>
      <c r="L1" s="3451"/>
      <c r="AD1" s="103"/>
    </row>
    <row r="2" spans="1:30" ht="25.35" customHeight="1">
      <c r="B2" s="3452" t="s">
        <v>26978</v>
      </c>
      <c r="C2" s="3453" t="s">
        <v>22740</v>
      </c>
      <c r="D2" s="3454">
        <v>2022</v>
      </c>
      <c r="E2" s="3454">
        <v>2023</v>
      </c>
      <c r="F2" s="3454">
        <v>2024</v>
      </c>
      <c r="G2" s="3454">
        <v>2025</v>
      </c>
      <c r="I2" s="3455" t="s">
        <v>25664</v>
      </c>
      <c r="J2" s="3455" t="s">
        <v>25665</v>
      </c>
      <c r="K2" s="3455" t="s">
        <v>31326</v>
      </c>
      <c r="L2" s="3455" t="s">
        <v>31899</v>
      </c>
      <c r="P2" s="1482" t="s">
        <v>28873</v>
      </c>
    </row>
    <row r="3" spans="1:30" ht="25.35" customHeight="1">
      <c r="B3" s="3456" t="s">
        <v>26502</v>
      </c>
      <c r="C3" s="3457" t="s">
        <v>22742</v>
      </c>
      <c r="D3" s="3458"/>
      <c r="E3" s="3459">
        <f>+SUMIFS('PdI-crono_inv'!AF:AF,'PdI-crono_inv'!P:P,"&lt;&gt;proprietario",'PdI-crono_inv'!CB:CB,"&gt;=1")</f>
        <v>0</v>
      </c>
      <c r="F3" s="3459">
        <f>+SUMIFS('PdI-crono_inv'!AK:AK,'PdI-crono_inv'!P:P,"&lt;&gt;proprietario",'PdI-crono_inv'!CB:CB,"&gt;=1")</f>
        <v>0</v>
      </c>
      <c r="G3" s="3459">
        <f>+SUMIFS('PdI-crono_inv'!AP:AP,'PdI-crono_inv'!P:P,"&lt;&gt;proprietario",'PdI-crono_inv'!CB:CB,"&gt;=1")</f>
        <v>0</v>
      </c>
      <c r="I3" s="3460" t="b">
        <f ca="1">+IF('PdI-crono_inv'!D3&gt;0,TRUE,FALSE)</f>
        <v>0</v>
      </c>
      <c r="J3" s="3460" t="b">
        <f ca="1">+IF('PdI-crono_ges'!$D$2&gt;0,TRUE,FALSE)</f>
        <v>0</v>
      </c>
      <c r="K3" s="3460" t="b">
        <f t="array" ref="K3">+OR(D160:I161)</f>
        <v>0</v>
      </c>
      <c r="L3" s="3460" t="b">
        <f ca="1">+SUM(F169:I169)&lt;&gt;0</f>
        <v>0</v>
      </c>
      <c r="P3" s="253" t="b">
        <f t="array" aca="1" ref="P3" ca="1">+OR(I3:L3)</f>
        <v>0</v>
      </c>
    </row>
    <row r="4" spans="1:30" ht="33" customHeight="1">
      <c r="B4" s="3456" t="s">
        <v>29683</v>
      </c>
      <c r="C4" s="3457" t="s">
        <v>22742</v>
      </c>
      <c r="D4" s="3458"/>
      <c r="E4" s="3459">
        <f>+SUMIFS('PdI-crono_inv'!AH:AH,'PdI-crono_inv'!P:P,"&lt;&gt;proprietario",'PdI-crono_inv'!CB:CB,"&gt;=1")</f>
        <v>0</v>
      </c>
      <c r="F4" s="3459">
        <f>+SUMIFS('PdI-crono_inv'!AM:AM,'PdI-crono_inv'!P:P,"&lt;&gt;proprietario",'PdI-crono_inv'!CB:CB,"&gt;=1")</f>
        <v>0</v>
      </c>
      <c r="G4" s="3459">
        <f>+SUMIFS('PdI-crono_inv'!AR:AR,'PdI-crono_inv'!P:P,"&lt;&gt;proprietario",'PdI-crono_inv'!CB:CB,"&gt;=1")</f>
        <v>0</v>
      </c>
      <c r="I4" s="1729" t="s">
        <v>25632</v>
      </c>
      <c r="J4" s="1729" t="s">
        <v>25632</v>
      </c>
      <c r="K4" s="1729" t="s">
        <v>25632</v>
      </c>
      <c r="L4" s="1729" t="s">
        <v>25632</v>
      </c>
    </row>
    <row r="5" spans="1:30" ht="25.35" customHeight="1">
      <c r="B5" s="3461" t="s">
        <v>29684</v>
      </c>
      <c r="C5" s="3457" t="s">
        <v>22742</v>
      </c>
      <c r="D5" s="3458"/>
      <c r="E5" s="3459">
        <f ca="1">+SUM(Conferma_investimenti!Z:Z)</f>
        <v>0</v>
      </c>
      <c r="F5" s="3459">
        <f>+Nuovi_Investimenti!D10</f>
        <v>0</v>
      </c>
      <c r="G5" s="3459">
        <f>+Nuovi_Investimenti!E10</f>
        <v>0</v>
      </c>
      <c r="H5" s="556"/>
      <c r="I5" s="556"/>
      <c r="J5" s="556"/>
    </row>
    <row r="6" spans="1:30" ht="25.35" customHeight="1">
      <c r="A6" s="3462"/>
      <c r="B6" s="3463" t="s">
        <v>29682</v>
      </c>
      <c r="C6" s="3457" t="s">
        <v>22742</v>
      </c>
      <c r="D6" s="3458"/>
      <c r="E6" s="3459">
        <f ca="1">+E4-E5</f>
        <v>0</v>
      </c>
      <c r="F6" s="3459">
        <f>+F4-F5</f>
        <v>0</v>
      </c>
      <c r="G6" s="3459">
        <f>+G4-G5</f>
        <v>0</v>
      </c>
      <c r="H6" s="556"/>
      <c r="I6" s="556"/>
      <c r="J6" s="556"/>
      <c r="K6" s="556"/>
      <c r="L6" s="556"/>
    </row>
    <row r="7" spans="1:30" ht="25.35" customHeight="1">
      <c r="A7" s="3462"/>
      <c r="B7" s="3456" t="s">
        <v>29685</v>
      </c>
      <c r="C7" s="3457" t="s">
        <v>22742</v>
      </c>
      <c r="D7" s="3458"/>
      <c r="E7" s="3459">
        <f>+SUMIFS('PdI-crono_inv'!AI:AI,'PdI-crono_inv'!P:P,"&lt;&gt;proprietario",'PdI-crono_inv'!CB:CB,"&gt;=1")</f>
        <v>0</v>
      </c>
      <c r="F7" s="3459">
        <f>+SUMIFS('PdI-crono_inv'!AN:AN,'PdI-crono_inv'!P:P,"&lt;&gt;proprietario",'PdI-crono_inv'!CB:CB,"&gt;=1")</f>
        <v>0</v>
      </c>
      <c r="G7" s="3459">
        <f>+SUMIFS('PdI-crono_inv'!AS:AS,'PdI-crono_inv'!P:P,"&lt;&gt;proprietario",'PdI-crono_inv'!CB:CB,"&gt;=1")</f>
        <v>0</v>
      </c>
      <c r="L7" s="556"/>
    </row>
    <row r="8" spans="1:30" ht="25.35" customHeight="1">
      <c r="A8" s="3462"/>
      <c r="B8" s="3461" t="s">
        <v>29686</v>
      </c>
      <c r="C8" s="3457" t="s">
        <v>22742</v>
      </c>
      <c r="D8" s="3458"/>
      <c r="E8" s="3459">
        <f ca="1">+SUM(Conferma_investimenti!AB:AB)</f>
        <v>0</v>
      </c>
      <c r="F8" s="3464">
        <f>+SUMIF(Nuovi_Investimenti!$T:$T,VALUE(F2),Nuovi_Investimenti!$W:$W)</f>
        <v>0</v>
      </c>
      <c r="G8" s="3464">
        <f>+SUMIF(Nuovi_Investimenti!$T:$T,VALUE(G2),Nuovi_Investimenti!$W:$W)</f>
        <v>0</v>
      </c>
      <c r="L8" s="556"/>
    </row>
    <row r="9" spans="1:30" ht="25.35" customHeight="1">
      <c r="A9" s="3462"/>
      <c r="B9" s="3463" t="s">
        <v>29687</v>
      </c>
      <c r="C9" s="3457" t="s">
        <v>22742</v>
      </c>
      <c r="D9" s="3458"/>
      <c r="E9" s="3459">
        <f ca="1">+E7-E8</f>
        <v>0</v>
      </c>
      <c r="F9" s="3459">
        <f>+F7-F8</f>
        <v>0</v>
      </c>
      <c r="G9" s="3459">
        <f>+G7-G8</f>
        <v>0</v>
      </c>
      <c r="I9" s="10"/>
      <c r="L9" s="556"/>
    </row>
    <row r="10" spans="1:30" ht="25.35" customHeight="1">
      <c r="A10" s="3462"/>
      <c r="B10" s="3456" t="s">
        <v>26480</v>
      </c>
      <c r="C10" s="3457" t="s">
        <v>22742</v>
      </c>
      <c r="D10" s="3458"/>
      <c r="E10" s="3459">
        <f ca="1">+SUM(OFFSET('PdI-crono_inv'!AG$4,1,0,COUNTA('PdI-crono_inv'!$CB:$CB),1))</f>
        <v>0</v>
      </c>
      <c r="F10" s="3459">
        <f ca="1">+SUM(OFFSET('PdI-crono_inv'!AL$4,1,0,COUNTA('PdI-crono_inv'!$CB:$CB),1))</f>
        <v>0</v>
      </c>
      <c r="G10" s="3459">
        <f ca="1">+SUM(OFFSET('PdI-crono_inv'!AQ$4,1,0,COUNTA('PdI-crono_inv'!$CB:$CB),1))</f>
        <v>0</v>
      </c>
      <c r="L10" s="556"/>
    </row>
    <row r="11" spans="1:30" ht="25.35" customHeight="1">
      <c r="A11" s="3462"/>
      <c r="B11" s="3462"/>
      <c r="C11" s="3462"/>
      <c r="D11" s="3462"/>
      <c r="L11" s="556"/>
    </row>
    <row r="12" spans="1:30" ht="25.35" customHeight="1">
      <c r="A12" s="3462"/>
      <c r="B12" s="556"/>
      <c r="C12" s="556"/>
      <c r="D12" s="556"/>
      <c r="E12" s="104"/>
      <c r="L12" s="556"/>
    </row>
    <row r="13" spans="1:30" ht="25.35" customHeight="1">
      <c r="A13" s="3462"/>
      <c r="B13" s="556"/>
      <c r="D13" s="3448"/>
      <c r="E13" s="3465"/>
      <c r="F13" s="3448" t="s">
        <v>25652</v>
      </c>
      <c r="H13" s="556"/>
      <c r="I13" s="556"/>
      <c r="J13" s="556"/>
      <c r="K13" s="556"/>
      <c r="L13" s="556"/>
    </row>
    <row r="14" spans="1:30" ht="25.35" customHeight="1">
      <c r="A14" s="3462"/>
      <c r="B14" s="3452" t="s">
        <v>26979</v>
      </c>
      <c r="C14" s="3453" t="s">
        <v>22740</v>
      </c>
      <c r="D14" s="3454">
        <v>2024</v>
      </c>
      <c r="E14" s="3454">
        <v>2025</v>
      </c>
      <c r="F14" s="3454">
        <v>2026</v>
      </c>
      <c r="G14" s="3454">
        <v>2027</v>
      </c>
      <c r="H14" s="3454">
        <v>2028</v>
      </c>
      <c r="I14" s="3454">
        <v>2029</v>
      </c>
      <c r="J14" s="556"/>
      <c r="K14" s="556"/>
      <c r="L14" s="556"/>
    </row>
    <row r="15" spans="1:30" ht="33" customHeight="1">
      <c r="A15" s="3462"/>
      <c r="B15" s="3456" t="s">
        <v>29688</v>
      </c>
      <c r="C15" s="3457" t="s">
        <v>22742</v>
      </c>
      <c r="D15" s="3458"/>
      <c r="E15" s="3458"/>
      <c r="F15" s="3466">
        <f ca="1">+SUM(OFFSET('PdI-crono_inv'!AU$4,1,0,COUNTA('PdI-crono_inv'!$CB:$CB),1))</f>
        <v>0</v>
      </c>
      <c r="G15" s="3466">
        <f ca="1">+SUM(OFFSET('PdI-crono_inv'!AZ$4,1,0,COUNTA('PdI-crono_inv'!$CB:$CB),1))</f>
        <v>0</v>
      </c>
      <c r="H15" s="3466">
        <f ca="1">+SUM(OFFSET('PdI-crono_inv'!BE$4,1,0,COUNTA('PdI-crono_inv'!$CB:$CB),1))</f>
        <v>0</v>
      </c>
      <c r="I15" s="3466">
        <f ca="1">+SUM(OFFSET('PdI-crono_inv'!BJ$4,1,0,COUNTA('PdI-crono_inv'!$CB:$CB),1))</f>
        <v>0</v>
      </c>
      <c r="J15" s="556"/>
      <c r="K15" s="556"/>
      <c r="L15" s="556"/>
    </row>
    <row r="16" spans="1:30" ht="27.6" customHeight="1">
      <c r="A16" s="3462"/>
      <c r="B16" s="3461" t="s">
        <v>29690</v>
      </c>
      <c r="C16" s="3457" t="s">
        <v>22742</v>
      </c>
      <c r="D16" s="3458"/>
      <c r="E16" s="3458"/>
      <c r="F16" s="3466">
        <f ca="1">+Piano_Tariffario!G81</f>
        <v>0</v>
      </c>
      <c r="G16" s="3466">
        <f ca="1">+Piano_Tariffario!H81</f>
        <v>0</v>
      </c>
      <c r="H16" s="3466">
        <f ca="1">+Piano_Tariffario!I81</f>
        <v>0</v>
      </c>
      <c r="I16" s="3466">
        <f ca="1">+Piano_Tariffario!J81</f>
        <v>0</v>
      </c>
      <c r="J16" s="556"/>
      <c r="K16" s="556"/>
      <c r="L16" s="556"/>
    </row>
    <row r="17" spans="1:17" ht="25.35" customHeight="1">
      <c r="A17" s="3462"/>
      <c r="B17" s="3463" t="s">
        <v>29689</v>
      </c>
      <c r="C17" s="3457" t="s">
        <v>22742</v>
      </c>
      <c r="D17" s="3458"/>
      <c r="E17" s="3458"/>
      <c r="F17" s="3467">
        <f t="shared" ref="F17:I17" ca="1" si="0">+F15-F16</f>
        <v>0</v>
      </c>
      <c r="G17" s="3467">
        <f t="shared" ca="1" si="0"/>
        <v>0</v>
      </c>
      <c r="H17" s="3467">
        <f t="shared" ca="1" si="0"/>
        <v>0</v>
      </c>
      <c r="I17" s="3467">
        <f t="shared" ca="1" si="0"/>
        <v>0</v>
      </c>
      <c r="J17" s="556"/>
      <c r="K17" s="556"/>
      <c r="L17" s="556"/>
    </row>
    <row r="18" spans="1:17" ht="25.35" customHeight="1">
      <c r="A18" s="3462"/>
      <c r="B18" s="3456" t="s">
        <v>25653</v>
      </c>
      <c r="C18" s="3457" t="s">
        <v>22742</v>
      </c>
      <c r="D18" s="3458"/>
      <c r="E18" s="3458"/>
      <c r="F18" s="3466">
        <f ca="1">+SUM(OFFSET('PdI-crono_inv'!AW$4,1,0,COUNTA('PdI-crono_inv'!$CB:$CB),1))</f>
        <v>0</v>
      </c>
      <c r="G18" s="3466">
        <f ca="1">+SUM(OFFSET('PdI-crono_inv'!BB$4,1,0,COUNTA('PdI-crono_inv'!$CB:$CB),1))</f>
        <v>0</v>
      </c>
      <c r="H18" s="3466">
        <f ca="1">+SUM(OFFSET('PdI-crono_inv'!BG$4,1,0,COUNTA('PdI-crono_inv'!$CB:$CB),1))</f>
        <v>0</v>
      </c>
      <c r="I18" s="3466">
        <f ca="1">+SUM(OFFSET('PdI-crono_inv'!BL$4,1,0,COUNTA('PdI-crono_inv'!$CB:$CB),1))</f>
        <v>0</v>
      </c>
      <c r="J18" s="556"/>
      <c r="K18" s="556"/>
      <c r="L18" s="556"/>
    </row>
    <row r="19" spans="1:17" ht="25.35" customHeight="1">
      <c r="A19" s="3462"/>
      <c r="B19" s="3468" t="s">
        <v>27096</v>
      </c>
      <c r="C19" s="3469" t="s">
        <v>30</v>
      </c>
      <c r="D19" s="3458"/>
      <c r="E19" s="3458"/>
      <c r="F19" s="1533">
        <f ca="1">+IFERROR((SUMIF('PdI-crono_inv'!$J:$J,"Res",'PdI-crono_inv'!AW:AW))/F18,0)</f>
        <v>0</v>
      </c>
      <c r="G19" s="1533">
        <f ca="1">+IFERROR((SUMIF('PdI-crono_inv'!$J:$J,"Res",'PdI-crono_inv'!BB:BB))/G18,0)</f>
        <v>0</v>
      </c>
      <c r="H19" s="1533">
        <f ca="1">+IFERROR((SUMIF('PdI-crono_inv'!$J:$J,"Res",'PdI-crono_inv'!BG:BG))/H18,0)</f>
        <v>0</v>
      </c>
      <c r="I19" s="1533">
        <f ca="1">+IFERROR((SUMIF('PdI-crono_inv'!$J:$J,"Res",'PdI-crono_inv'!BL:BL))/I18,0)</f>
        <v>0</v>
      </c>
      <c r="J19" s="556"/>
      <c r="K19" s="556"/>
      <c r="L19" s="556"/>
    </row>
    <row r="20" spans="1:17" ht="25.35" customHeight="1">
      <c r="A20" s="3462"/>
      <c r="B20" s="3468" t="s">
        <v>27097</v>
      </c>
      <c r="C20" s="3469" t="s">
        <v>30</v>
      </c>
      <c r="D20" s="3458"/>
      <c r="E20" s="3458"/>
      <c r="F20" s="1533">
        <f ca="1">+IFERROR((SUMIF('PdI-crono_inv'!$J:$J,"Env",'PdI-crono_inv'!AW:AW))/F18,0)</f>
        <v>0</v>
      </c>
      <c r="G20" s="1533">
        <f ca="1">+IFERROR((SUMIF('PdI-crono_inv'!$J:$J,"Env",'PdI-crono_inv'!BB:BB))/G18,0)</f>
        <v>0</v>
      </c>
      <c r="H20" s="1533">
        <f ca="1">+IFERROR((SUMIF('PdI-crono_inv'!$J:$J,"Env",'PdI-crono_inv'!BG:BG))/H18,0)</f>
        <v>0</v>
      </c>
      <c r="I20" s="1533">
        <f ca="1">+IFERROR((SUMIF('PdI-crono_inv'!$J:$J,"Env",'PdI-crono_inv'!BL:BL))/I18,0)</f>
        <v>0</v>
      </c>
      <c r="J20" s="556"/>
      <c r="K20" s="556"/>
      <c r="L20" s="556"/>
    </row>
    <row r="21" spans="1:17" ht="25.35" customHeight="1">
      <c r="A21" s="3462"/>
      <c r="B21" s="3456" t="s">
        <v>29685</v>
      </c>
      <c r="C21" s="3457" t="s">
        <v>22742</v>
      </c>
      <c r="D21" s="3458"/>
      <c r="E21" s="3458"/>
      <c r="F21" s="3466">
        <f ca="1">+SUM(OFFSET('PdI-crono_inv'!AX$4,1,0,COUNTA('PdI-crono_inv'!$CB:$CB),1))</f>
        <v>0</v>
      </c>
      <c r="G21" s="3466">
        <f ca="1">+SUM(OFFSET('PdI-crono_inv'!BC$4,1,0,COUNTA('PdI-crono_inv'!$CB:$CB),1))</f>
        <v>0</v>
      </c>
      <c r="H21" s="3466">
        <f ca="1">+SUM(OFFSET('PdI-crono_inv'!BH$4,1,0,COUNTA('PdI-crono_inv'!$CB:$CB),1))</f>
        <v>0</v>
      </c>
      <c r="I21" s="3466">
        <f ca="1">+SUM(OFFSET('PdI-crono_inv'!BM$4,1,0,COUNTA('PdI-crono_inv'!$CB:$CB),1))</f>
        <v>0</v>
      </c>
      <c r="J21" s="556"/>
      <c r="K21" s="556"/>
      <c r="L21" s="556"/>
    </row>
    <row r="22" spans="1:17" ht="25.35" customHeight="1">
      <c r="A22" s="3462"/>
      <c r="B22" s="3461" t="s">
        <v>29691</v>
      </c>
      <c r="C22" s="3457" t="s">
        <v>22742</v>
      </c>
      <c r="D22" s="3458"/>
      <c r="E22" s="3458"/>
      <c r="F22" s="3466">
        <f ca="1">Piano_Tariffario!G82</f>
        <v>0</v>
      </c>
      <c r="G22" s="3466">
        <f ca="1">Piano_Tariffario!H82</f>
        <v>0</v>
      </c>
      <c r="H22" s="3466">
        <f ca="1">Piano_Tariffario!I82</f>
        <v>0</v>
      </c>
      <c r="I22" s="3466">
        <f ca="1">Piano_Tariffario!J82</f>
        <v>0</v>
      </c>
      <c r="J22" s="556"/>
      <c r="K22" s="556"/>
      <c r="L22" s="556"/>
    </row>
    <row r="23" spans="1:17" ht="25.35" customHeight="1">
      <c r="A23" s="3462"/>
      <c r="B23" s="3463" t="s">
        <v>29687</v>
      </c>
      <c r="C23" s="3457" t="s">
        <v>22742</v>
      </c>
      <c r="D23" s="3458"/>
      <c r="E23" s="3458"/>
      <c r="F23" s="3467">
        <f t="shared" ref="F23:I23" ca="1" si="1">+F21-F22</f>
        <v>0</v>
      </c>
      <c r="G23" s="3467">
        <f t="shared" ca="1" si="1"/>
        <v>0</v>
      </c>
      <c r="H23" s="3467">
        <f t="shared" ca="1" si="1"/>
        <v>0</v>
      </c>
      <c r="I23" s="3467">
        <f t="shared" ca="1" si="1"/>
        <v>0</v>
      </c>
      <c r="J23" s="556"/>
      <c r="K23" s="556"/>
      <c r="L23" s="556"/>
    </row>
    <row r="24" spans="1:17" ht="25.35" customHeight="1">
      <c r="B24" s="3456" t="s">
        <v>31898</v>
      </c>
      <c r="C24" s="3457" t="s">
        <v>22742</v>
      </c>
      <c r="D24" s="3458"/>
      <c r="E24" s="3458"/>
      <c r="F24" s="3467">
        <f>+SUMIFS('PdI-crono_inv'!AX:AX,'PdI-crono_inv'!U:U,"X")</f>
        <v>0</v>
      </c>
      <c r="G24" s="3467">
        <f>+SUMIFS('PdI-crono_inv'!BC:BC,'PdI-crono_inv'!U:U,"X")</f>
        <v>0</v>
      </c>
      <c r="H24" s="3467">
        <f>+SUMIFS('PdI-crono_inv'!BH:BH,'PdI-crono_inv'!U:U,"X")</f>
        <v>0</v>
      </c>
      <c r="I24" s="3467">
        <f>+SUMIFS('PdI-crono_inv'!BM:BM,'PdI-crono_inv'!U:U,"X")</f>
        <v>0</v>
      </c>
      <c r="J24" s="556"/>
      <c r="K24" s="556"/>
      <c r="L24" s="556"/>
    </row>
    <row r="25" spans="1:17" ht="25.35" customHeight="1">
      <c r="A25" s="3462"/>
      <c r="B25" s="3456" t="s">
        <v>26980</v>
      </c>
      <c r="C25" s="3457" t="s">
        <v>22742</v>
      </c>
      <c r="D25" s="3458"/>
      <c r="E25" s="3458"/>
      <c r="F25" s="3466">
        <f t="shared" ref="F25:I25" ca="1" si="2">F15-F21</f>
        <v>0</v>
      </c>
      <c r="G25" s="3466">
        <f t="shared" ca="1" si="2"/>
        <v>0</v>
      </c>
      <c r="H25" s="3466">
        <f t="shared" ca="1" si="2"/>
        <v>0</v>
      </c>
      <c r="I25" s="3466">
        <f t="shared" ca="1" si="2"/>
        <v>0</v>
      </c>
      <c r="J25" s="556"/>
      <c r="K25" s="556"/>
      <c r="L25" s="556"/>
    </row>
    <row r="26" spans="1:17" ht="25.35" customHeight="1">
      <c r="A26" s="3462"/>
      <c r="B26" s="556"/>
      <c r="E26" s="3465"/>
      <c r="F26" s="3448"/>
      <c r="H26" s="3448" t="s">
        <v>25652</v>
      </c>
      <c r="I26" s="556"/>
      <c r="J26" s="556"/>
      <c r="K26" s="556"/>
      <c r="L26" s="556"/>
    </row>
    <row r="27" spans="1:17" ht="25.35" customHeight="1">
      <c r="A27" s="3462"/>
      <c r="B27" s="3452" t="s">
        <v>26981</v>
      </c>
      <c r="C27" s="3453" t="s">
        <v>22740</v>
      </c>
      <c r="D27" s="3454">
        <v>2022</v>
      </c>
      <c r="E27" s="3454">
        <v>2023</v>
      </c>
      <c r="F27" s="3454">
        <v>2024</v>
      </c>
      <c r="G27" s="3454">
        <v>2025</v>
      </c>
      <c r="H27" s="3454">
        <v>2026</v>
      </c>
      <c r="I27" s="3454">
        <v>2027</v>
      </c>
      <c r="J27" s="3454">
        <v>2028</v>
      </c>
      <c r="K27" s="3454">
        <v>2029</v>
      </c>
      <c r="L27" s="3454">
        <v>2030</v>
      </c>
      <c r="M27" s="3454">
        <v>2031</v>
      </c>
      <c r="N27" s="3454">
        <v>2032</v>
      </c>
      <c r="O27" s="3454">
        <v>2033</v>
      </c>
      <c r="P27" s="3454">
        <v>2034</v>
      </c>
      <c r="Q27" s="3454">
        <v>2035</v>
      </c>
    </row>
    <row r="28" spans="1:17" ht="25.35" customHeight="1">
      <c r="A28" s="3462"/>
      <c r="B28" s="3456" t="s">
        <v>26982</v>
      </c>
      <c r="C28" s="3457" t="s">
        <v>22742</v>
      </c>
      <c r="D28" s="3458"/>
      <c r="E28" s="3458"/>
      <c r="F28" s="3458"/>
      <c r="G28" s="3458"/>
      <c r="H28" s="3466">
        <f>+SUMIF('PdI-crono_inv'!I:I,"X",'PdI-crono_inv'!AU:AU)</f>
        <v>0</v>
      </c>
      <c r="I28" s="3466">
        <f>+SUMIF('PdI-crono_inv'!I:I,"X",'PdI-crono_inv'!AZ:AZ)</f>
        <v>0</v>
      </c>
      <c r="J28" s="3466">
        <f>+SUMIF('PdI-crono_inv'!I:I,"X",'PdI-crono_inv'!BE:BE)</f>
        <v>0</v>
      </c>
      <c r="K28" s="3466">
        <f>+SUMIF('PdI-crono_inv'!I:I,"X",'PdI-crono_inv'!BJ:BJ)</f>
        <v>0</v>
      </c>
      <c r="L28" s="3466">
        <f ca="1">+SUM(OFFSET('POS-Piano_Opere_Strategiche'!AA$4,1,0,COUNTA('POS-Piano_Opere_Strategiche'!$AX:$AX),1))</f>
        <v>0</v>
      </c>
      <c r="M28" s="3466">
        <f ca="1">+SUM(OFFSET('POS-Piano_Opere_Strategiche'!AD$4,1,0,COUNTA('POS-Piano_Opere_Strategiche'!$AX:$AX),1))</f>
        <v>0</v>
      </c>
      <c r="N28" s="3466">
        <f ca="1">+SUM(OFFSET('POS-Piano_Opere_Strategiche'!AG$4,1,0,COUNTA('POS-Piano_Opere_Strategiche'!$AX:$AX),1))</f>
        <v>0</v>
      </c>
      <c r="O28" s="3466">
        <f ca="1">+SUM(OFFSET('POS-Piano_Opere_Strategiche'!AJ$4,1,0,COUNTA('POS-Piano_Opere_Strategiche'!$AX:$AX),1))</f>
        <v>0</v>
      </c>
      <c r="P28" s="3466">
        <f ca="1">+SUM(OFFSET('POS-Piano_Opere_Strategiche'!AM$4,1,0,COUNTA('POS-Piano_Opere_Strategiche'!$AX:$AX),1))</f>
        <v>0</v>
      </c>
      <c r="Q28" s="3466">
        <f ca="1">+SUM(OFFSET('POS-Piano_Opere_Strategiche'!AP$4,1,0,COUNTA('POS-Piano_Opere_Strategiche'!$AX:$AX),1))</f>
        <v>0</v>
      </c>
    </row>
    <row r="29" spans="1:17" ht="25.35" customHeight="1">
      <c r="A29" s="3462"/>
      <c r="B29" s="3456" t="s">
        <v>26983</v>
      </c>
      <c r="C29" s="3457" t="s">
        <v>22742</v>
      </c>
      <c r="D29" s="3458"/>
      <c r="E29" s="3458"/>
      <c r="F29" s="3458"/>
      <c r="G29" s="3458"/>
      <c r="H29" s="3466">
        <f>+SUMIF('PdI-crono_inv'!I:I,"X",'PdI-crono_inv'!AX:AX)</f>
        <v>0</v>
      </c>
      <c r="I29" s="3466">
        <f>+SUMIF('PdI-crono_inv'!I:I,"X",'PdI-crono_inv'!BC:BC)</f>
        <v>0</v>
      </c>
      <c r="J29" s="3466">
        <f>+SUMIF('PdI-crono_inv'!I:I,"X",'PdI-crono_inv'!BH:BH)</f>
        <v>0</v>
      </c>
      <c r="K29" s="3466">
        <f>+SUMIF('PdI-crono_inv'!I:I,"X",'PdI-crono_inv'!BM:BM)</f>
        <v>0</v>
      </c>
      <c r="L29" s="3466">
        <f ca="1">+SUM(OFFSET('POS-Piano_Opere_Strategiche'!AC$4,1,0,COUNTA('POS-Piano_Opere_Strategiche'!$AX:$AX),1))</f>
        <v>0</v>
      </c>
      <c r="M29" s="3466">
        <f ca="1">+SUM(OFFSET('POS-Piano_Opere_Strategiche'!AF$4,1,0,COUNTA('POS-Piano_Opere_Strategiche'!$AX:$AX),1))</f>
        <v>0</v>
      </c>
      <c r="N29" s="3466">
        <f ca="1">+SUM(OFFSET('POS-Piano_Opere_Strategiche'!AI$4,1,0,COUNTA('POS-Piano_Opere_Strategiche'!$AX:$AX),1))</f>
        <v>0</v>
      </c>
      <c r="O29" s="3466">
        <f ca="1">+SUM(OFFSET('POS-Piano_Opere_Strategiche'!AL$4,1,0,COUNTA('POS-Piano_Opere_Strategiche'!$AX:$AX),1))</f>
        <v>0</v>
      </c>
      <c r="P29" s="3466">
        <f ca="1">+SUM(OFFSET('POS-Piano_Opere_Strategiche'!AO$4,1,0,COUNTA('POS-Piano_Opere_Strategiche'!$AX:$AX),1))</f>
        <v>0</v>
      </c>
      <c r="Q29" s="3466">
        <f ca="1">+SUM(OFFSET('POS-Piano_Opere_Strategiche'!AR$4,1,0,COUNTA('POS-Piano_Opere_Strategiche'!$AX:$AX),1))</f>
        <v>0</v>
      </c>
    </row>
    <row r="30" spans="1:17" ht="25.35" customHeight="1">
      <c r="A30" s="3462"/>
      <c r="B30" s="3456" t="s">
        <v>26980</v>
      </c>
      <c r="C30" s="3457" t="s">
        <v>22742</v>
      </c>
      <c r="D30" s="3458"/>
      <c r="E30" s="3458"/>
      <c r="F30" s="3458"/>
      <c r="G30" s="3458"/>
      <c r="H30" s="3466">
        <f t="shared" ref="H30:Q30" si="3">+H28-H29</f>
        <v>0</v>
      </c>
      <c r="I30" s="3466">
        <f t="shared" si="3"/>
        <v>0</v>
      </c>
      <c r="J30" s="3466">
        <f t="shared" si="3"/>
        <v>0</v>
      </c>
      <c r="K30" s="3466">
        <f t="shared" si="3"/>
        <v>0</v>
      </c>
      <c r="L30" s="3466">
        <f t="shared" ca="1" si="3"/>
        <v>0</v>
      </c>
      <c r="M30" s="3466">
        <f t="shared" ca="1" si="3"/>
        <v>0</v>
      </c>
      <c r="N30" s="3466">
        <f t="shared" ca="1" si="3"/>
        <v>0</v>
      </c>
      <c r="O30" s="3466">
        <f t="shared" ca="1" si="3"/>
        <v>0</v>
      </c>
      <c r="P30" s="3466">
        <f t="shared" ca="1" si="3"/>
        <v>0</v>
      </c>
      <c r="Q30" s="3466">
        <f t="shared" ca="1" si="3"/>
        <v>0</v>
      </c>
    </row>
    <row r="31" spans="1:17" ht="25.35" customHeight="1">
      <c r="A31" s="3462"/>
      <c r="B31" s="556"/>
      <c r="E31" s="3470"/>
      <c r="F31" s="3470"/>
      <c r="H31" s="3470"/>
    </row>
    <row r="32" spans="1:17" ht="25.35" customHeight="1">
      <c r="A32" s="3462"/>
      <c r="B32" s="556"/>
      <c r="C32" s="3471"/>
      <c r="D32" s="3470"/>
      <c r="E32" s="3470"/>
      <c r="F32" s="3470"/>
    </row>
    <row r="33" spans="1:27" ht="25.35" customHeight="1">
      <c r="A33" s="3462"/>
      <c r="B33" s="556"/>
      <c r="C33" s="3471"/>
      <c r="D33" s="3470"/>
      <c r="E33" s="3470"/>
      <c r="F33" s="3470"/>
    </row>
    <row r="34" spans="1:27" ht="25.35" customHeight="1">
      <c r="A34" s="3462"/>
      <c r="D34" s="3705">
        <v>2024</v>
      </c>
      <c r="E34" s="3705"/>
      <c r="F34" s="3705"/>
      <c r="G34" s="3706">
        <v>2025</v>
      </c>
      <c r="H34" s="3705"/>
      <c r="I34" s="3705"/>
      <c r="J34" s="556"/>
      <c r="M34" s="3705">
        <v>2024</v>
      </c>
      <c r="N34" s="3705"/>
      <c r="O34" s="3705"/>
      <c r="P34" s="3706">
        <v>2025</v>
      </c>
      <c r="Q34" s="3705"/>
      <c r="R34" s="3705"/>
      <c r="V34" s="3705">
        <v>2024</v>
      </c>
      <c r="W34" s="3705"/>
      <c r="X34" s="3705"/>
      <c r="Y34" s="3706">
        <v>2025</v>
      </c>
      <c r="Z34" s="3705"/>
      <c r="AA34" s="3705"/>
    </row>
    <row r="35" spans="1:27" ht="25.35" customHeight="1">
      <c r="A35" s="3462"/>
      <c r="B35" s="3472" t="s">
        <v>31510</v>
      </c>
      <c r="C35" s="3453" t="s">
        <v>22740</v>
      </c>
      <c r="D35" s="3453" t="s">
        <v>25481</v>
      </c>
      <c r="E35" s="3453" t="s">
        <v>25486</v>
      </c>
      <c r="F35" s="3453" t="s">
        <v>27068</v>
      </c>
      <c r="G35" s="3453" t="s">
        <v>25481</v>
      </c>
      <c r="H35" s="3453" t="s">
        <v>25486</v>
      </c>
      <c r="I35" s="3453" t="s">
        <v>27068</v>
      </c>
      <c r="J35" s="556"/>
      <c r="K35" s="3472" t="s">
        <v>31511</v>
      </c>
      <c r="L35" s="3453" t="s">
        <v>22740</v>
      </c>
      <c r="M35" s="3453" t="s">
        <v>25481</v>
      </c>
      <c r="N35" s="3453" t="s">
        <v>25486</v>
      </c>
      <c r="O35" s="3453" t="s">
        <v>27068</v>
      </c>
      <c r="P35" s="3453" t="s">
        <v>25481</v>
      </c>
      <c r="Q35" s="3453" t="s">
        <v>25486</v>
      </c>
      <c r="R35" s="3453" t="s">
        <v>27068</v>
      </c>
      <c r="T35" s="3472" t="s">
        <v>31518</v>
      </c>
      <c r="U35" s="3453" t="s">
        <v>22740</v>
      </c>
      <c r="V35" s="3453" t="s">
        <v>25481</v>
      </c>
      <c r="W35" s="3453" t="s">
        <v>25486</v>
      </c>
      <c r="X35" s="3453" t="s">
        <v>27068</v>
      </c>
      <c r="Y35" s="3453" t="s">
        <v>25481</v>
      </c>
      <c r="Z35" s="3453" t="s">
        <v>25486</v>
      </c>
      <c r="AA35" s="3453" t="s">
        <v>27068</v>
      </c>
    </row>
    <row r="36" spans="1:27" ht="25.35" customHeight="1">
      <c r="A36" s="3462"/>
      <c r="B36" s="3473" t="s">
        <v>29987</v>
      </c>
      <c r="C36" s="3474" t="s">
        <v>22742</v>
      </c>
      <c r="D36" s="3466">
        <f ca="1">+SUMIFS('PdI-crono_ges'!L:L,'PdI-crono_ges'!J:J,"Res",'PdI-crono_ges'!K:K,"lettera a)")</f>
        <v>0</v>
      </c>
      <c r="E36" s="3466">
        <f ca="1">+SUMIFS('PdI-crono_ges'!L:L,'PdI-crono_ges'!J:J,"ENV",'PdI-crono_ges'!K:K,"lettera a)")</f>
        <v>0</v>
      </c>
      <c r="F36" s="3466">
        <f ca="1">+SUMIFS('PdI-crono_ges'!L:L,'PdI-crono_ges'!J:J,"Non ERC",'PdI-crono_ges'!K:K,"lettera a)")</f>
        <v>0</v>
      </c>
      <c r="G36" s="3466">
        <f ca="1">+SUMIFS('PdI-crono_ges'!P:P,'PdI-crono_ges'!J:J,"Res",'PdI-crono_ges'!K:K,"lettera a)")</f>
        <v>0</v>
      </c>
      <c r="H36" s="3466">
        <f ca="1">+SUMIFS('PdI-crono_ges'!P:P,'PdI-crono_ges'!J:J,"ENV",'PdI-crono_ges'!K:K,"lettera a)")</f>
        <v>0</v>
      </c>
      <c r="I36" s="3466">
        <f ca="1">+SUMIFS('PdI-crono_ges'!P:P,'PdI-crono_ges'!J:J,"Non ERC",'PdI-crono_ges'!K:K,"lettera a)")</f>
        <v>0</v>
      </c>
      <c r="J36" s="556"/>
      <c r="K36" s="3473" t="s">
        <v>29987</v>
      </c>
      <c r="L36" s="3474" t="s">
        <v>22742</v>
      </c>
      <c r="M36" s="3466">
        <f ca="1">+SUMIFS('PdI-crono_ges'!L:L,'PdI-crono_ges'!J:J,"Res",'PdI-crono_ges'!K:K,"lettera b)")</f>
        <v>0</v>
      </c>
      <c r="N36" s="3466">
        <f ca="1">+SUMIFS('PdI-crono_ges'!L:L,'PdI-crono_ges'!J:J,"ENV",'PdI-crono_ges'!K:K,"lettera b)")</f>
        <v>0</v>
      </c>
      <c r="O36" s="3466">
        <f ca="1">+SUMIFS('PdI-crono_ges'!L:L,'PdI-crono_ges'!J:J,"Non ERC",'PdI-crono_ges'!K:K,"lettera b)")</f>
        <v>0</v>
      </c>
      <c r="P36" s="3466">
        <f ca="1">+SUMIFS('PdI-crono_ges'!P:P,'PdI-crono_ges'!J:J,"Res",'PdI-crono_ges'!K:K,"lettera b)")</f>
        <v>0</v>
      </c>
      <c r="Q36" s="3466">
        <f ca="1">+SUMIFS('PdI-crono_ges'!P:P,'PdI-crono_ges'!J:J,"ENV",'PdI-crono_ges'!K:K,"lettera b)")</f>
        <v>0</v>
      </c>
      <c r="R36" s="3466">
        <f ca="1">+SUMIFS('PdI-crono_ges'!P:P,'PdI-crono_ges'!J:J,"Non ERC",'PdI-crono_ges'!K:K,"lettera b)")</f>
        <v>0</v>
      </c>
      <c r="T36" s="3473" t="s">
        <v>29987</v>
      </c>
      <c r="U36" s="3474" t="s">
        <v>22742</v>
      </c>
      <c r="V36" s="3466">
        <f ca="1">+SUMIFS('PdI-crono_ges'!L:L,'PdI-crono_ges'!J:J,"Res",'PdI-crono_ges'!K:K,"lettera c) 477/2023/R/IDR")</f>
        <v>0</v>
      </c>
      <c r="W36" s="3466">
        <f ca="1">+SUMIFS('PdI-crono_ges'!L:L,'PdI-crono_ges'!J:J,"ENV",'PdI-crono_ges'!K:K,"lettera c) 477/2023/R/IDR")</f>
        <v>0</v>
      </c>
      <c r="X36" s="3466">
        <f ca="1">+SUMIFS('PdI-crono_ges'!L:L,'PdI-crono_ges'!J:J,"Non ERC",'PdI-crono_ges'!K:K,"lettera c) 477/2023/R/IDR")</f>
        <v>0</v>
      </c>
      <c r="Y36" s="3466">
        <f ca="1">+SUMIFS('PdI-crono_ges'!P:P,'PdI-crono_ges'!J:J,"Res",'PdI-crono_ges'!K:K,"lettera c) 477/2023/R/IDR")</f>
        <v>0</v>
      </c>
      <c r="Z36" s="3466">
        <f ca="1">+SUMIFS('PdI-crono_ges'!P:P,'PdI-crono_ges'!J:J,"ENV",'PdI-crono_ges'!K:K,"lettera c) 477/2023/R/IDR")</f>
        <v>0</v>
      </c>
      <c r="AA36" s="3466">
        <f ca="1">+SUMIFS('PdI-crono_ges'!P:P,'PdI-crono_ges'!J:J,"Non ERC",'PdI-crono_ges'!K:K,"lettera c) 477/2023/R/IDR")</f>
        <v>0</v>
      </c>
    </row>
    <row r="37" spans="1:27" ht="25.35" customHeight="1">
      <c r="A37" s="3462"/>
      <c r="B37" s="3473" t="s">
        <v>29988</v>
      </c>
      <c r="C37" s="3475" t="s">
        <v>22742</v>
      </c>
      <c r="D37" s="3466">
        <f ca="1">+SUMIFS('PdI-crono_ges'!M:M,'PdI-crono_ges'!J:J,"Res",'PdI-crono_ges'!K:K,"lettera a)")</f>
        <v>0</v>
      </c>
      <c r="E37" s="3466">
        <f ca="1">+SUMIFS('PdI-crono_ges'!M:M,'PdI-crono_ges'!J:J,"ENV",'PdI-crono_ges'!K:K,"lettera a)")</f>
        <v>0</v>
      </c>
      <c r="F37" s="3466">
        <f ca="1">+SUMIFS('PdI-crono_ges'!M:M,'PdI-crono_ges'!J:J,"Non ERC",'PdI-crono_ges'!K:K,"lettera a)")</f>
        <v>0</v>
      </c>
      <c r="G37" s="3466">
        <f ca="1">+SUMIFS('PdI-crono_ges'!Q:Q,'PdI-crono_ges'!J:J,"Res",'PdI-crono_ges'!K:K,"lettera a)")</f>
        <v>0</v>
      </c>
      <c r="H37" s="3466">
        <f ca="1">+SUMIFS('PdI-crono_ges'!Q:Q,'PdI-crono_ges'!J:J,"ENV",'PdI-crono_ges'!K:K,"lettera a)")</f>
        <v>0</v>
      </c>
      <c r="I37" s="3466">
        <f ca="1">+SUMIFS('PdI-crono_ges'!Q:Q,'PdI-crono_ges'!J:J,"Non ERC",'PdI-crono_ges'!K:K,"lettera a)")</f>
        <v>0</v>
      </c>
      <c r="J37" s="556"/>
      <c r="K37" s="3473" t="s">
        <v>29988</v>
      </c>
      <c r="L37" s="3475" t="s">
        <v>22742</v>
      </c>
      <c r="M37" s="3466">
        <f ca="1">+SUMIFS('PdI-crono_ges'!M:M,'PdI-crono_ges'!J:J,"Res",'PdI-crono_ges'!K:K,"lettera b)")</f>
        <v>0</v>
      </c>
      <c r="N37" s="3466">
        <f ca="1">+SUMIFS('PdI-crono_ges'!M:M,'PdI-crono_ges'!J:J,"ENV",'PdI-crono_ges'!K:K,"lettera b)")</f>
        <v>0</v>
      </c>
      <c r="O37" s="3466">
        <f ca="1">+SUMIFS('PdI-crono_ges'!M:M,'PdI-crono_ges'!J:J,"Non ERC",'PdI-crono_ges'!K:K,"lettera b)")</f>
        <v>0</v>
      </c>
      <c r="P37" s="3466">
        <f ca="1">+SUMIFS('PdI-crono_ges'!Q:Q,'PdI-crono_ges'!J:J,"Res",'PdI-crono_ges'!K:K,"lettera b)")</f>
        <v>0</v>
      </c>
      <c r="Q37" s="3466">
        <f ca="1">+SUMIFS('PdI-crono_ges'!Q:Q,'PdI-crono_ges'!J:J,"ENV",'PdI-crono_ges'!K:K,"lettera b)")</f>
        <v>0</v>
      </c>
      <c r="R37" s="3466">
        <f ca="1">+SUMIFS('PdI-crono_ges'!Q:Q,'PdI-crono_ges'!J:J,"Non ERC",'PdI-crono_ges'!K:K,"lettera b)")</f>
        <v>0</v>
      </c>
      <c r="T37" s="3473" t="s">
        <v>29988</v>
      </c>
      <c r="U37" s="3475" t="s">
        <v>22742</v>
      </c>
      <c r="V37" s="3466">
        <f ca="1">+SUMIFS('PdI-crono_ges'!M:M,'PdI-crono_ges'!J:J,"Res",'PdI-crono_ges'!K:K,"lettera c) 477/2023/R/IDR")</f>
        <v>0</v>
      </c>
      <c r="W37" s="3466">
        <f ca="1">+SUMIFS('PdI-crono_ges'!M:M,'PdI-crono_ges'!J:J,"ENV",'PdI-crono_ges'!K:K,"lettera c) 477/2023/R/IDR")</f>
        <v>0</v>
      </c>
      <c r="X37" s="3466">
        <f ca="1">+SUMIFS('PdI-crono_ges'!M:M,'PdI-crono_ges'!J:J,"Non ERC",'PdI-crono_ges'!K:K,"lettera c) 477/2023/R/IDR")</f>
        <v>0</v>
      </c>
      <c r="Y37" s="3466">
        <f ca="1">+SUMIFS('PdI-crono_ges'!Q:Q,'PdI-crono_ges'!J:J,"Res",'PdI-crono_ges'!K:K,"lettera c) 477/2023/R/IDR")</f>
        <v>0</v>
      </c>
      <c r="Z37" s="3466">
        <f ca="1">+SUMIFS('PdI-crono_ges'!Q:Q,'PdI-crono_ges'!J:J,"ENV",'PdI-crono_ges'!K:K,"lettera c) 477/2023/R/IDR")</f>
        <v>0</v>
      </c>
      <c r="AA37" s="3466">
        <f ca="1">+SUMIFS('PdI-crono_ges'!Q:Q,'PdI-crono_ges'!J:J,"Non ERC",'PdI-crono_ges'!K:K,"lettera c) 477/2023/R/IDR")</f>
        <v>0</v>
      </c>
    </row>
    <row r="38" spans="1:27" ht="25.35" customHeight="1">
      <c r="A38" s="3462"/>
      <c r="B38" s="3473" t="s">
        <v>29989</v>
      </c>
      <c r="C38" s="3475" t="s">
        <v>22742</v>
      </c>
      <c r="D38" s="3466">
        <f ca="1">+SUMIFS('PdI-crono_ges'!N:N,'PdI-crono_ges'!J:J,"Res",'PdI-crono_ges'!K:K,"lettera a)")</f>
        <v>0</v>
      </c>
      <c r="E38" s="3466">
        <f ca="1">+SUMIFS('PdI-crono_ges'!N:N,'PdI-crono_ges'!J:J,"ENV",'PdI-crono_ges'!K:K,"lettera a)")</f>
        <v>0</v>
      </c>
      <c r="F38" s="3466">
        <f ca="1">+SUMIFS('PdI-crono_ges'!N:N,'PdI-crono_ges'!J:J,"Non ERC",'PdI-crono_ges'!K:K,"lettera a)")</f>
        <v>0</v>
      </c>
      <c r="G38" s="3466">
        <f ca="1">+SUMIFS('PdI-crono_ges'!R:R,'PdI-crono_ges'!J:J,"Res",'PdI-crono_ges'!K:K,"lettera a)")</f>
        <v>0</v>
      </c>
      <c r="H38" s="3466">
        <f ca="1">+SUMIFS('PdI-crono_ges'!R:R,'PdI-crono_ges'!J:J,"ENV",'PdI-crono_ges'!K:K,"lettera a)")</f>
        <v>0</v>
      </c>
      <c r="I38" s="3466">
        <f ca="1">+SUMIFS('PdI-crono_ges'!R:R,'PdI-crono_ges'!J:J,"Non ERC",'PdI-crono_ges'!K:K,"lettera a)")</f>
        <v>0</v>
      </c>
      <c r="J38" s="556"/>
      <c r="K38" s="3473" t="s">
        <v>29989</v>
      </c>
      <c r="L38" s="3475" t="s">
        <v>22742</v>
      </c>
      <c r="M38" s="3466">
        <f ca="1">+SUMIFS('PdI-crono_ges'!N:N,'PdI-crono_ges'!J:J,"Res",'PdI-crono_ges'!K:K,"lettera b)")</f>
        <v>0</v>
      </c>
      <c r="N38" s="3466">
        <f ca="1">+SUMIFS('PdI-crono_ges'!N:N,'PdI-crono_ges'!J:J,"ENV",'PdI-crono_ges'!K:K,"lettera b)")</f>
        <v>0</v>
      </c>
      <c r="O38" s="3466">
        <f ca="1">+SUMIFS('PdI-crono_ges'!N:N,'PdI-crono_ges'!J:J,"Non ERC",'PdI-crono_ges'!K:K,"lettera b)")</f>
        <v>0</v>
      </c>
      <c r="P38" s="3466">
        <f ca="1">+SUMIFS('PdI-crono_ges'!R:R,'PdI-crono_ges'!J:J,"Res",'PdI-crono_ges'!K:K,"lettera b)")</f>
        <v>0</v>
      </c>
      <c r="Q38" s="3466">
        <f ca="1">+SUMIFS('PdI-crono_ges'!R:R,'PdI-crono_ges'!J:J,"ENV",'PdI-crono_ges'!K:K,"lettera b)")</f>
        <v>0</v>
      </c>
      <c r="R38" s="3466">
        <f ca="1">+SUMIFS('PdI-crono_ges'!R:R,'PdI-crono_ges'!J:J,"Non ERC",'PdI-crono_ges'!K:K,"lettera b)")</f>
        <v>0</v>
      </c>
      <c r="T38" s="3473" t="s">
        <v>29989</v>
      </c>
      <c r="U38" s="3475" t="s">
        <v>22742</v>
      </c>
      <c r="V38" s="3466">
        <f ca="1">+SUMIFS('PdI-crono_ges'!N:N,'PdI-crono_ges'!J:J,"Res",'PdI-crono_ges'!K:K,"lettera c) 477/2023/R/IDR")</f>
        <v>0</v>
      </c>
      <c r="W38" s="3466">
        <f ca="1">+SUMIFS('PdI-crono_ges'!N:N,'PdI-crono_ges'!J:J,"ENV",'PdI-crono_ges'!K:K,"lettera c) 477/2023/R/IDR")</f>
        <v>0</v>
      </c>
      <c r="X38" s="3466">
        <f ca="1">+SUMIFS('PdI-crono_ges'!N:N,'PdI-crono_ges'!J:J,"Non ERC",'PdI-crono_ges'!K:K,"lettera c) 477/2023/R/IDR")</f>
        <v>0</v>
      </c>
      <c r="Y38" s="3466">
        <f ca="1">+SUMIFS('PdI-crono_ges'!R:R,'PdI-crono_ges'!J:J,"Res",'PdI-crono_ges'!K:K,"lettera c) 477/2023/R/IDR")</f>
        <v>0</v>
      </c>
      <c r="Z38" s="3466">
        <f ca="1">+SUMIFS('PdI-crono_ges'!R:R,'PdI-crono_ges'!J:J,"ENV",'PdI-crono_ges'!K:K,"lettera c) 477/2023/R/IDR")</f>
        <v>0</v>
      </c>
      <c r="AA38" s="3466">
        <f ca="1">+SUMIFS('PdI-crono_ges'!R:R,'PdI-crono_ges'!J:J,"Non ERC",'PdI-crono_ges'!K:K,"lettera c) 477/2023/R/IDR")</f>
        <v>0</v>
      </c>
    </row>
    <row r="39" spans="1:27" ht="25.5" customHeight="1">
      <c r="A39" s="3462"/>
      <c r="B39" s="3473" t="s">
        <v>31512</v>
      </c>
      <c r="C39" s="3474" t="s">
        <v>22742</v>
      </c>
      <c r="D39" s="3466">
        <f ca="1">+SUMIFS('PdI-crono_ges'!O:O,'PdI-crono_ges'!J:J,"Res",'PdI-crono_ges'!K:K,"lettera a)")</f>
        <v>0</v>
      </c>
      <c r="E39" s="3466">
        <f ca="1">+SUMIFS('PdI-crono_ges'!O:O,'PdI-crono_ges'!J:J,"ENV",'PdI-crono_ges'!K:K,"lettera a)")</f>
        <v>0</v>
      </c>
      <c r="F39" s="3466">
        <f ca="1">+SUMIFS('PdI-crono_ges'!O:O,'PdI-crono_ges'!J:J,"Non ERC",'PdI-crono_ges'!K:K,"lettera a)")</f>
        <v>0</v>
      </c>
      <c r="G39" s="3466">
        <f ca="1">+SUMIFS('PdI-crono_ges'!S:S,'PdI-crono_ges'!J:J,"Res",'PdI-crono_ges'!K:K,"lettera a)")</f>
        <v>0</v>
      </c>
      <c r="H39" s="3466">
        <f ca="1">+SUMIFS('PdI-crono_ges'!S:S,'PdI-crono_ges'!J:J,"ENV",'PdI-crono_ges'!K:K,"lettera a)")</f>
        <v>0</v>
      </c>
      <c r="I39" s="3466">
        <f ca="1">+SUMIFS('PdI-crono_ges'!S:S,'PdI-crono_ges'!J:J,"Non ERC",'PdI-crono_ges'!K:K,"lettera a)")</f>
        <v>0</v>
      </c>
      <c r="J39" s="556"/>
      <c r="K39" s="3473" t="s">
        <v>31515</v>
      </c>
      <c r="L39" s="3474" t="s">
        <v>22742</v>
      </c>
      <c r="M39" s="3466">
        <f ca="1">+SUMIFS('PdI-crono_ges'!O:O,'PdI-crono_ges'!J:J,"Res",'PdI-crono_ges'!K:K,"lettera b)")</f>
        <v>0</v>
      </c>
      <c r="N39" s="3466">
        <f ca="1">+SUMIFS('PdI-crono_ges'!O:O,'PdI-crono_ges'!J:J,"ENV",'PdI-crono_ges'!K:K,"lettera b)")</f>
        <v>0</v>
      </c>
      <c r="O39" s="3466">
        <f ca="1">+SUMIFS('PdI-crono_ges'!O:O,'PdI-crono_ges'!J:J,"Non ERC",'PdI-crono_ges'!K:K,"lettera b)")</f>
        <v>0</v>
      </c>
      <c r="P39" s="3466">
        <f ca="1">+SUMIFS('PdI-crono_ges'!S:S,'PdI-crono_ges'!J:J,"Res",'PdI-crono_ges'!K:K,"lettera b)")</f>
        <v>0</v>
      </c>
      <c r="Q39" s="3466">
        <f ca="1">+SUMIFS('PdI-crono_ges'!S:S,'PdI-crono_ges'!J:J,"ENV",'PdI-crono_ges'!K:K,"lettera b)")</f>
        <v>0</v>
      </c>
      <c r="R39" s="3466">
        <f ca="1">+SUMIFS('PdI-crono_ges'!S:S,'PdI-crono_ges'!J:J,"Non ERC",'PdI-crono_ges'!K:K,"lettera b)")</f>
        <v>0</v>
      </c>
      <c r="T39" s="3473" t="s">
        <v>32809</v>
      </c>
      <c r="U39" s="3474" t="s">
        <v>22742</v>
      </c>
      <c r="V39" s="3466">
        <f ca="1">+SUMIFS('PdI-crono_ges'!O:O,'PdI-crono_ges'!J:J,"Res",'PdI-crono_ges'!K:K,"lettera c) 477/2023/R/IDR")</f>
        <v>0</v>
      </c>
      <c r="W39" s="3466">
        <f ca="1">+SUMIFS('PdI-crono_ges'!O:O,'PdI-crono_ges'!J:J,"ENV",'PdI-crono_ges'!K:K,"lettera c) 477/2023/R/IDR")</f>
        <v>0</v>
      </c>
      <c r="X39" s="3466">
        <f ca="1">+SUMIFS('PdI-crono_ges'!O:O,'PdI-crono_ges'!J:J,"Non ERC",'PdI-crono_ges'!K:K,"lettera c) 477/2023/R/IDR")</f>
        <v>0</v>
      </c>
      <c r="Y39" s="3466">
        <f ca="1">+SUMIFS('PdI-crono_ges'!S:S,'PdI-crono_ges'!J:J,"Res",'PdI-crono_ges'!K:K,"lettera c) 477/2023/R/IDR")</f>
        <v>0</v>
      </c>
      <c r="Z39" s="3466">
        <f ca="1">+SUMIFS('PdI-crono_ges'!S:S,'PdI-crono_ges'!J:J,"ENV",'PdI-crono_ges'!K:K,"lettera c) 477/2023/R/IDR")</f>
        <v>0</v>
      </c>
      <c r="AA39" s="3466">
        <f ca="1">+SUMIFS('PdI-crono_ges'!S:S,'PdI-crono_ges'!J:J,"Non ERC",'PdI-crono_ges'!K:K,"lettera c) 477/2023/R/IDR")</f>
        <v>0</v>
      </c>
    </row>
    <row r="40" spans="1:27" ht="25.5" customHeight="1">
      <c r="A40" s="3462"/>
      <c r="B40" s="3473" t="s">
        <v>31513</v>
      </c>
      <c r="C40" s="3476" t="s">
        <v>22742</v>
      </c>
      <c r="D40" s="3707">
        <f>+Opex!C95</f>
        <v>0</v>
      </c>
      <c r="E40" s="3708"/>
      <c r="F40" s="3709"/>
      <c r="G40" s="3707">
        <f>+Opex!D95</f>
        <v>0</v>
      </c>
      <c r="H40" s="3708"/>
      <c r="I40" s="3709"/>
      <c r="J40" s="556"/>
      <c r="K40" s="3473" t="s">
        <v>31516</v>
      </c>
      <c r="L40" s="3476" t="s">
        <v>22742</v>
      </c>
      <c r="M40" s="3707">
        <f>+Opex!C96</f>
        <v>0</v>
      </c>
      <c r="N40" s="3708"/>
      <c r="O40" s="3709"/>
      <c r="P40" s="3707">
        <f>+Opex!D96</f>
        <v>0</v>
      </c>
      <c r="Q40" s="3708"/>
      <c r="R40" s="3709"/>
      <c r="T40" s="3473" t="s">
        <v>32810</v>
      </c>
      <c r="U40" s="3476" t="s">
        <v>22742</v>
      </c>
      <c r="V40" s="3707">
        <f>+Opex!C97</f>
        <v>0</v>
      </c>
      <c r="W40" s="3708"/>
      <c r="X40" s="3709"/>
      <c r="Y40" s="3707">
        <f>+Opex!D97</f>
        <v>0</v>
      </c>
      <c r="Z40" s="3708"/>
      <c r="AA40" s="3709"/>
    </row>
    <row r="41" spans="1:27" ht="40.5" customHeight="1">
      <c r="A41" s="3462"/>
      <c r="B41" s="3463" t="s">
        <v>31514</v>
      </c>
      <c r="C41" s="3476" t="s">
        <v>22742</v>
      </c>
      <c r="D41" s="3707">
        <f ca="1">+D40-SUM(D39:F39)</f>
        <v>0</v>
      </c>
      <c r="E41" s="3708">
        <f ca="1">+E40-E39</f>
        <v>0</v>
      </c>
      <c r="F41" s="3709">
        <f ca="1">+F40-F39</f>
        <v>0</v>
      </c>
      <c r="G41" s="3707">
        <f ca="1">+G40-SUM(G39:I39)</f>
        <v>0</v>
      </c>
      <c r="H41" s="3708">
        <f ca="1">+H40-H39</f>
        <v>0</v>
      </c>
      <c r="I41" s="3709">
        <f ca="1">+I40-I39</f>
        <v>0</v>
      </c>
      <c r="J41" s="556"/>
      <c r="K41" s="3463" t="s">
        <v>31517</v>
      </c>
      <c r="L41" s="3476" t="s">
        <v>22742</v>
      </c>
      <c r="M41" s="3707">
        <f ca="1">+M40-SUM(M39:O39)</f>
        <v>0</v>
      </c>
      <c r="N41" s="3708">
        <f ca="1">+N40-N39</f>
        <v>0</v>
      </c>
      <c r="O41" s="3709">
        <f ca="1">+O40-O39</f>
        <v>0</v>
      </c>
      <c r="P41" s="3707">
        <f ca="1">+P40-SUM(P39:R39)</f>
        <v>0</v>
      </c>
      <c r="Q41" s="3708">
        <f ca="1">+Q40-Q39</f>
        <v>0</v>
      </c>
      <c r="R41" s="3709">
        <f ca="1">+R40-R39</f>
        <v>0</v>
      </c>
      <c r="T41" s="3463" t="s">
        <v>32811</v>
      </c>
      <c r="U41" s="3476" t="s">
        <v>22742</v>
      </c>
      <c r="V41" s="3707">
        <f ca="1">+V40-SUM(V39:X39)</f>
        <v>0</v>
      </c>
      <c r="W41" s="3708">
        <f ca="1">+W40-W39</f>
        <v>0</v>
      </c>
      <c r="X41" s="3709">
        <f ca="1">+X40-X39</f>
        <v>0</v>
      </c>
      <c r="Y41" s="3707">
        <f ca="1">+Y40-SUM(Y39:AA39)</f>
        <v>0</v>
      </c>
      <c r="Z41" s="3708">
        <f ca="1">+Z40-Z39</f>
        <v>0</v>
      </c>
      <c r="AA41" s="3709">
        <f ca="1">+AA40-AA39</f>
        <v>0</v>
      </c>
    </row>
    <row r="42" spans="1:27" ht="25.35" customHeight="1">
      <c r="A42" s="3462"/>
      <c r="F42" s="556"/>
      <c r="G42" s="556"/>
      <c r="J42" s="556"/>
      <c r="K42" s="556"/>
      <c r="L42" s="556"/>
    </row>
    <row r="43" spans="1:27" ht="25.35" customHeight="1">
      <c r="A43" s="3462"/>
      <c r="J43" s="556"/>
      <c r="K43" s="556"/>
      <c r="L43" s="556"/>
    </row>
    <row r="44" spans="1:27" ht="25.35" customHeight="1">
      <c r="A44" s="3462"/>
      <c r="B44" s="3472" t="s">
        <v>31519</v>
      </c>
      <c r="C44" s="3453" t="s">
        <v>22740</v>
      </c>
      <c r="D44" s="3454">
        <v>2024</v>
      </c>
      <c r="E44" s="3454">
        <v>2025</v>
      </c>
      <c r="F44" s="3454">
        <v>2026</v>
      </c>
      <c r="G44" s="3454">
        <v>2027</v>
      </c>
      <c r="H44" s="3454">
        <v>2028</v>
      </c>
      <c r="I44" s="3454">
        <v>2029</v>
      </c>
      <c r="J44" s="556"/>
      <c r="K44" s="556"/>
      <c r="L44" s="556"/>
    </row>
    <row r="45" spans="1:27" ht="25.35" customHeight="1">
      <c r="A45" s="3462"/>
      <c r="B45" s="3473" t="s">
        <v>26984</v>
      </c>
      <c r="C45" s="3474" t="s">
        <v>22742</v>
      </c>
      <c r="D45" s="3458"/>
      <c r="E45" s="3458"/>
      <c r="F45" s="3466">
        <f t="shared" ref="F45:I45" ca="1" si="4">+SUM(F46:F48)</f>
        <v>0</v>
      </c>
      <c r="G45" s="3466">
        <f t="shared" ca="1" si="4"/>
        <v>0</v>
      </c>
      <c r="H45" s="3466">
        <f t="shared" ca="1" si="4"/>
        <v>0</v>
      </c>
      <c r="I45" s="3466">
        <f t="shared" ca="1" si="4"/>
        <v>0</v>
      </c>
      <c r="J45" s="556"/>
      <c r="K45" s="556"/>
      <c r="L45" s="556"/>
    </row>
    <row r="46" spans="1:27" ht="25.35" customHeight="1">
      <c r="A46" s="3462"/>
      <c r="B46" s="3477" t="s">
        <v>25649</v>
      </c>
      <c r="C46" s="3475" t="s">
        <v>22742</v>
      </c>
      <c r="D46" s="3458"/>
      <c r="E46" s="3458"/>
      <c r="F46" s="3466">
        <f ca="1">+SUMIF('PdI-crono_ges'!$J:$J,"Res",'PdI-crono_ges'!V:V)</f>
        <v>0</v>
      </c>
      <c r="G46" s="3466">
        <f ca="1">+SUMIF('PdI-crono_ges'!$J:$J,"Res",'PdI-crono_ges'!W:W)</f>
        <v>0</v>
      </c>
      <c r="H46" s="3466">
        <f ca="1">+SUMIF('PdI-crono_ges'!$J:$J,"Res",'PdI-crono_ges'!X:X)</f>
        <v>0</v>
      </c>
      <c r="I46" s="3466">
        <f ca="1">+SUMIF('PdI-crono_ges'!$J:$J,"Res",'PdI-crono_ges'!Y:Y)</f>
        <v>0</v>
      </c>
      <c r="J46" s="556"/>
      <c r="K46" s="556"/>
      <c r="L46" s="556"/>
    </row>
    <row r="47" spans="1:27" ht="25.35" customHeight="1">
      <c r="A47" s="3462"/>
      <c r="B47" s="3477" t="s">
        <v>25650</v>
      </c>
      <c r="C47" s="3475" t="s">
        <v>22742</v>
      </c>
      <c r="D47" s="3458"/>
      <c r="E47" s="3458"/>
      <c r="F47" s="3466">
        <f ca="1">+SUMIF('PdI-crono_ges'!$J:$J,"Env",'PdI-crono_ges'!V:V)</f>
        <v>0</v>
      </c>
      <c r="G47" s="3466">
        <f ca="1">+SUMIF('PdI-crono_ges'!$J:$J,"Env",'PdI-crono_ges'!W:W)</f>
        <v>0</v>
      </c>
      <c r="H47" s="3466">
        <f ca="1">+SUMIF('PdI-crono_ges'!$J:$J,"Env",'PdI-crono_ges'!X:X)</f>
        <v>0</v>
      </c>
      <c r="I47" s="3466">
        <f ca="1">+SUMIF('PdI-crono_ges'!$J:$J,"Env",'PdI-crono_ges'!Y:Y)</f>
        <v>0</v>
      </c>
      <c r="J47" s="556"/>
      <c r="K47" s="556"/>
      <c r="L47" s="556"/>
    </row>
    <row r="48" spans="1:27" ht="25.35" customHeight="1">
      <c r="A48" s="3462"/>
      <c r="B48" s="3477" t="s">
        <v>27122</v>
      </c>
      <c r="C48" s="3475" t="s">
        <v>22742</v>
      </c>
      <c r="D48" s="3458"/>
      <c r="E48" s="3458"/>
      <c r="F48" s="3466">
        <f ca="1">+SUMIF('PdI-crono_ges'!$J:$J,"Non ERC",'PdI-crono_ges'!V:V)</f>
        <v>0</v>
      </c>
      <c r="G48" s="3466">
        <f ca="1">+SUMIF('PdI-crono_ges'!$J:$J,"Non ERC",'PdI-crono_ges'!W:W)</f>
        <v>0</v>
      </c>
      <c r="H48" s="3466">
        <f ca="1">+SUMIF('PdI-crono_ges'!$J:$J,"Non ERC",'PdI-crono_ges'!X:X)</f>
        <v>0</v>
      </c>
      <c r="I48" s="3466">
        <f ca="1">+SUMIF('PdI-crono_ges'!$J:$J,"Non ERC",'PdI-crono_ges'!Y:Y)</f>
        <v>0</v>
      </c>
      <c r="J48" s="556"/>
      <c r="K48" s="556"/>
      <c r="L48" s="556"/>
    </row>
    <row r="49" spans="1:12" ht="25.35" customHeight="1">
      <c r="A49" s="3462"/>
      <c r="B49" s="556"/>
      <c r="C49" s="556"/>
      <c r="D49" s="556"/>
      <c r="E49" s="556"/>
      <c r="F49" s="556"/>
      <c r="G49" s="556"/>
      <c r="H49" s="556"/>
      <c r="I49" s="556"/>
      <c r="J49" s="556"/>
      <c r="K49" s="556"/>
      <c r="L49" s="556"/>
    </row>
    <row r="50" spans="1:12" ht="25.35" customHeight="1">
      <c r="A50" s="3462"/>
      <c r="B50" s="556"/>
      <c r="C50" s="556"/>
      <c r="D50" s="556"/>
      <c r="E50" s="3478"/>
      <c r="F50" s="3478"/>
      <c r="G50" s="3478"/>
      <c r="H50" s="3478"/>
      <c r="I50" s="3478"/>
      <c r="J50" s="556"/>
      <c r="K50" s="556"/>
      <c r="L50" s="556"/>
    </row>
    <row r="51" spans="1:12" ht="25.35" customHeight="1">
      <c r="B51" s="556"/>
      <c r="C51" s="556"/>
      <c r="D51" s="3479"/>
      <c r="E51" s="3478"/>
      <c r="F51" s="3478"/>
      <c r="G51" s="3478"/>
      <c r="H51" s="3478"/>
      <c r="I51" s="3478"/>
      <c r="L51" s="556"/>
    </row>
    <row r="52" spans="1:12" ht="40.5" customHeight="1">
      <c r="B52" s="3472" t="s">
        <v>29977</v>
      </c>
      <c r="C52" s="3453" t="s">
        <v>22740</v>
      </c>
      <c r="D52" s="3454" t="s">
        <v>30230</v>
      </c>
      <c r="E52" s="3478"/>
      <c r="F52" s="3478"/>
      <c r="G52" s="3478"/>
      <c r="H52" s="3478"/>
      <c r="I52" s="3478"/>
    </row>
    <row r="53" spans="1:12" ht="40.5" customHeight="1">
      <c r="B53" s="3456" t="s">
        <v>29978</v>
      </c>
      <c r="C53" s="3457" t="s">
        <v>22742</v>
      </c>
      <c r="D53" s="3466">
        <f>SUMIF('PdI-crono_inv'!BR:BR,"X",'PdI-crono_inv'!AU:AU)+SUMIF('PdI-crono_inv'!BR:BR,"X",'PdI-crono_inv'!AZ:AZ)+SUMIF('PdI-crono_inv'!BR:BR,"X",'PdI-crono_inv'!BE:BE)+SUMIF('PdI-crono_inv'!BR:BR,"X",'PdI-crono_inv'!BJ:BJ)</f>
        <v>0</v>
      </c>
      <c r="E53" s="3478"/>
      <c r="F53" s="3478"/>
      <c r="G53" s="3478"/>
      <c r="H53" s="3478"/>
      <c r="I53" s="3478"/>
    </row>
    <row r="54" spans="1:12" ht="25.35" customHeight="1">
      <c r="B54" s="3456" t="s">
        <v>26484</v>
      </c>
      <c r="C54" s="3457" t="s">
        <v>22742</v>
      </c>
      <c r="D54" s="3466">
        <f>+D53-D55</f>
        <v>0</v>
      </c>
      <c r="E54" s="3478"/>
      <c r="F54" s="3478"/>
      <c r="G54" s="3478"/>
      <c r="H54" s="3478"/>
      <c r="I54" s="3478"/>
    </row>
    <row r="55" spans="1:12" ht="25.35" customHeight="1">
      <c r="B55" s="3456" t="s">
        <v>26485</v>
      </c>
      <c r="C55" s="3457" t="s">
        <v>22742</v>
      </c>
      <c r="D55" s="3466">
        <f>SUMIF('PdI-crono_inv'!BR:BR,"X",'PdI-crono_inv'!AX:AX)+SUMIF('PdI-crono_inv'!BR:BR,"X",'PdI-crono_inv'!BC:BC)+SUMIF('PdI-crono_inv'!BR:BR,"X",'PdI-crono_inv'!BH:BH)+SUMIF('PdI-crono_inv'!BR:BR,"X",'PdI-crono_inv'!BM:BM)</f>
        <v>0</v>
      </c>
      <c r="E55" s="3478"/>
      <c r="F55" s="3478"/>
      <c r="G55" s="3478"/>
      <c r="H55" s="3478"/>
      <c r="I55" s="3478"/>
    </row>
    <row r="56" spans="1:12" ht="25.35" customHeight="1">
      <c r="B56" s="3480" t="s">
        <v>26486</v>
      </c>
      <c r="C56" s="3457" t="s">
        <v>22742</v>
      </c>
      <c r="D56" s="3466">
        <f>+SUMIF('PdI-crono_inv'!BR:BR,"X",'PdI-crono_inv'!BT:BT)</f>
        <v>0</v>
      </c>
      <c r="E56" s="3478"/>
      <c r="F56" s="3478"/>
      <c r="G56" s="3478"/>
      <c r="H56" s="3478"/>
      <c r="I56" s="3478"/>
    </row>
    <row r="57" spans="1:12" ht="25.35" customHeight="1">
      <c r="B57" s="3480" t="s">
        <v>26487</v>
      </c>
      <c r="C57" s="3457" t="s">
        <v>22742</v>
      </c>
      <c r="D57" s="3466">
        <f>+SUMIF('PdI-crono_inv'!BR:BR,"X",'PdI-crono_inv'!BU:BU)</f>
        <v>0</v>
      </c>
      <c r="E57" s="3478"/>
      <c r="F57" s="3478"/>
      <c r="G57" s="3478"/>
      <c r="H57" s="3478"/>
      <c r="I57" s="3478"/>
    </row>
    <row r="58" spans="1:12" ht="25.35" customHeight="1">
      <c r="B58" s="556"/>
      <c r="C58" s="556"/>
      <c r="D58" s="556"/>
      <c r="E58" s="556"/>
      <c r="F58" s="556"/>
      <c r="G58" s="556"/>
      <c r="H58" s="556"/>
      <c r="I58" s="556"/>
    </row>
    <row r="59" spans="1:12" ht="16.5">
      <c r="B59" s="556"/>
      <c r="C59" s="556"/>
      <c r="D59" s="556"/>
      <c r="E59" s="556"/>
      <c r="F59" s="556"/>
      <c r="G59" s="556"/>
      <c r="H59" s="556"/>
      <c r="I59" s="556"/>
    </row>
    <row r="62" spans="1:12">
      <c r="B62" s="1506" t="s">
        <v>28870</v>
      </c>
      <c r="C62" s="3453" t="s">
        <v>28869</v>
      </c>
      <c r="D62" s="3453" t="s">
        <v>30132</v>
      </c>
      <c r="E62" s="3453" t="s">
        <v>25471</v>
      </c>
      <c r="F62" s="3453" t="s">
        <v>25452</v>
      </c>
      <c r="G62" s="3453" t="s">
        <v>25472</v>
      </c>
      <c r="H62" s="3453" t="s">
        <v>25654</v>
      </c>
      <c r="I62" s="3453" t="s">
        <v>25462</v>
      </c>
      <c r="J62" s="3453" t="s">
        <v>25464</v>
      </c>
      <c r="K62" s="3453" t="s">
        <v>25473</v>
      </c>
    </row>
    <row r="63" spans="1:12" hidden="1">
      <c r="B63" s="3456"/>
      <c r="C63" s="3458"/>
      <c r="D63" s="3458"/>
      <c r="E63" s="3458"/>
      <c r="F63" s="3458"/>
      <c r="G63" s="3458"/>
      <c r="H63" s="3458"/>
      <c r="I63" s="3458"/>
      <c r="J63" s="3458"/>
      <c r="K63" s="3458"/>
    </row>
    <row r="64" spans="1:12" hidden="1">
      <c r="B64" s="3481"/>
      <c r="C64" s="3458"/>
      <c r="D64" s="3458"/>
      <c r="E64" s="3458"/>
      <c r="F64" s="3458"/>
      <c r="G64" s="3458"/>
      <c r="H64" s="3458"/>
      <c r="I64" s="3458"/>
      <c r="J64" s="3458"/>
      <c r="K64" s="3458"/>
    </row>
    <row r="65" spans="2:11" ht="30" hidden="1" customHeight="1">
      <c r="B65" s="3482"/>
      <c r="C65" s="3458"/>
      <c r="D65" s="3458"/>
      <c r="E65" s="3458"/>
      <c r="F65" s="3458"/>
      <c r="G65" s="3458"/>
      <c r="H65" s="3458"/>
      <c r="I65" s="3458"/>
      <c r="J65" s="3458"/>
      <c r="K65" s="3458"/>
    </row>
    <row r="66" spans="2:11" hidden="1">
      <c r="B66" s="3456"/>
      <c r="C66" s="3458"/>
      <c r="D66" s="3458"/>
      <c r="E66" s="3458"/>
      <c r="F66" s="3458"/>
      <c r="G66" s="3458"/>
      <c r="H66" s="3458"/>
      <c r="I66" s="3458"/>
      <c r="J66" s="3458"/>
      <c r="K66" s="3458"/>
    </row>
    <row r="67" spans="2:11" hidden="1">
      <c r="B67" s="3481"/>
      <c r="C67" s="3458"/>
      <c r="D67" s="3458"/>
      <c r="E67" s="3458"/>
      <c r="F67" s="3458"/>
      <c r="G67" s="3458"/>
      <c r="H67" s="3458"/>
      <c r="I67" s="3458"/>
      <c r="J67" s="3458"/>
      <c r="K67" s="3458"/>
    </row>
    <row r="68" spans="2:11" hidden="1">
      <c r="B68" s="3482"/>
      <c r="C68" s="3458"/>
      <c r="D68" s="3458"/>
      <c r="E68" s="3458"/>
      <c r="F68" s="3458"/>
      <c r="G68" s="3458"/>
      <c r="H68" s="3458"/>
      <c r="I68" s="3458"/>
      <c r="J68" s="3458"/>
      <c r="K68" s="3458"/>
    </row>
    <row r="69" spans="2:11">
      <c r="B69" s="3456" t="s">
        <v>31520</v>
      </c>
      <c r="C69" s="3466">
        <f ca="1">+SUMIF('PdI-crono_inv'!$D:$D,"Preq1",'PdI-crono_inv'!AK:AK)+SUMIF('PdI-crono_inv'!$D:$D,"Preq2",'PdI-crono_inv'!AK:AK)+SUMIF('PdI-crono_inv'!$D:$D,"Preq3",'PdI-crono_inv'!AK:AK)+SUMIF('PdI-crono_inv'!$D:$D,"Preq4",'PdI-crono_inv'!AK:AK)</f>
        <v>0</v>
      </c>
      <c r="D69" s="3466">
        <f ca="1">+SUMIF('PdI-crono_inv'!$D:$D,D62,'PdI-crono_inv'!$AK:$AK)</f>
        <v>0</v>
      </c>
      <c r="E69" s="3466">
        <f ca="1">+SUMIF('PdI-crono_inv'!$D:$D,E62,'PdI-crono_inv'!$AK:$AK)</f>
        <v>0</v>
      </c>
      <c r="F69" s="3466">
        <f ca="1">+SUMIF('PdI-crono_inv'!$D:$D,$F62,'PdI-crono_inv'!AK:AK)</f>
        <v>0</v>
      </c>
      <c r="G69" s="3466">
        <f ca="1">+SUMIF('PdI-crono_inv'!$D:$D,$G62,'PdI-crono_inv'!AK:AK)</f>
        <v>0</v>
      </c>
      <c r="H69" s="3466">
        <f ca="1">+SUMIF('PdI-crono_inv'!$D:$D,"M4a",'PdI-crono_inv'!AK:AK)+SUMIF('PdI-crono_inv'!$D:$D,"M4b",'PdI-crono_inv'!AK:AK)+SUMIF('PdI-crono_inv'!$D:$D,"M4c",'PdI-crono_inv'!AK:AK)</f>
        <v>0</v>
      </c>
      <c r="I69" s="3466">
        <f ca="1">+SUMIF('PdI-crono_inv'!$D:$D,$I62,'PdI-crono_inv'!AK:AK)</f>
        <v>0</v>
      </c>
      <c r="J69" s="3466">
        <f ca="1">+SUMIF('PdI-crono_inv'!$D:$D,$J62,'PdI-crono_inv'!AK:AK)</f>
        <v>0</v>
      </c>
      <c r="K69" s="3466">
        <f ca="1">+SUMIF('PdI-crono_inv'!$D:$D,$K62,'PdI-crono_inv'!AK:AK)</f>
        <v>0</v>
      </c>
    </row>
    <row r="70" spans="2:11">
      <c r="B70" s="3481" t="s">
        <v>31521</v>
      </c>
      <c r="C70" s="3466">
        <f ca="1">+SUMIF('PdI-crono_inv'!$D:$D,"Preq1",'PdI-crono_inv'!AN:AN)+SUMIF('PdI-crono_inv'!$D:$D,"Preq2",'PdI-crono_inv'!AN:AN)+SUMIF('PdI-crono_inv'!$D:$D,"Preq3",'PdI-crono_inv'!AN:AN)+SUMIF('PdI-crono_inv'!$D:$D,"Preq4",'PdI-crono_inv'!AN:AN)</f>
        <v>0</v>
      </c>
      <c r="D70" s="3466">
        <f ca="1">+SUMIF('PdI-crono_inv'!$D:$D,D62,'PdI-crono_inv'!$AN:$AN)</f>
        <v>0</v>
      </c>
      <c r="E70" s="3466">
        <f ca="1">+SUMIF('PdI-crono_inv'!$D:$D,E62,'PdI-crono_inv'!$AN:$AN)</f>
        <v>0</v>
      </c>
      <c r="F70" s="3466">
        <f ca="1">+SUMIF('PdI-crono_inv'!$D:$D,$F62,'PdI-crono_inv'!AN:AN)</f>
        <v>0</v>
      </c>
      <c r="G70" s="3466">
        <f ca="1">+SUMIF('PdI-crono_inv'!$D:$D,$G62,'PdI-crono_inv'!AN:AN)</f>
        <v>0</v>
      </c>
      <c r="H70" s="3466">
        <f ca="1">+SUMIF('PdI-crono_inv'!$D:$D,"M4a",'PdI-crono_inv'!AN:AN)+SUMIF('PdI-crono_inv'!$D:$D,"M4b",'PdI-crono_inv'!AN:AN)+SUMIF('PdI-crono_inv'!$D:$D,"M4c",'PdI-crono_inv'!AN:AN)</f>
        <v>0</v>
      </c>
      <c r="I70" s="3466">
        <f ca="1">+SUMIF('PdI-crono_inv'!$D:$D,$I62,'PdI-crono_inv'!AN:AN)</f>
        <v>0</v>
      </c>
      <c r="J70" s="3466">
        <f ca="1">+SUMIF('PdI-crono_inv'!$D:$D,$J62,'PdI-crono_inv'!AN:AN)</f>
        <v>0</v>
      </c>
      <c r="K70" s="3466">
        <f ca="1">+SUMIF('PdI-crono_inv'!$D:$D,$K62,'PdI-crono_inv'!AN:AN)</f>
        <v>0</v>
      </c>
    </row>
    <row r="71" spans="2:11" ht="27">
      <c r="B71" s="3482" t="s">
        <v>30689</v>
      </c>
      <c r="C71" s="1507" t="str">
        <f ca="1">+IFERROR(C69/(MAX(Dati_tecnici!$E$15,Dati_tecnici!$E$23,Dati_tecnici!$E$29)),"")</f>
        <v/>
      </c>
      <c r="D71" s="1507" t="str">
        <f ca="1">+IFERROR(D69/(MAX(Dati_tecnici!$E$15,Dati_tecnici!$E$23,Dati_tecnici!$E$29)),"")</f>
        <v/>
      </c>
      <c r="E71" s="1507" t="str">
        <f ca="1">+IFERROR(E69/(MAX(Dati_tecnici!$E$15,Dati_tecnici!$E$23,Dati_tecnici!$E$29)),"")</f>
        <v/>
      </c>
      <c r="F71" s="1507" t="str">
        <f ca="1">+IFERROR(F69/(MAX(Dati_tecnici!$E$15,Dati_tecnici!$E$23,Dati_tecnici!$E$29)),"")</f>
        <v/>
      </c>
      <c r="G71" s="1507" t="str">
        <f ca="1">+IFERROR(G69/(MAX(Dati_tecnici!$E$15,Dati_tecnici!$E$23,Dati_tecnici!$E$29)),"")</f>
        <v/>
      </c>
      <c r="H71" s="1507" t="str">
        <f ca="1">+IFERROR(H69/(MAX(Dati_tecnici!$E$15,Dati_tecnici!$E$23,Dati_tecnici!$E$29)),"")</f>
        <v/>
      </c>
      <c r="I71" s="1507" t="str">
        <f ca="1">+IFERROR(I69/(MAX(Dati_tecnici!$E$15,Dati_tecnici!$E$23,Dati_tecnici!$E$29)),"")</f>
        <v/>
      </c>
      <c r="J71" s="1507" t="str">
        <f ca="1">+IFERROR(J69/(MAX(Dati_tecnici!$E$15,Dati_tecnici!$E$23,Dati_tecnici!$E$29)),"")</f>
        <v/>
      </c>
      <c r="K71" s="1507" t="str">
        <f ca="1">+IFERROR(K69/(MAX(Dati_tecnici!$E$15,Dati_tecnici!$E$23,Dati_tecnici!$E$29)),"")</f>
        <v/>
      </c>
    </row>
    <row r="72" spans="2:11">
      <c r="B72" s="3456" t="s">
        <v>31522</v>
      </c>
      <c r="C72" s="3466">
        <f ca="1">+SUMIF('PdI-crono_inv'!$D:$D,"Preq1",'PdI-crono_inv'!AP:AP)+SUMIF('PdI-crono_inv'!$D:$D,"Preq2",'PdI-crono_inv'!AP:AP)+SUMIF('PdI-crono_inv'!$D:$D,"Preq3",'PdI-crono_inv'!AP:AP)+SUMIF('PdI-crono_inv'!$D:$D,"Preq4",'PdI-crono_inv'!AP:AP)</f>
        <v>0</v>
      </c>
      <c r="D72" s="3466">
        <f ca="1">+SUMIF('PdI-crono_inv'!$D:$D,D62,'PdI-crono_inv'!$AP:$AP)</f>
        <v>0</v>
      </c>
      <c r="E72" s="3466">
        <f ca="1">+SUMIF('PdI-crono_inv'!$D:$D,E62,'PdI-crono_inv'!$AP:$AP)</f>
        <v>0</v>
      </c>
      <c r="F72" s="3466">
        <f ca="1">+SUMIF('PdI-crono_inv'!$D:$D,$F62,'PdI-crono_inv'!AP:AP)</f>
        <v>0</v>
      </c>
      <c r="G72" s="3466">
        <f ca="1">+SUMIF('PdI-crono_inv'!$D:$D,$G62,'PdI-crono_inv'!AP:AP)</f>
        <v>0</v>
      </c>
      <c r="H72" s="3466">
        <f ca="1">+SUMIF('PdI-crono_inv'!$D:$D,"M4a",'PdI-crono_inv'!AP:AP)+SUMIF('PdI-crono_inv'!$D:$D,"M4b",'PdI-crono_inv'!AP:AP)+SUMIF('PdI-crono_inv'!$D:$D,"M4c",'PdI-crono_inv'!AP:AP)</f>
        <v>0</v>
      </c>
      <c r="I72" s="3466">
        <f ca="1">+SUMIF('PdI-crono_inv'!$D:$D,$I62,'PdI-crono_inv'!AP:AP)</f>
        <v>0</v>
      </c>
      <c r="J72" s="3466">
        <f ca="1">+SUMIF('PdI-crono_inv'!$D:$D,$J62,'PdI-crono_inv'!AP:AP)</f>
        <v>0</v>
      </c>
      <c r="K72" s="3466">
        <f ca="1">+SUMIF('PdI-crono_inv'!$D:$D,$K62,'PdI-crono_inv'!AP:AP)</f>
        <v>0</v>
      </c>
    </row>
    <row r="73" spans="2:11">
      <c r="B73" s="3481" t="s">
        <v>31523</v>
      </c>
      <c r="C73" s="3466">
        <f ca="1">+SUMIF('PdI-crono_inv'!$D:$D,"Preq1",'PdI-crono_inv'!AS:AS)+SUMIF('PdI-crono_inv'!$D:$D,"Preq2",'PdI-crono_inv'!AS:AS)+SUMIF('PdI-crono_inv'!$D:$D,"Preq3",'PdI-crono_inv'!AS:AS)+SUMIF('PdI-crono_inv'!$D:$D,"Preq4",'PdI-crono_inv'!AS:AS)</f>
        <v>0</v>
      </c>
      <c r="D73" s="3466">
        <f ca="1">+SUMIF('PdI-crono_inv'!$D:$D,D62,'PdI-crono_inv'!$AS:$AS)</f>
        <v>0</v>
      </c>
      <c r="E73" s="3466">
        <f ca="1">+SUMIF('PdI-crono_inv'!$D:$D,E62,'PdI-crono_inv'!$AS:$AS)</f>
        <v>0</v>
      </c>
      <c r="F73" s="3466">
        <f ca="1">+SUMIF('PdI-crono_inv'!$D:$D,$F62,'PdI-crono_inv'!AS:AS)</f>
        <v>0</v>
      </c>
      <c r="G73" s="3466">
        <f ca="1">+SUMIF('PdI-crono_inv'!$D:$D,$G62,'PdI-crono_inv'!AS:AS)</f>
        <v>0</v>
      </c>
      <c r="H73" s="3466">
        <f ca="1">+SUMIF('PdI-crono_inv'!$D:$D,"M4a",'PdI-crono_inv'!AS:AS)+SUMIF('PdI-crono_inv'!$D:$D,"M4b",'PdI-crono_inv'!AS:AS)+SUMIF('PdI-crono_inv'!$D:$D,"M4c",'PdI-crono_inv'!AS:AS)</f>
        <v>0</v>
      </c>
      <c r="I73" s="3466">
        <f ca="1">+SUMIF('PdI-crono_inv'!$D:$D,$I62,'PdI-crono_inv'!AS:AS)</f>
        <v>0</v>
      </c>
      <c r="J73" s="3466">
        <f ca="1">+SUMIF('PdI-crono_inv'!$D:$D,$J62,'PdI-crono_inv'!AS:AS)</f>
        <v>0</v>
      </c>
      <c r="K73" s="3466">
        <f ca="1">+SUMIF('PdI-crono_inv'!$D:$D,$K62,'PdI-crono_inv'!AS:AS)</f>
        <v>0</v>
      </c>
    </row>
    <row r="74" spans="2:11" ht="27">
      <c r="B74" s="3482" t="s">
        <v>30690</v>
      </c>
      <c r="C74" s="1507" t="str">
        <f ca="1">+IFERROR(C72/(MAX(Dati_tecnici!$E$15,Dati_tecnici!$E$23,Dati_tecnici!$E$29)),"")</f>
        <v/>
      </c>
      <c r="D74" s="1507" t="str">
        <f ca="1">+IFERROR(D72/(MAX(Dati_tecnici!$E$15,Dati_tecnici!$E$23,Dati_tecnici!$E$29)),"")</f>
        <v/>
      </c>
      <c r="E74" s="1507" t="str">
        <f ca="1">+IFERROR(E72/(MAX(Dati_tecnici!$E$15,Dati_tecnici!$E$23,Dati_tecnici!$E$29)),"")</f>
        <v/>
      </c>
      <c r="F74" s="1507" t="str">
        <f ca="1">+IFERROR(F72/(MAX(Dati_tecnici!$E$15,Dati_tecnici!$E$23,Dati_tecnici!$E$29)),"")</f>
        <v/>
      </c>
      <c r="G74" s="1507" t="str">
        <f ca="1">+IFERROR(G72/(MAX(Dati_tecnici!$E$15,Dati_tecnici!$E$23,Dati_tecnici!$E$29)),"")</f>
        <v/>
      </c>
      <c r="H74" s="1507" t="str">
        <f ca="1">+IFERROR(H72/(MAX(Dati_tecnici!$E$15,Dati_tecnici!$E$23,Dati_tecnici!$E$29)),"")</f>
        <v/>
      </c>
      <c r="I74" s="1507" t="str">
        <f ca="1">+IFERROR(I72/(MAX(Dati_tecnici!$E$15,Dati_tecnici!$E$23,Dati_tecnici!$E$29)),"")</f>
        <v/>
      </c>
      <c r="J74" s="1507" t="str">
        <f ca="1">+IFERROR(J72/(MAX(Dati_tecnici!$E$15,Dati_tecnici!$E$23,Dati_tecnici!$E$29)),"")</f>
        <v/>
      </c>
      <c r="K74" s="1507" t="str">
        <f ca="1">+IFERROR(K72/(MAX(Dati_tecnici!$E$15,Dati_tecnici!$E$23,Dati_tecnici!$E$29)),"")</f>
        <v/>
      </c>
    </row>
    <row r="75" spans="2:11">
      <c r="B75" s="3456" t="s">
        <v>30691</v>
      </c>
      <c r="C75" s="3466">
        <f ca="1">+SUMIF('PdI-crono_inv'!$D:$D,"Preq1",'PdI-crono_inv'!AU:AU)+SUMIF('PdI-crono_inv'!$D:$D,"Preq2",'PdI-crono_inv'!AU:AU)+SUMIF('PdI-crono_inv'!$D:$D,"Preq3",'PdI-crono_inv'!AU:AU)+SUMIF('PdI-crono_inv'!$D:$D,"Preq4",'PdI-crono_inv'!AU:AU)</f>
        <v>0</v>
      </c>
      <c r="D75" s="3466">
        <f ca="1">+SUMIF('PdI-crono_inv'!$D:$D,D62,'PdI-crono_inv'!$AU:$AU)</f>
        <v>0</v>
      </c>
      <c r="E75" s="3466">
        <f ca="1">+SUMIF('PdI-crono_inv'!$D:$D,E62,'PdI-crono_inv'!$AU:$AU)</f>
        <v>0</v>
      </c>
      <c r="F75" s="3466">
        <f ca="1">+SUMIF('PdI-crono_inv'!$D:$D,$F62,'PdI-crono_inv'!AU:AU)</f>
        <v>0</v>
      </c>
      <c r="G75" s="3466">
        <f ca="1">+SUMIF('PdI-crono_inv'!$D:$D,$G62,'PdI-crono_inv'!AU:AU)</f>
        <v>0</v>
      </c>
      <c r="H75" s="3466">
        <f ca="1">+SUMIF('PdI-crono_inv'!$D:$D,"M4a",'PdI-crono_inv'!AU:AU)+SUMIF('PdI-crono_inv'!$D:$D,"M4b",'PdI-crono_inv'!AU:AU)+SUMIF('PdI-crono_inv'!$D:$D,"M4c",'PdI-crono_inv'!AU:AU)</f>
        <v>0</v>
      </c>
      <c r="I75" s="3466">
        <f ca="1">+SUMIF('PdI-crono_inv'!$D:$D,$I62,'PdI-crono_inv'!AU:AU)</f>
        <v>0</v>
      </c>
      <c r="J75" s="3466">
        <f ca="1">+SUMIF('PdI-crono_inv'!$D:$D,$J62,'PdI-crono_inv'!AU:AU)</f>
        <v>0</v>
      </c>
      <c r="K75" s="3466">
        <f ca="1">+SUMIF('PdI-crono_inv'!$D:$D,$K62,'PdI-crono_inv'!AU:AU)</f>
        <v>0</v>
      </c>
    </row>
    <row r="76" spans="2:11">
      <c r="B76" s="3481" t="s">
        <v>30692</v>
      </c>
      <c r="C76" s="3466">
        <f ca="1">+SUMIF('PdI-crono_inv'!$D:$D,"Preq1",'PdI-crono_inv'!AX:AX)+SUMIF('PdI-crono_inv'!$D:$D,"Preq2",'PdI-crono_inv'!AX:AX)+SUMIF('PdI-crono_inv'!$D:$D,"Preq3",'PdI-crono_inv'!AX:AX)+SUMIF('PdI-crono_inv'!$D:$D,"Preq4",'PdI-crono_inv'!AX:AX)</f>
        <v>0</v>
      </c>
      <c r="D76" s="3466">
        <f ca="1">+SUMIF('PdI-crono_inv'!$D:$D,D62,'PdI-crono_inv'!$AX:$AX)</f>
        <v>0</v>
      </c>
      <c r="E76" s="3466">
        <f ca="1">+SUMIF('PdI-crono_inv'!$D:$D,E62,'PdI-crono_inv'!$AX:$AX)</f>
        <v>0</v>
      </c>
      <c r="F76" s="3466">
        <f ca="1">+SUMIF('PdI-crono_inv'!$D:$D,$F62,'PdI-crono_inv'!AX:AX)</f>
        <v>0</v>
      </c>
      <c r="G76" s="3466">
        <f ca="1">+SUMIF('PdI-crono_inv'!$D:$D,$G62,'PdI-crono_inv'!AX:AX)</f>
        <v>0</v>
      </c>
      <c r="H76" s="3466">
        <f ca="1">+SUMIF('PdI-crono_inv'!$D:$D,"M4a",'PdI-crono_inv'!AX:AX)+SUMIF('PdI-crono_inv'!$D:$D,"M4b",'PdI-crono_inv'!AX:AX)+SUMIF('PdI-crono_inv'!$D:$D,"M4c",'PdI-crono_inv'!AX:AX)</f>
        <v>0</v>
      </c>
      <c r="I76" s="3466">
        <f ca="1">+SUMIF('PdI-crono_inv'!$D:$D,$I62,'PdI-crono_inv'!AX:AX)</f>
        <v>0</v>
      </c>
      <c r="J76" s="3466">
        <f ca="1">+SUMIF('PdI-crono_inv'!$D:$D,$J62,'PdI-crono_inv'!AX:AX)</f>
        <v>0</v>
      </c>
      <c r="K76" s="3466">
        <f ca="1">+SUMIF('PdI-crono_inv'!$D:$D,$K62,'PdI-crono_inv'!AX:AX)</f>
        <v>0</v>
      </c>
    </row>
    <row r="77" spans="2:11" ht="27">
      <c r="B77" s="3482" t="s">
        <v>30693</v>
      </c>
      <c r="C77" s="1507" t="str">
        <f ca="1">+IFERROR(C75/(MAX(Dati_tecnici!$E$15,Dati_tecnici!$E$23,Dati_tecnici!$E$29)),"")</f>
        <v/>
      </c>
      <c r="D77" s="1507" t="str">
        <f ca="1">+IFERROR(D75/(MAX(Dati_tecnici!$E$15,Dati_tecnici!$E$23,Dati_tecnici!$E$29)),"")</f>
        <v/>
      </c>
      <c r="E77" s="1507" t="str">
        <f ca="1">+IFERROR(E75/(MAX(Dati_tecnici!$E$15,Dati_tecnici!$E$23,Dati_tecnici!$E$29)),"")</f>
        <v/>
      </c>
      <c r="F77" s="1507" t="str">
        <f ca="1">+IFERROR(F75/(MAX(Dati_tecnici!$E$15,Dati_tecnici!$E$23,Dati_tecnici!$E$29)),"")</f>
        <v/>
      </c>
      <c r="G77" s="1507" t="str">
        <f ca="1">+IFERROR(G75/(MAX(Dati_tecnici!$E$15,Dati_tecnici!$E$23,Dati_tecnici!$E$29)),"")</f>
        <v/>
      </c>
      <c r="H77" s="1507" t="str">
        <f ca="1">+IFERROR(H75/(MAX(Dati_tecnici!$E$15,Dati_tecnici!$E$23,Dati_tecnici!$E$29)),"")</f>
        <v/>
      </c>
      <c r="I77" s="1507" t="str">
        <f ca="1">+IFERROR(I75/(MAX(Dati_tecnici!$E$15,Dati_tecnici!$E$23,Dati_tecnici!$E$29)),"")</f>
        <v/>
      </c>
      <c r="J77" s="1507" t="str">
        <f ca="1">+IFERROR(J75/(MAX(Dati_tecnici!$E$15,Dati_tecnici!$E$23,Dati_tecnici!$E$29)),"")</f>
        <v/>
      </c>
      <c r="K77" s="1507" t="str">
        <f ca="1">+IFERROR(K75/(MAX(Dati_tecnici!$E$15,Dati_tecnici!$E$23,Dati_tecnici!$E$29)),"")</f>
        <v/>
      </c>
    </row>
    <row r="78" spans="2:11">
      <c r="B78" s="3456" t="s">
        <v>30694</v>
      </c>
      <c r="C78" s="3466">
        <f ca="1">+SUMIF('PdI-crono_inv'!$D:$D,"Preq1",'PdI-crono_inv'!AZ:AZ)+SUMIF('PdI-crono_inv'!$D:$D,"Preq2",'PdI-crono_inv'!AZ:AZ)+SUMIF('PdI-crono_inv'!$D:$D,"Preq3",'PdI-crono_inv'!AZ:AZ)+SUMIF('PdI-crono_inv'!$D:$D,"Preq4",'PdI-crono_inv'!AZ:AZ)</f>
        <v>0</v>
      </c>
      <c r="D78" s="3466">
        <f ca="1">+SUMIF('PdI-crono_inv'!$D:$D,D62,'PdI-crono_inv'!$AZ:$AZ)</f>
        <v>0</v>
      </c>
      <c r="E78" s="3466">
        <f ca="1">+SUMIF('PdI-crono_inv'!$D:$D,E62,'PdI-crono_inv'!$AZ:$AZ)</f>
        <v>0</v>
      </c>
      <c r="F78" s="3466">
        <f ca="1">+SUMIF('PdI-crono_inv'!$D:$D,$F62,'PdI-crono_inv'!AZ:AZ)</f>
        <v>0</v>
      </c>
      <c r="G78" s="3466">
        <f ca="1">+SUMIF('PdI-crono_inv'!$D:$D,$G62,'PdI-crono_inv'!AZ:AZ)</f>
        <v>0</v>
      </c>
      <c r="H78" s="3466">
        <f ca="1">+SUMIF('PdI-crono_inv'!$D:$D,"M4a",'PdI-crono_inv'!AZ:AZ)+SUMIF('PdI-crono_inv'!$D:$D,"M4b",'PdI-crono_inv'!AZ:AZ)+SUMIF('PdI-crono_inv'!$D:$D,"M4c",'PdI-crono_inv'!AZ:AZ)</f>
        <v>0</v>
      </c>
      <c r="I78" s="3466">
        <f ca="1">+SUMIF('PdI-crono_inv'!$D:$D,$I62,'PdI-crono_inv'!AZ:AZ)</f>
        <v>0</v>
      </c>
      <c r="J78" s="3466">
        <f ca="1">+SUMIF('PdI-crono_inv'!$D:$D,$J62,'PdI-crono_inv'!AZ:AZ)</f>
        <v>0</v>
      </c>
      <c r="K78" s="3466">
        <f ca="1">+SUMIF('PdI-crono_inv'!$D:$D,$K62,'PdI-crono_inv'!AZ:AZ)</f>
        <v>0</v>
      </c>
    </row>
    <row r="79" spans="2:11">
      <c r="B79" s="3481" t="s">
        <v>30695</v>
      </c>
      <c r="C79" s="3466">
        <f ca="1">+SUMIF('PdI-crono_inv'!$D:$D,"Preq1",'PdI-crono_inv'!BC:BC)+SUMIF('PdI-crono_inv'!$D:$D,"Preq2",'PdI-crono_inv'!BC:BC)+SUMIF('PdI-crono_inv'!$D:$D,"Preq3",'PdI-crono_inv'!BC:BC)+SUMIF('PdI-crono_inv'!$D:$D,"Preq4",'PdI-crono_inv'!BC:BC)</f>
        <v>0</v>
      </c>
      <c r="D79" s="3466">
        <f ca="1">+SUMIF('PdI-crono_inv'!$D:$D,D62,'PdI-crono_inv'!$BC:$BC)</f>
        <v>0</v>
      </c>
      <c r="E79" s="3466">
        <f ca="1">+SUMIF('PdI-crono_inv'!$D:$D,E62,'PdI-crono_inv'!$BC:$BC)</f>
        <v>0</v>
      </c>
      <c r="F79" s="3466">
        <f ca="1">+SUMIF('PdI-crono_inv'!$D:$D,$F62,'PdI-crono_inv'!BC:BC)</f>
        <v>0</v>
      </c>
      <c r="G79" s="3466">
        <f ca="1">+SUMIF('PdI-crono_inv'!$D:$D,$G62,'PdI-crono_inv'!BC:BC)</f>
        <v>0</v>
      </c>
      <c r="H79" s="3466">
        <f ca="1">+SUMIF('PdI-crono_inv'!$D:$D,"M4a",'PdI-crono_inv'!BC:BC)+SUMIF('PdI-crono_inv'!$D:$D,"M4b",'PdI-crono_inv'!BC:BC)+SUMIF('PdI-crono_inv'!$D:$D,"M4c",'PdI-crono_inv'!BC:BC)</f>
        <v>0</v>
      </c>
      <c r="I79" s="3466">
        <f ca="1">+SUMIF('PdI-crono_inv'!$D:$D,$I62,'PdI-crono_inv'!BC:BC)</f>
        <v>0</v>
      </c>
      <c r="J79" s="3466">
        <f ca="1">+SUMIF('PdI-crono_inv'!$D:$D,$J62,'PdI-crono_inv'!BC:BC)</f>
        <v>0</v>
      </c>
      <c r="K79" s="3466">
        <f ca="1">+SUMIF('PdI-crono_inv'!$D:$D,$K62,'PdI-crono_inv'!BC:BC)</f>
        <v>0</v>
      </c>
    </row>
    <row r="80" spans="2:11" ht="27">
      <c r="B80" s="3482" t="s">
        <v>30696</v>
      </c>
      <c r="C80" s="1507" t="str">
        <f ca="1">+IFERROR(C78/(MAX(Dati_tecnici!$E$15,Dati_tecnici!$E$23,Dati_tecnici!$E$29)),"")</f>
        <v/>
      </c>
      <c r="D80" s="1507" t="str">
        <f ca="1">+IFERROR(D78/(MAX(Dati_tecnici!$E$15,Dati_tecnici!$E$23,Dati_tecnici!$E$29)),"")</f>
        <v/>
      </c>
      <c r="E80" s="1507" t="str">
        <f ca="1">+IFERROR(E78/(MAX(Dati_tecnici!$E$15,Dati_tecnici!$E$23,Dati_tecnici!$E$29)),"")</f>
        <v/>
      </c>
      <c r="F80" s="1507" t="str">
        <f ca="1">+IFERROR(F78/(MAX(Dati_tecnici!$E$15,Dati_tecnici!$E$23,Dati_tecnici!$E$29)),"")</f>
        <v/>
      </c>
      <c r="G80" s="1507" t="str">
        <f ca="1">+IFERROR(G78/(MAX(Dati_tecnici!$E$15,Dati_tecnici!$E$23,Dati_tecnici!$E$29)),"")</f>
        <v/>
      </c>
      <c r="H80" s="1507" t="str">
        <f ca="1">+IFERROR(H78/(MAX(Dati_tecnici!$E$15,Dati_tecnici!$E$23,Dati_tecnici!$E$29)),"")</f>
        <v/>
      </c>
      <c r="I80" s="1507" t="str">
        <f ca="1">+IFERROR(I78/(MAX(Dati_tecnici!$E$15,Dati_tecnici!$E$23,Dati_tecnici!$E$29)),"")</f>
        <v/>
      </c>
      <c r="J80" s="1507" t="str">
        <f ca="1">+IFERROR(J78/(MAX(Dati_tecnici!$E$15,Dati_tecnici!$E$23,Dati_tecnici!$E$29)),"")</f>
        <v/>
      </c>
      <c r="K80" s="1507" t="str">
        <f ca="1">+IFERROR(K78/(MAX(Dati_tecnici!$E$15,Dati_tecnici!$E$23,Dati_tecnici!$E$29)),"")</f>
        <v/>
      </c>
    </row>
    <row r="81" spans="2:11">
      <c r="B81" s="3456" t="s">
        <v>30697</v>
      </c>
      <c r="C81" s="3466">
        <f ca="1">+SUMIF('PdI-crono_inv'!$D:$D,"Preq1",'PdI-crono_inv'!BE:BE)+SUMIF('PdI-crono_inv'!$D:$D,"Preq2",'PdI-crono_inv'!BE:BE)+SUMIF('PdI-crono_inv'!$D:$D,"Preq3",'PdI-crono_inv'!BE:BE)+SUMIF('PdI-crono_inv'!$D:$D,"Preq4",'PdI-crono_inv'!BE:BE)</f>
        <v>0</v>
      </c>
      <c r="D81" s="3466">
        <f ca="1">+SUMIF('PdI-crono_inv'!$D:$D,D62,'PdI-crono_inv'!$BE:$BE)</f>
        <v>0</v>
      </c>
      <c r="E81" s="3466">
        <f ca="1">+SUMIF('PdI-crono_inv'!$D:$D,E62,'PdI-crono_inv'!$BE:$BE)</f>
        <v>0</v>
      </c>
      <c r="F81" s="3466">
        <f ca="1">+SUMIF('PdI-crono_inv'!$D:$D,$F62,'PdI-crono_inv'!BE:BE)</f>
        <v>0</v>
      </c>
      <c r="G81" s="3466">
        <f ca="1">+SUMIF('PdI-crono_inv'!$D:$D,$G62,'PdI-crono_inv'!BE:BE)</f>
        <v>0</v>
      </c>
      <c r="H81" s="3466">
        <f ca="1">+SUMIF('PdI-crono_inv'!$D:$D,"M4a",'PdI-crono_inv'!BE:BE)+SUMIF('PdI-crono_inv'!$D:$D,"M4b",'PdI-crono_inv'!BE:BE)+SUMIF('PdI-crono_inv'!$D:$D,"M4c",'PdI-crono_inv'!BE:BE)</f>
        <v>0</v>
      </c>
      <c r="I81" s="3466">
        <f ca="1">+SUMIF('PdI-crono_inv'!$D:$D,$I62,'PdI-crono_inv'!BE:BE)</f>
        <v>0</v>
      </c>
      <c r="J81" s="3466">
        <f ca="1">+SUMIF('PdI-crono_inv'!$D:$D,$J62,'PdI-crono_inv'!BE:BE)</f>
        <v>0</v>
      </c>
      <c r="K81" s="3466">
        <f ca="1">+SUMIF('PdI-crono_inv'!$D:$D,$K62,'PdI-crono_inv'!BE:BE)</f>
        <v>0</v>
      </c>
    </row>
    <row r="82" spans="2:11">
      <c r="B82" s="3481" t="s">
        <v>30698</v>
      </c>
      <c r="C82" s="3466">
        <f ca="1">+SUMIF('PdI-crono_inv'!$D:$D,"Preq1",'PdI-crono_inv'!BH:BH)+SUMIF('PdI-crono_inv'!$D:$D,"Preq2",'PdI-crono_inv'!BH:BH)+SUMIF('PdI-crono_inv'!$D:$D,"Preq3",'PdI-crono_inv'!BH:BH)+SUMIF('PdI-crono_inv'!$D:$D,"Preq4",'PdI-crono_inv'!BH:BH)</f>
        <v>0</v>
      </c>
      <c r="D82" s="3466">
        <f ca="1">+SUMIF('PdI-crono_inv'!$D:$D,D62,'PdI-crono_inv'!$BH:$BH)</f>
        <v>0</v>
      </c>
      <c r="E82" s="3466">
        <f ca="1">+SUMIF('PdI-crono_inv'!$D:$D,E62,'PdI-crono_inv'!$BH:$BH)</f>
        <v>0</v>
      </c>
      <c r="F82" s="3466">
        <f ca="1">+SUMIF('PdI-crono_inv'!$D:$D,$F62,'PdI-crono_inv'!BH:BH)</f>
        <v>0</v>
      </c>
      <c r="G82" s="3466">
        <f ca="1">+SUMIF('PdI-crono_inv'!$D:$D,$G62,'PdI-crono_inv'!BH:BH)</f>
        <v>0</v>
      </c>
      <c r="H82" s="3466">
        <f ca="1">+SUMIF('PdI-crono_inv'!$D:$D,"M4a",'PdI-crono_inv'!BH:BH)+SUMIF('PdI-crono_inv'!$D:$D,"M4b",'PdI-crono_inv'!BH:BH)+SUMIF('PdI-crono_inv'!$D:$D,"M4c",'PdI-crono_inv'!BH:BH)</f>
        <v>0</v>
      </c>
      <c r="I82" s="3466">
        <f ca="1">+SUMIF('PdI-crono_inv'!$D:$D,$I62,'PdI-crono_inv'!BH:BH)</f>
        <v>0</v>
      </c>
      <c r="J82" s="3466">
        <f ca="1">+SUMIF('PdI-crono_inv'!$D:$D,$J62,'PdI-crono_inv'!BH:BH)</f>
        <v>0</v>
      </c>
      <c r="K82" s="3466">
        <f ca="1">+SUMIF('PdI-crono_inv'!$D:$D,$K62,'PdI-crono_inv'!BH:BH)</f>
        <v>0</v>
      </c>
    </row>
    <row r="83" spans="2:11" ht="27">
      <c r="B83" s="3482" t="s">
        <v>30699</v>
      </c>
      <c r="C83" s="1507" t="str">
        <f ca="1">+IFERROR(C81/(MAX(Dati_tecnici!$E$15,Dati_tecnici!$E$23,Dati_tecnici!$E$29)),"")</f>
        <v/>
      </c>
      <c r="D83" s="1507" t="str">
        <f ca="1">+IFERROR(D81/(MAX(Dati_tecnici!$E$15,Dati_tecnici!$E$23,Dati_tecnici!$E$29)),"")</f>
        <v/>
      </c>
      <c r="E83" s="1507" t="str">
        <f ca="1">+IFERROR(E81/(MAX(Dati_tecnici!$E$15,Dati_tecnici!$E$23,Dati_tecnici!$E$29)),"")</f>
        <v/>
      </c>
      <c r="F83" s="1507" t="str">
        <f ca="1">+IFERROR(F81/(MAX(Dati_tecnici!$E$15,Dati_tecnici!$E$23,Dati_tecnici!$E$29)),"")</f>
        <v/>
      </c>
      <c r="G83" s="1507" t="str">
        <f ca="1">+IFERROR(G81/(MAX(Dati_tecnici!$E$15,Dati_tecnici!$E$23,Dati_tecnici!$E$29)),"")</f>
        <v/>
      </c>
      <c r="H83" s="1507" t="str">
        <f ca="1">+IFERROR(H81/(MAX(Dati_tecnici!$E$15,Dati_tecnici!$E$23,Dati_tecnici!$E$29)),"")</f>
        <v/>
      </c>
      <c r="I83" s="1507" t="str">
        <f ca="1">+IFERROR(I81/(MAX(Dati_tecnici!$E$15,Dati_tecnici!$E$23,Dati_tecnici!$E$29)),"")</f>
        <v/>
      </c>
      <c r="J83" s="1507" t="str">
        <f ca="1">+IFERROR(J81/(MAX(Dati_tecnici!$E$15,Dati_tecnici!$E$23,Dati_tecnici!$E$29)),"")</f>
        <v/>
      </c>
      <c r="K83" s="1507" t="str">
        <f ca="1">+IFERROR(K81/(MAX(Dati_tecnici!$E$15,Dati_tecnici!$E$23,Dati_tecnici!$E$29)),"")</f>
        <v/>
      </c>
    </row>
    <row r="84" spans="2:11">
      <c r="B84" s="3456" t="s">
        <v>30700</v>
      </c>
      <c r="C84" s="3466">
        <f ca="1">+SUMIF('PdI-crono_inv'!$D:$D,"Preq1",'PdI-crono_inv'!BJ:BJ)+SUMIF('PdI-crono_inv'!$D:$D,"Preq2",'PdI-crono_inv'!BJ:BJ)+SUMIF('PdI-crono_inv'!$D:$D,"Preq3",'PdI-crono_inv'!BJ:BJ)+SUMIF('PdI-crono_inv'!$D:$D,"Preq4",'PdI-crono_inv'!BJ:BJ)</f>
        <v>0</v>
      </c>
      <c r="D84" s="3466">
        <f ca="1">+SUMIF('PdI-crono_inv'!$D:$D,D62,'PdI-crono_inv'!$BJ:$BJ)</f>
        <v>0</v>
      </c>
      <c r="E84" s="3466">
        <f ca="1">+SUMIF('PdI-crono_inv'!$D:$D,E62,'PdI-crono_inv'!$BJ:$BJ)</f>
        <v>0</v>
      </c>
      <c r="F84" s="3466">
        <f ca="1">+SUMIF('PdI-crono_inv'!$D:$D,$F62,'PdI-crono_inv'!BJ:BJ)</f>
        <v>0</v>
      </c>
      <c r="G84" s="3466">
        <f ca="1">+SUMIF('PdI-crono_inv'!$D:$D,$G62,'PdI-crono_inv'!BJ:BJ)</f>
        <v>0</v>
      </c>
      <c r="H84" s="3466">
        <f ca="1">+SUMIF('PdI-crono_inv'!$D:$D,"M4a",'PdI-crono_inv'!BJ:BJ)+SUMIF('PdI-crono_inv'!$D:$D,"M4b",'PdI-crono_inv'!BJ:BJ)+SUMIF('PdI-crono_inv'!$D:$D,"M4c",'PdI-crono_inv'!BJ:BJ)</f>
        <v>0</v>
      </c>
      <c r="I84" s="3466">
        <f ca="1">+SUMIF('PdI-crono_inv'!$D:$D,$I62,'PdI-crono_inv'!BJ:BJ)</f>
        <v>0</v>
      </c>
      <c r="J84" s="3466">
        <f ca="1">+SUMIF('PdI-crono_inv'!$D:$D,$J62,'PdI-crono_inv'!BJ:BJ)</f>
        <v>0</v>
      </c>
      <c r="K84" s="3466">
        <f ca="1">+SUMIF('PdI-crono_inv'!$D:$D,$K62,'PdI-crono_inv'!BJ:BJ)</f>
        <v>0</v>
      </c>
    </row>
    <row r="85" spans="2:11">
      <c r="B85" s="3481" t="s">
        <v>30701</v>
      </c>
      <c r="C85" s="3466">
        <f ca="1">+SUMIF('PdI-crono_inv'!$D:$D,"Preq1",'PdI-crono_inv'!BM:BM)+SUMIF('PdI-crono_inv'!$D:$D,"Preq2",'PdI-crono_inv'!BM:BM)+SUMIF('PdI-crono_inv'!$D:$D,"Preq3",'PdI-crono_inv'!BM:BM)+SUMIF('PdI-crono_inv'!$D:$D,"Preq4",'PdI-crono_inv'!BM:BM)</f>
        <v>0</v>
      </c>
      <c r="D85" s="3466">
        <f ca="1">+SUMIF('PdI-crono_inv'!$D:$D,D62,'PdI-crono_inv'!$BM:$BM)</f>
        <v>0</v>
      </c>
      <c r="E85" s="3466">
        <f ca="1">+SUMIF('PdI-crono_inv'!$D:$D,E62,'PdI-crono_inv'!$BM:$BM)</f>
        <v>0</v>
      </c>
      <c r="F85" s="3466">
        <f ca="1">+SUMIF('PdI-crono_inv'!$D:$D,$F62,'PdI-crono_inv'!BM:BM)</f>
        <v>0</v>
      </c>
      <c r="G85" s="3466">
        <f ca="1">+SUMIF('PdI-crono_inv'!$D:$D,$G62,'PdI-crono_inv'!BM:BM)</f>
        <v>0</v>
      </c>
      <c r="H85" s="3466">
        <f ca="1">+SUMIF('PdI-crono_inv'!$D:$D,"M4a",'PdI-crono_inv'!BM:BM)+SUMIF('PdI-crono_inv'!$D:$D,"M4b",'PdI-crono_inv'!BM:BM)+SUMIF('PdI-crono_inv'!$D:$D,"M4c",'PdI-crono_inv'!BM:BM)</f>
        <v>0</v>
      </c>
      <c r="I85" s="3466">
        <f ca="1">+SUMIF('PdI-crono_inv'!$D:$D,$I62,'PdI-crono_inv'!BM:BM)</f>
        <v>0</v>
      </c>
      <c r="J85" s="3466">
        <f ca="1">+SUMIF('PdI-crono_inv'!$D:$D,$J62,'PdI-crono_inv'!BM:BM)</f>
        <v>0</v>
      </c>
      <c r="K85" s="3466">
        <f ca="1">+SUMIF('PdI-crono_inv'!$D:$D,$K62,'PdI-crono_inv'!BM:BM)</f>
        <v>0</v>
      </c>
    </row>
    <row r="86" spans="2:11" ht="27">
      <c r="B86" s="3482" t="s">
        <v>30702</v>
      </c>
      <c r="C86" s="1507" t="str">
        <f ca="1">+IFERROR(C84/(MAX(Dati_tecnici!$E$15,Dati_tecnici!$E$23,Dati_tecnici!$E$29)),"")</f>
        <v/>
      </c>
      <c r="D86" s="1507" t="str">
        <f ca="1">+IFERROR(D84/(MAX(Dati_tecnici!$E$15,Dati_tecnici!$E$23,Dati_tecnici!$E$29)),"")</f>
        <v/>
      </c>
      <c r="E86" s="1507" t="str">
        <f ca="1">+IFERROR(E84/(MAX(Dati_tecnici!$E$15,Dati_tecnici!$E$23,Dati_tecnici!$E$29)),"")</f>
        <v/>
      </c>
      <c r="F86" s="1507" t="str">
        <f ca="1">+IFERROR(F84/(MAX(Dati_tecnici!$E$15,Dati_tecnici!$E$23,Dati_tecnici!$E$29)),"")</f>
        <v/>
      </c>
      <c r="G86" s="1507" t="str">
        <f ca="1">+IFERROR(G84/(MAX(Dati_tecnici!$E$15,Dati_tecnici!$E$23,Dati_tecnici!$E$29)),"")</f>
        <v/>
      </c>
      <c r="H86" s="1507" t="str">
        <f ca="1">+IFERROR(H84/(MAX(Dati_tecnici!$E$15,Dati_tecnici!$E$23,Dati_tecnici!$E$29)),"")</f>
        <v/>
      </c>
      <c r="I86" s="1507" t="str">
        <f ca="1">+IFERROR(I84/(MAX(Dati_tecnici!$E$15,Dati_tecnici!$E$23,Dati_tecnici!$E$29)),"")</f>
        <v/>
      </c>
      <c r="J86" s="1507" t="str">
        <f ca="1">+IFERROR(J84/(MAX(Dati_tecnici!$E$15,Dati_tecnici!$E$23,Dati_tecnici!$E$29)),"")</f>
        <v/>
      </c>
      <c r="K86" s="1507" t="str">
        <f ca="1">+IFERROR(K84/(MAX(Dati_tecnici!$E$15,Dati_tecnici!$E$23,Dati_tecnici!$E$29)),"")</f>
        <v/>
      </c>
    </row>
    <row r="89" spans="2:11">
      <c r="B89" s="1506" t="s">
        <v>28870</v>
      </c>
      <c r="C89" s="3453" t="s">
        <v>26953</v>
      </c>
      <c r="D89" s="3453" t="s">
        <v>26955</v>
      </c>
    </row>
    <row r="90" spans="2:11" hidden="1">
      <c r="B90" s="3456"/>
      <c r="C90" s="3458"/>
      <c r="D90" s="3458"/>
    </row>
    <row r="91" spans="2:11" hidden="1">
      <c r="B91" s="3481"/>
      <c r="C91" s="3458"/>
      <c r="D91" s="3458"/>
    </row>
    <row r="92" spans="2:11" hidden="1">
      <c r="B92" s="3482"/>
      <c r="C92" s="3458"/>
      <c r="D92" s="3458"/>
    </row>
    <row r="93" spans="2:11" hidden="1">
      <c r="B93" s="3456"/>
      <c r="C93" s="3458"/>
      <c r="D93" s="3458"/>
    </row>
    <row r="94" spans="2:11" hidden="1">
      <c r="B94" s="3481"/>
      <c r="C94" s="3458"/>
      <c r="D94" s="3458"/>
    </row>
    <row r="95" spans="2:11" hidden="1">
      <c r="B95" s="3482"/>
      <c r="C95" s="3458"/>
      <c r="D95" s="3458"/>
    </row>
    <row r="96" spans="2:11">
      <c r="B96" s="3456" t="s">
        <v>31520</v>
      </c>
      <c r="C96" s="3466">
        <f ca="1">+SUMIF('PdI-crono_inv'!$D:$D,$C89,'PdI-crono_inv'!$AK:$AK)</f>
        <v>0</v>
      </c>
      <c r="D96" s="3466">
        <f ca="1">+SUMIF('PdI-crono_inv'!$D:$D,$D89,'PdI-crono_inv'!$AK:$AK)</f>
        <v>0</v>
      </c>
    </row>
    <row r="97" spans="2:4">
      <c r="B97" s="3481" t="s">
        <v>31521</v>
      </c>
      <c r="C97" s="3466">
        <f ca="1">+SUMIF('PdI-crono_inv'!$D:$D,$C89,'PdI-crono_inv'!$AN:$AN)</f>
        <v>0</v>
      </c>
      <c r="D97" s="3466">
        <f ca="1">+SUMIF('PdI-crono_inv'!$D:$D,$D89,'PdI-crono_inv'!$AN:$AN)</f>
        <v>0</v>
      </c>
    </row>
    <row r="98" spans="2:4" ht="27">
      <c r="B98" s="3482" t="s">
        <v>30689</v>
      </c>
      <c r="C98" s="1507" t="str">
        <f ca="1">+IFERROR(C96/(MAX(Dati_tecnici!$E$15,Dati_tecnici!$E$23,Dati_tecnici!$E$29)),"")</f>
        <v/>
      </c>
      <c r="D98" s="1507" t="str">
        <f ca="1">+IFERROR(D96/(MAX(Dati_tecnici!$E$15,Dati_tecnici!$E$23,Dati_tecnici!$E$29)),"")</f>
        <v/>
      </c>
    </row>
    <row r="99" spans="2:4">
      <c r="B99" s="3456" t="s">
        <v>31522</v>
      </c>
      <c r="C99" s="3466">
        <f ca="1">+SUMIF('PdI-crono_inv'!$D:$D,$C89,'PdI-crono_inv'!$AP:$AP)</f>
        <v>0</v>
      </c>
      <c r="D99" s="3466">
        <f ca="1">+SUMIF('PdI-crono_inv'!$D:$D,$D89,'PdI-crono_inv'!$AP:$AP)</f>
        <v>0</v>
      </c>
    </row>
    <row r="100" spans="2:4">
      <c r="B100" s="3481" t="s">
        <v>31523</v>
      </c>
      <c r="C100" s="3466">
        <f ca="1">+SUMIF('PdI-crono_inv'!$D:$D,$C89,'PdI-crono_inv'!$AS:$AS)</f>
        <v>0</v>
      </c>
      <c r="D100" s="3466">
        <f ca="1">+SUMIF('PdI-crono_inv'!$D:$D,$D89,'PdI-crono_inv'!$AS:$AS)</f>
        <v>0</v>
      </c>
    </row>
    <row r="101" spans="2:4" ht="27">
      <c r="B101" s="3482" t="s">
        <v>30690</v>
      </c>
      <c r="C101" s="1507" t="str">
        <f ca="1">+IFERROR(C99/(MAX(Dati_tecnici!$E$15,Dati_tecnici!$E$23,Dati_tecnici!$E$29)),"")</f>
        <v/>
      </c>
      <c r="D101" s="1507" t="str">
        <f ca="1">+IFERROR(D99/(MAX(Dati_tecnici!$E$15,Dati_tecnici!$E$23,Dati_tecnici!$E$29)),"")</f>
        <v/>
      </c>
    </row>
    <row r="102" spans="2:4">
      <c r="B102" s="3456" t="s">
        <v>30691</v>
      </c>
      <c r="C102" s="3466">
        <f ca="1">+SUMIF('PdI-crono_inv'!$D:$D,$C89,'PdI-crono_inv'!$AU:$AU)</f>
        <v>0</v>
      </c>
      <c r="D102" s="3466">
        <f ca="1">+SUMIF('PdI-crono_inv'!$D:$D,$D89,'PdI-crono_inv'!AU:AU)</f>
        <v>0</v>
      </c>
    </row>
    <row r="103" spans="2:4">
      <c r="B103" s="3481" t="s">
        <v>30692</v>
      </c>
      <c r="C103" s="3466">
        <f ca="1">+SUMIF('PdI-crono_inv'!$D:$D,$C89,'PdI-crono_inv'!$AX:$AX)</f>
        <v>0</v>
      </c>
      <c r="D103" s="3466">
        <f ca="1">+SUMIF('PdI-crono_inv'!$D:$D,$D89,'PdI-crono_inv'!AX:AX)</f>
        <v>0</v>
      </c>
    </row>
    <row r="104" spans="2:4" ht="27">
      <c r="B104" s="3482" t="s">
        <v>30693</v>
      </c>
      <c r="C104" s="1507" t="str">
        <f ca="1">+IFERROR(C102/(MAX(Dati_tecnici!$E$15,Dati_tecnici!$E$23,Dati_tecnici!$E$29)),"")</f>
        <v/>
      </c>
      <c r="D104" s="1507" t="str">
        <f ca="1">+IFERROR(D102/(MAX(Dati_tecnici!$E$15,Dati_tecnici!$E$23,Dati_tecnici!$E$29)),"")</f>
        <v/>
      </c>
    </row>
    <row r="105" spans="2:4">
      <c r="B105" s="3456" t="s">
        <v>30694</v>
      </c>
      <c r="C105" s="3466">
        <f ca="1">+SUMIF('PdI-crono_inv'!$D:$D,$C89,'PdI-crono_inv'!$AZ:$AZ)</f>
        <v>0</v>
      </c>
      <c r="D105" s="3466">
        <f ca="1">+SUMIF('PdI-crono_inv'!$D:$D,$D89,'PdI-crono_inv'!AZ:AZ)</f>
        <v>0</v>
      </c>
    </row>
    <row r="106" spans="2:4">
      <c r="B106" s="3481" t="s">
        <v>30695</v>
      </c>
      <c r="C106" s="3466">
        <f ca="1">+SUMIF('PdI-crono_inv'!$D:$D,$C89,'PdI-crono_inv'!$BC:$BC)</f>
        <v>0</v>
      </c>
      <c r="D106" s="3466">
        <f ca="1">+SUMIF('PdI-crono_inv'!$D:$D,$D89,'PdI-crono_inv'!BC:BC)</f>
        <v>0</v>
      </c>
    </row>
    <row r="107" spans="2:4" ht="27">
      <c r="B107" s="3482" t="s">
        <v>30696</v>
      </c>
      <c r="C107" s="1507" t="str">
        <f ca="1">+IFERROR(C105/(MAX(Dati_tecnici!$E$15,Dati_tecnici!$E$23,Dati_tecnici!$E$29)),"")</f>
        <v/>
      </c>
      <c r="D107" s="1507" t="str">
        <f ca="1">+IFERROR(D105/(MAX(Dati_tecnici!$E$15,Dati_tecnici!$E$23,Dati_tecnici!$E$29)),"")</f>
        <v/>
      </c>
    </row>
    <row r="108" spans="2:4">
      <c r="B108" s="3456" t="s">
        <v>30697</v>
      </c>
      <c r="C108" s="3466">
        <f ca="1">+SUMIF('PdI-crono_inv'!$D:$D,$C89,'PdI-crono_inv'!$BE:$BE)</f>
        <v>0</v>
      </c>
      <c r="D108" s="3466">
        <f ca="1">+SUMIF('PdI-crono_inv'!$D:$D,$D89,'PdI-crono_inv'!BE:BE)</f>
        <v>0</v>
      </c>
    </row>
    <row r="109" spans="2:4">
      <c r="B109" s="3481" t="s">
        <v>30698</v>
      </c>
      <c r="C109" s="3466">
        <f ca="1">+SUMIF('PdI-crono_inv'!$D:$D,$C89,'PdI-crono_inv'!$BH:$BH)</f>
        <v>0</v>
      </c>
      <c r="D109" s="3466">
        <f ca="1">+SUMIF('PdI-crono_inv'!$D:$D,$D90,'PdI-crono_inv'!BH:BH)</f>
        <v>0</v>
      </c>
    </row>
    <row r="110" spans="2:4" ht="27">
      <c r="B110" s="3482" t="s">
        <v>30699</v>
      </c>
      <c r="C110" s="1507" t="str">
        <f ca="1">+IFERROR(C108/(MAX(Dati_tecnici!$E$15,Dati_tecnici!$E$23,Dati_tecnici!$E$29)),"")</f>
        <v/>
      </c>
      <c r="D110" s="1507" t="str">
        <f ca="1">+IFERROR(D108/(MAX(Dati_tecnici!$E$15,Dati_tecnici!$E$23,Dati_tecnici!$E$29)),"")</f>
        <v/>
      </c>
    </row>
    <row r="111" spans="2:4">
      <c r="B111" s="3456" t="s">
        <v>30700</v>
      </c>
      <c r="C111" s="3466">
        <f ca="1">+SUMIF('PdI-crono_inv'!$D:$D,$C89,'PdI-crono_inv'!$BJ:$BJ)</f>
        <v>0</v>
      </c>
      <c r="D111" s="3466">
        <f ca="1">+SUMIF('PdI-crono_inv'!$D:$D,$D89,'PdI-crono_inv'!BJ:BJ)</f>
        <v>0</v>
      </c>
    </row>
    <row r="112" spans="2:4">
      <c r="B112" s="3481" t="s">
        <v>30701</v>
      </c>
      <c r="C112" s="3466">
        <f ca="1">+SUMIF('PdI-crono_inv'!$D:$D,$C89,'PdI-crono_inv'!$BM:$BM)</f>
        <v>0</v>
      </c>
      <c r="D112" s="3466">
        <f ca="1">+SUMIF('PdI-crono_inv'!$D:$D,$D89,'PdI-crono_inv'!BM:BM)</f>
        <v>0</v>
      </c>
    </row>
    <row r="113" spans="2:17" ht="27">
      <c r="B113" s="3482" t="s">
        <v>30702</v>
      </c>
      <c r="C113" s="1507" t="str">
        <f ca="1">+IFERROR(C111/(MAX(Dati_tecnici!$E$15,Dati_tecnici!$E$23,Dati_tecnici!$E$29)),"")</f>
        <v/>
      </c>
      <c r="D113" s="1507" t="str">
        <f ca="1">+IFERROR(D111/(MAX(Dati_tecnici!$E$15,Dati_tecnici!$E$23,Dati_tecnici!$E$29)),"")</f>
        <v/>
      </c>
    </row>
    <row r="118" spans="2:17">
      <c r="B118" s="2420" t="s">
        <v>31333</v>
      </c>
    </row>
    <row r="119" spans="2:17">
      <c r="B119" s="3483" t="s">
        <v>31331</v>
      </c>
    </row>
    <row r="120" spans="2:17">
      <c r="B120" s="3484" t="s">
        <v>31332</v>
      </c>
    </row>
    <row r="122" spans="2:17">
      <c r="D122" s="3485"/>
      <c r="E122" s="3486"/>
      <c r="J122" s="3487"/>
    </row>
    <row r="123" spans="2:17" ht="48.6" customHeight="1">
      <c r="B123" s="1787" t="s">
        <v>30989</v>
      </c>
      <c r="C123" s="3488" t="s">
        <v>31383</v>
      </c>
      <c r="D123" s="3488" t="s">
        <v>31334</v>
      </c>
      <c r="E123" s="3488" t="s">
        <v>31384</v>
      </c>
      <c r="F123" s="3488" t="s">
        <v>31385</v>
      </c>
      <c r="G123" s="3488" t="s">
        <v>31386</v>
      </c>
      <c r="H123" s="3488" t="s">
        <v>31387</v>
      </c>
      <c r="I123" s="3488" t="s">
        <v>31388</v>
      </c>
      <c r="J123" s="3488" t="s">
        <v>31389</v>
      </c>
      <c r="K123" s="3488" t="s">
        <v>31390</v>
      </c>
      <c r="L123" s="3489" t="s">
        <v>31228</v>
      </c>
      <c r="M123" s="3489" t="s">
        <v>31180</v>
      </c>
      <c r="N123" s="3489" t="s">
        <v>31181</v>
      </c>
      <c r="O123" s="3489" t="s">
        <v>31182</v>
      </c>
      <c r="P123" s="3490" t="s">
        <v>30988</v>
      </c>
      <c r="Q123" s="3489" t="s">
        <v>31229</v>
      </c>
    </row>
    <row r="124" spans="2:17" ht="20.100000000000001" customHeight="1">
      <c r="B124" s="3491" t="s">
        <v>30981</v>
      </c>
      <c r="C124" s="2624">
        <f>+SUMIF('PdI-crono_inv'!$I:$I,"&lt;&gt;x",'PdI-crono_inv'!BA:BA)</f>
        <v>0</v>
      </c>
      <c r="D124" s="2622"/>
      <c r="E124" s="2624">
        <f>C124-D124</f>
        <v>0</v>
      </c>
      <c r="F124" s="3499"/>
      <c r="G124" s="3499"/>
      <c r="H124" s="3499"/>
      <c r="I124" s="3499"/>
      <c r="J124" s="3499"/>
      <c r="K124" s="3499"/>
      <c r="L124" s="2624">
        <f>E124</f>
        <v>0</v>
      </c>
      <c r="M124" s="2624">
        <f>E125-SUM(K125)</f>
        <v>0</v>
      </c>
      <c r="N124" s="2624">
        <f>+E126-SUM(J126:K126)</f>
        <v>0</v>
      </c>
      <c r="O124" s="2624">
        <f>+E127-SUM(I127:K127)</f>
        <v>0</v>
      </c>
      <c r="P124" s="3500">
        <f>+SUMPRODUCT(L124:O124,L$133:O$133)</f>
        <v>0</v>
      </c>
      <c r="Q124" s="2624">
        <f>+SUM(L124:O124)</f>
        <v>0</v>
      </c>
    </row>
    <row r="125" spans="2:17" ht="20.100000000000001" customHeight="1">
      <c r="B125" s="3493" t="s">
        <v>30982</v>
      </c>
      <c r="C125" s="2624">
        <f>+SUMIF('PdI-crono_inv'!$I:$I,"&lt;&gt;x",'PdI-crono_inv'!AV:AV)</f>
        <v>0</v>
      </c>
      <c r="D125" s="2622"/>
      <c r="E125" s="2624">
        <f t="shared" ref="E125:E128" si="5">C125-D125</f>
        <v>0</v>
      </c>
      <c r="F125" s="3499"/>
      <c r="G125" s="3499"/>
      <c r="H125" s="3499"/>
      <c r="I125" s="3499"/>
      <c r="J125" s="3499"/>
      <c r="K125" s="2622"/>
      <c r="L125" s="2624">
        <f t="shared" ref="L125:L127" si="6">E125</f>
        <v>0</v>
      </c>
      <c r="M125" s="2624">
        <f>+E126-SUM(J126)</f>
        <v>0</v>
      </c>
      <c r="N125" s="2624">
        <f>+E127-SUM(I127:J127)</f>
        <v>0</v>
      </c>
      <c r="O125" s="2624">
        <f>E128-SUM(H128:J128)</f>
        <v>0</v>
      </c>
      <c r="P125" s="3500">
        <f>+SUMPRODUCT(L125:O125,L$133:O$133)</f>
        <v>0</v>
      </c>
      <c r="Q125" s="2624">
        <f t="shared" ref="Q125:Q127" si="7">+SUM(L125:O125)</f>
        <v>0</v>
      </c>
    </row>
    <row r="126" spans="2:17" ht="20.100000000000001" customHeight="1">
      <c r="B126" s="3491" t="s">
        <v>30983</v>
      </c>
      <c r="C126" s="2624">
        <f>+SUMIF('PdI-crono_inv'!$I:$I,"&lt;&gt;x",'PdI-crono_inv'!AQ:AQ)</f>
        <v>0</v>
      </c>
      <c r="D126" s="2622"/>
      <c r="E126" s="2624">
        <f t="shared" si="5"/>
        <v>0</v>
      </c>
      <c r="F126" s="3499"/>
      <c r="G126" s="3499"/>
      <c r="H126" s="3499"/>
      <c r="I126" s="3499"/>
      <c r="J126" s="2622"/>
      <c r="K126" s="2622"/>
      <c r="L126" s="2624">
        <f t="shared" si="6"/>
        <v>0</v>
      </c>
      <c r="M126" s="2624">
        <f>+E127-SUM(I127)</f>
        <v>0</v>
      </c>
      <c r="N126" s="2624">
        <f>+E128-SUM(H128:I128)</f>
        <v>0</v>
      </c>
      <c r="O126" s="2624">
        <f>+E129-SUM(G129:I129)</f>
        <v>0</v>
      </c>
      <c r="P126" s="3500">
        <f>+SUMPRODUCT(L126:O126,L$133:O$133)</f>
        <v>0</v>
      </c>
      <c r="Q126" s="2624">
        <f t="shared" si="7"/>
        <v>0</v>
      </c>
    </row>
    <row r="127" spans="2:17" ht="20.100000000000001" customHeight="1">
      <c r="B127" s="3493" t="s">
        <v>30984</v>
      </c>
      <c r="C127" s="2624">
        <f>+SUMIF('PdI-crono_inv'!$I:$I,"&lt;&gt;x",'PdI-crono_inv'!AL:AL)</f>
        <v>0</v>
      </c>
      <c r="D127" s="2622"/>
      <c r="E127" s="2624">
        <f t="shared" si="5"/>
        <v>0</v>
      </c>
      <c r="F127" s="3499"/>
      <c r="G127" s="3499"/>
      <c r="H127" s="3499"/>
      <c r="I127" s="2622"/>
      <c r="J127" s="2622"/>
      <c r="K127" s="2622"/>
      <c r="L127" s="2624">
        <f t="shared" si="6"/>
        <v>0</v>
      </c>
      <c r="M127" s="2624">
        <f>E128-SUM(H128)</f>
        <v>0</v>
      </c>
      <c r="N127" s="2624">
        <f>E129-SUM(G129:H129)</f>
        <v>0</v>
      </c>
      <c r="O127" s="2624">
        <f>E130-SUM(F130:H130)</f>
        <v>0</v>
      </c>
      <c r="P127" s="3500">
        <f>+SUMPRODUCT(L127:O127,L$133:O$133)</f>
        <v>0</v>
      </c>
      <c r="Q127" s="2624">
        <f t="shared" si="7"/>
        <v>0</v>
      </c>
    </row>
    <row r="128" spans="2:17" ht="20.100000000000001" customHeight="1">
      <c r="B128" s="3491" t="s">
        <v>30985</v>
      </c>
      <c r="C128" s="2624">
        <f>+SUMIF('PdI-crono_inv'!$I:$I,"&lt;&gt;x",'PdI-crono_inv'!AG:AG)</f>
        <v>0</v>
      </c>
      <c r="D128" s="2622"/>
      <c r="E128" s="2624">
        <f t="shared" si="5"/>
        <v>0</v>
      </c>
      <c r="F128" s="3499"/>
      <c r="G128" s="3499"/>
      <c r="H128" s="2622"/>
      <c r="I128" s="2622"/>
      <c r="J128" s="2622"/>
      <c r="K128" s="2622"/>
      <c r="L128" s="3499"/>
      <c r="M128" s="3499"/>
      <c r="N128" s="3499"/>
      <c r="O128" s="3499"/>
      <c r="P128" s="3499"/>
      <c r="Q128" s="3499"/>
    </row>
    <row r="129" spans="2:17" ht="20.100000000000001" customHeight="1">
      <c r="B129" s="3493" t="s">
        <v>30986</v>
      </c>
      <c r="C129" s="3501"/>
      <c r="D129" s="3501"/>
      <c r="E129" s="3501"/>
      <c r="F129" s="3499"/>
      <c r="G129" s="2622"/>
      <c r="H129" s="2622"/>
      <c r="I129" s="2622"/>
      <c r="J129" s="2622"/>
      <c r="K129" s="2622"/>
      <c r="L129" s="3499"/>
      <c r="M129" s="3499"/>
      <c r="N129" s="3499"/>
      <c r="O129" s="3499"/>
      <c r="P129" s="3499"/>
      <c r="Q129" s="3499"/>
    </row>
    <row r="130" spans="2:17" ht="20.100000000000001" customHeight="1">
      <c r="B130" s="3491" t="s">
        <v>32817</v>
      </c>
      <c r="C130" s="3502"/>
      <c r="D130" s="3502"/>
      <c r="E130" s="3502"/>
      <c r="F130" s="2623"/>
      <c r="G130" s="2622"/>
      <c r="H130" s="2622"/>
      <c r="I130" s="2622"/>
      <c r="J130" s="2622"/>
      <c r="K130" s="2622"/>
      <c r="L130" s="3499"/>
      <c r="M130" s="3499"/>
      <c r="N130" s="3499"/>
      <c r="O130" s="3499"/>
      <c r="P130" s="3499"/>
      <c r="Q130" s="3499"/>
    </row>
    <row r="131" spans="2:17" ht="20.100000000000001" customHeight="1">
      <c r="B131" s="3493" t="s">
        <v>30987</v>
      </c>
      <c r="C131" s="3499"/>
      <c r="D131" s="3499"/>
      <c r="E131" s="3499"/>
      <c r="F131" s="3499"/>
      <c r="G131" s="3499"/>
      <c r="H131" s="3499"/>
      <c r="I131" s="3499"/>
      <c r="J131" s="3499"/>
      <c r="K131" s="3499"/>
      <c r="L131" s="3499"/>
      <c r="M131" s="3499"/>
      <c r="N131" s="3499"/>
      <c r="O131" s="3499"/>
      <c r="P131" s="3499"/>
      <c r="Q131" s="3499"/>
    </row>
    <row r="132" spans="2:17" ht="20.100000000000001" customHeight="1">
      <c r="B132" s="3491" t="s">
        <v>31336</v>
      </c>
      <c r="C132" s="3499"/>
      <c r="D132" s="3499"/>
      <c r="E132" s="3499"/>
      <c r="F132" s="3499"/>
      <c r="G132" s="3499"/>
      <c r="H132" s="3499"/>
      <c r="I132" s="3499"/>
      <c r="J132" s="3499"/>
      <c r="K132" s="3499"/>
      <c r="L132" s="3499"/>
      <c r="M132" s="3499"/>
      <c r="N132" s="3499"/>
      <c r="O132" s="3499"/>
      <c r="P132" s="3499"/>
      <c r="Q132" s="3499"/>
    </row>
    <row r="133" spans="2:17">
      <c r="B133" s="3494" t="str">
        <f>Capex!B63</f>
        <v>SLIC</v>
      </c>
      <c r="C133" s="3499"/>
      <c r="D133" s="3499"/>
      <c r="E133" s="3499"/>
      <c r="F133" s="3499"/>
      <c r="G133" s="3499"/>
      <c r="H133" s="3499"/>
      <c r="I133" s="3499"/>
      <c r="J133" s="3499"/>
      <c r="K133" s="3499"/>
      <c r="L133" s="3503">
        <v>4.3125000000000004E-2</v>
      </c>
      <c r="M133" s="3503">
        <v>3.9843750000000004E-2</v>
      </c>
      <c r="N133" s="3503">
        <v>3.6562499999999998E-2</v>
      </c>
      <c r="O133" s="3503">
        <v>0.03</v>
      </c>
      <c r="P133" s="3499"/>
      <c r="Q133" s="3499"/>
    </row>
    <row r="136" spans="2:17">
      <c r="B136" s="1787" t="s">
        <v>32814</v>
      </c>
      <c r="C136" s="2362">
        <f>Capex!C58</f>
        <v>2024</v>
      </c>
      <c r="D136" s="2362">
        <f>Capex!D58</f>
        <v>2025</v>
      </c>
      <c r="E136" s="2360">
        <f>Capex!E58</f>
        <v>2026</v>
      </c>
      <c r="F136" s="2361">
        <f>Capex!F58</f>
        <v>2027</v>
      </c>
      <c r="G136" s="2363">
        <f>Capex!G58</f>
        <v>2028</v>
      </c>
      <c r="H136" s="2363">
        <f>Capex!H58</f>
        <v>2029</v>
      </c>
    </row>
    <row r="137" spans="2:17" ht="15.75">
      <c r="B137" s="2364" t="s">
        <v>31258</v>
      </c>
      <c r="C137" s="3492">
        <f>+MAX(IFERROR(TT_riepilogo_IMN!E80/TT_riepilogo_IMN!E32,0),0)</f>
        <v>0</v>
      </c>
      <c r="D137" s="3492">
        <f>+MAX(IFERROR(TT_riepilogo_IMN!F80/TT_riepilogo_IMN!F32,0),0)</f>
        <v>0</v>
      </c>
      <c r="E137" s="3495">
        <f>+MAX(IFERROR(TT_riepilogo_IMN!G80/TT_riepilogo_IMN!G20,0),0)</f>
        <v>0</v>
      </c>
      <c r="F137" s="3495">
        <f>+MAX(IFERROR(TT_riepilogo_IMN!H80/TT_riepilogo_IMN!H20,0),0)</f>
        <v>0</v>
      </c>
      <c r="G137" s="3495">
        <f>+MAX(IFERROR(TT_riepilogo_IMN!I80/TT_riepilogo_IMN!I20,0),0)</f>
        <v>0</v>
      </c>
      <c r="H137" s="3495">
        <f>+MAX(IFERROR(TT_riepilogo_IMN!J80/TT_riepilogo_IMN!J20,0),0)</f>
        <v>0</v>
      </c>
    </row>
    <row r="138" spans="2:17" ht="15.75">
      <c r="B138" s="2364" t="s">
        <v>31259</v>
      </c>
      <c r="C138" s="3492">
        <f>MAX(IFERROR(TT_riepilogo_IMN!E68/TT_riepilogo_IMN!E32,0),0)</f>
        <v>0</v>
      </c>
      <c r="D138" s="3492">
        <f>MAX(IFERROR(TT_riepilogo_IMN!F68/TT_riepilogo_IMN!F32,0),0)</f>
        <v>0</v>
      </c>
      <c r="E138" s="3495">
        <f>MAX(IFERROR(TT_riepilogo_IMN!G68/TT_riepilogo_IMN!G20,0),0)</f>
        <v>0</v>
      </c>
      <c r="F138" s="3495">
        <f>MAX(IFERROR(TT_riepilogo_IMN!H68/TT_riepilogo_IMN!H20,0),0)</f>
        <v>0</v>
      </c>
      <c r="G138" s="3495">
        <f>MAX(IFERROR(TT_riepilogo_IMN!I68/TT_riepilogo_IMN!I20,0),0)</f>
        <v>0</v>
      </c>
      <c r="H138" s="3495">
        <f>MAX(IFERROR(TT_riepilogo_IMN!J68/TT_riepilogo_IMN!J20,0),0)</f>
        <v>0</v>
      </c>
    </row>
    <row r="139" spans="2:17" ht="15.75">
      <c r="B139" s="2364" t="s">
        <v>31260</v>
      </c>
      <c r="C139" s="3492"/>
      <c r="D139" s="3492"/>
      <c r="E139" s="3496">
        <f>+$P$127</f>
        <v>0</v>
      </c>
      <c r="F139" s="3496">
        <f>+$P$126</f>
        <v>0</v>
      </c>
      <c r="G139" s="3496">
        <f>+$P$125</f>
        <v>0</v>
      </c>
      <c r="H139" s="3496">
        <f>+$P$124</f>
        <v>0</v>
      </c>
    </row>
    <row r="140" spans="2:17" ht="15.75">
      <c r="B140" s="2364" t="s">
        <v>31262</v>
      </c>
      <c r="C140" s="3492">
        <f t="shared" ref="C140:H141" si="8">+C137*C$139</f>
        <v>0</v>
      </c>
      <c r="D140" s="3492">
        <f t="shared" si="8"/>
        <v>0</v>
      </c>
      <c r="E140" s="3496">
        <f t="shared" si="8"/>
        <v>0</v>
      </c>
      <c r="F140" s="3496">
        <f t="shared" si="8"/>
        <v>0</v>
      </c>
      <c r="G140" s="3496">
        <f t="shared" si="8"/>
        <v>0</v>
      </c>
      <c r="H140" s="3496">
        <f t="shared" si="8"/>
        <v>0</v>
      </c>
    </row>
    <row r="141" spans="2:17" ht="15.75">
      <c r="B141" s="2364" t="s">
        <v>31263</v>
      </c>
      <c r="C141" s="3492">
        <f t="shared" si="8"/>
        <v>0</v>
      </c>
      <c r="D141" s="3492">
        <f t="shared" si="8"/>
        <v>0</v>
      </c>
      <c r="E141" s="3496">
        <f t="shared" si="8"/>
        <v>0</v>
      </c>
      <c r="F141" s="3496">
        <f t="shared" si="8"/>
        <v>0</v>
      </c>
      <c r="G141" s="3496">
        <f t="shared" si="8"/>
        <v>0</v>
      </c>
      <c r="H141" s="3496">
        <f t="shared" si="8"/>
        <v>0</v>
      </c>
    </row>
    <row r="142" spans="2:17" ht="15.75">
      <c r="B142" s="2364" t="s">
        <v>31261</v>
      </c>
      <c r="C142" s="3492">
        <f>+C139-C140-C141</f>
        <v>0</v>
      </c>
      <c r="D142" s="3492">
        <f>+D139-D140-D141</f>
        <v>0</v>
      </c>
      <c r="E142" s="3496">
        <f t="shared" ref="E142:F142" si="9">+E139-E140-E141</f>
        <v>0</v>
      </c>
      <c r="F142" s="3496">
        <f t="shared" si="9"/>
        <v>0</v>
      </c>
      <c r="G142" s="3496">
        <f>+G139-G140-G141</f>
        <v>0</v>
      </c>
      <c r="H142" s="3496">
        <f>+H139-H140-H141</f>
        <v>0</v>
      </c>
    </row>
    <row r="143" spans="2:17" ht="15.75">
      <c r="B143" s="2364" t="s">
        <v>31264</v>
      </c>
      <c r="C143" s="3492"/>
      <c r="D143" s="3492"/>
      <c r="E143" s="3496">
        <f>+$Q$127</f>
        <v>0</v>
      </c>
      <c r="F143" s="3496">
        <f>+$Q$126</f>
        <v>0</v>
      </c>
      <c r="G143" s="3496">
        <f>+$Q$125</f>
        <v>0</v>
      </c>
      <c r="H143" s="3496">
        <f>+$Q$124</f>
        <v>0</v>
      </c>
    </row>
    <row r="144" spans="2:17" ht="15.75">
      <c r="B144" s="2364" t="s">
        <v>31267</v>
      </c>
      <c r="C144" s="3492">
        <f t="shared" ref="C144:H145" si="10">+C137*C$143</f>
        <v>0</v>
      </c>
      <c r="D144" s="3492">
        <f t="shared" si="10"/>
        <v>0</v>
      </c>
      <c r="E144" s="3496">
        <f t="shared" si="10"/>
        <v>0</v>
      </c>
      <c r="F144" s="3496">
        <f t="shared" si="10"/>
        <v>0</v>
      </c>
      <c r="G144" s="3496">
        <f t="shared" si="10"/>
        <v>0</v>
      </c>
      <c r="H144" s="3496">
        <f t="shared" si="10"/>
        <v>0</v>
      </c>
    </row>
    <row r="145" spans="2:10" ht="15.75">
      <c r="B145" s="2364" t="s">
        <v>31266</v>
      </c>
      <c r="C145" s="3492">
        <f t="shared" si="10"/>
        <v>0</v>
      </c>
      <c r="D145" s="3492">
        <f t="shared" si="10"/>
        <v>0</v>
      </c>
      <c r="E145" s="3496">
        <f t="shared" si="10"/>
        <v>0</v>
      </c>
      <c r="F145" s="3496">
        <f t="shared" si="10"/>
        <v>0</v>
      </c>
      <c r="G145" s="3496">
        <f t="shared" si="10"/>
        <v>0</v>
      </c>
      <c r="H145" s="3496">
        <f t="shared" si="10"/>
        <v>0</v>
      </c>
    </row>
    <row r="146" spans="2:10" ht="15.75">
      <c r="B146" s="2364" t="s">
        <v>31265</v>
      </c>
      <c r="C146" s="3492">
        <f>+C143-C144-C145</f>
        <v>0</v>
      </c>
      <c r="D146" s="3492">
        <f>+D143-D144-D145</f>
        <v>0</v>
      </c>
      <c r="E146" s="3496">
        <f t="shared" ref="E146:F146" si="11">+E143-E144-E145</f>
        <v>0</v>
      </c>
      <c r="F146" s="3496">
        <f t="shared" si="11"/>
        <v>0</v>
      </c>
      <c r="G146" s="3496">
        <f>+G143-G144-G145</f>
        <v>0</v>
      </c>
      <c r="H146" s="3496">
        <f>+H143-H144-H145</f>
        <v>0</v>
      </c>
    </row>
    <row r="147" spans="2:10" ht="15.75">
      <c r="B147" s="2364" t="s">
        <v>31270</v>
      </c>
      <c r="C147" s="3492"/>
      <c r="D147" s="3492"/>
      <c r="E147" s="3496">
        <f>+Nuovi_Investimenti!D5</f>
        <v>0</v>
      </c>
      <c r="F147" s="3496">
        <f>+Nuovi_Investimenti!E5</f>
        <v>0</v>
      </c>
      <c r="G147" s="3496">
        <f>+Nuovi_Investimenti!F5</f>
        <v>0</v>
      </c>
      <c r="H147" s="3496">
        <f>+Nuovi_Investimenti!G5</f>
        <v>0</v>
      </c>
    </row>
    <row r="148" spans="2:10" ht="15.75">
      <c r="B148" s="2364" t="s">
        <v>31271</v>
      </c>
      <c r="C148" s="3492">
        <f t="shared" ref="C148:H149" si="12">+C137*C$147</f>
        <v>0</v>
      </c>
      <c r="D148" s="3492">
        <f t="shared" si="12"/>
        <v>0</v>
      </c>
      <c r="E148" s="3496">
        <f t="shared" si="12"/>
        <v>0</v>
      </c>
      <c r="F148" s="3496">
        <f t="shared" si="12"/>
        <v>0</v>
      </c>
      <c r="G148" s="3496">
        <f t="shared" si="12"/>
        <v>0</v>
      </c>
      <c r="H148" s="3496">
        <f t="shared" si="12"/>
        <v>0</v>
      </c>
    </row>
    <row r="149" spans="2:10" ht="15.75">
      <c r="B149" s="2364" t="s">
        <v>31272</v>
      </c>
      <c r="C149" s="3492">
        <f t="shared" si="12"/>
        <v>0</v>
      </c>
      <c r="D149" s="3492">
        <f t="shared" si="12"/>
        <v>0</v>
      </c>
      <c r="E149" s="3496">
        <f t="shared" si="12"/>
        <v>0</v>
      </c>
      <c r="F149" s="3496">
        <f t="shared" si="12"/>
        <v>0</v>
      </c>
      <c r="G149" s="3496">
        <f t="shared" si="12"/>
        <v>0</v>
      </c>
      <c r="H149" s="3496">
        <f t="shared" si="12"/>
        <v>0</v>
      </c>
    </row>
    <row r="150" spans="2:10" ht="15.75">
      <c r="B150" s="2364" t="s">
        <v>31273</v>
      </c>
      <c r="C150" s="3492">
        <f>+C147-C148-C149</f>
        <v>0</v>
      </c>
      <c r="D150" s="3492">
        <f>+D147-D148-D149</f>
        <v>0</v>
      </c>
      <c r="E150" s="3496">
        <f t="shared" ref="E150:F150" si="13">+E147-E148-E149</f>
        <v>0</v>
      </c>
      <c r="F150" s="3496">
        <f t="shared" si="13"/>
        <v>0</v>
      </c>
      <c r="G150" s="3496">
        <f>+G147-G148-G149</f>
        <v>0</v>
      </c>
      <c r="H150" s="3496">
        <f>+H147-H148-H149</f>
        <v>0</v>
      </c>
    </row>
    <row r="151" spans="2:10">
      <c r="C151" s="2339"/>
    </row>
    <row r="152" spans="2:10">
      <c r="C152" s="2339"/>
    </row>
    <row r="153" spans="2:10">
      <c r="C153" s="2339"/>
    </row>
    <row r="154" spans="2:10">
      <c r="C154" s="2339"/>
    </row>
    <row r="155" spans="2:10">
      <c r="C155" s="2339"/>
    </row>
    <row r="156" spans="2:10">
      <c r="C156" s="2339"/>
    </row>
    <row r="157" spans="2:10">
      <c r="B157" s="3453" t="s">
        <v>31230</v>
      </c>
      <c r="C157" s="3453" t="s">
        <v>22740</v>
      </c>
      <c r="D157" s="3454">
        <v>2024</v>
      </c>
      <c r="E157" s="3454">
        <v>2025</v>
      </c>
      <c r="F157" s="3454">
        <v>2026</v>
      </c>
      <c r="G157" s="3454">
        <v>2027</v>
      </c>
      <c r="H157" s="3454">
        <v>2028</v>
      </c>
      <c r="I157" s="3454">
        <v>2029</v>
      </c>
    </row>
    <row r="158" spans="2:10" ht="45" customHeight="1">
      <c r="B158" s="3491" t="str">
        <f>+TT_Tabelle_Riferimento!C87</f>
        <v>Infrastrutture improcrastinabili in contesti in cui il gestore non ha  ancora conseguito la necessaria capacità di ricorso al credito e di attrazione delle necessarie competenze specialistiche</v>
      </c>
      <c r="C158" s="3457" t="s">
        <v>22742</v>
      </c>
      <c r="D158" s="3466">
        <f>+SUMIFS(IMN_Proprietari!$L:$L,IMN_Proprietari!$K:$K,'PdI-riepilogo'!D$157,IMN_Proprietari!$I:$I,'PdI-riepilogo'!$J158)</f>
        <v>0</v>
      </c>
      <c r="E158" s="3466">
        <f>+SUMIFS(IMN_Proprietari!$L:$L,IMN_Proprietari!$K:$K,'PdI-riepilogo'!E$157,IMN_Proprietari!$I:$I,'PdI-riepilogo'!$J158)</f>
        <v>0</v>
      </c>
      <c r="F158" s="3466">
        <f>+SUMIFS(IMN_Proprietari!$L:$L,IMN_Proprietari!$K:$K,'PdI-riepilogo'!F$157,IMN_Proprietari!$I:$I,'PdI-riepilogo'!$J158)</f>
        <v>0</v>
      </c>
      <c r="G158" s="3466">
        <f>+SUMIFS(IMN_Proprietari!$L:$L,IMN_Proprietari!$K:$K,'PdI-riepilogo'!G$157,IMN_Proprietari!$I:$I,'PdI-riepilogo'!$J158)</f>
        <v>0</v>
      </c>
      <c r="H158" s="3466">
        <f>+SUMIFS(IMN_Proprietari!$L:$L,IMN_Proprietari!$K:$K,'PdI-riepilogo'!H$157,IMN_Proprietari!$I:$I,'PdI-riepilogo'!$J158)</f>
        <v>0</v>
      </c>
      <c r="I158" s="3466">
        <f>+SUMIFS(IMN_Proprietari!$L:$L,IMN_Proprietari!$K:$K,'PdI-riepilogo'!I$157,IMN_Proprietari!$I:$I,'PdI-riepilogo'!$J158)</f>
        <v>0</v>
      </c>
      <c r="J158" s="3497" t="str">
        <f>+VLOOKUP(B158,TT_Tabelle_Riferimento!$C$87:$D$89,2,FALSE)</f>
        <v>Infrastrutture improcrastinabili</v>
      </c>
    </row>
    <row r="159" spans="2:10" ht="48" customHeight="1">
      <c r="B159" s="3491" t="str">
        <f>+TT_Tabelle_Riferimento!C88</f>
        <v>Infrastrutture riconducibili ad opere di rilievo sovra-ambito per il superamento delle criticità legate al Climate Change o per la sostenibilità ambientale</v>
      </c>
      <c r="C159" s="3457" t="s">
        <v>22742</v>
      </c>
      <c r="D159" s="3466">
        <f>+SUMIFS(IMN_Proprietari!$L:$L,IMN_Proprietari!$K:$K,'PdI-riepilogo'!D$157,IMN_Proprietari!$I:$I,'PdI-riepilogo'!$J159)</f>
        <v>0</v>
      </c>
      <c r="E159" s="3466">
        <f>+SUMIFS(IMN_Proprietari!$L:$L,IMN_Proprietari!$K:$K,'PdI-riepilogo'!E$157,IMN_Proprietari!$I:$I,'PdI-riepilogo'!$J159)</f>
        <v>0</v>
      </c>
      <c r="F159" s="3466">
        <f>+SUMIFS(IMN_Proprietari!$L:$L,IMN_Proprietari!$K:$K,'PdI-riepilogo'!F$157,IMN_Proprietari!$I:$I,'PdI-riepilogo'!$J159)</f>
        <v>0</v>
      </c>
      <c r="G159" s="3466">
        <f>+SUMIFS(IMN_Proprietari!$L:$L,IMN_Proprietari!$K:$K,'PdI-riepilogo'!G$157,IMN_Proprietari!$I:$I,'PdI-riepilogo'!$J159)</f>
        <v>0</v>
      </c>
      <c r="H159" s="3466">
        <f>+SUMIFS(IMN_Proprietari!$L:$L,IMN_Proprietari!$K:$K,'PdI-riepilogo'!H$157,IMN_Proprietari!$I:$I,'PdI-riepilogo'!$J159)</f>
        <v>0</v>
      </c>
      <c r="I159" s="3466">
        <f>+SUMIFS(IMN_Proprietari!$L:$L,IMN_Proprietari!$K:$K,'PdI-riepilogo'!I$157,IMN_Proprietari!$I:$I,'PdI-riepilogo'!$J159)</f>
        <v>0</v>
      </c>
      <c r="J159" s="3497" t="str">
        <f>+VLOOKUP(B159,TT_Tabelle_Riferimento!$C$87:$D$89,2,FALSE)</f>
        <v>Opere di rilievo sovra-ambito</v>
      </c>
    </row>
    <row r="160" spans="2:10">
      <c r="B160" s="3463" t="s">
        <v>31279</v>
      </c>
      <c r="C160" s="3498" t="s">
        <v>22742</v>
      </c>
      <c r="D160" s="3466" t="b">
        <f>+SUMIF('PdI-crono_inv'!Q:Q,"Infrastrutture improcrastinabili",'PdI-crono_inv'!AK:AK)&lt;&gt;D158</f>
        <v>0</v>
      </c>
      <c r="E160" s="3466" t="b">
        <f>+SUMIF('PdI-crono_inv'!Q:Q,"Infrastrutture improcrastinabili",'PdI-crono_inv'!AP:AP)&lt;&gt;E158</f>
        <v>0</v>
      </c>
      <c r="F160" s="3466" t="b">
        <f>+SUMIF('PdI-crono_inv'!Q:Q,"Infrastrutture improcrastinabili",'PdI-crono_inv'!AU:AU)&lt;&gt;F158</f>
        <v>0</v>
      </c>
      <c r="G160" s="3466" t="b">
        <f>+SUMIF('PdI-crono_inv'!Q:Q,"Infrastrutture improcrastinabili",'PdI-crono_inv'!AZ:AZ)&lt;&gt;G158</f>
        <v>0</v>
      </c>
      <c r="H160" s="3466" t="b">
        <f>+SUMIF('PdI-crono_inv'!Q:Q,"Infrastrutture improcrastinabili",'PdI-crono_inv'!BE:BE)&lt;&gt;H158</f>
        <v>0</v>
      </c>
      <c r="I160" s="3466" t="b">
        <f>+SUMIF('PdI-crono_inv'!Q:Q,"Infrastrutture improcrastinabili",'PdI-crono_inv'!BJ:BJ)&lt;&gt;I158</f>
        <v>0</v>
      </c>
    </row>
    <row r="161" spans="2:9">
      <c r="B161" s="3463" t="s">
        <v>31280</v>
      </c>
      <c r="C161" s="3498" t="s">
        <v>22742</v>
      </c>
      <c r="D161" s="3466" t="b">
        <f>+SUMIF('PdI-crono_inv'!Q:Q,"Opere di rilievo sovra-ambito",'PdI-crono_inv'!AK:AK)&lt;&gt;D159</f>
        <v>0</v>
      </c>
      <c r="E161" s="3466" t="b">
        <f>+SUMIF('PdI-crono_inv'!Q:Q,"Opere di rilievo sovra-ambito",'PdI-crono_inv'!AP:AP)&lt;&gt;E159</f>
        <v>0</v>
      </c>
      <c r="F161" s="3466" t="b">
        <f>+SUMIF('PdI-crono_inv'!Q:Q,"Opere di rilievo sovra-ambito",'PdI-crono_inv'!AU:AU)&lt;&gt;F159</f>
        <v>0</v>
      </c>
      <c r="G161" s="3466" t="b">
        <f>+SUMIF('PdI-crono_inv'!Q:Q,"Opere di rilievo sovra-ambito",'PdI-crono_inv'!AZ:AZ)&lt;&gt;G159</f>
        <v>0</v>
      </c>
      <c r="H161" s="3466" t="b">
        <f>+SUMIF('PdI-crono_inv'!Q:Q,"Opere di rilievo sovra-ambito",'PdI-crono_inv'!BE:BE)&lt;&gt;H159</f>
        <v>0</v>
      </c>
      <c r="I161" s="3466" t="b">
        <f>+SUMIF('PdI-crono_inv'!Q:Q,"Opere di rilievo sovra-ambito",'PdI-crono_inv'!BJ:BJ)&lt;&gt;I159</f>
        <v>0</v>
      </c>
    </row>
    <row r="165" spans="2:9">
      <c r="B165" s="3453" t="s">
        <v>31893</v>
      </c>
      <c r="C165" s="3453" t="s">
        <v>22740</v>
      </c>
      <c r="D165" s="3454">
        <v>2024</v>
      </c>
      <c r="E165" s="3454">
        <v>2025</v>
      </c>
      <c r="F165" s="3454">
        <v>2026</v>
      </c>
      <c r="G165" s="3454">
        <v>2027</v>
      </c>
      <c r="H165" s="3454">
        <v>2028</v>
      </c>
      <c r="I165" s="3454">
        <v>2029</v>
      </c>
    </row>
    <row r="166" spans="2:9">
      <c r="B166" s="3491" t="s">
        <v>31894</v>
      </c>
      <c r="C166" s="3457" t="s">
        <v>22742</v>
      </c>
      <c r="D166" s="3492"/>
      <c r="E166" s="3492"/>
      <c r="F166" s="3466">
        <f>+SUMIF(IMN_consolidamento!$J:$J,VALUE('PdI-riepilogo'!F$165),IMN_consolidamento!$M:$M)</f>
        <v>0</v>
      </c>
      <c r="G166" s="3466">
        <f>+SUMIF(IMN_consolidamento!$J:$J,VALUE('PdI-riepilogo'!G$165),IMN_consolidamento!$M:$M)</f>
        <v>0</v>
      </c>
      <c r="H166" s="3466">
        <f>+SUMIF(IMN_consolidamento!$J:$J,VALUE('PdI-riepilogo'!H$165),IMN_consolidamento!$M:$M)</f>
        <v>0</v>
      </c>
      <c r="I166" s="3466">
        <f>+SUMIF(IMN_consolidamento!$J:$J,VALUE('PdI-riepilogo'!I$165),IMN_consolidamento!$M:$M)</f>
        <v>0</v>
      </c>
    </row>
    <row r="167" spans="2:9">
      <c r="B167" s="3491" t="s">
        <v>31895</v>
      </c>
      <c r="C167" s="3457" t="s">
        <v>22742</v>
      </c>
      <c r="D167" s="3492"/>
      <c r="E167" s="3492"/>
      <c r="F167" s="3466">
        <f>+Piano_Tariffario!G50</f>
        <v>0</v>
      </c>
      <c r="G167" s="3466">
        <f>+Piano_Tariffario!H50</f>
        <v>0</v>
      </c>
      <c r="H167" s="3466">
        <f>+Piano_Tariffario!I50</f>
        <v>0</v>
      </c>
      <c r="I167" s="3466">
        <f>+Piano_Tariffario!J50</f>
        <v>0</v>
      </c>
    </row>
    <row r="168" spans="2:9">
      <c r="B168" s="3491" t="s">
        <v>31896</v>
      </c>
      <c r="C168" s="3498" t="s">
        <v>22742</v>
      </c>
      <c r="D168" s="3492"/>
      <c r="E168" s="3492"/>
      <c r="F168" s="3466">
        <f ca="1">+F21-F24</f>
        <v>0</v>
      </c>
      <c r="G168" s="3466">
        <f t="shared" ref="G168:I168" ca="1" si="14">+G21-G24</f>
        <v>0</v>
      </c>
      <c r="H168" s="3466">
        <f t="shared" ca="1" si="14"/>
        <v>0</v>
      </c>
      <c r="I168" s="3466">
        <f t="shared" ca="1" si="14"/>
        <v>0</v>
      </c>
    </row>
    <row r="169" spans="2:9">
      <c r="B169" s="3463" t="s">
        <v>31897</v>
      </c>
      <c r="C169" s="3498" t="s">
        <v>22742</v>
      </c>
      <c r="D169" s="3492"/>
      <c r="E169" s="3492"/>
      <c r="F169" s="3466">
        <f ca="1">+F166-F167-F168</f>
        <v>0</v>
      </c>
      <c r="G169" s="3466">
        <f t="shared" ref="G169:I169" ca="1" si="15">+G166-G167-G168</f>
        <v>0</v>
      </c>
      <c r="H169" s="3466">
        <f t="shared" ca="1" si="15"/>
        <v>0</v>
      </c>
      <c r="I169" s="3466">
        <f t="shared" ca="1" si="15"/>
        <v>0</v>
      </c>
    </row>
  </sheetData>
  <sheetProtection algorithmName="SHA-512" hashValue="yvy7IsbuFM9+Q7KsLsOzyXh6P779iTYzmpclVakoVn8OjHbXpQkUkjAOGl8KpahRUNwG6gAWExbToHh7VnwqoA==" saltValue="Ojihgg7g86ocfQNDnohU1Q==" spinCount="100000" sheet="1" objects="1" scenarios="1"/>
  <mergeCells count="18">
    <mergeCell ref="D34:F34"/>
    <mergeCell ref="G34:I34"/>
    <mergeCell ref="D40:F40"/>
    <mergeCell ref="G40:I40"/>
    <mergeCell ref="D41:F41"/>
    <mergeCell ref="G41:I41"/>
    <mergeCell ref="M34:O34"/>
    <mergeCell ref="P34:R34"/>
    <mergeCell ref="M40:O40"/>
    <mergeCell ref="P40:R40"/>
    <mergeCell ref="M41:O41"/>
    <mergeCell ref="P41:R41"/>
    <mergeCell ref="V34:X34"/>
    <mergeCell ref="Y34:AA34"/>
    <mergeCell ref="V40:X40"/>
    <mergeCell ref="Y40:AA40"/>
    <mergeCell ref="V41:X41"/>
    <mergeCell ref="Y41:AA41"/>
  </mergeCells>
  <conditionalFormatting sqref="F17:I17">
    <cfRule type="expression" dxfId="48" priority="17">
      <formula>F15&lt;&gt;F16</formula>
    </cfRule>
  </conditionalFormatting>
  <conditionalFormatting sqref="F23:I23">
    <cfRule type="expression" dxfId="47" priority="16">
      <formula>F21&lt;&gt;F22</formula>
    </cfRule>
  </conditionalFormatting>
  <conditionalFormatting sqref="D6">
    <cfRule type="expression" dxfId="46" priority="9">
      <formula>D4&lt;&gt;D5</formula>
    </cfRule>
  </conditionalFormatting>
  <conditionalFormatting sqref="E6">
    <cfRule type="expression" dxfId="45" priority="8">
      <formula>E4&lt;&gt;E5</formula>
    </cfRule>
  </conditionalFormatting>
  <conditionalFormatting sqref="D9">
    <cfRule type="expression" dxfId="44" priority="7">
      <formula>D7&lt;&gt;D8</formula>
    </cfRule>
  </conditionalFormatting>
  <conditionalFormatting sqref="E9">
    <cfRule type="expression" dxfId="43" priority="6">
      <formula>E7&lt;&gt;E8</formula>
    </cfRule>
  </conditionalFormatting>
  <conditionalFormatting sqref="F6">
    <cfRule type="expression" dxfId="42" priority="5">
      <formula>F4&lt;&gt;F5</formula>
    </cfRule>
  </conditionalFormatting>
  <conditionalFormatting sqref="F9">
    <cfRule type="expression" dxfId="41" priority="4">
      <formula>F7&lt;&gt;F8</formula>
    </cfRule>
  </conditionalFormatting>
  <conditionalFormatting sqref="G6">
    <cfRule type="expression" dxfId="40" priority="3">
      <formula>G4&lt;&gt;G5</formula>
    </cfRule>
  </conditionalFormatting>
  <conditionalFormatting sqref="G9">
    <cfRule type="expression" dxfId="39" priority="2">
      <formula>G7&lt;&gt;G8</formula>
    </cfRule>
  </conditionalFormatting>
  <conditionalFormatting sqref="F24:I24">
    <cfRule type="expression" dxfId="38" priority="1">
      <formula>F22&lt;&gt;F23</formula>
    </cfRule>
  </conditionalFormatting>
  <hyperlinks>
    <hyperlink ref="I4" location="'PdI-crono_inv'!BV2" display="Vai a descrizione errori" xr:uid="{48CA85AA-DE3E-45C3-AEE3-45048E4EA330}"/>
    <hyperlink ref="J4" location="'PdI-crono_ges'!Z2" display="Vai a descrizione errori" xr:uid="{9EB232CF-CB07-436C-8E63-960F82B02168}"/>
    <hyperlink ref="K4" location="'PdI-riepilogo'!B157" display="Vai a descrizione errori" xr:uid="{810429D3-24FF-4E46-BF2E-37E460BD63C8}"/>
    <hyperlink ref="L4" location="'PdI-riepilogo'!F169" display="Vai a descrizione errori" xr:uid="{5EE3A1CB-52DE-4748-A983-B05FB1441501}"/>
  </hyperlinks>
  <pageMargins left="0.70866141732283472" right="0.70866141732283472" top="0.74803149606299213" bottom="0.74803149606299213" header="0.31496062992125984" footer="0.31496062992125984"/>
  <pageSetup paperSize="9" scale="15"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F53CF-5D92-4127-A00E-5B8BC3F74AFD}">
  <sheetPr codeName="Foglio69">
    <tabColor rgb="FFFFFFE7"/>
  </sheetPr>
  <dimension ref="A1:AB1373"/>
  <sheetViews>
    <sheetView showGridLines="0" zoomScale="85" zoomScaleNormal="85" workbookViewId="0">
      <pane ySplit="5" topLeftCell="A6" activePane="bottomLeft" state="frozen"/>
      <selection pane="bottomLeft"/>
    </sheetView>
  </sheetViews>
  <sheetFormatPr defaultColWidth="9.42578125" defaultRowHeight="12.75"/>
  <cols>
    <col min="1" max="4" width="9.42578125" style="1013"/>
    <col min="5" max="5" width="15.5703125" style="1013" customWidth="1"/>
    <col min="6" max="6" width="12" style="1013" customWidth="1"/>
    <col min="7" max="7" width="26.42578125" style="1013" customWidth="1"/>
    <col min="8" max="8" width="9.42578125" style="1013"/>
    <col min="9" max="9" width="19.42578125" style="1013" bestFit="1" customWidth="1"/>
    <col min="10" max="10" width="15.5703125" style="1013" customWidth="1"/>
    <col min="11" max="11" width="15.5703125" style="1066" customWidth="1"/>
    <col min="12" max="12" width="15.5703125" style="1013" customWidth="1"/>
    <col min="13" max="13" width="15.5703125" style="1066" customWidth="1"/>
    <col min="14" max="14" width="15.5703125" style="1013" customWidth="1"/>
    <col min="15" max="15" width="15.5703125" style="1066" customWidth="1"/>
    <col min="16" max="18" width="15.5703125" style="1013" customWidth="1"/>
    <col min="19" max="19" width="15.5703125" style="1066" customWidth="1"/>
    <col min="20" max="20" width="9.42578125" style="1013"/>
    <col min="21" max="21" width="23.5703125" style="1013" customWidth="1"/>
    <col min="22" max="26" width="16.5703125" style="1013" customWidth="1"/>
    <col min="27" max="27" width="19.42578125" style="1013" bestFit="1" customWidth="1"/>
    <col min="28" max="16384" width="9.42578125" style="1013"/>
  </cols>
  <sheetData>
    <row r="1" spans="1:28" s="124" customFormat="1" ht="25.35" customHeight="1">
      <c r="A1" s="1123"/>
      <c r="B1" s="339"/>
      <c r="C1" s="339"/>
      <c r="D1" s="339"/>
      <c r="E1" s="344"/>
      <c r="F1" s="345"/>
      <c r="G1" s="346"/>
      <c r="H1" s="345"/>
      <c r="I1" s="347"/>
      <c r="J1" s="345"/>
      <c r="K1" s="590"/>
      <c r="L1" s="590"/>
      <c r="M1" s="590"/>
      <c r="N1" s="590"/>
      <c r="O1" s="590"/>
      <c r="P1" s="590"/>
      <c r="Q1" s="590"/>
      <c r="R1" s="590"/>
      <c r="S1" s="590"/>
    </row>
    <row r="2" spans="1:28" s="5" customFormat="1" ht="15.75" thickBot="1">
      <c r="E2" s="348"/>
      <c r="F2" s="349"/>
      <c r="G2" s="350"/>
      <c r="H2" s="349"/>
      <c r="I2" s="350"/>
      <c r="J2" s="349"/>
      <c r="K2" s="1067"/>
      <c r="L2" s="1067"/>
      <c r="M2" s="1067"/>
      <c r="N2" s="1068"/>
      <c r="O2" s="1101"/>
      <c r="P2" s="1101"/>
      <c r="Q2" s="1101"/>
      <c r="R2" s="1101"/>
      <c r="S2" s="1067"/>
      <c r="U2" s="522"/>
      <c r="V2" s="1738">
        <v>2024</v>
      </c>
      <c r="W2" s="1738">
        <v>2025</v>
      </c>
      <c r="X2" s="1738">
        <v>2026</v>
      </c>
      <c r="Y2" s="1738">
        <v>2027</v>
      </c>
      <c r="AA2" s="1482" t="s">
        <v>30980</v>
      </c>
      <c r="AB2" s="1484">
        <f>+IF(SUM(K:K,M:M,O:O)=0,0,"OK")</f>
        <v>0</v>
      </c>
    </row>
    <row r="3" spans="1:28" s="5" customFormat="1" ht="39.75" thickTop="1" thickBot="1">
      <c r="A3" s="351" t="s">
        <v>26645</v>
      </c>
      <c r="B3" s="351"/>
      <c r="C3" s="351"/>
      <c r="D3" s="351"/>
      <c r="E3" s="351"/>
      <c r="F3" s="351"/>
      <c r="G3" s="351"/>
      <c r="H3" s="351"/>
      <c r="I3" s="351"/>
      <c r="J3" s="351"/>
      <c r="K3" s="1069"/>
      <c r="L3" s="1069"/>
      <c r="M3" s="1069"/>
      <c r="N3" s="1069"/>
      <c r="O3" s="1069"/>
      <c r="P3" s="1069"/>
      <c r="Q3" s="1069"/>
      <c r="R3" s="1069"/>
      <c r="S3" s="1070" t="s">
        <v>24992</v>
      </c>
      <c r="U3" s="524" t="s">
        <v>30606</v>
      </c>
      <c r="V3" s="3176"/>
      <c r="W3" s="3176"/>
      <c r="X3" s="1556">
        <f>FoNI!E10</f>
        <v>0</v>
      </c>
      <c r="Y3" s="1556">
        <f>FoNI!F10</f>
        <v>0</v>
      </c>
    </row>
    <row r="4" spans="1:28" s="124" customFormat="1" ht="29.25" customHeight="1" thickTop="1">
      <c r="A4" s="352"/>
      <c r="B4" s="352"/>
      <c r="C4" s="352"/>
      <c r="D4" s="352"/>
      <c r="E4" s="352"/>
      <c r="F4" s="353"/>
      <c r="G4" s="354"/>
      <c r="H4" s="353"/>
      <c r="I4" s="354"/>
      <c r="J4" s="353"/>
      <c r="K4" s="1071"/>
      <c r="L4" s="1071"/>
      <c r="M4" s="1071"/>
      <c r="N4" s="1071"/>
      <c r="O4" s="1071"/>
      <c r="P4" s="1071"/>
      <c r="Q4" s="1071"/>
      <c r="R4" s="1071"/>
      <c r="S4" s="1072"/>
      <c r="U4" s="524" t="s">
        <v>24800</v>
      </c>
      <c r="V4" s="3177"/>
      <c r="W4" s="3177"/>
      <c r="X4" s="546">
        <f>+SUMIF($J:$J,X$2,$K:$K)</f>
        <v>0</v>
      </c>
      <c r="Y4" s="546">
        <f>+SUMIF($J:$J,Y$2,$K:$K)</f>
        <v>0</v>
      </c>
    </row>
    <row r="5" spans="1:28" s="129" customFormat="1" ht="59.25" customHeight="1">
      <c r="A5" s="372" t="s">
        <v>24869</v>
      </c>
      <c r="B5" s="372" t="s">
        <v>24868</v>
      </c>
      <c r="C5" s="372" t="s">
        <v>192</v>
      </c>
      <c r="D5" s="372" t="s">
        <v>193</v>
      </c>
      <c r="E5" s="372" t="s">
        <v>191</v>
      </c>
      <c r="F5" s="373" t="s">
        <v>194</v>
      </c>
      <c r="G5" s="374" t="s">
        <v>195</v>
      </c>
      <c r="H5" s="373" t="s">
        <v>196</v>
      </c>
      <c r="I5" s="374" t="s">
        <v>197</v>
      </c>
      <c r="J5" s="373" t="s">
        <v>198</v>
      </c>
      <c r="K5" s="1073" t="s">
        <v>22698</v>
      </c>
      <c r="L5" s="1073" t="s">
        <v>22699</v>
      </c>
      <c r="M5" s="1073" t="s">
        <v>22700</v>
      </c>
      <c r="N5" s="1074" t="s">
        <v>22701</v>
      </c>
      <c r="O5" s="1074" t="s">
        <v>21</v>
      </c>
      <c r="P5" s="1074" t="s">
        <v>230</v>
      </c>
      <c r="Q5" s="1074" t="s">
        <v>26592</v>
      </c>
      <c r="R5" s="1074" t="s">
        <v>24799</v>
      </c>
      <c r="S5" s="1075" t="s">
        <v>26638</v>
      </c>
      <c r="U5" s="524" t="s">
        <v>26635</v>
      </c>
      <c r="V5" s="3178"/>
      <c r="W5" s="3178"/>
      <c r="X5" s="526">
        <f>IFERROR(X3/X4,0)</f>
        <v>0</v>
      </c>
      <c r="Y5" s="526">
        <f>IFERROR(Y3/Y4,0)</f>
        <v>0</v>
      </c>
    </row>
    <row r="6" spans="1:28">
      <c r="A6" s="1932">
        <f t="shared" ref="A6:A31" si="0">+idato</f>
        <v>0</v>
      </c>
      <c r="B6" s="1932">
        <f t="shared" ref="B6:B31" si="1">+idgestore</f>
        <v>0</v>
      </c>
      <c r="C6" s="1013" t="s">
        <v>245</v>
      </c>
      <c r="D6" s="1013">
        <v>0</v>
      </c>
      <c r="E6" s="1013" t="s">
        <v>22698</v>
      </c>
      <c r="F6" s="1013">
        <v>2</v>
      </c>
      <c r="G6" s="1932" t="str">
        <f>+VLOOKUP(F6,TT_Tabelle_Riferimento!$D$127:$G$164,4,FALSE)</f>
        <v>Condotte di acquedotto</v>
      </c>
      <c r="H6" s="1013">
        <v>1</v>
      </c>
      <c r="I6" s="1932" t="str">
        <f>+VLOOKUP(H6,TT_Tabelle_Riferimento!$F$3:$G$6,2,FALSE)</f>
        <v>Servizio idrico integrato</v>
      </c>
      <c r="J6" s="1013">
        <v>2026</v>
      </c>
      <c r="K6" s="2335">
        <f>+SUMIFS('PdI-crono_inv'!AW:AW,'PdI-crono_inv'!CF:CF,F6,'PdI-crono_inv'!CE:CE,H6,'PdI-crono_inv'!J:J,P6,'PdI-crono_inv'!P:P,"&lt;&gt;proprietario")</f>
        <v>0</v>
      </c>
      <c r="M6" s="2335">
        <f>+SUMIFS('PdI-crono_inv'!AX:AX,'PdI-crono_inv'!CF:CF,F6,'PdI-crono_inv'!CE:CE,H6,'PdI-crono_inv'!J:J,P6,'PdI-crono_inv'!P:P,"&lt;&gt;proprietario")+S6</f>
        <v>0</v>
      </c>
      <c r="P6" s="1013" t="s">
        <v>25486</v>
      </c>
      <c r="Q6" s="1932" t="str">
        <f>+VLOOKUP(F6,TT_Tabelle_Riferimento!$D$127:$E$164,2,FALSE)</f>
        <v>Acquedotto</v>
      </c>
      <c r="R6" s="1932" t="str">
        <f>+IF(SUM(K6:N6)=0,"","PdI_consolidamento")</f>
        <v/>
      </c>
      <c r="S6" s="2335">
        <f>+IFERROR(HLOOKUP(J6,$X$2:$Y$5,4,FALSE)*K6,0)</f>
        <v>0</v>
      </c>
      <c r="U6" s="524" t="s">
        <v>30979</v>
      </c>
      <c r="V6" s="3179"/>
      <c r="W6" s="3179"/>
      <c r="X6" s="2334">
        <f t="shared" ref="X6:Y6" si="2">+SUMIF($J:$J,X$2,$S:$S)</f>
        <v>0</v>
      </c>
      <c r="Y6" s="2334">
        <f t="shared" si="2"/>
        <v>0</v>
      </c>
    </row>
    <row r="7" spans="1:28">
      <c r="A7" s="1932">
        <f t="shared" si="0"/>
        <v>0</v>
      </c>
      <c r="B7" s="1932">
        <f t="shared" si="1"/>
        <v>0</v>
      </c>
      <c r="C7" s="1013" t="s">
        <v>245</v>
      </c>
      <c r="D7" s="1013">
        <v>0</v>
      </c>
      <c r="E7" s="1013" t="s">
        <v>22698</v>
      </c>
      <c r="F7" s="1013">
        <v>3</v>
      </c>
      <c r="G7" s="1932" t="str">
        <f>+VLOOKUP(F7,TT_Tabelle_Riferimento!$D$127:$G$164,4,FALSE)</f>
        <v>Opere idrauliche fisse di acquedotto</v>
      </c>
      <c r="H7" s="1013">
        <v>1</v>
      </c>
      <c r="I7" s="1932" t="str">
        <f>+VLOOKUP(H7,TT_Tabelle_Riferimento!$F$3:$G$6,2,FALSE)</f>
        <v>Servizio idrico integrato</v>
      </c>
      <c r="J7" s="1013">
        <v>2026</v>
      </c>
      <c r="K7" s="2335">
        <f>+SUMIFS('PdI-crono_inv'!AW:AW,'PdI-crono_inv'!CF:CF,F7,'PdI-crono_inv'!CE:CE,H7,'PdI-crono_inv'!J:J,P7,'PdI-crono_inv'!P:P,"&lt;&gt;proprietario")</f>
        <v>0</v>
      </c>
      <c r="M7" s="2335">
        <f>+SUMIFS('PdI-crono_inv'!AX:AX,'PdI-crono_inv'!CF:CF,F7,'PdI-crono_inv'!CE:CE,H7,'PdI-crono_inv'!J:J,P7,'PdI-crono_inv'!P:P,"&lt;&gt;proprietario")+S7</f>
        <v>0</v>
      </c>
      <c r="P7" s="1013" t="s">
        <v>25486</v>
      </c>
      <c r="Q7" s="1932" t="str">
        <f>+VLOOKUP(F7,TT_Tabelle_Riferimento!$D$127:$E$164,2,FALSE)</f>
        <v>Acquedotto</v>
      </c>
      <c r="R7" s="1932" t="str">
        <f t="shared" ref="R7:R40" si="3">+IF(SUM(K7:N7)=0,"","PdI_consolidamento")</f>
        <v/>
      </c>
      <c r="S7" s="2335">
        <f t="shared" ref="S7:S70" si="4">+IFERROR(HLOOKUP(J7,$X$2:$Y$5,4,FALSE)*K7,0)</f>
        <v>0</v>
      </c>
    </row>
    <row r="8" spans="1:28">
      <c r="A8" s="1932">
        <f t="shared" si="0"/>
        <v>0</v>
      </c>
      <c r="B8" s="1932">
        <f t="shared" si="1"/>
        <v>0</v>
      </c>
      <c r="C8" s="1013" t="s">
        <v>245</v>
      </c>
      <c r="D8" s="1013">
        <v>0</v>
      </c>
      <c r="E8" s="1013" t="s">
        <v>22698</v>
      </c>
      <c r="F8" s="1013">
        <v>4</v>
      </c>
      <c r="G8" s="1932" t="str">
        <f>+VLOOKUP(F8,TT_Tabelle_Riferimento!$D$127:$G$164,4,FALSE)</f>
        <v>Serbatoi</v>
      </c>
      <c r="H8" s="1013">
        <v>1</v>
      </c>
      <c r="I8" s="1932" t="str">
        <f>+VLOOKUP(H8,TT_Tabelle_Riferimento!$F$3:$G$6,2,FALSE)</f>
        <v>Servizio idrico integrato</v>
      </c>
      <c r="J8" s="1013">
        <v>2026</v>
      </c>
      <c r="K8" s="2335">
        <f>+SUMIFS('PdI-crono_inv'!AW:AW,'PdI-crono_inv'!CF:CF,F8,'PdI-crono_inv'!CE:CE,H8,'PdI-crono_inv'!J:J,P8,'PdI-crono_inv'!P:P,"&lt;&gt;proprietario")</f>
        <v>0</v>
      </c>
      <c r="M8" s="2335">
        <f>+SUMIFS('PdI-crono_inv'!AX:AX,'PdI-crono_inv'!CF:CF,F8,'PdI-crono_inv'!CE:CE,H8,'PdI-crono_inv'!J:J,P8,'PdI-crono_inv'!P:P,"&lt;&gt;proprietario")+S8</f>
        <v>0</v>
      </c>
      <c r="P8" s="1013" t="s">
        <v>25486</v>
      </c>
      <c r="Q8" s="1932" t="str">
        <f>+VLOOKUP(F8,TT_Tabelle_Riferimento!$D$127:$E$164,2,FALSE)</f>
        <v>Acquedotto</v>
      </c>
      <c r="R8" s="1932" t="str">
        <f t="shared" si="3"/>
        <v/>
      </c>
      <c r="S8" s="2335">
        <f t="shared" si="4"/>
        <v>0</v>
      </c>
    </row>
    <row r="9" spans="1:28">
      <c r="A9" s="1932">
        <f t="shared" si="0"/>
        <v>0</v>
      </c>
      <c r="B9" s="1932">
        <f t="shared" si="1"/>
        <v>0</v>
      </c>
      <c r="C9" s="1013" t="s">
        <v>245</v>
      </c>
      <c r="D9" s="1013">
        <v>0</v>
      </c>
      <c r="E9" s="1013" t="s">
        <v>22698</v>
      </c>
      <c r="F9" s="1013">
        <v>5</v>
      </c>
      <c r="G9" s="1932" t="str">
        <f>+VLOOKUP(F9,TT_Tabelle_Riferimento!$D$127:$G$164,4,FALSE)</f>
        <v>Impianti di sollevamento e pompaggio di acquedotto</v>
      </c>
      <c r="H9" s="1013">
        <v>1</v>
      </c>
      <c r="I9" s="1932" t="str">
        <f>+VLOOKUP(H9,TT_Tabelle_Riferimento!$F$3:$G$6,2,FALSE)</f>
        <v>Servizio idrico integrato</v>
      </c>
      <c r="J9" s="1013">
        <v>2026</v>
      </c>
      <c r="K9" s="2335">
        <f>+SUMIFS('PdI-crono_inv'!AW:AW,'PdI-crono_inv'!CF:CF,F9,'PdI-crono_inv'!CE:CE,H9,'PdI-crono_inv'!J:J,P9,'PdI-crono_inv'!P:P,"&lt;&gt;proprietario")</f>
        <v>0</v>
      </c>
      <c r="M9" s="2335">
        <f>+SUMIFS('PdI-crono_inv'!AX:AX,'PdI-crono_inv'!CF:CF,F9,'PdI-crono_inv'!CE:CE,H9,'PdI-crono_inv'!J:J,P9,'PdI-crono_inv'!P:P,"&lt;&gt;proprietario")+S9</f>
        <v>0</v>
      </c>
      <c r="P9" s="1013" t="s">
        <v>25486</v>
      </c>
      <c r="Q9" s="1932" t="str">
        <f>+VLOOKUP(F9,TT_Tabelle_Riferimento!$D$127:$E$164,2,FALSE)</f>
        <v>Acquedotto</v>
      </c>
      <c r="R9" s="1932" t="str">
        <f t="shared" si="3"/>
        <v/>
      </c>
      <c r="S9" s="2335">
        <f t="shared" si="4"/>
        <v>0</v>
      </c>
    </row>
    <row r="10" spans="1:28">
      <c r="A10" s="1932">
        <f t="shared" si="0"/>
        <v>0</v>
      </c>
      <c r="B10" s="1932">
        <f t="shared" si="1"/>
        <v>0</v>
      </c>
      <c r="C10" s="1013" t="s">
        <v>245</v>
      </c>
      <c r="D10" s="1013">
        <v>0</v>
      </c>
      <c r="E10" s="1013" t="s">
        <v>22698</v>
      </c>
      <c r="F10" s="1013">
        <v>6</v>
      </c>
      <c r="G10" s="1932" t="str">
        <f>+VLOOKUP(F10,TT_Tabelle_Riferimento!$D$127:$G$164,4,FALSE)</f>
        <v>Impianti di potabilizzazione</v>
      </c>
      <c r="H10" s="1013">
        <v>1</v>
      </c>
      <c r="I10" s="1932" t="str">
        <f>+VLOOKUP(H10,TT_Tabelle_Riferimento!$F$3:$G$6,2,FALSE)</f>
        <v>Servizio idrico integrato</v>
      </c>
      <c r="J10" s="1013">
        <v>2026</v>
      </c>
      <c r="K10" s="2335">
        <f>+SUMIFS('PdI-crono_inv'!AW:AW,'PdI-crono_inv'!CF:CF,F10,'PdI-crono_inv'!CE:CE,H10,'PdI-crono_inv'!J:J,P10,'PdI-crono_inv'!P:P,"&lt;&gt;proprietario")</f>
        <v>0</v>
      </c>
      <c r="M10" s="2335">
        <f>+SUMIFS('PdI-crono_inv'!AX:AX,'PdI-crono_inv'!CF:CF,F10,'PdI-crono_inv'!CE:CE,H10,'PdI-crono_inv'!J:J,P10,'PdI-crono_inv'!P:P,"&lt;&gt;proprietario")+S10</f>
        <v>0</v>
      </c>
      <c r="P10" s="1013" t="s">
        <v>25486</v>
      </c>
      <c r="Q10" s="1932" t="str">
        <f>+VLOOKUP(F10,TT_Tabelle_Riferimento!$D$127:$E$164,2,FALSE)</f>
        <v>Acquedotto</v>
      </c>
      <c r="R10" s="1932" t="str">
        <f t="shared" si="3"/>
        <v/>
      </c>
      <c r="S10" s="2335">
        <f t="shared" si="4"/>
        <v>0</v>
      </c>
    </row>
    <row r="11" spans="1:28">
      <c r="A11" s="1932">
        <f t="shared" si="0"/>
        <v>0</v>
      </c>
      <c r="B11" s="1932">
        <f t="shared" si="1"/>
        <v>0</v>
      </c>
      <c r="C11" s="1013" t="s">
        <v>245</v>
      </c>
      <c r="D11" s="1013">
        <v>0</v>
      </c>
      <c r="E11" s="1013" t="s">
        <v>22698</v>
      </c>
      <c r="F11" s="1013">
        <v>7</v>
      </c>
      <c r="G11" s="1932" t="str">
        <f>+VLOOKUP(F11,TT_Tabelle_Riferimento!$D$127:$G$164,4,FALSE)</f>
        <v>Altri trattamenti di potabilizzazione (tra cui dispositivi di disinfezione, stacciatura, filtrazione, addolcimento)</v>
      </c>
      <c r="H11" s="1013">
        <v>1</v>
      </c>
      <c r="I11" s="1932" t="str">
        <f>+VLOOKUP(H11,TT_Tabelle_Riferimento!$F$3:$G$6,2,FALSE)</f>
        <v>Servizio idrico integrato</v>
      </c>
      <c r="J11" s="1013">
        <v>2026</v>
      </c>
      <c r="K11" s="2335">
        <f>+SUMIFS('PdI-crono_inv'!AW:AW,'PdI-crono_inv'!CF:CF,F11,'PdI-crono_inv'!CE:CE,H11,'PdI-crono_inv'!J:J,P11,'PdI-crono_inv'!P:P,"&lt;&gt;proprietario")</f>
        <v>0</v>
      </c>
      <c r="M11" s="2335">
        <f>+SUMIFS('PdI-crono_inv'!AX:AX,'PdI-crono_inv'!CF:CF,F11,'PdI-crono_inv'!CE:CE,H11,'PdI-crono_inv'!J:J,P11,'PdI-crono_inv'!P:P,"&lt;&gt;proprietario")+S11</f>
        <v>0</v>
      </c>
      <c r="P11" s="1013" t="s">
        <v>25486</v>
      </c>
      <c r="Q11" s="1932" t="str">
        <f>+VLOOKUP(F11,TT_Tabelle_Riferimento!$D$127:$E$164,2,FALSE)</f>
        <v>Acquedotto</v>
      </c>
      <c r="R11" s="1932" t="str">
        <f t="shared" si="3"/>
        <v/>
      </c>
      <c r="S11" s="2335">
        <f t="shared" si="4"/>
        <v>0</v>
      </c>
    </row>
    <row r="12" spans="1:28">
      <c r="A12" s="1932">
        <f t="shared" si="0"/>
        <v>0</v>
      </c>
      <c r="B12" s="1932">
        <f t="shared" si="1"/>
        <v>0</v>
      </c>
      <c r="C12" s="1013" t="s">
        <v>245</v>
      </c>
      <c r="D12" s="1013">
        <v>0</v>
      </c>
      <c r="E12" s="1013" t="s">
        <v>22698</v>
      </c>
      <c r="F12" s="1013">
        <v>8</v>
      </c>
      <c r="G12" s="1932" t="str">
        <f>+VLOOKUP(F12,TT_Tabelle_Riferimento!$D$127:$G$164,4,FALSE)</f>
        <v>Gruppi di misura - altre attrezzature di acquedotto</v>
      </c>
      <c r="H12" s="1013">
        <v>1</v>
      </c>
      <c r="I12" s="1932" t="str">
        <f>+VLOOKUP(H12,TT_Tabelle_Riferimento!$F$3:$G$6,2,FALSE)</f>
        <v>Servizio idrico integrato</v>
      </c>
      <c r="J12" s="1013">
        <v>2026</v>
      </c>
      <c r="K12" s="2335">
        <f>+SUMIFS('PdI-crono_inv'!AW:AW,'PdI-crono_inv'!CF:CF,F12,'PdI-crono_inv'!CE:CE,H12,'PdI-crono_inv'!J:J,P12,'PdI-crono_inv'!P:P,"&lt;&gt;proprietario")</f>
        <v>0</v>
      </c>
      <c r="M12" s="2335">
        <f>+SUMIFS('PdI-crono_inv'!AX:AX,'PdI-crono_inv'!CF:CF,F12,'PdI-crono_inv'!CE:CE,H12,'PdI-crono_inv'!J:J,P12,'PdI-crono_inv'!P:P,"&lt;&gt;proprietario")+S12</f>
        <v>0</v>
      </c>
      <c r="P12" s="1013" t="s">
        <v>25486</v>
      </c>
      <c r="Q12" s="1932" t="str">
        <f>+VLOOKUP(F12,TT_Tabelle_Riferimento!$D$127:$E$164,2,FALSE)</f>
        <v>Acquedotto</v>
      </c>
      <c r="R12" s="1932" t="str">
        <f t="shared" si="3"/>
        <v/>
      </c>
      <c r="S12" s="2335">
        <f t="shared" si="4"/>
        <v>0</v>
      </c>
    </row>
    <row r="13" spans="1:28">
      <c r="A13" s="1932">
        <f t="shared" si="0"/>
        <v>0</v>
      </c>
      <c r="B13" s="1932">
        <f t="shared" si="1"/>
        <v>0</v>
      </c>
      <c r="C13" s="1013" t="s">
        <v>245</v>
      </c>
      <c r="D13" s="1013">
        <v>0</v>
      </c>
      <c r="E13" s="1013" t="s">
        <v>22698</v>
      </c>
      <c r="F13" s="1013">
        <v>9</v>
      </c>
      <c r="G13" s="1932" t="str">
        <f>+VLOOKUP(F13,TT_Tabelle_Riferimento!$D$127:$G$164,4,FALSE)</f>
        <v>Sistemi informativi di acquedotto</v>
      </c>
      <c r="H13" s="1013">
        <v>1</v>
      </c>
      <c r="I13" s="1932" t="str">
        <f>+VLOOKUP(H13,TT_Tabelle_Riferimento!$F$3:$G$6,2,FALSE)</f>
        <v>Servizio idrico integrato</v>
      </c>
      <c r="J13" s="1013">
        <v>2026</v>
      </c>
      <c r="K13" s="2335">
        <f>+SUMIFS('PdI-crono_inv'!AW:AW,'PdI-crono_inv'!CF:CF,F13,'PdI-crono_inv'!CE:CE,H13,'PdI-crono_inv'!J:J,P13,'PdI-crono_inv'!P:P,"&lt;&gt;proprietario")</f>
        <v>0</v>
      </c>
      <c r="M13" s="2335">
        <f>+SUMIFS('PdI-crono_inv'!AX:AX,'PdI-crono_inv'!CF:CF,F13,'PdI-crono_inv'!CE:CE,H13,'PdI-crono_inv'!J:J,P13,'PdI-crono_inv'!P:P,"&lt;&gt;proprietario")+S13</f>
        <v>0</v>
      </c>
      <c r="P13" s="1013" t="s">
        <v>25486</v>
      </c>
      <c r="Q13" s="1932" t="str">
        <f>+VLOOKUP(F13,TT_Tabelle_Riferimento!$D$127:$E$164,2,FALSE)</f>
        <v>Acquedotto</v>
      </c>
      <c r="R13" s="1932" t="str">
        <f t="shared" si="3"/>
        <v/>
      </c>
      <c r="S13" s="2335">
        <f t="shared" si="4"/>
        <v>0</v>
      </c>
    </row>
    <row r="14" spans="1:28">
      <c r="A14" s="1932">
        <f t="shared" si="0"/>
        <v>0</v>
      </c>
      <c r="B14" s="1932">
        <f t="shared" si="1"/>
        <v>0</v>
      </c>
      <c r="C14" s="1013" t="s">
        <v>245</v>
      </c>
      <c r="D14" s="1013">
        <v>0</v>
      </c>
      <c r="E14" s="1013" t="s">
        <v>22698</v>
      </c>
      <c r="F14" s="1013">
        <v>10</v>
      </c>
      <c r="G14" s="1932" t="str">
        <f>+VLOOKUP(F14,TT_Tabelle_Riferimento!$D$127:$G$164,4,FALSE)</f>
        <v>Telecontrollo e teletrasmissione di acquedotto</v>
      </c>
      <c r="H14" s="1013">
        <v>1</v>
      </c>
      <c r="I14" s="1932" t="str">
        <f>+VLOOKUP(H14,TT_Tabelle_Riferimento!$F$3:$G$6,2,FALSE)</f>
        <v>Servizio idrico integrato</v>
      </c>
      <c r="J14" s="1013">
        <v>2026</v>
      </c>
      <c r="K14" s="2335">
        <f>+SUMIFS('PdI-crono_inv'!AW:AW,'PdI-crono_inv'!CF:CF,F14,'PdI-crono_inv'!CE:CE,H14,'PdI-crono_inv'!J:J,P14,'PdI-crono_inv'!P:P,"&lt;&gt;proprietario")</f>
        <v>0</v>
      </c>
      <c r="M14" s="2335">
        <f>+SUMIFS('PdI-crono_inv'!AX:AX,'PdI-crono_inv'!CF:CF,F14,'PdI-crono_inv'!CE:CE,H14,'PdI-crono_inv'!J:J,P14,'PdI-crono_inv'!P:P,"&lt;&gt;proprietario")+S14</f>
        <v>0</v>
      </c>
      <c r="P14" s="1013" t="s">
        <v>25486</v>
      </c>
      <c r="Q14" s="1932" t="str">
        <f>+VLOOKUP(F14,TT_Tabelle_Riferimento!$D$127:$E$164,2,FALSE)</f>
        <v>Acquedotto</v>
      </c>
      <c r="R14" s="1932" t="str">
        <f t="shared" si="3"/>
        <v/>
      </c>
      <c r="S14" s="2335">
        <f t="shared" si="4"/>
        <v>0</v>
      </c>
    </row>
    <row r="15" spans="1:28">
      <c r="A15" s="1932">
        <f t="shared" si="0"/>
        <v>0</v>
      </c>
      <c r="B15" s="1932">
        <f t="shared" si="1"/>
        <v>0</v>
      </c>
      <c r="C15" s="1013" t="s">
        <v>245</v>
      </c>
      <c r="D15" s="1013">
        <v>0</v>
      </c>
      <c r="E15" s="1013" t="s">
        <v>22698</v>
      </c>
      <c r="F15" s="1013">
        <v>11</v>
      </c>
      <c r="G15" s="1932" t="str">
        <f>+VLOOKUP(F15,TT_Tabelle_Riferimento!$D$127:$G$164,4,FALSE)</f>
        <v>Condotte fognarie</v>
      </c>
      <c r="H15" s="1013">
        <v>1</v>
      </c>
      <c r="I15" s="1932" t="str">
        <f>+VLOOKUP(H15,TT_Tabelle_Riferimento!$F$3:$G$6,2,FALSE)</f>
        <v>Servizio idrico integrato</v>
      </c>
      <c r="J15" s="1013">
        <v>2026</v>
      </c>
      <c r="K15" s="2335">
        <f>+SUMIFS('PdI-crono_inv'!AW:AW,'PdI-crono_inv'!CF:CF,F15,'PdI-crono_inv'!CE:CE,H15,'PdI-crono_inv'!J:J,P15,'PdI-crono_inv'!P:P,"&lt;&gt;proprietario")</f>
        <v>0</v>
      </c>
      <c r="M15" s="2335">
        <f>+SUMIFS('PdI-crono_inv'!AX:AX,'PdI-crono_inv'!CF:CF,F15,'PdI-crono_inv'!CE:CE,H15,'PdI-crono_inv'!J:J,P15,'PdI-crono_inv'!P:P,"&lt;&gt;proprietario")+S15</f>
        <v>0</v>
      </c>
      <c r="P15" s="1013" t="s">
        <v>25486</v>
      </c>
      <c r="Q15" s="1932" t="str">
        <f>+VLOOKUP(F15,TT_Tabelle_Riferimento!$D$127:$E$164,2,FALSE)</f>
        <v>Fognatura</v>
      </c>
      <c r="R15" s="1932" t="str">
        <f t="shared" si="3"/>
        <v/>
      </c>
      <c r="S15" s="2335">
        <f t="shared" si="4"/>
        <v>0</v>
      </c>
    </row>
    <row r="16" spans="1:28">
      <c r="A16" s="1932">
        <f t="shared" si="0"/>
        <v>0</v>
      </c>
      <c r="B16" s="1932">
        <f t="shared" si="1"/>
        <v>0</v>
      </c>
      <c r="C16" s="1013" t="s">
        <v>245</v>
      </c>
      <c r="D16" s="1013">
        <v>0</v>
      </c>
      <c r="E16" s="1013" t="s">
        <v>22698</v>
      </c>
      <c r="F16" s="1013">
        <v>12</v>
      </c>
      <c r="G16" s="1932" t="str">
        <f>+VLOOKUP(F16,TT_Tabelle_Riferimento!$D$127:$G$164,4,FALSE)</f>
        <v>Sifoni e scaricatori di piena e altre opere idrauliche fisse di fognatura</v>
      </c>
      <c r="H16" s="1013">
        <v>1</v>
      </c>
      <c r="I16" s="1932" t="str">
        <f>+VLOOKUP(H16,TT_Tabelle_Riferimento!$F$3:$G$6,2,FALSE)</f>
        <v>Servizio idrico integrato</v>
      </c>
      <c r="J16" s="1013">
        <v>2026</v>
      </c>
      <c r="K16" s="2335">
        <f>+SUMIFS('PdI-crono_inv'!AW:AW,'PdI-crono_inv'!CF:CF,F16,'PdI-crono_inv'!CE:CE,H16,'PdI-crono_inv'!J:J,P16,'PdI-crono_inv'!P:P,"&lt;&gt;proprietario")</f>
        <v>0</v>
      </c>
      <c r="M16" s="2335">
        <f>+SUMIFS('PdI-crono_inv'!AX:AX,'PdI-crono_inv'!CF:CF,F16,'PdI-crono_inv'!CE:CE,H16,'PdI-crono_inv'!J:J,P16,'PdI-crono_inv'!P:P,"&lt;&gt;proprietario")+S16</f>
        <v>0</v>
      </c>
      <c r="P16" s="1013" t="s">
        <v>25486</v>
      </c>
      <c r="Q16" s="1932" t="str">
        <f>+VLOOKUP(F16,TT_Tabelle_Riferimento!$D$127:$E$164,2,FALSE)</f>
        <v>Fognatura</v>
      </c>
      <c r="R16" s="1932" t="str">
        <f t="shared" si="3"/>
        <v/>
      </c>
      <c r="S16" s="2335">
        <f t="shared" si="4"/>
        <v>0</v>
      </c>
    </row>
    <row r="17" spans="1:19">
      <c r="A17" s="1932">
        <f t="shared" si="0"/>
        <v>0</v>
      </c>
      <c r="B17" s="1932">
        <f t="shared" si="1"/>
        <v>0</v>
      </c>
      <c r="C17" s="1013" t="s">
        <v>245</v>
      </c>
      <c r="D17" s="1013">
        <v>0</v>
      </c>
      <c r="E17" s="1013" t="s">
        <v>22698</v>
      </c>
      <c r="F17" s="1013">
        <v>13</v>
      </c>
      <c r="G17" s="1932" t="str">
        <f>+VLOOKUP(F17,TT_Tabelle_Riferimento!$D$127:$G$164,4,FALSE)</f>
        <v>Vasche di laminazione e vasche di prima pioggia</v>
      </c>
      <c r="H17" s="1013">
        <v>1</v>
      </c>
      <c r="I17" s="1932" t="str">
        <f>+VLOOKUP(H17,TT_Tabelle_Riferimento!$F$3:$G$6,2,FALSE)</f>
        <v>Servizio idrico integrato</v>
      </c>
      <c r="J17" s="1013">
        <v>2026</v>
      </c>
      <c r="K17" s="2335">
        <f>+SUMIFS('PdI-crono_inv'!AW:AW,'PdI-crono_inv'!CF:CF,F17,'PdI-crono_inv'!CE:CE,H17,'PdI-crono_inv'!J:J,P17,'PdI-crono_inv'!P:P,"&lt;&gt;proprietario")</f>
        <v>0</v>
      </c>
      <c r="M17" s="2335">
        <f>+SUMIFS('PdI-crono_inv'!AX:AX,'PdI-crono_inv'!CF:CF,F17,'PdI-crono_inv'!CE:CE,H17,'PdI-crono_inv'!J:J,P17,'PdI-crono_inv'!P:P,"&lt;&gt;proprietario")+S17</f>
        <v>0</v>
      </c>
      <c r="P17" s="1013" t="s">
        <v>25486</v>
      </c>
      <c r="Q17" s="1932" t="str">
        <f>+VLOOKUP(F17,TT_Tabelle_Riferimento!$D$127:$E$164,2,FALSE)</f>
        <v>Fognatura</v>
      </c>
      <c r="R17" s="1932" t="str">
        <f t="shared" si="3"/>
        <v/>
      </c>
      <c r="S17" s="2335">
        <f t="shared" si="4"/>
        <v>0</v>
      </c>
    </row>
    <row r="18" spans="1:19">
      <c r="A18" s="1932">
        <f t="shared" si="0"/>
        <v>0</v>
      </c>
      <c r="B18" s="1932">
        <f t="shared" si="1"/>
        <v>0</v>
      </c>
      <c r="C18" s="1013" t="s">
        <v>245</v>
      </c>
      <c r="D18" s="1013">
        <v>0</v>
      </c>
      <c r="E18" s="1013" t="s">
        <v>22698</v>
      </c>
      <c r="F18" s="1013">
        <v>14</v>
      </c>
      <c r="G18" s="1932" t="str">
        <f>+VLOOKUP(F18,TT_Tabelle_Riferimento!$D$127:$G$164,4,FALSE)</f>
        <v>Impianti di sollevamento e pompaggio di fognatura</v>
      </c>
      <c r="H18" s="1013">
        <v>1</v>
      </c>
      <c r="I18" s="1932" t="str">
        <f>+VLOOKUP(H18,TT_Tabelle_Riferimento!$F$3:$G$6,2,FALSE)</f>
        <v>Servizio idrico integrato</v>
      </c>
      <c r="J18" s="1013">
        <v>2026</v>
      </c>
      <c r="K18" s="2335">
        <f>+SUMIFS('PdI-crono_inv'!AW:AW,'PdI-crono_inv'!CF:CF,F18,'PdI-crono_inv'!CE:CE,H18,'PdI-crono_inv'!J:J,P18,'PdI-crono_inv'!P:P,"&lt;&gt;proprietario")</f>
        <v>0</v>
      </c>
      <c r="M18" s="2335">
        <f>+SUMIFS('PdI-crono_inv'!AX:AX,'PdI-crono_inv'!CF:CF,F18,'PdI-crono_inv'!CE:CE,H18,'PdI-crono_inv'!J:J,P18,'PdI-crono_inv'!P:P,"&lt;&gt;proprietario")+S18</f>
        <v>0</v>
      </c>
      <c r="P18" s="1013" t="s">
        <v>25486</v>
      </c>
      <c r="Q18" s="1932" t="str">
        <f>+VLOOKUP(F18,TT_Tabelle_Riferimento!$D$127:$E$164,2,FALSE)</f>
        <v>Fognatura</v>
      </c>
      <c r="R18" s="1932" t="str">
        <f t="shared" si="3"/>
        <v/>
      </c>
      <c r="S18" s="2335">
        <f t="shared" si="4"/>
        <v>0</v>
      </c>
    </row>
    <row r="19" spans="1:19">
      <c r="A19" s="1932">
        <f t="shared" si="0"/>
        <v>0</v>
      </c>
      <c r="B19" s="1932">
        <f t="shared" si="1"/>
        <v>0</v>
      </c>
      <c r="C19" s="1013" t="s">
        <v>245</v>
      </c>
      <c r="D19" s="1013">
        <v>0</v>
      </c>
      <c r="E19" s="1013" t="s">
        <v>22698</v>
      </c>
      <c r="F19" s="1013">
        <v>15</v>
      </c>
      <c r="G19" s="1932" t="str">
        <f>+VLOOKUP(F19,TT_Tabelle_Riferimento!$D$127:$G$164,4,FALSE)</f>
        <v>Gruppi di misura - altre attrezzature di fognatura</v>
      </c>
      <c r="H19" s="1013">
        <v>1</v>
      </c>
      <c r="I19" s="1932" t="str">
        <f>+VLOOKUP(H19,TT_Tabelle_Riferimento!$F$3:$G$6,2,FALSE)</f>
        <v>Servizio idrico integrato</v>
      </c>
      <c r="J19" s="1013">
        <v>2026</v>
      </c>
      <c r="K19" s="2335">
        <f>+SUMIFS('PdI-crono_inv'!AW:AW,'PdI-crono_inv'!CF:CF,F19,'PdI-crono_inv'!CE:CE,H19,'PdI-crono_inv'!J:J,P19,'PdI-crono_inv'!P:P,"&lt;&gt;proprietario")</f>
        <v>0</v>
      </c>
      <c r="M19" s="2335">
        <f>+SUMIFS('PdI-crono_inv'!AX:AX,'PdI-crono_inv'!CF:CF,F19,'PdI-crono_inv'!CE:CE,H19,'PdI-crono_inv'!J:J,P19,'PdI-crono_inv'!P:P,"&lt;&gt;proprietario")+S19</f>
        <v>0</v>
      </c>
      <c r="P19" s="1013" t="s">
        <v>25486</v>
      </c>
      <c r="Q19" s="1932" t="str">
        <f>+VLOOKUP(F19,TT_Tabelle_Riferimento!$D$127:$E$164,2,FALSE)</f>
        <v>Fognatura</v>
      </c>
      <c r="R19" s="1932" t="str">
        <f t="shared" si="3"/>
        <v/>
      </c>
      <c r="S19" s="2335">
        <f t="shared" si="4"/>
        <v>0</v>
      </c>
    </row>
    <row r="20" spans="1:19">
      <c r="A20" s="1932">
        <f t="shared" si="0"/>
        <v>0</v>
      </c>
      <c r="B20" s="1932">
        <f t="shared" si="1"/>
        <v>0</v>
      </c>
      <c r="C20" s="1013" t="s">
        <v>245</v>
      </c>
      <c r="D20" s="1013">
        <v>0</v>
      </c>
      <c r="E20" s="1013" t="s">
        <v>22698</v>
      </c>
      <c r="F20" s="1013">
        <v>16</v>
      </c>
      <c r="G20" s="1932" t="str">
        <f>+VLOOKUP(F20,TT_Tabelle_Riferimento!$D$127:$G$164,4,FALSE)</f>
        <v>Sistemi informativi di fognatura</v>
      </c>
      <c r="H20" s="1013">
        <v>1</v>
      </c>
      <c r="I20" s="1932" t="str">
        <f>+VLOOKUP(H20,TT_Tabelle_Riferimento!$F$3:$G$6,2,FALSE)</f>
        <v>Servizio idrico integrato</v>
      </c>
      <c r="J20" s="1013">
        <v>2026</v>
      </c>
      <c r="K20" s="2335">
        <f>+SUMIFS('PdI-crono_inv'!AW:AW,'PdI-crono_inv'!CF:CF,F20,'PdI-crono_inv'!CE:CE,H20,'PdI-crono_inv'!J:J,P20,'PdI-crono_inv'!P:P,"&lt;&gt;proprietario")</f>
        <v>0</v>
      </c>
      <c r="M20" s="2335">
        <f>+SUMIFS('PdI-crono_inv'!AX:AX,'PdI-crono_inv'!CF:CF,F20,'PdI-crono_inv'!CE:CE,H20,'PdI-crono_inv'!J:J,P20,'PdI-crono_inv'!P:P,"&lt;&gt;proprietario")+S20</f>
        <v>0</v>
      </c>
      <c r="P20" s="1013" t="s">
        <v>25486</v>
      </c>
      <c r="Q20" s="1932" t="str">
        <f>+VLOOKUP(F20,TT_Tabelle_Riferimento!$D$127:$E$164,2,FALSE)</f>
        <v>Fognatura</v>
      </c>
      <c r="R20" s="1932" t="str">
        <f t="shared" si="3"/>
        <v/>
      </c>
      <c r="S20" s="2335">
        <f t="shared" si="4"/>
        <v>0</v>
      </c>
    </row>
    <row r="21" spans="1:19">
      <c r="A21" s="1932">
        <f t="shared" si="0"/>
        <v>0</v>
      </c>
      <c r="B21" s="1932">
        <f t="shared" si="1"/>
        <v>0</v>
      </c>
      <c r="C21" s="1013" t="s">
        <v>245</v>
      </c>
      <c r="D21" s="1013">
        <v>0</v>
      </c>
      <c r="E21" s="1013" t="s">
        <v>22698</v>
      </c>
      <c r="F21" s="1013">
        <v>18</v>
      </c>
      <c r="G21" s="1932" t="str">
        <f>+VLOOKUP(F21,TT_Tabelle_Riferimento!$D$127:$G$164,4,FALSE)</f>
        <v>Telecontrollo e teletrasmissione di fognatura</v>
      </c>
      <c r="H21" s="1013">
        <v>1</v>
      </c>
      <c r="I21" s="1932" t="str">
        <f>+VLOOKUP(H21,TT_Tabelle_Riferimento!$F$3:$G$6,2,FALSE)</f>
        <v>Servizio idrico integrato</v>
      </c>
      <c r="J21" s="1013">
        <v>2026</v>
      </c>
      <c r="K21" s="2335">
        <f>+SUMIFS('PdI-crono_inv'!AW:AW,'PdI-crono_inv'!CF:CF,F21,'PdI-crono_inv'!CE:CE,H21,'PdI-crono_inv'!J:J,P21,'PdI-crono_inv'!P:P,"&lt;&gt;proprietario")</f>
        <v>0</v>
      </c>
      <c r="M21" s="2335">
        <f>+SUMIFS('PdI-crono_inv'!AX:AX,'PdI-crono_inv'!CF:CF,F21,'PdI-crono_inv'!CE:CE,H21,'PdI-crono_inv'!J:J,P21,'PdI-crono_inv'!P:P,"&lt;&gt;proprietario")+S21</f>
        <v>0</v>
      </c>
      <c r="P21" s="1013" t="s">
        <v>25486</v>
      </c>
      <c r="Q21" s="1932" t="str">
        <f>+VLOOKUP(F21,TT_Tabelle_Riferimento!$D$127:$E$164,2,FALSE)</f>
        <v>Fognatura</v>
      </c>
      <c r="R21" s="1932" t="str">
        <f t="shared" si="3"/>
        <v/>
      </c>
      <c r="S21" s="2335">
        <f t="shared" si="4"/>
        <v>0</v>
      </c>
    </row>
    <row r="22" spans="1:19">
      <c r="A22" s="1932">
        <f t="shared" si="0"/>
        <v>0</v>
      </c>
      <c r="B22" s="1932">
        <f t="shared" si="1"/>
        <v>0</v>
      </c>
      <c r="C22" s="1013" t="s">
        <v>245</v>
      </c>
      <c r="D22" s="1013">
        <v>0</v>
      </c>
      <c r="E22" s="1013" t="s">
        <v>22698</v>
      </c>
      <c r="F22" s="1013">
        <v>19</v>
      </c>
      <c r="G22" s="1932" t="str">
        <f>+VLOOKUP(F22,TT_Tabelle_Riferimento!$D$127:$G$164,4,FALSE)</f>
        <v>Impianti di sollevamento e pompaggio di depurazione</v>
      </c>
      <c r="H22" s="1013">
        <v>1</v>
      </c>
      <c r="I22" s="1932" t="str">
        <f>+VLOOKUP(H22,TT_Tabelle_Riferimento!$F$3:$G$6,2,FALSE)</f>
        <v>Servizio idrico integrato</v>
      </c>
      <c r="J22" s="1013">
        <v>2026</v>
      </c>
      <c r="K22" s="2335">
        <f>+SUMIFS('PdI-crono_inv'!AW:AW,'PdI-crono_inv'!CF:CF,F22,'PdI-crono_inv'!CE:CE,H22,'PdI-crono_inv'!J:J,P22,'PdI-crono_inv'!P:P,"&lt;&gt;proprietario")</f>
        <v>0</v>
      </c>
      <c r="M22" s="2335">
        <f>+SUMIFS('PdI-crono_inv'!AX:AX,'PdI-crono_inv'!CF:CF,F22,'PdI-crono_inv'!CE:CE,H22,'PdI-crono_inv'!J:J,P22,'PdI-crono_inv'!P:P,"&lt;&gt;proprietario")+S22</f>
        <v>0</v>
      </c>
      <c r="P22" s="1013" t="s">
        <v>25486</v>
      </c>
      <c r="Q22" s="1932" t="str">
        <f>+VLOOKUP(F22,TT_Tabelle_Riferimento!$D$127:$E$164,2,FALSE)</f>
        <v>Depurazione</v>
      </c>
      <c r="R22" s="1932" t="str">
        <f t="shared" si="3"/>
        <v/>
      </c>
      <c r="S22" s="2335">
        <f t="shared" si="4"/>
        <v>0</v>
      </c>
    </row>
    <row r="23" spans="1:19">
      <c r="A23" s="1932">
        <f t="shared" si="0"/>
        <v>0</v>
      </c>
      <c r="B23" s="1932">
        <f t="shared" si="1"/>
        <v>0</v>
      </c>
      <c r="C23" s="1013" t="s">
        <v>245</v>
      </c>
      <c r="D23" s="1013">
        <v>0</v>
      </c>
      <c r="E23" s="1013" t="s">
        <v>22698</v>
      </c>
      <c r="F23" s="1013">
        <v>20</v>
      </c>
      <c r="G23" s="1932" t="str">
        <f>+VLOOKUP(F23,TT_Tabelle_Riferimento!$D$127:$G$164,4,FALSE)</f>
        <v>Tecniche naturali di depurazione (tra cui fitodepurazione e lagunaggio)</v>
      </c>
      <c r="H23" s="1013">
        <v>1</v>
      </c>
      <c r="I23" s="1932" t="str">
        <f>+VLOOKUP(H23,TT_Tabelle_Riferimento!$F$3:$G$6,2,FALSE)</f>
        <v>Servizio idrico integrato</v>
      </c>
      <c r="J23" s="1013">
        <v>2026</v>
      </c>
      <c r="K23" s="2335">
        <f>+SUMIFS('PdI-crono_inv'!AW:AW,'PdI-crono_inv'!CF:CF,F23,'PdI-crono_inv'!CE:CE,H23,'PdI-crono_inv'!J:J,P23,'PdI-crono_inv'!P:P,"&lt;&gt;proprietario")</f>
        <v>0</v>
      </c>
      <c r="M23" s="2335">
        <f>+SUMIFS('PdI-crono_inv'!AX:AX,'PdI-crono_inv'!CF:CF,F23,'PdI-crono_inv'!CE:CE,H23,'PdI-crono_inv'!J:J,P23,'PdI-crono_inv'!P:P,"&lt;&gt;proprietario")+S23</f>
        <v>0</v>
      </c>
      <c r="P23" s="1013" t="s">
        <v>25486</v>
      </c>
      <c r="Q23" s="1932" t="str">
        <f>+VLOOKUP(F23,TT_Tabelle_Riferimento!$D$127:$E$164,2,FALSE)</f>
        <v>Depurazione</v>
      </c>
      <c r="R23" s="1932" t="str">
        <f t="shared" si="3"/>
        <v/>
      </c>
      <c r="S23" s="2335">
        <f t="shared" si="4"/>
        <v>0</v>
      </c>
    </row>
    <row r="24" spans="1:19">
      <c r="A24" s="1932">
        <f t="shared" si="0"/>
        <v>0</v>
      </c>
      <c r="B24" s="1932">
        <f t="shared" si="1"/>
        <v>0</v>
      </c>
      <c r="C24" s="1013" t="s">
        <v>245</v>
      </c>
      <c r="D24" s="1013">
        <v>0</v>
      </c>
      <c r="E24" s="1013" t="s">
        <v>22698</v>
      </c>
      <c r="F24" s="1013">
        <v>21</v>
      </c>
      <c r="G24" s="1932" t="str">
        <f>+VLOOKUP(F24,TT_Tabelle_Riferimento!$D$127:$G$164,4,FALSE)</f>
        <v>Impianti di depurazione – trattamenti sino al preliminare, integrativo, primario - fosse settiche e fosse Imhoff</v>
      </c>
      <c r="H24" s="1013">
        <v>1</v>
      </c>
      <c r="I24" s="1932" t="str">
        <f>+VLOOKUP(H24,TT_Tabelle_Riferimento!$F$3:$G$6,2,FALSE)</f>
        <v>Servizio idrico integrato</v>
      </c>
      <c r="J24" s="1013">
        <v>2026</v>
      </c>
      <c r="K24" s="2335">
        <f>+SUMIFS('PdI-crono_inv'!AW:AW,'PdI-crono_inv'!CF:CF,F24,'PdI-crono_inv'!CE:CE,H24,'PdI-crono_inv'!J:J,P24,'PdI-crono_inv'!P:P,"&lt;&gt;proprietario")</f>
        <v>0</v>
      </c>
      <c r="M24" s="2335">
        <f>+SUMIFS('PdI-crono_inv'!AX:AX,'PdI-crono_inv'!CF:CF,F24,'PdI-crono_inv'!CE:CE,H24,'PdI-crono_inv'!J:J,P24,'PdI-crono_inv'!P:P,"&lt;&gt;proprietario")+S24</f>
        <v>0</v>
      </c>
      <c r="P24" s="1013" t="s">
        <v>25486</v>
      </c>
      <c r="Q24" s="1932" t="str">
        <f>+VLOOKUP(F24,TT_Tabelle_Riferimento!$D$127:$E$164,2,FALSE)</f>
        <v>Depurazione</v>
      </c>
      <c r="R24" s="1932" t="str">
        <f t="shared" si="3"/>
        <v/>
      </c>
      <c r="S24" s="2335">
        <f t="shared" si="4"/>
        <v>0</v>
      </c>
    </row>
    <row r="25" spans="1:19">
      <c r="A25" s="1932">
        <f t="shared" si="0"/>
        <v>0</v>
      </c>
      <c r="B25" s="1932">
        <f t="shared" si="1"/>
        <v>0</v>
      </c>
      <c r="C25" s="1013" t="s">
        <v>245</v>
      </c>
      <c r="D25" s="1013">
        <v>0</v>
      </c>
      <c r="E25" s="1013" t="s">
        <v>22698</v>
      </c>
      <c r="F25" s="1013">
        <v>22</v>
      </c>
      <c r="G25" s="1932" t="str">
        <f>+VLOOKUP(F25,TT_Tabelle_Riferimento!$D$127:$G$164,4,FALSE)</f>
        <v>Impianti di depurazione – trattamenti sino al secondario</v>
      </c>
      <c r="H25" s="1013">
        <v>1</v>
      </c>
      <c r="I25" s="1932" t="str">
        <f>+VLOOKUP(H25,TT_Tabelle_Riferimento!$F$3:$G$6,2,FALSE)</f>
        <v>Servizio idrico integrato</v>
      </c>
      <c r="J25" s="1013">
        <v>2026</v>
      </c>
      <c r="K25" s="2335">
        <f>+SUMIFS('PdI-crono_inv'!AW:AW,'PdI-crono_inv'!CF:CF,F25,'PdI-crono_inv'!CE:CE,H25,'PdI-crono_inv'!J:J,P25,'PdI-crono_inv'!P:P,"&lt;&gt;proprietario")</f>
        <v>0</v>
      </c>
      <c r="M25" s="2335">
        <f>+SUMIFS('PdI-crono_inv'!AX:AX,'PdI-crono_inv'!CF:CF,F25,'PdI-crono_inv'!CE:CE,H25,'PdI-crono_inv'!J:J,P25,'PdI-crono_inv'!P:P,"&lt;&gt;proprietario")+S25</f>
        <v>0</v>
      </c>
      <c r="P25" s="1013" t="s">
        <v>25486</v>
      </c>
      <c r="Q25" s="1932" t="str">
        <f>+VLOOKUP(F25,TT_Tabelle_Riferimento!$D$127:$E$164,2,FALSE)</f>
        <v>Depurazione</v>
      </c>
      <c r="R25" s="1932" t="str">
        <f t="shared" si="3"/>
        <v/>
      </c>
      <c r="S25" s="2335">
        <f t="shared" si="4"/>
        <v>0</v>
      </c>
    </row>
    <row r="26" spans="1:19">
      <c r="A26" s="1932">
        <f t="shared" si="0"/>
        <v>0</v>
      </c>
      <c r="B26" s="1932">
        <f t="shared" si="1"/>
        <v>0</v>
      </c>
      <c r="C26" s="1013" t="s">
        <v>245</v>
      </c>
      <c r="D26" s="1013">
        <v>0</v>
      </c>
      <c r="E26" s="1013" t="s">
        <v>22698</v>
      </c>
      <c r="F26" s="1013">
        <v>23</v>
      </c>
      <c r="G26" s="1932" t="str">
        <f>+VLOOKUP(F26,TT_Tabelle_Riferimento!$D$127:$G$164,4,FALSE)</f>
        <v>Impianti di depurazione – trattamenti sino al terziario e terziario avanzato</v>
      </c>
      <c r="H26" s="1013">
        <v>1</v>
      </c>
      <c r="I26" s="1932" t="str">
        <f>+VLOOKUP(H26,TT_Tabelle_Riferimento!$F$3:$G$6,2,FALSE)</f>
        <v>Servizio idrico integrato</v>
      </c>
      <c r="J26" s="1013">
        <v>2026</v>
      </c>
      <c r="K26" s="2335">
        <f>+SUMIFS('PdI-crono_inv'!AW:AW,'PdI-crono_inv'!CF:CF,F26,'PdI-crono_inv'!CE:CE,H26,'PdI-crono_inv'!J:J,P26,'PdI-crono_inv'!P:P,"&lt;&gt;proprietario")</f>
        <v>0</v>
      </c>
      <c r="M26" s="2335">
        <f>+SUMIFS('PdI-crono_inv'!AX:AX,'PdI-crono_inv'!CF:CF,F26,'PdI-crono_inv'!CE:CE,H26,'PdI-crono_inv'!J:J,P26,'PdI-crono_inv'!P:P,"&lt;&gt;proprietario")+S26</f>
        <v>0</v>
      </c>
      <c r="P26" s="1013" t="s">
        <v>25486</v>
      </c>
      <c r="Q26" s="1932" t="str">
        <f>+VLOOKUP(F26,TT_Tabelle_Riferimento!$D$127:$E$164,2,FALSE)</f>
        <v>Depurazione</v>
      </c>
      <c r="R26" s="1932" t="str">
        <f t="shared" si="3"/>
        <v/>
      </c>
      <c r="S26" s="2335">
        <f t="shared" si="4"/>
        <v>0</v>
      </c>
    </row>
    <row r="27" spans="1:19">
      <c r="A27" s="1932">
        <f t="shared" si="0"/>
        <v>0</v>
      </c>
      <c r="B27" s="1932">
        <f t="shared" si="1"/>
        <v>0</v>
      </c>
      <c r="C27" s="1013" t="s">
        <v>245</v>
      </c>
      <c r="D27" s="1013">
        <v>0</v>
      </c>
      <c r="E27" s="1013" t="s">
        <v>22698</v>
      </c>
      <c r="F27" s="1013">
        <v>24</v>
      </c>
      <c r="G27" s="1932" t="str">
        <f>+VLOOKUP(F27,TT_Tabelle_Riferimento!$D$127:$G$164,4,FALSE)</f>
        <v>Impianti di essiccamento fanghi e di valorizzazione dei fanghi (tra cui mono-incenerimento, pirolisi, gassificazione)</v>
      </c>
      <c r="H27" s="1013">
        <v>1</v>
      </c>
      <c r="I27" s="1932" t="str">
        <f>+VLOOKUP(H27,TT_Tabelle_Riferimento!$F$3:$G$6,2,FALSE)</f>
        <v>Servizio idrico integrato</v>
      </c>
      <c r="J27" s="1013">
        <v>2026</v>
      </c>
      <c r="K27" s="2335">
        <f>+SUMIFS('PdI-crono_inv'!AW:AW,'PdI-crono_inv'!CF:CF,F27,'PdI-crono_inv'!CE:CE,H27,'PdI-crono_inv'!J:J,P27,'PdI-crono_inv'!P:P,"&lt;&gt;proprietario")</f>
        <v>0</v>
      </c>
      <c r="M27" s="2335">
        <f>+SUMIFS('PdI-crono_inv'!AX:AX,'PdI-crono_inv'!CF:CF,F27,'PdI-crono_inv'!CE:CE,H27,'PdI-crono_inv'!J:J,P27,'PdI-crono_inv'!P:P,"&lt;&gt;proprietario")+S27</f>
        <v>0</v>
      </c>
      <c r="P27" s="1013" t="s">
        <v>25486</v>
      </c>
      <c r="Q27" s="1932" t="str">
        <f>+VLOOKUP(F27,TT_Tabelle_Riferimento!$D$127:$E$164,2,FALSE)</f>
        <v>Depurazione</v>
      </c>
      <c r="R27" s="1932" t="str">
        <f t="shared" si="3"/>
        <v/>
      </c>
      <c r="S27" s="2335">
        <f t="shared" si="4"/>
        <v>0</v>
      </c>
    </row>
    <row r="28" spans="1:19">
      <c r="A28" s="1932">
        <f t="shared" si="0"/>
        <v>0</v>
      </c>
      <c r="B28" s="1932">
        <f t="shared" si="1"/>
        <v>0</v>
      </c>
      <c r="C28" s="1013" t="s">
        <v>245</v>
      </c>
      <c r="D28" s="1013">
        <v>0</v>
      </c>
      <c r="E28" s="1013" t="s">
        <v>22698</v>
      </c>
      <c r="F28" s="1013">
        <v>25</v>
      </c>
      <c r="G28" s="1932" t="str">
        <f>+VLOOKUP(F28,TT_Tabelle_Riferimento!$D$127:$G$164,4,FALSE)</f>
        <v>Gruppi di misura - altre attrezzature di depurazione</v>
      </c>
      <c r="H28" s="1013">
        <v>1</v>
      </c>
      <c r="I28" s="1932" t="str">
        <f>+VLOOKUP(H28,TT_Tabelle_Riferimento!$F$3:$G$6,2,FALSE)</f>
        <v>Servizio idrico integrato</v>
      </c>
      <c r="J28" s="1013">
        <v>2026</v>
      </c>
      <c r="K28" s="2335">
        <f>+SUMIFS('PdI-crono_inv'!AW:AW,'PdI-crono_inv'!CF:CF,F28,'PdI-crono_inv'!CE:CE,H28,'PdI-crono_inv'!J:J,P28,'PdI-crono_inv'!P:P,"&lt;&gt;proprietario")</f>
        <v>0</v>
      </c>
      <c r="M28" s="2335">
        <f>+SUMIFS('PdI-crono_inv'!AX:AX,'PdI-crono_inv'!CF:CF,F28,'PdI-crono_inv'!CE:CE,H28,'PdI-crono_inv'!J:J,P28,'PdI-crono_inv'!P:P,"&lt;&gt;proprietario")+S28</f>
        <v>0</v>
      </c>
      <c r="P28" s="1013" t="s">
        <v>25486</v>
      </c>
      <c r="Q28" s="1932" t="str">
        <f>+VLOOKUP(F28,TT_Tabelle_Riferimento!$D$127:$E$164,2,FALSE)</f>
        <v>Depurazione</v>
      </c>
      <c r="R28" s="1932" t="str">
        <f t="shared" si="3"/>
        <v/>
      </c>
      <c r="S28" s="2335">
        <f t="shared" si="4"/>
        <v>0</v>
      </c>
    </row>
    <row r="29" spans="1:19">
      <c r="A29" s="1932">
        <f t="shared" si="0"/>
        <v>0</v>
      </c>
      <c r="B29" s="1932">
        <f t="shared" si="1"/>
        <v>0</v>
      </c>
      <c r="C29" s="1013" t="s">
        <v>245</v>
      </c>
      <c r="D29" s="1013">
        <v>0</v>
      </c>
      <c r="E29" s="1013" t="s">
        <v>22698</v>
      </c>
      <c r="F29" s="1013">
        <v>26</v>
      </c>
      <c r="G29" s="1932" t="str">
        <f>+VLOOKUP(F29,TT_Tabelle_Riferimento!$D$127:$G$164,4,FALSE)</f>
        <v>Sistemi informativi di depurazione</v>
      </c>
      <c r="H29" s="1013">
        <v>1</v>
      </c>
      <c r="I29" s="1932" t="str">
        <f>+VLOOKUP(H29,TT_Tabelle_Riferimento!$F$3:$G$6,2,FALSE)</f>
        <v>Servizio idrico integrato</v>
      </c>
      <c r="J29" s="1013">
        <v>2026</v>
      </c>
      <c r="K29" s="2335">
        <f>+SUMIFS('PdI-crono_inv'!AW:AW,'PdI-crono_inv'!CF:CF,F29,'PdI-crono_inv'!CE:CE,H29,'PdI-crono_inv'!J:J,P29,'PdI-crono_inv'!P:P,"&lt;&gt;proprietario")</f>
        <v>0</v>
      </c>
      <c r="M29" s="2335">
        <f>+SUMIFS('PdI-crono_inv'!AX:AX,'PdI-crono_inv'!CF:CF,F29,'PdI-crono_inv'!CE:CE,H29,'PdI-crono_inv'!J:J,P29,'PdI-crono_inv'!P:P,"&lt;&gt;proprietario")+S29</f>
        <v>0</v>
      </c>
      <c r="P29" s="1013" t="s">
        <v>25486</v>
      </c>
      <c r="Q29" s="1932" t="str">
        <f>+VLOOKUP(F29,TT_Tabelle_Riferimento!$D$127:$E$164,2,FALSE)</f>
        <v>Depurazione</v>
      </c>
      <c r="R29" s="1932" t="str">
        <f t="shared" si="3"/>
        <v/>
      </c>
      <c r="S29" s="2335">
        <f t="shared" si="4"/>
        <v>0</v>
      </c>
    </row>
    <row r="30" spans="1:19">
      <c r="A30" s="1932">
        <f t="shared" si="0"/>
        <v>0</v>
      </c>
      <c r="B30" s="1932">
        <f t="shared" si="1"/>
        <v>0</v>
      </c>
      <c r="C30" s="1013" t="s">
        <v>245</v>
      </c>
      <c r="D30" s="1013">
        <v>0</v>
      </c>
      <c r="E30" s="1013" t="s">
        <v>22698</v>
      </c>
      <c r="F30" s="1013">
        <v>27</v>
      </c>
      <c r="G30" s="1932" t="str">
        <f>+VLOOKUP(F30,TT_Tabelle_Riferimento!$D$127:$G$164,4,FALSE)</f>
        <v>Telecontrollo e teletrasmissione di depurazione</v>
      </c>
      <c r="H30" s="1013">
        <v>1</v>
      </c>
      <c r="I30" s="1932" t="str">
        <f>+VLOOKUP(H30,TT_Tabelle_Riferimento!$F$3:$G$6,2,FALSE)</f>
        <v>Servizio idrico integrato</v>
      </c>
      <c r="J30" s="1013">
        <v>2026</v>
      </c>
      <c r="K30" s="2335">
        <f>+SUMIFS('PdI-crono_inv'!AW:AW,'PdI-crono_inv'!CF:CF,F30,'PdI-crono_inv'!CE:CE,H30,'PdI-crono_inv'!J:J,P30,'PdI-crono_inv'!P:P,"&lt;&gt;proprietario")</f>
        <v>0</v>
      </c>
      <c r="M30" s="2335">
        <f>+SUMIFS('PdI-crono_inv'!AX:AX,'PdI-crono_inv'!CF:CF,F30,'PdI-crono_inv'!CE:CE,H30,'PdI-crono_inv'!J:J,P30,'PdI-crono_inv'!P:P,"&lt;&gt;proprietario")+S30</f>
        <v>0</v>
      </c>
      <c r="P30" s="1013" t="s">
        <v>25486</v>
      </c>
      <c r="Q30" s="1932" t="str">
        <f>+VLOOKUP(F30,TT_Tabelle_Riferimento!$D$127:$E$164,2,FALSE)</f>
        <v>Depurazione</v>
      </c>
      <c r="R30" s="1932" t="str">
        <f t="shared" si="3"/>
        <v/>
      </c>
      <c r="S30" s="2335">
        <f t="shared" si="4"/>
        <v>0</v>
      </c>
    </row>
    <row r="31" spans="1:19">
      <c r="A31" s="1932">
        <f t="shared" si="0"/>
        <v>0</v>
      </c>
      <c r="B31" s="1932">
        <f t="shared" si="1"/>
        <v>0</v>
      </c>
      <c r="C31" s="1013" t="s">
        <v>245</v>
      </c>
      <c r="D31" s="1013">
        <v>0</v>
      </c>
      <c r="E31" s="1013" t="s">
        <v>22698</v>
      </c>
      <c r="F31" s="1013">
        <v>28</v>
      </c>
      <c r="G31" s="1932" t="str">
        <f>+VLOOKUP(F31,TT_Tabelle_Riferimento!$D$127:$G$164,4,FALSE)</f>
        <v>Altri impianti</v>
      </c>
      <c r="H31" s="1013">
        <v>1</v>
      </c>
      <c r="I31" s="1932" t="str">
        <f>+VLOOKUP(H31,TT_Tabelle_Riferimento!$F$3:$G$6,2,FALSE)</f>
        <v>Servizio idrico integrato</v>
      </c>
      <c r="J31" s="1013">
        <v>2026</v>
      </c>
      <c r="K31" s="2335">
        <f>+SUMIFS('PdI-crono_inv'!AW:AW,'PdI-crono_inv'!CF:CF,F31,'PdI-crono_inv'!CE:CE,H31,'PdI-crono_inv'!J:J,P31,'PdI-crono_inv'!P:P,"&lt;&gt;proprietario")</f>
        <v>0</v>
      </c>
      <c r="M31" s="2335">
        <f>+SUMIFS('PdI-crono_inv'!AX:AX,'PdI-crono_inv'!CF:CF,F31,'PdI-crono_inv'!CE:CE,H31,'PdI-crono_inv'!J:J,P31,'PdI-crono_inv'!P:P,"&lt;&gt;proprietario")+S31</f>
        <v>0</v>
      </c>
      <c r="P31" s="1013" t="s">
        <v>25486</v>
      </c>
      <c r="Q31" s="1932" t="str">
        <f>+VLOOKUP(F31,TT_Tabelle_Riferimento!$D$127:$E$164,2,FALSE)</f>
        <v>Comune</v>
      </c>
      <c r="R31" s="1932" t="str">
        <f t="shared" si="3"/>
        <v/>
      </c>
      <c r="S31" s="2335">
        <f t="shared" si="4"/>
        <v>0</v>
      </c>
    </row>
    <row r="32" spans="1:19">
      <c r="A32" s="1932">
        <f t="shared" ref="A32:A40" si="5">+idato</f>
        <v>0</v>
      </c>
      <c r="B32" s="1932">
        <f t="shared" ref="B32:B40" si="6">+idgestore</f>
        <v>0</v>
      </c>
      <c r="C32" s="1013" t="s">
        <v>245</v>
      </c>
      <c r="D32" s="1013">
        <v>0</v>
      </c>
      <c r="E32" s="1013" t="s">
        <v>22698</v>
      </c>
      <c r="F32" s="1013">
        <v>29</v>
      </c>
      <c r="G32" s="1932" t="str">
        <f>+VLOOKUP(F32,TT_Tabelle_Riferimento!$D$127:$G$164,4,FALSE)</f>
        <v>Laboratori e attrezzature</v>
      </c>
      <c r="H32" s="1013">
        <v>1</v>
      </c>
      <c r="I32" s="1932" t="str">
        <f>+VLOOKUP(H32,TT_Tabelle_Riferimento!$F$3:$G$6,2,FALSE)</f>
        <v>Servizio idrico integrato</v>
      </c>
      <c r="J32" s="1013">
        <v>2026</v>
      </c>
      <c r="K32" s="2335">
        <f>+SUMIFS('PdI-crono_inv'!AW:AW,'PdI-crono_inv'!CF:CF,F32,'PdI-crono_inv'!CE:CE,H32,'PdI-crono_inv'!J:J,P32,'PdI-crono_inv'!P:P,"&lt;&gt;proprietario")</f>
        <v>0</v>
      </c>
      <c r="M32" s="2335">
        <f>+SUMIFS('PdI-crono_inv'!AX:AX,'PdI-crono_inv'!CF:CF,F32,'PdI-crono_inv'!CE:CE,H32,'PdI-crono_inv'!J:J,P32,'PdI-crono_inv'!P:P,"&lt;&gt;proprietario")+S32</f>
        <v>0</v>
      </c>
      <c r="P32" s="1013" t="s">
        <v>25486</v>
      </c>
      <c r="Q32" s="1932" t="str">
        <f>+VLOOKUP(F32,TT_Tabelle_Riferimento!$D$127:$E$164,2,FALSE)</f>
        <v>Comune</v>
      </c>
      <c r="R32" s="1932" t="str">
        <f t="shared" si="3"/>
        <v/>
      </c>
      <c r="S32" s="2335">
        <f t="shared" si="4"/>
        <v>0</v>
      </c>
    </row>
    <row r="33" spans="1:19">
      <c r="A33" s="1932">
        <f t="shared" si="5"/>
        <v>0</v>
      </c>
      <c r="B33" s="1932">
        <f t="shared" si="6"/>
        <v>0</v>
      </c>
      <c r="C33" s="1013" t="s">
        <v>245</v>
      </c>
      <c r="D33" s="1013">
        <v>0</v>
      </c>
      <c r="E33" s="1013" t="s">
        <v>22698</v>
      </c>
      <c r="F33" s="1013">
        <v>30</v>
      </c>
      <c r="G33" s="1932" t="str">
        <f>+VLOOKUP(F33,TT_Tabelle_Riferimento!$D$127:$G$164,4,FALSE)</f>
        <v>Sistemi informativi</v>
      </c>
      <c r="H33" s="1013">
        <v>1</v>
      </c>
      <c r="I33" s="1932" t="str">
        <f>+VLOOKUP(H33,TT_Tabelle_Riferimento!$F$3:$G$6,2,FALSE)</f>
        <v>Servizio idrico integrato</v>
      </c>
      <c r="J33" s="1013">
        <v>2026</v>
      </c>
      <c r="K33" s="2335">
        <f>+SUMIFS('PdI-crono_inv'!AW:AW,'PdI-crono_inv'!CF:CF,F33,'PdI-crono_inv'!CE:CE,H33,'PdI-crono_inv'!J:J,P33,'PdI-crono_inv'!P:P,"&lt;&gt;proprietario")</f>
        <v>0</v>
      </c>
      <c r="M33" s="2335">
        <f>+SUMIFS('PdI-crono_inv'!AX:AX,'PdI-crono_inv'!CF:CF,F33,'PdI-crono_inv'!CE:CE,H33,'PdI-crono_inv'!J:J,P33,'PdI-crono_inv'!P:P,"&lt;&gt;proprietario")+S33</f>
        <v>0</v>
      </c>
      <c r="P33" s="1013" t="s">
        <v>25486</v>
      </c>
      <c r="Q33" s="1932" t="str">
        <f>+VLOOKUP(F33,TT_Tabelle_Riferimento!$D$127:$E$164,2,FALSE)</f>
        <v>Comune</v>
      </c>
      <c r="R33" s="1932" t="str">
        <f t="shared" si="3"/>
        <v/>
      </c>
      <c r="S33" s="2335">
        <f t="shared" si="4"/>
        <v>0</v>
      </c>
    </row>
    <row r="34" spans="1:19">
      <c r="A34" s="1932">
        <f t="shared" si="5"/>
        <v>0</v>
      </c>
      <c r="B34" s="1932">
        <f t="shared" si="6"/>
        <v>0</v>
      </c>
      <c r="C34" s="1013" t="s">
        <v>245</v>
      </c>
      <c r="D34" s="1013">
        <v>0</v>
      </c>
      <c r="E34" s="1013" t="s">
        <v>22698</v>
      </c>
      <c r="F34" s="1013">
        <v>31</v>
      </c>
      <c r="G34" s="1932" t="str">
        <f>+VLOOKUP(F34,TT_Tabelle_Riferimento!$D$127:$G$164,4,FALSE)</f>
        <v>Telecontrollo e teletrasmissione</v>
      </c>
      <c r="H34" s="1013">
        <v>1</v>
      </c>
      <c r="I34" s="1932" t="str">
        <f>+VLOOKUP(H34,TT_Tabelle_Riferimento!$F$3:$G$6,2,FALSE)</f>
        <v>Servizio idrico integrato</v>
      </c>
      <c r="J34" s="1013">
        <v>2026</v>
      </c>
      <c r="K34" s="2335">
        <f>+SUMIFS('PdI-crono_inv'!AW:AW,'PdI-crono_inv'!CF:CF,F34,'PdI-crono_inv'!CE:CE,H34,'PdI-crono_inv'!J:J,P34,'PdI-crono_inv'!P:P,"&lt;&gt;proprietario")</f>
        <v>0</v>
      </c>
      <c r="M34" s="2335">
        <f>+SUMIFS('PdI-crono_inv'!AX:AX,'PdI-crono_inv'!CF:CF,F34,'PdI-crono_inv'!CE:CE,H34,'PdI-crono_inv'!J:J,P34,'PdI-crono_inv'!P:P,"&lt;&gt;proprietario")+S34</f>
        <v>0</v>
      </c>
      <c r="P34" s="1013" t="s">
        <v>25486</v>
      </c>
      <c r="Q34" s="1932" t="str">
        <f>+VLOOKUP(F34,TT_Tabelle_Riferimento!$D$127:$E$164,2,FALSE)</f>
        <v>Comune</v>
      </c>
      <c r="R34" s="1932" t="str">
        <f t="shared" si="3"/>
        <v/>
      </c>
      <c r="S34" s="2335">
        <f t="shared" si="4"/>
        <v>0</v>
      </c>
    </row>
    <row r="35" spans="1:19">
      <c r="A35" s="1932">
        <f t="shared" si="5"/>
        <v>0</v>
      </c>
      <c r="B35" s="1932">
        <f t="shared" si="6"/>
        <v>0</v>
      </c>
      <c r="C35" s="1013" t="s">
        <v>245</v>
      </c>
      <c r="D35" s="1013">
        <v>0</v>
      </c>
      <c r="E35" s="1013" t="s">
        <v>22698</v>
      </c>
      <c r="F35" s="1013">
        <v>32</v>
      </c>
      <c r="G35" s="1932" t="str">
        <f>+VLOOKUP(F35,TT_Tabelle_Riferimento!$D$127:$G$164,4,FALSE)</f>
        <v>Autoveicoli - automezzi</v>
      </c>
      <c r="H35" s="1013">
        <v>1</v>
      </c>
      <c r="I35" s="1932" t="str">
        <f>+VLOOKUP(H35,TT_Tabelle_Riferimento!$F$3:$G$6,2,FALSE)</f>
        <v>Servizio idrico integrato</v>
      </c>
      <c r="J35" s="1013">
        <v>2026</v>
      </c>
      <c r="K35" s="2335">
        <f>+SUMIFS('PdI-crono_inv'!AW:AW,'PdI-crono_inv'!CF:CF,F35,'PdI-crono_inv'!CE:CE,H35,'PdI-crono_inv'!J:J,P35,'PdI-crono_inv'!P:P,"&lt;&gt;proprietario")</f>
        <v>0</v>
      </c>
      <c r="M35" s="2335">
        <f>+SUMIFS('PdI-crono_inv'!AX:AX,'PdI-crono_inv'!CF:CF,F35,'PdI-crono_inv'!CE:CE,H35,'PdI-crono_inv'!J:J,P35,'PdI-crono_inv'!P:P,"&lt;&gt;proprietario")+S35</f>
        <v>0</v>
      </c>
      <c r="P35" s="1013" t="s">
        <v>25486</v>
      </c>
      <c r="Q35" s="1932" t="str">
        <f>+VLOOKUP(F35,TT_Tabelle_Riferimento!$D$127:$E$164,2,FALSE)</f>
        <v>Comune</v>
      </c>
      <c r="R35" s="1932" t="str">
        <f t="shared" si="3"/>
        <v/>
      </c>
      <c r="S35" s="2335">
        <f t="shared" si="4"/>
        <v>0</v>
      </c>
    </row>
    <row r="36" spans="1:19">
      <c r="A36" s="1932">
        <f t="shared" si="5"/>
        <v>0</v>
      </c>
      <c r="B36" s="1932">
        <f t="shared" si="6"/>
        <v>0</v>
      </c>
      <c r="C36" s="1013" t="s">
        <v>245</v>
      </c>
      <c r="D36" s="1013">
        <v>0</v>
      </c>
      <c r="E36" s="1013" t="s">
        <v>22698</v>
      </c>
      <c r="F36" s="1013">
        <v>1</v>
      </c>
      <c r="G36" s="1932" t="str">
        <f>+VLOOKUP(F36,TT_Tabelle_Riferimento!$D$127:$G$164,4,FALSE)</f>
        <v>Terreni</v>
      </c>
      <c r="H36" s="1013">
        <v>1</v>
      </c>
      <c r="I36" s="1932" t="str">
        <f>+VLOOKUP(H36,TT_Tabelle_Riferimento!$F$3:$G$6,2,FALSE)</f>
        <v>Servizio idrico integrato</v>
      </c>
      <c r="J36" s="1013">
        <v>2026</v>
      </c>
      <c r="K36" s="2335">
        <f>+SUMIFS('PdI-crono_inv'!AW:AW,'PdI-crono_inv'!CF:CF,F36,'PdI-crono_inv'!CE:CE,H36,'PdI-crono_inv'!J:J,P36,'PdI-crono_inv'!P:P,"&lt;&gt;proprietario")</f>
        <v>0</v>
      </c>
      <c r="M36" s="2335">
        <f>+SUMIFS('PdI-crono_inv'!AX:AX,'PdI-crono_inv'!CF:CF,F36,'PdI-crono_inv'!CE:CE,H36,'PdI-crono_inv'!J:J,P36,'PdI-crono_inv'!P:P,"&lt;&gt;proprietario")+S36</f>
        <v>0</v>
      </c>
      <c r="P36" s="1013" t="s">
        <v>25486</v>
      </c>
      <c r="Q36" s="1932" t="str">
        <f>+VLOOKUP(F36,TT_Tabelle_Riferimento!$D$127:$E$164,2,FALSE)</f>
        <v>Comune</v>
      </c>
      <c r="R36" s="1932" t="str">
        <f t="shared" si="3"/>
        <v/>
      </c>
      <c r="S36" s="2335">
        <f t="shared" si="4"/>
        <v>0</v>
      </c>
    </row>
    <row r="37" spans="1:19">
      <c r="A37" s="1932">
        <f t="shared" si="5"/>
        <v>0</v>
      </c>
      <c r="B37" s="1932">
        <f t="shared" si="6"/>
        <v>0</v>
      </c>
      <c r="C37" s="1013" t="s">
        <v>245</v>
      </c>
      <c r="D37" s="1013">
        <v>0</v>
      </c>
      <c r="E37" s="1013" t="s">
        <v>22698</v>
      </c>
      <c r="F37" s="1013">
        <v>33</v>
      </c>
      <c r="G37" s="1932" t="str">
        <f>+VLOOKUP(F37,TT_Tabelle_Riferimento!$D$127:$G$164,4,FALSE)</f>
        <v>Fabbricati non industriali</v>
      </c>
      <c r="H37" s="1013">
        <v>1</v>
      </c>
      <c r="I37" s="1932" t="str">
        <f>+VLOOKUP(H37,TT_Tabelle_Riferimento!$F$3:$G$6,2,FALSE)</f>
        <v>Servizio idrico integrato</v>
      </c>
      <c r="J37" s="1013">
        <v>2026</v>
      </c>
      <c r="K37" s="2335">
        <f>+SUMIFS('PdI-crono_inv'!AW:AW,'PdI-crono_inv'!CF:CF,F37,'PdI-crono_inv'!CE:CE,H37,'PdI-crono_inv'!J:J,P37,'PdI-crono_inv'!P:P,"&lt;&gt;proprietario")</f>
        <v>0</v>
      </c>
      <c r="M37" s="2335">
        <f>+SUMIFS('PdI-crono_inv'!AX:AX,'PdI-crono_inv'!CF:CF,F37,'PdI-crono_inv'!CE:CE,H37,'PdI-crono_inv'!J:J,P37,'PdI-crono_inv'!P:P,"&lt;&gt;proprietario")+S37</f>
        <v>0</v>
      </c>
      <c r="P37" s="1013" t="s">
        <v>25486</v>
      </c>
      <c r="Q37" s="1932" t="str">
        <f>+VLOOKUP(F37,TT_Tabelle_Riferimento!$D$127:$E$164,2,FALSE)</f>
        <v>Comune</v>
      </c>
      <c r="R37" s="1932" t="str">
        <f t="shared" si="3"/>
        <v/>
      </c>
      <c r="S37" s="2335">
        <f t="shared" si="4"/>
        <v>0</v>
      </c>
    </row>
    <row r="38" spans="1:19">
      <c r="A38" s="1932">
        <f t="shared" si="5"/>
        <v>0</v>
      </c>
      <c r="B38" s="1932">
        <f t="shared" si="6"/>
        <v>0</v>
      </c>
      <c r="C38" s="1013" t="s">
        <v>245</v>
      </c>
      <c r="D38" s="1013">
        <v>0</v>
      </c>
      <c r="E38" s="1013" t="s">
        <v>22698</v>
      </c>
      <c r="F38" s="1013">
        <v>34</v>
      </c>
      <c r="G38" s="1932" t="str">
        <f>+VLOOKUP(F38,TT_Tabelle_Riferimento!$D$127:$G$164,4,FALSE)</f>
        <v>Fabbricati industriali</v>
      </c>
      <c r="H38" s="1013">
        <v>1</v>
      </c>
      <c r="I38" s="1932" t="str">
        <f>+VLOOKUP(H38,TT_Tabelle_Riferimento!$F$3:$G$6,2,FALSE)</f>
        <v>Servizio idrico integrato</v>
      </c>
      <c r="J38" s="1013">
        <v>2026</v>
      </c>
      <c r="K38" s="2335">
        <f>+SUMIFS('PdI-crono_inv'!AW:AW,'PdI-crono_inv'!CF:CF,F38,'PdI-crono_inv'!CE:CE,H38,'PdI-crono_inv'!J:J,P38,'PdI-crono_inv'!P:P,"&lt;&gt;proprietario")</f>
        <v>0</v>
      </c>
      <c r="M38" s="2335">
        <f>+SUMIFS('PdI-crono_inv'!AX:AX,'PdI-crono_inv'!CF:CF,F38,'PdI-crono_inv'!CE:CE,H38,'PdI-crono_inv'!J:J,P38,'PdI-crono_inv'!P:P,"&lt;&gt;proprietario")+S38</f>
        <v>0</v>
      </c>
      <c r="P38" s="1013" t="s">
        <v>25486</v>
      </c>
      <c r="Q38" s="1932" t="str">
        <f>+VLOOKUP(F38,TT_Tabelle_Riferimento!$D$127:$E$164,2,FALSE)</f>
        <v>Comune</v>
      </c>
      <c r="R38" s="1932" t="str">
        <f t="shared" si="3"/>
        <v/>
      </c>
      <c r="S38" s="2335">
        <f t="shared" si="4"/>
        <v>0</v>
      </c>
    </row>
    <row r="39" spans="1:19">
      <c r="A39" s="1932">
        <f t="shared" si="5"/>
        <v>0</v>
      </c>
      <c r="B39" s="1932">
        <f t="shared" si="6"/>
        <v>0</v>
      </c>
      <c r="C39" s="1013" t="s">
        <v>245</v>
      </c>
      <c r="D39" s="1013">
        <v>0</v>
      </c>
      <c r="E39" s="1013" t="s">
        <v>22698</v>
      </c>
      <c r="F39" s="1013">
        <v>35</v>
      </c>
      <c r="G39" s="1932" t="str">
        <f>+VLOOKUP(F39,TT_Tabelle_Riferimento!$D$127:$G$164,4,FALSE)</f>
        <v>Costruzioni leggere</v>
      </c>
      <c r="H39" s="1013">
        <v>1</v>
      </c>
      <c r="I39" s="1932" t="str">
        <f>+VLOOKUP(H39,TT_Tabelle_Riferimento!$F$3:$G$6,2,FALSE)</f>
        <v>Servizio idrico integrato</v>
      </c>
      <c r="J39" s="1013">
        <v>2026</v>
      </c>
      <c r="K39" s="2335">
        <f>+SUMIFS('PdI-crono_inv'!AW:AW,'PdI-crono_inv'!CF:CF,F39,'PdI-crono_inv'!CE:CE,H39,'PdI-crono_inv'!J:J,P39,'PdI-crono_inv'!P:P,"&lt;&gt;proprietario")</f>
        <v>0</v>
      </c>
      <c r="M39" s="2335">
        <f>+SUMIFS('PdI-crono_inv'!AX:AX,'PdI-crono_inv'!CF:CF,F39,'PdI-crono_inv'!CE:CE,H39,'PdI-crono_inv'!J:J,P39,'PdI-crono_inv'!P:P,"&lt;&gt;proprietario")+S39</f>
        <v>0</v>
      </c>
      <c r="P39" s="1013" t="s">
        <v>25486</v>
      </c>
      <c r="Q39" s="1932" t="str">
        <f>+VLOOKUP(F39,TT_Tabelle_Riferimento!$D$127:$E$164,2,FALSE)</f>
        <v>Comune</v>
      </c>
      <c r="R39" s="1932" t="str">
        <f t="shared" si="3"/>
        <v/>
      </c>
      <c r="S39" s="2335">
        <f t="shared" si="4"/>
        <v>0</v>
      </c>
    </row>
    <row r="40" spans="1:19">
      <c r="A40" s="1932">
        <f t="shared" si="5"/>
        <v>0</v>
      </c>
      <c r="B40" s="1932">
        <f t="shared" si="6"/>
        <v>0</v>
      </c>
      <c r="C40" s="1013" t="s">
        <v>245</v>
      </c>
      <c r="D40" s="1013">
        <v>0</v>
      </c>
      <c r="E40" s="1013" t="s">
        <v>22698</v>
      </c>
      <c r="F40" s="1013">
        <v>36</v>
      </c>
      <c r="G40" s="1932" t="str">
        <f>+VLOOKUP(F40,TT_Tabelle_Riferimento!$D$127:$G$164,4,FALSE)</f>
        <v>Studi, ricerche, brevetti, diritti di utilizzazione</v>
      </c>
      <c r="H40" s="1013">
        <v>1</v>
      </c>
      <c r="I40" s="1932" t="str">
        <f>+VLOOKUP(H40,TT_Tabelle_Riferimento!$F$3:$G$6,2,FALSE)</f>
        <v>Servizio idrico integrato</v>
      </c>
      <c r="J40" s="1013">
        <v>2026</v>
      </c>
      <c r="K40" s="2335">
        <f>+SUMIFS('PdI-crono_inv'!AW:AW,'PdI-crono_inv'!CF:CF,F40,'PdI-crono_inv'!CE:CE,H40,'PdI-crono_inv'!J:J,P40,'PdI-crono_inv'!P:P,"&lt;&gt;proprietario")</f>
        <v>0</v>
      </c>
      <c r="M40" s="2335">
        <f>+SUMIFS('PdI-crono_inv'!AX:AX,'PdI-crono_inv'!CF:CF,F40,'PdI-crono_inv'!CE:CE,H40,'PdI-crono_inv'!J:J,P40,'PdI-crono_inv'!P:P,"&lt;&gt;proprietario")+S40</f>
        <v>0</v>
      </c>
      <c r="P40" s="1013" t="s">
        <v>25486</v>
      </c>
      <c r="Q40" s="1932" t="str">
        <f>+VLOOKUP(F40,TT_Tabelle_Riferimento!$D$127:$E$164,2,FALSE)</f>
        <v>Comune</v>
      </c>
      <c r="R40" s="1932" t="str">
        <f t="shared" si="3"/>
        <v/>
      </c>
      <c r="S40" s="2335">
        <f t="shared" si="4"/>
        <v>0</v>
      </c>
    </row>
    <row r="41" spans="1:19">
      <c r="A41" s="1932">
        <v>0</v>
      </c>
      <c r="B41" s="1932">
        <v>0</v>
      </c>
      <c r="C41" s="1013" t="s">
        <v>245</v>
      </c>
      <c r="D41" s="1013">
        <v>0</v>
      </c>
      <c r="E41" s="1013" t="s">
        <v>22698</v>
      </c>
      <c r="F41" s="1013">
        <v>37</v>
      </c>
      <c r="G41" s="1932" t="str">
        <f>+VLOOKUP(F41,TT_Tabelle_Riferimento!$D$127:$G$164,4,FALSE)</f>
        <v>Altre immobilizzazioni materiali e immateriali</v>
      </c>
      <c r="H41" s="1013">
        <v>1</v>
      </c>
      <c r="I41" s="1932" t="str">
        <f>+VLOOKUP(H41,TT_Tabelle_Riferimento!$F$3:$G$6,2,FALSE)</f>
        <v>Servizio idrico integrato</v>
      </c>
      <c r="J41" s="1013">
        <v>2026</v>
      </c>
      <c r="K41" s="2335">
        <f>+SUMIFS('PdI-crono_inv'!AW:AW,'PdI-crono_inv'!CF:CF,F41,'PdI-crono_inv'!CE:CE,H41,'PdI-crono_inv'!J:J,P41,'PdI-crono_inv'!P:P,"&lt;&gt;proprietario")</f>
        <v>0</v>
      </c>
      <c r="M41" s="2335">
        <f>+SUMIFS('PdI-crono_inv'!AX:AX,'PdI-crono_inv'!CF:CF,F41,'PdI-crono_inv'!CE:CE,H41,'PdI-crono_inv'!J:J,P41,'PdI-crono_inv'!P:P,"&lt;&gt;proprietario")+S41</f>
        <v>0</v>
      </c>
      <c r="P41" s="1013" t="s">
        <v>25486</v>
      </c>
      <c r="Q41" s="1932" t="str">
        <f>+VLOOKUP(F41,TT_Tabelle_Riferimento!$D$127:$E$164,2,FALSE)</f>
        <v>Comune</v>
      </c>
      <c r="R41" s="1932" t="str">
        <f>+IF(SUM(K41:N41)=0,"","PdI_consolidamento")</f>
        <v/>
      </c>
      <c r="S41" s="2335">
        <f t="shared" si="4"/>
        <v>0</v>
      </c>
    </row>
    <row r="42" spans="1:19">
      <c r="A42" s="1932">
        <v>0</v>
      </c>
      <c r="B42" s="1932">
        <v>0</v>
      </c>
      <c r="C42" s="1013" t="s">
        <v>245</v>
      </c>
      <c r="D42" s="1013">
        <v>0</v>
      </c>
      <c r="E42" s="1013" t="s">
        <v>22698</v>
      </c>
      <c r="F42" s="1013">
        <v>38</v>
      </c>
      <c r="G42" s="1932" t="str">
        <f>+VLOOKUP(F42,TT_Tabelle_Riferimento!$D$127:$G$164,4,FALSE)</f>
        <v>Grandi dighe (sbarramenti che superano i quindici metri di altezza o che determinano un invaso superiore a 1 milione di metri cubi)</v>
      </c>
      <c r="H42" s="1013">
        <v>1</v>
      </c>
      <c r="I42" s="1932" t="str">
        <f>+VLOOKUP(H42,TT_Tabelle_Riferimento!$F$3:$G$6,2,FALSE)</f>
        <v>Servizio idrico integrato</v>
      </c>
      <c r="J42" s="1013">
        <v>2026</v>
      </c>
      <c r="K42" s="2335">
        <f>+SUMIFS('PdI-crono_inv'!AW:AW,'PdI-crono_inv'!CF:CF,F42,'PdI-crono_inv'!CE:CE,H42,'PdI-crono_inv'!J:J,P42,'PdI-crono_inv'!P:P,"&lt;&gt;proprietario")</f>
        <v>0</v>
      </c>
      <c r="M42" s="2335">
        <f>+SUMIFS('PdI-crono_inv'!AX:AX,'PdI-crono_inv'!CF:CF,F42,'PdI-crono_inv'!CE:CE,H42,'PdI-crono_inv'!J:J,P42,'PdI-crono_inv'!P:P,"&lt;&gt;proprietario")+S42</f>
        <v>0</v>
      </c>
      <c r="P42" s="1013" t="s">
        <v>25486</v>
      </c>
      <c r="Q42" s="1932" t="str">
        <f>+VLOOKUP(F42,TT_Tabelle_Riferimento!$D$127:$E$164,2,FALSE)</f>
        <v>Acquedotto</v>
      </c>
      <c r="R42" s="1932" t="str">
        <f>+IF(SUM(K42:N42)=0,"","PdI_consolidamento")</f>
        <v/>
      </c>
      <c r="S42" s="2335">
        <f t="shared" si="4"/>
        <v>0</v>
      </c>
    </row>
    <row r="43" spans="1:19">
      <c r="A43" s="1932">
        <v>0</v>
      </c>
      <c r="B43" s="1932">
        <v>0</v>
      </c>
      <c r="C43" s="1013" t="s">
        <v>245</v>
      </c>
      <c r="D43" s="1013">
        <v>0</v>
      </c>
      <c r="E43" s="1013" t="s">
        <v>22698</v>
      </c>
      <c r="F43" s="1013">
        <v>39</v>
      </c>
      <c r="G43" s="1932" t="str">
        <f>+VLOOKUP(F43,TT_Tabelle_Riferimento!$D$127:$G$164,4,FALSE)</f>
        <v>Piccole dighe (sbarramenti che non superano i quindici metri di altezza o che determinano un invaso non superiore a 1 milione di metri cubi)</v>
      </c>
      <c r="H43" s="1013">
        <v>1</v>
      </c>
      <c r="I43" s="1932" t="str">
        <f>+VLOOKUP(H43,TT_Tabelle_Riferimento!$F$3:$G$6,2,FALSE)</f>
        <v>Servizio idrico integrato</v>
      </c>
      <c r="J43" s="1013">
        <v>2026</v>
      </c>
      <c r="K43" s="2335">
        <f>+SUMIFS('PdI-crono_inv'!AW:AW,'PdI-crono_inv'!CF:CF,F43,'PdI-crono_inv'!CE:CE,H43,'PdI-crono_inv'!J:J,P43,'PdI-crono_inv'!P:P,"&lt;&gt;proprietario")</f>
        <v>0</v>
      </c>
      <c r="M43" s="2335">
        <f>+SUMIFS('PdI-crono_inv'!AX:AX,'PdI-crono_inv'!CF:CF,F43,'PdI-crono_inv'!CE:CE,H43,'PdI-crono_inv'!J:J,P43,'PdI-crono_inv'!P:P,"&lt;&gt;proprietario")+S43</f>
        <v>0</v>
      </c>
      <c r="P43" s="1013" t="s">
        <v>25486</v>
      </c>
      <c r="Q43" s="1932" t="str">
        <f>+VLOOKUP(F43,TT_Tabelle_Riferimento!$D$127:$E$164,2,FALSE)</f>
        <v>Acquedotto</v>
      </c>
      <c r="R43" s="1932" t="str">
        <f>+IF(SUM(K43:N43)=0,"","PdI_consolidamento")</f>
        <v/>
      </c>
      <c r="S43" s="2335">
        <f t="shared" si="4"/>
        <v>0</v>
      </c>
    </row>
    <row r="44" spans="1:19">
      <c r="A44" s="1932">
        <f t="shared" ref="A44:A78" si="7">+idato</f>
        <v>0</v>
      </c>
      <c r="B44" s="1932">
        <f t="shared" ref="B44:B78" si="8">+idgestore</f>
        <v>0</v>
      </c>
      <c r="C44" s="1013" t="s">
        <v>245</v>
      </c>
      <c r="D44" s="1013">
        <v>0</v>
      </c>
      <c r="E44" s="1013" t="s">
        <v>22698</v>
      </c>
      <c r="F44" s="1013">
        <v>2</v>
      </c>
      <c r="G44" s="1932" t="str">
        <f>+VLOOKUP(F44,TT_Tabelle_Riferimento!$D$127:$G$164,4,FALSE)</f>
        <v>Condotte di acquedotto</v>
      </c>
      <c r="H44" s="1013">
        <v>2</v>
      </c>
      <c r="I44" s="1932" t="str">
        <f>+VLOOKUP(H44,TT_Tabelle_Riferimento!$F$3:$G$6,2,FALSE)</f>
        <v>Fognatura bianca e pulizia / manutenzione caditoie stradali</v>
      </c>
      <c r="J44" s="1013">
        <v>2026</v>
      </c>
      <c r="K44" s="2335">
        <f>+SUMIFS('PdI-crono_inv'!AW:AW,'PdI-crono_inv'!CF:CF,F44,'PdI-crono_inv'!CE:CE,H44,'PdI-crono_inv'!J:J,P44,'PdI-crono_inv'!P:P,"&lt;&gt;proprietario")</f>
        <v>0</v>
      </c>
      <c r="M44" s="2335">
        <f>+SUMIFS('PdI-crono_inv'!AX:AX,'PdI-crono_inv'!CF:CF,F44,'PdI-crono_inv'!CE:CE,H44,'PdI-crono_inv'!J:J,P44,'PdI-crono_inv'!P:P,"&lt;&gt;proprietario")+S44</f>
        <v>0</v>
      </c>
      <c r="P44" s="1013" t="s">
        <v>25486</v>
      </c>
      <c r="Q44" s="1932" t="str">
        <f>+VLOOKUP(F44,TT_Tabelle_Riferimento!$D$127:$E$164,2,FALSE)</f>
        <v>Acquedotto</v>
      </c>
      <c r="R44" s="1932" t="str">
        <f t="shared" ref="R44:R107" si="9">+IF(SUM(K44:N44)=0,"","PdI_consolidamento")</f>
        <v/>
      </c>
      <c r="S44" s="2335">
        <f t="shared" si="4"/>
        <v>0</v>
      </c>
    </row>
    <row r="45" spans="1:19">
      <c r="A45" s="1932">
        <f t="shared" si="7"/>
        <v>0</v>
      </c>
      <c r="B45" s="1932">
        <f t="shared" si="8"/>
        <v>0</v>
      </c>
      <c r="C45" s="1013" t="s">
        <v>245</v>
      </c>
      <c r="D45" s="1013">
        <v>0</v>
      </c>
      <c r="E45" s="1013" t="s">
        <v>22698</v>
      </c>
      <c r="F45" s="1013">
        <v>3</v>
      </c>
      <c r="G45" s="1932" t="str">
        <f>+VLOOKUP(F45,TT_Tabelle_Riferimento!$D$127:$G$164,4,FALSE)</f>
        <v>Opere idrauliche fisse di acquedotto</v>
      </c>
      <c r="H45" s="1013">
        <v>2</v>
      </c>
      <c r="I45" s="1932" t="str">
        <f>+VLOOKUP(H45,TT_Tabelle_Riferimento!$F$3:$G$6,2,FALSE)</f>
        <v>Fognatura bianca e pulizia / manutenzione caditoie stradali</v>
      </c>
      <c r="J45" s="1013">
        <v>2026</v>
      </c>
      <c r="K45" s="2335">
        <f>+SUMIFS('PdI-crono_inv'!AW:AW,'PdI-crono_inv'!CF:CF,F45,'PdI-crono_inv'!CE:CE,H45,'PdI-crono_inv'!J:J,P45,'PdI-crono_inv'!P:P,"&lt;&gt;proprietario")</f>
        <v>0</v>
      </c>
      <c r="M45" s="2335">
        <f>+SUMIFS('PdI-crono_inv'!AX:AX,'PdI-crono_inv'!CF:CF,F45,'PdI-crono_inv'!CE:CE,H45,'PdI-crono_inv'!J:J,P45,'PdI-crono_inv'!P:P,"&lt;&gt;proprietario")+S45</f>
        <v>0</v>
      </c>
      <c r="P45" s="1013" t="s">
        <v>25486</v>
      </c>
      <c r="Q45" s="1932" t="str">
        <f>+VLOOKUP(F45,TT_Tabelle_Riferimento!$D$127:$E$164,2,FALSE)</f>
        <v>Acquedotto</v>
      </c>
      <c r="R45" s="1932" t="str">
        <f t="shared" si="9"/>
        <v/>
      </c>
      <c r="S45" s="2335">
        <f t="shared" si="4"/>
        <v>0</v>
      </c>
    </row>
    <row r="46" spans="1:19">
      <c r="A46" s="1932">
        <f t="shared" si="7"/>
        <v>0</v>
      </c>
      <c r="B46" s="1932">
        <f t="shared" si="8"/>
        <v>0</v>
      </c>
      <c r="C46" s="1013" t="s">
        <v>245</v>
      </c>
      <c r="D46" s="1013">
        <v>0</v>
      </c>
      <c r="E46" s="1013" t="s">
        <v>22698</v>
      </c>
      <c r="F46" s="1013">
        <v>4</v>
      </c>
      <c r="G46" s="1932" t="str">
        <f>+VLOOKUP(F46,TT_Tabelle_Riferimento!$D$127:$G$164,4,FALSE)</f>
        <v>Serbatoi</v>
      </c>
      <c r="H46" s="1013">
        <v>2</v>
      </c>
      <c r="I46" s="1932" t="str">
        <f>+VLOOKUP(H46,TT_Tabelle_Riferimento!$F$3:$G$6,2,FALSE)</f>
        <v>Fognatura bianca e pulizia / manutenzione caditoie stradali</v>
      </c>
      <c r="J46" s="1013">
        <v>2026</v>
      </c>
      <c r="K46" s="2335">
        <f>+SUMIFS('PdI-crono_inv'!AW:AW,'PdI-crono_inv'!CF:CF,F46,'PdI-crono_inv'!CE:CE,H46,'PdI-crono_inv'!J:J,P46,'PdI-crono_inv'!P:P,"&lt;&gt;proprietario")</f>
        <v>0</v>
      </c>
      <c r="M46" s="2335">
        <f>+SUMIFS('PdI-crono_inv'!AX:AX,'PdI-crono_inv'!CF:CF,F46,'PdI-crono_inv'!CE:CE,H46,'PdI-crono_inv'!J:J,P46,'PdI-crono_inv'!P:P,"&lt;&gt;proprietario")+S46</f>
        <v>0</v>
      </c>
      <c r="P46" s="1013" t="s">
        <v>25486</v>
      </c>
      <c r="Q46" s="1932" t="str">
        <f>+VLOOKUP(F46,TT_Tabelle_Riferimento!$D$127:$E$164,2,FALSE)</f>
        <v>Acquedotto</v>
      </c>
      <c r="R46" s="1932" t="str">
        <f t="shared" si="9"/>
        <v/>
      </c>
      <c r="S46" s="2335">
        <f t="shared" si="4"/>
        <v>0</v>
      </c>
    </row>
    <row r="47" spans="1:19">
      <c r="A47" s="1932">
        <f t="shared" si="7"/>
        <v>0</v>
      </c>
      <c r="B47" s="1932">
        <f t="shared" si="8"/>
        <v>0</v>
      </c>
      <c r="C47" s="1013" t="s">
        <v>245</v>
      </c>
      <c r="D47" s="1013">
        <v>0</v>
      </c>
      <c r="E47" s="1013" t="s">
        <v>22698</v>
      </c>
      <c r="F47" s="1013">
        <v>5</v>
      </c>
      <c r="G47" s="1932" t="str">
        <f>+VLOOKUP(F47,TT_Tabelle_Riferimento!$D$127:$G$164,4,FALSE)</f>
        <v>Impianti di sollevamento e pompaggio di acquedotto</v>
      </c>
      <c r="H47" s="1013">
        <v>2</v>
      </c>
      <c r="I47" s="1932" t="str">
        <f>+VLOOKUP(H47,TT_Tabelle_Riferimento!$F$3:$G$6,2,FALSE)</f>
        <v>Fognatura bianca e pulizia / manutenzione caditoie stradali</v>
      </c>
      <c r="J47" s="1013">
        <v>2026</v>
      </c>
      <c r="K47" s="2335">
        <f>+SUMIFS('PdI-crono_inv'!AW:AW,'PdI-crono_inv'!CF:CF,F47,'PdI-crono_inv'!CE:CE,H47,'PdI-crono_inv'!J:J,P47,'PdI-crono_inv'!P:P,"&lt;&gt;proprietario")</f>
        <v>0</v>
      </c>
      <c r="M47" s="2335">
        <f>+SUMIFS('PdI-crono_inv'!AX:AX,'PdI-crono_inv'!CF:CF,F47,'PdI-crono_inv'!CE:CE,H47,'PdI-crono_inv'!J:J,P47,'PdI-crono_inv'!P:P,"&lt;&gt;proprietario")+S47</f>
        <v>0</v>
      </c>
      <c r="P47" s="1013" t="s">
        <v>25486</v>
      </c>
      <c r="Q47" s="1932" t="str">
        <f>+VLOOKUP(F47,TT_Tabelle_Riferimento!$D$127:$E$164,2,FALSE)</f>
        <v>Acquedotto</v>
      </c>
      <c r="R47" s="1932" t="str">
        <f t="shared" si="9"/>
        <v/>
      </c>
      <c r="S47" s="2335">
        <f t="shared" si="4"/>
        <v>0</v>
      </c>
    </row>
    <row r="48" spans="1:19">
      <c r="A48" s="1932">
        <f t="shared" si="7"/>
        <v>0</v>
      </c>
      <c r="B48" s="1932">
        <f t="shared" si="8"/>
        <v>0</v>
      </c>
      <c r="C48" s="1013" t="s">
        <v>245</v>
      </c>
      <c r="D48" s="1013">
        <v>0</v>
      </c>
      <c r="E48" s="1013" t="s">
        <v>22698</v>
      </c>
      <c r="F48" s="1013">
        <v>6</v>
      </c>
      <c r="G48" s="1932" t="str">
        <f>+VLOOKUP(F48,TT_Tabelle_Riferimento!$D$127:$G$164,4,FALSE)</f>
        <v>Impianti di potabilizzazione</v>
      </c>
      <c r="H48" s="1013">
        <v>2</v>
      </c>
      <c r="I48" s="1932" t="str">
        <f>+VLOOKUP(H48,TT_Tabelle_Riferimento!$F$3:$G$6,2,FALSE)</f>
        <v>Fognatura bianca e pulizia / manutenzione caditoie stradali</v>
      </c>
      <c r="J48" s="1013">
        <v>2026</v>
      </c>
      <c r="K48" s="2335">
        <f>+SUMIFS('PdI-crono_inv'!AW:AW,'PdI-crono_inv'!CF:CF,F48,'PdI-crono_inv'!CE:CE,H48,'PdI-crono_inv'!J:J,P48,'PdI-crono_inv'!P:P,"&lt;&gt;proprietario")</f>
        <v>0</v>
      </c>
      <c r="M48" s="2335">
        <f>+SUMIFS('PdI-crono_inv'!AX:AX,'PdI-crono_inv'!CF:CF,F48,'PdI-crono_inv'!CE:CE,H48,'PdI-crono_inv'!J:J,P48,'PdI-crono_inv'!P:P,"&lt;&gt;proprietario")+S48</f>
        <v>0</v>
      </c>
      <c r="P48" s="1013" t="s">
        <v>25486</v>
      </c>
      <c r="Q48" s="1932" t="str">
        <f>+VLOOKUP(F48,TT_Tabelle_Riferimento!$D$127:$E$164,2,FALSE)</f>
        <v>Acquedotto</v>
      </c>
      <c r="R48" s="1932" t="str">
        <f t="shared" si="9"/>
        <v/>
      </c>
      <c r="S48" s="2335">
        <f t="shared" si="4"/>
        <v>0</v>
      </c>
    </row>
    <row r="49" spans="1:19">
      <c r="A49" s="1932">
        <f t="shared" si="7"/>
        <v>0</v>
      </c>
      <c r="B49" s="1932">
        <f t="shared" si="8"/>
        <v>0</v>
      </c>
      <c r="C49" s="1013" t="s">
        <v>245</v>
      </c>
      <c r="D49" s="1013">
        <v>0</v>
      </c>
      <c r="E49" s="1013" t="s">
        <v>22698</v>
      </c>
      <c r="F49" s="1013">
        <v>7</v>
      </c>
      <c r="G49" s="1932" t="str">
        <f>+VLOOKUP(F49,TT_Tabelle_Riferimento!$D$127:$G$164,4,FALSE)</f>
        <v>Altri trattamenti di potabilizzazione (tra cui dispositivi di disinfezione, stacciatura, filtrazione, addolcimento)</v>
      </c>
      <c r="H49" s="1013">
        <v>2</v>
      </c>
      <c r="I49" s="1932" t="str">
        <f>+VLOOKUP(H49,TT_Tabelle_Riferimento!$F$3:$G$6,2,FALSE)</f>
        <v>Fognatura bianca e pulizia / manutenzione caditoie stradali</v>
      </c>
      <c r="J49" s="1013">
        <v>2026</v>
      </c>
      <c r="K49" s="2335">
        <f>+SUMIFS('PdI-crono_inv'!AW:AW,'PdI-crono_inv'!CF:CF,F49,'PdI-crono_inv'!CE:CE,H49,'PdI-crono_inv'!J:J,P49,'PdI-crono_inv'!P:P,"&lt;&gt;proprietario")</f>
        <v>0</v>
      </c>
      <c r="M49" s="2335">
        <f>+SUMIFS('PdI-crono_inv'!AX:AX,'PdI-crono_inv'!CF:CF,F49,'PdI-crono_inv'!CE:CE,H49,'PdI-crono_inv'!J:J,P49,'PdI-crono_inv'!P:P,"&lt;&gt;proprietario")+S49</f>
        <v>0</v>
      </c>
      <c r="P49" s="1013" t="s">
        <v>25486</v>
      </c>
      <c r="Q49" s="1932" t="str">
        <f>+VLOOKUP(F49,TT_Tabelle_Riferimento!$D$127:$E$164,2,FALSE)</f>
        <v>Acquedotto</v>
      </c>
      <c r="R49" s="1932" t="str">
        <f t="shared" si="9"/>
        <v/>
      </c>
      <c r="S49" s="2335">
        <f t="shared" si="4"/>
        <v>0</v>
      </c>
    </row>
    <row r="50" spans="1:19">
      <c r="A50" s="1932">
        <f t="shared" si="7"/>
        <v>0</v>
      </c>
      <c r="B50" s="1932">
        <f t="shared" si="8"/>
        <v>0</v>
      </c>
      <c r="C50" s="1013" t="s">
        <v>245</v>
      </c>
      <c r="D50" s="1013">
        <v>0</v>
      </c>
      <c r="E50" s="1013" t="s">
        <v>22698</v>
      </c>
      <c r="F50" s="1013">
        <v>8</v>
      </c>
      <c r="G50" s="1932" t="str">
        <f>+VLOOKUP(F50,TT_Tabelle_Riferimento!$D$127:$G$164,4,FALSE)</f>
        <v>Gruppi di misura - altre attrezzature di acquedotto</v>
      </c>
      <c r="H50" s="1013">
        <v>2</v>
      </c>
      <c r="I50" s="1932" t="str">
        <f>+VLOOKUP(H50,TT_Tabelle_Riferimento!$F$3:$G$6,2,FALSE)</f>
        <v>Fognatura bianca e pulizia / manutenzione caditoie stradali</v>
      </c>
      <c r="J50" s="1013">
        <v>2026</v>
      </c>
      <c r="K50" s="2335">
        <f>+SUMIFS('PdI-crono_inv'!AW:AW,'PdI-crono_inv'!CF:CF,F50,'PdI-crono_inv'!CE:CE,H50,'PdI-crono_inv'!J:J,P50,'PdI-crono_inv'!P:P,"&lt;&gt;proprietario")</f>
        <v>0</v>
      </c>
      <c r="M50" s="2335">
        <f>+SUMIFS('PdI-crono_inv'!AX:AX,'PdI-crono_inv'!CF:CF,F50,'PdI-crono_inv'!CE:CE,H50,'PdI-crono_inv'!J:J,P50,'PdI-crono_inv'!P:P,"&lt;&gt;proprietario")+S50</f>
        <v>0</v>
      </c>
      <c r="P50" s="1013" t="s">
        <v>25486</v>
      </c>
      <c r="Q50" s="1932" t="str">
        <f>+VLOOKUP(F50,TT_Tabelle_Riferimento!$D$127:$E$164,2,FALSE)</f>
        <v>Acquedotto</v>
      </c>
      <c r="R50" s="1932" t="str">
        <f t="shared" si="9"/>
        <v/>
      </c>
      <c r="S50" s="2335">
        <f t="shared" si="4"/>
        <v>0</v>
      </c>
    </row>
    <row r="51" spans="1:19">
      <c r="A51" s="1932">
        <f t="shared" si="7"/>
        <v>0</v>
      </c>
      <c r="B51" s="1932">
        <f t="shared" si="8"/>
        <v>0</v>
      </c>
      <c r="C51" s="1013" t="s">
        <v>245</v>
      </c>
      <c r="D51" s="1013">
        <v>0</v>
      </c>
      <c r="E51" s="1013" t="s">
        <v>22698</v>
      </c>
      <c r="F51" s="1013">
        <v>9</v>
      </c>
      <c r="G51" s="1932" t="str">
        <f>+VLOOKUP(F51,TT_Tabelle_Riferimento!$D$127:$G$164,4,FALSE)</f>
        <v>Sistemi informativi di acquedotto</v>
      </c>
      <c r="H51" s="1013">
        <v>2</v>
      </c>
      <c r="I51" s="1932" t="str">
        <f>+VLOOKUP(H51,TT_Tabelle_Riferimento!$F$3:$G$6,2,FALSE)</f>
        <v>Fognatura bianca e pulizia / manutenzione caditoie stradali</v>
      </c>
      <c r="J51" s="1013">
        <v>2026</v>
      </c>
      <c r="K51" s="2335">
        <f>+SUMIFS('PdI-crono_inv'!AW:AW,'PdI-crono_inv'!CF:CF,F51,'PdI-crono_inv'!CE:CE,H51,'PdI-crono_inv'!J:J,P51,'PdI-crono_inv'!P:P,"&lt;&gt;proprietario")</f>
        <v>0</v>
      </c>
      <c r="M51" s="2335">
        <f>+SUMIFS('PdI-crono_inv'!AX:AX,'PdI-crono_inv'!CF:CF,F51,'PdI-crono_inv'!CE:CE,H51,'PdI-crono_inv'!J:J,P51,'PdI-crono_inv'!P:P,"&lt;&gt;proprietario")+S51</f>
        <v>0</v>
      </c>
      <c r="P51" s="1013" t="s">
        <v>25486</v>
      </c>
      <c r="Q51" s="1932" t="str">
        <f>+VLOOKUP(F51,TT_Tabelle_Riferimento!$D$127:$E$164,2,FALSE)</f>
        <v>Acquedotto</v>
      </c>
      <c r="R51" s="1932" t="str">
        <f t="shared" si="9"/>
        <v/>
      </c>
      <c r="S51" s="2335">
        <f t="shared" si="4"/>
        <v>0</v>
      </c>
    </row>
    <row r="52" spans="1:19">
      <c r="A52" s="1932">
        <f t="shared" si="7"/>
        <v>0</v>
      </c>
      <c r="B52" s="1932">
        <f t="shared" si="8"/>
        <v>0</v>
      </c>
      <c r="C52" s="1013" t="s">
        <v>245</v>
      </c>
      <c r="D52" s="1013">
        <v>0</v>
      </c>
      <c r="E52" s="1013" t="s">
        <v>22698</v>
      </c>
      <c r="F52" s="1013">
        <v>10</v>
      </c>
      <c r="G52" s="1932" t="str">
        <f>+VLOOKUP(F52,TT_Tabelle_Riferimento!$D$127:$G$164,4,FALSE)</f>
        <v>Telecontrollo e teletrasmissione di acquedotto</v>
      </c>
      <c r="H52" s="1013">
        <v>2</v>
      </c>
      <c r="I52" s="1932" t="str">
        <f>+VLOOKUP(H52,TT_Tabelle_Riferimento!$F$3:$G$6,2,FALSE)</f>
        <v>Fognatura bianca e pulizia / manutenzione caditoie stradali</v>
      </c>
      <c r="J52" s="1013">
        <v>2026</v>
      </c>
      <c r="K52" s="2335">
        <f>+SUMIFS('PdI-crono_inv'!AW:AW,'PdI-crono_inv'!CF:CF,F52,'PdI-crono_inv'!CE:CE,H52,'PdI-crono_inv'!J:J,P52,'PdI-crono_inv'!P:P,"&lt;&gt;proprietario")</f>
        <v>0</v>
      </c>
      <c r="M52" s="2335">
        <f>+SUMIFS('PdI-crono_inv'!AX:AX,'PdI-crono_inv'!CF:CF,F52,'PdI-crono_inv'!CE:CE,H52,'PdI-crono_inv'!J:J,P52,'PdI-crono_inv'!P:P,"&lt;&gt;proprietario")+S52</f>
        <v>0</v>
      </c>
      <c r="P52" s="1013" t="s">
        <v>25486</v>
      </c>
      <c r="Q52" s="1932" t="str">
        <f>+VLOOKUP(F52,TT_Tabelle_Riferimento!$D$127:$E$164,2,FALSE)</f>
        <v>Acquedotto</v>
      </c>
      <c r="R52" s="1932" t="str">
        <f t="shared" si="9"/>
        <v/>
      </c>
      <c r="S52" s="2335">
        <f t="shared" si="4"/>
        <v>0</v>
      </c>
    </row>
    <row r="53" spans="1:19">
      <c r="A53" s="1932">
        <f t="shared" si="7"/>
        <v>0</v>
      </c>
      <c r="B53" s="1932">
        <f t="shared" si="8"/>
        <v>0</v>
      </c>
      <c r="C53" s="1013" t="s">
        <v>245</v>
      </c>
      <c r="D53" s="1013">
        <v>0</v>
      </c>
      <c r="E53" s="1013" t="s">
        <v>22698</v>
      </c>
      <c r="F53" s="1013">
        <v>11</v>
      </c>
      <c r="G53" s="1932" t="str">
        <f>+VLOOKUP(F53,TT_Tabelle_Riferimento!$D$127:$G$164,4,FALSE)</f>
        <v>Condotte fognarie</v>
      </c>
      <c r="H53" s="1013">
        <v>2</v>
      </c>
      <c r="I53" s="1932" t="str">
        <f>+VLOOKUP(H53,TT_Tabelle_Riferimento!$F$3:$G$6,2,FALSE)</f>
        <v>Fognatura bianca e pulizia / manutenzione caditoie stradali</v>
      </c>
      <c r="J53" s="1013">
        <v>2026</v>
      </c>
      <c r="K53" s="2335">
        <f>+SUMIFS('PdI-crono_inv'!AW:AW,'PdI-crono_inv'!CF:CF,F53,'PdI-crono_inv'!CE:CE,H53,'PdI-crono_inv'!J:J,P53,'PdI-crono_inv'!P:P,"&lt;&gt;proprietario")</f>
        <v>0</v>
      </c>
      <c r="M53" s="2335">
        <f>+SUMIFS('PdI-crono_inv'!AX:AX,'PdI-crono_inv'!CF:CF,F53,'PdI-crono_inv'!CE:CE,H53,'PdI-crono_inv'!J:J,P53,'PdI-crono_inv'!P:P,"&lt;&gt;proprietario")+S53</f>
        <v>0</v>
      </c>
      <c r="P53" s="1013" t="s">
        <v>25486</v>
      </c>
      <c r="Q53" s="1932" t="str">
        <f>+VLOOKUP(F53,TT_Tabelle_Riferimento!$D$127:$E$164,2,FALSE)</f>
        <v>Fognatura</v>
      </c>
      <c r="R53" s="1932" t="str">
        <f t="shared" si="9"/>
        <v/>
      </c>
      <c r="S53" s="2335">
        <f t="shared" si="4"/>
        <v>0</v>
      </c>
    </row>
    <row r="54" spans="1:19">
      <c r="A54" s="1932">
        <f t="shared" si="7"/>
        <v>0</v>
      </c>
      <c r="B54" s="1932">
        <f t="shared" si="8"/>
        <v>0</v>
      </c>
      <c r="C54" s="1013" t="s">
        <v>245</v>
      </c>
      <c r="D54" s="1013">
        <v>0</v>
      </c>
      <c r="E54" s="1013" t="s">
        <v>22698</v>
      </c>
      <c r="F54" s="1013">
        <v>12</v>
      </c>
      <c r="G54" s="1932" t="str">
        <f>+VLOOKUP(F54,TT_Tabelle_Riferimento!$D$127:$G$164,4,FALSE)</f>
        <v>Sifoni e scaricatori di piena e altre opere idrauliche fisse di fognatura</v>
      </c>
      <c r="H54" s="1013">
        <v>2</v>
      </c>
      <c r="I54" s="1932" t="str">
        <f>+VLOOKUP(H54,TT_Tabelle_Riferimento!$F$3:$G$6,2,FALSE)</f>
        <v>Fognatura bianca e pulizia / manutenzione caditoie stradali</v>
      </c>
      <c r="J54" s="1013">
        <v>2026</v>
      </c>
      <c r="K54" s="2335">
        <f>+SUMIFS('PdI-crono_inv'!AW:AW,'PdI-crono_inv'!CF:CF,F54,'PdI-crono_inv'!CE:CE,H54,'PdI-crono_inv'!J:J,P54,'PdI-crono_inv'!P:P,"&lt;&gt;proprietario")</f>
        <v>0</v>
      </c>
      <c r="M54" s="2335">
        <f>+SUMIFS('PdI-crono_inv'!AX:AX,'PdI-crono_inv'!CF:CF,F54,'PdI-crono_inv'!CE:CE,H54,'PdI-crono_inv'!J:J,P54,'PdI-crono_inv'!P:P,"&lt;&gt;proprietario")+S54</f>
        <v>0</v>
      </c>
      <c r="P54" s="1013" t="s">
        <v>25486</v>
      </c>
      <c r="Q54" s="1932" t="str">
        <f>+VLOOKUP(F54,TT_Tabelle_Riferimento!$D$127:$E$164,2,FALSE)</f>
        <v>Fognatura</v>
      </c>
      <c r="R54" s="1932" t="str">
        <f t="shared" si="9"/>
        <v/>
      </c>
      <c r="S54" s="2335">
        <f t="shared" si="4"/>
        <v>0</v>
      </c>
    </row>
    <row r="55" spans="1:19">
      <c r="A55" s="1932">
        <f t="shared" si="7"/>
        <v>0</v>
      </c>
      <c r="B55" s="1932">
        <f t="shared" si="8"/>
        <v>0</v>
      </c>
      <c r="C55" s="1013" t="s">
        <v>245</v>
      </c>
      <c r="D55" s="1013">
        <v>0</v>
      </c>
      <c r="E55" s="1013" t="s">
        <v>22698</v>
      </c>
      <c r="F55" s="1013">
        <v>13</v>
      </c>
      <c r="G55" s="1932" t="str">
        <f>+VLOOKUP(F55,TT_Tabelle_Riferimento!$D$127:$G$164,4,FALSE)</f>
        <v>Vasche di laminazione e vasche di prima pioggia</v>
      </c>
      <c r="H55" s="1013">
        <v>2</v>
      </c>
      <c r="I55" s="1932" t="str">
        <f>+VLOOKUP(H55,TT_Tabelle_Riferimento!$F$3:$G$6,2,FALSE)</f>
        <v>Fognatura bianca e pulizia / manutenzione caditoie stradali</v>
      </c>
      <c r="J55" s="1013">
        <v>2026</v>
      </c>
      <c r="K55" s="2335">
        <f>+SUMIFS('PdI-crono_inv'!AW:AW,'PdI-crono_inv'!CF:CF,F55,'PdI-crono_inv'!CE:CE,H55,'PdI-crono_inv'!J:J,P55,'PdI-crono_inv'!P:P,"&lt;&gt;proprietario")</f>
        <v>0</v>
      </c>
      <c r="M55" s="2335">
        <f>+SUMIFS('PdI-crono_inv'!AX:AX,'PdI-crono_inv'!CF:CF,F55,'PdI-crono_inv'!CE:CE,H55,'PdI-crono_inv'!J:J,P55,'PdI-crono_inv'!P:P,"&lt;&gt;proprietario")+S55</f>
        <v>0</v>
      </c>
      <c r="P55" s="1013" t="s">
        <v>25486</v>
      </c>
      <c r="Q55" s="1932" t="str">
        <f>+VLOOKUP(F55,TT_Tabelle_Riferimento!$D$127:$E$164,2,FALSE)</f>
        <v>Fognatura</v>
      </c>
      <c r="R55" s="1932" t="str">
        <f t="shared" si="9"/>
        <v/>
      </c>
      <c r="S55" s="2335">
        <f t="shared" si="4"/>
        <v>0</v>
      </c>
    </row>
    <row r="56" spans="1:19">
      <c r="A56" s="1932">
        <f t="shared" si="7"/>
        <v>0</v>
      </c>
      <c r="B56" s="1932">
        <f t="shared" si="8"/>
        <v>0</v>
      </c>
      <c r="C56" s="1013" t="s">
        <v>245</v>
      </c>
      <c r="D56" s="1013">
        <v>0</v>
      </c>
      <c r="E56" s="1013" t="s">
        <v>22698</v>
      </c>
      <c r="F56" s="1013">
        <v>14</v>
      </c>
      <c r="G56" s="1932" t="str">
        <f>+VLOOKUP(F56,TT_Tabelle_Riferimento!$D$127:$G$164,4,FALSE)</f>
        <v>Impianti di sollevamento e pompaggio di fognatura</v>
      </c>
      <c r="H56" s="1013">
        <v>2</v>
      </c>
      <c r="I56" s="1932" t="str">
        <f>+VLOOKUP(H56,TT_Tabelle_Riferimento!$F$3:$G$6,2,FALSE)</f>
        <v>Fognatura bianca e pulizia / manutenzione caditoie stradali</v>
      </c>
      <c r="J56" s="1013">
        <v>2026</v>
      </c>
      <c r="K56" s="2335">
        <f>+SUMIFS('PdI-crono_inv'!AW:AW,'PdI-crono_inv'!CF:CF,F56,'PdI-crono_inv'!CE:CE,H56,'PdI-crono_inv'!J:J,P56,'PdI-crono_inv'!P:P,"&lt;&gt;proprietario")</f>
        <v>0</v>
      </c>
      <c r="M56" s="2335">
        <f>+SUMIFS('PdI-crono_inv'!AX:AX,'PdI-crono_inv'!CF:CF,F56,'PdI-crono_inv'!CE:CE,H56,'PdI-crono_inv'!J:J,P56,'PdI-crono_inv'!P:P,"&lt;&gt;proprietario")+S56</f>
        <v>0</v>
      </c>
      <c r="P56" s="1013" t="s">
        <v>25486</v>
      </c>
      <c r="Q56" s="1932" t="str">
        <f>+VLOOKUP(F56,TT_Tabelle_Riferimento!$D$127:$E$164,2,FALSE)</f>
        <v>Fognatura</v>
      </c>
      <c r="R56" s="1932" t="str">
        <f t="shared" si="9"/>
        <v/>
      </c>
      <c r="S56" s="2335">
        <f t="shared" si="4"/>
        <v>0</v>
      </c>
    </row>
    <row r="57" spans="1:19">
      <c r="A57" s="1932">
        <f t="shared" si="7"/>
        <v>0</v>
      </c>
      <c r="B57" s="1932">
        <f t="shared" si="8"/>
        <v>0</v>
      </c>
      <c r="C57" s="1013" t="s">
        <v>245</v>
      </c>
      <c r="D57" s="1013">
        <v>0</v>
      </c>
      <c r="E57" s="1013" t="s">
        <v>22698</v>
      </c>
      <c r="F57" s="1013">
        <v>15</v>
      </c>
      <c r="G57" s="1932" t="str">
        <f>+VLOOKUP(F57,TT_Tabelle_Riferimento!$D$127:$G$164,4,FALSE)</f>
        <v>Gruppi di misura - altre attrezzature di fognatura</v>
      </c>
      <c r="H57" s="1013">
        <v>2</v>
      </c>
      <c r="I57" s="1932" t="str">
        <f>+VLOOKUP(H57,TT_Tabelle_Riferimento!$F$3:$G$6,2,FALSE)</f>
        <v>Fognatura bianca e pulizia / manutenzione caditoie stradali</v>
      </c>
      <c r="J57" s="1013">
        <v>2026</v>
      </c>
      <c r="K57" s="2335">
        <f>+SUMIFS('PdI-crono_inv'!AW:AW,'PdI-crono_inv'!CF:CF,F57,'PdI-crono_inv'!CE:CE,H57,'PdI-crono_inv'!J:J,P57,'PdI-crono_inv'!P:P,"&lt;&gt;proprietario")</f>
        <v>0</v>
      </c>
      <c r="M57" s="2335">
        <f>+SUMIFS('PdI-crono_inv'!AX:AX,'PdI-crono_inv'!CF:CF,F57,'PdI-crono_inv'!CE:CE,H57,'PdI-crono_inv'!J:J,P57,'PdI-crono_inv'!P:P,"&lt;&gt;proprietario")+S57</f>
        <v>0</v>
      </c>
      <c r="P57" s="1013" t="s">
        <v>25486</v>
      </c>
      <c r="Q57" s="1932" t="str">
        <f>+VLOOKUP(F57,TT_Tabelle_Riferimento!$D$127:$E$164,2,FALSE)</f>
        <v>Fognatura</v>
      </c>
      <c r="R57" s="1932" t="str">
        <f t="shared" si="9"/>
        <v/>
      </c>
      <c r="S57" s="2335">
        <f t="shared" si="4"/>
        <v>0</v>
      </c>
    </row>
    <row r="58" spans="1:19">
      <c r="A58" s="1932">
        <f t="shared" si="7"/>
        <v>0</v>
      </c>
      <c r="B58" s="1932">
        <f t="shared" si="8"/>
        <v>0</v>
      </c>
      <c r="C58" s="1013" t="s">
        <v>245</v>
      </c>
      <c r="D58" s="1013">
        <v>0</v>
      </c>
      <c r="E58" s="1013" t="s">
        <v>22698</v>
      </c>
      <c r="F58" s="1013">
        <v>16</v>
      </c>
      <c r="G58" s="1932" t="str">
        <f>+VLOOKUP(F58,TT_Tabelle_Riferimento!$D$127:$G$164,4,FALSE)</f>
        <v>Sistemi informativi di fognatura</v>
      </c>
      <c r="H58" s="1013">
        <v>2</v>
      </c>
      <c r="I58" s="1932" t="str">
        <f>+VLOOKUP(H58,TT_Tabelle_Riferimento!$F$3:$G$6,2,FALSE)</f>
        <v>Fognatura bianca e pulizia / manutenzione caditoie stradali</v>
      </c>
      <c r="J58" s="1013">
        <v>2026</v>
      </c>
      <c r="K58" s="2335">
        <f>+SUMIFS('PdI-crono_inv'!AW:AW,'PdI-crono_inv'!CF:CF,F58,'PdI-crono_inv'!CE:CE,H58,'PdI-crono_inv'!J:J,P58,'PdI-crono_inv'!P:P,"&lt;&gt;proprietario")</f>
        <v>0</v>
      </c>
      <c r="M58" s="2335">
        <f>+SUMIFS('PdI-crono_inv'!AX:AX,'PdI-crono_inv'!CF:CF,F58,'PdI-crono_inv'!CE:CE,H58,'PdI-crono_inv'!J:J,P58,'PdI-crono_inv'!P:P,"&lt;&gt;proprietario")+S58</f>
        <v>0</v>
      </c>
      <c r="P58" s="1013" t="s">
        <v>25486</v>
      </c>
      <c r="Q58" s="1932" t="str">
        <f>+VLOOKUP(F58,TT_Tabelle_Riferimento!$D$127:$E$164,2,FALSE)</f>
        <v>Fognatura</v>
      </c>
      <c r="R58" s="1932" t="str">
        <f t="shared" si="9"/>
        <v/>
      </c>
      <c r="S58" s="2335">
        <f t="shared" si="4"/>
        <v>0</v>
      </c>
    </row>
    <row r="59" spans="1:19">
      <c r="A59" s="1932">
        <f t="shared" si="7"/>
        <v>0</v>
      </c>
      <c r="B59" s="1932">
        <f t="shared" si="8"/>
        <v>0</v>
      </c>
      <c r="C59" s="1013" t="s">
        <v>245</v>
      </c>
      <c r="D59" s="1013">
        <v>0</v>
      </c>
      <c r="E59" s="1013" t="s">
        <v>22698</v>
      </c>
      <c r="F59" s="1013">
        <v>18</v>
      </c>
      <c r="G59" s="1932" t="str">
        <f>+VLOOKUP(F59,TT_Tabelle_Riferimento!$D$127:$G$164,4,FALSE)</f>
        <v>Telecontrollo e teletrasmissione di fognatura</v>
      </c>
      <c r="H59" s="1013">
        <v>2</v>
      </c>
      <c r="I59" s="1932" t="str">
        <f>+VLOOKUP(H59,TT_Tabelle_Riferimento!$F$3:$G$6,2,FALSE)</f>
        <v>Fognatura bianca e pulizia / manutenzione caditoie stradali</v>
      </c>
      <c r="J59" s="1013">
        <v>2026</v>
      </c>
      <c r="K59" s="2335">
        <f>+SUMIFS('PdI-crono_inv'!AW:AW,'PdI-crono_inv'!CF:CF,F59,'PdI-crono_inv'!CE:CE,H59,'PdI-crono_inv'!J:J,P59,'PdI-crono_inv'!P:P,"&lt;&gt;proprietario")</f>
        <v>0</v>
      </c>
      <c r="M59" s="2335">
        <f>+SUMIFS('PdI-crono_inv'!AX:AX,'PdI-crono_inv'!CF:CF,F59,'PdI-crono_inv'!CE:CE,H59,'PdI-crono_inv'!J:J,P59,'PdI-crono_inv'!P:P,"&lt;&gt;proprietario")+S59</f>
        <v>0</v>
      </c>
      <c r="P59" s="1013" t="s">
        <v>25486</v>
      </c>
      <c r="Q59" s="1932" t="str">
        <f>+VLOOKUP(F59,TT_Tabelle_Riferimento!$D$127:$E$164,2,FALSE)</f>
        <v>Fognatura</v>
      </c>
      <c r="R59" s="1932" t="str">
        <f t="shared" si="9"/>
        <v/>
      </c>
      <c r="S59" s="2335">
        <f t="shared" si="4"/>
        <v>0</v>
      </c>
    </row>
    <row r="60" spans="1:19">
      <c r="A60" s="1932">
        <f t="shared" si="7"/>
        <v>0</v>
      </c>
      <c r="B60" s="1932">
        <f t="shared" si="8"/>
        <v>0</v>
      </c>
      <c r="C60" s="1013" t="s">
        <v>245</v>
      </c>
      <c r="D60" s="1013">
        <v>0</v>
      </c>
      <c r="E60" s="1013" t="s">
        <v>22698</v>
      </c>
      <c r="F60" s="1013">
        <v>19</v>
      </c>
      <c r="G60" s="1932" t="str">
        <f>+VLOOKUP(F60,TT_Tabelle_Riferimento!$D$127:$G$164,4,FALSE)</f>
        <v>Impianti di sollevamento e pompaggio di depurazione</v>
      </c>
      <c r="H60" s="1013">
        <v>2</v>
      </c>
      <c r="I60" s="1932" t="str">
        <f>+VLOOKUP(H60,TT_Tabelle_Riferimento!$F$3:$G$6,2,FALSE)</f>
        <v>Fognatura bianca e pulizia / manutenzione caditoie stradali</v>
      </c>
      <c r="J60" s="1013">
        <v>2026</v>
      </c>
      <c r="K60" s="2335">
        <f>+SUMIFS('PdI-crono_inv'!AW:AW,'PdI-crono_inv'!CF:CF,F60,'PdI-crono_inv'!CE:CE,H60,'PdI-crono_inv'!J:J,P60,'PdI-crono_inv'!P:P,"&lt;&gt;proprietario")</f>
        <v>0</v>
      </c>
      <c r="M60" s="2335">
        <f>+SUMIFS('PdI-crono_inv'!AX:AX,'PdI-crono_inv'!CF:CF,F60,'PdI-crono_inv'!CE:CE,H60,'PdI-crono_inv'!J:J,P60,'PdI-crono_inv'!P:P,"&lt;&gt;proprietario")+S60</f>
        <v>0</v>
      </c>
      <c r="P60" s="1013" t="s">
        <v>25486</v>
      </c>
      <c r="Q60" s="1932" t="str">
        <f>+VLOOKUP(F60,TT_Tabelle_Riferimento!$D$127:$E$164,2,FALSE)</f>
        <v>Depurazione</v>
      </c>
      <c r="R60" s="1932" t="str">
        <f t="shared" si="9"/>
        <v/>
      </c>
      <c r="S60" s="2335">
        <f t="shared" si="4"/>
        <v>0</v>
      </c>
    </row>
    <row r="61" spans="1:19">
      <c r="A61" s="1932">
        <f t="shared" si="7"/>
        <v>0</v>
      </c>
      <c r="B61" s="1932">
        <f t="shared" si="8"/>
        <v>0</v>
      </c>
      <c r="C61" s="1013" t="s">
        <v>245</v>
      </c>
      <c r="D61" s="1013">
        <v>0</v>
      </c>
      <c r="E61" s="1013" t="s">
        <v>22698</v>
      </c>
      <c r="F61" s="1013">
        <v>20</v>
      </c>
      <c r="G61" s="1932" t="str">
        <f>+VLOOKUP(F61,TT_Tabelle_Riferimento!$D$127:$G$164,4,FALSE)</f>
        <v>Tecniche naturali di depurazione (tra cui fitodepurazione e lagunaggio)</v>
      </c>
      <c r="H61" s="1013">
        <v>2</v>
      </c>
      <c r="I61" s="1932" t="str">
        <f>+VLOOKUP(H61,TT_Tabelle_Riferimento!$F$3:$G$6,2,FALSE)</f>
        <v>Fognatura bianca e pulizia / manutenzione caditoie stradali</v>
      </c>
      <c r="J61" s="1013">
        <v>2026</v>
      </c>
      <c r="K61" s="2335">
        <f>+SUMIFS('PdI-crono_inv'!AW:AW,'PdI-crono_inv'!CF:CF,F61,'PdI-crono_inv'!CE:CE,H61,'PdI-crono_inv'!J:J,P61,'PdI-crono_inv'!P:P,"&lt;&gt;proprietario")</f>
        <v>0</v>
      </c>
      <c r="M61" s="2335">
        <f>+SUMIFS('PdI-crono_inv'!AX:AX,'PdI-crono_inv'!CF:CF,F61,'PdI-crono_inv'!CE:CE,H61,'PdI-crono_inv'!J:J,P61,'PdI-crono_inv'!P:P,"&lt;&gt;proprietario")+S61</f>
        <v>0</v>
      </c>
      <c r="P61" s="1013" t="s">
        <v>25486</v>
      </c>
      <c r="Q61" s="1932" t="str">
        <f>+VLOOKUP(F61,TT_Tabelle_Riferimento!$D$127:$E$164,2,FALSE)</f>
        <v>Depurazione</v>
      </c>
      <c r="R61" s="1932" t="str">
        <f t="shared" si="9"/>
        <v/>
      </c>
      <c r="S61" s="2335">
        <f t="shared" si="4"/>
        <v>0</v>
      </c>
    </row>
    <row r="62" spans="1:19">
      <c r="A62" s="1932">
        <f t="shared" si="7"/>
        <v>0</v>
      </c>
      <c r="B62" s="1932">
        <f t="shared" si="8"/>
        <v>0</v>
      </c>
      <c r="C62" s="1013" t="s">
        <v>245</v>
      </c>
      <c r="D62" s="1013">
        <v>0</v>
      </c>
      <c r="E62" s="1013" t="s">
        <v>22698</v>
      </c>
      <c r="F62" s="1013">
        <v>21</v>
      </c>
      <c r="G62" s="1932" t="str">
        <f>+VLOOKUP(F62,TT_Tabelle_Riferimento!$D$127:$G$164,4,FALSE)</f>
        <v>Impianti di depurazione – trattamenti sino al preliminare, integrativo, primario - fosse settiche e fosse Imhoff</v>
      </c>
      <c r="H62" s="1013">
        <v>2</v>
      </c>
      <c r="I62" s="1932" t="str">
        <f>+VLOOKUP(H62,TT_Tabelle_Riferimento!$F$3:$G$6,2,FALSE)</f>
        <v>Fognatura bianca e pulizia / manutenzione caditoie stradali</v>
      </c>
      <c r="J62" s="1013">
        <v>2026</v>
      </c>
      <c r="K62" s="2335">
        <f>+SUMIFS('PdI-crono_inv'!AW:AW,'PdI-crono_inv'!CF:CF,F62,'PdI-crono_inv'!CE:CE,H62,'PdI-crono_inv'!J:J,P62,'PdI-crono_inv'!P:P,"&lt;&gt;proprietario")</f>
        <v>0</v>
      </c>
      <c r="M62" s="2335">
        <f>+SUMIFS('PdI-crono_inv'!AX:AX,'PdI-crono_inv'!CF:CF,F62,'PdI-crono_inv'!CE:CE,H62,'PdI-crono_inv'!J:J,P62,'PdI-crono_inv'!P:P,"&lt;&gt;proprietario")+S62</f>
        <v>0</v>
      </c>
      <c r="P62" s="1013" t="s">
        <v>25486</v>
      </c>
      <c r="Q62" s="1932" t="str">
        <f>+VLOOKUP(F62,TT_Tabelle_Riferimento!$D$127:$E$164,2,FALSE)</f>
        <v>Depurazione</v>
      </c>
      <c r="R62" s="1932" t="str">
        <f t="shared" si="9"/>
        <v/>
      </c>
      <c r="S62" s="2335">
        <f t="shared" si="4"/>
        <v>0</v>
      </c>
    </row>
    <row r="63" spans="1:19">
      <c r="A63" s="1932">
        <f t="shared" si="7"/>
        <v>0</v>
      </c>
      <c r="B63" s="1932">
        <f t="shared" si="8"/>
        <v>0</v>
      </c>
      <c r="C63" s="1013" t="s">
        <v>245</v>
      </c>
      <c r="D63" s="1013">
        <v>0</v>
      </c>
      <c r="E63" s="1013" t="s">
        <v>22698</v>
      </c>
      <c r="F63" s="1013">
        <v>22</v>
      </c>
      <c r="G63" s="1932" t="str">
        <f>+VLOOKUP(F63,TT_Tabelle_Riferimento!$D$127:$G$164,4,FALSE)</f>
        <v>Impianti di depurazione – trattamenti sino al secondario</v>
      </c>
      <c r="H63" s="1013">
        <v>2</v>
      </c>
      <c r="I63" s="1932" t="str">
        <f>+VLOOKUP(H63,TT_Tabelle_Riferimento!$F$3:$G$6,2,FALSE)</f>
        <v>Fognatura bianca e pulizia / manutenzione caditoie stradali</v>
      </c>
      <c r="J63" s="1013">
        <v>2026</v>
      </c>
      <c r="K63" s="2335">
        <f>+SUMIFS('PdI-crono_inv'!AW:AW,'PdI-crono_inv'!CF:CF,F63,'PdI-crono_inv'!CE:CE,H63,'PdI-crono_inv'!J:J,P63,'PdI-crono_inv'!P:P,"&lt;&gt;proprietario")</f>
        <v>0</v>
      </c>
      <c r="M63" s="2335">
        <f>+SUMIFS('PdI-crono_inv'!AX:AX,'PdI-crono_inv'!CF:CF,F63,'PdI-crono_inv'!CE:CE,H63,'PdI-crono_inv'!J:J,P63,'PdI-crono_inv'!P:P,"&lt;&gt;proprietario")+S63</f>
        <v>0</v>
      </c>
      <c r="P63" s="1013" t="s">
        <v>25486</v>
      </c>
      <c r="Q63" s="1932" t="str">
        <f>+VLOOKUP(F63,TT_Tabelle_Riferimento!$D$127:$E$164,2,FALSE)</f>
        <v>Depurazione</v>
      </c>
      <c r="R63" s="1932" t="str">
        <f t="shared" si="9"/>
        <v/>
      </c>
      <c r="S63" s="2335">
        <f t="shared" si="4"/>
        <v>0</v>
      </c>
    </row>
    <row r="64" spans="1:19">
      <c r="A64" s="1932">
        <f t="shared" si="7"/>
        <v>0</v>
      </c>
      <c r="B64" s="1932">
        <f t="shared" si="8"/>
        <v>0</v>
      </c>
      <c r="C64" s="1013" t="s">
        <v>245</v>
      </c>
      <c r="D64" s="1013">
        <v>0</v>
      </c>
      <c r="E64" s="1013" t="s">
        <v>22698</v>
      </c>
      <c r="F64" s="1013">
        <v>23</v>
      </c>
      <c r="G64" s="1932" t="str">
        <f>+VLOOKUP(F64,TT_Tabelle_Riferimento!$D$127:$G$164,4,FALSE)</f>
        <v>Impianti di depurazione – trattamenti sino al terziario e terziario avanzato</v>
      </c>
      <c r="H64" s="1013">
        <v>2</v>
      </c>
      <c r="I64" s="1932" t="str">
        <f>+VLOOKUP(H64,TT_Tabelle_Riferimento!$F$3:$G$6,2,FALSE)</f>
        <v>Fognatura bianca e pulizia / manutenzione caditoie stradali</v>
      </c>
      <c r="J64" s="1013">
        <v>2026</v>
      </c>
      <c r="K64" s="2335">
        <f>+SUMIFS('PdI-crono_inv'!AW:AW,'PdI-crono_inv'!CF:CF,F64,'PdI-crono_inv'!CE:CE,H64,'PdI-crono_inv'!J:J,P64,'PdI-crono_inv'!P:P,"&lt;&gt;proprietario")</f>
        <v>0</v>
      </c>
      <c r="M64" s="2335">
        <f>+SUMIFS('PdI-crono_inv'!AX:AX,'PdI-crono_inv'!CF:CF,F64,'PdI-crono_inv'!CE:CE,H64,'PdI-crono_inv'!J:J,P64,'PdI-crono_inv'!P:P,"&lt;&gt;proprietario")+S64</f>
        <v>0</v>
      </c>
      <c r="P64" s="1013" t="s">
        <v>25486</v>
      </c>
      <c r="Q64" s="1932" t="str">
        <f>+VLOOKUP(F64,TT_Tabelle_Riferimento!$D$127:$E$164,2,FALSE)</f>
        <v>Depurazione</v>
      </c>
      <c r="R64" s="1932" t="str">
        <f t="shared" si="9"/>
        <v/>
      </c>
      <c r="S64" s="2335">
        <f t="shared" si="4"/>
        <v>0</v>
      </c>
    </row>
    <row r="65" spans="1:19">
      <c r="A65" s="1932">
        <f t="shared" si="7"/>
        <v>0</v>
      </c>
      <c r="B65" s="1932">
        <f t="shared" si="8"/>
        <v>0</v>
      </c>
      <c r="C65" s="1013" t="s">
        <v>245</v>
      </c>
      <c r="D65" s="1013">
        <v>0</v>
      </c>
      <c r="E65" s="1013" t="s">
        <v>22698</v>
      </c>
      <c r="F65" s="1013">
        <v>24</v>
      </c>
      <c r="G65" s="1932" t="str">
        <f>+VLOOKUP(F65,TT_Tabelle_Riferimento!$D$127:$G$164,4,FALSE)</f>
        <v>Impianti di essiccamento fanghi e di valorizzazione dei fanghi (tra cui mono-incenerimento, pirolisi, gassificazione)</v>
      </c>
      <c r="H65" s="1013">
        <v>2</v>
      </c>
      <c r="I65" s="1932" t="str">
        <f>+VLOOKUP(H65,TT_Tabelle_Riferimento!$F$3:$G$6,2,FALSE)</f>
        <v>Fognatura bianca e pulizia / manutenzione caditoie stradali</v>
      </c>
      <c r="J65" s="1013">
        <v>2026</v>
      </c>
      <c r="K65" s="2335">
        <f>+SUMIFS('PdI-crono_inv'!AW:AW,'PdI-crono_inv'!CF:CF,F65,'PdI-crono_inv'!CE:CE,H65,'PdI-crono_inv'!J:J,P65,'PdI-crono_inv'!P:P,"&lt;&gt;proprietario")</f>
        <v>0</v>
      </c>
      <c r="M65" s="2335">
        <f>+SUMIFS('PdI-crono_inv'!AX:AX,'PdI-crono_inv'!CF:CF,F65,'PdI-crono_inv'!CE:CE,H65,'PdI-crono_inv'!J:J,P65,'PdI-crono_inv'!P:P,"&lt;&gt;proprietario")+S65</f>
        <v>0</v>
      </c>
      <c r="P65" s="1013" t="s">
        <v>25486</v>
      </c>
      <c r="Q65" s="1932" t="str">
        <f>+VLOOKUP(F65,TT_Tabelle_Riferimento!$D$127:$E$164,2,FALSE)</f>
        <v>Depurazione</v>
      </c>
      <c r="R65" s="1932" t="str">
        <f t="shared" si="9"/>
        <v/>
      </c>
      <c r="S65" s="2335">
        <f t="shared" si="4"/>
        <v>0</v>
      </c>
    </row>
    <row r="66" spans="1:19">
      <c r="A66" s="1932">
        <f t="shared" si="7"/>
        <v>0</v>
      </c>
      <c r="B66" s="1932">
        <f t="shared" si="8"/>
        <v>0</v>
      </c>
      <c r="C66" s="1013" t="s">
        <v>245</v>
      </c>
      <c r="D66" s="1013">
        <v>0</v>
      </c>
      <c r="E66" s="1013" t="s">
        <v>22698</v>
      </c>
      <c r="F66" s="1013">
        <v>25</v>
      </c>
      <c r="G66" s="1932" t="str">
        <f>+VLOOKUP(F66,TT_Tabelle_Riferimento!$D$127:$G$164,4,FALSE)</f>
        <v>Gruppi di misura - altre attrezzature di depurazione</v>
      </c>
      <c r="H66" s="1013">
        <v>2</v>
      </c>
      <c r="I66" s="1932" t="str">
        <f>+VLOOKUP(H66,TT_Tabelle_Riferimento!$F$3:$G$6,2,FALSE)</f>
        <v>Fognatura bianca e pulizia / manutenzione caditoie stradali</v>
      </c>
      <c r="J66" s="1013">
        <v>2026</v>
      </c>
      <c r="K66" s="2335">
        <f>+SUMIFS('PdI-crono_inv'!AW:AW,'PdI-crono_inv'!CF:CF,F66,'PdI-crono_inv'!CE:CE,H66,'PdI-crono_inv'!J:J,P66,'PdI-crono_inv'!P:P,"&lt;&gt;proprietario")</f>
        <v>0</v>
      </c>
      <c r="M66" s="2335">
        <f>+SUMIFS('PdI-crono_inv'!AX:AX,'PdI-crono_inv'!CF:CF,F66,'PdI-crono_inv'!CE:CE,H66,'PdI-crono_inv'!J:J,P66,'PdI-crono_inv'!P:P,"&lt;&gt;proprietario")+S66</f>
        <v>0</v>
      </c>
      <c r="P66" s="1013" t="s">
        <v>25486</v>
      </c>
      <c r="Q66" s="1932" t="str">
        <f>+VLOOKUP(F66,TT_Tabelle_Riferimento!$D$127:$E$164,2,FALSE)</f>
        <v>Depurazione</v>
      </c>
      <c r="R66" s="1932" t="str">
        <f t="shared" si="9"/>
        <v/>
      </c>
      <c r="S66" s="2335">
        <f t="shared" si="4"/>
        <v>0</v>
      </c>
    </row>
    <row r="67" spans="1:19">
      <c r="A67" s="1932">
        <f t="shared" si="7"/>
        <v>0</v>
      </c>
      <c r="B67" s="1932">
        <f t="shared" si="8"/>
        <v>0</v>
      </c>
      <c r="C67" s="1013" t="s">
        <v>245</v>
      </c>
      <c r="D67" s="1013">
        <v>0</v>
      </c>
      <c r="E67" s="1013" t="s">
        <v>22698</v>
      </c>
      <c r="F67" s="1013">
        <v>26</v>
      </c>
      <c r="G67" s="1932" t="str">
        <f>+VLOOKUP(F67,TT_Tabelle_Riferimento!$D$127:$G$164,4,FALSE)</f>
        <v>Sistemi informativi di depurazione</v>
      </c>
      <c r="H67" s="1013">
        <v>2</v>
      </c>
      <c r="I67" s="1932" t="str">
        <f>+VLOOKUP(H67,TT_Tabelle_Riferimento!$F$3:$G$6,2,FALSE)</f>
        <v>Fognatura bianca e pulizia / manutenzione caditoie stradali</v>
      </c>
      <c r="J67" s="1013">
        <v>2026</v>
      </c>
      <c r="K67" s="2335">
        <f>+SUMIFS('PdI-crono_inv'!AW:AW,'PdI-crono_inv'!CF:CF,F67,'PdI-crono_inv'!CE:CE,H67,'PdI-crono_inv'!J:J,P67,'PdI-crono_inv'!P:P,"&lt;&gt;proprietario")</f>
        <v>0</v>
      </c>
      <c r="M67" s="2335">
        <f>+SUMIFS('PdI-crono_inv'!AX:AX,'PdI-crono_inv'!CF:CF,F67,'PdI-crono_inv'!CE:CE,H67,'PdI-crono_inv'!J:J,P67,'PdI-crono_inv'!P:P,"&lt;&gt;proprietario")+S67</f>
        <v>0</v>
      </c>
      <c r="P67" s="1013" t="s">
        <v>25486</v>
      </c>
      <c r="Q67" s="1932" t="str">
        <f>+VLOOKUP(F67,TT_Tabelle_Riferimento!$D$127:$E$164,2,FALSE)</f>
        <v>Depurazione</v>
      </c>
      <c r="R67" s="1932" t="str">
        <f t="shared" si="9"/>
        <v/>
      </c>
      <c r="S67" s="2335">
        <f t="shared" si="4"/>
        <v>0</v>
      </c>
    </row>
    <row r="68" spans="1:19">
      <c r="A68" s="1932">
        <f t="shared" si="7"/>
        <v>0</v>
      </c>
      <c r="B68" s="1932">
        <f t="shared" si="8"/>
        <v>0</v>
      </c>
      <c r="C68" s="1013" t="s">
        <v>245</v>
      </c>
      <c r="D68" s="1013">
        <v>0</v>
      </c>
      <c r="E68" s="1013" t="s">
        <v>22698</v>
      </c>
      <c r="F68" s="1013">
        <v>27</v>
      </c>
      <c r="G68" s="1932" t="str">
        <f>+VLOOKUP(F68,TT_Tabelle_Riferimento!$D$127:$G$164,4,FALSE)</f>
        <v>Telecontrollo e teletrasmissione di depurazione</v>
      </c>
      <c r="H68" s="1013">
        <v>2</v>
      </c>
      <c r="I68" s="1932" t="str">
        <f>+VLOOKUP(H68,TT_Tabelle_Riferimento!$F$3:$G$6,2,FALSE)</f>
        <v>Fognatura bianca e pulizia / manutenzione caditoie stradali</v>
      </c>
      <c r="J68" s="1013">
        <v>2026</v>
      </c>
      <c r="K68" s="2335">
        <f>+SUMIFS('PdI-crono_inv'!AW:AW,'PdI-crono_inv'!CF:CF,F68,'PdI-crono_inv'!CE:CE,H68,'PdI-crono_inv'!J:J,P68,'PdI-crono_inv'!P:P,"&lt;&gt;proprietario")</f>
        <v>0</v>
      </c>
      <c r="M68" s="2335">
        <f>+SUMIFS('PdI-crono_inv'!AX:AX,'PdI-crono_inv'!CF:CF,F68,'PdI-crono_inv'!CE:CE,H68,'PdI-crono_inv'!J:J,P68,'PdI-crono_inv'!P:P,"&lt;&gt;proprietario")+S68</f>
        <v>0</v>
      </c>
      <c r="P68" s="1013" t="s">
        <v>25486</v>
      </c>
      <c r="Q68" s="1932" t="str">
        <f>+VLOOKUP(F68,TT_Tabelle_Riferimento!$D$127:$E$164,2,FALSE)</f>
        <v>Depurazione</v>
      </c>
      <c r="R68" s="1932" t="str">
        <f t="shared" si="9"/>
        <v/>
      </c>
      <c r="S68" s="2335">
        <f t="shared" si="4"/>
        <v>0</v>
      </c>
    </row>
    <row r="69" spans="1:19">
      <c r="A69" s="1932">
        <f t="shared" si="7"/>
        <v>0</v>
      </c>
      <c r="B69" s="1932">
        <f t="shared" si="8"/>
        <v>0</v>
      </c>
      <c r="C69" s="1013" t="s">
        <v>245</v>
      </c>
      <c r="D69" s="1013">
        <v>0</v>
      </c>
      <c r="E69" s="1013" t="s">
        <v>22698</v>
      </c>
      <c r="F69" s="1013">
        <v>28</v>
      </c>
      <c r="G69" s="1932" t="str">
        <f>+VLOOKUP(F69,TT_Tabelle_Riferimento!$D$127:$G$164,4,FALSE)</f>
        <v>Altri impianti</v>
      </c>
      <c r="H69" s="1013">
        <v>2</v>
      </c>
      <c r="I69" s="1932" t="str">
        <f>+VLOOKUP(H69,TT_Tabelle_Riferimento!$F$3:$G$6,2,FALSE)</f>
        <v>Fognatura bianca e pulizia / manutenzione caditoie stradali</v>
      </c>
      <c r="J69" s="1013">
        <v>2026</v>
      </c>
      <c r="K69" s="2335">
        <f>+SUMIFS('PdI-crono_inv'!AW:AW,'PdI-crono_inv'!CF:CF,F69,'PdI-crono_inv'!CE:CE,H69,'PdI-crono_inv'!J:J,P69,'PdI-crono_inv'!P:P,"&lt;&gt;proprietario")</f>
        <v>0</v>
      </c>
      <c r="M69" s="2335">
        <f>+SUMIFS('PdI-crono_inv'!AX:AX,'PdI-crono_inv'!CF:CF,F69,'PdI-crono_inv'!CE:CE,H69,'PdI-crono_inv'!J:J,P69,'PdI-crono_inv'!P:P,"&lt;&gt;proprietario")+S69</f>
        <v>0</v>
      </c>
      <c r="P69" s="1013" t="s">
        <v>25486</v>
      </c>
      <c r="Q69" s="1932" t="str">
        <f>+VLOOKUP(F69,TT_Tabelle_Riferimento!$D$127:$E$164,2,FALSE)</f>
        <v>Comune</v>
      </c>
      <c r="R69" s="1932" t="str">
        <f t="shared" si="9"/>
        <v/>
      </c>
      <c r="S69" s="2335">
        <f t="shared" si="4"/>
        <v>0</v>
      </c>
    </row>
    <row r="70" spans="1:19">
      <c r="A70" s="1932">
        <f t="shared" si="7"/>
        <v>0</v>
      </c>
      <c r="B70" s="1932">
        <f t="shared" si="8"/>
        <v>0</v>
      </c>
      <c r="C70" s="1013" t="s">
        <v>245</v>
      </c>
      <c r="D70" s="1013">
        <v>0</v>
      </c>
      <c r="E70" s="1013" t="s">
        <v>22698</v>
      </c>
      <c r="F70" s="1013">
        <v>29</v>
      </c>
      <c r="G70" s="1932" t="str">
        <f>+VLOOKUP(F70,TT_Tabelle_Riferimento!$D$127:$G$164,4,FALSE)</f>
        <v>Laboratori e attrezzature</v>
      </c>
      <c r="H70" s="1013">
        <v>2</v>
      </c>
      <c r="I70" s="1932" t="str">
        <f>+VLOOKUP(H70,TT_Tabelle_Riferimento!$F$3:$G$6,2,FALSE)</f>
        <v>Fognatura bianca e pulizia / manutenzione caditoie stradali</v>
      </c>
      <c r="J70" s="1013">
        <v>2026</v>
      </c>
      <c r="K70" s="2335">
        <f>+SUMIFS('PdI-crono_inv'!AW:AW,'PdI-crono_inv'!CF:CF,F70,'PdI-crono_inv'!CE:CE,H70,'PdI-crono_inv'!J:J,P70,'PdI-crono_inv'!P:P,"&lt;&gt;proprietario")</f>
        <v>0</v>
      </c>
      <c r="M70" s="2335">
        <f>+SUMIFS('PdI-crono_inv'!AX:AX,'PdI-crono_inv'!CF:CF,F70,'PdI-crono_inv'!CE:CE,H70,'PdI-crono_inv'!J:J,P70,'PdI-crono_inv'!P:P,"&lt;&gt;proprietario")+S70</f>
        <v>0</v>
      </c>
      <c r="P70" s="1013" t="s">
        <v>25486</v>
      </c>
      <c r="Q70" s="1932" t="str">
        <f>+VLOOKUP(F70,TT_Tabelle_Riferimento!$D$127:$E$164,2,FALSE)</f>
        <v>Comune</v>
      </c>
      <c r="R70" s="1932" t="str">
        <f t="shared" si="9"/>
        <v/>
      </c>
      <c r="S70" s="2335">
        <f t="shared" si="4"/>
        <v>0</v>
      </c>
    </row>
    <row r="71" spans="1:19">
      <c r="A71" s="1932">
        <f t="shared" si="7"/>
        <v>0</v>
      </c>
      <c r="B71" s="1932">
        <f t="shared" si="8"/>
        <v>0</v>
      </c>
      <c r="C71" s="1013" t="s">
        <v>245</v>
      </c>
      <c r="D71" s="1013">
        <v>0</v>
      </c>
      <c r="E71" s="1013" t="s">
        <v>22698</v>
      </c>
      <c r="F71" s="1013">
        <v>30</v>
      </c>
      <c r="G71" s="1932" t="str">
        <f>+VLOOKUP(F71,TT_Tabelle_Riferimento!$D$127:$G$164,4,FALSE)</f>
        <v>Sistemi informativi</v>
      </c>
      <c r="H71" s="1013">
        <v>2</v>
      </c>
      <c r="I71" s="1932" t="str">
        <f>+VLOOKUP(H71,TT_Tabelle_Riferimento!$F$3:$G$6,2,FALSE)</f>
        <v>Fognatura bianca e pulizia / manutenzione caditoie stradali</v>
      </c>
      <c r="J71" s="1013">
        <v>2026</v>
      </c>
      <c r="K71" s="2335">
        <f>+SUMIFS('PdI-crono_inv'!AW:AW,'PdI-crono_inv'!CF:CF,F71,'PdI-crono_inv'!CE:CE,H71,'PdI-crono_inv'!J:J,P71,'PdI-crono_inv'!P:P,"&lt;&gt;proprietario")</f>
        <v>0</v>
      </c>
      <c r="M71" s="2335">
        <f>+SUMIFS('PdI-crono_inv'!AX:AX,'PdI-crono_inv'!CF:CF,F71,'PdI-crono_inv'!CE:CE,H71,'PdI-crono_inv'!J:J,P71,'PdI-crono_inv'!P:P,"&lt;&gt;proprietario")+S71</f>
        <v>0</v>
      </c>
      <c r="P71" s="1013" t="s">
        <v>25486</v>
      </c>
      <c r="Q71" s="1932" t="str">
        <f>+VLOOKUP(F71,TT_Tabelle_Riferimento!$D$127:$E$164,2,FALSE)</f>
        <v>Comune</v>
      </c>
      <c r="R71" s="1932" t="str">
        <f t="shared" si="9"/>
        <v/>
      </c>
      <c r="S71" s="2335">
        <f t="shared" ref="S71:S134" si="10">+IFERROR(HLOOKUP(J71,$X$2:$Y$5,4,FALSE)*K71,0)</f>
        <v>0</v>
      </c>
    </row>
    <row r="72" spans="1:19">
      <c r="A72" s="1932">
        <f t="shared" si="7"/>
        <v>0</v>
      </c>
      <c r="B72" s="1932">
        <f t="shared" si="8"/>
        <v>0</v>
      </c>
      <c r="C72" s="1013" t="s">
        <v>245</v>
      </c>
      <c r="D72" s="1013">
        <v>0</v>
      </c>
      <c r="E72" s="1013" t="s">
        <v>22698</v>
      </c>
      <c r="F72" s="1013">
        <v>31</v>
      </c>
      <c r="G72" s="1932" t="str">
        <f>+VLOOKUP(F72,TT_Tabelle_Riferimento!$D$127:$G$164,4,FALSE)</f>
        <v>Telecontrollo e teletrasmissione</v>
      </c>
      <c r="H72" s="1013">
        <v>2</v>
      </c>
      <c r="I72" s="1932" t="str">
        <f>+VLOOKUP(H72,TT_Tabelle_Riferimento!$F$3:$G$6,2,FALSE)</f>
        <v>Fognatura bianca e pulizia / manutenzione caditoie stradali</v>
      </c>
      <c r="J72" s="1013">
        <v>2026</v>
      </c>
      <c r="K72" s="2335">
        <f>+SUMIFS('PdI-crono_inv'!AW:AW,'PdI-crono_inv'!CF:CF,F72,'PdI-crono_inv'!CE:CE,H72,'PdI-crono_inv'!J:J,P72,'PdI-crono_inv'!P:P,"&lt;&gt;proprietario")</f>
        <v>0</v>
      </c>
      <c r="M72" s="2335">
        <f>+SUMIFS('PdI-crono_inv'!AX:AX,'PdI-crono_inv'!CF:CF,F72,'PdI-crono_inv'!CE:CE,H72,'PdI-crono_inv'!J:J,P72,'PdI-crono_inv'!P:P,"&lt;&gt;proprietario")+S72</f>
        <v>0</v>
      </c>
      <c r="P72" s="1013" t="s">
        <v>25486</v>
      </c>
      <c r="Q72" s="1932" t="str">
        <f>+VLOOKUP(F72,TT_Tabelle_Riferimento!$D$127:$E$164,2,FALSE)</f>
        <v>Comune</v>
      </c>
      <c r="R72" s="1932" t="str">
        <f t="shared" si="9"/>
        <v/>
      </c>
      <c r="S72" s="2335">
        <f t="shared" si="10"/>
        <v>0</v>
      </c>
    </row>
    <row r="73" spans="1:19">
      <c r="A73" s="1932">
        <f t="shared" si="7"/>
        <v>0</v>
      </c>
      <c r="B73" s="1932">
        <f t="shared" si="8"/>
        <v>0</v>
      </c>
      <c r="C73" s="1013" t="s">
        <v>245</v>
      </c>
      <c r="D73" s="1013">
        <v>0</v>
      </c>
      <c r="E73" s="1013" t="s">
        <v>22698</v>
      </c>
      <c r="F73" s="1013">
        <v>32</v>
      </c>
      <c r="G73" s="1932" t="str">
        <f>+VLOOKUP(F73,TT_Tabelle_Riferimento!$D$127:$G$164,4,FALSE)</f>
        <v>Autoveicoli - automezzi</v>
      </c>
      <c r="H73" s="1013">
        <v>2</v>
      </c>
      <c r="I73" s="1932" t="str">
        <f>+VLOOKUP(H73,TT_Tabelle_Riferimento!$F$3:$G$6,2,FALSE)</f>
        <v>Fognatura bianca e pulizia / manutenzione caditoie stradali</v>
      </c>
      <c r="J73" s="1013">
        <v>2026</v>
      </c>
      <c r="K73" s="2335">
        <f>+SUMIFS('PdI-crono_inv'!AW:AW,'PdI-crono_inv'!CF:CF,F73,'PdI-crono_inv'!CE:CE,H73,'PdI-crono_inv'!J:J,P73,'PdI-crono_inv'!P:P,"&lt;&gt;proprietario")</f>
        <v>0</v>
      </c>
      <c r="M73" s="2335">
        <f>+SUMIFS('PdI-crono_inv'!AX:AX,'PdI-crono_inv'!CF:CF,F73,'PdI-crono_inv'!CE:CE,H73,'PdI-crono_inv'!J:J,P73,'PdI-crono_inv'!P:P,"&lt;&gt;proprietario")+S73</f>
        <v>0</v>
      </c>
      <c r="P73" s="1013" t="s">
        <v>25486</v>
      </c>
      <c r="Q73" s="1932" t="str">
        <f>+VLOOKUP(F73,TT_Tabelle_Riferimento!$D$127:$E$164,2,FALSE)</f>
        <v>Comune</v>
      </c>
      <c r="R73" s="1932" t="str">
        <f t="shared" si="9"/>
        <v/>
      </c>
      <c r="S73" s="2335">
        <f t="shared" si="10"/>
        <v>0</v>
      </c>
    </row>
    <row r="74" spans="1:19">
      <c r="A74" s="1932">
        <f t="shared" si="7"/>
        <v>0</v>
      </c>
      <c r="B74" s="1932">
        <f t="shared" si="8"/>
        <v>0</v>
      </c>
      <c r="C74" s="1013" t="s">
        <v>245</v>
      </c>
      <c r="D74" s="1013">
        <v>0</v>
      </c>
      <c r="E74" s="1013" t="s">
        <v>22698</v>
      </c>
      <c r="F74" s="1013">
        <v>1</v>
      </c>
      <c r="G74" s="1932" t="str">
        <f>+VLOOKUP(F74,TT_Tabelle_Riferimento!$D$127:$G$164,4,FALSE)</f>
        <v>Terreni</v>
      </c>
      <c r="H74" s="1013">
        <v>2</v>
      </c>
      <c r="I74" s="1932" t="str">
        <f>+VLOOKUP(H74,TT_Tabelle_Riferimento!$F$3:$G$6,2,FALSE)</f>
        <v>Fognatura bianca e pulizia / manutenzione caditoie stradali</v>
      </c>
      <c r="J74" s="1013">
        <v>2026</v>
      </c>
      <c r="K74" s="2335">
        <f>+SUMIFS('PdI-crono_inv'!AW:AW,'PdI-crono_inv'!CF:CF,F74,'PdI-crono_inv'!CE:CE,H74,'PdI-crono_inv'!J:J,P74,'PdI-crono_inv'!P:P,"&lt;&gt;proprietario")</f>
        <v>0</v>
      </c>
      <c r="M74" s="2335">
        <f>+SUMIFS('PdI-crono_inv'!AX:AX,'PdI-crono_inv'!CF:CF,F74,'PdI-crono_inv'!CE:CE,H74,'PdI-crono_inv'!J:J,P74,'PdI-crono_inv'!P:P,"&lt;&gt;proprietario")+S74</f>
        <v>0</v>
      </c>
      <c r="P74" s="1013" t="s">
        <v>25486</v>
      </c>
      <c r="Q74" s="1932" t="str">
        <f>+VLOOKUP(F74,TT_Tabelle_Riferimento!$D$127:$E$164,2,FALSE)</f>
        <v>Comune</v>
      </c>
      <c r="R74" s="1932" t="str">
        <f t="shared" si="9"/>
        <v/>
      </c>
      <c r="S74" s="2335">
        <f t="shared" si="10"/>
        <v>0</v>
      </c>
    </row>
    <row r="75" spans="1:19">
      <c r="A75" s="1932">
        <f t="shared" si="7"/>
        <v>0</v>
      </c>
      <c r="B75" s="1932">
        <f t="shared" si="8"/>
        <v>0</v>
      </c>
      <c r="C75" s="1013" t="s">
        <v>245</v>
      </c>
      <c r="D75" s="1013">
        <v>0</v>
      </c>
      <c r="E75" s="1013" t="s">
        <v>22698</v>
      </c>
      <c r="F75" s="1013">
        <v>33</v>
      </c>
      <c r="G75" s="1932" t="str">
        <f>+VLOOKUP(F75,TT_Tabelle_Riferimento!$D$127:$G$164,4,FALSE)</f>
        <v>Fabbricati non industriali</v>
      </c>
      <c r="H75" s="1013">
        <v>2</v>
      </c>
      <c r="I75" s="1932" t="str">
        <f>+VLOOKUP(H75,TT_Tabelle_Riferimento!$F$3:$G$6,2,FALSE)</f>
        <v>Fognatura bianca e pulizia / manutenzione caditoie stradali</v>
      </c>
      <c r="J75" s="1013">
        <v>2026</v>
      </c>
      <c r="K75" s="2335">
        <f>+SUMIFS('PdI-crono_inv'!AW:AW,'PdI-crono_inv'!CF:CF,F75,'PdI-crono_inv'!CE:CE,H75,'PdI-crono_inv'!J:J,P75,'PdI-crono_inv'!P:P,"&lt;&gt;proprietario")</f>
        <v>0</v>
      </c>
      <c r="M75" s="2335">
        <f>+SUMIFS('PdI-crono_inv'!AX:AX,'PdI-crono_inv'!CF:CF,F75,'PdI-crono_inv'!CE:CE,H75,'PdI-crono_inv'!J:J,P75,'PdI-crono_inv'!P:P,"&lt;&gt;proprietario")+S75</f>
        <v>0</v>
      </c>
      <c r="P75" s="1013" t="s">
        <v>25486</v>
      </c>
      <c r="Q75" s="1932" t="str">
        <f>+VLOOKUP(F75,TT_Tabelle_Riferimento!$D$127:$E$164,2,FALSE)</f>
        <v>Comune</v>
      </c>
      <c r="R75" s="1932" t="str">
        <f t="shared" si="9"/>
        <v/>
      </c>
      <c r="S75" s="2335">
        <f t="shared" si="10"/>
        <v>0</v>
      </c>
    </row>
    <row r="76" spans="1:19">
      <c r="A76" s="1932">
        <f t="shared" si="7"/>
        <v>0</v>
      </c>
      <c r="B76" s="1932">
        <f t="shared" si="8"/>
        <v>0</v>
      </c>
      <c r="C76" s="1013" t="s">
        <v>245</v>
      </c>
      <c r="D76" s="1013">
        <v>0</v>
      </c>
      <c r="E76" s="1013" t="s">
        <v>22698</v>
      </c>
      <c r="F76" s="1013">
        <v>34</v>
      </c>
      <c r="G76" s="1932" t="str">
        <f>+VLOOKUP(F76,TT_Tabelle_Riferimento!$D$127:$G$164,4,FALSE)</f>
        <v>Fabbricati industriali</v>
      </c>
      <c r="H76" s="1013">
        <v>2</v>
      </c>
      <c r="I76" s="1932" t="str">
        <f>+VLOOKUP(H76,TT_Tabelle_Riferimento!$F$3:$G$6,2,FALSE)</f>
        <v>Fognatura bianca e pulizia / manutenzione caditoie stradali</v>
      </c>
      <c r="J76" s="1013">
        <v>2026</v>
      </c>
      <c r="K76" s="2335">
        <f>+SUMIFS('PdI-crono_inv'!AW:AW,'PdI-crono_inv'!CF:CF,F76,'PdI-crono_inv'!CE:CE,H76,'PdI-crono_inv'!J:J,P76,'PdI-crono_inv'!P:P,"&lt;&gt;proprietario")</f>
        <v>0</v>
      </c>
      <c r="M76" s="2335">
        <f>+SUMIFS('PdI-crono_inv'!AX:AX,'PdI-crono_inv'!CF:CF,F76,'PdI-crono_inv'!CE:CE,H76,'PdI-crono_inv'!J:J,P76,'PdI-crono_inv'!P:P,"&lt;&gt;proprietario")+S76</f>
        <v>0</v>
      </c>
      <c r="P76" s="1013" t="s">
        <v>25486</v>
      </c>
      <c r="Q76" s="1932" t="str">
        <f>+VLOOKUP(F76,TT_Tabelle_Riferimento!$D$127:$E$164,2,FALSE)</f>
        <v>Comune</v>
      </c>
      <c r="R76" s="1932" t="str">
        <f t="shared" si="9"/>
        <v/>
      </c>
      <c r="S76" s="2335">
        <f t="shared" si="10"/>
        <v>0</v>
      </c>
    </row>
    <row r="77" spans="1:19">
      <c r="A77" s="1932">
        <f t="shared" si="7"/>
        <v>0</v>
      </c>
      <c r="B77" s="1932">
        <f t="shared" si="8"/>
        <v>0</v>
      </c>
      <c r="C77" s="1013" t="s">
        <v>245</v>
      </c>
      <c r="D77" s="1013">
        <v>0</v>
      </c>
      <c r="E77" s="1013" t="s">
        <v>22698</v>
      </c>
      <c r="F77" s="1013">
        <v>35</v>
      </c>
      <c r="G77" s="1932" t="str">
        <f>+VLOOKUP(F77,TT_Tabelle_Riferimento!$D$127:$G$164,4,FALSE)</f>
        <v>Costruzioni leggere</v>
      </c>
      <c r="H77" s="1013">
        <v>2</v>
      </c>
      <c r="I77" s="1932" t="str">
        <f>+VLOOKUP(H77,TT_Tabelle_Riferimento!$F$3:$G$6,2,FALSE)</f>
        <v>Fognatura bianca e pulizia / manutenzione caditoie stradali</v>
      </c>
      <c r="J77" s="1013">
        <v>2026</v>
      </c>
      <c r="K77" s="2335">
        <f>+SUMIFS('PdI-crono_inv'!AW:AW,'PdI-crono_inv'!CF:CF,F77,'PdI-crono_inv'!CE:CE,H77,'PdI-crono_inv'!J:J,P77,'PdI-crono_inv'!P:P,"&lt;&gt;proprietario")</f>
        <v>0</v>
      </c>
      <c r="M77" s="2335">
        <f>+SUMIFS('PdI-crono_inv'!AX:AX,'PdI-crono_inv'!CF:CF,F77,'PdI-crono_inv'!CE:CE,H77,'PdI-crono_inv'!J:J,P77,'PdI-crono_inv'!P:P,"&lt;&gt;proprietario")+S77</f>
        <v>0</v>
      </c>
      <c r="P77" s="1013" t="s">
        <v>25486</v>
      </c>
      <c r="Q77" s="1932" t="str">
        <f>+VLOOKUP(F77,TT_Tabelle_Riferimento!$D$127:$E$164,2,FALSE)</f>
        <v>Comune</v>
      </c>
      <c r="R77" s="1932" t="str">
        <f t="shared" si="9"/>
        <v/>
      </c>
      <c r="S77" s="2335">
        <f t="shared" si="10"/>
        <v>0</v>
      </c>
    </row>
    <row r="78" spans="1:19">
      <c r="A78" s="1932">
        <f t="shared" si="7"/>
        <v>0</v>
      </c>
      <c r="B78" s="1932">
        <f t="shared" si="8"/>
        <v>0</v>
      </c>
      <c r="C78" s="1013" t="s">
        <v>245</v>
      </c>
      <c r="D78" s="1013">
        <v>0</v>
      </c>
      <c r="E78" s="1013" t="s">
        <v>22698</v>
      </c>
      <c r="F78" s="1013">
        <v>36</v>
      </c>
      <c r="G78" s="1932" t="str">
        <f>+VLOOKUP(F78,TT_Tabelle_Riferimento!$D$127:$G$164,4,FALSE)</f>
        <v>Studi, ricerche, brevetti, diritti di utilizzazione</v>
      </c>
      <c r="H78" s="1013">
        <v>2</v>
      </c>
      <c r="I78" s="1932" t="str">
        <f>+VLOOKUP(H78,TT_Tabelle_Riferimento!$F$3:$G$6,2,FALSE)</f>
        <v>Fognatura bianca e pulizia / manutenzione caditoie stradali</v>
      </c>
      <c r="J78" s="1013">
        <v>2026</v>
      </c>
      <c r="K78" s="2335">
        <f>+SUMIFS('PdI-crono_inv'!AW:AW,'PdI-crono_inv'!CF:CF,F78,'PdI-crono_inv'!CE:CE,H78,'PdI-crono_inv'!J:J,P78,'PdI-crono_inv'!P:P,"&lt;&gt;proprietario")</f>
        <v>0</v>
      </c>
      <c r="M78" s="2335">
        <f>+SUMIFS('PdI-crono_inv'!AX:AX,'PdI-crono_inv'!CF:CF,F78,'PdI-crono_inv'!CE:CE,H78,'PdI-crono_inv'!J:J,P78,'PdI-crono_inv'!P:P,"&lt;&gt;proprietario")+S78</f>
        <v>0</v>
      </c>
      <c r="P78" s="1013" t="s">
        <v>25486</v>
      </c>
      <c r="Q78" s="1932" t="str">
        <f>+VLOOKUP(F78,TT_Tabelle_Riferimento!$D$127:$E$164,2,FALSE)</f>
        <v>Comune</v>
      </c>
      <c r="R78" s="1932" t="str">
        <f t="shared" si="9"/>
        <v/>
      </c>
      <c r="S78" s="2335">
        <f t="shared" si="10"/>
        <v>0</v>
      </c>
    </row>
    <row r="79" spans="1:19">
      <c r="A79" s="1932">
        <v>0</v>
      </c>
      <c r="B79" s="1932">
        <v>0</v>
      </c>
      <c r="C79" s="1013" t="s">
        <v>245</v>
      </c>
      <c r="D79" s="1013">
        <v>0</v>
      </c>
      <c r="E79" s="1013" t="s">
        <v>22698</v>
      </c>
      <c r="F79" s="1013">
        <v>37</v>
      </c>
      <c r="G79" s="1932" t="str">
        <f>+VLOOKUP(F79,TT_Tabelle_Riferimento!$D$127:$G$164,4,FALSE)</f>
        <v>Altre immobilizzazioni materiali e immateriali</v>
      </c>
      <c r="H79" s="1013">
        <v>2</v>
      </c>
      <c r="I79" s="1932" t="str">
        <f>+VLOOKUP(H79,TT_Tabelle_Riferimento!$F$3:$G$6,2,FALSE)</f>
        <v>Fognatura bianca e pulizia / manutenzione caditoie stradali</v>
      </c>
      <c r="J79" s="1013">
        <v>2026</v>
      </c>
      <c r="K79" s="2335">
        <f>+SUMIFS('PdI-crono_inv'!AW:AW,'PdI-crono_inv'!CF:CF,F79,'PdI-crono_inv'!CE:CE,H79,'PdI-crono_inv'!J:J,P79,'PdI-crono_inv'!P:P,"&lt;&gt;proprietario")</f>
        <v>0</v>
      </c>
      <c r="M79" s="2335">
        <f>+SUMIFS('PdI-crono_inv'!AX:AX,'PdI-crono_inv'!CF:CF,F79,'PdI-crono_inv'!CE:CE,H79,'PdI-crono_inv'!J:J,P79,'PdI-crono_inv'!P:P,"&lt;&gt;proprietario")+S79</f>
        <v>0</v>
      </c>
      <c r="P79" s="1013" t="s">
        <v>25486</v>
      </c>
      <c r="Q79" s="1932" t="str">
        <f>+VLOOKUP(F79,TT_Tabelle_Riferimento!$D$127:$E$164,2,FALSE)</f>
        <v>Comune</v>
      </c>
      <c r="R79" s="1932" t="str">
        <f t="shared" si="9"/>
        <v/>
      </c>
      <c r="S79" s="2335">
        <f t="shared" si="10"/>
        <v>0</v>
      </c>
    </row>
    <row r="80" spans="1:19">
      <c r="A80" s="1932">
        <v>0</v>
      </c>
      <c r="B80" s="1932">
        <v>0</v>
      </c>
      <c r="C80" s="1013" t="s">
        <v>245</v>
      </c>
      <c r="D80" s="1013">
        <v>0</v>
      </c>
      <c r="E80" s="1013" t="s">
        <v>22698</v>
      </c>
      <c r="F80" s="1013">
        <v>38</v>
      </c>
      <c r="G80" s="1932" t="str">
        <f>+VLOOKUP(F80,TT_Tabelle_Riferimento!$D$127:$G$164,4,FALSE)</f>
        <v>Grandi dighe (sbarramenti che superano i quindici metri di altezza o che determinano un invaso superiore a 1 milione di metri cubi)</v>
      </c>
      <c r="H80" s="1013">
        <v>2</v>
      </c>
      <c r="I80" s="1932" t="str">
        <f>+VLOOKUP(H80,TT_Tabelle_Riferimento!$F$3:$G$6,2,FALSE)</f>
        <v>Fognatura bianca e pulizia / manutenzione caditoie stradali</v>
      </c>
      <c r="J80" s="1013">
        <v>2026</v>
      </c>
      <c r="K80" s="2335">
        <f>+SUMIFS('PdI-crono_inv'!AW:AW,'PdI-crono_inv'!CF:CF,F80,'PdI-crono_inv'!CE:CE,H80,'PdI-crono_inv'!J:J,P80,'PdI-crono_inv'!P:P,"&lt;&gt;proprietario")</f>
        <v>0</v>
      </c>
      <c r="M80" s="2335">
        <f>+SUMIFS('PdI-crono_inv'!AX:AX,'PdI-crono_inv'!CF:CF,F80,'PdI-crono_inv'!CE:CE,H80,'PdI-crono_inv'!J:J,P80,'PdI-crono_inv'!P:P,"&lt;&gt;proprietario")+S80</f>
        <v>0</v>
      </c>
      <c r="P80" s="1013" t="s">
        <v>25486</v>
      </c>
      <c r="Q80" s="1932" t="str">
        <f>+VLOOKUP(F80,TT_Tabelle_Riferimento!$D$127:$E$164,2,FALSE)</f>
        <v>Acquedotto</v>
      </c>
      <c r="R80" s="1932" t="str">
        <f t="shared" si="9"/>
        <v/>
      </c>
      <c r="S80" s="2335">
        <f t="shared" si="10"/>
        <v>0</v>
      </c>
    </row>
    <row r="81" spans="1:19">
      <c r="A81" s="1932">
        <v>0</v>
      </c>
      <c r="B81" s="1932">
        <v>0</v>
      </c>
      <c r="C81" s="1013" t="s">
        <v>245</v>
      </c>
      <c r="D81" s="1013">
        <v>0</v>
      </c>
      <c r="E81" s="1013" t="s">
        <v>22698</v>
      </c>
      <c r="F81" s="1013">
        <v>39</v>
      </c>
      <c r="G81" s="1932" t="str">
        <f>+VLOOKUP(F81,TT_Tabelle_Riferimento!$D$127:$G$164,4,FALSE)</f>
        <v>Piccole dighe (sbarramenti che non superano i quindici metri di altezza o che determinano un invaso non superiore a 1 milione di metri cubi)</v>
      </c>
      <c r="H81" s="1013">
        <v>2</v>
      </c>
      <c r="I81" s="1932" t="str">
        <f>+VLOOKUP(H81,TT_Tabelle_Riferimento!$F$3:$G$6,2,FALSE)</f>
        <v>Fognatura bianca e pulizia / manutenzione caditoie stradali</v>
      </c>
      <c r="J81" s="1013">
        <v>2026</v>
      </c>
      <c r="K81" s="2335">
        <f>+SUMIFS('PdI-crono_inv'!AW:AW,'PdI-crono_inv'!CF:CF,F81,'PdI-crono_inv'!CE:CE,H81,'PdI-crono_inv'!J:J,P81,'PdI-crono_inv'!P:P,"&lt;&gt;proprietario")</f>
        <v>0</v>
      </c>
      <c r="M81" s="2335">
        <f>+SUMIFS('PdI-crono_inv'!AX:AX,'PdI-crono_inv'!CF:CF,F81,'PdI-crono_inv'!CE:CE,H81,'PdI-crono_inv'!J:J,P81,'PdI-crono_inv'!P:P,"&lt;&gt;proprietario")+S81</f>
        <v>0</v>
      </c>
      <c r="P81" s="1013" t="s">
        <v>25486</v>
      </c>
      <c r="Q81" s="1932" t="str">
        <f>+VLOOKUP(F81,TT_Tabelle_Riferimento!$D$127:$E$164,2,FALSE)</f>
        <v>Acquedotto</v>
      </c>
      <c r="R81" s="1932" t="str">
        <f t="shared" si="9"/>
        <v/>
      </c>
      <c r="S81" s="2335">
        <f t="shared" si="10"/>
        <v>0</v>
      </c>
    </row>
    <row r="82" spans="1:19">
      <c r="A82" s="1932">
        <f t="shared" ref="A82:A145" si="11">+idato</f>
        <v>0</v>
      </c>
      <c r="B82" s="1932">
        <f t="shared" ref="B82:B145" si="12">+idgestore</f>
        <v>0</v>
      </c>
      <c r="C82" s="1013" t="s">
        <v>245</v>
      </c>
      <c r="D82" s="1013">
        <v>0</v>
      </c>
      <c r="E82" s="1013" t="s">
        <v>22698</v>
      </c>
      <c r="F82" s="1013">
        <v>2</v>
      </c>
      <c r="G82" s="1932" t="str">
        <f>+VLOOKUP(F82,TT_Tabelle_Riferimento!$D$127:$G$164,4,FALSE)</f>
        <v>Condotte di acquedotto</v>
      </c>
      <c r="H82" s="1013">
        <v>3</v>
      </c>
      <c r="I82" s="1932" t="str">
        <f>+VLOOKUP(H82,TT_Tabelle_Riferimento!$F$3:$G$6,2,FALSE)</f>
        <v>Altri servizi idrici</v>
      </c>
      <c r="J82" s="1013">
        <v>2026</v>
      </c>
      <c r="K82" s="2335">
        <f>+SUMIFS('PdI-crono_inv'!AW:AW,'PdI-crono_inv'!CF:CF,F82,'PdI-crono_inv'!CE:CE,H82,'PdI-crono_inv'!J:J,P82,'PdI-crono_inv'!P:P,"&lt;&gt;proprietario")</f>
        <v>0</v>
      </c>
      <c r="M82" s="2335">
        <f>+SUMIFS('PdI-crono_inv'!AX:AX,'PdI-crono_inv'!CF:CF,F82,'PdI-crono_inv'!CE:CE,H82,'PdI-crono_inv'!J:J,P82,'PdI-crono_inv'!P:P,"&lt;&gt;proprietario")+S82</f>
        <v>0</v>
      </c>
      <c r="P82" s="1013" t="s">
        <v>25486</v>
      </c>
      <c r="Q82" s="1932" t="str">
        <f>+VLOOKUP(F82,TT_Tabelle_Riferimento!$D$127:$E$164,2,FALSE)</f>
        <v>Acquedotto</v>
      </c>
      <c r="R82" s="1932" t="str">
        <f t="shared" si="9"/>
        <v/>
      </c>
      <c r="S82" s="2335">
        <f t="shared" si="10"/>
        <v>0</v>
      </c>
    </row>
    <row r="83" spans="1:19">
      <c r="A83" s="1932">
        <f t="shared" si="11"/>
        <v>0</v>
      </c>
      <c r="B83" s="1932">
        <f t="shared" si="12"/>
        <v>0</v>
      </c>
      <c r="C83" s="1013" t="s">
        <v>245</v>
      </c>
      <c r="D83" s="1013">
        <v>0</v>
      </c>
      <c r="E83" s="1013" t="s">
        <v>22698</v>
      </c>
      <c r="F83" s="1013">
        <v>3</v>
      </c>
      <c r="G83" s="1932" t="str">
        <f>+VLOOKUP(F83,TT_Tabelle_Riferimento!$D$127:$G$164,4,FALSE)</f>
        <v>Opere idrauliche fisse di acquedotto</v>
      </c>
      <c r="H83" s="1013">
        <v>3</v>
      </c>
      <c r="I83" s="1932" t="str">
        <f>+VLOOKUP(H83,TT_Tabelle_Riferimento!$F$3:$G$6,2,FALSE)</f>
        <v>Altri servizi idrici</v>
      </c>
      <c r="J83" s="1013">
        <v>2026</v>
      </c>
      <c r="K83" s="2335">
        <f>+SUMIFS('PdI-crono_inv'!AW:AW,'PdI-crono_inv'!CF:CF,F83,'PdI-crono_inv'!CE:CE,H83,'PdI-crono_inv'!J:J,P83,'PdI-crono_inv'!P:P,"&lt;&gt;proprietario")</f>
        <v>0</v>
      </c>
      <c r="M83" s="2335">
        <f>+SUMIFS('PdI-crono_inv'!AX:AX,'PdI-crono_inv'!CF:CF,F83,'PdI-crono_inv'!CE:CE,H83,'PdI-crono_inv'!J:J,P83,'PdI-crono_inv'!P:P,"&lt;&gt;proprietario")+S83</f>
        <v>0</v>
      </c>
      <c r="P83" s="1013" t="s">
        <v>25486</v>
      </c>
      <c r="Q83" s="1932" t="str">
        <f>+VLOOKUP(F83,TT_Tabelle_Riferimento!$D$127:$E$164,2,FALSE)</f>
        <v>Acquedotto</v>
      </c>
      <c r="R83" s="1932" t="str">
        <f t="shared" si="9"/>
        <v/>
      </c>
      <c r="S83" s="2335">
        <f t="shared" si="10"/>
        <v>0</v>
      </c>
    </row>
    <row r="84" spans="1:19">
      <c r="A84" s="1932">
        <f t="shared" si="11"/>
        <v>0</v>
      </c>
      <c r="B84" s="1932">
        <f t="shared" si="12"/>
        <v>0</v>
      </c>
      <c r="C84" s="1013" t="s">
        <v>245</v>
      </c>
      <c r="D84" s="1013">
        <v>0</v>
      </c>
      <c r="E84" s="1013" t="s">
        <v>22698</v>
      </c>
      <c r="F84" s="1013">
        <v>4</v>
      </c>
      <c r="G84" s="1932" t="str">
        <f>+VLOOKUP(F84,TT_Tabelle_Riferimento!$D$127:$G$164,4,FALSE)</f>
        <v>Serbatoi</v>
      </c>
      <c r="H84" s="1013">
        <v>3</v>
      </c>
      <c r="I84" s="1932" t="str">
        <f>+VLOOKUP(H84,TT_Tabelle_Riferimento!$F$3:$G$6,2,FALSE)</f>
        <v>Altri servizi idrici</v>
      </c>
      <c r="J84" s="1013">
        <v>2026</v>
      </c>
      <c r="K84" s="2335">
        <f>+SUMIFS('PdI-crono_inv'!AW:AW,'PdI-crono_inv'!CF:CF,F84,'PdI-crono_inv'!CE:CE,H84,'PdI-crono_inv'!J:J,P84,'PdI-crono_inv'!P:P,"&lt;&gt;proprietario")</f>
        <v>0</v>
      </c>
      <c r="M84" s="2335">
        <f>+SUMIFS('PdI-crono_inv'!AX:AX,'PdI-crono_inv'!CF:CF,F84,'PdI-crono_inv'!CE:CE,H84,'PdI-crono_inv'!J:J,P84,'PdI-crono_inv'!P:P,"&lt;&gt;proprietario")+S84</f>
        <v>0</v>
      </c>
      <c r="P84" s="1013" t="s">
        <v>25486</v>
      </c>
      <c r="Q84" s="1932" t="str">
        <f>+VLOOKUP(F84,TT_Tabelle_Riferimento!$D$127:$E$164,2,FALSE)</f>
        <v>Acquedotto</v>
      </c>
      <c r="R84" s="1932" t="str">
        <f t="shared" si="9"/>
        <v/>
      </c>
      <c r="S84" s="2335">
        <f t="shared" si="10"/>
        <v>0</v>
      </c>
    </row>
    <row r="85" spans="1:19">
      <c r="A85" s="1932">
        <f t="shared" si="11"/>
        <v>0</v>
      </c>
      <c r="B85" s="1932">
        <f t="shared" si="12"/>
        <v>0</v>
      </c>
      <c r="C85" s="1013" t="s">
        <v>245</v>
      </c>
      <c r="D85" s="1013">
        <v>0</v>
      </c>
      <c r="E85" s="1013" t="s">
        <v>22698</v>
      </c>
      <c r="F85" s="1013">
        <v>5</v>
      </c>
      <c r="G85" s="1932" t="str">
        <f>+VLOOKUP(F85,TT_Tabelle_Riferimento!$D$127:$G$164,4,FALSE)</f>
        <v>Impianti di sollevamento e pompaggio di acquedotto</v>
      </c>
      <c r="H85" s="1013">
        <v>3</v>
      </c>
      <c r="I85" s="1932" t="str">
        <f>+VLOOKUP(H85,TT_Tabelle_Riferimento!$F$3:$G$6,2,FALSE)</f>
        <v>Altri servizi idrici</v>
      </c>
      <c r="J85" s="1013">
        <v>2026</v>
      </c>
      <c r="K85" s="2335">
        <f>+SUMIFS('PdI-crono_inv'!AW:AW,'PdI-crono_inv'!CF:CF,F85,'PdI-crono_inv'!CE:CE,H85,'PdI-crono_inv'!J:J,P85,'PdI-crono_inv'!P:P,"&lt;&gt;proprietario")</f>
        <v>0</v>
      </c>
      <c r="M85" s="2335">
        <f>+SUMIFS('PdI-crono_inv'!AX:AX,'PdI-crono_inv'!CF:CF,F85,'PdI-crono_inv'!CE:CE,H85,'PdI-crono_inv'!J:J,P85,'PdI-crono_inv'!P:P,"&lt;&gt;proprietario")+S85</f>
        <v>0</v>
      </c>
      <c r="P85" s="1013" t="s">
        <v>25486</v>
      </c>
      <c r="Q85" s="1932" t="str">
        <f>+VLOOKUP(F85,TT_Tabelle_Riferimento!$D$127:$E$164,2,FALSE)</f>
        <v>Acquedotto</v>
      </c>
      <c r="R85" s="1932" t="str">
        <f t="shared" si="9"/>
        <v/>
      </c>
      <c r="S85" s="2335">
        <f t="shared" si="10"/>
        <v>0</v>
      </c>
    </row>
    <row r="86" spans="1:19">
      <c r="A86" s="1932">
        <f t="shared" si="11"/>
        <v>0</v>
      </c>
      <c r="B86" s="1932">
        <f t="shared" si="12"/>
        <v>0</v>
      </c>
      <c r="C86" s="1013" t="s">
        <v>245</v>
      </c>
      <c r="D86" s="1013">
        <v>0</v>
      </c>
      <c r="E86" s="1013" t="s">
        <v>22698</v>
      </c>
      <c r="F86" s="1013">
        <v>6</v>
      </c>
      <c r="G86" s="1932" t="str">
        <f>+VLOOKUP(F86,TT_Tabelle_Riferimento!$D$127:$G$164,4,FALSE)</f>
        <v>Impianti di potabilizzazione</v>
      </c>
      <c r="H86" s="1013">
        <v>3</v>
      </c>
      <c r="I86" s="1932" t="str">
        <f>+VLOOKUP(H86,TT_Tabelle_Riferimento!$F$3:$G$6,2,FALSE)</f>
        <v>Altri servizi idrici</v>
      </c>
      <c r="J86" s="1013">
        <v>2026</v>
      </c>
      <c r="K86" s="2335">
        <f>+SUMIFS('PdI-crono_inv'!AW:AW,'PdI-crono_inv'!CF:CF,F86,'PdI-crono_inv'!CE:CE,H86,'PdI-crono_inv'!J:J,P86,'PdI-crono_inv'!P:P,"&lt;&gt;proprietario")</f>
        <v>0</v>
      </c>
      <c r="M86" s="2335">
        <f>+SUMIFS('PdI-crono_inv'!AX:AX,'PdI-crono_inv'!CF:CF,F86,'PdI-crono_inv'!CE:CE,H86,'PdI-crono_inv'!J:J,P86,'PdI-crono_inv'!P:P,"&lt;&gt;proprietario")+S86</f>
        <v>0</v>
      </c>
      <c r="P86" s="1013" t="s">
        <v>25486</v>
      </c>
      <c r="Q86" s="1932" t="str">
        <f>+VLOOKUP(F86,TT_Tabelle_Riferimento!$D$127:$E$164,2,FALSE)</f>
        <v>Acquedotto</v>
      </c>
      <c r="R86" s="1932" t="str">
        <f t="shared" si="9"/>
        <v/>
      </c>
      <c r="S86" s="2335">
        <f t="shared" si="10"/>
        <v>0</v>
      </c>
    </row>
    <row r="87" spans="1:19">
      <c r="A87" s="1932">
        <f t="shared" si="11"/>
        <v>0</v>
      </c>
      <c r="B87" s="1932">
        <f t="shared" si="12"/>
        <v>0</v>
      </c>
      <c r="C87" s="1013" t="s">
        <v>245</v>
      </c>
      <c r="D87" s="1013">
        <v>0</v>
      </c>
      <c r="E87" s="1013" t="s">
        <v>22698</v>
      </c>
      <c r="F87" s="1013">
        <v>7</v>
      </c>
      <c r="G87" s="1932" t="str">
        <f>+VLOOKUP(F87,TT_Tabelle_Riferimento!$D$127:$G$164,4,FALSE)</f>
        <v>Altri trattamenti di potabilizzazione (tra cui dispositivi di disinfezione, stacciatura, filtrazione, addolcimento)</v>
      </c>
      <c r="H87" s="1013">
        <v>3</v>
      </c>
      <c r="I87" s="1932" t="str">
        <f>+VLOOKUP(H87,TT_Tabelle_Riferimento!$F$3:$G$6,2,FALSE)</f>
        <v>Altri servizi idrici</v>
      </c>
      <c r="J87" s="1013">
        <v>2026</v>
      </c>
      <c r="K87" s="2335">
        <f>+SUMIFS('PdI-crono_inv'!AW:AW,'PdI-crono_inv'!CF:CF,F87,'PdI-crono_inv'!CE:CE,H87,'PdI-crono_inv'!J:J,P87,'PdI-crono_inv'!P:P,"&lt;&gt;proprietario")</f>
        <v>0</v>
      </c>
      <c r="M87" s="2335">
        <f>+SUMIFS('PdI-crono_inv'!AX:AX,'PdI-crono_inv'!CF:CF,F87,'PdI-crono_inv'!CE:CE,H87,'PdI-crono_inv'!J:J,P87,'PdI-crono_inv'!P:P,"&lt;&gt;proprietario")+S87</f>
        <v>0</v>
      </c>
      <c r="P87" s="1013" t="s">
        <v>25486</v>
      </c>
      <c r="Q87" s="1932" t="str">
        <f>+VLOOKUP(F87,TT_Tabelle_Riferimento!$D$127:$E$164,2,FALSE)</f>
        <v>Acquedotto</v>
      </c>
      <c r="R87" s="1932" t="str">
        <f t="shared" si="9"/>
        <v/>
      </c>
      <c r="S87" s="2335">
        <f t="shared" si="10"/>
        <v>0</v>
      </c>
    </row>
    <row r="88" spans="1:19">
      <c r="A88" s="1932">
        <f t="shared" si="11"/>
        <v>0</v>
      </c>
      <c r="B88" s="1932">
        <f t="shared" si="12"/>
        <v>0</v>
      </c>
      <c r="C88" s="1013" t="s">
        <v>245</v>
      </c>
      <c r="D88" s="1013">
        <v>0</v>
      </c>
      <c r="E88" s="1013" t="s">
        <v>22698</v>
      </c>
      <c r="F88" s="1013">
        <v>8</v>
      </c>
      <c r="G88" s="1932" t="str">
        <f>+VLOOKUP(F88,TT_Tabelle_Riferimento!$D$127:$G$164,4,FALSE)</f>
        <v>Gruppi di misura - altre attrezzature di acquedotto</v>
      </c>
      <c r="H88" s="1013">
        <v>3</v>
      </c>
      <c r="I88" s="1932" t="str">
        <f>+VLOOKUP(H88,TT_Tabelle_Riferimento!$F$3:$G$6,2,FALSE)</f>
        <v>Altri servizi idrici</v>
      </c>
      <c r="J88" s="1013">
        <v>2026</v>
      </c>
      <c r="K88" s="2335">
        <f>+SUMIFS('PdI-crono_inv'!AW:AW,'PdI-crono_inv'!CF:CF,F88,'PdI-crono_inv'!CE:CE,H88,'PdI-crono_inv'!J:J,P88,'PdI-crono_inv'!P:P,"&lt;&gt;proprietario")</f>
        <v>0</v>
      </c>
      <c r="M88" s="2335">
        <f>+SUMIFS('PdI-crono_inv'!AX:AX,'PdI-crono_inv'!CF:CF,F88,'PdI-crono_inv'!CE:CE,H88,'PdI-crono_inv'!J:J,P88,'PdI-crono_inv'!P:P,"&lt;&gt;proprietario")+S88</f>
        <v>0</v>
      </c>
      <c r="P88" s="1013" t="s">
        <v>25486</v>
      </c>
      <c r="Q88" s="1932" t="str">
        <f>+VLOOKUP(F88,TT_Tabelle_Riferimento!$D$127:$E$164,2,FALSE)</f>
        <v>Acquedotto</v>
      </c>
      <c r="R88" s="1932" t="str">
        <f t="shared" si="9"/>
        <v/>
      </c>
      <c r="S88" s="2335">
        <f t="shared" si="10"/>
        <v>0</v>
      </c>
    </row>
    <row r="89" spans="1:19">
      <c r="A89" s="1932">
        <f t="shared" si="11"/>
        <v>0</v>
      </c>
      <c r="B89" s="1932">
        <f t="shared" si="12"/>
        <v>0</v>
      </c>
      <c r="C89" s="1013" t="s">
        <v>245</v>
      </c>
      <c r="D89" s="1013">
        <v>0</v>
      </c>
      <c r="E89" s="1013" t="s">
        <v>22698</v>
      </c>
      <c r="F89" s="1013">
        <v>9</v>
      </c>
      <c r="G89" s="1932" t="str">
        <f>+VLOOKUP(F89,TT_Tabelle_Riferimento!$D$127:$G$164,4,FALSE)</f>
        <v>Sistemi informativi di acquedotto</v>
      </c>
      <c r="H89" s="1013">
        <v>3</v>
      </c>
      <c r="I89" s="1932" t="str">
        <f>+VLOOKUP(H89,TT_Tabelle_Riferimento!$F$3:$G$6,2,FALSE)</f>
        <v>Altri servizi idrici</v>
      </c>
      <c r="J89" s="1013">
        <v>2026</v>
      </c>
      <c r="K89" s="2335">
        <f>+SUMIFS('PdI-crono_inv'!AW:AW,'PdI-crono_inv'!CF:CF,F89,'PdI-crono_inv'!CE:CE,H89,'PdI-crono_inv'!J:J,P89,'PdI-crono_inv'!P:P,"&lt;&gt;proprietario")</f>
        <v>0</v>
      </c>
      <c r="M89" s="2335">
        <f>+SUMIFS('PdI-crono_inv'!AX:AX,'PdI-crono_inv'!CF:CF,F89,'PdI-crono_inv'!CE:CE,H89,'PdI-crono_inv'!J:J,P89,'PdI-crono_inv'!P:P,"&lt;&gt;proprietario")+S89</f>
        <v>0</v>
      </c>
      <c r="P89" s="1013" t="s">
        <v>25486</v>
      </c>
      <c r="Q89" s="1932" t="str">
        <f>+VLOOKUP(F89,TT_Tabelle_Riferimento!$D$127:$E$164,2,FALSE)</f>
        <v>Acquedotto</v>
      </c>
      <c r="R89" s="1932" t="str">
        <f t="shared" si="9"/>
        <v/>
      </c>
      <c r="S89" s="2335">
        <f t="shared" si="10"/>
        <v>0</v>
      </c>
    </row>
    <row r="90" spans="1:19">
      <c r="A90" s="1932">
        <f t="shared" si="11"/>
        <v>0</v>
      </c>
      <c r="B90" s="1932">
        <f t="shared" si="12"/>
        <v>0</v>
      </c>
      <c r="C90" s="1013" t="s">
        <v>245</v>
      </c>
      <c r="D90" s="1013">
        <v>0</v>
      </c>
      <c r="E90" s="1013" t="s">
        <v>22698</v>
      </c>
      <c r="F90" s="1013">
        <v>10</v>
      </c>
      <c r="G90" s="1932" t="str">
        <f>+VLOOKUP(F90,TT_Tabelle_Riferimento!$D$127:$G$164,4,FALSE)</f>
        <v>Telecontrollo e teletrasmissione di acquedotto</v>
      </c>
      <c r="H90" s="1013">
        <v>3</v>
      </c>
      <c r="I90" s="1932" t="str">
        <f>+VLOOKUP(H90,TT_Tabelle_Riferimento!$F$3:$G$6,2,FALSE)</f>
        <v>Altri servizi idrici</v>
      </c>
      <c r="J90" s="1013">
        <v>2026</v>
      </c>
      <c r="K90" s="2335">
        <f>+SUMIFS('PdI-crono_inv'!AW:AW,'PdI-crono_inv'!CF:CF,F90,'PdI-crono_inv'!CE:CE,H90,'PdI-crono_inv'!J:J,P90,'PdI-crono_inv'!P:P,"&lt;&gt;proprietario")</f>
        <v>0</v>
      </c>
      <c r="M90" s="2335">
        <f>+SUMIFS('PdI-crono_inv'!AX:AX,'PdI-crono_inv'!CF:CF,F90,'PdI-crono_inv'!CE:CE,H90,'PdI-crono_inv'!J:J,P90,'PdI-crono_inv'!P:P,"&lt;&gt;proprietario")+S90</f>
        <v>0</v>
      </c>
      <c r="P90" s="1013" t="s">
        <v>25486</v>
      </c>
      <c r="Q90" s="1932" t="str">
        <f>+VLOOKUP(F90,TT_Tabelle_Riferimento!$D$127:$E$164,2,FALSE)</f>
        <v>Acquedotto</v>
      </c>
      <c r="R90" s="1932" t="str">
        <f t="shared" si="9"/>
        <v/>
      </c>
      <c r="S90" s="2335">
        <f t="shared" si="10"/>
        <v>0</v>
      </c>
    </row>
    <row r="91" spans="1:19">
      <c r="A91" s="1932">
        <f t="shared" si="11"/>
        <v>0</v>
      </c>
      <c r="B91" s="1932">
        <f t="shared" si="12"/>
        <v>0</v>
      </c>
      <c r="C91" s="1013" t="s">
        <v>245</v>
      </c>
      <c r="D91" s="1013">
        <v>0</v>
      </c>
      <c r="E91" s="1013" t="s">
        <v>22698</v>
      </c>
      <c r="F91" s="1013">
        <v>11</v>
      </c>
      <c r="G91" s="1932" t="str">
        <f>+VLOOKUP(F91,TT_Tabelle_Riferimento!$D$127:$G$164,4,FALSE)</f>
        <v>Condotte fognarie</v>
      </c>
      <c r="H91" s="1013">
        <v>3</v>
      </c>
      <c r="I91" s="1932" t="str">
        <f>+VLOOKUP(H91,TT_Tabelle_Riferimento!$F$3:$G$6,2,FALSE)</f>
        <v>Altri servizi idrici</v>
      </c>
      <c r="J91" s="1013">
        <v>2026</v>
      </c>
      <c r="K91" s="2335">
        <f>+SUMIFS('PdI-crono_inv'!AW:AW,'PdI-crono_inv'!CF:CF,F91,'PdI-crono_inv'!CE:CE,H91,'PdI-crono_inv'!J:J,P91,'PdI-crono_inv'!P:P,"&lt;&gt;proprietario")</f>
        <v>0</v>
      </c>
      <c r="M91" s="2335">
        <f>+SUMIFS('PdI-crono_inv'!AX:AX,'PdI-crono_inv'!CF:CF,F91,'PdI-crono_inv'!CE:CE,H91,'PdI-crono_inv'!J:J,P91,'PdI-crono_inv'!P:P,"&lt;&gt;proprietario")+S91</f>
        <v>0</v>
      </c>
      <c r="P91" s="1013" t="s">
        <v>25486</v>
      </c>
      <c r="Q91" s="1932" t="str">
        <f>+VLOOKUP(F91,TT_Tabelle_Riferimento!$D$127:$E$164,2,FALSE)</f>
        <v>Fognatura</v>
      </c>
      <c r="R91" s="1932" t="str">
        <f t="shared" si="9"/>
        <v/>
      </c>
      <c r="S91" s="2335">
        <f t="shared" si="10"/>
        <v>0</v>
      </c>
    </row>
    <row r="92" spans="1:19">
      <c r="A92" s="1932">
        <f t="shared" si="11"/>
        <v>0</v>
      </c>
      <c r="B92" s="1932">
        <f t="shared" si="12"/>
        <v>0</v>
      </c>
      <c r="C92" s="1013" t="s">
        <v>245</v>
      </c>
      <c r="D92" s="1013">
        <v>0</v>
      </c>
      <c r="E92" s="1013" t="s">
        <v>22698</v>
      </c>
      <c r="F92" s="1013">
        <v>12</v>
      </c>
      <c r="G92" s="1932" t="str">
        <f>+VLOOKUP(F92,TT_Tabelle_Riferimento!$D$127:$G$164,4,FALSE)</f>
        <v>Sifoni e scaricatori di piena e altre opere idrauliche fisse di fognatura</v>
      </c>
      <c r="H92" s="1013">
        <v>3</v>
      </c>
      <c r="I92" s="1932" t="str">
        <f>+VLOOKUP(H92,TT_Tabelle_Riferimento!$F$3:$G$6,2,FALSE)</f>
        <v>Altri servizi idrici</v>
      </c>
      <c r="J92" s="1013">
        <v>2026</v>
      </c>
      <c r="K92" s="2335">
        <f>+SUMIFS('PdI-crono_inv'!AW:AW,'PdI-crono_inv'!CF:CF,F92,'PdI-crono_inv'!CE:CE,H92,'PdI-crono_inv'!J:J,P92,'PdI-crono_inv'!P:P,"&lt;&gt;proprietario")</f>
        <v>0</v>
      </c>
      <c r="M92" s="2335">
        <f>+SUMIFS('PdI-crono_inv'!AX:AX,'PdI-crono_inv'!CF:CF,F92,'PdI-crono_inv'!CE:CE,H92,'PdI-crono_inv'!J:J,P92,'PdI-crono_inv'!P:P,"&lt;&gt;proprietario")+S92</f>
        <v>0</v>
      </c>
      <c r="P92" s="1013" t="s">
        <v>25486</v>
      </c>
      <c r="Q92" s="1932" t="str">
        <f>+VLOOKUP(F92,TT_Tabelle_Riferimento!$D$127:$E$164,2,FALSE)</f>
        <v>Fognatura</v>
      </c>
      <c r="R92" s="1932" t="str">
        <f t="shared" si="9"/>
        <v/>
      </c>
      <c r="S92" s="2335">
        <f t="shared" si="10"/>
        <v>0</v>
      </c>
    </row>
    <row r="93" spans="1:19">
      <c r="A93" s="1932">
        <f t="shared" si="11"/>
        <v>0</v>
      </c>
      <c r="B93" s="1932">
        <f t="shared" si="12"/>
        <v>0</v>
      </c>
      <c r="C93" s="1013" t="s">
        <v>245</v>
      </c>
      <c r="D93" s="1013">
        <v>0</v>
      </c>
      <c r="E93" s="1013" t="s">
        <v>22698</v>
      </c>
      <c r="F93" s="1013">
        <v>13</v>
      </c>
      <c r="G93" s="1932" t="str">
        <f>+VLOOKUP(F93,TT_Tabelle_Riferimento!$D$127:$G$164,4,FALSE)</f>
        <v>Vasche di laminazione e vasche di prima pioggia</v>
      </c>
      <c r="H93" s="1013">
        <v>3</v>
      </c>
      <c r="I93" s="1932" t="str">
        <f>+VLOOKUP(H93,TT_Tabelle_Riferimento!$F$3:$G$6,2,FALSE)</f>
        <v>Altri servizi idrici</v>
      </c>
      <c r="J93" s="1013">
        <v>2026</v>
      </c>
      <c r="K93" s="2335">
        <f>+SUMIFS('PdI-crono_inv'!AW:AW,'PdI-crono_inv'!CF:CF,F93,'PdI-crono_inv'!CE:CE,H93,'PdI-crono_inv'!J:J,P93,'PdI-crono_inv'!P:P,"&lt;&gt;proprietario")</f>
        <v>0</v>
      </c>
      <c r="M93" s="2335">
        <f>+SUMIFS('PdI-crono_inv'!AX:AX,'PdI-crono_inv'!CF:CF,F93,'PdI-crono_inv'!CE:CE,H93,'PdI-crono_inv'!J:J,P93,'PdI-crono_inv'!P:P,"&lt;&gt;proprietario")+S93</f>
        <v>0</v>
      </c>
      <c r="P93" s="1013" t="s">
        <v>25486</v>
      </c>
      <c r="Q93" s="1932" t="str">
        <f>+VLOOKUP(F93,TT_Tabelle_Riferimento!$D$127:$E$164,2,FALSE)</f>
        <v>Fognatura</v>
      </c>
      <c r="R93" s="1932" t="str">
        <f t="shared" si="9"/>
        <v/>
      </c>
      <c r="S93" s="2335">
        <f t="shared" si="10"/>
        <v>0</v>
      </c>
    </row>
    <row r="94" spans="1:19">
      <c r="A94" s="1932">
        <f t="shared" si="11"/>
        <v>0</v>
      </c>
      <c r="B94" s="1932">
        <f t="shared" si="12"/>
        <v>0</v>
      </c>
      <c r="C94" s="1013" t="s">
        <v>245</v>
      </c>
      <c r="D94" s="1013">
        <v>0</v>
      </c>
      <c r="E94" s="1013" t="s">
        <v>22698</v>
      </c>
      <c r="F94" s="1013">
        <v>14</v>
      </c>
      <c r="G94" s="1932" t="str">
        <f>+VLOOKUP(F94,TT_Tabelle_Riferimento!$D$127:$G$164,4,FALSE)</f>
        <v>Impianti di sollevamento e pompaggio di fognatura</v>
      </c>
      <c r="H94" s="1013">
        <v>3</v>
      </c>
      <c r="I94" s="1932" t="str">
        <f>+VLOOKUP(H94,TT_Tabelle_Riferimento!$F$3:$G$6,2,FALSE)</f>
        <v>Altri servizi idrici</v>
      </c>
      <c r="J94" s="1013">
        <v>2026</v>
      </c>
      <c r="K94" s="2335">
        <f>+SUMIFS('PdI-crono_inv'!AW:AW,'PdI-crono_inv'!CF:CF,F94,'PdI-crono_inv'!CE:CE,H94,'PdI-crono_inv'!J:J,P94,'PdI-crono_inv'!P:P,"&lt;&gt;proprietario")</f>
        <v>0</v>
      </c>
      <c r="M94" s="2335">
        <f>+SUMIFS('PdI-crono_inv'!AX:AX,'PdI-crono_inv'!CF:CF,F94,'PdI-crono_inv'!CE:CE,H94,'PdI-crono_inv'!J:J,P94,'PdI-crono_inv'!P:P,"&lt;&gt;proprietario")+S94</f>
        <v>0</v>
      </c>
      <c r="P94" s="1013" t="s">
        <v>25486</v>
      </c>
      <c r="Q94" s="1932" t="str">
        <f>+VLOOKUP(F94,TT_Tabelle_Riferimento!$D$127:$E$164,2,FALSE)</f>
        <v>Fognatura</v>
      </c>
      <c r="R94" s="1932" t="str">
        <f t="shared" si="9"/>
        <v/>
      </c>
      <c r="S94" s="2335">
        <f t="shared" si="10"/>
        <v>0</v>
      </c>
    </row>
    <row r="95" spans="1:19">
      <c r="A95" s="1932">
        <f t="shared" si="11"/>
        <v>0</v>
      </c>
      <c r="B95" s="1932">
        <f t="shared" si="12"/>
        <v>0</v>
      </c>
      <c r="C95" s="1013" t="s">
        <v>245</v>
      </c>
      <c r="D95" s="1013">
        <v>0</v>
      </c>
      <c r="E95" s="1013" t="s">
        <v>22698</v>
      </c>
      <c r="F95" s="1013">
        <v>15</v>
      </c>
      <c r="G95" s="1932" t="str">
        <f>+VLOOKUP(F95,TT_Tabelle_Riferimento!$D$127:$G$164,4,FALSE)</f>
        <v>Gruppi di misura - altre attrezzature di fognatura</v>
      </c>
      <c r="H95" s="1013">
        <v>3</v>
      </c>
      <c r="I95" s="1932" t="str">
        <f>+VLOOKUP(H95,TT_Tabelle_Riferimento!$F$3:$G$6,2,FALSE)</f>
        <v>Altri servizi idrici</v>
      </c>
      <c r="J95" s="1013">
        <v>2026</v>
      </c>
      <c r="K95" s="2335">
        <f>+SUMIFS('PdI-crono_inv'!AW:AW,'PdI-crono_inv'!CF:CF,F95,'PdI-crono_inv'!CE:CE,H95,'PdI-crono_inv'!J:J,P95,'PdI-crono_inv'!P:P,"&lt;&gt;proprietario")</f>
        <v>0</v>
      </c>
      <c r="M95" s="2335">
        <f>+SUMIFS('PdI-crono_inv'!AX:AX,'PdI-crono_inv'!CF:CF,F95,'PdI-crono_inv'!CE:CE,H95,'PdI-crono_inv'!J:J,P95,'PdI-crono_inv'!P:P,"&lt;&gt;proprietario")+S95</f>
        <v>0</v>
      </c>
      <c r="P95" s="1013" t="s">
        <v>25486</v>
      </c>
      <c r="Q95" s="1932" t="str">
        <f>+VLOOKUP(F95,TT_Tabelle_Riferimento!$D$127:$E$164,2,FALSE)</f>
        <v>Fognatura</v>
      </c>
      <c r="R95" s="1932" t="str">
        <f t="shared" si="9"/>
        <v/>
      </c>
      <c r="S95" s="2335">
        <f t="shared" si="10"/>
        <v>0</v>
      </c>
    </row>
    <row r="96" spans="1:19">
      <c r="A96" s="1932">
        <f t="shared" si="11"/>
        <v>0</v>
      </c>
      <c r="B96" s="1932">
        <f t="shared" si="12"/>
        <v>0</v>
      </c>
      <c r="C96" s="1013" t="s">
        <v>245</v>
      </c>
      <c r="D96" s="1013">
        <v>0</v>
      </c>
      <c r="E96" s="1013" t="s">
        <v>22698</v>
      </c>
      <c r="F96" s="1013">
        <v>16</v>
      </c>
      <c r="G96" s="1932" t="str">
        <f>+VLOOKUP(F96,TT_Tabelle_Riferimento!$D$127:$G$164,4,FALSE)</f>
        <v>Sistemi informativi di fognatura</v>
      </c>
      <c r="H96" s="1013">
        <v>3</v>
      </c>
      <c r="I96" s="1932" t="str">
        <f>+VLOOKUP(H96,TT_Tabelle_Riferimento!$F$3:$G$6,2,FALSE)</f>
        <v>Altri servizi idrici</v>
      </c>
      <c r="J96" s="1013">
        <v>2026</v>
      </c>
      <c r="K96" s="2335">
        <f>+SUMIFS('PdI-crono_inv'!AW:AW,'PdI-crono_inv'!CF:CF,F96,'PdI-crono_inv'!CE:CE,H96,'PdI-crono_inv'!J:J,P96,'PdI-crono_inv'!P:P,"&lt;&gt;proprietario")</f>
        <v>0</v>
      </c>
      <c r="M96" s="2335">
        <f>+SUMIFS('PdI-crono_inv'!AX:AX,'PdI-crono_inv'!CF:CF,F96,'PdI-crono_inv'!CE:CE,H96,'PdI-crono_inv'!J:J,P96,'PdI-crono_inv'!P:P,"&lt;&gt;proprietario")+S96</f>
        <v>0</v>
      </c>
      <c r="P96" s="1013" t="s">
        <v>25486</v>
      </c>
      <c r="Q96" s="1932" t="str">
        <f>+VLOOKUP(F96,TT_Tabelle_Riferimento!$D$127:$E$164,2,FALSE)</f>
        <v>Fognatura</v>
      </c>
      <c r="R96" s="1932" t="str">
        <f t="shared" si="9"/>
        <v/>
      </c>
      <c r="S96" s="2335">
        <f t="shared" si="10"/>
        <v>0</v>
      </c>
    </row>
    <row r="97" spans="1:19">
      <c r="A97" s="1932">
        <f t="shared" si="11"/>
        <v>0</v>
      </c>
      <c r="B97" s="1932">
        <f t="shared" si="12"/>
        <v>0</v>
      </c>
      <c r="C97" s="1013" t="s">
        <v>245</v>
      </c>
      <c r="D97" s="1013">
        <v>0</v>
      </c>
      <c r="E97" s="1013" t="s">
        <v>22698</v>
      </c>
      <c r="F97" s="1013">
        <v>18</v>
      </c>
      <c r="G97" s="1932" t="str">
        <f>+VLOOKUP(F97,TT_Tabelle_Riferimento!$D$127:$G$164,4,FALSE)</f>
        <v>Telecontrollo e teletrasmissione di fognatura</v>
      </c>
      <c r="H97" s="1013">
        <v>3</v>
      </c>
      <c r="I97" s="1932" t="str">
        <f>+VLOOKUP(H97,TT_Tabelle_Riferimento!$F$3:$G$6,2,FALSE)</f>
        <v>Altri servizi idrici</v>
      </c>
      <c r="J97" s="1013">
        <v>2026</v>
      </c>
      <c r="K97" s="2335">
        <f>+SUMIFS('PdI-crono_inv'!AW:AW,'PdI-crono_inv'!CF:CF,F97,'PdI-crono_inv'!CE:CE,H97,'PdI-crono_inv'!J:J,P97,'PdI-crono_inv'!P:P,"&lt;&gt;proprietario")</f>
        <v>0</v>
      </c>
      <c r="M97" s="2335">
        <f>+SUMIFS('PdI-crono_inv'!AX:AX,'PdI-crono_inv'!CF:CF,F97,'PdI-crono_inv'!CE:CE,H97,'PdI-crono_inv'!J:J,P97,'PdI-crono_inv'!P:P,"&lt;&gt;proprietario")+S97</f>
        <v>0</v>
      </c>
      <c r="P97" s="1013" t="s">
        <v>25486</v>
      </c>
      <c r="Q97" s="1932" t="str">
        <f>+VLOOKUP(F97,TT_Tabelle_Riferimento!$D$127:$E$164,2,FALSE)</f>
        <v>Fognatura</v>
      </c>
      <c r="R97" s="1932" t="str">
        <f t="shared" si="9"/>
        <v/>
      </c>
      <c r="S97" s="2335">
        <f t="shared" si="10"/>
        <v>0</v>
      </c>
    </row>
    <row r="98" spans="1:19">
      <c r="A98" s="1932">
        <f t="shared" si="11"/>
        <v>0</v>
      </c>
      <c r="B98" s="1932">
        <f t="shared" si="12"/>
        <v>0</v>
      </c>
      <c r="C98" s="1013" t="s">
        <v>245</v>
      </c>
      <c r="D98" s="1013">
        <v>0</v>
      </c>
      <c r="E98" s="1013" t="s">
        <v>22698</v>
      </c>
      <c r="F98" s="1013">
        <v>19</v>
      </c>
      <c r="G98" s="1932" t="str">
        <f>+VLOOKUP(F98,TT_Tabelle_Riferimento!$D$127:$G$164,4,FALSE)</f>
        <v>Impianti di sollevamento e pompaggio di depurazione</v>
      </c>
      <c r="H98" s="1013">
        <v>3</v>
      </c>
      <c r="I98" s="1932" t="str">
        <f>+VLOOKUP(H98,TT_Tabelle_Riferimento!$F$3:$G$6,2,FALSE)</f>
        <v>Altri servizi idrici</v>
      </c>
      <c r="J98" s="1013">
        <v>2026</v>
      </c>
      <c r="K98" s="2335">
        <f>+SUMIFS('PdI-crono_inv'!AW:AW,'PdI-crono_inv'!CF:CF,F98,'PdI-crono_inv'!CE:CE,H98,'PdI-crono_inv'!J:J,P98,'PdI-crono_inv'!P:P,"&lt;&gt;proprietario")</f>
        <v>0</v>
      </c>
      <c r="M98" s="2335">
        <f>+SUMIFS('PdI-crono_inv'!AX:AX,'PdI-crono_inv'!CF:CF,F98,'PdI-crono_inv'!CE:CE,H98,'PdI-crono_inv'!J:J,P98,'PdI-crono_inv'!P:P,"&lt;&gt;proprietario")+S98</f>
        <v>0</v>
      </c>
      <c r="P98" s="1013" t="s">
        <v>25486</v>
      </c>
      <c r="Q98" s="1932" t="str">
        <f>+VLOOKUP(F98,TT_Tabelle_Riferimento!$D$127:$E$164,2,FALSE)</f>
        <v>Depurazione</v>
      </c>
      <c r="R98" s="1932" t="str">
        <f t="shared" si="9"/>
        <v/>
      </c>
      <c r="S98" s="2335">
        <f t="shared" si="10"/>
        <v>0</v>
      </c>
    </row>
    <row r="99" spans="1:19">
      <c r="A99" s="1932">
        <f t="shared" si="11"/>
        <v>0</v>
      </c>
      <c r="B99" s="1932">
        <f t="shared" si="12"/>
        <v>0</v>
      </c>
      <c r="C99" s="1013" t="s">
        <v>245</v>
      </c>
      <c r="D99" s="1013">
        <v>0</v>
      </c>
      <c r="E99" s="1013" t="s">
        <v>22698</v>
      </c>
      <c r="F99" s="1013">
        <v>20</v>
      </c>
      <c r="G99" s="1932" t="str">
        <f>+VLOOKUP(F99,TT_Tabelle_Riferimento!$D$127:$G$164,4,FALSE)</f>
        <v>Tecniche naturali di depurazione (tra cui fitodepurazione e lagunaggio)</v>
      </c>
      <c r="H99" s="1013">
        <v>3</v>
      </c>
      <c r="I99" s="1932" t="str">
        <f>+VLOOKUP(H99,TT_Tabelle_Riferimento!$F$3:$G$6,2,FALSE)</f>
        <v>Altri servizi idrici</v>
      </c>
      <c r="J99" s="1013">
        <v>2026</v>
      </c>
      <c r="K99" s="2335">
        <f>+SUMIFS('PdI-crono_inv'!AW:AW,'PdI-crono_inv'!CF:CF,F99,'PdI-crono_inv'!CE:CE,H99,'PdI-crono_inv'!J:J,P99,'PdI-crono_inv'!P:P,"&lt;&gt;proprietario")</f>
        <v>0</v>
      </c>
      <c r="M99" s="2335">
        <f>+SUMIFS('PdI-crono_inv'!AX:AX,'PdI-crono_inv'!CF:CF,F99,'PdI-crono_inv'!CE:CE,H99,'PdI-crono_inv'!J:J,P99,'PdI-crono_inv'!P:P,"&lt;&gt;proprietario")+S99</f>
        <v>0</v>
      </c>
      <c r="P99" s="1013" t="s">
        <v>25486</v>
      </c>
      <c r="Q99" s="1932" t="str">
        <f>+VLOOKUP(F99,TT_Tabelle_Riferimento!$D$127:$E$164,2,FALSE)</f>
        <v>Depurazione</v>
      </c>
      <c r="R99" s="1932" t="str">
        <f t="shared" si="9"/>
        <v/>
      </c>
      <c r="S99" s="2335">
        <f t="shared" si="10"/>
        <v>0</v>
      </c>
    </row>
    <row r="100" spans="1:19">
      <c r="A100" s="1932">
        <f t="shared" si="11"/>
        <v>0</v>
      </c>
      <c r="B100" s="1932">
        <f t="shared" si="12"/>
        <v>0</v>
      </c>
      <c r="C100" s="1013" t="s">
        <v>245</v>
      </c>
      <c r="D100" s="1013">
        <v>0</v>
      </c>
      <c r="E100" s="1013" t="s">
        <v>22698</v>
      </c>
      <c r="F100" s="1013">
        <v>21</v>
      </c>
      <c r="G100" s="1932" t="str">
        <f>+VLOOKUP(F100,TT_Tabelle_Riferimento!$D$127:$G$164,4,FALSE)</f>
        <v>Impianti di depurazione – trattamenti sino al preliminare, integrativo, primario - fosse settiche e fosse Imhoff</v>
      </c>
      <c r="H100" s="1013">
        <v>3</v>
      </c>
      <c r="I100" s="1932" t="str">
        <f>+VLOOKUP(H100,TT_Tabelle_Riferimento!$F$3:$G$6,2,FALSE)</f>
        <v>Altri servizi idrici</v>
      </c>
      <c r="J100" s="1013">
        <v>2026</v>
      </c>
      <c r="K100" s="2335">
        <f>+SUMIFS('PdI-crono_inv'!AW:AW,'PdI-crono_inv'!CF:CF,F100,'PdI-crono_inv'!CE:CE,H100,'PdI-crono_inv'!J:J,P100,'PdI-crono_inv'!P:P,"&lt;&gt;proprietario")</f>
        <v>0</v>
      </c>
      <c r="M100" s="2335">
        <f>+SUMIFS('PdI-crono_inv'!AX:AX,'PdI-crono_inv'!CF:CF,F100,'PdI-crono_inv'!CE:CE,H100,'PdI-crono_inv'!J:J,P100,'PdI-crono_inv'!P:P,"&lt;&gt;proprietario")+S100</f>
        <v>0</v>
      </c>
      <c r="P100" s="1013" t="s">
        <v>25486</v>
      </c>
      <c r="Q100" s="1932" t="str">
        <f>+VLOOKUP(F100,TT_Tabelle_Riferimento!$D$127:$E$164,2,FALSE)</f>
        <v>Depurazione</v>
      </c>
      <c r="R100" s="1932" t="str">
        <f t="shared" si="9"/>
        <v/>
      </c>
      <c r="S100" s="2335">
        <f t="shared" si="10"/>
        <v>0</v>
      </c>
    </row>
    <row r="101" spans="1:19">
      <c r="A101" s="1932">
        <f t="shared" si="11"/>
        <v>0</v>
      </c>
      <c r="B101" s="1932">
        <f t="shared" si="12"/>
        <v>0</v>
      </c>
      <c r="C101" s="1013" t="s">
        <v>245</v>
      </c>
      <c r="D101" s="1013">
        <v>0</v>
      </c>
      <c r="E101" s="1013" t="s">
        <v>22698</v>
      </c>
      <c r="F101" s="1013">
        <v>22</v>
      </c>
      <c r="G101" s="1932" t="str">
        <f>+VLOOKUP(F101,TT_Tabelle_Riferimento!$D$127:$G$164,4,FALSE)</f>
        <v>Impianti di depurazione – trattamenti sino al secondario</v>
      </c>
      <c r="H101" s="1013">
        <v>3</v>
      </c>
      <c r="I101" s="1932" t="str">
        <f>+VLOOKUP(H101,TT_Tabelle_Riferimento!$F$3:$G$6,2,FALSE)</f>
        <v>Altri servizi idrici</v>
      </c>
      <c r="J101" s="1013">
        <v>2026</v>
      </c>
      <c r="K101" s="2335">
        <f>+SUMIFS('PdI-crono_inv'!AW:AW,'PdI-crono_inv'!CF:CF,F101,'PdI-crono_inv'!CE:CE,H101,'PdI-crono_inv'!J:J,P101,'PdI-crono_inv'!P:P,"&lt;&gt;proprietario")</f>
        <v>0</v>
      </c>
      <c r="M101" s="2335">
        <f>+SUMIFS('PdI-crono_inv'!AX:AX,'PdI-crono_inv'!CF:CF,F101,'PdI-crono_inv'!CE:CE,H101,'PdI-crono_inv'!J:J,P101,'PdI-crono_inv'!P:P,"&lt;&gt;proprietario")+S101</f>
        <v>0</v>
      </c>
      <c r="P101" s="1013" t="s">
        <v>25486</v>
      </c>
      <c r="Q101" s="1932" t="str">
        <f>+VLOOKUP(F101,TT_Tabelle_Riferimento!$D$127:$E$164,2,FALSE)</f>
        <v>Depurazione</v>
      </c>
      <c r="R101" s="1932" t="str">
        <f t="shared" si="9"/>
        <v/>
      </c>
      <c r="S101" s="2335">
        <f t="shared" si="10"/>
        <v>0</v>
      </c>
    </row>
    <row r="102" spans="1:19">
      <c r="A102" s="1932">
        <f t="shared" si="11"/>
        <v>0</v>
      </c>
      <c r="B102" s="1932">
        <f t="shared" si="12"/>
        <v>0</v>
      </c>
      <c r="C102" s="1013" t="s">
        <v>245</v>
      </c>
      <c r="D102" s="1013">
        <v>0</v>
      </c>
      <c r="E102" s="1013" t="s">
        <v>22698</v>
      </c>
      <c r="F102" s="1013">
        <v>23</v>
      </c>
      <c r="G102" s="1932" t="str">
        <f>+VLOOKUP(F102,TT_Tabelle_Riferimento!$D$127:$G$164,4,FALSE)</f>
        <v>Impianti di depurazione – trattamenti sino al terziario e terziario avanzato</v>
      </c>
      <c r="H102" s="1013">
        <v>3</v>
      </c>
      <c r="I102" s="1932" t="str">
        <f>+VLOOKUP(H102,TT_Tabelle_Riferimento!$F$3:$G$6,2,FALSE)</f>
        <v>Altri servizi idrici</v>
      </c>
      <c r="J102" s="1013">
        <v>2026</v>
      </c>
      <c r="K102" s="2335">
        <f>+SUMIFS('PdI-crono_inv'!AW:AW,'PdI-crono_inv'!CF:CF,F102,'PdI-crono_inv'!CE:CE,H102,'PdI-crono_inv'!J:J,P102,'PdI-crono_inv'!P:P,"&lt;&gt;proprietario")</f>
        <v>0</v>
      </c>
      <c r="M102" s="2335">
        <f>+SUMIFS('PdI-crono_inv'!AX:AX,'PdI-crono_inv'!CF:CF,F102,'PdI-crono_inv'!CE:CE,H102,'PdI-crono_inv'!J:J,P102,'PdI-crono_inv'!P:P,"&lt;&gt;proprietario")+S102</f>
        <v>0</v>
      </c>
      <c r="P102" s="1013" t="s">
        <v>25486</v>
      </c>
      <c r="Q102" s="1932" t="str">
        <f>+VLOOKUP(F102,TT_Tabelle_Riferimento!$D$127:$E$164,2,FALSE)</f>
        <v>Depurazione</v>
      </c>
      <c r="R102" s="1932" t="str">
        <f t="shared" si="9"/>
        <v/>
      </c>
      <c r="S102" s="2335">
        <f t="shared" si="10"/>
        <v>0</v>
      </c>
    </row>
    <row r="103" spans="1:19">
      <c r="A103" s="1932">
        <f t="shared" si="11"/>
        <v>0</v>
      </c>
      <c r="B103" s="1932">
        <f t="shared" si="12"/>
        <v>0</v>
      </c>
      <c r="C103" s="1013" t="s">
        <v>245</v>
      </c>
      <c r="D103" s="1013">
        <v>0</v>
      </c>
      <c r="E103" s="1013" t="s">
        <v>22698</v>
      </c>
      <c r="F103" s="1013">
        <v>24</v>
      </c>
      <c r="G103" s="1932" t="str">
        <f>+VLOOKUP(F103,TT_Tabelle_Riferimento!$D$127:$G$164,4,FALSE)</f>
        <v>Impianti di essiccamento fanghi e di valorizzazione dei fanghi (tra cui mono-incenerimento, pirolisi, gassificazione)</v>
      </c>
      <c r="H103" s="1013">
        <v>3</v>
      </c>
      <c r="I103" s="1932" t="str">
        <f>+VLOOKUP(H103,TT_Tabelle_Riferimento!$F$3:$G$6,2,FALSE)</f>
        <v>Altri servizi idrici</v>
      </c>
      <c r="J103" s="1013">
        <v>2026</v>
      </c>
      <c r="K103" s="2335">
        <f>+SUMIFS('PdI-crono_inv'!AW:AW,'PdI-crono_inv'!CF:CF,F103,'PdI-crono_inv'!CE:CE,H103,'PdI-crono_inv'!J:J,P103,'PdI-crono_inv'!P:P,"&lt;&gt;proprietario")</f>
        <v>0</v>
      </c>
      <c r="M103" s="2335">
        <f>+SUMIFS('PdI-crono_inv'!AX:AX,'PdI-crono_inv'!CF:CF,F103,'PdI-crono_inv'!CE:CE,H103,'PdI-crono_inv'!J:J,P103,'PdI-crono_inv'!P:P,"&lt;&gt;proprietario")+S103</f>
        <v>0</v>
      </c>
      <c r="P103" s="1013" t="s">
        <v>25486</v>
      </c>
      <c r="Q103" s="1932" t="str">
        <f>+VLOOKUP(F103,TT_Tabelle_Riferimento!$D$127:$E$164,2,FALSE)</f>
        <v>Depurazione</v>
      </c>
      <c r="R103" s="1932" t="str">
        <f t="shared" si="9"/>
        <v/>
      </c>
      <c r="S103" s="2335">
        <f t="shared" si="10"/>
        <v>0</v>
      </c>
    </row>
    <row r="104" spans="1:19">
      <c r="A104" s="1932">
        <f t="shared" si="11"/>
        <v>0</v>
      </c>
      <c r="B104" s="1932">
        <f t="shared" si="12"/>
        <v>0</v>
      </c>
      <c r="C104" s="1013" t="s">
        <v>245</v>
      </c>
      <c r="D104" s="1013">
        <v>0</v>
      </c>
      <c r="E104" s="1013" t="s">
        <v>22698</v>
      </c>
      <c r="F104" s="1013">
        <v>25</v>
      </c>
      <c r="G104" s="1932" t="str">
        <f>+VLOOKUP(F104,TT_Tabelle_Riferimento!$D$127:$G$164,4,FALSE)</f>
        <v>Gruppi di misura - altre attrezzature di depurazione</v>
      </c>
      <c r="H104" s="1013">
        <v>3</v>
      </c>
      <c r="I104" s="1932" t="str">
        <f>+VLOOKUP(H104,TT_Tabelle_Riferimento!$F$3:$G$6,2,FALSE)</f>
        <v>Altri servizi idrici</v>
      </c>
      <c r="J104" s="1013">
        <v>2026</v>
      </c>
      <c r="K104" s="2335">
        <f>+SUMIFS('PdI-crono_inv'!AW:AW,'PdI-crono_inv'!CF:CF,F104,'PdI-crono_inv'!CE:CE,H104,'PdI-crono_inv'!J:J,P104,'PdI-crono_inv'!P:P,"&lt;&gt;proprietario")</f>
        <v>0</v>
      </c>
      <c r="M104" s="2335">
        <f>+SUMIFS('PdI-crono_inv'!AX:AX,'PdI-crono_inv'!CF:CF,F104,'PdI-crono_inv'!CE:CE,H104,'PdI-crono_inv'!J:J,P104,'PdI-crono_inv'!P:P,"&lt;&gt;proprietario")+S104</f>
        <v>0</v>
      </c>
      <c r="P104" s="1013" t="s">
        <v>25486</v>
      </c>
      <c r="Q104" s="1932" t="str">
        <f>+VLOOKUP(F104,TT_Tabelle_Riferimento!$D$127:$E$164,2,FALSE)</f>
        <v>Depurazione</v>
      </c>
      <c r="R104" s="1932" t="str">
        <f t="shared" si="9"/>
        <v/>
      </c>
      <c r="S104" s="2335">
        <f t="shared" si="10"/>
        <v>0</v>
      </c>
    </row>
    <row r="105" spans="1:19">
      <c r="A105" s="1932">
        <f t="shared" si="11"/>
        <v>0</v>
      </c>
      <c r="B105" s="1932">
        <f t="shared" si="12"/>
        <v>0</v>
      </c>
      <c r="C105" s="1013" t="s">
        <v>245</v>
      </c>
      <c r="D105" s="1013">
        <v>0</v>
      </c>
      <c r="E105" s="1013" t="s">
        <v>22698</v>
      </c>
      <c r="F105" s="1013">
        <v>26</v>
      </c>
      <c r="G105" s="1932" t="str">
        <f>+VLOOKUP(F105,TT_Tabelle_Riferimento!$D$127:$G$164,4,FALSE)</f>
        <v>Sistemi informativi di depurazione</v>
      </c>
      <c r="H105" s="1013">
        <v>3</v>
      </c>
      <c r="I105" s="1932" t="str">
        <f>+VLOOKUP(H105,TT_Tabelle_Riferimento!$F$3:$G$6,2,FALSE)</f>
        <v>Altri servizi idrici</v>
      </c>
      <c r="J105" s="1013">
        <v>2026</v>
      </c>
      <c r="K105" s="2335">
        <f>+SUMIFS('PdI-crono_inv'!AW:AW,'PdI-crono_inv'!CF:CF,F105,'PdI-crono_inv'!CE:CE,H105,'PdI-crono_inv'!J:J,P105,'PdI-crono_inv'!P:P,"&lt;&gt;proprietario")</f>
        <v>0</v>
      </c>
      <c r="M105" s="2335">
        <f>+SUMIFS('PdI-crono_inv'!AX:AX,'PdI-crono_inv'!CF:CF,F105,'PdI-crono_inv'!CE:CE,H105,'PdI-crono_inv'!J:J,P105,'PdI-crono_inv'!P:P,"&lt;&gt;proprietario")+S105</f>
        <v>0</v>
      </c>
      <c r="P105" s="1013" t="s">
        <v>25486</v>
      </c>
      <c r="Q105" s="1932" t="str">
        <f>+VLOOKUP(F105,TT_Tabelle_Riferimento!$D$127:$E$164,2,FALSE)</f>
        <v>Depurazione</v>
      </c>
      <c r="R105" s="1932" t="str">
        <f t="shared" si="9"/>
        <v/>
      </c>
      <c r="S105" s="2335">
        <f t="shared" si="10"/>
        <v>0</v>
      </c>
    </row>
    <row r="106" spans="1:19">
      <c r="A106" s="1932">
        <f t="shared" si="11"/>
        <v>0</v>
      </c>
      <c r="B106" s="1932">
        <f t="shared" si="12"/>
        <v>0</v>
      </c>
      <c r="C106" s="1013" t="s">
        <v>245</v>
      </c>
      <c r="D106" s="1013">
        <v>0</v>
      </c>
      <c r="E106" s="1013" t="s">
        <v>22698</v>
      </c>
      <c r="F106" s="1013">
        <v>27</v>
      </c>
      <c r="G106" s="1932" t="str">
        <f>+VLOOKUP(F106,TT_Tabelle_Riferimento!$D$127:$G$164,4,FALSE)</f>
        <v>Telecontrollo e teletrasmissione di depurazione</v>
      </c>
      <c r="H106" s="1013">
        <v>3</v>
      </c>
      <c r="I106" s="1932" t="str">
        <f>+VLOOKUP(H106,TT_Tabelle_Riferimento!$F$3:$G$6,2,FALSE)</f>
        <v>Altri servizi idrici</v>
      </c>
      <c r="J106" s="1013">
        <v>2026</v>
      </c>
      <c r="K106" s="2335">
        <f>+SUMIFS('PdI-crono_inv'!AW:AW,'PdI-crono_inv'!CF:CF,F106,'PdI-crono_inv'!CE:CE,H106,'PdI-crono_inv'!J:J,P106,'PdI-crono_inv'!P:P,"&lt;&gt;proprietario")</f>
        <v>0</v>
      </c>
      <c r="M106" s="2335">
        <f>+SUMIFS('PdI-crono_inv'!AX:AX,'PdI-crono_inv'!CF:CF,F106,'PdI-crono_inv'!CE:CE,H106,'PdI-crono_inv'!J:J,P106,'PdI-crono_inv'!P:P,"&lt;&gt;proprietario")+S106</f>
        <v>0</v>
      </c>
      <c r="P106" s="1013" t="s">
        <v>25486</v>
      </c>
      <c r="Q106" s="1932" t="str">
        <f>+VLOOKUP(F106,TT_Tabelle_Riferimento!$D$127:$E$164,2,FALSE)</f>
        <v>Depurazione</v>
      </c>
      <c r="R106" s="1932" t="str">
        <f t="shared" si="9"/>
        <v/>
      </c>
      <c r="S106" s="2335">
        <f t="shared" si="10"/>
        <v>0</v>
      </c>
    </row>
    <row r="107" spans="1:19">
      <c r="A107" s="1932">
        <f t="shared" si="11"/>
        <v>0</v>
      </c>
      <c r="B107" s="1932">
        <f t="shared" si="12"/>
        <v>0</v>
      </c>
      <c r="C107" s="1013" t="s">
        <v>245</v>
      </c>
      <c r="D107" s="1013">
        <v>0</v>
      </c>
      <c r="E107" s="1013" t="s">
        <v>22698</v>
      </c>
      <c r="F107" s="1013">
        <v>28</v>
      </c>
      <c r="G107" s="1932" t="str">
        <f>+VLOOKUP(F107,TT_Tabelle_Riferimento!$D$127:$G$164,4,FALSE)</f>
        <v>Altri impianti</v>
      </c>
      <c r="H107" s="1013">
        <v>3</v>
      </c>
      <c r="I107" s="1932" t="str">
        <f>+VLOOKUP(H107,TT_Tabelle_Riferimento!$F$3:$G$6,2,FALSE)</f>
        <v>Altri servizi idrici</v>
      </c>
      <c r="J107" s="1013">
        <v>2026</v>
      </c>
      <c r="K107" s="2335">
        <f>+SUMIFS('PdI-crono_inv'!AW:AW,'PdI-crono_inv'!CF:CF,F107,'PdI-crono_inv'!CE:CE,H107,'PdI-crono_inv'!J:J,P107,'PdI-crono_inv'!P:P,"&lt;&gt;proprietario")</f>
        <v>0</v>
      </c>
      <c r="M107" s="2335">
        <f>+SUMIFS('PdI-crono_inv'!AX:AX,'PdI-crono_inv'!CF:CF,F107,'PdI-crono_inv'!CE:CE,H107,'PdI-crono_inv'!J:J,P107,'PdI-crono_inv'!P:P,"&lt;&gt;proprietario")+S107</f>
        <v>0</v>
      </c>
      <c r="P107" s="1013" t="s">
        <v>25486</v>
      </c>
      <c r="Q107" s="1932" t="str">
        <f>+VLOOKUP(F107,TT_Tabelle_Riferimento!$D$127:$E$164,2,FALSE)</f>
        <v>Comune</v>
      </c>
      <c r="R107" s="1932" t="str">
        <f t="shared" si="9"/>
        <v/>
      </c>
      <c r="S107" s="2335">
        <f t="shared" si="10"/>
        <v>0</v>
      </c>
    </row>
    <row r="108" spans="1:19">
      <c r="A108" s="1932">
        <f t="shared" si="11"/>
        <v>0</v>
      </c>
      <c r="B108" s="1932">
        <f t="shared" si="12"/>
        <v>0</v>
      </c>
      <c r="C108" s="1013" t="s">
        <v>245</v>
      </c>
      <c r="D108" s="1013">
        <v>0</v>
      </c>
      <c r="E108" s="1013" t="s">
        <v>22698</v>
      </c>
      <c r="F108" s="1013">
        <v>29</v>
      </c>
      <c r="G108" s="1932" t="str">
        <f>+VLOOKUP(F108,TT_Tabelle_Riferimento!$D$127:$G$164,4,FALSE)</f>
        <v>Laboratori e attrezzature</v>
      </c>
      <c r="H108" s="1013">
        <v>3</v>
      </c>
      <c r="I108" s="1932" t="str">
        <f>+VLOOKUP(H108,TT_Tabelle_Riferimento!$F$3:$G$6,2,FALSE)</f>
        <v>Altri servizi idrici</v>
      </c>
      <c r="J108" s="1013">
        <v>2026</v>
      </c>
      <c r="K108" s="2335">
        <f>+SUMIFS('PdI-crono_inv'!AW:AW,'PdI-crono_inv'!CF:CF,F108,'PdI-crono_inv'!CE:CE,H108,'PdI-crono_inv'!J:J,P108,'PdI-crono_inv'!P:P,"&lt;&gt;proprietario")</f>
        <v>0</v>
      </c>
      <c r="M108" s="2335">
        <f>+SUMIFS('PdI-crono_inv'!AX:AX,'PdI-crono_inv'!CF:CF,F108,'PdI-crono_inv'!CE:CE,H108,'PdI-crono_inv'!J:J,P108,'PdI-crono_inv'!P:P,"&lt;&gt;proprietario")+S108</f>
        <v>0</v>
      </c>
      <c r="P108" s="1013" t="s">
        <v>25486</v>
      </c>
      <c r="Q108" s="1932" t="str">
        <f>+VLOOKUP(F108,TT_Tabelle_Riferimento!$D$127:$E$164,2,FALSE)</f>
        <v>Comune</v>
      </c>
      <c r="R108" s="1932" t="str">
        <f t="shared" ref="R108:R171" si="13">+IF(SUM(K108:N108)=0,"","PdI_consolidamento")</f>
        <v/>
      </c>
      <c r="S108" s="2335">
        <f t="shared" si="10"/>
        <v>0</v>
      </c>
    </row>
    <row r="109" spans="1:19">
      <c r="A109" s="1932">
        <f t="shared" si="11"/>
        <v>0</v>
      </c>
      <c r="B109" s="1932">
        <f t="shared" si="12"/>
        <v>0</v>
      </c>
      <c r="C109" s="1013" t="s">
        <v>245</v>
      </c>
      <c r="D109" s="1013">
        <v>0</v>
      </c>
      <c r="E109" s="1013" t="s">
        <v>22698</v>
      </c>
      <c r="F109" s="1013">
        <v>30</v>
      </c>
      <c r="G109" s="1932" t="str">
        <f>+VLOOKUP(F109,TT_Tabelle_Riferimento!$D$127:$G$164,4,FALSE)</f>
        <v>Sistemi informativi</v>
      </c>
      <c r="H109" s="1013">
        <v>3</v>
      </c>
      <c r="I109" s="1932" t="str">
        <f>+VLOOKUP(H109,TT_Tabelle_Riferimento!$F$3:$G$6,2,FALSE)</f>
        <v>Altri servizi idrici</v>
      </c>
      <c r="J109" s="1013">
        <v>2026</v>
      </c>
      <c r="K109" s="2335">
        <f>+SUMIFS('PdI-crono_inv'!AW:AW,'PdI-crono_inv'!CF:CF,F109,'PdI-crono_inv'!CE:CE,H109,'PdI-crono_inv'!J:J,P109,'PdI-crono_inv'!P:P,"&lt;&gt;proprietario")</f>
        <v>0</v>
      </c>
      <c r="M109" s="2335">
        <f>+SUMIFS('PdI-crono_inv'!AX:AX,'PdI-crono_inv'!CF:CF,F109,'PdI-crono_inv'!CE:CE,H109,'PdI-crono_inv'!J:J,P109,'PdI-crono_inv'!P:P,"&lt;&gt;proprietario")+S109</f>
        <v>0</v>
      </c>
      <c r="P109" s="1013" t="s">
        <v>25486</v>
      </c>
      <c r="Q109" s="1932" t="str">
        <f>+VLOOKUP(F109,TT_Tabelle_Riferimento!$D$127:$E$164,2,FALSE)</f>
        <v>Comune</v>
      </c>
      <c r="R109" s="1932" t="str">
        <f t="shared" si="13"/>
        <v/>
      </c>
      <c r="S109" s="2335">
        <f t="shared" si="10"/>
        <v>0</v>
      </c>
    </row>
    <row r="110" spans="1:19">
      <c r="A110" s="1932">
        <f t="shared" si="11"/>
        <v>0</v>
      </c>
      <c r="B110" s="1932">
        <f t="shared" si="12"/>
        <v>0</v>
      </c>
      <c r="C110" s="1013" t="s">
        <v>245</v>
      </c>
      <c r="D110" s="1013">
        <v>0</v>
      </c>
      <c r="E110" s="1013" t="s">
        <v>22698</v>
      </c>
      <c r="F110" s="1013">
        <v>31</v>
      </c>
      <c r="G110" s="1932" t="str">
        <f>+VLOOKUP(F110,TT_Tabelle_Riferimento!$D$127:$G$164,4,FALSE)</f>
        <v>Telecontrollo e teletrasmissione</v>
      </c>
      <c r="H110" s="1013">
        <v>3</v>
      </c>
      <c r="I110" s="1932" t="str">
        <f>+VLOOKUP(H110,TT_Tabelle_Riferimento!$F$3:$G$6,2,FALSE)</f>
        <v>Altri servizi idrici</v>
      </c>
      <c r="J110" s="1013">
        <v>2026</v>
      </c>
      <c r="K110" s="2335">
        <f>+SUMIFS('PdI-crono_inv'!AW:AW,'PdI-crono_inv'!CF:CF,F110,'PdI-crono_inv'!CE:CE,H110,'PdI-crono_inv'!J:J,P110,'PdI-crono_inv'!P:P,"&lt;&gt;proprietario")</f>
        <v>0</v>
      </c>
      <c r="M110" s="2335">
        <f>+SUMIFS('PdI-crono_inv'!AX:AX,'PdI-crono_inv'!CF:CF,F110,'PdI-crono_inv'!CE:CE,H110,'PdI-crono_inv'!J:J,P110,'PdI-crono_inv'!P:P,"&lt;&gt;proprietario")+S110</f>
        <v>0</v>
      </c>
      <c r="P110" s="1013" t="s">
        <v>25486</v>
      </c>
      <c r="Q110" s="1932" t="str">
        <f>+VLOOKUP(F110,TT_Tabelle_Riferimento!$D$127:$E$164,2,FALSE)</f>
        <v>Comune</v>
      </c>
      <c r="R110" s="1932" t="str">
        <f t="shared" si="13"/>
        <v/>
      </c>
      <c r="S110" s="2335">
        <f t="shared" si="10"/>
        <v>0</v>
      </c>
    </row>
    <row r="111" spans="1:19">
      <c r="A111" s="1932">
        <f t="shared" si="11"/>
        <v>0</v>
      </c>
      <c r="B111" s="1932">
        <f t="shared" si="12"/>
        <v>0</v>
      </c>
      <c r="C111" s="1013" t="s">
        <v>245</v>
      </c>
      <c r="D111" s="1013">
        <v>0</v>
      </c>
      <c r="E111" s="1013" t="s">
        <v>22698</v>
      </c>
      <c r="F111" s="1013">
        <v>32</v>
      </c>
      <c r="G111" s="1932" t="str">
        <f>+VLOOKUP(F111,TT_Tabelle_Riferimento!$D$127:$G$164,4,FALSE)</f>
        <v>Autoveicoli - automezzi</v>
      </c>
      <c r="H111" s="1013">
        <v>3</v>
      </c>
      <c r="I111" s="1932" t="str">
        <f>+VLOOKUP(H111,TT_Tabelle_Riferimento!$F$3:$G$6,2,FALSE)</f>
        <v>Altri servizi idrici</v>
      </c>
      <c r="J111" s="1013">
        <v>2026</v>
      </c>
      <c r="K111" s="2335">
        <f>+SUMIFS('PdI-crono_inv'!AW:AW,'PdI-crono_inv'!CF:CF,F111,'PdI-crono_inv'!CE:CE,H111,'PdI-crono_inv'!J:J,P111,'PdI-crono_inv'!P:P,"&lt;&gt;proprietario")</f>
        <v>0</v>
      </c>
      <c r="M111" s="2335">
        <f>+SUMIFS('PdI-crono_inv'!AX:AX,'PdI-crono_inv'!CF:CF,F111,'PdI-crono_inv'!CE:CE,H111,'PdI-crono_inv'!J:J,P111,'PdI-crono_inv'!P:P,"&lt;&gt;proprietario")+S111</f>
        <v>0</v>
      </c>
      <c r="P111" s="1013" t="s">
        <v>25486</v>
      </c>
      <c r="Q111" s="1932" t="str">
        <f>+VLOOKUP(F111,TT_Tabelle_Riferimento!$D$127:$E$164,2,FALSE)</f>
        <v>Comune</v>
      </c>
      <c r="R111" s="1932" t="str">
        <f t="shared" si="13"/>
        <v/>
      </c>
      <c r="S111" s="2335">
        <f t="shared" si="10"/>
        <v>0</v>
      </c>
    </row>
    <row r="112" spans="1:19">
      <c r="A112" s="1932">
        <f t="shared" si="11"/>
        <v>0</v>
      </c>
      <c r="B112" s="1932">
        <f t="shared" si="12"/>
        <v>0</v>
      </c>
      <c r="C112" s="1013" t="s">
        <v>245</v>
      </c>
      <c r="D112" s="1013">
        <v>0</v>
      </c>
      <c r="E112" s="1013" t="s">
        <v>22698</v>
      </c>
      <c r="F112" s="1013">
        <v>1</v>
      </c>
      <c r="G112" s="1932" t="str">
        <f>+VLOOKUP(F112,TT_Tabelle_Riferimento!$D$127:$G$164,4,FALSE)</f>
        <v>Terreni</v>
      </c>
      <c r="H112" s="1013">
        <v>3</v>
      </c>
      <c r="I112" s="1932" t="str">
        <f>+VLOOKUP(H112,TT_Tabelle_Riferimento!$F$3:$G$6,2,FALSE)</f>
        <v>Altri servizi idrici</v>
      </c>
      <c r="J112" s="1013">
        <v>2026</v>
      </c>
      <c r="K112" s="2335">
        <f>+SUMIFS('PdI-crono_inv'!AW:AW,'PdI-crono_inv'!CF:CF,F112,'PdI-crono_inv'!CE:CE,H112,'PdI-crono_inv'!J:J,P112,'PdI-crono_inv'!P:P,"&lt;&gt;proprietario")</f>
        <v>0</v>
      </c>
      <c r="M112" s="2335">
        <f>+SUMIFS('PdI-crono_inv'!AX:AX,'PdI-crono_inv'!CF:CF,F112,'PdI-crono_inv'!CE:CE,H112,'PdI-crono_inv'!J:J,P112,'PdI-crono_inv'!P:P,"&lt;&gt;proprietario")+S112</f>
        <v>0</v>
      </c>
      <c r="P112" s="1013" t="s">
        <v>25486</v>
      </c>
      <c r="Q112" s="1932" t="str">
        <f>+VLOOKUP(F112,TT_Tabelle_Riferimento!$D$127:$E$164,2,FALSE)</f>
        <v>Comune</v>
      </c>
      <c r="R112" s="1932" t="str">
        <f t="shared" si="13"/>
        <v/>
      </c>
      <c r="S112" s="2335">
        <f t="shared" si="10"/>
        <v>0</v>
      </c>
    </row>
    <row r="113" spans="1:19">
      <c r="A113" s="1932">
        <f t="shared" si="11"/>
        <v>0</v>
      </c>
      <c r="B113" s="1932">
        <f t="shared" si="12"/>
        <v>0</v>
      </c>
      <c r="C113" s="1013" t="s">
        <v>245</v>
      </c>
      <c r="D113" s="1013">
        <v>0</v>
      </c>
      <c r="E113" s="1013" t="s">
        <v>22698</v>
      </c>
      <c r="F113" s="1013">
        <v>33</v>
      </c>
      <c r="G113" s="1932" t="str">
        <f>+VLOOKUP(F113,TT_Tabelle_Riferimento!$D$127:$G$164,4,FALSE)</f>
        <v>Fabbricati non industriali</v>
      </c>
      <c r="H113" s="1013">
        <v>3</v>
      </c>
      <c r="I113" s="1932" t="str">
        <f>+VLOOKUP(H113,TT_Tabelle_Riferimento!$F$3:$G$6,2,FALSE)</f>
        <v>Altri servizi idrici</v>
      </c>
      <c r="J113" s="1013">
        <v>2026</v>
      </c>
      <c r="K113" s="2335">
        <f>+SUMIFS('PdI-crono_inv'!AW:AW,'PdI-crono_inv'!CF:CF,F113,'PdI-crono_inv'!CE:CE,H113,'PdI-crono_inv'!J:J,P113,'PdI-crono_inv'!P:P,"&lt;&gt;proprietario")</f>
        <v>0</v>
      </c>
      <c r="M113" s="2335">
        <f>+SUMIFS('PdI-crono_inv'!AX:AX,'PdI-crono_inv'!CF:CF,F113,'PdI-crono_inv'!CE:CE,H113,'PdI-crono_inv'!J:J,P113,'PdI-crono_inv'!P:P,"&lt;&gt;proprietario")+S113</f>
        <v>0</v>
      </c>
      <c r="P113" s="1013" t="s">
        <v>25486</v>
      </c>
      <c r="Q113" s="1932" t="str">
        <f>+VLOOKUP(F113,TT_Tabelle_Riferimento!$D$127:$E$164,2,FALSE)</f>
        <v>Comune</v>
      </c>
      <c r="R113" s="1932" t="str">
        <f t="shared" si="13"/>
        <v/>
      </c>
      <c r="S113" s="2335">
        <f t="shared" si="10"/>
        <v>0</v>
      </c>
    </row>
    <row r="114" spans="1:19">
      <c r="A114" s="1932">
        <f t="shared" si="11"/>
        <v>0</v>
      </c>
      <c r="B114" s="1932">
        <f t="shared" si="12"/>
        <v>0</v>
      </c>
      <c r="C114" s="1013" t="s">
        <v>245</v>
      </c>
      <c r="D114" s="1013">
        <v>0</v>
      </c>
      <c r="E114" s="1013" t="s">
        <v>22698</v>
      </c>
      <c r="F114" s="1013">
        <v>34</v>
      </c>
      <c r="G114" s="1932" t="str">
        <f>+VLOOKUP(F114,TT_Tabelle_Riferimento!$D$127:$G$164,4,FALSE)</f>
        <v>Fabbricati industriali</v>
      </c>
      <c r="H114" s="1013">
        <v>3</v>
      </c>
      <c r="I114" s="1932" t="str">
        <f>+VLOOKUP(H114,TT_Tabelle_Riferimento!$F$3:$G$6,2,FALSE)</f>
        <v>Altri servizi idrici</v>
      </c>
      <c r="J114" s="1013">
        <v>2026</v>
      </c>
      <c r="K114" s="2335">
        <f>+SUMIFS('PdI-crono_inv'!AW:AW,'PdI-crono_inv'!CF:CF,F114,'PdI-crono_inv'!CE:CE,H114,'PdI-crono_inv'!J:J,P114,'PdI-crono_inv'!P:P,"&lt;&gt;proprietario")</f>
        <v>0</v>
      </c>
      <c r="M114" s="2335">
        <f>+SUMIFS('PdI-crono_inv'!AX:AX,'PdI-crono_inv'!CF:CF,F114,'PdI-crono_inv'!CE:CE,H114,'PdI-crono_inv'!J:J,P114,'PdI-crono_inv'!P:P,"&lt;&gt;proprietario")+S114</f>
        <v>0</v>
      </c>
      <c r="P114" s="1013" t="s">
        <v>25486</v>
      </c>
      <c r="Q114" s="1932" t="str">
        <f>+VLOOKUP(F114,TT_Tabelle_Riferimento!$D$127:$E$164,2,FALSE)</f>
        <v>Comune</v>
      </c>
      <c r="R114" s="1932" t="str">
        <f t="shared" si="13"/>
        <v/>
      </c>
      <c r="S114" s="2335">
        <f t="shared" si="10"/>
        <v>0</v>
      </c>
    </row>
    <row r="115" spans="1:19">
      <c r="A115" s="1932">
        <f t="shared" si="11"/>
        <v>0</v>
      </c>
      <c r="B115" s="1932">
        <f t="shared" si="12"/>
        <v>0</v>
      </c>
      <c r="C115" s="1013" t="s">
        <v>245</v>
      </c>
      <c r="D115" s="1013">
        <v>0</v>
      </c>
      <c r="E115" s="1013" t="s">
        <v>22698</v>
      </c>
      <c r="F115" s="1013">
        <v>35</v>
      </c>
      <c r="G115" s="1932" t="str">
        <f>+VLOOKUP(F115,TT_Tabelle_Riferimento!$D$127:$G$164,4,FALSE)</f>
        <v>Costruzioni leggere</v>
      </c>
      <c r="H115" s="1013">
        <v>3</v>
      </c>
      <c r="I115" s="1932" t="str">
        <f>+VLOOKUP(H115,TT_Tabelle_Riferimento!$F$3:$G$6,2,FALSE)</f>
        <v>Altri servizi idrici</v>
      </c>
      <c r="J115" s="1013">
        <v>2026</v>
      </c>
      <c r="K115" s="2335">
        <f>+SUMIFS('PdI-crono_inv'!AW:AW,'PdI-crono_inv'!CF:CF,F115,'PdI-crono_inv'!CE:CE,H115,'PdI-crono_inv'!J:J,P115,'PdI-crono_inv'!P:P,"&lt;&gt;proprietario")</f>
        <v>0</v>
      </c>
      <c r="M115" s="2335">
        <f>+SUMIFS('PdI-crono_inv'!AX:AX,'PdI-crono_inv'!CF:CF,F115,'PdI-crono_inv'!CE:CE,H115,'PdI-crono_inv'!J:J,P115,'PdI-crono_inv'!P:P,"&lt;&gt;proprietario")+S115</f>
        <v>0</v>
      </c>
      <c r="P115" s="1013" t="s">
        <v>25486</v>
      </c>
      <c r="Q115" s="1932" t="str">
        <f>+VLOOKUP(F115,TT_Tabelle_Riferimento!$D$127:$E$164,2,FALSE)</f>
        <v>Comune</v>
      </c>
      <c r="R115" s="1932" t="str">
        <f t="shared" si="13"/>
        <v/>
      </c>
      <c r="S115" s="2335">
        <f t="shared" si="10"/>
        <v>0</v>
      </c>
    </row>
    <row r="116" spans="1:19">
      <c r="A116" s="1932">
        <f t="shared" si="11"/>
        <v>0</v>
      </c>
      <c r="B116" s="1932">
        <f t="shared" si="12"/>
        <v>0</v>
      </c>
      <c r="C116" s="1013" t="s">
        <v>245</v>
      </c>
      <c r="D116" s="1013">
        <v>0</v>
      </c>
      <c r="E116" s="1013" t="s">
        <v>22698</v>
      </c>
      <c r="F116" s="1013">
        <v>36</v>
      </c>
      <c r="G116" s="1932" t="str">
        <f>+VLOOKUP(F116,TT_Tabelle_Riferimento!$D$127:$G$164,4,FALSE)</f>
        <v>Studi, ricerche, brevetti, diritti di utilizzazione</v>
      </c>
      <c r="H116" s="1013">
        <v>3</v>
      </c>
      <c r="I116" s="1932" t="str">
        <f>+VLOOKUP(H116,TT_Tabelle_Riferimento!$F$3:$G$6,2,FALSE)</f>
        <v>Altri servizi idrici</v>
      </c>
      <c r="J116" s="1013">
        <v>2026</v>
      </c>
      <c r="K116" s="2335">
        <f>+SUMIFS('PdI-crono_inv'!AW:AW,'PdI-crono_inv'!CF:CF,F116,'PdI-crono_inv'!CE:CE,H116,'PdI-crono_inv'!J:J,P116,'PdI-crono_inv'!P:P,"&lt;&gt;proprietario")</f>
        <v>0</v>
      </c>
      <c r="M116" s="2335">
        <f>+SUMIFS('PdI-crono_inv'!AX:AX,'PdI-crono_inv'!CF:CF,F116,'PdI-crono_inv'!CE:CE,H116,'PdI-crono_inv'!J:J,P116,'PdI-crono_inv'!P:P,"&lt;&gt;proprietario")+S116</f>
        <v>0</v>
      </c>
      <c r="P116" s="1013" t="s">
        <v>25486</v>
      </c>
      <c r="Q116" s="1932" t="str">
        <f>+VLOOKUP(F116,TT_Tabelle_Riferimento!$D$127:$E$164,2,FALSE)</f>
        <v>Comune</v>
      </c>
      <c r="R116" s="1932" t="str">
        <f t="shared" si="13"/>
        <v/>
      </c>
      <c r="S116" s="2335">
        <f t="shared" si="10"/>
        <v>0</v>
      </c>
    </row>
    <row r="117" spans="1:19">
      <c r="A117" s="1932">
        <f t="shared" si="11"/>
        <v>0</v>
      </c>
      <c r="B117" s="1932">
        <f t="shared" si="12"/>
        <v>0</v>
      </c>
      <c r="C117" s="1013" t="s">
        <v>245</v>
      </c>
      <c r="D117" s="1013">
        <v>0</v>
      </c>
      <c r="E117" s="1013" t="s">
        <v>22698</v>
      </c>
      <c r="F117" s="1013">
        <v>37</v>
      </c>
      <c r="G117" s="1932" t="str">
        <f>+VLOOKUP(F117,TT_Tabelle_Riferimento!$D$127:$G$164,4,FALSE)</f>
        <v>Altre immobilizzazioni materiali e immateriali</v>
      </c>
      <c r="H117" s="1013">
        <v>3</v>
      </c>
      <c r="I117" s="1932" t="str">
        <f>+VLOOKUP(H117,TT_Tabelle_Riferimento!$F$3:$G$6,2,FALSE)</f>
        <v>Altri servizi idrici</v>
      </c>
      <c r="J117" s="1013">
        <v>2026</v>
      </c>
      <c r="K117" s="2335">
        <f>+SUMIFS('PdI-crono_inv'!AW:AW,'PdI-crono_inv'!CF:CF,F117,'PdI-crono_inv'!CE:CE,H117,'PdI-crono_inv'!J:J,P117,'PdI-crono_inv'!P:P,"&lt;&gt;proprietario")</f>
        <v>0</v>
      </c>
      <c r="M117" s="2335">
        <f>+SUMIFS('PdI-crono_inv'!AX:AX,'PdI-crono_inv'!CF:CF,F117,'PdI-crono_inv'!CE:CE,H117,'PdI-crono_inv'!J:J,P117,'PdI-crono_inv'!P:P,"&lt;&gt;proprietario")+S117</f>
        <v>0</v>
      </c>
      <c r="P117" s="1013" t="s">
        <v>25486</v>
      </c>
      <c r="Q117" s="1932" t="str">
        <f>+VLOOKUP(F117,TT_Tabelle_Riferimento!$D$127:$E$164,2,FALSE)</f>
        <v>Comune</v>
      </c>
      <c r="R117" s="1932" t="str">
        <f t="shared" si="13"/>
        <v/>
      </c>
      <c r="S117" s="2335">
        <f t="shared" si="10"/>
        <v>0</v>
      </c>
    </row>
    <row r="118" spans="1:19">
      <c r="A118" s="1932">
        <f t="shared" si="11"/>
        <v>0</v>
      </c>
      <c r="B118" s="1932">
        <f t="shared" si="12"/>
        <v>0</v>
      </c>
      <c r="C118" s="1013" t="s">
        <v>245</v>
      </c>
      <c r="D118" s="1013">
        <v>0</v>
      </c>
      <c r="E118" s="1013" t="s">
        <v>22698</v>
      </c>
      <c r="F118" s="1013">
        <v>38</v>
      </c>
      <c r="G118" s="1932" t="str">
        <f>+VLOOKUP(F118,TT_Tabelle_Riferimento!$D$127:$G$164,4,FALSE)</f>
        <v>Grandi dighe (sbarramenti che superano i quindici metri di altezza o che determinano un invaso superiore a 1 milione di metri cubi)</v>
      </c>
      <c r="H118" s="1013">
        <v>3</v>
      </c>
      <c r="I118" s="1932" t="str">
        <f>+VLOOKUP(H118,TT_Tabelle_Riferimento!$F$3:$G$6,2,FALSE)</f>
        <v>Altri servizi idrici</v>
      </c>
      <c r="J118" s="1013">
        <v>2026</v>
      </c>
      <c r="K118" s="2335">
        <f>+SUMIFS('PdI-crono_inv'!AW:AW,'PdI-crono_inv'!CF:CF,F118,'PdI-crono_inv'!CE:CE,H118,'PdI-crono_inv'!J:J,P118,'PdI-crono_inv'!P:P,"&lt;&gt;proprietario")</f>
        <v>0</v>
      </c>
      <c r="M118" s="2335">
        <f>+SUMIFS('PdI-crono_inv'!AX:AX,'PdI-crono_inv'!CF:CF,F118,'PdI-crono_inv'!CE:CE,H118,'PdI-crono_inv'!J:J,P118,'PdI-crono_inv'!P:P,"&lt;&gt;proprietario")+S118</f>
        <v>0</v>
      </c>
      <c r="P118" s="1013" t="s">
        <v>25486</v>
      </c>
      <c r="Q118" s="1932" t="str">
        <f>+VLOOKUP(F118,TT_Tabelle_Riferimento!$D$127:$E$164,2,FALSE)</f>
        <v>Acquedotto</v>
      </c>
      <c r="R118" s="1932" t="str">
        <f t="shared" si="13"/>
        <v/>
      </c>
      <c r="S118" s="2335">
        <f t="shared" si="10"/>
        <v>0</v>
      </c>
    </row>
    <row r="119" spans="1:19">
      <c r="A119" s="1932">
        <f t="shared" si="11"/>
        <v>0</v>
      </c>
      <c r="B119" s="1932">
        <f t="shared" si="12"/>
        <v>0</v>
      </c>
      <c r="C119" s="1013" t="s">
        <v>245</v>
      </c>
      <c r="D119" s="1013">
        <v>0</v>
      </c>
      <c r="E119" s="1013" t="s">
        <v>22698</v>
      </c>
      <c r="F119" s="1013">
        <v>39</v>
      </c>
      <c r="G119" s="1932" t="str">
        <f>+VLOOKUP(F119,TT_Tabelle_Riferimento!$D$127:$G$164,4,FALSE)</f>
        <v>Piccole dighe (sbarramenti che non superano i quindici metri di altezza o che determinano un invaso non superiore a 1 milione di metri cubi)</v>
      </c>
      <c r="H119" s="1013">
        <v>3</v>
      </c>
      <c r="I119" s="1932" t="str">
        <f>+VLOOKUP(H119,TT_Tabelle_Riferimento!$F$3:$G$6,2,FALSE)</f>
        <v>Altri servizi idrici</v>
      </c>
      <c r="J119" s="1013">
        <v>2026</v>
      </c>
      <c r="K119" s="2335">
        <f>+SUMIFS('PdI-crono_inv'!AW:AW,'PdI-crono_inv'!CF:CF,F119,'PdI-crono_inv'!CE:CE,H119,'PdI-crono_inv'!J:J,P119,'PdI-crono_inv'!P:P,"&lt;&gt;proprietario")</f>
        <v>0</v>
      </c>
      <c r="M119" s="2335">
        <f>+SUMIFS('PdI-crono_inv'!AX:AX,'PdI-crono_inv'!CF:CF,F119,'PdI-crono_inv'!CE:CE,H119,'PdI-crono_inv'!J:J,P119,'PdI-crono_inv'!P:P,"&lt;&gt;proprietario")+S119</f>
        <v>0</v>
      </c>
      <c r="P119" s="1013" t="s">
        <v>25486</v>
      </c>
      <c r="Q119" s="1932" t="str">
        <f>+VLOOKUP(F119,TT_Tabelle_Riferimento!$D$127:$E$164,2,FALSE)</f>
        <v>Acquedotto</v>
      </c>
      <c r="R119" s="1932" t="str">
        <f t="shared" si="13"/>
        <v/>
      </c>
      <c r="S119" s="2335">
        <f t="shared" si="10"/>
        <v>0</v>
      </c>
    </row>
    <row r="120" spans="1:19">
      <c r="A120" s="1932">
        <f t="shared" si="11"/>
        <v>0</v>
      </c>
      <c r="B120" s="1932">
        <f t="shared" si="12"/>
        <v>0</v>
      </c>
      <c r="C120" s="1013" t="s">
        <v>245</v>
      </c>
      <c r="D120" s="1013">
        <v>0</v>
      </c>
      <c r="E120" s="1013" t="s">
        <v>22698</v>
      </c>
      <c r="F120" s="1013">
        <v>2</v>
      </c>
      <c r="G120" s="1932" t="str">
        <f>+VLOOKUP(F120,TT_Tabelle_Riferimento!$D$127:$G$164,4,FALSE)</f>
        <v>Condotte di acquedotto</v>
      </c>
      <c r="H120" s="1013">
        <v>1</v>
      </c>
      <c r="I120" s="1932" t="str">
        <f>+VLOOKUP(H120,TT_Tabelle_Riferimento!$F$3:$G$6,2,FALSE)</f>
        <v>Servizio idrico integrato</v>
      </c>
      <c r="J120" s="1013">
        <v>2026</v>
      </c>
      <c r="K120" s="2335">
        <f>+SUMIFS('PdI-crono_inv'!AW:AW,'PdI-crono_inv'!CF:CF,F120,'PdI-crono_inv'!CE:CE,H120,'PdI-crono_inv'!J:J,P120,'PdI-crono_inv'!P:P,"&lt;&gt;proprietario")</f>
        <v>0</v>
      </c>
      <c r="M120" s="2335">
        <f>+SUMIFS('PdI-crono_inv'!AX:AX,'PdI-crono_inv'!CF:CF,F120,'PdI-crono_inv'!CE:CE,H120,'PdI-crono_inv'!J:J,P120,'PdI-crono_inv'!P:P,"&lt;&gt;proprietario")+S120</f>
        <v>0</v>
      </c>
      <c r="P120" s="1013" t="s">
        <v>25481</v>
      </c>
      <c r="Q120" s="1932" t="str">
        <f>+VLOOKUP(F120,TT_Tabelle_Riferimento!$D$127:$E$164,2,FALSE)</f>
        <v>Acquedotto</v>
      </c>
      <c r="R120" s="1932" t="str">
        <f t="shared" si="13"/>
        <v/>
      </c>
      <c r="S120" s="2335">
        <f t="shared" si="10"/>
        <v>0</v>
      </c>
    </row>
    <row r="121" spans="1:19">
      <c r="A121" s="1932">
        <f t="shared" si="11"/>
        <v>0</v>
      </c>
      <c r="B121" s="1932">
        <f t="shared" si="12"/>
        <v>0</v>
      </c>
      <c r="C121" s="1013" t="s">
        <v>245</v>
      </c>
      <c r="D121" s="1013">
        <v>0</v>
      </c>
      <c r="E121" s="1013" t="s">
        <v>22698</v>
      </c>
      <c r="F121" s="1013">
        <v>3</v>
      </c>
      <c r="G121" s="1932" t="str">
        <f>+VLOOKUP(F121,TT_Tabelle_Riferimento!$D$127:$G$164,4,FALSE)</f>
        <v>Opere idrauliche fisse di acquedotto</v>
      </c>
      <c r="H121" s="1013">
        <v>1</v>
      </c>
      <c r="I121" s="1932" t="str">
        <f>+VLOOKUP(H121,TT_Tabelle_Riferimento!$F$3:$G$6,2,FALSE)</f>
        <v>Servizio idrico integrato</v>
      </c>
      <c r="J121" s="1013">
        <v>2026</v>
      </c>
      <c r="K121" s="2335">
        <f>+SUMIFS('PdI-crono_inv'!AW:AW,'PdI-crono_inv'!CF:CF,F121,'PdI-crono_inv'!CE:CE,H121,'PdI-crono_inv'!J:J,P121,'PdI-crono_inv'!P:P,"&lt;&gt;proprietario")</f>
        <v>0</v>
      </c>
      <c r="M121" s="2335">
        <f>+SUMIFS('PdI-crono_inv'!AX:AX,'PdI-crono_inv'!CF:CF,F121,'PdI-crono_inv'!CE:CE,H121,'PdI-crono_inv'!J:J,P121,'PdI-crono_inv'!P:P,"&lt;&gt;proprietario")+S121</f>
        <v>0</v>
      </c>
      <c r="P121" s="1013" t="s">
        <v>25481</v>
      </c>
      <c r="Q121" s="1932" t="str">
        <f>+VLOOKUP(F121,TT_Tabelle_Riferimento!$D$127:$E$164,2,FALSE)</f>
        <v>Acquedotto</v>
      </c>
      <c r="R121" s="1932" t="str">
        <f t="shared" si="13"/>
        <v/>
      </c>
      <c r="S121" s="2335">
        <f t="shared" si="10"/>
        <v>0</v>
      </c>
    </row>
    <row r="122" spans="1:19">
      <c r="A122" s="1932">
        <f t="shared" si="11"/>
        <v>0</v>
      </c>
      <c r="B122" s="1932">
        <f t="shared" si="12"/>
        <v>0</v>
      </c>
      <c r="C122" s="1013" t="s">
        <v>245</v>
      </c>
      <c r="D122" s="1013">
        <v>0</v>
      </c>
      <c r="E122" s="1013" t="s">
        <v>22698</v>
      </c>
      <c r="F122" s="1013">
        <v>4</v>
      </c>
      <c r="G122" s="1932" t="str">
        <f>+VLOOKUP(F122,TT_Tabelle_Riferimento!$D$127:$G$164,4,FALSE)</f>
        <v>Serbatoi</v>
      </c>
      <c r="H122" s="1013">
        <v>1</v>
      </c>
      <c r="I122" s="1932" t="str">
        <f>+VLOOKUP(H122,TT_Tabelle_Riferimento!$F$3:$G$6,2,FALSE)</f>
        <v>Servizio idrico integrato</v>
      </c>
      <c r="J122" s="1013">
        <v>2026</v>
      </c>
      <c r="K122" s="2335">
        <f>+SUMIFS('PdI-crono_inv'!AW:AW,'PdI-crono_inv'!CF:CF,F122,'PdI-crono_inv'!CE:CE,H122,'PdI-crono_inv'!J:J,P122,'PdI-crono_inv'!P:P,"&lt;&gt;proprietario")</f>
        <v>0</v>
      </c>
      <c r="M122" s="2335">
        <f>+SUMIFS('PdI-crono_inv'!AX:AX,'PdI-crono_inv'!CF:CF,F122,'PdI-crono_inv'!CE:CE,H122,'PdI-crono_inv'!J:J,P122,'PdI-crono_inv'!P:P,"&lt;&gt;proprietario")+S122</f>
        <v>0</v>
      </c>
      <c r="P122" s="1013" t="s">
        <v>25481</v>
      </c>
      <c r="Q122" s="1932" t="str">
        <f>+VLOOKUP(F122,TT_Tabelle_Riferimento!$D$127:$E$164,2,FALSE)</f>
        <v>Acquedotto</v>
      </c>
      <c r="R122" s="1932" t="str">
        <f t="shared" si="13"/>
        <v/>
      </c>
      <c r="S122" s="2335">
        <f t="shared" si="10"/>
        <v>0</v>
      </c>
    </row>
    <row r="123" spans="1:19">
      <c r="A123" s="1932">
        <f t="shared" si="11"/>
        <v>0</v>
      </c>
      <c r="B123" s="1932">
        <f t="shared" si="12"/>
        <v>0</v>
      </c>
      <c r="C123" s="1013" t="s">
        <v>245</v>
      </c>
      <c r="D123" s="1013">
        <v>0</v>
      </c>
      <c r="E123" s="1013" t="s">
        <v>22698</v>
      </c>
      <c r="F123" s="1013">
        <v>5</v>
      </c>
      <c r="G123" s="1932" t="str">
        <f>+VLOOKUP(F123,TT_Tabelle_Riferimento!$D$127:$G$164,4,FALSE)</f>
        <v>Impianti di sollevamento e pompaggio di acquedotto</v>
      </c>
      <c r="H123" s="1013">
        <v>1</v>
      </c>
      <c r="I123" s="1932" t="str">
        <f>+VLOOKUP(H123,TT_Tabelle_Riferimento!$F$3:$G$6,2,FALSE)</f>
        <v>Servizio idrico integrato</v>
      </c>
      <c r="J123" s="1013">
        <v>2026</v>
      </c>
      <c r="K123" s="2335">
        <f>+SUMIFS('PdI-crono_inv'!AW:AW,'PdI-crono_inv'!CF:CF,F123,'PdI-crono_inv'!CE:CE,H123,'PdI-crono_inv'!J:J,P123,'PdI-crono_inv'!P:P,"&lt;&gt;proprietario")</f>
        <v>0</v>
      </c>
      <c r="M123" s="2335">
        <f>+SUMIFS('PdI-crono_inv'!AX:AX,'PdI-crono_inv'!CF:CF,F123,'PdI-crono_inv'!CE:CE,H123,'PdI-crono_inv'!J:J,P123,'PdI-crono_inv'!P:P,"&lt;&gt;proprietario")+S123</f>
        <v>0</v>
      </c>
      <c r="P123" s="1013" t="s">
        <v>25481</v>
      </c>
      <c r="Q123" s="1932" t="str">
        <f>+VLOOKUP(F123,TT_Tabelle_Riferimento!$D$127:$E$164,2,FALSE)</f>
        <v>Acquedotto</v>
      </c>
      <c r="R123" s="1932" t="str">
        <f t="shared" si="13"/>
        <v/>
      </c>
      <c r="S123" s="2335">
        <f t="shared" si="10"/>
        <v>0</v>
      </c>
    </row>
    <row r="124" spans="1:19">
      <c r="A124" s="1932">
        <f t="shared" si="11"/>
        <v>0</v>
      </c>
      <c r="B124" s="1932">
        <f t="shared" si="12"/>
        <v>0</v>
      </c>
      <c r="C124" s="1013" t="s">
        <v>245</v>
      </c>
      <c r="D124" s="1013">
        <v>0</v>
      </c>
      <c r="E124" s="1013" t="s">
        <v>22698</v>
      </c>
      <c r="F124" s="1013">
        <v>6</v>
      </c>
      <c r="G124" s="1932" t="str">
        <f>+VLOOKUP(F124,TT_Tabelle_Riferimento!$D$127:$G$164,4,FALSE)</f>
        <v>Impianti di potabilizzazione</v>
      </c>
      <c r="H124" s="1013">
        <v>1</v>
      </c>
      <c r="I124" s="1932" t="str">
        <f>+VLOOKUP(H124,TT_Tabelle_Riferimento!$F$3:$G$6,2,FALSE)</f>
        <v>Servizio idrico integrato</v>
      </c>
      <c r="J124" s="1013">
        <v>2026</v>
      </c>
      <c r="K124" s="2335">
        <f>+SUMIFS('PdI-crono_inv'!AW:AW,'PdI-crono_inv'!CF:CF,F124,'PdI-crono_inv'!CE:CE,H124,'PdI-crono_inv'!J:J,P124,'PdI-crono_inv'!P:P,"&lt;&gt;proprietario")</f>
        <v>0</v>
      </c>
      <c r="M124" s="2335">
        <f>+SUMIFS('PdI-crono_inv'!AX:AX,'PdI-crono_inv'!CF:CF,F124,'PdI-crono_inv'!CE:CE,H124,'PdI-crono_inv'!J:J,P124,'PdI-crono_inv'!P:P,"&lt;&gt;proprietario")+S124</f>
        <v>0</v>
      </c>
      <c r="P124" s="1013" t="s">
        <v>25481</v>
      </c>
      <c r="Q124" s="1932" t="str">
        <f>+VLOOKUP(F124,TT_Tabelle_Riferimento!$D$127:$E$164,2,FALSE)</f>
        <v>Acquedotto</v>
      </c>
      <c r="R124" s="1932" t="str">
        <f t="shared" si="13"/>
        <v/>
      </c>
      <c r="S124" s="2335">
        <f t="shared" si="10"/>
        <v>0</v>
      </c>
    </row>
    <row r="125" spans="1:19">
      <c r="A125" s="1932">
        <f t="shared" si="11"/>
        <v>0</v>
      </c>
      <c r="B125" s="1932">
        <f t="shared" si="12"/>
        <v>0</v>
      </c>
      <c r="C125" s="1013" t="s">
        <v>245</v>
      </c>
      <c r="D125" s="1013">
        <v>0</v>
      </c>
      <c r="E125" s="1013" t="s">
        <v>22698</v>
      </c>
      <c r="F125" s="1013">
        <v>7</v>
      </c>
      <c r="G125" s="1932" t="str">
        <f>+VLOOKUP(F125,TT_Tabelle_Riferimento!$D$127:$G$164,4,FALSE)</f>
        <v>Altri trattamenti di potabilizzazione (tra cui dispositivi di disinfezione, stacciatura, filtrazione, addolcimento)</v>
      </c>
      <c r="H125" s="1013">
        <v>1</v>
      </c>
      <c r="I125" s="1932" t="str">
        <f>+VLOOKUP(H125,TT_Tabelle_Riferimento!$F$3:$G$6,2,FALSE)</f>
        <v>Servizio idrico integrato</v>
      </c>
      <c r="J125" s="1013">
        <v>2026</v>
      </c>
      <c r="K125" s="2335">
        <f>+SUMIFS('PdI-crono_inv'!AW:AW,'PdI-crono_inv'!CF:CF,F125,'PdI-crono_inv'!CE:CE,H125,'PdI-crono_inv'!J:J,P125,'PdI-crono_inv'!P:P,"&lt;&gt;proprietario")</f>
        <v>0</v>
      </c>
      <c r="M125" s="2335">
        <f>+SUMIFS('PdI-crono_inv'!AX:AX,'PdI-crono_inv'!CF:CF,F125,'PdI-crono_inv'!CE:CE,H125,'PdI-crono_inv'!J:J,P125,'PdI-crono_inv'!P:P,"&lt;&gt;proprietario")+S125</f>
        <v>0</v>
      </c>
      <c r="P125" s="1013" t="s">
        <v>25481</v>
      </c>
      <c r="Q125" s="1932" t="str">
        <f>+VLOOKUP(F125,TT_Tabelle_Riferimento!$D$127:$E$164,2,FALSE)</f>
        <v>Acquedotto</v>
      </c>
      <c r="R125" s="1932" t="str">
        <f t="shared" si="13"/>
        <v/>
      </c>
      <c r="S125" s="2335">
        <f t="shared" si="10"/>
        <v>0</v>
      </c>
    </row>
    <row r="126" spans="1:19">
      <c r="A126" s="1932">
        <f t="shared" si="11"/>
        <v>0</v>
      </c>
      <c r="B126" s="1932">
        <f t="shared" si="12"/>
        <v>0</v>
      </c>
      <c r="C126" s="1013" t="s">
        <v>245</v>
      </c>
      <c r="D126" s="1013">
        <v>0</v>
      </c>
      <c r="E126" s="1013" t="s">
        <v>22698</v>
      </c>
      <c r="F126" s="1013">
        <v>8</v>
      </c>
      <c r="G126" s="1932" t="str">
        <f>+VLOOKUP(F126,TT_Tabelle_Riferimento!$D$127:$G$164,4,FALSE)</f>
        <v>Gruppi di misura - altre attrezzature di acquedotto</v>
      </c>
      <c r="H126" s="1013">
        <v>1</v>
      </c>
      <c r="I126" s="1932" t="str">
        <f>+VLOOKUP(H126,TT_Tabelle_Riferimento!$F$3:$G$6,2,FALSE)</f>
        <v>Servizio idrico integrato</v>
      </c>
      <c r="J126" s="1013">
        <v>2026</v>
      </c>
      <c r="K126" s="2335">
        <f>+SUMIFS('PdI-crono_inv'!AW:AW,'PdI-crono_inv'!CF:CF,F126,'PdI-crono_inv'!CE:CE,H126,'PdI-crono_inv'!J:J,P126,'PdI-crono_inv'!P:P,"&lt;&gt;proprietario")</f>
        <v>0</v>
      </c>
      <c r="M126" s="2335">
        <f>+SUMIFS('PdI-crono_inv'!AX:AX,'PdI-crono_inv'!CF:CF,F126,'PdI-crono_inv'!CE:CE,H126,'PdI-crono_inv'!J:J,P126,'PdI-crono_inv'!P:P,"&lt;&gt;proprietario")+S126</f>
        <v>0</v>
      </c>
      <c r="P126" s="1013" t="s">
        <v>25481</v>
      </c>
      <c r="Q126" s="1932" t="str">
        <f>+VLOOKUP(F126,TT_Tabelle_Riferimento!$D$127:$E$164,2,FALSE)</f>
        <v>Acquedotto</v>
      </c>
      <c r="R126" s="1932" t="str">
        <f t="shared" si="13"/>
        <v/>
      </c>
      <c r="S126" s="2335">
        <f t="shared" si="10"/>
        <v>0</v>
      </c>
    </row>
    <row r="127" spans="1:19">
      <c r="A127" s="1932">
        <f t="shared" si="11"/>
        <v>0</v>
      </c>
      <c r="B127" s="1932">
        <f t="shared" si="12"/>
        <v>0</v>
      </c>
      <c r="C127" s="1013" t="s">
        <v>245</v>
      </c>
      <c r="D127" s="1013">
        <v>0</v>
      </c>
      <c r="E127" s="1013" t="s">
        <v>22698</v>
      </c>
      <c r="F127" s="1013">
        <v>9</v>
      </c>
      <c r="G127" s="1932" t="str">
        <f>+VLOOKUP(F127,TT_Tabelle_Riferimento!$D$127:$G$164,4,FALSE)</f>
        <v>Sistemi informativi di acquedotto</v>
      </c>
      <c r="H127" s="1013">
        <v>1</v>
      </c>
      <c r="I127" s="1932" t="str">
        <f>+VLOOKUP(H127,TT_Tabelle_Riferimento!$F$3:$G$6,2,FALSE)</f>
        <v>Servizio idrico integrato</v>
      </c>
      <c r="J127" s="1013">
        <v>2026</v>
      </c>
      <c r="K127" s="2335">
        <f>+SUMIFS('PdI-crono_inv'!AW:AW,'PdI-crono_inv'!CF:CF,F127,'PdI-crono_inv'!CE:CE,H127,'PdI-crono_inv'!J:J,P127,'PdI-crono_inv'!P:P,"&lt;&gt;proprietario")</f>
        <v>0</v>
      </c>
      <c r="M127" s="2335">
        <f>+SUMIFS('PdI-crono_inv'!AX:AX,'PdI-crono_inv'!CF:CF,F127,'PdI-crono_inv'!CE:CE,H127,'PdI-crono_inv'!J:J,P127,'PdI-crono_inv'!P:P,"&lt;&gt;proprietario")+S127</f>
        <v>0</v>
      </c>
      <c r="P127" s="1013" t="s">
        <v>25481</v>
      </c>
      <c r="Q127" s="1932" t="str">
        <f>+VLOOKUP(F127,TT_Tabelle_Riferimento!$D$127:$E$164,2,FALSE)</f>
        <v>Acquedotto</v>
      </c>
      <c r="R127" s="1932" t="str">
        <f t="shared" si="13"/>
        <v/>
      </c>
      <c r="S127" s="2335">
        <f t="shared" si="10"/>
        <v>0</v>
      </c>
    </row>
    <row r="128" spans="1:19">
      <c r="A128" s="1932">
        <f t="shared" si="11"/>
        <v>0</v>
      </c>
      <c r="B128" s="1932">
        <f t="shared" si="12"/>
        <v>0</v>
      </c>
      <c r="C128" s="1013" t="s">
        <v>245</v>
      </c>
      <c r="D128" s="1013">
        <v>0</v>
      </c>
      <c r="E128" s="1013" t="s">
        <v>22698</v>
      </c>
      <c r="F128" s="1013">
        <v>10</v>
      </c>
      <c r="G128" s="1932" t="str">
        <f>+VLOOKUP(F128,TT_Tabelle_Riferimento!$D$127:$G$164,4,FALSE)</f>
        <v>Telecontrollo e teletrasmissione di acquedotto</v>
      </c>
      <c r="H128" s="1013">
        <v>1</v>
      </c>
      <c r="I128" s="1932" t="str">
        <f>+VLOOKUP(H128,TT_Tabelle_Riferimento!$F$3:$G$6,2,FALSE)</f>
        <v>Servizio idrico integrato</v>
      </c>
      <c r="J128" s="1013">
        <v>2026</v>
      </c>
      <c r="K128" s="2335">
        <f>+SUMIFS('PdI-crono_inv'!AW:AW,'PdI-crono_inv'!CF:CF,F128,'PdI-crono_inv'!CE:CE,H128,'PdI-crono_inv'!J:J,P128,'PdI-crono_inv'!P:P,"&lt;&gt;proprietario")</f>
        <v>0</v>
      </c>
      <c r="M128" s="2335">
        <f>+SUMIFS('PdI-crono_inv'!AX:AX,'PdI-crono_inv'!CF:CF,F128,'PdI-crono_inv'!CE:CE,H128,'PdI-crono_inv'!J:J,P128,'PdI-crono_inv'!P:P,"&lt;&gt;proprietario")+S128</f>
        <v>0</v>
      </c>
      <c r="P128" s="1013" t="s">
        <v>25481</v>
      </c>
      <c r="Q128" s="1932" t="str">
        <f>+VLOOKUP(F128,TT_Tabelle_Riferimento!$D$127:$E$164,2,FALSE)</f>
        <v>Acquedotto</v>
      </c>
      <c r="R128" s="1932" t="str">
        <f t="shared" si="13"/>
        <v/>
      </c>
      <c r="S128" s="2335">
        <f t="shared" si="10"/>
        <v>0</v>
      </c>
    </row>
    <row r="129" spans="1:19">
      <c r="A129" s="1932">
        <f t="shared" si="11"/>
        <v>0</v>
      </c>
      <c r="B129" s="1932">
        <f t="shared" si="12"/>
        <v>0</v>
      </c>
      <c r="C129" s="1013" t="s">
        <v>245</v>
      </c>
      <c r="D129" s="1013">
        <v>0</v>
      </c>
      <c r="E129" s="1013" t="s">
        <v>22698</v>
      </c>
      <c r="F129" s="1013">
        <v>11</v>
      </c>
      <c r="G129" s="1932" t="str">
        <f>+VLOOKUP(F129,TT_Tabelle_Riferimento!$D$127:$G$164,4,FALSE)</f>
        <v>Condotte fognarie</v>
      </c>
      <c r="H129" s="1013">
        <v>1</v>
      </c>
      <c r="I129" s="1932" t="str">
        <f>+VLOOKUP(H129,TT_Tabelle_Riferimento!$F$3:$G$6,2,FALSE)</f>
        <v>Servizio idrico integrato</v>
      </c>
      <c r="J129" s="1013">
        <v>2026</v>
      </c>
      <c r="K129" s="2335">
        <f>+SUMIFS('PdI-crono_inv'!AW:AW,'PdI-crono_inv'!CF:CF,F129,'PdI-crono_inv'!CE:CE,H129,'PdI-crono_inv'!J:J,P129,'PdI-crono_inv'!P:P,"&lt;&gt;proprietario")</f>
        <v>0</v>
      </c>
      <c r="M129" s="2335">
        <f>+SUMIFS('PdI-crono_inv'!AX:AX,'PdI-crono_inv'!CF:CF,F129,'PdI-crono_inv'!CE:CE,H129,'PdI-crono_inv'!J:J,P129,'PdI-crono_inv'!P:P,"&lt;&gt;proprietario")+S129</f>
        <v>0</v>
      </c>
      <c r="P129" s="1013" t="s">
        <v>25481</v>
      </c>
      <c r="Q129" s="1932" t="str">
        <f>+VLOOKUP(F129,TT_Tabelle_Riferimento!$D$127:$E$164,2,FALSE)</f>
        <v>Fognatura</v>
      </c>
      <c r="R129" s="1932" t="str">
        <f t="shared" si="13"/>
        <v/>
      </c>
      <c r="S129" s="2335">
        <f t="shared" si="10"/>
        <v>0</v>
      </c>
    </row>
    <row r="130" spans="1:19">
      <c r="A130" s="1932">
        <f t="shared" si="11"/>
        <v>0</v>
      </c>
      <c r="B130" s="1932">
        <f t="shared" si="12"/>
        <v>0</v>
      </c>
      <c r="C130" s="1013" t="s">
        <v>245</v>
      </c>
      <c r="D130" s="1013">
        <v>0</v>
      </c>
      <c r="E130" s="1013" t="s">
        <v>22698</v>
      </c>
      <c r="F130" s="1013">
        <v>12</v>
      </c>
      <c r="G130" s="1932" t="str">
        <f>+VLOOKUP(F130,TT_Tabelle_Riferimento!$D$127:$G$164,4,FALSE)</f>
        <v>Sifoni e scaricatori di piena e altre opere idrauliche fisse di fognatura</v>
      </c>
      <c r="H130" s="1013">
        <v>1</v>
      </c>
      <c r="I130" s="1932" t="str">
        <f>+VLOOKUP(H130,TT_Tabelle_Riferimento!$F$3:$G$6,2,FALSE)</f>
        <v>Servizio idrico integrato</v>
      </c>
      <c r="J130" s="1013">
        <v>2026</v>
      </c>
      <c r="K130" s="2335">
        <f>+SUMIFS('PdI-crono_inv'!AW:AW,'PdI-crono_inv'!CF:CF,F130,'PdI-crono_inv'!CE:CE,H130,'PdI-crono_inv'!J:J,P130,'PdI-crono_inv'!P:P,"&lt;&gt;proprietario")</f>
        <v>0</v>
      </c>
      <c r="M130" s="2335">
        <f>+SUMIFS('PdI-crono_inv'!AX:AX,'PdI-crono_inv'!CF:CF,F130,'PdI-crono_inv'!CE:CE,H130,'PdI-crono_inv'!J:J,P130,'PdI-crono_inv'!P:P,"&lt;&gt;proprietario")+S130</f>
        <v>0</v>
      </c>
      <c r="P130" s="1013" t="s">
        <v>25481</v>
      </c>
      <c r="Q130" s="1932" t="str">
        <f>+VLOOKUP(F130,TT_Tabelle_Riferimento!$D$127:$E$164,2,FALSE)</f>
        <v>Fognatura</v>
      </c>
      <c r="R130" s="1932" t="str">
        <f t="shared" si="13"/>
        <v/>
      </c>
      <c r="S130" s="2335">
        <f t="shared" si="10"/>
        <v>0</v>
      </c>
    </row>
    <row r="131" spans="1:19">
      <c r="A131" s="1932">
        <f t="shared" si="11"/>
        <v>0</v>
      </c>
      <c r="B131" s="1932">
        <f t="shared" si="12"/>
        <v>0</v>
      </c>
      <c r="C131" s="1013" t="s">
        <v>245</v>
      </c>
      <c r="D131" s="1013">
        <v>0</v>
      </c>
      <c r="E131" s="1013" t="s">
        <v>22698</v>
      </c>
      <c r="F131" s="1013">
        <v>13</v>
      </c>
      <c r="G131" s="1932" t="str">
        <f>+VLOOKUP(F131,TT_Tabelle_Riferimento!$D$127:$G$164,4,FALSE)</f>
        <v>Vasche di laminazione e vasche di prima pioggia</v>
      </c>
      <c r="H131" s="1013">
        <v>1</v>
      </c>
      <c r="I131" s="1932" t="str">
        <f>+VLOOKUP(H131,TT_Tabelle_Riferimento!$F$3:$G$6,2,FALSE)</f>
        <v>Servizio idrico integrato</v>
      </c>
      <c r="J131" s="1013">
        <v>2026</v>
      </c>
      <c r="K131" s="2335">
        <f>+SUMIFS('PdI-crono_inv'!AW:AW,'PdI-crono_inv'!CF:CF,F131,'PdI-crono_inv'!CE:CE,H131,'PdI-crono_inv'!J:J,P131,'PdI-crono_inv'!P:P,"&lt;&gt;proprietario")</f>
        <v>0</v>
      </c>
      <c r="M131" s="2335">
        <f>+SUMIFS('PdI-crono_inv'!AX:AX,'PdI-crono_inv'!CF:CF,F131,'PdI-crono_inv'!CE:CE,H131,'PdI-crono_inv'!J:J,P131,'PdI-crono_inv'!P:P,"&lt;&gt;proprietario")+S131</f>
        <v>0</v>
      </c>
      <c r="P131" s="1013" t="s">
        <v>25481</v>
      </c>
      <c r="Q131" s="1932" t="str">
        <f>+VLOOKUP(F131,TT_Tabelle_Riferimento!$D$127:$E$164,2,FALSE)</f>
        <v>Fognatura</v>
      </c>
      <c r="R131" s="1932" t="str">
        <f t="shared" si="13"/>
        <v/>
      </c>
      <c r="S131" s="2335">
        <f t="shared" si="10"/>
        <v>0</v>
      </c>
    </row>
    <row r="132" spans="1:19">
      <c r="A132" s="1932">
        <f t="shared" si="11"/>
        <v>0</v>
      </c>
      <c r="B132" s="1932">
        <f t="shared" si="12"/>
        <v>0</v>
      </c>
      <c r="C132" s="1013" t="s">
        <v>245</v>
      </c>
      <c r="D132" s="1013">
        <v>0</v>
      </c>
      <c r="E132" s="1013" t="s">
        <v>22698</v>
      </c>
      <c r="F132" s="1013">
        <v>14</v>
      </c>
      <c r="G132" s="1932" t="str">
        <f>+VLOOKUP(F132,TT_Tabelle_Riferimento!$D$127:$G$164,4,FALSE)</f>
        <v>Impianti di sollevamento e pompaggio di fognatura</v>
      </c>
      <c r="H132" s="1013">
        <v>1</v>
      </c>
      <c r="I132" s="1932" t="str">
        <f>+VLOOKUP(H132,TT_Tabelle_Riferimento!$F$3:$G$6,2,FALSE)</f>
        <v>Servizio idrico integrato</v>
      </c>
      <c r="J132" s="1013">
        <v>2026</v>
      </c>
      <c r="K132" s="2335">
        <f>+SUMIFS('PdI-crono_inv'!AW:AW,'PdI-crono_inv'!CF:CF,F132,'PdI-crono_inv'!CE:CE,H132,'PdI-crono_inv'!J:J,P132,'PdI-crono_inv'!P:P,"&lt;&gt;proprietario")</f>
        <v>0</v>
      </c>
      <c r="M132" s="2335">
        <f>+SUMIFS('PdI-crono_inv'!AX:AX,'PdI-crono_inv'!CF:CF,F132,'PdI-crono_inv'!CE:CE,H132,'PdI-crono_inv'!J:J,P132,'PdI-crono_inv'!P:P,"&lt;&gt;proprietario")+S132</f>
        <v>0</v>
      </c>
      <c r="P132" s="1013" t="s">
        <v>25481</v>
      </c>
      <c r="Q132" s="1932" t="str">
        <f>+VLOOKUP(F132,TT_Tabelle_Riferimento!$D$127:$E$164,2,FALSE)</f>
        <v>Fognatura</v>
      </c>
      <c r="R132" s="1932" t="str">
        <f t="shared" si="13"/>
        <v/>
      </c>
      <c r="S132" s="2335">
        <f t="shared" si="10"/>
        <v>0</v>
      </c>
    </row>
    <row r="133" spans="1:19">
      <c r="A133" s="1932">
        <f t="shared" si="11"/>
        <v>0</v>
      </c>
      <c r="B133" s="1932">
        <f t="shared" si="12"/>
        <v>0</v>
      </c>
      <c r="C133" s="1013" t="s">
        <v>245</v>
      </c>
      <c r="D133" s="1013">
        <v>0</v>
      </c>
      <c r="E133" s="1013" t="s">
        <v>22698</v>
      </c>
      <c r="F133" s="1013">
        <v>15</v>
      </c>
      <c r="G133" s="1932" t="str">
        <f>+VLOOKUP(F133,TT_Tabelle_Riferimento!$D$127:$G$164,4,FALSE)</f>
        <v>Gruppi di misura - altre attrezzature di fognatura</v>
      </c>
      <c r="H133" s="1013">
        <v>1</v>
      </c>
      <c r="I133" s="1932" t="str">
        <f>+VLOOKUP(H133,TT_Tabelle_Riferimento!$F$3:$G$6,2,FALSE)</f>
        <v>Servizio idrico integrato</v>
      </c>
      <c r="J133" s="1013">
        <v>2026</v>
      </c>
      <c r="K133" s="2335">
        <f>+SUMIFS('PdI-crono_inv'!AW:AW,'PdI-crono_inv'!CF:CF,F133,'PdI-crono_inv'!CE:CE,H133,'PdI-crono_inv'!J:J,P133,'PdI-crono_inv'!P:P,"&lt;&gt;proprietario")</f>
        <v>0</v>
      </c>
      <c r="M133" s="2335">
        <f>+SUMIFS('PdI-crono_inv'!AX:AX,'PdI-crono_inv'!CF:CF,F133,'PdI-crono_inv'!CE:CE,H133,'PdI-crono_inv'!J:J,P133,'PdI-crono_inv'!P:P,"&lt;&gt;proprietario")+S133</f>
        <v>0</v>
      </c>
      <c r="P133" s="1013" t="s">
        <v>25481</v>
      </c>
      <c r="Q133" s="1932" t="str">
        <f>+VLOOKUP(F133,TT_Tabelle_Riferimento!$D$127:$E$164,2,FALSE)</f>
        <v>Fognatura</v>
      </c>
      <c r="R133" s="1932" t="str">
        <f t="shared" si="13"/>
        <v/>
      </c>
      <c r="S133" s="2335">
        <f t="shared" si="10"/>
        <v>0</v>
      </c>
    </row>
    <row r="134" spans="1:19">
      <c r="A134" s="1932">
        <f t="shared" si="11"/>
        <v>0</v>
      </c>
      <c r="B134" s="1932">
        <f t="shared" si="12"/>
        <v>0</v>
      </c>
      <c r="C134" s="1013" t="s">
        <v>245</v>
      </c>
      <c r="D134" s="1013">
        <v>0</v>
      </c>
      <c r="E134" s="1013" t="s">
        <v>22698</v>
      </c>
      <c r="F134" s="1013">
        <v>16</v>
      </c>
      <c r="G134" s="1932" t="str">
        <f>+VLOOKUP(F134,TT_Tabelle_Riferimento!$D$127:$G$164,4,FALSE)</f>
        <v>Sistemi informativi di fognatura</v>
      </c>
      <c r="H134" s="1013">
        <v>1</v>
      </c>
      <c r="I134" s="1932" t="str">
        <f>+VLOOKUP(H134,TT_Tabelle_Riferimento!$F$3:$G$6,2,FALSE)</f>
        <v>Servizio idrico integrato</v>
      </c>
      <c r="J134" s="1013">
        <v>2026</v>
      </c>
      <c r="K134" s="2335">
        <f>+SUMIFS('PdI-crono_inv'!AW:AW,'PdI-crono_inv'!CF:CF,F134,'PdI-crono_inv'!CE:CE,H134,'PdI-crono_inv'!J:J,P134,'PdI-crono_inv'!P:P,"&lt;&gt;proprietario")</f>
        <v>0</v>
      </c>
      <c r="M134" s="2335">
        <f>+SUMIFS('PdI-crono_inv'!AX:AX,'PdI-crono_inv'!CF:CF,F134,'PdI-crono_inv'!CE:CE,H134,'PdI-crono_inv'!J:J,P134,'PdI-crono_inv'!P:P,"&lt;&gt;proprietario")+S134</f>
        <v>0</v>
      </c>
      <c r="P134" s="1013" t="s">
        <v>25481</v>
      </c>
      <c r="Q134" s="1932" t="str">
        <f>+VLOOKUP(F134,TT_Tabelle_Riferimento!$D$127:$E$164,2,FALSE)</f>
        <v>Fognatura</v>
      </c>
      <c r="R134" s="1932" t="str">
        <f t="shared" si="13"/>
        <v/>
      </c>
      <c r="S134" s="2335">
        <f t="shared" si="10"/>
        <v>0</v>
      </c>
    </row>
    <row r="135" spans="1:19">
      <c r="A135" s="1932">
        <f t="shared" si="11"/>
        <v>0</v>
      </c>
      <c r="B135" s="1932">
        <f t="shared" si="12"/>
        <v>0</v>
      </c>
      <c r="C135" s="1013" t="s">
        <v>245</v>
      </c>
      <c r="D135" s="1013">
        <v>0</v>
      </c>
      <c r="E135" s="1013" t="s">
        <v>22698</v>
      </c>
      <c r="F135" s="1013">
        <v>18</v>
      </c>
      <c r="G135" s="1932" t="str">
        <f>+VLOOKUP(F135,TT_Tabelle_Riferimento!$D$127:$G$164,4,FALSE)</f>
        <v>Telecontrollo e teletrasmissione di fognatura</v>
      </c>
      <c r="H135" s="1013">
        <v>1</v>
      </c>
      <c r="I135" s="1932" t="str">
        <f>+VLOOKUP(H135,TT_Tabelle_Riferimento!$F$3:$G$6,2,FALSE)</f>
        <v>Servizio idrico integrato</v>
      </c>
      <c r="J135" s="1013">
        <v>2026</v>
      </c>
      <c r="K135" s="2335">
        <f>+SUMIFS('PdI-crono_inv'!AW:AW,'PdI-crono_inv'!CF:CF,F135,'PdI-crono_inv'!CE:CE,H135,'PdI-crono_inv'!J:J,P135,'PdI-crono_inv'!P:P,"&lt;&gt;proprietario")</f>
        <v>0</v>
      </c>
      <c r="M135" s="2335">
        <f>+SUMIFS('PdI-crono_inv'!AX:AX,'PdI-crono_inv'!CF:CF,F135,'PdI-crono_inv'!CE:CE,H135,'PdI-crono_inv'!J:J,P135,'PdI-crono_inv'!P:P,"&lt;&gt;proprietario")+S135</f>
        <v>0</v>
      </c>
      <c r="P135" s="1013" t="s">
        <v>25481</v>
      </c>
      <c r="Q135" s="1932" t="str">
        <f>+VLOOKUP(F135,TT_Tabelle_Riferimento!$D$127:$E$164,2,FALSE)</f>
        <v>Fognatura</v>
      </c>
      <c r="R135" s="1932" t="str">
        <f t="shared" si="13"/>
        <v/>
      </c>
      <c r="S135" s="2335">
        <f t="shared" ref="S135:S198" si="14">+IFERROR(HLOOKUP(J135,$X$2:$Y$5,4,FALSE)*K135,0)</f>
        <v>0</v>
      </c>
    </row>
    <row r="136" spans="1:19">
      <c r="A136" s="1932">
        <f t="shared" si="11"/>
        <v>0</v>
      </c>
      <c r="B136" s="1932">
        <f t="shared" si="12"/>
        <v>0</v>
      </c>
      <c r="C136" s="1013" t="s">
        <v>245</v>
      </c>
      <c r="D136" s="1013">
        <v>0</v>
      </c>
      <c r="E136" s="1013" t="s">
        <v>22698</v>
      </c>
      <c r="F136" s="1013">
        <v>19</v>
      </c>
      <c r="G136" s="1932" t="str">
        <f>+VLOOKUP(F136,TT_Tabelle_Riferimento!$D$127:$G$164,4,FALSE)</f>
        <v>Impianti di sollevamento e pompaggio di depurazione</v>
      </c>
      <c r="H136" s="1013">
        <v>1</v>
      </c>
      <c r="I136" s="1932" t="str">
        <f>+VLOOKUP(H136,TT_Tabelle_Riferimento!$F$3:$G$6,2,FALSE)</f>
        <v>Servizio idrico integrato</v>
      </c>
      <c r="J136" s="1013">
        <v>2026</v>
      </c>
      <c r="K136" s="2335">
        <f>+SUMIFS('PdI-crono_inv'!AW:AW,'PdI-crono_inv'!CF:CF,F136,'PdI-crono_inv'!CE:CE,H136,'PdI-crono_inv'!J:J,P136,'PdI-crono_inv'!P:P,"&lt;&gt;proprietario")</f>
        <v>0</v>
      </c>
      <c r="M136" s="2335">
        <f>+SUMIFS('PdI-crono_inv'!AX:AX,'PdI-crono_inv'!CF:CF,F136,'PdI-crono_inv'!CE:CE,H136,'PdI-crono_inv'!J:J,P136,'PdI-crono_inv'!P:P,"&lt;&gt;proprietario")+S136</f>
        <v>0</v>
      </c>
      <c r="P136" s="1013" t="s">
        <v>25481</v>
      </c>
      <c r="Q136" s="1932" t="str">
        <f>+VLOOKUP(F136,TT_Tabelle_Riferimento!$D$127:$E$164,2,FALSE)</f>
        <v>Depurazione</v>
      </c>
      <c r="R136" s="1932" t="str">
        <f t="shared" si="13"/>
        <v/>
      </c>
      <c r="S136" s="2335">
        <f t="shared" si="14"/>
        <v>0</v>
      </c>
    </row>
    <row r="137" spans="1:19">
      <c r="A137" s="1932">
        <f t="shared" si="11"/>
        <v>0</v>
      </c>
      <c r="B137" s="1932">
        <f t="shared" si="12"/>
        <v>0</v>
      </c>
      <c r="C137" s="1013" t="s">
        <v>245</v>
      </c>
      <c r="D137" s="1013">
        <v>0</v>
      </c>
      <c r="E137" s="1013" t="s">
        <v>22698</v>
      </c>
      <c r="F137" s="1013">
        <v>20</v>
      </c>
      <c r="G137" s="1932" t="str">
        <f>+VLOOKUP(F137,TT_Tabelle_Riferimento!$D$127:$G$164,4,FALSE)</f>
        <v>Tecniche naturali di depurazione (tra cui fitodepurazione e lagunaggio)</v>
      </c>
      <c r="H137" s="1013">
        <v>1</v>
      </c>
      <c r="I137" s="1932" t="str">
        <f>+VLOOKUP(H137,TT_Tabelle_Riferimento!$F$3:$G$6,2,FALSE)</f>
        <v>Servizio idrico integrato</v>
      </c>
      <c r="J137" s="1013">
        <v>2026</v>
      </c>
      <c r="K137" s="2335">
        <f>+SUMIFS('PdI-crono_inv'!AW:AW,'PdI-crono_inv'!CF:CF,F137,'PdI-crono_inv'!CE:CE,H137,'PdI-crono_inv'!J:J,P137,'PdI-crono_inv'!P:P,"&lt;&gt;proprietario")</f>
        <v>0</v>
      </c>
      <c r="M137" s="2335">
        <f>+SUMIFS('PdI-crono_inv'!AX:AX,'PdI-crono_inv'!CF:CF,F137,'PdI-crono_inv'!CE:CE,H137,'PdI-crono_inv'!J:J,P137,'PdI-crono_inv'!P:P,"&lt;&gt;proprietario")+S137</f>
        <v>0</v>
      </c>
      <c r="P137" s="1013" t="s">
        <v>25481</v>
      </c>
      <c r="Q137" s="1932" t="str">
        <f>+VLOOKUP(F137,TT_Tabelle_Riferimento!$D$127:$E$164,2,FALSE)</f>
        <v>Depurazione</v>
      </c>
      <c r="R137" s="1932" t="str">
        <f t="shared" si="13"/>
        <v/>
      </c>
      <c r="S137" s="2335">
        <f t="shared" si="14"/>
        <v>0</v>
      </c>
    </row>
    <row r="138" spans="1:19">
      <c r="A138" s="1932">
        <f t="shared" si="11"/>
        <v>0</v>
      </c>
      <c r="B138" s="1932">
        <f t="shared" si="12"/>
        <v>0</v>
      </c>
      <c r="C138" s="1013" t="s">
        <v>245</v>
      </c>
      <c r="D138" s="1013">
        <v>0</v>
      </c>
      <c r="E138" s="1013" t="s">
        <v>22698</v>
      </c>
      <c r="F138" s="1013">
        <v>21</v>
      </c>
      <c r="G138" s="1932" t="str">
        <f>+VLOOKUP(F138,TT_Tabelle_Riferimento!$D$127:$G$164,4,FALSE)</f>
        <v>Impianti di depurazione – trattamenti sino al preliminare, integrativo, primario - fosse settiche e fosse Imhoff</v>
      </c>
      <c r="H138" s="1013">
        <v>1</v>
      </c>
      <c r="I138" s="1932" t="str">
        <f>+VLOOKUP(H138,TT_Tabelle_Riferimento!$F$3:$G$6,2,FALSE)</f>
        <v>Servizio idrico integrato</v>
      </c>
      <c r="J138" s="1013">
        <v>2026</v>
      </c>
      <c r="K138" s="2335">
        <f>+SUMIFS('PdI-crono_inv'!AW:AW,'PdI-crono_inv'!CF:CF,F138,'PdI-crono_inv'!CE:CE,H138,'PdI-crono_inv'!J:J,P138,'PdI-crono_inv'!P:P,"&lt;&gt;proprietario")</f>
        <v>0</v>
      </c>
      <c r="M138" s="2335">
        <f>+SUMIFS('PdI-crono_inv'!AX:AX,'PdI-crono_inv'!CF:CF,F138,'PdI-crono_inv'!CE:CE,H138,'PdI-crono_inv'!J:J,P138,'PdI-crono_inv'!P:P,"&lt;&gt;proprietario")+S138</f>
        <v>0</v>
      </c>
      <c r="P138" s="1013" t="s">
        <v>25481</v>
      </c>
      <c r="Q138" s="1932" t="str">
        <f>+VLOOKUP(F138,TT_Tabelle_Riferimento!$D$127:$E$164,2,FALSE)</f>
        <v>Depurazione</v>
      </c>
      <c r="R138" s="1932" t="str">
        <f t="shared" si="13"/>
        <v/>
      </c>
      <c r="S138" s="2335">
        <f t="shared" si="14"/>
        <v>0</v>
      </c>
    </row>
    <row r="139" spans="1:19">
      <c r="A139" s="1932">
        <f t="shared" si="11"/>
        <v>0</v>
      </c>
      <c r="B139" s="1932">
        <f t="shared" si="12"/>
        <v>0</v>
      </c>
      <c r="C139" s="1013" t="s">
        <v>245</v>
      </c>
      <c r="D139" s="1013">
        <v>0</v>
      </c>
      <c r="E139" s="1013" t="s">
        <v>22698</v>
      </c>
      <c r="F139" s="1013">
        <v>22</v>
      </c>
      <c r="G139" s="1932" t="str">
        <f>+VLOOKUP(F139,TT_Tabelle_Riferimento!$D$127:$G$164,4,FALSE)</f>
        <v>Impianti di depurazione – trattamenti sino al secondario</v>
      </c>
      <c r="H139" s="1013">
        <v>1</v>
      </c>
      <c r="I139" s="1932" t="str">
        <f>+VLOOKUP(H139,TT_Tabelle_Riferimento!$F$3:$G$6,2,FALSE)</f>
        <v>Servizio idrico integrato</v>
      </c>
      <c r="J139" s="1013">
        <v>2026</v>
      </c>
      <c r="K139" s="2335">
        <f>+SUMIFS('PdI-crono_inv'!AW:AW,'PdI-crono_inv'!CF:CF,F139,'PdI-crono_inv'!CE:CE,H139,'PdI-crono_inv'!J:J,P139,'PdI-crono_inv'!P:P,"&lt;&gt;proprietario")</f>
        <v>0</v>
      </c>
      <c r="M139" s="2335">
        <f>+SUMIFS('PdI-crono_inv'!AX:AX,'PdI-crono_inv'!CF:CF,F139,'PdI-crono_inv'!CE:CE,H139,'PdI-crono_inv'!J:J,P139,'PdI-crono_inv'!P:P,"&lt;&gt;proprietario")+S139</f>
        <v>0</v>
      </c>
      <c r="P139" s="1013" t="s">
        <v>25481</v>
      </c>
      <c r="Q139" s="1932" t="str">
        <f>+VLOOKUP(F139,TT_Tabelle_Riferimento!$D$127:$E$164,2,FALSE)</f>
        <v>Depurazione</v>
      </c>
      <c r="R139" s="1932" t="str">
        <f t="shared" si="13"/>
        <v/>
      </c>
      <c r="S139" s="2335">
        <f t="shared" si="14"/>
        <v>0</v>
      </c>
    </row>
    <row r="140" spans="1:19">
      <c r="A140" s="1932">
        <f t="shared" si="11"/>
        <v>0</v>
      </c>
      <c r="B140" s="1932">
        <f t="shared" si="12"/>
        <v>0</v>
      </c>
      <c r="C140" s="1013" t="s">
        <v>245</v>
      </c>
      <c r="D140" s="1013">
        <v>0</v>
      </c>
      <c r="E140" s="1013" t="s">
        <v>22698</v>
      </c>
      <c r="F140" s="1013">
        <v>23</v>
      </c>
      <c r="G140" s="1932" t="str">
        <f>+VLOOKUP(F140,TT_Tabelle_Riferimento!$D$127:$G$164,4,FALSE)</f>
        <v>Impianti di depurazione – trattamenti sino al terziario e terziario avanzato</v>
      </c>
      <c r="H140" s="1013">
        <v>1</v>
      </c>
      <c r="I140" s="1932" t="str">
        <f>+VLOOKUP(H140,TT_Tabelle_Riferimento!$F$3:$G$6,2,FALSE)</f>
        <v>Servizio idrico integrato</v>
      </c>
      <c r="J140" s="1013">
        <v>2026</v>
      </c>
      <c r="K140" s="2335">
        <f>+SUMIFS('PdI-crono_inv'!AW:AW,'PdI-crono_inv'!CF:CF,F140,'PdI-crono_inv'!CE:CE,H140,'PdI-crono_inv'!J:J,P140,'PdI-crono_inv'!P:P,"&lt;&gt;proprietario")</f>
        <v>0</v>
      </c>
      <c r="M140" s="2335">
        <f>+SUMIFS('PdI-crono_inv'!AX:AX,'PdI-crono_inv'!CF:CF,F140,'PdI-crono_inv'!CE:CE,H140,'PdI-crono_inv'!J:J,P140,'PdI-crono_inv'!P:P,"&lt;&gt;proprietario")+S140</f>
        <v>0</v>
      </c>
      <c r="P140" s="1013" t="s">
        <v>25481</v>
      </c>
      <c r="Q140" s="1932" t="str">
        <f>+VLOOKUP(F140,TT_Tabelle_Riferimento!$D$127:$E$164,2,FALSE)</f>
        <v>Depurazione</v>
      </c>
      <c r="R140" s="1932" t="str">
        <f t="shared" si="13"/>
        <v/>
      </c>
      <c r="S140" s="2335">
        <f t="shared" si="14"/>
        <v>0</v>
      </c>
    </row>
    <row r="141" spans="1:19">
      <c r="A141" s="1932">
        <f t="shared" si="11"/>
        <v>0</v>
      </c>
      <c r="B141" s="1932">
        <f t="shared" si="12"/>
        <v>0</v>
      </c>
      <c r="C141" s="1013" t="s">
        <v>245</v>
      </c>
      <c r="D141" s="1013">
        <v>0</v>
      </c>
      <c r="E141" s="1013" t="s">
        <v>22698</v>
      </c>
      <c r="F141" s="1013">
        <v>24</v>
      </c>
      <c r="G141" s="1932" t="str">
        <f>+VLOOKUP(F141,TT_Tabelle_Riferimento!$D$127:$G$164,4,FALSE)</f>
        <v>Impianti di essiccamento fanghi e di valorizzazione dei fanghi (tra cui mono-incenerimento, pirolisi, gassificazione)</v>
      </c>
      <c r="H141" s="1013">
        <v>1</v>
      </c>
      <c r="I141" s="1932" t="str">
        <f>+VLOOKUP(H141,TT_Tabelle_Riferimento!$F$3:$G$6,2,FALSE)</f>
        <v>Servizio idrico integrato</v>
      </c>
      <c r="J141" s="1013">
        <v>2026</v>
      </c>
      <c r="K141" s="2335">
        <f>+SUMIFS('PdI-crono_inv'!AW:AW,'PdI-crono_inv'!CF:CF,F141,'PdI-crono_inv'!CE:CE,H141,'PdI-crono_inv'!J:J,P141,'PdI-crono_inv'!P:P,"&lt;&gt;proprietario")</f>
        <v>0</v>
      </c>
      <c r="M141" s="2335">
        <f>+SUMIFS('PdI-crono_inv'!AX:AX,'PdI-crono_inv'!CF:CF,F141,'PdI-crono_inv'!CE:CE,H141,'PdI-crono_inv'!J:J,P141,'PdI-crono_inv'!P:P,"&lt;&gt;proprietario")+S141</f>
        <v>0</v>
      </c>
      <c r="P141" s="1013" t="s">
        <v>25481</v>
      </c>
      <c r="Q141" s="1932" t="str">
        <f>+VLOOKUP(F141,TT_Tabelle_Riferimento!$D$127:$E$164,2,FALSE)</f>
        <v>Depurazione</v>
      </c>
      <c r="R141" s="1932" t="str">
        <f t="shared" si="13"/>
        <v/>
      </c>
      <c r="S141" s="2335">
        <f t="shared" si="14"/>
        <v>0</v>
      </c>
    </row>
    <row r="142" spans="1:19">
      <c r="A142" s="1932">
        <f t="shared" si="11"/>
        <v>0</v>
      </c>
      <c r="B142" s="1932">
        <f t="shared" si="12"/>
        <v>0</v>
      </c>
      <c r="C142" s="1013" t="s">
        <v>245</v>
      </c>
      <c r="D142" s="1013">
        <v>0</v>
      </c>
      <c r="E142" s="1013" t="s">
        <v>22698</v>
      </c>
      <c r="F142" s="1013">
        <v>25</v>
      </c>
      <c r="G142" s="1932" t="str">
        <f>+VLOOKUP(F142,TT_Tabelle_Riferimento!$D$127:$G$164,4,FALSE)</f>
        <v>Gruppi di misura - altre attrezzature di depurazione</v>
      </c>
      <c r="H142" s="1013">
        <v>1</v>
      </c>
      <c r="I142" s="1932" t="str">
        <f>+VLOOKUP(H142,TT_Tabelle_Riferimento!$F$3:$G$6,2,FALSE)</f>
        <v>Servizio idrico integrato</v>
      </c>
      <c r="J142" s="1013">
        <v>2026</v>
      </c>
      <c r="K142" s="2335">
        <f>+SUMIFS('PdI-crono_inv'!AW:AW,'PdI-crono_inv'!CF:CF,F142,'PdI-crono_inv'!CE:CE,H142,'PdI-crono_inv'!J:J,P142,'PdI-crono_inv'!P:P,"&lt;&gt;proprietario")</f>
        <v>0</v>
      </c>
      <c r="M142" s="2335">
        <f>+SUMIFS('PdI-crono_inv'!AX:AX,'PdI-crono_inv'!CF:CF,F142,'PdI-crono_inv'!CE:CE,H142,'PdI-crono_inv'!J:J,P142,'PdI-crono_inv'!P:P,"&lt;&gt;proprietario")+S142</f>
        <v>0</v>
      </c>
      <c r="P142" s="1013" t="s">
        <v>25481</v>
      </c>
      <c r="Q142" s="1932" t="str">
        <f>+VLOOKUP(F142,TT_Tabelle_Riferimento!$D$127:$E$164,2,FALSE)</f>
        <v>Depurazione</v>
      </c>
      <c r="R142" s="1932" t="str">
        <f t="shared" si="13"/>
        <v/>
      </c>
      <c r="S142" s="2335">
        <f t="shared" si="14"/>
        <v>0</v>
      </c>
    </row>
    <row r="143" spans="1:19">
      <c r="A143" s="1932">
        <f t="shared" si="11"/>
        <v>0</v>
      </c>
      <c r="B143" s="1932">
        <f t="shared" si="12"/>
        <v>0</v>
      </c>
      <c r="C143" s="1013" t="s">
        <v>245</v>
      </c>
      <c r="D143" s="1013">
        <v>0</v>
      </c>
      <c r="E143" s="1013" t="s">
        <v>22698</v>
      </c>
      <c r="F143" s="1013">
        <v>26</v>
      </c>
      <c r="G143" s="1932" t="str">
        <f>+VLOOKUP(F143,TT_Tabelle_Riferimento!$D$127:$G$164,4,FALSE)</f>
        <v>Sistemi informativi di depurazione</v>
      </c>
      <c r="H143" s="1013">
        <v>1</v>
      </c>
      <c r="I143" s="1932" t="str">
        <f>+VLOOKUP(H143,TT_Tabelle_Riferimento!$F$3:$G$6,2,FALSE)</f>
        <v>Servizio idrico integrato</v>
      </c>
      <c r="J143" s="1013">
        <v>2026</v>
      </c>
      <c r="K143" s="2335">
        <f>+SUMIFS('PdI-crono_inv'!AW:AW,'PdI-crono_inv'!CF:CF,F143,'PdI-crono_inv'!CE:CE,H143,'PdI-crono_inv'!J:J,P143,'PdI-crono_inv'!P:P,"&lt;&gt;proprietario")</f>
        <v>0</v>
      </c>
      <c r="M143" s="2335">
        <f>+SUMIFS('PdI-crono_inv'!AX:AX,'PdI-crono_inv'!CF:CF,F143,'PdI-crono_inv'!CE:CE,H143,'PdI-crono_inv'!J:J,P143,'PdI-crono_inv'!P:P,"&lt;&gt;proprietario")+S143</f>
        <v>0</v>
      </c>
      <c r="P143" s="1013" t="s">
        <v>25481</v>
      </c>
      <c r="Q143" s="1932" t="str">
        <f>+VLOOKUP(F143,TT_Tabelle_Riferimento!$D$127:$E$164,2,FALSE)</f>
        <v>Depurazione</v>
      </c>
      <c r="R143" s="1932" t="str">
        <f t="shared" si="13"/>
        <v/>
      </c>
      <c r="S143" s="2335">
        <f t="shared" si="14"/>
        <v>0</v>
      </c>
    </row>
    <row r="144" spans="1:19">
      <c r="A144" s="1932">
        <f t="shared" si="11"/>
        <v>0</v>
      </c>
      <c r="B144" s="1932">
        <f t="shared" si="12"/>
        <v>0</v>
      </c>
      <c r="C144" s="1013" t="s">
        <v>245</v>
      </c>
      <c r="D144" s="1013">
        <v>0</v>
      </c>
      <c r="E144" s="1013" t="s">
        <v>22698</v>
      </c>
      <c r="F144" s="1013">
        <v>27</v>
      </c>
      <c r="G144" s="1932" t="str">
        <f>+VLOOKUP(F144,TT_Tabelle_Riferimento!$D$127:$G$164,4,FALSE)</f>
        <v>Telecontrollo e teletrasmissione di depurazione</v>
      </c>
      <c r="H144" s="1013">
        <v>1</v>
      </c>
      <c r="I144" s="1932" t="str">
        <f>+VLOOKUP(H144,TT_Tabelle_Riferimento!$F$3:$G$6,2,FALSE)</f>
        <v>Servizio idrico integrato</v>
      </c>
      <c r="J144" s="1013">
        <v>2026</v>
      </c>
      <c r="K144" s="2335">
        <f>+SUMIFS('PdI-crono_inv'!AW:AW,'PdI-crono_inv'!CF:CF,F144,'PdI-crono_inv'!CE:CE,H144,'PdI-crono_inv'!J:J,P144,'PdI-crono_inv'!P:P,"&lt;&gt;proprietario")</f>
        <v>0</v>
      </c>
      <c r="M144" s="2335">
        <f>+SUMIFS('PdI-crono_inv'!AX:AX,'PdI-crono_inv'!CF:CF,F144,'PdI-crono_inv'!CE:CE,H144,'PdI-crono_inv'!J:J,P144,'PdI-crono_inv'!P:P,"&lt;&gt;proprietario")+S144</f>
        <v>0</v>
      </c>
      <c r="P144" s="1013" t="s">
        <v>25481</v>
      </c>
      <c r="Q144" s="1932" t="str">
        <f>+VLOOKUP(F144,TT_Tabelle_Riferimento!$D$127:$E$164,2,FALSE)</f>
        <v>Depurazione</v>
      </c>
      <c r="R144" s="1932" t="str">
        <f t="shared" si="13"/>
        <v/>
      </c>
      <c r="S144" s="2335">
        <f t="shared" si="14"/>
        <v>0</v>
      </c>
    </row>
    <row r="145" spans="1:19">
      <c r="A145" s="1932">
        <f t="shared" si="11"/>
        <v>0</v>
      </c>
      <c r="B145" s="1932">
        <f t="shared" si="12"/>
        <v>0</v>
      </c>
      <c r="C145" s="1013" t="s">
        <v>245</v>
      </c>
      <c r="D145" s="1013">
        <v>0</v>
      </c>
      <c r="E145" s="1013" t="s">
        <v>22698</v>
      </c>
      <c r="F145" s="1013">
        <v>28</v>
      </c>
      <c r="G145" s="1932" t="str">
        <f>+VLOOKUP(F145,TT_Tabelle_Riferimento!$D$127:$G$164,4,FALSE)</f>
        <v>Altri impianti</v>
      </c>
      <c r="H145" s="1013">
        <v>1</v>
      </c>
      <c r="I145" s="1932" t="str">
        <f>+VLOOKUP(H145,TT_Tabelle_Riferimento!$F$3:$G$6,2,FALSE)</f>
        <v>Servizio idrico integrato</v>
      </c>
      <c r="J145" s="1013">
        <v>2026</v>
      </c>
      <c r="K145" s="2335">
        <f>+SUMIFS('PdI-crono_inv'!AW:AW,'PdI-crono_inv'!CF:CF,F145,'PdI-crono_inv'!CE:CE,H145,'PdI-crono_inv'!J:J,P145,'PdI-crono_inv'!P:P,"&lt;&gt;proprietario")</f>
        <v>0</v>
      </c>
      <c r="M145" s="2335">
        <f>+SUMIFS('PdI-crono_inv'!AX:AX,'PdI-crono_inv'!CF:CF,F145,'PdI-crono_inv'!CE:CE,H145,'PdI-crono_inv'!J:J,P145,'PdI-crono_inv'!P:P,"&lt;&gt;proprietario")+S145</f>
        <v>0</v>
      </c>
      <c r="P145" s="1013" t="s">
        <v>25481</v>
      </c>
      <c r="Q145" s="1932" t="str">
        <f>+VLOOKUP(F145,TT_Tabelle_Riferimento!$D$127:$E$164,2,FALSE)</f>
        <v>Comune</v>
      </c>
      <c r="R145" s="1932" t="str">
        <f t="shared" si="13"/>
        <v/>
      </c>
      <c r="S145" s="2335">
        <f t="shared" si="14"/>
        <v>0</v>
      </c>
    </row>
    <row r="146" spans="1:19">
      <c r="A146" s="1932">
        <f t="shared" ref="A146:A154" si="15">+idato</f>
        <v>0</v>
      </c>
      <c r="B146" s="1932">
        <f t="shared" ref="B146:B154" si="16">+idgestore</f>
        <v>0</v>
      </c>
      <c r="C146" s="1013" t="s">
        <v>245</v>
      </c>
      <c r="D146" s="1013">
        <v>0</v>
      </c>
      <c r="E146" s="1013" t="s">
        <v>22698</v>
      </c>
      <c r="F146" s="1013">
        <v>29</v>
      </c>
      <c r="G146" s="1932" t="str">
        <f>+VLOOKUP(F146,TT_Tabelle_Riferimento!$D$127:$G$164,4,FALSE)</f>
        <v>Laboratori e attrezzature</v>
      </c>
      <c r="H146" s="1013">
        <v>1</v>
      </c>
      <c r="I146" s="1932" t="str">
        <f>+VLOOKUP(H146,TT_Tabelle_Riferimento!$F$3:$G$6,2,FALSE)</f>
        <v>Servizio idrico integrato</v>
      </c>
      <c r="J146" s="1013">
        <v>2026</v>
      </c>
      <c r="K146" s="2335">
        <f>+SUMIFS('PdI-crono_inv'!AW:AW,'PdI-crono_inv'!CF:CF,F146,'PdI-crono_inv'!CE:CE,H146,'PdI-crono_inv'!J:J,P146,'PdI-crono_inv'!P:P,"&lt;&gt;proprietario")</f>
        <v>0</v>
      </c>
      <c r="M146" s="2335">
        <f>+SUMIFS('PdI-crono_inv'!AX:AX,'PdI-crono_inv'!CF:CF,F146,'PdI-crono_inv'!CE:CE,H146,'PdI-crono_inv'!J:J,P146,'PdI-crono_inv'!P:P,"&lt;&gt;proprietario")+S146</f>
        <v>0</v>
      </c>
      <c r="P146" s="1013" t="s">
        <v>25481</v>
      </c>
      <c r="Q146" s="1932" t="str">
        <f>+VLOOKUP(F146,TT_Tabelle_Riferimento!$D$127:$E$164,2,FALSE)</f>
        <v>Comune</v>
      </c>
      <c r="R146" s="1932" t="str">
        <f t="shared" si="13"/>
        <v/>
      </c>
      <c r="S146" s="2335">
        <f t="shared" si="14"/>
        <v>0</v>
      </c>
    </row>
    <row r="147" spans="1:19">
      <c r="A147" s="1932">
        <f t="shared" si="15"/>
        <v>0</v>
      </c>
      <c r="B147" s="1932">
        <f t="shared" si="16"/>
        <v>0</v>
      </c>
      <c r="C147" s="1013" t="s">
        <v>245</v>
      </c>
      <c r="D147" s="1013">
        <v>0</v>
      </c>
      <c r="E147" s="1013" t="s">
        <v>22698</v>
      </c>
      <c r="F147" s="1013">
        <v>30</v>
      </c>
      <c r="G147" s="1932" t="str">
        <f>+VLOOKUP(F147,TT_Tabelle_Riferimento!$D$127:$G$164,4,FALSE)</f>
        <v>Sistemi informativi</v>
      </c>
      <c r="H147" s="1013">
        <v>1</v>
      </c>
      <c r="I147" s="1932" t="str">
        <f>+VLOOKUP(H147,TT_Tabelle_Riferimento!$F$3:$G$6,2,FALSE)</f>
        <v>Servizio idrico integrato</v>
      </c>
      <c r="J147" s="1013">
        <v>2026</v>
      </c>
      <c r="K147" s="2335">
        <f>+SUMIFS('PdI-crono_inv'!AW:AW,'PdI-crono_inv'!CF:CF,F147,'PdI-crono_inv'!CE:CE,H147,'PdI-crono_inv'!J:J,P147,'PdI-crono_inv'!P:P,"&lt;&gt;proprietario")</f>
        <v>0</v>
      </c>
      <c r="M147" s="2335">
        <f>+SUMIFS('PdI-crono_inv'!AX:AX,'PdI-crono_inv'!CF:CF,F147,'PdI-crono_inv'!CE:CE,H147,'PdI-crono_inv'!J:J,P147,'PdI-crono_inv'!P:P,"&lt;&gt;proprietario")+S147</f>
        <v>0</v>
      </c>
      <c r="P147" s="1013" t="s">
        <v>25481</v>
      </c>
      <c r="Q147" s="1932" t="str">
        <f>+VLOOKUP(F147,TT_Tabelle_Riferimento!$D$127:$E$164,2,FALSE)</f>
        <v>Comune</v>
      </c>
      <c r="R147" s="1932" t="str">
        <f t="shared" si="13"/>
        <v/>
      </c>
      <c r="S147" s="2335">
        <f t="shared" si="14"/>
        <v>0</v>
      </c>
    </row>
    <row r="148" spans="1:19">
      <c r="A148" s="1932">
        <f t="shared" si="15"/>
        <v>0</v>
      </c>
      <c r="B148" s="1932">
        <f t="shared" si="16"/>
        <v>0</v>
      </c>
      <c r="C148" s="1013" t="s">
        <v>245</v>
      </c>
      <c r="D148" s="1013">
        <v>0</v>
      </c>
      <c r="E148" s="1013" t="s">
        <v>22698</v>
      </c>
      <c r="F148" s="1013">
        <v>31</v>
      </c>
      <c r="G148" s="1932" t="str">
        <f>+VLOOKUP(F148,TT_Tabelle_Riferimento!$D$127:$G$164,4,FALSE)</f>
        <v>Telecontrollo e teletrasmissione</v>
      </c>
      <c r="H148" s="1013">
        <v>1</v>
      </c>
      <c r="I148" s="1932" t="str">
        <f>+VLOOKUP(H148,TT_Tabelle_Riferimento!$F$3:$G$6,2,FALSE)</f>
        <v>Servizio idrico integrato</v>
      </c>
      <c r="J148" s="1013">
        <v>2026</v>
      </c>
      <c r="K148" s="2335">
        <f>+SUMIFS('PdI-crono_inv'!AW:AW,'PdI-crono_inv'!CF:CF,F148,'PdI-crono_inv'!CE:CE,H148,'PdI-crono_inv'!J:J,P148,'PdI-crono_inv'!P:P,"&lt;&gt;proprietario")</f>
        <v>0</v>
      </c>
      <c r="M148" s="2335">
        <f>+SUMIFS('PdI-crono_inv'!AX:AX,'PdI-crono_inv'!CF:CF,F148,'PdI-crono_inv'!CE:CE,H148,'PdI-crono_inv'!J:J,P148,'PdI-crono_inv'!P:P,"&lt;&gt;proprietario")+S148</f>
        <v>0</v>
      </c>
      <c r="P148" s="1013" t="s">
        <v>25481</v>
      </c>
      <c r="Q148" s="1932" t="str">
        <f>+VLOOKUP(F148,TT_Tabelle_Riferimento!$D$127:$E$164,2,FALSE)</f>
        <v>Comune</v>
      </c>
      <c r="R148" s="1932" t="str">
        <f t="shared" si="13"/>
        <v/>
      </c>
      <c r="S148" s="2335">
        <f t="shared" si="14"/>
        <v>0</v>
      </c>
    </row>
    <row r="149" spans="1:19">
      <c r="A149" s="1932">
        <f t="shared" si="15"/>
        <v>0</v>
      </c>
      <c r="B149" s="1932">
        <f t="shared" si="16"/>
        <v>0</v>
      </c>
      <c r="C149" s="1013" t="s">
        <v>245</v>
      </c>
      <c r="D149" s="1013">
        <v>0</v>
      </c>
      <c r="E149" s="1013" t="s">
        <v>22698</v>
      </c>
      <c r="F149" s="1013">
        <v>32</v>
      </c>
      <c r="G149" s="1932" t="str">
        <f>+VLOOKUP(F149,TT_Tabelle_Riferimento!$D$127:$G$164,4,FALSE)</f>
        <v>Autoveicoli - automezzi</v>
      </c>
      <c r="H149" s="1013">
        <v>1</v>
      </c>
      <c r="I149" s="1932" t="str">
        <f>+VLOOKUP(H149,TT_Tabelle_Riferimento!$F$3:$G$6,2,FALSE)</f>
        <v>Servizio idrico integrato</v>
      </c>
      <c r="J149" s="1013">
        <v>2026</v>
      </c>
      <c r="K149" s="2335">
        <f>+SUMIFS('PdI-crono_inv'!AW:AW,'PdI-crono_inv'!CF:CF,F149,'PdI-crono_inv'!CE:CE,H149,'PdI-crono_inv'!J:J,P149,'PdI-crono_inv'!P:P,"&lt;&gt;proprietario")</f>
        <v>0</v>
      </c>
      <c r="M149" s="2335">
        <f>+SUMIFS('PdI-crono_inv'!AX:AX,'PdI-crono_inv'!CF:CF,F149,'PdI-crono_inv'!CE:CE,H149,'PdI-crono_inv'!J:J,P149,'PdI-crono_inv'!P:P,"&lt;&gt;proprietario")+S149</f>
        <v>0</v>
      </c>
      <c r="P149" s="1013" t="s">
        <v>25481</v>
      </c>
      <c r="Q149" s="1932" t="str">
        <f>+VLOOKUP(F149,TT_Tabelle_Riferimento!$D$127:$E$164,2,FALSE)</f>
        <v>Comune</v>
      </c>
      <c r="R149" s="1932" t="str">
        <f t="shared" si="13"/>
        <v/>
      </c>
      <c r="S149" s="2335">
        <f t="shared" si="14"/>
        <v>0</v>
      </c>
    </row>
    <row r="150" spans="1:19">
      <c r="A150" s="1932">
        <f t="shared" si="15"/>
        <v>0</v>
      </c>
      <c r="B150" s="1932">
        <f t="shared" si="16"/>
        <v>0</v>
      </c>
      <c r="C150" s="1013" t="s">
        <v>245</v>
      </c>
      <c r="D150" s="1013">
        <v>0</v>
      </c>
      <c r="E150" s="1013" t="s">
        <v>22698</v>
      </c>
      <c r="F150" s="1013">
        <v>1</v>
      </c>
      <c r="G150" s="1932" t="str">
        <f>+VLOOKUP(F150,TT_Tabelle_Riferimento!$D$127:$G$164,4,FALSE)</f>
        <v>Terreni</v>
      </c>
      <c r="H150" s="1013">
        <v>1</v>
      </c>
      <c r="I150" s="1932" t="str">
        <f>+VLOOKUP(H150,TT_Tabelle_Riferimento!$F$3:$G$6,2,FALSE)</f>
        <v>Servizio idrico integrato</v>
      </c>
      <c r="J150" s="1013">
        <v>2026</v>
      </c>
      <c r="K150" s="2335">
        <f>+SUMIFS('PdI-crono_inv'!AW:AW,'PdI-crono_inv'!CF:CF,F150,'PdI-crono_inv'!CE:CE,H150,'PdI-crono_inv'!J:J,P150,'PdI-crono_inv'!P:P,"&lt;&gt;proprietario")</f>
        <v>0</v>
      </c>
      <c r="M150" s="2335">
        <f>+SUMIFS('PdI-crono_inv'!AX:AX,'PdI-crono_inv'!CF:CF,F150,'PdI-crono_inv'!CE:CE,H150,'PdI-crono_inv'!J:J,P150,'PdI-crono_inv'!P:P,"&lt;&gt;proprietario")+S150</f>
        <v>0</v>
      </c>
      <c r="P150" s="1013" t="s">
        <v>25481</v>
      </c>
      <c r="Q150" s="1932" t="str">
        <f>+VLOOKUP(F150,TT_Tabelle_Riferimento!$D$127:$E$164,2,FALSE)</f>
        <v>Comune</v>
      </c>
      <c r="R150" s="1932" t="str">
        <f t="shared" si="13"/>
        <v/>
      </c>
      <c r="S150" s="2335">
        <f t="shared" si="14"/>
        <v>0</v>
      </c>
    </row>
    <row r="151" spans="1:19">
      <c r="A151" s="1932">
        <f t="shared" si="15"/>
        <v>0</v>
      </c>
      <c r="B151" s="1932">
        <f t="shared" si="16"/>
        <v>0</v>
      </c>
      <c r="C151" s="1013" t="s">
        <v>245</v>
      </c>
      <c r="D151" s="1013">
        <v>0</v>
      </c>
      <c r="E151" s="1013" t="s">
        <v>22698</v>
      </c>
      <c r="F151" s="1013">
        <v>33</v>
      </c>
      <c r="G151" s="1932" t="str">
        <f>+VLOOKUP(F151,TT_Tabelle_Riferimento!$D$127:$G$164,4,FALSE)</f>
        <v>Fabbricati non industriali</v>
      </c>
      <c r="H151" s="1013">
        <v>1</v>
      </c>
      <c r="I151" s="1932" t="str">
        <f>+VLOOKUP(H151,TT_Tabelle_Riferimento!$F$3:$G$6,2,FALSE)</f>
        <v>Servizio idrico integrato</v>
      </c>
      <c r="J151" s="1013">
        <v>2026</v>
      </c>
      <c r="K151" s="2335">
        <f>+SUMIFS('PdI-crono_inv'!AW:AW,'PdI-crono_inv'!CF:CF,F151,'PdI-crono_inv'!CE:CE,H151,'PdI-crono_inv'!J:J,P151,'PdI-crono_inv'!P:P,"&lt;&gt;proprietario")</f>
        <v>0</v>
      </c>
      <c r="M151" s="2335">
        <f>+SUMIFS('PdI-crono_inv'!AX:AX,'PdI-crono_inv'!CF:CF,F151,'PdI-crono_inv'!CE:CE,H151,'PdI-crono_inv'!J:J,P151,'PdI-crono_inv'!P:P,"&lt;&gt;proprietario")+S151</f>
        <v>0</v>
      </c>
      <c r="P151" s="1013" t="s">
        <v>25481</v>
      </c>
      <c r="Q151" s="1932" t="str">
        <f>+VLOOKUP(F151,TT_Tabelle_Riferimento!$D$127:$E$164,2,FALSE)</f>
        <v>Comune</v>
      </c>
      <c r="R151" s="1932" t="str">
        <f t="shared" si="13"/>
        <v/>
      </c>
      <c r="S151" s="2335">
        <f t="shared" si="14"/>
        <v>0</v>
      </c>
    </row>
    <row r="152" spans="1:19">
      <c r="A152" s="1932">
        <f t="shared" si="15"/>
        <v>0</v>
      </c>
      <c r="B152" s="1932">
        <f t="shared" si="16"/>
        <v>0</v>
      </c>
      <c r="C152" s="1013" t="s">
        <v>245</v>
      </c>
      <c r="D152" s="1013">
        <v>0</v>
      </c>
      <c r="E152" s="1013" t="s">
        <v>22698</v>
      </c>
      <c r="F152" s="1013">
        <v>34</v>
      </c>
      <c r="G152" s="1932" t="str">
        <f>+VLOOKUP(F152,TT_Tabelle_Riferimento!$D$127:$G$164,4,FALSE)</f>
        <v>Fabbricati industriali</v>
      </c>
      <c r="H152" s="1013">
        <v>1</v>
      </c>
      <c r="I152" s="1932" t="str">
        <f>+VLOOKUP(H152,TT_Tabelle_Riferimento!$F$3:$G$6,2,FALSE)</f>
        <v>Servizio idrico integrato</v>
      </c>
      <c r="J152" s="1013">
        <v>2026</v>
      </c>
      <c r="K152" s="2335">
        <f>+SUMIFS('PdI-crono_inv'!AW:AW,'PdI-crono_inv'!CF:CF,F152,'PdI-crono_inv'!CE:CE,H152,'PdI-crono_inv'!J:J,P152,'PdI-crono_inv'!P:P,"&lt;&gt;proprietario")</f>
        <v>0</v>
      </c>
      <c r="M152" s="2335">
        <f>+SUMIFS('PdI-crono_inv'!AX:AX,'PdI-crono_inv'!CF:CF,F152,'PdI-crono_inv'!CE:CE,H152,'PdI-crono_inv'!J:J,P152,'PdI-crono_inv'!P:P,"&lt;&gt;proprietario")+S152</f>
        <v>0</v>
      </c>
      <c r="P152" s="1013" t="s">
        <v>25481</v>
      </c>
      <c r="Q152" s="1932" t="str">
        <f>+VLOOKUP(F152,TT_Tabelle_Riferimento!$D$127:$E$164,2,FALSE)</f>
        <v>Comune</v>
      </c>
      <c r="R152" s="1932" t="str">
        <f t="shared" si="13"/>
        <v/>
      </c>
      <c r="S152" s="2335">
        <f t="shared" si="14"/>
        <v>0</v>
      </c>
    </row>
    <row r="153" spans="1:19">
      <c r="A153" s="1932">
        <f t="shared" si="15"/>
        <v>0</v>
      </c>
      <c r="B153" s="1932">
        <f t="shared" si="16"/>
        <v>0</v>
      </c>
      <c r="C153" s="1013" t="s">
        <v>245</v>
      </c>
      <c r="D153" s="1013">
        <v>0</v>
      </c>
      <c r="E153" s="1013" t="s">
        <v>22698</v>
      </c>
      <c r="F153" s="1013">
        <v>35</v>
      </c>
      <c r="G153" s="1932" t="str">
        <f>+VLOOKUP(F153,TT_Tabelle_Riferimento!$D$127:$G$164,4,FALSE)</f>
        <v>Costruzioni leggere</v>
      </c>
      <c r="H153" s="1013">
        <v>1</v>
      </c>
      <c r="I153" s="1932" t="str">
        <f>+VLOOKUP(H153,TT_Tabelle_Riferimento!$F$3:$G$6,2,FALSE)</f>
        <v>Servizio idrico integrato</v>
      </c>
      <c r="J153" s="1013">
        <v>2026</v>
      </c>
      <c r="K153" s="2335">
        <f>+SUMIFS('PdI-crono_inv'!AW:AW,'PdI-crono_inv'!CF:CF,F153,'PdI-crono_inv'!CE:CE,H153,'PdI-crono_inv'!J:J,P153,'PdI-crono_inv'!P:P,"&lt;&gt;proprietario")</f>
        <v>0</v>
      </c>
      <c r="M153" s="2335">
        <f>+SUMIFS('PdI-crono_inv'!AX:AX,'PdI-crono_inv'!CF:CF,F153,'PdI-crono_inv'!CE:CE,H153,'PdI-crono_inv'!J:J,P153,'PdI-crono_inv'!P:P,"&lt;&gt;proprietario")+S153</f>
        <v>0</v>
      </c>
      <c r="P153" s="1013" t="s">
        <v>25481</v>
      </c>
      <c r="Q153" s="1932" t="str">
        <f>+VLOOKUP(F153,TT_Tabelle_Riferimento!$D$127:$E$164,2,FALSE)</f>
        <v>Comune</v>
      </c>
      <c r="R153" s="1932" t="str">
        <f t="shared" si="13"/>
        <v/>
      </c>
      <c r="S153" s="2335">
        <f t="shared" si="14"/>
        <v>0</v>
      </c>
    </row>
    <row r="154" spans="1:19">
      <c r="A154" s="1932">
        <f t="shared" si="15"/>
        <v>0</v>
      </c>
      <c r="B154" s="1932">
        <f t="shared" si="16"/>
        <v>0</v>
      </c>
      <c r="C154" s="1013" t="s">
        <v>245</v>
      </c>
      <c r="D154" s="1013">
        <v>0</v>
      </c>
      <c r="E154" s="1013" t="s">
        <v>22698</v>
      </c>
      <c r="F154" s="1013">
        <v>36</v>
      </c>
      <c r="G154" s="1932" t="str">
        <f>+VLOOKUP(F154,TT_Tabelle_Riferimento!$D$127:$G$164,4,FALSE)</f>
        <v>Studi, ricerche, brevetti, diritti di utilizzazione</v>
      </c>
      <c r="H154" s="1013">
        <v>1</v>
      </c>
      <c r="I154" s="1932" t="str">
        <f>+VLOOKUP(H154,TT_Tabelle_Riferimento!$F$3:$G$6,2,FALSE)</f>
        <v>Servizio idrico integrato</v>
      </c>
      <c r="J154" s="1013">
        <v>2026</v>
      </c>
      <c r="K154" s="2335">
        <f>+SUMIFS('PdI-crono_inv'!AW:AW,'PdI-crono_inv'!CF:CF,F154,'PdI-crono_inv'!CE:CE,H154,'PdI-crono_inv'!J:J,P154,'PdI-crono_inv'!P:P,"&lt;&gt;proprietario")</f>
        <v>0</v>
      </c>
      <c r="M154" s="2335">
        <f>+SUMIFS('PdI-crono_inv'!AX:AX,'PdI-crono_inv'!CF:CF,F154,'PdI-crono_inv'!CE:CE,H154,'PdI-crono_inv'!J:J,P154,'PdI-crono_inv'!P:P,"&lt;&gt;proprietario")+S154</f>
        <v>0</v>
      </c>
      <c r="P154" s="1013" t="s">
        <v>25481</v>
      </c>
      <c r="Q154" s="1932" t="str">
        <f>+VLOOKUP(F154,TT_Tabelle_Riferimento!$D$127:$E$164,2,FALSE)</f>
        <v>Comune</v>
      </c>
      <c r="R154" s="1932" t="str">
        <f t="shared" si="13"/>
        <v/>
      </c>
      <c r="S154" s="2335">
        <f t="shared" si="14"/>
        <v>0</v>
      </c>
    </row>
    <row r="155" spans="1:19">
      <c r="A155" s="1932">
        <v>0</v>
      </c>
      <c r="B155" s="1932">
        <v>0</v>
      </c>
      <c r="C155" s="1013" t="s">
        <v>245</v>
      </c>
      <c r="D155" s="1013">
        <v>0</v>
      </c>
      <c r="E155" s="1013" t="s">
        <v>22698</v>
      </c>
      <c r="F155" s="1013">
        <v>37</v>
      </c>
      <c r="G155" s="1932" t="str">
        <f>+VLOOKUP(F155,TT_Tabelle_Riferimento!$D$127:$G$164,4,FALSE)</f>
        <v>Altre immobilizzazioni materiali e immateriali</v>
      </c>
      <c r="H155" s="1013">
        <v>1</v>
      </c>
      <c r="I155" s="1932" t="str">
        <f>+VLOOKUP(H155,TT_Tabelle_Riferimento!$F$3:$G$6,2,FALSE)</f>
        <v>Servizio idrico integrato</v>
      </c>
      <c r="J155" s="1013">
        <v>2026</v>
      </c>
      <c r="K155" s="2335">
        <f>+SUMIFS('PdI-crono_inv'!AW:AW,'PdI-crono_inv'!CF:CF,F155,'PdI-crono_inv'!CE:CE,H155,'PdI-crono_inv'!J:J,P155,'PdI-crono_inv'!P:P,"&lt;&gt;proprietario")</f>
        <v>0</v>
      </c>
      <c r="M155" s="2335">
        <f>+SUMIFS('PdI-crono_inv'!AX:AX,'PdI-crono_inv'!CF:CF,F155,'PdI-crono_inv'!CE:CE,H155,'PdI-crono_inv'!J:J,P155,'PdI-crono_inv'!P:P,"&lt;&gt;proprietario")+S155</f>
        <v>0</v>
      </c>
      <c r="P155" s="1013" t="s">
        <v>25481</v>
      </c>
      <c r="Q155" s="1932" t="str">
        <f>+VLOOKUP(F155,TT_Tabelle_Riferimento!$D$127:$E$164,2,FALSE)</f>
        <v>Comune</v>
      </c>
      <c r="R155" s="1932" t="str">
        <f t="shared" si="13"/>
        <v/>
      </c>
      <c r="S155" s="2335">
        <f t="shared" si="14"/>
        <v>0</v>
      </c>
    </row>
    <row r="156" spans="1:19">
      <c r="A156" s="1932">
        <v>0</v>
      </c>
      <c r="B156" s="1932">
        <v>0</v>
      </c>
      <c r="C156" s="1013" t="s">
        <v>245</v>
      </c>
      <c r="D156" s="1013">
        <v>0</v>
      </c>
      <c r="E156" s="1013" t="s">
        <v>22698</v>
      </c>
      <c r="F156" s="1013">
        <v>38</v>
      </c>
      <c r="G156" s="1932" t="str">
        <f>+VLOOKUP(F156,TT_Tabelle_Riferimento!$D$127:$G$164,4,FALSE)</f>
        <v>Grandi dighe (sbarramenti che superano i quindici metri di altezza o che determinano un invaso superiore a 1 milione di metri cubi)</v>
      </c>
      <c r="H156" s="1013">
        <v>1</v>
      </c>
      <c r="I156" s="1932" t="str">
        <f>+VLOOKUP(H156,TT_Tabelle_Riferimento!$F$3:$G$6,2,FALSE)</f>
        <v>Servizio idrico integrato</v>
      </c>
      <c r="J156" s="1013">
        <v>2026</v>
      </c>
      <c r="K156" s="2335">
        <f>+SUMIFS('PdI-crono_inv'!AW:AW,'PdI-crono_inv'!CF:CF,F156,'PdI-crono_inv'!CE:CE,H156,'PdI-crono_inv'!J:J,P156,'PdI-crono_inv'!P:P,"&lt;&gt;proprietario")</f>
        <v>0</v>
      </c>
      <c r="M156" s="2335">
        <f>+SUMIFS('PdI-crono_inv'!AX:AX,'PdI-crono_inv'!CF:CF,F156,'PdI-crono_inv'!CE:CE,H156,'PdI-crono_inv'!J:J,P156,'PdI-crono_inv'!P:P,"&lt;&gt;proprietario")+S156</f>
        <v>0</v>
      </c>
      <c r="P156" s="1013" t="s">
        <v>25481</v>
      </c>
      <c r="Q156" s="1932" t="str">
        <f>+VLOOKUP(F156,TT_Tabelle_Riferimento!$D$127:$E$164,2,FALSE)</f>
        <v>Acquedotto</v>
      </c>
      <c r="R156" s="1932" t="str">
        <f t="shared" si="13"/>
        <v/>
      </c>
      <c r="S156" s="2335">
        <f t="shared" si="14"/>
        <v>0</v>
      </c>
    </row>
    <row r="157" spans="1:19">
      <c r="A157" s="1932">
        <v>0</v>
      </c>
      <c r="B157" s="1932">
        <v>0</v>
      </c>
      <c r="C157" s="1013" t="s">
        <v>245</v>
      </c>
      <c r="D157" s="1013">
        <v>0</v>
      </c>
      <c r="E157" s="1013" t="s">
        <v>22698</v>
      </c>
      <c r="F157" s="1013">
        <v>39</v>
      </c>
      <c r="G157" s="1932" t="str">
        <f>+VLOOKUP(F157,TT_Tabelle_Riferimento!$D$127:$G$164,4,FALSE)</f>
        <v>Piccole dighe (sbarramenti che non superano i quindici metri di altezza o che determinano un invaso non superiore a 1 milione di metri cubi)</v>
      </c>
      <c r="H157" s="1013">
        <v>1</v>
      </c>
      <c r="I157" s="1932" t="str">
        <f>+VLOOKUP(H157,TT_Tabelle_Riferimento!$F$3:$G$6,2,FALSE)</f>
        <v>Servizio idrico integrato</v>
      </c>
      <c r="J157" s="1013">
        <v>2026</v>
      </c>
      <c r="K157" s="2335">
        <f>+SUMIFS('PdI-crono_inv'!AW:AW,'PdI-crono_inv'!CF:CF,F157,'PdI-crono_inv'!CE:CE,H157,'PdI-crono_inv'!J:J,P157,'PdI-crono_inv'!P:P,"&lt;&gt;proprietario")</f>
        <v>0</v>
      </c>
      <c r="M157" s="2335">
        <f>+SUMIFS('PdI-crono_inv'!AX:AX,'PdI-crono_inv'!CF:CF,F157,'PdI-crono_inv'!CE:CE,H157,'PdI-crono_inv'!J:J,P157,'PdI-crono_inv'!P:P,"&lt;&gt;proprietario")+S157</f>
        <v>0</v>
      </c>
      <c r="P157" s="1013" t="s">
        <v>25481</v>
      </c>
      <c r="Q157" s="1932" t="str">
        <f>+VLOOKUP(F157,TT_Tabelle_Riferimento!$D$127:$E$164,2,FALSE)</f>
        <v>Acquedotto</v>
      </c>
      <c r="R157" s="1932" t="str">
        <f t="shared" si="13"/>
        <v/>
      </c>
      <c r="S157" s="2335">
        <f t="shared" si="14"/>
        <v>0</v>
      </c>
    </row>
    <row r="158" spans="1:19">
      <c r="A158" s="1932">
        <f t="shared" ref="A158:A192" si="17">+idato</f>
        <v>0</v>
      </c>
      <c r="B158" s="1932">
        <f t="shared" ref="B158:B192" si="18">+idgestore</f>
        <v>0</v>
      </c>
      <c r="C158" s="1013" t="s">
        <v>245</v>
      </c>
      <c r="D158" s="1013">
        <v>0</v>
      </c>
      <c r="E158" s="1013" t="s">
        <v>22698</v>
      </c>
      <c r="F158" s="1013">
        <v>2</v>
      </c>
      <c r="G158" s="1932" t="str">
        <f>+VLOOKUP(F158,TT_Tabelle_Riferimento!$D$127:$G$164,4,FALSE)</f>
        <v>Condotte di acquedotto</v>
      </c>
      <c r="H158" s="1013">
        <v>2</v>
      </c>
      <c r="I158" s="1932" t="str">
        <f>+VLOOKUP(H158,TT_Tabelle_Riferimento!$F$3:$G$6,2,FALSE)</f>
        <v>Fognatura bianca e pulizia / manutenzione caditoie stradali</v>
      </c>
      <c r="J158" s="1013">
        <v>2026</v>
      </c>
      <c r="K158" s="2335">
        <f>+SUMIFS('PdI-crono_inv'!AW:AW,'PdI-crono_inv'!CF:CF,F158,'PdI-crono_inv'!CE:CE,H158,'PdI-crono_inv'!J:J,P158,'PdI-crono_inv'!P:P,"&lt;&gt;proprietario")</f>
        <v>0</v>
      </c>
      <c r="M158" s="2335">
        <f>+SUMIFS('PdI-crono_inv'!AX:AX,'PdI-crono_inv'!CF:CF,F158,'PdI-crono_inv'!CE:CE,H158,'PdI-crono_inv'!J:J,P158,'PdI-crono_inv'!P:P,"&lt;&gt;proprietario")+S158</f>
        <v>0</v>
      </c>
      <c r="P158" s="1013" t="s">
        <v>25481</v>
      </c>
      <c r="Q158" s="1932" t="str">
        <f>+VLOOKUP(F158,TT_Tabelle_Riferimento!$D$127:$E$164,2,FALSE)</f>
        <v>Acquedotto</v>
      </c>
      <c r="R158" s="1932" t="str">
        <f t="shared" si="13"/>
        <v/>
      </c>
      <c r="S158" s="2335">
        <f t="shared" si="14"/>
        <v>0</v>
      </c>
    </row>
    <row r="159" spans="1:19">
      <c r="A159" s="1932">
        <f t="shared" si="17"/>
        <v>0</v>
      </c>
      <c r="B159" s="1932">
        <f t="shared" si="18"/>
        <v>0</v>
      </c>
      <c r="C159" s="1013" t="s">
        <v>245</v>
      </c>
      <c r="D159" s="1013">
        <v>0</v>
      </c>
      <c r="E159" s="1013" t="s">
        <v>22698</v>
      </c>
      <c r="F159" s="1013">
        <v>3</v>
      </c>
      <c r="G159" s="1932" t="str">
        <f>+VLOOKUP(F159,TT_Tabelle_Riferimento!$D$127:$G$164,4,FALSE)</f>
        <v>Opere idrauliche fisse di acquedotto</v>
      </c>
      <c r="H159" s="1013">
        <v>2</v>
      </c>
      <c r="I159" s="1932" t="str">
        <f>+VLOOKUP(H159,TT_Tabelle_Riferimento!$F$3:$G$6,2,FALSE)</f>
        <v>Fognatura bianca e pulizia / manutenzione caditoie stradali</v>
      </c>
      <c r="J159" s="1013">
        <v>2026</v>
      </c>
      <c r="K159" s="2335">
        <f>+SUMIFS('PdI-crono_inv'!AW:AW,'PdI-crono_inv'!CF:CF,F159,'PdI-crono_inv'!CE:CE,H159,'PdI-crono_inv'!J:J,P159,'PdI-crono_inv'!P:P,"&lt;&gt;proprietario")</f>
        <v>0</v>
      </c>
      <c r="M159" s="2335">
        <f>+SUMIFS('PdI-crono_inv'!AX:AX,'PdI-crono_inv'!CF:CF,F159,'PdI-crono_inv'!CE:CE,H159,'PdI-crono_inv'!J:J,P159,'PdI-crono_inv'!P:P,"&lt;&gt;proprietario")+S159</f>
        <v>0</v>
      </c>
      <c r="P159" s="1013" t="s">
        <v>25481</v>
      </c>
      <c r="Q159" s="1932" t="str">
        <f>+VLOOKUP(F159,TT_Tabelle_Riferimento!$D$127:$E$164,2,FALSE)</f>
        <v>Acquedotto</v>
      </c>
      <c r="R159" s="1932" t="str">
        <f t="shared" si="13"/>
        <v/>
      </c>
      <c r="S159" s="2335">
        <f t="shared" si="14"/>
        <v>0</v>
      </c>
    </row>
    <row r="160" spans="1:19">
      <c r="A160" s="1932">
        <f t="shared" si="17"/>
        <v>0</v>
      </c>
      <c r="B160" s="1932">
        <f t="shared" si="18"/>
        <v>0</v>
      </c>
      <c r="C160" s="1013" t="s">
        <v>245</v>
      </c>
      <c r="D160" s="1013">
        <v>0</v>
      </c>
      <c r="E160" s="1013" t="s">
        <v>22698</v>
      </c>
      <c r="F160" s="1013">
        <v>4</v>
      </c>
      <c r="G160" s="1932" t="str">
        <f>+VLOOKUP(F160,TT_Tabelle_Riferimento!$D$127:$G$164,4,FALSE)</f>
        <v>Serbatoi</v>
      </c>
      <c r="H160" s="1013">
        <v>2</v>
      </c>
      <c r="I160" s="1932" t="str">
        <f>+VLOOKUP(H160,TT_Tabelle_Riferimento!$F$3:$G$6,2,FALSE)</f>
        <v>Fognatura bianca e pulizia / manutenzione caditoie stradali</v>
      </c>
      <c r="J160" s="1013">
        <v>2026</v>
      </c>
      <c r="K160" s="2335">
        <f>+SUMIFS('PdI-crono_inv'!AW:AW,'PdI-crono_inv'!CF:CF,F160,'PdI-crono_inv'!CE:CE,H160,'PdI-crono_inv'!J:J,P160,'PdI-crono_inv'!P:P,"&lt;&gt;proprietario")</f>
        <v>0</v>
      </c>
      <c r="M160" s="2335">
        <f>+SUMIFS('PdI-crono_inv'!AX:AX,'PdI-crono_inv'!CF:CF,F160,'PdI-crono_inv'!CE:CE,H160,'PdI-crono_inv'!J:J,P160,'PdI-crono_inv'!P:P,"&lt;&gt;proprietario")+S160</f>
        <v>0</v>
      </c>
      <c r="P160" s="1013" t="s">
        <v>25481</v>
      </c>
      <c r="Q160" s="1932" t="str">
        <f>+VLOOKUP(F160,TT_Tabelle_Riferimento!$D$127:$E$164,2,FALSE)</f>
        <v>Acquedotto</v>
      </c>
      <c r="R160" s="1932" t="str">
        <f t="shared" si="13"/>
        <v/>
      </c>
      <c r="S160" s="2335">
        <f t="shared" si="14"/>
        <v>0</v>
      </c>
    </row>
    <row r="161" spans="1:19">
      <c r="A161" s="1932">
        <f t="shared" si="17"/>
        <v>0</v>
      </c>
      <c r="B161" s="1932">
        <f t="shared" si="18"/>
        <v>0</v>
      </c>
      <c r="C161" s="1013" t="s">
        <v>245</v>
      </c>
      <c r="D161" s="1013">
        <v>0</v>
      </c>
      <c r="E161" s="1013" t="s">
        <v>22698</v>
      </c>
      <c r="F161" s="1013">
        <v>5</v>
      </c>
      <c r="G161" s="1932" t="str">
        <f>+VLOOKUP(F161,TT_Tabelle_Riferimento!$D$127:$G$164,4,FALSE)</f>
        <v>Impianti di sollevamento e pompaggio di acquedotto</v>
      </c>
      <c r="H161" s="1013">
        <v>2</v>
      </c>
      <c r="I161" s="1932" t="str">
        <f>+VLOOKUP(H161,TT_Tabelle_Riferimento!$F$3:$G$6,2,FALSE)</f>
        <v>Fognatura bianca e pulizia / manutenzione caditoie stradali</v>
      </c>
      <c r="J161" s="1013">
        <v>2026</v>
      </c>
      <c r="K161" s="2335">
        <f>+SUMIFS('PdI-crono_inv'!AW:AW,'PdI-crono_inv'!CF:CF,F161,'PdI-crono_inv'!CE:CE,H161,'PdI-crono_inv'!J:J,P161,'PdI-crono_inv'!P:P,"&lt;&gt;proprietario")</f>
        <v>0</v>
      </c>
      <c r="M161" s="2335">
        <f>+SUMIFS('PdI-crono_inv'!AX:AX,'PdI-crono_inv'!CF:CF,F161,'PdI-crono_inv'!CE:CE,H161,'PdI-crono_inv'!J:J,P161,'PdI-crono_inv'!P:P,"&lt;&gt;proprietario")+S161</f>
        <v>0</v>
      </c>
      <c r="P161" s="1013" t="s">
        <v>25481</v>
      </c>
      <c r="Q161" s="1932" t="str">
        <f>+VLOOKUP(F161,TT_Tabelle_Riferimento!$D$127:$E$164,2,FALSE)</f>
        <v>Acquedotto</v>
      </c>
      <c r="R161" s="1932" t="str">
        <f t="shared" si="13"/>
        <v/>
      </c>
      <c r="S161" s="2335">
        <f t="shared" si="14"/>
        <v>0</v>
      </c>
    </row>
    <row r="162" spans="1:19">
      <c r="A162" s="1932">
        <f t="shared" si="17"/>
        <v>0</v>
      </c>
      <c r="B162" s="1932">
        <f t="shared" si="18"/>
        <v>0</v>
      </c>
      <c r="C162" s="1013" t="s">
        <v>245</v>
      </c>
      <c r="D162" s="1013">
        <v>0</v>
      </c>
      <c r="E162" s="1013" t="s">
        <v>22698</v>
      </c>
      <c r="F162" s="1013">
        <v>6</v>
      </c>
      <c r="G162" s="1932" t="str">
        <f>+VLOOKUP(F162,TT_Tabelle_Riferimento!$D$127:$G$164,4,FALSE)</f>
        <v>Impianti di potabilizzazione</v>
      </c>
      <c r="H162" s="1013">
        <v>2</v>
      </c>
      <c r="I162" s="1932" t="str">
        <f>+VLOOKUP(H162,TT_Tabelle_Riferimento!$F$3:$G$6,2,FALSE)</f>
        <v>Fognatura bianca e pulizia / manutenzione caditoie stradali</v>
      </c>
      <c r="J162" s="1013">
        <v>2026</v>
      </c>
      <c r="K162" s="2335">
        <f>+SUMIFS('PdI-crono_inv'!AW:AW,'PdI-crono_inv'!CF:CF,F162,'PdI-crono_inv'!CE:CE,H162,'PdI-crono_inv'!J:J,P162,'PdI-crono_inv'!P:P,"&lt;&gt;proprietario")</f>
        <v>0</v>
      </c>
      <c r="M162" s="2335">
        <f>+SUMIFS('PdI-crono_inv'!AX:AX,'PdI-crono_inv'!CF:CF,F162,'PdI-crono_inv'!CE:CE,H162,'PdI-crono_inv'!J:J,P162,'PdI-crono_inv'!P:P,"&lt;&gt;proprietario")+S162</f>
        <v>0</v>
      </c>
      <c r="P162" s="1013" t="s">
        <v>25481</v>
      </c>
      <c r="Q162" s="1932" t="str">
        <f>+VLOOKUP(F162,TT_Tabelle_Riferimento!$D$127:$E$164,2,FALSE)</f>
        <v>Acquedotto</v>
      </c>
      <c r="R162" s="1932" t="str">
        <f t="shared" si="13"/>
        <v/>
      </c>
      <c r="S162" s="2335">
        <f t="shared" si="14"/>
        <v>0</v>
      </c>
    </row>
    <row r="163" spans="1:19">
      <c r="A163" s="1932">
        <f t="shared" si="17"/>
        <v>0</v>
      </c>
      <c r="B163" s="1932">
        <f t="shared" si="18"/>
        <v>0</v>
      </c>
      <c r="C163" s="1013" t="s">
        <v>245</v>
      </c>
      <c r="D163" s="1013">
        <v>0</v>
      </c>
      <c r="E163" s="1013" t="s">
        <v>22698</v>
      </c>
      <c r="F163" s="1013">
        <v>7</v>
      </c>
      <c r="G163" s="1932" t="str">
        <f>+VLOOKUP(F163,TT_Tabelle_Riferimento!$D$127:$G$164,4,FALSE)</f>
        <v>Altri trattamenti di potabilizzazione (tra cui dispositivi di disinfezione, stacciatura, filtrazione, addolcimento)</v>
      </c>
      <c r="H163" s="1013">
        <v>2</v>
      </c>
      <c r="I163" s="1932" t="str">
        <f>+VLOOKUP(H163,TT_Tabelle_Riferimento!$F$3:$G$6,2,FALSE)</f>
        <v>Fognatura bianca e pulizia / manutenzione caditoie stradali</v>
      </c>
      <c r="J163" s="1013">
        <v>2026</v>
      </c>
      <c r="K163" s="2335">
        <f>+SUMIFS('PdI-crono_inv'!AW:AW,'PdI-crono_inv'!CF:CF,F163,'PdI-crono_inv'!CE:CE,H163,'PdI-crono_inv'!J:J,P163,'PdI-crono_inv'!P:P,"&lt;&gt;proprietario")</f>
        <v>0</v>
      </c>
      <c r="M163" s="2335">
        <f>+SUMIFS('PdI-crono_inv'!AX:AX,'PdI-crono_inv'!CF:CF,F163,'PdI-crono_inv'!CE:CE,H163,'PdI-crono_inv'!J:J,P163,'PdI-crono_inv'!P:P,"&lt;&gt;proprietario")+S163</f>
        <v>0</v>
      </c>
      <c r="P163" s="1013" t="s">
        <v>25481</v>
      </c>
      <c r="Q163" s="1932" t="str">
        <f>+VLOOKUP(F163,TT_Tabelle_Riferimento!$D$127:$E$164,2,FALSE)</f>
        <v>Acquedotto</v>
      </c>
      <c r="R163" s="1932" t="str">
        <f t="shared" si="13"/>
        <v/>
      </c>
      <c r="S163" s="2335">
        <f t="shared" si="14"/>
        <v>0</v>
      </c>
    </row>
    <row r="164" spans="1:19">
      <c r="A164" s="1932">
        <f t="shared" si="17"/>
        <v>0</v>
      </c>
      <c r="B164" s="1932">
        <f t="shared" si="18"/>
        <v>0</v>
      </c>
      <c r="C164" s="1013" t="s">
        <v>245</v>
      </c>
      <c r="D164" s="1013">
        <v>0</v>
      </c>
      <c r="E164" s="1013" t="s">
        <v>22698</v>
      </c>
      <c r="F164" s="1013">
        <v>8</v>
      </c>
      <c r="G164" s="1932" t="str">
        <f>+VLOOKUP(F164,TT_Tabelle_Riferimento!$D$127:$G$164,4,FALSE)</f>
        <v>Gruppi di misura - altre attrezzature di acquedotto</v>
      </c>
      <c r="H164" s="1013">
        <v>2</v>
      </c>
      <c r="I164" s="1932" t="str">
        <f>+VLOOKUP(H164,TT_Tabelle_Riferimento!$F$3:$G$6,2,FALSE)</f>
        <v>Fognatura bianca e pulizia / manutenzione caditoie stradali</v>
      </c>
      <c r="J164" s="1013">
        <v>2026</v>
      </c>
      <c r="K164" s="2335">
        <f>+SUMIFS('PdI-crono_inv'!AW:AW,'PdI-crono_inv'!CF:CF,F164,'PdI-crono_inv'!CE:CE,H164,'PdI-crono_inv'!J:J,P164,'PdI-crono_inv'!P:P,"&lt;&gt;proprietario")</f>
        <v>0</v>
      </c>
      <c r="M164" s="2335">
        <f>+SUMIFS('PdI-crono_inv'!AX:AX,'PdI-crono_inv'!CF:CF,F164,'PdI-crono_inv'!CE:CE,H164,'PdI-crono_inv'!J:J,P164,'PdI-crono_inv'!P:P,"&lt;&gt;proprietario")+S164</f>
        <v>0</v>
      </c>
      <c r="P164" s="1013" t="s">
        <v>25481</v>
      </c>
      <c r="Q164" s="1932" t="str">
        <f>+VLOOKUP(F164,TT_Tabelle_Riferimento!$D$127:$E$164,2,FALSE)</f>
        <v>Acquedotto</v>
      </c>
      <c r="R164" s="1932" t="str">
        <f t="shared" si="13"/>
        <v/>
      </c>
      <c r="S164" s="2335">
        <f t="shared" si="14"/>
        <v>0</v>
      </c>
    </row>
    <row r="165" spans="1:19">
      <c r="A165" s="1932">
        <f t="shared" si="17"/>
        <v>0</v>
      </c>
      <c r="B165" s="1932">
        <f t="shared" si="18"/>
        <v>0</v>
      </c>
      <c r="C165" s="1013" t="s">
        <v>245</v>
      </c>
      <c r="D165" s="1013">
        <v>0</v>
      </c>
      <c r="E165" s="1013" t="s">
        <v>22698</v>
      </c>
      <c r="F165" s="1013">
        <v>9</v>
      </c>
      <c r="G165" s="1932" t="str">
        <f>+VLOOKUP(F165,TT_Tabelle_Riferimento!$D$127:$G$164,4,FALSE)</f>
        <v>Sistemi informativi di acquedotto</v>
      </c>
      <c r="H165" s="1013">
        <v>2</v>
      </c>
      <c r="I165" s="1932" t="str">
        <f>+VLOOKUP(H165,TT_Tabelle_Riferimento!$F$3:$G$6,2,FALSE)</f>
        <v>Fognatura bianca e pulizia / manutenzione caditoie stradali</v>
      </c>
      <c r="J165" s="1013">
        <v>2026</v>
      </c>
      <c r="K165" s="2335">
        <f>+SUMIFS('PdI-crono_inv'!AW:AW,'PdI-crono_inv'!CF:CF,F165,'PdI-crono_inv'!CE:CE,H165,'PdI-crono_inv'!J:J,P165,'PdI-crono_inv'!P:P,"&lt;&gt;proprietario")</f>
        <v>0</v>
      </c>
      <c r="M165" s="2335">
        <f>+SUMIFS('PdI-crono_inv'!AX:AX,'PdI-crono_inv'!CF:CF,F165,'PdI-crono_inv'!CE:CE,H165,'PdI-crono_inv'!J:J,P165,'PdI-crono_inv'!P:P,"&lt;&gt;proprietario")+S165</f>
        <v>0</v>
      </c>
      <c r="P165" s="1013" t="s">
        <v>25481</v>
      </c>
      <c r="Q165" s="1932" t="str">
        <f>+VLOOKUP(F165,TT_Tabelle_Riferimento!$D$127:$E$164,2,FALSE)</f>
        <v>Acquedotto</v>
      </c>
      <c r="R165" s="1932" t="str">
        <f t="shared" si="13"/>
        <v/>
      </c>
      <c r="S165" s="2335">
        <f t="shared" si="14"/>
        <v>0</v>
      </c>
    </row>
    <row r="166" spans="1:19">
      <c r="A166" s="1932">
        <f t="shared" si="17"/>
        <v>0</v>
      </c>
      <c r="B166" s="1932">
        <f t="shared" si="18"/>
        <v>0</v>
      </c>
      <c r="C166" s="1013" t="s">
        <v>245</v>
      </c>
      <c r="D166" s="1013">
        <v>0</v>
      </c>
      <c r="E166" s="1013" t="s">
        <v>22698</v>
      </c>
      <c r="F166" s="1013">
        <v>10</v>
      </c>
      <c r="G166" s="1932" t="str">
        <f>+VLOOKUP(F166,TT_Tabelle_Riferimento!$D$127:$G$164,4,FALSE)</f>
        <v>Telecontrollo e teletrasmissione di acquedotto</v>
      </c>
      <c r="H166" s="1013">
        <v>2</v>
      </c>
      <c r="I166" s="1932" t="str">
        <f>+VLOOKUP(H166,TT_Tabelle_Riferimento!$F$3:$G$6,2,FALSE)</f>
        <v>Fognatura bianca e pulizia / manutenzione caditoie stradali</v>
      </c>
      <c r="J166" s="1013">
        <v>2026</v>
      </c>
      <c r="K166" s="2335">
        <f>+SUMIFS('PdI-crono_inv'!AW:AW,'PdI-crono_inv'!CF:CF,F166,'PdI-crono_inv'!CE:CE,H166,'PdI-crono_inv'!J:J,P166,'PdI-crono_inv'!P:P,"&lt;&gt;proprietario")</f>
        <v>0</v>
      </c>
      <c r="M166" s="2335">
        <f>+SUMIFS('PdI-crono_inv'!AX:AX,'PdI-crono_inv'!CF:CF,F166,'PdI-crono_inv'!CE:CE,H166,'PdI-crono_inv'!J:J,P166,'PdI-crono_inv'!P:P,"&lt;&gt;proprietario")+S166</f>
        <v>0</v>
      </c>
      <c r="P166" s="1013" t="s">
        <v>25481</v>
      </c>
      <c r="Q166" s="1932" t="str">
        <f>+VLOOKUP(F166,TT_Tabelle_Riferimento!$D$127:$E$164,2,FALSE)</f>
        <v>Acquedotto</v>
      </c>
      <c r="R166" s="1932" t="str">
        <f t="shared" si="13"/>
        <v/>
      </c>
      <c r="S166" s="2335">
        <f t="shared" si="14"/>
        <v>0</v>
      </c>
    </row>
    <row r="167" spans="1:19">
      <c r="A167" s="1932">
        <f t="shared" si="17"/>
        <v>0</v>
      </c>
      <c r="B167" s="1932">
        <f t="shared" si="18"/>
        <v>0</v>
      </c>
      <c r="C167" s="1013" t="s">
        <v>245</v>
      </c>
      <c r="D167" s="1013">
        <v>0</v>
      </c>
      <c r="E167" s="1013" t="s">
        <v>22698</v>
      </c>
      <c r="F167" s="1013">
        <v>11</v>
      </c>
      <c r="G167" s="1932" t="str">
        <f>+VLOOKUP(F167,TT_Tabelle_Riferimento!$D$127:$G$164,4,FALSE)</f>
        <v>Condotte fognarie</v>
      </c>
      <c r="H167" s="1013">
        <v>2</v>
      </c>
      <c r="I167" s="1932" t="str">
        <f>+VLOOKUP(H167,TT_Tabelle_Riferimento!$F$3:$G$6,2,FALSE)</f>
        <v>Fognatura bianca e pulizia / manutenzione caditoie stradali</v>
      </c>
      <c r="J167" s="1013">
        <v>2026</v>
      </c>
      <c r="K167" s="2335">
        <f>+SUMIFS('PdI-crono_inv'!AW:AW,'PdI-crono_inv'!CF:CF,F167,'PdI-crono_inv'!CE:CE,H167,'PdI-crono_inv'!J:J,P167,'PdI-crono_inv'!P:P,"&lt;&gt;proprietario")</f>
        <v>0</v>
      </c>
      <c r="M167" s="2335">
        <f>+SUMIFS('PdI-crono_inv'!AX:AX,'PdI-crono_inv'!CF:CF,F167,'PdI-crono_inv'!CE:CE,H167,'PdI-crono_inv'!J:J,P167,'PdI-crono_inv'!P:P,"&lt;&gt;proprietario")+S167</f>
        <v>0</v>
      </c>
      <c r="P167" s="1013" t="s">
        <v>25481</v>
      </c>
      <c r="Q167" s="1932" t="str">
        <f>+VLOOKUP(F167,TT_Tabelle_Riferimento!$D$127:$E$164,2,FALSE)</f>
        <v>Fognatura</v>
      </c>
      <c r="R167" s="1932" t="str">
        <f t="shared" si="13"/>
        <v/>
      </c>
      <c r="S167" s="2335">
        <f t="shared" si="14"/>
        <v>0</v>
      </c>
    </row>
    <row r="168" spans="1:19">
      <c r="A168" s="1932">
        <f t="shared" si="17"/>
        <v>0</v>
      </c>
      <c r="B168" s="1932">
        <f t="shared" si="18"/>
        <v>0</v>
      </c>
      <c r="C168" s="1013" t="s">
        <v>245</v>
      </c>
      <c r="D168" s="1013">
        <v>0</v>
      </c>
      <c r="E168" s="1013" t="s">
        <v>22698</v>
      </c>
      <c r="F168" s="1013">
        <v>12</v>
      </c>
      <c r="G168" s="1932" t="str">
        <f>+VLOOKUP(F168,TT_Tabelle_Riferimento!$D$127:$G$164,4,FALSE)</f>
        <v>Sifoni e scaricatori di piena e altre opere idrauliche fisse di fognatura</v>
      </c>
      <c r="H168" s="1013">
        <v>2</v>
      </c>
      <c r="I168" s="1932" t="str">
        <f>+VLOOKUP(H168,TT_Tabelle_Riferimento!$F$3:$G$6,2,FALSE)</f>
        <v>Fognatura bianca e pulizia / manutenzione caditoie stradali</v>
      </c>
      <c r="J168" s="1013">
        <v>2026</v>
      </c>
      <c r="K168" s="2335">
        <f>+SUMIFS('PdI-crono_inv'!AW:AW,'PdI-crono_inv'!CF:CF,F168,'PdI-crono_inv'!CE:CE,H168,'PdI-crono_inv'!J:J,P168,'PdI-crono_inv'!P:P,"&lt;&gt;proprietario")</f>
        <v>0</v>
      </c>
      <c r="M168" s="2335">
        <f>+SUMIFS('PdI-crono_inv'!AX:AX,'PdI-crono_inv'!CF:CF,F168,'PdI-crono_inv'!CE:CE,H168,'PdI-crono_inv'!J:J,P168,'PdI-crono_inv'!P:P,"&lt;&gt;proprietario")+S168</f>
        <v>0</v>
      </c>
      <c r="P168" s="1013" t="s">
        <v>25481</v>
      </c>
      <c r="Q168" s="1932" t="str">
        <f>+VLOOKUP(F168,TT_Tabelle_Riferimento!$D$127:$E$164,2,FALSE)</f>
        <v>Fognatura</v>
      </c>
      <c r="R168" s="1932" t="str">
        <f t="shared" si="13"/>
        <v/>
      </c>
      <c r="S168" s="2335">
        <f t="shared" si="14"/>
        <v>0</v>
      </c>
    </row>
    <row r="169" spans="1:19">
      <c r="A169" s="1932">
        <f t="shared" si="17"/>
        <v>0</v>
      </c>
      <c r="B169" s="1932">
        <f t="shared" si="18"/>
        <v>0</v>
      </c>
      <c r="C169" s="1013" t="s">
        <v>245</v>
      </c>
      <c r="D169" s="1013">
        <v>0</v>
      </c>
      <c r="E169" s="1013" t="s">
        <v>22698</v>
      </c>
      <c r="F169" s="1013">
        <v>13</v>
      </c>
      <c r="G169" s="1932" t="str">
        <f>+VLOOKUP(F169,TT_Tabelle_Riferimento!$D$127:$G$164,4,FALSE)</f>
        <v>Vasche di laminazione e vasche di prima pioggia</v>
      </c>
      <c r="H169" s="1013">
        <v>2</v>
      </c>
      <c r="I169" s="1932" t="str">
        <f>+VLOOKUP(H169,TT_Tabelle_Riferimento!$F$3:$G$6,2,FALSE)</f>
        <v>Fognatura bianca e pulizia / manutenzione caditoie stradali</v>
      </c>
      <c r="J169" s="1013">
        <v>2026</v>
      </c>
      <c r="K169" s="2335">
        <f>+SUMIFS('PdI-crono_inv'!AW:AW,'PdI-crono_inv'!CF:CF,F169,'PdI-crono_inv'!CE:CE,H169,'PdI-crono_inv'!J:J,P169,'PdI-crono_inv'!P:P,"&lt;&gt;proprietario")</f>
        <v>0</v>
      </c>
      <c r="M169" s="2335">
        <f>+SUMIFS('PdI-crono_inv'!AX:AX,'PdI-crono_inv'!CF:CF,F169,'PdI-crono_inv'!CE:CE,H169,'PdI-crono_inv'!J:J,P169,'PdI-crono_inv'!P:P,"&lt;&gt;proprietario")+S169</f>
        <v>0</v>
      </c>
      <c r="P169" s="1013" t="s">
        <v>25481</v>
      </c>
      <c r="Q169" s="1932" t="str">
        <f>+VLOOKUP(F169,TT_Tabelle_Riferimento!$D$127:$E$164,2,FALSE)</f>
        <v>Fognatura</v>
      </c>
      <c r="R169" s="1932" t="str">
        <f t="shared" si="13"/>
        <v/>
      </c>
      <c r="S169" s="2335">
        <f t="shared" si="14"/>
        <v>0</v>
      </c>
    </row>
    <row r="170" spans="1:19">
      <c r="A170" s="1932">
        <f t="shared" si="17"/>
        <v>0</v>
      </c>
      <c r="B170" s="1932">
        <f t="shared" si="18"/>
        <v>0</v>
      </c>
      <c r="C170" s="1013" t="s">
        <v>245</v>
      </c>
      <c r="D170" s="1013">
        <v>0</v>
      </c>
      <c r="E170" s="1013" t="s">
        <v>22698</v>
      </c>
      <c r="F170" s="1013">
        <v>14</v>
      </c>
      <c r="G170" s="1932" t="str">
        <f>+VLOOKUP(F170,TT_Tabelle_Riferimento!$D$127:$G$164,4,FALSE)</f>
        <v>Impianti di sollevamento e pompaggio di fognatura</v>
      </c>
      <c r="H170" s="1013">
        <v>2</v>
      </c>
      <c r="I170" s="1932" t="str">
        <f>+VLOOKUP(H170,TT_Tabelle_Riferimento!$F$3:$G$6,2,FALSE)</f>
        <v>Fognatura bianca e pulizia / manutenzione caditoie stradali</v>
      </c>
      <c r="J170" s="1013">
        <v>2026</v>
      </c>
      <c r="K170" s="2335">
        <f>+SUMIFS('PdI-crono_inv'!AW:AW,'PdI-crono_inv'!CF:CF,F170,'PdI-crono_inv'!CE:CE,H170,'PdI-crono_inv'!J:J,P170,'PdI-crono_inv'!P:P,"&lt;&gt;proprietario")</f>
        <v>0</v>
      </c>
      <c r="M170" s="2335">
        <f>+SUMIFS('PdI-crono_inv'!AX:AX,'PdI-crono_inv'!CF:CF,F170,'PdI-crono_inv'!CE:CE,H170,'PdI-crono_inv'!J:J,P170,'PdI-crono_inv'!P:P,"&lt;&gt;proprietario")+S170</f>
        <v>0</v>
      </c>
      <c r="P170" s="1013" t="s">
        <v>25481</v>
      </c>
      <c r="Q170" s="1932" t="str">
        <f>+VLOOKUP(F170,TT_Tabelle_Riferimento!$D$127:$E$164,2,FALSE)</f>
        <v>Fognatura</v>
      </c>
      <c r="R170" s="1932" t="str">
        <f t="shared" si="13"/>
        <v/>
      </c>
      <c r="S170" s="2335">
        <f t="shared" si="14"/>
        <v>0</v>
      </c>
    </row>
    <row r="171" spans="1:19">
      <c r="A171" s="1932">
        <f t="shared" si="17"/>
        <v>0</v>
      </c>
      <c r="B171" s="1932">
        <f t="shared" si="18"/>
        <v>0</v>
      </c>
      <c r="C171" s="1013" t="s">
        <v>245</v>
      </c>
      <c r="D171" s="1013">
        <v>0</v>
      </c>
      <c r="E171" s="1013" t="s">
        <v>22698</v>
      </c>
      <c r="F171" s="1013">
        <v>15</v>
      </c>
      <c r="G171" s="1932" t="str">
        <f>+VLOOKUP(F171,TT_Tabelle_Riferimento!$D$127:$G$164,4,FALSE)</f>
        <v>Gruppi di misura - altre attrezzature di fognatura</v>
      </c>
      <c r="H171" s="1013">
        <v>2</v>
      </c>
      <c r="I171" s="1932" t="str">
        <f>+VLOOKUP(H171,TT_Tabelle_Riferimento!$F$3:$G$6,2,FALSE)</f>
        <v>Fognatura bianca e pulizia / manutenzione caditoie stradali</v>
      </c>
      <c r="J171" s="1013">
        <v>2026</v>
      </c>
      <c r="K171" s="2335">
        <f>+SUMIFS('PdI-crono_inv'!AW:AW,'PdI-crono_inv'!CF:CF,F171,'PdI-crono_inv'!CE:CE,H171,'PdI-crono_inv'!J:J,P171,'PdI-crono_inv'!P:P,"&lt;&gt;proprietario")</f>
        <v>0</v>
      </c>
      <c r="M171" s="2335">
        <f>+SUMIFS('PdI-crono_inv'!AX:AX,'PdI-crono_inv'!CF:CF,F171,'PdI-crono_inv'!CE:CE,H171,'PdI-crono_inv'!J:J,P171,'PdI-crono_inv'!P:P,"&lt;&gt;proprietario")+S171</f>
        <v>0</v>
      </c>
      <c r="P171" s="1013" t="s">
        <v>25481</v>
      </c>
      <c r="Q171" s="1932" t="str">
        <f>+VLOOKUP(F171,TT_Tabelle_Riferimento!$D$127:$E$164,2,FALSE)</f>
        <v>Fognatura</v>
      </c>
      <c r="R171" s="1932" t="str">
        <f t="shared" si="13"/>
        <v/>
      </c>
      <c r="S171" s="2335">
        <f t="shared" si="14"/>
        <v>0</v>
      </c>
    </row>
    <row r="172" spans="1:19">
      <c r="A172" s="1932">
        <f t="shared" si="17"/>
        <v>0</v>
      </c>
      <c r="B172" s="1932">
        <f t="shared" si="18"/>
        <v>0</v>
      </c>
      <c r="C172" s="1013" t="s">
        <v>245</v>
      </c>
      <c r="D172" s="1013">
        <v>0</v>
      </c>
      <c r="E172" s="1013" t="s">
        <v>22698</v>
      </c>
      <c r="F172" s="1013">
        <v>16</v>
      </c>
      <c r="G172" s="1932" t="str">
        <f>+VLOOKUP(F172,TT_Tabelle_Riferimento!$D$127:$G$164,4,FALSE)</f>
        <v>Sistemi informativi di fognatura</v>
      </c>
      <c r="H172" s="1013">
        <v>2</v>
      </c>
      <c r="I172" s="1932" t="str">
        <f>+VLOOKUP(H172,TT_Tabelle_Riferimento!$F$3:$G$6,2,FALSE)</f>
        <v>Fognatura bianca e pulizia / manutenzione caditoie stradali</v>
      </c>
      <c r="J172" s="1013">
        <v>2026</v>
      </c>
      <c r="K172" s="2335">
        <f>+SUMIFS('PdI-crono_inv'!AW:AW,'PdI-crono_inv'!CF:CF,F172,'PdI-crono_inv'!CE:CE,H172,'PdI-crono_inv'!J:J,P172,'PdI-crono_inv'!P:P,"&lt;&gt;proprietario")</f>
        <v>0</v>
      </c>
      <c r="M172" s="2335">
        <f>+SUMIFS('PdI-crono_inv'!AX:AX,'PdI-crono_inv'!CF:CF,F172,'PdI-crono_inv'!CE:CE,H172,'PdI-crono_inv'!J:J,P172,'PdI-crono_inv'!P:P,"&lt;&gt;proprietario")+S172</f>
        <v>0</v>
      </c>
      <c r="P172" s="1013" t="s">
        <v>25481</v>
      </c>
      <c r="Q172" s="1932" t="str">
        <f>+VLOOKUP(F172,TT_Tabelle_Riferimento!$D$127:$E$164,2,FALSE)</f>
        <v>Fognatura</v>
      </c>
      <c r="R172" s="1932" t="str">
        <f t="shared" ref="R172:R235" si="19">+IF(SUM(K172:N172)=0,"","PdI_consolidamento")</f>
        <v/>
      </c>
      <c r="S172" s="2335">
        <f t="shared" si="14"/>
        <v>0</v>
      </c>
    </row>
    <row r="173" spans="1:19">
      <c r="A173" s="1932">
        <f t="shared" si="17"/>
        <v>0</v>
      </c>
      <c r="B173" s="1932">
        <f t="shared" si="18"/>
        <v>0</v>
      </c>
      <c r="C173" s="1013" t="s">
        <v>245</v>
      </c>
      <c r="D173" s="1013">
        <v>0</v>
      </c>
      <c r="E173" s="1013" t="s">
        <v>22698</v>
      </c>
      <c r="F173" s="1013">
        <v>18</v>
      </c>
      <c r="G173" s="1932" t="str">
        <f>+VLOOKUP(F173,TT_Tabelle_Riferimento!$D$127:$G$164,4,FALSE)</f>
        <v>Telecontrollo e teletrasmissione di fognatura</v>
      </c>
      <c r="H173" s="1013">
        <v>2</v>
      </c>
      <c r="I173" s="1932" t="str">
        <f>+VLOOKUP(H173,TT_Tabelle_Riferimento!$F$3:$G$6,2,FALSE)</f>
        <v>Fognatura bianca e pulizia / manutenzione caditoie stradali</v>
      </c>
      <c r="J173" s="1013">
        <v>2026</v>
      </c>
      <c r="K173" s="2335">
        <f>+SUMIFS('PdI-crono_inv'!AW:AW,'PdI-crono_inv'!CF:CF,F173,'PdI-crono_inv'!CE:CE,H173,'PdI-crono_inv'!J:J,P173,'PdI-crono_inv'!P:P,"&lt;&gt;proprietario")</f>
        <v>0</v>
      </c>
      <c r="M173" s="2335">
        <f>+SUMIFS('PdI-crono_inv'!AX:AX,'PdI-crono_inv'!CF:CF,F173,'PdI-crono_inv'!CE:CE,H173,'PdI-crono_inv'!J:J,P173,'PdI-crono_inv'!P:P,"&lt;&gt;proprietario")+S173</f>
        <v>0</v>
      </c>
      <c r="P173" s="1013" t="s">
        <v>25481</v>
      </c>
      <c r="Q173" s="1932" t="str">
        <f>+VLOOKUP(F173,TT_Tabelle_Riferimento!$D$127:$E$164,2,FALSE)</f>
        <v>Fognatura</v>
      </c>
      <c r="R173" s="1932" t="str">
        <f t="shared" si="19"/>
        <v/>
      </c>
      <c r="S173" s="2335">
        <f t="shared" si="14"/>
        <v>0</v>
      </c>
    </row>
    <row r="174" spans="1:19">
      <c r="A174" s="1932">
        <f t="shared" si="17"/>
        <v>0</v>
      </c>
      <c r="B174" s="1932">
        <f t="shared" si="18"/>
        <v>0</v>
      </c>
      <c r="C174" s="1013" t="s">
        <v>245</v>
      </c>
      <c r="D174" s="1013">
        <v>0</v>
      </c>
      <c r="E174" s="1013" t="s">
        <v>22698</v>
      </c>
      <c r="F174" s="1013">
        <v>19</v>
      </c>
      <c r="G174" s="1932" t="str">
        <f>+VLOOKUP(F174,TT_Tabelle_Riferimento!$D$127:$G$164,4,FALSE)</f>
        <v>Impianti di sollevamento e pompaggio di depurazione</v>
      </c>
      <c r="H174" s="1013">
        <v>2</v>
      </c>
      <c r="I174" s="1932" t="str">
        <f>+VLOOKUP(H174,TT_Tabelle_Riferimento!$F$3:$G$6,2,FALSE)</f>
        <v>Fognatura bianca e pulizia / manutenzione caditoie stradali</v>
      </c>
      <c r="J174" s="1013">
        <v>2026</v>
      </c>
      <c r="K174" s="2335">
        <f>+SUMIFS('PdI-crono_inv'!AW:AW,'PdI-crono_inv'!CF:CF,F174,'PdI-crono_inv'!CE:CE,H174,'PdI-crono_inv'!J:J,P174,'PdI-crono_inv'!P:P,"&lt;&gt;proprietario")</f>
        <v>0</v>
      </c>
      <c r="M174" s="2335">
        <f>+SUMIFS('PdI-crono_inv'!AX:AX,'PdI-crono_inv'!CF:CF,F174,'PdI-crono_inv'!CE:CE,H174,'PdI-crono_inv'!J:J,P174,'PdI-crono_inv'!P:P,"&lt;&gt;proprietario")+S174</f>
        <v>0</v>
      </c>
      <c r="P174" s="1013" t="s">
        <v>25481</v>
      </c>
      <c r="Q174" s="1932" t="str">
        <f>+VLOOKUP(F174,TT_Tabelle_Riferimento!$D$127:$E$164,2,FALSE)</f>
        <v>Depurazione</v>
      </c>
      <c r="R174" s="1932" t="str">
        <f t="shared" si="19"/>
        <v/>
      </c>
      <c r="S174" s="2335">
        <f t="shared" si="14"/>
        <v>0</v>
      </c>
    </row>
    <row r="175" spans="1:19">
      <c r="A175" s="1932">
        <f t="shared" si="17"/>
        <v>0</v>
      </c>
      <c r="B175" s="1932">
        <f t="shared" si="18"/>
        <v>0</v>
      </c>
      <c r="C175" s="1013" t="s">
        <v>245</v>
      </c>
      <c r="D175" s="1013">
        <v>0</v>
      </c>
      <c r="E175" s="1013" t="s">
        <v>22698</v>
      </c>
      <c r="F175" s="1013">
        <v>20</v>
      </c>
      <c r="G175" s="1932" t="str">
        <f>+VLOOKUP(F175,TT_Tabelle_Riferimento!$D$127:$G$164,4,FALSE)</f>
        <v>Tecniche naturali di depurazione (tra cui fitodepurazione e lagunaggio)</v>
      </c>
      <c r="H175" s="1013">
        <v>2</v>
      </c>
      <c r="I175" s="1932" t="str">
        <f>+VLOOKUP(H175,TT_Tabelle_Riferimento!$F$3:$G$6,2,FALSE)</f>
        <v>Fognatura bianca e pulizia / manutenzione caditoie stradali</v>
      </c>
      <c r="J175" s="1013">
        <v>2026</v>
      </c>
      <c r="K175" s="2335">
        <f>+SUMIFS('PdI-crono_inv'!AW:AW,'PdI-crono_inv'!CF:CF,F175,'PdI-crono_inv'!CE:CE,H175,'PdI-crono_inv'!J:J,P175,'PdI-crono_inv'!P:P,"&lt;&gt;proprietario")</f>
        <v>0</v>
      </c>
      <c r="M175" s="2335">
        <f>+SUMIFS('PdI-crono_inv'!AX:AX,'PdI-crono_inv'!CF:CF,F175,'PdI-crono_inv'!CE:CE,H175,'PdI-crono_inv'!J:J,P175,'PdI-crono_inv'!P:P,"&lt;&gt;proprietario")+S175</f>
        <v>0</v>
      </c>
      <c r="P175" s="1013" t="s">
        <v>25481</v>
      </c>
      <c r="Q175" s="1932" t="str">
        <f>+VLOOKUP(F175,TT_Tabelle_Riferimento!$D$127:$E$164,2,FALSE)</f>
        <v>Depurazione</v>
      </c>
      <c r="R175" s="1932" t="str">
        <f t="shared" si="19"/>
        <v/>
      </c>
      <c r="S175" s="2335">
        <f t="shared" si="14"/>
        <v>0</v>
      </c>
    </row>
    <row r="176" spans="1:19">
      <c r="A176" s="1932">
        <f t="shared" si="17"/>
        <v>0</v>
      </c>
      <c r="B176" s="1932">
        <f t="shared" si="18"/>
        <v>0</v>
      </c>
      <c r="C176" s="1013" t="s">
        <v>245</v>
      </c>
      <c r="D176" s="1013">
        <v>0</v>
      </c>
      <c r="E176" s="1013" t="s">
        <v>22698</v>
      </c>
      <c r="F176" s="1013">
        <v>21</v>
      </c>
      <c r="G176" s="1932" t="str">
        <f>+VLOOKUP(F176,TT_Tabelle_Riferimento!$D$127:$G$164,4,FALSE)</f>
        <v>Impianti di depurazione – trattamenti sino al preliminare, integrativo, primario - fosse settiche e fosse Imhoff</v>
      </c>
      <c r="H176" s="1013">
        <v>2</v>
      </c>
      <c r="I176" s="1932" t="str">
        <f>+VLOOKUP(H176,TT_Tabelle_Riferimento!$F$3:$G$6,2,FALSE)</f>
        <v>Fognatura bianca e pulizia / manutenzione caditoie stradali</v>
      </c>
      <c r="J176" s="1013">
        <v>2026</v>
      </c>
      <c r="K176" s="2335">
        <f>+SUMIFS('PdI-crono_inv'!AW:AW,'PdI-crono_inv'!CF:CF,F176,'PdI-crono_inv'!CE:CE,H176,'PdI-crono_inv'!J:J,P176,'PdI-crono_inv'!P:P,"&lt;&gt;proprietario")</f>
        <v>0</v>
      </c>
      <c r="M176" s="2335">
        <f>+SUMIFS('PdI-crono_inv'!AX:AX,'PdI-crono_inv'!CF:CF,F176,'PdI-crono_inv'!CE:CE,H176,'PdI-crono_inv'!J:J,P176,'PdI-crono_inv'!P:P,"&lt;&gt;proprietario")+S176</f>
        <v>0</v>
      </c>
      <c r="P176" s="1013" t="s">
        <v>25481</v>
      </c>
      <c r="Q176" s="1932" t="str">
        <f>+VLOOKUP(F176,TT_Tabelle_Riferimento!$D$127:$E$164,2,FALSE)</f>
        <v>Depurazione</v>
      </c>
      <c r="R176" s="1932" t="str">
        <f t="shared" si="19"/>
        <v/>
      </c>
      <c r="S176" s="2335">
        <f t="shared" si="14"/>
        <v>0</v>
      </c>
    </row>
    <row r="177" spans="1:19">
      <c r="A177" s="1932">
        <f t="shared" si="17"/>
        <v>0</v>
      </c>
      <c r="B177" s="1932">
        <f t="shared" si="18"/>
        <v>0</v>
      </c>
      <c r="C177" s="1013" t="s">
        <v>245</v>
      </c>
      <c r="D177" s="1013">
        <v>0</v>
      </c>
      <c r="E177" s="1013" t="s">
        <v>22698</v>
      </c>
      <c r="F177" s="1013">
        <v>22</v>
      </c>
      <c r="G177" s="1932" t="str">
        <f>+VLOOKUP(F177,TT_Tabelle_Riferimento!$D$127:$G$164,4,FALSE)</f>
        <v>Impianti di depurazione – trattamenti sino al secondario</v>
      </c>
      <c r="H177" s="1013">
        <v>2</v>
      </c>
      <c r="I177" s="1932" t="str">
        <f>+VLOOKUP(H177,TT_Tabelle_Riferimento!$F$3:$G$6,2,FALSE)</f>
        <v>Fognatura bianca e pulizia / manutenzione caditoie stradali</v>
      </c>
      <c r="J177" s="1013">
        <v>2026</v>
      </c>
      <c r="K177" s="2335">
        <f>+SUMIFS('PdI-crono_inv'!AW:AW,'PdI-crono_inv'!CF:CF,F177,'PdI-crono_inv'!CE:CE,H177,'PdI-crono_inv'!J:J,P177,'PdI-crono_inv'!P:P,"&lt;&gt;proprietario")</f>
        <v>0</v>
      </c>
      <c r="M177" s="2335">
        <f>+SUMIFS('PdI-crono_inv'!AX:AX,'PdI-crono_inv'!CF:CF,F177,'PdI-crono_inv'!CE:CE,H177,'PdI-crono_inv'!J:J,P177,'PdI-crono_inv'!P:P,"&lt;&gt;proprietario")+S177</f>
        <v>0</v>
      </c>
      <c r="P177" s="1013" t="s">
        <v>25481</v>
      </c>
      <c r="Q177" s="1932" t="str">
        <f>+VLOOKUP(F177,TT_Tabelle_Riferimento!$D$127:$E$164,2,FALSE)</f>
        <v>Depurazione</v>
      </c>
      <c r="R177" s="1932" t="str">
        <f t="shared" si="19"/>
        <v/>
      </c>
      <c r="S177" s="2335">
        <f t="shared" si="14"/>
        <v>0</v>
      </c>
    </row>
    <row r="178" spans="1:19">
      <c r="A178" s="1932">
        <f t="shared" si="17"/>
        <v>0</v>
      </c>
      <c r="B178" s="1932">
        <f t="shared" si="18"/>
        <v>0</v>
      </c>
      <c r="C178" s="1013" t="s">
        <v>245</v>
      </c>
      <c r="D178" s="1013">
        <v>0</v>
      </c>
      <c r="E178" s="1013" t="s">
        <v>22698</v>
      </c>
      <c r="F178" s="1013">
        <v>23</v>
      </c>
      <c r="G178" s="1932" t="str">
        <f>+VLOOKUP(F178,TT_Tabelle_Riferimento!$D$127:$G$164,4,FALSE)</f>
        <v>Impianti di depurazione – trattamenti sino al terziario e terziario avanzato</v>
      </c>
      <c r="H178" s="1013">
        <v>2</v>
      </c>
      <c r="I178" s="1932" t="str">
        <f>+VLOOKUP(H178,TT_Tabelle_Riferimento!$F$3:$G$6,2,FALSE)</f>
        <v>Fognatura bianca e pulizia / manutenzione caditoie stradali</v>
      </c>
      <c r="J178" s="1013">
        <v>2026</v>
      </c>
      <c r="K178" s="2335">
        <f>+SUMIFS('PdI-crono_inv'!AW:AW,'PdI-crono_inv'!CF:CF,F178,'PdI-crono_inv'!CE:CE,H178,'PdI-crono_inv'!J:J,P178,'PdI-crono_inv'!P:P,"&lt;&gt;proprietario")</f>
        <v>0</v>
      </c>
      <c r="M178" s="2335">
        <f>+SUMIFS('PdI-crono_inv'!AX:AX,'PdI-crono_inv'!CF:CF,F178,'PdI-crono_inv'!CE:CE,H178,'PdI-crono_inv'!J:J,P178,'PdI-crono_inv'!P:P,"&lt;&gt;proprietario")+S178</f>
        <v>0</v>
      </c>
      <c r="P178" s="1013" t="s">
        <v>25481</v>
      </c>
      <c r="Q178" s="1932" t="str">
        <f>+VLOOKUP(F178,TT_Tabelle_Riferimento!$D$127:$E$164,2,FALSE)</f>
        <v>Depurazione</v>
      </c>
      <c r="R178" s="1932" t="str">
        <f t="shared" si="19"/>
        <v/>
      </c>
      <c r="S178" s="2335">
        <f t="shared" si="14"/>
        <v>0</v>
      </c>
    </row>
    <row r="179" spans="1:19">
      <c r="A179" s="1932">
        <f t="shared" si="17"/>
        <v>0</v>
      </c>
      <c r="B179" s="1932">
        <f t="shared" si="18"/>
        <v>0</v>
      </c>
      <c r="C179" s="1013" t="s">
        <v>245</v>
      </c>
      <c r="D179" s="1013">
        <v>0</v>
      </c>
      <c r="E179" s="1013" t="s">
        <v>22698</v>
      </c>
      <c r="F179" s="1013">
        <v>24</v>
      </c>
      <c r="G179" s="1932" t="str">
        <f>+VLOOKUP(F179,TT_Tabelle_Riferimento!$D$127:$G$164,4,FALSE)</f>
        <v>Impianti di essiccamento fanghi e di valorizzazione dei fanghi (tra cui mono-incenerimento, pirolisi, gassificazione)</v>
      </c>
      <c r="H179" s="1013">
        <v>2</v>
      </c>
      <c r="I179" s="1932" t="str">
        <f>+VLOOKUP(H179,TT_Tabelle_Riferimento!$F$3:$G$6,2,FALSE)</f>
        <v>Fognatura bianca e pulizia / manutenzione caditoie stradali</v>
      </c>
      <c r="J179" s="1013">
        <v>2026</v>
      </c>
      <c r="K179" s="2335">
        <f>+SUMIFS('PdI-crono_inv'!AW:AW,'PdI-crono_inv'!CF:CF,F179,'PdI-crono_inv'!CE:CE,H179,'PdI-crono_inv'!J:J,P179,'PdI-crono_inv'!P:P,"&lt;&gt;proprietario")</f>
        <v>0</v>
      </c>
      <c r="M179" s="2335">
        <f>+SUMIFS('PdI-crono_inv'!AX:AX,'PdI-crono_inv'!CF:CF,F179,'PdI-crono_inv'!CE:CE,H179,'PdI-crono_inv'!J:J,P179,'PdI-crono_inv'!P:P,"&lt;&gt;proprietario")+S179</f>
        <v>0</v>
      </c>
      <c r="P179" s="1013" t="s">
        <v>25481</v>
      </c>
      <c r="Q179" s="1932" t="str">
        <f>+VLOOKUP(F179,TT_Tabelle_Riferimento!$D$127:$E$164,2,FALSE)</f>
        <v>Depurazione</v>
      </c>
      <c r="R179" s="1932" t="str">
        <f t="shared" si="19"/>
        <v/>
      </c>
      <c r="S179" s="2335">
        <f t="shared" si="14"/>
        <v>0</v>
      </c>
    </row>
    <row r="180" spans="1:19">
      <c r="A180" s="1932">
        <f t="shared" si="17"/>
        <v>0</v>
      </c>
      <c r="B180" s="1932">
        <f t="shared" si="18"/>
        <v>0</v>
      </c>
      <c r="C180" s="1013" t="s">
        <v>245</v>
      </c>
      <c r="D180" s="1013">
        <v>0</v>
      </c>
      <c r="E180" s="1013" t="s">
        <v>22698</v>
      </c>
      <c r="F180" s="1013">
        <v>25</v>
      </c>
      <c r="G180" s="1932" t="str">
        <f>+VLOOKUP(F180,TT_Tabelle_Riferimento!$D$127:$G$164,4,FALSE)</f>
        <v>Gruppi di misura - altre attrezzature di depurazione</v>
      </c>
      <c r="H180" s="1013">
        <v>2</v>
      </c>
      <c r="I180" s="1932" t="str">
        <f>+VLOOKUP(H180,TT_Tabelle_Riferimento!$F$3:$G$6,2,FALSE)</f>
        <v>Fognatura bianca e pulizia / manutenzione caditoie stradali</v>
      </c>
      <c r="J180" s="1013">
        <v>2026</v>
      </c>
      <c r="K180" s="2335">
        <f>+SUMIFS('PdI-crono_inv'!AW:AW,'PdI-crono_inv'!CF:CF,F180,'PdI-crono_inv'!CE:CE,H180,'PdI-crono_inv'!J:J,P180,'PdI-crono_inv'!P:P,"&lt;&gt;proprietario")</f>
        <v>0</v>
      </c>
      <c r="M180" s="2335">
        <f>+SUMIFS('PdI-crono_inv'!AX:AX,'PdI-crono_inv'!CF:CF,F180,'PdI-crono_inv'!CE:CE,H180,'PdI-crono_inv'!J:J,P180,'PdI-crono_inv'!P:P,"&lt;&gt;proprietario")+S180</f>
        <v>0</v>
      </c>
      <c r="P180" s="1013" t="s">
        <v>25481</v>
      </c>
      <c r="Q180" s="1932" t="str">
        <f>+VLOOKUP(F180,TT_Tabelle_Riferimento!$D$127:$E$164,2,FALSE)</f>
        <v>Depurazione</v>
      </c>
      <c r="R180" s="1932" t="str">
        <f t="shared" si="19"/>
        <v/>
      </c>
      <c r="S180" s="2335">
        <f t="shared" si="14"/>
        <v>0</v>
      </c>
    </row>
    <row r="181" spans="1:19">
      <c r="A181" s="1932">
        <f t="shared" si="17"/>
        <v>0</v>
      </c>
      <c r="B181" s="1932">
        <f t="shared" si="18"/>
        <v>0</v>
      </c>
      <c r="C181" s="1013" t="s">
        <v>245</v>
      </c>
      <c r="D181" s="1013">
        <v>0</v>
      </c>
      <c r="E181" s="1013" t="s">
        <v>22698</v>
      </c>
      <c r="F181" s="1013">
        <v>26</v>
      </c>
      <c r="G181" s="1932" t="str">
        <f>+VLOOKUP(F181,TT_Tabelle_Riferimento!$D$127:$G$164,4,FALSE)</f>
        <v>Sistemi informativi di depurazione</v>
      </c>
      <c r="H181" s="1013">
        <v>2</v>
      </c>
      <c r="I181" s="1932" t="str">
        <f>+VLOOKUP(H181,TT_Tabelle_Riferimento!$F$3:$G$6,2,FALSE)</f>
        <v>Fognatura bianca e pulizia / manutenzione caditoie stradali</v>
      </c>
      <c r="J181" s="1013">
        <v>2026</v>
      </c>
      <c r="K181" s="2335">
        <f>+SUMIFS('PdI-crono_inv'!AW:AW,'PdI-crono_inv'!CF:CF,F181,'PdI-crono_inv'!CE:CE,H181,'PdI-crono_inv'!J:J,P181,'PdI-crono_inv'!P:P,"&lt;&gt;proprietario")</f>
        <v>0</v>
      </c>
      <c r="M181" s="2335">
        <f>+SUMIFS('PdI-crono_inv'!AX:AX,'PdI-crono_inv'!CF:CF,F181,'PdI-crono_inv'!CE:CE,H181,'PdI-crono_inv'!J:J,P181,'PdI-crono_inv'!P:P,"&lt;&gt;proprietario")+S181</f>
        <v>0</v>
      </c>
      <c r="P181" s="1013" t="s">
        <v>25481</v>
      </c>
      <c r="Q181" s="1932" t="str">
        <f>+VLOOKUP(F181,TT_Tabelle_Riferimento!$D$127:$E$164,2,FALSE)</f>
        <v>Depurazione</v>
      </c>
      <c r="R181" s="1932" t="str">
        <f t="shared" si="19"/>
        <v/>
      </c>
      <c r="S181" s="2335">
        <f t="shared" si="14"/>
        <v>0</v>
      </c>
    </row>
    <row r="182" spans="1:19">
      <c r="A182" s="1932">
        <f t="shared" si="17"/>
        <v>0</v>
      </c>
      <c r="B182" s="1932">
        <f t="shared" si="18"/>
        <v>0</v>
      </c>
      <c r="C182" s="1013" t="s">
        <v>245</v>
      </c>
      <c r="D182" s="1013">
        <v>0</v>
      </c>
      <c r="E182" s="1013" t="s">
        <v>22698</v>
      </c>
      <c r="F182" s="1013">
        <v>27</v>
      </c>
      <c r="G182" s="1932" t="str">
        <f>+VLOOKUP(F182,TT_Tabelle_Riferimento!$D$127:$G$164,4,FALSE)</f>
        <v>Telecontrollo e teletrasmissione di depurazione</v>
      </c>
      <c r="H182" s="1013">
        <v>2</v>
      </c>
      <c r="I182" s="1932" t="str">
        <f>+VLOOKUP(H182,TT_Tabelle_Riferimento!$F$3:$G$6,2,FALSE)</f>
        <v>Fognatura bianca e pulizia / manutenzione caditoie stradali</v>
      </c>
      <c r="J182" s="1013">
        <v>2026</v>
      </c>
      <c r="K182" s="2335">
        <f>+SUMIFS('PdI-crono_inv'!AW:AW,'PdI-crono_inv'!CF:CF,F182,'PdI-crono_inv'!CE:CE,H182,'PdI-crono_inv'!J:J,P182,'PdI-crono_inv'!P:P,"&lt;&gt;proprietario")</f>
        <v>0</v>
      </c>
      <c r="M182" s="2335">
        <f>+SUMIFS('PdI-crono_inv'!AX:AX,'PdI-crono_inv'!CF:CF,F182,'PdI-crono_inv'!CE:CE,H182,'PdI-crono_inv'!J:J,P182,'PdI-crono_inv'!P:P,"&lt;&gt;proprietario")+S182</f>
        <v>0</v>
      </c>
      <c r="P182" s="1013" t="s">
        <v>25481</v>
      </c>
      <c r="Q182" s="1932" t="str">
        <f>+VLOOKUP(F182,TT_Tabelle_Riferimento!$D$127:$E$164,2,FALSE)</f>
        <v>Depurazione</v>
      </c>
      <c r="R182" s="1932" t="str">
        <f t="shared" si="19"/>
        <v/>
      </c>
      <c r="S182" s="2335">
        <f t="shared" si="14"/>
        <v>0</v>
      </c>
    </row>
    <row r="183" spans="1:19">
      <c r="A183" s="1932">
        <f t="shared" si="17"/>
        <v>0</v>
      </c>
      <c r="B183" s="1932">
        <f t="shared" si="18"/>
        <v>0</v>
      </c>
      <c r="C183" s="1013" t="s">
        <v>245</v>
      </c>
      <c r="D183" s="1013">
        <v>0</v>
      </c>
      <c r="E183" s="1013" t="s">
        <v>22698</v>
      </c>
      <c r="F183" s="1013">
        <v>28</v>
      </c>
      <c r="G183" s="1932" t="str">
        <f>+VLOOKUP(F183,TT_Tabelle_Riferimento!$D$127:$G$164,4,FALSE)</f>
        <v>Altri impianti</v>
      </c>
      <c r="H183" s="1013">
        <v>2</v>
      </c>
      <c r="I183" s="1932" t="str">
        <f>+VLOOKUP(H183,TT_Tabelle_Riferimento!$F$3:$G$6,2,FALSE)</f>
        <v>Fognatura bianca e pulizia / manutenzione caditoie stradali</v>
      </c>
      <c r="J183" s="1013">
        <v>2026</v>
      </c>
      <c r="K183" s="2335">
        <f>+SUMIFS('PdI-crono_inv'!AW:AW,'PdI-crono_inv'!CF:CF,F183,'PdI-crono_inv'!CE:CE,H183,'PdI-crono_inv'!J:J,P183,'PdI-crono_inv'!P:P,"&lt;&gt;proprietario")</f>
        <v>0</v>
      </c>
      <c r="M183" s="2335">
        <f>+SUMIFS('PdI-crono_inv'!AX:AX,'PdI-crono_inv'!CF:CF,F183,'PdI-crono_inv'!CE:CE,H183,'PdI-crono_inv'!J:J,P183,'PdI-crono_inv'!P:P,"&lt;&gt;proprietario")+S183</f>
        <v>0</v>
      </c>
      <c r="P183" s="1013" t="s">
        <v>25481</v>
      </c>
      <c r="Q183" s="1932" t="str">
        <f>+VLOOKUP(F183,TT_Tabelle_Riferimento!$D$127:$E$164,2,FALSE)</f>
        <v>Comune</v>
      </c>
      <c r="R183" s="1932" t="str">
        <f t="shared" si="19"/>
        <v/>
      </c>
      <c r="S183" s="2335">
        <f t="shared" si="14"/>
        <v>0</v>
      </c>
    </row>
    <row r="184" spans="1:19">
      <c r="A184" s="1932">
        <f t="shared" si="17"/>
        <v>0</v>
      </c>
      <c r="B184" s="1932">
        <f t="shared" si="18"/>
        <v>0</v>
      </c>
      <c r="C184" s="1013" t="s">
        <v>245</v>
      </c>
      <c r="D184" s="1013">
        <v>0</v>
      </c>
      <c r="E184" s="1013" t="s">
        <v>22698</v>
      </c>
      <c r="F184" s="1013">
        <v>29</v>
      </c>
      <c r="G184" s="1932" t="str">
        <f>+VLOOKUP(F184,TT_Tabelle_Riferimento!$D$127:$G$164,4,FALSE)</f>
        <v>Laboratori e attrezzature</v>
      </c>
      <c r="H184" s="1013">
        <v>2</v>
      </c>
      <c r="I184" s="1932" t="str">
        <f>+VLOOKUP(H184,TT_Tabelle_Riferimento!$F$3:$G$6,2,FALSE)</f>
        <v>Fognatura bianca e pulizia / manutenzione caditoie stradali</v>
      </c>
      <c r="J184" s="1013">
        <v>2026</v>
      </c>
      <c r="K184" s="2335">
        <f>+SUMIFS('PdI-crono_inv'!AW:AW,'PdI-crono_inv'!CF:CF,F184,'PdI-crono_inv'!CE:CE,H184,'PdI-crono_inv'!J:J,P184,'PdI-crono_inv'!P:P,"&lt;&gt;proprietario")</f>
        <v>0</v>
      </c>
      <c r="M184" s="2335">
        <f>+SUMIFS('PdI-crono_inv'!AX:AX,'PdI-crono_inv'!CF:CF,F184,'PdI-crono_inv'!CE:CE,H184,'PdI-crono_inv'!J:J,P184,'PdI-crono_inv'!P:P,"&lt;&gt;proprietario")+S184</f>
        <v>0</v>
      </c>
      <c r="P184" s="1013" t="s">
        <v>25481</v>
      </c>
      <c r="Q184" s="1932" t="str">
        <f>+VLOOKUP(F184,TT_Tabelle_Riferimento!$D$127:$E$164,2,FALSE)</f>
        <v>Comune</v>
      </c>
      <c r="R184" s="1932" t="str">
        <f t="shared" si="19"/>
        <v/>
      </c>
      <c r="S184" s="2335">
        <f t="shared" si="14"/>
        <v>0</v>
      </c>
    </row>
    <row r="185" spans="1:19">
      <c r="A185" s="1932">
        <f t="shared" si="17"/>
        <v>0</v>
      </c>
      <c r="B185" s="1932">
        <f t="shared" si="18"/>
        <v>0</v>
      </c>
      <c r="C185" s="1013" t="s">
        <v>245</v>
      </c>
      <c r="D185" s="1013">
        <v>0</v>
      </c>
      <c r="E185" s="1013" t="s">
        <v>22698</v>
      </c>
      <c r="F185" s="1013">
        <v>30</v>
      </c>
      <c r="G185" s="1932" t="str">
        <f>+VLOOKUP(F185,TT_Tabelle_Riferimento!$D$127:$G$164,4,FALSE)</f>
        <v>Sistemi informativi</v>
      </c>
      <c r="H185" s="1013">
        <v>2</v>
      </c>
      <c r="I185" s="1932" t="str">
        <f>+VLOOKUP(H185,TT_Tabelle_Riferimento!$F$3:$G$6,2,FALSE)</f>
        <v>Fognatura bianca e pulizia / manutenzione caditoie stradali</v>
      </c>
      <c r="J185" s="1013">
        <v>2026</v>
      </c>
      <c r="K185" s="2335">
        <f>+SUMIFS('PdI-crono_inv'!AW:AW,'PdI-crono_inv'!CF:CF,F185,'PdI-crono_inv'!CE:CE,H185,'PdI-crono_inv'!J:J,P185,'PdI-crono_inv'!P:P,"&lt;&gt;proprietario")</f>
        <v>0</v>
      </c>
      <c r="M185" s="2335">
        <f>+SUMIFS('PdI-crono_inv'!AX:AX,'PdI-crono_inv'!CF:CF,F185,'PdI-crono_inv'!CE:CE,H185,'PdI-crono_inv'!J:J,P185,'PdI-crono_inv'!P:P,"&lt;&gt;proprietario")+S185</f>
        <v>0</v>
      </c>
      <c r="P185" s="1013" t="s">
        <v>25481</v>
      </c>
      <c r="Q185" s="1932" t="str">
        <f>+VLOOKUP(F185,TT_Tabelle_Riferimento!$D$127:$E$164,2,FALSE)</f>
        <v>Comune</v>
      </c>
      <c r="R185" s="1932" t="str">
        <f t="shared" si="19"/>
        <v/>
      </c>
      <c r="S185" s="2335">
        <f t="shared" si="14"/>
        <v>0</v>
      </c>
    </row>
    <row r="186" spans="1:19">
      <c r="A186" s="1932">
        <f t="shared" si="17"/>
        <v>0</v>
      </c>
      <c r="B186" s="1932">
        <f t="shared" si="18"/>
        <v>0</v>
      </c>
      <c r="C186" s="1013" t="s">
        <v>245</v>
      </c>
      <c r="D186" s="1013">
        <v>0</v>
      </c>
      <c r="E186" s="1013" t="s">
        <v>22698</v>
      </c>
      <c r="F186" s="1013">
        <v>31</v>
      </c>
      <c r="G186" s="1932" t="str">
        <f>+VLOOKUP(F186,TT_Tabelle_Riferimento!$D$127:$G$164,4,FALSE)</f>
        <v>Telecontrollo e teletrasmissione</v>
      </c>
      <c r="H186" s="1013">
        <v>2</v>
      </c>
      <c r="I186" s="1932" t="str">
        <f>+VLOOKUP(H186,TT_Tabelle_Riferimento!$F$3:$G$6,2,FALSE)</f>
        <v>Fognatura bianca e pulizia / manutenzione caditoie stradali</v>
      </c>
      <c r="J186" s="1013">
        <v>2026</v>
      </c>
      <c r="K186" s="2335">
        <f>+SUMIFS('PdI-crono_inv'!AW:AW,'PdI-crono_inv'!CF:CF,F186,'PdI-crono_inv'!CE:CE,H186,'PdI-crono_inv'!J:J,P186,'PdI-crono_inv'!P:P,"&lt;&gt;proprietario")</f>
        <v>0</v>
      </c>
      <c r="M186" s="2335">
        <f>+SUMIFS('PdI-crono_inv'!AX:AX,'PdI-crono_inv'!CF:CF,F186,'PdI-crono_inv'!CE:CE,H186,'PdI-crono_inv'!J:J,P186,'PdI-crono_inv'!P:P,"&lt;&gt;proprietario")+S186</f>
        <v>0</v>
      </c>
      <c r="P186" s="1013" t="s">
        <v>25481</v>
      </c>
      <c r="Q186" s="1932" t="str">
        <f>+VLOOKUP(F186,TT_Tabelle_Riferimento!$D$127:$E$164,2,FALSE)</f>
        <v>Comune</v>
      </c>
      <c r="R186" s="1932" t="str">
        <f t="shared" si="19"/>
        <v/>
      </c>
      <c r="S186" s="2335">
        <f t="shared" si="14"/>
        <v>0</v>
      </c>
    </row>
    <row r="187" spans="1:19">
      <c r="A187" s="1932">
        <f t="shared" si="17"/>
        <v>0</v>
      </c>
      <c r="B187" s="1932">
        <f t="shared" si="18"/>
        <v>0</v>
      </c>
      <c r="C187" s="1013" t="s">
        <v>245</v>
      </c>
      <c r="D187" s="1013">
        <v>0</v>
      </c>
      <c r="E187" s="1013" t="s">
        <v>22698</v>
      </c>
      <c r="F187" s="1013">
        <v>32</v>
      </c>
      <c r="G187" s="1932" t="str">
        <f>+VLOOKUP(F187,TT_Tabelle_Riferimento!$D$127:$G$164,4,FALSE)</f>
        <v>Autoveicoli - automezzi</v>
      </c>
      <c r="H187" s="1013">
        <v>2</v>
      </c>
      <c r="I187" s="1932" t="str">
        <f>+VLOOKUP(H187,TT_Tabelle_Riferimento!$F$3:$G$6,2,FALSE)</f>
        <v>Fognatura bianca e pulizia / manutenzione caditoie stradali</v>
      </c>
      <c r="J187" s="1013">
        <v>2026</v>
      </c>
      <c r="K187" s="2335">
        <f>+SUMIFS('PdI-crono_inv'!AW:AW,'PdI-crono_inv'!CF:CF,F187,'PdI-crono_inv'!CE:CE,H187,'PdI-crono_inv'!J:J,P187,'PdI-crono_inv'!P:P,"&lt;&gt;proprietario")</f>
        <v>0</v>
      </c>
      <c r="M187" s="2335">
        <f>+SUMIFS('PdI-crono_inv'!AX:AX,'PdI-crono_inv'!CF:CF,F187,'PdI-crono_inv'!CE:CE,H187,'PdI-crono_inv'!J:J,P187,'PdI-crono_inv'!P:P,"&lt;&gt;proprietario")+S187</f>
        <v>0</v>
      </c>
      <c r="P187" s="1013" t="s">
        <v>25481</v>
      </c>
      <c r="Q187" s="1932" t="str">
        <f>+VLOOKUP(F187,TT_Tabelle_Riferimento!$D$127:$E$164,2,FALSE)</f>
        <v>Comune</v>
      </c>
      <c r="R187" s="1932" t="str">
        <f t="shared" si="19"/>
        <v/>
      </c>
      <c r="S187" s="2335">
        <f t="shared" si="14"/>
        <v>0</v>
      </c>
    </row>
    <row r="188" spans="1:19">
      <c r="A188" s="1932">
        <f t="shared" si="17"/>
        <v>0</v>
      </c>
      <c r="B188" s="1932">
        <f t="shared" si="18"/>
        <v>0</v>
      </c>
      <c r="C188" s="1013" t="s">
        <v>245</v>
      </c>
      <c r="D188" s="1013">
        <v>0</v>
      </c>
      <c r="E188" s="1013" t="s">
        <v>22698</v>
      </c>
      <c r="F188" s="1013">
        <v>1</v>
      </c>
      <c r="G188" s="1932" t="str">
        <f>+VLOOKUP(F188,TT_Tabelle_Riferimento!$D$127:$G$164,4,FALSE)</f>
        <v>Terreni</v>
      </c>
      <c r="H188" s="1013">
        <v>2</v>
      </c>
      <c r="I188" s="1932" t="str">
        <f>+VLOOKUP(H188,TT_Tabelle_Riferimento!$F$3:$G$6,2,FALSE)</f>
        <v>Fognatura bianca e pulizia / manutenzione caditoie stradali</v>
      </c>
      <c r="J188" s="1013">
        <v>2026</v>
      </c>
      <c r="K188" s="2335">
        <f>+SUMIFS('PdI-crono_inv'!AW:AW,'PdI-crono_inv'!CF:CF,F188,'PdI-crono_inv'!CE:CE,H188,'PdI-crono_inv'!J:J,P188,'PdI-crono_inv'!P:P,"&lt;&gt;proprietario")</f>
        <v>0</v>
      </c>
      <c r="M188" s="2335">
        <f>+SUMIFS('PdI-crono_inv'!AX:AX,'PdI-crono_inv'!CF:CF,F188,'PdI-crono_inv'!CE:CE,H188,'PdI-crono_inv'!J:J,P188,'PdI-crono_inv'!P:P,"&lt;&gt;proprietario")+S188</f>
        <v>0</v>
      </c>
      <c r="P188" s="1013" t="s">
        <v>25481</v>
      </c>
      <c r="Q188" s="1932" t="str">
        <f>+VLOOKUP(F188,TT_Tabelle_Riferimento!$D$127:$E$164,2,FALSE)</f>
        <v>Comune</v>
      </c>
      <c r="R188" s="1932" t="str">
        <f t="shared" si="19"/>
        <v/>
      </c>
      <c r="S188" s="2335">
        <f t="shared" si="14"/>
        <v>0</v>
      </c>
    </row>
    <row r="189" spans="1:19">
      <c r="A189" s="1932">
        <f t="shared" si="17"/>
        <v>0</v>
      </c>
      <c r="B189" s="1932">
        <f t="shared" si="18"/>
        <v>0</v>
      </c>
      <c r="C189" s="1013" t="s">
        <v>245</v>
      </c>
      <c r="D189" s="1013">
        <v>0</v>
      </c>
      <c r="E189" s="1013" t="s">
        <v>22698</v>
      </c>
      <c r="F189" s="1013">
        <v>33</v>
      </c>
      <c r="G189" s="1932" t="str">
        <f>+VLOOKUP(F189,TT_Tabelle_Riferimento!$D$127:$G$164,4,FALSE)</f>
        <v>Fabbricati non industriali</v>
      </c>
      <c r="H189" s="1013">
        <v>2</v>
      </c>
      <c r="I189" s="1932" t="str">
        <f>+VLOOKUP(H189,TT_Tabelle_Riferimento!$F$3:$G$6,2,FALSE)</f>
        <v>Fognatura bianca e pulizia / manutenzione caditoie stradali</v>
      </c>
      <c r="J189" s="1013">
        <v>2026</v>
      </c>
      <c r="K189" s="2335">
        <f>+SUMIFS('PdI-crono_inv'!AW:AW,'PdI-crono_inv'!CF:CF,F189,'PdI-crono_inv'!CE:CE,H189,'PdI-crono_inv'!J:J,P189,'PdI-crono_inv'!P:P,"&lt;&gt;proprietario")</f>
        <v>0</v>
      </c>
      <c r="M189" s="2335">
        <f>+SUMIFS('PdI-crono_inv'!AX:AX,'PdI-crono_inv'!CF:CF,F189,'PdI-crono_inv'!CE:CE,H189,'PdI-crono_inv'!J:J,P189,'PdI-crono_inv'!P:P,"&lt;&gt;proprietario")+S189</f>
        <v>0</v>
      </c>
      <c r="P189" s="1013" t="s">
        <v>25481</v>
      </c>
      <c r="Q189" s="1932" t="str">
        <f>+VLOOKUP(F189,TT_Tabelle_Riferimento!$D$127:$E$164,2,FALSE)</f>
        <v>Comune</v>
      </c>
      <c r="R189" s="1932" t="str">
        <f t="shared" si="19"/>
        <v/>
      </c>
      <c r="S189" s="2335">
        <f t="shared" si="14"/>
        <v>0</v>
      </c>
    </row>
    <row r="190" spans="1:19">
      <c r="A190" s="1932">
        <f t="shared" si="17"/>
        <v>0</v>
      </c>
      <c r="B190" s="1932">
        <f t="shared" si="18"/>
        <v>0</v>
      </c>
      <c r="C190" s="1013" t="s">
        <v>245</v>
      </c>
      <c r="D190" s="1013">
        <v>0</v>
      </c>
      <c r="E190" s="1013" t="s">
        <v>22698</v>
      </c>
      <c r="F190" s="1013">
        <v>34</v>
      </c>
      <c r="G190" s="1932" t="str">
        <f>+VLOOKUP(F190,TT_Tabelle_Riferimento!$D$127:$G$164,4,FALSE)</f>
        <v>Fabbricati industriali</v>
      </c>
      <c r="H190" s="1013">
        <v>2</v>
      </c>
      <c r="I190" s="1932" t="str">
        <f>+VLOOKUP(H190,TT_Tabelle_Riferimento!$F$3:$G$6,2,FALSE)</f>
        <v>Fognatura bianca e pulizia / manutenzione caditoie stradali</v>
      </c>
      <c r="J190" s="1013">
        <v>2026</v>
      </c>
      <c r="K190" s="2335">
        <f>+SUMIFS('PdI-crono_inv'!AW:AW,'PdI-crono_inv'!CF:CF,F190,'PdI-crono_inv'!CE:CE,H190,'PdI-crono_inv'!J:J,P190,'PdI-crono_inv'!P:P,"&lt;&gt;proprietario")</f>
        <v>0</v>
      </c>
      <c r="M190" s="2335">
        <f>+SUMIFS('PdI-crono_inv'!AX:AX,'PdI-crono_inv'!CF:CF,F190,'PdI-crono_inv'!CE:CE,H190,'PdI-crono_inv'!J:J,P190,'PdI-crono_inv'!P:P,"&lt;&gt;proprietario")+S190</f>
        <v>0</v>
      </c>
      <c r="P190" s="1013" t="s">
        <v>25481</v>
      </c>
      <c r="Q190" s="1932" t="str">
        <f>+VLOOKUP(F190,TT_Tabelle_Riferimento!$D$127:$E$164,2,FALSE)</f>
        <v>Comune</v>
      </c>
      <c r="R190" s="1932" t="str">
        <f t="shared" si="19"/>
        <v/>
      </c>
      <c r="S190" s="2335">
        <f t="shared" si="14"/>
        <v>0</v>
      </c>
    </row>
    <row r="191" spans="1:19">
      <c r="A191" s="1932">
        <f t="shared" si="17"/>
        <v>0</v>
      </c>
      <c r="B191" s="1932">
        <f t="shared" si="18"/>
        <v>0</v>
      </c>
      <c r="C191" s="1013" t="s">
        <v>245</v>
      </c>
      <c r="D191" s="1013">
        <v>0</v>
      </c>
      <c r="E191" s="1013" t="s">
        <v>22698</v>
      </c>
      <c r="F191" s="1013">
        <v>35</v>
      </c>
      <c r="G191" s="1932" t="str">
        <f>+VLOOKUP(F191,TT_Tabelle_Riferimento!$D$127:$G$164,4,FALSE)</f>
        <v>Costruzioni leggere</v>
      </c>
      <c r="H191" s="1013">
        <v>2</v>
      </c>
      <c r="I191" s="1932" t="str">
        <f>+VLOOKUP(H191,TT_Tabelle_Riferimento!$F$3:$G$6,2,FALSE)</f>
        <v>Fognatura bianca e pulizia / manutenzione caditoie stradali</v>
      </c>
      <c r="J191" s="1013">
        <v>2026</v>
      </c>
      <c r="K191" s="2335">
        <f>+SUMIFS('PdI-crono_inv'!AW:AW,'PdI-crono_inv'!CF:CF,F191,'PdI-crono_inv'!CE:CE,H191,'PdI-crono_inv'!J:J,P191,'PdI-crono_inv'!P:P,"&lt;&gt;proprietario")</f>
        <v>0</v>
      </c>
      <c r="M191" s="2335">
        <f>+SUMIFS('PdI-crono_inv'!AX:AX,'PdI-crono_inv'!CF:CF,F191,'PdI-crono_inv'!CE:CE,H191,'PdI-crono_inv'!J:J,P191,'PdI-crono_inv'!P:P,"&lt;&gt;proprietario")+S191</f>
        <v>0</v>
      </c>
      <c r="P191" s="1013" t="s">
        <v>25481</v>
      </c>
      <c r="Q191" s="1932" t="str">
        <f>+VLOOKUP(F191,TT_Tabelle_Riferimento!$D$127:$E$164,2,FALSE)</f>
        <v>Comune</v>
      </c>
      <c r="R191" s="1932" t="str">
        <f t="shared" si="19"/>
        <v/>
      </c>
      <c r="S191" s="2335">
        <f t="shared" si="14"/>
        <v>0</v>
      </c>
    </row>
    <row r="192" spans="1:19">
      <c r="A192" s="1932">
        <f t="shared" si="17"/>
        <v>0</v>
      </c>
      <c r="B192" s="1932">
        <f t="shared" si="18"/>
        <v>0</v>
      </c>
      <c r="C192" s="1013" t="s">
        <v>245</v>
      </c>
      <c r="D192" s="1013">
        <v>0</v>
      </c>
      <c r="E192" s="1013" t="s">
        <v>22698</v>
      </c>
      <c r="F192" s="1013">
        <v>36</v>
      </c>
      <c r="G192" s="1932" t="str">
        <f>+VLOOKUP(F192,TT_Tabelle_Riferimento!$D$127:$G$164,4,FALSE)</f>
        <v>Studi, ricerche, brevetti, diritti di utilizzazione</v>
      </c>
      <c r="H192" s="1013">
        <v>2</v>
      </c>
      <c r="I192" s="1932" t="str">
        <f>+VLOOKUP(H192,TT_Tabelle_Riferimento!$F$3:$G$6,2,FALSE)</f>
        <v>Fognatura bianca e pulizia / manutenzione caditoie stradali</v>
      </c>
      <c r="J192" s="1013">
        <v>2026</v>
      </c>
      <c r="K192" s="2335">
        <f>+SUMIFS('PdI-crono_inv'!AW:AW,'PdI-crono_inv'!CF:CF,F192,'PdI-crono_inv'!CE:CE,H192,'PdI-crono_inv'!J:J,P192,'PdI-crono_inv'!P:P,"&lt;&gt;proprietario")</f>
        <v>0</v>
      </c>
      <c r="M192" s="2335">
        <f>+SUMIFS('PdI-crono_inv'!AX:AX,'PdI-crono_inv'!CF:CF,F192,'PdI-crono_inv'!CE:CE,H192,'PdI-crono_inv'!J:J,P192,'PdI-crono_inv'!P:P,"&lt;&gt;proprietario")+S192</f>
        <v>0</v>
      </c>
      <c r="P192" s="1013" t="s">
        <v>25481</v>
      </c>
      <c r="Q192" s="1932" t="str">
        <f>+VLOOKUP(F192,TT_Tabelle_Riferimento!$D$127:$E$164,2,FALSE)</f>
        <v>Comune</v>
      </c>
      <c r="R192" s="1932" t="str">
        <f t="shared" si="19"/>
        <v/>
      </c>
      <c r="S192" s="2335">
        <f t="shared" si="14"/>
        <v>0</v>
      </c>
    </row>
    <row r="193" spans="1:19">
      <c r="A193" s="1932">
        <v>0</v>
      </c>
      <c r="B193" s="1932">
        <v>0</v>
      </c>
      <c r="C193" s="1013" t="s">
        <v>245</v>
      </c>
      <c r="D193" s="1013">
        <v>0</v>
      </c>
      <c r="E193" s="1013" t="s">
        <v>22698</v>
      </c>
      <c r="F193" s="1013">
        <v>37</v>
      </c>
      <c r="G193" s="1932" t="str">
        <f>+VLOOKUP(F193,TT_Tabelle_Riferimento!$D$127:$G$164,4,FALSE)</f>
        <v>Altre immobilizzazioni materiali e immateriali</v>
      </c>
      <c r="H193" s="1013">
        <v>2</v>
      </c>
      <c r="I193" s="1932" t="str">
        <f>+VLOOKUP(H193,TT_Tabelle_Riferimento!$F$3:$G$6,2,FALSE)</f>
        <v>Fognatura bianca e pulizia / manutenzione caditoie stradali</v>
      </c>
      <c r="J193" s="1013">
        <v>2026</v>
      </c>
      <c r="K193" s="2335">
        <f>+SUMIFS('PdI-crono_inv'!AW:AW,'PdI-crono_inv'!CF:CF,F193,'PdI-crono_inv'!CE:CE,H193,'PdI-crono_inv'!J:J,P193,'PdI-crono_inv'!P:P,"&lt;&gt;proprietario")</f>
        <v>0</v>
      </c>
      <c r="M193" s="2335">
        <f>+SUMIFS('PdI-crono_inv'!AX:AX,'PdI-crono_inv'!CF:CF,F193,'PdI-crono_inv'!CE:CE,H193,'PdI-crono_inv'!J:J,P193,'PdI-crono_inv'!P:P,"&lt;&gt;proprietario")+S193</f>
        <v>0</v>
      </c>
      <c r="P193" s="1013" t="s">
        <v>25481</v>
      </c>
      <c r="Q193" s="1932" t="str">
        <f>+VLOOKUP(F193,TT_Tabelle_Riferimento!$D$127:$E$164,2,FALSE)</f>
        <v>Comune</v>
      </c>
      <c r="R193" s="1932" t="str">
        <f t="shared" si="19"/>
        <v/>
      </c>
      <c r="S193" s="2335">
        <f t="shared" si="14"/>
        <v>0</v>
      </c>
    </row>
    <row r="194" spans="1:19">
      <c r="A194" s="1932">
        <v>0</v>
      </c>
      <c r="B194" s="1932">
        <v>0</v>
      </c>
      <c r="C194" s="1013" t="s">
        <v>245</v>
      </c>
      <c r="D194" s="1013">
        <v>0</v>
      </c>
      <c r="E194" s="1013" t="s">
        <v>22698</v>
      </c>
      <c r="F194" s="1013">
        <v>38</v>
      </c>
      <c r="G194" s="1932" t="str">
        <f>+VLOOKUP(F194,TT_Tabelle_Riferimento!$D$127:$G$164,4,FALSE)</f>
        <v>Grandi dighe (sbarramenti che superano i quindici metri di altezza o che determinano un invaso superiore a 1 milione di metri cubi)</v>
      </c>
      <c r="H194" s="1013">
        <v>2</v>
      </c>
      <c r="I194" s="1932" t="str">
        <f>+VLOOKUP(H194,TT_Tabelle_Riferimento!$F$3:$G$6,2,FALSE)</f>
        <v>Fognatura bianca e pulizia / manutenzione caditoie stradali</v>
      </c>
      <c r="J194" s="1013">
        <v>2026</v>
      </c>
      <c r="K194" s="2335">
        <f>+SUMIFS('PdI-crono_inv'!AW:AW,'PdI-crono_inv'!CF:CF,F194,'PdI-crono_inv'!CE:CE,H194,'PdI-crono_inv'!J:J,P194,'PdI-crono_inv'!P:P,"&lt;&gt;proprietario")</f>
        <v>0</v>
      </c>
      <c r="M194" s="2335">
        <f>+SUMIFS('PdI-crono_inv'!AX:AX,'PdI-crono_inv'!CF:CF,F194,'PdI-crono_inv'!CE:CE,H194,'PdI-crono_inv'!J:J,P194,'PdI-crono_inv'!P:P,"&lt;&gt;proprietario")+S194</f>
        <v>0</v>
      </c>
      <c r="P194" s="1013" t="s">
        <v>25481</v>
      </c>
      <c r="Q194" s="1932" t="str">
        <f>+VLOOKUP(F194,TT_Tabelle_Riferimento!$D$127:$E$164,2,FALSE)</f>
        <v>Acquedotto</v>
      </c>
      <c r="R194" s="1932" t="str">
        <f t="shared" si="19"/>
        <v/>
      </c>
      <c r="S194" s="2335">
        <f t="shared" si="14"/>
        <v>0</v>
      </c>
    </row>
    <row r="195" spans="1:19">
      <c r="A195" s="1932">
        <v>0</v>
      </c>
      <c r="B195" s="1932">
        <v>0</v>
      </c>
      <c r="C195" s="1013" t="s">
        <v>245</v>
      </c>
      <c r="D195" s="1013">
        <v>0</v>
      </c>
      <c r="E195" s="1013" t="s">
        <v>22698</v>
      </c>
      <c r="F195" s="1013">
        <v>39</v>
      </c>
      <c r="G195" s="1932" t="str">
        <f>+VLOOKUP(F195,TT_Tabelle_Riferimento!$D$127:$G$164,4,FALSE)</f>
        <v>Piccole dighe (sbarramenti che non superano i quindici metri di altezza o che determinano un invaso non superiore a 1 milione di metri cubi)</v>
      </c>
      <c r="H195" s="1013">
        <v>2</v>
      </c>
      <c r="I195" s="1932" t="str">
        <f>+VLOOKUP(H195,TT_Tabelle_Riferimento!$F$3:$G$6,2,FALSE)</f>
        <v>Fognatura bianca e pulizia / manutenzione caditoie stradali</v>
      </c>
      <c r="J195" s="1013">
        <v>2026</v>
      </c>
      <c r="K195" s="2335">
        <f>+SUMIFS('PdI-crono_inv'!AW:AW,'PdI-crono_inv'!CF:CF,F195,'PdI-crono_inv'!CE:CE,H195,'PdI-crono_inv'!J:J,P195,'PdI-crono_inv'!P:P,"&lt;&gt;proprietario")</f>
        <v>0</v>
      </c>
      <c r="M195" s="2335">
        <f>+SUMIFS('PdI-crono_inv'!AX:AX,'PdI-crono_inv'!CF:CF,F195,'PdI-crono_inv'!CE:CE,H195,'PdI-crono_inv'!J:J,P195,'PdI-crono_inv'!P:P,"&lt;&gt;proprietario")+S195</f>
        <v>0</v>
      </c>
      <c r="P195" s="1013" t="s">
        <v>25481</v>
      </c>
      <c r="Q195" s="1932" t="str">
        <f>+VLOOKUP(F195,TT_Tabelle_Riferimento!$D$127:$E$164,2,FALSE)</f>
        <v>Acquedotto</v>
      </c>
      <c r="R195" s="1932" t="str">
        <f t="shared" si="19"/>
        <v/>
      </c>
      <c r="S195" s="2335">
        <f t="shared" si="14"/>
        <v>0</v>
      </c>
    </row>
    <row r="196" spans="1:19">
      <c r="A196" s="1932">
        <f t="shared" ref="A196:A259" si="20">+idato</f>
        <v>0</v>
      </c>
      <c r="B196" s="1932">
        <f t="shared" ref="B196:B259" si="21">+idgestore</f>
        <v>0</v>
      </c>
      <c r="C196" s="1013" t="s">
        <v>245</v>
      </c>
      <c r="D196" s="1013">
        <v>0</v>
      </c>
      <c r="E196" s="1013" t="s">
        <v>22698</v>
      </c>
      <c r="F196" s="1013">
        <v>2</v>
      </c>
      <c r="G196" s="1932" t="str">
        <f>+VLOOKUP(F196,TT_Tabelle_Riferimento!$D$127:$G$164,4,FALSE)</f>
        <v>Condotte di acquedotto</v>
      </c>
      <c r="H196" s="1013">
        <v>3</v>
      </c>
      <c r="I196" s="1932" t="str">
        <f>+VLOOKUP(H196,TT_Tabelle_Riferimento!$F$3:$G$6,2,FALSE)</f>
        <v>Altri servizi idrici</v>
      </c>
      <c r="J196" s="1013">
        <v>2026</v>
      </c>
      <c r="K196" s="2335">
        <f>+SUMIFS('PdI-crono_inv'!AW:AW,'PdI-crono_inv'!CF:CF,F196,'PdI-crono_inv'!CE:CE,H196,'PdI-crono_inv'!J:J,P196,'PdI-crono_inv'!P:P,"&lt;&gt;proprietario")</f>
        <v>0</v>
      </c>
      <c r="M196" s="2335">
        <f>+SUMIFS('PdI-crono_inv'!AX:AX,'PdI-crono_inv'!CF:CF,F196,'PdI-crono_inv'!CE:CE,H196,'PdI-crono_inv'!J:J,P196,'PdI-crono_inv'!P:P,"&lt;&gt;proprietario")+S196</f>
        <v>0</v>
      </c>
      <c r="P196" s="1013" t="s">
        <v>25481</v>
      </c>
      <c r="Q196" s="1932" t="str">
        <f>+VLOOKUP(F196,TT_Tabelle_Riferimento!$D$127:$E$164,2,FALSE)</f>
        <v>Acquedotto</v>
      </c>
      <c r="R196" s="1932" t="str">
        <f t="shared" si="19"/>
        <v/>
      </c>
      <c r="S196" s="2335">
        <f t="shared" si="14"/>
        <v>0</v>
      </c>
    </row>
    <row r="197" spans="1:19">
      <c r="A197" s="1932">
        <f t="shared" si="20"/>
        <v>0</v>
      </c>
      <c r="B197" s="1932">
        <f t="shared" si="21"/>
        <v>0</v>
      </c>
      <c r="C197" s="1013" t="s">
        <v>245</v>
      </c>
      <c r="D197" s="1013">
        <v>0</v>
      </c>
      <c r="E197" s="1013" t="s">
        <v>22698</v>
      </c>
      <c r="F197" s="1013">
        <v>3</v>
      </c>
      <c r="G197" s="1932" t="str">
        <f>+VLOOKUP(F197,TT_Tabelle_Riferimento!$D$127:$G$164,4,FALSE)</f>
        <v>Opere idrauliche fisse di acquedotto</v>
      </c>
      <c r="H197" s="1013">
        <v>3</v>
      </c>
      <c r="I197" s="1932" t="str">
        <f>+VLOOKUP(H197,TT_Tabelle_Riferimento!$F$3:$G$6,2,FALSE)</f>
        <v>Altri servizi idrici</v>
      </c>
      <c r="J197" s="1013">
        <v>2026</v>
      </c>
      <c r="K197" s="2335">
        <f>+SUMIFS('PdI-crono_inv'!AW:AW,'PdI-crono_inv'!CF:CF,F197,'PdI-crono_inv'!CE:CE,H197,'PdI-crono_inv'!J:J,P197,'PdI-crono_inv'!P:P,"&lt;&gt;proprietario")</f>
        <v>0</v>
      </c>
      <c r="M197" s="2335">
        <f>+SUMIFS('PdI-crono_inv'!AX:AX,'PdI-crono_inv'!CF:CF,F197,'PdI-crono_inv'!CE:CE,H197,'PdI-crono_inv'!J:J,P197,'PdI-crono_inv'!P:P,"&lt;&gt;proprietario")+S197</f>
        <v>0</v>
      </c>
      <c r="P197" s="1013" t="s">
        <v>25481</v>
      </c>
      <c r="Q197" s="1932" t="str">
        <f>+VLOOKUP(F197,TT_Tabelle_Riferimento!$D$127:$E$164,2,FALSE)</f>
        <v>Acquedotto</v>
      </c>
      <c r="R197" s="1932" t="str">
        <f t="shared" si="19"/>
        <v/>
      </c>
      <c r="S197" s="2335">
        <f t="shared" si="14"/>
        <v>0</v>
      </c>
    </row>
    <row r="198" spans="1:19">
      <c r="A198" s="1932">
        <f t="shared" si="20"/>
        <v>0</v>
      </c>
      <c r="B198" s="1932">
        <f t="shared" si="21"/>
        <v>0</v>
      </c>
      <c r="C198" s="1013" t="s">
        <v>245</v>
      </c>
      <c r="D198" s="1013">
        <v>0</v>
      </c>
      <c r="E198" s="1013" t="s">
        <v>22698</v>
      </c>
      <c r="F198" s="1013">
        <v>4</v>
      </c>
      <c r="G198" s="1932" t="str">
        <f>+VLOOKUP(F198,TT_Tabelle_Riferimento!$D$127:$G$164,4,FALSE)</f>
        <v>Serbatoi</v>
      </c>
      <c r="H198" s="1013">
        <v>3</v>
      </c>
      <c r="I198" s="1932" t="str">
        <f>+VLOOKUP(H198,TT_Tabelle_Riferimento!$F$3:$G$6,2,FALSE)</f>
        <v>Altri servizi idrici</v>
      </c>
      <c r="J198" s="1013">
        <v>2026</v>
      </c>
      <c r="K198" s="2335">
        <f>+SUMIFS('PdI-crono_inv'!AW:AW,'PdI-crono_inv'!CF:CF,F198,'PdI-crono_inv'!CE:CE,H198,'PdI-crono_inv'!J:J,P198,'PdI-crono_inv'!P:P,"&lt;&gt;proprietario")</f>
        <v>0</v>
      </c>
      <c r="M198" s="2335">
        <f>+SUMIFS('PdI-crono_inv'!AX:AX,'PdI-crono_inv'!CF:CF,F198,'PdI-crono_inv'!CE:CE,H198,'PdI-crono_inv'!J:J,P198,'PdI-crono_inv'!P:P,"&lt;&gt;proprietario")+S198</f>
        <v>0</v>
      </c>
      <c r="P198" s="1013" t="s">
        <v>25481</v>
      </c>
      <c r="Q198" s="1932" t="str">
        <f>+VLOOKUP(F198,TT_Tabelle_Riferimento!$D$127:$E$164,2,FALSE)</f>
        <v>Acquedotto</v>
      </c>
      <c r="R198" s="1932" t="str">
        <f t="shared" si="19"/>
        <v/>
      </c>
      <c r="S198" s="2335">
        <f t="shared" si="14"/>
        <v>0</v>
      </c>
    </row>
    <row r="199" spans="1:19">
      <c r="A199" s="1932">
        <f t="shared" si="20"/>
        <v>0</v>
      </c>
      <c r="B199" s="1932">
        <f t="shared" si="21"/>
        <v>0</v>
      </c>
      <c r="C199" s="1013" t="s">
        <v>245</v>
      </c>
      <c r="D199" s="1013">
        <v>0</v>
      </c>
      <c r="E199" s="1013" t="s">
        <v>22698</v>
      </c>
      <c r="F199" s="1013">
        <v>5</v>
      </c>
      <c r="G199" s="1932" t="str">
        <f>+VLOOKUP(F199,TT_Tabelle_Riferimento!$D$127:$G$164,4,FALSE)</f>
        <v>Impianti di sollevamento e pompaggio di acquedotto</v>
      </c>
      <c r="H199" s="1013">
        <v>3</v>
      </c>
      <c r="I199" s="1932" t="str">
        <f>+VLOOKUP(H199,TT_Tabelle_Riferimento!$F$3:$G$6,2,FALSE)</f>
        <v>Altri servizi idrici</v>
      </c>
      <c r="J199" s="1013">
        <v>2026</v>
      </c>
      <c r="K199" s="2335">
        <f>+SUMIFS('PdI-crono_inv'!AW:AW,'PdI-crono_inv'!CF:CF,F199,'PdI-crono_inv'!CE:CE,H199,'PdI-crono_inv'!J:J,P199,'PdI-crono_inv'!P:P,"&lt;&gt;proprietario")</f>
        <v>0</v>
      </c>
      <c r="M199" s="2335">
        <f>+SUMIFS('PdI-crono_inv'!AX:AX,'PdI-crono_inv'!CF:CF,F199,'PdI-crono_inv'!CE:CE,H199,'PdI-crono_inv'!J:J,P199,'PdI-crono_inv'!P:P,"&lt;&gt;proprietario")+S199</f>
        <v>0</v>
      </c>
      <c r="P199" s="1013" t="s">
        <v>25481</v>
      </c>
      <c r="Q199" s="1932" t="str">
        <f>+VLOOKUP(F199,TT_Tabelle_Riferimento!$D$127:$E$164,2,FALSE)</f>
        <v>Acquedotto</v>
      </c>
      <c r="R199" s="1932" t="str">
        <f t="shared" si="19"/>
        <v/>
      </c>
      <c r="S199" s="2335">
        <f t="shared" ref="S199:S262" si="22">+IFERROR(HLOOKUP(J199,$X$2:$Y$5,4,FALSE)*K199,0)</f>
        <v>0</v>
      </c>
    </row>
    <row r="200" spans="1:19">
      <c r="A200" s="1932">
        <f t="shared" si="20"/>
        <v>0</v>
      </c>
      <c r="B200" s="1932">
        <f t="shared" si="21"/>
        <v>0</v>
      </c>
      <c r="C200" s="1013" t="s">
        <v>245</v>
      </c>
      <c r="D200" s="1013">
        <v>0</v>
      </c>
      <c r="E200" s="1013" t="s">
        <v>22698</v>
      </c>
      <c r="F200" s="1013">
        <v>6</v>
      </c>
      <c r="G200" s="1932" t="str">
        <f>+VLOOKUP(F200,TT_Tabelle_Riferimento!$D$127:$G$164,4,FALSE)</f>
        <v>Impianti di potabilizzazione</v>
      </c>
      <c r="H200" s="1013">
        <v>3</v>
      </c>
      <c r="I200" s="1932" t="str">
        <f>+VLOOKUP(H200,TT_Tabelle_Riferimento!$F$3:$G$6,2,FALSE)</f>
        <v>Altri servizi idrici</v>
      </c>
      <c r="J200" s="1013">
        <v>2026</v>
      </c>
      <c r="K200" s="2335">
        <f>+SUMIFS('PdI-crono_inv'!AW:AW,'PdI-crono_inv'!CF:CF,F200,'PdI-crono_inv'!CE:CE,H200,'PdI-crono_inv'!J:J,P200,'PdI-crono_inv'!P:P,"&lt;&gt;proprietario")</f>
        <v>0</v>
      </c>
      <c r="M200" s="2335">
        <f>+SUMIFS('PdI-crono_inv'!AX:AX,'PdI-crono_inv'!CF:CF,F200,'PdI-crono_inv'!CE:CE,H200,'PdI-crono_inv'!J:J,P200,'PdI-crono_inv'!P:P,"&lt;&gt;proprietario")+S200</f>
        <v>0</v>
      </c>
      <c r="P200" s="1013" t="s">
        <v>25481</v>
      </c>
      <c r="Q200" s="1932" t="str">
        <f>+VLOOKUP(F200,TT_Tabelle_Riferimento!$D$127:$E$164,2,FALSE)</f>
        <v>Acquedotto</v>
      </c>
      <c r="R200" s="1932" t="str">
        <f t="shared" si="19"/>
        <v/>
      </c>
      <c r="S200" s="2335">
        <f t="shared" si="22"/>
        <v>0</v>
      </c>
    </row>
    <row r="201" spans="1:19">
      <c r="A201" s="1932">
        <f t="shared" si="20"/>
        <v>0</v>
      </c>
      <c r="B201" s="1932">
        <f t="shared" si="21"/>
        <v>0</v>
      </c>
      <c r="C201" s="1013" t="s">
        <v>245</v>
      </c>
      <c r="D201" s="1013">
        <v>0</v>
      </c>
      <c r="E201" s="1013" t="s">
        <v>22698</v>
      </c>
      <c r="F201" s="1013">
        <v>7</v>
      </c>
      <c r="G201" s="1932" t="str">
        <f>+VLOOKUP(F201,TT_Tabelle_Riferimento!$D$127:$G$164,4,FALSE)</f>
        <v>Altri trattamenti di potabilizzazione (tra cui dispositivi di disinfezione, stacciatura, filtrazione, addolcimento)</v>
      </c>
      <c r="H201" s="1013">
        <v>3</v>
      </c>
      <c r="I201" s="1932" t="str">
        <f>+VLOOKUP(H201,TT_Tabelle_Riferimento!$F$3:$G$6,2,FALSE)</f>
        <v>Altri servizi idrici</v>
      </c>
      <c r="J201" s="1013">
        <v>2026</v>
      </c>
      <c r="K201" s="2335">
        <f>+SUMIFS('PdI-crono_inv'!AW:AW,'PdI-crono_inv'!CF:CF,F201,'PdI-crono_inv'!CE:CE,H201,'PdI-crono_inv'!J:J,P201,'PdI-crono_inv'!P:P,"&lt;&gt;proprietario")</f>
        <v>0</v>
      </c>
      <c r="M201" s="2335">
        <f>+SUMIFS('PdI-crono_inv'!AX:AX,'PdI-crono_inv'!CF:CF,F201,'PdI-crono_inv'!CE:CE,H201,'PdI-crono_inv'!J:J,P201,'PdI-crono_inv'!P:P,"&lt;&gt;proprietario")+S201</f>
        <v>0</v>
      </c>
      <c r="P201" s="1013" t="s">
        <v>25481</v>
      </c>
      <c r="Q201" s="1932" t="str">
        <f>+VLOOKUP(F201,TT_Tabelle_Riferimento!$D$127:$E$164,2,FALSE)</f>
        <v>Acquedotto</v>
      </c>
      <c r="R201" s="1932" t="str">
        <f t="shared" si="19"/>
        <v/>
      </c>
      <c r="S201" s="2335">
        <f t="shared" si="22"/>
        <v>0</v>
      </c>
    </row>
    <row r="202" spans="1:19">
      <c r="A202" s="1932">
        <f t="shared" si="20"/>
        <v>0</v>
      </c>
      <c r="B202" s="1932">
        <f t="shared" si="21"/>
        <v>0</v>
      </c>
      <c r="C202" s="1013" t="s">
        <v>245</v>
      </c>
      <c r="D202" s="1013">
        <v>0</v>
      </c>
      <c r="E202" s="1013" t="s">
        <v>22698</v>
      </c>
      <c r="F202" s="1013">
        <v>8</v>
      </c>
      <c r="G202" s="1932" t="str">
        <f>+VLOOKUP(F202,TT_Tabelle_Riferimento!$D$127:$G$164,4,FALSE)</f>
        <v>Gruppi di misura - altre attrezzature di acquedotto</v>
      </c>
      <c r="H202" s="1013">
        <v>3</v>
      </c>
      <c r="I202" s="1932" t="str">
        <f>+VLOOKUP(H202,TT_Tabelle_Riferimento!$F$3:$G$6,2,FALSE)</f>
        <v>Altri servizi idrici</v>
      </c>
      <c r="J202" s="1013">
        <v>2026</v>
      </c>
      <c r="K202" s="2335">
        <f>+SUMIFS('PdI-crono_inv'!AW:AW,'PdI-crono_inv'!CF:CF,F202,'PdI-crono_inv'!CE:CE,H202,'PdI-crono_inv'!J:J,P202,'PdI-crono_inv'!P:P,"&lt;&gt;proprietario")</f>
        <v>0</v>
      </c>
      <c r="M202" s="2335">
        <f>+SUMIFS('PdI-crono_inv'!AX:AX,'PdI-crono_inv'!CF:CF,F202,'PdI-crono_inv'!CE:CE,H202,'PdI-crono_inv'!J:J,P202,'PdI-crono_inv'!P:P,"&lt;&gt;proprietario")+S202</f>
        <v>0</v>
      </c>
      <c r="P202" s="1013" t="s">
        <v>25481</v>
      </c>
      <c r="Q202" s="1932" t="str">
        <f>+VLOOKUP(F202,TT_Tabelle_Riferimento!$D$127:$E$164,2,FALSE)</f>
        <v>Acquedotto</v>
      </c>
      <c r="R202" s="1932" t="str">
        <f t="shared" si="19"/>
        <v/>
      </c>
      <c r="S202" s="2335">
        <f t="shared" si="22"/>
        <v>0</v>
      </c>
    </row>
    <row r="203" spans="1:19">
      <c r="A203" s="1932">
        <f t="shared" si="20"/>
        <v>0</v>
      </c>
      <c r="B203" s="1932">
        <f t="shared" si="21"/>
        <v>0</v>
      </c>
      <c r="C203" s="1013" t="s">
        <v>245</v>
      </c>
      <c r="D203" s="1013">
        <v>0</v>
      </c>
      <c r="E203" s="1013" t="s">
        <v>22698</v>
      </c>
      <c r="F203" s="1013">
        <v>9</v>
      </c>
      <c r="G203" s="1932" t="str">
        <f>+VLOOKUP(F203,TT_Tabelle_Riferimento!$D$127:$G$164,4,FALSE)</f>
        <v>Sistemi informativi di acquedotto</v>
      </c>
      <c r="H203" s="1013">
        <v>3</v>
      </c>
      <c r="I203" s="1932" t="str">
        <f>+VLOOKUP(H203,TT_Tabelle_Riferimento!$F$3:$G$6,2,FALSE)</f>
        <v>Altri servizi idrici</v>
      </c>
      <c r="J203" s="1013">
        <v>2026</v>
      </c>
      <c r="K203" s="2335">
        <f>+SUMIFS('PdI-crono_inv'!AW:AW,'PdI-crono_inv'!CF:CF,F203,'PdI-crono_inv'!CE:CE,H203,'PdI-crono_inv'!J:J,P203,'PdI-crono_inv'!P:P,"&lt;&gt;proprietario")</f>
        <v>0</v>
      </c>
      <c r="M203" s="2335">
        <f>+SUMIFS('PdI-crono_inv'!AX:AX,'PdI-crono_inv'!CF:CF,F203,'PdI-crono_inv'!CE:CE,H203,'PdI-crono_inv'!J:J,P203,'PdI-crono_inv'!P:P,"&lt;&gt;proprietario")+S203</f>
        <v>0</v>
      </c>
      <c r="P203" s="1013" t="s">
        <v>25481</v>
      </c>
      <c r="Q203" s="1932" t="str">
        <f>+VLOOKUP(F203,TT_Tabelle_Riferimento!$D$127:$E$164,2,FALSE)</f>
        <v>Acquedotto</v>
      </c>
      <c r="R203" s="1932" t="str">
        <f t="shared" si="19"/>
        <v/>
      </c>
      <c r="S203" s="2335">
        <f t="shared" si="22"/>
        <v>0</v>
      </c>
    </row>
    <row r="204" spans="1:19">
      <c r="A204" s="1932">
        <f t="shared" si="20"/>
        <v>0</v>
      </c>
      <c r="B204" s="1932">
        <f t="shared" si="21"/>
        <v>0</v>
      </c>
      <c r="C204" s="1013" t="s">
        <v>245</v>
      </c>
      <c r="D204" s="1013">
        <v>0</v>
      </c>
      <c r="E204" s="1013" t="s">
        <v>22698</v>
      </c>
      <c r="F204" s="1013">
        <v>10</v>
      </c>
      <c r="G204" s="1932" t="str">
        <f>+VLOOKUP(F204,TT_Tabelle_Riferimento!$D$127:$G$164,4,FALSE)</f>
        <v>Telecontrollo e teletrasmissione di acquedotto</v>
      </c>
      <c r="H204" s="1013">
        <v>3</v>
      </c>
      <c r="I204" s="1932" t="str">
        <f>+VLOOKUP(H204,TT_Tabelle_Riferimento!$F$3:$G$6,2,FALSE)</f>
        <v>Altri servizi idrici</v>
      </c>
      <c r="J204" s="1013">
        <v>2026</v>
      </c>
      <c r="K204" s="2335">
        <f>+SUMIFS('PdI-crono_inv'!AW:AW,'PdI-crono_inv'!CF:CF,F204,'PdI-crono_inv'!CE:CE,H204,'PdI-crono_inv'!J:J,P204,'PdI-crono_inv'!P:P,"&lt;&gt;proprietario")</f>
        <v>0</v>
      </c>
      <c r="M204" s="2335">
        <f>+SUMIFS('PdI-crono_inv'!AX:AX,'PdI-crono_inv'!CF:CF,F204,'PdI-crono_inv'!CE:CE,H204,'PdI-crono_inv'!J:J,P204,'PdI-crono_inv'!P:P,"&lt;&gt;proprietario")+S204</f>
        <v>0</v>
      </c>
      <c r="P204" s="1013" t="s">
        <v>25481</v>
      </c>
      <c r="Q204" s="1932" t="str">
        <f>+VLOOKUP(F204,TT_Tabelle_Riferimento!$D$127:$E$164,2,FALSE)</f>
        <v>Acquedotto</v>
      </c>
      <c r="R204" s="1932" t="str">
        <f t="shared" si="19"/>
        <v/>
      </c>
      <c r="S204" s="2335">
        <f t="shared" si="22"/>
        <v>0</v>
      </c>
    </row>
    <row r="205" spans="1:19">
      <c r="A205" s="1932">
        <f t="shared" si="20"/>
        <v>0</v>
      </c>
      <c r="B205" s="1932">
        <f t="shared" si="21"/>
        <v>0</v>
      </c>
      <c r="C205" s="1013" t="s">
        <v>245</v>
      </c>
      <c r="D205" s="1013">
        <v>0</v>
      </c>
      <c r="E205" s="1013" t="s">
        <v>22698</v>
      </c>
      <c r="F205" s="1013">
        <v>11</v>
      </c>
      <c r="G205" s="1932" t="str">
        <f>+VLOOKUP(F205,TT_Tabelle_Riferimento!$D$127:$G$164,4,FALSE)</f>
        <v>Condotte fognarie</v>
      </c>
      <c r="H205" s="1013">
        <v>3</v>
      </c>
      <c r="I205" s="1932" t="str">
        <f>+VLOOKUP(H205,TT_Tabelle_Riferimento!$F$3:$G$6,2,FALSE)</f>
        <v>Altri servizi idrici</v>
      </c>
      <c r="J205" s="1013">
        <v>2026</v>
      </c>
      <c r="K205" s="2335">
        <f>+SUMIFS('PdI-crono_inv'!AW:AW,'PdI-crono_inv'!CF:CF,F205,'PdI-crono_inv'!CE:CE,H205,'PdI-crono_inv'!J:J,P205,'PdI-crono_inv'!P:P,"&lt;&gt;proprietario")</f>
        <v>0</v>
      </c>
      <c r="M205" s="2335">
        <f>+SUMIFS('PdI-crono_inv'!AX:AX,'PdI-crono_inv'!CF:CF,F205,'PdI-crono_inv'!CE:CE,H205,'PdI-crono_inv'!J:J,P205,'PdI-crono_inv'!P:P,"&lt;&gt;proprietario")+S205</f>
        <v>0</v>
      </c>
      <c r="P205" s="1013" t="s">
        <v>25481</v>
      </c>
      <c r="Q205" s="1932" t="str">
        <f>+VLOOKUP(F205,TT_Tabelle_Riferimento!$D$127:$E$164,2,FALSE)</f>
        <v>Fognatura</v>
      </c>
      <c r="R205" s="1932" t="str">
        <f t="shared" si="19"/>
        <v/>
      </c>
      <c r="S205" s="2335">
        <f t="shared" si="22"/>
        <v>0</v>
      </c>
    </row>
    <row r="206" spans="1:19">
      <c r="A206" s="1932">
        <f t="shared" si="20"/>
        <v>0</v>
      </c>
      <c r="B206" s="1932">
        <f t="shared" si="21"/>
        <v>0</v>
      </c>
      <c r="C206" s="1013" t="s">
        <v>245</v>
      </c>
      <c r="D206" s="1013">
        <v>0</v>
      </c>
      <c r="E206" s="1013" t="s">
        <v>22698</v>
      </c>
      <c r="F206" s="1013">
        <v>12</v>
      </c>
      <c r="G206" s="1932" t="str">
        <f>+VLOOKUP(F206,TT_Tabelle_Riferimento!$D$127:$G$164,4,FALSE)</f>
        <v>Sifoni e scaricatori di piena e altre opere idrauliche fisse di fognatura</v>
      </c>
      <c r="H206" s="1013">
        <v>3</v>
      </c>
      <c r="I206" s="1932" t="str">
        <f>+VLOOKUP(H206,TT_Tabelle_Riferimento!$F$3:$G$6,2,FALSE)</f>
        <v>Altri servizi idrici</v>
      </c>
      <c r="J206" s="1013">
        <v>2026</v>
      </c>
      <c r="K206" s="2335">
        <f>+SUMIFS('PdI-crono_inv'!AW:AW,'PdI-crono_inv'!CF:CF,F206,'PdI-crono_inv'!CE:CE,H206,'PdI-crono_inv'!J:J,P206,'PdI-crono_inv'!P:P,"&lt;&gt;proprietario")</f>
        <v>0</v>
      </c>
      <c r="M206" s="2335">
        <f>+SUMIFS('PdI-crono_inv'!AX:AX,'PdI-crono_inv'!CF:CF,F206,'PdI-crono_inv'!CE:CE,H206,'PdI-crono_inv'!J:J,P206,'PdI-crono_inv'!P:P,"&lt;&gt;proprietario")+S206</f>
        <v>0</v>
      </c>
      <c r="P206" s="1013" t="s">
        <v>25481</v>
      </c>
      <c r="Q206" s="1932" t="str">
        <f>+VLOOKUP(F206,TT_Tabelle_Riferimento!$D$127:$E$164,2,FALSE)</f>
        <v>Fognatura</v>
      </c>
      <c r="R206" s="1932" t="str">
        <f t="shared" si="19"/>
        <v/>
      </c>
      <c r="S206" s="2335">
        <f t="shared" si="22"/>
        <v>0</v>
      </c>
    </row>
    <row r="207" spans="1:19">
      <c r="A207" s="1932">
        <f t="shared" si="20"/>
        <v>0</v>
      </c>
      <c r="B207" s="1932">
        <f t="shared" si="21"/>
        <v>0</v>
      </c>
      <c r="C207" s="1013" t="s">
        <v>245</v>
      </c>
      <c r="D207" s="1013">
        <v>0</v>
      </c>
      <c r="E207" s="1013" t="s">
        <v>22698</v>
      </c>
      <c r="F207" s="1013">
        <v>13</v>
      </c>
      <c r="G207" s="1932" t="str">
        <f>+VLOOKUP(F207,TT_Tabelle_Riferimento!$D$127:$G$164,4,FALSE)</f>
        <v>Vasche di laminazione e vasche di prima pioggia</v>
      </c>
      <c r="H207" s="1013">
        <v>3</v>
      </c>
      <c r="I207" s="1932" t="str">
        <f>+VLOOKUP(H207,TT_Tabelle_Riferimento!$F$3:$G$6,2,FALSE)</f>
        <v>Altri servizi idrici</v>
      </c>
      <c r="J207" s="1013">
        <v>2026</v>
      </c>
      <c r="K207" s="2335">
        <f>+SUMIFS('PdI-crono_inv'!AW:AW,'PdI-crono_inv'!CF:CF,F207,'PdI-crono_inv'!CE:CE,H207,'PdI-crono_inv'!J:J,P207,'PdI-crono_inv'!P:P,"&lt;&gt;proprietario")</f>
        <v>0</v>
      </c>
      <c r="M207" s="2335">
        <f>+SUMIFS('PdI-crono_inv'!AX:AX,'PdI-crono_inv'!CF:CF,F207,'PdI-crono_inv'!CE:CE,H207,'PdI-crono_inv'!J:J,P207,'PdI-crono_inv'!P:P,"&lt;&gt;proprietario")+S207</f>
        <v>0</v>
      </c>
      <c r="P207" s="1013" t="s">
        <v>25481</v>
      </c>
      <c r="Q207" s="1932" t="str">
        <f>+VLOOKUP(F207,TT_Tabelle_Riferimento!$D$127:$E$164,2,FALSE)</f>
        <v>Fognatura</v>
      </c>
      <c r="R207" s="1932" t="str">
        <f t="shared" si="19"/>
        <v/>
      </c>
      <c r="S207" s="2335">
        <f t="shared" si="22"/>
        <v>0</v>
      </c>
    </row>
    <row r="208" spans="1:19">
      <c r="A208" s="1932">
        <f t="shared" si="20"/>
        <v>0</v>
      </c>
      <c r="B208" s="1932">
        <f t="shared" si="21"/>
        <v>0</v>
      </c>
      <c r="C208" s="1013" t="s">
        <v>245</v>
      </c>
      <c r="D208" s="1013">
        <v>0</v>
      </c>
      <c r="E208" s="1013" t="s">
        <v>22698</v>
      </c>
      <c r="F208" s="1013">
        <v>14</v>
      </c>
      <c r="G208" s="1932" t="str">
        <f>+VLOOKUP(F208,TT_Tabelle_Riferimento!$D$127:$G$164,4,FALSE)</f>
        <v>Impianti di sollevamento e pompaggio di fognatura</v>
      </c>
      <c r="H208" s="1013">
        <v>3</v>
      </c>
      <c r="I208" s="1932" t="str">
        <f>+VLOOKUP(H208,TT_Tabelle_Riferimento!$F$3:$G$6,2,FALSE)</f>
        <v>Altri servizi idrici</v>
      </c>
      <c r="J208" s="1013">
        <v>2026</v>
      </c>
      <c r="K208" s="2335">
        <f>+SUMIFS('PdI-crono_inv'!AW:AW,'PdI-crono_inv'!CF:CF,F208,'PdI-crono_inv'!CE:CE,H208,'PdI-crono_inv'!J:J,P208,'PdI-crono_inv'!P:P,"&lt;&gt;proprietario")</f>
        <v>0</v>
      </c>
      <c r="M208" s="2335">
        <f>+SUMIFS('PdI-crono_inv'!AX:AX,'PdI-crono_inv'!CF:CF,F208,'PdI-crono_inv'!CE:CE,H208,'PdI-crono_inv'!J:J,P208,'PdI-crono_inv'!P:P,"&lt;&gt;proprietario")+S208</f>
        <v>0</v>
      </c>
      <c r="P208" s="1013" t="s">
        <v>25481</v>
      </c>
      <c r="Q208" s="1932" t="str">
        <f>+VLOOKUP(F208,TT_Tabelle_Riferimento!$D$127:$E$164,2,FALSE)</f>
        <v>Fognatura</v>
      </c>
      <c r="R208" s="1932" t="str">
        <f t="shared" si="19"/>
        <v/>
      </c>
      <c r="S208" s="2335">
        <f t="shared" si="22"/>
        <v>0</v>
      </c>
    </row>
    <row r="209" spans="1:19">
      <c r="A209" s="1932">
        <f t="shared" si="20"/>
        <v>0</v>
      </c>
      <c r="B209" s="1932">
        <f t="shared" si="21"/>
        <v>0</v>
      </c>
      <c r="C209" s="1013" t="s">
        <v>245</v>
      </c>
      <c r="D209" s="1013">
        <v>0</v>
      </c>
      <c r="E209" s="1013" t="s">
        <v>22698</v>
      </c>
      <c r="F209" s="1013">
        <v>15</v>
      </c>
      <c r="G209" s="1932" t="str">
        <f>+VLOOKUP(F209,TT_Tabelle_Riferimento!$D$127:$G$164,4,FALSE)</f>
        <v>Gruppi di misura - altre attrezzature di fognatura</v>
      </c>
      <c r="H209" s="1013">
        <v>3</v>
      </c>
      <c r="I209" s="1932" t="str">
        <f>+VLOOKUP(H209,TT_Tabelle_Riferimento!$F$3:$G$6,2,FALSE)</f>
        <v>Altri servizi idrici</v>
      </c>
      <c r="J209" s="1013">
        <v>2026</v>
      </c>
      <c r="K209" s="2335">
        <f>+SUMIFS('PdI-crono_inv'!AW:AW,'PdI-crono_inv'!CF:CF,F209,'PdI-crono_inv'!CE:CE,H209,'PdI-crono_inv'!J:J,P209,'PdI-crono_inv'!P:P,"&lt;&gt;proprietario")</f>
        <v>0</v>
      </c>
      <c r="M209" s="2335">
        <f>+SUMIFS('PdI-crono_inv'!AX:AX,'PdI-crono_inv'!CF:CF,F209,'PdI-crono_inv'!CE:CE,H209,'PdI-crono_inv'!J:J,P209,'PdI-crono_inv'!P:P,"&lt;&gt;proprietario")+S209</f>
        <v>0</v>
      </c>
      <c r="P209" s="1013" t="s">
        <v>25481</v>
      </c>
      <c r="Q209" s="1932" t="str">
        <f>+VLOOKUP(F209,TT_Tabelle_Riferimento!$D$127:$E$164,2,FALSE)</f>
        <v>Fognatura</v>
      </c>
      <c r="R209" s="1932" t="str">
        <f t="shared" si="19"/>
        <v/>
      </c>
      <c r="S209" s="2335">
        <f t="shared" si="22"/>
        <v>0</v>
      </c>
    </row>
    <row r="210" spans="1:19">
      <c r="A210" s="1932">
        <f t="shared" si="20"/>
        <v>0</v>
      </c>
      <c r="B210" s="1932">
        <f t="shared" si="21"/>
        <v>0</v>
      </c>
      <c r="C210" s="1013" t="s">
        <v>245</v>
      </c>
      <c r="D210" s="1013">
        <v>0</v>
      </c>
      <c r="E210" s="1013" t="s">
        <v>22698</v>
      </c>
      <c r="F210" s="1013">
        <v>16</v>
      </c>
      <c r="G210" s="1932" t="str">
        <f>+VLOOKUP(F210,TT_Tabelle_Riferimento!$D$127:$G$164,4,FALSE)</f>
        <v>Sistemi informativi di fognatura</v>
      </c>
      <c r="H210" s="1013">
        <v>3</v>
      </c>
      <c r="I210" s="1932" t="str">
        <f>+VLOOKUP(H210,TT_Tabelle_Riferimento!$F$3:$G$6,2,FALSE)</f>
        <v>Altri servizi idrici</v>
      </c>
      <c r="J210" s="1013">
        <v>2026</v>
      </c>
      <c r="K210" s="2335">
        <f>+SUMIFS('PdI-crono_inv'!AW:AW,'PdI-crono_inv'!CF:CF,F210,'PdI-crono_inv'!CE:CE,H210,'PdI-crono_inv'!J:J,P210,'PdI-crono_inv'!P:P,"&lt;&gt;proprietario")</f>
        <v>0</v>
      </c>
      <c r="M210" s="2335">
        <f>+SUMIFS('PdI-crono_inv'!AX:AX,'PdI-crono_inv'!CF:CF,F210,'PdI-crono_inv'!CE:CE,H210,'PdI-crono_inv'!J:J,P210,'PdI-crono_inv'!P:P,"&lt;&gt;proprietario")+S210</f>
        <v>0</v>
      </c>
      <c r="P210" s="1013" t="s">
        <v>25481</v>
      </c>
      <c r="Q210" s="1932" t="str">
        <f>+VLOOKUP(F210,TT_Tabelle_Riferimento!$D$127:$E$164,2,FALSE)</f>
        <v>Fognatura</v>
      </c>
      <c r="R210" s="1932" t="str">
        <f t="shared" si="19"/>
        <v/>
      </c>
      <c r="S210" s="2335">
        <f t="shared" si="22"/>
        <v>0</v>
      </c>
    </row>
    <row r="211" spans="1:19">
      <c r="A211" s="1932">
        <f t="shared" si="20"/>
        <v>0</v>
      </c>
      <c r="B211" s="1932">
        <f t="shared" si="21"/>
        <v>0</v>
      </c>
      <c r="C211" s="1013" t="s">
        <v>245</v>
      </c>
      <c r="D211" s="1013">
        <v>0</v>
      </c>
      <c r="E211" s="1013" t="s">
        <v>22698</v>
      </c>
      <c r="F211" s="1013">
        <v>18</v>
      </c>
      <c r="G211" s="1932" t="str">
        <f>+VLOOKUP(F211,TT_Tabelle_Riferimento!$D$127:$G$164,4,FALSE)</f>
        <v>Telecontrollo e teletrasmissione di fognatura</v>
      </c>
      <c r="H211" s="1013">
        <v>3</v>
      </c>
      <c r="I211" s="1932" t="str">
        <f>+VLOOKUP(H211,TT_Tabelle_Riferimento!$F$3:$G$6,2,FALSE)</f>
        <v>Altri servizi idrici</v>
      </c>
      <c r="J211" s="1013">
        <v>2026</v>
      </c>
      <c r="K211" s="2335">
        <f>+SUMIFS('PdI-crono_inv'!AW:AW,'PdI-crono_inv'!CF:CF,F211,'PdI-crono_inv'!CE:CE,H211,'PdI-crono_inv'!J:J,P211,'PdI-crono_inv'!P:P,"&lt;&gt;proprietario")</f>
        <v>0</v>
      </c>
      <c r="M211" s="2335">
        <f>+SUMIFS('PdI-crono_inv'!AX:AX,'PdI-crono_inv'!CF:CF,F211,'PdI-crono_inv'!CE:CE,H211,'PdI-crono_inv'!J:J,P211,'PdI-crono_inv'!P:P,"&lt;&gt;proprietario")+S211</f>
        <v>0</v>
      </c>
      <c r="P211" s="1013" t="s">
        <v>25481</v>
      </c>
      <c r="Q211" s="1932" t="str">
        <f>+VLOOKUP(F211,TT_Tabelle_Riferimento!$D$127:$E$164,2,FALSE)</f>
        <v>Fognatura</v>
      </c>
      <c r="R211" s="1932" t="str">
        <f t="shared" si="19"/>
        <v/>
      </c>
      <c r="S211" s="2335">
        <f t="shared" si="22"/>
        <v>0</v>
      </c>
    </row>
    <row r="212" spans="1:19">
      <c r="A212" s="1932">
        <f t="shared" si="20"/>
        <v>0</v>
      </c>
      <c r="B212" s="1932">
        <f t="shared" si="21"/>
        <v>0</v>
      </c>
      <c r="C212" s="1013" t="s">
        <v>245</v>
      </c>
      <c r="D212" s="1013">
        <v>0</v>
      </c>
      <c r="E212" s="1013" t="s">
        <v>22698</v>
      </c>
      <c r="F212" s="1013">
        <v>19</v>
      </c>
      <c r="G212" s="1932" t="str">
        <f>+VLOOKUP(F212,TT_Tabelle_Riferimento!$D$127:$G$164,4,FALSE)</f>
        <v>Impianti di sollevamento e pompaggio di depurazione</v>
      </c>
      <c r="H212" s="1013">
        <v>3</v>
      </c>
      <c r="I212" s="1932" t="str">
        <f>+VLOOKUP(H212,TT_Tabelle_Riferimento!$F$3:$G$6,2,FALSE)</f>
        <v>Altri servizi idrici</v>
      </c>
      <c r="J212" s="1013">
        <v>2026</v>
      </c>
      <c r="K212" s="2335">
        <f>+SUMIFS('PdI-crono_inv'!AW:AW,'PdI-crono_inv'!CF:CF,F212,'PdI-crono_inv'!CE:CE,H212,'PdI-crono_inv'!J:J,P212,'PdI-crono_inv'!P:P,"&lt;&gt;proprietario")</f>
        <v>0</v>
      </c>
      <c r="M212" s="2335">
        <f>+SUMIFS('PdI-crono_inv'!AX:AX,'PdI-crono_inv'!CF:CF,F212,'PdI-crono_inv'!CE:CE,H212,'PdI-crono_inv'!J:J,P212,'PdI-crono_inv'!P:P,"&lt;&gt;proprietario")+S212</f>
        <v>0</v>
      </c>
      <c r="P212" s="1013" t="s">
        <v>25481</v>
      </c>
      <c r="Q212" s="1932" t="str">
        <f>+VLOOKUP(F212,TT_Tabelle_Riferimento!$D$127:$E$164,2,FALSE)</f>
        <v>Depurazione</v>
      </c>
      <c r="R212" s="1932" t="str">
        <f t="shared" si="19"/>
        <v/>
      </c>
      <c r="S212" s="2335">
        <f t="shared" si="22"/>
        <v>0</v>
      </c>
    </row>
    <row r="213" spans="1:19">
      <c r="A213" s="1932">
        <f t="shared" si="20"/>
        <v>0</v>
      </c>
      <c r="B213" s="1932">
        <f t="shared" si="21"/>
        <v>0</v>
      </c>
      <c r="C213" s="1013" t="s">
        <v>245</v>
      </c>
      <c r="D213" s="1013">
        <v>0</v>
      </c>
      <c r="E213" s="1013" t="s">
        <v>22698</v>
      </c>
      <c r="F213" s="1013">
        <v>20</v>
      </c>
      <c r="G213" s="1932" t="str">
        <f>+VLOOKUP(F213,TT_Tabelle_Riferimento!$D$127:$G$164,4,FALSE)</f>
        <v>Tecniche naturali di depurazione (tra cui fitodepurazione e lagunaggio)</v>
      </c>
      <c r="H213" s="1013">
        <v>3</v>
      </c>
      <c r="I213" s="1932" t="str">
        <f>+VLOOKUP(H213,TT_Tabelle_Riferimento!$F$3:$G$6,2,FALSE)</f>
        <v>Altri servizi idrici</v>
      </c>
      <c r="J213" s="1013">
        <v>2026</v>
      </c>
      <c r="K213" s="2335">
        <f>+SUMIFS('PdI-crono_inv'!AW:AW,'PdI-crono_inv'!CF:CF,F213,'PdI-crono_inv'!CE:CE,H213,'PdI-crono_inv'!J:J,P213,'PdI-crono_inv'!P:P,"&lt;&gt;proprietario")</f>
        <v>0</v>
      </c>
      <c r="M213" s="2335">
        <f>+SUMIFS('PdI-crono_inv'!AX:AX,'PdI-crono_inv'!CF:CF,F213,'PdI-crono_inv'!CE:CE,H213,'PdI-crono_inv'!J:J,P213,'PdI-crono_inv'!P:P,"&lt;&gt;proprietario")+S213</f>
        <v>0</v>
      </c>
      <c r="P213" s="1013" t="s">
        <v>25481</v>
      </c>
      <c r="Q213" s="1932" t="str">
        <f>+VLOOKUP(F213,TT_Tabelle_Riferimento!$D$127:$E$164,2,FALSE)</f>
        <v>Depurazione</v>
      </c>
      <c r="R213" s="1932" t="str">
        <f t="shared" si="19"/>
        <v/>
      </c>
      <c r="S213" s="2335">
        <f t="shared" si="22"/>
        <v>0</v>
      </c>
    </row>
    <row r="214" spans="1:19">
      <c r="A214" s="1932">
        <f t="shared" si="20"/>
        <v>0</v>
      </c>
      <c r="B214" s="1932">
        <f t="shared" si="21"/>
        <v>0</v>
      </c>
      <c r="C214" s="1013" t="s">
        <v>245</v>
      </c>
      <c r="D214" s="1013">
        <v>0</v>
      </c>
      <c r="E214" s="1013" t="s">
        <v>22698</v>
      </c>
      <c r="F214" s="1013">
        <v>21</v>
      </c>
      <c r="G214" s="1932" t="str">
        <f>+VLOOKUP(F214,TT_Tabelle_Riferimento!$D$127:$G$164,4,FALSE)</f>
        <v>Impianti di depurazione – trattamenti sino al preliminare, integrativo, primario - fosse settiche e fosse Imhoff</v>
      </c>
      <c r="H214" s="1013">
        <v>3</v>
      </c>
      <c r="I214" s="1932" t="str">
        <f>+VLOOKUP(H214,TT_Tabelle_Riferimento!$F$3:$G$6,2,FALSE)</f>
        <v>Altri servizi idrici</v>
      </c>
      <c r="J214" s="1013">
        <v>2026</v>
      </c>
      <c r="K214" s="2335">
        <f>+SUMIFS('PdI-crono_inv'!AW:AW,'PdI-crono_inv'!CF:CF,F214,'PdI-crono_inv'!CE:CE,H214,'PdI-crono_inv'!J:J,P214,'PdI-crono_inv'!P:P,"&lt;&gt;proprietario")</f>
        <v>0</v>
      </c>
      <c r="M214" s="2335">
        <f>+SUMIFS('PdI-crono_inv'!AX:AX,'PdI-crono_inv'!CF:CF,F214,'PdI-crono_inv'!CE:CE,H214,'PdI-crono_inv'!J:J,P214,'PdI-crono_inv'!P:P,"&lt;&gt;proprietario")+S214</f>
        <v>0</v>
      </c>
      <c r="P214" s="1013" t="s">
        <v>25481</v>
      </c>
      <c r="Q214" s="1932" t="str">
        <f>+VLOOKUP(F214,TT_Tabelle_Riferimento!$D$127:$E$164,2,FALSE)</f>
        <v>Depurazione</v>
      </c>
      <c r="R214" s="1932" t="str">
        <f t="shared" si="19"/>
        <v/>
      </c>
      <c r="S214" s="2335">
        <f t="shared" si="22"/>
        <v>0</v>
      </c>
    </row>
    <row r="215" spans="1:19">
      <c r="A215" s="1932">
        <f t="shared" si="20"/>
        <v>0</v>
      </c>
      <c r="B215" s="1932">
        <f t="shared" si="21"/>
        <v>0</v>
      </c>
      <c r="C215" s="1013" t="s">
        <v>245</v>
      </c>
      <c r="D215" s="1013">
        <v>0</v>
      </c>
      <c r="E215" s="1013" t="s">
        <v>22698</v>
      </c>
      <c r="F215" s="1013">
        <v>22</v>
      </c>
      <c r="G215" s="1932" t="str">
        <f>+VLOOKUP(F215,TT_Tabelle_Riferimento!$D$127:$G$164,4,FALSE)</f>
        <v>Impianti di depurazione – trattamenti sino al secondario</v>
      </c>
      <c r="H215" s="1013">
        <v>3</v>
      </c>
      <c r="I215" s="1932" t="str">
        <f>+VLOOKUP(H215,TT_Tabelle_Riferimento!$F$3:$G$6,2,FALSE)</f>
        <v>Altri servizi idrici</v>
      </c>
      <c r="J215" s="1013">
        <v>2026</v>
      </c>
      <c r="K215" s="2335">
        <f>+SUMIFS('PdI-crono_inv'!AW:AW,'PdI-crono_inv'!CF:CF,F215,'PdI-crono_inv'!CE:CE,H215,'PdI-crono_inv'!J:J,P215,'PdI-crono_inv'!P:P,"&lt;&gt;proprietario")</f>
        <v>0</v>
      </c>
      <c r="M215" s="2335">
        <f>+SUMIFS('PdI-crono_inv'!AX:AX,'PdI-crono_inv'!CF:CF,F215,'PdI-crono_inv'!CE:CE,H215,'PdI-crono_inv'!J:J,P215,'PdI-crono_inv'!P:P,"&lt;&gt;proprietario")+S215</f>
        <v>0</v>
      </c>
      <c r="P215" s="1013" t="s">
        <v>25481</v>
      </c>
      <c r="Q215" s="1932" t="str">
        <f>+VLOOKUP(F215,TT_Tabelle_Riferimento!$D$127:$E$164,2,FALSE)</f>
        <v>Depurazione</v>
      </c>
      <c r="R215" s="1932" t="str">
        <f t="shared" si="19"/>
        <v/>
      </c>
      <c r="S215" s="2335">
        <f t="shared" si="22"/>
        <v>0</v>
      </c>
    </row>
    <row r="216" spans="1:19">
      <c r="A216" s="1932">
        <f t="shared" si="20"/>
        <v>0</v>
      </c>
      <c r="B216" s="1932">
        <f t="shared" si="21"/>
        <v>0</v>
      </c>
      <c r="C216" s="1013" t="s">
        <v>245</v>
      </c>
      <c r="D216" s="1013">
        <v>0</v>
      </c>
      <c r="E216" s="1013" t="s">
        <v>22698</v>
      </c>
      <c r="F216" s="1013">
        <v>23</v>
      </c>
      <c r="G216" s="1932" t="str">
        <f>+VLOOKUP(F216,TT_Tabelle_Riferimento!$D$127:$G$164,4,FALSE)</f>
        <v>Impianti di depurazione – trattamenti sino al terziario e terziario avanzato</v>
      </c>
      <c r="H216" s="1013">
        <v>3</v>
      </c>
      <c r="I216" s="1932" t="str">
        <f>+VLOOKUP(H216,TT_Tabelle_Riferimento!$F$3:$G$6,2,FALSE)</f>
        <v>Altri servizi idrici</v>
      </c>
      <c r="J216" s="1013">
        <v>2026</v>
      </c>
      <c r="K216" s="2335">
        <f>+SUMIFS('PdI-crono_inv'!AW:AW,'PdI-crono_inv'!CF:CF,F216,'PdI-crono_inv'!CE:CE,H216,'PdI-crono_inv'!J:J,P216,'PdI-crono_inv'!P:P,"&lt;&gt;proprietario")</f>
        <v>0</v>
      </c>
      <c r="M216" s="2335">
        <f>+SUMIFS('PdI-crono_inv'!AX:AX,'PdI-crono_inv'!CF:CF,F216,'PdI-crono_inv'!CE:CE,H216,'PdI-crono_inv'!J:J,P216,'PdI-crono_inv'!P:P,"&lt;&gt;proprietario")+S216</f>
        <v>0</v>
      </c>
      <c r="P216" s="1013" t="s">
        <v>25481</v>
      </c>
      <c r="Q216" s="1932" t="str">
        <f>+VLOOKUP(F216,TT_Tabelle_Riferimento!$D$127:$E$164,2,FALSE)</f>
        <v>Depurazione</v>
      </c>
      <c r="R216" s="1932" t="str">
        <f t="shared" si="19"/>
        <v/>
      </c>
      <c r="S216" s="2335">
        <f t="shared" si="22"/>
        <v>0</v>
      </c>
    </row>
    <row r="217" spans="1:19">
      <c r="A217" s="1932">
        <f t="shared" si="20"/>
        <v>0</v>
      </c>
      <c r="B217" s="1932">
        <f t="shared" si="21"/>
        <v>0</v>
      </c>
      <c r="C217" s="1013" t="s">
        <v>245</v>
      </c>
      <c r="D217" s="1013">
        <v>0</v>
      </c>
      <c r="E217" s="1013" t="s">
        <v>22698</v>
      </c>
      <c r="F217" s="1013">
        <v>24</v>
      </c>
      <c r="G217" s="1932" t="str">
        <f>+VLOOKUP(F217,TT_Tabelle_Riferimento!$D$127:$G$164,4,FALSE)</f>
        <v>Impianti di essiccamento fanghi e di valorizzazione dei fanghi (tra cui mono-incenerimento, pirolisi, gassificazione)</v>
      </c>
      <c r="H217" s="1013">
        <v>3</v>
      </c>
      <c r="I217" s="1932" t="str">
        <f>+VLOOKUP(H217,TT_Tabelle_Riferimento!$F$3:$G$6,2,FALSE)</f>
        <v>Altri servizi idrici</v>
      </c>
      <c r="J217" s="1013">
        <v>2026</v>
      </c>
      <c r="K217" s="2335">
        <f>+SUMIFS('PdI-crono_inv'!AW:AW,'PdI-crono_inv'!CF:CF,F217,'PdI-crono_inv'!CE:CE,H217,'PdI-crono_inv'!J:J,P217,'PdI-crono_inv'!P:P,"&lt;&gt;proprietario")</f>
        <v>0</v>
      </c>
      <c r="M217" s="2335">
        <f>+SUMIFS('PdI-crono_inv'!AX:AX,'PdI-crono_inv'!CF:CF,F217,'PdI-crono_inv'!CE:CE,H217,'PdI-crono_inv'!J:J,P217,'PdI-crono_inv'!P:P,"&lt;&gt;proprietario")+S217</f>
        <v>0</v>
      </c>
      <c r="P217" s="1013" t="s">
        <v>25481</v>
      </c>
      <c r="Q217" s="1932" t="str">
        <f>+VLOOKUP(F217,TT_Tabelle_Riferimento!$D$127:$E$164,2,FALSE)</f>
        <v>Depurazione</v>
      </c>
      <c r="R217" s="1932" t="str">
        <f t="shared" si="19"/>
        <v/>
      </c>
      <c r="S217" s="2335">
        <f t="shared" si="22"/>
        <v>0</v>
      </c>
    </row>
    <row r="218" spans="1:19">
      <c r="A218" s="1932">
        <f t="shared" si="20"/>
        <v>0</v>
      </c>
      <c r="B218" s="1932">
        <f t="shared" si="21"/>
        <v>0</v>
      </c>
      <c r="C218" s="1013" t="s">
        <v>245</v>
      </c>
      <c r="D218" s="1013">
        <v>0</v>
      </c>
      <c r="E218" s="1013" t="s">
        <v>22698</v>
      </c>
      <c r="F218" s="1013">
        <v>25</v>
      </c>
      <c r="G218" s="1932" t="str">
        <f>+VLOOKUP(F218,TT_Tabelle_Riferimento!$D$127:$G$164,4,FALSE)</f>
        <v>Gruppi di misura - altre attrezzature di depurazione</v>
      </c>
      <c r="H218" s="1013">
        <v>3</v>
      </c>
      <c r="I218" s="1932" t="str">
        <f>+VLOOKUP(H218,TT_Tabelle_Riferimento!$F$3:$G$6,2,FALSE)</f>
        <v>Altri servizi idrici</v>
      </c>
      <c r="J218" s="1013">
        <v>2026</v>
      </c>
      <c r="K218" s="2335">
        <f>+SUMIFS('PdI-crono_inv'!AW:AW,'PdI-crono_inv'!CF:CF,F218,'PdI-crono_inv'!CE:CE,H218,'PdI-crono_inv'!J:J,P218,'PdI-crono_inv'!P:P,"&lt;&gt;proprietario")</f>
        <v>0</v>
      </c>
      <c r="M218" s="2335">
        <f>+SUMIFS('PdI-crono_inv'!AX:AX,'PdI-crono_inv'!CF:CF,F218,'PdI-crono_inv'!CE:CE,H218,'PdI-crono_inv'!J:J,P218,'PdI-crono_inv'!P:P,"&lt;&gt;proprietario")+S218</f>
        <v>0</v>
      </c>
      <c r="P218" s="1013" t="s">
        <v>25481</v>
      </c>
      <c r="Q218" s="1932" t="str">
        <f>+VLOOKUP(F218,TT_Tabelle_Riferimento!$D$127:$E$164,2,FALSE)</f>
        <v>Depurazione</v>
      </c>
      <c r="R218" s="1932" t="str">
        <f t="shared" si="19"/>
        <v/>
      </c>
      <c r="S218" s="2335">
        <f t="shared" si="22"/>
        <v>0</v>
      </c>
    </row>
    <row r="219" spans="1:19">
      <c r="A219" s="1932">
        <f t="shared" si="20"/>
        <v>0</v>
      </c>
      <c r="B219" s="1932">
        <f t="shared" si="21"/>
        <v>0</v>
      </c>
      <c r="C219" s="1013" t="s">
        <v>245</v>
      </c>
      <c r="D219" s="1013">
        <v>0</v>
      </c>
      <c r="E219" s="1013" t="s">
        <v>22698</v>
      </c>
      <c r="F219" s="1013">
        <v>26</v>
      </c>
      <c r="G219" s="1932" t="str">
        <f>+VLOOKUP(F219,TT_Tabelle_Riferimento!$D$127:$G$164,4,FALSE)</f>
        <v>Sistemi informativi di depurazione</v>
      </c>
      <c r="H219" s="1013">
        <v>3</v>
      </c>
      <c r="I219" s="1932" t="str">
        <f>+VLOOKUP(H219,TT_Tabelle_Riferimento!$F$3:$G$6,2,FALSE)</f>
        <v>Altri servizi idrici</v>
      </c>
      <c r="J219" s="1013">
        <v>2026</v>
      </c>
      <c r="K219" s="2335">
        <f>+SUMIFS('PdI-crono_inv'!AW:AW,'PdI-crono_inv'!CF:CF,F219,'PdI-crono_inv'!CE:CE,H219,'PdI-crono_inv'!J:J,P219,'PdI-crono_inv'!P:P,"&lt;&gt;proprietario")</f>
        <v>0</v>
      </c>
      <c r="M219" s="2335">
        <f>+SUMIFS('PdI-crono_inv'!AX:AX,'PdI-crono_inv'!CF:CF,F219,'PdI-crono_inv'!CE:CE,H219,'PdI-crono_inv'!J:J,P219,'PdI-crono_inv'!P:P,"&lt;&gt;proprietario")+S219</f>
        <v>0</v>
      </c>
      <c r="P219" s="1013" t="s">
        <v>25481</v>
      </c>
      <c r="Q219" s="1932" t="str">
        <f>+VLOOKUP(F219,TT_Tabelle_Riferimento!$D$127:$E$164,2,FALSE)</f>
        <v>Depurazione</v>
      </c>
      <c r="R219" s="1932" t="str">
        <f t="shared" si="19"/>
        <v/>
      </c>
      <c r="S219" s="2335">
        <f t="shared" si="22"/>
        <v>0</v>
      </c>
    </row>
    <row r="220" spans="1:19">
      <c r="A220" s="1932">
        <f t="shared" si="20"/>
        <v>0</v>
      </c>
      <c r="B220" s="1932">
        <f t="shared" si="21"/>
        <v>0</v>
      </c>
      <c r="C220" s="1013" t="s">
        <v>245</v>
      </c>
      <c r="D220" s="1013">
        <v>0</v>
      </c>
      <c r="E220" s="1013" t="s">
        <v>22698</v>
      </c>
      <c r="F220" s="1013">
        <v>27</v>
      </c>
      <c r="G220" s="1932" t="str">
        <f>+VLOOKUP(F220,TT_Tabelle_Riferimento!$D$127:$G$164,4,FALSE)</f>
        <v>Telecontrollo e teletrasmissione di depurazione</v>
      </c>
      <c r="H220" s="1013">
        <v>3</v>
      </c>
      <c r="I220" s="1932" t="str">
        <f>+VLOOKUP(H220,TT_Tabelle_Riferimento!$F$3:$G$6,2,FALSE)</f>
        <v>Altri servizi idrici</v>
      </c>
      <c r="J220" s="1013">
        <v>2026</v>
      </c>
      <c r="K220" s="2335">
        <f>+SUMIFS('PdI-crono_inv'!AW:AW,'PdI-crono_inv'!CF:CF,F220,'PdI-crono_inv'!CE:CE,H220,'PdI-crono_inv'!J:J,P220,'PdI-crono_inv'!P:P,"&lt;&gt;proprietario")</f>
        <v>0</v>
      </c>
      <c r="M220" s="2335">
        <f>+SUMIFS('PdI-crono_inv'!AX:AX,'PdI-crono_inv'!CF:CF,F220,'PdI-crono_inv'!CE:CE,H220,'PdI-crono_inv'!J:J,P220,'PdI-crono_inv'!P:P,"&lt;&gt;proprietario")+S220</f>
        <v>0</v>
      </c>
      <c r="P220" s="1013" t="s">
        <v>25481</v>
      </c>
      <c r="Q220" s="1932" t="str">
        <f>+VLOOKUP(F220,TT_Tabelle_Riferimento!$D$127:$E$164,2,FALSE)</f>
        <v>Depurazione</v>
      </c>
      <c r="R220" s="1932" t="str">
        <f t="shared" si="19"/>
        <v/>
      </c>
      <c r="S220" s="2335">
        <f t="shared" si="22"/>
        <v>0</v>
      </c>
    </row>
    <row r="221" spans="1:19">
      <c r="A221" s="1932">
        <f t="shared" si="20"/>
        <v>0</v>
      </c>
      <c r="B221" s="1932">
        <f t="shared" si="21"/>
        <v>0</v>
      </c>
      <c r="C221" s="1013" t="s">
        <v>245</v>
      </c>
      <c r="D221" s="1013">
        <v>0</v>
      </c>
      <c r="E221" s="1013" t="s">
        <v>22698</v>
      </c>
      <c r="F221" s="1013">
        <v>28</v>
      </c>
      <c r="G221" s="1932" t="str">
        <f>+VLOOKUP(F221,TT_Tabelle_Riferimento!$D$127:$G$164,4,FALSE)</f>
        <v>Altri impianti</v>
      </c>
      <c r="H221" s="1013">
        <v>3</v>
      </c>
      <c r="I221" s="1932" t="str">
        <f>+VLOOKUP(H221,TT_Tabelle_Riferimento!$F$3:$G$6,2,FALSE)</f>
        <v>Altri servizi idrici</v>
      </c>
      <c r="J221" s="1013">
        <v>2026</v>
      </c>
      <c r="K221" s="2335">
        <f>+SUMIFS('PdI-crono_inv'!AW:AW,'PdI-crono_inv'!CF:CF,F221,'PdI-crono_inv'!CE:CE,H221,'PdI-crono_inv'!J:J,P221,'PdI-crono_inv'!P:P,"&lt;&gt;proprietario")</f>
        <v>0</v>
      </c>
      <c r="M221" s="2335">
        <f>+SUMIFS('PdI-crono_inv'!AX:AX,'PdI-crono_inv'!CF:CF,F221,'PdI-crono_inv'!CE:CE,H221,'PdI-crono_inv'!J:J,P221,'PdI-crono_inv'!P:P,"&lt;&gt;proprietario")+S221</f>
        <v>0</v>
      </c>
      <c r="P221" s="1013" t="s">
        <v>25481</v>
      </c>
      <c r="Q221" s="1932" t="str">
        <f>+VLOOKUP(F221,TT_Tabelle_Riferimento!$D$127:$E$164,2,FALSE)</f>
        <v>Comune</v>
      </c>
      <c r="R221" s="1932" t="str">
        <f t="shared" si="19"/>
        <v/>
      </c>
      <c r="S221" s="2335">
        <f t="shared" si="22"/>
        <v>0</v>
      </c>
    </row>
    <row r="222" spans="1:19">
      <c r="A222" s="1932">
        <f t="shared" si="20"/>
        <v>0</v>
      </c>
      <c r="B222" s="1932">
        <f t="shared" si="21"/>
        <v>0</v>
      </c>
      <c r="C222" s="1013" t="s">
        <v>245</v>
      </c>
      <c r="D222" s="1013">
        <v>0</v>
      </c>
      <c r="E222" s="1013" t="s">
        <v>22698</v>
      </c>
      <c r="F222" s="1013">
        <v>29</v>
      </c>
      <c r="G222" s="1932" t="str">
        <f>+VLOOKUP(F222,TT_Tabelle_Riferimento!$D$127:$G$164,4,FALSE)</f>
        <v>Laboratori e attrezzature</v>
      </c>
      <c r="H222" s="1013">
        <v>3</v>
      </c>
      <c r="I222" s="1932" t="str">
        <f>+VLOOKUP(H222,TT_Tabelle_Riferimento!$F$3:$G$6,2,FALSE)</f>
        <v>Altri servizi idrici</v>
      </c>
      <c r="J222" s="1013">
        <v>2026</v>
      </c>
      <c r="K222" s="2335">
        <f>+SUMIFS('PdI-crono_inv'!AW:AW,'PdI-crono_inv'!CF:CF,F222,'PdI-crono_inv'!CE:CE,H222,'PdI-crono_inv'!J:J,P222,'PdI-crono_inv'!P:P,"&lt;&gt;proprietario")</f>
        <v>0</v>
      </c>
      <c r="M222" s="2335">
        <f>+SUMIFS('PdI-crono_inv'!AX:AX,'PdI-crono_inv'!CF:CF,F222,'PdI-crono_inv'!CE:CE,H222,'PdI-crono_inv'!J:J,P222,'PdI-crono_inv'!P:P,"&lt;&gt;proprietario")+S222</f>
        <v>0</v>
      </c>
      <c r="P222" s="1013" t="s">
        <v>25481</v>
      </c>
      <c r="Q222" s="1932" t="str">
        <f>+VLOOKUP(F222,TT_Tabelle_Riferimento!$D$127:$E$164,2,FALSE)</f>
        <v>Comune</v>
      </c>
      <c r="R222" s="1932" t="str">
        <f t="shared" si="19"/>
        <v/>
      </c>
      <c r="S222" s="2335">
        <f t="shared" si="22"/>
        <v>0</v>
      </c>
    </row>
    <row r="223" spans="1:19">
      <c r="A223" s="1932">
        <f t="shared" si="20"/>
        <v>0</v>
      </c>
      <c r="B223" s="1932">
        <f t="shared" si="21"/>
        <v>0</v>
      </c>
      <c r="C223" s="1013" t="s">
        <v>245</v>
      </c>
      <c r="D223" s="1013">
        <v>0</v>
      </c>
      <c r="E223" s="1013" t="s">
        <v>22698</v>
      </c>
      <c r="F223" s="1013">
        <v>30</v>
      </c>
      <c r="G223" s="1932" t="str">
        <f>+VLOOKUP(F223,TT_Tabelle_Riferimento!$D$127:$G$164,4,FALSE)</f>
        <v>Sistemi informativi</v>
      </c>
      <c r="H223" s="1013">
        <v>3</v>
      </c>
      <c r="I223" s="1932" t="str">
        <f>+VLOOKUP(H223,TT_Tabelle_Riferimento!$F$3:$G$6,2,FALSE)</f>
        <v>Altri servizi idrici</v>
      </c>
      <c r="J223" s="1013">
        <v>2026</v>
      </c>
      <c r="K223" s="2335">
        <f>+SUMIFS('PdI-crono_inv'!AW:AW,'PdI-crono_inv'!CF:CF,F223,'PdI-crono_inv'!CE:CE,H223,'PdI-crono_inv'!J:J,P223,'PdI-crono_inv'!P:P,"&lt;&gt;proprietario")</f>
        <v>0</v>
      </c>
      <c r="M223" s="2335">
        <f>+SUMIFS('PdI-crono_inv'!AX:AX,'PdI-crono_inv'!CF:CF,F223,'PdI-crono_inv'!CE:CE,H223,'PdI-crono_inv'!J:J,P223,'PdI-crono_inv'!P:P,"&lt;&gt;proprietario")+S223</f>
        <v>0</v>
      </c>
      <c r="P223" s="1013" t="s">
        <v>25481</v>
      </c>
      <c r="Q223" s="1932" t="str">
        <f>+VLOOKUP(F223,TT_Tabelle_Riferimento!$D$127:$E$164,2,FALSE)</f>
        <v>Comune</v>
      </c>
      <c r="R223" s="1932" t="str">
        <f t="shared" si="19"/>
        <v/>
      </c>
      <c r="S223" s="2335">
        <f t="shared" si="22"/>
        <v>0</v>
      </c>
    </row>
    <row r="224" spans="1:19">
      <c r="A224" s="1932">
        <f t="shared" si="20"/>
        <v>0</v>
      </c>
      <c r="B224" s="1932">
        <f t="shared" si="21"/>
        <v>0</v>
      </c>
      <c r="C224" s="1013" t="s">
        <v>245</v>
      </c>
      <c r="D224" s="1013">
        <v>0</v>
      </c>
      <c r="E224" s="1013" t="s">
        <v>22698</v>
      </c>
      <c r="F224" s="1013">
        <v>31</v>
      </c>
      <c r="G224" s="1932" t="str">
        <f>+VLOOKUP(F224,TT_Tabelle_Riferimento!$D$127:$G$164,4,FALSE)</f>
        <v>Telecontrollo e teletrasmissione</v>
      </c>
      <c r="H224" s="1013">
        <v>3</v>
      </c>
      <c r="I224" s="1932" t="str">
        <f>+VLOOKUP(H224,TT_Tabelle_Riferimento!$F$3:$G$6,2,FALSE)</f>
        <v>Altri servizi idrici</v>
      </c>
      <c r="J224" s="1013">
        <v>2026</v>
      </c>
      <c r="K224" s="2335">
        <f>+SUMIFS('PdI-crono_inv'!AW:AW,'PdI-crono_inv'!CF:CF,F224,'PdI-crono_inv'!CE:CE,H224,'PdI-crono_inv'!J:J,P224,'PdI-crono_inv'!P:P,"&lt;&gt;proprietario")</f>
        <v>0</v>
      </c>
      <c r="M224" s="2335">
        <f>+SUMIFS('PdI-crono_inv'!AX:AX,'PdI-crono_inv'!CF:CF,F224,'PdI-crono_inv'!CE:CE,H224,'PdI-crono_inv'!J:J,P224,'PdI-crono_inv'!P:P,"&lt;&gt;proprietario")+S224</f>
        <v>0</v>
      </c>
      <c r="P224" s="1013" t="s">
        <v>25481</v>
      </c>
      <c r="Q224" s="1932" t="str">
        <f>+VLOOKUP(F224,TT_Tabelle_Riferimento!$D$127:$E$164,2,FALSE)</f>
        <v>Comune</v>
      </c>
      <c r="R224" s="1932" t="str">
        <f t="shared" si="19"/>
        <v/>
      </c>
      <c r="S224" s="2335">
        <f t="shared" si="22"/>
        <v>0</v>
      </c>
    </row>
    <row r="225" spans="1:19">
      <c r="A225" s="1932">
        <f t="shared" si="20"/>
        <v>0</v>
      </c>
      <c r="B225" s="1932">
        <f t="shared" si="21"/>
        <v>0</v>
      </c>
      <c r="C225" s="1013" t="s">
        <v>245</v>
      </c>
      <c r="D225" s="1013">
        <v>0</v>
      </c>
      <c r="E225" s="1013" t="s">
        <v>22698</v>
      </c>
      <c r="F225" s="1013">
        <v>32</v>
      </c>
      <c r="G225" s="1932" t="str">
        <f>+VLOOKUP(F225,TT_Tabelle_Riferimento!$D$127:$G$164,4,FALSE)</f>
        <v>Autoveicoli - automezzi</v>
      </c>
      <c r="H225" s="1013">
        <v>3</v>
      </c>
      <c r="I225" s="1932" t="str">
        <f>+VLOOKUP(H225,TT_Tabelle_Riferimento!$F$3:$G$6,2,FALSE)</f>
        <v>Altri servizi idrici</v>
      </c>
      <c r="J225" s="1013">
        <v>2026</v>
      </c>
      <c r="K225" s="2335">
        <f>+SUMIFS('PdI-crono_inv'!AW:AW,'PdI-crono_inv'!CF:CF,F225,'PdI-crono_inv'!CE:CE,H225,'PdI-crono_inv'!J:J,P225,'PdI-crono_inv'!P:P,"&lt;&gt;proprietario")</f>
        <v>0</v>
      </c>
      <c r="M225" s="2335">
        <f>+SUMIFS('PdI-crono_inv'!AX:AX,'PdI-crono_inv'!CF:CF,F225,'PdI-crono_inv'!CE:CE,H225,'PdI-crono_inv'!J:J,P225,'PdI-crono_inv'!P:P,"&lt;&gt;proprietario")+S225</f>
        <v>0</v>
      </c>
      <c r="P225" s="1013" t="s">
        <v>25481</v>
      </c>
      <c r="Q225" s="1932" t="str">
        <f>+VLOOKUP(F225,TT_Tabelle_Riferimento!$D$127:$E$164,2,FALSE)</f>
        <v>Comune</v>
      </c>
      <c r="R225" s="1932" t="str">
        <f t="shared" si="19"/>
        <v/>
      </c>
      <c r="S225" s="2335">
        <f t="shared" si="22"/>
        <v>0</v>
      </c>
    </row>
    <row r="226" spans="1:19">
      <c r="A226" s="1932">
        <f t="shared" si="20"/>
        <v>0</v>
      </c>
      <c r="B226" s="1932">
        <f t="shared" si="21"/>
        <v>0</v>
      </c>
      <c r="C226" s="1013" t="s">
        <v>245</v>
      </c>
      <c r="D226" s="1013">
        <v>0</v>
      </c>
      <c r="E226" s="1013" t="s">
        <v>22698</v>
      </c>
      <c r="F226" s="1013">
        <v>1</v>
      </c>
      <c r="G226" s="1932" t="str">
        <f>+VLOOKUP(F226,TT_Tabelle_Riferimento!$D$127:$G$164,4,FALSE)</f>
        <v>Terreni</v>
      </c>
      <c r="H226" s="1013">
        <v>3</v>
      </c>
      <c r="I226" s="1932" t="str">
        <f>+VLOOKUP(H226,TT_Tabelle_Riferimento!$F$3:$G$6,2,FALSE)</f>
        <v>Altri servizi idrici</v>
      </c>
      <c r="J226" s="1013">
        <v>2026</v>
      </c>
      <c r="K226" s="2335">
        <f>+SUMIFS('PdI-crono_inv'!AW:AW,'PdI-crono_inv'!CF:CF,F226,'PdI-crono_inv'!CE:CE,H226,'PdI-crono_inv'!J:J,P226,'PdI-crono_inv'!P:P,"&lt;&gt;proprietario")</f>
        <v>0</v>
      </c>
      <c r="M226" s="2335">
        <f>+SUMIFS('PdI-crono_inv'!AX:AX,'PdI-crono_inv'!CF:CF,F226,'PdI-crono_inv'!CE:CE,H226,'PdI-crono_inv'!J:J,P226,'PdI-crono_inv'!P:P,"&lt;&gt;proprietario")+S226</f>
        <v>0</v>
      </c>
      <c r="P226" s="1013" t="s">
        <v>25481</v>
      </c>
      <c r="Q226" s="1932" t="str">
        <f>+VLOOKUP(F226,TT_Tabelle_Riferimento!$D$127:$E$164,2,FALSE)</f>
        <v>Comune</v>
      </c>
      <c r="R226" s="1932" t="str">
        <f t="shared" si="19"/>
        <v/>
      </c>
      <c r="S226" s="2335">
        <f t="shared" si="22"/>
        <v>0</v>
      </c>
    </row>
    <row r="227" spans="1:19">
      <c r="A227" s="1932">
        <f t="shared" si="20"/>
        <v>0</v>
      </c>
      <c r="B227" s="1932">
        <f t="shared" si="21"/>
        <v>0</v>
      </c>
      <c r="C227" s="1013" t="s">
        <v>245</v>
      </c>
      <c r="D227" s="1013">
        <v>0</v>
      </c>
      <c r="E227" s="1013" t="s">
        <v>22698</v>
      </c>
      <c r="F227" s="1013">
        <v>33</v>
      </c>
      <c r="G227" s="1932" t="str">
        <f>+VLOOKUP(F227,TT_Tabelle_Riferimento!$D$127:$G$164,4,FALSE)</f>
        <v>Fabbricati non industriali</v>
      </c>
      <c r="H227" s="1013">
        <v>3</v>
      </c>
      <c r="I227" s="1932" t="str">
        <f>+VLOOKUP(H227,TT_Tabelle_Riferimento!$F$3:$G$6,2,FALSE)</f>
        <v>Altri servizi idrici</v>
      </c>
      <c r="J227" s="1013">
        <v>2026</v>
      </c>
      <c r="K227" s="2335">
        <f>+SUMIFS('PdI-crono_inv'!AW:AW,'PdI-crono_inv'!CF:CF,F227,'PdI-crono_inv'!CE:CE,H227,'PdI-crono_inv'!J:J,P227,'PdI-crono_inv'!P:P,"&lt;&gt;proprietario")</f>
        <v>0</v>
      </c>
      <c r="M227" s="2335">
        <f>+SUMIFS('PdI-crono_inv'!AX:AX,'PdI-crono_inv'!CF:CF,F227,'PdI-crono_inv'!CE:CE,H227,'PdI-crono_inv'!J:J,P227,'PdI-crono_inv'!P:P,"&lt;&gt;proprietario")+S227</f>
        <v>0</v>
      </c>
      <c r="P227" s="1013" t="s">
        <v>25481</v>
      </c>
      <c r="Q227" s="1932" t="str">
        <f>+VLOOKUP(F227,TT_Tabelle_Riferimento!$D$127:$E$164,2,FALSE)</f>
        <v>Comune</v>
      </c>
      <c r="R227" s="1932" t="str">
        <f t="shared" si="19"/>
        <v/>
      </c>
      <c r="S227" s="2335">
        <f t="shared" si="22"/>
        <v>0</v>
      </c>
    </row>
    <row r="228" spans="1:19">
      <c r="A228" s="1932">
        <f t="shared" si="20"/>
        <v>0</v>
      </c>
      <c r="B228" s="1932">
        <f t="shared" si="21"/>
        <v>0</v>
      </c>
      <c r="C228" s="1013" t="s">
        <v>245</v>
      </c>
      <c r="D228" s="1013">
        <v>0</v>
      </c>
      <c r="E228" s="1013" t="s">
        <v>22698</v>
      </c>
      <c r="F228" s="1013">
        <v>34</v>
      </c>
      <c r="G228" s="1932" t="str">
        <f>+VLOOKUP(F228,TT_Tabelle_Riferimento!$D$127:$G$164,4,FALSE)</f>
        <v>Fabbricati industriali</v>
      </c>
      <c r="H228" s="1013">
        <v>3</v>
      </c>
      <c r="I228" s="1932" t="str">
        <f>+VLOOKUP(H228,TT_Tabelle_Riferimento!$F$3:$G$6,2,FALSE)</f>
        <v>Altri servizi idrici</v>
      </c>
      <c r="J228" s="1013">
        <v>2026</v>
      </c>
      <c r="K228" s="2335">
        <f>+SUMIFS('PdI-crono_inv'!AW:AW,'PdI-crono_inv'!CF:CF,F228,'PdI-crono_inv'!CE:CE,H228,'PdI-crono_inv'!J:J,P228,'PdI-crono_inv'!P:P,"&lt;&gt;proprietario")</f>
        <v>0</v>
      </c>
      <c r="M228" s="2335">
        <f>+SUMIFS('PdI-crono_inv'!AX:AX,'PdI-crono_inv'!CF:CF,F228,'PdI-crono_inv'!CE:CE,H228,'PdI-crono_inv'!J:J,P228,'PdI-crono_inv'!P:P,"&lt;&gt;proprietario")+S228</f>
        <v>0</v>
      </c>
      <c r="P228" s="1013" t="s">
        <v>25481</v>
      </c>
      <c r="Q228" s="1932" t="str">
        <f>+VLOOKUP(F228,TT_Tabelle_Riferimento!$D$127:$E$164,2,FALSE)</f>
        <v>Comune</v>
      </c>
      <c r="R228" s="1932" t="str">
        <f t="shared" si="19"/>
        <v/>
      </c>
      <c r="S228" s="2335">
        <f t="shared" si="22"/>
        <v>0</v>
      </c>
    </row>
    <row r="229" spans="1:19">
      <c r="A229" s="1932">
        <f t="shared" si="20"/>
        <v>0</v>
      </c>
      <c r="B229" s="1932">
        <f t="shared" si="21"/>
        <v>0</v>
      </c>
      <c r="C229" s="1013" t="s">
        <v>245</v>
      </c>
      <c r="D229" s="1013">
        <v>0</v>
      </c>
      <c r="E229" s="1013" t="s">
        <v>22698</v>
      </c>
      <c r="F229" s="1013">
        <v>35</v>
      </c>
      <c r="G229" s="1932" t="str">
        <f>+VLOOKUP(F229,TT_Tabelle_Riferimento!$D$127:$G$164,4,FALSE)</f>
        <v>Costruzioni leggere</v>
      </c>
      <c r="H229" s="1013">
        <v>3</v>
      </c>
      <c r="I229" s="1932" t="str">
        <f>+VLOOKUP(H229,TT_Tabelle_Riferimento!$F$3:$G$6,2,FALSE)</f>
        <v>Altri servizi idrici</v>
      </c>
      <c r="J229" s="1013">
        <v>2026</v>
      </c>
      <c r="K229" s="2335">
        <f>+SUMIFS('PdI-crono_inv'!AW:AW,'PdI-crono_inv'!CF:CF,F229,'PdI-crono_inv'!CE:CE,H229,'PdI-crono_inv'!J:J,P229,'PdI-crono_inv'!P:P,"&lt;&gt;proprietario")</f>
        <v>0</v>
      </c>
      <c r="M229" s="2335">
        <f>+SUMIFS('PdI-crono_inv'!AX:AX,'PdI-crono_inv'!CF:CF,F229,'PdI-crono_inv'!CE:CE,H229,'PdI-crono_inv'!J:J,P229,'PdI-crono_inv'!P:P,"&lt;&gt;proprietario")+S229</f>
        <v>0</v>
      </c>
      <c r="P229" s="1013" t="s">
        <v>25481</v>
      </c>
      <c r="Q229" s="1932" t="str">
        <f>+VLOOKUP(F229,TT_Tabelle_Riferimento!$D$127:$E$164,2,FALSE)</f>
        <v>Comune</v>
      </c>
      <c r="R229" s="1932" t="str">
        <f t="shared" si="19"/>
        <v/>
      </c>
      <c r="S229" s="2335">
        <f t="shared" si="22"/>
        <v>0</v>
      </c>
    </row>
    <row r="230" spans="1:19">
      <c r="A230" s="1932">
        <f t="shared" si="20"/>
        <v>0</v>
      </c>
      <c r="B230" s="1932">
        <f t="shared" si="21"/>
        <v>0</v>
      </c>
      <c r="C230" s="1013" t="s">
        <v>245</v>
      </c>
      <c r="D230" s="1013">
        <v>0</v>
      </c>
      <c r="E230" s="1013" t="s">
        <v>22698</v>
      </c>
      <c r="F230" s="1013">
        <v>36</v>
      </c>
      <c r="G230" s="1932" t="str">
        <f>+VLOOKUP(F230,TT_Tabelle_Riferimento!$D$127:$G$164,4,FALSE)</f>
        <v>Studi, ricerche, brevetti, diritti di utilizzazione</v>
      </c>
      <c r="H230" s="1013">
        <v>3</v>
      </c>
      <c r="I230" s="1932" t="str">
        <f>+VLOOKUP(H230,TT_Tabelle_Riferimento!$F$3:$G$6,2,FALSE)</f>
        <v>Altri servizi idrici</v>
      </c>
      <c r="J230" s="1013">
        <v>2026</v>
      </c>
      <c r="K230" s="2335">
        <f>+SUMIFS('PdI-crono_inv'!AW:AW,'PdI-crono_inv'!CF:CF,F230,'PdI-crono_inv'!CE:CE,H230,'PdI-crono_inv'!J:J,P230,'PdI-crono_inv'!P:P,"&lt;&gt;proprietario")</f>
        <v>0</v>
      </c>
      <c r="M230" s="2335">
        <f>+SUMIFS('PdI-crono_inv'!AX:AX,'PdI-crono_inv'!CF:CF,F230,'PdI-crono_inv'!CE:CE,H230,'PdI-crono_inv'!J:J,P230,'PdI-crono_inv'!P:P,"&lt;&gt;proprietario")+S230</f>
        <v>0</v>
      </c>
      <c r="P230" s="1013" t="s">
        <v>25481</v>
      </c>
      <c r="Q230" s="1932" t="str">
        <f>+VLOOKUP(F230,TT_Tabelle_Riferimento!$D$127:$E$164,2,FALSE)</f>
        <v>Comune</v>
      </c>
      <c r="R230" s="1932" t="str">
        <f t="shared" si="19"/>
        <v/>
      </c>
      <c r="S230" s="2335">
        <f t="shared" si="22"/>
        <v>0</v>
      </c>
    </row>
    <row r="231" spans="1:19">
      <c r="A231" s="1932">
        <f t="shared" si="20"/>
        <v>0</v>
      </c>
      <c r="B231" s="1932">
        <f t="shared" si="21"/>
        <v>0</v>
      </c>
      <c r="C231" s="1013" t="s">
        <v>245</v>
      </c>
      <c r="D231" s="1013">
        <v>0</v>
      </c>
      <c r="E231" s="1013" t="s">
        <v>22698</v>
      </c>
      <c r="F231" s="1013">
        <v>37</v>
      </c>
      <c r="G231" s="1932" t="str">
        <f>+VLOOKUP(F231,TT_Tabelle_Riferimento!$D$127:$G$164,4,FALSE)</f>
        <v>Altre immobilizzazioni materiali e immateriali</v>
      </c>
      <c r="H231" s="1013">
        <v>3</v>
      </c>
      <c r="I231" s="1932" t="str">
        <f>+VLOOKUP(H231,TT_Tabelle_Riferimento!$F$3:$G$6,2,FALSE)</f>
        <v>Altri servizi idrici</v>
      </c>
      <c r="J231" s="1013">
        <v>2026</v>
      </c>
      <c r="K231" s="2335">
        <f>+SUMIFS('PdI-crono_inv'!AW:AW,'PdI-crono_inv'!CF:CF,F231,'PdI-crono_inv'!CE:CE,H231,'PdI-crono_inv'!J:J,P231,'PdI-crono_inv'!P:P,"&lt;&gt;proprietario")</f>
        <v>0</v>
      </c>
      <c r="M231" s="2335">
        <f>+SUMIFS('PdI-crono_inv'!AX:AX,'PdI-crono_inv'!CF:CF,F231,'PdI-crono_inv'!CE:CE,H231,'PdI-crono_inv'!J:J,P231,'PdI-crono_inv'!P:P,"&lt;&gt;proprietario")+S231</f>
        <v>0</v>
      </c>
      <c r="P231" s="1013" t="s">
        <v>25481</v>
      </c>
      <c r="Q231" s="1932" t="str">
        <f>+VLOOKUP(F231,TT_Tabelle_Riferimento!$D$127:$E$164,2,FALSE)</f>
        <v>Comune</v>
      </c>
      <c r="R231" s="1932" t="str">
        <f t="shared" si="19"/>
        <v/>
      </c>
      <c r="S231" s="2335">
        <f t="shared" si="22"/>
        <v>0</v>
      </c>
    </row>
    <row r="232" spans="1:19">
      <c r="A232" s="1932">
        <f t="shared" si="20"/>
        <v>0</v>
      </c>
      <c r="B232" s="1932">
        <f t="shared" si="21"/>
        <v>0</v>
      </c>
      <c r="C232" s="1013" t="s">
        <v>245</v>
      </c>
      <c r="D232" s="1013">
        <v>0</v>
      </c>
      <c r="E232" s="1013" t="s">
        <v>22698</v>
      </c>
      <c r="F232" s="1013">
        <v>38</v>
      </c>
      <c r="G232" s="1932" t="str">
        <f>+VLOOKUP(F232,TT_Tabelle_Riferimento!$D$127:$G$164,4,FALSE)</f>
        <v>Grandi dighe (sbarramenti che superano i quindici metri di altezza o che determinano un invaso superiore a 1 milione di metri cubi)</v>
      </c>
      <c r="H232" s="1013">
        <v>3</v>
      </c>
      <c r="I232" s="1932" t="str">
        <f>+VLOOKUP(H232,TT_Tabelle_Riferimento!$F$3:$G$6,2,FALSE)</f>
        <v>Altri servizi idrici</v>
      </c>
      <c r="J232" s="1013">
        <v>2026</v>
      </c>
      <c r="K232" s="2335">
        <f>+SUMIFS('PdI-crono_inv'!AW:AW,'PdI-crono_inv'!CF:CF,F232,'PdI-crono_inv'!CE:CE,H232,'PdI-crono_inv'!J:J,P232,'PdI-crono_inv'!P:P,"&lt;&gt;proprietario")</f>
        <v>0</v>
      </c>
      <c r="M232" s="2335">
        <f>+SUMIFS('PdI-crono_inv'!AX:AX,'PdI-crono_inv'!CF:CF,F232,'PdI-crono_inv'!CE:CE,H232,'PdI-crono_inv'!J:J,P232,'PdI-crono_inv'!P:P,"&lt;&gt;proprietario")+S232</f>
        <v>0</v>
      </c>
      <c r="P232" s="1013" t="s">
        <v>25481</v>
      </c>
      <c r="Q232" s="1932" t="str">
        <f>+VLOOKUP(F232,TT_Tabelle_Riferimento!$D$127:$E$164,2,FALSE)</f>
        <v>Acquedotto</v>
      </c>
      <c r="R232" s="1932" t="str">
        <f t="shared" si="19"/>
        <v/>
      </c>
      <c r="S232" s="2335">
        <f t="shared" si="22"/>
        <v>0</v>
      </c>
    </row>
    <row r="233" spans="1:19">
      <c r="A233" s="1932">
        <f t="shared" si="20"/>
        <v>0</v>
      </c>
      <c r="B233" s="1932">
        <f t="shared" si="21"/>
        <v>0</v>
      </c>
      <c r="C233" s="1013" t="s">
        <v>245</v>
      </c>
      <c r="D233" s="1013">
        <v>0</v>
      </c>
      <c r="E233" s="1013" t="s">
        <v>22698</v>
      </c>
      <c r="F233" s="1013">
        <v>39</v>
      </c>
      <c r="G233" s="1932" t="str">
        <f>+VLOOKUP(F233,TT_Tabelle_Riferimento!$D$127:$G$164,4,FALSE)</f>
        <v>Piccole dighe (sbarramenti che non superano i quindici metri di altezza o che determinano un invaso non superiore a 1 milione di metri cubi)</v>
      </c>
      <c r="H233" s="1013">
        <v>3</v>
      </c>
      <c r="I233" s="1932" t="str">
        <f>+VLOOKUP(H233,TT_Tabelle_Riferimento!$F$3:$G$6,2,FALSE)</f>
        <v>Altri servizi idrici</v>
      </c>
      <c r="J233" s="1013">
        <v>2026</v>
      </c>
      <c r="K233" s="2335">
        <f>+SUMIFS('PdI-crono_inv'!AW:AW,'PdI-crono_inv'!CF:CF,F233,'PdI-crono_inv'!CE:CE,H233,'PdI-crono_inv'!J:J,P233,'PdI-crono_inv'!P:P,"&lt;&gt;proprietario")</f>
        <v>0</v>
      </c>
      <c r="M233" s="2335">
        <f>+SUMIFS('PdI-crono_inv'!AX:AX,'PdI-crono_inv'!CF:CF,F233,'PdI-crono_inv'!CE:CE,H233,'PdI-crono_inv'!J:J,P233,'PdI-crono_inv'!P:P,"&lt;&gt;proprietario")+S233</f>
        <v>0</v>
      </c>
      <c r="P233" s="1013" t="s">
        <v>25481</v>
      </c>
      <c r="Q233" s="1932" t="str">
        <f>+VLOOKUP(F233,TT_Tabelle_Riferimento!$D$127:$E$164,2,FALSE)</f>
        <v>Acquedotto</v>
      </c>
      <c r="R233" s="1932" t="str">
        <f t="shared" si="19"/>
        <v/>
      </c>
      <c r="S233" s="2335">
        <f t="shared" si="22"/>
        <v>0</v>
      </c>
    </row>
    <row r="234" spans="1:19">
      <c r="A234" s="1932">
        <f t="shared" si="20"/>
        <v>0</v>
      </c>
      <c r="B234" s="1932">
        <f t="shared" si="21"/>
        <v>0</v>
      </c>
      <c r="C234" s="1013" t="s">
        <v>245</v>
      </c>
      <c r="D234" s="1013">
        <v>0</v>
      </c>
      <c r="E234" s="1013" t="s">
        <v>22698</v>
      </c>
      <c r="F234" s="1013">
        <v>2</v>
      </c>
      <c r="G234" s="1932" t="str">
        <f>+VLOOKUP(F234,TT_Tabelle_Riferimento!$D$127:$G$164,4,FALSE)</f>
        <v>Condotte di acquedotto</v>
      </c>
      <c r="H234" s="1013">
        <v>1</v>
      </c>
      <c r="I234" s="1932" t="str">
        <f>+VLOOKUP(H234,TT_Tabelle_Riferimento!$F$3:$G$6,2,FALSE)</f>
        <v>Servizio idrico integrato</v>
      </c>
      <c r="J234" s="1013">
        <v>2026</v>
      </c>
      <c r="K234" s="2335">
        <f>+SUMIFS('PdI-crono_inv'!AW:AW,'PdI-crono_inv'!CF:CF,F234,'PdI-crono_inv'!CE:CE,H234,'PdI-crono_inv'!J:J,P234,'PdI-crono_inv'!P:P,"&lt;&gt;proprietario")</f>
        <v>0</v>
      </c>
      <c r="M234" s="2335">
        <f>+SUMIFS('PdI-crono_inv'!AX:AX,'PdI-crono_inv'!CF:CF,F234,'PdI-crono_inv'!CE:CE,H234,'PdI-crono_inv'!J:J,P234,'PdI-crono_inv'!P:P,"&lt;&gt;proprietario")+S234</f>
        <v>0</v>
      </c>
      <c r="P234" s="1013" t="s">
        <v>27068</v>
      </c>
      <c r="Q234" s="1932" t="str">
        <f>+VLOOKUP(F234,TT_Tabelle_Riferimento!$D$127:$E$164,2,FALSE)</f>
        <v>Acquedotto</v>
      </c>
      <c r="R234" s="1932" t="str">
        <f t="shared" si="19"/>
        <v/>
      </c>
      <c r="S234" s="2335">
        <f t="shared" si="22"/>
        <v>0</v>
      </c>
    </row>
    <row r="235" spans="1:19">
      <c r="A235" s="1932">
        <f t="shared" si="20"/>
        <v>0</v>
      </c>
      <c r="B235" s="1932">
        <f t="shared" si="21"/>
        <v>0</v>
      </c>
      <c r="C235" s="1013" t="s">
        <v>245</v>
      </c>
      <c r="D235" s="1013">
        <v>0</v>
      </c>
      <c r="E235" s="1013" t="s">
        <v>22698</v>
      </c>
      <c r="F235" s="1013">
        <v>3</v>
      </c>
      <c r="G235" s="1932" t="str">
        <f>+VLOOKUP(F235,TT_Tabelle_Riferimento!$D$127:$G$164,4,FALSE)</f>
        <v>Opere idrauliche fisse di acquedotto</v>
      </c>
      <c r="H235" s="1013">
        <v>1</v>
      </c>
      <c r="I235" s="1932" t="str">
        <f>+VLOOKUP(H235,TT_Tabelle_Riferimento!$F$3:$G$6,2,FALSE)</f>
        <v>Servizio idrico integrato</v>
      </c>
      <c r="J235" s="1013">
        <v>2026</v>
      </c>
      <c r="K235" s="2335">
        <f>+SUMIFS('PdI-crono_inv'!AW:AW,'PdI-crono_inv'!CF:CF,F235,'PdI-crono_inv'!CE:CE,H235,'PdI-crono_inv'!J:J,P235,'PdI-crono_inv'!P:P,"&lt;&gt;proprietario")</f>
        <v>0</v>
      </c>
      <c r="M235" s="2335">
        <f>+SUMIFS('PdI-crono_inv'!AX:AX,'PdI-crono_inv'!CF:CF,F235,'PdI-crono_inv'!CE:CE,H235,'PdI-crono_inv'!J:J,P235,'PdI-crono_inv'!P:P,"&lt;&gt;proprietario")+S235</f>
        <v>0</v>
      </c>
      <c r="P235" s="1013" t="s">
        <v>27068</v>
      </c>
      <c r="Q235" s="1932" t="str">
        <f>+VLOOKUP(F235,TT_Tabelle_Riferimento!$D$127:$E$164,2,FALSE)</f>
        <v>Acquedotto</v>
      </c>
      <c r="R235" s="1932" t="str">
        <f t="shared" si="19"/>
        <v/>
      </c>
      <c r="S235" s="2335">
        <f t="shared" si="22"/>
        <v>0</v>
      </c>
    </row>
    <row r="236" spans="1:19">
      <c r="A236" s="1932">
        <f t="shared" si="20"/>
        <v>0</v>
      </c>
      <c r="B236" s="1932">
        <f t="shared" si="21"/>
        <v>0</v>
      </c>
      <c r="C236" s="1013" t="s">
        <v>245</v>
      </c>
      <c r="D236" s="1013">
        <v>0</v>
      </c>
      <c r="E236" s="1013" t="s">
        <v>22698</v>
      </c>
      <c r="F236" s="1013">
        <v>4</v>
      </c>
      <c r="G236" s="1932" t="str">
        <f>+VLOOKUP(F236,TT_Tabelle_Riferimento!$D$127:$G$164,4,FALSE)</f>
        <v>Serbatoi</v>
      </c>
      <c r="H236" s="1013">
        <v>1</v>
      </c>
      <c r="I236" s="1932" t="str">
        <f>+VLOOKUP(H236,TT_Tabelle_Riferimento!$F$3:$G$6,2,FALSE)</f>
        <v>Servizio idrico integrato</v>
      </c>
      <c r="J236" s="1013">
        <v>2026</v>
      </c>
      <c r="K236" s="2335">
        <f>+SUMIFS('PdI-crono_inv'!AW:AW,'PdI-crono_inv'!CF:CF,F236,'PdI-crono_inv'!CE:CE,H236,'PdI-crono_inv'!J:J,P236,'PdI-crono_inv'!P:P,"&lt;&gt;proprietario")</f>
        <v>0</v>
      </c>
      <c r="M236" s="2335">
        <f>+SUMIFS('PdI-crono_inv'!AX:AX,'PdI-crono_inv'!CF:CF,F236,'PdI-crono_inv'!CE:CE,H236,'PdI-crono_inv'!J:J,P236,'PdI-crono_inv'!P:P,"&lt;&gt;proprietario")+S236</f>
        <v>0</v>
      </c>
      <c r="P236" s="1013" t="s">
        <v>27068</v>
      </c>
      <c r="Q236" s="1932" t="str">
        <f>+VLOOKUP(F236,TT_Tabelle_Riferimento!$D$127:$E$164,2,FALSE)</f>
        <v>Acquedotto</v>
      </c>
      <c r="R236" s="1932" t="str">
        <f t="shared" ref="R236:R299" si="23">+IF(SUM(K236:N236)=0,"","PdI_consolidamento")</f>
        <v/>
      </c>
      <c r="S236" s="2335">
        <f t="shared" si="22"/>
        <v>0</v>
      </c>
    </row>
    <row r="237" spans="1:19">
      <c r="A237" s="1932">
        <f t="shared" si="20"/>
        <v>0</v>
      </c>
      <c r="B237" s="1932">
        <f t="shared" si="21"/>
        <v>0</v>
      </c>
      <c r="C237" s="1013" t="s">
        <v>245</v>
      </c>
      <c r="D237" s="1013">
        <v>0</v>
      </c>
      <c r="E237" s="1013" t="s">
        <v>22698</v>
      </c>
      <c r="F237" s="1013">
        <v>5</v>
      </c>
      <c r="G237" s="1932" t="str">
        <f>+VLOOKUP(F237,TT_Tabelle_Riferimento!$D$127:$G$164,4,FALSE)</f>
        <v>Impianti di sollevamento e pompaggio di acquedotto</v>
      </c>
      <c r="H237" s="1013">
        <v>1</v>
      </c>
      <c r="I237" s="1932" t="str">
        <f>+VLOOKUP(H237,TT_Tabelle_Riferimento!$F$3:$G$6,2,FALSE)</f>
        <v>Servizio idrico integrato</v>
      </c>
      <c r="J237" s="1013">
        <v>2026</v>
      </c>
      <c r="K237" s="2335">
        <f>+SUMIFS('PdI-crono_inv'!AW:AW,'PdI-crono_inv'!CF:CF,F237,'PdI-crono_inv'!CE:CE,H237,'PdI-crono_inv'!J:J,P237,'PdI-crono_inv'!P:P,"&lt;&gt;proprietario")</f>
        <v>0</v>
      </c>
      <c r="M237" s="2335">
        <f>+SUMIFS('PdI-crono_inv'!AX:AX,'PdI-crono_inv'!CF:CF,F237,'PdI-crono_inv'!CE:CE,H237,'PdI-crono_inv'!J:J,P237,'PdI-crono_inv'!P:P,"&lt;&gt;proprietario")+S237</f>
        <v>0</v>
      </c>
      <c r="P237" s="1013" t="s">
        <v>27068</v>
      </c>
      <c r="Q237" s="1932" t="str">
        <f>+VLOOKUP(F237,TT_Tabelle_Riferimento!$D$127:$E$164,2,FALSE)</f>
        <v>Acquedotto</v>
      </c>
      <c r="R237" s="1932" t="str">
        <f t="shared" si="23"/>
        <v/>
      </c>
      <c r="S237" s="2335">
        <f t="shared" si="22"/>
        <v>0</v>
      </c>
    </row>
    <row r="238" spans="1:19">
      <c r="A238" s="1932">
        <f t="shared" si="20"/>
        <v>0</v>
      </c>
      <c r="B238" s="1932">
        <f t="shared" si="21"/>
        <v>0</v>
      </c>
      <c r="C238" s="1013" t="s">
        <v>245</v>
      </c>
      <c r="D238" s="1013">
        <v>0</v>
      </c>
      <c r="E238" s="1013" t="s">
        <v>22698</v>
      </c>
      <c r="F238" s="1013">
        <v>6</v>
      </c>
      <c r="G238" s="1932" t="str">
        <f>+VLOOKUP(F238,TT_Tabelle_Riferimento!$D$127:$G$164,4,FALSE)</f>
        <v>Impianti di potabilizzazione</v>
      </c>
      <c r="H238" s="1013">
        <v>1</v>
      </c>
      <c r="I238" s="1932" t="str">
        <f>+VLOOKUP(H238,TT_Tabelle_Riferimento!$F$3:$G$6,2,FALSE)</f>
        <v>Servizio idrico integrato</v>
      </c>
      <c r="J238" s="1013">
        <v>2026</v>
      </c>
      <c r="K238" s="2335">
        <f>+SUMIFS('PdI-crono_inv'!AW:AW,'PdI-crono_inv'!CF:CF,F238,'PdI-crono_inv'!CE:CE,H238,'PdI-crono_inv'!J:J,P238,'PdI-crono_inv'!P:P,"&lt;&gt;proprietario")</f>
        <v>0</v>
      </c>
      <c r="M238" s="2335">
        <f>+SUMIFS('PdI-crono_inv'!AX:AX,'PdI-crono_inv'!CF:CF,F238,'PdI-crono_inv'!CE:CE,H238,'PdI-crono_inv'!J:J,P238,'PdI-crono_inv'!P:P,"&lt;&gt;proprietario")+S238</f>
        <v>0</v>
      </c>
      <c r="P238" s="1013" t="s">
        <v>27068</v>
      </c>
      <c r="Q238" s="1932" t="str">
        <f>+VLOOKUP(F238,TT_Tabelle_Riferimento!$D$127:$E$164,2,FALSE)</f>
        <v>Acquedotto</v>
      </c>
      <c r="R238" s="1932" t="str">
        <f t="shared" si="23"/>
        <v/>
      </c>
      <c r="S238" s="2335">
        <f t="shared" si="22"/>
        <v>0</v>
      </c>
    </row>
    <row r="239" spans="1:19">
      <c r="A239" s="1932">
        <f t="shared" si="20"/>
        <v>0</v>
      </c>
      <c r="B239" s="1932">
        <f t="shared" si="21"/>
        <v>0</v>
      </c>
      <c r="C239" s="1013" t="s">
        <v>245</v>
      </c>
      <c r="D239" s="1013">
        <v>0</v>
      </c>
      <c r="E239" s="1013" t="s">
        <v>22698</v>
      </c>
      <c r="F239" s="1013">
        <v>7</v>
      </c>
      <c r="G239" s="1932" t="str">
        <f>+VLOOKUP(F239,TT_Tabelle_Riferimento!$D$127:$G$164,4,FALSE)</f>
        <v>Altri trattamenti di potabilizzazione (tra cui dispositivi di disinfezione, stacciatura, filtrazione, addolcimento)</v>
      </c>
      <c r="H239" s="1013">
        <v>1</v>
      </c>
      <c r="I239" s="1932" t="str">
        <f>+VLOOKUP(H239,TT_Tabelle_Riferimento!$F$3:$G$6,2,FALSE)</f>
        <v>Servizio idrico integrato</v>
      </c>
      <c r="J239" s="1013">
        <v>2026</v>
      </c>
      <c r="K239" s="2335">
        <f>+SUMIFS('PdI-crono_inv'!AW:AW,'PdI-crono_inv'!CF:CF,F239,'PdI-crono_inv'!CE:CE,H239,'PdI-crono_inv'!J:J,P239,'PdI-crono_inv'!P:P,"&lt;&gt;proprietario")</f>
        <v>0</v>
      </c>
      <c r="M239" s="2335">
        <f>+SUMIFS('PdI-crono_inv'!AX:AX,'PdI-crono_inv'!CF:CF,F239,'PdI-crono_inv'!CE:CE,H239,'PdI-crono_inv'!J:J,P239,'PdI-crono_inv'!P:P,"&lt;&gt;proprietario")+S239</f>
        <v>0</v>
      </c>
      <c r="P239" s="1013" t="s">
        <v>27068</v>
      </c>
      <c r="Q239" s="1932" t="str">
        <f>+VLOOKUP(F239,TT_Tabelle_Riferimento!$D$127:$E$164,2,FALSE)</f>
        <v>Acquedotto</v>
      </c>
      <c r="R239" s="1932" t="str">
        <f t="shared" si="23"/>
        <v/>
      </c>
      <c r="S239" s="2335">
        <f t="shared" si="22"/>
        <v>0</v>
      </c>
    </row>
    <row r="240" spans="1:19">
      <c r="A240" s="1932">
        <f t="shared" si="20"/>
        <v>0</v>
      </c>
      <c r="B240" s="1932">
        <f t="shared" si="21"/>
        <v>0</v>
      </c>
      <c r="C240" s="1013" t="s">
        <v>245</v>
      </c>
      <c r="D240" s="1013">
        <v>0</v>
      </c>
      <c r="E240" s="1013" t="s">
        <v>22698</v>
      </c>
      <c r="F240" s="1013">
        <v>8</v>
      </c>
      <c r="G240" s="1932" t="str">
        <f>+VLOOKUP(F240,TT_Tabelle_Riferimento!$D$127:$G$164,4,FALSE)</f>
        <v>Gruppi di misura - altre attrezzature di acquedotto</v>
      </c>
      <c r="H240" s="1013">
        <v>1</v>
      </c>
      <c r="I240" s="1932" t="str">
        <f>+VLOOKUP(H240,TT_Tabelle_Riferimento!$F$3:$G$6,2,FALSE)</f>
        <v>Servizio idrico integrato</v>
      </c>
      <c r="J240" s="1013">
        <v>2026</v>
      </c>
      <c r="K240" s="2335">
        <f>+SUMIFS('PdI-crono_inv'!AW:AW,'PdI-crono_inv'!CF:CF,F240,'PdI-crono_inv'!CE:CE,H240,'PdI-crono_inv'!J:J,P240,'PdI-crono_inv'!P:P,"&lt;&gt;proprietario")</f>
        <v>0</v>
      </c>
      <c r="M240" s="2335">
        <f>+SUMIFS('PdI-crono_inv'!AX:AX,'PdI-crono_inv'!CF:CF,F240,'PdI-crono_inv'!CE:CE,H240,'PdI-crono_inv'!J:J,P240,'PdI-crono_inv'!P:P,"&lt;&gt;proprietario")+S240</f>
        <v>0</v>
      </c>
      <c r="P240" s="1013" t="s">
        <v>27068</v>
      </c>
      <c r="Q240" s="1932" t="str">
        <f>+VLOOKUP(F240,TT_Tabelle_Riferimento!$D$127:$E$164,2,FALSE)</f>
        <v>Acquedotto</v>
      </c>
      <c r="R240" s="1932" t="str">
        <f t="shared" si="23"/>
        <v/>
      </c>
      <c r="S240" s="2335">
        <f t="shared" si="22"/>
        <v>0</v>
      </c>
    </row>
    <row r="241" spans="1:19">
      <c r="A241" s="1932">
        <f t="shared" si="20"/>
        <v>0</v>
      </c>
      <c r="B241" s="1932">
        <f t="shared" si="21"/>
        <v>0</v>
      </c>
      <c r="C241" s="1013" t="s">
        <v>245</v>
      </c>
      <c r="D241" s="1013">
        <v>0</v>
      </c>
      <c r="E241" s="1013" t="s">
        <v>22698</v>
      </c>
      <c r="F241" s="1013">
        <v>9</v>
      </c>
      <c r="G241" s="1932" t="str">
        <f>+VLOOKUP(F241,TT_Tabelle_Riferimento!$D$127:$G$164,4,FALSE)</f>
        <v>Sistemi informativi di acquedotto</v>
      </c>
      <c r="H241" s="1013">
        <v>1</v>
      </c>
      <c r="I241" s="1932" t="str">
        <f>+VLOOKUP(H241,TT_Tabelle_Riferimento!$F$3:$G$6,2,FALSE)</f>
        <v>Servizio idrico integrato</v>
      </c>
      <c r="J241" s="1013">
        <v>2026</v>
      </c>
      <c r="K241" s="2335">
        <f>+SUMIFS('PdI-crono_inv'!AW:AW,'PdI-crono_inv'!CF:CF,F241,'PdI-crono_inv'!CE:CE,H241,'PdI-crono_inv'!J:J,P241,'PdI-crono_inv'!P:P,"&lt;&gt;proprietario")</f>
        <v>0</v>
      </c>
      <c r="M241" s="2335">
        <f>+SUMIFS('PdI-crono_inv'!AX:AX,'PdI-crono_inv'!CF:CF,F241,'PdI-crono_inv'!CE:CE,H241,'PdI-crono_inv'!J:J,P241,'PdI-crono_inv'!P:P,"&lt;&gt;proprietario")+S241</f>
        <v>0</v>
      </c>
      <c r="P241" s="1013" t="s">
        <v>27068</v>
      </c>
      <c r="Q241" s="1932" t="str">
        <f>+VLOOKUP(F241,TT_Tabelle_Riferimento!$D$127:$E$164,2,FALSE)</f>
        <v>Acquedotto</v>
      </c>
      <c r="R241" s="1932" t="str">
        <f t="shared" si="23"/>
        <v/>
      </c>
      <c r="S241" s="2335">
        <f t="shared" si="22"/>
        <v>0</v>
      </c>
    </row>
    <row r="242" spans="1:19">
      <c r="A242" s="1932">
        <f t="shared" si="20"/>
        <v>0</v>
      </c>
      <c r="B242" s="1932">
        <f t="shared" si="21"/>
        <v>0</v>
      </c>
      <c r="C242" s="1013" t="s">
        <v>245</v>
      </c>
      <c r="D242" s="1013">
        <v>0</v>
      </c>
      <c r="E242" s="1013" t="s">
        <v>22698</v>
      </c>
      <c r="F242" s="1013">
        <v>10</v>
      </c>
      <c r="G242" s="1932" t="str">
        <f>+VLOOKUP(F242,TT_Tabelle_Riferimento!$D$127:$G$164,4,FALSE)</f>
        <v>Telecontrollo e teletrasmissione di acquedotto</v>
      </c>
      <c r="H242" s="1013">
        <v>1</v>
      </c>
      <c r="I242" s="1932" t="str">
        <f>+VLOOKUP(H242,TT_Tabelle_Riferimento!$F$3:$G$6,2,FALSE)</f>
        <v>Servizio idrico integrato</v>
      </c>
      <c r="J242" s="1013">
        <v>2026</v>
      </c>
      <c r="K242" s="2335">
        <f>+SUMIFS('PdI-crono_inv'!AW:AW,'PdI-crono_inv'!CF:CF,F242,'PdI-crono_inv'!CE:CE,H242,'PdI-crono_inv'!J:J,P242,'PdI-crono_inv'!P:P,"&lt;&gt;proprietario")</f>
        <v>0</v>
      </c>
      <c r="M242" s="2335">
        <f>+SUMIFS('PdI-crono_inv'!AX:AX,'PdI-crono_inv'!CF:CF,F242,'PdI-crono_inv'!CE:CE,H242,'PdI-crono_inv'!J:J,P242,'PdI-crono_inv'!P:P,"&lt;&gt;proprietario")+S242</f>
        <v>0</v>
      </c>
      <c r="P242" s="1013" t="s">
        <v>27068</v>
      </c>
      <c r="Q242" s="1932" t="str">
        <f>+VLOOKUP(F242,TT_Tabelle_Riferimento!$D$127:$E$164,2,FALSE)</f>
        <v>Acquedotto</v>
      </c>
      <c r="R242" s="1932" t="str">
        <f t="shared" si="23"/>
        <v/>
      </c>
      <c r="S242" s="2335">
        <f t="shared" si="22"/>
        <v>0</v>
      </c>
    </row>
    <row r="243" spans="1:19">
      <c r="A243" s="1932">
        <f t="shared" si="20"/>
        <v>0</v>
      </c>
      <c r="B243" s="1932">
        <f t="shared" si="21"/>
        <v>0</v>
      </c>
      <c r="C243" s="1013" t="s">
        <v>245</v>
      </c>
      <c r="D243" s="1013">
        <v>0</v>
      </c>
      <c r="E243" s="1013" t="s">
        <v>22698</v>
      </c>
      <c r="F243" s="1013">
        <v>11</v>
      </c>
      <c r="G243" s="1932" t="str">
        <f>+VLOOKUP(F243,TT_Tabelle_Riferimento!$D$127:$G$164,4,FALSE)</f>
        <v>Condotte fognarie</v>
      </c>
      <c r="H243" s="1013">
        <v>1</v>
      </c>
      <c r="I243" s="1932" t="str">
        <f>+VLOOKUP(H243,TT_Tabelle_Riferimento!$F$3:$G$6,2,FALSE)</f>
        <v>Servizio idrico integrato</v>
      </c>
      <c r="J243" s="1013">
        <v>2026</v>
      </c>
      <c r="K243" s="2335">
        <f>+SUMIFS('PdI-crono_inv'!AW:AW,'PdI-crono_inv'!CF:CF,F243,'PdI-crono_inv'!CE:CE,H243,'PdI-crono_inv'!J:J,P243,'PdI-crono_inv'!P:P,"&lt;&gt;proprietario")</f>
        <v>0</v>
      </c>
      <c r="M243" s="2335">
        <f>+SUMIFS('PdI-crono_inv'!AX:AX,'PdI-crono_inv'!CF:CF,F243,'PdI-crono_inv'!CE:CE,H243,'PdI-crono_inv'!J:J,P243,'PdI-crono_inv'!P:P,"&lt;&gt;proprietario")+S243</f>
        <v>0</v>
      </c>
      <c r="P243" s="1013" t="s">
        <v>27068</v>
      </c>
      <c r="Q243" s="1932" t="str">
        <f>+VLOOKUP(F243,TT_Tabelle_Riferimento!$D$127:$E$164,2,FALSE)</f>
        <v>Fognatura</v>
      </c>
      <c r="R243" s="1932" t="str">
        <f t="shared" si="23"/>
        <v/>
      </c>
      <c r="S243" s="2335">
        <f t="shared" si="22"/>
        <v>0</v>
      </c>
    </row>
    <row r="244" spans="1:19">
      <c r="A244" s="1932">
        <f t="shared" si="20"/>
        <v>0</v>
      </c>
      <c r="B244" s="1932">
        <f t="shared" si="21"/>
        <v>0</v>
      </c>
      <c r="C244" s="1013" t="s">
        <v>245</v>
      </c>
      <c r="D244" s="1013">
        <v>0</v>
      </c>
      <c r="E244" s="1013" t="s">
        <v>22698</v>
      </c>
      <c r="F244" s="1013">
        <v>12</v>
      </c>
      <c r="G244" s="1932" t="str">
        <f>+VLOOKUP(F244,TT_Tabelle_Riferimento!$D$127:$G$164,4,FALSE)</f>
        <v>Sifoni e scaricatori di piena e altre opere idrauliche fisse di fognatura</v>
      </c>
      <c r="H244" s="1013">
        <v>1</v>
      </c>
      <c r="I244" s="1932" t="str">
        <f>+VLOOKUP(H244,TT_Tabelle_Riferimento!$F$3:$G$6,2,FALSE)</f>
        <v>Servizio idrico integrato</v>
      </c>
      <c r="J244" s="1013">
        <v>2026</v>
      </c>
      <c r="K244" s="2335">
        <f>+SUMIFS('PdI-crono_inv'!AW:AW,'PdI-crono_inv'!CF:CF,F244,'PdI-crono_inv'!CE:CE,H244,'PdI-crono_inv'!J:J,P244,'PdI-crono_inv'!P:P,"&lt;&gt;proprietario")</f>
        <v>0</v>
      </c>
      <c r="M244" s="2335">
        <f>+SUMIFS('PdI-crono_inv'!AX:AX,'PdI-crono_inv'!CF:CF,F244,'PdI-crono_inv'!CE:CE,H244,'PdI-crono_inv'!J:J,P244,'PdI-crono_inv'!P:P,"&lt;&gt;proprietario")+S244</f>
        <v>0</v>
      </c>
      <c r="P244" s="1013" t="s">
        <v>27068</v>
      </c>
      <c r="Q244" s="1932" t="str">
        <f>+VLOOKUP(F244,TT_Tabelle_Riferimento!$D$127:$E$164,2,FALSE)</f>
        <v>Fognatura</v>
      </c>
      <c r="R244" s="1932" t="str">
        <f t="shared" si="23"/>
        <v/>
      </c>
      <c r="S244" s="2335">
        <f t="shared" si="22"/>
        <v>0</v>
      </c>
    </row>
    <row r="245" spans="1:19">
      <c r="A245" s="1932">
        <f t="shared" si="20"/>
        <v>0</v>
      </c>
      <c r="B245" s="1932">
        <f t="shared" si="21"/>
        <v>0</v>
      </c>
      <c r="C245" s="1013" t="s">
        <v>245</v>
      </c>
      <c r="D245" s="1013">
        <v>0</v>
      </c>
      <c r="E245" s="1013" t="s">
        <v>22698</v>
      </c>
      <c r="F245" s="1013">
        <v>13</v>
      </c>
      <c r="G245" s="1932" t="str">
        <f>+VLOOKUP(F245,TT_Tabelle_Riferimento!$D$127:$G$164,4,FALSE)</f>
        <v>Vasche di laminazione e vasche di prima pioggia</v>
      </c>
      <c r="H245" s="1013">
        <v>1</v>
      </c>
      <c r="I245" s="1932" t="str">
        <f>+VLOOKUP(H245,TT_Tabelle_Riferimento!$F$3:$G$6,2,FALSE)</f>
        <v>Servizio idrico integrato</v>
      </c>
      <c r="J245" s="1013">
        <v>2026</v>
      </c>
      <c r="K245" s="2335">
        <f>+SUMIFS('PdI-crono_inv'!AW:AW,'PdI-crono_inv'!CF:CF,F245,'PdI-crono_inv'!CE:CE,H245,'PdI-crono_inv'!J:J,P245,'PdI-crono_inv'!P:P,"&lt;&gt;proprietario")</f>
        <v>0</v>
      </c>
      <c r="M245" s="2335">
        <f>+SUMIFS('PdI-crono_inv'!AX:AX,'PdI-crono_inv'!CF:CF,F245,'PdI-crono_inv'!CE:CE,H245,'PdI-crono_inv'!J:J,P245,'PdI-crono_inv'!P:P,"&lt;&gt;proprietario")+S245</f>
        <v>0</v>
      </c>
      <c r="P245" s="1013" t="s">
        <v>27068</v>
      </c>
      <c r="Q245" s="1932" t="str">
        <f>+VLOOKUP(F245,TT_Tabelle_Riferimento!$D$127:$E$164,2,FALSE)</f>
        <v>Fognatura</v>
      </c>
      <c r="R245" s="1932" t="str">
        <f t="shared" si="23"/>
        <v/>
      </c>
      <c r="S245" s="2335">
        <f t="shared" si="22"/>
        <v>0</v>
      </c>
    </row>
    <row r="246" spans="1:19">
      <c r="A246" s="1932">
        <f t="shared" si="20"/>
        <v>0</v>
      </c>
      <c r="B246" s="1932">
        <f t="shared" si="21"/>
        <v>0</v>
      </c>
      <c r="C246" s="1013" t="s">
        <v>245</v>
      </c>
      <c r="D246" s="1013">
        <v>0</v>
      </c>
      <c r="E246" s="1013" t="s">
        <v>22698</v>
      </c>
      <c r="F246" s="1013">
        <v>14</v>
      </c>
      <c r="G246" s="1932" t="str">
        <f>+VLOOKUP(F246,TT_Tabelle_Riferimento!$D$127:$G$164,4,FALSE)</f>
        <v>Impianti di sollevamento e pompaggio di fognatura</v>
      </c>
      <c r="H246" s="1013">
        <v>1</v>
      </c>
      <c r="I246" s="1932" t="str">
        <f>+VLOOKUP(H246,TT_Tabelle_Riferimento!$F$3:$G$6,2,FALSE)</f>
        <v>Servizio idrico integrato</v>
      </c>
      <c r="J246" s="1013">
        <v>2026</v>
      </c>
      <c r="K246" s="2335">
        <f>+SUMIFS('PdI-crono_inv'!AW:AW,'PdI-crono_inv'!CF:CF,F246,'PdI-crono_inv'!CE:CE,H246,'PdI-crono_inv'!J:J,P246,'PdI-crono_inv'!P:P,"&lt;&gt;proprietario")</f>
        <v>0</v>
      </c>
      <c r="M246" s="2335">
        <f>+SUMIFS('PdI-crono_inv'!AX:AX,'PdI-crono_inv'!CF:CF,F246,'PdI-crono_inv'!CE:CE,H246,'PdI-crono_inv'!J:J,P246,'PdI-crono_inv'!P:P,"&lt;&gt;proprietario")+S246</f>
        <v>0</v>
      </c>
      <c r="P246" s="1013" t="s">
        <v>27068</v>
      </c>
      <c r="Q246" s="1932" t="str">
        <f>+VLOOKUP(F246,TT_Tabelle_Riferimento!$D$127:$E$164,2,FALSE)</f>
        <v>Fognatura</v>
      </c>
      <c r="R246" s="1932" t="str">
        <f t="shared" si="23"/>
        <v/>
      </c>
      <c r="S246" s="2335">
        <f t="shared" si="22"/>
        <v>0</v>
      </c>
    </row>
    <row r="247" spans="1:19">
      <c r="A247" s="1932">
        <f t="shared" si="20"/>
        <v>0</v>
      </c>
      <c r="B247" s="1932">
        <f t="shared" si="21"/>
        <v>0</v>
      </c>
      <c r="C247" s="1013" t="s">
        <v>245</v>
      </c>
      <c r="D247" s="1013">
        <v>0</v>
      </c>
      <c r="E247" s="1013" t="s">
        <v>22698</v>
      </c>
      <c r="F247" s="1013">
        <v>15</v>
      </c>
      <c r="G247" s="1932" t="str">
        <f>+VLOOKUP(F247,TT_Tabelle_Riferimento!$D$127:$G$164,4,FALSE)</f>
        <v>Gruppi di misura - altre attrezzature di fognatura</v>
      </c>
      <c r="H247" s="1013">
        <v>1</v>
      </c>
      <c r="I247" s="1932" t="str">
        <f>+VLOOKUP(H247,TT_Tabelle_Riferimento!$F$3:$G$6,2,FALSE)</f>
        <v>Servizio idrico integrato</v>
      </c>
      <c r="J247" s="1013">
        <v>2026</v>
      </c>
      <c r="K247" s="2335">
        <f>+SUMIFS('PdI-crono_inv'!AW:AW,'PdI-crono_inv'!CF:CF,F247,'PdI-crono_inv'!CE:CE,H247,'PdI-crono_inv'!J:J,P247,'PdI-crono_inv'!P:P,"&lt;&gt;proprietario")</f>
        <v>0</v>
      </c>
      <c r="M247" s="2335">
        <f>+SUMIFS('PdI-crono_inv'!AX:AX,'PdI-crono_inv'!CF:CF,F247,'PdI-crono_inv'!CE:CE,H247,'PdI-crono_inv'!J:J,P247,'PdI-crono_inv'!P:P,"&lt;&gt;proprietario")+S247</f>
        <v>0</v>
      </c>
      <c r="P247" s="1013" t="s">
        <v>27068</v>
      </c>
      <c r="Q247" s="1932" t="str">
        <f>+VLOOKUP(F247,TT_Tabelle_Riferimento!$D$127:$E$164,2,FALSE)</f>
        <v>Fognatura</v>
      </c>
      <c r="R247" s="1932" t="str">
        <f t="shared" si="23"/>
        <v/>
      </c>
      <c r="S247" s="2335">
        <f t="shared" si="22"/>
        <v>0</v>
      </c>
    </row>
    <row r="248" spans="1:19">
      <c r="A248" s="1932">
        <f t="shared" si="20"/>
        <v>0</v>
      </c>
      <c r="B248" s="1932">
        <f t="shared" si="21"/>
        <v>0</v>
      </c>
      <c r="C248" s="1013" t="s">
        <v>245</v>
      </c>
      <c r="D248" s="1013">
        <v>0</v>
      </c>
      <c r="E248" s="1013" t="s">
        <v>22698</v>
      </c>
      <c r="F248" s="1013">
        <v>16</v>
      </c>
      <c r="G248" s="1932" t="str">
        <f>+VLOOKUP(F248,TT_Tabelle_Riferimento!$D$127:$G$164,4,FALSE)</f>
        <v>Sistemi informativi di fognatura</v>
      </c>
      <c r="H248" s="1013">
        <v>1</v>
      </c>
      <c r="I248" s="1932" t="str">
        <f>+VLOOKUP(H248,TT_Tabelle_Riferimento!$F$3:$G$6,2,FALSE)</f>
        <v>Servizio idrico integrato</v>
      </c>
      <c r="J248" s="1013">
        <v>2026</v>
      </c>
      <c r="K248" s="2335">
        <f>+SUMIFS('PdI-crono_inv'!AW:AW,'PdI-crono_inv'!CF:CF,F248,'PdI-crono_inv'!CE:CE,H248,'PdI-crono_inv'!J:J,P248,'PdI-crono_inv'!P:P,"&lt;&gt;proprietario")</f>
        <v>0</v>
      </c>
      <c r="M248" s="2335">
        <f>+SUMIFS('PdI-crono_inv'!AX:AX,'PdI-crono_inv'!CF:CF,F248,'PdI-crono_inv'!CE:CE,H248,'PdI-crono_inv'!J:J,P248,'PdI-crono_inv'!P:P,"&lt;&gt;proprietario")+S248</f>
        <v>0</v>
      </c>
      <c r="P248" s="1013" t="s">
        <v>27068</v>
      </c>
      <c r="Q248" s="1932" t="str">
        <f>+VLOOKUP(F248,TT_Tabelle_Riferimento!$D$127:$E$164,2,FALSE)</f>
        <v>Fognatura</v>
      </c>
      <c r="R248" s="1932" t="str">
        <f t="shared" si="23"/>
        <v/>
      </c>
      <c r="S248" s="2335">
        <f t="shared" si="22"/>
        <v>0</v>
      </c>
    </row>
    <row r="249" spans="1:19">
      <c r="A249" s="1932">
        <f t="shared" si="20"/>
        <v>0</v>
      </c>
      <c r="B249" s="1932">
        <f t="shared" si="21"/>
        <v>0</v>
      </c>
      <c r="C249" s="1013" t="s">
        <v>245</v>
      </c>
      <c r="D249" s="1013">
        <v>0</v>
      </c>
      <c r="E249" s="1013" t="s">
        <v>22698</v>
      </c>
      <c r="F249" s="1013">
        <v>18</v>
      </c>
      <c r="G249" s="1932" t="str">
        <f>+VLOOKUP(F249,TT_Tabelle_Riferimento!$D$127:$G$164,4,FALSE)</f>
        <v>Telecontrollo e teletrasmissione di fognatura</v>
      </c>
      <c r="H249" s="1013">
        <v>1</v>
      </c>
      <c r="I249" s="1932" t="str">
        <f>+VLOOKUP(H249,TT_Tabelle_Riferimento!$F$3:$G$6,2,FALSE)</f>
        <v>Servizio idrico integrato</v>
      </c>
      <c r="J249" s="1013">
        <v>2026</v>
      </c>
      <c r="K249" s="2335">
        <f>+SUMIFS('PdI-crono_inv'!AW:AW,'PdI-crono_inv'!CF:CF,F249,'PdI-crono_inv'!CE:CE,H249,'PdI-crono_inv'!J:J,P249,'PdI-crono_inv'!P:P,"&lt;&gt;proprietario")</f>
        <v>0</v>
      </c>
      <c r="M249" s="2335">
        <f>+SUMIFS('PdI-crono_inv'!AX:AX,'PdI-crono_inv'!CF:CF,F249,'PdI-crono_inv'!CE:CE,H249,'PdI-crono_inv'!J:J,P249,'PdI-crono_inv'!P:P,"&lt;&gt;proprietario")+S249</f>
        <v>0</v>
      </c>
      <c r="P249" s="1013" t="s">
        <v>27068</v>
      </c>
      <c r="Q249" s="1932" t="str">
        <f>+VLOOKUP(F249,TT_Tabelle_Riferimento!$D$127:$E$164,2,FALSE)</f>
        <v>Fognatura</v>
      </c>
      <c r="R249" s="1932" t="str">
        <f t="shared" si="23"/>
        <v/>
      </c>
      <c r="S249" s="2335">
        <f t="shared" si="22"/>
        <v>0</v>
      </c>
    </row>
    <row r="250" spans="1:19">
      <c r="A250" s="1932">
        <f t="shared" si="20"/>
        <v>0</v>
      </c>
      <c r="B250" s="1932">
        <f t="shared" si="21"/>
        <v>0</v>
      </c>
      <c r="C250" s="1013" t="s">
        <v>245</v>
      </c>
      <c r="D250" s="1013">
        <v>0</v>
      </c>
      <c r="E250" s="1013" t="s">
        <v>22698</v>
      </c>
      <c r="F250" s="1013">
        <v>19</v>
      </c>
      <c r="G250" s="1932" t="str">
        <f>+VLOOKUP(F250,TT_Tabelle_Riferimento!$D$127:$G$164,4,FALSE)</f>
        <v>Impianti di sollevamento e pompaggio di depurazione</v>
      </c>
      <c r="H250" s="1013">
        <v>1</v>
      </c>
      <c r="I250" s="1932" t="str">
        <f>+VLOOKUP(H250,TT_Tabelle_Riferimento!$F$3:$G$6,2,FALSE)</f>
        <v>Servizio idrico integrato</v>
      </c>
      <c r="J250" s="1013">
        <v>2026</v>
      </c>
      <c r="K250" s="2335">
        <f>+SUMIFS('PdI-crono_inv'!AW:AW,'PdI-crono_inv'!CF:CF,F250,'PdI-crono_inv'!CE:CE,H250,'PdI-crono_inv'!J:J,P250,'PdI-crono_inv'!P:P,"&lt;&gt;proprietario")</f>
        <v>0</v>
      </c>
      <c r="M250" s="2335">
        <f>+SUMIFS('PdI-crono_inv'!AX:AX,'PdI-crono_inv'!CF:CF,F250,'PdI-crono_inv'!CE:CE,H250,'PdI-crono_inv'!J:J,P250,'PdI-crono_inv'!P:P,"&lt;&gt;proprietario")+S250</f>
        <v>0</v>
      </c>
      <c r="P250" s="1013" t="s">
        <v>27068</v>
      </c>
      <c r="Q250" s="1932" t="str">
        <f>+VLOOKUP(F250,TT_Tabelle_Riferimento!$D$127:$E$164,2,FALSE)</f>
        <v>Depurazione</v>
      </c>
      <c r="R250" s="1932" t="str">
        <f t="shared" si="23"/>
        <v/>
      </c>
      <c r="S250" s="2335">
        <f t="shared" si="22"/>
        <v>0</v>
      </c>
    </row>
    <row r="251" spans="1:19">
      <c r="A251" s="1932">
        <f t="shared" si="20"/>
        <v>0</v>
      </c>
      <c r="B251" s="1932">
        <f t="shared" si="21"/>
        <v>0</v>
      </c>
      <c r="C251" s="1013" t="s">
        <v>245</v>
      </c>
      <c r="D251" s="1013">
        <v>0</v>
      </c>
      <c r="E251" s="1013" t="s">
        <v>22698</v>
      </c>
      <c r="F251" s="1013">
        <v>20</v>
      </c>
      <c r="G251" s="1932" t="str">
        <f>+VLOOKUP(F251,TT_Tabelle_Riferimento!$D$127:$G$164,4,FALSE)</f>
        <v>Tecniche naturali di depurazione (tra cui fitodepurazione e lagunaggio)</v>
      </c>
      <c r="H251" s="1013">
        <v>1</v>
      </c>
      <c r="I251" s="1932" t="str">
        <f>+VLOOKUP(H251,TT_Tabelle_Riferimento!$F$3:$G$6,2,FALSE)</f>
        <v>Servizio idrico integrato</v>
      </c>
      <c r="J251" s="1013">
        <v>2026</v>
      </c>
      <c r="K251" s="2335">
        <f>+SUMIFS('PdI-crono_inv'!AW:AW,'PdI-crono_inv'!CF:CF,F251,'PdI-crono_inv'!CE:CE,H251,'PdI-crono_inv'!J:J,P251,'PdI-crono_inv'!P:P,"&lt;&gt;proprietario")</f>
        <v>0</v>
      </c>
      <c r="M251" s="2335">
        <f>+SUMIFS('PdI-crono_inv'!AX:AX,'PdI-crono_inv'!CF:CF,F251,'PdI-crono_inv'!CE:CE,H251,'PdI-crono_inv'!J:J,P251,'PdI-crono_inv'!P:P,"&lt;&gt;proprietario")+S251</f>
        <v>0</v>
      </c>
      <c r="P251" s="1013" t="s">
        <v>27068</v>
      </c>
      <c r="Q251" s="1932" t="str">
        <f>+VLOOKUP(F251,TT_Tabelle_Riferimento!$D$127:$E$164,2,FALSE)</f>
        <v>Depurazione</v>
      </c>
      <c r="R251" s="1932" t="str">
        <f t="shared" si="23"/>
        <v/>
      </c>
      <c r="S251" s="2335">
        <f t="shared" si="22"/>
        <v>0</v>
      </c>
    </row>
    <row r="252" spans="1:19">
      <c r="A252" s="1932">
        <f t="shared" si="20"/>
        <v>0</v>
      </c>
      <c r="B252" s="1932">
        <f t="shared" si="21"/>
        <v>0</v>
      </c>
      <c r="C252" s="1013" t="s">
        <v>245</v>
      </c>
      <c r="D252" s="1013">
        <v>0</v>
      </c>
      <c r="E252" s="1013" t="s">
        <v>22698</v>
      </c>
      <c r="F252" s="1013">
        <v>21</v>
      </c>
      <c r="G252" s="1932" t="str">
        <f>+VLOOKUP(F252,TT_Tabelle_Riferimento!$D$127:$G$164,4,FALSE)</f>
        <v>Impianti di depurazione – trattamenti sino al preliminare, integrativo, primario - fosse settiche e fosse Imhoff</v>
      </c>
      <c r="H252" s="1013">
        <v>1</v>
      </c>
      <c r="I252" s="1932" t="str">
        <f>+VLOOKUP(H252,TT_Tabelle_Riferimento!$F$3:$G$6,2,FALSE)</f>
        <v>Servizio idrico integrato</v>
      </c>
      <c r="J252" s="1013">
        <v>2026</v>
      </c>
      <c r="K252" s="2335">
        <f>+SUMIFS('PdI-crono_inv'!AW:AW,'PdI-crono_inv'!CF:CF,F252,'PdI-crono_inv'!CE:CE,H252,'PdI-crono_inv'!J:J,P252,'PdI-crono_inv'!P:P,"&lt;&gt;proprietario")</f>
        <v>0</v>
      </c>
      <c r="M252" s="2335">
        <f>+SUMIFS('PdI-crono_inv'!AX:AX,'PdI-crono_inv'!CF:CF,F252,'PdI-crono_inv'!CE:CE,H252,'PdI-crono_inv'!J:J,P252,'PdI-crono_inv'!P:P,"&lt;&gt;proprietario")+S252</f>
        <v>0</v>
      </c>
      <c r="P252" s="1013" t="s">
        <v>27068</v>
      </c>
      <c r="Q252" s="1932" t="str">
        <f>+VLOOKUP(F252,TT_Tabelle_Riferimento!$D$127:$E$164,2,FALSE)</f>
        <v>Depurazione</v>
      </c>
      <c r="R252" s="1932" t="str">
        <f t="shared" si="23"/>
        <v/>
      </c>
      <c r="S252" s="2335">
        <f t="shared" si="22"/>
        <v>0</v>
      </c>
    </row>
    <row r="253" spans="1:19">
      <c r="A253" s="1932">
        <f t="shared" si="20"/>
        <v>0</v>
      </c>
      <c r="B253" s="1932">
        <f t="shared" si="21"/>
        <v>0</v>
      </c>
      <c r="C253" s="1013" t="s">
        <v>245</v>
      </c>
      <c r="D253" s="1013">
        <v>0</v>
      </c>
      <c r="E253" s="1013" t="s">
        <v>22698</v>
      </c>
      <c r="F253" s="1013">
        <v>22</v>
      </c>
      <c r="G253" s="1932" t="str">
        <f>+VLOOKUP(F253,TT_Tabelle_Riferimento!$D$127:$G$164,4,FALSE)</f>
        <v>Impianti di depurazione – trattamenti sino al secondario</v>
      </c>
      <c r="H253" s="1013">
        <v>1</v>
      </c>
      <c r="I253" s="1932" t="str">
        <f>+VLOOKUP(H253,TT_Tabelle_Riferimento!$F$3:$G$6,2,FALSE)</f>
        <v>Servizio idrico integrato</v>
      </c>
      <c r="J253" s="1013">
        <v>2026</v>
      </c>
      <c r="K253" s="2335">
        <f>+SUMIFS('PdI-crono_inv'!AW:AW,'PdI-crono_inv'!CF:CF,F253,'PdI-crono_inv'!CE:CE,H253,'PdI-crono_inv'!J:J,P253,'PdI-crono_inv'!P:P,"&lt;&gt;proprietario")</f>
        <v>0</v>
      </c>
      <c r="M253" s="2335">
        <f>+SUMIFS('PdI-crono_inv'!AX:AX,'PdI-crono_inv'!CF:CF,F253,'PdI-crono_inv'!CE:CE,H253,'PdI-crono_inv'!J:J,P253,'PdI-crono_inv'!P:P,"&lt;&gt;proprietario")+S253</f>
        <v>0</v>
      </c>
      <c r="P253" s="1013" t="s">
        <v>27068</v>
      </c>
      <c r="Q253" s="1932" t="str">
        <f>+VLOOKUP(F253,TT_Tabelle_Riferimento!$D$127:$E$164,2,FALSE)</f>
        <v>Depurazione</v>
      </c>
      <c r="R253" s="1932" t="str">
        <f t="shared" si="23"/>
        <v/>
      </c>
      <c r="S253" s="2335">
        <f t="shared" si="22"/>
        <v>0</v>
      </c>
    </row>
    <row r="254" spans="1:19">
      <c r="A254" s="1932">
        <f t="shared" si="20"/>
        <v>0</v>
      </c>
      <c r="B254" s="1932">
        <f t="shared" si="21"/>
        <v>0</v>
      </c>
      <c r="C254" s="1013" t="s">
        <v>245</v>
      </c>
      <c r="D254" s="1013">
        <v>0</v>
      </c>
      <c r="E254" s="1013" t="s">
        <v>22698</v>
      </c>
      <c r="F254" s="1013">
        <v>23</v>
      </c>
      <c r="G254" s="1932" t="str">
        <f>+VLOOKUP(F254,TT_Tabelle_Riferimento!$D$127:$G$164,4,FALSE)</f>
        <v>Impianti di depurazione – trattamenti sino al terziario e terziario avanzato</v>
      </c>
      <c r="H254" s="1013">
        <v>1</v>
      </c>
      <c r="I254" s="1932" t="str">
        <f>+VLOOKUP(H254,TT_Tabelle_Riferimento!$F$3:$G$6,2,FALSE)</f>
        <v>Servizio idrico integrato</v>
      </c>
      <c r="J254" s="1013">
        <v>2026</v>
      </c>
      <c r="K254" s="2335">
        <f>+SUMIFS('PdI-crono_inv'!AW:AW,'PdI-crono_inv'!CF:CF,F254,'PdI-crono_inv'!CE:CE,H254,'PdI-crono_inv'!J:J,P254,'PdI-crono_inv'!P:P,"&lt;&gt;proprietario")</f>
        <v>0</v>
      </c>
      <c r="M254" s="2335">
        <f>+SUMIFS('PdI-crono_inv'!AX:AX,'PdI-crono_inv'!CF:CF,F254,'PdI-crono_inv'!CE:CE,H254,'PdI-crono_inv'!J:J,P254,'PdI-crono_inv'!P:P,"&lt;&gt;proprietario")+S254</f>
        <v>0</v>
      </c>
      <c r="P254" s="1013" t="s">
        <v>27068</v>
      </c>
      <c r="Q254" s="1932" t="str">
        <f>+VLOOKUP(F254,TT_Tabelle_Riferimento!$D$127:$E$164,2,FALSE)</f>
        <v>Depurazione</v>
      </c>
      <c r="R254" s="1932" t="str">
        <f t="shared" si="23"/>
        <v/>
      </c>
      <c r="S254" s="2335">
        <f t="shared" si="22"/>
        <v>0</v>
      </c>
    </row>
    <row r="255" spans="1:19">
      <c r="A255" s="1932">
        <f t="shared" si="20"/>
        <v>0</v>
      </c>
      <c r="B255" s="1932">
        <f t="shared" si="21"/>
        <v>0</v>
      </c>
      <c r="C255" s="1013" t="s">
        <v>245</v>
      </c>
      <c r="D255" s="1013">
        <v>0</v>
      </c>
      <c r="E255" s="1013" t="s">
        <v>22698</v>
      </c>
      <c r="F255" s="1013">
        <v>24</v>
      </c>
      <c r="G255" s="1932" t="str">
        <f>+VLOOKUP(F255,TT_Tabelle_Riferimento!$D$127:$G$164,4,FALSE)</f>
        <v>Impianti di essiccamento fanghi e di valorizzazione dei fanghi (tra cui mono-incenerimento, pirolisi, gassificazione)</v>
      </c>
      <c r="H255" s="1013">
        <v>1</v>
      </c>
      <c r="I255" s="1932" t="str">
        <f>+VLOOKUP(H255,TT_Tabelle_Riferimento!$F$3:$G$6,2,FALSE)</f>
        <v>Servizio idrico integrato</v>
      </c>
      <c r="J255" s="1013">
        <v>2026</v>
      </c>
      <c r="K255" s="2335">
        <f>+SUMIFS('PdI-crono_inv'!AW:AW,'PdI-crono_inv'!CF:CF,F255,'PdI-crono_inv'!CE:CE,H255,'PdI-crono_inv'!J:J,P255,'PdI-crono_inv'!P:P,"&lt;&gt;proprietario")</f>
        <v>0</v>
      </c>
      <c r="M255" s="2335">
        <f>+SUMIFS('PdI-crono_inv'!AX:AX,'PdI-crono_inv'!CF:CF,F255,'PdI-crono_inv'!CE:CE,H255,'PdI-crono_inv'!J:J,P255,'PdI-crono_inv'!P:P,"&lt;&gt;proprietario")+S255</f>
        <v>0</v>
      </c>
      <c r="P255" s="1013" t="s">
        <v>27068</v>
      </c>
      <c r="Q255" s="1932" t="str">
        <f>+VLOOKUP(F255,TT_Tabelle_Riferimento!$D$127:$E$164,2,FALSE)</f>
        <v>Depurazione</v>
      </c>
      <c r="R255" s="1932" t="str">
        <f t="shared" si="23"/>
        <v/>
      </c>
      <c r="S255" s="2335">
        <f t="shared" si="22"/>
        <v>0</v>
      </c>
    </row>
    <row r="256" spans="1:19">
      <c r="A256" s="1932">
        <f t="shared" si="20"/>
        <v>0</v>
      </c>
      <c r="B256" s="1932">
        <f t="shared" si="21"/>
        <v>0</v>
      </c>
      <c r="C256" s="1013" t="s">
        <v>245</v>
      </c>
      <c r="D256" s="1013">
        <v>0</v>
      </c>
      <c r="E256" s="1013" t="s">
        <v>22698</v>
      </c>
      <c r="F256" s="1013">
        <v>25</v>
      </c>
      <c r="G256" s="1932" t="str">
        <f>+VLOOKUP(F256,TT_Tabelle_Riferimento!$D$127:$G$164,4,FALSE)</f>
        <v>Gruppi di misura - altre attrezzature di depurazione</v>
      </c>
      <c r="H256" s="1013">
        <v>1</v>
      </c>
      <c r="I256" s="1932" t="str">
        <f>+VLOOKUP(H256,TT_Tabelle_Riferimento!$F$3:$G$6,2,FALSE)</f>
        <v>Servizio idrico integrato</v>
      </c>
      <c r="J256" s="1013">
        <v>2026</v>
      </c>
      <c r="K256" s="2335">
        <f>+SUMIFS('PdI-crono_inv'!AW:AW,'PdI-crono_inv'!CF:CF,F256,'PdI-crono_inv'!CE:CE,H256,'PdI-crono_inv'!J:J,P256,'PdI-crono_inv'!P:P,"&lt;&gt;proprietario")</f>
        <v>0</v>
      </c>
      <c r="M256" s="2335">
        <f>+SUMIFS('PdI-crono_inv'!AX:AX,'PdI-crono_inv'!CF:CF,F256,'PdI-crono_inv'!CE:CE,H256,'PdI-crono_inv'!J:J,P256,'PdI-crono_inv'!P:P,"&lt;&gt;proprietario")+S256</f>
        <v>0</v>
      </c>
      <c r="P256" s="1013" t="s">
        <v>27068</v>
      </c>
      <c r="Q256" s="1932" t="str">
        <f>+VLOOKUP(F256,TT_Tabelle_Riferimento!$D$127:$E$164,2,FALSE)</f>
        <v>Depurazione</v>
      </c>
      <c r="R256" s="1932" t="str">
        <f t="shared" si="23"/>
        <v/>
      </c>
      <c r="S256" s="2335">
        <f t="shared" si="22"/>
        <v>0</v>
      </c>
    </row>
    <row r="257" spans="1:19">
      <c r="A257" s="1932">
        <f t="shared" si="20"/>
        <v>0</v>
      </c>
      <c r="B257" s="1932">
        <f t="shared" si="21"/>
        <v>0</v>
      </c>
      <c r="C257" s="1013" t="s">
        <v>245</v>
      </c>
      <c r="D257" s="1013">
        <v>0</v>
      </c>
      <c r="E257" s="1013" t="s">
        <v>22698</v>
      </c>
      <c r="F257" s="1013">
        <v>26</v>
      </c>
      <c r="G257" s="1932" t="str">
        <f>+VLOOKUP(F257,TT_Tabelle_Riferimento!$D$127:$G$164,4,FALSE)</f>
        <v>Sistemi informativi di depurazione</v>
      </c>
      <c r="H257" s="1013">
        <v>1</v>
      </c>
      <c r="I257" s="1932" t="str">
        <f>+VLOOKUP(H257,TT_Tabelle_Riferimento!$F$3:$G$6,2,FALSE)</f>
        <v>Servizio idrico integrato</v>
      </c>
      <c r="J257" s="1013">
        <v>2026</v>
      </c>
      <c r="K257" s="2335">
        <f>+SUMIFS('PdI-crono_inv'!AW:AW,'PdI-crono_inv'!CF:CF,F257,'PdI-crono_inv'!CE:CE,H257,'PdI-crono_inv'!J:J,P257,'PdI-crono_inv'!P:P,"&lt;&gt;proprietario")</f>
        <v>0</v>
      </c>
      <c r="M257" s="2335">
        <f>+SUMIFS('PdI-crono_inv'!AX:AX,'PdI-crono_inv'!CF:CF,F257,'PdI-crono_inv'!CE:CE,H257,'PdI-crono_inv'!J:J,P257,'PdI-crono_inv'!P:P,"&lt;&gt;proprietario")+S257</f>
        <v>0</v>
      </c>
      <c r="P257" s="1013" t="s">
        <v>27068</v>
      </c>
      <c r="Q257" s="1932" t="str">
        <f>+VLOOKUP(F257,TT_Tabelle_Riferimento!$D$127:$E$164,2,FALSE)</f>
        <v>Depurazione</v>
      </c>
      <c r="R257" s="1932" t="str">
        <f t="shared" si="23"/>
        <v/>
      </c>
      <c r="S257" s="2335">
        <f t="shared" si="22"/>
        <v>0</v>
      </c>
    </row>
    <row r="258" spans="1:19">
      <c r="A258" s="1932">
        <f t="shared" si="20"/>
        <v>0</v>
      </c>
      <c r="B258" s="1932">
        <f t="shared" si="21"/>
        <v>0</v>
      </c>
      <c r="C258" s="1013" t="s">
        <v>245</v>
      </c>
      <c r="D258" s="1013">
        <v>0</v>
      </c>
      <c r="E258" s="1013" t="s">
        <v>22698</v>
      </c>
      <c r="F258" s="1013">
        <v>27</v>
      </c>
      <c r="G258" s="1932" t="str">
        <f>+VLOOKUP(F258,TT_Tabelle_Riferimento!$D$127:$G$164,4,FALSE)</f>
        <v>Telecontrollo e teletrasmissione di depurazione</v>
      </c>
      <c r="H258" s="1013">
        <v>1</v>
      </c>
      <c r="I258" s="1932" t="str">
        <f>+VLOOKUP(H258,TT_Tabelle_Riferimento!$F$3:$G$6,2,FALSE)</f>
        <v>Servizio idrico integrato</v>
      </c>
      <c r="J258" s="1013">
        <v>2026</v>
      </c>
      <c r="K258" s="2335">
        <f>+SUMIFS('PdI-crono_inv'!AW:AW,'PdI-crono_inv'!CF:CF,F258,'PdI-crono_inv'!CE:CE,H258,'PdI-crono_inv'!J:J,P258,'PdI-crono_inv'!P:P,"&lt;&gt;proprietario")</f>
        <v>0</v>
      </c>
      <c r="M258" s="2335">
        <f>+SUMIFS('PdI-crono_inv'!AX:AX,'PdI-crono_inv'!CF:CF,F258,'PdI-crono_inv'!CE:CE,H258,'PdI-crono_inv'!J:J,P258,'PdI-crono_inv'!P:P,"&lt;&gt;proprietario")+S258</f>
        <v>0</v>
      </c>
      <c r="P258" s="1013" t="s">
        <v>27068</v>
      </c>
      <c r="Q258" s="1932" t="str">
        <f>+VLOOKUP(F258,TT_Tabelle_Riferimento!$D$127:$E$164,2,FALSE)</f>
        <v>Depurazione</v>
      </c>
      <c r="R258" s="1932" t="str">
        <f t="shared" si="23"/>
        <v/>
      </c>
      <c r="S258" s="2335">
        <f t="shared" si="22"/>
        <v>0</v>
      </c>
    </row>
    <row r="259" spans="1:19">
      <c r="A259" s="1932">
        <f t="shared" si="20"/>
        <v>0</v>
      </c>
      <c r="B259" s="1932">
        <f t="shared" si="21"/>
        <v>0</v>
      </c>
      <c r="C259" s="1013" t="s">
        <v>245</v>
      </c>
      <c r="D259" s="1013">
        <v>0</v>
      </c>
      <c r="E259" s="1013" t="s">
        <v>22698</v>
      </c>
      <c r="F259" s="1013">
        <v>28</v>
      </c>
      <c r="G259" s="1932" t="str">
        <f>+VLOOKUP(F259,TT_Tabelle_Riferimento!$D$127:$G$164,4,FALSE)</f>
        <v>Altri impianti</v>
      </c>
      <c r="H259" s="1013">
        <v>1</v>
      </c>
      <c r="I259" s="1932" t="str">
        <f>+VLOOKUP(H259,TT_Tabelle_Riferimento!$F$3:$G$6,2,FALSE)</f>
        <v>Servizio idrico integrato</v>
      </c>
      <c r="J259" s="1013">
        <v>2026</v>
      </c>
      <c r="K259" s="2335">
        <f>+SUMIFS('PdI-crono_inv'!AW:AW,'PdI-crono_inv'!CF:CF,F259,'PdI-crono_inv'!CE:CE,H259,'PdI-crono_inv'!J:J,P259,'PdI-crono_inv'!P:P,"&lt;&gt;proprietario")</f>
        <v>0</v>
      </c>
      <c r="M259" s="2335">
        <f>+SUMIFS('PdI-crono_inv'!AX:AX,'PdI-crono_inv'!CF:CF,F259,'PdI-crono_inv'!CE:CE,H259,'PdI-crono_inv'!J:J,P259,'PdI-crono_inv'!P:P,"&lt;&gt;proprietario")+S259</f>
        <v>0</v>
      </c>
      <c r="P259" s="1013" t="s">
        <v>27068</v>
      </c>
      <c r="Q259" s="1932" t="str">
        <f>+VLOOKUP(F259,TT_Tabelle_Riferimento!$D$127:$E$164,2,FALSE)</f>
        <v>Comune</v>
      </c>
      <c r="R259" s="1932" t="str">
        <f t="shared" si="23"/>
        <v/>
      </c>
      <c r="S259" s="2335">
        <f t="shared" si="22"/>
        <v>0</v>
      </c>
    </row>
    <row r="260" spans="1:19">
      <c r="A260" s="1932">
        <f t="shared" ref="A260:A268" si="24">+idato</f>
        <v>0</v>
      </c>
      <c r="B260" s="1932">
        <f t="shared" ref="B260:B268" si="25">+idgestore</f>
        <v>0</v>
      </c>
      <c r="C260" s="1013" t="s">
        <v>245</v>
      </c>
      <c r="D260" s="1013">
        <v>0</v>
      </c>
      <c r="E260" s="1013" t="s">
        <v>22698</v>
      </c>
      <c r="F260" s="1013">
        <v>29</v>
      </c>
      <c r="G260" s="1932" t="str">
        <f>+VLOOKUP(F260,TT_Tabelle_Riferimento!$D$127:$G$164,4,FALSE)</f>
        <v>Laboratori e attrezzature</v>
      </c>
      <c r="H260" s="1013">
        <v>1</v>
      </c>
      <c r="I260" s="1932" t="str">
        <f>+VLOOKUP(H260,TT_Tabelle_Riferimento!$F$3:$G$6,2,FALSE)</f>
        <v>Servizio idrico integrato</v>
      </c>
      <c r="J260" s="1013">
        <v>2026</v>
      </c>
      <c r="K260" s="2335">
        <f>+SUMIFS('PdI-crono_inv'!AW:AW,'PdI-crono_inv'!CF:CF,F260,'PdI-crono_inv'!CE:CE,H260,'PdI-crono_inv'!J:J,P260,'PdI-crono_inv'!P:P,"&lt;&gt;proprietario")</f>
        <v>0</v>
      </c>
      <c r="M260" s="2335">
        <f>+SUMIFS('PdI-crono_inv'!AX:AX,'PdI-crono_inv'!CF:CF,F260,'PdI-crono_inv'!CE:CE,H260,'PdI-crono_inv'!J:J,P260,'PdI-crono_inv'!P:P,"&lt;&gt;proprietario")+S260</f>
        <v>0</v>
      </c>
      <c r="P260" s="1013" t="s">
        <v>27068</v>
      </c>
      <c r="Q260" s="1932" t="str">
        <f>+VLOOKUP(F260,TT_Tabelle_Riferimento!$D$127:$E$164,2,FALSE)</f>
        <v>Comune</v>
      </c>
      <c r="R260" s="1932" t="str">
        <f t="shared" si="23"/>
        <v/>
      </c>
      <c r="S260" s="2335">
        <f t="shared" si="22"/>
        <v>0</v>
      </c>
    </row>
    <row r="261" spans="1:19">
      <c r="A261" s="1932">
        <f t="shared" si="24"/>
        <v>0</v>
      </c>
      <c r="B261" s="1932">
        <f t="shared" si="25"/>
        <v>0</v>
      </c>
      <c r="C261" s="1013" t="s">
        <v>245</v>
      </c>
      <c r="D261" s="1013">
        <v>0</v>
      </c>
      <c r="E261" s="1013" t="s">
        <v>22698</v>
      </c>
      <c r="F261" s="1013">
        <v>30</v>
      </c>
      <c r="G261" s="1932" t="str">
        <f>+VLOOKUP(F261,TT_Tabelle_Riferimento!$D$127:$G$164,4,FALSE)</f>
        <v>Sistemi informativi</v>
      </c>
      <c r="H261" s="1013">
        <v>1</v>
      </c>
      <c r="I261" s="1932" t="str">
        <f>+VLOOKUP(H261,TT_Tabelle_Riferimento!$F$3:$G$6,2,FALSE)</f>
        <v>Servizio idrico integrato</v>
      </c>
      <c r="J261" s="1013">
        <v>2026</v>
      </c>
      <c r="K261" s="2335">
        <f>+SUMIFS('PdI-crono_inv'!AW:AW,'PdI-crono_inv'!CF:CF,F261,'PdI-crono_inv'!CE:CE,H261,'PdI-crono_inv'!J:J,P261,'PdI-crono_inv'!P:P,"&lt;&gt;proprietario")</f>
        <v>0</v>
      </c>
      <c r="M261" s="2335">
        <f>+SUMIFS('PdI-crono_inv'!AX:AX,'PdI-crono_inv'!CF:CF,F261,'PdI-crono_inv'!CE:CE,H261,'PdI-crono_inv'!J:J,P261,'PdI-crono_inv'!P:P,"&lt;&gt;proprietario")+S261</f>
        <v>0</v>
      </c>
      <c r="P261" s="1013" t="s">
        <v>27068</v>
      </c>
      <c r="Q261" s="1932" t="str">
        <f>+VLOOKUP(F261,TT_Tabelle_Riferimento!$D$127:$E$164,2,FALSE)</f>
        <v>Comune</v>
      </c>
      <c r="R261" s="1932" t="str">
        <f t="shared" si="23"/>
        <v/>
      </c>
      <c r="S261" s="2335">
        <f t="shared" si="22"/>
        <v>0</v>
      </c>
    </row>
    <row r="262" spans="1:19">
      <c r="A262" s="1932">
        <f t="shared" si="24"/>
        <v>0</v>
      </c>
      <c r="B262" s="1932">
        <f t="shared" si="25"/>
        <v>0</v>
      </c>
      <c r="C262" s="1013" t="s">
        <v>245</v>
      </c>
      <c r="D262" s="1013">
        <v>0</v>
      </c>
      <c r="E262" s="1013" t="s">
        <v>22698</v>
      </c>
      <c r="F262" s="1013">
        <v>31</v>
      </c>
      <c r="G262" s="1932" t="str">
        <f>+VLOOKUP(F262,TT_Tabelle_Riferimento!$D$127:$G$164,4,FALSE)</f>
        <v>Telecontrollo e teletrasmissione</v>
      </c>
      <c r="H262" s="1013">
        <v>1</v>
      </c>
      <c r="I262" s="1932" t="str">
        <f>+VLOOKUP(H262,TT_Tabelle_Riferimento!$F$3:$G$6,2,FALSE)</f>
        <v>Servizio idrico integrato</v>
      </c>
      <c r="J262" s="1013">
        <v>2026</v>
      </c>
      <c r="K262" s="2335">
        <f>+SUMIFS('PdI-crono_inv'!AW:AW,'PdI-crono_inv'!CF:CF,F262,'PdI-crono_inv'!CE:CE,H262,'PdI-crono_inv'!J:J,P262,'PdI-crono_inv'!P:P,"&lt;&gt;proprietario")</f>
        <v>0</v>
      </c>
      <c r="M262" s="2335">
        <f>+SUMIFS('PdI-crono_inv'!AX:AX,'PdI-crono_inv'!CF:CF,F262,'PdI-crono_inv'!CE:CE,H262,'PdI-crono_inv'!J:J,P262,'PdI-crono_inv'!P:P,"&lt;&gt;proprietario")+S262</f>
        <v>0</v>
      </c>
      <c r="P262" s="1013" t="s">
        <v>27068</v>
      </c>
      <c r="Q262" s="1932" t="str">
        <f>+VLOOKUP(F262,TT_Tabelle_Riferimento!$D$127:$E$164,2,FALSE)</f>
        <v>Comune</v>
      </c>
      <c r="R262" s="1932" t="str">
        <f t="shared" si="23"/>
        <v/>
      </c>
      <c r="S262" s="2335">
        <f t="shared" si="22"/>
        <v>0</v>
      </c>
    </row>
    <row r="263" spans="1:19">
      <c r="A263" s="1932">
        <f t="shared" si="24"/>
        <v>0</v>
      </c>
      <c r="B263" s="1932">
        <f t="shared" si="25"/>
        <v>0</v>
      </c>
      <c r="C263" s="1013" t="s">
        <v>245</v>
      </c>
      <c r="D263" s="1013">
        <v>0</v>
      </c>
      <c r="E263" s="1013" t="s">
        <v>22698</v>
      </c>
      <c r="F263" s="1013">
        <v>32</v>
      </c>
      <c r="G263" s="1932" t="str">
        <f>+VLOOKUP(F263,TT_Tabelle_Riferimento!$D$127:$G$164,4,FALSE)</f>
        <v>Autoveicoli - automezzi</v>
      </c>
      <c r="H263" s="1013">
        <v>1</v>
      </c>
      <c r="I263" s="1932" t="str">
        <f>+VLOOKUP(H263,TT_Tabelle_Riferimento!$F$3:$G$6,2,FALSE)</f>
        <v>Servizio idrico integrato</v>
      </c>
      <c r="J263" s="1013">
        <v>2026</v>
      </c>
      <c r="K263" s="2335">
        <f>+SUMIFS('PdI-crono_inv'!AW:AW,'PdI-crono_inv'!CF:CF,F263,'PdI-crono_inv'!CE:CE,H263,'PdI-crono_inv'!J:J,P263,'PdI-crono_inv'!P:P,"&lt;&gt;proprietario")</f>
        <v>0</v>
      </c>
      <c r="M263" s="2335">
        <f>+SUMIFS('PdI-crono_inv'!AX:AX,'PdI-crono_inv'!CF:CF,F263,'PdI-crono_inv'!CE:CE,H263,'PdI-crono_inv'!J:J,P263,'PdI-crono_inv'!P:P,"&lt;&gt;proprietario")+S263</f>
        <v>0</v>
      </c>
      <c r="P263" s="1013" t="s">
        <v>27068</v>
      </c>
      <c r="Q263" s="1932" t="str">
        <f>+VLOOKUP(F263,TT_Tabelle_Riferimento!$D$127:$E$164,2,FALSE)</f>
        <v>Comune</v>
      </c>
      <c r="R263" s="1932" t="str">
        <f t="shared" si="23"/>
        <v/>
      </c>
      <c r="S263" s="2335">
        <f t="shared" ref="S263:S326" si="26">+IFERROR(HLOOKUP(J263,$X$2:$Y$5,4,FALSE)*K263,0)</f>
        <v>0</v>
      </c>
    </row>
    <row r="264" spans="1:19">
      <c r="A264" s="1932">
        <f t="shared" si="24"/>
        <v>0</v>
      </c>
      <c r="B264" s="1932">
        <f t="shared" si="25"/>
        <v>0</v>
      </c>
      <c r="C264" s="1013" t="s">
        <v>245</v>
      </c>
      <c r="D264" s="1013">
        <v>0</v>
      </c>
      <c r="E264" s="1013" t="s">
        <v>22698</v>
      </c>
      <c r="F264" s="1013">
        <v>1</v>
      </c>
      <c r="G264" s="1932" t="str">
        <f>+VLOOKUP(F264,TT_Tabelle_Riferimento!$D$127:$G$164,4,FALSE)</f>
        <v>Terreni</v>
      </c>
      <c r="H264" s="1013">
        <v>1</v>
      </c>
      <c r="I264" s="1932" t="str">
        <f>+VLOOKUP(H264,TT_Tabelle_Riferimento!$F$3:$G$6,2,FALSE)</f>
        <v>Servizio idrico integrato</v>
      </c>
      <c r="J264" s="1013">
        <v>2026</v>
      </c>
      <c r="K264" s="2335">
        <f>+SUMIFS('PdI-crono_inv'!AW:AW,'PdI-crono_inv'!CF:CF,F264,'PdI-crono_inv'!CE:CE,H264,'PdI-crono_inv'!J:J,P264,'PdI-crono_inv'!P:P,"&lt;&gt;proprietario")</f>
        <v>0</v>
      </c>
      <c r="M264" s="2335">
        <f>+SUMIFS('PdI-crono_inv'!AX:AX,'PdI-crono_inv'!CF:CF,F264,'PdI-crono_inv'!CE:CE,H264,'PdI-crono_inv'!J:J,P264,'PdI-crono_inv'!P:P,"&lt;&gt;proprietario")+S264</f>
        <v>0</v>
      </c>
      <c r="P264" s="1013" t="s">
        <v>27068</v>
      </c>
      <c r="Q264" s="1932" t="str">
        <f>+VLOOKUP(F264,TT_Tabelle_Riferimento!$D$127:$E$164,2,FALSE)</f>
        <v>Comune</v>
      </c>
      <c r="R264" s="1932" t="str">
        <f t="shared" si="23"/>
        <v/>
      </c>
      <c r="S264" s="2335">
        <f t="shared" si="26"/>
        <v>0</v>
      </c>
    </row>
    <row r="265" spans="1:19">
      <c r="A265" s="1932">
        <f t="shared" si="24"/>
        <v>0</v>
      </c>
      <c r="B265" s="1932">
        <f t="shared" si="25"/>
        <v>0</v>
      </c>
      <c r="C265" s="1013" t="s">
        <v>245</v>
      </c>
      <c r="D265" s="1013">
        <v>0</v>
      </c>
      <c r="E265" s="1013" t="s">
        <v>22698</v>
      </c>
      <c r="F265" s="1013">
        <v>33</v>
      </c>
      <c r="G265" s="1932" t="str">
        <f>+VLOOKUP(F265,TT_Tabelle_Riferimento!$D$127:$G$164,4,FALSE)</f>
        <v>Fabbricati non industriali</v>
      </c>
      <c r="H265" s="1013">
        <v>1</v>
      </c>
      <c r="I265" s="1932" t="str">
        <f>+VLOOKUP(H265,TT_Tabelle_Riferimento!$F$3:$G$6,2,FALSE)</f>
        <v>Servizio idrico integrato</v>
      </c>
      <c r="J265" s="1013">
        <v>2026</v>
      </c>
      <c r="K265" s="2335">
        <f>+SUMIFS('PdI-crono_inv'!AW:AW,'PdI-crono_inv'!CF:CF,F265,'PdI-crono_inv'!CE:CE,H265,'PdI-crono_inv'!J:J,P265,'PdI-crono_inv'!P:P,"&lt;&gt;proprietario")</f>
        <v>0</v>
      </c>
      <c r="M265" s="2335">
        <f>+SUMIFS('PdI-crono_inv'!AX:AX,'PdI-crono_inv'!CF:CF,F265,'PdI-crono_inv'!CE:CE,H265,'PdI-crono_inv'!J:J,P265,'PdI-crono_inv'!P:P,"&lt;&gt;proprietario")+S265</f>
        <v>0</v>
      </c>
      <c r="P265" s="1013" t="s">
        <v>27068</v>
      </c>
      <c r="Q265" s="1932" t="str">
        <f>+VLOOKUP(F265,TT_Tabelle_Riferimento!$D$127:$E$164,2,FALSE)</f>
        <v>Comune</v>
      </c>
      <c r="R265" s="1932" t="str">
        <f t="shared" si="23"/>
        <v/>
      </c>
      <c r="S265" s="2335">
        <f t="shared" si="26"/>
        <v>0</v>
      </c>
    </row>
    <row r="266" spans="1:19">
      <c r="A266" s="1932">
        <f t="shared" si="24"/>
        <v>0</v>
      </c>
      <c r="B266" s="1932">
        <f t="shared" si="25"/>
        <v>0</v>
      </c>
      <c r="C266" s="1013" t="s">
        <v>245</v>
      </c>
      <c r="D266" s="1013">
        <v>0</v>
      </c>
      <c r="E266" s="1013" t="s">
        <v>22698</v>
      </c>
      <c r="F266" s="1013">
        <v>34</v>
      </c>
      <c r="G266" s="1932" t="str">
        <f>+VLOOKUP(F266,TT_Tabelle_Riferimento!$D$127:$G$164,4,FALSE)</f>
        <v>Fabbricati industriali</v>
      </c>
      <c r="H266" s="1013">
        <v>1</v>
      </c>
      <c r="I266" s="1932" t="str">
        <f>+VLOOKUP(H266,TT_Tabelle_Riferimento!$F$3:$G$6,2,FALSE)</f>
        <v>Servizio idrico integrato</v>
      </c>
      <c r="J266" s="1013">
        <v>2026</v>
      </c>
      <c r="K266" s="2335">
        <f>+SUMIFS('PdI-crono_inv'!AW:AW,'PdI-crono_inv'!CF:CF,F266,'PdI-crono_inv'!CE:CE,H266,'PdI-crono_inv'!J:J,P266,'PdI-crono_inv'!P:P,"&lt;&gt;proprietario")</f>
        <v>0</v>
      </c>
      <c r="M266" s="2335">
        <f>+SUMIFS('PdI-crono_inv'!AX:AX,'PdI-crono_inv'!CF:CF,F266,'PdI-crono_inv'!CE:CE,H266,'PdI-crono_inv'!J:J,P266,'PdI-crono_inv'!P:P,"&lt;&gt;proprietario")+S266</f>
        <v>0</v>
      </c>
      <c r="P266" s="1013" t="s">
        <v>27068</v>
      </c>
      <c r="Q266" s="1932" t="str">
        <f>+VLOOKUP(F266,TT_Tabelle_Riferimento!$D$127:$E$164,2,FALSE)</f>
        <v>Comune</v>
      </c>
      <c r="R266" s="1932" t="str">
        <f t="shared" si="23"/>
        <v/>
      </c>
      <c r="S266" s="2335">
        <f t="shared" si="26"/>
        <v>0</v>
      </c>
    </row>
    <row r="267" spans="1:19">
      <c r="A267" s="1932">
        <f t="shared" si="24"/>
        <v>0</v>
      </c>
      <c r="B267" s="1932">
        <f t="shared" si="25"/>
        <v>0</v>
      </c>
      <c r="C267" s="1013" t="s">
        <v>245</v>
      </c>
      <c r="D267" s="1013">
        <v>0</v>
      </c>
      <c r="E267" s="1013" t="s">
        <v>22698</v>
      </c>
      <c r="F267" s="1013">
        <v>35</v>
      </c>
      <c r="G267" s="1932" t="str">
        <f>+VLOOKUP(F267,TT_Tabelle_Riferimento!$D$127:$G$164,4,FALSE)</f>
        <v>Costruzioni leggere</v>
      </c>
      <c r="H267" s="1013">
        <v>1</v>
      </c>
      <c r="I267" s="1932" t="str">
        <f>+VLOOKUP(H267,TT_Tabelle_Riferimento!$F$3:$G$6,2,FALSE)</f>
        <v>Servizio idrico integrato</v>
      </c>
      <c r="J267" s="1013">
        <v>2026</v>
      </c>
      <c r="K267" s="2335">
        <f>+SUMIFS('PdI-crono_inv'!AW:AW,'PdI-crono_inv'!CF:CF,F267,'PdI-crono_inv'!CE:CE,H267,'PdI-crono_inv'!J:J,P267,'PdI-crono_inv'!P:P,"&lt;&gt;proprietario")</f>
        <v>0</v>
      </c>
      <c r="M267" s="2335">
        <f>+SUMIFS('PdI-crono_inv'!AX:AX,'PdI-crono_inv'!CF:CF,F267,'PdI-crono_inv'!CE:CE,H267,'PdI-crono_inv'!J:J,P267,'PdI-crono_inv'!P:P,"&lt;&gt;proprietario")+S267</f>
        <v>0</v>
      </c>
      <c r="P267" s="1013" t="s">
        <v>27068</v>
      </c>
      <c r="Q267" s="1932" t="str">
        <f>+VLOOKUP(F267,TT_Tabelle_Riferimento!$D$127:$E$164,2,FALSE)</f>
        <v>Comune</v>
      </c>
      <c r="R267" s="1932" t="str">
        <f t="shared" si="23"/>
        <v/>
      </c>
      <c r="S267" s="2335">
        <f t="shared" si="26"/>
        <v>0</v>
      </c>
    </row>
    <row r="268" spans="1:19">
      <c r="A268" s="1932">
        <f t="shared" si="24"/>
        <v>0</v>
      </c>
      <c r="B268" s="1932">
        <f t="shared" si="25"/>
        <v>0</v>
      </c>
      <c r="C268" s="1013" t="s">
        <v>245</v>
      </c>
      <c r="D268" s="1013">
        <v>0</v>
      </c>
      <c r="E268" s="1013" t="s">
        <v>22698</v>
      </c>
      <c r="F268" s="1013">
        <v>36</v>
      </c>
      <c r="G268" s="1932" t="str">
        <f>+VLOOKUP(F268,TT_Tabelle_Riferimento!$D$127:$G$164,4,FALSE)</f>
        <v>Studi, ricerche, brevetti, diritti di utilizzazione</v>
      </c>
      <c r="H268" s="1013">
        <v>1</v>
      </c>
      <c r="I268" s="1932" t="str">
        <f>+VLOOKUP(H268,TT_Tabelle_Riferimento!$F$3:$G$6,2,FALSE)</f>
        <v>Servizio idrico integrato</v>
      </c>
      <c r="J268" s="1013">
        <v>2026</v>
      </c>
      <c r="K268" s="2335">
        <f>+SUMIFS('PdI-crono_inv'!AW:AW,'PdI-crono_inv'!CF:CF,F268,'PdI-crono_inv'!CE:CE,H268,'PdI-crono_inv'!J:J,P268,'PdI-crono_inv'!P:P,"&lt;&gt;proprietario")</f>
        <v>0</v>
      </c>
      <c r="M268" s="2335">
        <f>+SUMIFS('PdI-crono_inv'!AX:AX,'PdI-crono_inv'!CF:CF,F268,'PdI-crono_inv'!CE:CE,H268,'PdI-crono_inv'!J:J,P268,'PdI-crono_inv'!P:P,"&lt;&gt;proprietario")+S268</f>
        <v>0</v>
      </c>
      <c r="P268" s="1013" t="s">
        <v>27068</v>
      </c>
      <c r="Q268" s="1932" t="str">
        <f>+VLOOKUP(F268,TT_Tabelle_Riferimento!$D$127:$E$164,2,FALSE)</f>
        <v>Comune</v>
      </c>
      <c r="R268" s="1932" t="str">
        <f t="shared" si="23"/>
        <v/>
      </c>
      <c r="S268" s="2335">
        <f t="shared" si="26"/>
        <v>0</v>
      </c>
    </row>
    <row r="269" spans="1:19">
      <c r="A269" s="1932">
        <v>0</v>
      </c>
      <c r="B269" s="1932">
        <v>0</v>
      </c>
      <c r="C269" s="1013" t="s">
        <v>245</v>
      </c>
      <c r="D269" s="1013">
        <v>0</v>
      </c>
      <c r="E269" s="1013" t="s">
        <v>22698</v>
      </c>
      <c r="F269" s="1013">
        <v>37</v>
      </c>
      <c r="G269" s="1932" t="str">
        <f>+VLOOKUP(F269,TT_Tabelle_Riferimento!$D$127:$G$164,4,FALSE)</f>
        <v>Altre immobilizzazioni materiali e immateriali</v>
      </c>
      <c r="H269" s="1013">
        <v>1</v>
      </c>
      <c r="I269" s="1932" t="str">
        <f>+VLOOKUP(H269,TT_Tabelle_Riferimento!$F$3:$G$6,2,FALSE)</f>
        <v>Servizio idrico integrato</v>
      </c>
      <c r="J269" s="1013">
        <v>2026</v>
      </c>
      <c r="K269" s="2335">
        <f>+SUMIFS('PdI-crono_inv'!AW:AW,'PdI-crono_inv'!CF:CF,F269,'PdI-crono_inv'!CE:CE,H269,'PdI-crono_inv'!J:J,P269,'PdI-crono_inv'!P:P,"&lt;&gt;proprietario")</f>
        <v>0</v>
      </c>
      <c r="M269" s="2335">
        <f>+SUMIFS('PdI-crono_inv'!AX:AX,'PdI-crono_inv'!CF:CF,F269,'PdI-crono_inv'!CE:CE,H269,'PdI-crono_inv'!J:J,P269,'PdI-crono_inv'!P:P,"&lt;&gt;proprietario")+S269</f>
        <v>0</v>
      </c>
      <c r="P269" s="1013" t="s">
        <v>27068</v>
      </c>
      <c r="Q269" s="1932" t="str">
        <f>+VLOOKUP(F269,TT_Tabelle_Riferimento!$D$127:$E$164,2,FALSE)</f>
        <v>Comune</v>
      </c>
      <c r="R269" s="1932" t="str">
        <f t="shared" si="23"/>
        <v/>
      </c>
      <c r="S269" s="2335">
        <f t="shared" si="26"/>
        <v>0</v>
      </c>
    </row>
    <row r="270" spans="1:19">
      <c r="A270" s="1932">
        <v>0</v>
      </c>
      <c r="B270" s="1932">
        <v>0</v>
      </c>
      <c r="C270" s="1013" t="s">
        <v>245</v>
      </c>
      <c r="D270" s="1013">
        <v>0</v>
      </c>
      <c r="E270" s="1013" t="s">
        <v>22698</v>
      </c>
      <c r="F270" s="1013">
        <v>38</v>
      </c>
      <c r="G270" s="1932" t="str">
        <f>+VLOOKUP(F270,TT_Tabelle_Riferimento!$D$127:$G$164,4,FALSE)</f>
        <v>Grandi dighe (sbarramenti che superano i quindici metri di altezza o che determinano un invaso superiore a 1 milione di metri cubi)</v>
      </c>
      <c r="H270" s="1013">
        <v>1</v>
      </c>
      <c r="I270" s="1932" t="str">
        <f>+VLOOKUP(H270,TT_Tabelle_Riferimento!$F$3:$G$6,2,FALSE)</f>
        <v>Servizio idrico integrato</v>
      </c>
      <c r="J270" s="1013">
        <v>2026</v>
      </c>
      <c r="K270" s="2335">
        <f>+SUMIFS('PdI-crono_inv'!AW:AW,'PdI-crono_inv'!CF:CF,F270,'PdI-crono_inv'!CE:CE,H270,'PdI-crono_inv'!J:J,P270,'PdI-crono_inv'!P:P,"&lt;&gt;proprietario")</f>
        <v>0</v>
      </c>
      <c r="M270" s="2335">
        <f>+SUMIFS('PdI-crono_inv'!AX:AX,'PdI-crono_inv'!CF:CF,F270,'PdI-crono_inv'!CE:CE,H270,'PdI-crono_inv'!J:J,P270,'PdI-crono_inv'!P:P,"&lt;&gt;proprietario")+S270</f>
        <v>0</v>
      </c>
      <c r="P270" s="1013" t="s">
        <v>27068</v>
      </c>
      <c r="Q270" s="1932" t="str">
        <f>+VLOOKUP(F270,TT_Tabelle_Riferimento!$D$127:$E$164,2,FALSE)</f>
        <v>Acquedotto</v>
      </c>
      <c r="R270" s="1932" t="str">
        <f t="shared" si="23"/>
        <v/>
      </c>
      <c r="S270" s="2335">
        <f t="shared" si="26"/>
        <v>0</v>
      </c>
    </row>
    <row r="271" spans="1:19">
      <c r="A271" s="1932">
        <v>0</v>
      </c>
      <c r="B271" s="1932">
        <v>0</v>
      </c>
      <c r="C271" s="1013" t="s">
        <v>245</v>
      </c>
      <c r="D271" s="1013">
        <v>0</v>
      </c>
      <c r="E271" s="1013" t="s">
        <v>22698</v>
      </c>
      <c r="F271" s="1013">
        <v>39</v>
      </c>
      <c r="G271" s="1932" t="str">
        <f>+VLOOKUP(F271,TT_Tabelle_Riferimento!$D$127:$G$164,4,FALSE)</f>
        <v>Piccole dighe (sbarramenti che non superano i quindici metri di altezza o che determinano un invaso non superiore a 1 milione di metri cubi)</v>
      </c>
      <c r="H271" s="1013">
        <v>1</v>
      </c>
      <c r="I271" s="1932" t="str">
        <f>+VLOOKUP(H271,TT_Tabelle_Riferimento!$F$3:$G$6,2,FALSE)</f>
        <v>Servizio idrico integrato</v>
      </c>
      <c r="J271" s="1013">
        <v>2026</v>
      </c>
      <c r="K271" s="2335">
        <f>+SUMIFS('PdI-crono_inv'!AW:AW,'PdI-crono_inv'!CF:CF,F271,'PdI-crono_inv'!CE:CE,H271,'PdI-crono_inv'!J:J,P271,'PdI-crono_inv'!P:P,"&lt;&gt;proprietario")</f>
        <v>0</v>
      </c>
      <c r="M271" s="2335">
        <f>+SUMIFS('PdI-crono_inv'!AX:AX,'PdI-crono_inv'!CF:CF,F271,'PdI-crono_inv'!CE:CE,H271,'PdI-crono_inv'!J:J,P271,'PdI-crono_inv'!P:P,"&lt;&gt;proprietario")+S271</f>
        <v>0</v>
      </c>
      <c r="P271" s="1013" t="s">
        <v>27068</v>
      </c>
      <c r="Q271" s="1932" t="str">
        <f>+VLOOKUP(F271,TT_Tabelle_Riferimento!$D$127:$E$164,2,FALSE)</f>
        <v>Acquedotto</v>
      </c>
      <c r="R271" s="1932" t="str">
        <f t="shared" si="23"/>
        <v/>
      </c>
      <c r="S271" s="2335">
        <f t="shared" si="26"/>
        <v>0</v>
      </c>
    </row>
    <row r="272" spans="1:19">
      <c r="A272" s="1932">
        <f t="shared" ref="A272:A306" si="27">+idato</f>
        <v>0</v>
      </c>
      <c r="B272" s="1932">
        <f t="shared" ref="B272:B306" si="28">+idgestore</f>
        <v>0</v>
      </c>
      <c r="C272" s="1013" t="s">
        <v>245</v>
      </c>
      <c r="D272" s="1013">
        <v>0</v>
      </c>
      <c r="E272" s="1013" t="s">
        <v>22698</v>
      </c>
      <c r="F272" s="1013">
        <v>2</v>
      </c>
      <c r="G272" s="1932" t="str">
        <f>+VLOOKUP(F272,TT_Tabelle_Riferimento!$D$127:$G$164,4,FALSE)</f>
        <v>Condotte di acquedotto</v>
      </c>
      <c r="H272" s="1013">
        <v>2</v>
      </c>
      <c r="I272" s="1932" t="str">
        <f>+VLOOKUP(H272,TT_Tabelle_Riferimento!$F$3:$G$6,2,FALSE)</f>
        <v>Fognatura bianca e pulizia / manutenzione caditoie stradali</v>
      </c>
      <c r="J272" s="1013">
        <v>2026</v>
      </c>
      <c r="K272" s="2335">
        <f>+SUMIFS('PdI-crono_inv'!AW:AW,'PdI-crono_inv'!CF:CF,F272,'PdI-crono_inv'!CE:CE,H272,'PdI-crono_inv'!J:J,P272,'PdI-crono_inv'!P:P,"&lt;&gt;proprietario")</f>
        <v>0</v>
      </c>
      <c r="M272" s="2335">
        <f>+SUMIFS('PdI-crono_inv'!AX:AX,'PdI-crono_inv'!CF:CF,F272,'PdI-crono_inv'!CE:CE,H272,'PdI-crono_inv'!J:J,P272,'PdI-crono_inv'!P:P,"&lt;&gt;proprietario")+S272</f>
        <v>0</v>
      </c>
      <c r="P272" s="1013" t="s">
        <v>27068</v>
      </c>
      <c r="Q272" s="1932" t="str">
        <f>+VLOOKUP(F272,TT_Tabelle_Riferimento!$D$127:$E$164,2,FALSE)</f>
        <v>Acquedotto</v>
      </c>
      <c r="R272" s="1932" t="str">
        <f t="shared" si="23"/>
        <v/>
      </c>
      <c r="S272" s="2335">
        <f t="shared" si="26"/>
        <v>0</v>
      </c>
    </row>
    <row r="273" spans="1:19">
      <c r="A273" s="1932">
        <f t="shared" si="27"/>
        <v>0</v>
      </c>
      <c r="B273" s="1932">
        <f t="shared" si="28"/>
        <v>0</v>
      </c>
      <c r="C273" s="1013" t="s">
        <v>245</v>
      </c>
      <c r="D273" s="1013">
        <v>0</v>
      </c>
      <c r="E273" s="1013" t="s">
        <v>22698</v>
      </c>
      <c r="F273" s="1013">
        <v>3</v>
      </c>
      <c r="G273" s="1932" t="str">
        <f>+VLOOKUP(F273,TT_Tabelle_Riferimento!$D$127:$G$164,4,FALSE)</f>
        <v>Opere idrauliche fisse di acquedotto</v>
      </c>
      <c r="H273" s="1013">
        <v>2</v>
      </c>
      <c r="I273" s="1932" t="str">
        <f>+VLOOKUP(H273,TT_Tabelle_Riferimento!$F$3:$G$6,2,FALSE)</f>
        <v>Fognatura bianca e pulizia / manutenzione caditoie stradali</v>
      </c>
      <c r="J273" s="1013">
        <v>2026</v>
      </c>
      <c r="K273" s="2335">
        <f>+SUMIFS('PdI-crono_inv'!AW:AW,'PdI-crono_inv'!CF:CF,F273,'PdI-crono_inv'!CE:CE,H273,'PdI-crono_inv'!J:J,P273,'PdI-crono_inv'!P:P,"&lt;&gt;proprietario")</f>
        <v>0</v>
      </c>
      <c r="M273" s="2335">
        <f>+SUMIFS('PdI-crono_inv'!AX:AX,'PdI-crono_inv'!CF:CF,F273,'PdI-crono_inv'!CE:CE,H273,'PdI-crono_inv'!J:J,P273,'PdI-crono_inv'!P:P,"&lt;&gt;proprietario")+S273</f>
        <v>0</v>
      </c>
      <c r="P273" s="1013" t="s">
        <v>27068</v>
      </c>
      <c r="Q273" s="1932" t="str">
        <f>+VLOOKUP(F273,TT_Tabelle_Riferimento!$D$127:$E$164,2,FALSE)</f>
        <v>Acquedotto</v>
      </c>
      <c r="R273" s="1932" t="str">
        <f t="shared" si="23"/>
        <v/>
      </c>
      <c r="S273" s="2335">
        <f t="shared" si="26"/>
        <v>0</v>
      </c>
    </row>
    <row r="274" spans="1:19">
      <c r="A274" s="1932">
        <f t="shared" si="27"/>
        <v>0</v>
      </c>
      <c r="B274" s="1932">
        <f t="shared" si="28"/>
        <v>0</v>
      </c>
      <c r="C274" s="1013" t="s">
        <v>245</v>
      </c>
      <c r="D274" s="1013">
        <v>0</v>
      </c>
      <c r="E274" s="1013" t="s">
        <v>22698</v>
      </c>
      <c r="F274" s="1013">
        <v>4</v>
      </c>
      <c r="G274" s="1932" t="str">
        <f>+VLOOKUP(F274,TT_Tabelle_Riferimento!$D$127:$G$164,4,FALSE)</f>
        <v>Serbatoi</v>
      </c>
      <c r="H274" s="1013">
        <v>2</v>
      </c>
      <c r="I274" s="1932" t="str">
        <f>+VLOOKUP(H274,TT_Tabelle_Riferimento!$F$3:$G$6,2,FALSE)</f>
        <v>Fognatura bianca e pulizia / manutenzione caditoie stradali</v>
      </c>
      <c r="J274" s="1013">
        <v>2026</v>
      </c>
      <c r="K274" s="2335">
        <f>+SUMIFS('PdI-crono_inv'!AW:AW,'PdI-crono_inv'!CF:CF,F274,'PdI-crono_inv'!CE:CE,H274,'PdI-crono_inv'!J:J,P274,'PdI-crono_inv'!P:P,"&lt;&gt;proprietario")</f>
        <v>0</v>
      </c>
      <c r="M274" s="2335">
        <f>+SUMIFS('PdI-crono_inv'!AX:AX,'PdI-crono_inv'!CF:CF,F274,'PdI-crono_inv'!CE:CE,H274,'PdI-crono_inv'!J:J,P274,'PdI-crono_inv'!P:P,"&lt;&gt;proprietario")+S274</f>
        <v>0</v>
      </c>
      <c r="P274" s="1013" t="s">
        <v>27068</v>
      </c>
      <c r="Q274" s="1932" t="str">
        <f>+VLOOKUP(F274,TT_Tabelle_Riferimento!$D$127:$E$164,2,FALSE)</f>
        <v>Acquedotto</v>
      </c>
      <c r="R274" s="1932" t="str">
        <f t="shared" si="23"/>
        <v/>
      </c>
      <c r="S274" s="2335">
        <f t="shared" si="26"/>
        <v>0</v>
      </c>
    </row>
    <row r="275" spans="1:19">
      <c r="A275" s="1932">
        <f t="shared" si="27"/>
        <v>0</v>
      </c>
      <c r="B275" s="1932">
        <f t="shared" si="28"/>
        <v>0</v>
      </c>
      <c r="C275" s="1013" t="s">
        <v>245</v>
      </c>
      <c r="D275" s="1013">
        <v>0</v>
      </c>
      <c r="E275" s="1013" t="s">
        <v>22698</v>
      </c>
      <c r="F275" s="1013">
        <v>5</v>
      </c>
      <c r="G275" s="1932" t="str">
        <f>+VLOOKUP(F275,TT_Tabelle_Riferimento!$D$127:$G$164,4,FALSE)</f>
        <v>Impianti di sollevamento e pompaggio di acquedotto</v>
      </c>
      <c r="H275" s="1013">
        <v>2</v>
      </c>
      <c r="I275" s="1932" t="str">
        <f>+VLOOKUP(H275,TT_Tabelle_Riferimento!$F$3:$G$6,2,FALSE)</f>
        <v>Fognatura bianca e pulizia / manutenzione caditoie stradali</v>
      </c>
      <c r="J275" s="1013">
        <v>2026</v>
      </c>
      <c r="K275" s="2335">
        <f>+SUMIFS('PdI-crono_inv'!AW:AW,'PdI-crono_inv'!CF:CF,F275,'PdI-crono_inv'!CE:CE,H275,'PdI-crono_inv'!J:J,P275,'PdI-crono_inv'!P:P,"&lt;&gt;proprietario")</f>
        <v>0</v>
      </c>
      <c r="M275" s="2335">
        <f>+SUMIFS('PdI-crono_inv'!AX:AX,'PdI-crono_inv'!CF:CF,F275,'PdI-crono_inv'!CE:CE,H275,'PdI-crono_inv'!J:J,P275,'PdI-crono_inv'!P:P,"&lt;&gt;proprietario")+S275</f>
        <v>0</v>
      </c>
      <c r="P275" s="1013" t="s">
        <v>27068</v>
      </c>
      <c r="Q275" s="1932" t="str">
        <f>+VLOOKUP(F275,TT_Tabelle_Riferimento!$D$127:$E$164,2,FALSE)</f>
        <v>Acquedotto</v>
      </c>
      <c r="R275" s="1932" t="str">
        <f t="shared" si="23"/>
        <v/>
      </c>
      <c r="S275" s="2335">
        <f t="shared" si="26"/>
        <v>0</v>
      </c>
    </row>
    <row r="276" spans="1:19">
      <c r="A276" s="1932">
        <f t="shared" si="27"/>
        <v>0</v>
      </c>
      <c r="B276" s="1932">
        <f t="shared" si="28"/>
        <v>0</v>
      </c>
      <c r="C276" s="1013" t="s">
        <v>245</v>
      </c>
      <c r="D276" s="1013">
        <v>0</v>
      </c>
      <c r="E276" s="1013" t="s">
        <v>22698</v>
      </c>
      <c r="F276" s="1013">
        <v>6</v>
      </c>
      <c r="G276" s="1932" t="str">
        <f>+VLOOKUP(F276,TT_Tabelle_Riferimento!$D$127:$G$164,4,FALSE)</f>
        <v>Impianti di potabilizzazione</v>
      </c>
      <c r="H276" s="1013">
        <v>2</v>
      </c>
      <c r="I276" s="1932" t="str">
        <f>+VLOOKUP(H276,TT_Tabelle_Riferimento!$F$3:$G$6,2,FALSE)</f>
        <v>Fognatura bianca e pulizia / manutenzione caditoie stradali</v>
      </c>
      <c r="J276" s="1013">
        <v>2026</v>
      </c>
      <c r="K276" s="2335">
        <f>+SUMIFS('PdI-crono_inv'!AW:AW,'PdI-crono_inv'!CF:CF,F276,'PdI-crono_inv'!CE:CE,H276,'PdI-crono_inv'!J:J,P276,'PdI-crono_inv'!P:P,"&lt;&gt;proprietario")</f>
        <v>0</v>
      </c>
      <c r="M276" s="2335">
        <f>+SUMIFS('PdI-crono_inv'!AX:AX,'PdI-crono_inv'!CF:CF,F276,'PdI-crono_inv'!CE:CE,H276,'PdI-crono_inv'!J:J,P276,'PdI-crono_inv'!P:P,"&lt;&gt;proprietario")+S276</f>
        <v>0</v>
      </c>
      <c r="P276" s="1013" t="s">
        <v>27068</v>
      </c>
      <c r="Q276" s="1932" t="str">
        <f>+VLOOKUP(F276,TT_Tabelle_Riferimento!$D$127:$E$164,2,FALSE)</f>
        <v>Acquedotto</v>
      </c>
      <c r="R276" s="1932" t="str">
        <f t="shared" si="23"/>
        <v/>
      </c>
      <c r="S276" s="2335">
        <f t="shared" si="26"/>
        <v>0</v>
      </c>
    </row>
    <row r="277" spans="1:19">
      <c r="A277" s="1932">
        <f t="shared" si="27"/>
        <v>0</v>
      </c>
      <c r="B277" s="1932">
        <f t="shared" si="28"/>
        <v>0</v>
      </c>
      <c r="C277" s="1013" t="s">
        <v>245</v>
      </c>
      <c r="D277" s="1013">
        <v>0</v>
      </c>
      <c r="E277" s="1013" t="s">
        <v>22698</v>
      </c>
      <c r="F277" s="1013">
        <v>7</v>
      </c>
      <c r="G277" s="1932" t="str">
        <f>+VLOOKUP(F277,TT_Tabelle_Riferimento!$D$127:$G$164,4,FALSE)</f>
        <v>Altri trattamenti di potabilizzazione (tra cui dispositivi di disinfezione, stacciatura, filtrazione, addolcimento)</v>
      </c>
      <c r="H277" s="1013">
        <v>2</v>
      </c>
      <c r="I277" s="1932" t="str">
        <f>+VLOOKUP(H277,TT_Tabelle_Riferimento!$F$3:$G$6,2,FALSE)</f>
        <v>Fognatura bianca e pulizia / manutenzione caditoie stradali</v>
      </c>
      <c r="J277" s="1013">
        <v>2026</v>
      </c>
      <c r="K277" s="2335">
        <f>+SUMIFS('PdI-crono_inv'!AW:AW,'PdI-crono_inv'!CF:CF,F277,'PdI-crono_inv'!CE:CE,H277,'PdI-crono_inv'!J:J,P277,'PdI-crono_inv'!P:P,"&lt;&gt;proprietario")</f>
        <v>0</v>
      </c>
      <c r="M277" s="2335">
        <f>+SUMIFS('PdI-crono_inv'!AX:AX,'PdI-crono_inv'!CF:CF,F277,'PdI-crono_inv'!CE:CE,H277,'PdI-crono_inv'!J:J,P277,'PdI-crono_inv'!P:P,"&lt;&gt;proprietario")+S277</f>
        <v>0</v>
      </c>
      <c r="P277" s="1013" t="s">
        <v>27068</v>
      </c>
      <c r="Q277" s="1932" t="str">
        <f>+VLOOKUP(F277,TT_Tabelle_Riferimento!$D$127:$E$164,2,FALSE)</f>
        <v>Acquedotto</v>
      </c>
      <c r="R277" s="1932" t="str">
        <f t="shared" si="23"/>
        <v/>
      </c>
      <c r="S277" s="2335">
        <f t="shared" si="26"/>
        <v>0</v>
      </c>
    </row>
    <row r="278" spans="1:19">
      <c r="A278" s="1932">
        <f t="shared" si="27"/>
        <v>0</v>
      </c>
      <c r="B278" s="1932">
        <f t="shared" si="28"/>
        <v>0</v>
      </c>
      <c r="C278" s="1013" t="s">
        <v>245</v>
      </c>
      <c r="D278" s="1013">
        <v>0</v>
      </c>
      <c r="E278" s="1013" t="s">
        <v>22698</v>
      </c>
      <c r="F278" s="1013">
        <v>8</v>
      </c>
      <c r="G278" s="1932" t="str">
        <f>+VLOOKUP(F278,TT_Tabelle_Riferimento!$D$127:$G$164,4,FALSE)</f>
        <v>Gruppi di misura - altre attrezzature di acquedotto</v>
      </c>
      <c r="H278" s="1013">
        <v>2</v>
      </c>
      <c r="I278" s="1932" t="str">
        <f>+VLOOKUP(H278,TT_Tabelle_Riferimento!$F$3:$G$6,2,FALSE)</f>
        <v>Fognatura bianca e pulizia / manutenzione caditoie stradali</v>
      </c>
      <c r="J278" s="1013">
        <v>2026</v>
      </c>
      <c r="K278" s="2335">
        <f>+SUMIFS('PdI-crono_inv'!AW:AW,'PdI-crono_inv'!CF:CF,F278,'PdI-crono_inv'!CE:CE,H278,'PdI-crono_inv'!J:J,P278,'PdI-crono_inv'!P:P,"&lt;&gt;proprietario")</f>
        <v>0</v>
      </c>
      <c r="M278" s="2335">
        <f>+SUMIFS('PdI-crono_inv'!AX:AX,'PdI-crono_inv'!CF:CF,F278,'PdI-crono_inv'!CE:CE,H278,'PdI-crono_inv'!J:J,P278,'PdI-crono_inv'!P:P,"&lt;&gt;proprietario")+S278</f>
        <v>0</v>
      </c>
      <c r="P278" s="1013" t="s">
        <v>27068</v>
      </c>
      <c r="Q278" s="1932" t="str">
        <f>+VLOOKUP(F278,TT_Tabelle_Riferimento!$D$127:$E$164,2,FALSE)</f>
        <v>Acquedotto</v>
      </c>
      <c r="R278" s="1932" t="str">
        <f t="shared" si="23"/>
        <v/>
      </c>
      <c r="S278" s="2335">
        <f t="shared" si="26"/>
        <v>0</v>
      </c>
    </row>
    <row r="279" spans="1:19">
      <c r="A279" s="1932">
        <f t="shared" si="27"/>
        <v>0</v>
      </c>
      <c r="B279" s="1932">
        <f t="shared" si="28"/>
        <v>0</v>
      </c>
      <c r="C279" s="1013" t="s">
        <v>245</v>
      </c>
      <c r="D279" s="1013">
        <v>0</v>
      </c>
      <c r="E279" s="1013" t="s">
        <v>22698</v>
      </c>
      <c r="F279" s="1013">
        <v>9</v>
      </c>
      <c r="G279" s="1932" t="str">
        <f>+VLOOKUP(F279,TT_Tabelle_Riferimento!$D$127:$G$164,4,FALSE)</f>
        <v>Sistemi informativi di acquedotto</v>
      </c>
      <c r="H279" s="1013">
        <v>2</v>
      </c>
      <c r="I279" s="1932" t="str">
        <f>+VLOOKUP(H279,TT_Tabelle_Riferimento!$F$3:$G$6,2,FALSE)</f>
        <v>Fognatura bianca e pulizia / manutenzione caditoie stradali</v>
      </c>
      <c r="J279" s="1013">
        <v>2026</v>
      </c>
      <c r="K279" s="2335">
        <f>+SUMIFS('PdI-crono_inv'!AW:AW,'PdI-crono_inv'!CF:CF,F279,'PdI-crono_inv'!CE:CE,H279,'PdI-crono_inv'!J:J,P279,'PdI-crono_inv'!P:P,"&lt;&gt;proprietario")</f>
        <v>0</v>
      </c>
      <c r="M279" s="2335">
        <f>+SUMIFS('PdI-crono_inv'!AX:AX,'PdI-crono_inv'!CF:CF,F279,'PdI-crono_inv'!CE:CE,H279,'PdI-crono_inv'!J:J,P279,'PdI-crono_inv'!P:P,"&lt;&gt;proprietario")+S279</f>
        <v>0</v>
      </c>
      <c r="P279" s="1013" t="s">
        <v>27068</v>
      </c>
      <c r="Q279" s="1932" t="str">
        <f>+VLOOKUP(F279,TT_Tabelle_Riferimento!$D$127:$E$164,2,FALSE)</f>
        <v>Acquedotto</v>
      </c>
      <c r="R279" s="1932" t="str">
        <f t="shared" si="23"/>
        <v/>
      </c>
      <c r="S279" s="2335">
        <f t="shared" si="26"/>
        <v>0</v>
      </c>
    </row>
    <row r="280" spans="1:19">
      <c r="A280" s="1932">
        <f t="shared" si="27"/>
        <v>0</v>
      </c>
      <c r="B280" s="1932">
        <f t="shared" si="28"/>
        <v>0</v>
      </c>
      <c r="C280" s="1013" t="s">
        <v>245</v>
      </c>
      <c r="D280" s="1013">
        <v>0</v>
      </c>
      <c r="E280" s="1013" t="s">
        <v>22698</v>
      </c>
      <c r="F280" s="1013">
        <v>10</v>
      </c>
      <c r="G280" s="1932" t="str">
        <f>+VLOOKUP(F280,TT_Tabelle_Riferimento!$D$127:$G$164,4,FALSE)</f>
        <v>Telecontrollo e teletrasmissione di acquedotto</v>
      </c>
      <c r="H280" s="1013">
        <v>2</v>
      </c>
      <c r="I280" s="1932" t="str">
        <f>+VLOOKUP(H280,TT_Tabelle_Riferimento!$F$3:$G$6,2,FALSE)</f>
        <v>Fognatura bianca e pulizia / manutenzione caditoie stradali</v>
      </c>
      <c r="J280" s="1013">
        <v>2026</v>
      </c>
      <c r="K280" s="2335">
        <f>+SUMIFS('PdI-crono_inv'!AW:AW,'PdI-crono_inv'!CF:CF,F280,'PdI-crono_inv'!CE:CE,H280,'PdI-crono_inv'!J:J,P280,'PdI-crono_inv'!P:P,"&lt;&gt;proprietario")</f>
        <v>0</v>
      </c>
      <c r="M280" s="2335">
        <f>+SUMIFS('PdI-crono_inv'!AX:AX,'PdI-crono_inv'!CF:CF,F280,'PdI-crono_inv'!CE:CE,H280,'PdI-crono_inv'!J:J,P280,'PdI-crono_inv'!P:P,"&lt;&gt;proprietario")+S280</f>
        <v>0</v>
      </c>
      <c r="P280" s="1013" t="s">
        <v>27068</v>
      </c>
      <c r="Q280" s="1932" t="str">
        <f>+VLOOKUP(F280,TT_Tabelle_Riferimento!$D$127:$E$164,2,FALSE)</f>
        <v>Acquedotto</v>
      </c>
      <c r="R280" s="1932" t="str">
        <f t="shared" si="23"/>
        <v/>
      </c>
      <c r="S280" s="2335">
        <f t="shared" si="26"/>
        <v>0</v>
      </c>
    </row>
    <row r="281" spans="1:19">
      <c r="A281" s="1932">
        <f t="shared" si="27"/>
        <v>0</v>
      </c>
      <c r="B281" s="1932">
        <f t="shared" si="28"/>
        <v>0</v>
      </c>
      <c r="C281" s="1013" t="s">
        <v>245</v>
      </c>
      <c r="D281" s="1013">
        <v>0</v>
      </c>
      <c r="E281" s="1013" t="s">
        <v>22698</v>
      </c>
      <c r="F281" s="1013">
        <v>11</v>
      </c>
      <c r="G281" s="1932" t="str">
        <f>+VLOOKUP(F281,TT_Tabelle_Riferimento!$D$127:$G$164,4,FALSE)</f>
        <v>Condotte fognarie</v>
      </c>
      <c r="H281" s="1013">
        <v>2</v>
      </c>
      <c r="I281" s="1932" t="str">
        <f>+VLOOKUP(H281,TT_Tabelle_Riferimento!$F$3:$G$6,2,FALSE)</f>
        <v>Fognatura bianca e pulizia / manutenzione caditoie stradali</v>
      </c>
      <c r="J281" s="1013">
        <v>2026</v>
      </c>
      <c r="K281" s="2335">
        <f>+SUMIFS('PdI-crono_inv'!AW:AW,'PdI-crono_inv'!CF:CF,F281,'PdI-crono_inv'!CE:CE,H281,'PdI-crono_inv'!J:J,P281,'PdI-crono_inv'!P:P,"&lt;&gt;proprietario")</f>
        <v>0</v>
      </c>
      <c r="M281" s="2335">
        <f>+SUMIFS('PdI-crono_inv'!AX:AX,'PdI-crono_inv'!CF:CF,F281,'PdI-crono_inv'!CE:CE,H281,'PdI-crono_inv'!J:J,P281,'PdI-crono_inv'!P:P,"&lt;&gt;proprietario")+S281</f>
        <v>0</v>
      </c>
      <c r="P281" s="1013" t="s">
        <v>27068</v>
      </c>
      <c r="Q281" s="1932" t="str">
        <f>+VLOOKUP(F281,TT_Tabelle_Riferimento!$D$127:$E$164,2,FALSE)</f>
        <v>Fognatura</v>
      </c>
      <c r="R281" s="1932" t="str">
        <f t="shared" si="23"/>
        <v/>
      </c>
      <c r="S281" s="2335">
        <f t="shared" si="26"/>
        <v>0</v>
      </c>
    </row>
    <row r="282" spans="1:19">
      <c r="A282" s="1932">
        <f t="shared" si="27"/>
        <v>0</v>
      </c>
      <c r="B282" s="1932">
        <f t="shared" si="28"/>
        <v>0</v>
      </c>
      <c r="C282" s="1013" t="s">
        <v>245</v>
      </c>
      <c r="D282" s="1013">
        <v>0</v>
      </c>
      <c r="E282" s="1013" t="s">
        <v>22698</v>
      </c>
      <c r="F282" s="1013">
        <v>12</v>
      </c>
      <c r="G282" s="1932" t="str">
        <f>+VLOOKUP(F282,TT_Tabelle_Riferimento!$D$127:$G$164,4,FALSE)</f>
        <v>Sifoni e scaricatori di piena e altre opere idrauliche fisse di fognatura</v>
      </c>
      <c r="H282" s="1013">
        <v>2</v>
      </c>
      <c r="I282" s="1932" t="str">
        <f>+VLOOKUP(H282,TT_Tabelle_Riferimento!$F$3:$G$6,2,FALSE)</f>
        <v>Fognatura bianca e pulizia / manutenzione caditoie stradali</v>
      </c>
      <c r="J282" s="1013">
        <v>2026</v>
      </c>
      <c r="K282" s="2335">
        <f>+SUMIFS('PdI-crono_inv'!AW:AW,'PdI-crono_inv'!CF:CF,F282,'PdI-crono_inv'!CE:CE,H282,'PdI-crono_inv'!J:J,P282,'PdI-crono_inv'!P:P,"&lt;&gt;proprietario")</f>
        <v>0</v>
      </c>
      <c r="M282" s="2335">
        <f>+SUMIFS('PdI-crono_inv'!AX:AX,'PdI-crono_inv'!CF:CF,F282,'PdI-crono_inv'!CE:CE,H282,'PdI-crono_inv'!J:J,P282,'PdI-crono_inv'!P:P,"&lt;&gt;proprietario")+S282</f>
        <v>0</v>
      </c>
      <c r="P282" s="1013" t="s">
        <v>27068</v>
      </c>
      <c r="Q282" s="1932" t="str">
        <f>+VLOOKUP(F282,TT_Tabelle_Riferimento!$D$127:$E$164,2,FALSE)</f>
        <v>Fognatura</v>
      </c>
      <c r="R282" s="1932" t="str">
        <f t="shared" si="23"/>
        <v/>
      </c>
      <c r="S282" s="2335">
        <f t="shared" si="26"/>
        <v>0</v>
      </c>
    </row>
    <row r="283" spans="1:19">
      <c r="A283" s="1932">
        <f t="shared" si="27"/>
        <v>0</v>
      </c>
      <c r="B283" s="1932">
        <f t="shared" si="28"/>
        <v>0</v>
      </c>
      <c r="C283" s="1013" t="s">
        <v>245</v>
      </c>
      <c r="D283" s="1013">
        <v>0</v>
      </c>
      <c r="E283" s="1013" t="s">
        <v>22698</v>
      </c>
      <c r="F283" s="1013">
        <v>13</v>
      </c>
      <c r="G283" s="1932" t="str">
        <f>+VLOOKUP(F283,TT_Tabelle_Riferimento!$D$127:$G$164,4,FALSE)</f>
        <v>Vasche di laminazione e vasche di prima pioggia</v>
      </c>
      <c r="H283" s="1013">
        <v>2</v>
      </c>
      <c r="I283" s="1932" t="str">
        <f>+VLOOKUP(H283,TT_Tabelle_Riferimento!$F$3:$G$6,2,FALSE)</f>
        <v>Fognatura bianca e pulizia / manutenzione caditoie stradali</v>
      </c>
      <c r="J283" s="1013">
        <v>2026</v>
      </c>
      <c r="K283" s="2335">
        <f>+SUMIFS('PdI-crono_inv'!AW:AW,'PdI-crono_inv'!CF:CF,F283,'PdI-crono_inv'!CE:CE,H283,'PdI-crono_inv'!J:J,P283,'PdI-crono_inv'!P:P,"&lt;&gt;proprietario")</f>
        <v>0</v>
      </c>
      <c r="M283" s="2335">
        <f>+SUMIFS('PdI-crono_inv'!AX:AX,'PdI-crono_inv'!CF:CF,F283,'PdI-crono_inv'!CE:CE,H283,'PdI-crono_inv'!J:J,P283,'PdI-crono_inv'!P:P,"&lt;&gt;proprietario")+S283</f>
        <v>0</v>
      </c>
      <c r="P283" s="1013" t="s">
        <v>27068</v>
      </c>
      <c r="Q283" s="1932" t="str">
        <f>+VLOOKUP(F283,TT_Tabelle_Riferimento!$D$127:$E$164,2,FALSE)</f>
        <v>Fognatura</v>
      </c>
      <c r="R283" s="1932" t="str">
        <f t="shared" si="23"/>
        <v/>
      </c>
      <c r="S283" s="2335">
        <f t="shared" si="26"/>
        <v>0</v>
      </c>
    </row>
    <row r="284" spans="1:19">
      <c r="A284" s="1932">
        <f t="shared" si="27"/>
        <v>0</v>
      </c>
      <c r="B284" s="1932">
        <f t="shared" si="28"/>
        <v>0</v>
      </c>
      <c r="C284" s="1013" t="s">
        <v>245</v>
      </c>
      <c r="D284" s="1013">
        <v>0</v>
      </c>
      <c r="E284" s="1013" t="s">
        <v>22698</v>
      </c>
      <c r="F284" s="1013">
        <v>14</v>
      </c>
      <c r="G284" s="1932" t="str">
        <f>+VLOOKUP(F284,TT_Tabelle_Riferimento!$D$127:$G$164,4,FALSE)</f>
        <v>Impianti di sollevamento e pompaggio di fognatura</v>
      </c>
      <c r="H284" s="1013">
        <v>2</v>
      </c>
      <c r="I284" s="1932" t="str">
        <f>+VLOOKUP(H284,TT_Tabelle_Riferimento!$F$3:$G$6,2,FALSE)</f>
        <v>Fognatura bianca e pulizia / manutenzione caditoie stradali</v>
      </c>
      <c r="J284" s="1013">
        <v>2026</v>
      </c>
      <c r="K284" s="2335">
        <f>+SUMIFS('PdI-crono_inv'!AW:AW,'PdI-crono_inv'!CF:CF,F284,'PdI-crono_inv'!CE:CE,H284,'PdI-crono_inv'!J:J,P284,'PdI-crono_inv'!P:P,"&lt;&gt;proprietario")</f>
        <v>0</v>
      </c>
      <c r="M284" s="2335">
        <f>+SUMIFS('PdI-crono_inv'!AX:AX,'PdI-crono_inv'!CF:CF,F284,'PdI-crono_inv'!CE:CE,H284,'PdI-crono_inv'!J:J,P284,'PdI-crono_inv'!P:P,"&lt;&gt;proprietario")+S284</f>
        <v>0</v>
      </c>
      <c r="P284" s="1013" t="s">
        <v>27068</v>
      </c>
      <c r="Q284" s="1932" t="str">
        <f>+VLOOKUP(F284,TT_Tabelle_Riferimento!$D$127:$E$164,2,FALSE)</f>
        <v>Fognatura</v>
      </c>
      <c r="R284" s="1932" t="str">
        <f t="shared" si="23"/>
        <v/>
      </c>
      <c r="S284" s="2335">
        <f t="shared" si="26"/>
        <v>0</v>
      </c>
    </row>
    <row r="285" spans="1:19">
      <c r="A285" s="1932">
        <f t="shared" si="27"/>
        <v>0</v>
      </c>
      <c r="B285" s="1932">
        <f t="shared" si="28"/>
        <v>0</v>
      </c>
      <c r="C285" s="1013" t="s">
        <v>245</v>
      </c>
      <c r="D285" s="1013">
        <v>0</v>
      </c>
      <c r="E285" s="1013" t="s">
        <v>22698</v>
      </c>
      <c r="F285" s="1013">
        <v>15</v>
      </c>
      <c r="G285" s="1932" t="str">
        <f>+VLOOKUP(F285,TT_Tabelle_Riferimento!$D$127:$G$164,4,FALSE)</f>
        <v>Gruppi di misura - altre attrezzature di fognatura</v>
      </c>
      <c r="H285" s="1013">
        <v>2</v>
      </c>
      <c r="I285" s="1932" t="str">
        <f>+VLOOKUP(H285,TT_Tabelle_Riferimento!$F$3:$G$6,2,FALSE)</f>
        <v>Fognatura bianca e pulizia / manutenzione caditoie stradali</v>
      </c>
      <c r="J285" s="1013">
        <v>2026</v>
      </c>
      <c r="K285" s="2335">
        <f>+SUMIFS('PdI-crono_inv'!AW:AW,'PdI-crono_inv'!CF:CF,F285,'PdI-crono_inv'!CE:CE,H285,'PdI-crono_inv'!J:J,P285,'PdI-crono_inv'!P:P,"&lt;&gt;proprietario")</f>
        <v>0</v>
      </c>
      <c r="M285" s="2335">
        <f>+SUMIFS('PdI-crono_inv'!AX:AX,'PdI-crono_inv'!CF:CF,F285,'PdI-crono_inv'!CE:CE,H285,'PdI-crono_inv'!J:J,P285,'PdI-crono_inv'!P:P,"&lt;&gt;proprietario")+S285</f>
        <v>0</v>
      </c>
      <c r="P285" s="1013" t="s">
        <v>27068</v>
      </c>
      <c r="Q285" s="1932" t="str">
        <f>+VLOOKUP(F285,TT_Tabelle_Riferimento!$D$127:$E$164,2,FALSE)</f>
        <v>Fognatura</v>
      </c>
      <c r="R285" s="1932" t="str">
        <f t="shared" si="23"/>
        <v/>
      </c>
      <c r="S285" s="2335">
        <f t="shared" si="26"/>
        <v>0</v>
      </c>
    </row>
    <row r="286" spans="1:19">
      <c r="A286" s="1932">
        <f t="shared" si="27"/>
        <v>0</v>
      </c>
      <c r="B286" s="1932">
        <f t="shared" si="28"/>
        <v>0</v>
      </c>
      <c r="C286" s="1013" t="s">
        <v>245</v>
      </c>
      <c r="D286" s="1013">
        <v>0</v>
      </c>
      <c r="E286" s="1013" t="s">
        <v>22698</v>
      </c>
      <c r="F286" s="1013">
        <v>16</v>
      </c>
      <c r="G286" s="1932" t="str">
        <f>+VLOOKUP(F286,TT_Tabelle_Riferimento!$D$127:$G$164,4,FALSE)</f>
        <v>Sistemi informativi di fognatura</v>
      </c>
      <c r="H286" s="1013">
        <v>2</v>
      </c>
      <c r="I286" s="1932" t="str">
        <f>+VLOOKUP(H286,TT_Tabelle_Riferimento!$F$3:$G$6,2,FALSE)</f>
        <v>Fognatura bianca e pulizia / manutenzione caditoie stradali</v>
      </c>
      <c r="J286" s="1013">
        <v>2026</v>
      </c>
      <c r="K286" s="2335">
        <f>+SUMIFS('PdI-crono_inv'!AW:AW,'PdI-crono_inv'!CF:CF,F286,'PdI-crono_inv'!CE:CE,H286,'PdI-crono_inv'!J:J,P286,'PdI-crono_inv'!P:P,"&lt;&gt;proprietario")</f>
        <v>0</v>
      </c>
      <c r="M286" s="2335">
        <f>+SUMIFS('PdI-crono_inv'!AX:AX,'PdI-crono_inv'!CF:CF,F286,'PdI-crono_inv'!CE:CE,H286,'PdI-crono_inv'!J:J,P286,'PdI-crono_inv'!P:P,"&lt;&gt;proprietario")+S286</f>
        <v>0</v>
      </c>
      <c r="P286" s="1013" t="s">
        <v>27068</v>
      </c>
      <c r="Q286" s="1932" t="str">
        <f>+VLOOKUP(F286,TT_Tabelle_Riferimento!$D$127:$E$164,2,FALSE)</f>
        <v>Fognatura</v>
      </c>
      <c r="R286" s="1932" t="str">
        <f t="shared" si="23"/>
        <v/>
      </c>
      <c r="S286" s="2335">
        <f t="shared" si="26"/>
        <v>0</v>
      </c>
    </row>
    <row r="287" spans="1:19">
      <c r="A287" s="1932">
        <f t="shared" si="27"/>
        <v>0</v>
      </c>
      <c r="B287" s="1932">
        <f t="shared" si="28"/>
        <v>0</v>
      </c>
      <c r="C287" s="1013" t="s">
        <v>245</v>
      </c>
      <c r="D287" s="1013">
        <v>0</v>
      </c>
      <c r="E287" s="1013" t="s">
        <v>22698</v>
      </c>
      <c r="F287" s="1013">
        <v>18</v>
      </c>
      <c r="G287" s="1932" t="str">
        <f>+VLOOKUP(F287,TT_Tabelle_Riferimento!$D$127:$G$164,4,FALSE)</f>
        <v>Telecontrollo e teletrasmissione di fognatura</v>
      </c>
      <c r="H287" s="1013">
        <v>2</v>
      </c>
      <c r="I287" s="1932" t="str">
        <f>+VLOOKUP(H287,TT_Tabelle_Riferimento!$F$3:$G$6,2,FALSE)</f>
        <v>Fognatura bianca e pulizia / manutenzione caditoie stradali</v>
      </c>
      <c r="J287" s="1013">
        <v>2026</v>
      </c>
      <c r="K287" s="2335">
        <f>+SUMIFS('PdI-crono_inv'!AW:AW,'PdI-crono_inv'!CF:CF,F287,'PdI-crono_inv'!CE:CE,H287,'PdI-crono_inv'!J:J,P287,'PdI-crono_inv'!P:P,"&lt;&gt;proprietario")</f>
        <v>0</v>
      </c>
      <c r="M287" s="2335">
        <f>+SUMIFS('PdI-crono_inv'!AX:AX,'PdI-crono_inv'!CF:CF,F287,'PdI-crono_inv'!CE:CE,H287,'PdI-crono_inv'!J:J,P287,'PdI-crono_inv'!P:P,"&lt;&gt;proprietario")+S287</f>
        <v>0</v>
      </c>
      <c r="P287" s="1013" t="s">
        <v>27068</v>
      </c>
      <c r="Q287" s="1932" t="str">
        <f>+VLOOKUP(F287,TT_Tabelle_Riferimento!$D$127:$E$164,2,FALSE)</f>
        <v>Fognatura</v>
      </c>
      <c r="R287" s="1932" t="str">
        <f t="shared" si="23"/>
        <v/>
      </c>
      <c r="S287" s="2335">
        <f t="shared" si="26"/>
        <v>0</v>
      </c>
    </row>
    <row r="288" spans="1:19">
      <c r="A288" s="1932">
        <f t="shared" si="27"/>
        <v>0</v>
      </c>
      <c r="B288" s="1932">
        <f t="shared" si="28"/>
        <v>0</v>
      </c>
      <c r="C288" s="1013" t="s">
        <v>245</v>
      </c>
      <c r="D288" s="1013">
        <v>0</v>
      </c>
      <c r="E288" s="1013" t="s">
        <v>22698</v>
      </c>
      <c r="F288" s="1013">
        <v>19</v>
      </c>
      <c r="G288" s="1932" t="str">
        <f>+VLOOKUP(F288,TT_Tabelle_Riferimento!$D$127:$G$164,4,FALSE)</f>
        <v>Impianti di sollevamento e pompaggio di depurazione</v>
      </c>
      <c r="H288" s="1013">
        <v>2</v>
      </c>
      <c r="I288" s="1932" t="str">
        <f>+VLOOKUP(H288,TT_Tabelle_Riferimento!$F$3:$G$6,2,FALSE)</f>
        <v>Fognatura bianca e pulizia / manutenzione caditoie stradali</v>
      </c>
      <c r="J288" s="1013">
        <v>2026</v>
      </c>
      <c r="K288" s="2335">
        <f>+SUMIFS('PdI-crono_inv'!AW:AW,'PdI-crono_inv'!CF:CF,F288,'PdI-crono_inv'!CE:CE,H288,'PdI-crono_inv'!J:J,P288,'PdI-crono_inv'!P:P,"&lt;&gt;proprietario")</f>
        <v>0</v>
      </c>
      <c r="M288" s="2335">
        <f>+SUMIFS('PdI-crono_inv'!AX:AX,'PdI-crono_inv'!CF:CF,F288,'PdI-crono_inv'!CE:CE,H288,'PdI-crono_inv'!J:J,P288,'PdI-crono_inv'!P:P,"&lt;&gt;proprietario")+S288</f>
        <v>0</v>
      </c>
      <c r="P288" s="1013" t="s">
        <v>27068</v>
      </c>
      <c r="Q288" s="1932" t="str">
        <f>+VLOOKUP(F288,TT_Tabelle_Riferimento!$D$127:$E$164,2,FALSE)</f>
        <v>Depurazione</v>
      </c>
      <c r="R288" s="1932" t="str">
        <f t="shared" si="23"/>
        <v/>
      </c>
      <c r="S288" s="2335">
        <f t="shared" si="26"/>
        <v>0</v>
      </c>
    </row>
    <row r="289" spans="1:19">
      <c r="A289" s="1932">
        <f t="shared" si="27"/>
        <v>0</v>
      </c>
      <c r="B289" s="1932">
        <f t="shared" si="28"/>
        <v>0</v>
      </c>
      <c r="C289" s="1013" t="s">
        <v>245</v>
      </c>
      <c r="D289" s="1013">
        <v>0</v>
      </c>
      <c r="E289" s="1013" t="s">
        <v>22698</v>
      </c>
      <c r="F289" s="1013">
        <v>20</v>
      </c>
      <c r="G289" s="1932" t="str">
        <f>+VLOOKUP(F289,TT_Tabelle_Riferimento!$D$127:$G$164,4,FALSE)</f>
        <v>Tecniche naturali di depurazione (tra cui fitodepurazione e lagunaggio)</v>
      </c>
      <c r="H289" s="1013">
        <v>2</v>
      </c>
      <c r="I289" s="1932" t="str">
        <f>+VLOOKUP(H289,TT_Tabelle_Riferimento!$F$3:$G$6,2,FALSE)</f>
        <v>Fognatura bianca e pulizia / manutenzione caditoie stradali</v>
      </c>
      <c r="J289" s="1013">
        <v>2026</v>
      </c>
      <c r="K289" s="2335">
        <f>+SUMIFS('PdI-crono_inv'!AW:AW,'PdI-crono_inv'!CF:CF,F289,'PdI-crono_inv'!CE:CE,H289,'PdI-crono_inv'!J:J,P289,'PdI-crono_inv'!P:P,"&lt;&gt;proprietario")</f>
        <v>0</v>
      </c>
      <c r="M289" s="2335">
        <f>+SUMIFS('PdI-crono_inv'!AX:AX,'PdI-crono_inv'!CF:CF,F289,'PdI-crono_inv'!CE:CE,H289,'PdI-crono_inv'!J:J,P289,'PdI-crono_inv'!P:P,"&lt;&gt;proprietario")+S289</f>
        <v>0</v>
      </c>
      <c r="P289" s="1013" t="s">
        <v>27068</v>
      </c>
      <c r="Q289" s="1932" t="str">
        <f>+VLOOKUP(F289,TT_Tabelle_Riferimento!$D$127:$E$164,2,FALSE)</f>
        <v>Depurazione</v>
      </c>
      <c r="R289" s="1932" t="str">
        <f t="shared" si="23"/>
        <v/>
      </c>
      <c r="S289" s="2335">
        <f t="shared" si="26"/>
        <v>0</v>
      </c>
    </row>
    <row r="290" spans="1:19">
      <c r="A290" s="1932">
        <f t="shared" si="27"/>
        <v>0</v>
      </c>
      <c r="B290" s="1932">
        <f t="shared" si="28"/>
        <v>0</v>
      </c>
      <c r="C290" s="1013" t="s">
        <v>245</v>
      </c>
      <c r="D290" s="1013">
        <v>0</v>
      </c>
      <c r="E290" s="1013" t="s">
        <v>22698</v>
      </c>
      <c r="F290" s="1013">
        <v>21</v>
      </c>
      <c r="G290" s="1932" t="str">
        <f>+VLOOKUP(F290,TT_Tabelle_Riferimento!$D$127:$G$164,4,FALSE)</f>
        <v>Impianti di depurazione – trattamenti sino al preliminare, integrativo, primario - fosse settiche e fosse Imhoff</v>
      </c>
      <c r="H290" s="1013">
        <v>2</v>
      </c>
      <c r="I290" s="1932" t="str">
        <f>+VLOOKUP(H290,TT_Tabelle_Riferimento!$F$3:$G$6,2,FALSE)</f>
        <v>Fognatura bianca e pulizia / manutenzione caditoie stradali</v>
      </c>
      <c r="J290" s="1013">
        <v>2026</v>
      </c>
      <c r="K290" s="2335">
        <f>+SUMIFS('PdI-crono_inv'!AW:AW,'PdI-crono_inv'!CF:CF,F290,'PdI-crono_inv'!CE:CE,H290,'PdI-crono_inv'!J:J,P290,'PdI-crono_inv'!P:P,"&lt;&gt;proprietario")</f>
        <v>0</v>
      </c>
      <c r="M290" s="2335">
        <f>+SUMIFS('PdI-crono_inv'!AX:AX,'PdI-crono_inv'!CF:CF,F290,'PdI-crono_inv'!CE:CE,H290,'PdI-crono_inv'!J:J,P290,'PdI-crono_inv'!P:P,"&lt;&gt;proprietario")+S290</f>
        <v>0</v>
      </c>
      <c r="P290" s="1013" t="s">
        <v>27068</v>
      </c>
      <c r="Q290" s="1932" t="str">
        <f>+VLOOKUP(F290,TT_Tabelle_Riferimento!$D$127:$E$164,2,FALSE)</f>
        <v>Depurazione</v>
      </c>
      <c r="R290" s="1932" t="str">
        <f t="shared" si="23"/>
        <v/>
      </c>
      <c r="S290" s="2335">
        <f t="shared" si="26"/>
        <v>0</v>
      </c>
    </row>
    <row r="291" spans="1:19">
      <c r="A291" s="1932">
        <f t="shared" si="27"/>
        <v>0</v>
      </c>
      <c r="B291" s="1932">
        <f t="shared" si="28"/>
        <v>0</v>
      </c>
      <c r="C291" s="1013" t="s">
        <v>245</v>
      </c>
      <c r="D291" s="1013">
        <v>0</v>
      </c>
      <c r="E291" s="1013" t="s">
        <v>22698</v>
      </c>
      <c r="F291" s="1013">
        <v>22</v>
      </c>
      <c r="G291" s="1932" t="str">
        <f>+VLOOKUP(F291,TT_Tabelle_Riferimento!$D$127:$G$164,4,FALSE)</f>
        <v>Impianti di depurazione – trattamenti sino al secondario</v>
      </c>
      <c r="H291" s="1013">
        <v>2</v>
      </c>
      <c r="I291" s="1932" t="str">
        <f>+VLOOKUP(H291,TT_Tabelle_Riferimento!$F$3:$G$6,2,FALSE)</f>
        <v>Fognatura bianca e pulizia / manutenzione caditoie stradali</v>
      </c>
      <c r="J291" s="1013">
        <v>2026</v>
      </c>
      <c r="K291" s="2335">
        <f>+SUMIFS('PdI-crono_inv'!AW:AW,'PdI-crono_inv'!CF:CF,F291,'PdI-crono_inv'!CE:CE,H291,'PdI-crono_inv'!J:J,P291,'PdI-crono_inv'!P:P,"&lt;&gt;proprietario")</f>
        <v>0</v>
      </c>
      <c r="M291" s="2335">
        <f>+SUMIFS('PdI-crono_inv'!AX:AX,'PdI-crono_inv'!CF:CF,F291,'PdI-crono_inv'!CE:CE,H291,'PdI-crono_inv'!J:J,P291,'PdI-crono_inv'!P:P,"&lt;&gt;proprietario")+S291</f>
        <v>0</v>
      </c>
      <c r="P291" s="1013" t="s">
        <v>27068</v>
      </c>
      <c r="Q291" s="1932" t="str">
        <f>+VLOOKUP(F291,TT_Tabelle_Riferimento!$D$127:$E$164,2,FALSE)</f>
        <v>Depurazione</v>
      </c>
      <c r="R291" s="1932" t="str">
        <f t="shared" si="23"/>
        <v/>
      </c>
      <c r="S291" s="2335">
        <f t="shared" si="26"/>
        <v>0</v>
      </c>
    </row>
    <row r="292" spans="1:19">
      <c r="A292" s="1932">
        <f t="shared" si="27"/>
        <v>0</v>
      </c>
      <c r="B292" s="1932">
        <f t="shared" si="28"/>
        <v>0</v>
      </c>
      <c r="C292" s="1013" t="s">
        <v>245</v>
      </c>
      <c r="D292" s="1013">
        <v>0</v>
      </c>
      <c r="E292" s="1013" t="s">
        <v>22698</v>
      </c>
      <c r="F292" s="1013">
        <v>23</v>
      </c>
      <c r="G292" s="1932" t="str">
        <f>+VLOOKUP(F292,TT_Tabelle_Riferimento!$D$127:$G$164,4,FALSE)</f>
        <v>Impianti di depurazione – trattamenti sino al terziario e terziario avanzato</v>
      </c>
      <c r="H292" s="1013">
        <v>2</v>
      </c>
      <c r="I292" s="1932" t="str">
        <f>+VLOOKUP(H292,TT_Tabelle_Riferimento!$F$3:$G$6,2,FALSE)</f>
        <v>Fognatura bianca e pulizia / manutenzione caditoie stradali</v>
      </c>
      <c r="J292" s="1013">
        <v>2026</v>
      </c>
      <c r="K292" s="2335">
        <f>+SUMIFS('PdI-crono_inv'!AW:AW,'PdI-crono_inv'!CF:CF,F292,'PdI-crono_inv'!CE:CE,H292,'PdI-crono_inv'!J:J,P292,'PdI-crono_inv'!P:P,"&lt;&gt;proprietario")</f>
        <v>0</v>
      </c>
      <c r="M292" s="2335">
        <f>+SUMIFS('PdI-crono_inv'!AX:AX,'PdI-crono_inv'!CF:CF,F292,'PdI-crono_inv'!CE:CE,H292,'PdI-crono_inv'!J:J,P292,'PdI-crono_inv'!P:P,"&lt;&gt;proprietario")+S292</f>
        <v>0</v>
      </c>
      <c r="P292" s="1013" t="s">
        <v>27068</v>
      </c>
      <c r="Q292" s="1932" t="str">
        <f>+VLOOKUP(F292,TT_Tabelle_Riferimento!$D$127:$E$164,2,FALSE)</f>
        <v>Depurazione</v>
      </c>
      <c r="R292" s="1932" t="str">
        <f t="shared" si="23"/>
        <v/>
      </c>
      <c r="S292" s="2335">
        <f t="shared" si="26"/>
        <v>0</v>
      </c>
    </row>
    <row r="293" spans="1:19">
      <c r="A293" s="1932">
        <f t="shared" si="27"/>
        <v>0</v>
      </c>
      <c r="B293" s="1932">
        <f t="shared" si="28"/>
        <v>0</v>
      </c>
      <c r="C293" s="1013" t="s">
        <v>245</v>
      </c>
      <c r="D293" s="1013">
        <v>0</v>
      </c>
      <c r="E293" s="1013" t="s">
        <v>22698</v>
      </c>
      <c r="F293" s="1013">
        <v>24</v>
      </c>
      <c r="G293" s="1932" t="str">
        <f>+VLOOKUP(F293,TT_Tabelle_Riferimento!$D$127:$G$164,4,FALSE)</f>
        <v>Impianti di essiccamento fanghi e di valorizzazione dei fanghi (tra cui mono-incenerimento, pirolisi, gassificazione)</v>
      </c>
      <c r="H293" s="1013">
        <v>2</v>
      </c>
      <c r="I293" s="1932" t="str">
        <f>+VLOOKUP(H293,TT_Tabelle_Riferimento!$F$3:$G$6,2,FALSE)</f>
        <v>Fognatura bianca e pulizia / manutenzione caditoie stradali</v>
      </c>
      <c r="J293" s="1013">
        <v>2026</v>
      </c>
      <c r="K293" s="2335">
        <f>+SUMIFS('PdI-crono_inv'!AW:AW,'PdI-crono_inv'!CF:CF,F293,'PdI-crono_inv'!CE:CE,H293,'PdI-crono_inv'!J:J,P293,'PdI-crono_inv'!P:P,"&lt;&gt;proprietario")</f>
        <v>0</v>
      </c>
      <c r="M293" s="2335">
        <f>+SUMIFS('PdI-crono_inv'!AX:AX,'PdI-crono_inv'!CF:CF,F293,'PdI-crono_inv'!CE:CE,H293,'PdI-crono_inv'!J:J,P293,'PdI-crono_inv'!P:P,"&lt;&gt;proprietario")+S293</f>
        <v>0</v>
      </c>
      <c r="P293" s="1013" t="s">
        <v>27068</v>
      </c>
      <c r="Q293" s="1932" t="str">
        <f>+VLOOKUP(F293,TT_Tabelle_Riferimento!$D$127:$E$164,2,FALSE)</f>
        <v>Depurazione</v>
      </c>
      <c r="R293" s="1932" t="str">
        <f t="shared" si="23"/>
        <v/>
      </c>
      <c r="S293" s="2335">
        <f t="shared" si="26"/>
        <v>0</v>
      </c>
    </row>
    <row r="294" spans="1:19">
      <c r="A294" s="1932">
        <f t="shared" si="27"/>
        <v>0</v>
      </c>
      <c r="B294" s="1932">
        <f t="shared" si="28"/>
        <v>0</v>
      </c>
      <c r="C294" s="1013" t="s">
        <v>245</v>
      </c>
      <c r="D294" s="1013">
        <v>0</v>
      </c>
      <c r="E294" s="1013" t="s">
        <v>22698</v>
      </c>
      <c r="F294" s="1013">
        <v>25</v>
      </c>
      <c r="G294" s="1932" t="str">
        <f>+VLOOKUP(F294,TT_Tabelle_Riferimento!$D$127:$G$164,4,FALSE)</f>
        <v>Gruppi di misura - altre attrezzature di depurazione</v>
      </c>
      <c r="H294" s="1013">
        <v>2</v>
      </c>
      <c r="I294" s="1932" t="str">
        <f>+VLOOKUP(H294,TT_Tabelle_Riferimento!$F$3:$G$6,2,FALSE)</f>
        <v>Fognatura bianca e pulizia / manutenzione caditoie stradali</v>
      </c>
      <c r="J294" s="1013">
        <v>2026</v>
      </c>
      <c r="K294" s="2335">
        <f>+SUMIFS('PdI-crono_inv'!AW:AW,'PdI-crono_inv'!CF:CF,F294,'PdI-crono_inv'!CE:CE,H294,'PdI-crono_inv'!J:J,P294,'PdI-crono_inv'!P:P,"&lt;&gt;proprietario")</f>
        <v>0</v>
      </c>
      <c r="M294" s="2335">
        <f>+SUMIFS('PdI-crono_inv'!AX:AX,'PdI-crono_inv'!CF:CF,F294,'PdI-crono_inv'!CE:CE,H294,'PdI-crono_inv'!J:J,P294,'PdI-crono_inv'!P:P,"&lt;&gt;proprietario")+S294</f>
        <v>0</v>
      </c>
      <c r="P294" s="1013" t="s">
        <v>27068</v>
      </c>
      <c r="Q294" s="1932" t="str">
        <f>+VLOOKUP(F294,TT_Tabelle_Riferimento!$D$127:$E$164,2,FALSE)</f>
        <v>Depurazione</v>
      </c>
      <c r="R294" s="1932" t="str">
        <f t="shared" si="23"/>
        <v/>
      </c>
      <c r="S294" s="2335">
        <f t="shared" si="26"/>
        <v>0</v>
      </c>
    </row>
    <row r="295" spans="1:19">
      <c r="A295" s="1932">
        <f t="shared" si="27"/>
        <v>0</v>
      </c>
      <c r="B295" s="1932">
        <f t="shared" si="28"/>
        <v>0</v>
      </c>
      <c r="C295" s="1013" t="s">
        <v>245</v>
      </c>
      <c r="D295" s="1013">
        <v>0</v>
      </c>
      <c r="E295" s="1013" t="s">
        <v>22698</v>
      </c>
      <c r="F295" s="1013">
        <v>26</v>
      </c>
      <c r="G295" s="1932" t="str">
        <f>+VLOOKUP(F295,TT_Tabelle_Riferimento!$D$127:$G$164,4,FALSE)</f>
        <v>Sistemi informativi di depurazione</v>
      </c>
      <c r="H295" s="1013">
        <v>2</v>
      </c>
      <c r="I295" s="1932" t="str">
        <f>+VLOOKUP(H295,TT_Tabelle_Riferimento!$F$3:$G$6,2,FALSE)</f>
        <v>Fognatura bianca e pulizia / manutenzione caditoie stradali</v>
      </c>
      <c r="J295" s="1013">
        <v>2026</v>
      </c>
      <c r="K295" s="2335">
        <f>+SUMIFS('PdI-crono_inv'!AW:AW,'PdI-crono_inv'!CF:CF,F295,'PdI-crono_inv'!CE:CE,H295,'PdI-crono_inv'!J:J,P295,'PdI-crono_inv'!P:P,"&lt;&gt;proprietario")</f>
        <v>0</v>
      </c>
      <c r="M295" s="2335">
        <f>+SUMIFS('PdI-crono_inv'!AX:AX,'PdI-crono_inv'!CF:CF,F295,'PdI-crono_inv'!CE:CE,H295,'PdI-crono_inv'!J:J,P295,'PdI-crono_inv'!P:P,"&lt;&gt;proprietario")+S295</f>
        <v>0</v>
      </c>
      <c r="P295" s="1013" t="s">
        <v>27068</v>
      </c>
      <c r="Q295" s="1932" t="str">
        <f>+VLOOKUP(F295,TT_Tabelle_Riferimento!$D$127:$E$164,2,FALSE)</f>
        <v>Depurazione</v>
      </c>
      <c r="R295" s="1932" t="str">
        <f t="shared" si="23"/>
        <v/>
      </c>
      <c r="S295" s="2335">
        <f t="shared" si="26"/>
        <v>0</v>
      </c>
    </row>
    <row r="296" spans="1:19">
      <c r="A296" s="1932">
        <f t="shared" si="27"/>
        <v>0</v>
      </c>
      <c r="B296" s="1932">
        <f t="shared" si="28"/>
        <v>0</v>
      </c>
      <c r="C296" s="1013" t="s">
        <v>245</v>
      </c>
      <c r="D296" s="1013">
        <v>0</v>
      </c>
      <c r="E296" s="1013" t="s">
        <v>22698</v>
      </c>
      <c r="F296" s="1013">
        <v>27</v>
      </c>
      <c r="G296" s="1932" t="str">
        <f>+VLOOKUP(F296,TT_Tabelle_Riferimento!$D$127:$G$164,4,FALSE)</f>
        <v>Telecontrollo e teletrasmissione di depurazione</v>
      </c>
      <c r="H296" s="1013">
        <v>2</v>
      </c>
      <c r="I296" s="1932" t="str">
        <f>+VLOOKUP(H296,TT_Tabelle_Riferimento!$F$3:$G$6,2,FALSE)</f>
        <v>Fognatura bianca e pulizia / manutenzione caditoie stradali</v>
      </c>
      <c r="J296" s="1013">
        <v>2026</v>
      </c>
      <c r="K296" s="2335">
        <f>+SUMIFS('PdI-crono_inv'!AW:AW,'PdI-crono_inv'!CF:CF,F296,'PdI-crono_inv'!CE:CE,H296,'PdI-crono_inv'!J:J,P296,'PdI-crono_inv'!P:P,"&lt;&gt;proprietario")</f>
        <v>0</v>
      </c>
      <c r="M296" s="2335">
        <f>+SUMIFS('PdI-crono_inv'!AX:AX,'PdI-crono_inv'!CF:CF,F296,'PdI-crono_inv'!CE:CE,H296,'PdI-crono_inv'!J:J,P296,'PdI-crono_inv'!P:P,"&lt;&gt;proprietario")+S296</f>
        <v>0</v>
      </c>
      <c r="P296" s="1013" t="s">
        <v>27068</v>
      </c>
      <c r="Q296" s="1932" t="str">
        <f>+VLOOKUP(F296,TT_Tabelle_Riferimento!$D$127:$E$164,2,FALSE)</f>
        <v>Depurazione</v>
      </c>
      <c r="R296" s="1932" t="str">
        <f t="shared" si="23"/>
        <v/>
      </c>
      <c r="S296" s="2335">
        <f t="shared" si="26"/>
        <v>0</v>
      </c>
    </row>
    <row r="297" spans="1:19">
      <c r="A297" s="1932">
        <f t="shared" si="27"/>
        <v>0</v>
      </c>
      <c r="B297" s="1932">
        <f t="shared" si="28"/>
        <v>0</v>
      </c>
      <c r="C297" s="1013" t="s">
        <v>245</v>
      </c>
      <c r="D297" s="1013">
        <v>0</v>
      </c>
      <c r="E297" s="1013" t="s">
        <v>22698</v>
      </c>
      <c r="F297" s="1013">
        <v>28</v>
      </c>
      <c r="G297" s="1932" t="str">
        <f>+VLOOKUP(F297,TT_Tabelle_Riferimento!$D$127:$G$164,4,FALSE)</f>
        <v>Altri impianti</v>
      </c>
      <c r="H297" s="1013">
        <v>2</v>
      </c>
      <c r="I297" s="1932" t="str">
        <f>+VLOOKUP(H297,TT_Tabelle_Riferimento!$F$3:$G$6,2,FALSE)</f>
        <v>Fognatura bianca e pulizia / manutenzione caditoie stradali</v>
      </c>
      <c r="J297" s="1013">
        <v>2026</v>
      </c>
      <c r="K297" s="2335">
        <f>+SUMIFS('PdI-crono_inv'!AW:AW,'PdI-crono_inv'!CF:CF,F297,'PdI-crono_inv'!CE:CE,H297,'PdI-crono_inv'!J:J,P297,'PdI-crono_inv'!P:P,"&lt;&gt;proprietario")</f>
        <v>0</v>
      </c>
      <c r="M297" s="2335">
        <f>+SUMIFS('PdI-crono_inv'!AX:AX,'PdI-crono_inv'!CF:CF,F297,'PdI-crono_inv'!CE:CE,H297,'PdI-crono_inv'!J:J,P297,'PdI-crono_inv'!P:P,"&lt;&gt;proprietario")+S297</f>
        <v>0</v>
      </c>
      <c r="P297" s="1013" t="s">
        <v>27068</v>
      </c>
      <c r="Q297" s="1932" t="str">
        <f>+VLOOKUP(F297,TT_Tabelle_Riferimento!$D$127:$E$164,2,FALSE)</f>
        <v>Comune</v>
      </c>
      <c r="R297" s="1932" t="str">
        <f t="shared" si="23"/>
        <v/>
      </c>
      <c r="S297" s="2335">
        <f t="shared" si="26"/>
        <v>0</v>
      </c>
    </row>
    <row r="298" spans="1:19">
      <c r="A298" s="1932">
        <f t="shared" si="27"/>
        <v>0</v>
      </c>
      <c r="B298" s="1932">
        <f t="shared" si="28"/>
        <v>0</v>
      </c>
      <c r="C298" s="1013" t="s">
        <v>245</v>
      </c>
      <c r="D298" s="1013">
        <v>0</v>
      </c>
      <c r="E298" s="1013" t="s">
        <v>22698</v>
      </c>
      <c r="F298" s="1013">
        <v>29</v>
      </c>
      <c r="G298" s="1932" t="str">
        <f>+VLOOKUP(F298,TT_Tabelle_Riferimento!$D$127:$G$164,4,FALSE)</f>
        <v>Laboratori e attrezzature</v>
      </c>
      <c r="H298" s="1013">
        <v>2</v>
      </c>
      <c r="I298" s="1932" t="str">
        <f>+VLOOKUP(H298,TT_Tabelle_Riferimento!$F$3:$G$6,2,FALSE)</f>
        <v>Fognatura bianca e pulizia / manutenzione caditoie stradali</v>
      </c>
      <c r="J298" s="1013">
        <v>2026</v>
      </c>
      <c r="K298" s="2335">
        <f>+SUMIFS('PdI-crono_inv'!AW:AW,'PdI-crono_inv'!CF:CF,F298,'PdI-crono_inv'!CE:CE,H298,'PdI-crono_inv'!J:J,P298,'PdI-crono_inv'!P:P,"&lt;&gt;proprietario")</f>
        <v>0</v>
      </c>
      <c r="M298" s="2335">
        <f>+SUMIFS('PdI-crono_inv'!AX:AX,'PdI-crono_inv'!CF:CF,F298,'PdI-crono_inv'!CE:CE,H298,'PdI-crono_inv'!J:J,P298,'PdI-crono_inv'!P:P,"&lt;&gt;proprietario")+S298</f>
        <v>0</v>
      </c>
      <c r="P298" s="1013" t="s">
        <v>27068</v>
      </c>
      <c r="Q298" s="1932" t="str">
        <f>+VLOOKUP(F298,TT_Tabelle_Riferimento!$D$127:$E$164,2,FALSE)</f>
        <v>Comune</v>
      </c>
      <c r="R298" s="1932" t="str">
        <f t="shared" si="23"/>
        <v/>
      </c>
      <c r="S298" s="2335">
        <f t="shared" si="26"/>
        <v>0</v>
      </c>
    </row>
    <row r="299" spans="1:19">
      <c r="A299" s="1932">
        <f t="shared" si="27"/>
        <v>0</v>
      </c>
      <c r="B299" s="1932">
        <f t="shared" si="28"/>
        <v>0</v>
      </c>
      <c r="C299" s="1013" t="s">
        <v>245</v>
      </c>
      <c r="D299" s="1013">
        <v>0</v>
      </c>
      <c r="E299" s="1013" t="s">
        <v>22698</v>
      </c>
      <c r="F299" s="1013">
        <v>30</v>
      </c>
      <c r="G299" s="1932" t="str">
        <f>+VLOOKUP(F299,TT_Tabelle_Riferimento!$D$127:$G$164,4,FALSE)</f>
        <v>Sistemi informativi</v>
      </c>
      <c r="H299" s="1013">
        <v>2</v>
      </c>
      <c r="I299" s="1932" t="str">
        <f>+VLOOKUP(H299,TT_Tabelle_Riferimento!$F$3:$G$6,2,FALSE)</f>
        <v>Fognatura bianca e pulizia / manutenzione caditoie stradali</v>
      </c>
      <c r="J299" s="1013">
        <v>2026</v>
      </c>
      <c r="K299" s="2335">
        <f>+SUMIFS('PdI-crono_inv'!AW:AW,'PdI-crono_inv'!CF:CF,F299,'PdI-crono_inv'!CE:CE,H299,'PdI-crono_inv'!J:J,P299,'PdI-crono_inv'!P:P,"&lt;&gt;proprietario")</f>
        <v>0</v>
      </c>
      <c r="M299" s="2335">
        <f>+SUMIFS('PdI-crono_inv'!AX:AX,'PdI-crono_inv'!CF:CF,F299,'PdI-crono_inv'!CE:CE,H299,'PdI-crono_inv'!J:J,P299,'PdI-crono_inv'!P:P,"&lt;&gt;proprietario")+S299</f>
        <v>0</v>
      </c>
      <c r="P299" s="1013" t="s">
        <v>27068</v>
      </c>
      <c r="Q299" s="1932" t="str">
        <f>+VLOOKUP(F299,TT_Tabelle_Riferimento!$D$127:$E$164,2,FALSE)</f>
        <v>Comune</v>
      </c>
      <c r="R299" s="1932" t="str">
        <f t="shared" si="23"/>
        <v/>
      </c>
      <c r="S299" s="2335">
        <f t="shared" si="26"/>
        <v>0</v>
      </c>
    </row>
    <row r="300" spans="1:19">
      <c r="A300" s="1932">
        <f t="shared" si="27"/>
        <v>0</v>
      </c>
      <c r="B300" s="1932">
        <f t="shared" si="28"/>
        <v>0</v>
      </c>
      <c r="C300" s="1013" t="s">
        <v>245</v>
      </c>
      <c r="D300" s="1013">
        <v>0</v>
      </c>
      <c r="E300" s="1013" t="s">
        <v>22698</v>
      </c>
      <c r="F300" s="1013">
        <v>31</v>
      </c>
      <c r="G300" s="1932" t="str">
        <f>+VLOOKUP(F300,TT_Tabelle_Riferimento!$D$127:$G$164,4,FALSE)</f>
        <v>Telecontrollo e teletrasmissione</v>
      </c>
      <c r="H300" s="1013">
        <v>2</v>
      </c>
      <c r="I300" s="1932" t="str">
        <f>+VLOOKUP(H300,TT_Tabelle_Riferimento!$F$3:$G$6,2,FALSE)</f>
        <v>Fognatura bianca e pulizia / manutenzione caditoie stradali</v>
      </c>
      <c r="J300" s="1013">
        <v>2026</v>
      </c>
      <c r="K300" s="2335">
        <f>+SUMIFS('PdI-crono_inv'!AW:AW,'PdI-crono_inv'!CF:CF,F300,'PdI-crono_inv'!CE:CE,H300,'PdI-crono_inv'!J:J,P300,'PdI-crono_inv'!P:P,"&lt;&gt;proprietario")</f>
        <v>0</v>
      </c>
      <c r="M300" s="2335">
        <f>+SUMIFS('PdI-crono_inv'!AX:AX,'PdI-crono_inv'!CF:CF,F300,'PdI-crono_inv'!CE:CE,H300,'PdI-crono_inv'!J:J,P300,'PdI-crono_inv'!P:P,"&lt;&gt;proprietario")+S300</f>
        <v>0</v>
      </c>
      <c r="P300" s="1013" t="s">
        <v>27068</v>
      </c>
      <c r="Q300" s="1932" t="str">
        <f>+VLOOKUP(F300,TT_Tabelle_Riferimento!$D$127:$E$164,2,FALSE)</f>
        <v>Comune</v>
      </c>
      <c r="R300" s="1932" t="str">
        <f t="shared" ref="R300:R347" si="29">+IF(SUM(K300:N300)=0,"","PdI_consolidamento")</f>
        <v/>
      </c>
      <c r="S300" s="2335">
        <f t="shared" si="26"/>
        <v>0</v>
      </c>
    </row>
    <row r="301" spans="1:19">
      <c r="A301" s="1932">
        <f t="shared" si="27"/>
        <v>0</v>
      </c>
      <c r="B301" s="1932">
        <f t="shared" si="28"/>
        <v>0</v>
      </c>
      <c r="C301" s="1013" t="s">
        <v>245</v>
      </c>
      <c r="D301" s="1013">
        <v>0</v>
      </c>
      <c r="E301" s="1013" t="s">
        <v>22698</v>
      </c>
      <c r="F301" s="1013">
        <v>32</v>
      </c>
      <c r="G301" s="1932" t="str">
        <f>+VLOOKUP(F301,TT_Tabelle_Riferimento!$D$127:$G$164,4,FALSE)</f>
        <v>Autoveicoli - automezzi</v>
      </c>
      <c r="H301" s="1013">
        <v>2</v>
      </c>
      <c r="I301" s="1932" t="str">
        <f>+VLOOKUP(H301,TT_Tabelle_Riferimento!$F$3:$G$6,2,FALSE)</f>
        <v>Fognatura bianca e pulizia / manutenzione caditoie stradali</v>
      </c>
      <c r="J301" s="1013">
        <v>2026</v>
      </c>
      <c r="K301" s="2335">
        <f>+SUMIFS('PdI-crono_inv'!AW:AW,'PdI-crono_inv'!CF:CF,F301,'PdI-crono_inv'!CE:CE,H301,'PdI-crono_inv'!J:J,P301,'PdI-crono_inv'!P:P,"&lt;&gt;proprietario")</f>
        <v>0</v>
      </c>
      <c r="M301" s="2335">
        <f>+SUMIFS('PdI-crono_inv'!AX:AX,'PdI-crono_inv'!CF:CF,F301,'PdI-crono_inv'!CE:CE,H301,'PdI-crono_inv'!J:J,P301,'PdI-crono_inv'!P:P,"&lt;&gt;proprietario")+S301</f>
        <v>0</v>
      </c>
      <c r="P301" s="1013" t="s">
        <v>27068</v>
      </c>
      <c r="Q301" s="1932" t="str">
        <f>+VLOOKUP(F301,TT_Tabelle_Riferimento!$D$127:$E$164,2,FALSE)</f>
        <v>Comune</v>
      </c>
      <c r="R301" s="1932" t="str">
        <f t="shared" si="29"/>
        <v/>
      </c>
      <c r="S301" s="2335">
        <f t="shared" si="26"/>
        <v>0</v>
      </c>
    </row>
    <row r="302" spans="1:19">
      <c r="A302" s="1932">
        <f t="shared" si="27"/>
        <v>0</v>
      </c>
      <c r="B302" s="1932">
        <f t="shared" si="28"/>
        <v>0</v>
      </c>
      <c r="C302" s="1013" t="s">
        <v>245</v>
      </c>
      <c r="D302" s="1013">
        <v>0</v>
      </c>
      <c r="E302" s="1013" t="s">
        <v>22698</v>
      </c>
      <c r="F302" s="1013">
        <v>1</v>
      </c>
      <c r="G302" s="1932" t="str">
        <f>+VLOOKUP(F302,TT_Tabelle_Riferimento!$D$127:$G$164,4,FALSE)</f>
        <v>Terreni</v>
      </c>
      <c r="H302" s="1013">
        <v>2</v>
      </c>
      <c r="I302" s="1932" t="str">
        <f>+VLOOKUP(H302,TT_Tabelle_Riferimento!$F$3:$G$6,2,FALSE)</f>
        <v>Fognatura bianca e pulizia / manutenzione caditoie stradali</v>
      </c>
      <c r="J302" s="1013">
        <v>2026</v>
      </c>
      <c r="K302" s="2335">
        <f>+SUMIFS('PdI-crono_inv'!AW:AW,'PdI-crono_inv'!CF:CF,F302,'PdI-crono_inv'!CE:CE,H302,'PdI-crono_inv'!J:J,P302,'PdI-crono_inv'!P:P,"&lt;&gt;proprietario")</f>
        <v>0</v>
      </c>
      <c r="M302" s="2335">
        <f>+SUMIFS('PdI-crono_inv'!AX:AX,'PdI-crono_inv'!CF:CF,F302,'PdI-crono_inv'!CE:CE,H302,'PdI-crono_inv'!J:J,P302,'PdI-crono_inv'!P:P,"&lt;&gt;proprietario")+S302</f>
        <v>0</v>
      </c>
      <c r="P302" s="1013" t="s">
        <v>27068</v>
      </c>
      <c r="Q302" s="1932" t="str">
        <f>+VLOOKUP(F302,TT_Tabelle_Riferimento!$D$127:$E$164,2,FALSE)</f>
        <v>Comune</v>
      </c>
      <c r="R302" s="1932" t="str">
        <f t="shared" si="29"/>
        <v/>
      </c>
      <c r="S302" s="2335">
        <f t="shared" si="26"/>
        <v>0</v>
      </c>
    </row>
    <row r="303" spans="1:19">
      <c r="A303" s="1932">
        <f t="shared" si="27"/>
        <v>0</v>
      </c>
      <c r="B303" s="1932">
        <f t="shared" si="28"/>
        <v>0</v>
      </c>
      <c r="C303" s="1013" t="s">
        <v>245</v>
      </c>
      <c r="D303" s="1013">
        <v>0</v>
      </c>
      <c r="E303" s="1013" t="s">
        <v>22698</v>
      </c>
      <c r="F303" s="1013">
        <v>33</v>
      </c>
      <c r="G303" s="1932" t="str">
        <f>+VLOOKUP(F303,TT_Tabelle_Riferimento!$D$127:$G$164,4,FALSE)</f>
        <v>Fabbricati non industriali</v>
      </c>
      <c r="H303" s="1013">
        <v>2</v>
      </c>
      <c r="I303" s="1932" t="str">
        <f>+VLOOKUP(H303,TT_Tabelle_Riferimento!$F$3:$G$6,2,FALSE)</f>
        <v>Fognatura bianca e pulizia / manutenzione caditoie stradali</v>
      </c>
      <c r="J303" s="1013">
        <v>2026</v>
      </c>
      <c r="K303" s="2335">
        <f>+SUMIFS('PdI-crono_inv'!AW:AW,'PdI-crono_inv'!CF:CF,F303,'PdI-crono_inv'!CE:CE,H303,'PdI-crono_inv'!J:J,P303,'PdI-crono_inv'!P:P,"&lt;&gt;proprietario")</f>
        <v>0</v>
      </c>
      <c r="M303" s="2335">
        <f>+SUMIFS('PdI-crono_inv'!AX:AX,'PdI-crono_inv'!CF:CF,F303,'PdI-crono_inv'!CE:CE,H303,'PdI-crono_inv'!J:J,P303,'PdI-crono_inv'!P:P,"&lt;&gt;proprietario")+S303</f>
        <v>0</v>
      </c>
      <c r="P303" s="1013" t="s">
        <v>27068</v>
      </c>
      <c r="Q303" s="1932" t="str">
        <f>+VLOOKUP(F303,TT_Tabelle_Riferimento!$D$127:$E$164,2,FALSE)</f>
        <v>Comune</v>
      </c>
      <c r="R303" s="1932" t="str">
        <f t="shared" si="29"/>
        <v/>
      </c>
      <c r="S303" s="2335">
        <f t="shared" si="26"/>
        <v>0</v>
      </c>
    </row>
    <row r="304" spans="1:19">
      <c r="A304" s="1932">
        <f t="shared" si="27"/>
        <v>0</v>
      </c>
      <c r="B304" s="1932">
        <f t="shared" si="28"/>
        <v>0</v>
      </c>
      <c r="C304" s="1013" t="s">
        <v>245</v>
      </c>
      <c r="D304" s="1013">
        <v>0</v>
      </c>
      <c r="E304" s="1013" t="s">
        <v>22698</v>
      </c>
      <c r="F304" s="1013">
        <v>34</v>
      </c>
      <c r="G304" s="1932" t="str">
        <f>+VLOOKUP(F304,TT_Tabelle_Riferimento!$D$127:$G$164,4,FALSE)</f>
        <v>Fabbricati industriali</v>
      </c>
      <c r="H304" s="1013">
        <v>2</v>
      </c>
      <c r="I304" s="1932" t="str">
        <f>+VLOOKUP(H304,TT_Tabelle_Riferimento!$F$3:$G$6,2,FALSE)</f>
        <v>Fognatura bianca e pulizia / manutenzione caditoie stradali</v>
      </c>
      <c r="J304" s="1013">
        <v>2026</v>
      </c>
      <c r="K304" s="2335">
        <f>+SUMIFS('PdI-crono_inv'!AW:AW,'PdI-crono_inv'!CF:CF,F304,'PdI-crono_inv'!CE:CE,H304,'PdI-crono_inv'!J:J,P304,'PdI-crono_inv'!P:P,"&lt;&gt;proprietario")</f>
        <v>0</v>
      </c>
      <c r="M304" s="2335">
        <f>+SUMIFS('PdI-crono_inv'!AX:AX,'PdI-crono_inv'!CF:CF,F304,'PdI-crono_inv'!CE:CE,H304,'PdI-crono_inv'!J:J,P304,'PdI-crono_inv'!P:P,"&lt;&gt;proprietario")+S304</f>
        <v>0</v>
      </c>
      <c r="P304" s="1013" t="s">
        <v>27068</v>
      </c>
      <c r="Q304" s="1932" t="str">
        <f>+VLOOKUP(F304,TT_Tabelle_Riferimento!$D$127:$E$164,2,FALSE)</f>
        <v>Comune</v>
      </c>
      <c r="R304" s="1932" t="str">
        <f t="shared" si="29"/>
        <v/>
      </c>
      <c r="S304" s="2335">
        <f t="shared" si="26"/>
        <v>0</v>
      </c>
    </row>
    <row r="305" spans="1:19">
      <c r="A305" s="1932">
        <f t="shared" si="27"/>
        <v>0</v>
      </c>
      <c r="B305" s="1932">
        <f t="shared" si="28"/>
        <v>0</v>
      </c>
      <c r="C305" s="1013" t="s">
        <v>245</v>
      </c>
      <c r="D305" s="1013">
        <v>0</v>
      </c>
      <c r="E305" s="1013" t="s">
        <v>22698</v>
      </c>
      <c r="F305" s="1013">
        <v>35</v>
      </c>
      <c r="G305" s="1932" t="str">
        <f>+VLOOKUP(F305,TT_Tabelle_Riferimento!$D$127:$G$164,4,FALSE)</f>
        <v>Costruzioni leggere</v>
      </c>
      <c r="H305" s="1013">
        <v>2</v>
      </c>
      <c r="I305" s="1932" t="str">
        <f>+VLOOKUP(H305,TT_Tabelle_Riferimento!$F$3:$G$6,2,FALSE)</f>
        <v>Fognatura bianca e pulizia / manutenzione caditoie stradali</v>
      </c>
      <c r="J305" s="1013">
        <v>2026</v>
      </c>
      <c r="K305" s="2335">
        <f>+SUMIFS('PdI-crono_inv'!AW:AW,'PdI-crono_inv'!CF:CF,F305,'PdI-crono_inv'!CE:CE,H305,'PdI-crono_inv'!J:J,P305,'PdI-crono_inv'!P:P,"&lt;&gt;proprietario")</f>
        <v>0</v>
      </c>
      <c r="M305" s="2335">
        <f>+SUMIFS('PdI-crono_inv'!AX:AX,'PdI-crono_inv'!CF:CF,F305,'PdI-crono_inv'!CE:CE,H305,'PdI-crono_inv'!J:J,P305,'PdI-crono_inv'!P:P,"&lt;&gt;proprietario")+S305</f>
        <v>0</v>
      </c>
      <c r="P305" s="1013" t="s">
        <v>27068</v>
      </c>
      <c r="Q305" s="1932" t="str">
        <f>+VLOOKUP(F305,TT_Tabelle_Riferimento!$D$127:$E$164,2,FALSE)</f>
        <v>Comune</v>
      </c>
      <c r="R305" s="1932" t="str">
        <f t="shared" si="29"/>
        <v/>
      </c>
      <c r="S305" s="2335">
        <f t="shared" si="26"/>
        <v>0</v>
      </c>
    </row>
    <row r="306" spans="1:19">
      <c r="A306" s="1932">
        <f t="shared" si="27"/>
        <v>0</v>
      </c>
      <c r="B306" s="1932">
        <f t="shared" si="28"/>
        <v>0</v>
      </c>
      <c r="C306" s="1013" t="s">
        <v>245</v>
      </c>
      <c r="D306" s="1013">
        <v>0</v>
      </c>
      <c r="E306" s="1013" t="s">
        <v>22698</v>
      </c>
      <c r="F306" s="1013">
        <v>36</v>
      </c>
      <c r="G306" s="1932" t="str">
        <f>+VLOOKUP(F306,TT_Tabelle_Riferimento!$D$127:$G$164,4,FALSE)</f>
        <v>Studi, ricerche, brevetti, diritti di utilizzazione</v>
      </c>
      <c r="H306" s="1013">
        <v>2</v>
      </c>
      <c r="I306" s="1932" t="str">
        <f>+VLOOKUP(H306,TT_Tabelle_Riferimento!$F$3:$G$6,2,FALSE)</f>
        <v>Fognatura bianca e pulizia / manutenzione caditoie stradali</v>
      </c>
      <c r="J306" s="1013">
        <v>2026</v>
      </c>
      <c r="K306" s="2335">
        <f>+SUMIFS('PdI-crono_inv'!AW:AW,'PdI-crono_inv'!CF:CF,F306,'PdI-crono_inv'!CE:CE,H306,'PdI-crono_inv'!J:J,P306,'PdI-crono_inv'!P:P,"&lt;&gt;proprietario")</f>
        <v>0</v>
      </c>
      <c r="M306" s="2335">
        <f>+SUMIFS('PdI-crono_inv'!AX:AX,'PdI-crono_inv'!CF:CF,F306,'PdI-crono_inv'!CE:CE,H306,'PdI-crono_inv'!J:J,P306,'PdI-crono_inv'!P:P,"&lt;&gt;proprietario")+S306</f>
        <v>0</v>
      </c>
      <c r="P306" s="1013" t="s">
        <v>27068</v>
      </c>
      <c r="Q306" s="1932" t="str">
        <f>+VLOOKUP(F306,TT_Tabelle_Riferimento!$D$127:$E$164,2,FALSE)</f>
        <v>Comune</v>
      </c>
      <c r="R306" s="1932" t="str">
        <f t="shared" si="29"/>
        <v/>
      </c>
      <c r="S306" s="2335">
        <f t="shared" si="26"/>
        <v>0</v>
      </c>
    </row>
    <row r="307" spans="1:19">
      <c r="A307" s="1932">
        <v>0</v>
      </c>
      <c r="B307" s="1932">
        <v>0</v>
      </c>
      <c r="C307" s="1013" t="s">
        <v>245</v>
      </c>
      <c r="D307" s="1013">
        <v>0</v>
      </c>
      <c r="E307" s="1013" t="s">
        <v>22698</v>
      </c>
      <c r="F307" s="1013">
        <v>37</v>
      </c>
      <c r="G307" s="1932" t="str">
        <f>+VLOOKUP(F307,TT_Tabelle_Riferimento!$D$127:$G$164,4,FALSE)</f>
        <v>Altre immobilizzazioni materiali e immateriali</v>
      </c>
      <c r="H307" s="1013">
        <v>2</v>
      </c>
      <c r="I307" s="1932" t="str">
        <f>+VLOOKUP(H307,TT_Tabelle_Riferimento!$F$3:$G$6,2,FALSE)</f>
        <v>Fognatura bianca e pulizia / manutenzione caditoie stradali</v>
      </c>
      <c r="J307" s="1013">
        <v>2026</v>
      </c>
      <c r="K307" s="2335">
        <f>+SUMIFS('PdI-crono_inv'!AW:AW,'PdI-crono_inv'!CF:CF,F307,'PdI-crono_inv'!CE:CE,H307,'PdI-crono_inv'!J:J,P307,'PdI-crono_inv'!P:P,"&lt;&gt;proprietario")</f>
        <v>0</v>
      </c>
      <c r="M307" s="2335">
        <f>+SUMIFS('PdI-crono_inv'!AX:AX,'PdI-crono_inv'!CF:CF,F307,'PdI-crono_inv'!CE:CE,H307,'PdI-crono_inv'!J:J,P307,'PdI-crono_inv'!P:P,"&lt;&gt;proprietario")+S307</f>
        <v>0</v>
      </c>
      <c r="P307" s="1013" t="s">
        <v>27068</v>
      </c>
      <c r="Q307" s="1932" t="str">
        <f>+VLOOKUP(F307,TT_Tabelle_Riferimento!$D$127:$E$164,2,FALSE)</f>
        <v>Comune</v>
      </c>
      <c r="R307" s="1932" t="str">
        <f t="shared" si="29"/>
        <v/>
      </c>
      <c r="S307" s="2335">
        <f t="shared" si="26"/>
        <v>0</v>
      </c>
    </row>
    <row r="308" spans="1:19">
      <c r="A308" s="1932">
        <v>0</v>
      </c>
      <c r="B308" s="1932">
        <v>0</v>
      </c>
      <c r="C308" s="1013" t="s">
        <v>245</v>
      </c>
      <c r="D308" s="1013">
        <v>0</v>
      </c>
      <c r="E308" s="1013" t="s">
        <v>22698</v>
      </c>
      <c r="F308" s="1013">
        <v>38</v>
      </c>
      <c r="G308" s="1932" t="str">
        <f>+VLOOKUP(F308,TT_Tabelle_Riferimento!$D$127:$G$164,4,FALSE)</f>
        <v>Grandi dighe (sbarramenti che superano i quindici metri di altezza o che determinano un invaso superiore a 1 milione di metri cubi)</v>
      </c>
      <c r="H308" s="1013">
        <v>2</v>
      </c>
      <c r="I308" s="1932" t="str">
        <f>+VLOOKUP(H308,TT_Tabelle_Riferimento!$F$3:$G$6,2,FALSE)</f>
        <v>Fognatura bianca e pulizia / manutenzione caditoie stradali</v>
      </c>
      <c r="J308" s="1013">
        <v>2026</v>
      </c>
      <c r="K308" s="2335">
        <f>+SUMIFS('PdI-crono_inv'!AW:AW,'PdI-crono_inv'!CF:CF,F308,'PdI-crono_inv'!CE:CE,H308,'PdI-crono_inv'!J:J,P308,'PdI-crono_inv'!P:P,"&lt;&gt;proprietario")</f>
        <v>0</v>
      </c>
      <c r="M308" s="2335">
        <f>+SUMIFS('PdI-crono_inv'!AX:AX,'PdI-crono_inv'!CF:CF,F308,'PdI-crono_inv'!CE:CE,H308,'PdI-crono_inv'!J:J,P308,'PdI-crono_inv'!P:P,"&lt;&gt;proprietario")+S308</f>
        <v>0</v>
      </c>
      <c r="P308" s="1013" t="s">
        <v>27068</v>
      </c>
      <c r="Q308" s="1932" t="str">
        <f>+VLOOKUP(F308,TT_Tabelle_Riferimento!$D$127:$E$164,2,FALSE)</f>
        <v>Acquedotto</v>
      </c>
      <c r="R308" s="1932" t="str">
        <f t="shared" si="29"/>
        <v/>
      </c>
      <c r="S308" s="2335">
        <f t="shared" si="26"/>
        <v>0</v>
      </c>
    </row>
    <row r="309" spans="1:19">
      <c r="A309" s="1932">
        <v>0</v>
      </c>
      <c r="B309" s="1932">
        <v>0</v>
      </c>
      <c r="C309" s="1013" t="s">
        <v>245</v>
      </c>
      <c r="D309" s="1013">
        <v>0</v>
      </c>
      <c r="E309" s="1013" t="s">
        <v>22698</v>
      </c>
      <c r="F309" s="1013">
        <v>39</v>
      </c>
      <c r="G309" s="1932" t="str">
        <f>+VLOOKUP(F309,TT_Tabelle_Riferimento!$D$127:$G$164,4,FALSE)</f>
        <v>Piccole dighe (sbarramenti che non superano i quindici metri di altezza o che determinano un invaso non superiore a 1 milione di metri cubi)</v>
      </c>
      <c r="H309" s="1013">
        <v>2</v>
      </c>
      <c r="I309" s="1932" t="str">
        <f>+VLOOKUP(H309,TT_Tabelle_Riferimento!$F$3:$G$6,2,FALSE)</f>
        <v>Fognatura bianca e pulizia / manutenzione caditoie stradali</v>
      </c>
      <c r="J309" s="1013">
        <v>2026</v>
      </c>
      <c r="K309" s="2335">
        <f>+SUMIFS('PdI-crono_inv'!AW:AW,'PdI-crono_inv'!CF:CF,F309,'PdI-crono_inv'!CE:CE,H309,'PdI-crono_inv'!J:J,P309,'PdI-crono_inv'!P:P,"&lt;&gt;proprietario")</f>
        <v>0</v>
      </c>
      <c r="M309" s="2335">
        <f>+SUMIFS('PdI-crono_inv'!AX:AX,'PdI-crono_inv'!CF:CF,F309,'PdI-crono_inv'!CE:CE,H309,'PdI-crono_inv'!J:J,P309,'PdI-crono_inv'!P:P,"&lt;&gt;proprietario")+S309</f>
        <v>0</v>
      </c>
      <c r="P309" s="1013" t="s">
        <v>27068</v>
      </c>
      <c r="Q309" s="1932" t="str">
        <f>+VLOOKUP(F309,TT_Tabelle_Riferimento!$D$127:$E$164,2,FALSE)</f>
        <v>Acquedotto</v>
      </c>
      <c r="R309" s="1932" t="str">
        <f t="shared" si="29"/>
        <v/>
      </c>
      <c r="S309" s="2335">
        <f t="shared" si="26"/>
        <v>0</v>
      </c>
    </row>
    <row r="310" spans="1:19">
      <c r="A310" s="1932">
        <f t="shared" ref="A310:A373" si="30">+idato</f>
        <v>0</v>
      </c>
      <c r="B310" s="1932">
        <f t="shared" ref="B310:B373" si="31">+idgestore</f>
        <v>0</v>
      </c>
      <c r="C310" s="1013" t="s">
        <v>245</v>
      </c>
      <c r="D310" s="1013">
        <v>0</v>
      </c>
      <c r="E310" s="1013" t="s">
        <v>22698</v>
      </c>
      <c r="F310" s="1013">
        <v>2</v>
      </c>
      <c r="G310" s="1932" t="str">
        <f>+VLOOKUP(F310,TT_Tabelle_Riferimento!$D$127:$G$164,4,FALSE)</f>
        <v>Condotte di acquedotto</v>
      </c>
      <c r="H310" s="1013">
        <v>3</v>
      </c>
      <c r="I310" s="1932" t="str">
        <f>+VLOOKUP(H310,TT_Tabelle_Riferimento!$F$3:$G$6,2,FALSE)</f>
        <v>Altri servizi idrici</v>
      </c>
      <c r="J310" s="1013">
        <v>2026</v>
      </c>
      <c r="K310" s="2335">
        <f>+SUMIFS('PdI-crono_inv'!AW:AW,'PdI-crono_inv'!CF:CF,F310,'PdI-crono_inv'!CE:CE,H310,'PdI-crono_inv'!J:J,P310,'PdI-crono_inv'!P:P,"&lt;&gt;proprietario")</f>
        <v>0</v>
      </c>
      <c r="M310" s="2335">
        <f>+SUMIFS('PdI-crono_inv'!AX:AX,'PdI-crono_inv'!CF:CF,F310,'PdI-crono_inv'!CE:CE,H310,'PdI-crono_inv'!J:J,P310,'PdI-crono_inv'!P:P,"&lt;&gt;proprietario")+S310</f>
        <v>0</v>
      </c>
      <c r="P310" s="1013" t="s">
        <v>27068</v>
      </c>
      <c r="Q310" s="1932" t="str">
        <f>+VLOOKUP(F310,TT_Tabelle_Riferimento!$D$127:$E$164,2,FALSE)</f>
        <v>Acquedotto</v>
      </c>
      <c r="R310" s="1932" t="str">
        <f t="shared" si="29"/>
        <v/>
      </c>
      <c r="S310" s="2335">
        <f t="shared" si="26"/>
        <v>0</v>
      </c>
    </row>
    <row r="311" spans="1:19">
      <c r="A311" s="1932">
        <f t="shared" si="30"/>
        <v>0</v>
      </c>
      <c r="B311" s="1932">
        <f t="shared" si="31"/>
        <v>0</v>
      </c>
      <c r="C311" s="1013" t="s">
        <v>245</v>
      </c>
      <c r="D311" s="1013">
        <v>0</v>
      </c>
      <c r="E311" s="1013" t="s">
        <v>22698</v>
      </c>
      <c r="F311" s="1013">
        <v>3</v>
      </c>
      <c r="G311" s="1932" t="str">
        <f>+VLOOKUP(F311,TT_Tabelle_Riferimento!$D$127:$G$164,4,FALSE)</f>
        <v>Opere idrauliche fisse di acquedotto</v>
      </c>
      <c r="H311" s="1013">
        <v>3</v>
      </c>
      <c r="I311" s="1932" t="str">
        <f>+VLOOKUP(H311,TT_Tabelle_Riferimento!$F$3:$G$6,2,FALSE)</f>
        <v>Altri servizi idrici</v>
      </c>
      <c r="J311" s="1013">
        <v>2026</v>
      </c>
      <c r="K311" s="2335">
        <f>+SUMIFS('PdI-crono_inv'!AW:AW,'PdI-crono_inv'!CF:CF,F311,'PdI-crono_inv'!CE:CE,H311,'PdI-crono_inv'!J:J,P311,'PdI-crono_inv'!P:P,"&lt;&gt;proprietario")</f>
        <v>0</v>
      </c>
      <c r="M311" s="2335">
        <f>+SUMIFS('PdI-crono_inv'!AX:AX,'PdI-crono_inv'!CF:CF,F311,'PdI-crono_inv'!CE:CE,H311,'PdI-crono_inv'!J:J,P311,'PdI-crono_inv'!P:P,"&lt;&gt;proprietario")+S311</f>
        <v>0</v>
      </c>
      <c r="P311" s="1013" t="s">
        <v>27068</v>
      </c>
      <c r="Q311" s="1932" t="str">
        <f>+VLOOKUP(F311,TT_Tabelle_Riferimento!$D$127:$E$164,2,FALSE)</f>
        <v>Acquedotto</v>
      </c>
      <c r="R311" s="1932" t="str">
        <f t="shared" si="29"/>
        <v/>
      </c>
      <c r="S311" s="2335">
        <f t="shared" si="26"/>
        <v>0</v>
      </c>
    </row>
    <row r="312" spans="1:19">
      <c r="A312" s="1932">
        <f t="shared" si="30"/>
        <v>0</v>
      </c>
      <c r="B312" s="1932">
        <f t="shared" si="31"/>
        <v>0</v>
      </c>
      <c r="C312" s="1013" t="s">
        <v>245</v>
      </c>
      <c r="D312" s="1013">
        <v>0</v>
      </c>
      <c r="E312" s="1013" t="s">
        <v>22698</v>
      </c>
      <c r="F312" s="1013">
        <v>4</v>
      </c>
      <c r="G312" s="1932" t="str">
        <f>+VLOOKUP(F312,TT_Tabelle_Riferimento!$D$127:$G$164,4,FALSE)</f>
        <v>Serbatoi</v>
      </c>
      <c r="H312" s="1013">
        <v>3</v>
      </c>
      <c r="I312" s="1932" t="str">
        <f>+VLOOKUP(H312,TT_Tabelle_Riferimento!$F$3:$G$6,2,FALSE)</f>
        <v>Altri servizi idrici</v>
      </c>
      <c r="J312" s="1013">
        <v>2026</v>
      </c>
      <c r="K312" s="2335">
        <f>+SUMIFS('PdI-crono_inv'!AW:AW,'PdI-crono_inv'!CF:CF,F312,'PdI-crono_inv'!CE:CE,H312,'PdI-crono_inv'!J:J,P312,'PdI-crono_inv'!P:P,"&lt;&gt;proprietario")</f>
        <v>0</v>
      </c>
      <c r="M312" s="2335">
        <f>+SUMIFS('PdI-crono_inv'!AX:AX,'PdI-crono_inv'!CF:CF,F312,'PdI-crono_inv'!CE:CE,H312,'PdI-crono_inv'!J:J,P312,'PdI-crono_inv'!P:P,"&lt;&gt;proprietario")+S312</f>
        <v>0</v>
      </c>
      <c r="P312" s="1013" t="s">
        <v>27068</v>
      </c>
      <c r="Q312" s="1932" t="str">
        <f>+VLOOKUP(F312,TT_Tabelle_Riferimento!$D$127:$E$164,2,FALSE)</f>
        <v>Acquedotto</v>
      </c>
      <c r="R312" s="1932" t="str">
        <f t="shared" si="29"/>
        <v/>
      </c>
      <c r="S312" s="2335">
        <f t="shared" si="26"/>
        <v>0</v>
      </c>
    </row>
    <row r="313" spans="1:19">
      <c r="A313" s="1932">
        <f t="shared" si="30"/>
        <v>0</v>
      </c>
      <c r="B313" s="1932">
        <f t="shared" si="31"/>
        <v>0</v>
      </c>
      <c r="C313" s="1013" t="s">
        <v>245</v>
      </c>
      <c r="D313" s="1013">
        <v>0</v>
      </c>
      <c r="E313" s="1013" t="s">
        <v>22698</v>
      </c>
      <c r="F313" s="1013">
        <v>5</v>
      </c>
      <c r="G313" s="1932" t="str">
        <f>+VLOOKUP(F313,TT_Tabelle_Riferimento!$D$127:$G$164,4,FALSE)</f>
        <v>Impianti di sollevamento e pompaggio di acquedotto</v>
      </c>
      <c r="H313" s="1013">
        <v>3</v>
      </c>
      <c r="I313" s="1932" t="str">
        <f>+VLOOKUP(H313,TT_Tabelle_Riferimento!$F$3:$G$6,2,FALSE)</f>
        <v>Altri servizi idrici</v>
      </c>
      <c r="J313" s="1013">
        <v>2026</v>
      </c>
      <c r="K313" s="2335">
        <f>+SUMIFS('PdI-crono_inv'!AW:AW,'PdI-crono_inv'!CF:CF,F313,'PdI-crono_inv'!CE:CE,H313,'PdI-crono_inv'!J:J,P313,'PdI-crono_inv'!P:P,"&lt;&gt;proprietario")</f>
        <v>0</v>
      </c>
      <c r="M313" s="2335">
        <f>+SUMIFS('PdI-crono_inv'!AX:AX,'PdI-crono_inv'!CF:CF,F313,'PdI-crono_inv'!CE:CE,H313,'PdI-crono_inv'!J:J,P313,'PdI-crono_inv'!P:P,"&lt;&gt;proprietario")+S313</f>
        <v>0</v>
      </c>
      <c r="P313" s="1013" t="s">
        <v>27068</v>
      </c>
      <c r="Q313" s="1932" t="str">
        <f>+VLOOKUP(F313,TT_Tabelle_Riferimento!$D$127:$E$164,2,FALSE)</f>
        <v>Acquedotto</v>
      </c>
      <c r="R313" s="1932" t="str">
        <f t="shared" si="29"/>
        <v/>
      </c>
      <c r="S313" s="2335">
        <f t="shared" si="26"/>
        <v>0</v>
      </c>
    </row>
    <row r="314" spans="1:19">
      <c r="A314" s="1932">
        <f t="shared" si="30"/>
        <v>0</v>
      </c>
      <c r="B314" s="1932">
        <f t="shared" si="31"/>
        <v>0</v>
      </c>
      <c r="C314" s="1013" t="s">
        <v>245</v>
      </c>
      <c r="D314" s="1013">
        <v>0</v>
      </c>
      <c r="E314" s="1013" t="s">
        <v>22698</v>
      </c>
      <c r="F314" s="1013">
        <v>6</v>
      </c>
      <c r="G314" s="1932" t="str">
        <f>+VLOOKUP(F314,TT_Tabelle_Riferimento!$D$127:$G$164,4,FALSE)</f>
        <v>Impianti di potabilizzazione</v>
      </c>
      <c r="H314" s="1013">
        <v>3</v>
      </c>
      <c r="I314" s="1932" t="str">
        <f>+VLOOKUP(H314,TT_Tabelle_Riferimento!$F$3:$G$6,2,FALSE)</f>
        <v>Altri servizi idrici</v>
      </c>
      <c r="J314" s="1013">
        <v>2026</v>
      </c>
      <c r="K314" s="2335">
        <f>+SUMIFS('PdI-crono_inv'!AW:AW,'PdI-crono_inv'!CF:CF,F314,'PdI-crono_inv'!CE:CE,H314,'PdI-crono_inv'!J:J,P314,'PdI-crono_inv'!P:P,"&lt;&gt;proprietario")</f>
        <v>0</v>
      </c>
      <c r="M314" s="2335">
        <f>+SUMIFS('PdI-crono_inv'!AX:AX,'PdI-crono_inv'!CF:CF,F314,'PdI-crono_inv'!CE:CE,H314,'PdI-crono_inv'!J:J,P314,'PdI-crono_inv'!P:P,"&lt;&gt;proprietario")+S314</f>
        <v>0</v>
      </c>
      <c r="P314" s="1013" t="s">
        <v>27068</v>
      </c>
      <c r="Q314" s="1932" t="str">
        <f>+VLOOKUP(F314,TT_Tabelle_Riferimento!$D$127:$E$164,2,FALSE)</f>
        <v>Acquedotto</v>
      </c>
      <c r="R314" s="1932" t="str">
        <f t="shared" si="29"/>
        <v/>
      </c>
      <c r="S314" s="2335">
        <f t="shared" si="26"/>
        <v>0</v>
      </c>
    </row>
    <row r="315" spans="1:19">
      <c r="A315" s="1932">
        <f t="shared" si="30"/>
        <v>0</v>
      </c>
      <c r="B315" s="1932">
        <f t="shared" si="31"/>
        <v>0</v>
      </c>
      <c r="C315" s="1013" t="s">
        <v>245</v>
      </c>
      <c r="D315" s="1013">
        <v>0</v>
      </c>
      <c r="E315" s="1013" t="s">
        <v>22698</v>
      </c>
      <c r="F315" s="1013">
        <v>7</v>
      </c>
      <c r="G315" s="1932" t="str">
        <f>+VLOOKUP(F315,TT_Tabelle_Riferimento!$D$127:$G$164,4,FALSE)</f>
        <v>Altri trattamenti di potabilizzazione (tra cui dispositivi di disinfezione, stacciatura, filtrazione, addolcimento)</v>
      </c>
      <c r="H315" s="1013">
        <v>3</v>
      </c>
      <c r="I315" s="1932" t="str">
        <f>+VLOOKUP(H315,TT_Tabelle_Riferimento!$F$3:$G$6,2,FALSE)</f>
        <v>Altri servizi idrici</v>
      </c>
      <c r="J315" s="1013">
        <v>2026</v>
      </c>
      <c r="K315" s="2335">
        <f>+SUMIFS('PdI-crono_inv'!AW:AW,'PdI-crono_inv'!CF:CF,F315,'PdI-crono_inv'!CE:CE,H315,'PdI-crono_inv'!J:J,P315,'PdI-crono_inv'!P:P,"&lt;&gt;proprietario")</f>
        <v>0</v>
      </c>
      <c r="M315" s="2335">
        <f>+SUMIFS('PdI-crono_inv'!AX:AX,'PdI-crono_inv'!CF:CF,F315,'PdI-crono_inv'!CE:CE,H315,'PdI-crono_inv'!J:J,P315,'PdI-crono_inv'!P:P,"&lt;&gt;proprietario")+S315</f>
        <v>0</v>
      </c>
      <c r="P315" s="1013" t="s">
        <v>27068</v>
      </c>
      <c r="Q315" s="1932" t="str">
        <f>+VLOOKUP(F315,TT_Tabelle_Riferimento!$D$127:$E$164,2,FALSE)</f>
        <v>Acquedotto</v>
      </c>
      <c r="R315" s="1932" t="str">
        <f t="shared" si="29"/>
        <v/>
      </c>
      <c r="S315" s="2335">
        <f t="shared" si="26"/>
        <v>0</v>
      </c>
    </row>
    <row r="316" spans="1:19">
      <c r="A316" s="1932">
        <f t="shared" si="30"/>
        <v>0</v>
      </c>
      <c r="B316" s="1932">
        <f t="shared" si="31"/>
        <v>0</v>
      </c>
      <c r="C316" s="1013" t="s">
        <v>245</v>
      </c>
      <c r="D316" s="1013">
        <v>0</v>
      </c>
      <c r="E316" s="1013" t="s">
        <v>22698</v>
      </c>
      <c r="F316" s="1013">
        <v>8</v>
      </c>
      <c r="G316" s="1932" t="str">
        <f>+VLOOKUP(F316,TT_Tabelle_Riferimento!$D$127:$G$164,4,FALSE)</f>
        <v>Gruppi di misura - altre attrezzature di acquedotto</v>
      </c>
      <c r="H316" s="1013">
        <v>3</v>
      </c>
      <c r="I316" s="1932" t="str">
        <f>+VLOOKUP(H316,TT_Tabelle_Riferimento!$F$3:$G$6,2,FALSE)</f>
        <v>Altri servizi idrici</v>
      </c>
      <c r="J316" s="1013">
        <v>2026</v>
      </c>
      <c r="K316" s="2335">
        <f>+SUMIFS('PdI-crono_inv'!AW:AW,'PdI-crono_inv'!CF:CF,F316,'PdI-crono_inv'!CE:CE,H316,'PdI-crono_inv'!J:J,P316,'PdI-crono_inv'!P:P,"&lt;&gt;proprietario")</f>
        <v>0</v>
      </c>
      <c r="M316" s="2335">
        <f>+SUMIFS('PdI-crono_inv'!AX:AX,'PdI-crono_inv'!CF:CF,F316,'PdI-crono_inv'!CE:CE,H316,'PdI-crono_inv'!J:J,P316,'PdI-crono_inv'!P:P,"&lt;&gt;proprietario")+S316</f>
        <v>0</v>
      </c>
      <c r="P316" s="1013" t="s">
        <v>27068</v>
      </c>
      <c r="Q316" s="1932" t="str">
        <f>+VLOOKUP(F316,TT_Tabelle_Riferimento!$D$127:$E$164,2,FALSE)</f>
        <v>Acquedotto</v>
      </c>
      <c r="R316" s="1932" t="str">
        <f t="shared" si="29"/>
        <v/>
      </c>
      <c r="S316" s="2335">
        <f t="shared" si="26"/>
        <v>0</v>
      </c>
    </row>
    <row r="317" spans="1:19">
      <c r="A317" s="1932">
        <f t="shared" si="30"/>
        <v>0</v>
      </c>
      <c r="B317" s="1932">
        <f t="shared" si="31"/>
        <v>0</v>
      </c>
      <c r="C317" s="1013" t="s">
        <v>245</v>
      </c>
      <c r="D317" s="1013">
        <v>0</v>
      </c>
      <c r="E317" s="1013" t="s">
        <v>22698</v>
      </c>
      <c r="F317" s="1013">
        <v>9</v>
      </c>
      <c r="G317" s="1932" t="str">
        <f>+VLOOKUP(F317,TT_Tabelle_Riferimento!$D$127:$G$164,4,FALSE)</f>
        <v>Sistemi informativi di acquedotto</v>
      </c>
      <c r="H317" s="1013">
        <v>3</v>
      </c>
      <c r="I317" s="1932" t="str">
        <f>+VLOOKUP(H317,TT_Tabelle_Riferimento!$F$3:$G$6,2,FALSE)</f>
        <v>Altri servizi idrici</v>
      </c>
      <c r="J317" s="1013">
        <v>2026</v>
      </c>
      <c r="K317" s="2335">
        <f>+SUMIFS('PdI-crono_inv'!AW:AW,'PdI-crono_inv'!CF:CF,F317,'PdI-crono_inv'!CE:CE,H317,'PdI-crono_inv'!J:J,P317,'PdI-crono_inv'!P:P,"&lt;&gt;proprietario")</f>
        <v>0</v>
      </c>
      <c r="M317" s="2335">
        <f>+SUMIFS('PdI-crono_inv'!AX:AX,'PdI-crono_inv'!CF:CF,F317,'PdI-crono_inv'!CE:CE,H317,'PdI-crono_inv'!J:J,P317,'PdI-crono_inv'!P:P,"&lt;&gt;proprietario")+S317</f>
        <v>0</v>
      </c>
      <c r="P317" s="1013" t="s">
        <v>27068</v>
      </c>
      <c r="Q317" s="1932" t="str">
        <f>+VLOOKUP(F317,TT_Tabelle_Riferimento!$D$127:$E$164,2,FALSE)</f>
        <v>Acquedotto</v>
      </c>
      <c r="R317" s="1932" t="str">
        <f t="shared" si="29"/>
        <v/>
      </c>
      <c r="S317" s="2335">
        <f t="shared" si="26"/>
        <v>0</v>
      </c>
    </row>
    <row r="318" spans="1:19">
      <c r="A318" s="1932">
        <f t="shared" si="30"/>
        <v>0</v>
      </c>
      <c r="B318" s="1932">
        <f t="shared" si="31"/>
        <v>0</v>
      </c>
      <c r="C318" s="1013" t="s">
        <v>245</v>
      </c>
      <c r="D318" s="1013">
        <v>0</v>
      </c>
      <c r="E318" s="1013" t="s">
        <v>22698</v>
      </c>
      <c r="F318" s="1013">
        <v>10</v>
      </c>
      <c r="G318" s="1932" t="str">
        <f>+VLOOKUP(F318,TT_Tabelle_Riferimento!$D$127:$G$164,4,FALSE)</f>
        <v>Telecontrollo e teletrasmissione di acquedotto</v>
      </c>
      <c r="H318" s="1013">
        <v>3</v>
      </c>
      <c r="I318" s="1932" t="str">
        <f>+VLOOKUP(H318,TT_Tabelle_Riferimento!$F$3:$G$6,2,FALSE)</f>
        <v>Altri servizi idrici</v>
      </c>
      <c r="J318" s="1013">
        <v>2026</v>
      </c>
      <c r="K318" s="2335">
        <f>+SUMIFS('PdI-crono_inv'!AW:AW,'PdI-crono_inv'!CF:CF,F318,'PdI-crono_inv'!CE:CE,H318,'PdI-crono_inv'!J:J,P318,'PdI-crono_inv'!P:P,"&lt;&gt;proprietario")</f>
        <v>0</v>
      </c>
      <c r="M318" s="2335">
        <f>+SUMIFS('PdI-crono_inv'!AX:AX,'PdI-crono_inv'!CF:CF,F318,'PdI-crono_inv'!CE:CE,H318,'PdI-crono_inv'!J:J,P318,'PdI-crono_inv'!P:P,"&lt;&gt;proprietario")+S318</f>
        <v>0</v>
      </c>
      <c r="P318" s="1013" t="s">
        <v>27068</v>
      </c>
      <c r="Q318" s="1932" t="str">
        <f>+VLOOKUP(F318,TT_Tabelle_Riferimento!$D$127:$E$164,2,FALSE)</f>
        <v>Acquedotto</v>
      </c>
      <c r="R318" s="1932" t="str">
        <f t="shared" si="29"/>
        <v/>
      </c>
      <c r="S318" s="2335">
        <f t="shared" si="26"/>
        <v>0</v>
      </c>
    </row>
    <row r="319" spans="1:19">
      <c r="A319" s="1932">
        <f t="shared" si="30"/>
        <v>0</v>
      </c>
      <c r="B319" s="1932">
        <f t="shared" si="31"/>
        <v>0</v>
      </c>
      <c r="C319" s="1013" t="s">
        <v>245</v>
      </c>
      <c r="D319" s="1013">
        <v>0</v>
      </c>
      <c r="E319" s="1013" t="s">
        <v>22698</v>
      </c>
      <c r="F319" s="1013">
        <v>11</v>
      </c>
      <c r="G319" s="1932" t="str">
        <f>+VLOOKUP(F319,TT_Tabelle_Riferimento!$D$127:$G$164,4,FALSE)</f>
        <v>Condotte fognarie</v>
      </c>
      <c r="H319" s="1013">
        <v>3</v>
      </c>
      <c r="I319" s="1932" t="str">
        <f>+VLOOKUP(H319,TT_Tabelle_Riferimento!$F$3:$G$6,2,FALSE)</f>
        <v>Altri servizi idrici</v>
      </c>
      <c r="J319" s="1013">
        <v>2026</v>
      </c>
      <c r="K319" s="2335">
        <f>+SUMIFS('PdI-crono_inv'!AW:AW,'PdI-crono_inv'!CF:CF,F319,'PdI-crono_inv'!CE:CE,H319,'PdI-crono_inv'!J:J,P319,'PdI-crono_inv'!P:P,"&lt;&gt;proprietario")</f>
        <v>0</v>
      </c>
      <c r="M319" s="2335">
        <f>+SUMIFS('PdI-crono_inv'!AX:AX,'PdI-crono_inv'!CF:CF,F319,'PdI-crono_inv'!CE:CE,H319,'PdI-crono_inv'!J:J,P319,'PdI-crono_inv'!P:P,"&lt;&gt;proprietario")+S319</f>
        <v>0</v>
      </c>
      <c r="P319" s="1013" t="s">
        <v>27068</v>
      </c>
      <c r="Q319" s="1932" t="str">
        <f>+VLOOKUP(F319,TT_Tabelle_Riferimento!$D$127:$E$164,2,FALSE)</f>
        <v>Fognatura</v>
      </c>
      <c r="R319" s="1932" t="str">
        <f t="shared" si="29"/>
        <v/>
      </c>
      <c r="S319" s="2335">
        <f t="shared" si="26"/>
        <v>0</v>
      </c>
    </row>
    <row r="320" spans="1:19">
      <c r="A320" s="1932">
        <f t="shared" si="30"/>
        <v>0</v>
      </c>
      <c r="B320" s="1932">
        <f t="shared" si="31"/>
        <v>0</v>
      </c>
      <c r="C320" s="1013" t="s">
        <v>245</v>
      </c>
      <c r="D320" s="1013">
        <v>0</v>
      </c>
      <c r="E320" s="1013" t="s">
        <v>22698</v>
      </c>
      <c r="F320" s="1013">
        <v>12</v>
      </c>
      <c r="G320" s="1932" t="str">
        <f>+VLOOKUP(F320,TT_Tabelle_Riferimento!$D$127:$G$164,4,FALSE)</f>
        <v>Sifoni e scaricatori di piena e altre opere idrauliche fisse di fognatura</v>
      </c>
      <c r="H320" s="1013">
        <v>3</v>
      </c>
      <c r="I320" s="1932" t="str">
        <f>+VLOOKUP(H320,TT_Tabelle_Riferimento!$F$3:$G$6,2,FALSE)</f>
        <v>Altri servizi idrici</v>
      </c>
      <c r="J320" s="1013">
        <v>2026</v>
      </c>
      <c r="K320" s="2335">
        <f>+SUMIFS('PdI-crono_inv'!AW:AW,'PdI-crono_inv'!CF:CF,F320,'PdI-crono_inv'!CE:CE,H320,'PdI-crono_inv'!J:J,P320,'PdI-crono_inv'!P:P,"&lt;&gt;proprietario")</f>
        <v>0</v>
      </c>
      <c r="M320" s="2335">
        <f>+SUMIFS('PdI-crono_inv'!AX:AX,'PdI-crono_inv'!CF:CF,F320,'PdI-crono_inv'!CE:CE,H320,'PdI-crono_inv'!J:J,P320,'PdI-crono_inv'!P:P,"&lt;&gt;proprietario")+S320</f>
        <v>0</v>
      </c>
      <c r="P320" s="1013" t="s">
        <v>27068</v>
      </c>
      <c r="Q320" s="1932" t="str">
        <f>+VLOOKUP(F320,TT_Tabelle_Riferimento!$D$127:$E$164,2,FALSE)</f>
        <v>Fognatura</v>
      </c>
      <c r="R320" s="1932" t="str">
        <f t="shared" si="29"/>
        <v/>
      </c>
      <c r="S320" s="2335">
        <f t="shared" si="26"/>
        <v>0</v>
      </c>
    </row>
    <row r="321" spans="1:19">
      <c r="A321" s="1932">
        <f t="shared" si="30"/>
        <v>0</v>
      </c>
      <c r="B321" s="1932">
        <f t="shared" si="31"/>
        <v>0</v>
      </c>
      <c r="C321" s="1013" t="s">
        <v>245</v>
      </c>
      <c r="D321" s="1013">
        <v>0</v>
      </c>
      <c r="E321" s="1013" t="s">
        <v>22698</v>
      </c>
      <c r="F321" s="1013">
        <v>13</v>
      </c>
      <c r="G321" s="1932" t="str">
        <f>+VLOOKUP(F321,TT_Tabelle_Riferimento!$D$127:$G$164,4,FALSE)</f>
        <v>Vasche di laminazione e vasche di prima pioggia</v>
      </c>
      <c r="H321" s="1013">
        <v>3</v>
      </c>
      <c r="I321" s="1932" t="str">
        <f>+VLOOKUP(H321,TT_Tabelle_Riferimento!$F$3:$G$6,2,FALSE)</f>
        <v>Altri servizi idrici</v>
      </c>
      <c r="J321" s="1013">
        <v>2026</v>
      </c>
      <c r="K321" s="2335">
        <f>+SUMIFS('PdI-crono_inv'!AW:AW,'PdI-crono_inv'!CF:CF,F321,'PdI-crono_inv'!CE:CE,H321,'PdI-crono_inv'!J:J,P321,'PdI-crono_inv'!P:P,"&lt;&gt;proprietario")</f>
        <v>0</v>
      </c>
      <c r="M321" s="2335">
        <f>+SUMIFS('PdI-crono_inv'!AX:AX,'PdI-crono_inv'!CF:CF,F321,'PdI-crono_inv'!CE:CE,H321,'PdI-crono_inv'!J:J,P321,'PdI-crono_inv'!P:P,"&lt;&gt;proprietario")+S321</f>
        <v>0</v>
      </c>
      <c r="P321" s="1013" t="s">
        <v>27068</v>
      </c>
      <c r="Q321" s="1932" t="str">
        <f>+VLOOKUP(F321,TT_Tabelle_Riferimento!$D$127:$E$164,2,FALSE)</f>
        <v>Fognatura</v>
      </c>
      <c r="R321" s="1932" t="str">
        <f t="shared" si="29"/>
        <v/>
      </c>
      <c r="S321" s="2335">
        <f t="shared" si="26"/>
        <v>0</v>
      </c>
    </row>
    <row r="322" spans="1:19">
      <c r="A322" s="1932">
        <f t="shared" si="30"/>
        <v>0</v>
      </c>
      <c r="B322" s="1932">
        <f t="shared" si="31"/>
        <v>0</v>
      </c>
      <c r="C322" s="1013" t="s">
        <v>245</v>
      </c>
      <c r="D322" s="1013">
        <v>0</v>
      </c>
      <c r="E322" s="1013" t="s">
        <v>22698</v>
      </c>
      <c r="F322" s="1013">
        <v>14</v>
      </c>
      <c r="G322" s="1932" t="str">
        <f>+VLOOKUP(F322,TT_Tabelle_Riferimento!$D$127:$G$164,4,FALSE)</f>
        <v>Impianti di sollevamento e pompaggio di fognatura</v>
      </c>
      <c r="H322" s="1013">
        <v>3</v>
      </c>
      <c r="I322" s="1932" t="str">
        <f>+VLOOKUP(H322,TT_Tabelle_Riferimento!$F$3:$G$6,2,FALSE)</f>
        <v>Altri servizi idrici</v>
      </c>
      <c r="J322" s="1013">
        <v>2026</v>
      </c>
      <c r="K322" s="2335">
        <f>+SUMIFS('PdI-crono_inv'!AW:AW,'PdI-crono_inv'!CF:CF,F322,'PdI-crono_inv'!CE:CE,H322,'PdI-crono_inv'!J:J,P322,'PdI-crono_inv'!P:P,"&lt;&gt;proprietario")</f>
        <v>0</v>
      </c>
      <c r="M322" s="2335">
        <f>+SUMIFS('PdI-crono_inv'!AX:AX,'PdI-crono_inv'!CF:CF,F322,'PdI-crono_inv'!CE:CE,H322,'PdI-crono_inv'!J:J,P322,'PdI-crono_inv'!P:P,"&lt;&gt;proprietario")+S322</f>
        <v>0</v>
      </c>
      <c r="P322" s="1013" t="s">
        <v>27068</v>
      </c>
      <c r="Q322" s="1932" t="str">
        <f>+VLOOKUP(F322,TT_Tabelle_Riferimento!$D$127:$E$164,2,FALSE)</f>
        <v>Fognatura</v>
      </c>
      <c r="R322" s="1932" t="str">
        <f t="shared" si="29"/>
        <v/>
      </c>
      <c r="S322" s="2335">
        <f t="shared" si="26"/>
        <v>0</v>
      </c>
    </row>
    <row r="323" spans="1:19">
      <c r="A323" s="1932">
        <f t="shared" si="30"/>
        <v>0</v>
      </c>
      <c r="B323" s="1932">
        <f t="shared" si="31"/>
        <v>0</v>
      </c>
      <c r="C323" s="1013" t="s">
        <v>245</v>
      </c>
      <c r="D323" s="1013">
        <v>0</v>
      </c>
      <c r="E323" s="1013" t="s">
        <v>22698</v>
      </c>
      <c r="F323" s="1013">
        <v>15</v>
      </c>
      <c r="G323" s="1932" t="str">
        <f>+VLOOKUP(F323,TT_Tabelle_Riferimento!$D$127:$G$164,4,FALSE)</f>
        <v>Gruppi di misura - altre attrezzature di fognatura</v>
      </c>
      <c r="H323" s="1013">
        <v>3</v>
      </c>
      <c r="I323" s="1932" t="str">
        <f>+VLOOKUP(H323,TT_Tabelle_Riferimento!$F$3:$G$6,2,FALSE)</f>
        <v>Altri servizi idrici</v>
      </c>
      <c r="J323" s="1013">
        <v>2026</v>
      </c>
      <c r="K323" s="2335">
        <f>+SUMIFS('PdI-crono_inv'!AW:AW,'PdI-crono_inv'!CF:CF,F323,'PdI-crono_inv'!CE:CE,H323,'PdI-crono_inv'!J:J,P323,'PdI-crono_inv'!P:P,"&lt;&gt;proprietario")</f>
        <v>0</v>
      </c>
      <c r="M323" s="2335">
        <f>+SUMIFS('PdI-crono_inv'!AX:AX,'PdI-crono_inv'!CF:CF,F323,'PdI-crono_inv'!CE:CE,H323,'PdI-crono_inv'!J:J,P323,'PdI-crono_inv'!P:P,"&lt;&gt;proprietario")+S323</f>
        <v>0</v>
      </c>
      <c r="P323" s="1013" t="s">
        <v>27068</v>
      </c>
      <c r="Q323" s="1932" t="str">
        <f>+VLOOKUP(F323,TT_Tabelle_Riferimento!$D$127:$E$164,2,FALSE)</f>
        <v>Fognatura</v>
      </c>
      <c r="R323" s="1932" t="str">
        <f t="shared" si="29"/>
        <v/>
      </c>
      <c r="S323" s="2335">
        <f t="shared" si="26"/>
        <v>0</v>
      </c>
    </row>
    <row r="324" spans="1:19">
      <c r="A324" s="1932">
        <f t="shared" si="30"/>
        <v>0</v>
      </c>
      <c r="B324" s="1932">
        <f t="shared" si="31"/>
        <v>0</v>
      </c>
      <c r="C324" s="1013" t="s">
        <v>245</v>
      </c>
      <c r="D324" s="1013">
        <v>0</v>
      </c>
      <c r="E324" s="1013" t="s">
        <v>22698</v>
      </c>
      <c r="F324" s="1013">
        <v>16</v>
      </c>
      <c r="G324" s="1932" t="str">
        <f>+VLOOKUP(F324,TT_Tabelle_Riferimento!$D$127:$G$164,4,FALSE)</f>
        <v>Sistemi informativi di fognatura</v>
      </c>
      <c r="H324" s="1013">
        <v>3</v>
      </c>
      <c r="I324" s="1932" t="str">
        <f>+VLOOKUP(H324,TT_Tabelle_Riferimento!$F$3:$G$6,2,FALSE)</f>
        <v>Altri servizi idrici</v>
      </c>
      <c r="J324" s="1013">
        <v>2026</v>
      </c>
      <c r="K324" s="2335">
        <f>+SUMIFS('PdI-crono_inv'!AW:AW,'PdI-crono_inv'!CF:CF,F324,'PdI-crono_inv'!CE:CE,H324,'PdI-crono_inv'!J:J,P324,'PdI-crono_inv'!P:P,"&lt;&gt;proprietario")</f>
        <v>0</v>
      </c>
      <c r="M324" s="2335">
        <f>+SUMIFS('PdI-crono_inv'!AX:AX,'PdI-crono_inv'!CF:CF,F324,'PdI-crono_inv'!CE:CE,H324,'PdI-crono_inv'!J:J,P324,'PdI-crono_inv'!P:P,"&lt;&gt;proprietario")+S324</f>
        <v>0</v>
      </c>
      <c r="P324" s="1013" t="s">
        <v>27068</v>
      </c>
      <c r="Q324" s="1932" t="str">
        <f>+VLOOKUP(F324,TT_Tabelle_Riferimento!$D$127:$E$164,2,FALSE)</f>
        <v>Fognatura</v>
      </c>
      <c r="R324" s="1932" t="str">
        <f t="shared" si="29"/>
        <v/>
      </c>
      <c r="S324" s="2335">
        <f t="shared" si="26"/>
        <v>0</v>
      </c>
    </row>
    <row r="325" spans="1:19">
      <c r="A325" s="1932">
        <f t="shared" si="30"/>
        <v>0</v>
      </c>
      <c r="B325" s="1932">
        <f t="shared" si="31"/>
        <v>0</v>
      </c>
      <c r="C325" s="1013" t="s">
        <v>245</v>
      </c>
      <c r="D325" s="1013">
        <v>0</v>
      </c>
      <c r="E325" s="1013" t="s">
        <v>22698</v>
      </c>
      <c r="F325" s="1013">
        <v>18</v>
      </c>
      <c r="G325" s="1932" t="str">
        <f>+VLOOKUP(F325,TT_Tabelle_Riferimento!$D$127:$G$164,4,FALSE)</f>
        <v>Telecontrollo e teletrasmissione di fognatura</v>
      </c>
      <c r="H325" s="1013">
        <v>3</v>
      </c>
      <c r="I325" s="1932" t="str">
        <f>+VLOOKUP(H325,TT_Tabelle_Riferimento!$F$3:$G$6,2,FALSE)</f>
        <v>Altri servizi idrici</v>
      </c>
      <c r="J325" s="1013">
        <v>2026</v>
      </c>
      <c r="K325" s="2335">
        <f>+SUMIFS('PdI-crono_inv'!AW:AW,'PdI-crono_inv'!CF:CF,F325,'PdI-crono_inv'!CE:CE,H325,'PdI-crono_inv'!J:J,P325,'PdI-crono_inv'!P:P,"&lt;&gt;proprietario")</f>
        <v>0</v>
      </c>
      <c r="M325" s="2335">
        <f>+SUMIFS('PdI-crono_inv'!AX:AX,'PdI-crono_inv'!CF:CF,F325,'PdI-crono_inv'!CE:CE,H325,'PdI-crono_inv'!J:J,P325,'PdI-crono_inv'!P:P,"&lt;&gt;proprietario")+S325</f>
        <v>0</v>
      </c>
      <c r="P325" s="1013" t="s">
        <v>27068</v>
      </c>
      <c r="Q325" s="1932" t="str">
        <f>+VLOOKUP(F325,TT_Tabelle_Riferimento!$D$127:$E$164,2,FALSE)</f>
        <v>Fognatura</v>
      </c>
      <c r="R325" s="1932" t="str">
        <f t="shared" si="29"/>
        <v/>
      </c>
      <c r="S325" s="2335">
        <f t="shared" si="26"/>
        <v>0</v>
      </c>
    </row>
    <row r="326" spans="1:19">
      <c r="A326" s="1932">
        <f t="shared" si="30"/>
        <v>0</v>
      </c>
      <c r="B326" s="1932">
        <f t="shared" si="31"/>
        <v>0</v>
      </c>
      <c r="C326" s="1013" t="s">
        <v>245</v>
      </c>
      <c r="D326" s="1013">
        <v>0</v>
      </c>
      <c r="E326" s="1013" t="s">
        <v>22698</v>
      </c>
      <c r="F326" s="1013">
        <v>19</v>
      </c>
      <c r="G326" s="1932" t="str">
        <f>+VLOOKUP(F326,TT_Tabelle_Riferimento!$D$127:$G$164,4,FALSE)</f>
        <v>Impianti di sollevamento e pompaggio di depurazione</v>
      </c>
      <c r="H326" s="1013">
        <v>3</v>
      </c>
      <c r="I326" s="1932" t="str">
        <f>+VLOOKUP(H326,TT_Tabelle_Riferimento!$F$3:$G$6,2,FALSE)</f>
        <v>Altri servizi idrici</v>
      </c>
      <c r="J326" s="1013">
        <v>2026</v>
      </c>
      <c r="K326" s="2335">
        <f>+SUMIFS('PdI-crono_inv'!AW:AW,'PdI-crono_inv'!CF:CF,F326,'PdI-crono_inv'!CE:CE,H326,'PdI-crono_inv'!J:J,P326,'PdI-crono_inv'!P:P,"&lt;&gt;proprietario")</f>
        <v>0</v>
      </c>
      <c r="M326" s="2335">
        <f>+SUMIFS('PdI-crono_inv'!AX:AX,'PdI-crono_inv'!CF:CF,F326,'PdI-crono_inv'!CE:CE,H326,'PdI-crono_inv'!J:J,P326,'PdI-crono_inv'!P:P,"&lt;&gt;proprietario")+S326</f>
        <v>0</v>
      </c>
      <c r="P326" s="1013" t="s">
        <v>27068</v>
      </c>
      <c r="Q326" s="1932" t="str">
        <f>+VLOOKUP(F326,TT_Tabelle_Riferimento!$D$127:$E$164,2,FALSE)</f>
        <v>Depurazione</v>
      </c>
      <c r="R326" s="1932" t="str">
        <f t="shared" si="29"/>
        <v/>
      </c>
      <c r="S326" s="2335">
        <f t="shared" si="26"/>
        <v>0</v>
      </c>
    </row>
    <row r="327" spans="1:19">
      <c r="A327" s="1932">
        <f t="shared" si="30"/>
        <v>0</v>
      </c>
      <c r="B327" s="1932">
        <f t="shared" si="31"/>
        <v>0</v>
      </c>
      <c r="C327" s="1013" t="s">
        <v>245</v>
      </c>
      <c r="D327" s="1013">
        <v>0</v>
      </c>
      <c r="E327" s="1013" t="s">
        <v>22698</v>
      </c>
      <c r="F327" s="1013">
        <v>20</v>
      </c>
      <c r="G327" s="1932" t="str">
        <f>+VLOOKUP(F327,TT_Tabelle_Riferimento!$D$127:$G$164,4,FALSE)</f>
        <v>Tecniche naturali di depurazione (tra cui fitodepurazione e lagunaggio)</v>
      </c>
      <c r="H327" s="1013">
        <v>3</v>
      </c>
      <c r="I327" s="1932" t="str">
        <f>+VLOOKUP(H327,TT_Tabelle_Riferimento!$F$3:$G$6,2,FALSE)</f>
        <v>Altri servizi idrici</v>
      </c>
      <c r="J327" s="1013">
        <v>2026</v>
      </c>
      <c r="K327" s="2335">
        <f>+SUMIFS('PdI-crono_inv'!AW:AW,'PdI-crono_inv'!CF:CF,F327,'PdI-crono_inv'!CE:CE,H327,'PdI-crono_inv'!J:J,P327,'PdI-crono_inv'!P:P,"&lt;&gt;proprietario")</f>
        <v>0</v>
      </c>
      <c r="M327" s="2335">
        <f>+SUMIFS('PdI-crono_inv'!AX:AX,'PdI-crono_inv'!CF:CF,F327,'PdI-crono_inv'!CE:CE,H327,'PdI-crono_inv'!J:J,P327,'PdI-crono_inv'!P:P,"&lt;&gt;proprietario")+S327</f>
        <v>0</v>
      </c>
      <c r="P327" s="1013" t="s">
        <v>27068</v>
      </c>
      <c r="Q327" s="1932" t="str">
        <f>+VLOOKUP(F327,TT_Tabelle_Riferimento!$D$127:$E$164,2,FALSE)</f>
        <v>Depurazione</v>
      </c>
      <c r="R327" s="1932" t="str">
        <f t="shared" si="29"/>
        <v/>
      </c>
      <c r="S327" s="2335">
        <f t="shared" ref="S327:S390" si="32">+IFERROR(HLOOKUP(J327,$X$2:$Y$5,4,FALSE)*K327,0)</f>
        <v>0</v>
      </c>
    </row>
    <row r="328" spans="1:19">
      <c r="A328" s="1932">
        <f t="shared" si="30"/>
        <v>0</v>
      </c>
      <c r="B328" s="1932">
        <f t="shared" si="31"/>
        <v>0</v>
      </c>
      <c r="C328" s="1013" t="s">
        <v>245</v>
      </c>
      <c r="D328" s="1013">
        <v>0</v>
      </c>
      <c r="E328" s="1013" t="s">
        <v>22698</v>
      </c>
      <c r="F328" s="1013">
        <v>21</v>
      </c>
      <c r="G328" s="1932" t="str">
        <f>+VLOOKUP(F328,TT_Tabelle_Riferimento!$D$127:$G$164,4,FALSE)</f>
        <v>Impianti di depurazione – trattamenti sino al preliminare, integrativo, primario - fosse settiche e fosse Imhoff</v>
      </c>
      <c r="H328" s="1013">
        <v>3</v>
      </c>
      <c r="I328" s="1932" t="str">
        <f>+VLOOKUP(H328,TT_Tabelle_Riferimento!$F$3:$G$6,2,FALSE)</f>
        <v>Altri servizi idrici</v>
      </c>
      <c r="J328" s="1013">
        <v>2026</v>
      </c>
      <c r="K328" s="2335">
        <f>+SUMIFS('PdI-crono_inv'!AW:AW,'PdI-crono_inv'!CF:CF,F328,'PdI-crono_inv'!CE:CE,H328,'PdI-crono_inv'!J:J,P328,'PdI-crono_inv'!P:P,"&lt;&gt;proprietario")</f>
        <v>0</v>
      </c>
      <c r="M328" s="2335">
        <f>+SUMIFS('PdI-crono_inv'!AX:AX,'PdI-crono_inv'!CF:CF,F328,'PdI-crono_inv'!CE:CE,H328,'PdI-crono_inv'!J:J,P328,'PdI-crono_inv'!P:P,"&lt;&gt;proprietario")+S328</f>
        <v>0</v>
      </c>
      <c r="P328" s="1013" t="s">
        <v>27068</v>
      </c>
      <c r="Q328" s="1932" t="str">
        <f>+VLOOKUP(F328,TT_Tabelle_Riferimento!$D$127:$E$164,2,FALSE)</f>
        <v>Depurazione</v>
      </c>
      <c r="R328" s="1932" t="str">
        <f t="shared" si="29"/>
        <v/>
      </c>
      <c r="S328" s="2335">
        <f t="shared" si="32"/>
        <v>0</v>
      </c>
    </row>
    <row r="329" spans="1:19">
      <c r="A329" s="1932">
        <f t="shared" si="30"/>
        <v>0</v>
      </c>
      <c r="B329" s="1932">
        <f t="shared" si="31"/>
        <v>0</v>
      </c>
      <c r="C329" s="1013" t="s">
        <v>245</v>
      </c>
      <c r="D329" s="1013">
        <v>0</v>
      </c>
      <c r="E329" s="1013" t="s">
        <v>22698</v>
      </c>
      <c r="F329" s="1013">
        <v>22</v>
      </c>
      <c r="G329" s="1932" t="str">
        <f>+VLOOKUP(F329,TT_Tabelle_Riferimento!$D$127:$G$164,4,FALSE)</f>
        <v>Impianti di depurazione – trattamenti sino al secondario</v>
      </c>
      <c r="H329" s="1013">
        <v>3</v>
      </c>
      <c r="I329" s="1932" t="str">
        <f>+VLOOKUP(H329,TT_Tabelle_Riferimento!$F$3:$G$6,2,FALSE)</f>
        <v>Altri servizi idrici</v>
      </c>
      <c r="J329" s="1013">
        <v>2026</v>
      </c>
      <c r="K329" s="2335">
        <f>+SUMIFS('PdI-crono_inv'!AW:AW,'PdI-crono_inv'!CF:CF,F329,'PdI-crono_inv'!CE:CE,H329,'PdI-crono_inv'!J:J,P329,'PdI-crono_inv'!P:P,"&lt;&gt;proprietario")</f>
        <v>0</v>
      </c>
      <c r="M329" s="2335">
        <f>+SUMIFS('PdI-crono_inv'!AX:AX,'PdI-crono_inv'!CF:CF,F329,'PdI-crono_inv'!CE:CE,H329,'PdI-crono_inv'!J:J,P329,'PdI-crono_inv'!P:P,"&lt;&gt;proprietario")+S329</f>
        <v>0</v>
      </c>
      <c r="P329" s="1013" t="s">
        <v>27068</v>
      </c>
      <c r="Q329" s="1932" t="str">
        <f>+VLOOKUP(F329,TT_Tabelle_Riferimento!$D$127:$E$164,2,FALSE)</f>
        <v>Depurazione</v>
      </c>
      <c r="R329" s="1932" t="str">
        <f t="shared" si="29"/>
        <v/>
      </c>
      <c r="S329" s="2335">
        <f t="shared" si="32"/>
        <v>0</v>
      </c>
    </row>
    <row r="330" spans="1:19">
      <c r="A330" s="1932">
        <f t="shared" si="30"/>
        <v>0</v>
      </c>
      <c r="B330" s="1932">
        <f t="shared" si="31"/>
        <v>0</v>
      </c>
      <c r="C330" s="1013" t="s">
        <v>245</v>
      </c>
      <c r="D330" s="1013">
        <v>0</v>
      </c>
      <c r="E330" s="1013" t="s">
        <v>22698</v>
      </c>
      <c r="F330" s="1013">
        <v>23</v>
      </c>
      <c r="G330" s="1932" t="str">
        <f>+VLOOKUP(F330,TT_Tabelle_Riferimento!$D$127:$G$164,4,FALSE)</f>
        <v>Impianti di depurazione – trattamenti sino al terziario e terziario avanzato</v>
      </c>
      <c r="H330" s="1013">
        <v>3</v>
      </c>
      <c r="I330" s="1932" t="str">
        <f>+VLOOKUP(H330,TT_Tabelle_Riferimento!$F$3:$G$6,2,FALSE)</f>
        <v>Altri servizi idrici</v>
      </c>
      <c r="J330" s="1013">
        <v>2026</v>
      </c>
      <c r="K330" s="2335">
        <f>+SUMIFS('PdI-crono_inv'!AW:AW,'PdI-crono_inv'!CF:CF,F330,'PdI-crono_inv'!CE:CE,H330,'PdI-crono_inv'!J:J,P330,'PdI-crono_inv'!P:P,"&lt;&gt;proprietario")</f>
        <v>0</v>
      </c>
      <c r="M330" s="2335">
        <f>+SUMIFS('PdI-crono_inv'!AX:AX,'PdI-crono_inv'!CF:CF,F330,'PdI-crono_inv'!CE:CE,H330,'PdI-crono_inv'!J:J,P330,'PdI-crono_inv'!P:P,"&lt;&gt;proprietario")+S330</f>
        <v>0</v>
      </c>
      <c r="P330" s="1013" t="s">
        <v>27068</v>
      </c>
      <c r="Q330" s="1932" t="str">
        <f>+VLOOKUP(F330,TT_Tabelle_Riferimento!$D$127:$E$164,2,FALSE)</f>
        <v>Depurazione</v>
      </c>
      <c r="R330" s="1932" t="str">
        <f t="shared" si="29"/>
        <v/>
      </c>
      <c r="S330" s="2335">
        <f t="shared" si="32"/>
        <v>0</v>
      </c>
    </row>
    <row r="331" spans="1:19">
      <c r="A331" s="1932">
        <f t="shared" si="30"/>
        <v>0</v>
      </c>
      <c r="B331" s="1932">
        <f t="shared" si="31"/>
        <v>0</v>
      </c>
      <c r="C331" s="1013" t="s">
        <v>245</v>
      </c>
      <c r="D331" s="1013">
        <v>0</v>
      </c>
      <c r="E331" s="1013" t="s">
        <v>22698</v>
      </c>
      <c r="F331" s="1013">
        <v>24</v>
      </c>
      <c r="G331" s="1932" t="str">
        <f>+VLOOKUP(F331,TT_Tabelle_Riferimento!$D$127:$G$164,4,FALSE)</f>
        <v>Impianti di essiccamento fanghi e di valorizzazione dei fanghi (tra cui mono-incenerimento, pirolisi, gassificazione)</v>
      </c>
      <c r="H331" s="1013">
        <v>3</v>
      </c>
      <c r="I331" s="1932" t="str">
        <f>+VLOOKUP(H331,TT_Tabelle_Riferimento!$F$3:$G$6,2,FALSE)</f>
        <v>Altri servizi idrici</v>
      </c>
      <c r="J331" s="1013">
        <v>2026</v>
      </c>
      <c r="K331" s="2335">
        <f>+SUMIFS('PdI-crono_inv'!AW:AW,'PdI-crono_inv'!CF:CF,F331,'PdI-crono_inv'!CE:CE,H331,'PdI-crono_inv'!J:J,P331,'PdI-crono_inv'!P:P,"&lt;&gt;proprietario")</f>
        <v>0</v>
      </c>
      <c r="M331" s="2335">
        <f>+SUMIFS('PdI-crono_inv'!AX:AX,'PdI-crono_inv'!CF:CF,F331,'PdI-crono_inv'!CE:CE,H331,'PdI-crono_inv'!J:J,P331,'PdI-crono_inv'!P:P,"&lt;&gt;proprietario")+S331</f>
        <v>0</v>
      </c>
      <c r="P331" s="1013" t="s">
        <v>27068</v>
      </c>
      <c r="Q331" s="1932" t="str">
        <f>+VLOOKUP(F331,TT_Tabelle_Riferimento!$D$127:$E$164,2,FALSE)</f>
        <v>Depurazione</v>
      </c>
      <c r="R331" s="1932" t="str">
        <f t="shared" si="29"/>
        <v/>
      </c>
      <c r="S331" s="2335">
        <f t="shared" si="32"/>
        <v>0</v>
      </c>
    </row>
    <row r="332" spans="1:19">
      <c r="A332" s="1932">
        <f t="shared" si="30"/>
        <v>0</v>
      </c>
      <c r="B332" s="1932">
        <f t="shared" si="31"/>
        <v>0</v>
      </c>
      <c r="C332" s="1013" t="s">
        <v>245</v>
      </c>
      <c r="D332" s="1013">
        <v>0</v>
      </c>
      <c r="E332" s="1013" t="s">
        <v>22698</v>
      </c>
      <c r="F332" s="1013">
        <v>25</v>
      </c>
      <c r="G332" s="1932" t="str">
        <f>+VLOOKUP(F332,TT_Tabelle_Riferimento!$D$127:$G$164,4,FALSE)</f>
        <v>Gruppi di misura - altre attrezzature di depurazione</v>
      </c>
      <c r="H332" s="1013">
        <v>3</v>
      </c>
      <c r="I332" s="1932" t="str">
        <f>+VLOOKUP(H332,TT_Tabelle_Riferimento!$F$3:$G$6,2,FALSE)</f>
        <v>Altri servizi idrici</v>
      </c>
      <c r="J332" s="1013">
        <v>2026</v>
      </c>
      <c r="K332" s="2335">
        <f>+SUMIFS('PdI-crono_inv'!AW:AW,'PdI-crono_inv'!CF:CF,F332,'PdI-crono_inv'!CE:CE,H332,'PdI-crono_inv'!J:J,P332,'PdI-crono_inv'!P:P,"&lt;&gt;proprietario")</f>
        <v>0</v>
      </c>
      <c r="M332" s="2335">
        <f>+SUMIFS('PdI-crono_inv'!AX:AX,'PdI-crono_inv'!CF:CF,F332,'PdI-crono_inv'!CE:CE,H332,'PdI-crono_inv'!J:J,P332,'PdI-crono_inv'!P:P,"&lt;&gt;proprietario")+S332</f>
        <v>0</v>
      </c>
      <c r="P332" s="1013" t="s">
        <v>27068</v>
      </c>
      <c r="Q332" s="1932" t="str">
        <f>+VLOOKUP(F332,TT_Tabelle_Riferimento!$D$127:$E$164,2,FALSE)</f>
        <v>Depurazione</v>
      </c>
      <c r="R332" s="1932" t="str">
        <f t="shared" si="29"/>
        <v/>
      </c>
      <c r="S332" s="2335">
        <f t="shared" si="32"/>
        <v>0</v>
      </c>
    </row>
    <row r="333" spans="1:19">
      <c r="A333" s="1932">
        <f t="shared" si="30"/>
        <v>0</v>
      </c>
      <c r="B333" s="1932">
        <f t="shared" si="31"/>
        <v>0</v>
      </c>
      <c r="C333" s="1013" t="s">
        <v>245</v>
      </c>
      <c r="D333" s="1013">
        <v>0</v>
      </c>
      <c r="E333" s="1013" t="s">
        <v>22698</v>
      </c>
      <c r="F333" s="1013">
        <v>26</v>
      </c>
      <c r="G333" s="1932" t="str">
        <f>+VLOOKUP(F333,TT_Tabelle_Riferimento!$D$127:$G$164,4,FALSE)</f>
        <v>Sistemi informativi di depurazione</v>
      </c>
      <c r="H333" s="1013">
        <v>3</v>
      </c>
      <c r="I333" s="1932" t="str">
        <f>+VLOOKUP(H333,TT_Tabelle_Riferimento!$F$3:$G$6,2,FALSE)</f>
        <v>Altri servizi idrici</v>
      </c>
      <c r="J333" s="1013">
        <v>2026</v>
      </c>
      <c r="K333" s="2335">
        <f>+SUMIFS('PdI-crono_inv'!AW:AW,'PdI-crono_inv'!CF:CF,F333,'PdI-crono_inv'!CE:CE,H333,'PdI-crono_inv'!J:J,P333,'PdI-crono_inv'!P:P,"&lt;&gt;proprietario")</f>
        <v>0</v>
      </c>
      <c r="M333" s="2335">
        <f>+SUMIFS('PdI-crono_inv'!AX:AX,'PdI-crono_inv'!CF:CF,F333,'PdI-crono_inv'!CE:CE,H333,'PdI-crono_inv'!J:J,P333,'PdI-crono_inv'!P:P,"&lt;&gt;proprietario")+S333</f>
        <v>0</v>
      </c>
      <c r="P333" s="1013" t="s">
        <v>27068</v>
      </c>
      <c r="Q333" s="1932" t="str">
        <f>+VLOOKUP(F333,TT_Tabelle_Riferimento!$D$127:$E$164,2,FALSE)</f>
        <v>Depurazione</v>
      </c>
      <c r="R333" s="1932" t="str">
        <f t="shared" si="29"/>
        <v/>
      </c>
      <c r="S333" s="2335">
        <f t="shared" si="32"/>
        <v>0</v>
      </c>
    </row>
    <row r="334" spans="1:19">
      <c r="A334" s="1932">
        <f t="shared" si="30"/>
        <v>0</v>
      </c>
      <c r="B334" s="1932">
        <f t="shared" si="31"/>
        <v>0</v>
      </c>
      <c r="C334" s="1013" t="s">
        <v>245</v>
      </c>
      <c r="D334" s="1013">
        <v>0</v>
      </c>
      <c r="E334" s="1013" t="s">
        <v>22698</v>
      </c>
      <c r="F334" s="1013">
        <v>27</v>
      </c>
      <c r="G334" s="1932" t="str">
        <f>+VLOOKUP(F334,TT_Tabelle_Riferimento!$D$127:$G$164,4,FALSE)</f>
        <v>Telecontrollo e teletrasmissione di depurazione</v>
      </c>
      <c r="H334" s="1013">
        <v>3</v>
      </c>
      <c r="I334" s="1932" t="str">
        <f>+VLOOKUP(H334,TT_Tabelle_Riferimento!$F$3:$G$6,2,FALSE)</f>
        <v>Altri servizi idrici</v>
      </c>
      <c r="J334" s="1013">
        <v>2026</v>
      </c>
      <c r="K334" s="2335">
        <f>+SUMIFS('PdI-crono_inv'!AW:AW,'PdI-crono_inv'!CF:CF,F334,'PdI-crono_inv'!CE:CE,H334,'PdI-crono_inv'!J:J,P334,'PdI-crono_inv'!P:P,"&lt;&gt;proprietario")</f>
        <v>0</v>
      </c>
      <c r="M334" s="2335">
        <f>+SUMIFS('PdI-crono_inv'!AX:AX,'PdI-crono_inv'!CF:CF,F334,'PdI-crono_inv'!CE:CE,H334,'PdI-crono_inv'!J:J,P334,'PdI-crono_inv'!P:P,"&lt;&gt;proprietario")+S334</f>
        <v>0</v>
      </c>
      <c r="P334" s="1013" t="s">
        <v>27068</v>
      </c>
      <c r="Q334" s="1932" t="str">
        <f>+VLOOKUP(F334,TT_Tabelle_Riferimento!$D$127:$E$164,2,FALSE)</f>
        <v>Depurazione</v>
      </c>
      <c r="R334" s="1932" t="str">
        <f t="shared" si="29"/>
        <v/>
      </c>
      <c r="S334" s="2335">
        <f t="shared" si="32"/>
        <v>0</v>
      </c>
    </row>
    <row r="335" spans="1:19">
      <c r="A335" s="1932">
        <f t="shared" si="30"/>
        <v>0</v>
      </c>
      <c r="B335" s="1932">
        <f t="shared" si="31"/>
        <v>0</v>
      </c>
      <c r="C335" s="1013" t="s">
        <v>245</v>
      </c>
      <c r="D335" s="1013">
        <v>0</v>
      </c>
      <c r="E335" s="1013" t="s">
        <v>22698</v>
      </c>
      <c r="F335" s="1013">
        <v>28</v>
      </c>
      <c r="G335" s="1932" t="str">
        <f>+VLOOKUP(F335,TT_Tabelle_Riferimento!$D$127:$G$164,4,FALSE)</f>
        <v>Altri impianti</v>
      </c>
      <c r="H335" s="1013">
        <v>3</v>
      </c>
      <c r="I335" s="1932" t="str">
        <f>+VLOOKUP(H335,TT_Tabelle_Riferimento!$F$3:$G$6,2,FALSE)</f>
        <v>Altri servizi idrici</v>
      </c>
      <c r="J335" s="1013">
        <v>2026</v>
      </c>
      <c r="K335" s="2335">
        <f>+SUMIFS('PdI-crono_inv'!AW:AW,'PdI-crono_inv'!CF:CF,F335,'PdI-crono_inv'!CE:CE,H335,'PdI-crono_inv'!J:J,P335,'PdI-crono_inv'!P:P,"&lt;&gt;proprietario")</f>
        <v>0</v>
      </c>
      <c r="M335" s="2335">
        <f>+SUMIFS('PdI-crono_inv'!AX:AX,'PdI-crono_inv'!CF:CF,F335,'PdI-crono_inv'!CE:CE,H335,'PdI-crono_inv'!J:J,P335,'PdI-crono_inv'!P:P,"&lt;&gt;proprietario")+S335</f>
        <v>0</v>
      </c>
      <c r="P335" s="1013" t="s">
        <v>27068</v>
      </c>
      <c r="Q335" s="1932" t="str">
        <f>+VLOOKUP(F335,TT_Tabelle_Riferimento!$D$127:$E$164,2,FALSE)</f>
        <v>Comune</v>
      </c>
      <c r="R335" s="1932" t="str">
        <f t="shared" si="29"/>
        <v/>
      </c>
      <c r="S335" s="2335">
        <f t="shared" si="32"/>
        <v>0</v>
      </c>
    </row>
    <row r="336" spans="1:19">
      <c r="A336" s="1932">
        <f t="shared" si="30"/>
        <v>0</v>
      </c>
      <c r="B336" s="1932">
        <f t="shared" si="31"/>
        <v>0</v>
      </c>
      <c r="C336" s="1013" t="s">
        <v>245</v>
      </c>
      <c r="D336" s="1013">
        <v>0</v>
      </c>
      <c r="E336" s="1013" t="s">
        <v>22698</v>
      </c>
      <c r="F336" s="1013">
        <v>29</v>
      </c>
      <c r="G336" s="1932" t="str">
        <f>+VLOOKUP(F336,TT_Tabelle_Riferimento!$D$127:$G$164,4,FALSE)</f>
        <v>Laboratori e attrezzature</v>
      </c>
      <c r="H336" s="1013">
        <v>3</v>
      </c>
      <c r="I336" s="1932" t="str">
        <f>+VLOOKUP(H336,TT_Tabelle_Riferimento!$F$3:$G$6,2,FALSE)</f>
        <v>Altri servizi idrici</v>
      </c>
      <c r="J336" s="1013">
        <v>2026</v>
      </c>
      <c r="K336" s="2335">
        <f>+SUMIFS('PdI-crono_inv'!AW:AW,'PdI-crono_inv'!CF:CF,F336,'PdI-crono_inv'!CE:CE,H336,'PdI-crono_inv'!J:J,P336,'PdI-crono_inv'!P:P,"&lt;&gt;proprietario")</f>
        <v>0</v>
      </c>
      <c r="M336" s="2335">
        <f>+SUMIFS('PdI-crono_inv'!AX:AX,'PdI-crono_inv'!CF:CF,F336,'PdI-crono_inv'!CE:CE,H336,'PdI-crono_inv'!J:J,P336,'PdI-crono_inv'!P:P,"&lt;&gt;proprietario")+S336</f>
        <v>0</v>
      </c>
      <c r="P336" s="1013" t="s">
        <v>27068</v>
      </c>
      <c r="Q336" s="1932" t="str">
        <f>+VLOOKUP(F336,TT_Tabelle_Riferimento!$D$127:$E$164,2,FALSE)</f>
        <v>Comune</v>
      </c>
      <c r="R336" s="1932" t="str">
        <f t="shared" si="29"/>
        <v/>
      </c>
      <c r="S336" s="2335">
        <f t="shared" si="32"/>
        <v>0</v>
      </c>
    </row>
    <row r="337" spans="1:19">
      <c r="A337" s="1932">
        <f t="shared" si="30"/>
        <v>0</v>
      </c>
      <c r="B337" s="1932">
        <f t="shared" si="31"/>
        <v>0</v>
      </c>
      <c r="C337" s="1013" t="s">
        <v>245</v>
      </c>
      <c r="D337" s="1013">
        <v>0</v>
      </c>
      <c r="E337" s="1013" t="s">
        <v>22698</v>
      </c>
      <c r="F337" s="1013">
        <v>30</v>
      </c>
      <c r="G337" s="1932" t="str">
        <f>+VLOOKUP(F337,TT_Tabelle_Riferimento!$D$127:$G$164,4,FALSE)</f>
        <v>Sistemi informativi</v>
      </c>
      <c r="H337" s="1013">
        <v>3</v>
      </c>
      <c r="I337" s="1932" t="str">
        <f>+VLOOKUP(H337,TT_Tabelle_Riferimento!$F$3:$G$6,2,FALSE)</f>
        <v>Altri servizi idrici</v>
      </c>
      <c r="J337" s="1013">
        <v>2026</v>
      </c>
      <c r="K337" s="2335">
        <f>+SUMIFS('PdI-crono_inv'!AW:AW,'PdI-crono_inv'!CF:CF,F337,'PdI-crono_inv'!CE:CE,H337,'PdI-crono_inv'!J:J,P337,'PdI-crono_inv'!P:P,"&lt;&gt;proprietario")</f>
        <v>0</v>
      </c>
      <c r="M337" s="2335">
        <f>+SUMIFS('PdI-crono_inv'!AX:AX,'PdI-crono_inv'!CF:CF,F337,'PdI-crono_inv'!CE:CE,H337,'PdI-crono_inv'!J:J,P337,'PdI-crono_inv'!P:P,"&lt;&gt;proprietario")+S337</f>
        <v>0</v>
      </c>
      <c r="P337" s="1013" t="s">
        <v>27068</v>
      </c>
      <c r="Q337" s="1932" t="str">
        <f>+VLOOKUP(F337,TT_Tabelle_Riferimento!$D$127:$E$164,2,FALSE)</f>
        <v>Comune</v>
      </c>
      <c r="R337" s="1932" t="str">
        <f t="shared" si="29"/>
        <v/>
      </c>
      <c r="S337" s="2335">
        <f t="shared" si="32"/>
        <v>0</v>
      </c>
    </row>
    <row r="338" spans="1:19">
      <c r="A338" s="1932">
        <f t="shared" si="30"/>
        <v>0</v>
      </c>
      <c r="B338" s="1932">
        <f t="shared" si="31"/>
        <v>0</v>
      </c>
      <c r="C338" s="1013" t="s">
        <v>245</v>
      </c>
      <c r="D338" s="1013">
        <v>0</v>
      </c>
      <c r="E338" s="1013" t="s">
        <v>22698</v>
      </c>
      <c r="F338" s="1013">
        <v>31</v>
      </c>
      <c r="G338" s="1932" t="str">
        <f>+VLOOKUP(F338,TT_Tabelle_Riferimento!$D$127:$G$164,4,FALSE)</f>
        <v>Telecontrollo e teletrasmissione</v>
      </c>
      <c r="H338" s="1013">
        <v>3</v>
      </c>
      <c r="I338" s="1932" t="str">
        <f>+VLOOKUP(H338,TT_Tabelle_Riferimento!$F$3:$G$6,2,FALSE)</f>
        <v>Altri servizi idrici</v>
      </c>
      <c r="J338" s="1013">
        <v>2026</v>
      </c>
      <c r="K338" s="2335">
        <f>+SUMIFS('PdI-crono_inv'!AW:AW,'PdI-crono_inv'!CF:CF,F338,'PdI-crono_inv'!CE:CE,H338,'PdI-crono_inv'!J:J,P338,'PdI-crono_inv'!P:P,"&lt;&gt;proprietario")</f>
        <v>0</v>
      </c>
      <c r="M338" s="2335">
        <f>+SUMIFS('PdI-crono_inv'!AX:AX,'PdI-crono_inv'!CF:CF,F338,'PdI-crono_inv'!CE:CE,H338,'PdI-crono_inv'!J:J,P338,'PdI-crono_inv'!P:P,"&lt;&gt;proprietario")+S338</f>
        <v>0</v>
      </c>
      <c r="P338" s="1013" t="s">
        <v>27068</v>
      </c>
      <c r="Q338" s="1932" t="str">
        <f>+VLOOKUP(F338,TT_Tabelle_Riferimento!$D$127:$E$164,2,FALSE)</f>
        <v>Comune</v>
      </c>
      <c r="R338" s="1932" t="str">
        <f t="shared" si="29"/>
        <v/>
      </c>
      <c r="S338" s="2335">
        <f t="shared" si="32"/>
        <v>0</v>
      </c>
    </row>
    <row r="339" spans="1:19">
      <c r="A339" s="1932">
        <f t="shared" si="30"/>
        <v>0</v>
      </c>
      <c r="B339" s="1932">
        <f t="shared" si="31"/>
        <v>0</v>
      </c>
      <c r="C339" s="1013" t="s">
        <v>245</v>
      </c>
      <c r="D339" s="1013">
        <v>0</v>
      </c>
      <c r="E339" s="1013" t="s">
        <v>22698</v>
      </c>
      <c r="F339" s="1013">
        <v>32</v>
      </c>
      <c r="G339" s="1932" t="str">
        <f>+VLOOKUP(F339,TT_Tabelle_Riferimento!$D$127:$G$164,4,FALSE)</f>
        <v>Autoveicoli - automezzi</v>
      </c>
      <c r="H339" s="1013">
        <v>3</v>
      </c>
      <c r="I339" s="1932" t="str">
        <f>+VLOOKUP(H339,TT_Tabelle_Riferimento!$F$3:$G$6,2,FALSE)</f>
        <v>Altri servizi idrici</v>
      </c>
      <c r="J339" s="1013">
        <v>2026</v>
      </c>
      <c r="K339" s="2335">
        <f>+SUMIFS('PdI-crono_inv'!AW:AW,'PdI-crono_inv'!CF:CF,F339,'PdI-crono_inv'!CE:CE,H339,'PdI-crono_inv'!J:J,P339,'PdI-crono_inv'!P:P,"&lt;&gt;proprietario")</f>
        <v>0</v>
      </c>
      <c r="M339" s="2335">
        <f>+SUMIFS('PdI-crono_inv'!AX:AX,'PdI-crono_inv'!CF:CF,F339,'PdI-crono_inv'!CE:CE,H339,'PdI-crono_inv'!J:J,P339,'PdI-crono_inv'!P:P,"&lt;&gt;proprietario")+S339</f>
        <v>0</v>
      </c>
      <c r="P339" s="1013" t="s">
        <v>27068</v>
      </c>
      <c r="Q339" s="1932" t="str">
        <f>+VLOOKUP(F339,TT_Tabelle_Riferimento!$D$127:$E$164,2,FALSE)</f>
        <v>Comune</v>
      </c>
      <c r="R339" s="1932" t="str">
        <f t="shared" si="29"/>
        <v/>
      </c>
      <c r="S339" s="2335">
        <f t="shared" si="32"/>
        <v>0</v>
      </c>
    </row>
    <row r="340" spans="1:19">
      <c r="A340" s="1932">
        <f t="shared" si="30"/>
        <v>0</v>
      </c>
      <c r="B340" s="1932">
        <f t="shared" si="31"/>
        <v>0</v>
      </c>
      <c r="C340" s="1013" t="s">
        <v>245</v>
      </c>
      <c r="D340" s="1013">
        <v>0</v>
      </c>
      <c r="E340" s="1013" t="s">
        <v>22698</v>
      </c>
      <c r="F340" s="1013">
        <v>1</v>
      </c>
      <c r="G340" s="1932" t="str">
        <f>+VLOOKUP(F340,TT_Tabelle_Riferimento!$D$127:$G$164,4,FALSE)</f>
        <v>Terreni</v>
      </c>
      <c r="H340" s="1013">
        <v>3</v>
      </c>
      <c r="I340" s="1932" t="str">
        <f>+VLOOKUP(H340,TT_Tabelle_Riferimento!$F$3:$G$6,2,FALSE)</f>
        <v>Altri servizi idrici</v>
      </c>
      <c r="J340" s="1013">
        <v>2026</v>
      </c>
      <c r="K340" s="2335">
        <f>+SUMIFS('PdI-crono_inv'!AW:AW,'PdI-crono_inv'!CF:CF,F340,'PdI-crono_inv'!CE:CE,H340,'PdI-crono_inv'!J:J,P340,'PdI-crono_inv'!P:P,"&lt;&gt;proprietario")</f>
        <v>0</v>
      </c>
      <c r="M340" s="2335">
        <f>+SUMIFS('PdI-crono_inv'!AX:AX,'PdI-crono_inv'!CF:CF,F340,'PdI-crono_inv'!CE:CE,H340,'PdI-crono_inv'!J:J,P340,'PdI-crono_inv'!P:P,"&lt;&gt;proprietario")+S340</f>
        <v>0</v>
      </c>
      <c r="P340" s="1013" t="s">
        <v>27068</v>
      </c>
      <c r="Q340" s="1932" t="str">
        <f>+VLOOKUP(F340,TT_Tabelle_Riferimento!$D$127:$E$164,2,FALSE)</f>
        <v>Comune</v>
      </c>
      <c r="R340" s="1932" t="str">
        <f t="shared" si="29"/>
        <v/>
      </c>
      <c r="S340" s="2335">
        <f t="shared" si="32"/>
        <v>0</v>
      </c>
    </row>
    <row r="341" spans="1:19">
      <c r="A341" s="1932">
        <f t="shared" si="30"/>
        <v>0</v>
      </c>
      <c r="B341" s="1932">
        <f t="shared" si="31"/>
        <v>0</v>
      </c>
      <c r="C341" s="1013" t="s">
        <v>245</v>
      </c>
      <c r="D341" s="1013">
        <v>0</v>
      </c>
      <c r="E341" s="1013" t="s">
        <v>22698</v>
      </c>
      <c r="F341" s="1013">
        <v>33</v>
      </c>
      <c r="G341" s="1932" t="str">
        <f>+VLOOKUP(F341,TT_Tabelle_Riferimento!$D$127:$G$164,4,FALSE)</f>
        <v>Fabbricati non industriali</v>
      </c>
      <c r="H341" s="1013">
        <v>3</v>
      </c>
      <c r="I341" s="1932" t="str">
        <f>+VLOOKUP(H341,TT_Tabelle_Riferimento!$F$3:$G$6,2,FALSE)</f>
        <v>Altri servizi idrici</v>
      </c>
      <c r="J341" s="1013">
        <v>2026</v>
      </c>
      <c r="K341" s="2335">
        <f>+SUMIFS('PdI-crono_inv'!AW:AW,'PdI-crono_inv'!CF:CF,F341,'PdI-crono_inv'!CE:CE,H341,'PdI-crono_inv'!J:J,P341,'PdI-crono_inv'!P:P,"&lt;&gt;proprietario")</f>
        <v>0</v>
      </c>
      <c r="M341" s="2335">
        <f>+SUMIFS('PdI-crono_inv'!AX:AX,'PdI-crono_inv'!CF:CF,F341,'PdI-crono_inv'!CE:CE,H341,'PdI-crono_inv'!J:J,P341,'PdI-crono_inv'!P:P,"&lt;&gt;proprietario")+S341</f>
        <v>0</v>
      </c>
      <c r="P341" s="1013" t="s">
        <v>27068</v>
      </c>
      <c r="Q341" s="1932" t="str">
        <f>+VLOOKUP(F341,TT_Tabelle_Riferimento!$D$127:$E$164,2,FALSE)</f>
        <v>Comune</v>
      </c>
      <c r="R341" s="1932" t="str">
        <f t="shared" si="29"/>
        <v/>
      </c>
      <c r="S341" s="2335">
        <f t="shared" si="32"/>
        <v>0</v>
      </c>
    </row>
    <row r="342" spans="1:19">
      <c r="A342" s="1932">
        <f t="shared" si="30"/>
        <v>0</v>
      </c>
      <c r="B342" s="1932">
        <f t="shared" si="31"/>
        <v>0</v>
      </c>
      <c r="C342" s="1013" t="s">
        <v>245</v>
      </c>
      <c r="D342" s="1013">
        <v>0</v>
      </c>
      <c r="E342" s="1013" t="s">
        <v>22698</v>
      </c>
      <c r="F342" s="1013">
        <v>34</v>
      </c>
      <c r="G342" s="1932" t="str">
        <f>+VLOOKUP(F342,TT_Tabelle_Riferimento!$D$127:$G$164,4,FALSE)</f>
        <v>Fabbricati industriali</v>
      </c>
      <c r="H342" s="1013">
        <v>3</v>
      </c>
      <c r="I342" s="1932" t="str">
        <f>+VLOOKUP(H342,TT_Tabelle_Riferimento!$F$3:$G$6,2,FALSE)</f>
        <v>Altri servizi idrici</v>
      </c>
      <c r="J342" s="1013">
        <v>2026</v>
      </c>
      <c r="K342" s="2335">
        <f>+SUMIFS('PdI-crono_inv'!AW:AW,'PdI-crono_inv'!CF:CF,F342,'PdI-crono_inv'!CE:CE,H342,'PdI-crono_inv'!J:J,P342,'PdI-crono_inv'!P:P,"&lt;&gt;proprietario")</f>
        <v>0</v>
      </c>
      <c r="M342" s="2335">
        <f>+SUMIFS('PdI-crono_inv'!AX:AX,'PdI-crono_inv'!CF:CF,F342,'PdI-crono_inv'!CE:CE,H342,'PdI-crono_inv'!J:J,P342,'PdI-crono_inv'!P:P,"&lt;&gt;proprietario")+S342</f>
        <v>0</v>
      </c>
      <c r="P342" s="1013" t="s">
        <v>27068</v>
      </c>
      <c r="Q342" s="1932" t="str">
        <f>+VLOOKUP(F342,TT_Tabelle_Riferimento!$D$127:$E$164,2,FALSE)</f>
        <v>Comune</v>
      </c>
      <c r="R342" s="1932" t="str">
        <f t="shared" si="29"/>
        <v/>
      </c>
      <c r="S342" s="2335">
        <f t="shared" si="32"/>
        <v>0</v>
      </c>
    </row>
    <row r="343" spans="1:19">
      <c r="A343" s="1932">
        <f t="shared" si="30"/>
        <v>0</v>
      </c>
      <c r="B343" s="1932">
        <f t="shared" si="31"/>
        <v>0</v>
      </c>
      <c r="C343" s="1013" t="s">
        <v>245</v>
      </c>
      <c r="D343" s="1013">
        <v>0</v>
      </c>
      <c r="E343" s="1013" t="s">
        <v>22698</v>
      </c>
      <c r="F343" s="1013">
        <v>35</v>
      </c>
      <c r="G343" s="1932" t="str">
        <f>+VLOOKUP(F343,TT_Tabelle_Riferimento!$D$127:$G$164,4,FALSE)</f>
        <v>Costruzioni leggere</v>
      </c>
      <c r="H343" s="1013">
        <v>3</v>
      </c>
      <c r="I343" s="1932" t="str">
        <f>+VLOOKUP(H343,TT_Tabelle_Riferimento!$F$3:$G$6,2,FALSE)</f>
        <v>Altri servizi idrici</v>
      </c>
      <c r="J343" s="1013">
        <v>2026</v>
      </c>
      <c r="K343" s="2335">
        <f>+SUMIFS('PdI-crono_inv'!AW:AW,'PdI-crono_inv'!CF:CF,F343,'PdI-crono_inv'!CE:CE,H343,'PdI-crono_inv'!J:J,P343,'PdI-crono_inv'!P:P,"&lt;&gt;proprietario")</f>
        <v>0</v>
      </c>
      <c r="M343" s="2335">
        <f>+SUMIFS('PdI-crono_inv'!AX:AX,'PdI-crono_inv'!CF:CF,F343,'PdI-crono_inv'!CE:CE,H343,'PdI-crono_inv'!J:J,P343,'PdI-crono_inv'!P:P,"&lt;&gt;proprietario")+S343</f>
        <v>0</v>
      </c>
      <c r="P343" s="1013" t="s">
        <v>27068</v>
      </c>
      <c r="Q343" s="1932" t="str">
        <f>+VLOOKUP(F343,TT_Tabelle_Riferimento!$D$127:$E$164,2,FALSE)</f>
        <v>Comune</v>
      </c>
      <c r="R343" s="1932" t="str">
        <f t="shared" si="29"/>
        <v/>
      </c>
      <c r="S343" s="2335">
        <f t="shared" si="32"/>
        <v>0</v>
      </c>
    </row>
    <row r="344" spans="1:19">
      <c r="A344" s="1932">
        <f t="shared" si="30"/>
        <v>0</v>
      </c>
      <c r="B344" s="1932">
        <f t="shared" si="31"/>
        <v>0</v>
      </c>
      <c r="C344" s="1013" t="s">
        <v>245</v>
      </c>
      <c r="D344" s="1013">
        <v>0</v>
      </c>
      <c r="E344" s="1013" t="s">
        <v>22698</v>
      </c>
      <c r="F344" s="1013">
        <v>36</v>
      </c>
      <c r="G344" s="1932" t="str">
        <f>+VLOOKUP(F344,TT_Tabelle_Riferimento!$D$127:$G$164,4,FALSE)</f>
        <v>Studi, ricerche, brevetti, diritti di utilizzazione</v>
      </c>
      <c r="H344" s="1013">
        <v>3</v>
      </c>
      <c r="I344" s="1932" t="str">
        <f>+VLOOKUP(H344,TT_Tabelle_Riferimento!$F$3:$G$6,2,FALSE)</f>
        <v>Altri servizi idrici</v>
      </c>
      <c r="J344" s="1013">
        <v>2026</v>
      </c>
      <c r="K344" s="2335">
        <f>+SUMIFS('PdI-crono_inv'!AW:AW,'PdI-crono_inv'!CF:CF,F344,'PdI-crono_inv'!CE:CE,H344,'PdI-crono_inv'!J:J,P344,'PdI-crono_inv'!P:P,"&lt;&gt;proprietario")</f>
        <v>0</v>
      </c>
      <c r="M344" s="2335">
        <f>+SUMIFS('PdI-crono_inv'!AX:AX,'PdI-crono_inv'!CF:CF,F344,'PdI-crono_inv'!CE:CE,H344,'PdI-crono_inv'!J:J,P344,'PdI-crono_inv'!P:P,"&lt;&gt;proprietario")+S344</f>
        <v>0</v>
      </c>
      <c r="P344" s="1013" t="s">
        <v>27068</v>
      </c>
      <c r="Q344" s="1932" t="str">
        <f>+VLOOKUP(F344,TT_Tabelle_Riferimento!$D$127:$E$164,2,FALSE)</f>
        <v>Comune</v>
      </c>
      <c r="R344" s="1932" t="str">
        <f t="shared" si="29"/>
        <v/>
      </c>
      <c r="S344" s="2335">
        <f t="shared" si="32"/>
        <v>0</v>
      </c>
    </row>
    <row r="345" spans="1:19">
      <c r="A345" s="1932">
        <f t="shared" si="30"/>
        <v>0</v>
      </c>
      <c r="B345" s="1932">
        <f t="shared" si="31"/>
        <v>0</v>
      </c>
      <c r="C345" s="1013" t="s">
        <v>245</v>
      </c>
      <c r="D345" s="1013">
        <v>0</v>
      </c>
      <c r="E345" s="1013" t="s">
        <v>22698</v>
      </c>
      <c r="F345" s="1013">
        <v>37</v>
      </c>
      <c r="G345" s="1932" t="str">
        <f>+VLOOKUP(F345,TT_Tabelle_Riferimento!$D$127:$G$164,4,FALSE)</f>
        <v>Altre immobilizzazioni materiali e immateriali</v>
      </c>
      <c r="H345" s="1013">
        <v>3</v>
      </c>
      <c r="I345" s="1932" t="str">
        <f>+VLOOKUP(H345,TT_Tabelle_Riferimento!$F$3:$G$6,2,FALSE)</f>
        <v>Altri servizi idrici</v>
      </c>
      <c r="J345" s="1013">
        <v>2026</v>
      </c>
      <c r="K345" s="2335">
        <f>+SUMIFS('PdI-crono_inv'!AW:AW,'PdI-crono_inv'!CF:CF,F345,'PdI-crono_inv'!CE:CE,H345,'PdI-crono_inv'!J:J,P345,'PdI-crono_inv'!P:P,"&lt;&gt;proprietario")</f>
        <v>0</v>
      </c>
      <c r="M345" s="2335">
        <f>+SUMIFS('PdI-crono_inv'!AX:AX,'PdI-crono_inv'!CF:CF,F345,'PdI-crono_inv'!CE:CE,H345,'PdI-crono_inv'!J:J,P345,'PdI-crono_inv'!P:P,"&lt;&gt;proprietario")+S345</f>
        <v>0</v>
      </c>
      <c r="P345" s="1013" t="s">
        <v>27068</v>
      </c>
      <c r="Q345" s="1932" t="str">
        <f>+VLOOKUP(F345,TT_Tabelle_Riferimento!$D$127:$E$164,2,FALSE)</f>
        <v>Comune</v>
      </c>
      <c r="R345" s="1932" t="str">
        <f t="shared" si="29"/>
        <v/>
      </c>
      <c r="S345" s="2335">
        <f t="shared" si="32"/>
        <v>0</v>
      </c>
    </row>
    <row r="346" spans="1:19">
      <c r="A346" s="1932">
        <f t="shared" si="30"/>
        <v>0</v>
      </c>
      <c r="B346" s="1932">
        <f t="shared" si="31"/>
        <v>0</v>
      </c>
      <c r="C346" s="1013" t="s">
        <v>245</v>
      </c>
      <c r="D346" s="1013">
        <v>0</v>
      </c>
      <c r="E346" s="1013" t="s">
        <v>22698</v>
      </c>
      <c r="F346" s="1013">
        <v>38</v>
      </c>
      <c r="G346" s="1932" t="str">
        <f>+VLOOKUP(F346,TT_Tabelle_Riferimento!$D$127:$G$164,4,FALSE)</f>
        <v>Grandi dighe (sbarramenti che superano i quindici metri di altezza o che determinano un invaso superiore a 1 milione di metri cubi)</v>
      </c>
      <c r="H346" s="1013">
        <v>3</v>
      </c>
      <c r="I346" s="1932" t="str">
        <f>+VLOOKUP(H346,TT_Tabelle_Riferimento!$F$3:$G$6,2,FALSE)</f>
        <v>Altri servizi idrici</v>
      </c>
      <c r="J346" s="1013">
        <v>2026</v>
      </c>
      <c r="K346" s="2335">
        <f>+SUMIFS('PdI-crono_inv'!AW:AW,'PdI-crono_inv'!CF:CF,F346,'PdI-crono_inv'!CE:CE,H346,'PdI-crono_inv'!J:J,P346,'PdI-crono_inv'!P:P,"&lt;&gt;proprietario")</f>
        <v>0</v>
      </c>
      <c r="M346" s="2335">
        <f>+SUMIFS('PdI-crono_inv'!AX:AX,'PdI-crono_inv'!CF:CF,F346,'PdI-crono_inv'!CE:CE,H346,'PdI-crono_inv'!J:J,P346,'PdI-crono_inv'!P:P,"&lt;&gt;proprietario")+S346</f>
        <v>0</v>
      </c>
      <c r="P346" s="1013" t="s">
        <v>27068</v>
      </c>
      <c r="Q346" s="1932" t="str">
        <f>+VLOOKUP(F346,TT_Tabelle_Riferimento!$D$127:$E$164,2,FALSE)</f>
        <v>Acquedotto</v>
      </c>
      <c r="R346" s="1932" t="str">
        <f t="shared" si="29"/>
        <v/>
      </c>
      <c r="S346" s="2335">
        <f t="shared" si="32"/>
        <v>0</v>
      </c>
    </row>
    <row r="347" spans="1:19">
      <c r="A347" s="1932">
        <f t="shared" si="30"/>
        <v>0</v>
      </c>
      <c r="B347" s="1932">
        <f t="shared" si="31"/>
        <v>0</v>
      </c>
      <c r="C347" s="1013" t="s">
        <v>245</v>
      </c>
      <c r="D347" s="1013">
        <v>0</v>
      </c>
      <c r="E347" s="1013" t="s">
        <v>22698</v>
      </c>
      <c r="F347" s="1013">
        <v>39</v>
      </c>
      <c r="G347" s="1932" t="str">
        <f>+VLOOKUP(F347,TT_Tabelle_Riferimento!$D$127:$G$164,4,FALSE)</f>
        <v>Piccole dighe (sbarramenti che non superano i quindici metri di altezza o che determinano un invaso non superiore a 1 milione di metri cubi)</v>
      </c>
      <c r="H347" s="1013">
        <v>3</v>
      </c>
      <c r="I347" s="1932" t="str">
        <f>+VLOOKUP(H347,TT_Tabelle_Riferimento!$F$3:$G$6,2,FALSE)</f>
        <v>Altri servizi idrici</v>
      </c>
      <c r="J347" s="1013">
        <v>2026</v>
      </c>
      <c r="K347" s="2335">
        <f>+SUMIFS('PdI-crono_inv'!AW:AW,'PdI-crono_inv'!CF:CF,F347,'PdI-crono_inv'!CE:CE,H347,'PdI-crono_inv'!J:J,P347,'PdI-crono_inv'!P:P,"&lt;&gt;proprietario")</f>
        <v>0</v>
      </c>
      <c r="M347" s="2335">
        <f>+SUMIFS('PdI-crono_inv'!AX:AX,'PdI-crono_inv'!CF:CF,F347,'PdI-crono_inv'!CE:CE,H347,'PdI-crono_inv'!J:J,P347,'PdI-crono_inv'!P:P,"&lt;&gt;proprietario")+S347</f>
        <v>0</v>
      </c>
      <c r="P347" s="1013" t="s">
        <v>27068</v>
      </c>
      <c r="Q347" s="1932" t="str">
        <f>+VLOOKUP(F347,TT_Tabelle_Riferimento!$D$127:$E$164,2,FALSE)</f>
        <v>Acquedotto</v>
      </c>
      <c r="R347" s="1932" t="str">
        <f t="shared" si="29"/>
        <v/>
      </c>
      <c r="S347" s="2335">
        <f t="shared" si="32"/>
        <v>0</v>
      </c>
    </row>
    <row r="348" spans="1:19">
      <c r="A348" s="1932">
        <f t="shared" si="30"/>
        <v>0</v>
      </c>
      <c r="B348" s="1932">
        <f t="shared" si="31"/>
        <v>0</v>
      </c>
      <c r="C348" s="1013" t="s">
        <v>245</v>
      </c>
      <c r="D348" s="1013">
        <v>0</v>
      </c>
      <c r="E348" s="1013" t="s">
        <v>22698</v>
      </c>
      <c r="F348" s="1013">
        <v>2</v>
      </c>
      <c r="G348" s="1932" t="str">
        <f>+VLOOKUP(F348,TT_Tabelle_Riferimento!$D$127:$G$164,4,FALSE)</f>
        <v>Condotte di acquedotto</v>
      </c>
      <c r="H348" s="1013">
        <v>1</v>
      </c>
      <c r="I348" s="1932" t="str">
        <f>+VLOOKUP(H348,TT_Tabelle_Riferimento!$F$3:$G$6,2,FALSE)</f>
        <v>Servizio idrico integrato</v>
      </c>
      <c r="J348" s="1013">
        <v>2027</v>
      </c>
      <c r="K348" s="2335">
        <f>+SUMIFS('PdI-crono_inv'!BB:BB,'PdI-crono_inv'!CF:CF,F348,'PdI-crono_inv'!CE:CE,H348,'PdI-crono_inv'!J:J,P348,'PdI-crono_inv'!P:P,"&lt;&gt;proprietario")</f>
        <v>0</v>
      </c>
      <c r="M348" s="2335">
        <f>+SUMIFS('PdI-crono_inv'!BC:BC,'PdI-crono_inv'!CF:CF,F348,'PdI-crono_inv'!CE:CE,H348,'PdI-crono_inv'!J:J,P348,'PdI-crono_inv'!P:P,"&lt;&gt;proprietario")+S348</f>
        <v>0</v>
      </c>
      <c r="P348" s="1013" t="s">
        <v>25486</v>
      </c>
      <c r="Q348" s="1932" t="str">
        <f>+VLOOKUP(F348,TT_Tabelle_Riferimento!$D$127:$E$164,2,FALSE)</f>
        <v>Acquedotto</v>
      </c>
      <c r="R348" s="1932" t="str">
        <f>+IF(SUM(K348:N348)=0,"","PdI_consolidamento")</f>
        <v/>
      </c>
      <c r="S348" s="2335">
        <f t="shared" si="32"/>
        <v>0</v>
      </c>
    </row>
    <row r="349" spans="1:19">
      <c r="A349" s="1932">
        <f t="shared" si="30"/>
        <v>0</v>
      </c>
      <c r="B349" s="1932">
        <f t="shared" si="31"/>
        <v>0</v>
      </c>
      <c r="C349" s="1013" t="s">
        <v>245</v>
      </c>
      <c r="D349" s="1013">
        <v>0</v>
      </c>
      <c r="E349" s="1013" t="s">
        <v>22698</v>
      </c>
      <c r="F349" s="1013">
        <v>3</v>
      </c>
      <c r="G349" s="1932" t="str">
        <f>+VLOOKUP(F349,TT_Tabelle_Riferimento!$D$127:$G$164,4,FALSE)</f>
        <v>Opere idrauliche fisse di acquedotto</v>
      </c>
      <c r="H349" s="1013">
        <v>1</v>
      </c>
      <c r="I349" s="1932" t="str">
        <f>+VLOOKUP(H349,TT_Tabelle_Riferimento!$F$3:$G$6,2,FALSE)</f>
        <v>Servizio idrico integrato</v>
      </c>
      <c r="J349" s="1013">
        <v>2027</v>
      </c>
      <c r="K349" s="2335">
        <f>+SUMIFS('PdI-crono_inv'!BB:BB,'PdI-crono_inv'!CF:CF,F349,'PdI-crono_inv'!CE:CE,H349,'PdI-crono_inv'!J:J,P349,'PdI-crono_inv'!P:P,"&lt;&gt;proprietario")</f>
        <v>0</v>
      </c>
      <c r="M349" s="2335">
        <f>+SUMIFS('PdI-crono_inv'!BC:BC,'PdI-crono_inv'!CF:CF,F349,'PdI-crono_inv'!CE:CE,H349,'PdI-crono_inv'!J:J,P349,'PdI-crono_inv'!P:P,"&lt;&gt;proprietario")+S349</f>
        <v>0</v>
      </c>
      <c r="P349" s="1013" t="s">
        <v>25486</v>
      </c>
      <c r="Q349" s="1932" t="str">
        <f>+VLOOKUP(F349,TT_Tabelle_Riferimento!$D$127:$E$164,2,FALSE)</f>
        <v>Acquedotto</v>
      </c>
      <c r="R349" s="1932" t="str">
        <f t="shared" ref="R349:R382" si="33">+IF(SUM(K349:N349)=0,"","PdI_consolidamento")</f>
        <v/>
      </c>
      <c r="S349" s="2335">
        <f t="shared" si="32"/>
        <v>0</v>
      </c>
    </row>
    <row r="350" spans="1:19">
      <c r="A350" s="1932">
        <f t="shared" si="30"/>
        <v>0</v>
      </c>
      <c r="B350" s="1932">
        <f t="shared" si="31"/>
        <v>0</v>
      </c>
      <c r="C350" s="1013" t="s">
        <v>245</v>
      </c>
      <c r="D350" s="1013">
        <v>0</v>
      </c>
      <c r="E350" s="1013" t="s">
        <v>22698</v>
      </c>
      <c r="F350" s="1013">
        <v>4</v>
      </c>
      <c r="G350" s="1932" t="str">
        <f>+VLOOKUP(F350,TT_Tabelle_Riferimento!$D$127:$G$164,4,FALSE)</f>
        <v>Serbatoi</v>
      </c>
      <c r="H350" s="1013">
        <v>1</v>
      </c>
      <c r="I350" s="1932" t="str">
        <f>+VLOOKUP(H350,TT_Tabelle_Riferimento!$F$3:$G$6,2,FALSE)</f>
        <v>Servizio idrico integrato</v>
      </c>
      <c r="J350" s="1013">
        <v>2027</v>
      </c>
      <c r="K350" s="2335">
        <f>+SUMIFS('PdI-crono_inv'!BB:BB,'PdI-crono_inv'!CF:CF,F350,'PdI-crono_inv'!CE:CE,H350,'PdI-crono_inv'!J:J,P350,'PdI-crono_inv'!P:P,"&lt;&gt;proprietario")</f>
        <v>0</v>
      </c>
      <c r="M350" s="2335">
        <f>+SUMIFS('PdI-crono_inv'!BC:BC,'PdI-crono_inv'!CF:CF,F350,'PdI-crono_inv'!CE:CE,H350,'PdI-crono_inv'!J:J,P350,'PdI-crono_inv'!P:P,"&lt;&gt;proprietario")+S350</f>
        <v>0</v>
      </c>
      <c r="P350" s="1013" t="s">
        <v>25486</v>
      </c>
      <c r="Q350" s="1932" t="str">
        <f>+VLOOKUP(F350,TT_Tabelle_Riferimento!$D$127:$E$164,2,FALSE)</f>
        <v>Acquedotto</v>
      </c>
      <c r="R350" s="1932" t="str">
        <f t="shared" si="33"/>
        <v/>
      </c>
      <c r="S350" s="2335">
        <f t="shared" si="32"/>
        <v>0</v>
      </c>
    </row>
    <row r="351" spans="1:19">
      <c r="A351" s="1932">
        <f t="shared" si="30"/>
        <v>0</v>
      </c>
      <c r="B351" s="1932">
        <f t="shared" si="31"/>
        <v>0</v>
      </c>
      <c r="C351" s="1013" t="s">
        <v>245</v>
      </c>
      <c r="D351" s="1013">
        <v>0</v>
      </c>
      <c r="E351" s="1013" t="s">
        <v>22698</v>
      </c>
      <c r="F351" s="1013">
        <v>5</v>
      </c>
      <c r="G351" s="1932" t="str">
        <f>+VLOOKUP(F351,TT_Tabelle_Riferimento!$D$127:$G$164,4,FALSE)</f>
        <v>Impianti di sollevamento e pompaggio di acquedotto</v>
      </c>
      <c r="H351" s="1013">
        <v>1</v>
      </c>
      <c r="I351" s="1932" t="str">
        <f>+VLOOKUP(H351,TT_Tabelle_Riferimento!$F$3:$G$6,2,FALSE)</f>
        <v>Servizio idrico integrato</v>
      </c>
      <c r="J351" s="1013">
        <v>2027</v>
      </c>
      <c r="K351" s="2335">
        <f>+SUMIFS('PdI-crono_inv'!BB:BB,'PdI-crono_inv'!CF:CF,F351,'PdI-crono_inv'!CE:CE,H351,'PdI-crono_inv'!J:J,P351,'PdI-crono_inv'!P:P,"&lt;&gt;proprietario")</f>
        <v>0</v>
      </c>
      <c r="M351" s="2335">
        <f>+SUMIFS('PdI-crono_inv'!BC:BC,'PdI-crono_inv'!CF:CF,F351,'PdI-crono_inv'!CE:CE,H351,'PdI-crono_inv'!J:J,P351,'PdI-crono_inv'!P:P,"&lt;&gt;proprietario")+S351</f>
        <v>0</v>
      </c>
      <c r="P351" s="1013" t="s">
        <v>25486</v>
      </c>
      <c r="Q351" s="1932" t="str">
        <f>+VLOOKUP(F351,TT_Tabelle_Riferimento!$D$127:$E$164,2,FALSE)</f>
        <v>Acquedotto</v>
      </c>
      <c r="R351" s="1932" t="str">
        <f t="shared" si="33"/>
        <v/>
      </c>
      <c r="S351" s="2335">
        <f t="shared" si="32"/>
        <v>0</v>
      </c>
    </row>
    <row r="352" spans="1:19">
      <c r="A352" s="1932">
        <f t="shared" si="30"/>
        <v>0</v>
      </c>
      <c r="B352" s="1932">
        <f t="shared" si="31"/>
        <v>0</v>
      </c>
      <c r="C352" s="1013" t="s">
        <v>245</v>
      </c>
      <c r="D352" s="1013">
        <v>0</v>
      </c>
      <c r="E352" s="1013" t="s">
        <v>22698</v>
      </c>
      <c r="F352" s="1013">
        <v>6</v>
      </c>
      <c r="G352" s="1932" t="str">
        <f>+VLOOKUP(F352,TT_Tabelle_Riferimento!$D$127:$G$164,4,FALSE)</f>
        <v>Impianti di potabilizzazione</v>
      </c>
      <c r="H352" s="1013">
        <v>1</v>
      </c>
      <c r="I352" s="1932" t="str">
        <f>+VLOOKUP(H352,TT_Tabelle_Riferimento!$F$3:$G$6,2,FALSE)</f>
        <v>Servizio idrico integrato</v>
      </c>
      <c r="J352" s="1013">
        <v>2027</v>
      </c>
      <c r="K352" s="2335">
        <f>+SUMIFS('PdI-crono_inv'!BB:BB,'PdI-crono_inv'!CF:CF,F352,'PdI-crono_inv'!CE:CE,H352,'PdI-crono_inv'!J:J,P352,'PdI-crono_inv'!P:P,"&lt;&gt;proprietario")</f>
        <v>0</v>
      </c>
      <c r="M352" s="2335">
        <f>+SUMIFS('PdI-crono_inv'!BC:BC,'PdI-crono_inv'!CF:CF,F352,'PdI-crono_inv'!CE:CE,H352,'PdI-crono_inv'!J:J,P352,'PdI-crono_inv'!P:P,"&lt;&gt;proprietario")+S352</f>
        <v>0</v>
      </c>
      <c r="P352" s="1013" t="s">
        <v>25486</v>
      </c>
      <c r="Q352" s="1932" t="str">
        <f>+VLOOKUP(F352,TT_Tabelle_Riferimento!$D$127:$E$164,2,FALSE)</f>
        <v>Acquedotto</v>
      </c>
      <c r="R352" s="1932" t="str">
        <f t="shared" si="33"/>
        <v/>
      </c>
      <c r="S352" s="2335">
        <f t="shared" si="32"/>
        <v>0</v>
      </c>
    </row>
    <row r="353" spans="1:19">
      <c r="A353" s="1932">
        <f t="shared" si="30"/>
        <v>0</v>
      </c>
      <c r="B353" s="1932">
        <f t="shared" si="31"/>
        <v>0</v>
      </c>
      <c r="C353" s="1013" t="s">
        <v>245</v>
      </c>
      <c r="D353" s="1013">
        <v>0</v>
      </c>
      <c r="E353" s="1013" t="s">
        <v>22698</v>
      </c>
      <c r="F353" s="1013">
        <v>7</v>
      </c>
      <c r="G353" s="1932" t="str">
        <f>+VLOOKUP(F353,TT_Tabelle_Riferimento!$D$127:$G$164,4,FALSE)</f>
        <v>Altri trattamenti di potabilizzazione (tra cui dispositivi di disinfezione, stacciatura, filtrazione, addolcimento)</v>
      </c>
      <c r="H353" s="1013">
        <v>1</v>
      </c>
      <c r="I353" s="1932" t="str">
        <f>+VLOOKUP(H353,TT_Tabelle_Riferimento!$F$3:$G$6,2,FALSE)</f>
        <v>Servizio idrico integrato</v>
      </c>
      <c r="J353" s="1013">
        <v>2027</v>
      </c>
      <c r="K353" s="2335">
        <f>+SUMIFS('PdI-crono_inv'!BB:BB,'PdI-crono_inv'!CF:CF,F353,'PdI-crono_inv'!CE:CE,H353,'PdI-crono_inv'!J:J,P353,'PdI-crono_inv'!P:P,"&lt;&gt;proprietario")</f>
        <v>0</v>
      </c>
      <c r="M353" s="2335">
        <f>+SUMIFS('PdI-crono_inv'!BC:BC,'PdI-crono_inv'!CF:CF,F353,'PdI-crono_inv'!CE:CE,H353,'PdI-crono_inv'!J:J,P353,'PdI-crono_inv'!P:P,"&lt;&gt;proprietario")+S353</f>
        <v>0</v>
      </c>
      <c r="P353" s="1013" t="s">
        <v>25486</v>
      </c>
      <c r="Q353" s="1932" t="str">
        <f>+VLOOKUP(F353,TT_Tabelle_Riferimento!$D$127:$E$164,2,FALSE)</f>
        <v>Acquedotto</v>
      </c>
      <c r="R353" s="1932" t="str">
        <f t="shared" si="33"/>
        <v/>
      </c>
      <c r="S353" s="2335">
        <f t="shared" si="32"/>
        <v>0</v>
      </c>
    </row>
    <row r="354" spans="1:19">
      <c r="A354" s="1932">
        <f t="shared" si="30"/>
        <v>0</v>
      </c>
      <c r="B354" s="1932">
        <f t="shared" si="31"/>
        <v>0</v>
      </c>
      <c r="C354" s="1013" t="s">
        <v>245</v>
      </c>
      <c r="D354" s="1013">
        <v>0</v>
      </c>
      <c r="E354" s="1013" t="s">
        <v>22698</v>
      </c>
      <c r="F354" s="1013">
        <v>8</v>
      </c>
      <c r="G354" s="1932" t="str">
        <f>+VLOOKUP(F354,TT_Tabelle_Riferimento!$D$127:$G$164,4,FALSE)</f>
        <v>Gruppi di misura - altre attrezzature di acquedotto</v>
      </c>
      <c r="H354" s="1013">
        <v>1</v>
      </c>
      <c r="I354" s="1932" t="str">
        <f>+VLOOKUP(H354,TT_Tabelle_Riferimento!$F$3:$G$6,2,FALSE)</f>
        <v>Servizio idrico integrato</v>
      </c>
      <c r="J354" s="1013">
        <v>2027</v>
      </c>
      <c r="K354" s="2335">
        <f>+SUMIFS('PdI-crono_inv'!BB:BB,'PdI-crono_inv'!CF:CF,F354,'PdI-crono_inv'!CE:CE,H354,'PdI-crono_inv'!J:J,P354,'PdI-crono_inv'!P:P,"&lt;&gt;proprietario")</f>
        <v>0</v>
      </c>
      <c r="M354" s="2335">
        <f>+SUMIFS('PdI-crono_inv'!BC:BC,'PdI-crono_inv'!CF:CF,F354,'PdI-crono_inv'!CE:CE,H354,'PdI-crono_inv'!J:J,P354,'PdI-crono_inv'!P:P,"&lt;&gt;proprietario")+S354</f>
        <v>0</v>
      </c>
      <c r="P354" s="1013" t="s">
        <v>25486</v>
      </c>
      <c r="Q354" s="1932" t="str">
        <f>+VLOOKUP(F354,TT_Tabelle_Riferimento!$D$127:$E$164,2,FALSE)</f>
        <v>Acquedotto</v>
      </c>
      <c r="R354" s="1932" t="str">
        <f t="shared" si="33"/>
        <v/>
      </c>
      <c r="S354" s="2335">
        <f t="shared" si="32"/>
        <v>0</v>
      </c>
    </row>
    <row r="355" spans="1:19">
      <c r="A355" s="1932">
        <f t="shared" si="30"/>
        <v>0</v>
      </c>
      <c r="B355" s="1932">
        <f t="shared" si="31"/>
        <v>0</v>
      </c>
      <c r="C355" s="1013" t="s">
        <v>245</v>
      </c>
      <c r="D355" s="1013">
        <v>0</v>
      </c>
      <c r="E355" s="1013" t="s">
        <v>22698</v>
      </c>
      <c r="F355" s="1013">
        <v>9</v>
      </c>
      <c r="G355" s="1932" t="str">
        <f>+VLOOKUP(F355,TT_Tabelle_Riferimento!$D$127:$G$164,4,FALSE)</f>
        <v>Sistemi informativi di acquedotto</v>
      </c>
      <c r="H355" s="1013">
        <v>1</v>
      </c>
      <c r="I355" s="1932" t="str">
        <f>+VLOOKUP(H355,TT_Tabelle_Riferimento!$F$3:$G$6,2,FALSE)</f>
        <v>Servizio idrico integrato</v>
      </c>
      <c r="J355" s="1013">
        <v>2027</v>
      </c>
      <c r="K355" s="2335">
        <f>+SUMIFS('PdI-crono_inv'!BB:BB,'PdI-crono_inv'!CF:CF,F355,'PdI-crono_inv'!CE:CE,H355,'PdI-crono_inv'!J:J,P355,'PdI-crono_inv'!P:P,"&lt;&gt;proprietario")</f>
        <v>0</v>
      </c>
      <c r="M355" s="2335">
        <f>+SUMIFS('PdI-crono_inv'!BC:BC,'PdI-crono_inv'!CF:CF,F355,'PdI-crono_inv'!CE:CE,H355,'PdI-crono_inv'!J:J,P355,'PdI-crono_inv'!P:P,"&lt;&gt;proprietario")+S355</f>
        <v>0</v>
      </c>
      <c r="P355" s="1013" t="s">
        <v>25486</v>
      </c>
      <c r="Q355" s="1932" t="str">
        <f>+VLOOKUP(F355,TT_Tabelle_Riferimento!$D$127:$E$164,2,FALSE)</f>
        <v>Acquedotto</v>
      </c>
      <c r="R355" s="1932" t="str">
        <f t="shared" si="33"/>
        <v/>
      </c>
      <c r="S355" s="2335">
        <f t="shared" si="32"/>
        <v>0</v>
      </c>
    </row>
    <row r="356" spans="1:19">
      <c r="A356" s="1932">
        <f t="shared" si="30"/>
        <v>0</v>
      </c>
      <c r="B356" s="1932">
        <f t="shared" si="31"/>
        <v>0</v>
      </c>
      <c r="C356" s="1013" t="s">
        <v>245</v>
      </c>
      <c r="D356" s="1013">
        <v>0</v>
      </c>
      <c r="E356" s="1013" t="s">
        <v>22698</v>
      </c>
      <c r="F356" s="1013">
        <v>10</v>
      </c>
      <c r="G356" s="1932" t="str">
        <f>+VLOOKUP(F356,TT_Tabelle_Riferimento!$D$127:$G$164,4,FALSE)</f>
        <v>Telecontrollo e teletrasmissione di acquedotto</v>
      </c>
      <c r="H356" s="1013">
        <v>1</v>
      </c>
      <c r="I356" s="1932" t="str">
        <f>+VLOOKUP(H356,TT_Tabelle_Riferimento!$F$3:$G$6,2,FALSE)</f>
        <v>Servizio idrico integrato</v>
      </c>
      <c r="J356" s="1013">
        <v>2027</v>
      </c>
      <c r="K356" s="2335">
        <f>+SUMIFS('PdI-crono_inv'!BB:BB,'PdI-crono_inv'!CF:CF,F356,'PdI-crono_inv'!CE:CE,H356,'PdI-crono_inv'!J:J,P356,'PdI-crono_inv'!P:P,"&lt;&gt;proprietario")</f>
        <v>0</v>
      </c>
      <c r="M356" s="2335">
        <f>+SUMIFS('PdI-crono_inv'!BC:BC,'PdI-crono_inv'!CF:CF,F356,'PdI-crono_inv'!CE:CE,H356,'PdI-crono_inv'!J:J,P356,'PdI-crono_inv'!P:P,"&lt;&gt;proprietario")+S356</f>
        <v>0</v>
      </c>
      <c r="P356" s="1013" t="s">
        <v>25486</v>
      </c>
      <c r="Q356" s="1932" t="str">
        <f>+VLOOKUP(F356,TT_Tabelle_Riferimento!$D$127:$E$164,2,FALSE)</f>
        <v>Acquedotto</v>
      </c>
      <c r="R356" s="1932" t="str">
        <f t="shared" si="33"/>
        <v/>
      </c>
      <c r="S356" s="2335">
        <f t="shared" si="32"/>
        <v>0</v>
      </c>
    </row>
    <row r="357" spans="1:19">
      <c r="A357" s="1932">
        <f t="shared" si="30"/>
        <v>0</v>
      </c>
      <c r="B357" s="1932">
        <f t="shared" si="31"/>
        <v>0</v>
      </c>
      <c r="C357" s="1013" t="s">
        <v>245</v>
      </c>
      <c r="D357" s="1013">
        <v>0</v>
      </c>
      <c r="E357" s="1013" t="s">
        <v>22698</v>
      </c>
      <c r="F357" s="1013">
        <v>11</v>
      </c>
      <c r="G357" s="1932" t="str">
        <f>+VLOOKUP(F357,TT_Tabelle_Riferimento!$D$127:$G$164,4,FALSE)</f>
        <v>Condotte fognarie</v>
      </c>
      <c r="H357" s="1013">
        <v>1</v>
      </c>
      <c r="I357" s="1932" t="str">
        <f>+VLOOKUP(H357,TT_Tabelle_Riferimento!$F$3:$G$6,2,FALSE)</f>
        <v>Servizio idrico integrato</v>
      </c>
      <c r="J357" s="1013">
        <v>2027</v>
      </c>
      <c r="K357" s="2335">
        <f>+SUMIFS('PdI-crono_inv'!BB:BB,'PdI-crono_inv'!CF:CF,F357,'PdI-crono_inv'!CE:CE,H357,'PdI-crono_inv'!J:J,P357,'PdI-crono_inv'!P:P,"&lt;&gt;proprietario")</f>
        <v>0</v>
      </c>
      <c r="M357" s="2335">
        <f>+SUMIFS('PdI-crono_inv'!BC:BC,'PdI-crono_inv'!CF:CF,F357,'PdI-crono_inv'!CE:CE,H357,'PdI-crono_inv'!J:J,P357,'PdI-crono_inv'!P:P,"&lt;&gt;proprietario")+S357</f>
        <v>0</v>
      </c>
      <c r="P357" s="1013" t="s">
        <v>25486</v>
      </c>
      <c r="Q357" s="1932" t="str">
        <f>+VLOOKUP(F357,TT_Tabelle_Riferimento!$D$127:$E$164,2,FALSE)</f>
        <v>Fognatura</v>
      </c>
      <c r="R357" s="1932" t="str">
        <f t="shared" si="33"/>
        <v/>
      </c>
      <c r="S357" s="2335">
        <f t="shared" si="32"/>
        <v>0</v>
      </c>
    </row>
    <row r="358" spans="1:19">
      <c r="A358" s="1932">
        <f t="shared" si="30"/>
        <v>0</v>
      </c>
      <c r="B358" s="1932">
        <f t="shared" si="31"/>
        <v>0</v>
      </c>
      <c r="C358" s="1013" t="s">
        <v>245</v>
      </c>
      <c r="D358" s="1013">
        <v>0</v>
      </c>
      <c r="E358" s="1013" t="s">
        <v>22698</v>
      </c>
      <c r="F358" s="1013">
        <v>12</v>
      </c>
      <c r="G358" s="1932" t="str">
        <f>+VLOOKUP(F358,TT_Tabelle_Riferimento!$D$127:$G$164,4,FALSE)</f>
        <v>Sifoni e scaricatori di piena e altre opere idrauliche fisse di fognatura</v>
      </c>
      <c r="H358" s="1013">
        <v>1</v>
      </c>
      <c r="I358" s="1932" t="str">
        <f>+VLOOKUP(H358,TT_Tabelle_Riferimento!$F$3:$G$6,2,FALSE)</f>
        <v>Servizio idrico integrato</v>
      </c>
      <c r="J358" s="1013">
        <v>2027</v>
      </c>
      <c r="K358" s="2335">
        <f>+SUMIFS('PdI-crono_inv'!BB:BB,'PdI-crono_inv'!CF:CF,F358,'PdI-crono_inv'!CE:CE,H358,'PdI-crono_inv'!J:J,P358,'PdI-crono_inv'!P:P,"&lt;&gt;proprietario")</f>
        <v>0</v>
      </c>
      <c r="M358" s="2335">
        <f>+SUMIFS('PdI-crono_inv'!BC:BC,'PdI-crono_inv'!CF:CF,F358,'PdI-crono_inv'!CE:CE,H358,'PdI-crono_inv'!J:J,P358,'PdI-crono_inv'!P:P,"&lt;&gt;proprietario")+S358</f>
        <v>0</v>
      </c>
      <c r="P358" s="1013" t="s">
        <v>25486</v>
      </c>
      <c r="Q358" s="1932" t="str">
        <f>+VLOOKUP(F358,TT_Tabelle_Riferimento!$D$127:$E$164,2,FALSE)</f>
        <v>Fognatura</v>
      </c>
      <c r="R358" s="1932" t="str">
        <f t="shared" si="33"/>
        <v/>
      </c>
      <c r="S358" s="2335">
        <f t="shared" si="32"/>
        <v>0</v>
      </c>
    </row>
    <row r="359" spans="1:19">
      <c r="A359" s="1932">
        <f t="shared" si="30"/>
        <v>0</v>
      </c>
      <c r="B359" s="1932">
        <f t="shared" si="31"/>
        <v>0</v>
      </c>
      <c r="C359" s="1013" t="s">
        <v>245</v>
      </c>
      <c r="D359" s="1013">
        <v>0</v>
      </c>
      <c r="E359" s="1013" t="s">
        <v>22698</v>
      </c>
      <c r="F359" s="1013">
        <v>13</v>
      </c>
      <c r="G359" s="1932" t="str">
        <f>+VLOOKUP(F359,TT_Tabelle_Riferimento!$D$127:$G$164,4,FALSE)</f>
        <v>Vasche di laminazione e vasche di prima pioggia</v>
      </c>
      <c r="H359" s="1013">
        <v>1</v>
      </c>
      <c r="I359" s="1932" t="str">
        <f>+VLOOKUP(H359,TT_Tabelle_Riferimento!$F$3:$G$6,2,FALSE)</f>
        <v>Servizio idrico integrato</v>
      </c>
      <c r="J359" s="1013">
        <v>2027</v>
      </c>
      <c r="K359" s="2335">
        <f>+SUMIFS('PdI-crono_inv'!BB:BB,'PdI-crono_inv'!CF:CF,F359,'PdI-crono_inv'!CE:CE,H359,'PdI-crono_inv'!J:J,P359,'PdI-crono_inv'!P:P,"&lt;&gt;proprietario")</f>
        <v>0</v>
      </c>
      <c r="M359" s="2335">
        <f>+SUMIFS('PdI-crono_inv'!BC:BC,'PdI-crono_inv'!CF:CF,F359,'PdI-crono_inv'!CE:CE,H359,'PdI-crono_inv'!J:J,P359,'PdI-crono_inv'!P:P,"&lt;&gt;proprietario")+S359</f>
        <v>0</v>
      </c>
      <c r="P359" s="1013" t="s">
        <v>25486</v>
      </c>
      <c r="Q359" s="1932" t="str">
        <f>+VLOOKUP(F359,TT_Tabelle_Riferimento!$D$127:$E$164,2,FALSE)</f>
        <v>Fognatura</v>
      </c>
      <c r="R359" s="1932" t="str">
        <f t="shared" si="33"/>
        <v/>
      </c>
      <c r="S359" s="2335">
        <f t="shared" si="32"/>
        <v>0</v>
      </c>
    </row>
    <row r="360" spans="1:19">
      <c r="A360" s="1932">
        <f t="shared" si="30"/>
        <v>0</v>
      </c>
      <c r="B360" s="1932">
        <f t="shared" si="31"/>
        <v>0</v>
      </c>
      <c r="C360" s="1013" t="s">
        <v>245</v>
      </c>
      <c r="D360" s="1013">
        <v>0</v>
      </c>
      <c r="E360" s="1013" t="s">
        <v>22698</v>
      </c>
      <c r="F360" s="1013">
        <v>14</v>
      </c>
      <c r="G360" s="1932" t="str">
        <f>+VLOOKUP(F360,TT_Tabelle_Riferimento!$D$127:$G$164,4,FALSE)</f>
        <v>Impianti di sollevamento e pompaggio di fognatura</v>
      </c>
      <c r="H360" s="1013">
        <v>1</v>
      </c>
      <c r="I360" s="1932" t="str">
        <f>+VLOOKUP(H360,TT_Tabelle_Riferimento!$F$3:$G$6,2,FALSE)</f>
        <v>Servizio idrico integrato</v>
      </c>
      <c r="J360" s="1013">
        <v>2027</v>
      </c>
      <c r="K360" s="2335">
        <f>+SUMIFS('PdI-crono_inv'!BB:BB,'PdI-crono_inv'!CF:CF,F360,'PdI-crono_inv'!CE:CE,H360,'PdI-crono_inv'!J:J,P360,'PdI-crono_inv'!P:P,"&lt;&gt;proprietario")</f>
        <v>0</v>
      </c>
      <c r="M360" s="2335">
        <f>+SUMIFS('PdI-crono_inv'!BC:BC,'PdI-crono_inv'!CF:CF,F360,'PdI-crono_inv'!CE:CE,H360,'PdI-crono_inv'!J:J,P360,'PdI-crono_inv'!P:P,"&lt;&gt;proprietario")+S360</f>
        <v>0</v>
      </c>
      <c r="P360" s="1013" t="s">
        <v>25486</v>
      </c>
      <c r="Q360" s="1932" t="str">
        <f>+VLOOKUP(F360,TT_Tabelle_Riferimento!$D$127:$E$164,2,FALSE)</f>
        <v>Fognatura</v>
      </c>
      <c r="R360" s="1932" t="str">
        <f t="shared" si="33"/>
        <v/>
      </c>
      <c r="S360" s="2335">
        <f t="shared" si="32"/>
        <v>0</v>
      </c>
    </row>
    <row r="361" spans="1:19">
      <c r="A361" s="1932">
        <f t="shared" si="30"/>
        <v>0</v>
      </c>
      <c r="B361" s="1932">
        <f t="shared" si="31"/>
        <v>0</v>
      </c>
      <c r="C361" s="1013" t="s">
        <v>245</v>
      </c>
      <c r="D361" s="1013">
        <v>0</v>
      </c>
      <c r="E361" s="1013" t="s">
        <v>22698</v>
      </c>
      <c r="F361" s="1013">
        <v>15</v>
      </c>
      <c r="G361" s="1932" t="str">
        <f>+VLOOKUP(F361,TT_Tabelle_Riferimento!$D$127:$G$164,4,FALSE)</f>
        <v>Gruppi di misura - altre attrezzature di fognatura</v>
      </c>
      <c r="H361" s="1013">
        <v>1</v>
      </c>
      <c r="I361" s="1932" t="str">
        <f>+VLOOKUP(H361,TT_Tabelle_Riferimento!$F$3:$G$6,2,FALSE)</f>
        <v>Servizio idrico integrato</v>
      </c>
      <c r="J361" s="1013">
        <v>2027</v>
      </c>
      <c r="K361" s="2335">
        <f>+SUMIFS('PdI-crono_inv'!BB:BB,'PdI-crono_inv'!CF:CF,F361,'PdI-crono_inv'!CE:CE,H361,'PdI-crono_inv'!J:J,P361,'PdI-crono_inv'!P:P,"&lt;&gt;proprietario")</f>
        <v>0</v>
      </c>
      <c r="M361" s="2335">
        <f>+SUMIFS('PdI-crono_inv'!BC:BC,'PdI-crono_inv'!CF:CF,F361,'PdI-crono_inv'!CE:CE,H361,'PdI-crono_inv'!J:J,P361,'PdI-crono_inv'!P:P,"&lt;&gt;proprietario")+S361</f>
        <v>0</v>
      </c>
      <c r="P361" s="1013" t="s">
        <v>25486</v>
      </c>
      <c r="Q361" s="1932" t="str">
        <f>+VLOOKUP(F361,TT_Tabelle_Riferimento!$D$127:$E$164,2,FALSE)</f>
        <v>Fognatura</v>
      </c>
      <c r="R361" s="1932" t="str">
        <f t="shared" si="33"/>
        <v/>
      </c>
      <c r="S361" s="2335">
        <f t="shared" si="32"/>
        <v>0</v>
      </c>
    </row>
    <row r="362" spans="1:19">
      <c r="A362" s="1932">
        <f t="shared" si="30"/>
        <v>0</v>
      </c>
      <c r="B362" s="1932">
        <f t="shared" si="31"/>
        <v>0</v>
      </c>
      <c r="C362" s="1013" t="s">
        <v>245</v>
      </c>
      <c r="D362" s="1013">
        <v>0</v>
      </c>
      <c r="E362" s="1013" t="s">
        <v>22698</v>
      </c>
      <c r="F362" s="1013">
        <v>16</v>
      </c>
      <c r="G362" s="1932" t="str">
        <f>+VLOOKUP(F362,TT_Tabelle_Riferimento!$D$127:$G$164,4,FALSE)</f>
        <v>Sistemi informativi di fognatura</v>
      </c>
      <c r="H362" s="1013">
        <v>1</v>
      </c>
      <c r="I362" s="1932" t="str">
        <f>+VLOOKUP(H362,TT_Tabelle_Riferimento!$F$3:$G$6,2,FALSE)</f>
        <v>Servizio idrico integrato</v>
      </c>
      <c r="J362" s="1013">
        <v>2027</v>
      </c>
      <c r="K362" s="2335">
        <f>+SUMIFS('PdI-crono_inv'!BB:BB,'PdI-crono_inv'!CF:CF,F362,'PdI-crono_inv'!CE:CE,H362,'PdI-crono_inv'!J:J,P362,'PdI-crono_inv'!P:P,"&lt;&gt;proprietario")</f>
        <v>0</v>
      </c>
      <c r="M362" s="2335">
        <f>+SUMIFS('PdI-crono_inv'!BC:BC,'PdI-crono_inv'!CF:CF,F362,'PdI-crono_inv'!CE:CE,H362,'PdI-crono_inv'!J:J,P362,'PdI-crono_inv'!P:P,"&lt;&gt;proprietario")+S362</f>
        <v>0</v>
      </c>
      <c r="P362" s="1013" t="s">
        <v>25486</v>
      </c>
      <c r="Q362" s="1932" t="str">
        <f>+VLOOKUP(F362,TT_Tabelle_Riferimento!$D$127:$E$164,2,FALSE)</f>
        <v>Fognatura</v>
      </c>
      <c r="R362" s="1932" t="str">
        <f t="shared" si="33"/>
        <v/>
      </c>
      <c r="S362" s="2335">
        <f t="shared" si="32"/>
        <v>0</v>
      </c>
    </row>
    <row r="363" spans="1:19">
      <c r="A363" s="1932">
        <f t="shared" si="30"/>
        <v>0</v>
      </c>
      <c r="B363" s="1932">
        <f t="shared" si="31"/>
        <v>0</v>
      </c>
      <c r="C363" s="1013" t="s">
        <v>245</v>
      </c>
      <c r="D363" s="1013">
        <v>0</v>
      </c>
      <c r="E363" s="1013" t="s">
        <v>22698</v>
      </c>
      <c r="F363" s="1013">
        <v>18</v>
      </c>
      <c r="G363" s="1932" t="str">
        <f>+VLOOKUP(F363,TT_Tabelle_Riferimento!$D$127:$G$164,4,FALSE)</f>
        <v>Telecontrollo e teletrasmissione di fognatura</v>
      </c>
      <c r="H363" s="1013">
        <v>1</v>
      </c>
      <c r="I363" s="1932" t="str">
        <f>+VLOOKUP(H363,TT_Tabelle_Riferimento!$F$3:$G$6,2,FALSE)</f>
        <v>Servizio idrico integrato</v>
      </c>
      <c r="J363" s="1013">
        <v>2027</v>
      </c>
      <c r="K363" s="2335">
        <f>+SUMIFS('PdI-crono_inv'!BB:BB,'PdI-crono_inv'!CF:CF,F363,'PdI-crono_inv'!CE:CE,H363,'PdI-crono_inv'!J:J,P363,'PdI-crono_inv'!P:P,"&lt;&gt;proprietario")</f>
        <v>0</v>
      </c>
      <c r="M363" s="2335">
        <f>+SUMIFS('PdI-crono_inv'!BC:BC,'PdI-crono_inv'!CF:CF,F363,'PdI-crono_inv'!CE:CE,H363,'PdI-crono_inv'!J:J,P363,'PdI-crono_inv'!P:P,"&lt;&gt;proprietario")+S363</f>
        <v>0</v>
      </c>
      <c r="P363" s="1013" t="s">
        <v>25486</v>
      </c>
      <c r="Q363" s="1932" t="str">
        <f>+VLOOKUP(F363,TT_Tabelle_Riferimento!$D$127:$E$164,2,FALSE)</f>
        <v>Fognatura</v>
      </c>
      <c r="R363" s="1932" t="str">
        <f t="shared" si="33"/>
        <v/>
      </c>
      <c r="S363" s="2335">
        <f t="shared" si="32"/>
        <v>0</v>
      </c>
    </row>
    <row r="364" spans="1:19">
      <c r="A364" s="1932">
        <f t="shared" si="30"/>
        <v>0</v>
      </c>
      <c r="B364" s="1932">
        <f t="shared" si="31"/>
        <v>0</v>
      </c>
      <c r="C364" s="1013" t="s">
        <v>245</v>
      </c>
      <c r="D364" s="1013">
        <v>0</v>
      </c>
      <c r="E364" s="1013" t="s">
        <v>22698</v>
      </c>
      <c r="F364" s="1013">
        <v>19</v>
      </c>
      <c r="G364" s="1932" t="str">
        <f>+VLOOKUP(F364,TT_Tabelle_Riferimento!$D$127:$G$164,4,FALSE)</f>
        <v>Impianti di sollevamento e pompaggio di depurazione</v>
      </c>
      <c r="H364" s="1013">
        <v>1</v>
      </c>
      <c r="I364" s="1932" t="str">
        <f>+VLOOKUP(H364,TT_Tabelle_Riferimento!$F$3:$G$6,2,FALSE)</f>
        <v>Servizio idrico integrato</v>
      </c>
      <c r="J364" s="1013">
        <v>2027</v>
      </c>
      <c r="K364" s="2335">
        <f>+SUMIFS('PdI-crono_inv'!BB:BB,'PdI-crono_inv'!CF:CF,F364,'PdI-crono_inv'!CE:CE,H364,'PdI-crono_inv'!J:J,P364,'PdI-crono_inv'!P:P,"&lt;&gt;proprietario")</f>
        <v>0</v>
      </c>
      <c r="M364" s="2335">
        <f>+SUMIFS('PdI-crono_inv'!BC:BC,'PdI-crono_inv'!CF:CF,F364,'PdI-crono_inv'!CE:CE,H364,'PdI-crono_inv'!J:J,P364,'PdI-crono_inv'!P:P,"&lt;&gt;proprietario")+S364</f>
        <v>0</v>
      </c>
      <c r="P364" s="1013" t="s">
        <v>25486</v>
      </c>
      <c r="Q364" s="1932" t="str">
        <f>+VLOOKUP(F364,TT_Tabelle_Riferimento!$D$127:$E$164,2,FALSE)</f>
        <v>Depurazione</v>
      </c>
      <c r="R364" s="1932" t="str">
        <f t="shared" si="33"/>
        <v/>
      </c>
      <c r="S364" s="2335">
        <f t="shared" si="32"/>
        <v>0</v>
      </c>
    </row>
    <row r="365" spans="1:19">
      <c r="A365" s="1932">
        <f t="shared" si="30"/>
        <v>0</v>
      </c>
      <c r="B365" s="1932">
        <f t="shared" si="31"/>
        <v>0</v>
      </c>
      <c r="C365" s="1013" t="s">
        <v>245</v>
      </c>
      <c r="D365" s="1013">
        <v>0</v>
      </c>
      <c r="E365" s="1013" t="s">
        <v>22698</v>
      </c>
      <c r="F365" s="1013">
        <v>20</v>
      </c>
      <c r="G365" s="1932" t="str">
        <f>+VLOOKUP(F365,TT_Tabelle_Riferimento!$D$127:$G$164,4,FALSE)</f>
        <v>Tecniche naturali di depurazione (tra cui fitodepurazione e lagunaggio)</v>
      </c>
      <c r="H365" s="1013">
        <v>1</v>
      </c>
      <c r="I365" s="1932" t="str">
        <f>+VLOOKUP(H365,TT_Tabelle_Riferimento!$F$3:$G$6,2,FALSE)</f>
        <v>Servizio idrico integrato</v>
      </c>
      <c r="J365" s="1013">
        <v>2027</v>
      </c>
      <c r="K365" s="2335">
        <f>+SUMIFS('PdI-crono_inv'!BB:BB,'PdI-crono_inv'!CF:CF,F365,'PdI-crono_inv'!CE:CE,H365,'PdI-crono_inv'!J:J,P365,'PdI-crono_inv'!P:P,"&lt;&gt;proprietario")</f>
        <v>0</v>
      </c>
      <c r="M365" s="2335">
        <f>+SUMIFS('PdI-crono_inv'!BC:BC,'PdI-crono_inv'!CF:CF,F365,'PdI-crono_inv'!CE:CE,H365,'PdI-crono_inv'!J:J,P365,'PdI-crono_inv'!P:P,"&lt;&gt;proprietario")+S365</f>
        <v>0</v>
      </c>
      <c r="P365" s="1013" t="s">
        <v>25486</v>
      </c>
      <c r="Q365" s="1932" t="str">
        <f>+VLOOKUP(F365,TT_Tabelle_Riferimento!$D$127:$E$164,2,FALSE)</f>
        <v>Depurazione</v>
      </c>
      <c r="R365" s="1932" t="str">
        <f t="shared" si="33"/>
        <v/>
      </c>
      <c r="S365" s="2335">
        <f t="shared" si="32"/>
        <v>0</v>
      </c>
    </row>
    <row r="366" spans="1:19">
      <c r="A366" s="1932">
        <f t="shared" si="30"/>
        <v>0</v>
      </c>
      <c r="B366" s="1932">
        <f t="shared" si="31"/>
        <v>0</v>
      </c>
      <c r="C366" s="1013" t="s">
        <v>245</v>
      </c>
      <c r="D366" s="1013">
        <v>0</v>
      </c>
      <c r="E366" s="1013" t="s">
        <v>22698</v>
      </c>
      <c r="F366" s="1013">
        <v>21</v>
      </c>
      <c r="G366" s="1932" t="str">
        <f>+VLOOKUP(F366,TT_Tabelle_Riferimento!$D$127:$G$164,4,FALSE)</f>
        <v>Impianti di depurazione – trattamenti sino al preliminare, integrativo, primario - fosse settiche e fosse Imhoff</v>
      </c>
      <c r="H366" s="1013">
        <v>1</v>
      </c>
      <c r="I366" s="1932" t="str">
        <f>+VLOOKUP(H366,TT_Tabelle_Riferimento!$F$3:$G$6,2,FALSE)</f>
        <v>Servizio idrico integrato</v>
      </c>
      <c r="J366" s="1013">
        <v>2027</v>
      </c>
      <c r="K366" s="2335">
        <f>+SUMIFS('PdI-crono_inv'!BB:BB,'PdI-crono_inv'!CF:CF,F366,'PdI-crono_inv'!CE:CE,H366,'PdI-crono_inv'!J:J,P366,'PdI-crono_inv'!P:P,"&lt;&gt;proprietario")</f>
        <v>0</v>
      </c>
      <c r="M366" s="2335">
        <f>+SUMIFS('PdI-crono_inv'!BC:BC,'PdI-crono_inv'!CF:CF,F366,'PdI-crono_inv'!CE:CE,H366,'PdI-crono_inv'!J:J,P366,'PdI-crono_inv'!P:P,"&lt;&gt;proprietario")+S366</f>
        <v>0</v>
      </c>
      <c r="P366" s="1013" t="s">
        <v>25486</v>
      </c>
      <c r="Q366" s="1932" t="str">
        <f>+VLOOKUP(F366,TT_Tabelle_Riferimento!$D$127:$E$164,2,FALSE)</f>
        <v>Depurazione</v>
      </c>
      <c r="R366" s="1932" t="str">
        <f t="shared" si="33"/>
        <v/>
      </c>
      <c r="S366" s="2335">
        <f t="shared" si="32"/>
        <v>0</v>
      </c>
    </row>
    <row r="367" spans="1:19">
      <c r="A367" s="1932">
        <f t="shared" si="30"/>
        <v>0</v>
      </c>
      <c r="B367" s="1932">
        <f t="shared" si="31"/>
        <v>0</v>
      </c>
      <c r="C367" s="1013" t="s">
        <v>245</v>
      </c>
      <c r="D367" s="1013">
        <v>0</v>
      </c>
      <c r="E367" s="1013" t="s">
        <v>22698</v>
      </c>
      <c r="F367" s="1013">
        <v>22</v>
      </c>
      <c r="G367" s="1932" t="str">
        <f>+VLOOKUP(F367,TT_Tabelle_Riferimento!$D$127:$G$164,4,FALSE)</f>
        <v>Impianti di depurazione – trattamenti sino al secondario</v>
      </c>
      <c r="H367" s="1013">
        <v>1</v>
      </c>
      <c r="I367" s="1932" t="str">
        <f>+VLOOKUP(H367,TT_Tabelle_Riferimento!$F$3:$G$6,2,FALSE)</f>
        <v>Servizio idrico integrato</v>
      </c>
      <c r="J367" s="1013">
        <v>2027</v>
      </c>
      <c r="K367" s="2335">
        <f>+SUMIFS('PdI-crono_inv'!BB:BB,'PdI-crono_inv'!CF:CF,F367,'PdI-crono_inv'!CE:CE,H367,'PdI-crono_inv'!J:J,P367,'PdI-crono_inv'!P:P,"&lt;&gt;proprietario")</f>
        <v>0</v>
      </c>
      <c r="M367" s="2335">
        <f>+SUMIFS('PdI-crono_inv'!BC:BC,'PdI-crono_inv'!CF:CF,F367,'PdI-crono_inv'!CE:CE,H367,'PdI-crono_inv'!J:J,P367,'PdI-crono_inv'!P:P,"&lt;&gt;proprietario")+S367</f>
        <v>0</v>
      </c>
      <c r="P367" s="1013" t="s">
        <v>25486</v>
      </c>
      <c r="Q367" s="1932" t="str">
        <f>+VLOOKUP(F367,TT_Tabelle_Riferimento!$D$127:$E$164,2,FALSE)</f>
        <v>Depurazione</v>
      </c>
      <c r="R367" s="1932" t="str">
        <f t="shared" si="33"/>
        <v/>
      </c>
      <c r="S367" s="2335">
        <f t="shared" si="32"/>
        <v>0</v>
      </c>
    </row>
    <row r="368" spans="1:19">
      <c r="A368" s="1932">
        <f t="shared" si="30"/>
        <v>0</v>
      </c>
      <c r="B368" s="1932">
        <f t="shared" si="31"/>
        <v>0</v>
      </c>
      <c r="C368" s="1013" t="s">
        <v>245</v>
      </c>
      <c r="D368" s="1013">
        <v>0</v>
      </c>
      <c r="E368" s="1013" t="s">
        <v>22698</v>
      </c>
      <c r="F368" s="1013">
        <v>23</v>
      </c>
      <c r="G368" s="1932" t="str">
        <f>+VLOOKUP(F368,TT_Tabelle_Riferimento!$D$127:$G$164,4,FALSE)</f>
        <v>Impianti di depurazione – trattamenti sino al terziario e terziario avanzato</v>
      </c>
      <c r="H368" s="1013">
        <v>1</v>
      </c>
      <c r="I368" s="1932" t="str">
        <f>+VLOOKUP(H368,TT_Tabelle_Riferimento!$F$3:$G$6,2,FALSE)</f>
        <v>Servizio idrico integrato</v>
      </c>
      <c r="J368" s="1013">
        <v>2027</v>
      </c>
      <c r="K368" s="2335">
        <f>+SUMIFS('PdI-crono_inv'!BB:BB,'PdI-crono_inv'!CF:CF,F368,'PdI-crono_inv'!CE:CE,H368,'PdI-crono_inv'!J:J,P368,'PdI-crono_inv'!P:P,"&lt;&gt;proprietario")</f>
        <v>0</v>
      </c>
      <c r="M368" s="2335">
        <f>+SUMIFS('PdI-crono_inv'!BC:BC,'PdI-crono_inv'!CF:CF,F368,'PdI-crono_inv'!CE:CE,H368,'PdI-crono_inv'!J:J,P368,'PdI-crono_inv'!P:P,"&lt;&gt;proprietario")+S368</f>
        <v>0</v>
      </c>
      <c r="P368" s="1013" t="s">
        <v>25486</v>
      </c>
      <c r="Q368" s="1932" t="str">
        <f>+VLOOKUP(F368,TT_Tabelle_Riferimento!$D$127:$E$164,2,FALSE)</f>
        <v>Depurazione</v>
      </c>
      <c r="R368" s="1932" t="str">
        <f t="shared" si="33"/>
        <v/>
      </c>
      <c r="S368" s="2335">
        <f t="shared" si="32"/>
        <v>0</v>
      </c>
    </row>
    <row r="369" spans="1:19">
      <c r="A369" s="1932">
        <f t="shared" si="30"/>
        <v>0</v>
      </c>
      <c r="B369" s="1932">
        <f t="shared" si="31"/>
        <v>0</v>
      </c>
      <c r="C369" s="1013" t="s">
        <v>245</v>
      </c>
      <c r="D369" s="1013">
        <v>0</v>
      </c>
      <c r="E369" s="1013" t="s">
        <v>22698</v>
      </c>
      <c r="F369" s="1013">
        <v>24</v>
      </c>
      <c r="G369" s="1932" t="str">
        <f>+VLOOKUP(F369,TT_Tabelle_Riferimento!$D$127:$G$164,4,FALSE)</f>
        <v>Impianti di essiccamento fanghi e di valorizzazione dei fanghi (tra cui mono-incenerimento, pirolisi, gassificazione)</v>
      </c>
      <c r="H369" s="1013">
        <v>1</v>
      </c>
      <c r="I369" s="1932" t="str">
        <f>+VLOOKUP(H369,TT_Tabelle_Riferimento!$F$3:$G$6,2,FALSE)</f>
        <v>Servizio idrico integrato</v>
      </c>
      <c r="J369" s="1013">
        <v>2027</v>
      </c>
      <c r="K369" s="2335">
        <f>+SUMIFS('PdI-crono_inv'!BB:BB,'PdI-crono_inv'!CF:CF,F369,'PdI-crono_inv'!CE:CE,H369,'PdI-crono_inv'!J:J,P369,'PdI-crono_inv'!P:P,"&lt;&gt;proprietario")</f>
        <v>0</v>
      </c>
      <c r="M369" s="2335">
        <f>+SUMIFS('PdI-crono_inv'!BC:BC,'PdI-crono_inv'!CF:CF,F369,'PdI-crono_inv'!CE:CE,H369,'PdI-crono_inv'!J:J,P369,'PdI-crono_inv'!P:P,"&lt;&gt;proprietario")+S369</f>
        <v>0</v>
      </c>
      <c r="P369" s="1013" t="s">
        <v>25486</v>
      </c>
      <c r="Q369" s="1932" t="str">
        <f>+VLOOKUP(F369,TT_Tabelle_Riferimento!$D$127:$E$164,2,FALSE)</f>
        <v>Depurazione</v>
      </c>
      <c r="R369" s="1932" t="str">
        <f t="shared" si="33"/>
        <v/>
      </c>
      <c r="S369" s="2335">
        <f t="shared" si="32"/>
        <v>0</v>
      </c>
    </row>
    <row r="370" spans="1:19">
      <c r="A370" s="1932">
        <f t="shared" si="30"/>
        <v>0</v>
      </c>
      <c r="B370" s="1932">
        <f t="shared" si="31"/>
        <v>0</v>
      </c>
      <c r="C370" s="1013" t="s">
        <v>245</v>
      </c>
      <c r="D370" s="1013">
        <v>0</v>
      </c>
      <c r="E370" s="1013" t="s">
        <v>22698</v>
      </c>
      <c r="F370" s="1013">
        <v>25</v>
      </c>
      <c r="G370" s="1932" t="str">
        <f>+VLOOKUP(F370,TT_Tabelle_Riferimento!$D$127:$G$164,4,FALSE)</f>
        <v>Gruppi di misura - altre attrezzature di depurazione</v>
      </c>
      <c r="H370" s="1013">
        <v>1</v>
      </c>
      <c r="I370" s="1932" t="str">
        <f>+VLOOKUP(H370,TT_Tabelle_Riferimento!$F$3:$G$6,2,FALSE)</f>
        <v>Servizio idrico integrato</v>
      </c>
      <c r="J370" s="1013">
        <v>2027</v>
      </c>
      <c r="K370" s="2335">
        <f>+SUMIFS('PdI-crono_inv'!BB:BB,'PdI-crono_inv'!CF:CF,F370,'PdI-crono_inv'!CE:CE,H370,'PdI-crono_inv'!J:J,P370,'PdI-crono_inv'!P:P,"&lt;&gt;proprietario")</f>
        <v>0</v>
      </c>
      <c r="M370" s="2335">
        <f>+SUMIFS('PdI-crono_inv'!BC:BC,'PdI-crono_inv'!CF:CF,F370,'PdI-crono_inv'!CE:CE,H370,'PdI-crono_inv'!J:J,P370,'PdI-crono_inv'!P:P,"&lt;&gt;proprietario")+S370</f>
        <v>0</v>
      </c>
      <c r="P370" s="1013" t="s">
        <v>25486</v>
      </c>
      <c r="Q370" s="1932" t="str">
        <f>+VLOOKUP(F370,TT_Tabelle_Riferimento!$D$127:$E$164,2,FALSE)</f>
        <v>Depurazione</v>
      </c>
      <c r="R370" s="1932" t="str">
        <f t="shared" si="33"/>
        <v/>
      </c>
      <c r="S370" s="2335">
        <f t="shared" si="32"/>
        <v>0</v>
      </c>
    </row>
    <row r="371" spans="1:19">
      <c r="A371" s="1932">
        <f t="shared" si="30"/>
        <v>0</v>
      </c>
      <c r="B371" s="1932">
        <f t="shared" si="31"/>
        <v>0</v>
      </c>
      <c r="C371" s="1013" t="s">
        <v>245</v>
      </c>
      <c r="D371" s="1013">
        <v>0</v>
      </c>
      <c r="E371" s="1013" t="s">
        <v>22698</v>
      </c>
      <c r="F371" s="1013">
        <v>26</v>
      </c>
      <c r="G371" s="1932" t="str">
        <f>+VLOOKUP(F371,TT_Tabelle_Riferimento!$D$127:$G$164,4,FALSE)</f>
        <v>Sistemi informativi di depurazione</v>
      </c>
      <c r="H371" s="1013">
        <v>1</v>
      </c>
      <c r="I371" s="1932" t="str">
        <f>+VLOOKUP(H371,TT_Tabelle_Riferimento!$F$3:$G$6,2,FALSE)</f>
        <v>Servizio idrico integrato</v>
      </c>
      <c r="J371" s="1013">
        <v>2027</v>
      </c>
      <c r="K371" s="2335">
        <f>+SUMIFS('PdI-crono_inv'!BB:BB,'PdI-crono_inv'!CF:CF,F371,'PdI-crono_inv'!CE:CE,H371,'PdI-crono_inv'!J:J,P371,'PdI-crono_inv'!P:P,"&lt;&gt;proprietario")</f>
        <v>0</v>
      </c>
      <c r="M371" s="2335">
        <f>+SUMIFS('PdI-crono_inv'!BC:BC,'PdI-crono_inv'!CF:CF,F371,'PdI-crono_inv'!CE:CE,H371,'PdI-crono_inv'!J:J,P371,'PdI-crono_inv'!P:P,"&lt;&gt;proprietario")+S371</f>
        <v>0</v>
      </c>
      <c r="P371" s="1013" t="s">
        <v>25486</v>
      </c>
      <c r="Q371" s="1932" t="str">
        <f>+VLOOKUP(F371,TT_Tabelle_Riferimento!$D$127:$E$164,2,FALSE)</f>
        <v>Depurazione</v>
      </c>
      <c r="R371" s="1932" t="str">
        <f t="shared" si="33"/>
        <v/>
      </c>
      <c r="S371" s="2335">
        <f t="shared" si="32"/>
        <v>0</v>
      </c>
    </row>
    <row r="372" spans="1:19">
      <c r="A372" s="1932">
        <f t="shared" si="30"/>
        <v>0</v>
      </c>
      <c r="B372" s="1932">
        <f t="shared" si="31"/>
        <v>0</v>
      </c>
      <c r="C372" s="1013" t="s">
        <v>245</v>
      </c>
      <c r="D372" s="1013">
        <v>0</v>
      </c>
      <c r="E372" s="1013" t="s">
        <v>22698</v>
      </c>
      <c r="F372" s="1013">
        <v>27</v>
      </c>
      <c r="G372" s="1932" t="str">
        <f>+VLOOKUP(F372,TT_Tabelle_Riferimento!$D$127:$G$164,4,FALSE)</f>
        <v>Telecontrollo e teletrasmissione di depurazione</v>
      </c>
      <c r="H372" s="1013">
        <v>1</v>
      </c>
      <c r="I372" s="1932" t="str">
        <f>+VLOOKUP(H372,TT_Tabelle_Riferimento!$F$3:$G$6,2,FALSE)</f>
        <v>Servizio idrico integrato</v>
      </c>
      <c r="J372" s="1013">
        <v>2027</v>
      </c>
      <c r="K372" s="2335">
        <f>+SUMIFS('PdI-crono_inv'!BB:BB,'PdI-crono_inv'!CF:CF,F372,'PdI-crono_inv'!CE:CE,H372,'PdI-crono_inv'!J:J,P372,'PdI-crono_inv'!P:P,"&lt;&gt;proprietario")</f>
        <v>0</v>
      </c>
      <c r="M372" s="2335">
        <f>+SUMIFS('PdI-crono_inv'!BC:BC,'PdI-crono_inv'!CF:CF,F372,'PdI-crono_inv'!CE:CE,H372,'PdI-crono_inv'!J:J,P372,'PdI-crono_inv'!P:P,"&lt;&gt;proprietario")+S372</f>
        <v>0</v>
      </c>
      <c r="P372" s="1013" t="s">
        <v>25486</v>
      </c>
      <c r="Q372" s="1932" t="str">
        <f>+VLOOKUP(F372,TT_Tabelle_Riferimento!$D$127:$E$164,2,FALSE)</f>
        <v>Depurazione</v>
      </c>
      <c r="R372" s="1932" t="str">
        <f t="shared" si="33"/>
        <v/>
      </c>
      <c r="S372" s="2335">
        <f t="shared" si="32"/>
        <v>0</v>
      </c>
    </row>
    <row r="373" spans="1:19">
      <c r="A373" s="1932">
        <f t="shared" si="30"/>
        <v>0</v>
      </c>
      <c r="B373" s="1932">
        <f t="shared" si="31"/>
        <v>0</v>
      </c>
      <c r="C373" s="1013" t="s">
        <v>245</v>
      </c>
      <c r="D373" s="1013">
        <v>0</v>
      </c>
      <c r="E373" s="1013" t="s">
        <v>22698</v>
      </c>
      <c r="F373" s="1013">
        <v>28</v>
      </c>
      <c r="G373" s="1932" t="str">
        <f>+VLOOKUP(F373,TT_Tabelle_Riferimento!$D$127:$G$164,4,FALSE)</f>
        <v>Altri impianti</v>
      </c>
      <c r="H373" s="1013">
        <v>1</v>
      </c>
      <c r="I373" s="1932" t="str">
        <f>+VLOOKUP(H373,TT_Tabelle_Riferimento!$F$3:$G$6,2,FALSE)</f>
        <v>Servizio idrico integrato</v>
      </c>
      <c r="J373" s="1013">
        <v>2027</v>
      </c>
      <c r="K373" s="2335">
        <f>+SUMIFS('PdI-crono_inv'!BB:BB,'PdI-crono_inv'!CF:CF,F373,'PdI-crono_inv'!CE:CE,H373,'PdI-crono_inv'!J:J,P373,'PdI-crono_inv'!P:P,"&lt;&gt;proprietario")</f>
        <v>0</v>
      </c>
      <c r="M373" s="2335">
        <f>+SUMIFS('PdI-crono_inv'!BC:BC,'PdI-crono_inv'!CF:CF,F373,'PdI-crono_inv'!CE:CE,H373,'PdI-crono_inv'!J:J,P373,'PdI-crono_inv'!P:P,"&lt;&gt;proprietario")+S373</f>
        <v>0</v>
      </c>
      <c r="P373" s="1013" t="s">
        <v>25486</v>
      </c>
      <c r="Q373" s="1932" t="str">
        <f>+VLOOKUP(F373,TT_Tabelle_Riferimento!$D$127:$E$164,2,FALSE)</f>
        <v>Comune</v>
      </c>
      <c r="R373" s="1932" t="str">
        <f t="shared" si="33"/>
        <v/>
      </c>
      <c r="S373" s="2335">
        <f t="shared" si="32"/>
        <v>0</v>
      </c>
    </row>
    <row r="374" spans="1:19">
      <c r="A374" s="1932">
        <f t="shared" ref="A374:A382" si="34">+idato</f>
        <v>0</v>
      </c>
      <c r="B374" s="1932">
        <f t="shared" ref="B374:B382" si="35">+idgestore</f>
        <v>0</v>
      </c>
      <c r="C374" s="1013" t="s">
        <v>245</v>
      </c>
      <c r="D374" s="1013">
        <v>0</v>
      </c>
      <c r="E374" s="1013" t="s">
        <v>22698</v>
      </c>
      <c r="F374" s="1013">
        <v>29</v>
      </c>
      <c r="G374" s="1932" t="str">
        <f>+VLOOKUP(F374,TT_Tabelle_Riferimento!$D$127:$G$164,4,FALSE)</f>
        <v>Laboratori e attrezzature</v>
      </c>
      <c r="H374" s="1013">
        <v>1</v>
      </c>
      <c r="I374" s="1932" t="str">
        <f>+VLOOKUP(H374,TT_Tabelle_Riferimento!$F$3:$G$6,2,FALSE)</f>
        <v>Servizio idrico integrato</v>
      </c>
      <c r="J374" s="1013">
        <v>2027</v>
      </c>
      <c r="K374" s="2335">
        <f>+SUMIFS('PdI-crono_inv'!BB:BB,'PdI-crono_inv'!CF:CF,F374,'PdI-crono_inv'!CE:CE,H374,'PdI-crono_inv'!J:J,P374,'PdI-crono_inv'!P:P,"&lt;&gt;proprietario")</f>
        <v>0</v>
      </c>
      <c r="M374" s="2335">
        <f>+SUMIFS('PdI-crono_inv'!BC:BC,'PdI-crono_inv'!CF:CF,F374,'PdI-crono_inv'!CE:CE,H374,'PdI-crono_inv'!J:J,P374,'PdI-crono_inv'!P:P,"&lt;&gt;proprietario")+S374</f>
        <v>0</v>
      </c>
      <c r="P374" s="1013" t="s">
        <v>25486</v>
      </c>
      <c r="Q374" s="1932" t="str">
        <f>+VLOOKUP(F374,TT_Tabelle_Riferimento!$D$127:$E$164,2,FALSE)</f>
        <v>Comune</v>
      </c>
      <c r="R374" s="1932" t="str">
        <f t="shared" si="33"/>
        <v/>
      </c>
      <c r="S374" s="2335">
        <f t="shared" si="32"/>
        <v>0</v>
      </c>
    </row>
    <row r="375" spans="1:19">
      <c r="A375" s="1932">
        <f t="shared" si="34"/>
        <v>0</v>
      </c>
      <c r="B375" s="1932">
        <f t="shared" si="35"/>
        <v>0</v>
      </c>
      <c r="C375" s="1013" t="s">
        <v>245</v>
      </c>
      <c r="D375" s="1013">
        <v>0</v>
      </c>
      <c r="E375" s="1013" t="s">
        <v>22698</v>
      </c>
      <c r="F375" s="1013">
        <v>30</v>
      </c>
      <c r="G375" s="1932" t="str">
        <f>+VLOOKUP(F375,TT_Tabelle_Riferimento!$D$127:$G$164,4,FALSE)</f>
        <v>Sistemi informativi</v>
      </c>
      <c r="H375" s="1013">
        <v>1</v>
      </c>
      <c r="I375" s="1932" t="str">
        <f>+VLOOKUP(H375,TT_Tabelle_Riferimento!$F$3:$G$6,2,FALSE)</f>
        <v>Servizio idrico integrato</v>
      </c>
      <c r="J375" s="1013">
        <v>2027</v>
      </c>
      <c r="K375" s="2335">
        <f>+SUMIFS('PdI-crono_inv'!BB:BB,'PdI-crono_inv'!CF:CF,F375,'PdI-crono_inv'!CE:CE,H375,'PdI-crono_inv'!J:J,P375,'PdI-crono_inv'!P:P,"&lt;&gt;proprietario")</f>
        <v>0</v>
      </c>
      <c r="M375" s="2335">
        <f>+SUMIFS('PdI-crono_inv'!BC:BC,'PdI-crono_inv'!CF:CF,F375,'PdI-crono_inv'!CE:CE,H375,'PdI-crono_inv'!J:J,P375,'PdI-crono_inv'!P:P,"&lt;&gt;proprietario")+S375</f>
        <v>0</v>
      </c>
      <c r="P375" s="1013" t="s">
        <v>25486</v>
      </c>
      <c r="Q375" s="1932" t="str">
        <f>+VLOOKUP(F375,TT_Tabelle_Riferimento!$D$127:$E$164,2,FALSE)</f>
        <v>Comune</v>
      </c>
      <c r="R375" s="1932" t="str">
        <f t="shared" si="33"/>
        <v/>
      </c>
      <c r="S375" s="2335">
        <f t="shared" si="32"/>
        <v>0</v>
      </c>
    </row>
    <row r="376" spans="1:19">
      <c r="A376" s="1932">
        <f t="shared" si="34"/>
        <v>0</v>
      </c>
      <c r="B376" s="1932">
        <f t="shared" si="35"/>
        <v>0</v>
      </c>
      <c r="C376" s="1013" t="s">
        <v>245</v>
      </c>
      <c r="D376" s="1013">
        <v>0</v>
      </c>
      <c r="E376" s="1013" t="s">
        <v>22698</v>
      </c>
      <c r="F376" s="1013">
        <v>31</v>
      </c>
      <c r="G376" s="1932" t="str">
        <f>+VLOOKUP(F376,TT_Tabelle_Riferimento!$D$127:$G$164,4,FALSE)</f>
        <v>Telecontrollo e teletrasmissione</v>
      </c>
      <c r="H376" s="1013">
        <v>1</v>
      </c>
      <c r="I376" s="1932" t="str">
        <f>+VLOOKUP(H376,TT_Tabelle_Riferimento!$F$3:$G$6,2,FALSE)</f>
        <v>Servizio idrico integrato</v>
      </c>
      <c r="J376" s="1013">
        <v>2027</v>
      </c>
      <c r="K376" s="2335">
        <f>+SUMIFS('PdI-crono_inv'!BB:BB,'PdI-crono_inv'!CF:CF,F376,'PdI-crono_inv'!CE:CE,H376,'PdI-crono_inv'!J:J,P376,'PdI-crono_inv'!P:P,"&lt;&gt;proprietario")</f>
        <v>0</v>
      </c>
      <c r="M376" s="2335">
        <f>+SUMIFS('PdI-crono_inv'!BC:BC,'PdI-crono_inv'!CF:CF,F376,'PdI-crono_inv'!CE:CE,H376,'PdI-crono_inv'!J:J,P376,'PdI-crono_inv'!P:P,"&lt;&gt;proprietario")+S376</f>
        <v>0</v>
      </c>
      <c r="P376" s="1013" t="s">
        <v>25486</v>
      </c>
      <c r="Q376" s="1932" t="str">
        <f>+VLOOKUP(F376,TT_Tabelle_Riferimento!$D$127:$E$164,2,FALSE)</f>
        <v>Comune</v>
      </c>
      <c r="R376" s="1932" t="str">
        <f t="shared" si="33"/>
        <v/>
      </c>
      <c r="S376" s="2335">
        <f t="shared" si="32"/>
        <v>0</v>
      </c>
    </row>
    <row r="377" spans="1:19">
      <c r="A377" s="1932">
        <f t="shared" si="34"/>
        <v>0</v>
      </c>
      <c r="B377" s="1932">
        <f t="shared" si="35"/>
        <v>0</v>
      </c>
      <c r="C377" s="1013" t="s">
        <v>245</v>
      </c>
      <c r="D377" s="1013">
        <v>0</v>
      </c>
      <c r="E377" s="1013" t="s">
        <v>22698</v>
      </c>
      <c r="F377" s="1013">
        <v>32</v>
      </c>
      <c r="G377" s="1932" t="str">
        <f>+VLOOKUP(F377,TT_Tabelle_Riferimento!$D$127:$G$164,4,FALSE)</f>
        <v>Autoveicoli - automezzi</v>
      </c>
      <c r="H377" s="1013">
        <v>1</v>
      </c>
      <c r="I377" s="1932" t="str">
        <f>+VLOOKUP(H377,TT_Tabelle_Riferimento!$F$3:$G$6,2,FALSE)</f>
        <v>Servizio idrico integrato</v>
      </c>
      <c r="J377" s="1013">
        <v>2027</v>
      </c>
      <c r="K377" s="2335">
        <f>+SUMIFS('PdI-crono_inv'!BB:BB,'PdI-crono_inv'!CF:CF,F377,'PdI-crono_inv'!CE:CE,H377,'PdI-crono_inv'!J:J,P377,'PdI-crono_inv'!P:P,"&lt;&gt;proprietario")</f>
        <v>0</v>
      </c>
      <c r="M377" s="2335">
        <f>+SUMIFS('PdI-crono_inv'!BC:BC,'PdI-crono_inv'!CF:CF,F377,'PdI-crono_inv'!CE:CE,H377,'PdI-crono_inv'!J:J,P377,'PdI-crono_inv'!P:P,"&lt;&gt;proprietario")+S377</f>
        <v>0</v>
      </c>
      <c r="P377" s="1013" t="s">
        <v>25486</v>
      </c>
      <c r="Q377" s="1932" t="str">
        <f>+VLOOKUP(F377,TT_Tabelle_Riferimento!$D$127:$E$164,2,FALSE)</f>
        <v>Comune</v>
      </c>
      <c r="R377" s="1932" t="str">
        <f t="shared" si="33"/>
        <v/>
      </c>
      <c r="S377" s="2335">
        <f t="shared" si="32"/>
        <v>0</v>
      </c>
    </row>
    <row r="378" spans="1:19">
      <c r="A378" s="1932">
        <f t="shared" si="34"/>
        <v>0</v>
      </c>
      <c r="B378" s="1932">
        <f t="shared" si="35"/>
        <v>0</v>
      </c>
      <c r="C378" s="1013" t="s">
        <v>245</v>
      </c>
      <c r="D378" s="1013">
        <v>0</v>
      </c>
      <c r="E378" s="1013" t="s">
        <v>22698</v>
      </c>
      <c r="F378" s="1013">
        <v>1</v>
      </c>
      <c r="G378" s="1932" t="str">
        <f>+VLOOKUP(F378,TT_Tabelle_Riferimento!$D$127:$G$164,4,FALSE)</f>
        <v>Terreni</v>
      </c>
      <c r="H378" s="1013">
        <v>1</v>
      </c>
      <c r="I378" s="1932" t="str">
        <f>+VLOOKUP(H378,TT_Tabelle_Riferimento!$F$3:$G$6,2,FALSE)</f>
        <v>Servizio idrico integrato</v>
      </c>
      <c r="J378" s="1013">
        <v>2027</v>
      </c>
      <c r="K378" s="2335">
        <f>+SUMIFS('PdI-crono_inv'!BB:BB,'PdI-crono_inv'!CF:CF,F378,'PdI-crono_inv'!CE:CE,H378,'PdI-crono_inv'!J:J,P378,'PdI-crono_inv'!P:P,"&lt;&gt;proprietario")</f>
        <v>0</v>
      </c>
      <c r="M378" s="2335">
        <f>+SUMIFS('PdI-crono_inv'!BC:BC,'PdI-crono_inv'!CF:CF,F378,'PdI-crono_inv'!CE:CE,H378,'PdI-crono_inv'!J:J,P378,'PdI-crono_inv'!P:P,"&lt;&gt;proprietario")+S378</f>
        <v>0</v>
      </c>
      <c r="P378" s="1013" t="s">
        <v>25486</v>
      </c>
      <c r="Q378" s="1932" t="str">
        <f>+VLOOKUP(F378,TT_Tabelle_Riferimento!$D$127:$E$164,2,FALSE)</f>
        <v>Comune</v>
      </c>
      <c r="R378" s="1932" t="str">
        <f t="shared" si="33"/>
        <v/>
      </c>
      <c r="S378" s="2335">
        <f t="shared" si="32"/>
        <v>0</v>
      </c>
    </row>
    <row r="379" spans="1:19">
      <c r="A379" s="1932">
        <f t="shared" si="34"/>
        <v>0</v>
      </c>
      <c r="B379" s="1932">
        <f t="shared" si="35"/>
        <v>0</v>
      </c>
      <c r="C379" s="1013" t="s">
        <v>245</v>
      </c>
      <c r="D379" s="1013">
        <v>0</v>
      </c>
      <c r="E379" s="1013" t="s">
        <v>22698</v>
      </c>
      <c r="F379" s="1013">
        <v>33</v>
      </c>
      <c r="G379" s="1932" t="str">
        <f>+VLOOKUP(F379,TT_Tabelle_Riferimento!$D$127:$G$164,4,FALSE)</f>
        <v>Fabbricati non industriali</v>
      </c>
      <c r="H379" s="1013">
        <v>1</v>
      </c>
      <c r="I379" s="1932" t="str">
        <f>+VLOOKUP(H379,TT_Tabelle_Riferimento!$F$3:$G$6,2,FALSE)</f>
        <v>Servizio idrico integrato</v>
      </c>
      <c r="J379" s="1013">
        <v>2027</v>
      </c>
      <c r="K379" s="2335">
        <f>+SUMIFS('PdI-crono_inv'!BB:BB,'PdI-crono_inv'!CF:CF,F379,'PdI-crono_inv'!CE:CE,H379,'PdI-crono_inv'!J:J,P379,'PdI-crono_inv'!P:P,"&lt;&gt;proprietario")</f>
        <v>0</v>
      </c>
      <c r="M379" s="2335">
        <f>+SUMIFS('PdI-crono_inv'!BC:BC,'PdI-crono_inv'!CF:CF,F379,'PdI-crono_inv'!CE:CE,H379,'PdI-crono_inv'!J:J,P379,'PdI-crono_inv'!P:P,"&lt;&gt;proprietario")+S379</f>
        <v>0</v>
      </c>
      <c r="P379" s="1013" t="s">
        <v>25486</v>
      </c>
      <c r="Q379" s="1932" t="str">
        <f>+VLOOKUP(F379,TT_Tabelle_Riferimento!$D$127:$E$164,2,FALSE)</f>
        <v>Comune</v>
      </c>
      <c r="R379" s="1932" t="str">
        <f t="shared" si="33"/>
        <v/>
      </c>
      <c r="S379" s="2335">
        <f t="shared" si="32"/>
        <v>0</v>
      </c>
    </row>
    <row r="380" spans="1:19">
      <c r="A380" s="1932">
        <f t="shared" si="34"/>
        <v>0</v>
      </c>
      <c r="B380" s="1932">
        <f t="shared" si="35"/>
        <v>0</v>
      </c>
      <c r="C380" s="1013" t="s">
        <v>245</v>
      </c>
      <c r="D380" s="1013">
        <v>0</v>
      </c>
      <c r="E380" s="1013" t="s">
        <v>22698</v>
      </c>
      <c r="F380" s="1013">
        <v>34</v>
      </c>
      <c r="G380" s="1932" t="str">
        <f>+VLOOKUP(F380,TT_Tabelle_Riferimento!$D$127:$G$164,4,FALSE)</f>
        <v>Fabbricati industriali</v>
      </c>
      <c r="H380" s="1013">
        <v>1</v>
      </c>
      <c r="I380" s="1932" t="str">
        <f>+VLOOKUP(H380,TT_Tabelle_Riferimento!$F$3:$G$6,2,FALSE)</f>
        <v>Servizio idrico integrato</v>
      </c>
      <c r="J380" s="1013">
        <v>2027</v>
      </c>
      <c r="K380" s="2335">
        <f>+SUMIFS('PdI-crono_inv'!BB:BB,'PdI-crono_inv'!CF:CF,F380,'PdI-crono_inv'!CE:CE,H380,'PdI-crono_inv'!J:J,P380,'PdI-crono_inv'!P:P,"&lt;&gt;proprietario")</f>
        <v>0</v>
      </c>
      <c r="M380" s="2335">
        <f>+SUMIFS('PdI-crono_inv'!BC:BC,'PdI-crono_inv'!CF:CF,F380,'PdI-crono_inv'!CE:CE,H380,'PdI-crono_inv'!J:J,P380,'PdI-crono_inv'!P:P,"&lt;&gt;proprietario")+S380</f>
        <v>0</v>
      </c>
      <c r="P380" s="1013" t="s">
        <v>25486</v>
      </c>
      <c r="Q380" s="1932" t="str">
        <f>+VLOOKUP(F380,TT_Tabelle_Riferimento!$D$127:$E$164,2,FALSE)</f>
        <v>Comune</v>
      </c>
      <c r="R380" s="1932" t="str">
        <f t="shared" si="33"/>
        <v/>
      </c>
      <c r="S380" s="2335">
        <f t="shared" si="32"/>
        <v>0</v>
      </c>
    </row>
    <row r="381" spans="1:19">
      <c r="A381" s="1932">
        <f t="shared" si="34"/>
        <v>0</v>
      </c>
      <c r="B381" s="1932">
        <f t="shared" si="35"/>
        <v>0</v>
      </c>
      <c r="C381" s="1013" t="s">
        <v>245</v>
      </c>
      <c r="D381" s="1013">
        <v>0</v>
      </c>
      <c r="E381" s="1013" t="s">
        <v>22698</v>
      </c>
      <c r="F381" s="1013">
        <v>35</v>
      </c>
      <c r="G381" s="1932" t="str">
        <f>+VLOOKUP(F381,TT_Tabelle_Riferimento!$D$127:$G$164,4,FALSE)</f>
        <v>Costruzioni leggere</v>
      </c>
      <c r="H381" s="1013">
        <v>1</v>
      </c>
      <c r="I381" s="1932" t="str">
        <f>+VLOOKUP(H381,TT_Tabelle_Riferimento!$F$3:$G$6,2,FALSE)</f>
        <v>Servizio idrico integrato</v>
      </c>
      <c r="J381" s="1013">
        <v>2027</v>
      </c>
      <c r="K381" s="2335">
        <f>+SUMIFS('PdI-crono_inv'!BB:BB,'PdI-crono_inv'!CF:CF,F381,'PdI-crono_inv'!CE:CE,H381,'PdI-crono_inv'!J:J,P381,'PdI-crono_inv'!P:P,"&lt;&gt;proprietario")</f>
        <v>0</v>
      </c>
      <c r="M381" s="2335">
        <f>+SUMIFS('PdI-crono_inv'!BC:BC,'PdI-crono_inv'!CF:CF,F381,'PdI-crono_inv'!CE:CE,H381,'PdI-crono_inv'!J:J,P381,'PdI-crono_inv'!P:P,"&lt;&gt;proprietario")+S381</f>
        <v>0</v>
      </c>
      <c r="P381" s="1013" t="s">
        <v>25486</v>
      </c>
      <c r="Q381" s="1932" t="str">
        <f>+VLOOKUP(F381,TT_Tabelle_Riferimento!$D$127:$E$164,2,FALSE)</f>
        <v>Comune</v>
      </c>
      <c r="R381" s="1932" t="str">
        <f t="shared" si="33"/>
        <v/>
      </c>
      <c r="S381" s="2335">
        <f t="shared" si="32"/>
        <v>0</v>
      </c>
    </row>
    <row r="382" spans="1:19">
      <c r="A382" s="1932">
        <f t="shared" si="34"/>
        <v>0</v>
      </c>
      <c r="B382" s="1932">
        <f t="shared" si="35"/>
        <v>0</v>
      </c>
      <c r="C382" s="1013" t="s">
        <v>245</v>
      </c>
      <c r="D382" s="1013">
        <v>0</v>
      </c>
      <c r="E382" s="1013" t="s">
        <v>22698</v>
      </c>
      <c r="F382" s="1013">
        <v>36</v>
      </c>
      <c r="G382" s="1932" t="str">
        <f>+VLOOKUP(F382,TT_Tabelle_Riferimento!$D$127:$G$164,4,FALSE)</f>
        <v>Studi, ricerche, brevetti, diritti di utilizzazione</v>
      </c>
      <c r="H382" s="1013">
        <v>1</v>
      </c>
      <c r="I382" s="1932" t="str">
        <f>+VLOOKUP(H382,TT_Tabelle_Riferimento!$F$3:$G$6,2,FALSE)</f>
        <v>Servizio idrico integrato</v>
      </c>
      <c r="J382" s="1013">
        <v>2027</v>
      </c>
      <c r="K382" s="2335">
        <f>+SUMIFS('PdI-crono_inv'!BB:BB,'PdI-crono_inv'!CF:CF,F382,'PdI-crono_inv'!CE:CE,H382,'PdI-crono_inv'!J:J,P382,'PdI-crono_inv'!P:P,"&lt;&gt;proprietario")</f>
        <v>0</v>
      </c>
      <c r="M382" s="2335">
        <f>+SUMIFS('PdI-crono_inv'!BC:BC,'PdI-crono_inv'!CF:CF,F382,'PdI-crono_inv'!CE:CE,H382,'PdI-crono_inv'!J:J,P382,'PdI-crono_inv'!P:P,"&lt;&gt;proprietario")+S382</f>
        <v>0</v>
      </c>
      <c r="P382" s="1013" t="s">
        <v>25486</v>
      </c>
      <c r="Q382" s="1932" t="str">
        <f>+VLOOKUP(F382,TT_Tabelle_Riferimento!$D$127:$E$164,2,FALSE)</f>
        <v>Comune</v>
      </c>
      <c r="R382" s="1932" t="str">
        <f t="shared" si="33"/>
        <v/>
      </c>
      <c r="S382" s="2335">
        <f t="shared" si="32"/>
        <v>0</v>
      </c>
    </row>
    <row r="383" spans="1:19">
      <c r="A383" s="1932">
        <v>0</v>
      </c>
      <c r="B383" s="1932">
        <v>0</v>
      </c>
      <c r="C383" s="1013" t="s">
        <v>245</v>
      </c>
      <c r="D383" s="1013">
        <v>0</v>
      </c>
      <c r="E383" s="1013" t="s">
        <v>22698</v>
      </c>
      <c r="F383" s="1013">
        <v>37</v>
      </c>
      <c r="G383" s="1932" t="str">
        <f>+VLOOKUP(F383,TT_Tabelle_Riferimento!$D$127:$G$164,4,FALSE)</f>
        <v>Altre immobilizzazioni materiali e immateriali</v>
      </c>
      <c r="H383" s="1013">
        <v>1</v>
      </c>
      <c r="I383" s="1932" t="str">
        <f>+VLOOKUP(H383,TT_Tabelle_Riferimento!$F$3:$G$6,2,FALSE)</f>
        <v>Servizio idrico integrato</v>
      </c>
      <c r="J383" s="1013">
        <v>2027</v>
      </c>
      <c r="K383" s="2335">
        <f>+SUMIFS('PdI-crono_inv'!BB:BB,'PdI-crono_inv'!CF:CF,F383,'PdI-crono_inv'!CE:CE,H383,'PdI-crono_inv'!J:J,P383,'PdI-crono_inv'!P:P,"&lt;&gt;proprietario")</f>
        <v>0</v>
      </c>
      <c r="M383" s="2335">
        <f>+SUMIFS('PdI-crono_inv'!BC:BC,'PdI-crono_inv'!CF:CF,F383,'PdI-crono_inv'!CE:CE,H383,'PdI-crono_inv'!J:J,P383,'PdI-crono_inv'!P:P,"&lt;&gt;proprietario")+S383</f>
        <v>0</v>
      </c>
      <c r="P383" s="1013" t="s">
        <v>25486</v>
      </c>
      <c r="Q383" s="1932" t="str">
        <f>+VLOOKUP(F383,TT_Tabelle_Riferimento!$D$127:$E$164,2,FALSE)</f>
        <v>Comune</v>
      </c>
      <c r="R383" s="1932" t="str">
        <f>+IF(SUM(K383:N383)=0,"","PdI_consolidamento")</f>
        <v/>
      </c>
      <c r="S383" s="2335">
        <f t="shared" si="32"/>
        <v>0</v>
      </c>
    </row>
    <row r="384" spans="1:19">
      <c r="A384" s="1932">
        <v>0</v>
      </c>
      <c r="B384" s="1932">
        <v>0</v>
      </c>
      <c r="C384" s="1013" t="s">
        <v>245</v>
      </c>
      <c r="D384" s="1013">
        <v>0</v>
      </c>
      <c r="E384" s="1013" t="s">
        <v>22698</v>
      </c>
      <c r="F384" s="1013">
        <v>38</v>
      </c>
      <c r="G384" s="1932" t="str">
        <f>+VLOOKUP(F384,TT_Tabelle_Riferimento!$D$127:$G$164,4,FALSE)</f>
        <v>Grandi dighe (sbarramenti che superano i quindici metri di altezza o che determinano un invaso superiore a 1 milione di metri cubi)</v>
      </c>
      <c r="H384" s="1013">
        <v>1</v>
      </c>
      <c r="I384" s="1932" t="str">
        <f>+VLOOKUP(H384,TT_Tabelle_Riferimento!$F$3:$G$6,2,FALSE)</f>
        <v>Servizio idrico integrato</v>
      </c>
      <c r="J384" s="1013">
        <v>2027</v>
      </c>
      <c r="K384" s="2335">
        <f>+SUMIFS('PdI-crono_inv'!BB:BB,'PdI-crono_inv'!CF:CF,F384,'PdI-crono_inv'!CE:CE,H384,'PdI-crono_inv'!J:J,P384,'PdI-crono_inv'!P:P,"&lt;&gt;proprietario")</f>
        <v>0</v>
      </c>
      <c r="M384" s="2335">
        <f>+SUMIFS('PdI-crono_inv'!BC:BC,'PdI-crono_inv'!CF:CF,F384,'PdI-crono_inv'!CE:CE,H384,'PdI-crono_inv'!J:J,P384,'PdI-crono_inv'!P:P,"&lt;&gt;proprietario")+S384</f>
        <v>0</v>
      </c>
      <c r="P384" s="1013" t="s">
        <v>25486</v>
      </c>
      <c r="Q384" s="1932" t="str">
        <f>+VLOOKUP(F384,TT_Tabelle_Riferimento!$D$127:$E$164,2,FALSE)</f>
        <v>Acquedotto</v>
      </c>
      <c r="R384" s="1932" t="str">
        <f>+IF(SUM(K384:N384)=0,"","PdI_consolidamento")</f>
        <v/>
      </c>
      <c r="S384" s="2335">
        <f t="shared" si="32"/>
        <v>0</v>
      </c>
    </row>
    <row r="385" spans="1:19">
      <c r="A385" s="1932">
        <v>0</v>
      </c>
      <c r="B385" s="1932">
        <v>0</v>
      </c>
      <c r="C385" s="1013" t="s">
        <v>245</v>
      </c>
      <c r="D385" s="1013">
        <v>0</v>
      </c>
      <c r="E385" s="1013" t="s">
        <v>22698</v>
      </c>
      <c r="F385" s="1013">
        <v>39</v>
      </c>
      <c r="G385" s="1932" t="str">
        <f>+VLOOKUP(F385,TT_Tabelle_Riferimento!$D$127:$G$164,4,FALSE)</f>
        <v>Piccole dighe (sbarramenti che non superano i quindici metri di altezza o che determinano un invaso non superiore a 1 milione di metri cubi)</v>
      </c>
      <c r="H385" s="1013">
        <v>1</v>
      </c>
      <c r="I385" s="1932" t="str">
        <f>+VLOOKUP(H385,TT_Tabelle_Riferimento!$F$3:$G$6,2,FALSE)</f>
        <v>Servizio idrico integrato</v>
      </c>
      <c r="J385" s="1013">
        <v>2027</v>
      </c>
      <c r="K385" s="2335">
        <f>+SUMIFS('PdI-crono_inv'!BB:BB,'PdI-crono_inv'!CF:CF,F385,'PdI-crono_inv'!CE:CE,H385,'PdI-crono_inv'!J:J,P385,'PdI-crono_inv'!P:P,"&lt;&gt;proprietario")</f>
        <v>0</v>
      </c>
      <c r="M385" s="2335">
        <f>+SUMIFS('PdI-crono_inv'!BC:BC,'PdI-crono_inv'!CF:CF,F385,'PdI-crono_inv'!CE:CE,H385,'PdI-crono_inv'!J:J,P385,'PdI-crono_inv'!P:P,"&lt;&gt;proprietario")+S385</f>
        <v>0</v>
      </c>
      <c r="P385" s="1013" t="s">
        <v>25486</v>
      </c>
      <c r="Q385" s="1932" t="str">
        <f>+VLOOKUP(F385,TT_Tabelle_Riferimento!$D$127:$E$164,2,FALSE)</f>
        <v>Acquedotto</v>
      </c>
      <c r="R385" s="1932" t="str">
        <f>+IF(SUM(K385:N385)=0,"","PdI_consolidamento")</f>
        <v/>
      </c>
      <c r="S385" s="2335">
        <f t="shared" si="32"/>
        <v>0</v>
      </c>
    </row>
    <row r="386" spans="1:19">
      <c r="A386" s="1932">
        <f t="shared" ref="A386:A420" si="36">+idato</f>
        <v>0</v>
      </c>
      <c r="B386" s="1932">
        <f t="shared" ref="B386:B420" si="37">+idgestore</f>
        <v>0</v>
      </c>
      <c r="C386" s="1013" t="s">
        <v>245</v>
      </c>
      <c r="D386" s="1013">
        <v>0</v>
      </c>
      <c r="E386" s="1013" t="s">
        <v>22698</v>
      </c>
      <c r="F386" s="1013">
        <v>2</v>
      </c>
      <c r="G386" s="1932" t="str">
        <f>+VLOOKUP(F386,TT_Tabelle_Riferimento!$D$127:$G$164,4,FALSE)</f>
        <v>Condotte di acquedotto</v>
      </c>
      <c r="H386" s="1013">
        <v>2</v>
      </c>
      <c r="I386" s="1932" t="str">
        <f>+VLOOKUP(H386,TT_Tabelle_Riferimento!$F$3:$G$6,2,FALSE)</f>
        <v>Fognatura bianca e pulizia / manutenzione caditoie stradali</v>
      </c>
      <c r="J386" s="1013">
        <v>2027</v>
      </c>
      <c r="K386" s="2335">
        <f>+SUMIFS('PdI-crono_inv'!BB:BB,'PdI-crono_inv'!CF:CF,F386,'PdI-crono_inv'!CE:CE,H386,'PdI-crono_inv'!J:J,P386,'PdI-crono_inv'!P:P,"&lt;&gt;proprietario")</f>
        <v>0</v>
      </c>
      <c r="M386" s="2335">
        <f>+SUMIFS('PdI-crono_inv'!BC:BC,'PdI-crono_inv'!CF:CF,F386,'PdI-crono_inv'!CE:CE,H386,'PdI-crono_inv'!J:J,P386,'PdI-crono_inv'!P:P,"&lt;&gt;proprietario")+S386</f>
        <v>0</v>
      </c>
      <c r="P386" s="1013" t="s">
        <v>25486</v>
      </c>
      <c r="Q386" s="1932" t="str">
        <f>+VLOOKUP(F386,TT_Tabelle_Riferimento!$D$127:$E$164,2,FALSE)</f>
        <v>Acquedotto</v>
      </c>
      <c r="R386" s="1932" t="str">
        <f t="shared" ref="R386:R449" si="38">+IF(SUM(K386:N386)=0,"","PdI_consolidamento")</f>
        <v/>
      </c>
      <c r="S386" s="2335">
        <f t="shared" si="32"/>
        <v>0</v>
      </c>
    </row>
    <row r="387" spans="1:19">
      <c r="A387" s="1932">
        <f t="shared" si="36"/>
        <v>0</v>
      </c>
      <c r="B387" s="1932">
        <f t="shared" si="37"/>
        <v>0</v>
      </c>
      <c r="C387" s="1013" t="s">
        <v>245</v>
      </c>
      <c r="D387" s="1013">
        <v>0</v>
      </c>
      <c r="E387" s="1013" t="s">
        <v>22698</v>
      </c>
      <c r="F387" s="1013">
        <v>3</v>
      </c>
      <c r="G387" s="1932" t="str">
        <f>+VLOOKUP(F387,TT_Tabelle_Riferimento!$D$127:$G$164,4,FALSE)</f>
        <v>Opere idrauliche fisse di acquedotto</v>
      </c>
      <c r="H387" s="1013">
        <v>2</v>
      </c>
      <c r="I387" s="1932" t="str">
        <f>+VLOOKUP(H387,TT_Tabelle_Riferimento!$F$3:$G$6,2,FALSE)</f>
        <v>Fognatura bianca e pulizia / manutenzione caditoie stradali</v>
      </c>
      <c r="J387" s="1013">
        <v>2027</v>
      </c>
      <c r="K387" s="2335">
        <f>+SUMIFS('PdI-crono_inv'!BB:BB,'PdI-crono_inv'!CF:CF,F387,'PdI-crono_inv'!CE:CE,H387,'PdI-crono_inv'!J:J,P387,'PdI-crono_inv'!P:P,"&lt;&gt;proprietario")</f>
        <v>0</v>
      </c>
      <c r="M387" s="2335">
        <f>+SUMIFS('PdI-crono_inv'!BC:BC,'PdI-crono_inv'!CF:CF,F387,'PdI-crono_inv'!CE:CE,H387,'PdI-crono_inv'!J:J,P387,'PdI-crono_inv'!P:P,"&lt;&gt;proprietario")+S387</f>
        <v>0</v>
      </c>
      <c r="P387" s="1013" t="s">
        <v>25486</v>
      </c>
      <c r="Q387" s="1932" t="str">
        <f>+VLOOKUP(F387,TT_Tabelle_Riferimento!$D$127:$E$164,2,FALSE)</f>
        <v>Acquedotto</v>
      </c>
      <c r="R387" s="1932" t="str">
        <f t="shared" si="38"/>
        <v/>
      </c>
      <c r="S387" s="2335">
        <f t="shared" si="32"/>
        <v>0</v>
      </c>
    </row>
    <row r="388" spans="1:19">
      <c r="A388" s="1932">
        <f t="shared" si="36"/>
        <v>0</v>
      </c>
      <c r="B388" s="1932">
        <f t="shared" si="37"/>
        <v>0</v>
      </c>
      <c r="C388" s="1013" t="s">
        <v>245</v>
      </c>
      <c r="D388" s="1013">
        <v>0</v>
      </c>
      <c r="E388" s="1013" t="s">
        <v>22698</v>
      </c>
      <c r="F388" s="1013">
        <v>4</v>
      </c>
      <c r="G388" s="1932" t="str">
        <f>+VLOOKUP(F388,TT_Tabelle_Riferimento!$D$127:$G$164,4,FALSE)</f>
        <v>Serbatoi</v>
      </c>
      <c r="H388" s="1013">
        <v>2</v>
      </c>
      <c r="I388" s="1932" t="str">
        <f>+VLOOKUP(H388,TT_Tabelle_Riferimento!$F$3:$G$6,2,FALSE)</f>
        <v>Fognatura bianca e pulizia / manutenzione caditoie stradali</v>
      </c>
      <c r="J388" s="1013">
        <v>2027</v>
      </c>
      <c r="K388" s="2335">
        <f>+SUMIFS('PdI-crono_inv'!BB:BB,'PdI-crono_inv'!CF:CF,F388,'PdI-crono_inv'!CE:CE,H388,'PdI-crono_inv'!J:J,P388,'PdI-crono_inv'!P:P,"&lt;&gt;proprietario")</f>
        <v>0</v>
      </c>
      <c r="M388" s="2335">
        <f>+SUMIFS('PdI-crono_inv'!BC:BC,'PdI-crono_inv'!CF:CF,F388,'PdI-crono_inv'!CE:CE,H388,'PdI-crono_inv'!J:J,P388,'PdI-crono_inv'!P:P,"&lt;&gt;proprietario")+S388</f>
        <v>0</v>
      </c>
      <c r="P388" s="1013" t="s">
        <v>25486</v>
      </c>
      <c r="Q388" s="1932" t="str">
        <f>+VLOOKUP(F388,TT_Tabelle_Riferimento!$D$127:$E$164,2,FALSE)</f>
        <v>Acquedotto</v>
      </c>
      <c r="R388" s="1932" t="str">
        <f t="shared" si="38"/>
        <v/>
      </c>
      <c r="S388" s="2335">
        <f t="shared" si="32"/>
        <v>0</v>
      </c>
    </row>
    <row r="389" spans="1:19">
      <c r="A389" s="1932">
        <f t="shared" si="36"/>
        <v>0</v>
      </c>
      <c r="B389" s="1932">
        <f t="shared" si="37"/>
        <v>0</v>
      </c>
      <c r="C389" s="1013" t="s">
        <v>245</v>
      </c>
      <c r="D389" s="1013">
        <v>0</v>
      </c>
      <c r="E389" s="1013" t="s">
        <v>22698</v>
      </c>
      <c r="F389" s="1013">
        <v>5</v>
      </c>
      <c r="G389" s="1932" t="str">
        <f>+VLOOKUP(F389,TT_Tabelle_Riferimento!$D$127:$G$164,4,FALSE)</f>
        <v>Impianti di sollevamento e pompaggio di acquedotto</v>
      </c>
      <c r="H389" s="1013">
        <v>2</v>
      </c>
      <c r="I389" s="1932" t="str">
        <f>+VLOOKUP(H389,TT_Tabelle_Riferimento!$F$3:$G$6,2,FALSE)</f>
        <v>Fognatura bianca e pulizia / manutenzione caditoie stradali</v>
      </c>
      <c r="J389" s="1013">
        <v>2027</v>
      </c>
      <c r="K389" s="2335">
        <f>+SUMIFS('PdI-crono_inv'!BB:BB,'PdI-crono_inv'!CF:CF,F389,'PdI-crono_inv'!CE:CE,H389,'PdI-crono_inv'!J:J,P389,'PdI-crono_inv'!P:P,"&lt;&gt;proprietario")</f>
        <v>0</v>
      </c>
      <c r="M389" s="2335">
        <f>+SUMIFS('PdI-crono_inv'!BC:BC,'PdI-crono_inv'!CF:CF,F389,'PdI-crono_inv'!CE:CE,H389,'PdI-crono_inv'!J:J,P389,'PdI-crono_inv'!P:P,"&lt;&gt;proprietario")+S389</f>
        <v>0</v>
      </c>
      <c r="P389" s="1013" t="s">
        <v>25486</v>
      </c>
      <c r="Q389" s="1932" t="str">
        <f>+VLOOKUP(F389,TT_Tabelle_Riferimento!$D$127:$E$164,2,FALSE)</f>
        <v>Acquedotto</v>
      </c>
      <c r="R389" s="1932" t="str">
        <f t="shared" si="38"/>
        <v/>
      </c>
      <c r="S389" s="2335">
        <f t="shared" si="32"/>
        <v>0</v>
      </c>
    </row>
    <row r="390" spans="1:19">
      <c r="A390" s="1932">
        <f t="shared" si="36"/>
        <v>0</v>
      </c>
      <c r="B390" s="1932">
        <f t="shared" si="37"/>
        <v>0</v>
      </c>
      <c r="C390" s="1013" t="s">
        <v>245</v>
      </c>
      <c r="D390" s="1013">
        <v>0</v>
      </c>
      <c r="E390" s="1013" t="s">
        <v>22698</v>
      </c>
      <c r="F390" s="1013">
        <v>6</v>
      </c>
      <c r="G390" s="1932" t="str">
        <f>+VLOOKUP(F390,TT_Tabelle_Riferimento!$D$127:$G$164,4,FALSE)</f>
        <v>Impianti di potabilizzazione</v>
      </c>
      <c r="H390" s="1013">
        <v>2</v>
      </c>
      <c r="I390" s="1932" t="str">
        <f>+VLOOKUP(H390,TT_Tabelle_Riferimento!$F$3:$G$6,2,FALSE)</f>
        <v>Fognatura bianca e pulizia / manutenzione caditoie stradali</v>
      </c>
      <c r="J390" s="1013">
        <v>2027</v>
      </c>
      <c r="K390" s="2335">
        <f>+SUMIFS('PdI-crono_inv'!BB:BB,'PdI-crono_inv'!CF:CF,F390,'PdI-crono_inv'!CE:CE,H390,'PdI-crono_inv'!J:J,P390,'PdI-crono_inv'!P:P,"&lt;&gt;proprietario")</f>
        <v>0</v>
      </c>
      <c r="M390" s="2335">
        <f>+SUMIFS('PdI-crono_inv'!BC:BC,'PdI-crono_inv'!CF:CF,F390,'PdI-crono_inv'!CE:CE,H390,'PdI-crono_inv'!J:J,P390,'PdI-crono_inv'!P:P,"&lt;&gt;proprietario")+S390</f>
        <v>0</v>
      </c>
      <c r="P390" s="1013" t="s">
        <v>25486</v>
      </c>
      <c r="Q390" s="1932" t="str">
        <f>+VLOOKUP(F390,TT_Tabelle_Riferimento!$D$127:$E$164,2,FALSE)</f>
        <v>Acquedotto</v>
      </c>
      <c r="R390" s="1932" t="str">
        <f t="shared" si="38"/>
        <v/>
      </c>
      <c r="S390" s="2335">
        <f t="shared" si="32"/>
        <v>0</v>
      </c>
    </row>
    <row r="391" spans="1:19">
      <c r="A391" s="1932">
        <f t="shared" si="36"/>
        <v>0</v>
      </c>
      <c r="B391" s="1932">
        <f t="shared" si="37"/>
        <v>0</v>
      </c>
      <c r="C391" s="1013" t="s">
        <v>245</v>
      </c>
      <c r="D391" s="1013">
        <v>0</v>
      </c>
      <c r="E391" s="1013" t="s">
        <v>22698</v>
      </c>
      <c r="F391" s="1013">
        <v>7</v>
      </c>
      <c r="G391" s="1932" t="str">
        <f>+VLOOKUP(F391,TT_Tabelle_Riferimento!$D$127:$G$164,4,FALSE)</f>
        <v>Altri trattamenti di potabilizzazione (tra cui dispositivi di disinfezione, stacciatura, filtrazione, addolcimento)</v>
      </c>
      <c r="H391" s="1013">
        <v>2</v>
      </c>
      <c r="I391" s="1932" t="str">
        <f>+VLOOKUP(H391,TT_Tabelle_Riferimento!$F$3:$G$6,2,FALSE)</f>
        <v>Fognatura bianca e pulizia / manutenzione caditoie stradali</v>
      </c>
      <c r="J391" s="1013">
        <v>2027</v>
      </c>
      <c r="K391" s="2335">
        <f>+SUMIFS('PdI-crono_inv'!BB:BB,'PdI-crono_inv'!CF:CF,F391,'PdI-crono_inv'!CE:CE,H391,'PdI-crono_inv'!J:J,P391,'PdI-crono_inv'!P:P,"&lt;&gt;proprietario")</f>
        <v>0</v>
      </c>
      <c r="M391" s="2335">
        <f>+SUMIFS('PdI-crono_inv'!BC:BC,'PdI-crono_inv'!CF:CF,F391,'PdI-crono_inv'!CE:CE,H391,'PdI-crono_inv'!J:J,P391,'PdI-crono_inv'!P:P,"&lt;&gt;proprietario")+S391</f>
        <v>0</v>
      </c>
      <c r="P391" s="1013" t="s">
        <v>25486</v>
      </c>
      <c r="Q391" s="1932" t="str">
        <f>+VLOOKUP(F391,TT_Tabelle_Riferimento!$D$127:$E$164,2,FALSE)</f>
        <v>Acquedotto</v>
      </c>
      <c r="R391" s="1932" t="str">
        <f t="shared" si="38"/>
        <v/>
      </c>
      <c r="S391" s="2335">
        <f t="shared" ref="S391:S454" si="39">+IFERROR(HLOOKUP(J391,$X$2:$Y$5,4,FALSE)*K391,0)</f>
        <v>0</v>
      </c>
    </row>
    <row r="392" spans="1:19">
      <c r="A392" s="1932">
        <f t="shared" si="36"/>
        <v>0</v>
      </c>
      <c r="B392" s="1932">
        <f t="shared" si="37"/>
        <v>0</v>
      </c>
      <c r="C392" s="1013" t="s">
        <v>245</v>
      </c>
      <c r="D392" s="1013">
        <v>0</v>
      </c>
      <c r="E392" s="1013" t="s">
        <v>22698</v>
      </c>
      <c r="F392" s="1013">
        <v>8</v>
      </c>
      <c r="G392" s="1932" t="str">
        <f>+VLOOKUP(F392,TT_Tabelle_Riferimento!$D$127:$G$164,4,FALSE)</f>
        <v>Gruppi di misura - altre attrezzature di acquedotto</v>
      </c>
      <c r="H392" s="1013">
        <v>2</v>
      </c>
      <c r="I392" s="1932" t="str">
        <f>+VLOOKUP(H392,TT_Tabelle_Riferimento!$F$3:$G$6,2,FALSE)</f>
        <v>Fognatura bianca e pulizia / manutenzione caditoie stradali</v>
      </c>
      <c r="J392" s="1013">
        <v>2027</v>
      </c>
      <c r="K392" s="2335">
        <f>+SUMIFS('PdI-crono_inv'!BB:BB,'PdI-crono_inv'!CF:CF,F392,'PdI-crono_inv'!CE:CE,H392,'PdI-crono_inv'!J:J,P392,'PdI-crono_inv'!P:P,"&lt;&gt;proprietario")</f>
        <v>0</v>
      </c>
      <c r="M392" s="2335">
        <f>+SUMIFS('PdI-crono_inv'!BC:BC,'PdI-crono_inv'!CF:CF,F392,'PdI-crono_inv'!CE:CE,H392,'PdI-crono_inv'!J:J,P392,'PdI-crono_inv'!P:P,"&lt;&gt;proprietario")+S392</f>
        <v>0</v>
      </c>
      <c r="P392" s="1013" t="s">
        <v>25486</v>
      </c>
      <c r="Q392" s="1932" t="str">
        <f>+VLOOKUP(F392,TT_Tabelle_Riferimento!$D$127:$E$164,2,FALSE)</f>
        <v>Acquedotto</v>
      </c>
      <c r="R392" s="1932" t="str">
        <f t="shared" si="38"/>
        <v/>
      </c>
      <c r="S392" s="2335">
        <f t="shared" si="39"/>
        <v>0</v>
      </c>
    </row>
    <row r="393" spans="1:19">
      <c r="A393" s="1932">
        <f t="shared" si="36"/>
        <v>0</v>
      </c>
      <c r="B393" s="1932">
        <f t="shared" si="37"/>
        <v>0</v>
      </c>
      <c r="C393" s="1013" t="s">
        <v>245</v>
      </c>
      <c r="D393" s="1013">
        <v>0</v>
      </c>
      <c r="E393" s="1013" t="s">
        <v>22698</v>
      </c>
      <c r="F393" s="1013">
        <v>9</v>
      </c>
      <c r="G393" s="1932" t="str">
        <f>+VLOOKUP(F393,TT_Tabelle_Riferimento!$D$127:$G$164,4,FALSE)</f>
        <v>Sistemi informativi di acquedotto</v>
      </c>
      <c r="H393" s="1013">
        <v>2</v>
      </c>
      <c r="I393" s="1932" t="str">
        <f>+VLOOKUP(H393,TT_Tabelle_Riferimento!$F$3:$G$6,2,FALSE)</f>
        <v>Fognatura bianca e pulizia / manutenzione caditoie stradali</v>
      </c>
      <c r="J393" s="1013">
        <v>2027</v>
      </c>
      <c r="K393" s="2335">
        <f>+SUMIFS('PdI-crono_inv'!BB:BB,'PdI-crono_inv'!CF:CF,F393,'PdI-crono_inv'!CE:CE,H393,'PdI-crono_inv'!J:J,P393,'PdI-crono_inv'!P:P,"&lt;&gt;proprietario")</f>
        <v>0</v>
      </c>
      <c r="M393" s="2335">
        <f>+SUMIFS('PdI-crono_inv'!BC:BC,'PdI-crono_inv'!CF:CF,F393,'PdI-crono_inv'!CE:CE,H393,'PdI-crono_inv'!J:J,P393,'PdI-crono_inv'!P:P,"&lt;&gt;proprietario")+S393</f>
        <v>0</v>
      </c>
      <c r="P393" s="1013" t="s">
        <v>25486</v>
      </c>
      <c r="Q393" s="1932" t="str">
        <f>+VLOOKUP(F393,TT_Tabelle_Riferimento!$D$127:$E$164,2,FALSE)</f>
        <v>Acquedotto</v>
      </c>
      <c r="R393" s="1932" t="str">
        <f t="shared" si="38"/>
        <v/>
      </c>
      <c r="S393" s="2335">
        <f t="shared" si="39"/>
        <v>0</v>
      </c>
    </row>
    <row r="394" spans="1:19">
      <c r="A394" s="1932">
        <f t="shared" si="36"/>
        <v>0</v>
      </c>
      <c r="B394" s="1932">
        <f t="shared" si="37"/>
        <v>0</v>
      </c>
      <c r="C394" s="1013" t="s">
        <v>245</v>
      </c>
      <c r="D394" s="1013">
        <v>0</v>
      </c>
      <c r="E394" s="1013" t="s">
        <v>22698</v>
      </c>
      <c r="F394" s="1013">
        <v>10</v>
      </c>
      <c r="G394" s="1932" t="str">
        <f>+VLOOKUP(F394,TT_Tabelle_Riferimento!$D$127:$G$164,4,FALSE)</f>
        <v>Telecontrollo e teletrasmissione di acquedotto</v>
      </c>
      <c r="H394" s="1013">
        <v>2</v>
      </c>
      <c r="I394" s="1932" t="str">
        <f>+VLOOKUP(H394,TT_Tabelle_Riferimento!$F$3:$G$6,2,FALSE)</f>
        <v>Fognatura bianca e pulizia / manutenzione caditoie stradali</v>
      </c>
      <c r="J394" s="1013">
        <v>2027</v>
      </c>
      <c r="K394" s="2335">
        <f>+SUMIFS('PdI-crono_inv'!BB:BB,'PdI-crono_inv'!CF:CF,F394,'PdI-crono_inv'!CE:CE,H394,'PdI-crono_inv'!J:J,P394,'PdI-crono_inv'!P:P,"&lt;&gt;proprietario")</f>
        <v>0</v>
      </c>
      <c r="M394" s="2335">
        <f>+SUMIFS('PdI-crono_inv'!BC:BC,'PdI-crono_inv'!CF:CF,F394,'PdI-crono_inv'!CE:CE,H394,'PdI-crono_inv'!J:J,P394,'PdI-crono_inv'!P:P,"&lt;&gt;proprietario")+S394</f>
        <v>0</v>
      </c>
      <c r="P394" s="1013" t="s">
        <v>25486</v>
      </c>
      <c r="Q394" s="1932" t="str">
        <f>+VLOOKUP(F394,TT_Tabelle_Riferimento!$D$127:$E$164,2,FALSE)</f>
        <v>Acquedotto</v>
      </c>
      <c r="R394" s="1932" t="str">
        <f t="shared" si="38"/>
        <v/>
      </c>
      <c r="S394" s="2335">
        <f t="shared" si="39"/>
        <v>0</v>
      </c>
    </row>
    <row r="395" spans="1:19">
      <c r="A395" s="1932">
        <f t="shared" si="36"/>
        <v>0</v>
      </c>
      <c r="B395" s="1932">
        <f t="shared" si="37"/>
        <v>0</v>
      </c>
      <c r="C395" s="1013" t="s">
        <v>245</v>
      </c>
      <c r="D395" s="1013">
        <v>0</v>
      </c>
      <c r="E395" s="1013" t="s">
        <v>22698</v>
      </c>
      <c r="F395" s="1013">
        <v>11</v>
      </c>
      <c r="G395" s="1932" t="str">
        <f>+VLOOKUP(F395,TT_Tabelle_Riferimento!$D$127:$G$164,4,FALSE)</f>
        <v>Condotte fognarie</v>
      </c>
      <c r="H395" s="1013">
        <v>2</v>
      </c>
      <c r="I395" s="1932" t="str">
        <f>+VLOOKUP(H395,TT_Tabelle_Riferimento!$F$3:$G$6,2,FALSE)</f>
        <v>Fognatura bianca e pulizia / manutenzione caditoie stradali</v>
      </c>
      <c r="J395" s="1013">
        <v>2027</v>
      </c>
      <c r="K395" s="2335">
        <f>+SUMIFS('PdI-crono_inv'!BB:BB,'PdI-crono_inv'!CF:CF,F395,'PdI-crono_inv'!CE:CE,H395,'PdI-crono_inv'!J:J,P395,'PdI-crono_inv'!P:P,"&lt;&gt;proprietario")</f>
        <v>0</v>
      </c>
      <c r="M395" s="2335">
        <f>+SUMIFS('PdI-crono_inv'!BC:BC,'PdI-crono_inv'!CF:CF,F395,'PdI-crono_inv'!CE:CE,H395,'PdI-crono_inv'!J:J,P395,'PdI-crono_inv'!P:P,"&lt;&gt;proprietario")+S395</f>
        <v>0</v>
      </c>
      <c r="P395" s="1013" t="s">
        <v>25486</v>
      </c>
      <c r="Q395" s="1932" t="str">
        <f>+VLOOKUP(F395,TT_Tabelle_Riferimento!$D$127:$E$164,2,FALSE)</f>
        <v>Fognatura</v>
      </c>
      <c r="R395" s="1932" t="str">
        <f t="shared" si="38"/>
        <v/>
      </c>
      <c r="S395" s="2335">
        <f t="shared" si="39"/>
        <v>0</v>
      </c>
    </row>
    <row r="396" spans="1:19">
      <c r="A396" s="1932">
        <f t="shared" si="36"/>
        <v>0</v>
      </c>
      <c r="B396" s="1932">
        <f t="shared" si="37"/>
        <v>0</v>
      </c>
      <c r="C396" s="1013" t="s">
        <v>245</v>
      </c>
      <c r="D396" s="1013">
        <v>0</v>
      </c>
      <c r="E396" s="1013" t="s">
        <v>22698</v>
      </c>
      <c r="F396" s="1013">
        <v>12</v>
      </c>
      <c r="G396" s="1932" t="str">
        <f>+VLOOKUP(F396,TT_Tabelle_Riferimento!$D$127:$G$164,4,FALSE)</f>
        <v>Sifoni e scaricatori di piena e altre opere idrauliche fisse di fognatura</v>
      </c>
      <c r="H396" s="1013">
        <v>2</v>
      </c>
      <c r="I396" s="1932" t="str">
        <f>+VLOOKUP(H396,TT_Tabelle_Riferimento!$F$3:$G$6,2,FALSE)</f>
        <v>Fognatura bianca e pulizia / manutenzione caditoie stradali</v>
      </c>
      <c r="J396" s="1013">
        <v>2027</v>
      </c>
      <c r="K396" s="2335">
        <f>+SUMIFS('PdI-crono_inv'!BB:BB,'PdI-crono_inv'!CF:CF,F396,'PdI-crono_inv'!CE:CE,H396,'PdI-crono_inv'!J:J,P396,'PdI-crono_inv'!P:P,"&lt;&gt;proprietario")</f>
        <v>0</v>
      </c>
      <c r="M396" s="2335">
        <f>+SUMIFS('PdI-crono_inv'!BC:BC,'PdI-crono_inv'!CF:CF,F396,'PdI-crono_inv'!CE:CE,H396,'PdI-crono_inv'!J:J,P396,'PdI-crono_inv'!P:P,"&lt;&gt;proprietario")+S396</f>
        <v>0</v>
      </c>
      <c r="P396" s="1013" t="s">
        <v>25486</v>
      </c>
      <c r="Q396" s="1932" t="str">
        <f>+VLOOKUP(F396,TT_Tabelle_Riferimento!$D$127:$E$164,2,FALSE)</f>
        <v>Fognatura</v>
      </c>
      <c r="R396" s="1932" t="str">
        <f t="shared" si="38"/>
        <v/>
      </c>
      <c r="S396" s="2335">
        <f t="shared" si="39"/>
        <v>0</v>
      </c>
    </row>
    <row r="397" spans="1:19">
      <c r="A397" s="1932">
        <f t="shared" si="36"/>
        <v>0</v>
      </c>
      <c r="B397" s="1932">
        <f t="shared" si="37"/>
        <v>0</v>
      </c>
      <c r="C397" s="1013" t="s">
        <v>245</v>
      </c>
      <c r="D397" s="1013">
        <v>0</v>
      </c>
      <c r="E397" s="1013" t="s">
        <v>22698</v>
      </c>
      <c r="F397" s="1013">
        <v>13</v>
      </c>
      <c r="G397" s="1932" t="str">
        <f>+VLOOKUP(F397,TT_Tabelle_Riferimento!$D$127:$G$164,4,FALSE)</f>
        <v>Vasche di laminazione e vasche di prima pioggia</v>
      </c>
      <c r="H397" s="1013">
        <v>2</v>
      </c>
      <c r="I397" s="1932" t="str">
        <f>+VLOOKUP(H397,TT_Tabelle_Riferimento!$F$3:$G$6,2,FALSE)</f>
        <v>Fognatura bianca e pulizia / manutenzione caditoie stradali</v>
      </c>
      <c r="J397" s="1013">
        <v>2027</v>
      </c>
      <c r="K397" s="2335">
        <f>+SUMIFS('PdI-crono_inv'!BB:BB,'PdI-crono_inv'!CF:CF,F397,'PdI-crono_inv'!CE:CE,H397,'PdI-crono_inv'!J:J,P397,'PdI-crono_inv'!P:P,"&lt;&gt;proprietario")</f>
        <v>0</v>
      </c>
      <c r="M397" s="2335">
        <f>+SUMIFS('PdI-crono_inv'!BC:BC,'PdI-crono_inv'!CF:CF,F397,'PdI-crono_inv'!CE:CE,H397,'PdI-crono_inv'!J:J,P397,'PdI-crono_inv'!P:P,"&lt;&gt;proprietario")+S397</f>
        <v>0</v>
      </c>
      <c r="P397" s="1013" t="s">
        <v>25486</v>
      </c>
      <c r="Q397" s="1932" t="str">
        <f>+VLOOKUP(F397,TT_Tabelle_Riferimento!$D$127:$E$164,2,FALSE)</f>
        <v>Fognatura</v>
      </c>
      <c r="R397" s="1932" t="str">
        <f t="shared" si="38"/>
        <v/>
      </c>
      <c r="S397" s="2335">
        <f t="shared" si="39"/>
        <v>0</v>
      </c>
    </row>
    <row r="398" spans="1:19">
      <c r="A398" s="1932">
        <f t="shared" si="36"/>
        <v>0</v>
      </c>
      <c r="B398" s="1932">
        <f t="shared" si="37"/>
        <v>0</v>
      </c>
      <c r="C398" s="1013" t="s">
        <v>245</v>
      </c>
      <c r="D398" s="1013">
        <v>0</v>
      </c>
      <c r="E398" s="1013" t="s">
        <v>22698</v>
      </c>
      <c r="F398" s="1013">
        <v>14</v>
      </c>
      <c r="G398" s="1932" t="str">
        <f>+VLOOKUP(F398,TT_Tabelle_Riferimento!$D$127:$G$164,4,FALSE)</f>
        <v>Impianti di sollevamento e pompaggio di fognatura</v>
      </c>
      <c r="H398" s="1013">
        <v>2</v>
      </c>
      <c r="I398" s="1932" t="str">
        <f>+VLOOKUP(H398,TT_Tabelle_Riferimento!$F$3:$G$6,2,FALSE)</f>
        <v>Fognatura bianca e pulizia / manutenzione caditoie stradali</v>
      </c>
      <c r="J398" s="1013">
        <v>2027</v>
      </c>
      <c r="K398" s="2335">
        <f>+SUMIFS('PdI-crono_inv'!BB:BB,'PdI-crono_inv'!CF:CF,F398,'PdI-crono_inv'!CE:CE,H398,'PdI-crono_inv'!J:J,P398,'PdI-crono_inv'!P:P,"&lt;&gt;proprietario")</f>
        <v>0</v>
      </c>
      <c r="M398" s="2335">
        <f>+SUMIFS('PdI-crono_inv'!BC:BC,'PdI-crono_inv'!CF:CF,F398,'PdI-crono_inv'!CE:CE,H398,'PdI-crono_inv'!J:J,P398,'PdI-crono_inv'!P:P,"&lt;&gt;proprietario")+S398</f>
        <v>0</v>
      </c>
      <c r="P398" s="1013" t="s">
        <v>25486</v>
      </c>
      <c r="Q398" s="1932" t="str">
        <f>+VLOOKUP(F398,TT_Tabelle_Riferimento!$D$127:$E$164,2,FALSE)</f>
        <v>Fognatura</v>
      </c>
      <c r="R398" s="1932" t="str">
        <f t="shared" si="38"/>
        <v/>
      </c>
      <c r="S398" s="2335">
        <f t="shared" si="39"/>
        <v>0</v>
      </c>
    </row>
    <row r="399" spans="1:19">
      <c r="A399" s="1932">
        <f t="shared" si="36"/>
        <v>0</v>
      </c>
      <c r="B399" s="1932">
        <f t="shared" si="37"/>
        <v>0</v>
      </c>
      <c r="C399" s="1013" t="s">
        <v>245</v>
      </c>
      <c r="D399" s="1013">
        <v>0</v>
      </c>
      <c r="E399" s="1013" t="s">
        <v>22698</v>
      </c>
      <c r="F399" s="1013">
        <v>15</v>
      </c>
      <c r="G399" s="1932" t="str">
        <f>+VLOOKUP(F399,TT_Tabelle_Riferimento!$D$127:$G$164,4,FALSE)</f>
        <v>Gruppi di misura - altre attrezzature di fognatura</v>
      </c>
      <c r="H399" s="1013">
        <v>2</v>
      </c>
      <c r="I399" s="1932" t="str">
        <f>+VLOOKUP(H399,TT_Tabelle_Riferimento!$F$3:$G$6,2,FALSE)</f>
        <v>Fognatura bianca e pulizia / manutenzione caditoie stradali</v>
      </c>
      <c r="J399" s="1013">
        <v>2027</v>
      </c>
      <c r="K399" s="2335">
        <f>+SUMIFS('PdI-crono_inv'!BB:BB,'PdI-crono_inv'!CF:CF,F399,'PdI-crono_inv'!CE:CE,H399,'PdI-crono_inv'!J:J,P399,'PdI-crono_inv'!P:P,"&lt;&gt;proprietario")</f>
        <v>0</v>
      </c>
      <c r="M399" s="2335">
        <f>+SUMIFS('PdI-crono_inv'!BC:BC,'PdI-crono_inv'!CF:CF,F399,'PdI-crono_inv'!CE:CE,H399,'PdI-crono_inv'!J:J,P399,'PdI-crono_inv'!P:P,"&lt;&gt;proprietario")+S399</f>
        <v>0</v>
      </c>
      <c r="P399" s="1013" t="s">
        <v>25486</v>
      </c>
      <c r="Q399" s="1932" t="str">
        <f>+VLOOKUP(F399,TT_Tabelle_Riferimento!$D$127:$E$164,2,FALSE)</f>
        <v>Fognatura</v>
      </c>
      <c r="R399" s="1932" t="str">
        <f t="shared" si="38"/>
        <v/>
      </c>
      <c r="S399" s="2335">
        <f t="shared" si="39"/>
        <v>0</v>
      </c>
    </row>
    <row r="400" spans="1:19">
      <c r="A400" s="1932">
        <f t="shared" si="36"/>
        <v>0</v>
      </c>
      <c r="B400" s="1932">
        <f t="shared" si="37"/>
        <v>0</v>
      </c>
      <c r="C400" s="1013" t="s">
        <v>245</v>
      </c>
      <c r="D400" s="1013">
        <v>0</v>
      </c>
      <c r="E400" s="1013" t="s">
        <v>22698</v>
      </c>
      <c r="F400" s="1013">
        <v>16</v>
      </c>
      <c r="G400" s="1932" t="str">
        <f>+VLOOKUP(F400,TT_Tabelle_Riferimento!$D$127:$G$164,4,FALSE)</f>
        <v>Sistemi informativi di fognatura</v>
      </c>
      <c r="H400" s="1013">
        <v>2</v>
      </c>
      <c r="I400" s="1932" t="str">
        <f>+VLOOKUP(H400,TT_Tabelle_Riferimento!$F$3:$G$6,2,FALSE)</f>
        <v>Fognatura bianca e pulizia / manutenzione caditoie stradali</v>
      </c>
      <c r="J400" s="1013">
        <v>2027</v>
      </c>
      <c r="K400" s="2335">
        <f>+SUMIFS('PdI-crono_inv'!BB:BB,'PdI-crono_inv'!CF:CF,F400,'PdI-crono_inv'!CE:CE,H400,'PdI-crono_inv'!J:J,P400,'PdI-crono_inv'!P:P,"&lt;&gt;proprietario")</f>
        <v>0</v>
      </c>
      <c r="M400" s="2335">
        <f>+SUMIFS('PdI-crono_inv'!BC:BC,'PdI-crono_inv'!CF:CF,F400,'PdI-crono_inv'!CE:CE,H400,'PdI-crono_inv'!J:J,P400,'PdI-crono_inv'!P:P,"&lt;&gt;proprietario")+S400</f>
        <v>0</v>
      </c>
      <c r="P400" s="1013" t="s">
        <v>25486</v>
      </c>
      <c r="Q400" s="1932" t="str">
        <f>+VLOOKUP(F400,TT_Tabelle_Riferimento!$D$127:$E$164,2,FALSE)</f>
        <v>Fognatura</v>
      </c>
      <c r="R400" s="1932" t="str">
        <f t="shared" si="38"/>
        <v/>
      </c>
      <c r="S400" s="2335">
        <f t="shared" si="39"/>
        <v>0</v>
      </c>
    </row>
    <row r="401" spans="1:19">
      <c r="A401" s="1932">
        <f t="shared" si="36"/>
        <v>0</v>
      </c>
      <c r="B401" s="1932">
        <f t="shared" si="37"/>
        <v>0</v>
      </c>
      <c r="C401" s="1013" t="s">
        <v>245</v>
      </c>
      <c r="D401" s="1013">
        <v>0</v>
      </c>
      <c r="E401" s="1013" t="s">
        <v>22698</v>
      </c>
      <c r="F401" s="1013">
        <v>18</v>
      </c>
      <c r="G401" s="1932" t="str">
        <f>+VLOOKUP(F401,TT_Tabelle_Riferimento!$D$127:$G$164,4,FALSE)</f>
        <v>Telecontrollo e teletrasmissione di fognatura</v>
      </c>
      <c r="H401" s="1013">
        <v>2</v>
      </c>
      <c r="I401" s="1932" t="str">
        <f>+VLOOKUP(H401,TT_Tabelle_Riferimento!$F$3:$G$6,2,FALSE)</f>
        <v>Fognatura bianca e pulizia / manutenzione caditoie stradali</v>
      </c>
      <c r="J401" s="1013">
        <v>2027</v>
      </c>
      <c r="K401" s="2335">
        <f>+SUMIFS('PdI-crono_inv'!BB:BB,'PdI-crono_inv'!CF:CF,F401,'PdI-crono_inv'!CE:CE,H401,'PdI-crono_inv'!J:J,P401,'PdI-crono_inv'!P:P,"&lt;&gt;proprietario")</f>
        <v>0</v>
      </c>
      <c r="M401" s="2335">
        <f>+SUMIFS('PdI-crono_inv'!BC:BC,'PdI-crono_inv'!CF:CF,F401,'PdI-crono_inv'!CE:CE,H401,'PdI-crono_inv'!J:J,P401,'PdI-crono_inv'!P:P,"&lt;&gt;proprietario")+S401</f>
        <v>0</v>
      </c>
      <c r="P401" s="1013" t="s">
        <v>25486</v>
      </c>
      <c r="Q401" s="1932" t="str">
        <f>+VLOOKUP(F401,TT_Tabelle_Riferimento!$D$127:$E$164,2,FALSE)</f>
        <v>Fognatura</v>
      </c>
      <c r="R401" s="1932" t="str">
        <f t="shared" si="38"/>
        <v/>
      </c>
      <c r="S401" s="2335">
        <f t="shared" si="39"/>
        <v>0</v>
      </c>
    </row>
    <row r="402" spans="1:19">
      <c r="A402" s="1932">
        <f t="shared" si="36"/>
        <v>0</v>
      </c>
      <c r="B402" s="1932">
        <f t="shared" si="37"/>
        <v>0</v>
      </c>
      <c r="C402" s="1013" t="s">
        <v>245</v>
      </c>
      <c r="D402" s="1013">
        <v>0</v>
      </c>
      <c r="E402" s="1013" t="s">
        <v>22698</v>
      </c>
      <c r="F402" s="1013">
        <v>19</v>
      </c>
      <c r="G402" s="1932" t="str">
        <f>+VLOOKUP(F402,TT_Tabelle_Riferimento!$D$127:$G$164,4,FALSE)</f>
        <v>Impianti di sollevamento e pompaggio di depurazione</v>
      </c>
      <c r="H402" s="1013">
        <v>2</v>
      </c>
      <c r="I402" s="1932" t="str">
        <f>+VLOOKUP(H402,TT_Tabelle_Riferimento!$F$3:$G$6,2,FALSE)</f>
        <v>Fognatura bianca e pulizia / manutenzione caditoie stradali</v>
      </c>
      <c r="J402" s="1013">
        <v>2027</v>
      </c>
      <c r="K402" s="2335">
        <f>+SUMIFS('PdI-crono_inv'!BB:BB,'PdI-crono_inv'!CF:CF,F402,'PdI-crono_inv'!CE:CE,H402,'PdI-crono_inv'!J:J,P402,'PdI-crono_inv'!P:P,"&lt;&gt;proprietario")</f>
        <v>0</v>
      </c>
      <c r="M402" s="2335">
        <f>+SUMIFS('PdI-crono_inv'!BC:BC,'PdI-crono_inv'!CF:CF,F402,'PdI-crono_inv'!CE:CE,H402,'PdI-crono_inv'!J:J,P402,'PdI-crono_inv'!P:P,"&lt;&gt;proprietario")+S402</f>
        <v>0</v>
      </c>
      <c r="P402" s="1013" t="s">
        <v>25486</v>
      </c>
      <c r="Q402" s="1932" t="str">
        <f>+VLOOKUP(F402,TT_Tabelle_Riferimento!$D$127:$E$164,2,FALSE)</f>
        <v>Depurazione</v>
      </c>
      <c r="R402" s="1932" t="str">
        <f t="shared" si="38"/>
        <v/>
      </c>
      <c r="S402" s="2335">
        <f t="shared" si="39"/>
        <v>0</v>
      </c>
    </row>
    <row r="403" spans="1:19">
      <c r="A403" s="1932">
        <f t="shared" si="36"/>
        <v>0</v>
      </c>
      <c r="B403" s="1932">
        <f t="shared" si="37"/>
        <v>0</v>
      </c>
      <c r="C403" s="1013" t="s">
        <v>245</v>
      </c>
      <c r="D403" s="1013">
        <v>0</v>
      </c>
      <c r="E403" s="1013" t="s">
        <v>22698</v>
      </c>
      <c r="F403" s="1013">
        <v>20</v>
      </c>
      <c r="G403" s="1932" t="str">
        <f>+VLOOKUP(F403,TT_Tabelle_Riferimento!$D$127:$G$164,4,FALSE)</f>
        <v>Tecniche naturali di depurazione (tra cui fitodepurazione e lagunaggio)</v>
      </c>
      <c r="H403" s="1013">
        <v>2</v>
      </c>
      <c r="I403" s="1932" t="str">
        <f>+VLOOKUP(H403,TT_Tabelle_Riferimento!$F$3:$G$6,2,FALSE)</f>
        <v>Fognatura bianca e pulizia / manutenzione caditoie stradali</v>
      </c>
      <c r="J403" s="1013">
        <v>2027</v>
      </c>
      <c r="K403" s="2335">
        <f>+SUMIFS('PdI-crono_inv'!BB:BB,'PdI-crono_inv'!CF:CF,F403,'PdI-crono_inv'!CE:CE,H403,'PdI-crono_inv'!J:J,P403,'PdI-crono_inv'!P:P,"&lt;&gt;proprietario")</f>
        <v>0</v>
      </c>
      <c r="M403" s="2335">
        <f>+SUMIFS('PdI-crono_inv'!BC:BC,'PdI-crono_inv'!CF:CF,F403,'PdI-crono_inv'!CE:CE,H403,'PdI-crono_inv'!J:J,P403,'PdI-crono_inv'!P:P,"&lt;&gt;proprietario")+S403</f>
        <v>0</v>
      </c>
      <c r="P403" s="1013" t="s">
        <v>25486</v>
      </c>
      <c r="Q403" s="1932" t="str">
        <f>+VLOOKUP(F403,TT_Tabelle_Riferimento!$D$127:$E$164,2,FALSE)</f>
        <v>Depurazione</v>
      </c>
      <c r="R403" s="1932" t="str">
        <f t="shared" si="38"/>
        <v/>
      </c>
      <c r="S403" s="2335">
        <f t="shared" si="39"/>
        <v>0</v>
      </c>
    </row>
    <row r="404" spans="1:19">
      <c r="A404" s="1932">
        <f t="shared" si="36"/>
        <v>0</v>
      </c>
      <c r="B404" s="1932">
        <f t="shared" si="37"/>
        <v>0</v>
      </c>
      <c r="C404" s="1013" t="s">
        <v>245</v>
      </c>
      <c r="D404" s="1013">
        <v>0</v>
      </c>
      <c r="E404" s="1013" t="s">
        <v>22698</v>
      </c>
      <c r="F404" s="1013">
        <v>21</v>
      </c>
      <c r="G404" s="1932" t="str">
        <f>+VLOOKUP(F404,TT_Tabelle_Riferimento!$D$127:$G$164,4,FALSE)</f>
        <v>Impianti di depurazione – trattamenti sino al preliminare, integrativo, primario - fosse settiche e fosse Imhoff</v>
      </c>
      <c r="H404" s="1013">
        <v>2</v>
      </c>
      <c r="I404" s="1932" t="str">
        <f>+VLOOKUP(H404,TT_Tabelle_Riferimento!$F$3:$G$6,2,FALSE)</f>
        <v>Fognatura bianca e pulizia / manutenzione caditoie stradali</v>
      </c>
      <c r="J404" s="1013">
        <v>2027</v>
      </c>
      <c r="K404" s="2335">
        <f>+SUMIFS('PdI-crono_inv'!BB:BB,'PdI-crono_inv'!CF:CF,F404,'PdI-crono_inv'!CE:CE,H404,'PdI-crono_inv'!J:J,P404,'PdI-crono_inv'!P:P,"&lt;&gt;proprietario")</f>
        <v>0</v>
      </c>
      <c r="M404" s="2335">
        <f>+SUMIFS('PdI-crono_inv'!BC:BC,'PdI-crono_inv'!CF:CF,F404,'PdI-crono_inv'!CE:CE,H404,'PdI-crono_inv'!J:J,P404,'PdI-crono_inv'!P:P,"&lt;&gt;proprietario")+S404</f>
        <v>0</v>
      </c>
      <c r="P404" s="1013" t="s">
        <v>25486</v>
      </c>
      <c r="Q404" s="1932" t="str">
        <f>+VLOOKUP(F404,TT_Tabelle_Riferimento!$D$127:$E$164,2,FALSE)</f>
        <v>Depurazione</v>
      </c>
      <c r="R404" s="1932" t="str">
        <f t="shared" si="38"/>
        <v/>
      </c>
      <c r="S404" s="2335">
        <f t="shared" si="39"/>
        <v>0</v>
      </c>
    </row>
    <row r="405" spans="1:19">
      <c r="A405" s="1932">
        <f t="shared" si="36"/>
        <v>0</v>
      </c>
      <c r="B405" s="1932">
        <f t="shared" si="37"/>
        <v>0</v>
      </c>
      <c r="C405" s="1013" t="s">
        <v>245</v>
      </c>
      <c r="D405" s="1013">
        <v>0</v>
      </c>
      <c r="E405" s="1013" t="s">
        <v>22698</v>
      </c>
      <c r="F405" s="1013">
        <v>22</v>
      </c>
      <c r="G405" s="1932" t="str">
        <f>+VLOOKUP(F405,TT_Tabelle_Riferimento!$D$127:$G$164,4,FALSE)</f>
        <v>Impianti di depurazione – trattamenti sino al secondario</v>
      </c>
      <c r="H405" s="1013">
        <v>2</v>
      </c>
      <c r="I405" s="1932" t="str">
        <f>+VLOOKUP(H405,TT_Tabelle_Riferimento!$F$3:$G$6,2,FALSE)</f>
        <v>Fognatura bianca e pulizia / manutenzione caditoie stradali</v>
      </c>
      <c r="J405" s="1013">
        <v>2027</v>
      </c>
      <c r="K405" s="2335">
        <f>+SUMIFS('PdI-crono_inv'!BB:BB,'PdI-crono_inv'!CF:CF,F405,'PdI-crono_inv'!CE:CE,H405,'PdI-crono_inv'!J:J,P405,'PdI-crono_inv'!P:P,"&lt;&gt;proprietario")</f>
        <v>0</v>
      </c>
      <c r="M405" s="2335">
        <f>+SUMIFS('PdI-crono_inv'!BC:BC,'PdI-crono_inv'!CF:CF,F405,'PdI-crono_inv'!CE:CE,H405,'PdI-crono_inv'!J:J,P405,'PdI-crono_inv'!P:P,"&lt;&gt;proprietario")+S405</f>
        <v>0</v>
      </c>
      <c r="P405" s="1013" t="s">
        <v>25486</v>
      </c>
      <c r="Q405" s="1932" t="str">
        <f>+VLOOKUP(F405,TT_Tabelle_Riferimento!$D$127:$E$164,2,FALSE)</f>
        <v>Depurazione</v>
      </c>
      <c r="R405" s="1932" t="str">
        <f t="shared" si="38"/>
        <v/>
      </c>
      <c r="S405" s="2335">
        <f t="shared" si="39"/>
        <v>0</v>
      </c>
    </row>
    <row r="406" spans="1:19">
      <c r="A406" s="1932">
        <f t="shared" si="36"/>
        <v>0</v>
      </c>
      <c r="B406" s="1932">
        <f t="shared" si="37"/>
        <v>0</v>
      </c>
      <c r="C406" s="1013" t="s">
        <v>245</v>
      </c>
      <c r="D406" s="1013">
        <v>0</v>
      </c>
      <c r="E406" s="1013" t="s">
        <v>22698</v>
      </c>
      <c r="F406" s="1013">
        <v>23</v>
      </c>
      <c r="G406" s="1932" t="str">
        <f>+VLOOKUP(F406,TT_Tabelle_Riferimento!$D$127:$G$164,4,FALSE)</f>
        <v>Impianti di depurazione – trattamenti sino al terziario e terziario avanzato</v>
      </c>
      <c r="H406" s="1013">
        <v>2</v>
      </c>
      <c r="I406" s="1932" t="str">
        <f>+VLOOKUP(H406,TT_Tabelle_Riferimento!$F$3:$G$6,2,FALSE)</f>
        <v>Fognatura bianca e pulizia / manutenzione caditoie stradali</v>
      </c>
      <c r="J406" s="1013">
        <v>2027</v>
      </c>
      <c r="K406" s="2335">
        <f>+SUMIFS('PdI-crono_inv'!BB:BB,'PdI-crono_inv'!CF:CF,F406,'PdI-crono_inv'!CE:CE,H406,'PdI-crono_inv'!J:J,P406,'PdI-crono_inv'!P:P,"&lt;&gt;proprietario")</f>
        <v>0</v>
      </c>
      <c r="M406" s="2335">
        <f>+SUMIFS('PdI-crono_inv'!BC:BC,'PdI-crono_inv'!CF:CF,F406,'PdI-crono_inv'!CE:CE,H406,'PdI-crono_inv'!J:J,P406,'PdI-crono_inv'!P:P,"&lt;&gt;proprietario")+S406</f>
        <v>0</v>
      </c>
      <c r="P406" s="1013" t="s">
        <v>25486</v>
      </c>
      <c r="Q406" s="1932" t="str">
        <f>+VLOOKUP(F406,TT_Tabelle_Riferimento!$D$127:$E$164,2,FALSE)</f>
        <v>Depurazione</v>
      </c>
      <c r="R406" s="1932" t="str">
        <f t="shared" si="38"/>
        <v/>
      </c>
      <c r="S406" s="2335">
        <f t="shared" si="39"/>
        <v>0</v>
      </c>
    </row>
    <row r="407" spans="1:19">
      <c r="A407" s="1932">
        <f t="shared" si="36"/>
        <v>0</v>
      </c>
      <c r="B407" s="1932">
        <f t="shared" si="37"/>
        <v>0</v>
      </c>
      <c r="C407" s="1013" t="s">
        <v>245</v>
      </c>
      <c r="D407" s="1013">
        <v>0</v>
      </c>
      <c r="E407" s="1013" t="s">
        <v>22698</v>
      </c>
      <c r="F407" s="1013">
        <v>24</v>
      </c>
      <c r="G407" s="1932" t="str">
        <f>+VLOOKUP(F407,TT_Tabelle_Riferimento!$D$127:$G$164,4,FALSE)</f>
        <v>Impianti di essiccamento fanghi e di valorizzazione dei fanghi (tra cui mono-incenerimento, pirolisi, gassificazione)</v>
      </c>
      <c r="H407" s="1013">
        <v>2</v>
      </c>
      <c r="I407" s="1932" t="str">
        <f>+VLOOKUP(H407,TT_Tabelle_Riferimento!$F$3:$G$6,2,FALSE)</f>
        <v>Fognatura bianca e pulizia / manutenzione caditoie stradali</v>
      </c>
      <c r="J407" s="1013">
        <v>2027</v>
      </c>
      <c r="K407" s="2335">
        <f>+SUMIFS('PdI-crono_inv'!BB:BB,'PdI-crono_inv'!CF:CF,F407,'PdI-crono_inv'!CE:CE,H407,'PdI-crono_inv'!J:J,P407,'PdI-crono_inv'!P:P,"&lt;&gt;proprietario")</f>
        <v>0</v>
      </c>
      <c r="M407" s="2335">
        <f>+SUMIFS('PdI-crono_inv'!BC:BC,'PdI-crono_inv'!CF:CF,F407,'PdI-crono_inv'!CE:CE,H407,'PdI-crono_inv'!J:J,P407,'PdI-crono_inv'!P:P,"&lt;&gt;proprietario")+S407</f>
        <v>0</v>
      </c>
      <c r="P407" s="1013" t="s">
        <v>25486</v>
      </c>
      <c r="Q407" s="1932" t="str">
        <f>+VLOOKUP(F407,TT_Tabelle_Riferimento!$D$127:$E$164,2,FALSE)</f>
        <v>Depurazione</v>
      </c>
      <c r="R407" s="1932" t="str">
        <f t="shared" si="38"/>
        <v/>
      </c>
      <c r="S407" s="2335">
        <f t="shared" si="39"/>
        <v>0</v>
      </c>
    </row>
    <row r="408" spans="1:19">
      <c r="A408" s="1932">
        <f t="shared" si="36"/>
        <v>0</v>
      </c>
      <c r="B408" s="1932">
        <f t="shared" si="37"/>
        <v>0</v>
      </c>
      <c r="C408" s="1013" t="s">
        <v>245</v>
      </c>
      <c r="D408" s="1013">
        <v>0</v>
      </c>
      <c r="E408" s="1013" t="s">
        <v>22698</v>
      </c>
      <c r="F408" s="1013">
        <v>25</v>
      </c>
      <c r="G408" s="1932" t="str">
        <f>+VLOOKUP(F408,TT_Tabelle_Riferimento!$D$127:$G$164,4,FALSE)</f>
        <v>Gruppi di misura - altre attrezzature di depurazione</v>
      </c>
      <c r="H408" s="1013">
        <v>2</v>
      </c>
      <c r="I408" s="1932" t="str">
        <f>+VLOOKUP(H408,TT_Tabelle_Riferimento!$F$3:$G$6,2,FALSE)</f>
        <v>Fognatura bianca e pulizia / manutenzione caditoie stradali</v>
      </c>
      <c r="J408" s="1013">
        <v>2027</v>
      </c>
      <c r="K408" s="2335">
        <f>+SUMIFS('PdI-crono_inv'!BB:BB,'PdI-crono_inv'!CF:CF,F408,'PdI-crono_inv'!CE:CE,H408,'PdI-crono_inv'!J:J,P408,'PdI-crono_inv'!P:P,"&lt;&gt;proprietario")</f>
        <v>0</v>
      </c>
      <c r="M408" s="2335">
        <f>+SUMIFS('PdI-crono_inv'!BC:BC,'PdI-crono_inv'!CF:CF,F408,'PdI-crono_inv'!CE:CE,H408,'PdI-crono_inv'!J:J,P408,'PdI-crono_inv'!P:P,"&lt;&gt;proprietario")+S408</f>
        <v>0</v>
      </c>
      <c r="P408" s="1013" t="s">
        <v>25486</v>
      </c>
      <c r="Q408" s="1932" t="str">
        <f>+VLOOKUP(F408,TT_Tabelle_Riferimento!$D$127:$E$164,2,FALSE)</f>
        <v>Depurazione</v>
      </c>
      <c r="R408" s="1932" t="str">
        <f t="shared" si="38"/>
        <v/>
      </c>
      <c r="S408" s="2335">
        <f t="shared" si="39"/>
        <v>0</v>
      </c>
    </row>
    <row r="409" spans="1:19">
      <c r="A409" s="1932">
        <f t="shared" si="36"/>
        <v>0</v>
      </c>
      <c r="B409" s="1932">
        <f t="shared" si="37"/>
        <v>0</v>
      </c>
      <c r="C409" s="1013" t="s">
        <v>245</v>
      </c>
      <c r="D409" s="1013">
        <v>0</v>
      </c>
      <c r="E409" s="1013" t="s">
        <v>22698</v>
      </c>
      <c r="F409" s="1013">
        <v>26</v>
      </c>
      <c r="G409" s="1932" t="str">
        <f>+VLOOKUP(F409,TT_Tabelle_Riferimento!$D$127:$G$164,4,FALSE)</f>
        <v>Sistemi informativi di depurazione</v>
      </c>
      <c r="H409" s="1013">
        <v>2</v>
      </c>
      <c r="I409" s="1932" t="str">
        <f>+VLOOKUP(H409,TT_Tabelle_Riferimento!$F$3:$G$6,2,FALSE)</f>
        <v>Fognatura bianca e pulizia / manutenzione caditoie stradali</v>
      </c>
      <c r="J409" s="1013">
        <v>2027</v>
      </c>
      <c r="K409" s="2335">
        <f>+SUMIFS('PdI-crono_inv'!BB:BB,'PdI-crono_inv'!CF:CF,F409,'PdI-crono_inv'!CE:CE,H409,'PdI-crono_inv'!J:J,P409,'PdI-crono_inv'!P:P,"&lt;&gt;proprietario")</f>
        <v>0</v>
      </c>
      <c r="M409" s="2335">
        <f>+SUMIFS('PdI-crono_inv'!BC:BC,'PdI-crono_inv'!CF:CF,F409,'PdI-crono_inv'!CE:CE,H409,'PdI-crono_inv'!J:J,P409,'PdI-crono_inv'!P:P,"&lt;&gt;proprietario")+S409</f>
        <v>0</v>
      </c>
      <c r="P409" s="1013" t="s">
        <v>25486</v>
      </c>
      <c r="Q409" s="1932" t="str">
        <f>+VLOOKUP(F409,TT_Tabelle_Riferimento!$D$127:$E$164,2,FALSE)</f>
        <v>Depurazione</v>
      </c>
      <c r="R409" s="1932" t="str">
        <f t="shared" si="38"/>
        <v/>
      </c>
      <c r="S409" s="2335">
        <f t="shared" si="39"/>
        <v>0</v>
      </c>
    </row>
    <row r="410" spans="1:19">
      <c r="A410" s="1932">
        <f t="shared" si="36"/>
        <v>0</v>
      </c>
      <c r="B410" s="1932">
        <f t="shared" si="37"/>
        <v>0</v>
      </c>
      <c r="C410" s="1013" t="s">
        <v>245</v>
      </c>
      <c r="D410" s="1013">
        <v>0</v>
      </c>
      <c r="E410" s="1013" t="s">
        <v>22698</v>
      </c>
      <c r="F410" s="1013">
        <v>27</v>
      </c>
      <c r="G410" s="1932" t="str">
        <f>+VLOOKUP(F410,TT_Tabelle_Riferimento!$D$127:$G$164,4,FALSE)</f>
        <v>Telecontrollo e teletrasmissione di depurazione</v>
      </c>
      <c r="H410" s="1013">
        <v>2</v>
      </c>
      <c r="I410" s="1932" t="str">
        <f>+VLOOKUP(H410,TT_Tabelle_Riferimento!$F$3:$G$6,2,FALSE)</f>
        <v>Fognatura bianca e pulizia / manutenzione caditoie stradali</v>
      </c>
      <c r="J410" s="1013">
        <v>2027</v>
      </c>
      <c r="K410" s="2335">
        <f>+SUMIFS('PdI-crono_inv'!BB:BB,'PdI-crono_inv'!CF:CF,F410,'PdI-crono_inv'!CE:CE,H410,'PdI-crono_inv'!J:J,P410,'PdI-crono_inv'!P:P,"&lt;&gt;proprietario")</f>
        <v>0</v>
      </c>
      <c r="M410" s="2335">
        <f>+SUMIFS('PdI-crono_inv'!BC:BC,'PdI-crono_inv'!CF:CF,F410,'PdI-crono_inv'!CE:CE,H410,'PdI-crono_inv'!J:J,P410,'PdI-crono_inv'!P:P,"&lt;&gt;proprietario")+S410</f>
        <v>0</v>
      </c>
      <c r="P410" s="1013" t="s">
        <v>25486</v>
      </c>
      <c r="Q410" s="1932" t="str">
        <f>+VLOOKUP(F410,TT_Tabelle_Riferimento!$D$127:$E$164,2,FALSE)</f>
        <v>Depurazione</v>
      </c>
      <c r="R410" s="1932" t="str">
        <f t="shared" si="38"/>
        <v/>
      </c>
      <c r="S410" s="2335">
        <f t="shared" si="39"/>
        <v>0</v>
      </c>
    </row>
    <row r="411" spans="1:19">
      <c r="A411" s="1932">
        <f t="shared" si="36"/>
        <v>0</v>
      </c>
      <c r="B411" s="1932">
        <f t="shared" si="37"/>
        <v>0</v>
      </c>
      <c r="C411" s="1013" t="s">
        <v>245</v>
      </c>
      <c r="D411" s="1013">
        <v>0</v>
      </c>
      <c r="E411" s="1013" t="s">
        <v>22698</v>
      </c>
      <c r="F411" s="1013">
        <v>28</v>
      </c>
      <c r="G411" s="1932" t="str">
        <f>+VLOOKUP(F411,TT_Tabelle_Riferimento!$D$127:$G$164,4,FALSE)</f>
        <v>Altri impianti</v>
      </c>
      <c r="H411" s="1013">
        <v>2</v>
      </c>
      <c r="I411" s="1932" t="str">
        <f>+VLOOKUP(H411,TT_Tabelle_Riferimento!$F$3:$G$6,2,FALSE)</f>
        <v>Fognatura bianca e pulizia / manutenzione caditoie stradali</v>
      </c>
      <c r="J411" s="1013">
        <v>2027</v>
      </c>
      <c r="K411" s="2335">
        <f>+SUMIFS('PdI-crono_inv'!BB:BB,'PdI-crono_inv'!CF:CF,F411,'PdI-crono_inv'!CE:CE,H411,'PdI-crono_inv'!J:J,P411,'PdI-crono_inv'!P:P,"&lt;&gt;proprietario")</f>
        <v>0</v>
      </c>
      <c r="M411" s="2335">
        <f>+SUMIFS('PdI-crono_inv'!BC:BC,'PdI-crono_inv'!CF:CF,F411,'PdI-crono_inv'!CE:CE,H411,'PdI-crono_inv'!J:J,P411,'PdI-crono_inv'!P:P,"&lt;&gt;proprietario")+S411</f>
        <v>0</v>
      </c>
      <c r="P411" s="1013" t="s">
        <v>25486</v>
      </c>
      <c r="Q411" s="1932" t="str">
        <f>+VLOOKUP(F411,TT_Tabelle_Riferimento!$D$127:$E$164,2,FALSE)</f>
        <v>Comune</v>
      </c>
      <c r="R411" s="1932" t="str">
        <f t="shared" si="38"/>
        <v/>
      </c>
      <c r="S411" s="2335">
        <f t="shared" si="39"/>
        <v>0</v>
      </c>
    </row>
    <row r="412" spans="1:19">
      <c r="A412" s="1932">
        <f t="shared" si="36"/>
        <v>0</v>
      </c>
      <c r="B412" s="1932">
        <f t="shared" si="37"/>
        <v>0</v>
      </c>
      <c r="C412" s="1013" t="s">
        <v>245</v>
      </c>
      <c r="D412" s="1013">
        <v>0</v>
      </c>
      <c r="E412" s="1013" t="s">
        <v>22698</v>
      </c>
      <c r="F412" s="1013">
        <v>29</v>
      </c>
      <c r="G412" s="1932" t="str">
        <f>+VLOOKUP(F412,TT_Tabelle_Riferimento!$D$127:$G$164,4,FALSE)</f>
        <v>Laboratori e attrezzature</v>
      </c>
      <c r="H412" s="1013">
        <v>2</v>
      </c>
      <c r="I412" s="1932" t="str">
        <f>+VLOOKUP(H412,TT_Tabelle_Riferimento!$F$3:$G$6,2,FALSE)</f>
        <v>Fognatura bianca e pulizia / manutenzione caditoie stradali</v>
      </c>
      <c r="J412" s="1013">
        <v>2027</v>
      </c>
      <c r="K412" s="2335">
        <f>+SUMIFS('PdI-crono_inv'!BB:BB,'PdI-crono_inv'!CF:CF,F412,'PdI-crono_inv'!CE:CE,H412,'PdI-crono_inv'!J:J,P412,'PdI-crono_inv'!P:P,"&lt;&gt;proprietario")</f>
        <v>0</v>
      </c>
      <c r="M412" s="2335">
        <f>+SUMIFS('PdI-crono_inv'!BC:BC,'PdI-crono_inv'!CF:CF,F412,'PdI-crono_inv'!CE:CE,H412,'PdI-crono_inv'!J:J,P412,'PdI-crono_inv'!P:P,"&lt;&gt;proprietario")+S412</f>
        <v>0</v>
      </c>
      <c r="P412" s="1013" t="s">
        <v>25486</v>
      </c>
      <c r="Q412" s="1932" t="str">
        <f>+VLOOKUP(F412,TT_Tabelle_Riferimento!$D$127:$E$164,2,FALSE)</f>
        <v>Comune</v>
      </c>
      <c r="R412" s="1932" t="str">
        <f t="shared" si="38"/>
        <v/>
      </c>
      <c r="S412" s="2335">
        <f t="shared" si="39"/>
        <v>0</v>
      </c>
    </row>
    <row r="413" spans="1:19">
      <c r="A413" s="1932">
        <f t="shared" si="36"/>
        <v>0</v>
      </c>
      <c r="B413" s="1932">
        <f t="shared" si="37"/>
        <v>0</v>
      </c>
      <c r="C413" s="1013" t="s">
        <v>245</v>
      </c>
      <c r="D413" s="1013">
        <v>0</v>
      </c>
      <c r="E413" s="1013" t="s">
        <v>22698</v>
      </c>
      <c r="F413" s="1013">
        <v>30</v>
      </c>
      <c r="G413" s="1932" t="str">
        <f>+VLOOKUP(F413,TT_Tabelle_Riferimento!$D$127:$G$164,4,FALSE)</f>
        <v>Sistemi informativi</v>
      </c>
      <c r="H413" s="1013">
        <v>2</v>
      </c>
      <c r="I413" s="1932" t="str">
        <f>+VLOOKUP(H413,TT_Tabelle_Riferimento!$F$3:$G$6,2,FALSE)</f>
        <v>Fognatura bianca e pulizia / manutenzione caditoie stradali</v>
      </c>
      <c r="J413" s="1013">
        <v>2027</v>
      </c>
      <c r="K413" s="2335">
        <f>+SUMIFS('PdI-crono_inv'!BB:BB,'PdI-crono_inv'!CF:CF,F413,'PdI-crono_inv'!CE:CE,H413,'PdI-crono_inv'!J:J,P413,'PdI-crono_inv'!P:P,"&lt;&gt;proprietario")</f>
        <v>0</v>
      </c>
      <c r="M413" s="2335">
        <f>+SUMIFS('PdI-crono_inv'!BC:BC,'PdI-crono_inv'!CF:CF,F413,'PdI-crono_inv'!CE:CE,H413,'PdI-crono_inv'!J:J,P413,'PdI-crono_inv'!P:P,"&lt;&gt;proprietario")+S413</f>
        <v>0</v>
      </c>
      <c r="P413" s="1013" t="s">
        <v>25486</v>
      </c>
      <c r="Q413" s="1932" t="str">
        <f>+VLOOKUP(F413,TT_Tabelle_Riferimento!$D$127:$E$164,2,FALSE)</f>
        <v>Comune</v>
      </c>
      <c r="R413" s="1932" t="str">
        <f t="shared" si="38"/>
        <v/>
      </c>
      <c r="S413" s="2335">
        <f t="shared" si="39"/>
        <v>0</v>
      </c>
    </row>
    <row r="414" spans="1:19">
      <c r="A414" s="1932">
        <f t="shared" si="36"/>
        <v>0</v>
      </c>
      <c r="B414" s="1932">
        <f t="shared" si="37"/>
        <v>0</v>
      </c>
      <c r="C414" s="1013" t="s">
        <v>245</v>
      </c>
      <c r="D414" s="1013">
        <v>0</v>
      </c>
      <c r="E414" s="1013" t="s">
        <v>22698</v>
      </c>
      <c r="F414" s="1013">
        <v>31</v>
      </c>
      <c r="G414" s="1932" t="str">
        <f>+VLOOKUP(F414,TT_Tabelle_Riferimento!$D$127:$G$164,4,FALSE)</f>
        <v>Telecontrollo e teletrasmissione</v>
      </c>
      <c r="H414" s="1013">
        <v>2</v>
      </c>
      <c r="I414" s="1932" t="str">
        <f>+VLOOKUP(H414,TT_Tabelle_Riferimento!$F$3:$G$6,2,FALSE)</f>
        <v>Fognatura bianca e pulizia / manutenzione caditoie stradali</v>
      </c>
      <c r="J414" s="1013">
        <v>2027</v>
      </c>
      <c r="K414" s="2335">
        <f>+SUMIFS('PdI-crono_inv'!BB:BB,'PdI-crono_inv'!CF:CF,F414,'PdI-crono_inv'!CE:CE,H414,'PdI-crono_inv'!J:J,P414,'PdI-crono_inv'!P:P,"&lt;&gt;proprietario")</f>
        <v>0</v>
      </c>
      <c r="M414" s="2335">
        <f>+SUMIFS('PdI-crono_inv'!BC:BC,'PdI-crono_inv'!CF:CF,F414,'PdI-crono_inv'!CE:CE,H414,'PdI-crono_inv'!J:J,P414,'PdI-crono_inv'!P:P,"&lt;&gt;proprietario")+S414</f>
        <v>0</v>
      </c>
      <c r="P414" s="1013" t="s">
        <v>25486</v>
      </c>
      <c r="Q414" s="1932" t="str">
        <f>+VLOOKUP(F414,TT_Tabelle_Riferimento!$D$127:$E$164,2,FALSE)</f>
        <v>Comune</v>
      </c>
      <c r="R414" s="1932" t="str">
        <f t="shared" si="38"/>
        <v/>
      </c>
      <c r="S414" s="2335">
        <f t="shared" si="39"/>
        <v>0</v>
      </c>
    </row>
    <row r="415" spans="1:19">
      <c r="A415" s="1932">
        <f t="shared" si="36"/>
        <v>0</v>
      </c>
      <c r="B415" s="1932">
        <f t="shared" si="37"/>
        <v>0</v>
      </c>
      <c r="C415" s="1013" t="s">
        <v>245</v>
      </c>
      <c r="D415" s="1013">
        <v>0</v>
      </c>
      <c r="E415" s="1013" t="s">
        <v>22698</v>
      </c>
      <c r="F415" s="1013">
        <v>32</v>
      </c>
      <c r="G415" s="1932" t="str">
        <f>+VLOOKUP(F415,TT_Tabelle_Riferimento!$D$127:$G$164,4,FALSE)</f>
        <v>Autoveicoli - automezzi</v>
      </c>
      <c r="H415" s="1013">
        <v>2</v>
      </c>
      <c r="I415" s="1932" t="str">
        <f>+VLOOKUP(H415,TT_Tabelle_Riferimento!$F$3:$G$6,2,FALSE)</f>
        <v>Fognatura bianca e pulizia / manutenzione caditoie stradali</v>
      </c>
      <c r="J415" s="1013">
        <v>2027</v>
      </c>
      <c r="K415" s="2335">
        <f>+SUMIFS('PdI-crono_inv'!BB:BB,'PdI-crono_inv'!CF:CF,F415,'PdI-crono_inv'!CE:CE,H415,'PdI-crono_inv'!J:J,P415,'PdI-crono_inv'!P:P,"&lt;&gt;proprietario")</f>
        <v>0</v>
      </c>
      <c r="M415" s="2335">
        <f>+SUMIFS('PdI-crono_inv'!BC:BC,'PdI-crono_inv'!CF:CF,F415,'PdI-crono_inv'!CE:CE,H415,'PdI-crono_inv'!J:J,P415,'PdI-crono_inv'!P:P,"&lt;&gt;proprietario")+S415</f>
        <v>0</v>
      </c>
      <c r="P415" s="1013" t="s">
        <v>25486</v>
      </c>
      <c r="Q415" s="1932" t="str">
        <f>+VLOOKUP(F415,TT_Tabelle_Riferimento!$D$127:$E$164,2,FALSE)</f>
        <v>Comune</v>
      </c>
      <c r="R415" s="1932" t="str">
        <f t="shared" si="38"/>
        <v/>
      </c>
      <c r="S415" s="2335">
        <f t="shared" si="39"/>
        <v>0</v>
      </c>
    </row>
    <row r="416" spans="1:19">
      <c r="A416" s="1932">
        <f t="shared" si="36"/>
        <v>0</v>
      </c>
      <c r="B416" s="1932">
        <f t="shared" si="37"/>
        <v>0</v>
      </c>
      <c r="C416" s="1013" t="s">
        <v>245</v>
      </c>
      <c r="D416" s="1013">
        <v>0</v>
      </c>
      <c r="E416" s="1013" t="s">
        <v>22698</v>
      </c>
      <c r="F416" s="1013">
        <v>1</v>
      </c>
      <c r="G416" s="1932" t="str">
        <f>+VLOOKUP(F416,TT_Tabelle_Riferimento!$D$127:$G$164,4,FALSE)</f>
        <v>Terreni</v>
      </c>
      <c r="H416" s="1013">
        <v>2</v>
      </c>
      <c r="I416" s="1932" t="str">
        <f>+VLOOKUP(H416,TT_Tabelle_Riferimento!$F$3:$G$6,2,FALSE)</f>
        <v>Fognatura bianca e pulizia / manutenzione caditoie stradali</v>
      </c>
      <c r="J416" s="1013">
        <v>2027</v>
      </c>
      <c r="K416" s="2335">
        <f>+SUMIFS('PdI-crono_inv'!BB:BB,'PdI-crono_inv'!CF:CF,F416,'PdI-crono_inv'!CE:CE,H416,'PdI-crono_inv'!J:J,P416,'PdI-crono_inv'!P:P,"&lt;&gt;proprietario")</f>
        <v>0</v>
      </c>
      <c r="M416" s="2335">
        <f>+SUMIFS('PdI-crono_inv'!BC:BC,'PdI-crono_inv'!CF:CF,F416,'PdI-crono_inv'!CE:CE,H416,'PdI-crono_inv'!J:J,P416,'PdI-crono_inv'!P:P,"&lt;&gt;proprietario")+S416</f>
        <v>0</v>
      </c>
      <c r="P416" s="1013" t="s">
        <v>25486</v>
      </c>
      <c r="Q416" s="1932" t="str">
        <f>+VLOOKUP(F416,TT_Tabelle_Riferimento!$D$127:$E$164,2,FALSE)</f>
        <v>Comune</v>
      </c>
      <c r="R416" s="1932" t="str">
        <f t="shared" si="38"/>
        <v/>
      </c>
      <c r="S416" s="2335">
        <f t="shared" si="39"/>
        <v>0</v>
      </c>
    </row>
    <row r="417" spans="1:19">
      <c r="A417" s="1932">
        <f t="shared" si="36"/>
        <v>0</v>
      </c>
      <c r="B417" s="1932">
        <f t="shared" si="37"/>
        <v>0</v>
      </c>
      <c r="C417" s="1013" t="s">
        <v>245</v>
      </c>
      <c r="D417" s="1013">
        <v>0</v>
      </c>
      <c r="E417" s="1013" t="s">
        <v>22698</v>
      </c>
      <c r="F417" s="1013">
        <v>33</v>
      </c>
      <c r="G417" s="1932" t="str">
        <f>+VLOOKUP(F417,TT_Tabelle_Riferimento!$D$127:$G$164,4,FALSE)</f>
        <v>Fabbricati non industriali</v>
      </c>
      <c r="H417" s="1013">
        <v>2</v>
      </c>
      <c r="I417" s="1932" t="str">
        <f>+VLOOKUP(H417,TT_Tabelle_Riferimento!$F$3:$G$6,2,FALSE)</f>
        <v>Fognatura bianca e pulizia / manutenzione caditoie stradali</v>
      </c>
      <c r="J417" s="1013">
        <v>2027</v>
      </c>
      <c r="K417" s="2335">
        <f>+SUMIFS('PdI-crono_inv'!BB:BB,'PdI-crono_inv'!CF:CF,F417,'PdI-crono_inv'!CE:CE,H417,'PdI-crono_inv'!J:J,P417,'PdI-crono_inv'!P:P,"&lt;&gt;proprietario")</f>
        <v>0</v>
      </c>
      <c r="M417" s="2335">
        <f>+SUMIFS('PdI-crono_inv'!BC:BC,'PdI-crono_inv'!CF:CF,F417,'PdI-crono_inv'!CE:CE,H417,'PdI-crono_inv'!J:J,P417,'PdI-crono_inv'!P:P,"&lt;&gt;proprietario")+S417</f>
        <v>0</v>
      </c>
      <c r="P417" s="1013" t="s">
        <v>25486</v>
      </c>
      <c r="Q417" s="1932" t="str">
        <f>+VLOOKUP(F417,TT_Tabelle_Riferimento!$D$127:$E$164,2,FALSE)</f>
        <v>Comune</v>
      </c>
      <c r="R417" s="1932" t="str">
        <f t="shared" si="38"/>
        <v/>
      </c>
      <c r="S417" s="2335">
        <f t="shared" si="39"/>
        <v>0</v>
      </c>
    </row>
    <row r="418" spans="1:19">
      <c r="A418" s="1932">
        <f t="shared" si="36"/>
        <v>0</v>
      </c>
      <c r="B418" s="1932">
        <f t="shared" si="37"/>
        <v>0</v>
      </c>
      <c r="C418" s="1013" t="s">
        <v>245</v>
      </c>
      <c r="D418" s="1013">
        <v>0</v>
      </c>
      <c r="E418" s="1013" t="s">
        <v>22698</v>
      </c>
      <c r="F418" s="1013">
        <v>34</v>
      </c>
      <c r="G418" s="1932" t="str">
        <f>+VLOOKUP(F418,TT_Tabelle_Riferimento!$D$127:$G$164,4,FALSE)</f>
        <v>Fabbricati industriali</v>
      </c>
      <c r="H418" s="1013">
        <v>2</v>
      </c>
      <c r="I418" s="1932" t="str">
        <f>+VLOOKUP(H418,TT_Tabelle_Riferimento!$F$3:$G$6,2,FALSE)</f>
        <v>Fognatura bianca e pulizia / manutenzione caditoie stradali</v>
      </c>
      <c r="J418" s="1013">
        <v>2027</v>
      </c>
      <c r="K418" s="2335">
        <f>+SUMIFS('PdI-crono_inv'!BB:BB,'PdI-crono_inv'!CF:CF,F418,'PdI-crono_inv'!CE:CE,H418,'PdI-crono_inv'!J:J,P418,'PdI-crono_inv'!P:P,"&lt;&gt;proprietario")</f>
        <v>0</v>
      </c>
      <c r="M418" s="2335">
        <f>+SUMIFS('PdI-crono_inv'!BC:BC,'PdI-crono_inv'!CF:CF,F418,'PdI-crono_inv'!CE:CE,H418,'PdI-crono_inv'!J:J,P418,'PdI-crono_inv'!P:P,"&lt;&gt;proprietario")+S418</f>
        <v>0</v>
      </c>
      <c r="P418" s="1013" t="s">
        <v>25486</v>
      </c>
      <c r="Q418" s="1932" t="str">
        <f>+VLOOKUP(F418,TT_Tabelle_Riferimento!$D$127:$E$164,2,FALSE)</f>
        <v>Comune</v>
      </c>
      <c r="R418" s="1932" t="str">
        <f t="shared" si="38"/>
        <v/>
      </c>
      <c r="S418" s="2335">
        <f t="shared" si="39"/>
        <v>0</v>
      </c>
    </row>
    <row r="419" spans="1:19">
      <c r="A419" s="1932">
        <f t="shared" si="36"/>
        <v>0</v>
      </c>
      <c r="B419" s="1932">
        <f t="shared" si="37"/>
        <v>0</v>
      </c>
      <c r="C419" s="1013" t="s">
        <v>245</v>
      </c>
      <c r="D419" s="1013">
        <v>0</v>
      </c>
      <c r="E419" s="1013" t="s">
        <v>22698</v>
      </c>
      <c r="F419" s="1013">
        <v>35</v>
      </c>
      <c r="G419" s="1932" t="str">
        <f>+VLOOKUP(F419,TT_Tabelle_Riferimento!$D$127:$G$164,4,FALSE)</f>
        <v>Costruzioni leggere</v>
      </c>
      <c r="H419" s="1013">
        <v>2</v>
      </c>
      <c r="I419" s="1932" t="str">
        <f>+VLOOKUP(H419,TT_Tabelle_Riferimento!$F$3:$G$6,2,FALSE)</f>
        <v>Fognatura bianca e pulizia / manutenzione caditoie stradali</v>
      </c>
      <c r="J419" s="1013">
        <v>2027</v>
      </c>
      <c r="K419" s="2335">
        <f>+SUMIFS('PdI-crono_inv'!BB:BB,'PdI-crono_inv'!CF:CF,F419,'PdI-crono_inv'!CE:CE,H419,'PdI-crono_inv'!J:J,P419,'PdI-crono_inv'!P:P,"&lt;&gt;proprietario")</f>
        <v>0</v>
      </c>
      <c r="M419" s="2335">
        <f>+SUMIFS('PdI-crono_inv'!BC:BC,'PdI-crono_inv'!CF:CF,F419,'PdI-crono_inv'!CE:CE,H419,'PdI-crono_inv'!J:J,P419,'PdI-crono_inv'!P:P,"&lt;&gt;proprietario")+S419</f>
        <v>0</v>
      </c>
      <c r="P419" s="1013" t="s">
        <v>25486</v>
      </c>
      <c r="Q419" s="1932" t="str">
        <f>+VLOOKUP(F419,TT_Tabelle_Riferimento!$D$127:$E$164,2,FALSE)</f>
        <v>Comune</v>
      </c>
      <c r="R419" s="1932" t="str">
        <f t="shared" si="38"/>
        <v/>
      </c>
      <c r="S419" s="2335">
        <f t="shared" si="39"/>
        <v>0</v>
      </c>
    </row>
    <row r="420" spans="1:19">
      <c r="A420" s="1932">
        <f t="shared" si="36"/>
        <v>0</v>
      </c>
      <c r="B420" s="1932">
        <f t="shared" si="37"/>
        <v>0</v>
      </c>
      <c r="C420" s="1013" t="s">
        <v>245</v>
      </c>
      <c r="D420" s="1013">
        <v>0</v>
      </c>
      <c r="E420" s="1013" t="s">
        <v>22698</v>
      </c>
      <c r="F420" s="1013">
        <v>36</v>
      </c>
      <c r="G420" s="1932" t="str">
        <f>+VLOOKUP(F420,TT_Tabelle_Riferimento!$D$127:$G$164,4,FALSE)</f>
        <v>Studi, ricerche, brevetti, diritti di utilizzazione</v>
      </c>
      <c r="H420" s="1013">
        <v>2</v>
      </c>
      <c r="I420" s="1932" t="str">
        <f>+VLOOKUP(H420,TT_Tabelle_Riferimento!$F$3:$G$6,2,FALSE)</f>
        <v>Fognatura bianca e pulizia / manutenzione caditoie stradali</v>
      </c>
      <c r="J420" s="1013">
        <v>2027</v>
      </c>
      <c r="K420" s="2335">
        <f>+SUMIFS('PdI-crono_inv'!BB:BB,'PdI-crono_inv'!CF:CF,F420,'PdI-crono_inv'!CE:CE,H420,'PdI-crono_inv'!J:J,P420,'PdI-crono_inv'!P:P,"&lt;&gt;proprietario")</f>
        <v>0</v>
      </c>
      <c r="M420" s="2335">
        <f>+SUMIFS('PdI-crono_inv'!BC:BC,'PdI-crono_inv'!CF:CF,F420,'PdI-crono_inv'!CE:CE,H420,'PdI-crono_inv'!J:J,P420,'PdI-crono_inv'!P:P,"&lt;&gt;proprietario")+S420</f>
        <v>0</v>
      </c>
      <c r="P420" s="1013" t="s">
        <v>25486</v>
      </c>
      <c r="Q420" s="1932" t="str">
        <f>+VLOOKUP(F420,TT_Tabelle_Riferimento!$D$127:$E$164,2,FALSE)</f>
        <v>Comune</v>
      </c>
      <c r="R420" s="1932" t="str">
        <f t="shared" si="38"/>
        <v/>
      </c>
      <c r="S420" s="2335">
        <f t="shared" si="39"/>
        <v>0</v>
      </c>
    </row>
    <row r="421" spans="1:19">
      <c r="A421" s="1932">
        <v>0</v>
      </c>
      <c r="B421" s="1932">
        <v>0</v>
      </c>
      <c r="C421" s="1013" t="s">
        <v>245</v>
      </c>
      <c r="D421" s="1013">
        <v>0</v>
      </c>
      <c r="E421" s="1013" t="s">
        <v>22698</v>
      </c>
      <c r="F421" s="1013">
        <v>37</v>
      </c>
      <c r="G421" s="1932" t="str">
        <f>+VLOOKUP(F421,TT_Tabelle_Riferimento!$D$127:$G$164,4,FALSE)</f>
        <v>Altre immobilizzazioni materiali e immateriali</v>
      </c>
      <c r="H421" s="1013">
        <v>2</v>
      </c>
      <c r="I421" s="1932" t="str">
        <f>+VLOOKUP(H421,TT_Tabelle_Riferimento!$F$3:$G$6,2,FALSE)</f>
        <v>Fognatura bianca e pulizia / manutenzione caditoie stradali</v>
      </c>
      <c r="J421" s="1013">
        <v>2027</v>
      </c>
      <c r="K421" s="2335">
        <f>+SUMIFS('PdI-crono_inv'!BB:BB,'PdI-crono_inv'!CF:CF,F421,'PdI-crono_inv'!CE:CE,H421,'PdI-crono_inv'!J:J,P421,'PdI-crono_inv'!P:P,"&lt;&gt;proprietario")</f>
        <v>0</v>
      </c>
      <c r="M421" s="2335">
        <f>+SUMIFS('PdI-crono_inv'!BC:BC,'PdI-crono_inv'!CF:CF,F421,'PdI-crono_inv'!CE:CE,H421,'PdI-crono_inv'!J:J,P421,'PdI-crono_inv'!P:P,"&lt;&gt;proprietario")+S421</f>
        <v>0</v>
      </c>
      <c r="P421" s="1013" t="s">
        <v>25486</v>
      </c>
      <c r="Q421" s="1932" t="str">
        <f>+VLOOKUP(F421,TT_Tabelle_Riferimento!$D$127:$E$164,2,FALSE)</f>
        <v>Comune</v>
      </c>
      <c r="R421" s="1932" t="str">
        <f t="shared" si="38"/>
        <v/>
      </c>
      <c r="S421" s="2335">
        <f t="shared" si="39"/>
        <v>0</v>
      </c>
    </row>
    <row r="422" spans="1:19">
      <c r="A422" s="1932">
        <v>0</v>
      </c>
      <c r="B422" s="1932">
        <v>0</v>
      </c>
      <c r="C422" s="1013" t="s">
        <v>245</v>
      </c>
      <c r="D422" s="1013">
        <v>0</v>
      </c>
      <c r="E422" s="1013" t="s">
        <v>22698</v>
      </c>
      <c r="F422" s="1013">
        <v>38</v>
      </c>
      <c r="G422" s="1932" t="str">
        <f>+VLOOKUP(F422,TT_Tabelle_Riferimento!$D$127:$G$164,4,FALSE)</f>
        <v>Grandi dighe (sbarramenti che superano i quindici metri di altezza o che determinano un invaso superiore a 1 milione di metri cubi)</v>
      </c>
      <c r="H422" s="1013">
        <v>2</v>
      </c>
      <c r="I422" s="1932" t="str">
        <f>+VLOOKUP(H422,TT_Tabelle_Riferimento!$F$3:$G$6,2,FALSE)</f>
        <v>Fognatura bianca e pulizia / manutenzione caditoie stradali</v>
      </c>
      <c r="J422" s="1013">
        <v>2027</v>
      </c>
      <c r="K422" s="2335">
        <f>+SUMIFS('PdI-crono_inv'!BB:BB,'PdI-crono_inv'!CF:CF,F422,'PdI-crono_inv'!CE:CE,H422,'PdI-crono_inv'!J:J,P422,'PdI-crono_inv'!P:P,"&lt;&gt;proprietario")</f>
        <v>0</v>
      </c>
      <c r="M422" s="2335">
        <f>+SUMIFS('PdI-crono_inv'!BC:BC,'PdI-crono_inv'!CF:CF,F422,'PdI-crono_inv'!CE:CE,H422,'PdI-crono_inv'!J:J,P422,'PdI-crono_inv'!P:P,"&lt;&gt;proprietario")+S422</f>
        <v>0</v>
      </c>
      <c r="P422" s="1013" t="s">
        <v>25486</v>
      </c>
      <c r="Q422" s="1932" t="str">
        <f>+VLOOKUP(F422,TT_Tabelle_Riferimento!$D$127:$E$164,2,FALSE)</f>
        <v>Acquedotto</v>
      </c>
      <c r="R422" s="1932" t="str">
        <f t="shared" si="38"/>
        <v/>
      </c>
      <c r="S422" s="2335">
        <f t="shared" si="39"/>
        <v>0</v>
      </c>
    </row>
    <row r="423" spans="1:19">
      <c r="A423" s="1932">
        <v>0</v>
      </c>
      <c r="B423" s="1932">
        <v>0</v>
      </c>
      <c r="C423" s="1013" t="s">
        <v>245</v>
      </c>
      <c r="D423" s="1013">
        <v>0</v>
      </c>
      <c r="E423" s="1013" t="s">
        <v>22698</v>
      </c>
      <c r="F423" s="1013">
        <v>39</v>
      </c>
      <c r="G423" s="1932" t="str">
        <f>+VLOOKUP(F423,TT_Tabelle_Riferimento!$D$127:$G$164,4,FALSE)</f>
        <v>Piccole dighe (sbarramenti che non superano i quindici metri di altezza o che determinano un invaso non superiore a 1 milione di metri cubi)</v>
      </c>
      <c r="H423" s="1013">
        <v>2</v>
      </c>
      <c r="I423" s="1932" t="str">
        <f>+VLOOKUP(H423,TT_Tabelle_Riferimento!$F$3:$G$6,2,FALSE)</f>
        <v>Fognatura bianca e pulizia / manutenzione caditoie stradali</v>
      </c>
      <c r="J423" s="1013">
        <v>2027</v>
      </c>
      <c r="K423" s="2335">
        <f>+SUMIFS('PdI-crono_inv'!BB:BB,'PdI-crono_inv'!CF:CF,F423,'PdI-crono_inv'!CE:CE,H423,'PdI-crono_inv'!J:J,P423,'PdI-crono_inv'!P:P,"&lt;&gt;proprietario")</f>
        <v>0</v>
      </c>
      <c r="M423" s="2335">
        <f>+SUMIFS('PdI-crono_inv'!BC:BC,'PdI-crono_inv'!CF:CF,F423,'PdI-crono_inv'!CE:CE,H423,'PdI-crono_inv'!J:J,P423,'PdI-crono_inv'!P:P,"&lt;&gt;proprietario")+S423</f>
        <v>0</v>
      </c>
      <c r="P423" s="1013" t="s">
        <v>25486</v>
      </c>
      <c r="Q423" s="1932" t="str">
        <f>+VLOOKUP(F423,TT_Tabelle_Riferimento!$D$127:$E$164,2,FALSE)</f>
        <v>Acquedotto</v>
      </c>
      <c r="R423" s="1932" t="str">
        <f t="shared" si="38"/>
        <v/>
      </c>
      <c r="S423" s="2335">
        <f t="shared" si="39"/>
        <v>0</v>
      </c>
    </row>
    <row r="424" spans="1:19">
      <c r="A424" s="1932">
        <f t="shared" ref="A424:A487" si="40">+idato</f>
        <v>0</v>
      </c>
      <c r="B424" s="1932">
        <f t="shared" ref="B424:B487" si="41">+idgestore</f>
        <v>0</v>
      </c>
      <c r="C424" s="1013" t="s">
        <v>245</v>
      </c>
      <c r="D424" s="1013">
        <v>0</v>
      </c>
      <c r="E424" s="1013" t="s">
        <v>22698</v>
      </c>
      <c r="F424" s="1013">
        <v>2</v>
      </c>
      <c r="G424" s="1932" t="str">
        <f>+VLOOKUP(F424,TT_Tabelle_Riferimento!$D$127:$G$164,4,FALSE)</f>
        <v>Condotte di acquedotto</v>
      </c>
      <c r="H424" s="1013">
        <v>3</v>
      </c>
      <c r="I424" s="1932" t="str">
        <f>+VLOOKUP(H424,TT_Tabelle_Riferimento!$F$3:$G$6,2,FALSE)</f>
        <v>Altri servizi idrici</v>
      </c>
      <c r="J424" s="1013">
        <v>2027</v>
      </c>
      <c r="K424" s="2335">
        <f>+SUMIFS('PdI-crono_inv'!BB:BB,'PdI-crono_inv'!CF:CF,F424,'PdI-crono_inv'!CE:CE,H424,'PdI-crono_inv'!J:J,P424,'PdI-crono_inv'!P:P,"&lt;&gt;proprietario")</f>
        <v>0</v>
      </c>
      <c r="M424" s="2335">
        <f>+SUMIFS('PdI-crono_inv'!BC:BC,'PdI-crono_inv'!CF:CF,F424,'PdI-crono_inv'!CE:CE,H424,'PdI-crono_inv'!J:J,P424,'PdI-crono_inv'!P:P,"&lt;&gt;proprietario")+S424</f>
        <v>0</v>
      </c>
      <c r="P424" s="1013" t="s">
        <v>25486</v>
      </c>
      <c r="Q424" s="1932" t="str">
        <f>+VLOOKUP(F424,TT_Tabelle_Riferimento!$D$127:$E$164,2,FALSE)</f>
        <v>Acquedotto</v>
      </c>
      <c r="R424" s="1932" t="str">
        <f t="shared" si="38"/>
        <v/>
      </c>
      <c r="S424" s="2335">
        <f t="shared" si="39"/>
        <v>0</v>
      </c>
    </row>
    <row r="425" spans="1:19">
      <c r="A425" s="1932">
        <f t="shared" si="40"/>
        <v>0</v>
      </c>
      <c r="B425" s="1932">
        <f t="shared" si="41"/>
        <v>0</v>
      </c>
      <c r="C425" s="1013" t="s">
        <v>245</v>
      </c>
      <c r="D425" s="1013">
        <v>0</v>
      </c>
      <c r="E425" s="1013" t="s">
        <v>22698</v>
      </c>
      <c r="F425" s="1013">
        <v>3</v>
      </c>
      <c r="G425" s="1932" t="str">
        <f>+VLOOKUP(F425,TT_Tabelle_Riferimento!$D$127:$G$164,4,FALSE)</f>
        <v>Opere idrauliche fisse di acquedotto</v>
      </c>
      <c r="H425" s="1013">
        <v>3</v>
      </c>
      <c r="I425" s="1932" t="str">
        <f>+VLOOKUP(H425,TT_Tabelle_Riferimento!$F$3:$G$6,2,FALSE)</f>
        <v>Altri servizi idrici</v>
      </c>
      <c r="J425" s="1013">
        <v>2027</v>
      </c>
      <c r="K425" s="2335">
        <f>+SUMIFS('PdI-crono_inv'!BB:BB,'PdI-crono_inv'!CF:CF,F425,'PdI-crono_inv'!CE:CE,H425,'PdI-crono_inv'!J:J,P425,'PdI-crono_inv'!P:P,"&lt;&gt;proprietario")</f>
        <v>0</v>
      </c>
      <c r="M425" s="2335">
        <f>+SUMIFS('PdI-crono_inv'!BC:BC,'PdI-crono_inv'!CF:CF,F425,'PdI-crono_inv'!CE:CE,H425,'PdI-crono_inv'!J:J,P425,'PdI-crono_inv'!P:P,"&lt;&gt;proprietario")+S425</f>
        <v>0</v>
      </c>
      <c r="P425" s="1013" t="s">
        <v>25486</v>
      </c>
      <c r="Q425" s="1932" t="str">
        <f>+VLOOKUP(F425,TT_Tabelle_Riferimento!$D$127:$E$164,2,FALSE)</f>
        <v>Acquedotto</v>
      </c>
      <c r="R425" s="1932" t="str">
        <f t="shared" si="38"/>
        <v/>
      </c>
      <c r="S425" s="2335">
        <f t="shared" si="39"/>
        <v>0</v>
      </c>
    </row>
    <row r="426" spans="1:19">
      <c r="A426" s="1932">
        <f t="shared" si="40"/>
        <v>0</v>
      </c>
      <c r="B426" s="1932">
        <f t="shared" si="41"/>
        <v>0</v>
      </c>
      <c r="C426" s="1013" t="s">
        <v>245</v>
      </c>
      <c r="D426" s="1013">
        <v>0</v>
      </c>
      <c r="E426" s="1013" t="s">
        <v>22698</v>
      </c>
      <c r="F426" s="1013">
        <v>4</v>
      </c>
      <c r="G426" s="1932" t="str">
        <f>+VLOOKUP(F426,TT_Tabelle_Riferimento!$D$127:$G$164,4,FALSE)</f>
        <v>Serbatoi</v>
      </c>
      <c r="H426" s="1013">
        <v>3</v>
      </c>
      <c r="I426" s="1932" t="str">
        <f>+VLOOKUP(H426,TT_Tabelle_Riferimento!$F$3:$G$6,2,FALSE)</f>
        <v>Altri servizi idrici</v>
      </c>
      <c r="J426" s="1013">
        <v>2027</v>
      </c>
      <c r="K426" s="2335">
        <f>+SUMIFS('PdI-crono_inv'!BB:BB,'PdI-crono_inv'!CF:CF,F426,'PdI-crono_inv'!CE:CE,H426,'PdI-crono_inv'!J:J,P426,'PdI-crono_inv'!P:P,"&lt;&gt;proprietario")</f>
        <v>0</v>
      </c>
      <c r="M426" s="2335">
        <f>+SUMIFS('PdI-crono_inv'!BC:BC,'PdI-crono_inv'!CF:CF,F426,'PdI-crono_inv'!CE:CE,H426,'PdI-crono_inv'!J:J,P426,'PdI-crono_inv'!P:P,"&lt;&gt;proprietario")+S426</f>
        <v>0</v>
      </c>
      <c r="P426" s="1013" t="s">
        <v>25486</v>
      </c>
      <c r="Q426" s="1932" t="str">
        <f>+VLOOKUP(F426,TT_Tabelle_Riferimento!$D$127:$E$164,2,FALSE)</f>
        <v>Acquedotto</v>
      </c>
      <c r="R426" s="1932" t="str">
        <f t="shared" si="38"/>
        <v/>
      </c>
      <c r="S426" s="2335">
        <f t="shared" si="39"/>
        <v>0</v>
      </c>
    </row>
    <row r="427" spans="1:19">
      <c r="A427" s="1932">
        <f t="shared" si="40"/>
        <v>0</v>
      </c>
      <c r="B427" s="1932">
        <f t="shared" si="41"/>
        <v>0</v>
      </c>
      <c r="C427" s="1013" t="s">
        <v>245</v>
      </c>
      <c r="D427" s="1013">
        <v>0</v>
      </c>
      <c r="E427" s="1013" t="s">
        <v>22698</v>
      </c>
      <c r="F427" s="1013">
        <v>5</v>
      </c>
      <c r="G427" s="1932" t="str">
        <f>+VLOOKUP(F427,TT_Tabelle_Riferimento!$D$127:$G$164,4,FALSE)</f>
        <v>Impianti di sollevamento e pompaggio di acquedotto</v>
      </c>
      <c r="H427" s="1013">
        <v>3</v>
      </c>
      <c r="I427" s="1932" t="str">
        <f>+VLOOKUP(H427,TT_Tabelle_Riferimento!$F$3:$G$6,2,FALSE)</f>
        <v>Altri servizi idrici</v>
      </c>
      <c r="J427" s="1013">
        <v>2027</v>
      </c>
      <c r="K427" s="2335">
        <f>+SUMIFS('PdI-crono_inv'!BB:BB,'PdI-crono_inv'!CF:CF,F427,'PdI-crono_inv'!CE:CE,H427,'PdI-crono_inv'!J:J,P427,'PdI-crono_inv'!P:P,"&lt;&gt;proprietario")</f>
        <v>0</v>
      </c>
      <c r="M427" s="2335">
        <f>+SUMIFS('PdI-crono_inv'!BC:BC,'PdI-crono_inv'!CF:CF,F427,'PdI-crono_inv'!CE:CE,H427,'PdI-crono_inv'!J:J,P427,'PdI-crono_inv'!P:P,"&lt;&gt;proprietario")+S427</f>
        <v>0</v>
      </c>
      <c r="P427" s="1013" t="s">
        <v>25486</v>
      </c>
      <c r="Q427" s="1932" t="str">
        <f>+VLOOKUP(F427,TT_Tabelle_Riferimento!$D$127:$E$164,2,FALSE)</f>
        <v>Acquedotto</v>
      </c>
      <c r="R427" s="1932" t="str">
        <f t="shared" si="38"/>
        <v/>
      </c>
      <c r="S427" s="2335">
        <f t="shared" si="39"/>
        <v>0</v>
      </c>
    </row>
    <row r="428" spans="1:19">
      <c r="A428" s="1932">
        <f t="shared" si="40"/>
        <v>0</v>
      </c>
      <c r="B428" s="1932">
        <f t="shared" si="41"/>
        <v>0</v>
      </c>
      <c r="C428" s="1013" t="s">
        <v>245</v>
      </c>
      <c r="D428" s="1013">
        <v>0</v>
      </c>
      <c r="E428" s="1013" t="s">
        <v>22698</v>
      </c>
      <c r="F428" s="1013">
        <v>6</v>
      </c>
      <c r="G428" s="1932" t="str">
        <f>+VLOOKUP(F428,TT_Tabelle_Riferimento!$D$127:$G$164,4,FALSE)</f>
        <v>Impianti di potabilizzazione</v>
      </c>
      <c r="H428" s="1013">
        <v>3</v>
      </c>
      <c r="I428" s="1932" t="str">
        <f>+VLOOKUP(H428,TT_Tabelle_Riferimento!$F$3:$G$6,2,FALSE)</f>
        <v>Altri servizi idrici</v>
      </c>
      <c r="J428" s="1013">
        <v>2027</v>
      </c>
      <c r="K428" s="2335">
        <f>+SUMIFS('PdI-crono_inv'!BB:BB,'PdI-crono_inv'!CF:CF,F428,'PdI-crono_inv'!CE:CE,H428,'PdI-crono_inv'!J:J,P428,'PdI-crono_inv'!P:P,"&lt;&gt;proprietario")</f>
        <v>0</v>
      </c>
      <c r="M428" s="2335">
        <f>+SUMIFS('PdI-crono_inv'!BC:BC,'PdI-crono_inv'!CF:CF,F428,'PdI-crono_inv'!CE:CE,H428,'PdI-crono_inv'!J:J,P428,'PdI-crono_inv'!P:P,"&lt;&gt;proprietario")+S428</f>
        <v>0</v>
      </c>
      <c r="P428" s="1013" t="s">
        <v>25486</v>
      </c>
      <c r="Q428" s="1932" t="str">
        <f>+VLOOKUP(F428,TT_Tabelle_Riferimento!$D$127:$E$164,2,FALSE)</f>
        <v>Acquedotto</v>
      </c>
      <c r="R428" s="1932" t="str">
        <f t="shared" si="38"/>
        <v/>
      </c>
      <c r="S428" s="2335">
        <f t="shared" si="39"/>
        <v>0</v>
      </c>
    </row>
    <row r="429" spans="1:19">
      <c r="A429" s="1932">
        <f t="shared" si="40"/>
        <v>0</v>
      </c>
      <c r="B429" s="1932">
        <f t="shared" si="41"/>
        <v>0</v>
      </c>
      <c r="C429" s="1013" t="s">
        <v>245</v>
      </c>
      <c r="D429" s="1013">
        <v>0</v>
      </c>
      <c r="E429" s="1013" t="s">
        <v>22698</v>
      </c>
      <c r="F429" s="1013">
        <v>7</v>
      </c>
      <c r="G429" s="1932" t="str">
        <f>+VLOOKUP(F429,TT_Tabelle_Riferimento!$D$127:$G$164,4,FALSE)</f>
        <v>Altri trattamenti di potabilizzazione (tra cui dispositivi di disinfezione, stacciatura, filtrazione, addolcimento)</v>
      </c>
      <c r="H429" s="1013">
        <v>3</v>
      </c>
      <c r="I429" s="1932" t="str">
        <f>+VLOOKUP(H429,TT_Tabelle_Riferimento!$F$3:$G$6,2,FALSE)</f>
        <v>Altri servizi idrici</v>
      </c>
      <c r="J429" s="1013">
        <v>2027</v>
      </c>
      <c r="K429" s="2335">
        <f>+SUMIFS('PdI-crono_inv'!BB:BB,'PdI-crono_inv'!CF:CF,F429,'PdI-crono_inv'!CE:CE,H429,'PdI-crono_inv'!J:J,P429,'PdI-crono_inv'!P:P,"&lt;&gt;proprietario")</f>
        <v>0</v>
      </c>
      <c r="M429" s="2335">
        <f>+SUMIFS('PdI-crono_inv'!BC:BC,'PdI-crono_inv'!CF:CF,F429,'PdI-crono_inv'!CE:CE,H429,'PdI-crono_inv'!J:J,P429,'PdI-crono_inv'!P:P,"&lt;&gt;proprietario")+S429</f>
        <v>0</v>
      </c>
      <c r="P429" s="1013" t="s">
        <v>25486</v>
      </c>
      <c r="Q429" s="1932" t="str">
        <f>+VLOOKUP(F429,TT_Tabelle_Riferimento!$D$127:$E$164,2,FALSE)</f>
        <v>Acquedotto</v>
      </c>
      <c r="R429" s="1932" t="str">
        <f t="shared" si="38"/>
        <v/>
      </c>
      <c r="S429" s="2335">
        <f t="shared" si="39"/>
        <v>0</v>
      </c>
    </row>
    <row r="430" spans="1:19">
      <c r="A430" s="1932">
        <f t="shared" si="40"/>
        <v>0</v>
      </c>
      <c r="B430" s="1932">
        <f t="shared" si="41"/>
        <v>0</v>
      </c>
      <c r="C430" s="1013" t="s">
        <v>245</v>
      </c>
      <c r="D430" s="1013">
        <v>0</v>
      </c>
      <c r="E430" s="1013" t="s">
        <v>22698</v>
      </c>
      <c r="F430" s="1013">
        <v>8</v>
      </c>
      <c r="G430" s="1932" t="str">
        <f>+VLOOKUP(F430,TT_Tabelle_Riferimento!$D$127:$G$164,4,FALSE)</f>
        <v>Gruppi di misura - altre attrezzature di acquedotto</v>
      </c>
      <c r="H430" s="1013">
        <v>3</v>
      </c>
      <c r="I430" s="1932" t="str">
        <f>+VLOOKUP(H430,TT_Tabelle_Riferimento!$F$3:$G$6,2,FALSE)</f>
        <v>Altri servizi idrici</v>
      </c>
      <c r="J430" s="1013">
        <v>2027</v>
      </c>
      <c r="K430" s="2335">
        <f>+SUMIFS('PdI-crono_inv'!BB:BB,'PdI-crono_inv'!CF:CF,F430,'PdI-crono_inv'!CE:CE,H430,'PdI-crono_inv'!J:J,P430,'PdI-crono_inv'!P:P,"&lt;&gt;proprietario")</f>
        <v>0</v>
      </c>
      <c r="M430" s="2335">
        <f>+SUMIFS('PdI-crono_inv'!BC:BC,'PdI-crono_inv'!CF:CF,F430,'PdI-crono_inv'!CE:CE,H430,'PdI-crono_inv'!J:J,P430,'PdI-crono_inv'!P:P,"&lt;&gt;proprietario")+S430</f>
        <v>0</v>
      </c>
      <c r="P430" s="1013" t="s">
        <v>25486</v>
      </c>
      <c r="Q430" s="1932" t="str">
        <f>+VLOOKUP(F430,TT_Tabelle_Riferimento!$D$127:$E$164,2,FALSE)</f>
        <v>Acquedotto</v>
      </c>
      <c r="R430" s="1932" t="str">
        <f t="shared" si="38"/>
        <v/>
      </c>
      <c r="S430" s="2335">
        <f t="shared" si="39"/>
        <v>0</v>
      </c>
    </row>
    <row r="431" spans="1:19">
      <c r="A431" s="1932">
        <f t="shared" si="40"/>
        <v>0</v>
      </c>
      <c r="B431" s="1932">
        <f t="shared" si="41"/>
        <v>0</v>
      </c>
      <c r="C431" s="1013" t="s">
        <v>245</v>
      </c>
      <c r="D431" s="1013">
        <v>0</v>
      </c>
      <c r="E431" s="1013" t="s">
        <v>22698</v>
      </c>
      <c r="F431" s="1013">
        <v>9</v>
      </c>
      <c r="G431" s="1932" t="str">
        <f>+VLOOKUP(F431,TT_Tabelle_Riferimento!$D$127:$G$164,4,FALSE)</f>
        <v>Sistemi informativi di acquedotto</v>
      </c>
      <c r="H431" s="1013">
        <v>3</v>
      </c>
      <c r="I431" s="1932" t="str">
        <f>+VLOOKUP(H431,TT_Tabelle_Riferimento!$F$3:$G$6,2,FALSE)</f>
        <v>Altri servizi idrici</v>
      </c>
      <c r="J431" s="1013">
        <v>2027</v>
      </c>
      <c r="K431" s="2335">
        <f>+SUMIFS('PdI-crono_inv'!BB:BB,'PdI-crono_inv'!CF:CF,F431,'PdI-crono_inv'!CE:CE,H431,'PdI-crono_inv'!J:J,P431,'PdI-crono_inv'!P:P,"&lt;&gt;proprietario")</f>
        <v>0</v>
      </c>
      <c r="M431" s="2335">
        <f>+SUMIFS('PdI-crono_inv'!BC:BC,'PdI-crono_inv'!CF:CF,F431,'PdI-crono_inv'!CE:CE,H431,'PdI-crono_inv'!J:J,P431,'PdI-crono_inv'!P:P,"&lt;&gt;proprietario")+S431</f>
        <v>0</v>
      </c>
      <c r="P431" s="1013" t="s">
        <v>25486</v>
      </c>
      <c r="Q431" s="1932" t="str">
        <f>+VLOOKUP(F431,TT_Tabelle_Riferimento!$D$127:$E$164,2,FALSE)</f>
        <v>Acquedotto</v>
      </c>
      <c r="R431" s="1932" t="str">
        <f t="shared" si="38"/>
        <v/>
      </c>
      <c r="S431" s="2335">
        <f t="shared" si="39"/>
        <v>0</v>
      </c>
    </row>
    <row r="432" spans="1:19">
      <c r="A432" s="1932">
        <f t="shared" si="40"/>
        <v>0</v>
      </c>
      <c r="B432" s="1932">
        <f t="shared" si="41"/>
        <v>0</v>
      </c>
      <c r="C432" s="1013" t="s">
        <v>245</v>
      </c>
      <c r="D432" s="1013">
        <v>0</v>
      </c>
      <c r="E432" s="1013" t="s">
        <v>22698</v>
      </c>
      <c r="F432" s="1013">
        <v>10</v>
      </c>
      <c r="G432" s="1932" t="str">
        <f>+VLOOKUP(F432,TT_Tabelle_Riferimento!$D$127:$G$164,4,FALSE)</f>
        <v>Telecontrollo e teletrasmissione di acquedotto</v>
      </c>
      <c r="H432" s="1013">
        <v>3</v>
      </c>
      <c r="I432" s="1932" t="str">
        <f>+VLOOKUP(H432,TT_Tabelle_Riferimento!$F$3:$G$6,2,FALSE)</f>
        <v>Altri servizi idrici</v>
      </c>
      <c r="J432" s="1013">
        <v>2027</v>
      </c>
      <c r="K432" s="2335">
        <f>+SUMIFS('PdI-crono_inv'!BB:BB,'PdI-crono_inv'!CF:CF,F432,'PdI-crono_inv'!CE:CE,H432,'PdI-crono_inv'!J:J,P432,'PdI-crono_inv'!P:P,"&lt;&gt;proprietario")</f>
        <v>0</v>
      </c>
      <c r="M432" s="2335">
        <f>+SUMIFS('PdI-crono_inv'!BC:BC,'PdI-crono_inv'!CF:CF,F432,'PdI-crono_inv'!CE:CE,H432,'PdI-crono_inv'!J:J,P432,'PdI-crono_inv'!P:P,"&lt;&gt;proprietario")+S432</f>
        <v>0</v>
      </c>
      <c r="P432" s="1013" t="s">
        <v>25486</v>
      </c>
      <c r="Q432" s="1932" t="str">
        <f>+VLOOKUP(F432,TT_Tabelle_Riferimento!$D$127:$E$164,2,FALSE)</f>
        <v>Acquedotto</v>
      </c>
      <c r="R432" s="1932" t="str">
        <f t="shared" si="38"/>
        <v/>
      </c>
      <c r="S432" s="2335">
        <f t="shared" si="39"/>
        <v>0</v>
      </c>
    </row>
    <row r="433" spans="1:19">
      <c r="A433" s="1932">
        <f t="shared" si="40"/>
        <v>0</v>
      </c>
      <c r="B433" s="1932">
        <f t="shared" si="41"/>
        <v>0</v>
      </c>
      <c r="C433" s="1013" t="s">
        <v>245</v>
      </c>
      <c r="D433" s="1013">
        <v>0</v>
      </c>
      <c r="E433" s="1013" t="s">
        <v>22698</v>
      </c>
      <c r="F433" s="1013">
        <v>11</v>
      </c>
      <c r="G433" s="1932" t="str">
        <f>+VLOOKUP(F433,TT_Tabelle_Riferimento!$D$127:$G$164,4,FALSE)</f>
        <v>Condotte fognarie</v>
      </c>
      <c r="H433" s="1013">
        <v>3</v>
      </c>
      <c r="I433" s="1932" t="str">
        <f>+VLOOKUP(H433,TT_Tabelle_Riferimento!$F$3:$G$6,2,FALSE)</f>
        <v>Altri servizi idrici</v>
      </c>
      <c r="J433" s="1013">
        <v>2027</v>
      </c>
      <c r="K433" s="2335">
        <f>+SUMIFS('PdI-crono_inv'!BB:BB,'PdI-crono_inv'!CF:CF,F433,'PdI-crono_inv'!CE:CE,H433,'PdI-crono_inv'!J:J,P433,'PdI-crono_inv'!P:P,"&lt;&gt;proprietario")</f>
        <v>0</v>
      </c>
      <c r="M433" s="2335">
        <f>+SUMIFS('PdI-crono_inv'!BC:BC,'PdI-crono_inv'!CF:CF,F433,'PdI-crono_inv'!CE:CE,H433,'PdI-crono_inv'!J:J,P433,'PdI-crono_inv'!P:P,"&lt;&gt;proprietario")+S433</f>
        <v>0</v>
      </c>
      <c r="P433" s="1013" t="s">
        <v>25486</v>
      </c>
      <c r="Q433" s="1932" t="str">
        <f>+VLOOKUP(F433,TT_Tabelle_Riferimento!$D$127:$E$164,2,FALSE)</f>
        <v>Fognatura</v>
      </c>
      <c r="R433" s="1932" t="str">
        <f t="shared" si="38"/>
        <v/>
      </c>
      <c r="S433" s="2335">
        <f t="shared" si="39"/>
        <v>0</v>
      </c>
    </row>
    <row r="434" spans="1:19">
      <c r="A434" s="1932">
        <f t="shared" si="40"/>
        <v>0</v>
      </c>
      <c r="B434" s="1932">
        <f t="shared" si="41"/>
        <v>0</v>
      </c>
      <c r="C434" s="1013" t="s">
        <v>245</v>
      </c>
      <c r="D434" s="1013">
        <v>0</v>
      </c>
      <c r="E434" s="1013" t="s">
        <v>22698</v>
      </c>
      <c r="F434" s="1013">
        <v>12</v>
      </c>
      <c r="G434" s="1932" t="str">
        <f>+VLOOKUP(F434,TT_Tabelle_Riferimento!$D$127:$G$164,4,FALSE)</f>
        <v>Sifoni e scaricatori di piena e altre opere idrauliche fisse di fognatura</v>
      </c>
      <c r="H434" s="1013">
        <v>3</v>
      </c>
      <c r="I434" s="1932" t="str">
        <f>+VLOOKUP(H434,TT_Tabelle_Riferimento!$F$3:$G$6,2,FALSE)</f>
        <v>Altri servizi idrici</v>
      </c>
      <c r="J434" s="1013">
        <v>2027</v>
      </c>
      <c r="K434" s="2335">
        <f>+SUMIFS('PdI-crono_inv'!BB:BB,'PdI-crono_inv'!CF:CF,F434,'PdI-crono_inv'!CE:CE,H434,'PdI-crono_inv'!J:J,P434,'PdI-crono_inv'!P:P,"&lt;&gt;proprietario")</f>
        <v>0</v>
      </c>
      <c r="M434" s="2335">
        <f>+SUMIFS('PdI-crono_inv'!BC:BC,'PdI-crono_inv'!CF:CF,F434,'PdI-crono_inv'!CE:CE,H434,'PdI-crono_inv'!J:J,P434,'PdI-crono_inv'!P:P,"&lt;&gt;proprietario")+S434</f>
        <v>0</v>
      </c>
      <c r="P434" s="1013" t="s">
        <v>25486</v>
      </c>
      <c r="Q434" s="1932" t="str">
        <f>+VLOOKUP(F434,TT_Tabelle_Riferimento!$D$127:$E$164,2,FALSE)</f>
        <v>Fognatura</v>
      </c>
      <c r="R434" s="1932" t="str">
        <f t="shared" si="38"/>
        <v/>
      </c>
      <c r="S434" s="2335">
        <f t="shared" si="39"/>
        <v>0</v>
      </c>
    </row>
    <row r="435" spans="1:19">
      <c r="A435" s="1932">
        <f t="shared" si="40"/>
        <v>0</v>
      </c>
      <c r="B435" s="1932">
        <f t="shared" si="41"/>
        <v>0</v>
      </c>
      <c r="C435" s="1013" t="s">
        <v>245</v>
      </c>
      <c r="D435" s="1013">
        <v>0</v>
      </c>
      <c r="E435" s="1013" t="s">
        <v>22698</v>
      </c>
      <c r="F435" s="1013">
        <v>13</v>
      </c>
      <c r="G435" s="1932" t="str">
        <f>+VLOOKUP(F435,TT_Tabelle_Riferimento!$D$127:$G$164,4,FALSE)</f>
        <v>Vasche di laminazione e vasche di prima pioggia</v>
      </c>
      <c r="H435" s="1013">
        <v>3</v>
      </c>
      <c r="I435" s="1932" t="str">
        <f>+VLOOKUP(H435,TT_Tabelle_Riferimento!$F$3:$G$6,2,FALSE)</f>
        <v>Altri servizi idrici</v>
      </c>
      <c r="J435" s="1013">
        <v>2027</v>
      </c>
      <c r="K435" s="2335">
        <f>+SUMIFS('PdI-crono_inv'!BB:BB,'PdI-crono_inv'!CF:CF,F435,'PdI-crono_inv'!CE:CE,H435,'PdI-crono_inv'!J:J,P435,'PdI-crono_inv'!P:P,"&lt;&gt;proprietario")</f>
        <v>0</v>
      </c>
      <c r="M435" s="2335">
        <f>+SUMIFS('PdI-crono_inv'!BC:BC,'PdI-crono_inv'!CF:CF,F435,'PdI-crono_inv'!CE:CE,H435,'PdI-crono_inv'!J:J,P435,'PdI-crono_inv'!P:P,"&lt;&gt;proprietario")+S435</f>
        <v>0</v>
      </c>
      <c r="P435" s="1013" t="s">
        <v>25486</v>
      </c>
      <c r="Q435" s="1932" t="str">
        <f>+VLOOKUP(F435,TT_Tabelle_Riferimento!$D$127:$E$164,2,FALSE)</f>
        <v>Fognatura</v>
      </c>
      <c r="R435" s="1932" t="str">
        <f t="shared" si="38"/>
        <v/>
      </c>
      <c r="S435" s="2335">
        <f t="shared" si="39"/>
        <v>0</v>
      </c>
    </row>
    <row r="436" spans="1:19">
      <c r="A436" s="1932">
        <f t="shared" si="40"/>
        <v>0</v>
      </c>
      <c r="B436" s="1932">
        <f t="shared" si="41"/>
        <v>0</v>
      </c>
      <c r="C436" s="1013" t="s">
        <v>245</v>
      </c>
      <c r="D436" s="1013">
        <v>0</v>
      </c>
      <c r="E436" s="1013" t="s">
        <v>22698</v>
      </c>
      <c r="F436" s="1013">
        <v>14</v>
      </c>
      <c r="G436" s="1932" t="str">
        <f>+VLOOKUP(F436,TT_Tabelle_Riferimento!$D$127:$G$164,4,FALSE)</f>
        <v>Impianti di sollevamento e pompaggio di fognatura</v>
      </c>
      <c r="H436" s="1013">
        <v>3</v>
      </c>
      <c r="I436" s="1932" t="str">
        <f>+VLOOKUP(H436,TT_Tabelle_Riferimento!$F$3:$G$6,2,FALSE)</f>
        <v>Altri servizi idrici</v>
      </c>
      <c r="J436" s="1013">
        <v>2027</v>
      </c>
      <c r="K436" s="2335">
        <f>+SUMIFS('PdI-crono_inv'!BB:BB,'PdI-crono_inv'!CF:CF,F436,'PdI-crono_inv'!CE:CE,H436,'PdI-crono_inv'!J:J,P436,'PdI-crono_inv'!P:P,"&lt;&gt;proprietario")</f>
        <v>0</v>
      </c>
      <c r="M436" s="2335">
        <f>+SUMIFS('PdI-crono_inv'!BC:BC,'PdI-crono_inv'!CF:CF,F436,'PdI-crono_inv'!CE:CE,H436,'PdI-crono_inv'!J:J,P436,'PdI-crono_inv'!P:P,"&lt;&gt;proprietario")+S436</f>
        <v>0</v>
      </c>
      <c r="P436" s="1013" t="s">
        <v>25486</v>
      </c>
      <c r="Q436" s="1932" t="str">
        <f>+VLOOKUP(F436,TT_Tabelle_Riferimento!$D$127:$E$164,2,FALSE)</f>
        <v>Fognatura</v>
      </c>
      <c r="R436" s="1932" t="str">
        <f t="shared" si="38"/>
        <v/>
      </c>
      <c r="S436" s="2335">
        <f t="shared" si="39"/>
        <v>0</v>
      </c>
    </row>
    <row r="437" spans="1:19">
      <c r="A437" s="1932">
        <f t="shared" si="40"/>
        <v>0</v>
      </c>
      <c r="B437" s="1932">
        <f t="shared" si="41"/>
        <v>0</v>
      </c>
      <c r="C437" s="1013" t="s">
        <v>245</v>
      </c>
      <c r="D437" s="1013">
        <v>0</v>
      </c>
      <c r="E437" s="1013" t="s">
        <v>22698</v>
      </c>
      <c r="F437" s="1013">
        <v>15</v>
      </c>
      <c r="G437" s="1932" t="str">
        <f>+VLOOKUP(F437,TT_Tabelle_Riferimento!$D$127:$G$164,4,FALSE)</f>
        <v>Gruppi di misura - altre attrezzature di fognatura</v>
      </c>
      <c r="H437" s="1013">
        <v>3</v>
      </c>
      <c r="I437" s="1932" t="str">
        <f>+VLOOKUP(H437,TT_Tabelle_Riferimento!$F$3:$G$6,2,FALSE)</f>
        <v>Altri servizi idrici</v>
      </c>
      <c r="J437" s="1013">
        <v>2027</v>
      </c>
      <c r="K437" s="2335">
        <f>+SUMIFS('PdI-crono_inv'!BB:BB,'PdI-crono_inv'!CF:CF,F437,'PdI-crono_inv'!CE:CE,H437,'PdI-crono_inv'!J:J,P437,'PdI-crono_inv'!P:P,"&lt;&gt;proprietario")</f>
        <v>0</v>
      </c>
      <c r="M437" s="2335">
        <f>+SUMIFS('PdI-crono_inv'!BC:BC,'PdI-crono_inv'!CF:CF,F437,'PdI-crono_inv'!CE:CE,H437,'PdI-crono_inv'!J:J,P437,'PdI-crono_inv'!P:P,"&lt;&gt;proprietario")+S437</f>
        <v>0</v>
      </c>
      <c r="P437" s="1013" t="s">
        <v>25486</v>
      </c>
      <c r="Q437" s="1932" t="str">
        <f>+VLOOKUP(F437,TT_Tabelle_Riferimento!$D$127:$E$164,2,FALSE)</f>
        <v>Fognatura</v>
      </c>
      <c r="R437" s="1932" t="str">
        <f t="shared" si="38"/>
        <v/>
      </c>
      <c r="S437" s="2335">
        <f t="shared" si="39"/>
        <v>0</v>
      </c>
    </row>
    <row r="438" spans="1:19">
      <c r="A438" s="1932">
        <f t="shared" si="40"/>
        <v>0</v>
      </c>
      <c r="B438" s="1932">
        <f t="shared" si="41"/>
        <v>0</v>
      </c>
      <c r="C438" s="1013" t="s">
        <v>245</v>
      </c>
      <c r="D438" s="1013">
        <v>0</v>
      </c>
      <c r="E438" s="1013" t="s">
        <v>22698</v>
      </c>
      <c r="F438" s="1013">
        <v>16</v>
      </c>
      <c r="G438" s="1932" t="str">
        <f>+VLOOKUP(F438,TT_Tabelle_Riferimento!$D$127:$G$164,4,FALSE)</f>
        <v>Sistemi informativi di fognatura</v>
      </c>
      <c r="H438" s="1013">
        <v>3</v>
      </c>
      <c r="I438" s="1932" t="str">
        <f>+VLOOKUP(H438,TT_Tabelle_Riferimento!$F$3:$G$6,2,FALSE)</f>
        <v>Altri servizi idrici</v>
      </c>
      <c r="J438" s="1013">
        <v>2027</v>
      </c>
      <c r="K438" s="2335">
        <f>+SUMIFS('PdI-crono_inv'!BB:BB,'PdI-crono_inv'!CF:CF,F438,'PdI-crono_inv'!CE:CE,H438,'PdI-crono_inv'!J:J,P438,'PdI-crono_inv'!P:P,"&lt;&gt;proprietario")</f>
        <v>0</v>
      </c>
      <c r="M438" s="2335">
        <f>+SUMIFS('PdI-crono_inv'!BC:BC,'PdI-crono_inv'!CF:CF,F438,'PdI-crono_inv'!CE:CE,H438,'PdI-crono_inv'!J:J,P438,'PdI-crono_inv'!P:P,"&lt;&gt;proprietario")+S438</f>
        <v>0</v>
      </c>
      <c r="P438" s="1013" t="s">
        <v>25486</v>
      </c>
      <c r="Q438" s="1932" t="str">
        <f>+VLOOKUP(F438,TT_Tabelle_Riferimento!$D$127:$E$164,2,FALSE)</f>
        <v>Fognatura</v>
      </c>
      <c r="R438" s="1932" t="str">
        <f t="shared" si="38"/>
        <v/>
      </c>
      <c r="S438" s="2335">
        <f t="shared" si="39"/>
        <v>0</v>
      </c>
    </row>
    <row r="439" spans="1:19">
      <c r="A439" s="1932">
        <f t="shared" si="40"/>
        <v>0</v>
      </c>
      <c r="B439" s="1932">
        <f t="shared" si="41"/>
        <v>0</v>
      </c>
      <c r="C439" s="1013" t="s">
        <v>245</v>
      </c>
      <c r="D439" s="1013">
        <v>0</v>
      </c>
      <c r="E439" s="1013" t="s">
        <v>22698</v>
      </c>
      <c r="F439" s="1013">
        <v>18</v>
      </c>
      <c r="G439" s="1932" t="str">
        <f>+VLOOKUP(F439,TT_Tabelle_Riferimento!$D$127:$G$164,4,FALSE)</f>
        <v>Telecontrollo e teletrasmissione di fognatura</v>
      </c>
      <c r="H439" s="1013">
        <v>3</v>
      </c>
      <c r="I439" s="1932" t="str">
        <f>+VLOOKUP(H439,TT_Tabelle_Riferimento!$F$3:$G$6,2,FALSE)</f>
        <v>Altri servizi idrici</v>
      </c>
      <c r="J439" s="1013">
        <v>2027</v>
      </c>
      <c r="K439" s="2335">
        <f>+SUMIFS('PdI-crono_inv'!BB:BB,'PdI-crono_inv'!CF:CF,F439,'PdI-crono_inv'!CE:CE,H439,'PdI-crono_inv'!J:J,P439,'PdI-crono_inv'!P:P,"&lt;&gt;proprietario")</f>
        <v>0</v>
      </c>
      <c r="M439" s="2335">
        <f>+SUMIFS('PdI-crono_inv'!BC:BC,'PdI-crono_inv'!CF:CF,F439,'PdI-crono_inv'!CE:CE,H439,'PdI-crono_inv'!J:J,P439,'PdI-crono_inv'!P:P,"&lt;&gt;proprietario")+S439</f>
        <v>0</v>
      </c>
      <c r="P439" s="1013" t="s">
        <v>25486</v>
      </c>
      <c r="Q439" s="1932" t="str">
        <f>+VLOOKUP(F439,TT_Tabelle_Riferimento!$D$127:$E$164,2,FALSE)</f>
        <v>Fognatura</v>
      </c>
      <c r="R439" s="1932" t="str">
        <f t="shared" si="38"/>
        <v/>
      </c>
      <c r="S439" s="2335">
        <f t="shared" si="39"/>
        <v>0</v>
      </c>
    </row>
    <row r="440" spans="1:19">
      <c r="A440" s="1932">
        <f t="shared" si="40"/>
        <v>0</v>
      </c>
      <c r="B440" s="1932">
        <f t="shared" si="41"/>
        <v>0</v>
      </c>
      <c r="C440" s="1013" t="s">
        <v>245</v>
      </c>
      <c r="D440" s="1013">
        <v>0</v>
      </c>
      <c r="E440" s="1013" t="s">
        <v>22698</v>
      </c>
      <c r="F440" s="1013">
        <v>19</v>
      </c>
      <c r="G440" s="1932" t="str">
        <f>+VLOOKUP(F440,TT_Tabelle_Riferimento!$D$127:$G$164,4,FALSE)</f>
        <v>Impianti di sollevamento e pompaggio di depurazione</v>
      </c>
      <c r="H440" s="1013">
        <v>3</v>
      </c>
      <c r="I440" s="1932" t="str">
        <f>+VLOOKUP(H440,TT_Tabelle_Riferimento!$F$3:$G$6,2,FALSE)</f>
        <v>Altri servizi idrici</v>
      </c>
      <c r="J440" s="1013">
        <v>2027</v>
      </c>
      <c r="K440" s="2335">
        <f>+SUMIFS('PdI-crono_inv'!BB:BB,'PdI-crono_inv'!CF:CF,F440,'PdI-crono_inv'!CE:CE,H440,'PdI-crono_inv'!J:J,P440,'PdI-crono_inv'!P:P,"&lt;&gt;proprietario")</f>
        <v>0</v>
      </c>
      <c r="M440" s="2335">
        <f>+SUMIFS('PdI-crono_inv'!BC:BC,'PdI-crono_inv'!CF:CF,F440,'PdI-crono_inv'!CE:CE,H440,'PdI-crono_inv'!J:J,P440,'PdI-crono_inv'!P:P,"&lt;&gt;proprietario")+S440</f>
        <v>0</v>
      </c>
      <c r="P440" s="1013" t="s">
        <v>25486</v>
      </c>
      <c r="Q440" s="1932" t="str">
        <f>+VLOOKUP(F440,TT_Tabelle_Riferimento!$D$127:$E$164,2,FALSE)</f>
        <v>Depurazione</v>
      </c>
      <c r="R440" s="1932" t="str">
        <f t="shared" si="38"/>
        <v/>
      </c>
      <c r="S440" s="2335">
        <f t="shared" si="39"/>
        <v>0</v>
      </c>
    </row>
    <row r="441" spans="1:19">
      <c r="A441" s="1932">
        <f t="shared" si="40"/>
        <v>0</v>
      </c>
      <c r="B441" s="1932">
        <f t="shared" si="41"/>
        <v>0</v>
      </c>
      <c r="C441" s="1013" t="s">
        <v>245</v>
      </c>
      <c r="D441" s="1013">
        <v>0</v>
      </c>
      <c r="E441" s="1013" t="s">
        <v>22698</v>
      </c>
      <c r="F441" s="1013">
        <v>20</v>
      </c>
      <c r="G441" s="1932" t="str">
        <f>+VLOOKUP(F441,TT_Tabelle_Riferimento!$D$127:$G$164,4,FALSE)</f>
        <v>Tecniche naturali di depurazione (tra cui fitodepurazione e lagunaggio)</v>
      </c>
      <c r="H441" s="1013">
        <v>3</v>
      </c>
      <c r="I441" s="1932" t="str">
        <f>+VLOOKUP(H441,TT_Tabelle_Riferimento!$F$3:$G$6,2,FALSE)</f>
        <v>Altri servizi idrici</v>
      </c>
      <c r="J441" s="1013">
        <v>2027</v>
      </c>
      <c r="K441" s="2335">
        <f>+SUMIFS('PdI-crono_inv'!BB:BB,'PdI-crono_inv'!CF:CF,F441,'PdI-crono_inv'!CE:CE,H441,'PdI-crono_inv'!J:J,P441,'PdI-crono_inv'!P:P,"&lt;&gt;proprietario")</f>
        <v>0</v>
      </c>
      <c r="M441" s="2335">
        <f>+SUMIFS('PdI-crono_inv'!BC:BC,'PdI-crono_inv'!CF:CF,F441,'PdI-crono_inv'!CE:CE,H441,'PdI-crono_inv'!J:J,P441,'PdI-crono_inv'!P:P,"&lt;&gt;proprietario")+S441</f>
        <v>0</v>
      </c>
      <c r="P441" s="1013" t="s">
        <v>25486</v>
      </c>
      <c r="Q441" s="1932" t="str">
        <f>+VLOOKUP(F441,TT_Tabelle_Riferimento!$D$127:$E$164,2,FALSE)</f>
        <v>Depurazione</v>
      </c>
      <c r="R441" s="1932" t="str">
        <f t="shared" si="38"/>
        <v/>
      </c>
      <c r="S441" s="2335">
        <f t="shared" si="39"/>
        <v>0</v>
      </c>
    </row>
    <row r="442" spans="1:19">
      <c r="A442" s="1932">
        <f t="shared" si="40"/>
        <v>0</v>
      </c>
      <c r="B442" s="1932">
        <f t="shared" si="41"/>
        <v>0</v>
      </c>
      <c r="C442" s="1013" t="s">
        <v>245</v>
      </c>
      <c r="D442" s="1013">
        <v>0</v>
      </c>
      <c r="E442" s="1013" t="s">
        <v>22698</v>
      </c>
      <c r="F442" s="1013">
        <v>21</v>
      </c>
      <c r="G442" s="1932" t="str">
        <f>+VLOOKUP(F442,TT_Tabelle_Riferimento!$D$127:$G$164,4,FALSE)</f>
        <v>Impianti di depurazione – trattamenti sino al preliminare, integrativo, primario - fosse settiche e fosse Imhoff</v>
      </c>
      <c r="H442" s="1013">
        <v>3</v>
      </c>
      <c r="I442" s="1932" t="str">
        <f>+VLOOKUP(H442,TT_Tabelle_Riferimento!$F$3:$G$6,2,FALSE)</f>
        <v>Altri servizi idrici</v>
      </c>
      <c r="J442" s="1013">
        <v>2027</v>
      </c>
      <c r="K442" s="2335">
        <f>+SUMIFS('PdI-crono_inv'!BB:BB,'PdI-crono_inv'!CF:CF,F442,'PdI-crono_inv'!CE:CE,H442,'PdI-crono_inv'!J:J,P442,'PdI-crono_inv'!P:P,"&lt;&gt;proprietario")</f>
        <v>0</v>
      </c>
      <c r="M442" s="2335">
        <f>+SUMIFS('PdI-crono_inv'!BC:BC,'PdI-crono_inv'!CF:CF,F442,'PdI-crono_inv'!CE:CE,H442,'PdI-crono_inv'!J:J,P442,'PdI-crono_inv'!P:P,"&lt;&gt;proprietario")+S442</f>
        <v>0</v>
      </c>
      <c r="P442" s="1013" t="s">
        <v>25486</v>
      </c>
      <c r="Q442" s="1932" t="str">
        <f>+VLOOKUP(F442,TT_Tabelle_Riferimento!$D$127:$E$164,2,FALSE)</f>
        <v>Depurazione</v>
      </c>
      <c r="R442" s="1932" t="str">
        <f t="shared" si="38"/>
        <v/>
      </c>
      <c r="S442" s="2335">
        <f t="shared" si="39"/>
        <v>0</v>
      </c>
    </row>
    <row r="443" spans="1:19">
      <c r="A443" s="1932">
        <f t="shared" si="40"/>
        <v>0</v>
      </c>
      <c r="B443" s="1932">
        <f t="shared" si="41"/>
        <v>0</v>
      </c>
      <c r="C443" s="1013" t="s">
        <v>245</v>
      </c>
      <c r="D443" s="1013">
        <v>0</v>
      </c>
      <c r="E443" s="1013" t="s">
        <v>22698</v>
      </c>
      <c r="F443" s="1013">
        <v>22</v>
      </c>
      <c r="G443" s="1932" t="str">
        <f>+VLOOKUP(F443,TT_Tabelle_Riferimento!$D$127:$G$164,4,FALSE)</f>
        <v>Impianti di depurazione – trattamenti sino al secondario</v>
      </c>
      <c r="H443" s="1013">
        <v>3</v>
      </c>
      <c r="I443" s="1932" t="str">
        <f>+VLOOKUP(H443,TT_Tabelle_Riferimento!$F$3:$G$6,2,FALSE)</f>
        <v>Altri servizi idrici</v>
      </c>
      <c r="J443" s="1013">
        <v>2027</v>
      </c>
      <c r="K443" s="2335">
        <f>+SUMIFS('PdI-crono_inv'!BB:BB,'PdI-crono_inv'!CF:CF,F443,'PdI-crono_inv'!CE:CE,H443,'PdI-crono_inv'!J:J,P443,'PdI-crono_inv'!P:P,"&lt;&gt;proprietario")</f>
        <v>0</v>
      </c>
      <c r="M443" s="2335">
        <f>+SUMIFS('PdI-crono_inv'!BC:BC,'PdI-crono_inv'!CF:CF,F443,'PdI-crono_inv'!CE:CE,H443,'PdI-crono_inv'!J:J,P443,'PdI-crono_inv'!P:P,"&lt;&gt;proprietario")+S443</f>
        <v>0</v>
      </c>
      <c r="P443" s="1013" t="s">
        <v>25486</v>
      </c>
      <c r="Q443" s="1932" t="str">
        <f>+VLOOKUP(F443,TT_Tabelle_Riferimento!$D$127:$E$164,2,FALSE)</f>
        <v>Depurazione</v>
      </c>
      <c r="R443" s="1932" t="str">
        <f t="shared" si="38"/>
        <v/>
      </c>
      <c r="S443" s="2335">
        <f t="shared" si="39"/>
        <v>0</v>
      </c>
    </row>
    <row r="444" spans="1:19">
      <c r="A444" s="1932">
        <f t="shared" si="40"/>
        <v>0</v>
      </c>
      <c r="B444" s="1932">
        <f t="shared" si="41"/>
        <v>0</v>
      </c>
      <c r="C444" s="1013" t="s">
        <v>245</v>
      </c>
      <c r="D444" s="1013">
        <v>0</v>
      </c>
      <c r="E444" s="1013" t="s">
        <v>22698</v>
      </c>
      <c r="F444" s="1013">
        <v>23</v>
      </c>
      <c r="G444" s="1932" t="str">
        <f>+VLOOKUP(F444,TT_Tabelle_Riferimento!$D$127:$G$164,4,FALSE)</f>
        <v>Impianti di depurazione – trattamenti sino al terziario e terziario avanzato</v>
      </c>
      <c r="H444" s="1013">
        <v>3</v>
      </c>
      <c r="I444" s="1932" t="str">
        <f>+VLOOKUP(H444,TT_Tabelle_Riferimento!$F$3:$G$6,2,FALSE)</f>
        <v>Altri servizi idrici</v>
      </c>
      <c r="J444" s="1013">
        <v>2027</v>
      </c>
      <c r="K444" s="2335">
        <f>+SUMIFS('PdI-crono_inv'!BB:BB,'PdI-crono_inv'!CF:CF,F444,'PdI-crono_inv'!CE:CE,H444,'PdI-crono_inv'!J:J,P444,'PdI-crono_inv'!P:P,"&lt;&gt;proprietario")</f>
        <v>0</v>
      </c>
      <c r="M444" s="2335">
        <f>+SUMIFS('PdI-crono_inv'!BC:BC,'PdI-crono_inv'!CF:CF,F444,'PdI-crono_inv'!CE:CE,H444,'PdI-crono_inv'!J:J,P444,'PdI-crono_inv'!P:P,"&lt;&gt;proprietario")+S444</f>
        <v>0</v>
      </c>
      <c r="P444" s="1013" t="s">
        <v>25486</v>
      </c>
      <c r="Q444" s="1932" t="str">
        <f>+VLOOKUP(F444,TT_Tabelle_Riferimento!$D$127:$E$164,2,FALSE)</f>
        <v>Depurazione</v>
      </c>
      <c r="R444" s="1932" t="str">
        <f t="shared" si="38"/>
        <v/>
      </c>
      <c r="S444" s="2335">
        <f t="shared" si="39"/>
        <v>0</v>
      </c>
    </row>
    <row r="445" spans="1:19">
      <c r="A445" s="1932">
        <f t="shared" si="40"/>
        <v>0</v>
      </c>
      <c r="B445" s="1932">
        <f t="shared" si="41"/>
        <v>0</v>
      </c>
      <c r="C445" s="1013" t="s">
        <v>245</v>
      </c>
      <c r="D445" s="1013">
        <v>0</v>
      </c>
      <c r="E445" s="1013" t="s">
        <v>22698</v>
      </c>
      <c r="F445" s="1013">
        <v>24</v>
      </c>
      <c r="G445" s="1932" t="str">
        <f>+VLOOKUP(F445,TT_Tabelle_Riferimento!$D$127:$G$164,4,FALSE)</f>
        <v>Impianti di essiccamento fanghi e di valorizzazione dei fanghi (tra cui mono-incenerimento, pirolisi, gassificazione)</v>
      </c>
      <c r="H445" s="1013">
        <v>3</v>
      </c>
      <c r="I445" s="1932" t="str">
        <f>+VLOOKUP(H445,TT_Tabelle_Riferimento!$F$3:$G$6,2,FALSE)</f>
        <v>Altri servizi idrici</v>
      </c>
      <c r="J445" s="1013">
        <v>2027</v>
      </c>
      <c r="K445" s="2335">
        <f>+SUMIFS('PdI-crono_inv'!BB:BB,'PdI-crono_inv'!CF:CF,F445,'PdI-crono_inv'!CE:CE,H445,'PdI-crono_inv'!J:J,P445,'PdI-crono_inv'!P:P,"&lt;&gt;proprietario")</f>
        <v>0</v>
      </c>
      <c r="M445" s="2335">
        <f>+SUMIFS('PdI-crono_inv'!BC:BC,'PdI-crono_inv'!CF:CF,F445,'PdI-crono_inv'!CE:CE,H445,'PdI-crono_inv'!J:J,P445,'PdI-crono_inv'!P:P,"&lt;&gt;proprietario")+S445</f>
        <v>0</v>
      </c>
      <c r="P445" s="1013" t="s">
        <v>25486</v>
      </c>
      <c r="Q445" s="1932" t="str">
        <f>+VLOOKUP(F445,TT_Tabelle_Riferimento!$D$127:$E$164,2,FALSE)</f>
        <v>Depurazione</v>
      </c>
      <c r="R445" s="1932" t="str">
        <f t="shared" si="38"/>
        <v/>
      </c>
      <c r="S445" s="2335">
        <f t="shared" si="39"/>
        <v>0</v>
      </c>
    </row>
    <row r="446" spans="1:19">
      <c r="A446" s="1932">
        <f t="shared" si="40"/>
        <v>0</v>
      </c>
      <c r="B446" s="1932">
        <f t="shared" si="41"/>
        <v>0</v>
      </c>
      <c r="C446" s="1013" t="s">
        <v>245</v>
      </c>
      <c r="D446" s="1013">
        <v>0</v>
      </c>
      <c r="E446" s="1013" t="s">
        <v>22698</v>
      </c>
      <c r="F446" s="1013">
        <v>25</v>
      </c>
      <c r="G446" s="1932" t="str">
        <f>+VLOOKUP(F446,TT_Tabelle_Riferimento!$D$127:$G$164,4,FALSE)</f>
        <v>Gruppi di misura - altre attrezzature di depurazione</v>
      </c>
      <c r="H446" s="1013">
        <v>3</v>
      </c>
      <c r="I446" s="1932" t="str">
        <f>+VLOOKUP(H446,TT_Tabelle_Riferimento!$F$3:$G$6,2,FALSE)</f>
        <v>Altri servizi idrici</v>
      </c>
      <c r="J446" s="1013">
        <v>2027</v>
      </c>
      <c r="K446" s="2335">
        <f>+SUMIFS('PdI-crono_inv'!BB:BB,'PdI-crono_inv'!CF:CF,F446,'PdI-crono_inv'!CE:CE,H446,'PdI-crono_inv'!J:J,P446,'PdI-crono_inv'!P:P,"&lt;&gt;proprietario")</f>
        <v>0</v>
      </c>
      <c r="M446" s="2335">
        <f>+SUMIFS('PdI-crono_inv'!BC:BC,'PdI-crono_inv'!CF:CF,F446,'PdI-crono_inv'!CE:CE,H446,'PdI-crono_inv'!J:J,P446,'PdI-crono_inv'!P:P,"&lt;&gt;proprietario")+S446</f>
        <v>0</v>
      </c>
      <c r="P446" s="1013" t="s">
        <v>25486</v>
      </c>
      <c r="Q446" s="1932" t="str">
        <f>+VLOOKUP(F446,TT_Tabelle_Riferimento!$D$127:$E$164,2,FALSE)</f>
        <v>Depurazione</v>
      </c>
      <c r="R446" s="1932" t="str">
        <f t="shared" si="38"/>
        <v/>
      </c>
      <c r="S446" s="2335">
        <f t="shared" si="39"/>
        <v>0</v>
      </c>
    </row>
    <row r="447" spans="1:19">
      <c r="A447" s="1932">
        <f t="shared" si="40"/>
        <v>0</v>
      </c>
      <c r="B447" s="1932">
        <f t="shared" si="41"/>
        <v>0</v>
      </c>
      <c r="C447" s="1013" t="s">
        <v>245</v>
      </c>
      <c r="D447" s="1013">
        <v>0</v>
      </c>
      <c r="E447" s="1013" t="s">
        <v>22698</v>
      </c>
      <c r="F447" s="1013">
        <v>26</v>
      </c>
      <c r="G447" s="1932" t="str">
        <f>+VLOOKUP(F447,TT_Tabelle_Riferimento!$D$127:$G$164,4,FALSE)</f>
        <v>Sistemi informativi di depurazione</v>
      </c>
      <c r="H447" s="1013">
        <v>3</v>
      </c>
      <c r="I447" s="1932" t="str">
        <f>+VLOOKUP(H447,TT_Tabelle_Riferimento!$F$3:$G$6,2,FALSE)</f>
        <v>Altri servizi idrici</v>
      </c>
      <c r="J447" s="1013">
        <v>2027</v>
      </c>
      <c r="K447" s="2335">
        <f>+SUMIFS('PdI-crono_inv'!BB:BB,'PdI-crono_inv'!CF:CF,F447,'PdI-crono_inv'!CE:CE,H447,'PdI-crono_inv'!J:J,P447,'PdI-crono_inv'!P:P,"&lt;&gt;proprietario")</f>
        <v>0</v>
      </c>
      <c r="M447" s="2335">
        <f>+SUMIFS('PdI-crono_inv'!BC:BC,'PdI-crono_inv'!CF:CF,F447,'PdI-crono_inv'!CE:CE,H447,'PdI-crono_inv'!J:J,P447,'PdI-crono_inv'!P:P,"&lt;&gt;proprietario")+S447</f>
        <v>0</v>
      </c>
      <c r="P447" s="1013" t="s">
        <v>25486</v>
      </c>
      <c r="Q447" s="1932" t="str">
        <f>+VLOOKUP(F447,TT_Tabelle_Riferimento!$D$127:$E$164,2,FALSE)</f>
        <v>Depurazione</v>
      </c>
      <c r="R447" s="1932" t="str">
        <f t="shared" si="38"/>
        <v/>
      </c>
      <c r="S447" s="2335">
        <f t="shared" si="39"/>
        <v>0</v>
      </c>
    </row>
    <row r="448" spans="1:19">
      <c r="A448" s="1932">
        <f t="shared" si="40"/>
        <v>0</v>
      </c>
      <c r="B448" s="1932">
        <f t="shared" si="41"/>
        <v>0</v>
      </c>
      <c r="C448" s="1013" t="s">
        <v>245</v>
      </c>
      <c r="D448" s="1013">
        <v>0</v>
      </c>
      <c r="E448" s="1013" t="s">
        <v>22698</v>
      </c>
      <c r="F448" s="1013">
        <v>27</v>
      </c>
      <c r="G448" s="1932" t="str">
        <f>+VLOOKUP(F448,TT_Tabelle_Riferimento!$D$127:$G$164,4,FALSE)</f>
        <v>Telecontrollo e teletrasmissione di depurazione</v>
      </c>
      <c r="H448" s="1013">
        <v>3</v>
      </c>
      <c r="I448" s="1932" t="str">
        <f>+VLOOKUP(H448,TT_Tabelle_Riferimento!$F$3:$G$6,2,FALSE)</f>
        <v>Altri servizi idrici</v>
      </c>
      <c r="J448" s="1013">
        <v>2027</v>
      </c>
      <c r="K448" s="2335">
        <f>+SUMIFS('PdI-crono_inv'!BB:BB,'PdI-crono_inv'!CF:CF,F448,'PdI-crono_inv'!CE:CE,H448,'PdI-crono_inv'!J:J,P448,'PdI-crono_inv'!P:P,"&lt;&gt;proprietario")</f>
        <v>0</v>
      </c>
      <c r="M448" s="2335">
        <f>+SUMIFS('PdI-crono_inv'!BC:BC,'PdI-crono_inv'!CF:CF,F448,'PdI-crono_inv'!CE:CE,H448,'PdI-crono_inv'!J:J,P448,'PdI-crono_inv'!P:P,"&lt;&gt;proprietario")+S448</f>
        <v>0</v>
      </c>
      <c r="P448" s="1013" t="s">
        <v>25486</v>
      </c>
      <c r="Q448" s="1932" t="str">
        <f>+VLOOKUP(F448,TT_Tabelle_Riferimento!$D$127:$E$164,2,FALSE)</f>
        <v>Depurazione</v>
      </c>
      <c r="R448" s="1932" t="str">
        <f t="shared" si="38"/>
        <v/>
      </c>
      <c r="S448" s="2335">
        <f t="shared" si="39"/>
        <v>0</v>
      </c>
    </row>
    <row r="449" spans="1:19">
      <c r="A449" s="1932">
        <f t="shared" si="40"/>
        <v>0</v>
      </c>
      <c r="B449" s="1932">
        <f t="shared" si="41"/>
        <v>0</v>
      </c>
      <c r="C449" s="1013" t="s">
        <v>245</v>
      </c>
      <c r="D449" s="1013">
        <v>0</v>
      </c>
      <c r="E449" s="1013" t="s">
        <v>22698</v>
      </c>
      <c r="F449" s="1013">
        <v>28</v>
      </c>
      <c r="G449" s="1932" t="str">
        <f>+VLOOKUP(F449,TT_Tabelle_Riferimento!$D$127:$G$164,4,FALSE)</f>
        <v>Altri impianti</v>
      </c>
      <c r="H449" s="1013">
        <v>3</v>
      </c>
      <c r="I449" s="1932" t="str">
        <f>+VLOOKUP(H449,TT_Tabelle_Riferimento!$F$3:$G$6,2,FALSE)</f>
        <v>Altri servizi idrici</v>
      </c>
      <c r="J449" s="1013">
        <v>2027</v>
      </c>
      <c r="K449" s="2335">
        <f>+SUMIFS('PdI-crono_inv'!BB:BB,'PdI-crono_inv'!CF:CF,F449,'PdI-crono_inv'!CE:CE,H449,'PdI-crono_inv'!J:J,P449,'PdI-crono_inv'!P:P,"&lt;&gt;proprietario")</f>
        <v>0</v>
      </c>
      <c r="M449" s="2335">
        <f>+SUMIFS('PdI-crono_inv'!BC:BC,'PdI-crono_inv'!CF:CF,F449,'PdI-crono_inv'!CE:CE,H449,'PdI-crono_inv'!J:J,P449,'PdI-crono_inv'!P:P,"&lt;&gt;proprietario")+S449</f>
        <v>0</v>
      </c>
      <c r="P449" s="1013" t="s">
        <v>25486</v>
      </c>
      <c r="Q449" s="1932" t="str">
        <f>+VLOOKUP(F449,TT_Tabelle_Riferimento!$D$127:$E$164,2,FALSE)</f>
        <v>Comune</v>
      </c>
      <c r="R449" s="1932" t="str">
        <f t="shared" si="38"/>
        <v/>
      </c>
      <c r="S449" s="2335">
        <f t="shared" si="39"/>
        <v>0</v>
      </c>
    </row>
    <row r="450" spans="1:19">
      <c r="A450" s="1932">
        <f t="shared" si="40"/>
        <v>0</v>
      </c>
      <c r="B450" s="1932">
        <f t="shared" si="41"/>
        <v>0</v>
      </c>
      <c r="C450" s="1013" t="s">
        <v>245</v>
      </c>
      <c r="D450" s="1013">
        <v>0</v>
      </c>
      <c r="E450" s="1013" t="s">
        <v>22698</v>
      </c>
      <c r="F450" s="1013">
        <v>29</v>
      </c>
      <c r="G450" s="1932" t="str">
        <f>+VLOOKUP(F450,TT_Tabelle_Riferimento!$D$127:$G$164,4,FALSE)</f>
        <v>Laboratori e attrezzature</v>
      </c>
      <c r="H450" s="1013">
        <v>3</v>
      </c>
      <c r="I450" s="1932" t="str">
        <f>+VLOOKUP(H450,TT_Tabelle_Riferimento!$F$3:$G$6,2,FALSE)</f>
        <v>Altri servizi idrici</v>
      </c>
      <c r="J450" s="1013">
        <v>2027</v>
      </c>
      <c r="K450" s="2335">
        <f>+SUMIFS('PdI-crono_inv'!BB:BB,'PdI-crono_inv'!CF:CF,F450,'PdI-crono_inv'!CE:CE,H450,'PdI-crono_inv'!J:J,P450,'PdI-crono_inv'!P:P,"&lt;&gt;proprietario")</f>
        <v>0</v>
      </c>
      <c r="M450" s="2335">
        <f>+SUMIFS('PdI-crono_inv'!BC:BC,'PdI-crono_inv'!CF:CF,F450,'PdI-crono_inv'!CE:CE,H450,'PdI-crono_inv'!J:J,P450,'PdI-crono_inv'!P:P,"&lt;&gt;proprietario")+S450</f>
        <v>0</v>
      </c>
      <c r="P450" s="1013" t="s">
        <v>25486</v>
      </c>
      <c r="Q450" s="1932" t="str">
        <f>+VLOOKUP(F450,TT_Tabelle_Riferimento!$D$127:$E$164,2,FALSE)</f>
        <v>Comune</v>
      </c>
      <c r="R450" s="1932" t="str">
        <f t="shared" ref="R450:R513" si="42">+IF(SUM(K450:N450)=0,"","PdI_consolidamento")</f>
        <v/>
      </c>
      <c r="S450" s="2335">
        <f t="shared" si="39"/>
        <v>0</v>
      </c>
    </row>
    <row r="451" spans="1:19">
      <c r="A451" s="1932">
        <f t="shared" si="40"/>
        <v>0</v>
      </c>
      <c r="B451" s="1932">
        <f t="shared" si="41"/>
        <v>0</v>
      </c>
      <c r="C451" s="1013" t="s">
        <v>245</v>
      </c>
      <c r="D451" s="1013">
        <v>0</v>
      </c>
      <c r="E451" s="1013" t="s">
        <v>22698</v>
      </c>
      <c r="F451" s="1013">
        <v>30</v>
      </c>
      <c r="G451" s="1932" t="str">
        <f>+VLOOKUP(F451,TT_Tabelle_Riferimento!$D$127:$G$164,4,FALSE)</f>
        <v>Sistemi informativi</v>
      </c>
      <c r="H451" s="1013">
        <v>3</v>
      </c>
      <c r="I451" s="1932" t="str">
        <f>+VLOOKUP(H451,TT_Tabelle_Riferimento!$F$3:$G$6,2,FALSE)</f>
        <v>Altri servizi idrici</v>
      </c>
      <c r="J451" s="1013">
        <v>2027</v>
      </c>
      <c r="K451" s="2335">
        <f>+SUMIFS('PdI-crono_inv'!BB:BB,'PdI-crono_inv'!CF:CF,F451,'PdI-crono_inv'!CE:CE,H451,'PdI-crono_inv'!J:J,P451,'PdI-crono_inv'!P:P,"&lt;&gt;proprietario")</f>
        <v>0</v>
      </c>
      <c r="M451" s="2335">
        <f>+SUMIFS('PdI-crono_inv'!BC:BC,'PdI-crono_inv'!CF:CF,F451,'PdI-crono_inv'!CE:CE,H451,'PdI-crono_inv'!J:J,P451,'PdI-crono_inv'!P:P,"&lt;&gt;proprietario")+S451</f>
        <v>0</v>
      </c>
      <c r="P451" s="1013" t="s">
        <v>25486</v>
      </c>
      <c r="Q451" s="1932" t="str">
        <f>+VLOOKUP(F451,TT_Tabelle_Riferimento!$D$127:$E$164,2,FALSE)</f>
        <v>Comune</v>
      </c>
      <c r="R451" s="1932" t="str">
        <f t="shared" si="42"/>
        <v/>
      </c>
      <c r="S451" s="2335">
        <f t="shared" si="39"/>
        <v>0</v>
      </c>
    </row>
    <row r="452" spans="1:19">
      <c r="A452" s="1932">
        <f t="shared" si="40"/>
        <v>0</v>
      </c>
      <c r="B452" s="1932">
        <f t="shared" si="41"/>
        <v>0</v>
      </c>
      <c r="C452" s="1013" t="s">
        <v>245</v>
      </c>
      <c r="D452" s="1013">
        <v>0</v>
      </c>
      <c r="E452" s="1013" t="s">
        <v>22698</v>
      </c>
      <c r="F452" s="1013">
        <v>31</v>
      </c>
      <c r="G452" s="1932" t="str">
        <f>+VLOOKUP(F452,TT_Tabelle_Riferimento!$D$127:$G$164,4,FALSE)</f>
        <v>Telecontrollo e teletrasmissione</v>
      </c>
      <c r="H452" s="1013">
        <v>3</v>
      </c>
      <c r="I452" s="1932" t="str">
        <f>+VLOOKUP(H452,TT_Tabelle_Riferimento!$F$3:$G$6,2,FALSE)</f>
        <v>Altri servizi idrici</v>
      </c>
      <c r="J452" s="1013">
        <v>2027</v>
      </c>
      <c r="K452" s="2335">
        <f>+SUMIFS('PdI-crono_inv'!BB:BB,'PdI-crono_inv'!CF:CF,F452,'PdI-crono_inv'!CE:CE,H452,'PdI-crono_inv'!J:J,P452,'PdI-crono_inv'!P:P,"&lt;&gt;proprietario")</f>
        <v>0</v>
      </c>
      <c r="M452" s="2335">
        <f>+SUMIFS('PdI-crono_inv'!BC:BC,'PdI-crono_inv'!CF:CF,F452,'PdI-crono_inv'!CE:CE,H452,'PdI-crono_inv'!J:J,P452,'PdI-crono_inv'!P:P,"&lt;&gt;proprietario")+S452</f>
        <v>0</v>
      </c>
      <c r="P452" s="1013" t="s">
        <v>25486</v>
      </c>
      <c r="Q452" s="1932" t="str">
        <f>+VLOOKUP(F452,TT_Tabelle_Riferimento!$D$127:$E$164,2,FALSE)</f>
        <v>Comune</v>
      </c>
      <c r="R452" s="1932" t="str">
        <f t="shared" si="42"/>
        <v/>
      </c>
      <c r="S452" s="2335">
        <f t="shared" si="39"/>
        <v>0</v>
      </c>
    </row>
    <row r="453" spans="1:19">
      <c r="A453" s="1932">
        <f t="shared" si="40"/>
        <v>0</v>
      </c>
      <c r="B453" s="1932">
        <f t="shared" si="41"/>
        <v>0</v>
      </c>
      <c r="C453" s="1013" t="s">
        <v>245</v>
      </c>
      <c r="D453" s="1013">
        <v>0</v>
      </c>
      <c r="E453" s="1013" t="s">
        <v>22698</v>
      </c>
      <c r="F453" s="1013">
        <v>32</v>
      </c>
      <c r="G453" s="1932" t="str">
        <f>+VLOOKUP(F453,TT_Tabelle_Riferimento!$D$127:$G$164,4,FALSE)</f>
        <v>Autoveicoli - automezzi</v>
      </c>
      <c r="H453" s="1013">
        <v>3</v>
      </c>
      <c r="I453" s="1932" t="str">
        <f>+VLOOKUP(H453,TT_Tabelle_Riferimento!$F$3:$G$6,2,FALSE)</f>
        <v>Altri servizi idrici</v>
      </c>
      <c r="J453" s="1013">
        <v>2027</v>
      </c>
      <c r="K453" s="2335">
        <f>+SUMIFS('PdI-crono_inv'!BB:BB,'PdI-crono_inv'!CF:CF,F453,'PdI-crono_inv'!CE:CE,H453,'PdI-crono_inv'!J:J,P453,'PdI-crono_inv'!P:P,"&lt;&gt;proprietario")</f>
        <v>0</v>
      </c>
      <c r="M453" s="2335">
        <f>+SUMIFS('PdI-crono_inv'!BC:BC,'PdI-crono_inv'!CF:CF,F453,'PdI-crono_inv'!CE:CE,H453,'PdI-crono_inv'!J:J,P453,'PdI-crono_inv'!P:P,"&lt;&gt;proprietario")+S453</f>
        <v>0</v>
      </c>
      <c r="P453" s="1013" t="s">
        <v>25486</v>
      </c>
      <c r="Q453" s="1932" t="str">
        <f>+VLOOKUP(F453,TT_Tabelle_Riferimento!$D$127:$E$164,2,FALSE)</f>
        <v>Comune</v>
      </c>
      <c r="R453" s="1932" t="str">
        <f t="shared" si="42"/>
        <v/>
      </c>
      <c r="S453" s="2335">
        <f t="shared" si="39"/>
        <v>0</v>
      </c>
    </row>
    <row r="454" spans="1:19">
      <c r="A454" s="1932">
        <f t="shared" si="40"/>
        <v>0</v>
      </c>
      <c r="B454" s="1932">
        <f t="shared" si="41"/>
        <v>0</v>
      </c>
      <c r="C454" s="1013" t="s">
        <v>245</v>
      </c>
      <c r="D454" s="1013">
        <v>0</v>
      </c>
      <c r="E454" s="1013" t="s">
        <v>22698</v>
      </c>
      <c r="F454" s="1013">
        <v>1</v>
      </c>
      <c r="G454" s="1932" t="str">
        <f>+VLOOKUP(F454,TT_Tabelle_Riferimento!$D$127:$G$164,4,FALSE)</f>
        <v>Terreni</v>
      </c>
      <c r="H454" s="1013">
        <v>3</v>
      </c>
      <c r="I454" s="1932" t="str">
        <f>+VLOOKUP(H454,TT_Tabelle_Riferimento!$F$3:$G$6,2,FALSE)</f>
        <v>Altri servizi idrici</v>
      </c>
      <c r="J454" s="1013">
        <v>2027</v>
      </c>
      <c r="K454" s="2335">
        <f>+SUMIFS('PdI-crono_inv'!BB:BB,'PdI-crono_inv'!CF:CF,F454,'PdI-crono_inv'!CE:CE,H454,'PdI-crono_inv'!J:J,P454,'PdI-crono_inv'!P:P,"&lt;&gt;proprietario")</f>
        <v>0</v>
      </c>
      <c r="M454" s="2335">
        <f>+SUMIFS('PdI-crono_inv'!BC:BC,'PdI-crono_inv'!CF:CF,F454,'PdI-crono_inv'!CE:CE,H454,'PdI-crono_inv'!J:J,P454,'PdI-crono_inv'!P:P,"&lt;&gt;proprietario")+S454</f>
        <v>0</v>
      </c>
      <c r="P454" s="1013" t="s">
        <v>25486</v>
      </c>
      <c r="Q454" s="1932" t="str">
        <f>+VLOOKUP(F454,TT_Tabelle_Riferimento!$D$127:$E$164,2,FALSE)</f>
        <v>Comune</v>
      </c>
      <c r="R454" s="1932" t="str">
        <f t="shared" si="42"/>
        <v/>
      </c>
      <c r="S454" s="2335">
        <f t="shared" si="39"/>
        <v>0</v>
      </c>
    </row>
    <row r="455" spans="1:19">
      <c r="A455" s="1932">
        <f t="shared" si="40"/>
        <v>0</v>
      </c>
      <c r="B455" s="1932">
        <f t="shared" si="41"/>
        <v>0</v>
      </c>
      <c r="C455" s="1013" t="s">
        <v>245</v>
      </c>
      <c r="D455" s="1013">
        <v>0</v>
      </c>
      <c r="E455" s="1013" t="s">
        <v>22698</v>
      </c>
      <c r="F455" s="1013">
        <v>33</v>
      </c>
      <c r="G455" s="1932" t="str">
        <f>+VLOOKUP(F455,TT_Tabelle_Riferimento!$D$127:$G$164,4,FALSE)</f>
        <v>Fabbricati non industriali</v>
      </c>
      <c r="H455" s="1013">
        <v>3</v>
      </c>
      <c r="I455" s="1932" t="str">
        <f>+VLOOKUP(H455,TT_Tabelle_Riferimento!$F$3:$G$6,2,FALSE)</f>
        <v>Altri servizi idrici</v>
      </c>
      <c r="J455" s="1013">
        <v>2027</v>
      </c>
      <c r="K455" s="2335">
        <f>+SUMIFS('PdI-crono_inv'!BB:BB,'PdI-crono_inv'!CF:CF,F455,'PdI-crono_inv'!CE:CE,H455,'PdI-crono_inv'!J:J,P455,'PdI-crono_inv'!P:P,"&lt;&gt;proprietario")</f>
        <v>0</v>
      </c>
      <c r="M455" s="2335">
        <f>+SUMIFS('PdI-crono_inv'!BC:BC,'PdI-crono_inv'!CF:CF,F455,'PdI-crono_inv'!CE:CE,H455,'PdI-crono_inv'!J:J,P455,'PdI-crono_inv'!P:P,"&lt;&gt;proprietario")+S455</f>
        <v>0</v>
      </c>
      <c r="P455" s="1013" t="s">
        <v>25486</v>
      </c>
      <c r="Q455" s="1932" t="str">
        <f>+VLOOKUP(F455,TT_Tabelle_Riferimento!$D$127:$E$164,2,FALSE)</f>
        <v>Comune</v>
      </c>
      <c r="R455" s="1932" t="str">
        <f t="shared" si="42"/>
        <v/>
      </c>
      <c r="S455" s="2335">
        <f t="shared" ref="S455:S518" si="43">+IFERROR(HLOOKUP(J455,$X$2:$Y$5,4,FALSE)*K455,0)</f>
        <v>0</v>
      </c>
    </row>
    <row r="456" spans="1:19">
      <c r="A456" s="1932">
        <f t="shared" si="40"/>
        <v>0</v>
      </c>
      <c r="B456" s="1932">
        <f t="shared" si="41"/>
        <v>0</v>
      </c>
      <c r="C456" s="1013" t="s">
        <v>245</v>
      </c>
      <c r="D456" s="1013">
        <v>0</v>
      </c>
      <c r="E456" s="1013" t="s">
        <v>22698</v>
      </c>
      <c r="F456" s="1013">
        <v>34</v>
      </c>
      <c r="G456" s="1932" t="str">
        <f>+VLOOKUP(F456,TT_Tabelle_Riferimento!$D$127:$G$164,4,FALSE)</f>
        <v>Fabbricati industriali</v>
      </c>
      <c r="H456" s="1013">
        <v>3</v>
      </c>
      <c r="I456" s="1932" t="str">
        <f>+VLOOKUP(H456,TT_Tabelle_Riferimento!$F$3:$G$6,2,FALSE)</f>
        <v>Altri servizi idrici</v>
      </c>
      <c r="J456" s="1013">
        <v>2027</v>
      </c>
      <c r="K456" s="2335">
        <f>+SUMIFS('PdI-crono_inv'!BB:BB,'PdI-crono_inv'!CF:CF,F456,'PdI-crono_inv'!CE:CE,H456,'PdI-crono_inv'!J:J,P456,'PdI-crono_inv'!P:P,"&lt;&gt;proprietario")</f>
        <v>0</v>
      </c>
      <c r="M456" s="2335">
        <f>+SUMIFS('PdI-crono_inv'!BC:BC,'PdI-crono_inv'!CF:CF,F456,'PdI-crono_inv'!CE:CE,H456,'PdI-crono_inv'!J:J,P456,'PdI-crono_inv'!P:P,"&lt;&gt;proprietario")+S456</f>
        <v>0</v>
      </c>
      <c r="P456" s="1013" t="s">
        <v>25486</v>
      </c>
      <c r="Q456" s="1932" t="str">
        <f>+VLOOKUP(F456,TT_Tabelle_Riferimento!$D$127:$E$164,2,FALSE)</f>
        <v>Comune</v>
      </c>
      <c r="R456" s="1932" t="str">
        <f t="shared" si="42"/>
        <v/>
      </c>
      <c r="S456" s="2335">
        <f t="shared" si="43"/>
        <v>0</v>
      </c>
    </row>
    <row r="457" spans="1:19">
      <c r="A457" s="1932">
        <f t="shared" si="40"/>
        <v>0</v>
      </c>
      <c r="B457" s="1932">
        <f t="shared" si="41"/>
        <v>0</v>
      </c>
      <c r="C457" s="1013" t="s">
        <v>245</v>
      </c>
      <c r="D457" s="1013">
        <v>0</v>
      </c>
      <c r="E457" s="1013" t="s">
        <v>22698</v>
      </c>
      <c r="F457" s="1013">
        <v>35</v>
      </c>
      <c r="G457" s="1932" t="str">
        <f>+VLOOKUP(F457,TT_Tabelle_Riferimento!$D$127:$G$164,4,FALSE)</f>
        <v>Costruzioni leggere</v>
      </c>
      <c r="H457" s="1013">
        <v>3</v>
      </c>
      <c r="I457" s="1932" t="str">
        <f>+VLOOKUP(H457,TT_Tabelle_Riferimento!$F$3:$G$6,2,FALSE)</f>
        <v>Altri servizi idrici</v>
      </c>
      <c r="J457" s="1013">
        <v>2027</v>
      </c>
      <c r="K457" s="2335">
        <f>+SUMIFS('PdI-crono_inv'!BB:BB,'PdI-crono_inv'!CF:CF,F457,'PdI-crono_inv'!CE:CE,H457,'PdI-crono_inv'!J:J,P457,'PdI-crono_inv'!P:P,"&lt;&gt;proprietario")</f>
        <v>0</v>
      </c>
      <c r="M457" s="2335">
        <f>+SUMIFS('PdI-crono_inv'!BC:BC,'PdI-crono_inv'!CF:CF,F457,'PdI-crono_inv'!CE:CE,H457,'PdI-crono_inv'!J:J,P457,'PdI-crono_inv'!P:P,"&lt;&gt;proprietario")+S457</f>
        <v>0</v>
      </c>
      <c r="P457" s="1013" t="s">
        <v>25486</v>
      </c>
      <c r="Q457" s="1932" t="str">
        <f>+VLOOKUP(F457,TT_Tabelle_Riferimento!$D$127:$E$164,2,FALSE)</f>
        <v>Comune</v>
      </c>
      <c r="R457" s="1932" t="str">
        <f t="shared" si="42"/>
        <v/>
      </c>
      <c r="S457" s="2335">
        <f t="shared" si="43"/>
        <v>0</v>
      </c>
    </row>
    <row r="458" spans="1:19">
      <c r="A458" s="1932">
        <f t="shared" si="40"/>
        <v>0</v>
      </c>
      <c r="B458" s="1932">
        <f t="shared" si="41"/>
        <v>0</v>
      </c>
      <c r="C458" s="1013" t="s">
        <v>245</v>
      </c>
      <c r="D458" s="1013">
        <v>0</v>
      </c>
      <c r="E458" s="1013" t="s">
        <v>22698</v>
      </c>
      <c r="F458" s="1013">
        <v>36</v>
      </c>
      <c r="G458" s="1932" t="str">
        <f>+VLOOKUP(F458,TT_Tabelle_Riferimento!$D$127:$G$164,4,FALSE)</f>
        <v>Studi, ricerche, brevetti, diritti di utilizzazione</v>
      </c>
      <c r="H458" s="1013">
        <v>3</v>
      </c>
      <c r="I458" s="1932" t="str">
        <f>+VLOOKUP(H458,TT_Tabelle_Riferimento!$F$3:$G$6,2,FALSE)</f>
        <v>Altri servizi idrici</v>
      </c>
      <c r="J458" s="1013">
        <v>2027</v>
      </c>
      <c r="K458" s="2335">
        <f>+SUMIFS('PdI-crono_inv'!BB:BB,'PdI-crono_inv'!CF:CF,F458,'PdI-crono_inv'!CE:CE,H458,'PdI-crono_inv'!J:J,P458,'PdI-crono_inv'!P:P,"&lt;&gt;proprietario")</f>
        <v>0</v>
      </c>
      <c r="M458" s="2335">
        <f>+SUMIFS('PdI-crono_inv'!BC:BC,'PdI-crono_inv'!CF:CF,F458,'PdI-crono_inv'!CE:CE,H458,'PdI-crono_inv'!J:J,P458,'PdI-crono_inv'!P:P,"&lt;&gt;proprietario")+S458</f>
        <v>0</v>
      </c>
      <c r="P458" s="1013" t="s">
        <v>25486</v>
      </c>
      <c r="Q458" s="1932" t="str">
        <f>+VLOOKUP(F458,TT_Tabelle_Riferimento!$D$127:$E$164,2,FALSE)</f>
        <v>Comune</v>
      </c>
      <c r="R458" s="1932" t="str">
        <f t="shared" si="42"/>
        <v/>
      </c>
      <c r="S458" s="2335">
        <f t="shared" si="43"/>
        <v>0</v>
      </c>
    </row>
    <row r="459" spans="1:19">
      <c r="A459" s="1932">
        <f t="shared" si="40"/>
        <v>0</v>
      </c>
      <c r="B459" s="1932">
        <f t="shared" si="41"/>
        <v>0</v>
      </c>
      <c r="C459" s="1013" t="s">
        <v>245</v>
      </c>
      <c r="D459" s="1013">
        <v>0</v>
      </c>
      <c r="E459" s="1013" t="s">
        <v>22698</v>
      </c>
      <c r="F459" s="1013">
        <v>37</v>
      </c>
      <c r="G459" s="1932" t="str">
        <f>+VLOOKUP(F459,TT_Tabelle_Riferimento!$D$127:$G$164,4,FALSE)</f>
        <v>Altre immobilizzazioni materiali e immateriali</v>
      </c>
      <c r="H459" s="1013">
        <v>3</v>
      </c>
      <c r="I459" s="1932" t="str">
        <f>+VLOOKUP(H459,TT_Tabelle_Riferimento!$F$3:$G$6,2,FALSE)</f>
        <v>Altri servizi idrici</v>
      </c>
      <c r="J459" s="1013">
        <v>2027</v>
      </c>
      <c r="K459" s="2335">
        <f>+SUMIFS('PdI-crono_inv'!BB:BB,'PdI-crono_inv'!CF:CF,F459,'PdI-crono_inv'!CE:CE,H459,'PdI-crono_inv'!J:J,P459,'PdI-crono_inv'!P:P,"&lt;&gt;proprietario")</f>
        <v>0</v>
      </c>
      <c r="M459" s="2335">
        <f>+SUMIFS('PdI-crono_inv'!BC:BC,'PdI-crono_inv'!CF:CF,F459,'PdI-crono_inv'!CE:CE,H459,'PdI-crono_inv'!J:J,P459,'PdI-crono_inv'!P:P,"&lt;&gt;proprietario")+S459</f>
        <v>0</v>
      </c>
      <c r="P459" s="1013" t="s">
        <v>25486</v>
      </c>
      <c r="Q459" s="1932" t="str">
        <f>+VLOOKUP(F459,TT_Tabelle_Riferimento!$D$127:$E$164,2,FALSE)</f>
        <v>Comune</v>
      </c>
      <c r="R459" s="1932" t="str">
        <f t="shared" si="42"/>
        <v/>
      </c>
      <c r="S459" s="2335">
        <f t="shared" si="43"/>
        <v>0</v>
      </c>
    </row>
    <row r="460" spans="1:19">
      <c r="A460" s="1932">
        <f t="shared" si="40"/>
        <v>0</v>
      </c>
      <c r="B460" s="1932">
        <f t="shared" si="41"/>
        <v>0</v>
      </c>
      <c r="C460" s="1013" t="s">
        <v>245</v>
      </c>
      <c r="D460" s="1013">
        <v>0</v>
      </c>
      <c r="E460" s="1013" t="s">
        <v>22698</v>
      </c>
      <c r="F460" s="1013">
        <v>38</v>
      </c>
      <c r="G460" s="1932" t="str">
        <f>+VLOOKUP(F460,TT_Tabelle_Riferimento!$D$127:$G$164,4,FALSE)</f>
        <v>Grandi dighe (sbarramenti che superano i quindici metri di altezza o che determinano un invaso superiore a 1 milione di metri cubi)</v>
      </c>
      <c r="H460" s="1013">
        <v>3</v>
      </c>
      <c r="I460" s="1932" t="str">
        <f>+VLOOKUP(H460,TT_Tabelle_Riferimento!$F$3:$G$6,2,FALSE)</f>
        <v>Altri servizi idrici</v>
      </c>
      <c r="J460" s="1013">
        <v>2027</v>
      </c>
      <c r="K460" s="2335">
        <f>+SUMIFS('PdI-crono_inv'!BB:BB,'PdI-crono_inv'!CF:CF,F460,'PdI-crono_inv'!CE:CE,H460,'PdI-crono_inv'!J:J,P460,'PdI-crono_inv'!P:P,"&lt;&gt;proprietario")</f>
        <v>0</v>
      </c>
      <c r="M460" s="2335">
        <f>+SUMIFS('PdI-crono_inv'!BC:BC,'PdI-crono_inv'!CF:CF,F460,'PdI-crono_inv'!CE:CE,H460,'PdI-crono_inv'!J:J,P460,'PdI-crono_inv'!P:P,"&lt;&gt;proprietario")+S460</f>
        <v>0</v>
      </c>
      <c r="P460" s="1013" t="s">
        <v>25486</v>
      </c>
      <c r="Q460" s="1932" t="str">
        <f>+VLOOKUP(F460,TT_Tabelle_Riferimento!$D$127:$E$164,2,FALSE)</f>
        <v>Acquedotto</v>
      </c>
      <c r="R460" s="1932" t="str">
        <f t="shared" si="42"/>
        <v/>
      </c>
      <c r="S460" s="2335">
        <f t="shared" si="43"/>
        <v>0</v>
      </c>
    </row>
    <row r="461" spans="1:19">
      <c r="A461" s="1932">
        <f t="shared" si="40"/>
        <v>0</v>
      </c>
      <c r="B461" s="1932">
        <f t="shared" si="41"/>
        <v>0</v>
      </c>
      <c r="C461" s="1013" t="s">
        <v>245</v>
      </c>
      <c r="D461" s="1013">
        <v>0</v>
      </c>
      <c r="E461" s="1013" t="s">
        <v>22698</v>
      </c>
      <c r="F461" s="1013">
        <v>39</v>
      </c>
      <c r="G461" s="1932" t="str">
        <f>+VLOOKUP(F461,TT_Tabelle_Riferimento!$D$127:$G$164,4,FALSE)</f>
        <v>Piccole dighe (sbarramenti che non superano i quindici metri di altezza o che determinano un invaso non superiore a 1 milione di metri cubi)</v>
      </c>
      <c r="H461" s="1013">
        <v>3</v>
      </c>
      <c r="I461" s="1932" t="str">
        <f>+VLOOKUP(H461,TT_Tabelle_Riferimento!$F$3:$G$6,2,FALSE)</f>
        <v>Altri servizi idrici</v>
      </c>
      <c r="J461" s="1013">
        <v>2027</v>
      </c>
      <c r="K461" s="2335">
        <f>+SUMIFS('PdI-crono_inv'!BB:BB,'PdI-crono_inv'!CF:CF,F461,'PdI-crono_inv'!CE:CE,H461,'PdI-crono_inv'!J:J,P461,'PdI-crono_inv'!P:P,"&lt;&gt;proprietario")</f>
        <v>0</v>
      </c>
      <c r="M461" s="2335">
        <f>+SUMIFS('PdI-crono_inv'!BC:BC,'PdI-crono_inv'!CF:CF,F461,'PdI-crono_inv'!CE:CE,H461,'PdI-crono_inv'!J:J,P461,'PdI-crono_inv'!P:P,"&lt;&gt;proprietario")+S461</f>
        <v>0</v>
      </c>
      <c r="P461" s="1013" t="s">
        <v>25486</v>
      </c>
      <c r="Q461" s="1932" t="str">
        <f>+VLOOKUP(F461,TT_Tabelle_Riferimento!$D$127:$E$164,2,FALSE)</f>
        <v>Acquedotto</v>
      </c>
      <c r="R461" s="1932" t="str">
        <f t="shared" si="42"/>
        <v/>
      </c>
      <c r="S461" s="2335">
        <f t="shared" si="43"/>
        <v>0</v>
      </c>
    </row>
    <row r="462" spans="1:19">
      <c r="A462" s="1932">
        <f t="shared" si="40"/>
        <v>0</v>
      </c>
      <c r="B462" s="1932">
        <f t="shared" si="41"/>
        <v>0</v>
      </c>
      <c r="C462" s="1013" t="s">
        <v>245</v>
      </c>
      <c r="D462" s="1013">
        <v>0</v>
      </c>
      <c r="E462" s="1013" t="s">
        <v>22698</v>
      </c>
      <c r="F462" s="1013">
        <v>2</v>
      </c>
      <c r="G462" s="1932" t="str">
        <f>+VLOOKUP(F462,TT_Tabelle_Riferimento!$D$127:$G$164,4,FALSE)</f>
        <v>Condotte di acquedotto</v>
      </c>
      <c r="H462" s="1013">
        <v>1</v>
      </c>
      <c r="I462" s="1932" t="str">
        <f>+VLOOKUP(H462,TT_Tabelle_Riferimento!$F$3:$G$6,2,FALSE)</f>
        <v>Servizio idrico integrato</v>
      </c>
      <c r="J462" s="1013">
        <v>2027</v>
      </c>
      <c r="K462" s="2335">
        <f>+SUMIFS('PdI-crono_inv'!BB:BB,'PdI-crono_inv'!CF:CF,F462,'PdI-crono_inv'!CE:CE,H462,'PdI-crono_inv'!J:J,P462,'PdI-crono_inv'!P:P,"&lt;&gt;proprietario")</f>
        <v>0</v>
      </c>
      <c r="M462" s="2335">
        <f>+SUMIFS('PdI-crono_inv'!BC:BC,'PdI-crono_inv'!CF:CF,F462,'PdI-crono_inv'!CE:CE,H462,'PdI-crono_inv'!J:J,P462,'PdI-crono_inv'!P:P,"&lt;&gt;proprietario")+S462</f>
        <v>0</v>
      </c>
      <c r="P462" s="1013" t="s">
        <v>25481</v>
      </c>
      <c r="Q462" s="1932" t="str">
        <f>+VLOOKUP(F462,TT_Tabelle_Riferimento!$D$127:$E$164,2,FALSE)</f>
        <v>Acquedotto</v>
      </c>
      <c r="R462" s="1932" t="str">
        <f t="shared" si="42"/>
        <v/>
      </c>
      <c r="S462" s="2335">
        <f t="shared" si="43"/>
        <v>0</v>
      </c>
    </row>
    <row r="463" spans="1:19">
      <c r="A463" s="1932">
        <f t="shared" si="40"/>
        <v>0</v>
      </c>
      <c r="B463" s="1932">
        <f t="shared" si="41"/>
        <v>0</v>
      </c>
      <c r="C463" s="1013" t="s">
        <v>245</v>
      </c>
      <c r="D463" s="1013">
        <v>0</v>
      </c>
      <c r="E463" s="1013" t="s">
        <v>22698</v>
      </c>
      <c r="F463" s="1013">
        <v>3</v>
      </c>
      <c r="G463" s="1932" t="str">
        <f>+VLOOKUP(F463,TT_Tabelle_Riferimento!$D$127:$G$164,4,FALSE)</f>
        <v>Opere idrauliche fisse di acquedotto</v>
      </c>
      <c r="H463" s="1013">
        <v>1</v>
      </c>
      <c r="I463" s="1932" t="str">
        <f>+VLOOKUP(H463,TT_Tabelle_Riferimento!$F$3:$G$6,2,FALSE)</f>
        <v>Servizio idrico integrato</v>
      </c>
      <c r="J463" s="1013">
        <v>2027</v>
      </c>
      <c r="K463" s="2335">
        <f>+SUMIFS('PdI-crono_inv'!BB:BB,'PdI-crono_inv'!CF:CF,F463,'PdI-crono_inv'!CE:CE,H463,'PdI-crono_inv'!J:J,P463,'PdI-crono_inv'!P:P,"&lt;&gt;proprietario")</f>
        <v>0</v>
      </c>
      <c r="M463" s="2335">
        <f>+SUMIFS('PdI-crono_inv'!BC:BC,'PdI-crono_inv'!CF:CF,F463,'PdI-crono_inv'!CE:CE,H463,'PdI-crono_inv'!J:J,P463,'PdI-crono_inv'!P:P,"&lt;&gt;proprietario")+S463</f>
        <v>0</v>
      </c>
      <c r="P463" s="1013" t="s">
        <v>25481</v>
      </c>
      <c r="Q463" s="1932" t="str">
        <f>+VLOOKUP(F463,TT_Tabelle_Riferimento!$D$127:$E$164,2,FALSE)</f>
        <v>Acquedotto</v>
      </c>
      <c r="R463" s="1932" t="str">
        <f t="shared" si="42"/>
        <v/>
      </c>
      <c r="S463" s="2335">
        <f t="shared" si="43"/>
        <v>0</v>
      </c>
    </row>
    <row r="464" spans="1:19">
      <c r="A464" s="1932">
        <f t="shared" si="40"/>
        <v>0</v>
      </c>
      <c r="B464" s="1932">
        <f t="shared" si="41"/>
        <v>0</v>
      </c>
      <c r="C464" s="1013" t="s">
        <v>245</v>
      </c>
      <c r="D464" s="1013">
        <v>0</v>
      </c>
      <c r="E464" s="1013" t="s">
        <v>22698</v>
      </c>
      <c r="F464" s="1013">
        <v>4</v>
      </c>
      <c r="G464" s="1932" t="str">
        <f>+VLOOKUP(F464,TT_Tabelle_Riferimento!$D$127:$G$164,4,FALSE)</f>
        <v>Serbatoi</v>
      </c>
      <c r="H464" s="1013">
        <v>1</v>
      </c>
      <c r="I464" s="1932" t="str">
        <f>+VLOOKUP(H464,TT_Tabelle_Riferimento!$F$3:$G$6,2,FALSE)</f>
        <v>Servizio idrico integrato</v>
      </c>
      <c r="J464" s="1013">
        <v>2027</v>
      </c>
      <c r="K464" s="2335">
        <f>+SUMIFS('PdI-crono_inv'!BB:BB,'PdI-crono_inv'!CF:CF,F464,'PdI-crono_inv'!CE:CE,H464,'PdI-crono_inv'!J:J,P464,'PdI-crono_inv'!P:P,"&lt;&gt;proprietario")</f>
        <v>0</v>
      </c>
      <c r="M464" s="2335">
        <f>+SUMIFS('PdI-crono_inv'!BC:BC,'PdI-crono_inv'!CF:CF,F464,'PdI-crono_inv'!CE:CE,H464,'PdI-crono_inv'!J:J,P464,'PdI-crono_inv'!P:P,"&lt;&gt;proprietario")+S464</f>
        <v>0</v>
      </c>
      <c r="P464" s="1013" t="s">
        <v>25481</v>
      </c>
      <c r="Q464" s="1932" t="str">
        <f>+VLOOKUP(F464,TT_Tabelle_Riferimento!$D$127:$E$164,2,FALSE)</f>
        <v>Acquedotto</v>
      </c>
      <c r="R464" s="1932" t="str">
        <f t="shared" si="42"/>
        <v/>
      </c>
      <c r="S464" s="2335">
        <f t="shared" si="43"/>
        <v>0</v>
      </c>
    </row>
    <row r="465" spans="1:19">
      <c r="A465" s="1932">
        <f t="shared" si="40"/>
        <v>0</v>
      </c>
      <c r="B465" s="1932">
        <f t="shared" si="41"/>
        <v>0</v>
      </c>
      <c r="C465" s="1013" t="s">
        <v>245</v>
      </c>
      <c r="D465" s="1013">
        <v>0</v>
      </c>
      <c r="E465" s="1013" t="s">
        <v>22698</v>
      </c>
      <c r="F465" s="1013">
        <v>5</v>
      </c>
      <c r="G465" s="1932" t="str">
        <f>+VLOOKUP(F465,TT_Tabelle_Riferimento!$D$127:$G$164,4,FALSE)</f>
        <v>Impianti di sollevamento e pompaggio di acquedotto</v>
      </c>
      <c r="H465" s="1013">
        <v>1</v>
      </c>
      <c r="I465" s="1932" t="str">
        <f>+VLOOKUP(H465,TT_Tabelle_Riferimento!$F$3:$G$6,2,FALSE)</f>
        <v>Servizio idrico integrato</v>
      </c>
      <c r="J465" s="1013">
        <v>2027</v>
      </c>
      <c r="K465" s="2335">
        <f>+SUMIFS('PdI-crono_inv'!BB:BB,'PdI-crono_inv'!CF:CF,F465,'PdI-crono_inv'!CE:CE,H465,'PdI-crono_inv'!J:J,P465,'PdI-crono_inv'!P:P,"&lt;&gt;proprietario")</f>
        <v>0</v>
      </c>
      <c r="M465" s="2335">
        <f>+SUMIFS('PdI-crono_inv'!BC:BC,'PdI-crono_inv'!CF:CF,F465,'PdI-crono_inv'!CE:CE,H465,'PdI-crono_inv'!J:J,P465,'PdI-crono_inv'!P:P,"&lt;&gt;proprietario")+S465</f>
        <v>0</v>
      </c>
      <c r="P465" s="1013" t="s">
        <v>25481</v>
      </c>
      <c r="Q465" s="1932" t="str">
        <f>+VLOOKUP(F465,TT_Tabelle_Riferimento!$D$127:$E$164,2,FALSE)</f>
        <v>Acquedotto</v>
      </c>
      <c r="R465" s="1932" t="str">
        <f t="shared" si="42"/>
        <v/>
      </c>
      <c r="S465" s="2335">
        <f t="shared" si="43"/>
        <v>0</v>
      </c>
    </row>
    <row r="466" spans="1:19">
      <c r="A466" s="1932">
        <f t="shared" si="40"/>
        <v>0</v>
      </c>
      <c r="B466" s="1932">
        <f t="shared" si="41"/>
        <v>0</v>
      </c>
      <c r="C466" s="1013" t="s">
        <v>245</v>
      </c>
      <c r="D466" s="1013">
        <v>0</v>
      </c>
      <c r="E466" s="1013" t="s">
        <v>22698</v>
      </c>
      <c r="F466" s="1013">
        <v>6</v>
      </c>
      <c r="G466" s="1932" t="str">
        <f>+VLOOKUP(F466,TT_Tabelle_Riferimento!$D$127:$G$164,4,FALSE)</f>
        <v>Impianti di potabilizzazione</v>
      </c>
      <c r="H466" s="1013">
        <v>1</v>
      </c>
      <c r="I466" s="1932" t="str">
        <f>+VLOOKUP(H466,TT_Tabelle_Riferimento!$F$3:$G$6,2,FALSE)</f>
        <v>Servizio idrico integrato</v>
      </c>
      <c r="J466" s="1013">
        <v>2027</v>
      </c>
      <c r="K466" s="2335">
        <f>+SUMIFS('PdI-crono_inv'!BB:BB,'PdI-crono_inv'!CF:CF,F466,'PdI-crono_inv'!CE:CE,H466,'PdI-crono_inv'!J:J,P466,'PdI-crono_inv'!P:P,"&lt;&gt;proprietario")</f>
        <v>0</v>
      </c>
      <c r="M466" s="2335">
        <f>+SUMIFS('PdI-crono_inv'!BC:BC,'PdI-crono_inv'!CF:CF,F466,'PdI-crono_inv'!CE:CE,H466,'PdI-crono_inv'!J:J,P466,'PdI-crono_inv'!P:P,"&lt;&gt;proprietario")+S466</f>
        <v>0</v>
      </c>
      <c r="P466" s="1013" t="s">
        <v>25481</v>
      </c>
      <c r="Q466" s="1932" t="str">
        <f>+VLOOKUP(F466,TT_Tabelle_Riferimento!$D$127:$E$164,2,FALSE)</f>
        <v>Acquedotto</v>
      </c>
      <c r="R466" s="1932" t="str">
        <f t="shared" si="42"/>
        <v/>
      </c>
      <c r="S466" s="2335">
        <f t="shared" si="43"/>
        <v>0</v>
      </c>
    </row>
    <row r="467" spans="1:19">
      <c r="A467" s="1932">
        <f t="shared" si="40"/>
        <v>0</v>
      </c>
      <c r="B467" s="1932">
        <f t="shared" si="41"/>
        <v>0</v>
      </c>
      <c r="C467" s="1013" t="s">
        <v>245</v>
      </c>
      <c r="D467" s="1013">
        <v>0</v>
      </c>
      <c r="E467" s="1013" t="s">
        <v>22698</v>
      </c>
      <c r="F467" s="1013">
        <v>7</v>
      </c>
      <c r="G467" s="1932" t="str">
        <f>+VLOOKUP(F467,TT_Tabelle_Riferimento!$D$127:$G$164,4,FALSE)</f>
        <v>Altri trattamenti di potabilizzazione (tra cui dispositivi di disinfezione, stacciatura, filtrazione, addolcimento)</v>
      </c>
      <c r="H467" s="1013">
        <v>1</v>
      </c>
      <c r="I467" s="1932" t="str">
        <f>+VLOOKUP(H467,TT_Tabelle_Riferimento!$F$3:$G$6,2,FALSE)</f>
        <v>Servizio idrico integrato</v>
      </c>
      <c r="J467" s="1013">
        <v>2027</v>
      </c>
      <c r="K467" s="2335">
        <f>+SUMIFS('PdI-crono_inv'!BB:BB,'PdI-crono_inv'!CF:CF,F467,'PdI-crono_inv'!CE:CE,H467,'PdI-crono_inv'!J:J,P467,'PdI-crono_inv'!P:P,"&lt;&gt;proprietario")</f>
        <v>0</v>
      </c>
      <c r="M467" s="2335">
        <f>+SUMIFS('PdI-crono_inv'!BC:BC,'PdI-crono_inv'!CF:CF,F467,'PdI-crono_inv'!CE:CE,H467,'PdI-crono_inv'!J:J,P467,'PdI-crono_inv'!P:P,"&lt;&gt;proprietario")+S467</f>
        <v>0</v>
      </c>
      <c r="P467" s="1013" t="s">
        <v>25481</v>
      </c>
      <c r="Q467" s="1932" t="str">
        <f>+VLOOKUP(F467,TT_Tabelle_Riferimento!$D$127:$E$164,2,FALSE)</f>
        <v>Acquedotto</v>
      </c>
      <c r="R467" s="1932" t="str">
        <f t="shared" si="42"/>
        <v/>
      </c>
      <c r="S467" s="2335">
        <f t="shared" si="43"/>
        <v>0</v>
      </c>
    </row>
    <row r="468" spans="1:19">
      <c r="A468" s="1932">
        <f t="shared" si="40"/>
        <v>0</v>
      </c>
      <c r="B468" s="1932">
        <f t="shared" si="41"/>
        <v>0</v>
      </c>
      <c r="C468" s="1013" t="s">
        <v>245</v>
      </c>
      <c r="D468" s="1013">
        <v>0</v>
      </c>
      <c r="E468" s="1013" t="s">
        <v>22698</v>
      </c>
      <c r="F468" s="1013">
        <v>8</v>
      </c>
      <c r="G468" s="1932" t="str">
        <f>+VLOOKUP(F468,TT_Tabelle_Riferimento!$D$127:$G$164,4,FALSE)</f>
        <v>Gruppi di misura - altre attrezzature di acquedotto</v>
      </c>
      <c r="H468" s="1013">
        <v>1</v>
      </c>
      <c r="I468" s="1932" t="str">
        <f>+VLOOKUP(H468,TT_Tabelle_Riferimento!$F$3:$G$6,2,FALSE)</f>
        <v>Servizio idrico integrato</v>
      </c>
      <c r="J468" s="1013">
        <v>2027</v>
      </c>
      <c r="K468" s="2335">
        <f>+SUMIFS('PdI-crono_inv'!BB:BB,'PdI-crono_inv'!CF:CF,F468,'PdI-crono_inv'!CE:CE,H468,'PdI-crono_inv'!J:J,P468,'PdI-crono_inv'!P:P,"&lt;&gt;proprietario")</f>
        <v>0</v>
      </c>
      <c r="M468" s="2335">
        <f>+SUMIFS('PdI-crono_inv'!BC:BC,'PdI-crono_inv'!CF:CF,F468,'PdI-crono_inv'!CE:CE,H468,'PdI-crono_inv'!J:J,P468,'PdI-crono_inv'!P:P,"&lt;&gt;proprietario")+S468</f>
        <v>0</v>
      </c>
      <c r="P468" s="1013" t="s">
        <v>25481</v>
      </c>
      <c r="Q468" s="1932" t="str">
        <f>+VLOOKUP(F468,TT_Tabelle_Riferimento!$D$127:$E$164,2,FALSE)</f>
        <v>Acquedotto</v>
      </c>
      <c r="R468" s="1932" t="str">
        <f t="shared" si="42"/>
        <v/>
      </c>
      <c r="S468" s="2335">
        <f t="shared" si="43"/>
        <v>0</v>
      </c>
    </row>
    <row r="469" spans="1:19">
      <c r="A469" s="1932">
        <f t="shared" si="40"/>
        <v>0</v>
      </c>
      <c r="B469" s="1932">
        <f t="shared" si="41"/>
        <v>0</v>
      </c>
      <c r="C469" s="1013" t="s">
        <v>245</v>
      </c>
      <c r="D469" s="1013">
        <v>0</v>
      </c>
      <c r="E469" s="1013" t="s">
        <v>22698</v>
      </c>
      <c r="F469" s="1013">
        <v>9</v>
      </c>
      <c r="G469" s="1932" t="str">
        <f>+VLOOKUP(F469,TT_Tabelle_Riferimento!$D$127:$G$164,4,FALSE)</f>
        <v>Sistemi informativi di acquedotto</v>
      </c>
      <c r="H469" s="1013">
        <v>1</v>
      </c>
      <c r="I469" s="1932" t="str">
        <f>+VLOOKUP(H469,TT_Tabelle_Riferimento!$F$3:$G$6,2,FALSE)</f>
        <v>Servizio idrico integrato</v>
      </c>
      <c r="J469" s="1013">
        <v>2027</v>
      </c>
      <c r="K469" s="2335">
        <f>+SUMIFS('PdI-crono_inv'!BB:BB,'PdI-crono_inv'!CF:CF,F469,'PdI-crono_inv'!CE:CE,H469,'PdI-crono_inv'!J:J,P469,'PdI-crono_inv'!P:P,"&lt;&gt;proprietario")</f>
        <v>0</v>
      </c>
      <c r="M469" s="2335">
        <f>+SUMIFS('PdI-crono_inv'!BC:BC,'PdI-crono_inv'!CF:CF,F469,'PdI-crono_inv'!CE:CE,H469,'PdI-crono_inv'!J:J,P469,'PdI-crono_inv'!P:P,"&lt;&gt;proprietario")+S469</f>
        <v>0</v>
      </c>
      <c r="P469" s="1013" t="s">
        <v>25481</v>
      </c>
      <c r="Q469" s="1932" t="str">
        <f>+VLOOKUP(F469,TT_Tabelle_Riferimento!$D$127:$E$164,2,FALSE)</f>
        <v>Acquedotto</v>
      </c>
      <c r="R469" s="1932" t="str">
        <f t="shared" si="42"/>
        <v/>
      </c>
      <c r="S469" s="2335">
        <f t="shared" si="43"/>
        <v>0</v>
      </c>
    </row>
    <row r="470" spans="1:19">
      <c r="A470" s="1932">
        <f t="shared" si="40"/>
        <v>0</v>
      </c>
      <c r="B470" s="1932">
        <f t="shared" si="41"/>
        <v>0</v>
      </c>
      <c r="C470" s="1013" t="s">
        <v>245</v>
      </c>
      <c r="D470" s="1013">
        <v>0</v>
      </c>
      <c r="E470" s="1013" t="s">
        <v>22698</v>
      </c>
      <c r="F470" s="1013">
        <v>10</v>
      </c>
      <c r="G470" s="1932" t="str">
        <f>+VLOOKUP(F470,TT_Tabelle_Riferimento!$D$127:$G$164,4,FALSE)</f>
        <v>Telecontrollo e teletrasmissione di acquedotto</v>
      </c>
      <c r="H470" s="1013">
        <v>1</v>
      </c>
      <c r="I470" s="1932" t="str">
        <f>+VLOOKUP(H470,TT_Tabelle_Riferimento!$F$3:$G$6,2,FALSE)</f>
        <v>Servizio idrico integrato</v>
      </c>
      <c r="J470" s="1013">
        <v>2027</v>
      </c>
      <c r="K470" s="2335">
        <f>+SUMIFS('PdI-crono_inv'!BB:BB,'PdI-crono_inv'!CF:CF,F470,'PdI-crono_inv'!CE:CE,H470,'PdI-crono_inv'!J:J,P470,'PdI-crono_inv'!P:P,"&lt;&gt;proprietario")</f>
        <v>0</v>
      </c>
      <c r="M470" s="2335">
        <f>+SUMIFS('PdI-crono_inv'!BC:BC,'PdI-crono_inv'!CF:CF,F470,'PdI-crono_inv'!CE:CE,H470,'PdI-crono_inv'!J:J,P470,'PdI-crono_inv'!P:P,"&lt;&gt;proprietario")+S470</f>
        <v>0</v>
      </c>
      <c r="P470" s="1013" t="s">
        <v>25481</v>
      </c>
      <c r="Q470" s="1932" t="str">
        <f>+VLOOKUP(F470,TT_Tabelle_Riferimento!$D$127:$E$164,2,FALSE)</f>
        <v>Acquedotto</v>
      </c>
      <c r="R470" s="1932" t="str">
        <f t="shared" si="42"/>
        <v/>
      </c>
      <c r="S470" s="2335">
        <f t="shared" si="43"/>
        <v>0</v>
      </c>
    </row>
    <row r="471" spans="1:19">
      <c r="A471" s="1932">
        <f t="shared" si="40"/>
        <v>0</v>
      </c>
      <c r="B471" s="1932">
        <f t="shared" si="41"/>
        <v>0</v>
      </c>
      <c r="C471" s="1013" t="s">
        <v>245</v>
      </c>
      <c r="D471" s="1013">
        <v>0</v>
      </c>
      <c r="E471" s="1013" t="s">
        <v>22698</v>
      </c>
      <c r="F471" s="1013">
        <v>11</v>
      </c>
      <c r="G471" s="1932" t="str">
        <f>+VLOOKUP(F471,TT_Tabelle_Riferimento!$D$127:$G$164,4,FALSE)</f>
        <v>Condotte fognarie</v>
      </c>
      <c r="H471" s="1013">
        <v>1</v>
      </c>
      <c r="I471" s="1932" t="str">
        <f>+VLOOKUP(H471,TT_Tabelle_Riferimento!$F$3:$G$6,2,FALSE)</f>
        <v>Servizio idrico integrato</v>
      </c>
      <c r="J471" s="1013">
        <v>2027</v>
      </c>
      <c r="K471" s="2335">
        <f>+SUMIFS('PdI-crono_inv'!BB:BB,'PdI-crono_inv'!CF:CF,F471,'PdI-crono_inv'!CE:CE,H471,'PdI-crono_inv'!J:J,P471,'PdI-crono_inv'!P:P,"&lt;&gt;proprietario")</f>
        <v>0</v>
      </c>
      <c r="M471" s="2335">
        <f>+SUMIFS('PdI-crono_inv'!BC:BC,'PdI-crono_inv'!CF:CF,F471,'PdI-crono_inv'!CE:CE,H471,'PdI-crono_inv'!J:J,P471,'PdI-crono_inv'!P:P,"&lt;&gt;proprietario")+S471</f>
        <v>0</v>
      </c>
      <c r="P471" s="1013" t="s">
        <v>25481</v>
      </c>
      <c r="Q471" s="1932" t="str">
        <f>+VLOOKUP(F471,TT_Tabelle_Riferimento!$D$127:$E$164,2,FALSE)</f>
        <v>Fognatura</v>
      </c>
      <c r="R471" s="1932" t="str">
        <f t="shared" si="42"/>
        <v/>
      </c>
      <c r="S471" s="2335">
        <f t="shared" si="43"/>
        <v>0</v>
      </c>
    </row>
    <row r="472" spans="1:19">
      <c r="A472" s="1932">
        <f t="shared" si="40"/>
        <v>0</v>
      </c>
      <c r="B472" s="1932">
        <f t="shared" si="41"/>
        <v>0</v>
      </c>
      <c r="C472" s="1013" t="s">
        <v>245</v>
      </c>
      <c r="D472" s="1013">
        <v>0</v>
      </c>
      <c r="E472" s="1013" t="s">
        <v>22698</v>
      </c>
      <c r="F472" s="1013">
        <v>12</v>
      </c>
      <c r="G472" s="1932" t="str">
        <f>+VLOOKUP(F472,TT_Tabelle_Riferimento!$D$127:$G$164,4,FALSE)</f>
        <v>Sifoni e scaricatori di piena e altre opere idrauliche fisse di fognatura</v>
      </c>
      <c r="H472" s="1013">
        <v>1</v>
      </c>
      <c r="I472" s="1932" t="str">
        <f>+VLOOKUP(H472,TT_Tabelle_Riferimento!$F$3:$G$6,2,FALSE)</f>
        <v>Servizio idrico integrato</v>
      </c>
      <c r="J472" s="1013">
        <v>2027</v>
      </c>
      <c r="K472" s="2335">
        <f>+SUMIFS('PdI-crono_inv'!BB:BB,'PdI-crono_inv'!CF:CF,F472,'PdI-crono_inv'!CE:CE,H472,'PdI-crono_inv'!J:J,P472,'PdI-crono_inv'!P:P,"&lt;&gt;proprietario")</f>
        <v>0</v>
      </c>
      <c r="M472" s="2335">
        <f>+SUMIFS('PdI-crono_inv'!BC:BC,'PdI-crono_inv'!CF:CF,F472,'PdI-crono_inv'!CE:CE,H472,'PdI-crono_inv'!J:J,P472,'PdI-crono_inv'!P:P,"&lt;&gt;proprietario")+S472</f>
        <v>0</v>
      </c>
      <c r="P472" s="1013" t="s">
        <v>25481</v>
      </c>
      <c r="Q472" s="1932" t="str">
        <f>+VLOOKUP(F472,TT_Tabelle_Riferimento!$D$127:$E$164,2,FALSE)</f>
        <v>Fognatura</v>
      </c>
      <c r="R472" s="1932" t="str">
        <f t="shared" si="42"/>
        <v/>
      </c>
      <c r="S472" s="2335">
        <f t="shared" si="43"/>
        <v>0</v>
      </c>
    </row>
    <row r="473" spans="1:19">
      <c r="A473" s="1932">
        <f t="shared" si="40"/>
        <v>0</v>
      </c>
      <c r="B473" s="1932">
        <f t="shared" si="41"/>
        <v>0</v>
      </c>
      <c r="C473" s="1013" t="s">
        <v>245</v>
      </c>
      <c r="D473" s="1013">
        <v>0</v>
      </c>
      <c r="E473" s="1013" t="s">
        <v>22698</v>
      </c>
      <c r="F473" s="1013">
        <v>13</v>
      </c>
      <c r="G473" s="1932" t="str">
        <f>+VLOOKUP(F473,TT_Tabelle_Riferimento!$D$127:$G$164,4,FALSE)</f>
        <v>Vasche di laminazione e vasche di prima pioggia</v>
      </c>
      <c r="H473" s="1013">
        <v>1</v>
      </c>
      <c r="I473" s="1932" t="str">
        <f>+VLOOKUP(H473,TT_Tabelle_Riferimento!$F$3:$G$6,2,FALSE)</f>
        <v>Servizio idrico integrato</v>
      </c>
      <c r="J473" s="1013">
        <v>2027</v>
      </c>
      <c r="K473" s="2335">
        <f>+SUMIFS('PdI-crono_inv'!BB:BB,'PdI-crono_inv'!CF:CF,F473,'PdI-crono_inv'!CE:CE,H473,'PdI-crono_inv'!J:J,P473,'PdI-crono_inv'!P:P,"&lt;&gt;proprietario")</f>
        <v>0</v>
      </c>
      <c r="M473" s="2335">
        <f>+SUMIFS('PdI-crono_inv'!BC:BC,'PdI-crono_inv'!CF:CF,F473,'PdI-crono_inv'!CE:CE,H473,'PdI-crono_inv'!J:J,P473,'PdI-crono_inv'!P:P,"&lt;&gt;proprietario")+S473</f>
        <v>0</v>
      </c>
      <c r="P473" s="1013" t="s">
        <v>25481</v>
      </c>
      <c r="Q473" s="1932" t="str">
        <f>+VLOOKUP(F473,TT_Tabelle_Riferimento!$D$127:$E$164,2,FALSE)</f>
        <v>Fognatura</v>
      </c>
      <c r="R473" s="1932" t="str">
        <f t="shared" si="42"/>
        <v/>
      </c>
      <c r="S473" s="2335">
        <f t="shared" si="43"/>
        <v>0</v>
      </c>
    </row>
    <row r="474" spans="1:19">
      <c r="A474" s="1932">
        <f t="shared" si="40"/>
        <v>0</v>
      </c>
      <c r="B474" s="1932">
        <f t="shared" si="41"/>
        <v>0</v>
      </c>
      <c r="C474" s="1013" t="s">
        <v>245</v>
      </c>
      <c r="D474" s="1013">
        <v>0</v>
      </c>
      <c r="E474" s="1013" t="s">
        <v>22698</v>
      </c>
      <c r="F474" s="1013">
        <v>14</v>
      </c>
      <c r="G474" s="1932" t="str">
        <f>+VLOOKUP(F474,TT_Tabelle_Riferimento!$D$127:$G$164,4,FALSE)</f>
        <v>Impianti di sollevamento e pompaggio di fognatura</v>
      </c>
      <c r="H474" s="1013">
        <v>1</v>
      </c>
      <c r="I474" s="1932" t="str">
        <f>+VLOOKUP(H474,TT_Tabelle_Riferimento!$F$3:$G$6,2,FALSE)</f>
        <v>Servizio idrico integrato</v>
      </c>
      <c r="J474" s="1013">
        <v>2027</v>
      </c>
      <c r="K474" s="2335">
        <f>+SUMIFS('PdI-crono_inv'!BB:BB,'PdI-crono_inv'!CF:CF,F474,'PdI-crono_inv'!CE:CE,H474,'PdI-crono_inv'!J:J,P474,'PdI-crono_inv'!P:P,"&lt;&gt;proprietario")</f>
        <v>0</v>
      </c>
      <c r="M474" s="2335">
        <f>+SUMIFS('PdI-crono_inv'!BC:BC,'PdI-crono_inv'!CF:CF,F474,'PdI-crono_inv'!CE:CE,H474,'PdI-crono_inv'!J:J,P474,'PdI-crono_inv'!P:P,"&lt;&gt;proprietario")+S474</f>
        <v>0</v>
      </c>
      <c r="P474" s="1013" t="s">
        <v>25481</v>
      </c>
      <c r="Q474" s="1932" t="str">
        <f>+VLOOKUP(F474,TT_Tabelle_Riferimento!$D$127:$E$164,2,FALSE)</f>
        <v>Fognatura</v>
      </c>
      <c r="R474" s="1932" t="str">
        <f t="shared" si="42"/>
        <v/>
      </c>
      <c r="S474" s="2335">
        <f t="shared" si="43"/>
        <v>0</v>
      </c>
    </row>
    <row r="475" spans="1:19">
      <c r="A475" s="1932">
        <f t="shared" si="40"/>
        <v>0</v>
      </c>
      <c r="B475" s="1932">
        <f t="shared" si="41"/>
        <v>0</v>
      </c>
      <c r="C475" s="1013" t="s">
        <v>245</v>
      </c>
      <c r="D475" s="1013">
        <v>0</v>
      </c>
      <c r="E475" s="1013" t="s">
        <v>22698</v>
      </c>
      <c r="F475" s="1013">
        <v>15</v>
      </c>
      <c r="G475" s="1932" t="str">
        <f>+VLOOKUP(F475,TT_Tabelle_Riferimento!$D$127:$G$164,4,FALSE)</f>
        <v>Gruppi di misura - altre attrezzature di fognatura</v>
      </c>
      <c r="H475" s="1013">
        <v>1</v>
      </c>
      <c r="I475" s="1932" t="str">
        <f>+VLOOKUP(H475,TT_Tabelle_Riferimento!$F$3:$G$6,2,FALSE)</f>
        <v>Servizio idrico integrato</v>
      </c>
      <c r="J475" s="1013">
        <v>2027</v>
      </c>
      <c r="K475" s="2335">
        <f>+SUMIFS('PdI-crono_inv'!BB:BB,'PdI-crono_inv'!CF:CF,F475,'PdI-crono_inv'!CE:CE,H475,'PdI-crono_inv'!J:J,P475,'PdI-crono_inv'!P:P,"&lt;&gt;proprietario")</f>
        <v>0</v>
      </c>
      <c r="M475" s="2335">
        <f>+SUMIFS('PdI-crono_inv'!BC:BC,'PdI-crono_inv'!CF:CF,F475,'PdI-crono_inv'!CE:CE,H475,'PdI-crono_inv'!J:J,P475,'PdI-crono_inv'!P:P,"&lt;&gt;proprietario")+S475</f>
        <v>0</v>
      </c>
      <c r="P475" s="1013" t="s">
        <v>25481</v>
      </c>
      <c r="Q475" s="1932" t="str">
        <f>+VLOOKUP(F475,TT_Tabelle_Riferimento!$D$127:$E$164,2,FALSE)</f>
        <v>Fognatura</v>
      </c>
      <c r="R475" s="1932" t="str">
        <f t="shared" si="42"/>
        <v/>
      </c>
      <c r="S475" s="2335">
        <f t="shared" si="43"/>
        <v>0</v>
      </c>
    </row>
    <row r="476" spans="1:19">
      <c r="A476" s="1932">
        <f t="shared" si="40"/>
        <v>0</v>
      </c>
      <c r="B476" s="1932">
        <f t="shared" si="41"/>
        <v>0</v>
      </c>
      <c r="C476" s="1013" t="s">
        <v>245</v>
      </c>
      <c r="D476" s="1013">
        <v>0</v>
      </c>
      <c r="E476" s="1013" t="s">
        <v>22698</v>
      </c>
      <c r="F476" s="1013">
        <v>16</v>
      </c>
      <c r="G476" s="1932" t="str">
        <f>+VLOOKUP(F476,TT_Tabelle_Riferimento!$D$127:$G$164,4,FALSE)</f>
        <v>Sistemi informativi di fognatura</v>
      </c>
      <c r="H476" s="1013">
        <v>1</v>
      </c>
      <c r="I476" s="1932" t="str">
        <f>+VLOOKUP(H476,TT_Tabelle_Riferimento!$F$3:$G$6,2,FALSE)</f>
        <v>Servizio idrico integrato</v>
      </c>
      <c r="J476" s="1013">
        <v>2027</v>
      </c>
      <c r="K476" s="2335">
        <f>+SUMIFS('PdI-crono_inv'!BB:BB,'PdI-crono_inv'!CF:CF,F476,'PdI-crono_inv'!CE:CE,H476,'PdI-crono_inv'!J:J,P476,'PdI-crono_inv'!P:P,"&lt;&gt;proprietario")</f>
        <v>0</v>
      </c>
      <c r="M476" s="2335">
        <f>+SUMIFS('PdI-crono_inv'!BC:BC,'PdI-crono_inv'!CF:CF,F476,'PdI-crono_inv'!CE:CE,H476,'PdI-crono_inv'!J:J,P476,'PdI-crono_inv'!P:P,"&lt;&gt;proprietario")+S476</f>
        <v>0</v>
      </c>
      <c r="P476" s="1013" t="s">
        <v>25481</v>
      </c>
      <c r="Q476" s="1932" t="str">
        <f>+VLOOKUP(F476,TT_Tabelle_Riferimento!$D$127:$E$164,2,FALSE)</f>
        <v>Fognatura</v>
      </c>
      <c r="R476" s="1932" t="str">
        <f t="shared" si="42"/>
        <v/>
      </c>
      <c r="S476" s="2335">
        <f t="shared" si="43"/>
        <v>0</v>
      </c>
    </row>
    <row r="477" spans="1:19">
      <c r="A477" s="1932">
        <f t="shared" si="40"/>
        <v>0</v>
      </c>
      <c r="B477" s="1932">
        <f t="shared" si="41"/>
        <v>0</v>
      </c>
      <c r="C477" s="1013" t="s">
        <v>245</v>
      </c>
      <c r="D477" s="1013">
        <v>0</v>
      </c>
      <c r="E477" s="1013" t="s">
        <v>22698</v>
      </c>
      <c r="F477" s="1013">
        <v>18</v>
      </c>
      <c r="G477" s="1932" t="str">
        <f>+VLOOKUP(F477,TT_Tabelle_Riferimento!$D$127:$G$164,4,FALSE)</f>
        <v>Telecontrollo e teletrasmissione di fognatura</v>
      </c>
      <c r="H477" s="1013">
        <v>1</v>
      </c>
      <c r="I477" s="1932" t="str">
        <f>+VLOOKUP(H477,TT_Tabelle_Riferimento!$F$3:$G$6,2,FALSE)</f>
        <v>Servizio idrico integrato</v>
      </c>
      <c r="J477" s="1013">
        <v>2027</v>
      </c>
      <c r="K477" s="2335">
        <f>+SUMIFS('PdI-crono_inv'!BB:BB,'PdI-crono_inv'!CF:CF,F477,'PdI-crono_inv'!CE:CE,H477,'PdI-crono_inv'!J:J,P477,'PdI-crono_inv'!P:P,"&lt;&gt;proprietario")</f>
        <v>0</v>
      </c>
      <c r="M477" s="2335">
        <f>+SUMIFS('PdI-crono_inv'!BC:BC,'PdI-crono_inv'!CF:CF,F477,'PdI-crono_inv'!CE:CE,H477,'PdI-crono_inv'!J:J,P477,'PdI-crono_inv'!P:P,"&lt;&gt;proprietario")+S477</f>
        <v>0</v>
      </c>
      <c r="P477" s="1013" t="s">
        <v>25481</v>
      </c>
      <c r="Q477" s="1932" t="str">
        <f>+VLOOKUP(F477,TT_Tabelle_Riferimento!$D$127:$E$164,2,FALSE)</f>
        <v>Fognatura</v>
      </c>
      <c r="R477" s="1932" t="str">
        <f t="shared" si="42"/>
        <v/>
      </c>
      <c r="S477" s="2335">
        <f t="shared" si="43"/>
        <v>0</v>
      </c>
    </row>
    <row r="478" spans="1:19">
      <c r="A478" s="1932">
        <f t="shared" si="40"/>
        <v>0</v>
      </c>
      <c r="B478" s="1932">
        <f t="shared" si="41"/>
        <v>0</v>
      </c>
      <c r="C478" s="1013" t="s">
        <v>245</v>
      </c>
      <c r="D478" s="1013">
        <v>0</v>
      </c>
      <c r="E478" s="1013" t="s">
        <v>22698</v>
      </c>
      <c r="F478" s="1013">
        <v>19</v>
      </c>
      <c r="G478" s="1932" t="str">
        <f>+VLOOKUP(F478,TT_Tabelle_Riferimento!$D$127:$G$164,4,FALSE)</f>
        <v>Impianti di sollevamento e pompaggio di depurazione</v>
      </c>
      <c r="H478" s="1013">
        <v>1</v>
      </c>
      <c r="I478" s="1932" t="str">
        <f>+VLOOKUP(H478,TT_Tabelle_Riferimento!$F$3:$G$6,2,FALSE)</f>
        <v>Servizio idrico integrato</v>
      </c>
      <c r="J478" s="1013">
        <v>2027</v>
      </c>
      <c r="K478" s="2335">
        <f>+SUMIFS('PdI-crono_inv'!BB:BB,'PdI-crono_inv'!CF:CF,F478,'PdI-crono_inv'!CE:CE,H478,'PdI-crono_inv'!J:J,P478,'PdI-crono_inv'!P:P,"&lt;&gt;proprietario")</f>
        <v>0</v>
      </c>
      <c r="M478" s="2335">
        <f>+SUMIFS('PdI-crono_inv'!BC:BC,'PdI-crono_inv'!CF:CF,F478,'PdI-crono_inv'!CE:CE,H478,'PdI-crono_inv'!J:J,P478,'PdI-crono_inv'!P:P,"&lt;&gt;proprietario")+S478</f>
        <v>0</v>
      </c>
      <c r="P478" s="1013" t="s">
        <v>25481</v>
      </c>
      <c r="Q478" s="1932" t="str">
        <f>+VLOOKUP(F478,TT_Tabelle_Riferimento!$D$127:$E$164,2,FALSE)</f>
        <v>Depurazione</v>
      </c>
      <c r="R478" s="1932" t="str">
        <f t="shared" si="42"/>
        <v/>
      </c>
      <c r="S478" s="2335">
        <f t="shared" si="43"/>
        <v>0</v>
      </c>
    </row>
    <row r="479" spans="1:19">
      <c r="A479" s="1932">
        <f t="shared" si="40"/>
        <v>0</v>
      </c>
      <c r="B479" s="1932">
        <f t="shared" si="41"/>
        <v>0</v>
      </c>
      <c r="C479" s="1013" t="s">
        <v>245</v>
      </c>
      <c r="D479" s="1013">
        <v>0</v>
      </c>
      <c r="E479" s="1013" t="s">
        <v>22698</v>
      </c>
      <c r="F479" s="1013">
        <v>20</v>
      </c>
      <c r="G479" s="1932" t="str">
        <f>+VLOOKUP(F479,TT_Tabelle_Riferimento!$D$127:$G$164,4,FALSE)</f>
        <v>Tecniche naturali di depurazione (tra cui fitodepurazione e lagunaggio)</v>
      </c>
      <c r="H479" s="1013">
        <v>1</v>
      </c>
      <c r="I479" s="1932" t="str">
        <f>+VLOOKUP(H479,TT_Tabelle_Riferimento!$F$3:$G$6,2,FALSE)</f>
        <v>Servizio idrico integrato</v>
      </c>
      <c r="J479" s="1013">
        <v>2027</v>
      </c>
      <c r="K479" s="2335">
        <f>+SUMIFS('PdI-crono_inv'!BB:BB,'PdI-crono_inv'!CF:CF,F479,'PdI-crono_inv'!CE:CE,H479,'PdI-crono_inv'!J:J,P479,'PdI-crono_inv'!P:P,"&lt;&gt;proprietario")</f>
        <v>0</v>
      </c>
      <c r="M479" s="2335">
        <f>+SUMIFS('PdI-crono_inv'!BC:BC,'PdI-crono_inv'!CF:CF,F479,'PdI-crono_inv'!CE:CE,H479,'PdI-crono_inv'!J:J,P479,'PdI-crono_inv'!P:P,"&lt;&gt;proprietario")+S479</f>
        <v>0</v>
      </c>
      <c r="P479" s="1013" t="s">
        <v>25481</v>
      </c>
      <c r="Q479" s="1932" t="str">
        <f>+VLOOKUP(F479,TT_Tabelle_Riferimento!$D$127:$E$164,2,FALSE)</f>
        <v>Depurazione</v>
      </c>
      <c r="R479" s="1932" t="str">
        <f t="shared" si="42"/>
        <v/>
      </c>
      <c r="S479" s="2335">
        <f t="shared" si="43"/>
        <v>0</v>
      </c>
    </row>
    <row r="480" spans="1:19">
      <c r="A480" s="1932">
        <f t="shared" si="40"/>
        <v>0</v>
      </c>
      <c r="B480" s="1932">
        <f t="shared" si="41"/>
        <v>0</v>
      </c>
      <c r="C480" s="1013" t="s">
        <v>245</v>
      </c>
      <c r="D480" s="1013">
        <v>0</v>
      </c>
      <c r="E480" s="1013" t="s">
        <v>22698</v>
      </c>
      <c r="F480" s="1013">
        <v>21</v>
      </c>
      <c r="G480" s="1932" t="str">
        <f>+VLOOKUP(F480,TT_Tabelle_Riferimento!$D$127:$G$164,4,FALSE)</f>
        <v>Impianti di depurazione – trattamenti sino al preliminare, integrativo, primario - fosse settiche e fosse Imhoff</v>
      </c>
      <c r="H480" s="1013">
        <v>1</v>
      </c>
      <c r="I480" s="1932" t="str">
        <f>+VLOOKUP(H480,TT_Tabelle_Riferimento!$F$3:$G$6,2,FALSE)</f>
        <v>Servizio idrico integrato</v>
      </c>
      <c r="J480" s="1013">
        <v>2027</v>
      </c>
      <c r="K480" s="2335">
        <f>+SUMIFS('PdI-crono_inv'!BB:BB,'PdI-crono_inv'!CF:CF,F480,'PdI-crono_inv'!CE:CE,H480,'PdI-crono_inv'!J:J,P480,'PdI-crono_inv'!P:P,"&lt;&gt;proprietario")</f>
        <v>0</v>
      </c>
      <c r="M480" s="2335">
        <f>+SUMIFS('PdI-crono_inv'!BC:BC,'PdI-crono_inv'!CF:CF,F480,'PdI-crono_inv'!CE:CE,H480,'PdI-crono_inv'!J:J,P480,'PdI-crono_inv'!P:P,"&lt;&gt;proprietario")+S480</f>
        <v>0</v>
      </c>
      <c r="P480" s="1013" t="s">
        <v>25481</v>
      </c>
      <c r="Q480" s="1932" t="str">
        <f>+VLOOKUP(F480,TT_Tabelle_Riferimento!$D$127:$E$164,2,FALSE)</f>
        <v>Depurazione</v>
      </c>
      <c r="R480" s="1932" t="str">
        <f t="shared" si="42"/>
        <v/>
      </c>
      <c r="S480" s="2335">
        <f t="shared" si="43"/>
        <v>0</v>
      </c>
    </row>
    <row r="481" spans="1:19">
      <c r="A481" s="1932">
        <f t="shared" si="40"/>
        <v>0</v>
      </c>
      <c r="B481" s="1932">
        <f t="shared" si="41"/>
        <v>0</v>
      </c>
      <c r="C481" s="1013" t="s">
        <v>245</v>
      </c>
      <c r="D481" s="1013">
        <v>0</v>
      </c>
      <c r="E481" s="1013" t="s">
        <v>22698</v>
      </c>
      <c r="F481" s="1013">
        <v>22</v>
      </c>
      <c r="G481" s="1932" t="str">
        <f>+VLOOKUP(F481,TT_Tabelle_Riferimento!$D$127:$G$164,4,FALSE)</f>
        <v>Impianti di depurazione – trattamenti sino al secondario</v>
      </c>
      <c r="H481" s="1013">
        <v>1</v>
      </c>
      <c r="I481" s="1932" t="str">
        <f>+VLOOKUP(H481,TT_Tabelle_Riferimento!$F$3:$G$6,2,FALSE)</f>
        <v>Servizio idrico integrato</v>
      </c>
      <c r="J481" s="1013">
        <v>2027</v>
      </c>
      <c r="K481" s="2335">
        <f>+SUMIFS('PdI-crono_inv'!BB:BB,'PdI-crono_inv'!CF:CF,F481,'PdI-crono_inv'!CE:CE,H481,'PdI-crono_inv'!J:J,P481,'PdI-crono_inv'!P:P,"&lt;&gt;proprietario")</f>
        <v>0</v>
      </c>
      <c r="M481" s="2335">
        <f>+SUMIFS('PdI-crono_inv'!BC:BC,'PdI-crono_inv'!CF:CF,F481,'PdI-crono_inv'!CE:CE,H481,'PdI-crono_inv'!J:J,P481,'PdI-crono_inv'!P:P,"&lt;&gt;proprietario")+S481</f>
        <v>0</v>
      </c>
      <c r="P481" s="1013" t="s">
        <v>25481</v>
      </c>
      <c r="Q481" s="1932" t="str">
        <f>+VLOOKUP(F481,TT_Tabelle_Riferimento!$D$127:$E$164,2,FALSE)</f>
        <v>Depurazione</v>
      </c>
      <c r="R481" s="1932" t="str">
        <f t="shared" si="42"/>
        <v/>
      </c>
      <c r="S481" s="2335">
        <f t="shared" si="43"/>
        <v>0</v>
      </c>
    </row>
    <row r="482" spans="1:19">
      <c r="A482" s="1932">
        <f t="shared" si="40"/>
        <v>0</v>
      </c>
      <c r="B482" s="1932">
        <f t="shared" si="41"/>
        <v>0</v>
      </c>
      <c r="C482" s="1013" t="s">
        <v>245</v>
      </c>
      <c r="D482" s="1013">
        <v>0</v>
      </c>
      <c r="E482" s="1013" t="s">
        <v>22698</v>
      </c>
      <c r="F482" s="1013">
        <v>23</v>
      </c>
      <c r="G482" s="1932" t="str">
        <f>+VLOOKUP(F482,TT_Tabelle_Riferimento!$D$127:$G$164,4,FALSE)</f>
        <v>Impianti di depurazione – trattamenti sino al terziario e terziario avanzato</v>
      </c>
      <c r="H482" s="1013">
        <v>1</v>
      </c>
      <c r="I482" s="1932" t="str">
        <f>+VLOOKUP(H482,TT_Tabelle_Riferimento!$F$3:$G$6,2,FALSE)</f>
        <v>Servizio idrico integrato</v>
      </c>
      <c r="J482" s="1013">
        <v>2027</v>
      </c>
      <c r="K482" s="2335">
        <f>+SUMIFS('PdI-crono_inv'!BB:BB,'PdI-crono_inv'!CF:CF,F482,'PdI-crono_inv'!CE:CE,H482,'PdI-crono_inv'!J:J,P482,'PdI-crono_inv'!P:P,"&lt;&gt;proprietario")</f>
        <v>0</v>
      </c>
      <c r="M482" s="2335">
        <f>+SUMIFS('PdI-crono_inv'!BC:BC,'PdI-crono_inv'!CF:CF,F482,'PdI-crono_inv'!CE:CE,H482,'PdI-crono_inv'!J:J,P482,'PdI-crono_inv'!P:P,"&lt;&gt;proprietario")+S482</f>
        <v>0</v>
      </c>
      <c r="P482" s="1013" t="s">
        <v>25481</v>
      </c>
      <c r="Q482" s="1932" t="str">
        <f>+VLOOKUP(F482,TT_Tabelle_Riferimento!$D$127:$E$164,2,FALSE)</f>
        <v>Depurazione</v>
      </c>
      <c r="R482" s="1932" t="str">
        <f t="shared" si="42"/>
        <v/>
      </c>
      <c r="S482" s="2335">
        <f t="shared" si="43"/>
        <v>0</v>
      </c>
    </row>
    <row r="483" spans="1:19">
      <c r="A483" s="1932">
        <f t="shared" si="40"/>
        <v>0</v>
      </c>
      <c r="B483" s="1932">
        <f t="shared" si="41"/>
        <v>0</v>
      </c>
      <c r="C483" s="1013" t="s">
        <v>245</v>
      </c>
      <c r="D483" s="1013">
        <v>0</v>
      </c>
      <c r="E483" s="1013" t="s">
        <v>22698</v>
      </c>
      <c r="F483" s="1013">
        <v>24</v>
      </c>
      <c r="G483" s="1932" t="str">
        <f>+VLOOKUP(F483,TT_Tabelle_Riferimento!$D$127:$G$164,4,FALSE)</f>
        <v>Impianti di essiccamento fanghi e di valorizzazione dei fanghi (tra cui mono-incenerimento, pirolisi, gassificazione)</v>
      </c>
      <c r="H483" s="1013">
        <v>1</v>
      </c>
      <c r="I483" s="1932" t="str">
        <f>+VLOOKUP(H483,TT_Tabelle_Riferimento!$F$3:$G$6,2,FALSE)</f>
        <v>Servizio idrico integrato</v>
      </c>
      <c r="J483" s="1013">
        <v>2027</v>
      </c>
      <c r="K483" s="2335">
        <f>+SUMIFS('PdI-crono_inv'!BB:BB,'PdI-crono_inv'!CF:CF,F483,'PdI-crono_inv'!CE:CE,H483,'PdI-crono_inv'!J:J,P483,'PdI-crono_inv'!P:P,"&lt;&gt;proprietario")</f>
        <v>0</v>
      </c>
      <c r="M483" s="2335">
        <f>+SUMIFS('PdI-crono_inv'!BC:BC,'PdI-crono_inv'!CF:CF,F483,'PdI-crono_inv'!CE:CE,H483,'PdI-crono_inv'!J:J,P483,'PdI-crono_inv'!P:P,"&lt;&gt;proprietario")+S483</f>
        <v>0</v>
      </c>
      <c r="P483" s="1013" t="s">
        <v>25481</v>
      </c>
      <c r="Q483" s="1932" t="str">
        <f>+VLOOKUP(F483,TT_Tabelle_Riferimento!$D$127:$E$164,2,FALSE)</f>
        <v>Depurazione</v>
      </c>
      <c r="R483" s="1932" t="str">
        <f t="shared" si="42"/>
        <v/>
      </c>
      <c r="S483" s="2335">
        <f t="shared" si="43"/>
        <v>0</v>
      </c>
    </row>
    <row r="484" spans="1:19">
      <c r="A484" s="1932">
        <f t="shared" si="40"/>
        <v>0</v>
      </c>
      <c r="B484" s="1932">
        <f t="shared" si="41"/>
        <v>0</v>
      </c>
      <c r="C484" s="1013" t="s">
        <v>245</v>
      </c>
      <c r="D484" s="1013">
        <v>0</v>
      </c>
      <c r="E484" s="1013" t="s">
        <v>22698</v>
      </c>
      <c r="F484" s="1013">
        <v>25</v>
      </c>
      <c r="G484" s="1932" t="str">
        <f>+VLOOKUP(F484,TT_Tabelle_Riferimento!$D$127:$G$164,4,FALSE)</f>
        <v>Gruppi di misura - altre attrezzature di depurazione</v>
      </c>
      <c r="H484" s="1013">
        <v>1</v>
      </c>
      <c r="I484" s="1932" t="str">
        <f>+VLOOKUP(H484,TT_Tabelle_Riferimento!$F$3:$G$6,2,FALSE)</f>
        <v>Servizio idrico integrato</v>
      </c>
      <c r="J484" s="1013">
        <v>2027</v>
      </c>
      <c r="K484" s="2335">
        <f>+SUMIFS('PdI-crono_inv'!BB:BB,'PdI-crono_inv'!CF:CF,F484,'PdI-crono_inv'!CE:CE,H484,'PdI-crono_inv'!J:J,P484,'PdI-crono_inv'!P:P,"&lt;&gt;proprietario")</f>
        <v>0</v>
      </c>
      <c r="M484" s="2335">
        <f>+SUMIFS('PdI-crono_inv'!BC:BC,'PdI-crono_inv'!CF:CF,F484,'PdI-crono_inv'!CE:CE,H484,'PdI-crono_inv'!J:J,P484,'PdI-crono_inv'!P:P,"&lt;&gt;proprietario")+S484</f>
        <v>0</v>
      </c>
      <c r="P484" s="1013" t="s">
        <v>25481</v>
      </c>
      <c r="Q484" s="1932" t="str">
        <f>+VLOOKUP(F484,TT_Tabelle_Riferimento!$D$127:$E$164,2,FALSE)</f>
        <v>Depurazione</v>
      </c>
      <c r="R484" s="1932" t="str">
        <f t="shared" si="42"/>
        <v/>
      </c>
      <c r="S484" s="2335">
        <f t="shared" si="43"/>
        <v>0</v>
      </c>
    </row>
    <row r="485" spans="1:19">
      <c r="A485" s="1932">
        <f t="shared" si="40"/>
        <v>0</v>
      </c>
      <c r="B485" s="1932">
        <f t="shared" si="41"/>
        <v>0</v>
      </c>
      <c r="C485" s="1013" t="s">
        <v>245</v>
      </c>
      <c r="D485" s="1013">
        <v>0</v>
      </c>
      <c r="E485" s="1013" t="s">
        <v>22698</v>
      </c>
      <c r="F485" s="1013">
        <v>26</v>
      </c>
      <c r="G485" s="1932" t="str">
        <f>+VLOOKUP(F485,TT_Tabelle_Riferimento!$D$127:$G$164,4,FALSE)</f>
        <v>Sistemi informativi di depurazione</v>
      </c>
      <c r="H485" s="1013">
        <v>1</v>
      </c>
      <c r="I485" s="1932" t="str">
        <f>+VLOOKUP(H485,TT_Tabelle_Riferimento!$F$3:$G$6,2,FALSE)</f>
        <v>Servizio idrico integrato</v>
      </c>
      <c r="J485" s="1013">
        <v>2027</v>
      </c>
      <c r="K485" s="2335">
        <f>+SUMIFS('PdI-crono_inv'!BB:BB,'PdI-crono_inv'!CF:CF,F485,'PdI-crono_inv'!CE:CE,H485,'PdI-crono_inv'!J:J,P485,'PdI-crono_inv'!P:P,"&lt;&gt;proprietario")</f>
        <v>0</v>
      </c>
      <c r="M485" s="2335">
        <f>+SUMIFS('PdI-crono_inv'!BC:BC,'PdI-crono_inv'!CF:CF,F485,'PdI-crono_inv'!CE:CE,H485,'PdI-crono_inv'!J:J,P485,'PdI-crono_inv'!P:P,"&lt;&gt;proprietario")+S485</f>
        <v>0</v>
      </c>
      <c r="P485" s="1013" t="s">
        <v>25481</v>
      </c>
      <c r="Q485" s="1932" t="str">
        <f>+VLOOKUP(F485,TT_Tabelle_Riferimento!$D$127:$E$164,2,FALSE)</f>
        <v>Depurazione</v>
      </c>
      <c r="R485" s="1932" t="str">
        <f t="shared" si="42"/>
        <v/>
      </c>
      <c r="S485" s="2335">
        <f t="shared" si="43"/>
        <v>0</v>
      </c>
    </row>
    <row r="486" spans="1:19">
      <c r="A486" s="1932">
        <f t="shared" si="40"/>
        <v>0</v>
      </c>
      <c r="B486" s="1932">
        <f t="shared" si="41"/>
        <v>0</v>
      </c>
      <c r="C486" s="1013" t="s">
        <v>245</v>
      </c>
      <c r="D486" s="1013">
        <v>0</v>
      </c>
      <c r="E486" s="1013" t="s">
        <v>22698</v>
      </c>
      <c r="F486" s="1013">
        <v>27</v>
      </c>
      <c r="G486" s="1932" t="str">
        <f>+VLOOKUP(F486,TT_Tabelle_Riferimento!$D$127:$G$164,4,FALSE)</f>
        <v>Telecontrollo e teletrasmissione di depurazione</v>
      </c>
      <c r="H486" s="1013">
        <v>1</v>
      </c>
      <c r="I486" s="1932" t="str">
        <f>+VLOOKUP(H486,TT_Tabelle_Riferimento!$F$3:$G$6,2,FALSE)</f>
        <v>Servizio idrico integrato</v>
      </c>
      <c r="J486" s="1013">
        <v>2027</v>
      </c>
      <c r="K486" s="2335">
        <f>+SUMIFS('PdI-crono_inv'!BB:BB,'PdI-crono_inv'!CF:CF,F486,'PdI-crono_inv'!CE:CE,H486,'PdI-crono_inv'!J:J,P486,'PdI-crono_inv'!P:P,"&lt;&gt;proprietario")</f>
        <v>0</v>
      </c>
      <c r="M486" s="2335">
        <f>+SUMIFS('PdI-crono_inv'!BC:BC,'PdI-crono_inv'!CF:CF,F486,'PdI-crono_inv'!CE:CE,H486,'PdI-crono_inv'!J:J,P486,'PdI-crono_inv'!P:P,"&lt;&gt;proprietario")+S486</f>
        <v>0</v>
      </c>
      <c r="P486" s="1013" t="s">
        <v>25481</v>
      </c>
      <c r="Q486" s="1932" t="str">
        <f>+VLOOKUP(F486,TT_Tabelle_Riferimento!$D$127:$E$164,2,FALSE)</f>
        <v>Depurazione</v>
      </c>
      <c r="R486" s="1932" t="str">
        <f t="shared" si="42"/>
        <v/>
      </c>
      <c r="S486" s="2335">
        <f t="shared" si="43"/>
        <v>0</v>
      </c>
    </row>
    <row r="487" spans="1:19">
      <c r="A487" s="1932">
        <f t="shared" si="40"/>
        <v>0</v>
      </c>
      <c r="B487" s="1932">
        <f t="shared" si="41"/>
        <v>0</v>
      </c>
      <c r="C487" s="1013" t="s">
        <v>245</v>
      </c>
      <c r="D487" s="1013">
        <v>0</v>
      </c>
      <c r="E487" s="1013" t="s">
        <v>22698</v>
      </c>
      <c r="F487" s="1013">
        <v>28</v>
      </c>
      <c r="G487" s="1932" t="str">
        <f>+VLOOKUP(F487,TT_Tabelle_Riferimento!$D$127:$G$164,4,FALSE)</f>
        <v>Altri impianti</v>
      </c>
      <c r="H487" s="1013">
        <v>1</v>
      </c>
      <c r="I487" s="1932" t="str">
        <f>+VLOOKUP(H487,TT_Tabelle_Riferimento!$F$3:$G$6,2,FALSE)</f>
        <v>Servizio idrico integrato</v>
      </c>
      <c r="J487" s="1013">
        <v>2027</v>
      </c>
      <c r="K487" s="2335">
        <f>+SUMIFS('PdI-crono_inv'!BB:BB,'PdI-crono_inv'!CF:CF,F487,'PdI-crono_inv'!CE:CE,H487,'PdI-crono_inv'!J:J,P487,'PdI-crono_inv'!P:P,"&lt;&gt;proprietario")</f>
        <v>0</v>
      </c>
      <c r="M487" s="2335">
        <f>+SUMIFS('PdI-crono_inv'!BC:BC,'PdI-crono_inv'!CF:CF,F487,'PdI-crono_inv'!CE:CE,H487,'PdI-crono_inv'!J:J,P487,'PdI-crono_inv'!P:P,"&lt;&gt;proprietario")+S487</f>
        <v>0</v>
      </c>
      <c r="P487" s="1013" t="s">
        <v>25481</v>
      </c>
      <c r="Q487" s="1932" t="str">
        <f>+VLOOKUP(F487,TT_Tabelle_Riferimento!$D$127:$E$164,2,FALSE)</f>
        <v>Comune</v>
      </c>
      <c r="R487" s="1932" t="str">
        <f t="shared" si="42"/>
        <v/>
      </c>
      <c r="S487" s="2335">
        <f t="shared" si="43"/>
        <v>0</v>
      </c>
    </row>
    <row r="488" spans="1:19">
      <c r="A488" s="1932">
        <f t="shared" ref="A488:A496" si="44">+idato</f>
        <v>0</v>
      </c>
      <c r="B488" s="1932">
        <f t="shared" ref="B488:B496" si="45">+idgestore</f>
        <v>0</v>
      </c>
      <c r="C488" s="1013" t="s">
        <v>245</v>
      </c>
      <c r="D488" s="1013">
        <v>0</v>
      </c>
      <c r="E488" s="1013" t="s">
        <v>22698</v>
      </c>
      <c r="F488" s="1013">
        <v>29</v>
      </c>
      <c r="G488" s="1932" t="str">
        <f>+VLOOKUP(F488,TT_Tabelle_Riferimento!$D$127:$G$164,4,FALSE)</f>
        <v>Laboratori e attrezzature</v>
      </c>
      <c r="H488" s="1013">
        <v>1</v>
      </c>
      <c r="I488" s="1932" t="str">
        <f>+VLOOKUP(H488,TT_Tabelle_Riferimento!$F$3:$G$6,2,FALSE)</f>
        <v>Servizio idrico integrato</v>
      </c>
      <c r="J488" s="1013">
        <v>2027</v>
      </c>
      <c r="K488" s="2335">
        <f>+SUMIFS('PdI-crono_inv'!BB:BB,'PdI-crono_inv'!CF:CF,F488,'PdI-crono_inv'!CE:CE,H488,'PdI-crono_inv'!J:J,P488,'PdI-crono_inv'!P:P,"&lt;&gt;proprietario")</f>
        <v>0</v>
      </c>
      <c r="M488" s="2335">
        <f>+SUMIFS('PdI-crono_inv'!BC:BC,'PdI-crono_inv'!CF:CF,F488,'PdI-crono_inv'!CE:CE,H488,'PdI-crono_inv'!J:J,P488,'PdI-crono_inv'!P:P,"&lt;&gt;proprietario")+S488</f>
        <v>0</v>
      </c>
      <c r="P488" s="1013" t="s">
        <v>25481</v>
      </c>
      <c r="Q488" s="1932" t="str">
        <f>+VLOOKUP(F488,TT_Tabelle_Riferimento!$D$127:$E$164,2,FALSE)</f>
        <v>Comune</v>
      </c>
      <c r="R488" s="1932" t="str">
        <f t="shared" si="42"/>
        <v/>
      </c>
      <c r="S488" s="2335">
        <f t="shared" si="43"/>
        <v>0</v>
      </c>
    </row>
    <row r="489" spans="1:19">
      <c r="A489" s="1932">
        <f t="shared" si="44"/>
        <v>0</v>
      </c>
      <c r="B489" s="1932">
        <f t="shared" si="45"/>
        <v>0</v>
      </c>
      <c r="C489" s="1013" t="s">
        <v>245</v>
      </c>
      <c r="D489" s="1013">
        <v>0</v>
      </c>
      <c r="E489" s="1013" t="s">
        <v>22698</v>
      </c>
      <c r="F489" s="1013">
        <v>30</v>
      </c>
      <c r="G489" s="1932" t="str">
        <f>+VLOOKUP(F489,TT_Tabelle_Riferimento!$D$127:$G$164,4,FALSE)</f>
        <v>Sistemi informativi</v>
      </c>
      <c r="H489" s="1013">
        <v>1</v>
      </c>
      <c r="I489" s="1932" t="str">
        <f>+VLOOKUP(H489,TT_Tabelle_Riferimento!$F$3:$G$6,2,FALSE)</f>
        <v>Servizio idrico integrato</v>
      </c>
      <c r="J489" s="1013">
        <v>2027</v>
      </c>
      <c r="K489" s="2335">
        <f>+SUMIFS('PdI-crono_inv'!BB:BB,'PdI-crono_inv'!CF:CF,F489,'PdI-crono_inv'!CE:CE,H489,'PdI-crono_inv'!J:J,P489,'PdI-crono_inv'!P:P,"&lt;&gt;proprietario")</f>
        <v>0</v>
      </c>
      <c r="M489" s="2335">
        <f>+SUMIFS('PdI-crono_inv'!BC:BC,'PdI-crono_inv'!CF:CF,F489,'PdI-crono_inv'!CE:CE,H489,'PdI-crono_inv'!J:J,P489,'PdI-crono_inv'!P:P,"&lt;&gt;proprietario")+S489</f>
        <v>0</v>
      </c>
      <c r="P489" s="1013" t="s">
        <v>25481</v>
      </c>
      <c r="Q489" s="1932" t="str">
        <f>+VLOOKUP(F489,TT_Tabelle_Riferimento!$D$127:$E$164,2,FALSE)</f>
        <v>Comune</v>
      </c>
      <c r="R489" s="1932" t="str">
        <f t="shared" si="42"/>
        <v/>
      </c>
      <c r="S489" s="2335">
        <f t="shared" si="43"/>
        <v>0</v>
      </c>
    </row>
    <row r="490" spans="1:19">
      <c r="A490" s="1932">
        <f t="shared" si="44"/>
        <v>0</v>
      </c>
      <c r="B490" s="1932">
        <f t="shared" si="45"/>
        <v>0</v>
      </c>
      <c r="C490" s="1013" t="s">
        <v>245</v>
      </c>
      <c r="D490" s="1013">
        <v>0</v>
      </c>
      <c r="E490" s="1013" t="s">
        <v>22698</v>
      </c>
      <c r="F490" s="1013">
        <v>31</v>
      </c>
      <c r="G490" s="1932" t="str">
        <f>+VLOOKUP(F490,TT_Tabelle_Riferimento!$D$127:$G$164,4,FALSE)</f>
        <v>Telecontrollo e teletrasmissione</v>
      </c>
      <c r="H490" s="1013">
        <v>1</v>
      </c>
      <c r="I490" s="1932" t="str">
        <f>+VLOOKUP(H490,TT_Tabelle_Riferimento!$F$3:$G$6,2,FALSE)</f>
        <v>Servizio idrico integrato</v>
      </c>
      <c r="J490" s="1013">
        <v>2027</v>
      </c>
      <c r="K490" s="2335">
        <f>+SUMIFS('PdI-crono_inv'!BB:BB,'PdI-crono_inv'!CF:CF,F490,'PdI-crono_inv'!CE:CE,H490,'PdI-crono_inv'!J:J,P490,'PdI-crono_inv'!P:P,"&lt;&gt;proprietario")</f>
        <v>0</v>
      </c>
      <c r="M490" s="2335">
        <f>+SUMIFS('PdI-crono_inv'!BC:BC,'PdI-crono_inv'!CF:CF,F490,'PdI-crono_inv'!CE:CE,H490,'PdI-crono_inv'!J:J,P490,'PdI-crono_inv'!P:P,"&lt;&gt;proprietario")+S490</f>
        <v>0</v>
      </c>
      <c r="P490" s="1013" t="s">
        <v>25481</v>
      </c>
      <c r="Q490" s="1932" t="str">
        <f>+VLOOKUP(F490,TT_Tabelle_Riferimento!$D$127:$E$164,2,FALSE)</f>
        <v>Comune</v>
      </c>
      <c r="R490" s="1932" t="str">
        <f t="shared" si="42"/>
        <v/>
      </c>
      <c r="S490" s="2335">
        <f t="shared" si="43"/>
        <v>0</v>
      </c>
    </row>
    <row r="491" spans="1:19">
      <c r="A491" s="1932">
        <f t="shared" si="44"/>
        <v>0</v>
      </c>
      <c r="B491" s="1932">
        <f t="shared" si="45"/>
        <v>0</v>
      </c>
      <c r="C491" s="1013" t="s">
        <v>245</v>
      </c>
      <c r="D491" s="1013">
        <v>0</v>
      </c>
      <c r="E491" s="1013" t="s">
        <v>22698</v>
      </c>
      <c r="F491" s="1013">
        <v>32</v>
      </c>
      <c r="G491" s="1932" t="str">
        <f>+VLOOKUP(F491,TT_Tabelle_Riferimento!$D$127:$G$164,4,FALSE)</f>
        <v>Autoveicoli - automezzi</v>
      </c>
      <c r="H491" s="1013">
        <v>1</v>
      </c>
      <c r="I491" s="1932" t="str">
        <f>+VLOOKUP(H491,TT_Tabelle_Riferimento!$F$3:$G$6,2,FALSE)</f>
        <v>Servizio idrico integrato</v>
      </c>
      <c r="J491" s="1013">
        <v>2027</v>
      </c>
      <c r="K491" s="2335">
        <f>+SUMIFS('PdI-crono_inv'!BB:BB,'PdI-crono_inv'!CF:CF,F491,'PdI-crono_inv'!CE:CE,H491,'PdI-crono_inv'!J:J,P491,'PdI-crono_inv'!P:P,"&lt;&gt;proprietario")</f>
        <v>0</v>
      </c>
      <c r="M491" s="2335">
        <f>+SUMIFS('PdI-crono_inv'!BC:BC,'PdI-crono_inv'!CF:CF,F491,'PdI-crono_inv'!CE:CE,H491,'PdI-crono_inv'!J:J,P491,'PdI-crono_inv'!P:P,"&lt;&gt;proprietario")+S491</f>
        <v>0</v>
      </c>
      <c r="P491" s="1013" t="s">
        <v>25481</v>
      </c>
      <c r="Q491" s="1932" t="str">
        <f>+VLOOKUP(F491,TT_Tabelle_Riferimento!$D$127:$E$164,2,FALSE)</f>
        <v>Comune</v>
      </c>
      <c r="R491" s="1932" t="str">
        <f t="shared" si="42"/>
        <v/>
      </c>
      <c r="S491" s="2335">
        <f t="shared" si="43"/>
        <v>0</v>
      </c>
    </row>
    <row r="492" spans="1:19">
      <c r="A492" s="1932">
        <f t="shared" si="44"/>
        <v>0</v>
      </c>
      <c r="B492" s="1932">
        <f t="shared" si="45"/>
        <v>0</v>
      </c>
      <c r="C492" s="1013" t="s">
        <v>245</v>
      </c>
      <c r="D492" s="1013">
        <v>0</v>
      </c>
      <c r="E492" s="1013" t="s">
        <v>22698</v>
      </c>
      <c r="F492" s="1013">
        <v>1</v>
      </c>
      <c r="G492" s="1932" t="str">
        <f>+VLOOKUP(F492,TT_Tabelle_Riferimento!$D$127:$G$164,4,FALSE)</f>
        <v>Terreni</v>
      </c>
      <c r="H492" s="1013">
        <v>1</v>
      </c>
      <c r="I492" s="1932" t="str">
        <f>+VLOOKUP(H492,TT_Tabelle_Riferimento!$F$3:$G$6,2,FALSE)</f>
        <v>Servizio idrico integrato</v>
      </c>
      <c r="J492" s="1013">
        <v>2027</v>
      </c>
      <c r="K492" s="2335">
        <f>+SUMIFS('PdI-crono_inv'!BB:BB,'PdI-crono_inv'!CF:CF,F492,'PdI-crono_inv'!CE:CE,H492,'PdI-crono_inv'!J:J,P492,'PdI-crono_inv'!P:P,"&lt;&gt;proprietario")</f>
        <v>0</v>
      </c>
      <c r="M492" s="2335">
        <f>+SUMIFS('PdI-crono_inv'!BC:BC,'PdI-crono_inv'!CF:CF,F492,'PdI-crono_inv'!CE:CE,H492,'PdI-crono_inv'!J:J,P492,'PdI-crono_inv'!P:P,"&lt;&gt;proprietario")+S492</f>
        <v>0</v>
      </c>
      <c r="P492" s="1013" t="s">
        <v>25481</v>
      </c>
      <c r="Q492" s="1932" t="str">
        <f>+VLOOKUP(F492,TT_Tabelle_Riferimento!$D$127:$E$164,2,FALSE)</f>
        <v>Comune</v>
      </c>
      <c r="R492" s="1932" t="str">
        <f t="shared" si="42"/>
        <v/>
      </c>
      <c r="S492" s="2335">
        <f t="shared" si="43"/>
        <v>0</v>
      </c>
    </row>
    <row r="493" spans="1:19">
      <c r="A493" s="1932">
        <f t="shared" si="44"/>
        <v>0</v>
      </c>
      <c r="B493" s="1932">
        <f t="shared" si="45"/>
        <v>0</v>
      </c>
      <c r="C493" s="1013" t="s">
        <v>245</v>
      </c>
      <c r="D493" s="1013">
        <v>0</v>
      </c>
      <c r="E493" s="1013" t="s">
        <v>22698</v>
      </c>
      <c r="F493" s="1013">
        <v>33</v>
      </c>
      <c r="G493" s="1932" t="str">
        <f>+VLOOKUP(F493,TT_Tabelle_Riferimento!$D$127:$G$164,4,FALSE)</f>
        <v>Fabbricati non industriali</v>
      </c>
      <c r="H493" s="1013">
        <v>1</v>
      </c>
      <c r="I493" s="1932" t="str">
        <f>+VLOOKUP(H493,TT_Tabelle_Riferimento!$F$3:$G$6,2,FALSE)</f>
        <v>Servizio idrico integrato</v>
      </c>
      <c r="J493" s="1013">
        <v>2027</v>
      </c>
      <c r="K493" s="2335">
        <f>+SUMIFS('PdI-crono_inv'!BB:BB,'PdI-crono_inv'!CF:CF,F493,'PdI-crono_inv'!CE:CE,H493,'PdI-crono_inv'!J:J,P493,'PdI-crono_inv'!P:P,"&lt;&gt;proprietario")</f>
        <v>0</v>
      </c>
      <c r="M493" s="2335">
        <f>+SUMIFS('PdI-crono_inv'!BC:BC,'PdI-crono_inv'!CF:CF,F493,'PdI-crono_inv'!CE:CE,H493,'PdI-crono_inv'!J:J,P493,'PdI-crono_inv'!P:P,"&lt;&gt;proprietario")+S493</f>
        <v>0</v>
      </c>
      <c r="P493" s="1013" t="s">
        <v>25481</v>
      </c>
      <c r="Q493" s="1932" t="str">
        <f>+VLOOKUP(F493,TT_Tabelle_Riferimento!$D$127:$E$164,2,FALSE)</f>
        <v>Comune</v>
      </c>
      <c r="R493" s="1932" t="str">
        <f t="shared" si="42"/>
        <v/>
      </c>
      <c r="S493" s="2335">
        <f t="shared" si="43"/>
        <v>0</v>
      </c>
    </row>
    <row r="494" spans="1:19">
      <c r="A494" s="1932">
        <f t="shared" si="44"/>
        <v>0</v>
      </c>
      <c r="B494" s="1932">
        <f t="shared" si="45"/>
        <v>0</v>
      </c>
      <c r="C494" s="1013" t="s">
        <v>245</v>
      </c>
      <c r="D494" s="1013">
        <v>0</v>
      </c>
      <c r="E494" s="1013" t="s">
        <v>22698</v>
      </c>
      <c r="F494" s="1013">
        <v>34</v>
      </c>
      <c r="G494" s="1932" t="str">
        <f>+VLOOKUP(F494,TT_Tabelle_Riferimento!$D$127:$G$164,4,FALSE)</f>
        <v>Fabbricati industriali</v>
      </c>
      <c r="H494" s="1013">
        <v>1</v>
      </c>
      <c r="I494" s="1932" t="str">
        <f>+VLOOKUP(H494,TT_Tabelle_Riferimento!$F$3:$G$6,2,FALSE)</f>
        <v>Servizio idrico integrato</v>
      </c>
      <c r="J494" s="1013">
        <v>2027</v>
      </c>
      <c r="K494" s="2335">
        <f>+SUMIFS('PdI-crono_inv'!BB:BB,'PdI-crono_inv'!CF:CF,F494,'PdI-crono_inv'!CE:CE,H494,'PdI-crono_inv'!J:J,P494,'PdI-crono_inv'!P:P,"&lt;&gt;proprietario")</f>
        <v>0</v>
      </c>
      <c r="M494" s="2335">
        <f>+SUMIFS('PdI-crono_inv'!BC:BC,'PdI-crono_inv'!CF:CF,F494,'PdI-crono_inv'!CE:CE,H494,'PdI-crono_inv'!J:J,P494,'PdI-crono_inv'!P:P,"&lt;&gt;proprietario")+S494</f>
        <v>0</v>
      </c>
      <c r="P494" s="1013" t="s">
        <v>25481</v>
      </c>
      <c r="Q494" s="1932" t="str">
        <f>+VLOOKUP(F494,TT_Tabelle_Riferimento!$D$127:$E$164,2,FALSE)</f>
        <v>Comune</v>
      </c>
      <c r="R494" s="1932" t="str">
        <f t="shared" si="42"/>
        <v/>
      </c>
      <c r="S494" s="2335">
        <f t="shared" si="43"/>
        <v>0</v>
      </c>
    </row>
    <row r="495" spans="1:19">
      <c r="A495" s="1932">
        <f t="shared" si="44"/>
        <v>0</v>
      </c>
      <c r="B495" s="1932">
        <f t="shared" si="45"/>
        <v>0</v>
      </c>
      <c r="C495" s="1013" t="s">
        <v>245</v>
      </c>
      <c r="D495" s="1013">
        <v>0</v>
      </c>
      <c r="E495" s="1013" t="s">
        <v>22698</v>
      </c>
      <c r="F495" s="1013">
        <v>35</v>
      </c>
      <c r="G495" s="1932" t="str">
        <f>+VLOOKUP(F495,TT_Tabelle_Riferimento!$D$127:$G$164,4,FALSE)</f>
        <v>Costruzioni leggere</v>
      </c>
      <c r="H495" s="1013">
        <v>1</v>
      </c>
      <c r="I495" s="1932" t="str">
        <f>+VLOOKUP(H495,TT_Tabelle_Riferimento!$F$3:$G$6,2,FALSE)</f>
        <v>Servizio idrico integrato</v>
      </c>
      <c r="J495" s="1013">
        <v>2027</v>
      </c>
      <c r="K495" s="2335">
        <f>+SUMIFS('PdI-crono_inv'!BB:BB,'PdI-crono_inv'!CF:CF,F495,'PdI-crono_inv'!CE:CE,H495,'PdI-crono_inv'!J:J,P495,'PdI-crono_inv'!P:P,"&lt;&gt;proprietario")</f>
        <v>0</v>
      </c>
      <c r="M495" s="2335">
        <f>+SUMIFS('PdI-crono_inv'!BC:BC,'PdI-crono_inv'!CF:CF,F495,'PdI-crono_inv'!CE:CE,H495,'PdI-crono_inv'!J:J,P495,'PdI-crono_inv'!P:P,"&lt;&gt;proprietario")+S495</f>
        <v>0</v>
      </c>
      <c r="P495" s="1013" t="s">
        <v>25481</v>
      </c>
      <c r="Q495" s="1932" t="str">
        <f>+VLOOKUP(F495,TT_Tabelle_Riferimento!$D$127:$E$164,2,FALSE)</f>
        <v>Comune</v>
      </c>
      <c r="R495" s="1932" t="str">
        <f t="shared" si="42"/>
        <v/>
      </c>
      <c r="S495" s="2335">
        <f t="shared" si="43"/>
        <v>0</v>
      </c>
    </row>
    <row r="496" spans="1:19">
      <c r="A496" s="1932">
        <f t="shared" si="44"/>
        <v>0</v>
      </c>
      <c r="B496" s="1932">
        <f t="shared" si="45"/>
        <v>0</v>
      </c>
      <c r="C496" s="1013" t="s">
        <v>245</v>
      </c>
      <c r="D496" s="1013">
        <v>0</v>
      </c>
      <c r="E496" s="1013" t="s">
        <v>22698</v>
      </c>
      <c r="F496" s="1013">
        <v>36</v>
      </c>
      <c r="G496" s="1932" t="str">
        <f>+VLOOKUP(F496,TT_Tabelle_Riferimento!$D$127:$G$164,4,FALSE)</f>
        <v>Studi, ricerche, brevetti, diritti di utilizzazione</v>
      </c>
      <c r="H496" s="1013">
        <v>1</v>
      </c>
      <c r="I496" s="1932" t="str">
        <f>+VLOOKUP(H496,TT_Tabelle_Riferimento!$F$3:$G$6,2,FALSE)</f>
        <v>Servizio idrico integrato</v>
      </c>
      <c r="J496" s="1013">
        <v>2027</v>
      </c>
      <c r="K496" s="2335">
        <f>+SUMIFS('PdI-crono_inv'!BB:BB,'PdI-crono_inv'!CF:CF,F496,'PdI-crono_inv'!CE:CE,H496,'PdI-crono_inv'!J:J,P496,'PdI-crono_inv'!P:P,"&lt;&gt;proprietario")</f>
        <v>0</v>
      </c>
      <c r="M496" s="2335">
        <f>+SUMIFS('PdI-crono_inv'!BC:BC,'PdI-crono_inv'!CF:CF,F496,'PdI-crono_inv'!CE:CE,H496,'PdI-crono_inv'!J:J,P496,'PdI-crono_inv'!P:P,"&lt;&gt;proprietario")+S496</f>
        <v>0</v>
      </c>
      <c r="P496" s="1013" t="s">
        <v>25481</v>
      </c>
      <c r="Q496" s="1932" t="str">
        <f>+VLOOKUP(F496,TT_Tabelle_Riferimento!$D$127:$E$164,2,FALSE)</f>
        <v>Comune</v>
      </c>
      <c r="R496" s="1932" t="str">
        <f t="shared" si="42"/>
        <v/>
      </c>
      <c r="S496" s="2335">
        <f t="shared" si="43"/>
        <v>0</v>
      </c>
    </row>
    <row r="497" spans="1:19">
      <c r="A497" s="1932">
        <v>0</v>
      </c>
      <c r="B497" s="1932">
        <v>0</v>
      </c>
      <c r="C497" s="1013" t="s">
        <v>245</v>
      </c>
      <c r="D497" s="1013">
        <v>0</v>
      </c>
      <c r="E497" s="1013" t="s">
        <v>22698</v>
      </c>
      <c r="F497" s="1013">
        <v>37</v>
      </c>
      <c r="G497" s="1932" t="str">
        <f>+VLOOKUP(F497,TT_Tabelle_Riferimento!$D$127:$G$164,4,FALSE)</f>
        <v>Altre immobilizzazioni materiali e immateriali</v>
      </c>
      <c r="H497" s="1013">
        <v>1</v>
      </c>
      <c r="I497" s="1932" t="str">
        <f>+VLOOKUP(H497,TT_Tabelle_Riferimento!$F$3:$G$6,2,FALSE)</f>
        <v>Servizio idrico integrato</v>
      </c>
      <c r="J497" s="1013">
        <v>2027</v>
      </c>
      <c r="K497" s="2335">
        <f>+SUMIFS('PdI-crono_inv'!BB:BB,'PdI-crono_inv'!CF:CF,F497,'PdI-crono_inv'!CE:CE,H497,'PdI-crono_inv'!J:J,P497,'PdI-crono_inv'!P:P,"&lt;&gt;proprietario")</f>
        <v>0</v>
      </c>
      <c r="M497" s="2335">
        <f>+SUMIFS('PdI-crono_inv'!BC:BC,'PdI-crono_inv'!CF:CF,F497,'PdI-crono_inv'!CE:CE,H497,'PdI-crono_inv'!J:J,P497,'PdI-crono_inv'!P:P,"&lt;&gt;proprietario")+S497</f>
        <v>0</v>
      </c>
      <c r="P497" s="1013" t="s">
        <v>25481</v>
      </c>
      <c r="Q497" s="1932" t="str">
        <f>+VLOOKUP(F497,TT_Tabelle_Riferimento!$D$127:$E$164,2,FALSE)</f>
        <v>Comune</v>
      </c>
      <c r="R497" s="1932" t="str">
        <f t="shared" si="42"/>
        <v/>
      </c>
      <c r="S497" s="2335">
        <f t="shared" si="43"/>
        <v>0</v>
      </c>
    </row>
    <row r="498" spans="1:19">
      <c r="A498" s="1932">
        <v>0</v>
      </c>
      <c r="B498" s="1932">
        <v>0</v>
      </c>
      <c r="C498" s="1013" t="s">
        <v>245</v>
      </c>
      <c r="D498" s="1013">
        <v>0</v>
      </c>
      <c r="E498" s="1013" t="s">
        <v>22698</v>
      </c>
      <c r="F498" s="1013">
        <v>38</v>
      </c>
      <c r="G498" s="1932" t="str">
        <f>+VLOOKUP(F498,TT_Tabelle_Riferimento!$D$127:$G$164,4,FALSE)</f>
        <v>Grandi dighe (sbarramenti che superano i quindici metri di altezza o che determinano un invaso superiore a 1 milione di metri cubi)</v>
      </c>
      <c r="H498" s="1013">
        <v>1</v>
      </c>
      <c r="I498" s="1932" t="str">
        <f>+VLOOKUP(H498,TT_Tabelle_Riferimento!$F$3:$G$6,2,FALSE)</f>
        <v>Servizio idrico integrato</v>
      </c>
      <c r="J498" s="1013">
        <v>2027</v>
      </c>
      <c r="K498" s="2335">
        <f>+SUMIFS('PdI-crono_inv'!BB:BB,'PdI-crono_inv'!CF:CF,F498,'PdI-crono_inv'!CE:CE,H498,'PdI-crono_inv'!J:J,P498,'PdI-crono_inv'!P:P,"&lt;&gt;proprietario")</f>
        <v>0</v>
      </c>
      <c r="M498" s="2335">
        <f>+SUMIFS('PdI-crono_inv'!BC:BC,'PdI-crono_inv'!CF:CF,F498,'PdI-crono_inv'!CE:CE,H498,'PdI-crono_inv'!J:J,P498,'PdI-crono_inv'!P:P,"&lt;&gt;proprietario")+S498</f>
        <v>0</v>
      </c>
      <c r="P498" s="1013" t="s">
        <v>25481</v>
      </c>
      <c r="Q498" s="1932" t="str">
        <f>+VLOOKUP(F498,TT_Tabelle_Riferimento!$D$127:$E$164,2,FALSE)</f>
        <v>Acquedotto</v>
      </c>
      <c r="R498" s="1932" t="str">
        <f t="shared" si="42"/>
        <v/>
      </c>
      <c r="S498" s="2335">
        <f t="shared" si="43"/>
        <v>0</v>
      </c>
    </row>
    <row r="499" spans="1:19">
      <c r="A499" s="1932">
        <v>0</v>
      </c>
      <c r="B499" s="1932">
        <v>0</v>
      </c>
      <c r="C499" s="1013" t="s">
        <v>245</v>
      </c>
      <c r="D499" s="1013">
        <v>0</v>
      </c>
      <c r="E499" s="1013" t="s">
        <v>22698</v>
      </c>
      <c r="F499" s="1013">
        <v>39</v>
      </c>
      <c r="G499" s="1932" t="str">
        <f>+VLOOKUP(F499,TT_Tabelle_Riferimento!$D$127:$G$164,4,FALSE)</f>
        <v>Piccole dighe (sbarramenti che non superano i quindici metri di altezza o che determinano un invaso non superiore a 1 milione di metri cubi)</v>
      </c>
      <c r="H499" s="1013">
        <v>1</v>
      </c>
      <c r="I499" s="1932" t="str">
        <f>+VLOOKUP(H499,TT_Tabelle_Riferimento!$F$3:$G$6,2,FALSE)</f>
        <v>Servizio idrico integrato</v>
      </c>
      <c r="J499" s="1013">
        <v>2027</v>
      </c>
      <c r="K499" s="2335">
        <f>+SUMIFS('PdI-crono_inv'!BB:BB,'PdI-crono_inv'!CF:CF,F499,'PdI-crono_inv'!CE:CE,H499,'PdI-crono_inv'!J:J,P499,'PdI-crono_inv'!P:P,"&lt;&gt;proprietario")</f>
        <v>0</v>
      </c>
      <c r="M499" s="2335">
        <f>+SUMIFS('PdI-crono_inv'!BC:BC,'PdI-crono_inv'!CF:CF,F499,'PdI-crono_inv'!CE:CE,H499,'PdI-crono_inv'!J:J,P499,'PdI-crono_inv'!P:P,"&lt;&gt;proprietario")+S499</f>
        <v>0</v>
      </c>
      <c r="P499" s="1013" t="s">
        <v>25481</v>
      </c>
      <c r="Q499" s="1932" t="str">
        <f>+VLOOKUP(F499,TT_Tabelle_Riferimento!$D$127:$E$164,2,FALSE)</f>
        <v>Acquedotto</v>
      </c>
      <c r="R499" s="1932" t="str">
        <f t="shared" si="42"/>
        <v/>
      </c>
      <c r="S499" s="2335">
        <f t="shared" si="43"/>
        <v>0</v>
      </c>
    </row>
    <row r="500" spans="1:19">
      <c r="A500" s="1932">
        <f t="shared" ref="A500:A534" si="46">+idato</f>
        <v>0</v>
      </c>
      <c r="B500" s="1932">
        <f t="shared" ref="B500:B534" si="47">+idgestore</f>
        <v>0</v>
      </c>
      <c r="C500" s="1013" t="s">
        <v>245</v>
      </c>
      <c r="D500" s="1013">
        <v>0</v>
      </c>
      <c r="E500" s="1013" t="s">
        <v>22698</v>
      </c>
      <c r="F500" s="1013">
        <v>2</v>
      </c>
      <c r="G500" s="1932" t="str">
        <f>+VLOOKUP(F500,TT_Tabelle_Riferimento!$D$127:$G$164,4,FALSE)</f>
        <v>Condotte di acquedotto</v>
      </c>
      <c r="H500" s="1013">
        <v>2</v>
      </c>
      <c r="I500" s="1932" t="str">
        <f>+VLOOKUP(H500,TT_Tabelle_Riferimento!$F$3:$G$6,2,FALSE)</f>
        <v>Fognatura bianca e pulizia / manutenzione caditoie stradali</v>
      </c>
      <c r="J500" s="1013">
        <v>2027</v>
      </c>
      <c r="K500" s="2335">
        <f>+SUMIFS('PdI-crono_inv'!BB:BB,'PdI-crono_inv'!CF:CF,F500,'PdI-crono_inv'!CE:CE,H500,'PdI-crono_inv'!J:J,P500,'PdI-crono_inv'!P:P,"&lt;&gt;proprietario")</f>
        <v>0</v>
      </c>
      <c r="M500" s="2335">
        <f>+SUMIFS('PdI-crono_inv'!BC:BC,'PdI-crono_inv'!CF:CF,F500,'PdI-crono_inv'!CE:CE,H500,'PdI-crono_inv'!J:J,P500,'PdI-crono_inv'!P:P,"&lt;&gt;proprietario")+S500</f>
        <v>0</v>
      </c>
      <c r="P500" s="1013" t="s">
        <v>25481</v>
      </c>
      <c r="Q500" s="1932" t="str">
        <f>+VLOOKUP(F500,TT_Tabelle_Riferimento!$D$127:$E$164,2,FALSE)</f>
        <v>Acquedotto</v>
      </c>
      <c r="R500" s="1932" t="str">
        <f t="shared" si="42"/>
        <v/>
      </c>
      <c r="S500" s="2335">
        <f t="shared" si="43"/>
        <v>0</v>
      </c>
    </row>
    <row r="501" spans="1:19">
      <c r="A501" s="1932">
        <f t="shared" si="46"/>
        <v>0</v>
      </c>
      <c r="B501" s="1932">
        <f t="shared" si="47"/>
        <v>0</v>
      </c>
      <c r="C501" s="1013" t="s">
        <v>245</v>
      </c>
      <c r="D501" s="1013">
        <v>0</v>
      </c>
      <c r="E501" s="1013" t="s">
        <v>22698</v>
      </c>
      <c r="F501" s="1013">
        <v>3</v>
      </c>
      <c r="G501" s="1932" t="str">
        <f>+VLOOKUP(F501,TT_Tabelle_Riferimento!$D$127:$G$164,4,FALSE)</f>
        <v>Opere idrauliche fisse di acquedotto</v>
      </c>
      <c r="H501" s="1013">
        <v>2</v>
      </c>
      <c r="I501" s="1932" t="str">
        <f>+VLOOKUP(H501,TT_Tabelle_Riferimento!$F$3:$G$6,2,FALSE)</f>
        <v>Fognatura bianca e pulizia / manutenzione caditoie stradali</v>
      </c>
      <c r="J501" s="1013">
        <v>2027</v>
      </c>
      <c r="K501" s="2335">
        <f>+SUMIFS('PdI-crono_inv'!BB:BB,'PdI-crono_inv'!CF:CF,F501,'PdI-crono_inv'!CE:CE,H501,'PdI-crono_inv'!J:J,P501,'PdI-crono_inv'!P:P,"&lt;&gt;proprietario")</f>
        <v>0</v>
      </c>
      <c r="M501" s="2335">
        <f>+SUMIFS('PdI-crono_inv'!BC:BC,'PdI-crono_inv'!CF:CF,F501,'PdI-crono_inv'!CE:CE,H501,'PdI-crono_inv'!J:J,P501,'PdI-crono_inv'!P:P,"&lt;&gt;proprietario")+S501</f>
        <v>0</v>
      </c>
      <c r="P501" s="1013" t="s">
        <v>25481</v>
      </c>
      <c r="Q501" s="1932" t="str">
        <f>+VLOOKUP(F501,TT_Tabelle_Riferimento!$D$127:$E$164,2,FALSE)</f>
        <v>Acquedotto</v>
      </c>
      <c r="R501" s="1932" t="str">
        <f t="shared" si="42"/>
        <v/>
      </c>
      <c r="S501" s="2335">
        <f t="shared" si="43"/>
        <v>0</v>
      </c>
    </row>
    <row r="502" spans="1:19">
      <c r="A502" s="1932">
        <f t="shared" si="46"/>
        <v>0</v>
      </c>
      <c r="B502" s="1932">
        <f t="shared" si="47"/>
        <v>0</v>
      </c>
      <c r="C502" s="1013" t="s">
        <v>245</v>
      </c>
      <c r="D502" s="1013">
        <v>0</v>
      </c>
      <c r="E502" s="1013" t="s">
        <v>22698</v>
      </c>
      <c r="F502" s="1013">
        <v>4</v>
      </c>
      <c r="G502" s="1932" t="str">
        <f>+VLOOKUP(F502,TT_Tabelle_Riferimento!$D$127:$G$164,4,FALSE)</f>
        <v>Serbatoi</v>
      </c>
      <c r="H502" s="1013">
        <v>2</v>
      </c>
      <c r="I502" s="1932" t="str">
        <f>+VLOOKUP(H502,TT_Tabelle_Riferimento!$F$3:$G$6,2,FALSE)</f>
        <v>Fognatura bianca e pulizia / manutenzione caditoie stradali</v>
      </c>
      <c r="J502" s="1013">
        <v>2027</v>
      </c>
      <c r="K502" s="2335">
        <f>+SUMIFS('PdI-crono_inv'!BB:BB,'PdI-crono_inv'!CF:CF,F502,'PdI-crono_inv'!CE:CE,H502,'PdI-crono_inv'!J:J,P502,'PdI-crono_inv'!P:P,"&lt;&gt;proprietario")</f>
        <v>0</v>
      </c>
      <c r="M502" s="2335">
        <f>+SUMIFS('PdI-crono_inv'!BC:BC,'PdI-crono_inv'!CF:CF,F502,'PdI-crono_inv'!CE:CE,H502,'PdI-crono_inv'!J:J,P502,'PdI-crono_inv'!P:P,"&lt;&gt;proprietario")+S502</f>
        <v>0</v>
      </c>
      <c r="P502" s="1013" t="s">
        <v>25481</v>
      </c>
      <c r="Q502" s="1932" t="str">
        <f>+VLOOKUP(F502,TT_Tabelle_Riferimento!$D$127:$E$164,2,FALSE)</f>
        <v>Acquedotto</v>
      </c>
      <c r="R502" s="1932" t="str">
        <f t="shared" si="42"/>
        <v/>
      </c>
      <c r="S502" s="2335">
        <f t="shared" si="43"/>
        <v>0</v>
      </c>
    </row>
    <row r="503" spans="1:19">
      <c r="A503" s="1932">
        <f t="shared" si="46"/>
        <v>0</v>
      </c>
      <c r="B503" s="1932">
        <f t="shared" si="47"/>
        <v>0</v>
      </c>
      <c r="C503" s="1013" t="s">
        <v>245</v>
      </c>
      <c r="D503" s="1013">
        <v>0</v>
      </c>
      <c r="E503" s="1013" t="s">
        <v>22698</v>
      </c>
      <c r="F503" s="1013">
        <v>5</v>
      </c>
      <c r="G503" s="1932" t="str">
        <f>+VLOOKUP(F503,TT_Tabelle_Riferimento!$D$127:$G$164,4,FALSE)</f>
        <v>Impianti di sollevamento e pompaggio di acquedotto</v>
      </c>
      <c r="H503" s="1013">
        <v>2</v>
      </c>
      <c r="I503" s="1932" t="str">
        <f>+VLOOKUP(H503,TT_Tabelle_Riferimento!$F$3:$G$6,2,FALSE)</f>
        <v>Fognatura bianca e pulizia / manutenzione caditoie stradali</v>
      </c>
      <c r="J503" s="1013">
        <v>2027</v>
      </c>
      <c r="K503" s="2335">
        <f>+SUMIFS('PdI-crono_inv'!BB:BB,'PdI-crono_inv'!CF:CF,F503,'PdI-crono_inv'!CE:CE,H503,'PdI-crono_inv'!J:J,P503,'PdI-crono_inv'!P:P,"&lt;&gt;proprietario")</f>
        <v>0</v>
      </c>
      <c r="M503" s="2335">
        <f>+SUMIFS('PdI-crono_inv'!BC:BC,'PdI-crono_inv'!CF:CF,F503,'PdI-crono_inv'!CE:CE,H503,'PdI-crono_inv'!J:J,P503,'PdI-crono_inv'!P:P,"&lt;&gt;proprietario")+S503</f>
        <v>0</v>
      </c>
      <c r="P503" s="1013" t="s">
        <v>25481</v>
      </c>
      <c r="Q503" s="1932" t="str">
        <f>+VLOOKUP(F503,TT_Tabelle_Riferimento!$D$127:$E$164,2,FALSE)</f>
        <v>Acquedotto</v>
      </c>
      <c r="R503" s="1932" t="str">
        <f t="shared" si="42"/>
        <v/>
      </c>
      <c r="S503" s="2335">
        <f t="shared" si="43"/>
        <v>0</v>
      </c>
    </row>
    <row r="504" spans="1:19">
      <c r="A504" s="1932">
        <f t="shared" si="46"/>
        <v>0</v>
      </c>
      <c r="B504" s="1932">
        <f t="shared" si="47"/>
        <v>0</v>
      </c>
      <c r="C504" s="1013" t="s">
        <v>245</v>
      </c>
      <c r="D504" s="1013">
        <v>0</v>
      </c>
      <c r="E504" s="1013" t="s">
        <v>22698</v>
      </c>
      <c r="F504" s="1013">
        <v>6</v>
      </c>
      <c r="G504" s="1932" t="str">
        <f>+VLOOKUP(F504,TT_Tabelle_Riferimento!$D$127:$G$164,4,FALSE)</f>
        <v>Impianti di potabilizzazione</v>
      </c>
      <c r="H504" s="1013">
        <v>2</v>
      </c>
      <c r="I504" s="1932" t="str">
        <f>+VLOOKUP(H504,TT_Tabelle_Riferimento!$F$3:$G$6,2,FALSE)</f>
        <v>Fognatura bianca e pulizia / manutenzione caditoie stradali</v>
      </c>
      <c r="J504" s="1013">
        <v>2027</v>
      </c>
      <c r="K504" s="2335">
        <f>+SUMIFS('PdI-crono_inv'!BB:BB,'PdI-crono_inv'!CF:CF,F504,'PdI-crono_inv'!CE:CE,H504,'PdI-crono_inv'!J:J,P504,'PdI-crono_inv'!P:P,"&lt;&gt;proprietario")</f>
        <v>0</v>
      </c>
      <c r="M504" s="2335">
        <f>+SUMIFS('PdI-crono_inv'!BC:BC,'PdI-crono_inv'!CF:CF,F504,'PdI-crono_inv'!CE:CE,H504,'PdI-crono_inv'!J:J,P504,'PdI-crono_inv'!P:P,"&lt;&gt;proprietario")+S504</f>
        <v>0</v>
      </c>
      <c r="P504" s="1013" t="s">
        <v>25481</v>
      </c>
      <c r="Q504" s="1932" t="str">
        <f>+VLOOKUP(F504,TT_Tabelle_Riferimento!$D$127:$E$164,2,FALSE)</f>
        <v>Acquedotto</v>
      </c>
      <c r="R504" s="1932" t="str">
        <f t="shared" si="42"/>
        <v/>
      </c>
      <c r="S504" s="2335">
        <f t="shared" si="43"/>
        <v>0</v>
      </c>
    </row>
    <row r="505" spans="1:19">
      <c r="A505" s="1932">
        <f t="shared" si="46"/>
        <v>0</v>
      </c>
      <c r="B505" s="1932">
        <f t="shared" si="47"/>
        <v>0</v>
      </c>
      <c r="C505" s="1013" t="s">
        <v>245</v>
      </c>
      <c r="D505" s="1013">
        <v>0</v>
      </c>
      <c r="E505" s="1013" t="s">
        <v>22698</v>
      </c>
      <c r="F505" s="1013">
        <v>7</v>
      </c>
      <c r="G505" s="1932" t="str">
        <f>+VLOOKUP(F505,TT_Tabelle_Riferimento!$D$127:$G$164,4,FALSE)</f>
        <v>Altri trattamenti di potabilizzazione (tra cui dispositivi di disinfezione, stacciatura, filtrazione, addolcimento)</v>
      </c>
      <c r="H505" s="1013">
        <v>2</v>
      </c>
      <c r="I505" s="1932" t="str">
        <f>+VLOOKUP(H505,TT_Tabelle_Riferimento!$F$3:$G$6,2,FALSE)</f>
        <v>Fognatura bianca e pulizia / manutenzione caditoie stradali</v>
      </c>
      <c r="J505" s="1013">
        <v>2027</v>
      </c>
      <c r="K505" s="2335">
        <f>+SUMIFS('PdI-crono_inv'!BB:BB,'PdI-crono_inv'!CF:CF,F505,'PdI-crono_inv'!CE:CE,H505,'PdI-crono_inv'!J:J,P505,'PdI-crono_inv'!P:P,"&lt;&gt;proprietario")</f>
        <v>0</v>
      </c>
      <c r="M505" s="2335">
        <f>+SUMIFS('PdI-crono_inv'!BC:BC,'PdI-crono_inv'!CF:CF,F505,'PdI-crono_inv'!CE:CE,H505,'PdI-crono_inv'!J:J,P505,'PdI-crono_inv'!P:P,"&lt;&gt;proprietario")+S505</f>
        <v>0</v>
      </c>
      <c r="P505" s="1013" t="s">
        <v>25481</v>
      </c>
      <c r="Q505" s="1932" t="str">
        <f>+VLOOKUP(F505,TT_Tabelle_Riferimento!$D$127:$E$164,2,FALSE)</f>
        <v>Acquedotto</v>
      </c>
      <c r="R505" s="1932" t="str">
        <f t="shared" si="42"/>
        <v/>
      </c>
      <c r="S505" s="2335">
        <f t="shared" si="43"/>
        <v>0</v>
      </c>
    </row>
    <row r="506" spans="1:19">
      <c r="A506" s="1932">
        <f t="shared" si="46"/>
        <v>0</v>
      </c>
      <c r="B506" s="1932">
        <f t="shared" si="47"/>
        <v>0</v>
      </c>
      <c r="C506" s="1013" t="s">
        <v>245</v>
      </c>
      <c r="D506" s="1013">
        <v>0</v>
      </c>
      <c r="E506" s="1013" t="s">
        <v>22698</v>
      </c>
      <c r="F506" s="1013">
        <v>8</v>
      </c>
      <c r="G506" s="1932" t="str">
        <f>+VLOOKUP(F506,TT_Tabelle_Riferimento!$D$127:$G$164,4,FALSE)</f>
        <v>Gruppi di misura - altre attrezzature di acquedotto</v>
      </c>
      <c r="H506" s="1013">
        <v>2</v>
      </c>
      <c r="I506" s="1932" t="str">
        <f>+VLOOKUP(H506,TT_Tabelle_Riferimento!$F$3:$G$6,2,FALSE)</f>
        <v>Fognatura bianca e pulizia / manutenzione caditoie stradali</v>
      </c>
      <c r="J506" s="1013">
        <v>2027</v>
      </c>
      <c r="K506" s="2335">
        <f>+SUMIFS('PdI-crono_inv'!BB:BB,'PdI-crono_inv'!CF:CF,F506,'PdI-crono_inv'!CE:CE,H506,'PdI-crono_inv'!J:J,P506,'PdI-crono_inv'!P:P,"&lt;&gt;proprietario")</f>
        <v>0</v>
      </c>
      <c r="M506" s="2335">
        <f>+SUMIFS('PdI-crono_inv'!BC:BC,'PdI-crono_inv'!CF:CF,F506,'PdI-crono_inv'!CE:CE,H506,'PdI-crono_inv'!J:J,P506,'PdI-crono_inv'!P:P,"&lt;&gt;proprietario")+S506</f>
        <v>0</v>
      </c>
      <c r="P506" s="1013" t="s">
        <v>25481</v>
      </c>
      <c r="Q506" s="1932" t="str">
        <f>+VLOOKUP(F506,TT_Tabelle_Riferimento!$D$127:$E$164,2,FALSE)</f>
        <v>Acquedotto</v>
      </c>
      <c r="R506" s="1932" t="str">
        <f t="shared" si="42"/>
        <v/>
      </c>
      <c r="S506" s="2335">
        <f t="shared" si="43"/>
        <v>0</v>
      </c>
    </row>
    <row r="507" spans="1:19">
      <c r="A507" s="1932">
        <f t="shared" si="46"/>
        <v>0</v>
      </c>
      <c r="B507" s="1932">
        <f t="shared" si="47"/>
        <v>0</v>
      </c>
      <c r="C507" s="1013" t="s">
        <v>245</v>
      </c>
      <c r="D507" s="1013">
        <v>0</v>
      </c>
      <c r="E507" s="1013" t="s">
        <v>22698</v>
      </c>
      <c r="F507" s="1013">
        <v>9</v>
      </c>
      <c r="G507" s="1932" t="str">
        <f>+VLOOKUP(F507,TT_Tabelle_Riferimento!$D$127:$G$164,4,FALSE)</f>
        <v>Sistemi informativi di acquedotto</v>
      </c>
      <c r="H507" s="1013">
        <v>2</v>
      </c>
      <c r="I507" s="1932" t="str">
        <f>+VLOOKUP(H507,TT_Tabelle_Riferimento!$F$3:$G$6,2,FALSE)</f>
        <v>Fognatura bianca e pulizia / manutenzione caditoie stradali</v>
      </c>
      <c r="J507" s="1013">
        <v>2027</v>
      </c>
      <c r="K507" s="2335">
        <f>+SUMIFS('PdI-crono_inv'!BB:BB,'PdI-crono_inv'!CF:CF,F507,'PdI-crono_inv'!CE:CE,H507,'PdI-crono_inv'!J:J,P507,'PdI-crono_inv'!P:P,"&lt;&gt;proprietario")</f>
        <v>0</v>
      </c>
      <c r="M507" s="2335">
        <f>+SUMIFS('PdI-crono_inv'!BC:BC,'PdI-crono_inv'!CF:CF,F507,'PdI-crono_inv'!CE:CE,H507,'PdI-crono_inv'!J:J,P507,'PdI-crono_inv'!P:P,"&lt;&gt;proprietario")+S507</f>
        <v>0</v>
      </c>
      <c r="P507" s="1013" t="s">
        <v>25481</v>
      </c>
      <c r="Q507" s="1932" t="str">
        <f>+VLOOKUP(F507,TT_Tabelle_Riferimento!$D$127:$E$164,2,FALSE)</f>
        <v>Acquedotto</v>
      </c>
      <c r="R507" s="1932" t="str">
        <f t="shared" si="42"/>
        <v/>
      </c>
      <c r="S507" s="2335">
        <f t="shared" si="43"/>
        <v>0</v>
      </c>
    </row>
    <row r="508" spans="1:19">
      <c r="A508" s="1932">
        <f t="shared" si="46"/>
        <v>0</v>
      </c>
      <c r="B508" s="1932">
        <f t="shared" si="47"/>
        <v>0</v>
      </c>
      <c r="C508" s="1013" t="s">
        <v>245</v>
      </c>
      <c r="D508" s="1013">
        <v>0</v>
      </c>
      <c r="E508" s="1013" t="s">
        <v>22698</v>
      </c>
      <c r="F508" s="1013">
        <v>10</v>
      </c>
      <c r="G508" s="1932" t="str">
        <f>+VLOOKUP(F508,TT_Tabelle_Riferimento!$D$127:$G$164,4,FALSE)</f>
        <v>Telecontrollo e teletrasmissione di acquedotto</v>
      </c>
      <c r="H508" s="1013">
        <v>2</v>
      </c>
      <c r="I508" s="1932" t="str">
        <f>+VLOOKUP(H508,TT_Tabelle_Riferimento!$F$3:$G$6,2,FALSE)</f>
        <v>Fognatura bianca e pulizia / manutenzione caditoie stradali</v>
      </c>
      <c r="J508" s="1013">
        <v>2027</v>
      </c>
      <c r="K508" s="2335">
        <f>+SUMIFS('PdI-crono_inv'!BB:BB,'PdI-crono_inv'!CF:CF,F508,'PdI-crono_inv'!CE:CE,H508,'PdI-crono_inv'!J:J,P508,'PdI-crono_inv'!P:P,"&lt;&gt;proprietario")</f>
        <v>0</v>
      </c>
      <c r="M508" s="2335">
        <f>+SUMIFS('PdI-crono_inv'!BC:BC,'PdI-crono_inv'!CF:CF,F508,'PdI-crono_inv'!CE:CE,H508,'PdI-crono_inv'!J:J,P508,'PdI-crono_inv'!P:P,"&lt;&gt;proprietario")+S508</f>
        <v>0</v>
      </c>
      <c r="P508" s="1013" t="s">
        <v>25481</v>
      </c>
      <c r="Q508" s="1932" t="str">
        <f>+VLOOKUP(F508,TT_Tabelle_Riferimento!$D$127:$E$164,2,FALSE)</f>
        <v>Acquedotto</v>
      </c>
      <c r="R508" s="1932" t="str">
        <f t="shared" si="42"/>
        <v/>
      </c>
      <c r="S508" s="2335">
        <f t="shared" si="43"/>
        <v>0</v>
      </c>
    </row>
    <row r="509" spans="1:19">
      <c r="A509" s="1932">
        <f t="shared" si="46"/>
        <v>0</v>
      </c>
      <c r="B509" s="1932">
        <f t="shared" si="47"/>
        <v>0</v>
      </c>
      <c r="C509" s="1013" t="s">
        <v>245</v>
      </c>
      <c r="D509" s="1013">
        <v>0</v>
      </c>
      <c r="E509" s="1013" t="s">
        <v>22698</v>
      </c>
      <c r="F509" s="1013">
        <v>11</v>
      </c>
      <c r="G509" s="1932" t="str">
        <f>+VLOOKUP(F509,TT_Tabelle_Riferimento!$D$127:$G$164,4,FALSE)</f>
        <v>Condotte fognarie</v>
      </c>
      <c r="H509" s="1013">
        <v>2</v>
      </c>
      <c r="I509" s="1932" t="str">
        <f>+VLOOKUP(H509,TT_Tabelle_Riferimento!$F$3:$G$6,2,FALSE)</f>
        <v>Fognatura bianca e pulizia / manutenzione caditoie stradali</v>
      </c>
      <c r="J509" s="1013">
        <v>2027</v>
      </c>
      <c r="K509" s="2335">
        <f>+SUMIFS('PdI-crono_inv'!BB:BB,'PdI-crono_inv'!CF:CF,F509,'PdI-crono_inv'!CE:CE,H509,'PdI-crono_inv'!J:J,P509,'PdI-crono_inv'!P:P,"&lt;&gt;proprietario")</f>
        <v>0</v>
      </c>
      <c r="M509" s="2335">
        <f>+SUMIFS('PdI-crono_inv'!BC:BC,'PdI-crono_inv'!CF:CF,F509,'PdI-crono_inv'!CE:CE,H509,'PdI-crono_inv'!J:J,P509,'PdI-crono_inv'!P:P,"&lt;&gt;proprietario")+S509</f>
        <v>0</v>
      </c>
      <c r="P509" s="1013" t="s">
        <v>25481</v>
      </c>
      <c r="Q509" s="1932" t="str">
        <f>+VLOOKUP(F509,TT_Tabelle_Riferimento!$D$127:$E$164,2,FALSE)</f>
        <v>Fognatura</v>
      </c>
      <c r="R509" s="1932" t="str">
        <f t="shared" si="42"/>
        <v/>
      </c>
      <c r="S509" s="2335">
        <f t="shared" si="43"/>
        <v>0</v>
      </c>
    </row>
    <row r="510" spans="1:19">
      <c r="A510" s="1932">
        <f t="shared" si="46"/>
        <v>0</v>
      </c>
      <c r="B510" s="1932">
        <f t="shared" si="47"/>
        <v>0</v>
      </c>
      <c r="C510" s="1013" t="s">
        <v>245</v>
      </c>
      <c r="D510" s="1013">
        <v>0</v>
      </c>
      <c r="E510" s="1013" t="s">
        <v>22698</v>
      </c>
      <c r="F510" s="1013">
        <v>12</v>
      </c>
      <c r="G510" s="1932" t="str">
        <f>+VLOOKUP(F510,TT_Tabelle_Riferimento!$D$127:$G$164,4,FALSE)</f>
        <v>Sifoni e scaricatori di piena e altre opere idrauliche fisse di fognatura</v>
      </c>
      <c r="H510" s="1013">
        <v>2</v>
      </c>
      <c r="I510" s="1932" t="str">
        <f>+VLOOKUP(H510,TT_Tabelle_Riferimento!$F$3:$G$6,2,FALSE)</f>
        <v>Fognatura bianca e pulizia / manutenzione caditoie stradali</v>
      </c>
      <c r="J510" s="1013">
        <v>2027</v>
      </c>
      <c r="K510" s="2335">
        <f>+SUMIFS('PdI-crono_inv'!BB:BB,'PdI-crono_inv'!CF:CF,F510,'PdI-crono_inv'!CE:CE,H510,'PdI-crono_inv'!J:J,P510,'PdI-crono_inv'!P:P,"&lt;&gt;proprietario")</f>
        <v>0</v>
      </c>
      <c r="M510" s="2335">
        <f>+SUMIFS('PdI-crono_inv'!BC:BC,'PdI-crono_inv'!CF:CF,F510,'PdI-crono_inv'!CE:CE,H510,'PdI-crono_inv'!J:J,P510,'PdI-crono_inv'!P:P,"&lt;&gt;proprietario")+S510</f>
        <v>0</v>
      </c>
      <c r="P510" s="1013" t="s">
        <v>25481</v>
      </c>
      <c r="Q510" s="1932" t="str">
        <f>+VLOOKUP(F510,TT_Tabelle_Riferimento!$D$127:$E$164,2,FALSE)</f>
        <v>Fognatura</v>
      </c>
      <c r="R510" s="1932" t="str">
        <f t="shared" si="42"/>
        <v/>
      </c>
      <c r="S510" s="2335">
        <f t="shared" si="43"/>
        <v>0</v>
      </c>
    </row>
    <row r="511" spans="1:19">
      <c r="A511" s="1932">
        <f t="shared" si="46"/>
        <v>0</v>
      </c>
      <c r="B511" s="1932">
        <f t="shared" si="47"/>
        <v>0</v>
      </c>
      <c r="C511" s="1013" t="s">
        <v>245</v>
      </c>
      <c r="D511" s="1013">
        <v>0</v>
      </c>
      <c r="E511" s="1013" t="s">
        <v>22698</v>
      </c>
      <c r="F511" s="1013">
        <v>13</v>
      </c>
      <c r="G511" s="1932" t="str">
        <f>+VLOOKUP(F511,TT_Tabelle_Riferimento!$D$127:$G$164,4,FALSE)</f>
        <v>Vasche di laminazione e vasche di prima pioggia</v>
      </c>
      <c r="H511" s="1013">
        <v>2</v>
      </c>
      <c r="I511" s="1932" t="str">
        <f>+VLOOKUP(H511,TT_Tabelle_Riferimento!$F$3:$G$6,2,FALSE)</f>
        <v>Fognatura bianca e pulizia / manutenzione caditoie stradali</v>
      </c>
      <c r="J511" s="1013">
        <v>2027</v>
      </c>
      <c r="K511" s="2335">
        <f>+SUMIFS('PdI-crono_inv'!BB:BB,'PdI-crono_inv'!CF:CF,F511,'PdI-crono_inv'!CE:CE,H511,'PdI-crono_inv'!J:J,P511,'PdI-crono_inv'!P:P,"&lt;&gt;proprietario")</f>
        <v>0</v>
      </c>
      <c r="M511" s="2335">
        <f>+SUMIFS('PdI-crono_inv'!BC:BC,'PdI-crono_inv'!CF:CF,F511,'PdI-crono_inv'!CE:CE,H511,'PdI-crono_inv'!J:J,P511,'PdI-crono_inv'!P:P,"&lt;&gt;proprietario")+S511</f>
        <v>0</v>
      </c>
      <c r="P511" s="1013" t="s">
        <v>25481</v>
      </c>
      <c r="Q511" s="1932" t="str">
        <f>+VLOOKUP(F511,TT_Tabelle_Riferimento!$D$127:$E$164,2,FALSE)</f>
        <v>Fognatura</v>
      </c>
      <c r="R511" s="1932" t="str">
        <f t="shared" si="42"/>
        <v/>
      </c>
      <c r="S511" s="2335">
        <f t="shared" si="43"/>
        <v>0</v>
      </c>
    </row>
    <row r="512" spans="1:19">
      <c r="A512" s="1932">
        <f t="shared" si="46"/>
        <v>0</v>
      </c>
      <c r="B512" s="1932">
        <f t="shared" si="47"/>
        <v>0</v>
      </c>
      <c r="C512" s="1013" t="s">
        <v>245</v>
      </c>
      <c r="D512" s="1013">
        <v>0</v>
      </c>
      <c r="E512" s="1013" t="s">
        <v>22698</v>
      </c>
      <c r="F512" s="1013">
        <v>14</v>
      </c>
      <c r="G512" s="1932" t="str">
        <f>+VLOOKUP(F512,TT_Tabelle_Riferimento!$D$127:$G$164,4,FALSE)</f>
        <v>Impianti di sollevamento e pompaggio di fognatura</v>
      </c>
      <c r="H512" s="1013">
        <v>2</v>
      </c>
      <c r="I512" s="1932" t="str">
        <f>+VLOOKUP(H512,TT_Tabelle_Riferimento!$F$3:$G$6,2,FALSE)</f>
        <v>Fognatura bianca e pulizia / manutenzione caditoie stradali</v>
      </c>
      <c r="J512" s="1013">
        <v>2027</v>
      </c>
      <c r="K512" s="2335">
        <f>+SUMIFS('PdI-crono_inv'!BB:BB,'PdI-crono_inv'!CF:CF,F512,'PdI-crono_inv'!CE:CE,H512,'PdI-crono_inv'!J:J,P512,'PdI-crono_inv'!P:P,"&lt;&gt;proprietario")</f>
        <v>0</v>
      </c>
      <c r="M512" s="2335">
        <f>+SUMIFS('PdI-crono_inv'!BC:BC,'PdI-crono_inv'!CF:CF,F512,'PdI-crono_inv'!CE:CE,H512,'PdI-crono_inv'!J:J,P512,'PdI-crono_inv'!P:P,"&lt;&gt;proprietario")+S512</f>
        <v>0</v>
      </c>
      <c r="P512" s="1013" t="s">
        <v>25481</v>
      </c>
      <c r="Q512" s="1932" t="str">
        <f>+VLOOKUP(F512,TT_Tabelle_Riferimento!$D$127:$E$164,2,FALSE)</f>
        <v>Fognatura</v>
      </c>
      <c r="R512" s="1932" t="str">
        <f t="shared" si="42"/>
        <v/>
      </c>
      <c r="S512" s="2335">
        <f t="shared" si="43"/>
        <v>0</v>
      </c>
    </row>
    <row r="513" spans="1:19">
      <c r="A513" s="1932">
        <f t="shared" si="46"/>
        <v>0</v>
      </c>
      <c r="B513" s="1932">
        <f t="shared" si="47"/>
        <v>0</v>
      </c>
      <c r="C513" s="1013" t="s">
        <v>245</v>
      </c>
      <c r="D513" s="1013">
        <v>0</v>
      </c>
      <c r="E513" s="1013" t="s">
        <v>22698</v>
      </c>
      <c r="F513" s="1013">
        <v>15</v>
      </c>
      <c r="G513" s="1932" t="str">
        <f>+VLOOKUP(F513,TT_Tabelle_Riferimento!$D$127:$G$164,4,FALSE)</f>
        <v>Gruppi di misura - altre attrezzature di fognatura</v>
      </c>
      <c r="H513" s="1013">
        <v>2</v>
      </c>
      <c r="I513" s="1932" t="str">
        <f>+VLOOKUP(H513,TT_Tabelle_Riferimento!$F$3:$G$6,2,FALSE)</f>
        <v>Fognatura bianca e pulizia / manutenzione caditoie stradali</v>
      </c>
      <c r="J513" s="1013">
        <v>2027</v>
      </c>
      <c r="K513" s="2335">
        <f>+SUMIFS('PdI-crono_inv'!BB:BB,'PdI-crono_inv'!CF:CF,F513,'PdI-crono_inv'!CE:CE,H513,'PdI-crono_inv'!J:J,P513,'PdI-crono_inv'!P:P,"&lt;&gt;proprietario")</f>
        <v>0</v>
      </c>
      <c r="M513" s="2335">
        <f>+SUMIFS('PdI-crono_inv'!BC:BC,'PdI-crono_inv'!CF:CF,F513,'PdI-crono_inv'!CE:CE,H513,'PdI-crono_inv'!J:J,P513,'PdI-crono_inv'!P:P,"&lt;&gt;proprietario")+S513</f>
        <v>0</v>
      </c>
      <c r="P513" s="1013" t="s">
        <v>25481</v>
      </c>
      <c r="Q513" s="1932" t="str">
        <f>+VLOOKUP(F513,TT_Tabelle_Riferimento!$D$127:$E$164,2,FALSE)</f>
        <v>Fognatura</v>
      </c>
      <c r="R513" s="1932" t="str">
        <f t="shared" si="42"/>
        <v/>
      </c>
      <c r="S513" s="2335">
        <f t="shared" si="43"/>
        <v>0</v>
      </c>
    </row>
    <row r="514" spans="1:19">
      <c r="A514" s="1932">
        <f t="shared" si="46"/>
        <v>0</v>
      </c>
      <c r="B514" s="1932">
        <f t="shared" si="47"/>
        <v>0</v>
      </c>
      <c r="C514" s="1013" t="s">
        <v>245</v>
      </c>
      <c r="D514" s="1013">
        <v>0</v>
      </c>
      <c r="E514" s="1013" t="s">
        <v>22698</v>
      </c>
      <c r="F514" s="1013">
        <v>16</v>
      </c>
      <c r="G514" s="1932" t="str">
        <f>+VLOOKUP(F514,TT_Tabelle_Riferimento!$D$127:$G$164,4,FALSE)</f>
        <v>Sistemi informativi di fognatura</v>
      </c>
      <c r="H514" s="1013">
        <v>2</v>
      </c>
      <c r="I514" s="1932" t="str">
        <f>+VLOOKUP(H514,TT_Tabelle_Riferimento!$F$3:$G$6,2,FALSE)</f>
        <v>Fognatura bianca e pulizia / manutenzione caditoie stradali</v>
      </c>
      <c r="J514" s="1013">
        <v>2027</v>
      </c>
      <c r="K514" s="2335">
        <f>+SUMIFS('PdI-crono_inv'!BB:BB,'PdI-crono_inv'!CF:CF,F514,'PdI-crono_inv'!CE:CE,H514,'PdI-crono_inv'!J:J,P514,'PdI-crono_inv'!P:P,"&lt;&gt;proprietario")</f>
        <v>0</v>
      </c>
      <c r="M514" s="2335">
        <f>+SUMIFS('PdI-crono_inv'!BC:BC,'PdI-crono_inv'!CF:CF,F514,'PdI-crono_inv'!CE:CE,H514,'PdI-crono_inv'!J:J,P514,'PdI-crono_inv'!P:P,"&lt;&gt;proprietario")+S514</f>
        <v>0</v>
      </c>
      <c r="P514" s="1013" t="s">
        <v>25481</v>
      </c>
      <c r="Q514" s="1932" t="str">
        <f>+VLOOKUP(F514,TT_Tabelle_Riferimento!$D$127:$E$164,2,FALSE)</f>
        <v>Fognatura</v>
      </c>
      <c r="R514" s="1932" t="str">
        <f t="shared" ref="R514:R577" si="48">+IF(SUM(K514:N514)=0,"","PdI_consolidamento")</f>
        <v/>
      </c>
      <c r="S514" s="2335">
        <f t="shared" si="43"/>
        <v>0</v>
      </c>
    </row>
    <row r="515" spans="1:19">
      <c r="A515" s="1932">
        <f t="shared" si="46"/>
        <v>0</v>
      </c>
      <c r="B515" s="1932">
        <f t="shared" si="47"/>
        <v>0</v>
      </c>
      <c r="C515" s="1013" t="s">
        <v>245</v>
      </c>
      <c r="D515" s="1013">
        <v>0</v>
      </c>
      <c r="E515" s="1013" t="s">
        <v>22698</v>
      </c>
      <c r="F515" s="1013">
        <v>18</v>
      </c>
      <c r="G515" s="1932" t="str">
        <f>+VLOOKUP(F515,TT_Tabelle_Riferimento!$D$127:$G$164,4,FALSE)</f>
        <v>Telecontrollo e teletrasmissione di fognatura</v>
      </c>
      <c r="H515" s="1013">
        <v>2</v>
      </c>
      <c r="I515" s="1932" t="str">
        <f>+VLOOKUP(H515,TT_Tabelle_Riferimento!$F$3:$G$6,2,FALSE)</f>
        <v>Fognatura bianca e pulizia / manutenzione caditoie stradali</v>
      </c>
      <c r="J515" s="1013">
        <v>2027</v>
      </c>
      <c r="K515" s="2335">
        <f>+SUMIFS('PdI-crono_inv'!BB:BB,'PdI-crono_inv'!CF:CF,F515,'PdI-crono_inv'!CE:CE,H515,'PdI-crono_inv'!J:J,P515,'PdI-crono_inv'!P:P,"&lt;&gt;proprietario")</f>
        <v>0</v>
      </c>
      <c r="M515" s="2335">
        <f>+SUMIFS('PdI-crono_inv'!BC:BC,'PdI-crono_inv'!CF:CF,F515,'PdI-crono_inv'!CE:CE,H515,'PdI-crono_inv'!J:J,P515,'PdI-crono_inv'!P:P,"&lt;&gt;proprietario")+S515</f>
        <v>0</v>
      </c>
      <c r="P515" s="1013" t="s">
        <v>25481</v>
      </c>
      <c r="Q515" s="1932" t="str">
        <f>+VLOOKUP(F515,TT_Tabelle_Riferimento!$D$127:$E$164,2,FALSE)</f>
        <v>Fognatura</v>
      </c>
      <c r="R515" s="1932" t="str">
        <f t="shared" si="48"/>
        <v/>
      </c>
      <c r="S515" s="2335">
        <f t="shared" si="43"/>
        <v>0</v>
      </c>
    </row>
    <row r="516" spans="1:19">
      <c r="A516" s="1932">
        <f t="shared" si="46"/>
        <v>0</v>
      </c>
      <c r="B516" s="1932">
        <f t="shared" si="47"/>
        <v>0</v>
      </c>
      <c r="C516" s="1013" t="s">
        <v>245</v>
      </c>
      <c r="D516" s="1013">
        <v>0</v>
      </c>
      <c r="E516" s="1013" t="s">
        <v>22698</v>
      </c>
      <c r="F516" s="1013">
        <v>19</v>
      </c>
      <c r="G516" s="1932" t="str">
        <f>+VLOOKUP(F516,TT_Tabelle_Riferimento!$D$127:$G$164,4,FALSE)</f>
        <v>Impianti di sollevamento e pompaggio di depurazione</v>
      </c>
      <c r="H516" s="1013">
        <v>2</v>
      </c>
      <c r="I516" s="1932" t="str">
        <f>+VLOOKUP(H516,TT_Tabelle_Riferimento!$F$3:$G$6,2,FALSE)</f>
        <v>Fognatura bianca e pulizia / manutenzione caditoie stradali</v>
      </c>
      <c r="J516" s="1013">
        <v>2027</v>
      </c>
      <c r="K516" s="2335">
        <f>+SUMIFS('PdI-crono_inv'!BB:BB,'PdI-crono_inv'!CF:CF,F516,'PdI-crono_inv'!CE:CE,H516,'PdI-crono_inv'!J:J,P516,'PdI-crono_inv'!P:P,"&lt;&gt;proprietario")</f>
        <v>0</v>
      </c>
      <c r="M516" s="2335">
        <f>+SUMIFS('PdI-crono_inv'!BC:BC,'PdI-crono_inv'!CF:CF,F516,'PdI-crono_inv'!CE:CE,H516,'PdI-crono_inv'!J:J,P516,'PdI-crono_inv'!P:P,"&lt;&gt;proprietario")+S516</f>
        <v>0</v>
      </c>
      <c r="P516" s="1013" t="s">
        <v>25481</v>
      </c>
      <c r="Q516" s="1932" t="str">
        <f>+VLOOKUP(F516,TT_Tabelle_Riferimento!$D$127:$E$164,2,FALSE)</f>
        <v>Depurazione</v>
      </c>
      <c r="R516" s="1932" t="str">
        <f t="shared" si="48"/>
        <v/>
      </c>
      <c r="S516" s="2335">
        <f t="shared" si="43"/>
        <v>0</v>
      </c>
    </row>
    <row r="517" spans="1:19">
      <c r="A517" s="1932">
        <f t="shared" si="46"/>
        <v>0</v>
      </c>
      <c r="B517" s="1932">
        <f t="shared" si="47"/>
        <v>0</v>
      </c>
      <c r="C517" s="1013" t="s">
        <v>245</v>
      </c>
      <c r="D517" s="1013">
        <v>0</v>
      </c>
      <c r="E517" s="1013" t="s">
        <v>22698</v>
      </c>
      <c r="F517" s="1013">
        <v>20</v>
      </c>
      <c r="G517" s="1932" t="str">
        <f>+VLOOKUP(F517,TT_Tabelle_Riferimento!$D$127:$G$164,4,FALSE)</f>
        <v>Tecniche naturali di depurazione (tra cui fitodepurazione e lagunaggio)</v>
      </c>
      <c r="H517" s="1013">
        <v>2</v>
      </c>
      <c r="I517" s="1932" t="str">
        <f>+VLOOKUP(H517,TT_Tabelle_Riferimento!$F$3:$G$6,2,FALSE)</f>
        <v>Fognatura bianca e pulizia / manutenzione caditoie stradali</v>
      </c>
      <c r="J517" s="1013">
        <v>2027</v>
      </c>
      <c r="K517" s="2335">
        <f>+SUMIFS('PdI-crono_inv'!BB:BB,'PdI-crono_inv'!CF:CF,F517,'PdI-crono_inv'!CE:CE,H517,'PdI-crono_inv'!J:J,P517,'PdI-crono_inv'!P:P,"&lt;&gt;proprietario")</f>
        <v>0</v>
      </c>
      <c r="M517" s="2335">
        <f>+SUMIFS('PdI-crono_inv'!BC:BC,'PdI-crono_inv'!CF:CF,F517,'PdI-crono_inv'!CE:CE,H517,'PdI-crono_inv'!J:J,P517,'PdI-crono_inv'!P:P,"&lt;&gt;proprietario")+S517</f>
        <v>0</v>
      </c>
      <c r="P517" s="1013" t="s">
        <v>25481</v>
      </c>
      <c r="Q517" s="1932" t="str">
        <f>+VLOOKUP(F517,TT_Tabelle_Riferimento!$D$127:$E$164,2,FALSE)</f>
        <v>Depurazione</v>
      </c>
      <c r="R517" s="1932" t="str">
        <f t="shared" si="48"/>
        <v/>
      </c>
      <c r="S517" s="2335">
        <f t="shared" si="43"/>
        <v>0</v>
      </c>
    </row>
    <row r="518" spans="1:19">
      <c r="A518" s="1932">
        <f t="shared" si="46"/>
        <v>0</v>
      </c>
      <c r="B518" s="1932">
        <f t="shared" si="47"/>
        <v>0</v>
      </c>
      <c r="C518" s="1013" t="s">
        <v>245</v>
      </c>
      <c r="D518" s="1013">
        <v>0</v>
      </c>
      <c r="E518" s="1013" t="s">
        <v>22698</v>
      </c>
      <c r="F518" s="1013">
        <v>21</v>
      </c>
      <c r="G518" s="1932" t="str">
        <f>+VLOOKUP(F518,TT_Tabelle_Riferimento!$D$127:$G$164,4,FALSE)</f>
        <v>Impianti di depurazione – trattamenti sino al preliminare, integrativo, primario - fosse settiche e fosse Imhoff</v>
      </c>
      <c r="H518" s="1013">
        <v>2</v>
      </c>
      <c r="I518" s="1932" t="str">
        <f>+VLOOKUP(H518,TT_Tabelle_Riferimento!$F$3:$G$6,2,FALSE)</f>
        <v>Fognatura bianca e pulizia / manutenzione caditoie stradali</v>
      </c>
      <c r="J518" s="1013">
        <v>2027</v>
      </c>
      <c r="K518" s="2335">
        <f>+SUMIFS('PdI-crono_inv'!BB:BB,'PdI-crono_inv'!CF:CF,F518,'PdI-crono_inv'!CE:CE,H518,'PdI-crono_inv'!J:J,P518,'PdI-crono_inv'!P:P,"&lt;&gt;proprietario")</f>
        <v>0</v>
      </c>
      <c r="M518" s="2335">
        <f>+SUMIFS('PdI-crono_inv'!BC:BC,'PdI-crono_inv'!CF:CF,F518,'PdI-crono_inv'!CE:CE,H518,'PdI-crono_inv'!J:J,P518,'PdI-crono_inv'!P:P,"&lt;&gt;proprietario")+S518</f>
        <v>0</v>
      </c>
      <c r="P518" s="1013" t="s">
        <v>25481</v>
      </c>
      <c r="Q518" s="1932" t="str">
        <f>+VLOOKUP(F518,TT_Tabelle_Riferimento!$D$127:$E$164,2,FALSE)</f>
        <v>Depurazione</v>
      </c>
      <c r="R518" s="1932" t="str">
        <f t="shared" si="48"/>
        <v/>
      </c>
      <c r="S518" s="2335">
        <f t="shared" si="43"/>
        <v>0</v>
      </c>
    </row>
    <row r="519" spans="1:19">
      <c r="A519" s="1932">
        <f t="shared" si="46"/>
        <v>0</v>
      </c>
      <c r="B519" s="1932">
        <f t="shared" si="47"/>
        <v>0</v>
      </c>
      <c r="C519" s="1013" t="s">
        <v>245</v>
      </c>
      <c r="D519" s="1013">
        <v>0</v>
      </c>
      <c r="E519" s="1013" t="s">
        <v>22698</v>
      </c>
      <c r="F519" s="1013">
        <v>22</v>
      </c>
      <c r="G519" s="1932" t="str">
        <f>+VLOOKUP(F519,TT_Tabelle_Riferimento!$D$127:$G$164,4,FALSE)</f>
        <v>Impianti di depurazione – trattamenti sino al secondario</v>
      </c>
      <c r="H519" s="1013">
        <v>2</v>
      </c>
      <c r="I519" s="1932" t="str">
        <f>+VLOOKUP(H519,TT_Tabelle_Riferimento!$F$3:$G$6,2,FALSE)</f>
        <v>Fognatura bianca e pulizia / manutenzione caditoie stradali</v>
      </c>
      <c r="J519" s="1013">
        <v>2027</v>
      </c>
      <c r="K519" s="2335">
        <f>+SUMIFS('PdI-crono_inv'!BB:BB,'PdI-crono_inv'!CF:CF,F519,'PdI-crono_inv'!CE:CE,H519,'PdI-crono_inv'!J:J,P519,'PdI-crono_inv'!P:P,"&lt;&gt;proprietario")</f>
        <v>0</v>
      </c>
      <c r="M519" s="2335">
        <f>+SUMIFS('PdI-crono_inv'!BC:BC,'PdI-crono_inv'!CF:CF,F519,'PdI-crono_inv'!CE:CE,H519,'PdI-crono_inv'!J:J,P519,'PdI-crono_inv'!P:P,"&lt;&gt;proprietario")+S519</f>
        <v>0</v>
      </c>
      <c r="P519" s="1013" t="s">
        <v>25481</v>
      </c>
      <c r="Q519" s="1932" t="str">
        <f>+VLOOKUP(F519,TT_Tabelle_Riferimento!$D$127:$E$164,2,FALSE)</f>
        <v>Depurazione</v>
      </c>
      <c r="R519" s="1932" t="str">
        <f t="shared" si="48"/>
        <v/>
      </c>
      <c r="S519" s="2335">
        <f t="shared" ref="S519:S582" si="49">+IFERROR(HLOOKUP(J519,$X$2:$Y$5,4,FALSE)*K519,0)</f>
        <v>0</v>
      </c>
    </row>
    <row r="520" spans="1:19">
      <c r="A520" s="1932">
        <f t="shared" si="46"/>
        <v>0</v>
      </c>
      <c r="B520" s="1932">
        <f t="shared" si="47"/>
        <v>0</v>
      </c>
      <c r="C520" s="1013" t="s">
        <v>245</v>
      </c>
      <c r="D520" s="1013">
        <v>0</v>
      </c>
      <c r="E520" s="1013" t="s">
        <v>22698</v>
      </c>
      <c r="F520" s="1013">
        <v>23</v>
      </c>
      <c r="G520" s="1932" t="str">
        <f>+VLOOKUP(F520,TT_Tabelle_Riferimento!$D$127:$G$164,4,FALSE)</f>
        <v>Impianti di depurazione – trattamenti sino al terziario e terziario avanzato</v>
      </c>
      <c r="H520" s="1013">
        <v>2</v>
      </c>
      <c r="I520" s="1932" t="str">
        <f>+VLOOKUP(H520,TT_Tabelle_Riferimento!$F$3:$G$6,2,FALSE)</f>
        <v>Fognatura bianca e pulizia / manutenzione caditoie stradali</v>
      </c>
      <c r="J520" s="1013">
        <v>2027</v>
      </c>
      <c r="K520" s="2335">
        <f>+SUMIFS('PdI-crono_inv'!BB:BB,'PdI-crono_inv'!CF:CF,F520,'PdI-crono_inv'!CE:CE,H520,'PdI-crono_inv'!J:J,P520,'PdI-crono_inv'!P:P,"&lt;&gt;proprietario")</f>
        <v>0</v>
      </c>
      <c r="M520" s="2335">
        <f>+SUMIFS('PdI-crono_inv'!BC:BC,'PdI-crono_inv'!CF:CF,F520,'PdI-crono_inv'!CE:CE,H520,'PdI-crono_inv'!J:J,P520,'PdI-crono_inv'!P:P,"&lt;&gt;proprietario")+S520</f>
        <v>0</v>
      </c>
      <c r="P520" s="1013" t="s">
        <v>25481</v>
      </c>
      <c r="Q520" s="1932" t="str">
        <f>+VLOOKUP(F520,TT_Tabelle_Riferimento!$D$127:$E$164,2,FALSE)</f>
        <v>Depurazione</v>
      </c>
      <c r="R520" s="1932" t="str">
        <f t="shared" si="48"/>
        <v/>
      </c>
      <c r="S520" s="2335">
        <f t="shared" si="49"/>
        <v>0</v>
      </c>
    </row>
    <row r="521" spans="1:19">
      <c r="A521" s="1932">
        <f t="shared" si="46"/>
        <v>0</v>
      </c>
      <c r="B521" s="1932">
        <f t="shared" si="47"/>
        <v>0</v>
      </c>
      <c r="C521" s="1013" t="s">
        <v>245</v>
      </c>
      <c r="D521" s="1013">
        <v>0</v>
      </c>
      <c r="E521" s="1013" t="s">
        <v>22698</v>
      </c>
      <c r="F521" s="1013">
        <v>24</v>
      </c>
      <c r="G521" s="1932" t="str">
        <f>+VLOOKUP(F521,TT_Tabelle_Riferimento!$D$127:$G$164,4,FALSE)</f>
        <v>Impianti di essiccamento fanghi e di valorizzazione dei fanghi (tra cui mono-incenerimento, pirolisi, gassificazione)</v>
      </c>
      <c r="H521" s="1013">
        <v>2</v>
      </c>
      <c r="I521" s="1932" t="str">
        <f>+VLOOKUP(H521,TT_Tabelle_Riferimento!$F$3:$G$6,2,FALSE)</f>
        <v>Fognatura bianca e pulizia / manutenzione caditoie stradali</v>
      </c>
      <c r="J521" s="1013">
        <v>2027</v>
      </c>
      <c r="K521" s="2335">
        <f>+SUMIFS('PdI-crono_inv'!BB:BB,'PdI-crono_inv'!CF:CF,F521,'PdI-crono_inv'!CE:CE,H521,'PdI-crono_inv'!J:J,P521,'PdI-crono_inv'!P:P,"&lt;&gt;proprietario")</f>
        <v>0</v>
      </c>
      <c r="M521" s="2335">
        <f>+SUMIFS('PdI-crono_inv'!BC:BC,'PdI-crono_inv'!CF:CF,F521,'PdI-crono_inv'!CE:CE,H521,'PdI-crono_inv'!J:J,P521,'PdI-crono_inv'!P:P,"&lt;&gt;proprietario")+S521</f>
        <v>0</v>
      </c>
      <c r="P521" s="1013" t="s">
        <v>25481</v>
      </c>
      <c r="Q521" s="1932" t="str">
        <f>+VLOOKUP(F521,TT_Tabelle_Riferimento!$D$127:$E$164,2,FALSE)</f>
        <v>Depurazione</v>
      </c>
      <c r="R521" s="1932" t="str">
        <f t="shared" si="48"/>
        <v/>
      </c>
      <c r="S521" s="2335">
        <f t="shared" si="49"/>
        <v>0</v>
      </c>
    </row>
    <row r="522" spans="1:19">
      <c r="A522" s="1932">
        <f t="shared" si="46"/>
        <v>0</v>
      </c>
      <c r="B522" s="1932">
        <f t="shared" si="47"/>
        <v>0</v>
      </c>
      <c r="C522" s="1013" t="s">
        <v>245</v>
      </c>
      <c r="D522" s="1013">
        <v>0</v>
      </c>
      <c r="E522" s="1013" t="s">
        <v>22698</v>
      </c>
      <c r="F522" s="1013">
        <v>25</v>
      </c>
      <c r="G522" s="1932" t="str">
        <f>+VLOOKUP(F522,TT_Tabelle_Riferimento!$D$127:$G$164,4,FALSE)</f>
        <v>Gruppi di misura - altre attrezzature di depurazione</v>
      </c>
      <c r="H522" s="1013">
        <v>2</v>
      </c>
      <c r="I522" s="1932" t="str">
        <f>+VLOOKUP(H522,TT_Tabelle_Riferimento!$F$3:$G$6,2,FALSE)</f>
        <v>Fognatura bianca e pulizia / manutenzione caditoie stradali</v>
      </c>
      <c r="J522" s="1013">
        <v>2027</v>
      </c>
      <c r="K522" s="2335">
        <f>+SUMIFS('PdI-crono_inv'!BB:BB,'PdI-crono_inv'!CF:CF,F522,'PdI-crono_inv'!CE:CE,H522,'PdI-crono_inv'!J:J,P522,'PdI-crono_inv'!P:P,"&lt;&gt;proprietario")</f>
        <v>0</v>
      </c>
      <c r="M522" s="2335">
        <f>+SUMIFS('PdI-crono_inv'!BC:BC,'PdI-crono_inv'!CF:CF,F522,'PdI-crono_inv'!CE:CE,H522,'PdI-crono_inv'!J:J,P522,'PdI-crono_inv'!P:P,"&lt;&gt;proprietario")+S522</f>
        <v>0</v>
      </c>
      <c r="P522" s="1013" t="s">
        <v>25481</v>
      </c>
      <c r="Q522" s="1932" t="str">
        <f>+VLOOKUP(F522,TT_Tabelle_Riferimento!$D$127:$E$164,2,FALSE)</f>
        <v>Depurazione</v>
      </c>
      <c r="R522" s="1932" t="str">
        <f t="shared" si="48"/>
        <v/>
      </c>
      <c r="S522" s="2335">
        <f t="shared" si="49"/>
        <v>0</v>
      </c>
    </row>
    <row r="523" spans="1:19">
      <c r="A523" s="1932">
        <f t="shared" si="46"/>
        <v>0</v>
      </c>
      <c r="B523" s="1932">
        <f t="shared" si="47"/>
        <v>0</v>
      </c>
      <c r="C523" s="1013" t="s">
        <v>245</v>
      </c>
      <c r="D523" s="1013">
        <v>0</v>
      </c>
      <c r="E523" s="1013" t="s">
        <v>22698</v>
      </c>
      <c r="F523" s="1013">
        <v>26</v>
      </c>
      <c r="G523" s="1932" t="str">
        <f>+VLOOKUP(F523,TT_Tabelle_Riferimento!$D$127:$G$164,4,FALSE)</f>
        <v>Sistemi informativi di depurazione</v>
      </c>
      <c r="H523" s="1013">
        <v>2</v>
      </c>
      <c r="I523" s="1932" t="str">
        <f>+VLOOKUP(H523,TT_Tabelle_Riferimento!$F$3:$G$6,2,FALSE)</f>
        <v>Fognatura bianca e pulizia / manutenzione caditoie stradali</v>
      </c>
      <c r="J523" s="1013">
        <v>2027</v>
      </c>
      <c r="K523" s="2335">
        <f>+SUMIFS('PdI-crono_inv'!BB:BB,'PdI-crono_inv'!CF:CF,F523,'PdI-crono_inv'!CE:CE,H523,'PdI-crono_inv'!J:J,P523,'PdI-crono_inv'!P:P,"&lt;&gt;proprietario")</f>
        <v>0</v>
      </c>
      <c r="M523" s="2335">
        <f>+SUMIFS('PdI-crono_inv'!BC:BC,'PdI-crono_inv'!CF:CF,F523,'PdI-crono_inv'!CE:CE,H523,'PdI-crono_inv'!J:J,P523,'PdI-crono_inv'!P:P,"&lt;&gt;proprietario")+S523</f>
        <v>0</v>
      </c>
      <c r="P523" s="1013" t="s">
        <v>25481</v>
      </c>
      <c r="Q523" s="1932" t="str">
        <f>+VLOOKUP(F523,TT_Tabelle_Riferimento!$D$127:$E$164,2,FALSE)</f>
        <v>Depurazione</v>
      </c>
      <c r="R523" s="1932" t="str">
        <f t="shared" si="48"/>
        <v/>
      </c>
      <c r="S523" s="2335">
        <f t="shared" si="49"/>
        <v>0</v>
      </c>
    </row>
    <row r="524" spans="1:19">
      <c r="A524" s="1932">
        <f t="shared" si="46"/>
        <v>0</v>
      </c>
      <c r="B524" s="1932">
        <f t="shared" si="47"/>
        <v>0</v>
      </c>
      <c r="C524" s="1013" t="s">
        <v>245</v>
      </c>
      <c r="D524" s="1013">
        <v>0</v>
      </c>
      <c r="E524" s="1013" t="s">
        <v>22698</v>
      </c>
      <c r="F524" s="1013">
        <v>27</v>
      </c>
      <c r="G524" s="1932" t="str">
        <f>+VLOOKUP(F524,TT_Tabelle_Riferimento!$D$127:$G$164,4,FALSE)</f>
        <v>Telecontrollo e teletrasmissione di depurazione</v>
      </c>
      <c r="H524" s="1013">
        <v>2</v>
      </c>
      <c r="I524" s="1932" t="str">
        <f>+VLOOKUP(H524,TT_Tabelle_Riferimento!$F$3:$G$6,2,FALSE)</f>
        <v>Fognatura bianca e pulizia / manutenzione caditoie stradali</v>
      </c>
      <c r="J524" s="1013">
        <v>2027</v>
      </c>
      <c r="K524" s="2335">
        <f>+SUMIFS('PdI-crono_inv'!BB:BB,'PdI-crono_inv'!CF:CF,F524,'PdI-crono_inv'!CE:CE,H524,'PdI-crono_inv'!J:J,P524,'PdI-crono_inv'!P:P,"&lt;&gt;proprietario")</f>
        <v>0</v>
      </c>
      <c r="M524" s="2335">
        <f>+SUMIFS('PdI-crono_inv'!BC:BC,'PdI-crono_inv'!CF:CF,F524,'PdI-crono_inv'!CE:CE,H524,'PdI-crono_inv'!J:J,P524,'PdI-crono_inv'!P:P,"&lt;&gt;proprietario")+S524</f>
        <v>0</v>
      </c>
      <c r="P524" s="1013" t="s">
        <v>25481</v>
      </c>
      <c r="Q524" s="1932" t="str">
        <f>+VLOOKUP(F524,TT_Tabelle_Riferimento!$D$127:$E$164,2,FALSE)</f>
        <v>Depurazione</v>
      </c>
      <c r="R524" s="1932" t="str">
        <f t="shared" si="48"/>
        <v/>
      </c>
      <c r="S524" s="2335">
        <f t="shared" si="49"/>
        <v>0</v>
      </c>
    </row>
    <row r="525" spans="1:19">
      <c r="A525" s="1932">
        <f t="shared" si="46"/>
        <v>0</v>
      </c>
      <c r="B525" s="1932">
        <f t="shared" si="47"/>
        <v>0</v>
      </c>
      <c r="C525" s="1013" t="s">
        <v>245</v>
      </c>
      <c r="D525" s="1013">
        <v>0</v>
      </c>
      <c r="E525" s="1013" t="s">
        <v>22698</v>
      </c>
      <c r="F525" s="1013">
        <v>28</v>
      </c>
      <c r="G525" s="1932" t="str">
        <f>+VLOOKUP(F525,TT_Tabelle_Riferimento!$D$127:$G$164,4,FALSE)</f>
        <v>Altri impianti</v>
      </c>
      <c r="H525" s="1013">
        <v>2</v>
      </c>
      <c r="I525" s="1932" t="str">
        <f>+VLOOKUP(H525,TT_Tabelle_Riferimento!$F$3:$G$6,2,FALSE)</f>
        <v>Fognatura bianca e pulizia / manutenzione caditoie stradali</v>
      </c>
      <c r="J525" s="1013">
        <v>2027</v>
      </c>
      <c r="K525" s="2335">
        <f>+SUMIFS('PdI-crono_inv'!BB:BB,'PdI-crono_inv'!CF:CF,F525,'PdI-crono_inv'!CE:CE,H525,'PdI-crono_inv'!J:J,P525,'PdI-crono_inv'!P:P,"&lt;&gt;proprietario")</f>
        <v>0</v>
      </c>
      <c r="M525" s="2335">
        <f>+SUMIFS('PdI-crono_inv'!BC:BC,'PdI-crono_inv'!CF:CF,F525,'PdI-crono_inv'!CE:CE,H525,'PdI-crono_inv'!J:J,P525,'PdI-crono_inv'!P:P,"&lt;&gt;proprietario")+S525</f>
        <v>0</v>
      </c>
      <c r="P525" s="1013" t="s">
        <v>25481</v>
      </c>
      <c r="Q525" s="1932" t="str">
        <f>+VLOOKUP(F525,TT_Tabelle_Riferimento!$D$127:$E$164,2,FALSE)</f>
        <v>Comune</v>
      </c>
      <c r="R525" s="1932" t="str">
        <f t="shared" si="48"/>
        <v/>
      </c>
      <c r="S525" s="2335">
        <f t="shared" si="49"/>
        <v>0</v>
      </c>
    </row>
    <row r="526" spans="1:19">
      <c r="A526" s="1932">
        <f t="shared" si="46"/>
        <v>0</v>
      </c>
      <c r="B526" s="1932">
        <f t="shared" si="47"/>
        <v>0</v>
      </c>
      <c r="C526" s="1013" t="s">
        <v>245</v>
      </c>
      <c r="D526" s="1013">
        <v>0</v>
      </c>
      <c r="E526" s="1013" t="s">
        <v>22698</v>
      </c>
      <c r="F526" s="1013">
        <v>29</v>
      </c>
      <c r="G526" s="1932" t="str">
        <f>+VLOOKUP(F526,TT_Tabelle_Riferimento!$D$127:$G$164,4,FALSE)</f>
        <v>Laboratori e attrezzature</v>
      </c>
      <c r="H526" s="1013">
        <v>2</v>
      </c>
      <c r="I526" s="1932" t="str">
        <f>+VLOOKUP(H526,TT_Tabelle_Riferimento!$F$3:$G$6,2,FALSE)</f>
        <v>Fognatura bianca e pulizia / manutenzione caditoie stradali</v>
      </c>
      <c r="J526" s="1013">
        <v>2027</v>
      </c>
      <c r="K526" s="2335">
        <f>+SUMIFS('PdI-crono_inv'!BB:BB,'PdI-crono_inv'!CF:CF,F526,'PdI-crono_inv'!CE:CE,H526,'PdI-crono_inv'!J:J,P526,'PdI-crono_inv'!P:P,"&lt;&gt;proprietario")</f>
        <v>0</v>
      </c>
      <c r="M526" s="2335">
        <f>+SUMIFS('PdI-crono_inv'!BC:BC,'PdI-crono_inv'!CF:CF,F526,'PdI-crono_inv'!CE:CE,H526,'PdI-crono_inv'!J:J,P526,'PdI-crono_inv'!P:P,"&lt;&gt;proprietario")+S526</f>
        <v>0</v>
      </c>
      <c r="P526" s="1013" t="s">
        <v>25481</v>
      </c>
      <c r="Q526" s="1932" t="str">
        <f>+VLOOKUP(F526,TT_Tabelle_Riferimento!$D$127:$E$164,2,FALSE)</f>
        <v>Comune</v>
      </c>
      <c r="R526" s="1932" t="str">
        <f t="shared" si="48"/>
        <v/>
      </c>
      <c r="S526" s="2335">
        <f t="shared" si="49"/>
        <v>0</v>
      </c>
    </row>
    <row r="527" spans="1:19">
      <c r="A527" s="1932">
        <f t="shared" si="46"/>
        <v>0</v>
      </c>
      <c r="B527" s="1932">
        <f t="shared" si="47"/>
        <v>0</v>
      </c>
      <c r="C527" s="1013" t="s">
        <v>245</v>
      </c>
      <c r="D527" s="1013">
        <v>0</v>
      </c>
      <c r="E527" s="1013" t="s">
        <v>22698</v>
      </c>
      <c r="F527" s="1013">
        <v>30</v>
      </c>
      <c r="G527" s="1932" t="str">
        <f>+VLOOKUP(F527,TT_Tabelle_Riferimento!$D$127:$G$164,4,FALSE)</f>
        <v>Sistemi informativi</v>
      </c>
      <c r="H527" s="1013">
        <v>2</v>
      </c>
      <c r="I527" s="1932" t="str">
        <f>+VLOOKUP(H527,TT_Tabelle_Riferimento!$F$3:$G$6,2,FALSE)</f>
        <v>Fognatura bianca e pulizia / manutenzione caditoie stradali</v>
      </c>
      <c r="J527" s="1013">
        <v>2027</v>
      </c>
      <c r="K527" s="2335">
        <f>+SUMIFS('PdI-crono_inv'!BB:BB,'PdI-crono_inv'!CF:CF,F527,'PdI-crono_inv'!CE:CE,H527,'PdI-crono_inv'!J:J,P527,'PdI-crono_inv'!P:P,"&lt;&gt;proprietario")</f>
        <v>0</v>
      </c>
      <c r="M527" s="2335">
        <f>+SUMIFS('PdI-crono_inv'!BC:BC,'PdI-crono_inv'!CF:CF,F527,'PdI-crono_inv'!CE:CE,H527,'PdI-crono_inv'!J:J,P527,'PdI-crono_inv'!P:P,"&lt;&gt;proprietario")+S527</f>
        <v>0</v>
      </c>
      <c r="P527" s="1013" t="s">
        <v>25481</v>
      </c>
      <c r="Q527" s="1932" t="str">
        <f>+VLOOKUP(F527,TT_Tabelle_Riferimento!$D$127:$E$164,2,FALSE)</f>
        <v>Comune</v>
      </c>
      <c r="R527" s="1932" t="str">
        <f t="shared" si="48"/>
        <v/>
      </c>
      <c r="S527" s="2335">
        <f t="shared" si="49"/>
        <v>0</v>
      </c>
    </row>
    <row r="528" spans="1:19">
      <c r="A528" s="1932">
        <f t="shared" si="46"/>
        <v>0</v>
      </c>
      <c r="B528" s="1932">
        <f t="shared" si="47"/>
        <v>0</v>
      </c>
      <c r="C528" s="1013" t="s">
        <v>245</v>
      </c>
      <c r="D528" s="1013">
        <v>0</v>
      </c>
      <c r="E528" s="1013" t="s">
        <v>22698</v>
      </c>
      <c r="F528" s="1013">
        <v>31</v>
      </c>
      <c r="G528" s="1932" t="str">
        <f>+VLOOKUP(F528,TT_Tabelle_Riferimento!$D$127:$G$164,4,FALSE)</f>
        <v>Telecontrollo e teletrasmissione</v>
      </c>
      <c r="H528" s="1013">
        <v>2</v>
      </c>
      <c r="I528" s="1932" t="str">
        <f>+VLOOKUP(H528,TT_Tabelle_Riferimento!$F$3:$G$6,2,FALSE)</f>
        <v>Fognatura bianca e pulizia / manutenzione caditoie stradali</v>
      </c>
      <c r="J528" s="1013">
        <v>2027</v>
      </c>
      <c r="K528" s="2335">
        <f>+SUMIFS('PdI-crono_inv'!BB:BB,'PdI-crono_inv'!CF:CF,F528,'PdI-crono_inv'!CE:CE,H528,'PdI-crono_inv'!J:J,P528,'PdI-crono_inv'!P:P,"&lt;&gt;proprietario")</f>
        <v>0</v>
      </c>
      <c r="M528" s="2335">
        <f>+SUMIFS('PdI-crono_inv'!BC:BC,'PdI-crono_inv'!CF:CF,F528,'PdI-crono_inv'!CE:CE,H528,'PdI-crono_inv'!J:J,P528,'PdI-crono_inv'!P:P,"&lt;&gt;proprietario")+S528</f>
        <v>0</v>
      </c>
      <c r="P528" s="1013" t="s">
        <v>25481</v>
      </c>
      <c r="Q528" s="1932" t="str">
        <f>+VLOOKUP(F528,TT_Tabelle_Riferimento!$D$127:$E$164,2,FALSE)</f>
        <v>Comune</v>
      </c>
      <c r="R528" s="1932" t="str">
        <f t="shared" si="48"/>
        <v/>
      </c>
      <c r="S528" s="2335">
        <f t="shared" si="49"/>
        <v>0</v>
      </c>
    </row>
    <row r="529" spans="1:19">
      <c r="A529" s="1932">
        <f t="shared" si="46"/>
        <v>0</v>
      </c>
      <c r="B529" s="1932">
        <f t="shared" si="47"/>
        <v>0</v>
      </c>
      <c r="C529" s="1013" t="s">
        <v>245</v>
      </c>
      <c r="D529" s="1013">
        <v>0</v>
      </c>
      <c r="E529" s="1013" t="s">
        <v>22698</v>
      </c>
      <c r="F529" s="1013">
        <v>32</v>
      </c>
      <c r="G529" s="1932" t="str">
        <f>+VLOOKUP(F529,TT_Tabelle_Riferimento!$D$127:$G$164,4,FALSE)</f>
        <v>Autoveicoli - automezzi</v>
      </c>
      <c r="H529" s="1013">
        <v>2</v>
      </c>
      <c r="I529" s="1932" t="str">
        <f>+VLOOKUP(H529,TT_Tabelle_Riferimento!$F$3:$G$6,2,FALSE)</f>
        <v>Fognatura bianca e pulizia / manutenzione caditoie stradali</v>
      </c>
      <c r="J529" s="1013">
        <v>2027</v>
      </c>
      <c r="K529" s="2335">
        <f>+SUMIFS('PdI-crono_inv'!BB:BB,'PdI-crono_inv'!CF:CF,F529,'PdI-crono_inv'!CE:CE,H529,'PdI-crono_inv'!J:J,P529,'PdI-crono_inv'!P:P,"&lt;&gt;proprietario")</f>
        <v>0</v>
      </c>
      <c r="M529" s="2335">
        <f>+SUMIFS('PdI-crono_inv'!BC:BC,'PdI-crono_inv'!CF:CF,F529,'PdI-crono_inv'!CE:CE,H529,'PdI-crono_inv'!J:J,P529,'PdI-crono_inv'!P:P,"&lt;&gt;proprietario")+S529</f>
        <v>0</v>
      </c>
      <c r="P529" s="1013" t="s">
        <v>25481</v>
      </c>
      <c r="Q529" s="1932" t="str">
        <f>+VLOOKUP(F529,TT_Tabelle_Riferimento!$D$127:$E$164,2,FALSE)</f>
        <v>Comune</v>
      </c>
      <c r="R529" s="1932" t="str">
        <f t="shared" si="48"/>
        <v/>
      </c>
      <c r="S529" s="2335">
        <f t="shared" si="49"/>
        <v>0</v>
      </c>
    </row>
    <row r="530" spans="1:19">
      <c r="A530" s="1932">
        <f t="shared" si="46"/>
        <v>0</v>
      </c>
      <c r="B530" s="1932">
        <f t="shared" si="47"/>
        <v>0</v>
      </c>
      <c r="C530" s="1013" t="s">
        <v>245</v>
      </c>
      <c r="D530" s="1013">
        <v>0</v>
      </c>
      <c r="E530" s="1013" t="s">
        <v>22698</v>
      </c>
      <c r="F530" s="1013">
        <v>1</v>
      </c>
      <c r="G530" s="1932" t="str">
        <f>+VLOOKUP(F530,TT_Tabelle_Riferimento!$D$127:$G$164,4,FALSE)</f>
        <v>Terreni</v>
      </c>
      <c r="H530" s="1013">
        <v>2</v>
      </c>
      <c r="I530" s="1932" t="str">
        <f>+VLOOKUP(H530,TT_Tabelle_Riferimento!$F$3:$G$6,2,FALSE)</f>
        <v>Fognatura bianca e pulizia / manutenzione caditoie stradali</v>
      </c>
      <c r="J530" s="1013">
        <v>2027</v>
      </c>
      <c r="K530" s="2335">
        <f>+SUMIFS('PdI-crono_inv'!BB:BB,'PdI-crono_inv'!CF:CF,F530,'PdI-crono_inv'!CE:CE,H530,'PdI-crono_inv'!J:J,P530,'PdI-crono_inv'!P:P,"&lt;&gt;proprietario")</f>
        <v>0</v>
      </c>
      <c r="M530" s="2335">
        <f>+SUMIFS('PdI-crono_inv'!BC:BC,'PdI-crono_inv'!CF:CF,F530,'PdI-crono_inv'!CE:CE,H530,'PdI-crono_inv'!J:J,P530,'PdI-crono_inv'!P:P,"&lt;&gt;proprietario")+S530</f>
        <v>0</v>
      </c>
      <c r="P530" s="1013" t="s">
        <v>25481</v>
      </c>
      <c r="Q530" s="1932" t="str">
        <f>+VLOOKUP(F530,TT_Tabelle_Riferimento!$D$127:$E$164,2,FALSE)</f>
        <v>Comune</v>
      </c>
      <c r="R530" s="1932" t="str">
        <f t="shared" si="48"/>
        <v/>
      </c>
      <c r="S530" s="2335">
        <f t="shared" si="49"/>
        <v>0</v>
      </c>
    </row>
    <row r="531" spans="1:19">
      <c r="A531" s="1932">
        <f t="shared" si="46"/>
        <v>0</v>
      </c>
      <c r="B531" s="1932">
        <f t="shared" si="47"/>
        <v>0</v>
      </c>
      <c r="C531" s="1013" t="s">
        <v>245</v>
      </c>
      <c r="D531" s="1013">
        <v>0</v>
      </c>
      <c r="E531" s="1013" t="s">
        <v>22698</v>
      </c>
      <c r="F531" s="1013">
        <v>33</v>
      </c>
      <c r="G531" s="1932" t="str">
        <f>+VLOOKUP(F531,TT_Tabelle_Riferimento!$D$127:$G$164,4,FALSE)</f>
        <v>Fabbricati non industriali</v>
      </c>
      <c r="H531" s="1013">
        <v>2</v>
      </c>
      <c r="I531" s="1932" t="str">
        <f>+VLOOKUP(H531,TT_Tabelle_Riferimento!$F$3:$G$6,2,FALSE)</f>
        <v>Fognatura bianca e pulizia / manutenzione caditoie stradali</v>
      </c>
      <c r="J531" s="1013">
        <v>2027</v>
      </c>
      <c r="K531" s="2335">
        <f>+SUMIFS('PdI-crono_inv'!BB:BB,'PdI-crono_inv'!CF:CF,F531,'PdI-crono_inv'!CE:CE,H531,'PdI-crono_inv'!J:J,P531,'PdI-crono_inv'!P:P,"&lt;&gt;proprietario")</f>
        <v>0</v>
      </c>
      <c r="M531" s="2335">
        <f>+SUMIFS('PdI-crono_inv'!BC:BC,'PdI-crono_inv'!CF:CF,F531,'PdI-crono_inv'!CE:CE,H531,'PdI-crono_inv'!J:J,P531,'PdI-crono_inv'!P:P,"&lt;&gt;proprietario")+S531</f>
        <v>0</v>
      </c>
      <c r="P531" s="1013" t="s">
        <v>25481</v>
      </c>
      <c r="Q531" s="1932" t="str">
        <f>+VLOOKUP(F531,TT_Tabelle_Riferimento!$D$127:$E$164,2,FALSE)</f>
        <v>Comune</v>
      </c>
      <c r="R531" s="1932" t="str">
        <f t="shared" si="48"/>
        <v/>
      </c>
      <c r="S531" s="2335">
        <f t="shared" si="49"/>
        <v>0</v>
      </c>
    </row>
    <row r="532" spans="1:19">
      <c r="A532" s="1932">
        <f t="shared" si="46"/>
        <v>0</v>
      </c>
      <c r="B532" s="1932">
        <f t="shared" si="47"/>
        <v>0</v>
      </c>
      <c r="C532" s="1013" t="s">
        <v>245</v>
      </c>
      <c r="D532" s="1013">
        <v>0</v>
      </c>
      <c r="E532" s="1013" t="s">
        <v>22698</v>
      </c>
      <c r="F532" s="1013">
        <v>34</v>
      </c>
      <c r="G532" s="1932" t="str">
        <f>+VLOOKUP(F532,TT_Tabelle_Riferimento!$D$127:$G$164,4,FALSE)</f>
        <v>Fabbricati industriali</v>
      </c>
      <c r="H532" s="1013">
        <v>2</v>
      </c>
      <c r="I532" s="1932" t="str">
        <f>+VLOOKUP(H532,TT_Tabelle_Riferimento!$F$3:$G$6,2,FALSE)</f>
        <v>Fognatura bianca e pulizia / manutenzione caditoie stradali</v>
      </c>
      <c r="J532" s="1013">
        <v>2027</v>
      </c>
      <c r="K532" s="2335">
        <f>+SUMIFS('PdI-crono_inv'!BB:BB,'PdI-crono_inv'!CF:CF,F532,'PdI-crono_inv'!CE:CE,H532,'PdI-crono_inv'!J:J,P532,'PdI-crono_inv'!P:P,"&lt;&gt;proprietario")</f>
        <v>0</v>
      </c>
      <c r="M532" s="2335">
        <f>+SUMIFS('PdI-crono_inv'!BC:BC,'PdI-crono_inv'!CF:CF,F532,'PdI-crono_inv'!CE:CE,H532,'PdI-crono_inv'!J:J,P532,'PdI-crono_inv'!P:P,"&lt;&gt;proprietario")+S532</f>
        <v>0</v>
      </c>
      <c r="P532" s="1013" t="s">
        <v>25481</v>
      </c>
      <c r="Q532" s="1932" t="str">
        <f>+VLOOKUP(F532,TT_Tabelle_Riferimento!$D$127:$E$164,2,FALSE)</f>
        <v>Comune</v>
      </c>
      <c r="R532" s="1932" t="str">
        <f t="shared" si="48"/>
        <v/>
      </c>
      <c r="S532" s="2335">
        <f t="shared" si="49"/>
        <v>0</v>
      </c>
    </row>
    <row r="533" spans="1:19">
      <c r="A533" s="1932">
        <f t="shared" si="46"/>
        <v>0</v>
      </c>
      <c r="B533" s="1932">
        <f t="shared" si="47"/>
        <v>0</v>
      </c>
      <c r="C533" s="1013" t="s">
        <v>245</v>
      </c>
      <c r="D533" s="1013">
        <v>0</v>
      </c>
      <c r="E533" s="1013" t="s">
        <v>22698</v>
      </c>
      <c r="F533" s="1013">
        <v>35</v>
      </c>
      <c r="G533" s="1932" t="str">
        <f>+VLOOKUP(F533,TT_Tabelle_Riferimento!$D$127:$G$164,4,FALSE)</f>
        <v>Costruzioni leggere</v>
      </c>
      <c r="H533" s="1013">
        <v>2</v>
      </c>
      <c r="I533" s="1932" t="str">
        <f>+VLOOKUP(H533,TT_Tabelle_Riferimento!$F$3:$G$6,2,FALSE)</f>
        <v>Fognatura bianca e pulizia / manutenzione caditoie stradali</v>
      </c>
      <c r="J533" s="1013">
        <v>2027</v>
      </c>
      <c r="K533" s="2335">
        <f>+SUMIFS('PdI-crono_inv'!BB:BB,'PdI-crono_inv'!CF:CF,F533,'PdI-crono_inv'!CE:CE,H533,'PdI-crono_inv'!J:J,P533,'PdI-crono_inv'!P:P,"&lt;&gt;proprietario")</f>
        <v>0</v>
      </c>
      <c r="M533" s="2335">
        <f>+SUMIFS('PdI-crono_inv'!BC:BC,'PdI-crono_inv'!CF:CF,F533,'PdI-crono_inv'!CE:CE,H533,'PdI-crono_inv'!J:J,P533,'PdI-crono_inv'!P:P,"&lt;&gt;proprietario")+S533</f>
        <v>0</v>
      </c>
      <c r="P533" s="1013" t="s">
        <v>25481</v>
      </c>
      <c r="Q533" s="1932" t="str">
        <f>+VLOOKUP(F533,TT_Tabelle_Riferimento!$D$127:$E$164,2,FALSE)</f>
        <v>Comune</v>
      </c>
      <c r="R533" s="1932" t="str">
        <f t="shared" si="48"/>
        <v/>
      </c>
      <c r="S533" s="2335">
        <f t="shared" si="49"/>
        <v>0</v>
      </c>
    </row>
    <row r="534" spans="1:19">
      <c r="A534" s="1932">
        <f t="shared" si="46"/>
        <v>0</v>
      </c>
      <c r="B534" s="1932">
        <f t="shared" si="47"/>
        <v>0</v>
      </c>
      <c r="C534" s="1013" t="s">
        <v>245</v>
      </c>
      <c r="D534" s="1013">
        <v>0</v>
      </c>
      <c r="E534" s="1013" t="s">
        <v>22698</v>
      </c>
      <c r="F534" s="1013">
        <v>36</v>
      </c>
      <c r="G534" s="1932" t="str">
        <f>+VLOOKUP(F534,TT_Tabelle_Riferimento!$D$127:$G$164,4,FALSE)</f>
        <v>Studi, ricerche, brevetti, diritti di utilizzazione</v>
      </c>
      <c r="H534" s="1013">
        <v>2</v>
      </c>
      <c r="I534" s="1932" t="str">
        <f>+VLOOKUP(H534,TT_Tabelle_Riferimento!$F$3:$G$6,2,FALSE)</f>
        <v>Fognatura bianca e pulizia / manutenzione caditoie stradali</v>
      </c>
      <c r="J534" s="1013">
        <v>2027</v>
      </c>
      <c r="K534" s="2335">
        <f>+SUMIFS('PdI-crono_inv'!BB:BB,'PdI-crono_inv'!CF:CF,F534,'PdI-crono_inv'!CE:CE,H534,'PdI-crono_inv'!J:J,P534,'PdI-crono_inv'!P:P,"&lt;&gt;proprietario")</f>
        <v>0</v>
      </c>
      <c r="M534" s="2335">
        <f>+SUMIFS('PdI-crono_inv'!BC:BC,'PdI-crono_inv'!CF:CF,F534,'PdI-crono_inv'!CE:CE,H534,'PdI-crono_inv'!J:J,P534,'PdI-crono_inv'!P:P,"&lt;&gt;proprietario")+S534</f>
        <v>0</v>
      </c>
      <c r="P534" s="1013" t="s">
        <v>25481</v>
      </c>
      <c r="Q534" s="1932" t="str">
        <f>+VLOOKUP(F534,TT_Tabelle_Riferimento!$D$127:$E$164,2,FALSE)</f>
        <v>Comune</v>
      </c>
      <c r="R534" s="1932" t="str">
        <f t="shared" si="48"/>
        <v/>
      </c>
      <c r="S534" s="2335">
        <f t="shared" si="49"/>
        <v>0</v>
      </c>
    </row>
    <row r="535" spans="1:19">
      <c r="A535" s="1932">
        <v>0</v>
      </c>
      <c r="B535" s="1932">
        <v>0</v>
      </c>
      <c r="C535" s="1013" t="s">
        <v>245</v>
      </c>
      <c r="D535" s="1013">
        <v>0</v>
      </c>
      <c r="E535" s="1013" t="s">
        <v>22698</v>
      </c>
      <c r="F535" s="1013">
        <v>37</v>
      </c>
      <c r="G535" s="1932" t="str">
        <f>+VLOOKUP(F535,TT_Tabelle_Riferimento!$D$127:$G$164,4,FALSE)</f>
        <v>Altre immobilizzazioni materiali e immateriali</v>
      </c>
      <c r="H535" s="1013">
        <v>2</v>
      </c>
      <c r="I535" s="1932" t="str">
        <f>+VLOOKUP(H535,TT_Tabelle_Riferimento!$F$3:$G$6,2,FALSE)</f>
        <v>Fognatura bianca e pulizia / manutenzione caditoie stradali</v>
      </c>
      <c r="J535" s="1013">
        <v>2027</v>
      </c>
      <c r="K535" s="2335">
        <f>+SUMIFS('PdI-crono_inv'!BB:BB,'PdI-crono_inv'!CF:CF,F535,'PdI-crono_inv'!CE:CE,H535,'PdI-crono_inv'!J:J,P535,'PdI-crono_inv'!P:P,"&lt;&gt;proprietario")</f>
        <v>0</v>
      </c>
      <c r="M535" s="2335">
        <f>+SUMIFS('PdI-crono_inv'!BC:BC,'PdI-crono_inv'!CF:CF,F535,'PdI-crono_inv'!CE:CE,H535,'PdI-crono_inv'!J:J,P535,'PdI-crono_inv'!P:P,"&lt;&gt;proprietario")+S535</f>
        <v>0</v>
      </c>
      <c r="P535" s="1013" t="s">
        <v>25481</v>
      </c>
      <c r="Q535" s="1932" t="str">
        <f>+VLOOKUP(F535,TT_Tabelle_Riferimento!$D$127:$E$164,2,FALSE)</f>
        <v>Comune</v>
      </c>
      <c r="R535" s="1932" t="str">
        <f t="shared" si="48"/>
        <v/>
      </c>
      <c r="S535" s="2335">
        <f t="shared" si="49"/>
        <v>0</v>
      </c>
    </row>
    <row r="536" spans="1:19">
      <c r="A536" s="1932">
        <v>0</v>
      </c>
      <c r="B536" s="1932">
        <v>0</v>
      </c>
      <c r="C536" s="1013" t="s">
        <v>245</v>
      </c>
      <c r="D536" s="1013">
        <v>0</v>
      </c>
      <c r="E536" s="1013" t="s">
        <v>22698</v>
      </c>
      <c r="F536" s="1013">
        <v>38</v>
      </c>
      <c r="G536" s="1932" t="str">
        <f>+VLOOKUP(F536,TT_Tabelle_Riferimento!$D$127:$G$164,4,FALSE)</f>
        <v>Grandi dighe (sbarramenti che superano i quindici metri di altezza o che determinano un invaso superiore a 1 milione di metri cubi)</v>
      </c>
      <c r="H536" s="1013">
        <v>2</v>
      </c>
      <c r="I536" s="1932" t="str">
        <f>+VLOOKUP(H536,TT_Tabelle_Riferimento!$F$3:$G$6,2,FALSE)</f>
        <v>Fognatura bianca e pulizia / manutenzione caditoie stradali</v>
      </c>
      <c r="J536" s="1013">
        <v>2027</v>
      </c>
      <c r="K536" s="2335">
        <f>+SUMIFS('PdI-crono_inv'!BB:BB,'PdI-crono_inv'!CF:CF,F536,'PdI-crono_inv'!CE:CE,H536,'PdI-crono_inv'!J:J,P536,'PdI-crono_inv'!P:P,"&lt;&gt;proprietario")</f>
        <v>0</v>
      </c>
      <c r="M536" s="2335">
        <f>+SUMIFS('PdI-crono_inv'!BC:BC,'PdI-crono_inv'!CF:CF,F536,'PdI-crono_inv'!CE:CE,H536,'PdI-crono_inv'!J:J,P536,'PdI-crono_inv'!P:P,"&lt;&gt;proprietario")+S536</f>
        <v>0</v>
      </c>
      <c r="P536" s="1013" t="s">
        <v>25481</v>
      </c>
      <c r="Q536" s="1932" t="str">
        <f>+VLOOKUP(F536,TT_Tabelle_Riferimento!$D$127:$E$164,2,FALSE)</f>
        <v>Acquedotto</v>
      </c>
      <c r="R536" s="1932" t="str">
        <f t="shared" si="48"/>
        <v/>
      </c>
      <c r="S536" s="2335">
        <f t="shared" si="49"/>
        <v>0</v>
      </c>
    </row>
    <row r="537" spans="1:19">
      <c r="A537" s="1932">
        <v>0</v>
      </c>
      <c r="B537" s="1932">
        <v>0</v>
      </c>
      <c r="C537" s="1013" t="s">
        <v>245</v>
      </c>
      <c r="D537" s="1013">
        <v>0</v>
      </c>
      <c r="E537" s="1013" t="s">
        <v>22698</v>
      </c>
      <c r="F537" s="1013">
        <v>39</v>
      </c>
      <c r="G537" s="1932" t="str">
        <f>+VLOOKUP(F537,TT_Tabelle_Riferimento!$D$127:$G$164,4,FALSE)</f>
        <v>Piccole dighe (sbarramenti che non superano i quindici metri di altezza o che determinano un invaso non superiore a 1 milione di metri cubi)</v>
      </c>
      <c r="H537" s="1013">
        <v>2</v>
      </c>
      <c r="I537" s="1932" t="str">
        <f>+VLOOKUP(H537,TT_Tabelle_Riferimento!$F$3:$G$6,2,FALSE)</f>
        <v>Fognatura bianca e pulizia / manutenzione caditoie stradali</v>
      </c>
      <c r="J537" s="1013">
        <v>2027</v>
      </c>
      <c r="K537" s="2335">
        <f>+SUMIFS('PdI-crono_inv'!BB:BB,'PdI-crono_inv'!CF:CF,F537,'PdI-crono_inv'!CE:CE,H537,'PdI-crono_inv'!J:J,P537,'PdI-crono_inv'!P:P,"&lt;&gt;proprietario")</f>
        <v>0</v>
      </c>
      <c r="M537" s="2335">
        <f>+SUMIFS('PdI-crono_inv'!BC:BC,'PdI-crono_inv'!CF:CF,F537,'PdI-crono_inv'!CE:CE,H537,'PdI-crono_inv'!J:J,P537,'PdI-crono_inv'!P:P,"&lt;&gt;proprietario")+S537</f>
        <v>0</v>
      </c>
      <c r="P537" s="1013" t="s">
        <v>25481</v>
      </c>
      <c r="Q537" s="1932" t="str">
        <f>+VLOOKUP(F537,TT_Tabelle_Riferimento!$D$127:$E$164,2,FALSE)</f>
        <v>Acquedotto</v>
      </c>
      <c r="R537" s="1932" t="str">
        <f t="shared" si="48"/>
        <v/>
      </c>
      <c r="S537" s="2335">
        <f t="shared" si="49"/>
        <v>0</v>
      </c>
    </row>
    <row r="538" spans="1:19">
      <c r="A538" s="1932">
        <f t="shared" ref="A538:A601" si="50">+idato</f>
        <v>0</v>
      </c>
      <c r="B538" s="1932">
        <f t="shared" ref="B538:B601" si="51">+idgestore</f>
        <v>0</v>
      </c>
      <c r="C538" s="1013" t="s">
        <v>245</v>
      </c>
      <c r="D538" s="1013">
        <v>0</v>
      </c>
      <c r="E538" s="1013" t="s">
        <v>22698</v>
      </c>
      <c r="F538" s="1013">
        <v>2</v>
      </c>
      <c r="G538" s="1932" t="str">
        <f>+VLOOKUP(F538,TT_Tabelle_Riferimento!$D$127:$G$164,4,FALSE)</f>
        <v>Condotte di acquedotto</v>
      </c>
      <c r="H538" s="1013">
        <v>3</v>
      </c>
      <c r="I538" s="1932" t="str">
        <f>+VLOOKUP(H538,TT_Tabelle_Riferimento!$F$3:$G$6,2,FALSE)</f>
        <v>Altri servizi idrici</v>
      </c>
      <c r="J538" s="1013">
        <v>2027</v>
      </c>
      <c r="K538" s="2335">
        <f>+SUMIFS('PdI-crono_inv'!BB:BB,'PdI-crono_inv'!CF:CF,F538,'PdI-crono_inv'!CE:CE,H538,'PdI-crono_inv'!J:J,P538,'PdI-crono_inv'!P:P,"&lt;&gt;proprietario")</f>
        <v>0</v>
      </c>
      <c r="M538" s="2335">
        <f>+SUMIFS('PdI-crono_inv'!BC:BC,'PdI-crono_inv'!CF:CF,F538,'PdI-crono_inv'!CE:CE,H538,'PdI-crono_inv'!J:J,P538,'PdI-crono_inv'!P:P,"&lt;&gt;proprietario")+S538</f>
        <v>0</v>
      </c>
      <c r="P538" s="1013" t="s">
        <v>25481</v>
      </c>
      <c r="Q538" s="1932" t="str">
        <f>+VLOOKUP(F538,TT_Tabelle_Riferimento!$D$127:$E$164,2,FALSE)</f>
        <v>Acquedotto</v>
      </c>
      <c r="R538" s="1932" t="str">
        <f t="shared" si="48"/>
        <v/>
      </c>
      <c r="S538" s="2335">
        <f t="shared" si="49"/>
        <v>0</v>
      </c>
    </row>
    <row r="539" spans="1:19">
      <c r="A539" s="1932">
        <f t="shared" si="50"/>
        <v>0</v>
      </c>
      <c r="B539" s="1932">
        <f t="shared" si="51"/>
        <v>0</v>
      </c>
      <c r="C539" s="1013" t="s">
        <v>245</v>
      </c>
      <c r="D539" s="1013">
        <v>0</v>
      </c>
      <c r="E539" s="1013" t="s">
        <v>22698</v>
      </c>
      <c r="F539" s="1013">
        <v>3</v>
      </c>
      <c r="G539" s="1932" t="str">
        <f>+VLOOKUP(F539,TT_Tabelle_Riferimento!$D$127:$G$164,4,FALSE)</f>
        <v>Opere idrauliche fisse di acquedotto</v>
      </c>
      <c r="H539" s="1013">
        <v>3</v>
      </c>
      <c r="I539" s="1932" t="str">
        <f>+VLOOKUP(H539,TT_Tabelle_Riferimento!$F$3:$G$6,2,FALSE)</f>
        <v>Altri servizi idrici</v>
      </c>
      <c r="J539" s="1013">
        <v>2027</v>
      </c>
      <c r="K539" s="2335">
        <f>+SUMIFS('PdI-crono_inv'!BB:BB,'PdI-crono_inv'!CF:CF,F539,'PdI-crono_inv'!CE:CE,H539,'PdI-crono_inv'!J:J,P539,'PdI-crono_inv'!P:P,"&lt;&gt;proprietario")</f>
        <v>0</v>
      </c>
      <c r="M539" s="2335">
        <f>+SUMIFS('PdI-crono_inv'!BC:BC,'PdI-crono_inv'!CF:CF,F539,'PdI-crono_inv'!CE:CE,H539,'PdI-crono_inv'!J:J,P539,'PdI-crono_inv'!P:P,"&lt;&gt;proprietario")+S539</f>
        <v>0</v>
      </c>
      <c r="P539" s="1013" t="s">
        <v>25481</v>
      </c>
      <c r="Q539" s="1932" t="str">
        <f>+VLOOKUP(F539,TT_Tabelle_Riferimento!$D$127:$E$164,2,FALSE)</f>
        <v>Acquedotto</v>
      </c>
      <c r="R539" s="1932" t="str">
        <f t="shared" si="48"/>
        <v/>
      </c>
      <c r="S539" s="2335">
        <f t="shared" si="49"/>
        <v>0</v>
      </c>
    </row>
    <row r="540" spans="1:19">
      <c r="A540" s="1932">
        <f t="shared" si="50"/>
        <v>0</v>
      </c>
      <c r="B540" s="1932">
        <f t="shared" si="51"/>
        <v>0</v>
      </c>
      <c r="C540" s="1013" t="s">
        <v>245</v>
      </c>
      <c r="D540" s="1013">
        <v>0</v>
      </c>
      <c r="E540" s="1013" t="s">
        <v>22698</v>
      </c>
      <c r="F540" s="1013">
        <v>4</v>
      </c>
      <c r="G540" s="1932" t="str">
        <f>+VLOOKUP(F540,TT_Tabelle_Riferimento!$D$127:$G$164,4,FALSE)</f>
        <v>Serbatoi</v>
      </c>
      <c r="H540" s="1013">
        <v>3</v>
      </c>
      <c r="I540" s="1932" t="str">
        <f>+VLOOKUP(H540,TT_Tabelle_Riferimento!$F$3:$G$6,2,FALSE)</f>
        <v>Altri servizi idrici</v>
      </c>
      <c r="J540" s="1013">
        <v>2027</v>
      </c>
      <c r="K540" s="2335">
        <f>+SUMIFS('PdI-crono_inv'!BB:BB,'PdI-crono_inv'!CF:CF,F540,'PdI-crono_inv'!CE:CE,H540,'PdI-crono_inv'!J:J,P540,'PdI-crono_inv'!P:P,"&lt;&gt;proprietario")</f>
        <v>0</v>
      </c>
      <c r="M540" s="2335">
        <f>+SUMIFS('PdI-crono_inv'!BC:BC,'PdI-crono_inv'!CF:CF,F540,'PdI-crono_inv'!CE:CE,H540,'PdI-crono_inv'!J:J,P540,'PdI-crono_inv'!P:P,"&lt;&gt;proprietario")+S540</f>
        <v>0</v>
      </c>
      <c r="P540" s="1013" t="s">
        <v>25481</v>
      </c>
      <c r="Q540" s="1932" t="str">
        <f>+VLOOKUP(F540,TT_Tabelle_Riferimento!$D$127:$E$164,2,FALSE)</f>
        <v>Acquedotto</v>
      </c>
      <c r="R540" s="1932" t="str">
        <f t="shared" si="48"/>
        <v/>
      </c>
      <c r="S540" s="2335">
        <f t="shared" si="49"/>
        <v>0</v>
      </c>
    </row>
    <row r="541" spans="1:19">
      <c r="A541" s="1932">
        <f t="shared" si="50"/>
        <v>0</v>
      </c>
      <c r="B541" s="1932">
        <f t="shared" si="51"/>
        <v>0</v>
      </c>
      <c r="C541" s="1013" t="s">
        <v>245</v>
      </c>
      <c r="D541" s="1013">
        <v>0</v>
      </c>
      <c r="E541" s="1013" t="s">
        <v>22698</v>
      </c>
      <c r="F541" s="1013">
        <v>5</v>
      </c>
      <c r="G541" s="1932" t="str">
        <f>+VLOOKUP(F541,TT_Tabelle_Riferimento!$D$127:$G$164,4,FALSE)</f>
        <v>Impianti di sollevamento e pompaggio di acquedotto</v>
      </c>
      <c r="H541" s="1013">
        <v>3</v>
      </c>
      <c r="I541" s="1932" t="str">
        <f>+VLOOKUP(H541,TT_Tabelle_Riferimento!$F$3:$G$6,2,FALSE)</f>
        <v>Altri servizi idrici</v>
      </c>
      <c r="J541" s="1013">
        <v>2027</v>
      </c>
      <c r="K541" s="2335">
        <f>+SUMIFS('PdI-crono_inv'!BB:BB,'PdI-crono_inv'!CF:CF,F541,'PdI-crono_inv'!CE:CE,H541,'PdI-crono_inv'!J:J,P541,'PdI-crono_inv'!P:P,"&lt;&gt;proprietario")</f>
        <v>0</v>
      </c>
      <c r="M541" s="2335">
        <f>+SUMIFS('PdI-crono_inv'!BC:BC,'PdI-crono_inv'!CF:CF,F541,'PdI-crono_inv'!CE:CE,H541,'PdI-crono_inv'!J:J,P541,'PdI-crono_inv'!P:P,"&lt;&gt;proprietario")+S541</f>
        <v>0</v>
      </c>
      <c r="P541" s="1013" t="s">
        <v>25481</v>
      </c>
      <c r="Q541" s="1932" t="str">
        <f>+VLOOKUP(F541,TT_Tabelle_Riferimento!$D$127:$E$164,2,FALSE)</f>
        <v>Acquedotto</v>
      </c>
      <c r="R541" s="1932" t="str">
        <f t="shared" si="48"/>
        <v/>
      </c>
      <c r="S541" s="2335">
        <f t="shared" si="49"/>
        <v>0</v>
      </c>
    </row>
    <row r="542" spans="1:19">
      <c r="A542" s="1932">
        <f t="shared" si="50"/>
        <v>0</v>
      </c>
      <c r="B542" s="1932">
        <f t="shared" si="51"/>
        <v>0</v>
      </c>
      <c r="C542" s="1013" t="s">
        <v>245</v>
      </c>
      <c r="D542" s="1013">
        <v>0</v>
      </c>
      <c r="E542" s="1013" t="s">
        <v>22698</v>
      </c>
      <c r="F542" s="1013">
        <v>6</v>
      </c>
      <c r="G542" s="1932" t="str">
        <f>+VLOOKUP(F542,TT_Tabelle_Riferimento!$D$127:$G$164,4,FALSE)</f>
        <v>Impianti di potabilizzazione</v>
      </c>
      <c r="H542" s="1013">
        <v>3</v>
      </c>
      <c r="I542" s="1932" t="str">
        <f>+VLOOKUP(H542,TT_Tabelle_Riferimento!$F$3:$G$6,2,FALSE)</f>
        <v>Altri servizi idrici</v>
      </c>
      <c r="J542" s="1013">
        <v>2027</v>
      </c>
      <c r="K542" s="2335">
        <f>+SUMIFS('PdI-crono_inv'!BB:BB,'PdI-crono_inv'!CF:CF,F542,'PdI-crono_inv'!CE:CE,H542,'PdI-crono_inv'!J:J,P542,'PdI-crono_inv'!P:P,"&lt;&gt;proprietario")</f>
        <v>0</v>
      </c>
      <c r="M542" s="2335">
        <f>+SUMIFS('PdI-crono_inv'!BC:BC,'PdI-crono_inv'!CF:CF,F542,'PdI-crono_inv'!CE:CE,H542,'PdI-crono_inv'!J:J,P542,'PdI-crono_inv'!P:P,"&lt;&gt;proprietario")+S542</f>
        <v>0</v>
      </c>
      <c r="P542" s="1013" t="s">
        <v>25481</v>
      </c>
      <c r="Q542" s="1932" t="str">
        <f>+VLOOKUP(F542,TT_Tabelle_Riferimento!$D$127:$E$164,2,FALSE)</f>
        <v>Acquedotto</v>
      </c>
      <c r="R542" s="1932" t="str">
        <f t="shared" si="48"/>
        <v/>
      </c>
      <c r="S542" s="2335">
        <f t="shared" si="49"/>
        <v>0</v>
      </c>
    </row>
    <row r="543" spans="1:19">
      <c r="A543" s="1932">
        <f t="shared" si="50"/>
        <v>0</v>
      </c>
      <c r="B543" s="1932">
        <f t="shared" si="51"/>
        <v>0</v>
      </c>
      <c r="C543" s="1013" t="s">
        <v>245</v>
      </c>
      <c r="D543" s="1013">
        <v>0</v>
      </c>
      <c r="E543" s="1013" t="s">
        <v>22698</v>
      </c>
      <c r="F543" s="1013">
        <v>7</v>
      </c>
      <c r="G543" s="1932" t="str">
        <f>+VLOOKUP(F543,TT_Tabelle_Riferimento!$D$127:$G$164,4,FALSE)</f>
        <v>Altri trattamenti di potabilizzazione (tra cui dispositivi di disinfezione, stacciatura, filtrazione, addolcimento)</v>
      </c>
      <c r="H543" s="1013">
        <v>3</v>
      </c>
      <c r="I543" s="1932" t="str">
        <f>+VLOOKUP(H543,TT_Tabelle_Riferimento!$F$3:$G$6,2,FALSE)</f>
        <v>Altri servizi idrici</v>
      </c>
      <c r="J543" s="1013">
        <v>2027</v>
      </c>
      <c r="K543" s="2335">
        <f>+SUMIFS('PdI-crono_inv'!BB:BB,'PdI-crono_inv'!CF:CF,F543,'PdI-crono_inv'!CE:CE,H543,'PdI-crono_inv'!J:J,P543,'PdI-crono_inv'!P:P,"&lt;&gt;proprietario")</f>
        <v>0</v>
      </c>
      <c r="M543" s="2335">
        <f>+SUMIFS('PdI-crono_inv'!BC:BC,'PdI-crono_inv'!CF:CF,F543,'PdI-crono_inv'!CE:CE,H543,'PdI-crono_inv'!J:J,P543,'PdI-crono_inv'!P:P,"&lt;&gt;proprietario")+S543</f>
        <v>0</v>
      </c>
      <c r="P543" s="1013" t="s">
        <v>25481</v>
      </c>
      <c r="Q543" s="1932" t="str">
        <f>+VLOOKUP(F543,TT_Tabelle_Riferimento!$D$127:$E$164,2,FALSE)</f>
        <v>Acquedotto</v>
      </c>
      <c r="R543" s="1932" t="str">
        <f t="shared" si="48"/>
        <v/>
      </c>
      <c r="S543" s="2335">
        <f t="shared" si="49"/>
        <v>0</v>
      </c>
    </row>
    <row r="544" spans="1:19">
      <c r="A544" s="1932">
        <f t="shared" si="50"/>
        <v>0</v>
      </c>
      <c r="B544" s="1932">
        <f t="shared" si="51"/>
        <v>0</v>
      </c>
      <c r="C544" s="1013" t="s">
        <v>245</v>
      </c>
      <c r="D544" s="1013">
        <v>0</v>
      </c>
      <c r="E544" s="1013" t="s">
        <v>22698</v>
      </c>
      <c r="F544" s="1013">
        <v>8</v>
      </c>
      <c r="G544" s="1932" t="str">
        <f>+VLOOKUP(F544,TT_Tabelle_Riferimento!$D$127:$G$164,4,FALSE)</f>
        <v>Gruppi di misura - altre attrezzature di acquedotto</v>
      </c>
      <c r="H544" s="1013">
        <v>3</v>
      </c>
      <c r="I544" s="1932" t="str">
        <f>+VLOOKUP(H544,TT_Tabelle_Riferimento!$F$3:$G$6,2,FALSE)</f>
        <v>Altri servizi idrici</v>
      </c>
      <c r="J544" s="1013">
        <v>2027</v>
      </c>
      <c r="K544" s="2335">
        <f>+SUMIFS('PdI-crono_inv'!BB:BB,'PdI-crono_inv'!CF:CF,F544,'PdI-crono_inv'!CE:CE,H544,'PdI-crono_inv'!J:J,P544,'PdI-crono_inv'!P:P,"&lt;&gt;proprietario")</f>
        <v>0</v>
      </c>
      <c r="M544" s="2335">
        <f>+SUMIFS('PdI-crono_inv'!BC:BC,'PdI-crono_inv'!CF:CF,F544,'PdI-crono_inv'!CE:CE,H544,'PdI-crono_inv'!J:J,P544,'PdI-crono_inv'!P:P,"&lt;&gt;proprietario")+S544</f>
        <v>0</v>
      </c>
      <c r="P544" s="1013" t="s">
        <v>25481</v>
      </c>
      <c r="Q544" s="1932" t="str">
        <f>+VLOOKUP(F544,TT_Tabelle_Riferimento!$D$127:$E$164,2,FALSE)</f>
        <v>Acquedotto</v>
      </c>
      <c r="R544" s="1932" t="str">
        <f t="shared" si="48"/>
        <v/>
      </c>
      <c r="S544" s="2335">
        <f t="shared" si="49"/>
        <v>0</v>
      </c>
    </row>
    <row r="545" spans="1:19">
      <c r="A545" s="1932">
        <f t="shared" si="50"/>
        <v>0</v>
      </c>
      <c r="B545" s="1932">
        <f t="shared" si="51"/>
        <v>0</v>
      </c>
      <c r="C545" s="1013" t="s">
        <v>245</v>
      </c>
      <c r="D545" s="1013">
        <v>0</v>
      </c>
      <c r="E545" s="1013" t="s">
        <v>22698</v>
      </c>
      <c r="F545" s="1013">
        <v>9</v>
      </c>
      <c r="G545" s="1932" t="str">
        <f>+VLOOKUP(F545,TT_Tabelle_Riferimento!$D$127:$G$164,4,FALSE)</f>
        <v>Sistemi informativi di acquedotto</v>
      </c>
      <c r="H545" s="1013">
        <v>3</v>
      </c>
      <c r="I545" s="1932" t="str">
        <f>+VLOOKUP(H545,TT_Tabelle_Riferimento!$F$3:$G$6,2,FALSE)</f>
        <v>Altri servizi idrici</v>
      </c>
      <c r="J545" s="1013">
        <v>2027</v>
      </c>
      <c r="K545" s="2335">
        <f>+SUMIFS('PdI-crono_inv'!BB:BB,'PdI-crono_inv'!CF:CF,F545,'PdI-crono_inv'!CE:CE,H545,'PdI-crono_inv'!J:J,P545,'PdI-crono_inv'!P:P,"&lt;&gt;proprietario")</f>
        <v>0</v>
      </c>
      <c r="M545" s="2335">
        <f>+SUMIFS('PdI-crono_inv'!BC:BC,'PdI-crono_inv'!CF:CF,F545,'PdI-crono_inv'!CE:CE,H545,'PdI-crono_inv'!J:J,P545,'PdI-crono_inv'!P:P,"&lt;&gt;proprietario")+S545</f>
        <v>0</v>
      </c>
      <c r="P545" s="1013" t="s">
        <v>25481</v>
      </c>
      <c r="Q545" s="1932" t="str">
        <f>+VLOOKUP(F545,TT_Tabelle_Riferimento!$D$127:$E$164,2,FALSE)</f>
        <v>Acquedotto</v>
      </c>
      <c r="R545" s="1932" t="str">
        <f t="shared" si="48"/>
        <v/>
      </c>
      <c r="S545" s="2335">
        <f t="shared" si="49"/>
        <v>0</v>
      </c>
    </row>
    <row r="546" spans="1:19">
      <c r="A546" s="1932">
        <f t="shared" si="50"/>
        <v>0</v>
      </c>
      <c r="B546" s="1932">
        <f t="shared" si="51"/>
        <v>0</v>
      </c>
      <c r="C546" s="1013" t="s">
        <v>245</v>
      </c>
      <c r="D546" s="1013">
        <v>0</v>
      </c>
      <c r="E546" s="1013" t="s">
        <v>22698</v>
      </c>
      <c r="F546" s="1013">
        <v>10</v>
      </c>
      <c r="G546" s="1932" t="str">
        <f>+VLOOKUP(F546,TT_Tabelle_Riferimento!$D$127:$G$164,4,FALSE)</f>
        <v>Telecontrollo e teletrasmissione di acquedotto</v>
      </c>
      <c r="H546" s="1013">
        <v>3</v>
      </c>
      <c r="I546" s="1932" t="str">
        <f>+VLOOKUP(H546,TT_Tabelle_Riferimento!$F$3:$G$6,2,FALSE)</f>
        <v>Altri servizi idrici</v>
      </c>
      <c r="J546" s="1013">
        <v>2027</v>
      </c>
      <c r="K546" s="2335">
        <f>+SUMIFS('PdI-crono_inv'!BB:BB,'PdI-crono_inv'!CF:CF,F546,'PdI-crono_inv'!CE:CE,H546,'PdI-crono_inv'!J:J,P546,'PdI-crono_inv'!P:P,"&lt;&gt;proprietario")</f>
        <v>0</v>
      </c>
      <c r="M546" s="2335">
        <f>+SUMIFS('PdI-crono_inv'!BC:BC,'PdI-crono_inv'!CF:CF,F546,'PdI-crono_inv'!CE:CE,H546,'PdI-crono_inv'!J:J,P546,'PdI-crono_inv'!P:P,"&lt;&gt;proprietario")+S546</f>
        <v>0</v>
      </c>
      <c r="P546" s="1013" t="s">
        <v>25481</v>
      </c>
      <c r="Q546" s="1932" t="str">
        <f>+VLOOKUP(F546,TT_Tabelle_Riferimento!$D$127:$E$164,2,FALSE)</f>
        <v>Acquedotto</v>
      </c>
      <c r="R546" s="1932" t="str">
        <f t="shared" si="48"/>
        <v/>
      </c>
      <c r="S546" s="2335">
        <f t="shared" si="49"/>
        <v>0</v>
      </c>
    </row>
    <row r="547" spans="1:19">
      <c r="A547" s="1932">
        <f t="shared" si="50"/>
        <v>0</v>
      </c>
      <c r="B547" s="1932">
        <f t="shared" si="51"/>
        <v>0</v>
      </c>
      <c r="C547" s="1013" t="s">
        <v>245</v>
      </c>
      <c r="D547" s="1013">
        <v>0</v>
      </c>
      <c r="E547" s="1013" t="s">
        <v>22698</v>
      </c>
      <c r="F547" s="1013">
        <v>11</v>
      </c>
      <c r="G547" s="1932" t="str">
        <f>+VLOOKUP(F547,TT_Tabelle_Riferimento!$D$127:$G$164,4,FALSE)</f>
        <v>Condotte fognarie</v>
      </c>
      <c r="H547" s="1013">
        <v>3</v>
      </c>
      <c r="I547" s="1932" t="str">
        <f>+VLOOKUP(H547,TT_Tabelle_Riferimento!$F$3:$G$6,2,FALSE)</f>
        <v>Altri servizi idrici</v>
      </c>
      <c r="J547" s="1013">
        <v>2027</v>
      </c>
      <c r="K547" s="2335">
        <f>+SUMIFS('PdI-crono_inv'!BB:BB,'PdI-crono_inv'!CF:CF,F547,'PdI-crono_inv'!CE:CE,H547,'PdI-crono_inv'!J:J,P547,'PdI-crono_inv'!P:P,"&lt;&gt;proprietario")</f>
        <v>0</v>
      </c>
      <c r="M547" s="2335">
        <f>+SUMIFS('PdI-crono_inv'!BC:BC,'PdI-crono_inv'!CF:CF,F547,'PdI-crono_inv'!CE:CE,H547,'PdI-crono_inv'!J:J,P547,'PdI-crono_inv'!P:P,"&lt;&gt;proprietario")+S547</f>
        <v>0</v>
      </c>
      <c r="P547" s="1013" t="s">
        <v>25481</v>
      </c>
      <c r="Q547" s="1932" t="str">
        <f>+VLOOKUP(F547,TT_Tabelle_Riferimento!$D$127:$E$164,2,FALSE)</f>
        <v>Fognatura</v>
      </c>
      <c r="R547" s="1932" t="str">
        <f t="shared" si="48"/>
        <v/>
      </c>
      <c r="S547" s="2335">
        <f t="shared" si="49"/>
        <v>0</v>
      </c>
    </row>
    <row r="548" spans="1:19">
      <c r="A548" s="1932">
        <f t="shared" si="50"/>
        <v>0</v>
      </c>
      <c r="B548" s="1932">
        <f t="shared" si="51"/>
        <v>0</v>
      </c>
      <c r="C548" s="1013" t="s">
        <v>245</v>
      </c>
      <c r="D548" s="1013">
        <v>0</v>
      </c>
      <c r="E548" s="1013" t="s">
        <v>22698</v>
      </c>
      <c r="F548" s="1013">
        <v>12</v>
      </c>
      <c r="G548" s="1932" t="str">
        <f>+VLOOKUP(F548,TT_Tabelle_Riferimento!$D$127:$G$164,4,FALSE)</f>
        <v>Sifoni e scaricatori di piena e altre opere idrauliche fisse di fognatura</v>
      </c>
      <c r="H548" s="1013">
        <v>3</v>
      </c>
      <c r="I548" s="1932" t="str">
        <f>+VLOOKUP(H548,TT_Tabelle_Riferimento!$F$3:$G$6,2,FALSE)</f>
        <v>Altri servizi idrici</v>
      </c>
      <c r="J548" s="1013">
        <v>2027</v>
      </c>
      <c r="K548" s="2335">
        <f>+SUMIFS('PdI-crono_inv'!BB:BB,'PdI-crono_inv'!CF:CF,F548,'PdI-crono_inv'!CE:CE,H548,'PdI-crono_inv'!J:J,P548,'PdI-crono_inv'!P:P,"&lt;&gt;proprietario")</f>
        <v>0</v>
      </c>
      <c r="M548" s="2335">
        <f>+SUMIFS('PdI-crono_inv'!BC:BC,'PdI-crono_inv'!CF:CF,F548,'PdI-crono_inv'!CE:CE,H548,'PdI-crono_inv'!J:J,P548,'PdI-crono_inv'!P:P,"&lt;&gt;proprietario")+S548</f>
        <v>0</v>
      </c>
      <c r="P548" s="1013" t="s">
        <v>25481</v>
      </c>
      <c r="Q548" s="1932" t="str">
        <f>+VLOOKUP(F548,TT_Tabelle_Riferimento!$D$127:$E$164,2,FALSE)</f>
        <v>Fognatura</v>
      </c>
      <c r="R548" s="1932" t="str">
        <f t="shared" si="48"/>
        <v/>
      </c>
      <c r="S548" s="2335">
        <f t="shared" si="49"/>
        <v>0</v>
      </c>
    </row>
    <row r="549" spans="1:19">
      <c r="A549" s="1932">
        <f t="shared" si="50"/>
        <v>0</v>
      </c>
      <c r="B549" s="1932">
        <f t="shared" si="51"/>
        <v>0</v>
      </c>
      <c r="C549" s="1013" t="s">
        <v>245</v>
      </c>
      <c r="D549" s="1013">
        <v>0</v>
      </c>
      <c r="E549" s="1013" t="s">
        <v>22698</v>
      </c>
      <c r="F549" s="1013">
        <v>13</v>
      </c>
      <c r="G549" s="1932" t="str">
        <f>+VLOOKUP(F549,TT_Tabelle_Riferimento!$D$127:$G$164,4,FALSE)</f>
        <v>Vasche di laminazione e vasche di prima pioggia</v>
      </c>
      <c r="H549" s="1013">
        <v>3</v>
      </c>
      <c r="I549" s="1932" t="str">
        <f>+VLOOKUP(H549,TT_Tabelle_Riferimento!$F$3:$G$6,2,FALSE)</f>
        <v>Altri servizi idrici</v>
      </c>
      <c r="J549" s="1013">
        <v>2027</v>
      </c>
      <c r="K549" s="2335">
        <f>+SUMIFS('PdI-crono_inv'!BB:BB,'PdI-crono_inv'!CF:CF,F549,'PdI-crono_inv'!CE:CE,H549,'PdI-crono_inv'!J:J,P549,'PdI-crono_inv'!P:P,"&lt;&gt;proprietario")</f>
        <v>0</v>
      </c>
      <c r="M549" s="2335">
        <f>+SUMIFS('PdI-crono_inv'!BC:BC,'PdI-crono_inv'!CF:CF,F549,'PdI-crono_inv'!CE:CE,H549,'PdI-crono_inv'!J:J,P549,'PdI-crono_inv'!P:P,"&lt;&gt;proprietario")+S549</f>
        <v>0</v>
      </c>
      <c r="P549" s="1013" t="s">
        <v>25481</v>
      </c>
      <c r="Q549" s="1932" t="str">
        <f>+VLOOKUP(F549,TT_Tabelle_Riferimento!$D$127:$E$164,2,FALSE)</f>
        <v>Fognatura</v>
      </c>
      <c r="R549" s="1932" t="str">
        <f t="shared" si="48"/>
        <v/>
      </c>
      <c r="S549" s="2335">
        <f t="shared" si="49"/>
        <v>0</v>
      </c>
    </row>
    <row r="550" spans="1:19">
      <c r="A550" s="1932">
        <f t="shared" si="50"/>
        <v>0</v>
      </c>
      <c r="B550" s="1932">
        <f t="shared" si="51"/>
        <v>0</v>
      </c>
      <c r="C550" s="1013" t="s">
        <v>245</v>
      </c>
      <c r="D550" s="1013">
        <v>0</v>
      </c>
      <c r="E550" s="1013" t="s">
        <v>22698</v>
      </c>
      <c r="F550" s="1013">
        <v>14</v>
      </c>
      <c r="G550" s="1932" t="str">
        <f>+VLOOKUP(F550,TT_Tabelle_Riferimento!$D$127:$G$164,4,FALSE)</f>
        <v>Impianti di sollevamento e pompaggio di fognatura</v>
      </c>
      <c r="H550" s="1013">
        <v>3</v>
      </c>
      <c r="I550" s="1932" t="str">
        <f>+VLOOKUP(H550,TT_Tabelle_Riferimento!$F$3:$G$6,2,FALSE)</f>
        <v>Altri servizi idrici</v>
      </c>
      <c r="J550" s="1013">
        <v>2027</v>
      </c>
      <c r="K550" s="2335">
        <f>+SUMIFS('PdI-crono_inv'!BB:BB,'PdI-crono_inv'!CF:CF,F550,'PdI-crono_inv'!CE:CE,H550,'PdI-crono_inv'!J:J,P550,'PdI-crono_inv'!P:P,"&lt;&gt;proprietario")</f>
        <v>0</v>
      </c>
      <c r="M550" s="2335">
        <f>+SUMIFS('PdI-crono_inv'!BC:BC,'PdI-crono_inv'!CF:CF,F550,'PdI-crono_inv'!CE:CE,H550,'PdI-crono_inv'!J:J,P550,'PdI-crono_inv'!P:P,"&lt;&gt;proprietario")+S550</f>
        <v>0</v>
      </c>
      <c r="P550" s="1013" t="s">
        <v>25481</v>
      </c>
      <c r="Q550" s="1932" t="str">
        <f>+VLOOKUP(F550,TT_Tabelle_Riferimento!$D$127:$E$164,2,FALSE)</f>
        <v>Fognatura</v>
      </c>
      <c r="R550" s="1932" t="str">
        <f t="shared" si="48"/>
        <v/>
      </c>
      <c r="S550" s="2335">
        <f t="shared" si="49"/>
        <v>0</v>
      </c>
    </row>
    <row r="551" spans="1:19">
      <c r="A551" s="1932">
        <f t="shared" si="50"/>
        <v>0</v>
      </c>
      <c r="B551" s="1932">
        <f t="shared" si="51"/>
        <v>0</v>
      </c>
      <c r="C551" s="1013" t="s">
        <v>245</v>
      </c>
      <c r="D551" s="1013">
        <v>0</v>
      </c>
      <c r="E551" s="1013" t="s">
        <v>22698</v>
      </c>
      <c r="F551" s="1013">
        <v>15</v>
      </c>
      <c r="G551" s="1932" t="str">
        <f>+VLOOKUP(F551,TT_Tabelle_Riferimento!$D$127:$G$164,4,FALSE)</f>
        <v>Gruppi di misura - altre attrezzature di fognatura</v>
      </c>
      <c r="H551" s="1013">
        <v>3</v>
      </c>
      <c r="I551" s="1932" t="str">
        <f>+VLOOKUP(H551,TT_Tabelle_Riferimento!$F$3:$G$6,2,FALSE)</f>
        <v>Altri servizi idrici</v>
      </c>
      <c r="J551" s="1013">
        <v>2027</v>
      </c>
      <c r="K551" s="2335">
        <f>+SUMIFS('PdI-crono_inv'!BB:BB,'PdI-crono_inv'!CF:CF,F551,'PdI-crono_inv'!CE:CE,H551,'PdI-crono_inv'!J:J,P551,'PdI-crono_inv'!P:P,"&lt;&gt;proprietario")</f>
        <v>0</v>
      </c>
      <c r="M551" s="2335">
        <f>+SUMIFS('PdI-crono_inv'!BC:BC,'PdI-crono_inv'!CF:CF,F551,'PdI-crono_inv'!CE:CE,H551,'PdI-crono_inv'!J:J,P551,'PdI-crono_inv'!P:P,"&lt;&gt;proprietario")+S551</f>
        <v>0</v>
      </c>
      <c r="P551" s="1013" t="s">
        <v>25481</v>
      </c>
      <c r="Q551" s="1932" t="str">
        <f>+VLOOKUP(F551,TT_Tabelle_Riferimento!$D$127:$E$164,2,FALSE)</f>
        <v>Fognatura</v>
      </c>
      <c r="R551" s="1932" t="str">
        <f t="shared" si="48"/>
        <v/>
      </c>
      <c r="S551" s="2335">
        <f t="shared" si="49"/>
        <v>0</v>
      </c>
    </row>
    <row r="552" spans="1:19">
      <c r="A552" s="1932">
        <f t="shared" si="50"/>
        <v>0</v>
      </c>
      <c r="B552" s="1932">
        <f t="shared" si="51"/>
        <v>0</v>
      </c>
      <c r="C552" s="1013" t="s">
        <v>245</v>
      </c>
      <c r="D552" s="1013">
        <v>0</v>
      </c>
      <c r="E552" s="1013" t="s">
        <v>22698</v>
      </c>
      <c r="F552" s="1013">
        <v>16</v>
      </c>
      <c r="G552" s="1932" t="str">
        <f>+VLOOKUP(F552,TT_Tabelle_Riferimento!$D$127:$G$164,4,FALSE)</f>
        <v>Sistemi informativi di fognatura</v>
      </c>
      <c r="H552" s="1013">
        <v>3</v>
      </c>
      <c r="I552" s="1932" t="str">
        <f>+VLOOKUP(H552,TT_Tabelle_Riferimento!$F$3:$G$6,2,FALSE)</f>
        <v>Altri servizi idrici</v>
      </c>
      <c r="J552" s="1013">
        <v>2027</v>
      </c>
      <c r="K552" s="2335">
        <f>+SUMIFS('PdI-crono_inv'!BB:BB,'PdI-crono_inv'!CF:CF,F552,'PdI-crono_inv'!CE:CE,H552,'PdI-crono_inv'!J:J,P552,'PdI-crono_inv'!P:P,"&lt;&gt;proprietario")</f>
        <v>0</v>
      </c>
      <c r="M552" s="2335">
        <f>+SUMIFS('PdI-crono_inv'!BC:BC,'PdI-crono_inv'!CF:CF,F552,'PdI-crono_inv'!CE:CE,H552,'PdI-crono_inv'!J:J,P552,'PdI-crono_inv'!P:P,"&lt;&gt;proprietario")+S552</f>
        <v>0</v>
      </c>
      <c r="P552" s="1013" t="s">
        <v>25481</v>
      </c>
      <c r="Q552" s="1932" t="str">
        <f>+VLOOKUP(F552,TT_Tabelle_Riferimento!$D$127:$E$164,2,FALSE)</f>
        <v>Fognatura</v>
      </c>
      <c r="R552" s="1932" t="str">
        <f t="shared" si="48"/>
        <v/>
      </c>
      <c r="S552" s="2335">
        <f t="shared" si="49"/>
        <v>0</v>
      </c>
    </row>
    <row r="553" spans="1:19">
      <c r="A553" s="1932">
        <f t="shared" si="50"/>
        <v>0</v>
      </c>
      <c r="B553" s="1932">
        <f t="shared" si="51"/>
        <v>0</v>
      </c>
      <c r="C553" s="1013" t="s">
        <v>245</v>
      </c>
      <c r="D553" s="1013">
        <v>0</v>
      </c>
      <c r="E553" s="1013" t="s">
        <v>22698</v>
      </c>
      <c r="F553" s="1013">
        <v>18</v>
      </c>
      <c r="G553" s="1932" t="str">
        <f>+VLOOKUP(F553,TT_Tabelle_Riferimento!$D$127:$G$164,4,FALSE)</f>
        <v>Telecontrollo e teletrasmissione di fognatura</v>
      </c>
      <c r="H553" s="1013">
        <v>3</v>
      </c>
      <c r="I553" s="1932" t="str">
        <f>+VLOOKUP(H553,TT_Tabelle_Riferimento!$F$3:$G$6,2,FALSE)</f>
        <v>Altri servizi idrici</v>
      </c>
      <c r="J553" s="1013">
        <v>2027</v>
      </c>
      <c r="K553" s="2335">
        <f>+SUMIFS('PdI-crono_inv'!BB:BB,'PdI-crono_inv'!CF:CF,F553,'PdI-crono_inv'!CE:CE,H553,'PdI-crono_inv'!J:J,P553,'PdI-crono_inv'!P:P,"&lt;&gt;proprietario")</f>
        <v>0</v>
      </c>
      <c r="M553" s="2335">
        <f>+SUMIFS('PdI-crono_inv'!BC:BC,'PdI-crono_inv'!CF:CF,F553,'PdI-crono_inv'!CE:CE,H553,'PdI-crono_inv'!J:J,P553,'PdI-crono_inv'!P:P,"&lt;&gt;proprietario")+S553</f>
        <v>0</v>
      </c>
      <c r="P553" s="1013" t="s">
        <v>25481</v>
      </c>
      <c r="Q553" s="1932" t="str">
        <f>+VLOOKUP(F553,TT_Tabelle_Riferimento!$D$127:$E$164,2,FALSE)</f>
        <v>Fognatura</v>
      </c>
      <c r="R553" s="1932" t="str">
        <f t="shared" si="48"/>
        <v/>
      </c>
      <c r="S553" s="2335">
        <f t="shared" si="49"/>
        <v>0</v>
      </c>
    </row>
    <row r="554" spans="1:19">
      <c r="A554" s="1932">
        <f t="shared" si="50"/>
        <v>0</v>
      </c>
      <c r="B554" s="1932">
        <f t="shared" si="51"/>
        <v>0</v>
      </c>
      <c r="C554" s="1013" t="s">
        <v>245</v>
      </c>
      <c r="D554" s="1013">
        <v>0</v>
      </c>
      <c r="E554" s="1013" t="s">
        <v>22698</v>
      </c>
      <c r="F554" s="1013">
        <v>19</v>
      </c>
      <c r="G554" s="1932" t="str">
        <f>+VLOOKUP(F554,TT_Tabelle_Riferimento!$D$127:$G$164,4,FALSE)</f>
        <v>Impianti di sollevamento e pompaggio di depurazione</v>
      </c>
      <c r="H554" s="1013">
        <v>3</v>
      </c>
      <c r="I554" s="1932" t="str">
        <f>+VLOOKUP(H554,TT_Tabelle_Riferimento!$F$3:$G$6,2,FALSE)</f>
        <v>Altri servizi idrici</v>
      </c>
      <c r="J554" s="1013">
        <v>2027</v>
      </c>
      <c r="K554" s="2335">
        <f>+SUMIFS('PdI-crono_inv'!BB:BB,'PdI-crono_inv'!CF:CF,F554,'PdI-crono_inv'!CE:CE,H554,'PdI-crono_inv'!J:J,P554,'PdI-crono_inv'!P:P,"&lt;&gt;proprietario")</f>
        <v>0</v>
      </c>
      <c r="M554" s="2335">
        <f>+SUMIFS('PdI-crono_inv'!BC:BC,'PdI-crono_inv'!CF:CF,F554,'PdI-crono_inv'!CE:CE,H554,'PdI-crono_inv'!J:J,P554,'PdI-crono_inv'!P:P,"&lt;&gt;proprietario")+S554</f>
        <v>0</v>
      </c>
      <c r="P554" s="1013" t="s">
        <v>25481</v>
      </c>
      <c r="Q554" s="1932" t="str">
        <f>+VLOOKUP(F554,TT_Tabelle_Riferimento!$D$127:$E$164,2,FALSE)</f>
        <v>Depurazione</v>
      </c>
      <c r="R554" s="1932" t="str">
        <f t="shared" si="48"/>
        <v/>
      </c>
      <c r="S554" s="2335">
        <f t="shared" si="49"/>
        <v>0</v>
      </c>
    </row>
    <row r="555" spans="1:19">
      <c r="A555" s="1932">
        <f t="shared" si="50"/>
        <v>0</v>
      </c>
      <c r="B555" s="1932">
        <f t="shared" si="51"/>
        <v>0</v>
      </c>
      <c r="C555" s="1013" t="s">
        <v>245</v>
      </c>
      <c r="D555" s="1013">
        <v>0</v>
      </c>
      <c r="E555" s="1013" t="s">
        <v>22698</v>
      </c>
      <c r="F555" s="1013">
        <v>20</v>
      </c>
      <c r="G555" s="1932" t="str">
        <f>+VLOOKUP(F555,TT_Tabelle_Riferimento!$D$127:$G$164,4,FALSE)</f>
        <v>Tecniche naturali di depurazione (tra cui fitodepurazione e lagunaggio)</v>
      </c>
      <c r="H555" s="1013">
        <v>3</v>
      </c>
      <c r="I555" s="1932" t="str">
        <f>+VLOOKUP(H555,TT_Tabelle_Riferimento!$F$3:$G$6,2,FALSE)</f>
        <v>Altri servizi idrici</v>
      </c>
      <c r="J555" s="1013">
        <v>2027</v>
      </c>
      <c r="K555" s="2335">
        <f>+SUMIFS('PdI-crono_inv'!BB:BB,'PdI-crono_inv'!CF:CF,F555,'PdI-crono_inv'!CE:CE,H555,'PdI-crono_inv'!J:J,P555,'PdI-crono_inv'!P:P,"&lt;&gt;proprietario")</f>
        <v>0</v>
      </c>
      <c r="M555" s="2335">
        <f>+SUMIFS('PdI-crono_inv'!BC:BC,'PdI-crono_inv'!CF:CF,F555,'PdI-crono_inv'!CE:CE,H555,'PdI-crono_inv'!J:J,P555,'PdI-crono_inv'!P:P,"&lt;&gt;proprietario")+S555</f>
        <v>0</v>
      </c>
      <c r="P555" s="1013" t="s">
        <v>25481</v>
      </c>
      <c r="Q555" s="1932" t="str">
        <f>+VLOOKUP(F555,TT_Tabelle_Riferimento!$D$127:$E$164,2,FALSE)</f>
        <v>Depurazione</v>
      </c>
      <c r="R555" s="1932" t="str">
        <f t="shared" si="48"/>
        <v/>
      </c>
      <c r="S555" s="2335">
        <f t="shared" si="49"/>
        <v>0</v>
      </c>
    </row>
    <row r="556" spans="1:19">
      <c r="A556" s="1932">
        <f t="shared" si="50"/>
        <v>0</v>
      </c>
      <c r="B556" s="1932">
        <f t="shared" si="51"/>
        <v>0</v>
      </c>
      <c r="C556" s="1013" t="s">
        <v>245</v>
      </c>
      <c r="D556" s="1013">
        <v>0</v>
      </c>
      <c r="E556" s="1013" t="s">
        <v>22698</v>
      </c>
      <c r="F556" s="1013">
        <v>21</v>
      </c>
      <c r="G556" s="1932" t="str">
        <f>+VLOOKUP(F556,TT_Tabelle_Riferimento!$D$127:$G$164,4,FALSE)</f>
        <v>Impianti di depurazione – trattamenti sino al preliminare, integrativo, primario - fosse settiche e fosse Imhoff</v>
      </c>
      <c r="H556" s="1013">
        <v>3</v>
      </c>
      <c r="I556" s="1932" t="str">
        <f>+VLOOKUP(H556,TT_Tabelle_Riferimento!$F$3:$G$6,2,FALSE)</f>
        <v>Altri servizi idrici</v>
      </c>
      <c r="J556" s="1013">
        <v>2027</v>
      </c>
      <c r="K556" s="2335">
        <f>+SUMIFS('PdI-crono_inv'!BB:BB,'PdI-crono_inv'!CF:CF,F556,'PdI-crono_inv'!CE:CE,H556,'PdI-crono_inv'!J:J,P556,'PdI-crono_inv'!P:P,"&lt;&gt;proprietario")</f>
        <v>0</v>
      </c>
      <c r="M556" s="2335">
        <f>+SUMIFS('PdI-crono_inv'!BC:BC,'PdI-crono_inv'!CF:CF,F556,'PdI-crono_inv'!CE:CE,H556,'PdI-crono_inv'!J:J,P556,'PdI-crono_inv'!P:P,"&lt;&gt;proprietario")+S556</f>
        <v>0</v>
      </c>
      <c r="P556" s="1013" t="s">
        <v>25481</v>
      </c>
      <c r="Q556" s="1932" t="str">
        <f>+VLOOKUP(F556,TT_Tabelle_Riferimento!$D$127:$E$164,2,FALSE)</f>
        <v>Depurazione</v>
      </c>
      <c r="R556" s="1932" t="str">
        <f t="shared" si="48"/>
        <v/>
      </c>
      <c r="S556" s="2335">
        <f t="shared" si="49"/>
        <v>0</v>
      </c>
    </row>
    <row r="557" spans="1:19">
      <c r="A557" s="1932">
        <f t="shared" si="50"/>
        <v>0</v>
      </c>
      <c r="B557" s="1932">
        <f t="shared" si="51"/>
        <v>0</v>
      </c>
      <c r="C557" s="1013" t="s">
        <v>245</v>
      </c>
      <c r="D557" s="1013">
        <v>0</v>
      </c>
      <c r="E557" s="1013" t="s">
        <v>22698</v>
      </c>
      <c r="F557" s="1013">
        <v>22</v>
      </c>
      <c r="G557" s="1932" t="str">
        <f>+VLOOKUP(F557,TT_Tabelle_Riferimento!$D$127:$G$164,4,FALSE)</f>
        <v>Impianti di depurazione – trattamenti sino al secondario</v>
      </c>
      <c r="H557" s="1013">
        <v>3</v>
      </c>
      <c r="I557" s="1932" t="str">
        <f>+VLOOKUP(H557,TT_Tabelle_Riferimento!$F$3:$G$6,2,FALSE)</f>
        <v>Altri servizi idrici</v>
      </c>
      <c r="J557" s="1013">
        <v>2027</v>
      </c>
      <c r="K557" s="2335">
        <f>+SUMIFS('PdI-crono_inv'!BB:BB,'PdI-crono_inv'!CF:CF,F557,'PdI-crono_inv'!CE:CE,H557,'PdI-crono_inv'!J:J,P557,'PdI-crono_inv'!P:P,"&lt;&gt;proprietario")</f>
        <v>0</v>
      </c>
      <c r="M557" s="2335">
        <f>+SUMIFS('PdI-crono_inv'!BC:BC,'PdI-crono_inv'!CF:CF,F557,'PdI-crono_inv'!CE:CE,H557,'PdI-crono_inv'!J:J,P557,'PdI-crono_inv'!P:P,"&lt;&gt;proprietario")+S557</f>
        <v>0</v>
      </c>
      <c r="P557" s="1013" t="s">
        <v>25481</v>
      </c>
      <c r="Q557" s="1932" t="str">
        <f>+VLOOKUP(F557,TT_Tabelle_Riferimento!$D$127:$E$164,2,FALSE)</f>
        <v>Depurazione</v>
      </c>
      <c r="R557" s="1932" t="str">
        <f t="shared" si="48"/>
        <v/>
      </c>
      <c r="S557" s="2335">
        <f t="shared" si="49"/>
        <v>0</v>
      </c>
    </row>
    <row r="558" spans="1:19">
      <c r="A558" s="1932">
        <f t="shared" si="50"/>
        <v>0</v>
      </c>
      <c r="B558" s="1932">
        <f t="shared" si="51"/>
        <v>0</v>
      </c>
      <c r="C558" s="1013" t="s">
        <v>245</v>
      </c>
      <c r="D558" s="1013">
        <v>0</v>
      </c>
      <c r="E558" s="1013" t="s">
        <v>22698</v>
      </c>
      <c r="F558" s="1013">
        <v>23</v>
      </c>
      <c r="G558" s="1932" t="str">
        <f>+VLOOKUP(F558,TT_Tabelle_Riferimento!$D$127:$G$164,4,FALSE)</f>
        <v>Impianti di depurazione – trattamenti sino al terziario e terziario avanzato</v>
      </c>
      <c r="H558" s="1013">
        <v>3</v>
      </c>
      <c r="I558" s="1932" t="str">
        <f>+VLOOKUP(H558,TT_Tabelle_Riferimento!$F$3:$G$6,2,FALSE)</f>
        <v>Altri servizi idrici</v>
      </c>
      <c r="J558" s="1013">
        <v>2027</v>
      </c>
      <c r="K558" s="2335">
        <f>+SUMIFS('PdI-crono_inv'!BB:BB,'PdI-crono_inv'!CF:CF,F558,'PdI-crono_inv'!CE:CE,H558,'PdI-crono_inv'!J:J,P558,'PdI-crono_inv'!P:P,"&lt;&gt;proprietario")</f>
        <v>0</v>
      </c>
      <c r="M558" s="2335">
        <f>+SUMIFS('PdI-crono_inv'!BC:BC,'PdI-crono_inv'!CF:CF,F558,'PdI-crono_inv'!CE:CE,H558,'PdI-crono_inv'!J:J,P558,'PdI-crono_inv'!P:P,"&lt;&gt;proprietario")+S558</f>
        <v>0</v>
      </c>
      <c r="P558" s="1013" t="s">
        <v>25481</v>
      </c>
      <c r="Q558" s="1932" t="str">
        <f>+VLOOKUP(F558,TT_Tabelle_Riferimento!$D$127:$E$164,2,FALSE)</f>
        <v>Depurazione</v>
      </c>
      <c r="R558" s="1932" t="str">
        <f t="shared" si="48"/>
        <v/>
      </c>
      <c r="S558" s="2335">
        <f t="shared" si="49"/>
        <v>0</v>
      </c>
    </row>
    <row r="559" spans="1:19">
      <c r="A559" s="1932">
        <f t="shared" si="50"/>
        <v>0</v>
      </c>
      <c r="B559" s="1932">
        <f t="shared" si="51"/>
        <v>0</v>
      </c>
      <c r="C559" s="1013" t="s">
        <v>245</v>
      </c>
      <c r="D559" s="1013">
        <v>0</v>
      </c>
      <c r="E559" s="1013" t="s">
        <v>22698</v>
      </c>
      <c r="F559" s="1013">
        <v>24</v>
      </c>
      <c r="G559" s="1932" t="str">
        <f>+VLOOKUP(F559,TT_Tabelle_Riferimento!$D$127:$G$164,4,FALSE)</f>
        <v>Impianti di essiccamento fanghi e di valorizzazione dei fanghi (tra cui mono-incenerimento, pirolisi, gassificazione)</v>
      </c>
      <c r="H559" s="1013">
        <v>3</v>
      </c>
      <c r="I559" s="1932" t="str">
        <f>+VLOOKUP(H559,TT_Tabelle_Riferimento!$F$3:$G$6,2,FALSE)</f>
        <v>Altri servizi idrici</v>
      </c>
      <c r="J559" s="1013">
        <v>2027</v>
      </c>
      <c r="K559" s="2335">
        <f>+SUMIFS('PdI-crono_inv'!BB:BB,'PdI-crono_inv'!CF:CF,F559,'PdI-crono_inv'!CE:CE,H559,'PdI-crono_inv'!J:J,P559,'PdI-crono_inv'!P:P,"&lt;&gt;proprietario")</f>
        <v>0</v>
      </c>
      <c r="M559" s="2335">
        <f>+SUMIFS('PdI-crono_inv'!BC:BC,'PdI-crono_inv'!CF:CF,F559,'PdI-crono_inv'!CE:CE,H559,'PdI-crono_inv'!J:J,P559,'PdI-crono_inv'!P:P,"&lt;&gt;proprietario")+S559</f>
        <v>0</v>
      </c>
      <c r="P559" s="1013" t="s">
        <v>25481</v>
      </c>
      <c r="Q559" s="1932" t="str">
        <f>+VLOOKUP(F559,TT_Tabelle_Riferimento!$D$127:$E$164,2,FALSE)</f>
        <v>Depurazione</v>
      </c>
      <c r="R559" s="1932" t="str">
        <f t="shared" si="48"/>
        <v/>
      </c>
      <c r="S559" s="2335">
        <f t="shared" si="49"/>
        <v>0</v>
      </c>
    </row>
    <row r="560" spans="1:19">
      <c r="A560" s="1932">
        <f t="shared" si="50"/>
        <v>0</v>
      </c>
      <c r="B560" s="1932">
        <f t="shared" si="51"/>
        <v>0</v>
      </c>
      <c r="C560" s="1013" t="s">
        <v>245</v>
      </c>
      <c r="D560" s="1013">
        <v>0</v>
      </c>
      <c r="E560" s="1013" t="s">
        <v>22698</v>
      </c>
      <c r="F560" s="1013">
        <v>25</v>
      </c>
      <c r="G560" s="1932" t="str">
        <f>+VLOOKUP(F560,TT_Tabelle_Riferimento!$D$127:$G$164,4,FALSE)</f>
        <v>Gruppi di misura - altre attrezzature di depurazione</v>
      </c>
      <c r="H560" s="1013">
        <v>3</v>
      </c>
      <c r="I560" s="1932" t="str">
        <f>+VLOOKUP(H560,TT_Tabelle_Riferimento!$F$3:$G$6,2,FALSE)</f>
        <v>Altri servizi idrici</v>
      </c>
      <c r="J560" s="1013">
        <v>2027</v>
      </c>
      <c r="K560" s="2335">
        <f>+SUMIFS('PdI-crono_inv'!BB:BB,'PdI-crono_inv'!CF:CF,F560,'PdI-crono_inv'!CE:CE,H560,'PdI-crono_inv'!J:J,P560,'PdI-crono_inv'!P:P,"&lt;&gt;proprietario")</f>
        <v>0</v>
      </c>
      <c r="M560" s="2335">
        <f>+SUMIFS('PdI-crono_inv'!BC:BC,'PdI-crono_inv'!CF:CF,F560,'PdI-crono_inv'!CE:CE,H560,'PdI-crono_inv'!J:J,P560,'PdI-crono_inv'!P:P,"&lt;&gt;proprietario")+S560</f>
        <v>0</v>
      </c>
      <c r="P560" s="1013" t="s">
        <v>25481</v>
      </c>
      <c r="Q560" s="1932" t="str">
        <f>+VLOOKUP(F560,TT_Tabelle_Riferimento!$D$127:$E$164,2,FALSE)</f>
        <v>Depurazione</v>
      </c>
      <c r="R560" s="1932" t="str">
        <f t="shared" si="48"/>
        <v/>
      </c>
      <c r="S560" s="2335">
        <f t="shared" si="49"/>
        <v>0</v>
      </c>
    </row>
    <row r="561" spans="1:19">
      <c r="A561" s="1932">
        <f t="shared" si="50"/>
        <v>0</v>
      </c>
      <c r="B561" s="1932">
        <f t="shared" si="51"/>
        <v>0</v>
      </c>
      <c r="C561" s="1013" t="s">
        <v>245</v>
      </c>
      <c r="D561" s="1013">
        <v>0</v>
      </c>
      <c r="E561" s="1013" t="s">
        <v>22698</v>
      </c>
      <c r="F561" s="1013">
        <v>26</v>
      </c>
      <c r="G561" s="1932" t="str">
        <f>+VLOOKUP(F561,TT_Tabelle_Riferimento!$D$127:$G$164,4,FALSE)</f>
        <v>Sistemi informativi di depurazione</v>
      </c>
      <c r="H561" s="1013">
        <v>3</v>
      </c>
      <c r="I561" s="1932" t="str">
        <f>+VLOOKUP(H561,TT_Tabelle_Riferimento!$F$3:$G$6,2,FALSE)</f>
        <v>Altri servizi idrici</v>
      </c>
      <c r="J561" s="1013">
        <v>2027</v>
      </c>
      <c r="K561" s="2335">
        <f>+SUMIFS('PdI-crono_inv'!BB:BB,'PdI-crono_inv'!CF:CF,F561,'PdI-crono_inv'!CE:CE,H561,'PdI-crono_inv'!J:J,P561,'PdI-crono_inv'!P:P,"&lt;&gt;proprietario")</f>
        <v>0</v>
      </c>
      <c r="M561" s="2335">
        <f>+SUMIFS('PdI-crono_inv'!BC:BC,'PdI-crono_inv'!CF:CF,F561,'PdI-crono_inv'!CE:CE,H561,'PdI-crono_inv'!J:J,P561,'PdI-crono_inv'!P:P,"&lt;&gt;proprietario")+S561</f>
        <v>0</v>
      </c>
      <c r="P561" s="1013" t="s">
        <v>25481</v>
      </c>
      <c r="Q561" s="1932" t="str">
        <f>+VLOOKUP(F561,TT_Tabelle_Riferimento!$D$127:$E$164,2,FALSE)</f>
        <v>Depurazione</v>
      </c>
      <c r="R561" s="1932" t="str">
        <f t="shared" si="48"/>
        <v/>
      </c>
      <c r="S561" s="2335">
        <f t="shared" si="49"/>
        <v>0</v>
      </c>
    </row>
    <row r="562" spans="1:19">
      <c r="A562" s="1932">
        <f t="shared" si="50"/>
        <v>0</v>
      </c>
      <c r="B562" s="1932">
        <f t="shared" si="51"/>
        <v>0</v>
      </c>
      <c r="C562" s="1013" t="s">
        <v>245</v>
      </c>
      <c r="D562" s="1013">
        <v>0</v>
      </c>
      <c r="E562" s="1013" t="s">
        <v>22698</v>
      </c>
      <c r="F562" s="1013">
        <v>27</v>
      </c>
      <c r="G562" s="1932" t="str">
        <f>+VLOOKUP(F562,TT_Tabelle_Riferimento!$D$127:$G$164,4,FALSE)</f>
        <v>Telecontrollo e teletrasmissione di depurazione</v>
      </c>
      <c r="H562" s="1013">
        <v>3</v>
      </c>
      <c r="I562" s="1932" t="str">
        <f>+VLOOKUP(H562,TT_Tabelle_Riferimento!$F$3:$G$6,2,FALSE)</f>
        <v>Altri servizi idrici</v>
      </c>
      <c r="J562" s="1013">
        <v>2027</v>
      </c>
      <c r="K562" s="2335">
        <f>+SUMIFS('PdI-crono_inv'!BB:BB,'PdI-crono_inv'!CF:CF,F562,'PdI-crono_inv'!CE:CE,H562,'PdI-crono_inv'!J:J,P562,'PdI-crono_inv'!P:P,"&lt;&gt;proprietario")</f>
        <v>0</v>
      </c>
      <c r="M562" s="2335">
        <f>+SUMIFS('PdI-crono_inv'!BC:BC,'PdI-crono_inv'!CF:CF,F562,'PdI-crono_inv'!CE:CE,H562,'PdI-crono_inv'!J:J,P562,'PdI-crono_inv'!P:P,"&lt;&gt;proprietario")+S562</f>
        <v>0</v>
      </c>
      <c r="P562" s="1013" t="s">
        <v>25481</v>
      </c>
      <c r="Q562" s="1932" t="str">
        <f>+VLOOKUP(F562,TT_Tabelle_Riferimento!$D$127:$E$164,2,FALSE)</f>
        <v>Depurazione</v>
      </c>
      <c r="R562" s="1932" t="str">
        <f t="shared" si="48"/>
        <v/>
      </c>
      <c r="S562" s="2335">
        <f t="shared" si="49"/>
        <v>0</v>
      </c>
    </row>
    <row r="563" spans="1:19">
      <c r="A563" s="1932">
        <f t="shared" si="50"/>
        <v>0</v>
      </c>
      <c r="B563" s="1932">
        <f t="shared" si="51"/>
        <v>0</v>
      </c>
      <c r="C563" s="1013" t="s">
        <v>245</v>
      </c>
      <c r="D563" s="1013">
        <v>0</v>
      </c>
      <c r="E563" s="1013" t="s">
        <v>22698</v>
      </c>
      <c r="F563" s="1013">
        <v>28</v>
      </c>
      <c r="G563" s="1932" t="str">
        <f>+VLOOKUP(F563,TT_Tabelle_Riferimento!$D$127:$G$164,4,FALSE)</f>
        <v>Altri impianti</v>
      </c>
      <c r="H563" s="1013">
        <v>3</v>
      </c>
      <c r="I563" s="1932" t="str">
        <f>+VLOOKUP(H563,TT_Tabelle_Riferimento!$F$3:$G$6,2,FALSE)</f>
        <v>Altri servizi idrici</v>
      </c>
      <c r="J563" s="1013">
        <v>2027</v>
      </c>
      <c r="K563" s="2335">
        <f>+SUMIFS('PdI-crono_inv'!BB:BB,'PdI-crono_inv'!CF:CF,F563,'PdI-crono_inv'!CE:CE,H563,'PdI-crono_inv'!J:J,P563,'PdI-crono_inv'!P:P,"&lt;&gt;proprietario")</f>
        <v>0</v>
      </c>
      <c r="M563" s="2335">
        <f>+SUMIFS('PdI-crono_inv'!BC:BC,'PdI-crono_inv'!CF:CF,F563,'PdI-crono_inv'!CE:CE,H563,'PdI-crono_inv'!J:J,P563,'PdI-crono_inv'!P:P,"&lt;&gt;proprietario")+S563</f>
        <v>0</v>
      </c>
      <c r="P563" s="1013" t="s">
        <v>25481</v>
      </c>
      <c r="Q563" s="1932" t="str">
        <f>+VLOOKUP(F563,TT_Tabelle_Riferimento!$D$127:$E$164,2,FALSE)</f>
        <v>Comune</v>
      </c>
      <c r="R563" s="1932" t="str">
        <f t="shared" si="48"/>
        <v/>
      </c>
      <c r="S563" s="2335">
        <f t="shared" si="49"/>
        <v>0</v>
      </c>
    </row>
    <row r="564" spans="1:19">
      <c r="A564" s="1932">
        <f t="shared" si="50"/>
        <v>0</v>
      </c>
      <c r="B564" s="1932">
        <f t="shared" si="51"/>
        <v>0</v>
      </c>
      <c r="C564" s="1013" t="s">
        <v>245</v>
      </c>
      <c r="D564" s="1013">
        <v>0</v>
      </c>
      <c r="E564" s="1013" t="s">
        <v>22698</v>
      </c>
      <c r="F564" s="1013">
        <v>29</v>
      </c>
      <c r="G564" s="1932" t="str">
        <f>+VLOOKUP(F564,TT_Tabelle_Riferimento!$D$127:$G$164,4,FALSE)</f>
        <v>Laboratori e attrezzature</v>
      </c>
      <c r="H564" s="1013">
        <v>3</v>
      </c>
      <c r="I564" s="1932" t="str">
        <f>+VLOOKUP(H564,TT_Tabelle_Riferimento!$F$3:$G$6,2,FALSE)</f>
        <v>Altri servizi idrici</v>
      </c>
      <c r="J564" s="1013">
        <v>2027</v>
      </c>
      <c r="K564" s="2335">
        <f>+SUMIFS('PdI-crono_inv'!BB:BB,'PdI-crono_inv'!CF:CF,F564,'PdI-crono_inv'!CE:CE,H564,'PdI-crono_inv'!J:J,P564,'PdI-crono_inv'!P:P,"&lt;&gt;proprietario")</f>
        <v>0</v>
      </c>
      <c r="M564" s="2335">
        <f>+SUMIFS('PdI-crono_inv'!BC:BC,'PdI-crono_inv'!CF:CF,F564,'PdI-crono_inv'!CE:CE,H564,'PdI-crono_inv'!J:J,P564,'PdI-crono_inv'!P:P,"&lt;&gt;proprietario")+S564</f>
        <v>0</v>
      </c>
      <c r="P564" s="1013" t="s">
        <v>25481</v>
      </c>
      <c r="Q564" s="1932" t="str">
        <f>+VLOOKUP(F564,TT_Tabelle_Riferimento!$D$127:$E$164,2,FALSE)</f>
        <v>Comune</v>
      </c>
      <c r="R564" s="1932" t="str">
        <f t="shared" si="48"/>
        <v/>
      </c>
      <c r="S564" s="2335">
        <f t="shared" si="49"/>
        <v>0</v>
      </c>
    </row>
    <row r="565" spans="1:19">
      <c r="A565" s="1932">
        <f t="shared" si="50"/>
        <v>0</v>
      </c>
      <c r="B565" s="1932">
        <f t="shared" si="51"/>
        <v>0</v>
      </c>
      <c r="C565" s="1013" t="s">
        <v>245</v>
      </c>
      <c r="D565" s="1013">
        <v>0</v>
      </c>
      <c r="E565" s="1013" t="s">
        <v>22698</v>
      </c>
      <c r="F565" s="1013">
        <v>30</v>
      </c>
      <c r="G565" s="1932" t="str">
        <f>+VLOOKUP(F565,TT_Tabelle_Riferimento!$D$127:$G$164,4,FALSE)</f>
        <v>Sistemi informativi</v>
      </c>
      <c r="H565" s="1013">
        <v>3</v>
      </c>
      <c r="I565" s="1932" t="str">
        <f>+VLOOKUP(H565,TT_Tabelle_Riferimento!$F$3:$G$6,2,FALSE)</f>
        <v>Altri servizi idrici</v>
      </c>
      <c r="J565" s="1013">
        <v>2027</v>
      </c>
      <c r="K565" s="2335">
        <f>+SUMIFS('PdI-crono_inv'!BB:BB,'PdI-crono_inv'!CF:CF,F565,'PdI-crono_inv'!CE:CE,H565,'PdI-crono_inv'!J:J,P565,'PdI-crono_inv'!P:P,"&lt;&gt;proprietario")</f>
        <v>0</v>
      </c>
      <c r="M565" s="2335">
        <f>+SUMIFS('PdI-crono_inv'!BC:BC,'PdI-crono_inv'!CF:CF,F565,'PdI-crono_inv'!CE:CE,H565,'PdI-crono_inv'!J:J,P565,'PdI-crono_inv'!P:P,"&lt;&gt;proprietario")+S565</f>
        <v>0</v>
      </c>
      <c r="P565" s="1013" t="s">
        <v>25481</v>
      </c>
      <c r="Q565" s="1932" t="str">
        <f>+VLOOKUP(F565,TT_Tabelle_Riferimento!$D$127:$E$164,2,FALSE)</f>
        <v>Comune</v>
      </c>
      <c r="R565" s="1932" t="str">
        <f t="shared" si="48"/>
        <v/>
      </c>
      <c r="S565" s="2335">
        <f t="shared" si="49"/>
        <v>0</v>
      </c>
    </row>
    <row r="566" spans="1:19">
      <c r="A566" s="1932">
        <f t="shared" si="50"/>
        <v>0</v>
      </c>
      <c r="B566" s="1932">
        <f t="shared" si="51"/>
        <v>0</v>
      </c>
      <c r="C566" s="1013" t="s">
        <v>245</v>
      </c>
      <c r="D566" s="1013">
        <v>0</v>
      </c>
      <c r="E566" s="1013" t="s">
        <v>22698</v>
      </c>
      <c r="F566" s="1013">
        <v>31</v>
      </c>
      <c r="G566" s="1932" t="str">
        <f>+VLOOKUP(F566,TT_Tabelle_Riferimento!$D$127:$G$164,4,FALSE)</f>
        <v>Telecontrollo e teletrasmissione</v>
      </c>
      <c r="H566" s="1013">
        <v>3</v>
      </c>
      <c r="I566" s="1932" t="str">
        <f>+VLOOKUP(H566,TT_Tabelle_Riferimento!$F$3:$G$6,2,FALSE)</f>
        <v>Altri servizi idrici</v>
      </c>
      <c r="J566" s="1013">
        <v>2027</v>
      </c>
      <c r="K566" s="2335">
        <f>+SUMIFS('PdI-crono_inv'!BB:BB,'PdI-crono_inv'!CF:CF,F566,'PdI-crono_inv'!CE:CE,H566,'PdI-crono_inv'!J:J,P566,'PdI-crono_inv'!P:P,"&lt;&gt;proprietario")</f>
        <v>0</v>
      </c>
      <c r="M566" s="2335">
        <f>+SUMIFS('PdI-crono_inv'!BC:BC,'PdI-crono_inv'!CF:CF,F566,'PdI-crono_inv'!CE:CE,H566,'PdI-crono_inv'!J:J,P566,'PdI-crono_inv'!P:P,"&lt;&gt;proprietario")+S566</f>
        <v>0</v>
      </c>
      <c r="P566" s="1013" t="s">
        <v>25481</v>
      </c>
      <c r="Q566" s="1932" t="str">
        <f>+VLOOKUP(F566,TT_Tabelle_Riferimento!$D$127:$E$164,2,FALSE)</f>
        <v>Comune</v>
      </c>
      <c r="R566" s="1932" t="str">
        <f t="shared" si="48"/>
        <v/>
      </c>
      <c r="S566" s="2335">
        <f t="shared" si="49"/>
        <v>0</v>
      </c>
    </row>
    <row r="567" spans="1:19">
      <c r="A567" s="1932">
        <f t="shared" si="50"/>
        <v>0</v>
      </c>
      <c r="B567" s="1932">
        <f t="shared" si="51"/>
        <v>0</v>
      </c>
      <c r="C567" s="1013" t="s">
        <v>245</v>
      </c>
      <c r="D567" s="1013">
        <v>0</v>
      </c>
      <c r="E567" s="1013" t="s">
        <v>22698</v>
      </c>
      <c r="F567" s="1013">
        <v>32</v>
      </c>
      <c r="G567" s="1932" t="str">
        <f>+VLOOKUP(F567,TT_Tabelle_Riferimento!$D$127:$G$164,4,FALSE)</f>
        <v>Autoveicoli - automezzi</v>
      </c>
      <c r="H567" s="1013">
        <v>3</v>
      </c>
      <c r="I567" s="1932" t="str">
        <f>+VLOOKUP(H567,TT_Tabelle_Riferimento!$F$3:$G$6,2,FALSE)</f>
        <v>Altri servizi idrici</v>
      </c>
      <c r="J567" s="1013">
        <v>2027</v>
      </c>
      <c r="K567" s="2335">
        <f>+SUMIFS('PdI-crono_inv'!BB:BB,'PdI-crono_inv'!CF:CF,F567,'PdI-crono_inv'!CE:CE,H567,'PdI-crono_inv'!J:J,P567,'PdI-crono_inv'!P:P,"&lt;&gt;proprietario")</f>
        <v>0</v>
      </c>
      <c r="M567" s="2335">
        <f>+SUMIFS('PdI-crono_inv'!BC:BC,'PdI-crono_inv'!CF:CF,F567,'PdI-crono_inv'!CE:CE,H567,'PdI-crono_inv'!J:J,P567,'PdI-crono_inv'!P:P,"&lt;&gt;proprietario")+S567</f>
        <v>0</v>
      </c>
      <c r="P567" s="1013" t="s">
        <v>25481</v>
      </c>
      <c r="Q567" s="1932" t="str">
        <f>+VLOOKUP(F567,TT_Tabelle_Riferimento!$D$127:$E$164,2,FALSE)</f>
        <v>Comune</v>
      </c>
      <c r="R567" s="1932" t="str">
        <f t="shared" si="48"/>
        <v/>
      </c>
      <c r="S567" s="2335">
        <f t="shared" si="49"/>
        <v>0</v>
      </c>
    </row>
    <row r="568" spans="1:19">
      <c r="A568" s="1932">
        <f t="shared" si="50"/>
        <v>0</v>
      </c>
      <c r="B568" s="1932">
        <f t="shared" si="51"/>
        <v>0</v>
      </c>
      <c r="C568" s="1013" t="s">
        <v>245</v>
      </c>
      <c r="D568" s="1013">
        <v>0</v>
      </c>
      <c r="E568" s="1013" t="s">
        <v>22698</v>
      </c>
      <c r="F568" s="1013">
        <v>1</v>
      </c>
      <c r="G568" s="1932" t="str">
        <f>+VLOOKUP(F568,TT_Tabelle_Riferimento!$D$127:$G$164,4,FALSE)</f>
        <v>Terreni</v>
      </c>
      <c r="H568" s="1013">
        <v>3</v>
      </c>
      <c r="I568" s="1932" t="str">
        <f>+VLOOKUP(H568,TT_Tabelle_Riferimento!$F$3:$G$6,2,FALSE)</f>
        <v>Altri servizi idrici</v>
      </c>
      <c r="J568" s="1013">
        <v>2027</v>
      </c>
      <c r="K568" s="2335">
        <f>+SUMIFS('PdI-crono_inv'!BB:BB,'PdI-crono_inv'!CF:CF,F568,'PdI-crono_inv'!CE:CE,H568,'PdI-crono_inv'!J:J,P568,'PdI-crono_inv'!P:P,"&lt;&gt;proprietario")</f>
        <v>0</v>
      </c>
      <c r="M568" s="2335">
        <f>+SUMIFS('PdI-crono_inv'!BC:BC,'PdI-crono_inv'!CF:CF,F568,'PdI-crono_inv'!CE:CE,H568,'PdI-crono_inv'!J:J,P568,'PdI-crono_inv'!P:P,"&lt;&gt;proprietario")+S568</f>
        <v>0</v>
      </c>
      <c r="P568" s="1013" t="s">
        <v>25481</v>
      </c>
      <c r="Q568" s="1932" t="str">
        <f>+VLOOKUP(F568,TT_Tabelle_Riferimento!$D$127:$E$164,2,FALSE)</f>
        <v>Comune</v>
      </c>
      <c r="R568" s="1932" t="str">
        <f t="shared" si="48"/>
        <v/>
      </c>
      <c r="S568" s="2335">
        <f t="shared" si="49"/>
        <v>0</v>
      </c>
    </row>
    <row r="569" spans="1:19">
      <c r="A569" s="1932">
        <f t="shared" si="50"/>
        <v>0</v>
      </c>
      <c r="B569" s="1932">
        <f t="shared" si="51"/>
        <v>0</v>
      </c>
      <c r="C569" s="1013" t="s">
        <v>245</v>
      </c>
      <c r="D569" s="1013">
        <v>0</v>
      </c>
      <c r="E569" s="1013" t="s">
        <v>22698</v>
      </c>
      <c r="F569" s="1013">
        <v>33</v>
      </c>
      <c r="G569" s="1932" t="str">
        <f>+VLOOKUP(F569,TT_Tabelle_Riferimento!$D$127:$G$164,4,FALSE)</f>
        <v>Fabbricati non industriali</v>
      </c>
      <c r="H569" s="1013">
        <v>3</v>
      </c>
      <c r="I569" s="1932" t="str">
        <f>+VLOOKUP(H569,TT_Tabelle_Riferimento!$F$3:$G$6,2,FALSE)</f>
        <v>Altri servizi idrici</v>
      </c>
      <c r="J569" s="1013">
        <v>2027</v>
      </c>
      <c r="K569" s="2335">
        <f>+SUMIFS('PdI-crono_inv'!BB:BB,'PdI-crono_inv'!CF:CF,F569,'PdI-crono_inv'!CE:CE,H569,'PdI-crono_inv'!J:J,P569,'PdI-crono_inv'!P:P,"&lt;&gt;proprietario")</f>
        <v>0</v>
      </c>
      <c r="M569" s="2335">
        <f>+SUMIFS('PdI-crono_inv'!BC:BC,'PdI-crono_inv'!CF:CF,F569,'PdI-crono_inv'!CE:CE,H569,'PdI-crono_inv'!J:J,P569,'PdI-crono_inv'!P:P,"&lt;&gt;proprietario")+S569</f>
        <v>0</v>
      </c>
      <c r="P569" s="1013" t="s">
        <v>25481</v>
      </c>
      <c r="Q569" s="1932" t="str">
        <f>+VLOOKUP(F569,TT_Tabelle_Riferimento!$D$127:$E$164,2,FALSE)</f>
        <v>Comune</v>
      </c>
      <c r="R569" s="1932" t="str">
        <f t="shared" si="48"/>
        <v/>
      </c>
      <c r="S569" s="2335">
        <f t="shared" si="49"/>
        <v>0</v>
      </c>
    </row>
    <row r="570" spans="1:19">
      <c r="A570" s="1932">
        <f t="shared" si="50"/>
        <v>0</v>
      </c>
      <c r="B570" s="1932">
        <f t="shared" si="51"/>
        <v>0</v>
      </c>
      <c r="C570" s="1013" t="s">
        <v>245</v>
      </c>
      <c r="D570" s="1013">
        <v>0</v>
      </c>
      <c r="E570" s="1013" t="s">
        <v>22698</v>
      </c>
      <c r="F570" s="1013">
        <v>34</v>
      </c>
      <c r="G570" s="1932" t="str">
        <f>+VLOOKUP(F570,TT_Tabelle_Riferimento!$D$127:$G$164,4,FALSE)</f>
        <v>Fabbricati industriali</v>
      </c>
      <c r="H570" s="1013">
        <v>3</v>
      </c>
      <c r="I570" s="1932" t="str">
        <f>+VLOOKUP(H570,TT_Tabelle_Riferimento!$F$3:$G$6,2,FALSE)</f>
        <v>Altri servizi idrici</v>
      </c>
      <c r="J570" s="1013">
        <v>2027</v>
      </c>
      <c r="K570" s="2335">
        <f>+SUMIFS('PdI-crono_inv'!BB:BB,'PdI-crono_inv'!CF:CF,F570,'PdI-crono_inv'!CE:CE,H570,'PdI-crono_inv'!J:J,P570,'PdI-crono_inv'!P:P,"&lt;&gt;proprietario")</f>
        <v>0</v>
      </c>
      <c r="M570" s="2335">
        <f>+SUMIFS('PdI-crono_inv'!BC:BC,'PdI-crono_inv'!CF:CF,F570,'PdI-crono_inv'!CE:CE,H570,'PdI-crono_inv'!J:J,P570,'PdI-crono_inv'!P:P,"&lt;&gt;proprietario")+S570</f>
        <v>0</v>
      </c>
      <c r="P570" s="1013" t="s">
        <v>25481</v>
      </c>
      <c r="Q570" s="1932" t="str">
        <f>+VLOOKUP(F570,TT_Tabelle_Riferimento!$D$127:$E$164,2,FALSE)</f>
        <v>Comune</v>
      </c>
      <c r="R570" s="1932" t="str">
        <f t="shared" si="48"/>
        <v/>
      </c>
      <c r="S570" s="2335">
        <f t="shared" si="49"/>
        <v>0</v>
      </c>
    </row>
    <row r="571" spans="1:19">
      <c r="A571" s="1932">
        <f t="shared" si="50"/>
        <v>0</v>
      </c>
      <c r="B571" s="1932">
        <f t="shared" si="51"/>
        <v>0</v>
      </c>
      <c r="C571" s="1013" t="s">
        <v>245</v>
      </c>
      <c r="D571" s="1013">
        <v>0</v>
      </c>
      <c r="E571" s="1013" t="s">
        <v>22698</v>
      </c>
      <c r="F571" s="1013">
        <v>35</v>
      </c>
      <c r="G571" s="1932" t="str">
        <f>+VLOOKUP(F571,TT_Tabelle_Riferimento!$D$127:$G$164,4,FALSE)</f>
        <v>Costruzioni leggere</v>
      </c>
      <c r="H571" s="1013">
        <v>3</v>
      </c>
      <c r="I571" s="1932" t="str">
        <f>+VLOOKUP(H571,TT_Tabelle_Riferimento!$F$3:$G$6,2,FALSE)</f>
        <v>Altri servizi idrici</v>
      </c>
      <c r="J571" s="1013">
        <v>2027</v>
      </c>
      <c r="K571" s="2335">
        <f>+SUMIFS('PdI-crono_inv'!BB:BB,'PdI-crono_inv'!CF:CF,F571,'PdI-crono_inv'!CE:CE,H571,'PdI-crono_inv'!J:J,P571,'PdI-crono_inv'!P:P,"&lt;&gt;proprietario")</f>
        <v>0</v>
      </c>
      <c r="M571" s="2335">
        <f>+SUMIFS('PdI-crono_inv'!BC:BC,'PdI-crono_inv'!CF:CF,F571,'PdI-crono_inv'!CE:CE,H571,'PdI-crono_inv'!J:J,P571,'PdI-crono_inv'!P:P,"&lt;&gt;proprietario")+S571</f>
        <v>0</v>
      </c>
      <c r="P571" s="1013" t="s">
        <v>25481</v>
      </c>
      <c r="Q571" s="1932" t="str">
        <f>+VLOOKUP(F571,TT_Tabelle_Riferimento!$D$127:$E$164,2,FALSE)</f>
        <v>Comune</v>
      </c>
      <c r="R571" s="1932" t="str">
        <f t="shared" si="48"/>
        <v/>
      </c>
      <c r="S571" s="2335">
        <f t="shared" si="49"/>
        <v>0</v>
      </c>
    </row>
    <row r="572" spans="1:19">
      <c r="A572" s="1932">
        <f t="shared" si="50"/>
        <v>0</v>
      </c>
      <c r="B572" s="1932">
        <f t="shared" si="51"/>
        <v>0</v>
      </c>
      <c r="C572" s="1013" t="s">
        <v>245</v>
      </c>
      <c r="D572" s="1013">
        <v>0</v>
      </c>
      <c r="E572" s="1013" t="s">
        <v>22698</v>
      </c>
      <c r="F572" s="1013">
        <v>36</v>
      </c>
      <c r="G572" s="1932" t="str">
        <f>+VLOOKUP(F572,TT_Tabelle_Riferimento!$D$127:$G$164,4,FALSE)</f>
        <v>Studi, ricerche, brevetti, diritti di utilizzazione</v>
      </c>
      <c r="H572" s="1013">
        <v>3</v>
      </c>
      <c r="I572" s="1932" t="str">
        <f>+VLOOKUP(H572,TT_Tabelle_Riferimento!$F$3:$G$6,2,FALSE)</f>
        <v>Altri servizi idrici</v>
      </c>
      <c r="J572" s="1013">
        <v>2027</v>
      </c>
      <c r="K572" s="2335">
        <f>+SUMIFS('PdI-crono_inv'!BB:BB,'PdI-crono_inv'!CF:CF,F572,'PdI-crono_inv'!CE:CE,H572,'PdI-crono_inv'!J:J,P572,'PdI-crono_inv'!P:P,"&lt;&gt;proprietario")</f>
        <v>0</v>
      </c>
      <c r="M572" s="2335">
        <f>+SUMIFS('PdI-crono_inv'!BC:BC,'PdI-crono_inv'!CF:CF,F572,'PdI-crono_inv'!CE:CE,H572,'PdI-crono_inv'!J:J,P572,'PdI-crono_inv'!P:P,"&lt;&gt;proprietario")+S572</f>
        <v>0</v>
      </c>
      <c r="P572" s="1013" t="s">
        <v>25481</v>
      </c>
      <c r="Q572" s="1932" t="str">
        <f>+VLOOKUP(F572,TT_Tabelle_Riferimento!$D$127:$E$164,2,FALSE)</f>
        <v>Comune</v>
      </c>
      <c r="R572" s="1932" t="str">
        <f t="shared" si="48"/>
        <v/>
      </c>
      <c r="S572" s="2335">
        <f t="shared" si="49"/>
        <v>0</v>
      </c>
    </row>
    <row r="573" spans="1:19">
      <c r="A573" s="1932">
        <f t="shared" si="50"/>
        <v>0</v>
      </c>
      <c r="B573" s="1932">
        <f t="shared" si="51"/>
        <v>0</v>
      </c>
      <c r="C573" s="1013" t="s">
        <v>245</v>
      </c>
      <c r="D573" s="1013">
        <v>0</v>
      </c>
      <c r="E573" s="1013" t="s">
        <v>22698</v>
      </c>
      <c r="F573" s="1013">
        <v>37</v>
      </c>
      <c r="G573" s="1932" t="str">
        <f>+VLOOKUP(F573,TT_Tabelle_Riferimento!$D$127:$G$164,4,FALSE)</f>
        <v>Altre immobilizzazioni materiali e immateriali</v>
      </c>
      <c r="H573" s="1013">
        <v>3</v>
      </c>
      <c r="I573" s="1932" t="str">
        <f>+VLOOKUP(H573,TT_Tabelle_Riferimento!$F$3:$G$6,2,FALSE)</f>
        <v>Altri servizi idrici</v>
      </c>
      <c r="J573" s="1013">
        <v>2027</v>
      </c>
      <c r="K573" s="2335">
        <f>+SUMIFS('PdI-crono_inv'!BB:BB,'PdI-crono_inv'!CF:CF,F573,'PdI-crono_inv'!CE:CE,H573,'PdI-crono_inv'!J:J,P573,'PdI-crono_inv'!P:P,"&lt;&gt;proprietario")</f>
        <v>0</v>
      </c>
      <c r="M573" s="2335">
        <f>+SUMIFS('PdI-crono_inv'!BC:BC,'PdI-crono_inv'!CF:CF,F573,'PdI-crono_inv'!CE:CE,H573,'PdI-crono_inv'!J:J,P573,'PdI-crono_inv'!P:P,"&lt;&gt;proprietario")+S573</f>
        <v>0</v>
      </c>
      <c r="P573" s="1013" t="s">
        <v>25481</v>
      </c>
      <c r="Q573" s="1932" t="str">
        <f>+VLOOKUP(F573,TT_Tabelle_Riferimento!$D$127:$E$164,2,FALSE)</f>
        <v>Comune</v>
      </c>
      <c r="R573" s="1932" t="str">
        <f t="shared" si="48"/>
        <v/>
      </c>
      <c r="S573" s="2335">
        <f t="shared" si="49"/>
        <v>0</v>
      </c>
    </row>
    <row r="574" spans="1:19">
      <c r="A574" s="1932">
        <f t="shared" si="50"/>
        <v>0</v>
      </c>
      <c r="B574" s="1932">
        <f t="shared" si="51"/>
        <v>0</v>
      </c>
      <c r="C574" s="1013" t="s">
        <v>245</v>
      </c>
      <c r="D574" s="1013">
        <v>0</v>
      </c>
      <c r="E574" s="1013" t="s">
        <v>22698</v>
      </c>
      <c r="F574" s="1013">
        <v>38</v>
      </c>
      <c r="G574" s="1932" t="str">
        <f>+VLOOKUP(F574,TT_Tabelle_Riferimento!$D$127:$G$164,4,FALSE)</f>
        <v>Grandi dighe (sbarramenti che superano i quindici metri di altezza o che determinano un invaso superiore a 1 milione di metri cubi)</v>
      </c>
      <c r="H574" s="1013">
        <v>3</v>
      </c>
      <c r="I574" s="1932" t="str">
        <f>+VLOOKUP(H574,TT_Tabelle_Riferimento!$F$3:$G$6,2,FALSE)</f>
        <v>Altri servizi idrici</v>
      </c>
      <c r="J574" s="1013">
        <v>2027</v>
      </c>
      <c r="K574" s="2335">
        <f>+SUMIFS('PdI-crono_inv'!BB:BB,'PdI-crono_inv'!CF:CF,F574,'PdI-crono_inv'!CE:CE,H574,'PdI-crono_inv'!J:J,P574,'PdI-crono_inv'!P:P,"&lt;&gt;proprietario")</f>
        <v>0</v>
      </c>
      <c r="M574" s="2335">
        <f>+SUMIFS('PdI-crono_inv'!BC:BC,'PdI-crono_inv'!CF:CF,F574,'PdI-crono_inv'!CE:CE,H574,'PdI-crono_inv'!J:J,P574,'PdI-crono_inv'!P:P,"&lt;&gt;proprietario")+S574</f>
        <v>0</v>
      </c>
      <c r="P574" s="1013" t="s">
        <v>25481</v>
      </c>
      <c r="Q574" s="1932" t="str">
        <f>+VLOOKUP(F574,TT_Tabelle_Riferimento!$D$127:$E$164,2,FALSE)</f>
        <v>Acquedotto</v>
      </c>
      <c r="R574" s="1932" t="str">
        <f t="shared" si="48"/>
        <v/>
      </c>
      <c r="S574" s="2335">
        <f t="shared" si="49"/>
        <v>0</v>
      </c>
    </row>
    <row r="575" spans="1:19">
      <c r="A575" s="1932">
        <f t="shared" si="50"/>
        <v>0</v>
      </c>
      <c r="B575" s="1932">
        <f t="shared" si="51"/>
        <v>0</v>
      </c>
      <c r="C575" s="1013" t="s">
        <v>245</v>
      </c>
      <c r="D575" s="1013">
        <v>0</v>
      </c>
      <c r="E575" s="1013" t="s">
        <v>22698</v>
      </c>
      <c r="F575" s="1013">
        <v>39</v>
      </c>
      <c r="G575" s="1932" t="str">
        <f>+VLOOKUP(F575,TT_Tabelle_Riferimento!$D$127:$G$164,4,FALSE)</f>
        <v>Piccole dighe (sbarramenti che non superano i quindici metri di altezza o che determinano un invaso non superiore a 1 milione di metri cubi)</v>
      </c>
      <c r="H575" s="1013">
        <v>3</v>
      </c>
      <c r="I575" s="1932" t="str">
        <f>+VLOOKUP(H575,TT_Tabelle_Riferimento!$F$3:$G$6,2,FALSE)</f>
        <v>Altri servizi idrici</v>
      </c>
      <c r="J575" s="1013">
        <v>2027</v>
      </c>
      <c r="K575" s="2335">
        <f>+SUMIFS('PdI-crono_inv'!BB:BB,'PdI-crono_inv'!CF:CF,F575,'PdI-crono_inv'!CE:CE,H575,'PdI-crono_inv'!J:J,P575,'PdI-crono_inv'!P:P,"&lt;&gt;proprietario")</f>
        <v>0</v>
      </c>
      <c r="M575" s="2335">
        <f>+SUMIFS('PdI-crono_inv'!BC:BC,'PdI-crono_inv'!CF:CF,F575,'PdI-crono_inv'!CE:CE,H575,'PdI-crono_inv'!J:J,P575,'PdI-crono_inv'!P:P,"&lt;&gt;proprietario")+S575</f>
        <v>0</v>
      </c>
      <c r="P575" s="1013" t="s">
        <v>25481</v>
      </c>
      <c r="Q575" s="1932" t="str">
        <f>+VLOOKUP(F575,TT_Tabelle_Riferimento!$D$127:$E$164,2,FALSE)</f>
        <v>Acquedotto</v>
      </c>
      <c r="R575" s="1932" t="str">
        <f t="shared" si="48"/>
        <v/>
      </c>
      <c r="S575" s="2335">
        <f t="shared" si="49"/>
        <v>0</v>
      </c>
    </row>
    <row r="576" spans="1:19">
      <c r="A576" s="1932">
        <f t="shared" si="50"/>
        <v>0</v>
      </c>
      <c r="B576" s="1932">
        <f t="shared" si="51"/>
        <v>0</v>
      </c>
      <c r="C576" s="1013" t="s">
        <v>245</v>
      </c>
      <c r="D576" s="1013">
        <v>0</v>
      </c>
      <c r="E576" s="1013" t="s">
        <v>22698</v>
      </c>
      <c r="F576" s="1013">
        <v>2</v>
      </c>
      <c r="G576" s="1932" t="str">
        <f>+VLOOKUP(F576,TT_Tabelle_Riferimento!$D$127:$G$164,4,FALSE)</f>
        <v>Condotte di acquedotto</v>
      </c>
      <c r="H576" s="1013">
        <v>1</v>
      </c>
      <c r="I576" s="1932" t="str">
        <f>+VLOOKUP(H576,TT_Tabelle_Riferimento!$F$3:$G$6,2,FALSE)</f>
        <v>Servizio idrico integrato</v>
      </c>
      <c r="J576" s="1013">
        <v>2027</v>
      </c>
      <c r="K576" s="2335">
        <f>+SUMIFS('PdI-crono_inv'!BB:BB,'PdI-crono_inv'!CF:CF,F576,'PdI-crono_inv'!CE:CE,H576,'PdI-crono_inv'!J:J,P576,'PdI-crono_inv'!P:P,"&lt;&gt;proprietario")</f>
        <v>0</v>
      </c>
      <c r="M576" s="2335">
        <f>+SUMIFS('PdI-crono_inv'!BC:BC,'PdI-crono_inv'!CF:CF,F576,'PdI-crono_inv'!CE:CE,H576,'PdI-crono_inv'!J:J,P576,'PdI-crono_inv'!P:P,"&lt;&gt;proprietario")+S576</f>
        <v>0</v>
      </c>
      <c r="P576" s="1013" t="s">
        <v>27068</v>
      </c>
      <c r="Q576" s="1932" t="str">
        <f>+VLOOKUP(F576,TT_Tabelle_Riferimento!$D$127:$E$164,2,FALSE)</f>
        <v>Acquedotto</v>
      </c>
      <c r="R576" s="1932" t="str">
        <f t="shared" si="48"/>
        <v/>
      </c>
      <c r="S576" s="2335">
        <f t="shared" si="49"/>
        <v>0</v>
      </c>
    </row>
    <row r="577" spans="1:19">
      <c r="A577" s="1932">
        <f t="shared" si="50"/>
        <v>0</v>
      </c>
      <c r="B577" s="1932">
        <f t="shared" si="51"/>
        <v>0</v>
      </c>
      <c r="C577" s="1013" t="s">
        <v>245</v>
      </c>
      <c r="D577" s="1013">
        <v>0</v>
      </c>
      <c r="E577" s="1013" t="s">
        <v>22698</v>
      </c>
      <c r="F577" s="1013">
        <v>3</v>
      </c>
      <c r="G577" s="1932" t="str">
        <f>+VLOOKUP(F577,TT_Tabelle_Riferimento!$D$127:$G$164,4,FALSE)</f>
        <v>Opere idrauliche fisse di acquedotto</v>
      </c>
      <c r="H577" s="1013">
        <v>1</v>
      </c>
      <c r="I577" s="1932" t="str">
        <f>+VLOOKUP(H577,TT_Tabelle_Riferimento!$F$3:$G$6,2,FALSE)</f>
        <v>Servizio idrico integrato</v>
      </c>
      <c r="J577" s="1013">
        <v>2027</v>
      </c>
      <c r="K577" s="2335">
        <f>+SUMIFS('PdI-crono_inv'!BB:BB,'PdI-crono_inv'!CF:CF,F577,'PdI-crono_inv'!CE:CE,H577,'PdI-crono_inv'!J:J,P577,'PdI-crono_inv'!P:P,"&lt;&gt;proprietario")</f>
        <v>0</v>
      </c>
      <c r="M577" s="2335">
        <f>+SUMIFS('PdI-crono_inv'!BC:BC,'PdI-crono_inv'!CF:CF,F577,'PdI-crono_inv'!CE:CE,H577,'PdI-crono_inv'!J:J,P577,'PdI-crono_inv'!P:P,"&lt;&gt;proprietario")+S577</f>
        <v>0</v>
      </c>
      <c r="P577" s="1013" t="s">
        <v>27068</v>
      </c>
      <c r="Q577" s="1932" t="str">
        <f>+VLOOKUP(F577,TT_Tabelle_Riferimento!$D$127:$E$164,2,FALSE)</f>
        <v>Acquedotto</v>
      </c>
      <c r="R577" s="1932" t="str">
        <f t="shared" si="48"/>
        <v/>
      </c>
      <c r="S577" s="2335">
        <f t="shared" si="49"/>
        <v>0</v>
      </c>
    </row>
    <row r="578" spans="1:19">
      <c r="A578" s="1932">
        <f t="shared" si="50"/>
        <v>0</v>
      </c>
      <c r="B578" s="1932">
        <f t="shared" si="51"/>
        <v>0</v>
      </c>
      <c r="C578" s="1013" t="s">
        <v>245</v>
      </c>
      <c r="D578" s="1013">
        <v>0</v>
      </c>
      <c r="E578" s="1013" t="s">
        <v>22698</v>
      </c>
      <c r="F578" s="1013">
        <v>4</v>
      </c>
      <c r="G578" s="1932" t="str">
        <f>+VLOOKUP(F578,TT_Tabelle_Riferimento!$D$127:$G$164,4,FALSE)</f>
        <v>Serbatoi</v>
      </c>
      <c r="H578" s="1013">
        <v>1</v>
      </c>
      <c r="I578" s="1932" t="str">
        <f>+VLOOKUP(H578,TT_Tabelle_Riferimento!$F$3:$G$6,2,FALSE)</f>
        <v>Servizio idrico integrato</v>
      </c>
      <c r="J578" s="1013">
        <v>2027</v>
      </c>
      <c r="K578" s="2335">
        <f>+SUMIFS('PdI-crono_inv'!BB:BB,'PdI-crono_inv'!CF:CF,F578,'PdI-crono_inv'!CE:CE,H578,'PdI-crono_inv'!J:J,P578,'PdI-crono_inv'!P:P,"&lt;&gt;proprietario")</f>
        <v>0</v>
      </c>
      <c r="M578" s="2335">
        <f>+SUMIFS('PdI-crono_inv'!BC:BC,'PdI-crono_inv'!CF:CF,F578,'PdI-crono_inv'!CE:CE,H578,'PdI-crono_inv'!J:J,P578,'PdI-crono_inv'!P:P,"&lt;&gt;proprietario")+S578</f>
        <v>0</v>
      </c>
      <c r="P578" s="1013" t="s">
        <v>27068</v>
      </c>
      <c r="Q578" s="1932" t="str">
        <f>+VLOOKUP(F578,TT_Tabelle_Riferimento!$D$127:$E$164,2,FALSE)</f>
        <v>Acquedotto</v>
      </c>
      <c r="R578" s="1932" t="str">
        <f t="shared" ref="R578:R641" si="52">+IF(SUM(K578:N578)=0,"","PdI_consolidamento")</f>
        <v/>
      </c>
      <c r="S578" s="2335">
        <f t="shared" si="49"/>
        <v>0</v>
      </c>
    </row>
    <row r="579" spans="1:19">
      <c r="A579" s="1932">
        <f t="shared" si="50"/>
        <v>0</v>
      </c>
      <c r="B579" s="1932">
        <f t="shared" si="51"/>
        <v>0</v>
      </c>
      <c r="C579" s="1013" t="s">
        <v>245</v>
      </c>
      <c r="D579" s="1013">
        <v>0</v>
      </c>
      <c r="E579" s="1013" t="s">
        <v>22698</v>
      </c>
      <c r="F579" s="1013">
        <v>5</v>
      </c>
      <c r="G579" s="1932" t="str">
        <f>+VLOOKUP(F579,TT_Tabelle_Riferimento!$D$127:$G$164,4,FALSE)</f>
        <v>Impianti di sollevamento e pompaggio di acquedotto</v>
      </c>
      <c r="H579" s="1013">
        <v>1</v>
      </c>
      <c r="I579" s="1932" t="str">
        <f>+VLOOKUP(H579,TT_Tabelle_Riferimento!$F$3:$G$6,2,FALSE)</f>
        <v>Servizio idrico integrato</v>
      </c>
      <c r="J579" s="1013">
        <v>2027</v>
      </c>
      <c r="K579" s="2335">
        <f>+SUMIFS('PdI-crono_inv'!BB:BB,'PdI-crono_inv'!CF:CF,F579,'PdI-crono_inv'!CE:CE,H579,'PdI-crono_inv'!J:J,P579,'PdI-crono_inv'!P:P,"&lt;&gt;proprietario")</f>
        <v>0</v>
      </c>
      <c r="M579" s="2335">
        <f>+SUMIFS('PdI-crono_inv'!BC:BC,'PdI-crono_inv'!CF:CF,F579,'PdI-crono_inv'!CE:CE,H579,'PdI-crono_inv'!J:J,P579,'PdI-crono_inv'!P:P,"&lt;&gt;proprietario")+S579</f>
        <v>0</v>
      </c>
      <c r="P579" s="1013" t="s">
        <v>27068</v>
      </c>
      <c r="Q579" s="1932" t="str">
        <f>+VLOOKUP(F579,TT_Tabelle_Riferimento!$D$127:$E$164,2,FALSE)</f>
        <v>Acquedotto</v>
      </c>
      <c r="R579" s="1932" t="str">
        <f t="shared" si="52"/>
        <v/>
      </c>
      <c r="S579" s="2335">
        <f t="shared" si="49"/>
        <v>0</v>
      </c>
    </row>
    <row r="580" spans="1:19">
      <c r="A580" s="1932">
        <f t="shared" si="50"/>
        <v>0</v>
      </c>
      <c r="B580" s="1932">
        <f t="shared" si="51"/>
        <v>0</v>
      </c>
      <c r="C580" s="1013" t="s">
        <v>245</v>
      </c>
      <c r="D580" s="1013">
        <v>0</v>
      </c>
      <c r="E580" s="1013" t="s">
        <v>22698</v>
      </c>
      <c r="F580" s="1013">
        <v>6</v>
      </c>
      <c r="G580" s="1932" t="str">
        <f>+VLOOKUP(F580,TT_Tabelle_Riferimento!$D$127:$G$164,4,FALSE)</f>
        <v>Impianti di potabilizzazione</v>
      </c>
      <c r="H580" s="1013">
        <v>1</v>
      </c>
      <c r="I580" s="1932" t="str">
        <f>+VLOOKUP(H580,TT_Tabelle_Riferimento!$F$3:$G$6,2,FALSE)</f>
        <v>Servizio idrico integrato</v>
      </c>
      <c r="J580" s="1013">
        <v>2027</v>
      </c>
      <c r="K580" s="2335">
        <f>+SUMIFS('PdI-crono_inv'!BB:BB,'PdI-crono_inv'!CF:CF,F580,'PdI-crono_inv'!CE:CE,H580,'PdI-crono_inv'!J:J,P580,'PdI-crono_inv'!P:P,"&lt;&gt;proprietario")</f>
        <v>0</v>
      </c>
      <c r="M580" s="2335">
        <f>+SUMIFS('PdI-crono_inv'!BC:BC,'PdI-crono_inv'!CF:CF,F580,'PdI-crono_inv'!CE:CE,H580,'PdI-crono_inv'!J:J,P580,'PdI-crono_inv'!P:P,"&lt;&gt;proprietario")+S580</f>
        <v>0</v>
      </c>
      <c r="P580" s="1013" t="s">
        <v>27068</v>
      </c>
      <c r="Q580" s="1932" t="str">
        <f>+VLOOKUP(F580,TT_Tabelle_Riferimento!$D$127:$E$164,2,FALSE)</f>
        <v>Acquedotto</v>
      </c>
      <c r="R580" s="1932" t="str">
        <f t="shared" si="52"/>
        <v/>
      </c>
      <c r="S580" s="2335">
        <f t="shared" si="49"/>
        <v>0</v>
      </c>
    </row>
    <row r="581" spans="1:19">
      <c r="A581" s="1932">
        <f t="shared" si="50"/>
        <v>0</v>
      </c>
      <c r="B581" s="1932">
        <f t="shared" si="51"/>
        <v>0</v>
      </c>
      <c r="C581" s="1013" t="s">
        <v>245</v>
      </c>
      <c r="D581" s="1013">
        <v>0</v>
      </c>
      <c r="E581" s="1013" t="s">
        <v>22698</v>
      </c>
      <c r="F581" s="1013">
        <v>7</v>
      </c>
      <c r="G581" s="1932" t="str">
        <f>+VLOOKUP(F581,TT_Tabelle_Riferimento!$D$127:$G$164,4,FALSE)</f>
        <v>Altri trattamenti di potabilizzazione (tra cui dispositivi di disinfezione, stacciatura, filtrazione, addolcimento)</v>
      </c>
      <c r="H581" s="1013">
        <v>1</v>
      </c>
      <c r="I581" s="1932" t="str">
        <f>+VLOOKUP(H581,TT_Tabelle_Riferimento!$F$3:$G$6,2,FALSE)</f>
        <v>Servizio idrico integrato</v>
      </c>
      <c r="J581" s="1013">
        <v>2027</v>
      </c>
      <c r="K581" s="2335">
        <f>+SUMIFS('PdI-crono_inv'!BB:BB,'PdI-crono_inv'!CF:CF,F581,'PdI-crono_inv'!CE:CE,H581,'PdI-crono_inv'!J:J,P581,'PdI-crono_inv'!P:P,"&lt;&gt;proprietario")</f>
        <v>0</v>
      </c>
      <c r="M581" s="2335">
        <f>+SUMIFS('PdI-crono_inv'!BC:BC,'PdI-crono_inv'!CF:CF,F581,'PdI-crono_inv'!CE:CE,H581,'PdI-crono_inv'!J:J,P581,'PdI-crono_inv'!P:P,"&lt;&gt;proprietario")+S581</f>
        <v>0</v>
      </c>
      <c r="P581" s="1013" t="s">
        <v>27068</v>
      </c>
      <c r="Q581" s="1932" t="str">
        <f>+VLOOKUP(F581,TT_Tabelle_Riferimento!$D$127:$E$164,2,FALSE)</f>
        <v>Acquedotto</v>
      </c>
      <c r="R581" s="1932" t="str">
        <f t="shared" si="52"/>
        <v/>
      </c>
      <c r="S581" s="2335">
        <f t="shared" si="49"/>
        <v>0</v>
      </c>
    </row>
    <row r="582" spans="1:19">
      <c r="A582" s="1932">
        <f t="shared" si="50"/>
        <v>0</v>
      </c>
      <c r="B582" s="1932">
        <f t="shared" si="51"/>
        <v>0</v>
      </c>
      <c r="C582" s="1013" t="s">
        <v>245</v>
      </c>
      <c r="D582" s="1013">
        <v>0</v>
      </c>
      <c r="E582" s="1013" t="s">
        <v>22698</v>
      </c>
      <c r="F582" s="1013">
        <v>8</v>
      </c>
      <c r="G582" s="1932" t="str">
        <f>+VLOOKUP(F582,TT_Tabelle_Riferimento!$D$127:$G$164,4,FALSE)</f>
        <v>Gruppi di misura - altre attrezzature di acquedotto</v>
      </c>
      <c r="H582" s="1013">
        <v>1</v>
      </c>
      <c r="I582" s="1932" t="str">
        <f>+VLOOKUP(H582,TT_Tabelle_Riferimento!$F$3:$G$6,2,FALSE)</f>
        <v>Servizio idrico integrato</v>
      </c>
      <c r="J582" s="1013">
        <v>2027</v>
      </c>
      <c r="K582" s="2335">
        <f>+SUMIFS('PdI-crono_inv'!BB:BB,'PdI-crono_inv'!CF:CF,F582,'PdI-crono_inv'!CE:CE,H582,'PdI-crono_inv'!J:J,P582,'PdI-crono_inv'!P:P,"&lt;&gt;proprietario")</f>
        <v>0</v>
      </c>
      <c r="M582" s="2335">
        <f>+SUMIFS('PdI-crono_inv'!BC:BC,'PdI-crono_inv'!CF:CF,F582,'PdI-crono_inv'!CE:CE,H582,'PdI-crono_inv'!J:J,P582,'PdI-crono_inv'!P:P,"&lt;&gt;proprietario")+S582</f>
        <v>0</v>
      </c>
      <c r="P582" s="1013" t="s">
        <v>27068</v>
      </c>
      <c r="Q582" s="1932" t="str">
        <f>+VLOOKUP(F582,TT_Tabelle_Riferimento!$D$127:$E$164,2,FALSE)</f>
        <v>Acquedotto</v>
      </c>
      <c r="R582" s="1932" t="str">
        <f t="shared" si="52"/>
        <v/>
      </c>
      <c r="S582" s="2335">
        <f t="shared" si="49"/>
        <v>0</v>
      </c>
    </row>
    <row r="583" spans="1:19">
      <c r="A583" s="1932">
        <f t="shared" si="50"/>
        <v>0</v>
      </c>
      <c r="B583" s="1932">
        <f t="shared" si="51"/>
        <v>0</v>
      </c>
      <c r="C583" s="1013" t="s">
        <v>245</v>
      </c>
      <c r="D583" s="1013">
        <v>0</v>
      </c>
      <c r="E583" s="1013" t="s">
        <v>22698</v>
      </c>
      <c r="F583" s="1013">
        <v>9</v>
      </c>
      <c r="G583" s="1932" t="str">
        <f>+VLOOKUP(F583,TT_Tabelle_Riferimento!$D$127:$G$164,4,FALSE)</f>
        <v>Sistemi informativi di acquedotto</v>
      </c>
      <c r="H583" s="1013">
        <v>1</v>
      </c>
      <c r="I583" s="1932" t="str">
        <f>+VLOOKUP(H583,TT_Tabelle_Riferimento!$F$3:$G$6,2,FALSE)</f>
        <v>Servizio idrico integrato</v>
      </c>
      <c r="J583" s="1013">
        <v>2027</v>
      </c>
      <c r="K583" s="2335">
        <f>+SUMIFS('PdI-crono_inv'!BB:BB,'PdI-crono_inv'!CF:CF,F583,'PdI-crono_inv'!CE:CE,H583,'PdI-crono_inv'!J:J,P583,'PdI-crono_inv'!P:P,"&lt;&gt;proprietario")</f>
        <v>0</v>
      </c>
      <c r="M583" s="2335">
        <f>+SUMIFS('PdI-crono_inv'!BC:BC,'PdI-crono_inv'!CF:CF,F583,'PdI-crono_inv'!CE:CE,H583,'PdI-crono_inv'!J:J,P583,'PdI-crono_inv'!P:P,"&lt;&gt;proprietario")+S583</f>
        <v>0</v>
      </c>
      <c r="P583" s="1013" t="s">
        <v>27068</v>
      </c>
      <c r="Q583" s="1932" t="str">
        <f>+VLOOKUP(F583,TT_Tabelle_Riferimento!$D$127:$E$164,2,FALSE)</f>
        <v>Acquedotto</v>
      </c>
      <c r="R583" s="1932" t="str">
        <f t="shared" si="52"/>
        <v/>
      </c>
      <c r="S583" s="2335">
        <f t="shared" ref="S583:S646" si="53">+IFERROR(HLOOKUP(J583,$X$2:$Y$5,4,FALSE)*K583,0)</f>
        <v>0</v>
      </c>
    </row>
    <row r="584" spans="1:19">
      <c r="A584" s="1932">
        <f t="shared" si="50"/>
        <v>0</v>
      </c>
      <c r="B584" s="1932">
        <f t="shared" si="51"/>
        <v>0</v>
      </c>
      <c r="C584" s="1013" t="s">
        <v>245</v>
      </c>
      <c r="D584" s="1013">
        <v>0</v>
      </c>
      <c r="E584" s="1013" t="s">
        <v>22698</v>
      </c>
      <c r="F584" s="1013">
        <v>10</v>
      </c>
      <c r="G584" s="1932" t="str">
        <f>+VLOOKUP(F584,TT_Tabelle_Riferimento!$D$127:$G$164,4,FALSE)</f>
        <v>Telecontrollo e teletrasmissione di acquedotto</v>
      </c>
      <c r="H584" s="1013">
        <v>1</v>
      </c>
      <c r="I584" s="1932" t="str">
        <f>+VLOOKUP(H584,TT_Tabelle_Riferimento!$F$3:$G$6,2,FALSE)</f>
        <v>Servizio idrico integrato</v>
      </c>
      <c r="J584" s="1013">
        <v>2027</v>
      </c>
      <c r="K584" s="2335">
        <f>+SUMIFS('PdI-crono_inv'!BB:BB,'PdI-crono_inv'!CF:CF,F584,'PdI-crono_inv'!CE:CE,H584,'PdI-crono_inv'!J:J,P584,'PdI-crono_inv'!P:P,"&lt;&gt;proprietario")</f>
        <v>0</v>
      </c>
      <c r="M584" s="2335">
        <f>+SUMIFS('PdI-crono_inv'!BC:BC,'PdI-crono_inv'!CF:CF,F584,'PdI-crono_inv'!CE:CE,H584,'PdI-crono_inv'!J:J,P584,'PdI-crono_inv'!P:P,"&lt;&gt;proprietario")+S584</f>
        <v>0</v>
      </c>
      <c r="P584" s="1013" t="s">
        <v>27068</v>
      </c>
      <c r="Q584" s="1932" t="str">
        <f>+VLOOKUP(F584,TT_Tabelle_Riferimento!$D$127:$E$164,2,FALSE)</f>
        <v>Acquedotto</v>
      </c>
      <c r="R584" s="1932" t="str">
        <f t="shared" si="52"/>
        <v/>
      </c>
      <c r="S584" s="2335">
        <f t="shared" si="53"/>
        <v>0</v>
      </c>
    </row>
    <row r="585" spans="1:19">
      <c r="A585" s="1932">
        <f t="shared" si="50"/>
        <v>0</v>
      </c>
      <c r="B585" s="1932">
        <f t="shared" si="51"/>
        <v>0</v>
      </c>
      <c r="C585" s="1013" t="s">
        <v>245</v>
      </c>
      <c r="D585" s="1013">
        <v>0</v>
      </c>
      <c r="E585" s="1013" t="s">
        <v>22698</v>
      </c>
      <c r="F585" s="1013">
        <v>11</v>
      </c>
      <c r="G585" s="1932" t="str">
        <f>+VLOOKUP(F585,TT_Tabelle_Riferimento!$D$127:$G$164,4,FALSE)</f>
        <v>Condotte fognarie</v>
      </c>
      <c r="H585" s="1013">
        <v>1</v>
      </c>
      <c r="I585" s="1932" t="str">
        <f>+VLOOKUP(H585,TT_Tabelle_Riferimento!$F$3:$G$6,2,FALSE)</f>
        <v>Servizio idrico integrato</v>
      </c>
      <c r="J585" s="1013">
        <v>2027</v>
      </c>
      <c r="K585" s="2335">
        <f>+SUMIFS('PdI-crono_inv'!BB:BB,'PdI-crono_inv'!CF:CF,F585,'PdI-crono_inv'!CE:CE,H585,'PdI-crono_inv'!J:J,P585,'PdI-crono_inv'!P:P,"&lt;&gt;proprietario")</f>
        <v>0</v>
      </c>
      <c r="M585" s="2335">
        <f>+SUMIFS('PdI-crono_inv'!BC:BC,'PdI-crono_inv'!CF:CF,F585,'PdI-crono_inv'!CE:CE,H585,'PdI-crono_inv'!J:J,P585,'PdI-crono_inv'!P:P,"&lt;&gt;proprietario")+S585</f>
        <v>0</v>
      </c>
      <c r="P585" s="1013" t="s">
        <v>27068</v>
      </c>
      <c r="Q585" s="1932" t="str">
        <f>+VLOOKUP(F585,TT_Tabelle_Riferimento!$D$127:$E$164,2,FALSE)</f>
        <v>Fognatura</v>
      </c>
      <c r="R585" s="1932" t="str">
        <f t="shared" si="52"/>
        <v/>
      </c>
      <c r="S585" s="2335">
        <f t="shared" si="53"/>
        <v>0</v>
      </c>
    </row>
    <row r="586" spans="1:19">
      <c r="A586" s="1932">
        <f t="shared" si="50"/>
        <v>0</v>
      </c>
      <c r="B586" s="1932">
        <f t="shared" si="51"/>
        <v>0</v>
      </c>
      <c r="C586" s="1013" t="s">
        <v>245</v>
      </c>
      <c r="D586" s="1013">
        <v>0</v>
      </c>
      <c r="E586" s="1013" t="s">
        <v>22698</v>
      </c>
      <c r="F586" s="1013">
        <v>12</v>
      </c>
      <c r="G586" s="1932" t="str">
        <f>+VLOOKUP(F586,TT_Tabelle_Riferimento!$D$127:$G$164,4,FALSE)</f>
        <v>Sifoni e scaricatori di piena e altre opere idrauliche fisse di fognatura</v>
      </c>
      <c r="H586" s="1013">
        <v>1</v>
      </c>
      <c r="I586" s="1932" t="str">
        <f>+VLOOKUP(H586,TT_Tabelle_Riferimento!$F$3:$G$6,2,FALSE)</f>
        <v>Servizio idrico integrato</v>
      </c>
      <c r="J586" s="1013">
        <v>2027</v>
      </c>
      <c r="K586" s="2335">
        <f>+SUMIFS('PdI-crono_inv'!BB:BB,'PdI-crono_inv'!CF:CF,F586,'PdI-crono_inv'!CE:CE,H586,'PdI-crono_inv'!J:J,P586,'PdI-crono_inv'!P:P,"&lt;&gt;proprietario")</f>
        <v>0</v>
      </c>
      <c r="M586" s="2335">
        <f>+SUMIFS('PdI-crono_inv'!BC:BC,'PdI-crono_inv'!CF:CF,F586,'PdI-crono_inv'!CE:CE,H586,'PdI-crono_inv'!J:J,P586,'PdI-crono_inv'!P:P,"&lt;&gt;proprietario")+S586</f>
        <v>0</v>
      </c>
      <c r="P586" s="1013" t="s">
        <v>27068</v>
      </c>
      <c r="Q586" s="1932" t="str">
        <f>+VLOOKUP(F586,TT_Tabelle_Riferimento!$D$127:$E$164,2,FALSE)</f>
        <v>Fognatura</v>
      </c>
      <c r="R586" s="1932" t="str">
        <f t="shared" si="52"/>
        <v/>
      </c>
      <c r="S586" s="2335">
        <f t="shared" si="53"/>
        <v>0</v>
      </c>
    </row>
    <row r="587" spans="1:19">
      <c r="A587" s="1932">
        <f t="shared" si="50"/>
        <v>0</v>
      </c>
      <c r="B587" s="1932">
        <f t="shared" si="51"/>
        <v>0</v>
      </c>
      <c r="C587" s="1013" t="s">
        <v>245</v>
      </c>
      <c r="D587" s="1013">
        <v>0</v>
      </c>
      <c r="E587" s="1013" t="s">
        <v>22698</v>
      </c>
      <c r="F587" s="1013">
        <v>13</v>
      </c>
      <c r="G587" s="1932" t="str">
        <f>+VLOOKUP(F587,TT_Tabelle_Riferimento!$D$127:$G$164,4,FALSE)</f>
        <v>Vasche di laminazione e vasche di prima pioggia</v>
      </c>
      <c r="H587" s="1013">
        <v>1</v>
      </c>
      <c r="I587" s="1932" t="str">
        <f>+VLOOKUP(H587,TT_Tabelle_Riferimento!$F$3:$G$6,2,FALSE)</f>
        <v>Servizio idrico integrato</v>
      </c>
      <c r="J587" s="1013">
        <v>2027</v>
      </c>
      <c r="K587" s="2335">
        <f>+SUMIFS('PdI-crono_inv'!BB:BB,'PdI-crono_inv'!CF:CF,F587,'PdI-crono_inv'!CE:CE,H587,'PdI-crono_inv'!J:J,P587,'PdI-crono_inv'!P:P,"&lt;&gt;proprietario")</f>
        <v>0</v>
      </c>
      <c r="M587" s="2335">
        <f>+SUMIFS('PdI-crono_inv'!BC:BC,'PdI-crono_inv'!CF:CF,F587,'PdI-crono_inv'!CE:CE,H587,'PdI-crono_inv'!J:J,P587,'PdI-crono_inv'!P:P,"&lt;&gt;proprietario")+S587</f>
        <v>0</v>
      </c>
      <c r="P587" s="1013" t="s">
        <v>27068</v>
      </c>
      <c r="Q587" s="1932" t="str">
        <f>+VLOOKUP(F587,TT_Tabelle_Riferimento!$D$127:$E$164,2,FALSE)</f>
        <v>Fognatura</v>
      </c>
      <c r="R587" s="1932" t="str">
        <f t="shared" si="52"/>
        <v/>
      </c>
      <c r="S587" s="2335">
        <f t="shared" si="53"/>
        <v>0</v>
      </c>
    </row>
    <row r="588" spans="1:19">
      <c r="A588" s="1932">
        <f t="shared" si="50"/>
        <v>0</v>
      </c>
      <c r="B588" s="1932">
        <f t="shared" si="51"/>
        <v>0</v>
      </c>
      <c r="C588" s="1013" t="s">
        <v>245</v>
      </c>
      <c r="D588" s="1013">
        <v>0</v>
      </c>
      <c r="E588" s="1013" t="s">
        <v>22698</v>
      </c>
      <c r="F588" s="1013">
        <v>14</v>
      </c>
      <c r="G588" s="1932" t="str">
        <f>+VLOOKUP(F588,TT_Tabelle_Riferimento!$D$127:$G$164,4,FALSE)</f>
        <v>Impianti di sollevamento e pompaggio di fognatura</v>
      </c>
      <c r="H588" s="1013">
        <v>1</v>
      </c>
      <c r="I588" s="1932" t="str">
        <f>+VLOOKUP(H588,TT_Tabelle_Riferimento!$F$3:$G$6,2,FALSE)</f>
        <v>Servizio idrico integrato</v>
      </c>
      <c r="J588" s="1013">
        <v>2027</v>
      </c>
      <c r="K588" s="2335">
        <f>+SUMIFS('PdI-crono_inv'!BB:BB,'PdI-crono_inv'!CF:CF,F588,'PdI-crono_inv'!CE:CE,H588,'PdI-crono_inv'!J:J,P588,'PdI-crono_inv'!P:P,"&lt;&gt;proprietario")</f>
        <v>0</v>
      </c>
      <c r="M588" s="2335">
        <f>+SUMIFS('PdI-crono_inv'!BC:BC,'PdI-crono_inv'!CF:CF,F588,'PdI-crono_inv'!CE:CE,H588,'PdI-crono_inv'!J:J,P588,'PdI-crono_inv'!P:P,"&lt;&gt;proprietario")+S588</f>
        <v>0</v>
      </c>
      <c r="P588" s="1013" t="s">
        <v>27068</v>
      </c>
      <c r="Q588" s="1932" t="str">
        <f>+VLOOKUP(F588,TT_Tabelle_Riferimento!$D$127:$E$164,2,FALSE)</f>
        <v>Fognatura</v>
      </c>
      <c r="R588" s="1932" t="str">
        <f t="shared" si="52"/>
        <v/>
      </c>
      <c r="S588" s="2335">
        <f t="shared" si="53"/>
        <v>0</v>
      </c>
    </row>
    <row r="589" spans="1:19">
      <c r="A589" s="1932">
        <f t="shared" si="50"/>
        <v>0</v>
      </c>
      <c r="B589" s="1932">
        <f t="shared" si="51"/>
        <v>0</v>
      </c>
      <c r="C589" s="1013" t="s">
        <v>245</v>
      </c>
      <c r="D589" s="1013">
        <v>0</v>
      </c>
      <c r="E589" s="1013" t="s">
        <v>22698</v>
      </c>
      <c r="F589" s="1013">
        <v>15</v>
      </c>
      <c r="G589" s="1932" t="str">
        <f>+VLOOKUP(F589,TT_Tabelle_Riferimento!$D$127:$G$164,4,FALSE)</f>
        <v>Gruppi di misura - altre attrezzature di fognatura</v>
      </c>
      <c r="H589" s="1013">
        <v>1</v>
      </c>
      <c r="I589" s="1932" t="str">
        <f>+VLOOKUP(H589,TT_Tabelle_Riferimento!$F$3:$G$6,2,FALSE)</f>
        <v>Servizio idrico integrato</v>
      </c>
      <c r="J589" s="1013">
        <v>2027</v>
      </c>
      <c r="K589" s="2335">
        <f>+SUMIFS('PdI-crono_inv'!BB:BB,'PdI-crono_inv'!CF:CF,F589,'PdI-crono_inv'!CE:CE,H589,'PdI-crono_inv'!J:J,P589,'PdI-crono_inv'!P:P,"&lt;&gt;proprietario")</f>
        <v>0</v>
      </c>
      <c r="M589" s="2335">
        <f>+SUMIFS('PdI-crono_inv'!BC:BC,'PdI-crono_inv'!CF:CF,F589,'PdI-crono_inv'!CE:CE,H589,'PdI-crono_inv'!J:J,P589,'PdI-crono_inv'!P:P,"&lt;&gt;proprietario")+S589</f>
        <v>0</v>
      </c>
      <c r="P589" s="1013" t="s">
        <v>27068</v>
      </c>
      <c r="Q589" s="1932" t="str">
        <f>+VLOOKUP(F589,TT_Tabelle_Riferimento!$D$127:$E$164,2,FALSE)</f>
        <v>Fognatura</v>
      </c>
      <c r="R589" s="1932" t="str">
        <f t="shared" si="52"/>
        <v/>
      </c>
      <c r="S589" s="2335">
        <f t="shared" si="53"/>
        <v>0</v>
      </c>
    </row>
    <row r="590" spans="1:19">
      <c r="A590" s="1932">
        <f t="shared" si="50"/>
        <v>0</v>
      </c>
      <c r="B590" s="1932">
        <f t="shared" si="51"/>
        <v>0</v>
      </c>
      <c r="C590" s="1013" t="s">
        <v>245</v>
      </c>
      <c r="D590" s="1013">
        <v>0</v>
      </c>
      <c r="E590" s="1013" t="s">
        <v>22698</v>
      </c>
      <c r="F590" s="1013">
        <v>16</v>
      </c>
      <c r="G590" s="1932" t="str">
        <f>+VLOOKUP(F590,TT_Tabelle_Riferimento!$D$127:$G$164,4,FALSE)</f>
        <v>Sistemi informativi di fognatura</v>
      </c>
      <c r="H590" s="1013">
        <v>1</v>
      </c>
      <c r="I590" s="1932" t="str">
        <f>+VLOOKUP(H590,TT_Tabelle_Riferimento!$F$3:$G$6,2,FALSE)</f>
        <v>Servizio idrico integrato</v>
      </c>
      <c r="J590" s="1013">
        <v>2027</v>
      </c>
      <c r="K590" s="2335">
        <f>+SUMIFS('PdI-crono_inv'!BB:BB,'PdI-crono_inv'!CF:CF,F590,'PdI-crono_inv'!CE:CE,H590,'PdI-crono_inv'!J:J,P590,'PdI-crono_inv'!P:P,"&lt;&gt;proprietario")</f>
        <v>0</v>
      </c>
      <c r="M590" s="2335">
        <f>+SUMIFS('PdI-crono_inv'!BC:BC,'PdI-crono_inv'!CF:CF,F590,'PdI-crono_inv'!CE:CE,H590,'PdI-crono_inv'!J:J,P590,'PdI-crono_inv'!P:P,"&lt;&gt;proprietario")+S590</f>
        <v>0</v>
      </c>
      <c r="P590" s="1013" t="s">
        <v>27068</v>
      </c>
      <c r="Q590" s="1932" t="str">
        <f>+VLOOKUP(F590,TT_Tabelle_Riferimento!$D$127:$E$164,2,FALSE)</f>
        <v>Fognatura</v>
      </c>
      <c r="R590" s="1932" t="str">
        <f t="shared" si="52"/>
        <v/>
      </c>
      <c r="S590" s="2335">
        <f t="shared" si="53"/>
        <v>0</v>
      </c>
    </row>
    <row r="591" spans="1:19">
      <c r="A591" s="1932">
        <f t="shared" si="50"/>
        <v>0</v>
      </c>
      <c r="B591" s="1932">
        <f t="shared" si="51"/>
        <v>0</v>
      </c>
      <c r="C591" s="1013" t="s">
        <v>245</v>
      </c>
      <c r="D591" s="1013">
        <v>0</v>
      </c>
      <c r="E591" s="1013" t="s">
        <v>22698</v>
      </c>
      <c r="F591" s="1013">
        <v>18</v>
      </c>
      <c r="G591" s="1932" t="str">
        <f>+VLOOKUP(F591,TT_Tabelle_Riferimento!$D$127:$G$164,4,FALSE)</f>
        <v>Telecontrollo e teletrasmissione di fognatura</v>
      </c>
      <c r="H591" s="1013">
        <v>1</v>
      </c>
      <c r="I591" s="1932" t="str">
        <f>+VLOOKUP(H591,TT_Tabelle_Riferimento!$F$3:$G$6,2,FALSE)</f>
        <v>Servizio idrico integrato</v>
      </c>
      <c r="J591" s="1013">
        <v>2027</v>
      </c>
      <c r="K591" s="2335">
        <f>+SUMIFS('PdI-crono_inv'!BB:BB,'PdI-crono_inv'!CF:CF,F591,'PdI-crono_inv'!CE:CE,H591,'PdI-crono_inv'!J:J,P591,'PdI-crono_inv'!P:P,"&lt;&gt;proprietario")</f>
        <v>0</v>
      </c>
      <c r="M591" s="2335">
        <f>+SUMIFS('PdI-crono_inv'!BC:BC,'PdI-crono_inv'!CF:CF,F591,'PdI-crono_inv'!CE:CE,H591,'PdI-crono_inv'!J:J,P591,'PdI-crono_inv'!P:P,"&lt;&gt;proprietario")+S591</f>
        <v>0</v>
      </c>
      <c r="P591" s="1013" t="s">
        <v>27068</v>
      </c>
      <c r="Q591" s="1932" t="str">
        <f>+VLOOKUP(F591,TT_Tabelle_Riferimento!$D$127:$E$164,2,FALSE)</f>
        <v>Fognatura</v>
      </c>
      <c r="R591" s="1932" t="str">
        <f t="shared" si="52"/>
        <v/>
      </c>
      <c r="S591" s="2335">
        <f t="shared" si="53"/>
        <v>0</v>
      </c>
    </row>
    <row r="592" spans="1:19">
      <c r="A592" s="1932">
        <f t="shared" si="50"/>
        <v>0</v>
      </c>
      <c r="B592" s="1932">
        <f t="shared" si="51"/>
        <v>0</v>
      </c>
      <c r="C592" s="1013" t="s">
        <v>245</v>
      </c>
      <c r="D592" s="1013">
        <v>0</v>
      </c>
      <c r="E592" s="1013" t="s">
        <v>22698</v>
      </c>
      <c r="F592" s="1013">
        <v>19</v>
      </c>
      <c r="G592" s="1932" t="str">
        <f>+VLOOKUP(F592,TT_Tabelle_Riferimento!$D$127:$G$164,4,FALSE)</f>
        <v>Impianti di sollevamento e pompaggio di depurazione</v>
      </c>
      <c r="H592" s="1013">
        <v>1</v>
      </c>
      <c r="I592" s="1932" t="str">
        <f>+VLOOKUP(H592,TT_Tabelle_Riferimento!$F$3:$G$6,2,FALSE)</f>
        <v>Servizio idrico integrato</v>
      </c>
      <c r="J592" s="1013">
        <v>2027</v>
      </c>
      <c r="K592" s="2335">
        <f>+SUMIFS('PdI-crono_inv'!BB:BB,'PdI-crono_inv'!CF:CF,F592,'PdI-crono_inv'!CE:CE,H592,'PdI-crono_inv'!J:J,P592,'PdI-crono_inv'!P:P,"&lt;&gt;proprietario")</f>
        <v>0</v>
      </c>
      <c r="M592" s="2335">
        <f>+SUMIFS('PdI-crono_inv'!BC:BC,'PdI-crono_inv'!CF:CF,F592,'PdI-crono_inv'!CE:CE,H592,'PdI-crono_inv'!J:J,P592,'PdI-crono_inv'!P:P,"&lt;&gt;proprietario")+S592</f>
        <v>0</v>
      </c>
      <c r="P592" s="1013" t="s">
        <v>27068</v>
      </c>
      <c r="Q592" s="1932" t="str">
        <f>+VLOOKUP(F592,TT_Tabelle_Riferimento!$D$127:$E$164,2,FALSE)</f>
        <v>Depurazione</v>
      </c>
      <c r="R592" s="1932" t="str">
        <f t="shared" si="52"/>
        <v/>
      </c>
      <c r="S592" s="2335">
        <f t="shared" si="53"/>
        <v>0</v>
      </c>
    </row>
    <row r="593" spans="1:19">
      <c r="A593" s="1932">
        <f t="shared" si="50"/>
        <v>0</v>
      </c>
      <c r="B593" s="1932">
        <f t="shared" si="51"/>
        <v>0</v>
      </c>
      <c r="C593" s="1013" t="s">
        <v>245</v>
      </c>
      <c r="D593" s="1013">
        <v>0</v>
      </c>
      <c r="E593" s="1013" t="s">
        <v>22698</v>
      </c>
      <c r="F593" s="1013">
        <v>20</v>
      </c>
      <c r="G593" s="1932" t="str">
        <f>+VLOOKUP(F593,TT_Tabelle_Riferimento!$D$127:$G$164,4,FALSE)</f>
        <v>Tecniche naturali di depurazione (tra cui fitodepurazione e lagunaggio)</v>
      </c>
      <c r="H593" s="1013">
        <v>1</v>
      </c>
      <c r="I593" s="1932" t="str">
        <f>+VLOOKUP(H593,TT_Tabelle_Riferimento!$F$3:$G$6,2,FALSE)</f>
        <v>Servizio idrico integrato</v>
      </c>
      <c r="J593" s="1013">
        <v>2027</v>
      </c>
      <c r="K593" s="2335">
        <f>+SUMIFS('PdI-crono_inv'!BB:BB,'PdI-crono_inv'!CF:CF,F593,'PdI-crono_inv'!CE:CE,H593,'PdI-crono_inv'!J:J,P593,'PdI-crono_inv'!P:P,"&lt;&gt;proprietario")</f>
        <v>0</v>
      </c>
      <c r="M593" s="2335">
        <f>+SUMIFS('PdI-crono_inv'!BC:BC,'PdI-crono_inv'!CF:CF,F593,'PdI-crono_inv'!CE:CE,H593,'PdI-crono_inv'!J:J,P593,'PdI-crono_inv'!P:P,"&lt;&gt;proprietario")+S593</f>
        <v>0</v>
      </c>
      <c r="P593" s="1013" t="s">
        <v>27068</v>
      </c>
      <c r="Q593" s="1932" t="str">
        <f>+VLOOKUP(F593,TT_Tabelle_Riferimento!$D$127:$E$164,2,FALSE)</f>
        <v>Depurazione</v>
      </c>
      <c r="R593" s="1932" t="str">
        <f t="shared" si="52"/>
        <v/>
      </c>
      <c r="S593" s="2335">
        <f t="shared" si="53"/>
        <v>0</v>
      </c>
    </row>
    <row r="594" spans="1:19">
      <c r="A594" s="1932">
        <f t="shared" si="50"/>
        <v>0</v>
      </c>
      <c r="B594" s="1932">
        <f t="shared" si="51"/>
        <v>0</v>
      </c>
      <c r="C594" s="1013" t="s">
        <v>245</v>
      </c>
      <c r="D594" s="1013">
        <v>0</v>
      </c>
      <c r="E594" s="1013" t="s">
        <v>22698</v>
      </c>
      <c r="F594" s="1013">
        <v>21</v>
      </c>
      <c r="G594" s="1932" t="str">
        <f>+VLOOKUP(F594,TT_Tabelle_Riferimento!$D$127:$G$164,4,FALSE)</f>
        <v>Impianti di depurazione – trattamenti sino al preliminare, integrativo, primario - fosse settiche e fosse Imhoff</v>
      </c>
      <c r="H594" s="1013">
        <v>1</v>
      </c>
      <c r="I594" s="1932" t="str">
        <f>+VLOOKUP(H594,TT_Tabelle_Riferimento!$F$3:$G$6,2,FALSE)</f>
        <v>Servizio idrico integrato</v>
      </c>
      <c r="J594" s="1013">
        <v>2027</v>
      </c>
      <c r="K594" s="2335">
        <f>+SUMIFS('PdI-crono_inv'!BB:BB,'PdI-crono_inv'!CF:CF,F594,'PdI-crono_inv'!CE:CE,H594,'PdI-crono_inv'!J:J,P594,'PdI-crono_inv'!P:P,"&lt;&gt;proprietario")</f>
        <v>0</v>
      </c>
      <c r="M594" s="2335">
        <f>+SUMIFS('PdI-crono_inv'!BC:BC,'PdI-crono_inv'!CF:CF,F594,'PdI-crono_inv'!CE:CE,H594,'PdI-crono_inv'!J:J,P594,'PdI-crono_inv'!P:P,"&lt;&gt;proprietario")+S594</f>
        <v>0</v>
      </c>
      <c r="P594" s="1013" t="s">
        <v>27068</v>
      </c>
      <c r="Q594" s="1932" t="str">
        <f>+VLOOKUP(F594,TT_Tabelle_Riferimento!$D$127:$E$164,2,FALSE)</f>
        <v>Depurazione</v>
      </c>
      <c r="R594" s="1932" t="str">
        <f t="shared" si="52"/>
        <v/>
      </c>
      <c r="S594" s="2335">
        <f t="shared" si="53"/>
        <v>0</v>
      </c>
    </row>
    <row r="595" spans="1:19">
      <c r="A595" s="1932">
        <f t="shared" si="50"/>
        <v>0</v>
      </c>
      <c r="B595" s="1932">
        <f t="shared" si="51"/>
        <v>0</v>
      </c>
      <c r="C595" s="1013" t="s">
        <v>245</v>
      </c>
      <c r="D595" s="1013">
        <v>0</v>
      </c>
      <c r="E595" s="1013" t="s">
        <v>22698</v>
      </c>
      <c r="F595" s="1013">
        <v>22</v>
      </c>
      <c r="G595" s="1932" t="str">
        <f>+VLOOKUP(F595,TT_Tabelle_Riferimento!$D$127:$G$164,4,FALSE)</f>
        <v>Impianti di depurazione – trattamenti sino al secondario</v>
      </c>
      <c r="H595" s="1013">
        <v>1</v>
      </c>
      <c r="I595" s="1932" t="str">
        <f>+VLOOKUP(H595,TT_Tabelle_Riferimento!$F$3:$G$6,2,FALSE)</f>
        <v>Servizio idrico integrato</v>
      </c>
      <c r="J595" s="1013">
        <v>2027</v>
      </c>
      <c r="K595" s="2335">
        <f>+SUMIFS('PdI-crono_inv'!BB:BB,'PdI-crono_inv'!CF:CF,F595,'PdI-crono_inv'!CE:CE,H595,'PdI-crono_inv'!J:J,P595,'PdI-crono_inv'!P:P,"&lt;&gt;proprietario")</f>
        <v>0</v>
      </c>
      <c r="M595" s="2335">
        <f>+SUMIFS('PdI-crono_inv'!BC:BC,'PdI-crono_inv'!CF:CF,F595,'PdI-crono_inv'!CE:CE,H595,'PdI-crono_inv'!J:J,P595,'PdI-crono_inv'!P:P,"&lt;&gt;proprietario")+S595</f>
        <v>0</v>
      </c>
      <c r="P595" s="1013" t="s">
        <v>27068</v>
      </c>
      <c r="Q595" s="1932" t="str">
        <f>+VLOOKUP(F595,TT_Tabelle_Riferimento!$D$127:$E$164,2,FALSE)</f>
        <v>Depurazione</v>
      </c>
      <c r="R595" s="1932" t="str">
        <f t="shared" si="52"/>
        <v/>
      </c>
      <c r="S595" s="2335">
        <f t="shared" si="53"/>
        <v>0</v>
      </c>
    </row>
    <row r="596" spans="1:19">
      <c r="A596" s="1932">
        <f t="shared" si="50"/>
        <v>0</v>
      </c>
      <c r="B596" s="1932">
        <f t="shared" si="51"/>
        <v>0</v>
      </c>
      <c r="C596" s="1013" t="s">
        <v>245</v>
      </c>
      <c r="D596" s="1013">
        <v>0</v>
      </c>
      <c r="E596" s="1013" t="s">
        <v>22698</v>
      </c>
      <c r="F596" s="1013">
        <v>23</v>
      </c>
      <c r="G596" s="1932" t="str">
        <f>+VLOOKUP(F596,TT_Tabelle_Riferimento!$D$127:$G$164,4,FALSE)</f>
        <v>Impianti di depurazione – trattamenti sino al terziario e terziario avanzato</v>
      </c>
      <c r="H596" s="1013">
        <v>1</v>
      </c>
      <c r="I596" s="1932" t="str">
        <f>+VLOOKUP(H596,TT_Tabelle_Riferimento!$F$3:$G$6,2,FALSE)</f>
        <v>Servizio idrico integrato</v>
      </c>
      <c r="J596" s="1013">
        <v>2027</v>
      </c>
      <c r="K596" s="2335">
        <f>+SUMIFS('PdI-crono_inv'!BB:BB,'PdI-crono_inv'!CF:CF,F596,'PdI-crono_inv'!CE:CE,H596,'PdI-crono_inv'!J:J,P596,'PdI-crono_inv'!P:P,"&lt;&gt;proprietario")</f>
        <v>0</v>
      </c>
      <c r="M596" s="2335">
        <f>+SUMIFS('PdI-crono_inv'!BC:BC,'PdI-crono_inv'!CF:CF,F596,'PdI-crono_inv'!CE:CE,H596,'PdI-crono_inv'!J:J,P596,'PdI-crono_inv'!P:P,"&lt;&gt;proprietario")+S596</f>
        <v>0</v>
      </c>
      <c r="P596" s="1013" t="s">
        <v>27068</v>
      </c>
      <c r="Q596" s="1932" t="str">
        <f>+VLOOKUP(F596,TT_Tabelle_Riferimento!$D$127:$E$164,2,FALSE)</f>
        <v>Depurazione</v>
      </c>
      <c r="R596" s="1932" t="str">
        <f t="shared" si="52"/>
        <v/>
      </c>
      <c r="S596" s="2335">
        <f t="shared" si="53"/>
        <v>0</v>
      </c>
    </row>
    <row r="597" spans="1:19">
      <c r="A597" s="1932">
        <f t="shared" si="50"/>
        <v>0</v>
      </c>
      <c r="B597" s="1932">
        <f t="shared" si="51"/>
        <v>0</v>
      </c>
      <c r="C597" s="1013" t="s">
        <v>245</v>
      </c>
      <c r="D597" s="1013">
        <v>0</v>
      </c>
      <c r="E597" s="1013" t="s">
        <v>22698</v>
      </c>
      <c r="F597" s="1013">
        <v>24</v>
      </c>
      <c r="G597" s="1932" t="str">
        <f>+VLOOKUP(F597,TT_Tabelle_Riferimento!$D$127:$G$164,4,FALSE)</f>
        <v>Impianti di essiccamento fanghi e di valorizzazione dei fanghi (tra cui mono-incenerimento, pirolisi, gassificazione)</v>
      </c>
      <c r="H597" s="1013">
        <v>1</v>
      </c>
      <c r="I597" s="1932" t="str">
        <f>+VLOOKUP(H597,TT_Tabelle_Riferimento!$F$3:$G$6,2,FALSE)</f>
        <v>Servizio idrico integrato</v>
      </c>
      <c r="J597" s="1013">
        <v>2027</v>
      </c>
      <c r="K597" s="2335">
        <f>+SUMIFS('PdI-crono_inv'!BB:BB,'PdI-crono_inv'!CF:CF,F597,'PdI-crono_inv'!CE:CE,H597,'PdI-crono_inv'!J:J,P597,'PdI-crono_inv'!P:P,"&lt;&gt;proprietario")</f>
        <v>0</v>
      </c>
      <c r="M597" s="2335">
        <f>+SUMIFS('PdI-crono_inv'!BC:BC,'PdI-crono_inv'!CF:CF,F597,'PdI-crono_inv'!CE:CE,H597,'PdI-crono_inv'!J:J,P597,'PdI-crono_inv'!P:P,"&lt;&gt;proprietario")+S597</f>
        <v>0</v>
      </c>
      <c r="P597" s="1013" t="s">
        <v>27068</v>
      </c>
      <c r="Q597" s="1932" t="str">
        <f>+VLOOKUP(F597,TT_Tabelle_Riferimento!$D$127:$E$164,2,FALSE)</f>
        <v>Depurazione</v>
      </c>
      <c r="R597" s="1932" t="str">
        <f t="shared" si="52"/>
        <v/>
      </c>
      <c r="S597" s="2335">
        <f t="shared" si="53"/>
        <v>0</v>
      </c>
    </row>
    <row r="598" spans="1:19">
      <c r="A598" s="1932">
        <f t="shared" si="50"/>
        <v>0</v>
      </c>
      <c r="B598" s="1932">
        <f t="shared" si="51"/>
        <v>0</v>
      </c>
      <c r="C598" s="1013" t="s">
        <v>245</v>
      </c>
      <c r="D598" s="1013">
        <v>0</v>
      </c>
      <c r="E598" s="1013" t="s">
        <v>22698</v>
      </c>
      <c r="F598" s="1013">
        <v>25</v>
      </c>
      <c r="G598" s="1932" t="str">
        <f>+VLOOKUP(F598,TT_Tabelle_Riferimento!$D$127:$G$164,4,FALSE)</f>
        <v>Gruppi di misura - altre attrezzature di depurazione</v>
      </c>
      <c r="H598" s="1013">
        <v>1</v>
      </c>
      <c r="I598" s="1932" t="str">
        <f>+VLOOKUP(H598,TT_Tabelle_Riferimento!$F$3:$G$6,2,FALSE)</f>
        <v>Servizio idrico integrato</v>
      </c>
      <c r="J598" s="1013">
        <v>2027</v>
      </c>
      <c r="K598" s="2335">
        <f>+SUMIFS('PdI-crono_inv'!BB:BB,'PdI-crono_inv'!CF:CF,F598,'PdI-crono_inv'!CE:CE,H598,'PdI-crono_inv'!J:J,P598,'PdI-crono_inv'!P:P,"&lt;&gt;proprietario")</f>
        <v>0</v>
      </c>
      <c r="M598" s="2335">
        <f>+SUMIFS('PdI-crono_inv'!BC:BC,'PdI-crono_inv'!CF:CF,F598,'PdI-crono_inv'!CE:CE,H598,'PdI-crono_inv'!J:J,P598,'PdI-crono_inv'!P:P,"&lt;&gt;proprietario")+S598</f>
        <v>0</v>
      </c>
      <c r="P598" s="1013" t="s">
        <v>27068</v>
      </c>
      <c r="Q598" s="1932" t="str">
        <f>+VLOOKUP(F598,TT_Tabelle_Riferimento!$D$127:$E$164,2,FALSE)</f>
        <v>Depurazione</v>
      </c>
      <c r="R598" s="1932" t="str">
        <f t="shared" si="52"/>
        <v/>
      </c>
      <c r="S598" s="2335">
        <f t="shared" si="53"/>
        <v>0</v>
      </c>
    </row>
    <row r="599" spans="1:19">
      <c r="A599" s="1932">
        <f t="shared" si="50"/>
        <v>0</v>
      </c>
      <c r="B599" s="1932">
        <f t="shared" si="51"/>
        <v>0</v>
      </c>
      <c r="C599" s="1013" t="s">
        <v>245</v>
      </c>
      <c r="D599" s="1013">
        <v>0</v>
      </c>
      <c r="E599" s="1013" t="s">
        <v>22698</v>
      </c>
      <c r="F599" s="1013">
        <v>26</v>
      </c>
      <c r="G599" s="1932" t="str">
        <f>+VLOOKUP(F599,TT_Tabelle_Riferimento!$D$127:$G$164,4,FALSE)</f>
        <v>Sistemi informativi di depurazione</v>
      </c>
      <c r="H599" s="1013">
        <v>1</v>
      </c>
      <c r="I599" s="1932" t="str">
        <f>+VLOOKUP(H599,TT_Tabelle_Riferimento!$F$3:$G$6,2,FALSE)</f>
        <v>Servizio idrico integrato</v>
      </c>
      <c r="J599" s="1013">
        <v>2027</v>
      </c>
      <c r="K599" s="2335">
        <f>+SUMIFS('PdI-crono_inv'!BB:BB,'PdI-crono_inv'!CF:CF,F599,'PdI-crono_inv'!CE:CE,H599,'PdI-crono_inv'!J:J,P599,'PdI-crono_inv'!P:P,"&lt;&gt;proprietario")</f>
        <v>0</v>
      </c>
      <c r="M599" s="2335">
        <f>+SUMIFS('PdI-crono_inv'!BC:BC,'PdI-crono_inv'!CF:CF,F599,'PdI-crono_inv'!CE:CE,H599,'PdI-crono_inv'!J:J,P599,'PdI-crono_inv'!P:P,"&lt;&gt;proprietario")+S599</f>
        <v>0</v>
      </c>
      <c r="P599" s="1013" t="s">
        <v>27068</v>
      </c>
      <c r="Q599" s="1932" t="str">
        <f>+VLOOKUP(F599,TT_Tabelle_Riferimento!$D$127:$E$164,2,FALSE)</f>
        <v>Depurazione</v>
      </c>
      <c r="R599" s="1932" t="str">
        <f t="shared" si="52"/>
        <v/>
      </c>
      <c r="S599" s="2335">
        <f t="shared" si="53"/>
        <v>0</v>
      </c>
    </row>
    <row r="600" spans="1:19">
      <c r="A600" s="1932">
        <f t="shared" si="50"/>
        <v>0</v>
      </c>
      <c r="B600" s="1932">
        <f t="shared" si="51"/>
        <v>0</v>
      </c>
      <c r="C600" s="1013" t="s">
        <v>245</v>
      </c>
      <c r="D600" s="1013">
        <v>0</v>
      </c>
      <c r="E600" s="1013" t="s">
        <v>22698</v>
      </c>
      <c r="F600" s="1013">
        <v>27</v>
      </c>
      <c r="G600" s="1932" t="str">
        <f>+VLOOKUP(F600,TT_Tabelle_Riferimento!$D$127:$G$164,4,FALSE)</f>
        <v>Telecontrollo e teletrasmissione di depurazione</v>
      </c>
      <c r="H600" s="1013">
        <v>1</v>
      </c>
      <c r="I600" s="1932" t="str">
        <f>+VLOOKUP(H600,TT_Tabelle_Riferimento!$F$3:$G$6,2,FALSE)</f>
        <v>Servizio idrico integrato</v>
      </c>
      <c r="J600" s="1013">
        <v>2027</v>
      </c>
      <c r="K600" s="2335">
        <f>+SUMIFS('PdI-crono_inv'!BB:BB,'PdI-crono_inv'!CF:CF,F600,'PdI-crono_inv'!CE:CE,H600,'PdI-crono_inv'!J:J,P600,'PdI-crono_inv'!P:P,"&lt;&gt;proprietario")</f>
        <v>0</v>
      </c>
      <c r="M600" s="2335">
        <f>+SUMIFS('PdI-crono_inv'!BC:BC,'PdI-crono_inv'!CF:CF,F600,'PdI-crono_inv'!CE:CE,H600,'PdI-crono_inv'!J:J,P600,'PdI-crono_inv'!P:P,"&lt;&gt;proprietario")+S600</f>
        <v>0</v>
      </c>
      <c r="P600" s="1013" t="s">
        <v>27068</v>
      </c>
      <c r="Q600" s="1932" t="str">
        <f>+VLOOKUP(F600,TT_Tabelle_Riferimento!$D$127:$E$164,2,FALSE)</f>
        <v>Depurazione</v>
      </c>
      <c r="R600" s="1932" t="str">
        <f t="shared" si="52"/>
        <v/>
      </c>
      <c r="S600" s="2335">
        <f t="shared" si="53"/>
        <v>0</v>
      </c>
    </row>
    <row r="601" spans="1:19">
      <c r="A601" s="1932">
        <f t="shared" si="50"/>
        <v>0</v>
      </c>
      <c r="B601" s="1932">
        <f t="shared" si="51"/>
        <v>0</v>
      </c>
      <c r="C601" s="1013" t="s">
        <v>245</v>
      </c>
      <c r="D601" s="1013">
        <v>0</v>
      </c>
      <c r="E601" s="1013" t="s">
        <v>22698</v>
      </c>
      <c r="F601" s="1013">
        <v>28</v>
      </c>
      <c r="G601" s="1932" t="str">
        <f>+VLOOKUP(F601,TT_Tabelle_Riferimento!$D$127:$G$164,4,FALSE)</f>
        <v>Altri impianti</v>
      </c>
      <c r="H601" s="1013">
        <v>1</v>
      </c>
      <c r="I601" s="1932" t="str">
        <f>+VLOOKUP(H601,TT_Tabelle_Riferimento!$F$3:$G$6,2,FALSE)</f>
        <v>Servizio idrico integrato</v>
      </c>
      <c r="J601" s="1013">
        <v>2027</v>
      </c>
      <c r="K601" s="2335">
        <f>+SUMIFS('PdI-crono_inv'!BB:BB,'PdI-crono_inv'!CF:CF,F601,'PdI-crono_inv'!CE:CE,H601,'PdI-crono_inv'!J:J,P601,'PdI-crono_inv'!P:P,"&lt;&gt;proprietario")</f>
        <v>0</v>
      </c>
      <c r="M601" s="2335">
        <f>+SUMIFS('PdI-crono_inv'!BC:BC,'PdI-crono_inv'!CF:CF,F601,'PdI-crono_inv'!CE:CE,H601,'PdI-crono_inv'!J:J,P601,'PdI-crono_inv'!P:P,"&lt;&gt;proprietario")+S601</f>
        <v>0</v>
      </c>
      <c r="P601" s="1013" t="s">
        <v>27068</v>
      </c>
      <c r="Q601" s="1932" t="str">
        <f>+VLOOKUP(F601,TT_Tabelle_Riferimento!$D$127:$E$164,2,FALSE)</f>
        <v>Comune</v>
      </c>
      <c r="R601" s="1932" t="str">
        <f t="shared" si="52"/>
        <v/>
      </c>
      <c r="S601" s="2335">
        <f t="shared" si="53"/>
        <v>0</v>
      </c>
    </row>
    <row r="602" spans="1:19">
      <c r="A602" s="1932">
        <f t="shared" ref="A602:A610" si="54">+idato</f>
        <v>0</v>
      </c>
      <c r="B602" s="1932">
        <f t="shared" ref="B602:B610" si="55">+idgestore</f>
        <v>0</v>
      </c>
      <c r="C602" s="1013" t="s">
        <v>245</v>
      </c>
      <c r="D602" s="1013">
        <v>0</v>
      </c>
      <c r="E602" s="1013" t="s">
        <v>22698</v>
      </c>
      <c r="F602" s="1013">
        <v>29</v>
      </c>
      <c r="G602" s="1932" t="str">
        <f>+VLOOKUP(F602,TT_Tabelle_Riferimento!$D$127:$G$164,4,FALSE)</f>
        <v>Laboratori e attrezzature</v>
      </c>
      <c r="H602" s="1013">
        <v>1</v>
      </c>
      <c r="I602" s="1932" t="str">
        <f>+VLOOKUP(H602,TT_Tabelle_Riferimento!$F$3:$G$6,2,FALSE)</f>
        <v>Servizio idrico integrato</v>
      </c>
      <c r="J602" s="1013">
        <v>2027</v>
      </c>
      <c r="K602" s="2335">
        <f>+SUMIFS('PdI-crono_inv'!BB:BB,'PdI-crono_inv'!CF:CF,F602,'PdI-crono_inv'!CE:CE,H602,'PdI-crono_inv'!J:J,P602,'PdI-crono_inv'!P:P,"&lt;&gt;proprietario")</f>
        <v>0</v>
      </c>
      <c r="M602" s="2335">
        <f>+SUMIFS('PdI-crono_inv'!BC:BC,'PdI-crono_inv'!CF:CF,F602,'PdI-crono_inv'!CE:CE,H602,'PdI-crono_inv'!J:J,P602,'PdI-crono_inv'!P:P,"&lt;&gt;proprietario")+S602</f>
        <v>0</v>
      </c>
      <c r="P602" s="1013" t="s">
        <v>27068</v>
      </c>
      <c r="Q602" s="1932" t="str">
        <f>+VLOOKUP(F602,TT_Tabelle_Riferimento!$D$127:$E$164,2,FALSE)</f>
        <v>Comune</v>
      </c>
      <c r="R602" s="1932" t="str">
        <f t="shared" si="52"/>
        <v/>
      </c>
      <c r="S602" s="2335">
        <f t="shared" si="53"/>
        <v>0</v>
      </c>
    </row>
    <row r="603" spans="1:19">
      <c r="A603" s="1932">
        <f t="shared" si="54"/>
        <v>0</v>
      </c>
      <c r="B603" s="1932">
        <f t="shared" si="55"/>
        <v>0</v>
      </c>
      <c r="C603" s="1013" t="s">
        <v>245</v>
      </c>
      <c r="D603" s="1013">
        <v>0</v>
      </c>
      <c r="E603" s="1013" t="s">
        <v>22698</v>
      </c>
      <c r="F603" s="1013">
        <v>30</v>
      </c>
      <c r="G603" s="1932" t="str">
        <f>+VLOOKUP(F603,TT_Tabelle_Riferimento!$D$127:$G$164,4,FALSE)</f>
        <v>Sistemi informativi</v>
      </c>
      <c r="H603" s="1013">
        <v>1</v>
      </c>
      <c r="I603" s="1932" t="str">
        <f>+VLOOKUP(H603,TT_Tabelle_Riferimento!$F$3:$G$6,2,FALSE)</f>
        <v>Servizio idrico integrato</v>
      </c>
      <c r="J603" s="1013">
        <v>2027</v>
      </c>
      <c r="K603" s="2335">
        <f>+SUMIFS('PdI-crono_inv'!BB:BB,'PdI-crono_inv'!CF:CF,F603,'PdI-crono_inv'!CE:CE,H603,'PdI-crono_inv'!J:J,P603,'PdI-crono_inv'!P:P,"&lt;&gt;proprietario")</f>
        <v>0</v>
      </c>
      <c r="M603" s="2335">
        <f>+SUMIFS('PdI-crono_inv'!BC:BC,'PdI-crono_inv'!CF:CF,F603,'PdI-crono_inv'!CE:CE,H603,'PdI-crono_inv'!J:J,P603,'PdI-crono_inv'!P:P,"&lt;&gt;proprietario")+S603</f>
        <v>0</v>
      </c>
      <c r="P603" s="1013" t="s">
        <v>27068</v>
      </c>
      <c r="Q603" s="1932" t="str">
        <f>+VLOOKUP(F603,TT_Tabelle_Riferimento!$D$127:$E$164,2,FALSE)</f>
        <v>Comune</v>
      </c>
      <c r="R603" s="1932" t="str">
        <f t="shared" si="52"/>
        <v/>
      </c>
      <c r="S603" s="2335">
        <f t="shared" si="53"/>
        <v>0</v>
      </c>
    </row>
    <row r="604" spans="1:19">
      <c r="A604" s="1932">
        <f t="shared" si="54"/>
        <v>0</v>
      </c>
      <c r="B604" s="1932">
        <f t="shared" si="55"/>
        <v>0</v>
      </c>
      <c r="C604" s="1013" t="s">
        <v>245</v>
      </c>
      <c r="D604" s="1013">
        <v>0</v>
      </c>
      <c r="E604" s="1013" t="s">
        <v>22698</v>
      </c>
      <c r="F604" s="1013">
        <v>31</v>
      </c>
      <c r="G604" s="1932" t="str">
        <f>+VLOOKUP(F604,TT_Tabelle_Riferimento!$D$127:$G$164,4,FALSE)</f>
        <v>Telecontrollo e teletrasmissione</v>
      </c>
      <c r="H604" s="1013">
        <v>1</v>
      </c>
      <c r="I604" s="1932" t="str">
        <f>+VLOOKUP(H604,TT_Tabelle_Riferimento!$F$3:$G$6,2,FALSE)</f>
        <v>Servizio idrico integrato</v>
      </c>
      <c r="J604" s="1013">
        <v>2027</v>
      </c>
      <c r="K604" s="2335">
        <f>+SUMIFS('PdI-crono_inv'!BB:BB,'PdI-crono_inv'!CF:CF,F604,'PdI-crono_inv'!CE:CE,H604,'PdI-crono_inv'!J:J,P604,'PdI-crono_inv'!P:P,"&lt;&gt;proprietario")</f>
        <v>0</v>
      </c>
      <c r="M604" s="2335">
        <f>+SUMIFS('PdI-crono_inv'!BC:BC,'PdI-crono_inv'!CF:CF,F604,'PdI-crono_inv'!CE:CE,H604,'PdI-crono_inv'!J:J,P604,'PdI-crono_inv'!P:P,"&lt;&gt;proprietario")+S604</f>
        <v>0</v>
      </c>
      <c r="P604" s="1013" t="s">
        <v>27068</v>
      </c>
      <c r="Q604" s="1932" t="str">
        <f>+VLOOKUP(F604,TT_Tabelle_Riferimento!$D$127:$E$164,2,FALSE)</f>
        <v>Comune</v>
      </c>
      <c r="R604" s="1932" t="str">
        <f t="shared" si="52"/>
        <v/>
      </c>
      <c r="S604" s="2335">
        <f t="shared" si="53"/>
        <v>0</v>
      </c>
    </row>
    <row r="605" spans="1:19">
      <c r="A605" s="1932">
        <f t="shared" si="54"/>
        <v>0</v>
      </c>
      <c r="B605" s="1932">
        <f t="shared" si="55"/>
        <v>0</v>
      </c>
      <c r="C605" s="1013" t="s">
        <v>245</v>
      </c>
      <c r="D605" s="1013">
        <v>0</v>
      </c>
      <c r="E605" s="1013" t="s">
        <v>22698</v>
      </c>
      <c r="F605" s="1013">
        <v>32</v>
      </c>
      <c r="G605" s="1932" t="str">
        <f>+VLOOKUP(F605,TT_Tabelle_Riferimento!$D$127:$G$164,4,FALSE)</f>
        <v>Autoveicoli - automezzi</v>
      </c>
      <c r="H605" s="1013">
        <v>1</v>
      </c>
      <c r="I605" s="1932" t="str">
        <f>+VLOOKUP(H605,TT_Tabelle_Riferimento!$F$3:$G$6,2,FALSE)</f>
        <v>Servizio idrico integrato</v>
      </c>
      <c r="J605" s="1013">
        <v>2027</v>
      </c>
      <c r="K605" s="2335">
        <f>+SUMIFS('PdI-crono_inv'!BB:BB,'PdI-crono_inv'!CF:CF,F605,'PdI-crono_inv'!CE:CE,H605,'PdI-crono_inv'!J:J,P605,'PdI-crono_inv'!P:P,"&lt;&gt;proprietario")</f>
        <v>0</v>
      </c>
      <c r="M605" s="2335">
        <f>+SUMIFS('PdI-crono_inv'!BC:BC,'PdI-crono_inv'!CF:CF,F605,'PdI-crono_inv'!CE:CE,H605,'PdI-crono_inv'!J:J,P605,'PdI-crono_inv'!P:P,"&lt;&gt;proprietario")+S605</f>
        <v>0</v>
      </c>
      <c r="P605" s="1013" t="s">
        <v>27068</v>
      </c>
      <c r="Q605" s="1932" t="str">
        <f>+VLOOKUP(F605,TT_Tabelle_Riferimento!$D$127:$E$164,2,FALSE)</f>
        <v>Comune</v>
      </c>
      <c r="R605" s="1932" t="str">
        <f t="shared" si="52"/>
        <v/>
      </c>
      <c r="S605" s="2335">
        <f t="shared" si="53"/>
        <v>0</v>
      </c>
    </row>
    <row r="606" spans="1:19">
      <c r="A606" s="1932">
        <f t="shared" si="54"/>
        <v>0</v>
      </c>
      <c r="B606" s="1932">
        <f t="shared" si="55"/>
        <v>0</v>
      </c>
      <c r="C606" s="1013" t="s">
        <v>245</v>
      </c>
      <c r="D606" s="1013">
        <v>0</v>
      </c>
      <c r="E606" s="1013" t="s">
        <v>22698</v>
      </c>
      <c r="F606" s="1013">
        <v>1</v>
      </c>
      <c r="G606" s="1932" t="str">
        <f>+VLOOKUP(F606,TT_Tabelle_Riferimento!$D$127:$G$164,4,FALSE)</f>
        <v>Terreni</v>
      </c>
      <c r="H606" s="1013">
        <v>1</v>
      </c>
      <c r="I606" s="1932" t="str">
        <f>+VLOOKUP(H606,TT_Tabelle_Riferimento!$F$3:$G$6,2,FALSE)</f>
        <v>Servizio idrico integrato</v>
      </c>
      <c r="J606" s="1013">
        <v>2027</v>
      </c>
      <c r="K606" s="2335">
        <f>+SUMIFS('PdI-crono_inv'!BB:BB,'PdI-crono_inv'!CF:CF,F606,'PdI-crono_inv'!CE:CE,H606,'PdI-crono_inv'!J:J,P606,'PdI-crono_inv'!P:P,"&lt;&gt;proprietario")</f>
        <v>0</v>
      </c>
      <c r="M606" s="2335">
        <f>+SUMIFS('PdI-crono_inv'!BC:BC,'PdI-crono_inv'!CF:CF,F606,'PdI-crono_inv'!CE:CE,H606,'PdI-crono_inv'!J:J,P606,'PdI-crono_inv'!P:P,"&lt;&gt;proprietario")+S606</f>
        <v>0</v>
      </c>
      <c r="P606" s="1013" t="s">
        <v>27068</v>
      </c>
      <c r="Q606" s="1932" t="str">
        <f>+VLOOKUP(F606,TT_Tabelle_Riferimento!$D$127:$E$164,2,FALSE)</f>
        <v>Comune</v>
      </c>
      <c r="R606" s="1932" t="str">
        <f t="shared" si="52"/>
        <v/>
      </c>
      <c r="S606" s="2335">
        <f t="shared" si="53"/>
        <v>0</v>
      </c>
    </row>
    <row r="607" spans="1:19">
      <c r="A607" s="1932">
        <f t="shared" si="54"/>
        <v>0</v>
      </c>
      <c r="B607" s="1932">
        <f t="shared" si="55"/>
        <v>0</v>
      </c>
      <c r="C607" s="1013" t="s">
        <v>245</v>
      </c>
      <c r="D607" s="1013">
        <v>0</v>
      </c>
      <c r="E607" s="1013" t="s">
        <v>22698</v>
      </c>
      <c r="F607" s="1013">
        <v>33</v>
      </c>
      <c r="G607" s="1932" t="str">
        <f>+VLOOKUP(F607,TT_Tabelle_Riferimento!$D$127:$G$164,4,FALSE)</f>
        <v>Fabbricati non industriali</v>
      </c>
      <c r="H607" s="1013">
        <v>1</v>
      </c>
      <c r="I607" s="1932" t="str">
        <f>+VLOOKUP(H607,TT_Tabelle_Riferimento!$F$3:$G$6,2,FALSE)</f>
        <v>Servizio idrico integrato</v>
      </c>
      <c r="J607" s="1013">
        <v>2027</v>
      </c>
      <c r="K607" s="2335">
        <f>+SUMIFS('PdI-crono_inv'!BB:BB,'PdI-crono_inv'!CF:CF,F607,'PdI-crono_inv'!CE:CE,H607,'PdI-crono_inv'!J:J,P607,'PdI-crono_inv'!P:P,"&lt;&gt;proprietario")</f>
        <v>0</v>
      </c>
      <c r="M607" s="2335">
        <f>+SUMIFS('PdI-crono_inv'!BC:BC,'PdI-crono_inv'!CF:CF,F607,'PdI-crono_inv'!CE:CE,H607,'PdI-crono_inv'!J:J,P607,'PdI-crono_inv'!P:P,"&lt;&gt;proprietario")+S607</f>
        <v>0</v>
      </c>
      <c r="P607" s="1013" t="s">
        <v>27068</v>
      </c>
      <c r="Q607" s="1932" t="str">
        <f>+VLOOKUP(F607,TT_Tabelle_Riferimento!$D$127:$E$164,2,FALSE)</f>
        <v>Comune</v>
      </c>
      <c r="R607" s="1932" t="str">
        <f t="shared" si="52"/>
        <v/>
      </c>
      <c r="S607" s="2335">
        <f t="shared" si="53"/>
        <v>0</v>
      </c>
    </row>
    <row r="608" spans="1:19">
      <c r="A608" s="1932">
        <f t="shared" si="54"/>
        <v>0</v>
      </c>
      <c r="B608" s="1932">
        <f t="shared" si="55"/>
        <v>0</v>
      </c>
      <c r="C608" s="1013" t="s">
        <v>245</v>
      </c>
      <c r="D608" s="1013">
        <v>0</v>
      </c>
      <c r="E608" s="1013" t="s">
        <v>22698</v>
      </c>
      <c r="F608" s="1013">
        <v>34</v>
      </c>
      <c r="G608" s="1932" t="str">
        <f>+VLOOKUP(F608,TT_Tabelle_Riferimento!$D$127:$G$164,4,FALSE)</f>
        <v>Fabbricati industriali</v>
      </c>
      <c r="H608" s="1013">
        <v>1</v>
      </c>
      <c r="I608" s="1932" t="str">
        <f>+VLOOKUP(H608,TT_Tabelle_Riferimento!$F$3:$G$6,2,FALSE)</f>
        <v>Servizio idrico integrato</v>
      </c>
      <c r="J608" s="1013">
        <v>2027</v>
      </c>
      <c r="K608" s="2335">
        <f>+SUMIFS('PdI-crono_inv'!BB:BB,'PdI-crono_inv'!CF:CF,F608,'PdI-crono_inv'!CE:CE,H608,'PdI-crono_inv'!J:J,P608,'PdI-crono_inv'!P:P,"&lt;&gt;proprietario")</f>
        <v>0</v>
      </c>
      <c r="M608" s="2335">
        <f>+SUMIFS('PdI-crono_inv'!BC:BC,'PdI-crono_inv'!CF:CF,F608,'PdI-crono_inv'!CE:CE,H608,'PdI-crono_inv'!J:J,P608,'PdI-crono_inv'!P:P,"&lt;&gt;proprietario")+S608</f>
        <v>0</v>
      </c>
      <c r="P608" s="1013" t="s">
        <v>27068</v>
      </c>
      <c r="Q608" s="1932" t="str">
        <f>+VLOOKUP(F608,TT_Tabelle_Riferimento!$D$127:$E$164,2,FALSE)</f>
        <v>Comune</v>
      </c>
      <c r="R608" s="1932" t="str">
        <f t="shared" si="52"/>
        <v/>
      </c>
      <c r="S608" s="2335">
        <f t="shared" si="53"/>
        <v>0</v>
      </c>
    </row>
    <row r="609" spans="1:19">
      <c r="A609" s="1932">
        <f t="shared" si="54"/>
        <v>0</v>
      </c>
      <c r="B609" s="1932">
        <f t="shared" si="55"/>
        <v>0</v>
      </c>
      <c r="C609" s="1013" t="s">
        <v>245</v>
      </c>
      <c r="D609" s="1013">
        <v>0</v>
      </c>
      <c r="E609" s="1013" t="s">
        <v>22698</v>
      </c>
      <c r="F609" s="1013">
        <v>35</v>
      </c>
      <c r="G609" s="1932" t="str">
        <f>+VLOOKUP(F609,TT_Tabelle_Riferimento!$D$127:$G$164,4,FALSE)</f>
        <v>Costruzioni leggere</v>
      </c>
      <c r="H609" s="1013">
        <v>1</v>
      </c>
      <c r="I609" s="1932" t="str">
        <f>+VLOOKUP(H609,TT_Tabelle_Riferimento!$F$3:$G$6,2,FALSE)</f>
        <v>Servizio idrico integrato</v>
      </c>
      <c r="J609" s="1013">
        <v>2027</v>
      </c>
      <c r="K609" s="2335">
        <f>+SUMIFS('PdI-crono_inv'!BB:BB,'PdI-crono_inv'!CF:CF,F609,'PdI-crono_inv'!CE:CE,H609,'PdI-crono_inv'!J:J,P609,'PdI-crono_inv'!P:P,"&lt;&gt;proprietario")</f>
        <v>0</v>
      </c>
      <c r="M609" s="2335">
        <f>+SUMIFS('PdI-crono_inv'!BC:BC,'PdI-crono_inv'!CF:CF,F609,'PdI-crono_inv'!CE:CE,H609,'PdI-crono_inv'!J:J,P609,'PdI-crono_inv'!P:P,"&lt;&gt;proprietario")+S609</f>
        <v>0</v>
      </c>
      <c r="P609" s="1013" t="s">
        <v>27068</v>
      </c>
      <c r="Q609" s="1932" t="str">
        <f>+VLOOKUP(F609,TT_Tabelle_Riferimento!$D$127:$E$164,2,FALSE)</f>
        <v>Comune</v>
      </c>
      <c r="R609" s="1932" t="str">
        <f t="shared" si="52"/>
        <v/>
      </c>
      <c r="S609" s="2335">
        <f t="shared" si="53"/>
        <v>0</v>
      </c>
    </row>
    <row r="610" spans="1:19">
      <c r="A610" s="1932">
        <f t="shared" si="54"/>
        <v>0</v>
      </c>
      <c r="B610" s="1932">
        <f t="shared" si="55"/>
        <v>0</v>
      </c>
      <c r="C610" s="1013" t="s">
        <v>245</v>
      </c>
      <c r="D610" s="1013">
        <v>0</v>
      </c>
      <c r="E610" s="1013" t="s">
        <v>22698</v>
      </c>
      <c r="F610" s="1013">
        <v>36</v>
      </c>
      <c r="G610" s="1932" t="str">
        <f>+VLOOKUP(F610,TT_Tabelle_Riferimento!$D$127:$G$164,4,FALSE)</f>
        <v>Studi, ricerche, brevetti, diritti di utilizzazione</v>
      </c>
      <c r="H610" s="1013">
        <v>1</v>
      </c>
      <c r="I610" s="1932" t="str">
        <f>+VLOOKUP(H610,TT_Tabelle_Riferimento!$F$3:$G$6,2,FALSE)</f>
        <v>Servizio idrico integrato</v>
      </c>
      <c r="J610" s="1013">
        <v>2027</v>
      </c>
      <c r="K610" s="2335">
        <f>+SUMIFS('PdI-crono_inv'!BB:BB,'PdI-crono_inv'!CF:CF,F610,'PdI-crono_inv'!CE:CE,H610,'PdI-crono_inv'!J:J,P610,'PdI-crono_inv'!P:P,"&lt;&gt;proprietario")</f>
        <v>0</v>
      </c>
      <c r="M610" s="2335">
        <f>+SUMIFS('PdI-crono_inv'!BC:BC,'PdI-crono_inv'!CF:CF,F610,'PdI-crono_inv'!CE:CE,H610,'PdI-crono_inv'!J:J,P610,'PdI-crono_inv'!P:P,"&lt;&gt;proprietario")+S610</f>
        <v>0</v>
      </c>
      <c r="P610" s="1013" t="s">
        <v>27068</v>
      </c>
      <c r="Q610" s="1932" t="str">
        <f>+VLOOKUP(F610,TT_Tabelle_Riferimento!$D$127:$E$164,2,FALSE)</f>
        <v>Comune</v>
      </c>
      <c r="R610" s="1932" t="str">
        <f t="shared" si="52"/>
        <v/>
      </c>
      <c r="S610" s="2335">
        <f t="shared" si="53"/>
        <v>0</v>
      </c>
    </row>
    <row r="611" spans="1:19">
      <c r="A611" s="1932">
        <v>0</v>
      </c>
      <c r="B611" s="1932">
        <v>0</v>
      </c>
      <c r="C611" s="1013" t="s">
        <v>245</v>
      </c>
      <c r="D611" s="1013">
        <v>0</v>
      </c>
      <c r="E611" s="1013" t="s">
        <v>22698</v>
      </c>
      <c r="F611" s="1013">
        <v>37</v>
      </c>
      <c r="G611" s="1932" t="str">
        <f>+VLOOKUP(F611,TT_Tabelle_Riferimento!$D$127:$G$164,4,FALSE)</f>
        <v>Altre immobilizzazioni materiali e immateriali</v>
      </c>
      <c r="H611" s="1013">
        <v>1</v>
      </c>
      <c r="I611" s="1932" t="str">
        <f>+VLOOKUP(H611,TT_Tabelle_Riferimento!$F$3:$G$6,2,FALSE)</f>
        <v>Servizio idrico integrato</v>
      </c>
      <c r="J611" s="1013">
        <v>2027</v>
      </c>
      <c r="K611" s="2335">
        <f>+SUMIFS('PdI-crono_inv'!BB:BB,'PdI-crono_inv'!CF:CF,F611,'PdI-crono_inv'!CE:CE,H611,'PdI-crono_inv'!J:J,P611,'PdI-crono_inv'!P:P,"&lt;&gt;proprietario")</f>
        <v>0</v>
      </c>
      <c r="M611" s="2335">
        <f>+SUMIFS('PdI-crono_inv'!BC:BC,'PdI-crono_inv'!CF:CF,F611,'PdI-crono_inv'!CE:CE,H611,'PdI-crono_inv'!J:J,P611,'PdI-crono_inv'!P:P,"&lt;&gt;proprietario")+S611</f>
        <v>0</v>
      </c>
      <c r="P611" s="1013" t="s">
        <v>27068</v>
      </c>
      <c r="Q611" s="1932" t="str">
        <f>+VLOOKUP(F611,TT_Tabelle_Riferimento!$D$127:$E$164,2,FALSE)</f>
        <v>Comune</v>
      </c>
      <c r="R611" s="1932" t="str">
        <f t="shared" si="52"/>
        <v/>
      </c>
      <c r="S611" s="2335">
        <f t="shared" si="53"/>
        <v>0</v>
      </c>
    </row>
    <row r="612" spans="1:19">
      <c r="A612" s="1932">
        <v>0</v>
      </c>
      <c r="B612" s="1932">
        <v>0</v>
      </c>
      <c r="C612" s="1013" t="s">
        <v>245</v>
      </c>
      <c r="D612" s="1013">
        <v>0</v>
      </c>
      <c r="E612" s="1013" t="s">
        <v>22698</v>
      </c>
      <c r="F612" s="1013">
        <v>38</v>
      </c>
      <c r="G612" s="1932" t="str">
        <f>+VLOOKUP(F612,TT_Tabelle_Riferimento!$D$127:$G$164,4,FALSE)</f>
        <v>Grandi dighe (sbarramenti che superano i quindici metri di altezza o che determinano un invaso superiore a 1 milione di metri cubi)</v>
      </c>
      <c r="H612" s="1013">
        <v>1</v>
      </c>
      <c r="I612" s="1932" t="str">
        <f>+VLOOKUP(H612,TT_Tabelle_Riferimento!$F$3:$G$6,2,FALSE)</f>
        <v>Servizio idrico integrato</v>
      </c>
      <c r="J612" s="1013">
        <v>2027</v>
      </c>
      <c r="K612" s="2335">
        <f>+SUMIFS('PdI-crono_inv'!BB:BB,'PdI-crono_inv'!CF:CF,F612,'PdI-crono_inv'!CE:CE,H612,'PdI-crono_inv'!J:J,P612,'PdI-crono_inv'!P:P,"&lt;&gt;proprietario")</f>
        <v>0</v>
      </c>
      <c r="M612" s="2335">
        <f>+SUMIFS('PdI-crono_inv'!BC:BC,'PdI-crono_inv'!CF:CF,F612,'PdI-crono_inv'!CE:CE,H612,'PdI-crono_inv'!J:J,P612,'PdI-crono_inv'!P:P,"&lt;&gt;proprietario")+S612</f>
        <v>0</v>
      </c>
      <c r="P612" s="1013" t="s">
        <v>27068</v>
      </c>
      <c r="Q612" s="1932" t="str">
        <f>+VLOOKUP(F612,TT_Tabelle_Riferimento!$D$127:$E$164,2,FALSE)</f>
        <v>Acquedotto</v>
      </c>
      <c r="R612" s="1932" t="str">
        <f t="shared" si="52"/>
        <v/>
      </c>
      <c r="S612" s="2335">
        <f t="shared" si="53"/>
        <v>0</v>
      </c>
    </row>
    <row r="613" spans="1:19">
      <c r="A613" s="1932">
        <v>0</v>
      </c>
      <c r="B613" s="1932">
        <v>0</v>
      </c>
      <c r="C613" s="1013" t="s">
        <v>245</v>
      </c>
      <c r="D613" s="1013">
        <v>0</v>
      </c>
      <c r="E613" s="1013" t="s">
        <v>22698</v>
      </c>
      <c r="F613" s="1013">
        <v>39</v>
      </c>
      <c r="G613" s="1932" t="str">
        <f>+VLOOKUP(F613,TT_Tabelle_Riferimento!$D$127:$G$164,4,FALSE)</f>
        <v>Piccole dighe (sbarramenti che non superano i quindici metri di altezza o che determinano un invaso non superiore a 1 milione di metri cubi)</v>
      </c>
      <c r="H613" s="1013">
        <v>1</v>
      </c>
      <c r="I613" s="1932" t="str">
        <f>+VLOOKUP(H613,TT_Tabelle_Riferimento!$F$3:$G$6,2,FALSE)</f>
        <v>Servizio idrico integrato</v>
      </c>
      <c r="J613" s="1013">
        <v>2027</v>
      </c>
      <c r="K613" s="2335">
        <f>+SUMIFS('PdI-crono_inv'!BB:BB,'PdI-crono_inv'!CF:CF,F613,'PdI-crono_inv'!CE:CE,H613,'PdI-crono_inv'!J:J,P613,'PdI-crono_inv'!P:P,"&lt;&gt;proprietario")</f>
        <v>0</v>
      </c>
      <c r="M613" s="2335">
        <f>+SUMIFS('PdI-crono_inv'!BC:BC,'PdI-crono_inv'!CF:CF,F613,'PdI-crono_inv'!CE:CE,H613,'PdI-crono_inv'!J:J,P613,'PdI-crono_inv'!P:P,"&lt;&gt;proprietario")+S613</f>
        <v>0</v>
      </c>
      <c r="P613" s="1013" t="s">
        <v>27068</v>
      </c>
      <c r="Q613" s="1932" t="str">
        <f>+VLOOKUP(F613,TT_Tabelle_Riferimento!$D$127:$E$164,2,FALSE)</f>
        <v>Acquedotto</v>
      </c>
      <c r="R613" s="1932" t="str">
        <f t="shared" si="52"/>
        <v/>
      </c>
      <c r="S613" s="2335">
        <f t="shared" si="53"/>
        <v>0</v>
      </c>
    </row>
    <row r="614" spans="1:19">
      <c r="A614" s="1932">
        <f t="shared" ref="A614:A648" si="56">+idato</f>
        <v>0</v>
      </c>
      <c r="B614" s="1932">
        <f t="shared" ref="B614:B648" si="57">+idgestore</f>
        <v>0</v>
      </c>
      <c r="C614" s="1013" t="s">
        <v>245</v>
      </c>
      <c r="D614" s="1013">
        <v>0</v>
      </c>
      <c r="E614" s="1013" t="s">
        <v>22698</v>
      </c>
      <c r="F614" s="1013">
        <v>2</v>
      </c>
      <c r="G614" s="1932" t="str">
        <f>+VLOOKUP(F614,TT_Tabelle_Riferimento!$D$127:$G$164,4,FALSE)</f>
        <v>Condotte di acquedotto</v>
      </c>
      <c r="H614" s="1013">
        <v>2</v>
      </c>
      <c r="I614" s="1932" t="str">
        <f>+VLOOKUP(H614,TT_Tabelle_Riferimento!$F$3:$G$6,2,FALSE)</f>
        <v>Fognatura bianca e pulizia / manutenzione caditoie stradali</v>
      </c>
      <c r="J614" s="1013">
        <v>2027</v>
      </c>
      <c r="K614" s="2335">
        <f>+SUMIFS('PdI-crono_inv'!BB:BB,'PdI-crono_inv'!CF:CF,F614,'PdI-crono_inv'!CE:CE,H614,'PdI-crono_inv'!J:J,P614,'PdI-crono_inv'!P:P,"&lt;&gt;proprietario")</f>
        <v>0</v>
      </c>
      <c r="M614" s="2335">
        <f>+SUMIFS('PdI-crono_inv'!BC:BC,'PdI-crono_inv'!CF:CF,F614,'PdI-crono_inv'!CE:CE,H614,'PdI-crono_inv'!J:J,P614,'PdI-crono_inv'!P:P,"&lt;&gt;proprietario")+S614</f>
        <v>0</v>
      </c>
      <c r="P614" s="1013" t="s">
        <v>27068</v>
      </c>
      <c r="Q614" s="1932" t="str">
        <f>+VLOOKUP(F614,TT_Tabelle_Riferimento!$D$127:$E$164,2,FALSE)</f>
        <v>Acquedotto</v>
      </c>
      <c r="R614" s="1932" t="str">
        <f t="shared" si="52"/>
        <v/>
      </c>
      <c r="S614" s="2335">
        <f t="shared" si="53"/>
        <v>0</v>
      </c>
    </row>
    <row r="615" spans="1:19">
      <c r="A615" s="1932">
        <f t="shared" si="56"/>
        <v>0</v>
      </c>
      <c r="B615" s="1932">
        <f t="shared" si="57"/>
        <v>0</v>
      </c>
      <c r="C615" s="1013" t="s">
        <v>245</v>
      </c>
      <c r="D615" s="1013">
        <v>0</v>
      </c>
      <c r="E615" s="1013" t="s">
        <v>22698</v>
      </c>
      <c r="F615" s="1013">
        <v>3</v>
      </c>
      <c r="G615" s="1932" t="str">
        <f>+VLOOKUP(F615,TT_Tabelle_Riferimento!$D$127:$G$164,4,FALSE)</f>
        <v>Opere idrauliche fisse di acquedotto</v>
      </c>
      <c r="H615" s="1013">
        <v>2</v>
      </c>
      <c r="I615" s="1932" t="str">
        <f>+VLOOKUP(H615,TT_Tabelle_Riferimento!$F$3:$G$6,2,FALSE)</f>
        <v>Fognatura bianca e pulizia / manutenzione caditoie stradali</v>
      </c>
      <c r="J615" s="1013">
        <v>2027</v>
      </c>
      <c r="K615" s="2335">
        <f>+SUMIFS('PdI-crono_inv'!BB:BB,'PdI-crono_inv'!CF:CF,F615,'PdI-crono_inv'!CE:CE,H615,'PdI-crono_inv'!J:J,P615,'PdI-crono_inv'!P:P,"&lt;&gt;proprietario")</f>
        <v>0</v>
      </c>
      <c r="M615" s="2335">
        <f>+SUMIFS('PdI-crono_inv'!BC:BC,'PdI-crono_inv'!CF:CF,F615,'PdI-crono_inv'!CE:CE,H615,'PdI-crono_inv'!J:J,P615,'PdI-crono_inv'!P:P,"&lt;&gt;proprietario")+S615</f>
        <v>0</v>
      </c>
      <c r="P615" s="1013" t="s">
        <v>27068</v>
      </c>
      <c r="Q615" s="1932" t="str">
        <f>+VLOOKUP(F615,TT_Tabelle_Riferimento!$D$127:$E$164,2,FALSE)</f>
        <v>Acquedotto</v>
      </c>
      <c r="R615" s="1932" t="str">
        <f t="shared" si="52"/>
        <v/>
      </c>
      <c r="S615" s="2335">
        <f t="shared" si="53"/>
        <v>0</v>
      </c>
    </row>
    <row r="616" spans="1:19">
      <c r="A616" s="1932">
        <f t="shared" si="56"/>
        <v>0</v>
      </c>
      <c r="B616" s="1932">
        <f t="shared" si="57"/>
        <v>0</v>
      </c>
      <c r="C616" s="1013" t="s">
        <v>245</v>
      </c>
      <c r="D616" s="1013">
        <v>0</v>
      </c>
      <c r="E616" s="1013" t="s">
        <v>22698</v>
      </c>
      <c r="F616" s="1013">
        <v>4</v>
      </c>
      <c r="G616" s="1932" t="str">
        <f>+VLOOKUP(F616,TT_Tabelle_Riferimento!$D$127:$G$164,4,FALSE)</f>
        <v>Serbatoi</v>
      </c>
      <c r="H616" s="1013">
        <v>2</v>
      </c>
      <c r="I616" s="1932" t="str">
        <f>+VLOOKUP(H616,TT_Tabelle_Riferimento!$F$3:$G$6,2,FALSE)</f>
        <v>Fognatura bianca e pulizia / manutenzione caditoie stradali</v>
      </c>
      <c r="J616" s="1013">
        <v>2027</v>
      </c>
      <c r="K616" s="2335">
        <f>+SUMIFS('PdI-crono_inv'!BB:BB,'PdI-crono_inv'!CF:CF,F616,'PdI-crono_inv'!CE:CE,H616,'PdI-crono_inv'!J:J,P616,'PdI-crono_inv'!P:P,"&lt;&gt;proprietario")</f>
        <v>0</v>
      </c>
      <c r="M616" s="2335">
        <f>+SUMIFS('PdI-crono_inv'!BC:BC,'PdI-crono_inv'!CF:CF,F616,'PdI-crono_inv'!CE:CE,H616,'PdI-crono_inv'!J:J,P616,'PdI-crono_inv'!P:P,"&lt;&gt;proprietario")+S616</f>
        <v>0</v>
      </c>
      <c r="P616" s="1013" t="s">
        <v>27068</v>
      </c>
      <c r="Q616" s="1932" t="str">
        <f>+VLOOKUP(F616,TT_Tabelle_Riferimento!$D$127:$E$164,2,FALSE)</f>
        <v>Acquedotto</v>
      </c>
      <c r="R616" s="1932" t="str">
        <f t="shared" si="52"/>
        <v/>
      </c>
      <c r="S616" s="2335">
        <f t="shared" si="53"/>
        <v>0</v>
      </c>
    </row>
    <row r="617" spans="1:19">
      <c r="A617" s="1932">
        <f t="shared" si="56"/>
        <v>0</v>
      </c>
      <c r="B617" s="1932">
        <f t="shared" si="57"/>
        <v>0</v>
      </c>
      <c r="C617" s="1013" t="s">
        <v>245</v>
      </c>
      <c r="D617" s="1013">
        <v>0</v>
      </c>
      <c r="E617" s="1013" t="s">
        <v>22698</v>
      </c>
      <c r="F617" s="1013">
        <v>5</v>
      </c>
      <c r="G617" s="1932" t="str">
        <f>+VLOOKUP(F617,TT_Tabelle_Riferimento!$D$127:$G$164,4,FALSE)</f>
        <v>Impianti di sollevamento e pompaggio di acquedotto</v>
      </c>
      <c r="H617" s="1013">
        <v>2</v>
      </c>
      <c r="I617" s="1932" t="str">
        <f>+VLOOKUP(H617,TT_Tabelle_Riferimento!$F$3:$G$6,2,FALSE)</f>
        <v>Fognatura bianca e pulizia / manutenzione caditoie stradali</v>
      </c>
      <c r="J617" s="1013">
        <v>2027</v>
      </c>
      <c r="K617" s="2335">
        <f>+SUMIFS('PdI-crono_inv'!BB:BB,'PdI-crono_inv'!CF:CF,F617,'PdI-crono_inv'!CE:CE,H617,'PdI-crono_inv'!J:J,P617,'PdI-crono_inv'!P:P,"&lt;&gt;proprietario")</f>
        <v>0</v>
      </c>
      <c r="M617" s="2335">
        <f>+SUMIFS('PdI-crono_inv'!BC:BC,'PdI-crono_inv'!CF:CF,F617,'PdI-crono_inv'!CE:CE,H617,'PdI-crono_inv'!J:J,P617,'PdI-crono_inv'!P:P,"&lt;&gt;proprietario")+S617</f>
        <v>0</v>
      </c>
      <c r="P617" s="1013" t="s">
        <v>27068</v>
      </c>
      <c r="Q617" s="1932" t="str">
        <f>+VLOOKUP(F617,TT_Tabelle_Riferimento!$D$127:$E$164,2,FALSE)</f>
        <v>Acquedotto</v>
      </c>
      <c r="R617" s="1932" t="str">
        <f t="shared" si="52"/>
        <v/>
      </c>
      <c r="S617" s="2335">
        <f t="shared" si="53"/>
        <v>0</v>
      </c>
    </row>
    <row r="618" spans="1:19">
      <c r="A618" s="1932">
        <f t="shared" si="56"/>
        <v>0</v>
      </c>
      <c r="B618" s="1932">
        <f t="shared" si="57"/>
        <v>0</v>
      </c>
      <c r="C618" s="1013" t="s">
        <v>245</v>
      </c>
      <c r="D618" s="1013">
        <v>0</v>
      </c>
      <c r="E618" s="1013" t="s">
        <v>22698</v>
      </c>
      <c r="F618" s="1013">
        <v>6</v>
      </c>
      <c r="G618" s="1932" t="str">
        <f>+VLOOKUP(F618,TT_Tabelle_Riferimento!$D$127:$G$164,4,FALSE)</f>
        <v>Impianti di potabilizzazione</v>
      </c>
      <c r="H618" s="1013">
        <v>2</v>
      </c>
      <c r="I618" s="1932" t="str">
        <f>+VLOOKUP(H618,TT_Tabelle_Riferimento!$F$3:$G$6,2,FALSE)</f>
        <v>Fognatura bianca e pulizia / manutenzione caditoie stradali</v>
      </c>
      <c r="J618" s="1013">
        <v>2027</v>
      </c>
      <c r="K618" s="2335">
        <f>+SUMIFS('PdI-crono_inv'!BB:BB,'PdI-crono_inv'!CF:CF,F618,'PdI-crono_inv'!CE:CE,H618,'PdI-crono_inv'!J:J,P618,'PdI-crono_inv'!P:P,"&lt;&gt;proprietario")</f>
        <v>0</v>
      </c>
      <c r="M618" s="2335">
        <f>+SUMIFS('PdI-crono_inv'!BC:BC,'PdI-crono_inv'!CF:CF,F618,'PdI-crono_inv'!CE:CE,H618,'PdI-crono_inv'!J:J,P618,'PdI-crono_inv'!P:P,"&lt;&gt;proprietario")+S618</f>
        <v>0</v>
      </c>
      <c r="P618" s="1013" t="s">
        <v>27068</v>
      </c>
      <c r="Q618" s="1932" t="str">
        <f>+VLOOKUP(F618,TT_Tabelle_Riferimento!$D$127:$E$164,2,FALSE)</f>
        <v>Acquedotto</v>
      </c>
      <c r="R618" s="1932" t="str">
        <f t="shared" si="52"/>
        <v/>
      </c>
      <c r="S618" s="2335">
        <f t="shared" si="53"/>
        <v>0</v>
      </c>
    </row>
    <row r="619" spans="1:19">
      <c r="A619" s="1932">
        <f t="shared" si="56"/>
        <v>0</v>
      </c>
      <c r="B619" s="1932">
        <f t="shared" si="57"/>
        <v>0</v>
      </c>
      <c r="C619" s="1013" t="s">
        <v>245</v>
      </c>
      <c r="D619" s="1013">
        <v>0</v>
      </c>
      <c r="E619" s="1013" t="s">
        <v>22698</v>
      </c>
      <c r="F619" s="1013">
        <v>7</v>
      </c>
      <c r="G619" s="1932" t="str">
        <f>+VLOOKUP(F619,TT_Tabelle_Riferimento!$D$127:$G$164,4,FALSE)</f>
        <v>Altri trattamenti di potabilizzazione (tra cui dispositivi di disinfezione, stacciatura, filtrazione, addolcimento)</v>
      </c>
      <c r="H619" s="1013">
        <v>2</v>
      </c>
      <c r="I619" s="1932" t="str">
        <f>+VLOOKUP(H619,TT_Tabelle_Riferimento!$F$3:$G$6,2,FALSE)</f>
        <v>Fognatura bianca e pulizia / manutenzione caditoie stradali</v>
      </c>
      <c r="J619" s="1013">
        <v>2027</v>
      </c>
      <c r="K619" s="2335">
        <f>+SUMIFS('PdI-crono_inv'!BB:BB,'PdI-crono_inv'!CF:CF,F619,'PdI-crono_inv'!CE:CE,H619,'PdI-crono_inv'!J:J,P619,'PdI-crono_inv'!P:P,"&lt;&gt;proprietario")</f>
        <v>0</v>
      </c>
      <c r="M619" s="2335">
        <f>+SUMIFS('PdI-crono_inv'!BC:BC,'PdI-crono_inv'!CF:CF,F619,'PdI-crono_inv'!CE:CE,H619,'PdI-crono_inv'!J:J,P619,'PdI-crono_inv'!P:P,"&lt;&gt;proprietario")+S619</f>
        <v>0</v>
      </c>
      <c r="P619" s="1013" t="s">
        <v>27068</v>
      </c>
      <c r="Q619" s="1932" t="str">
        <f>+VLOOKUP(F619,TT_Tabelle_Riferimento!$D$127:$E$164,2,FALSE)</f>
        <v>Acquedotto</v>
      </c>
      <c r="R619" s="1932" t="str">
        <f t="shared" si="52"/>
        <v/>
      </c>
      <c r="S619" s="2335">
        <f t="shared" si="53"/>
        <v>0</v>
      </c>
    </row>
    <row r="620" spans="1:19">
      <c r="A620" s="1932">
        <f t="shared" si="56"/>
        <v>0</v>
      </c>
      <c r="B620" s="1932">
        <f t="shared" si="57"/>
        <v>0</v>
      </c>
      <c r="C620" s="1013" t="s">
        <v>245</v>
      </c>
      <c r="D620" s="1013">
        <v>0</v>
      </c>
      <c r="E620" s="1013" t="s">
        <v>22698</v>
      </c>
      <c r="F620" s="1013">
        <v>8</v>
      </c>
      <c r="G620" s="1932" t="str">
        <f>+VLOOKUP(F620,TT_Tabelle_Riferimento!$D$127:$G$164,4,FALSE)</f>
        <v>Gruppi di misura - altre attrezzature di acquedotto</v>
      </c>
      <c r="H620" s="1013">
        <v>2</v>
      </c>
      <c r="I620" s="1932" t="str">
        <f>+VLOOKUP(H620,TT_Tabelle_Riferimento!$F$3:$G$6,2,FALSE)</f>
        <v>Fognatura bianca e pulizia / manutenzione caditoie stradali</v>
      </c>
      <c r="J620" s="1013">
        <v>2027</v>
      </c>
      <c r="K620" s="2335">
        <f>+SUMIFS('PdI-crono_inv'!BB:BB,'PdI-crono_inv'!CF:CF,F620,'PdI-crono_inv'!CE:CE,H620,'PdI-crono_inv'!J:J,P620,'PdI-crono_inv'!P:P,"&lt;&gt;proprietario")</f>
        <v>0</v>
      </c>
      <c r="M620" s="2335">
        <f>+SUMIFS('PdI-crono_inv'!BC:BC,'PdI-crono_inv'!CF:CF,F620,'PdI-crono_inv'!CE:CE,H620,'PdI-crono_inv'!J:J,P620,'PdI-crono_inv'!P:P,"&lt;&gt;proprietario")+S620</f>
        <v>0</v>
      </c>
      <c r="P620" s="1013" t="s">
        <v>27068</v>
      </c>
      <c r="Q620" s="1932" t="str">
        <f>+VLOOKUP(F620,TT_Tabelle_Riferimento!$D$127:$E$164,2,FALSE)</f>
        <v>Acquedotto</v>
      </c>
      <c r="R620" s="1932" t="str">
        <f t="shared" si="52"/>
        <v/>
      </c>
      <c r="S620" s="2335">
        <f t="shared" si="53"/>
        <v>0</v>
      </c>
    </row>
    <row r="621" spans="1:19">
      <c r="A621" s="1932">
        <f t="shared" si="56"/>
        <v>0</v>
      </c>
      <c r="B621" s="1932">
        <f t="shared" si="57"/>
        <v>0</v>
      </c>
      <c r="C621" s="1013" t="s">
        <v>245</v>
      </c>
      <c r="D621" s="1013">
        <v>0</v>
      </c>
      <c r="E621" s="1013" t="s">
        <v>22698</v>
      </c>
      <c r="F621" s="1013">
        <v>9</v>
      </c>
      <c r="G621" s="1932" t="str">
        <f>+VLOOKUP(F621,TT_Tabelle_Riferimento!$D$127:$G$164,4,FALSE)</f>
        <v>Sistemi informativi di acquedotto</v>
      </c>
      <c r="H621" s="1013">
        <v>2</v>
      </c>
      <c r="I621" s="1932" t="str">
        <f>+VLOOKUP(H621,TT_Tabelle_Riferimento!$F$3:$G$6,2,FALSE)</f>
        <v>Fognatura bianca e pulizia / manutenzione caditoie stradali</v>
      </c>
      <c r="J621" s="1013">
        <v>2027</v>
      </c>
      <c r="K621" s="2335">
        <f>+SUMIFS('PdI-crono_inv'!BB:BB,'PdI-crono_inv'!CF:CF,F621,'PdI-crono_inv'!CE:CE,H621,'PdI-crono_inv'!J:J,P621,'PdI-crono_inv'!P:P,"&lt;&gt;proprietario")</f>
        <v>0</v>
      </c>
      <c r="M621" s="2335">
        <f>+SUMIFS('PdI-crono_inv'!BC:BC,'PdI-crono_inv'!CF:CF,F621,'PdI-crono_inv'!CE:CE,H621,'PdI-crono_inv'!J:J,P621,'PdI-crono_inv'!P:P,"&lt;&gt;proprietario")+S621</f>
        <v>0</v>
      </c>
      <c r="P621" s="1013" t="s">
        <v>27068</v>
      </c>
      <c r="Q621" s="1932" t="str">
        <f>+VLOOKUP(F621,TT_Tabelle_Riferimento!$D$127:$E$164,2,FALSE)</f>
        <v>Acquedotto</v>
      </c>
      <c r="R621" s="1932" t="str">
        <f t="shared" si="52"/>
        <v/>
      </c>
      <c r="S621" s="2335">
        <f t="shared" si="53"/>
        <v>0</v>
      </c>
    </row>
    <row r="622" spans="1:19">
      <c r="A622" s="1932">
        <f t="shared" si="56"/>
        <v>0</v>
      </c>
      <c r="B622" s="1932">
        <f t="shared" si="57"/>
        <v>0</v>
      </c>
      <c r="C622" s="1013" t="s">
        <v>245</v>
      </c>
      <c r="D622" s="1013">
        <v>0</v>
      </c>
      <c r="E622" s="1013" t="s">
        <v>22698</v>
      </c>
      <c r="F622" s="1013">
        <v>10</v>
      </c>
      <c r="G622" s="1932" t="str">
        <f>+VLOOKUP(F622,TT_Tabelle_Riferimento!$D$127:$G$164,4,FALSE)</f>
        <v>Telecontrollo e teletrasmissione di acquedotto</v>
      </c>
      <c r="H622" s="1013">
        <v>2</v>
      </c>
      <c r="I622" s="1932" t="str">
        <f>+VLOOKUP(H622,TT_Tabelle_Riferimento!$F$3:$G$6,2,FALSE)</f>
        <v>Fognatura bianca e pulizia / manutenzione caditoie stradali</v>
      </c>
      <c r="J622" s="1013">
        <v>2027</v>
      </c>
      <c r="K622" s="2335">
        <f>+SUMIFS('PdI-crono_inv'!BB:BB,'PdI-crono_inv'!CF:CF,F622,'PdI-crono_inv'!CE:CE,H622,'PdI-crono_inv'!J:J,P622,'PdI-crono_inv'!P:P,"&lt;&gt;proprietario")</f>
        <v>0</v>
      </c>
      <c r="M622" s="2335">
        <f>+SUMIFS('PdI-crono_inv'!BC:BC,'PdI-crono_inv'!CF:CF,F622,'PdI-crono_inv'!CE:CE,H622,'PdI-crono_inv'!J:J,P622,'PdI-crono_inv'!P:P,"&lt;&gt;proprietario")+S622</f>
        <v>0</v>
      </c>
      <c r="P622" s="1013" t="s">
        <v>27068</v>
      </c>
      <c r="Q622" s="1932" t="str">
        <f>+VLOOKUP(F622,TT_Tabelle_Riferimento!$D$127:$E$164,2,FALSE)</f>
        <v>Acquedotto</v>
      </c>
      <c r="R622" s="1932" t="str">
        <f t="shared" si="52"/>
        <v/>
      </c>
      <c r="S622" s="2335">
        <f t="shared" si="53"/>
        <v>0</v>
      </c>
    </row>
    <row r="623" spans="1:19">
      <c r="A623" s="1932">
        <f t="shared" si="56"/>
        <v>0</v>
      </c>
      <c r="B623" s="1932">
        <f t="shared" si="57"/>
        <v>0</v>
      </c>
      <c r="C623" s="1013" t="s">
        <v>245</v>
      </c>
      <c r="D623" s="1013">
        <v>0</v>
      </c>
      <c r="E623" s="1013" t="s">
        <v>22698</v>
      </c>
      <c r="F623" s="1013">
        <v>11</v>
      </c>
      <c r="G623" s="1932" t="str">
        <f>+VLOOKUP(F623,TT_Tabelle_Riferimento!$D$127:$G$164,4,FALSE)</f>
        <v>Condotte fognarie</v>
      </c>
      <c r="H623" s="1013">
        <v>2</v>
      </c>
      <c r="I623" s="1932" t="str">
        <f>+VLOOKUP(H623,TT_Tabelle_Riferimento!$F$3:$G$6,2,FALSE)</f>
        <v>Fognatura bianca e pulizia / manutenzione caditoie stradali</v>
      </c>
      <c r="J623" s="1013">
        <v>2027</v>
      </c>
      <c r="K623" s="2335">
        <f>+SUMIFS('PdI-crono_inv'!BB:BB,'PdI-crono_inv'!CF:CF,F623,'PdI-crono_inv'!CE:CE,H623,'PdI-crono_inv'!J:J,P623,'PdI-crono_inv'!P:P,"&lt;&gt;proprietario")</f>
        <v>0</v>
      </c>
      <c r="M623" s="2335">
        <f>+SUMIFS('PdI-crono_inv'!BC:BC,'PdI-crono_inv'!CF:CF,F623,'PdI-crono_inv'!CE:CE,H623,'PdI-crono_inv'!J:J,P623,'PdI-crono_inv'!P:P,"&lt;&gt;proprietario")+S623</f>
        <v>0</v>
      </c>
      <c r="P623" s="1013" t="s">
        <v>27068</v>
      </c>
      <c r="Q623" s="1932" t="str">
        <f>+VLOOKUP(F623,TT_Tabelle_Riferimento!$D$127:$E$164,2,FALSE)</f>
        <v>Fognatura</v>
      </c>
      <c r="R623" s="1932" t="str">
        <f t="shared" si="52"/>
        <v/>
      </c>
      <c r="S623" s="2335">
        <f t="shared" si="53"/>
        <v>0</v>
      </c>
    </row>
    <row r="624" spans="1:19">
      <c r="A624" s="1932">
        <f t="shared" si="56"/>
        <v>0</v>
      </c>
      <c r="B624" s="1932">
        <f t="shared" si="57"/>
        <v>0</v>
      </c>
      <c r="C624" s="1013" t="s">
        <v>245</v>
      </c>
      <c r="D624" s="1013">
        <v>0</v>
      </c>
      <c r="E624" s="1013" t="s">
        <v>22698</v>
      </c>
      <c r="F624" s="1013">
        <v>12</v>
      </c>
      <c r="G624" s="1932" t="str">
        <f>+VLOOKUP(F624,TT_Tabelle_Riferimento!$D$127:$G$164,4,FALSE)</f>
        <v>Sifoni e scaricatori di piena e altre opere idrauliche fisse di fognatura</v>
      </c>
      <c r="H624" s="1013">
        <v>2</v>
      </c>
      <c r="I624" s="1932" t="str">
        <f>+VLOOKUP(H624,TT_Tabelle_Riferimento!$F$3:$G$6,2,FALSE)</f>
        <v>Fognatura bianca e pulizia / manutenzione caditoie stradali</v>
      </c>
      <c r="J624" s="1013">
        <v>2027</v>
      </c>
      <c r="K624" s="2335">
        <f>+SUMIFS('PdI-crono_inv'!BB:BB,'PdI-crono_inv'!CF:CF,F624,'PdI-crono_inv'!CE:CE,H624,'PdI-crono_inv'!J:J,P624,'PdI-crono_inv'!P:P,"&lt;&gt;proprietario")</f>
        <v>0</v>
      </c>
      <c r="M624" s="2335">
        <f>+SUMIFS('PdI-crono_inv'!BC:BC,'PdI-crono_inv'!CF:CF,F624,'PdI-crono_inv'!CE:CE,H624,'PdI-crono_inv'!J:J,P624,'PdI-crono_inv'!P:P,"&lt;&gt;proprietario")+S624</f>
        <v>0</v>
      </c>
      <c r="P624" s="1013" t="s">
        <v>27068</v>
      </c>
      <c r="Q624" s="1932" t="str">
        <f>+VLOOKUP(F624,TT_Tabelle_Riferimento!$D$127:$E$164,2,FALSE)</f>
        <v>Fognatura</v>
      </c>
      <c r="R624" s="1932" t="str">
        <f t="shared" si="52"/>
        <v/>
      </c>
      <c r="S624" s="2335">
        <f t="shared" si="53"/>
        <v>0</v>
      </c>
    </row>
    <row r="625" spans="1:19">
      <c r="A625" s="1932">
        <f t="shared" si="56"/>
        <v>0</v>
      </c>
      <c r="B625" s="1932">
        <f t="shared" si="57"/>
        <v>0</v>
      </c>
      <c r="C625" s="1013" t="s">
        <v>245</v>
      </c>
      <c r="D625" s="1013">
        <v>0</v>
      </c>
      <c r="E625" s="1013" t="s">
        <v>22698</v>
      </c>
      <c r="F625" s="1013">
        <v>13</v>
      </c>
      <c r="G625" s="1932" t="str">
        <f>+VLOOKUP(F625,TT_Tabelle_Riferimento!$D$127:$G$164,4,FALSE)</f>
        <v>Vasche di laminazione e vasche di prima pioggia</v>
      </c>
      <c r="H625" s="1013">
        <v>2</v>
      </c>
      <c r="I625" s="1932" t="str">
        <f>+VLOOKUP(H625,TT_Tabelle_Riferimento!$F$3:$G$6,2,FALSE)</f>
        <v>Fognatura bianca e pulizia / manutenzione caditoie stradali</v>
      </c>
      <c r="J625" s="1013">
        <v>2027</v>
      </c>
      <c r="K625" s="2335">
        <f>+SUMIFS('PdI-crono_inv'!BB:BB,'PdI-crono_inv'!CF:CF,F625,'PdI-crono_inv'!CE:CE,H625,'PdI-crono_inv'!J:J,P625,'PdI-crono_inv'!P:P,"&lt;&gt;proprietario")</f>
        <v>0</v>
      </c>
      <c r="M625" s="2335">
        <f>+SUMIFS('PdI-crono_inv'!BC:BC,'PdI-crono_inv'!CF:CF,F625,'PdI-crono_inv'!CE:CE,H625,'PdI-crono_inv'!J:J,P625,'PdI-crono_inv'!P:P,"&lt;&gt;proprietario")+S625</f>
        <v>0</v>
      </c>
      <c r="P625" s="1013" t="s">
        <v>27068</v>
      </c>
      <c r="Q625" s="1932" t="str">
        <f>+VLOOKUP(F625,TT_Tabelle_Riferimento!$D$127:$E$164,2,FALSE)</f>
        <v>Fognatura</v>
      </c>
      <c r="R625" s="1932" t="str">
        <f t="shared" si="52"/>
        <v/>
      </c>
      <c r="S625" s="2335">
        <f t="shared" si="53"/>
        <v>0</v>
      </c>
    </row>
    <row r="626" spans="1:19">
      <c r="A626" s="1932">
        <f t="shared" si="56"/>
        <v>0</v>
      </c>
      <c r="B626" s="1932">
        <f t="shared" si="57"/>
        <v>0</v>
      </c>
      <c r="C626" s="1013" t="s">
        <v>245</v>
      </c>
      <c r="D626" s="1013">
        <v>0</v>
      </c>
      <c r="E626" s="1013" t="s">
        <v>22698</v>
      </c>
      <c r="F626" s="1013">
        <v>14</v>
      </c>
      <c r="G626" s="1932" t="str">
        <f>+VLOOKUP(F626,TT_Tabelle_Riferimento!$D$127:$G$164,4,FALSE)</f>
        <v>Impianti di sollevamento e pompaggio di fognatura</v>
      </c>
      <c r="H626" s="1013">
        <v>2</v>
      </c>
      <c r="I626" s="1932" t="str">
        <f>+VLOOKUP(H626,TT_Tabelle_Riferimento!$F$3:$G$6,2,FALSE)</f>
        <v>Fognatura bianca e pulizia / manutenzione caditoie stradali</v>
      </c>
      <c r="J626" s="1013">
        <v>2027</v>
      </c>
      <c r="K626" s="2335">
        <f>+SUMIFS('PdI-crono_inv'!BB:BB,'PdI-crono_inv'!CF:CF,F626,'PdI-crono_inv'!CE:CE,H626,'PdI-crono_inv'!J:J,P626,'PdI-crono_inv'!P:P,"&lt;&gt;proprietario")</f>
        <v>0</v>
      </c>
      <c r="M626" s="2335">
        <f>+SUMIFS('PdI-crono_inv'!BC:BC,'PdI-crono_inv'!CF:CF,F626,'PdI-crono_inv'!CE:CE,H626,'PdI-crono_inv'!J:J,P626,'PdI-crono_inv'!P:P,"&lt;&gt;proprietario")+S626</f>
        <v>0</v>
      </c>
      <c r="P626" s="1013" t="s">
        <v>27068</v>
      </c>
      <c r="Q626" s="1932" t="str">
        <f>+VLOOKUP(F626,TT_Tabelle_Riferimento!$D$127:$E$164,2,FALSE)</f>
        <v>Fognatura</v>
      </c>
      <c r="R626" s="1932" t="str">
        <f t="shared" si="52"/>
        <v/>
      </c>
      <c r="S626" s="2335">
        <f t="shared" si="53"/>
        <v>0</v>
      </c>
    </row>
    <row r="627" spans="1:19">
      <c r="A627" s="1932">
        <f t="shared" si="56"/>
        <v>0</v>
      </c>
      <c r="B627" s="1932">
        <f t="shared" si="57"/>
        <v>0</v>
      </c>
      <c r="C627" s="1013" t="s">
        <v>245</v>
      </c>
      <c r="D627" s="1013">
        <v>0</v>
      </c>
      <c r="E627" s="1013" t="s">
        <v>22698</v>
      </c>
      <c r="F627" s="1013">
        <v>15</v>
      </c>
      <c r="G627" s="1932" t="str">
        <f>+VLOOKUP(F627,TT_Tabelle_Riferimento!$D$127:$G$164,4,FALSE)</f>
        <v>Gruppi di misura - altre attrezzature di fognatura</v>
      </c>
      <c r="H627" s="1013">
        <v>2</v>
      </c>
      <c r="I627" s="1932" t="str">
        <f>+VLOOKUP(H627,TT_Tabelle_Riferimento!$F$3:$G$6,2,FALSE)</f>
        <v>Fognatura bianca e pulizia / manutenzione caditoie stradali</v>
      </c>
      <c r="J627" s="1013">
        <v>2027</v>
      </c>
      <c r="K627" s="2335">
        <f>+SUMIFS('PdI-crono_inv'!BB:BB,'PdI-crono_inv'!CF:CF,F627,'PdI-crono_inv'!CE:CE,H627,'PdI-crono_inv'!J:J,P627,'PdI-crono_inv'!P:P,"&lt;&gt;proprietario")</f>
        <v>0</v>
      </c>
      <c r="M627" s="2335">
        <f>+SUMIFS('PdI-crono_inv'!BC:BC,'PdI-crono_inv'!CF:CF,F627,'PdI-crono_inv'!CE:CE,H627,'PdI-crono_inv'!J:J,P627,'PdI-crono_inv'!P:P,"&lt;&gt;proprietario")+S627</f>
        <v>0</v>
      </c>
      <c r="P627" s="1013" t="s">
        <v>27068</v>
      </c>
      <c r="Q627" s="1932" t="str">
        <f>+VLOOKUP(F627,TT_Tabelle_Riferimento!$D$127:$E$164,2,FALSE)</f>
        <v>Fognatura</v>
      </c>
      <c r="R627" s="1932" t="str">
        <f t="shared" si="52"/>
        <v/>
      </c>
      <c r="S627" s="2335">
        <f t="shared" si="53"/>
        <v>0</v>
      </c>
    </row>
    <row r="628" spans="1:19">
      <c r="A628" s="1932">
        <f t="shared" si="56"/>
        <v>0</v>
      </c>
      <c r="B628" s="1932">
        <f t="shared" si="57"/>
        <v>0</v>
      </c>
      <c r="C628" s="1013" t="s">
        <v>245</v>
      </c>
      <c r="D628" s="1013">
        <v>0</v>
      </c>
      <c r="E628" s="1013" t="s">
        <v>22698</v>
      </c>
      <c r="F628" s="1013">
        <v>16</v>
      </c>
      <c r="G628" s="1932" t="str">
        <f>+VLOOKUP(F628,TT_Tabelle_Riferimento!$D$127:$G$164,4,FALSE)</f>
        <v>Sistemi informativi di fognatura</v>
      </c>
      <c r="H628" s="1013">
        <v>2</v>
      </c>
      <c r="I628" s="1932" t="str">
        <f>+VLOOKUP(H628,TT_Tabelle_Riferimento!$F$3:$G$6,2,FALSE)</f>
        <v>Fognatura bianca e pulizia / manutenzione caditoie stradali</v>
      </c>
      <c r="J628" s="1013">
        <v>2027</v>
      </c>
      <c r="K628" s="2335">
        <f>+SUMIFS('PdI-crono_inv'!BB:BB,'PdI-crono_inv'!CF:CF,F628,'PdI-crono_inv'!CE:CE,H628,'PdI-crono_inv'!J:J,P628,'PdI-crono_inv'!P:P,"&lt;&gt;proprietario")</f>
        <v>0</v>
      </c>
      <c r="M628" s="2335">
        <f>+SUMIFS('PdI-crono_inv'!BC:BC,'PdI-crono_inv'!CF:CF,F628,'PdI-crono_inv'!CE:CE,H628,'PdI-crono_inv'!J:J,P628,'PdI-crono_inv'!P:P,"&lt;&gt;proprietario")+S628</f>
        <v>0</v>
      </c>
      <c r="P628" s="1013" t="s">
        <v>27068</v>
      </c>
      <c r="Q628" s="1932" t="str">
        <f>+VLOOKUP(F628,TT_Tabelle_Riferimento!$D$127:$E$164,2,FALSE)</f>
        <v>Fognatura</v>
      </c>
      <c r="R628" s="1932" t="str">
        <f t="shared" si="52"/>
        <v/>
      </c>
      <c r="S628" s="2335">
        <f t="shared" si="53"/>
        <v>0</v>
      </c>
    </row>
    <row r="629" spans="1:19">
      <c r="A629" s="1932">
        <f t="shared" si="56"/>
        <v>0</v>
      </c>
      <c r="B629" s="1932">
        <f t="shared" si="57"/>
        <v>0</v>
      </c>
      <c r="C629" s="1013" t="s">
        <v>245</v>
      </c>
      <c r="D629" s="1013">
        <v>0</v>
      </c>
      <c r="E629" s="1013" t="s">
        <v>22698</v>
      </c>
      <c r="F629" s="1013">
        <v>18</v>
      </c>
      <c r="G629" s="1932" t="str">
        <f>+VLOOKUP(F629,TT_Tabelle_Riferimento!$D$127:$G$164,4,FALSE)</f>
        <v>Telecontrollo e teletrasmissione di fognatura</v>
      </c>
      <c r="H629" s="1013">
        <v>2</v>
      </c>
      <c r="I629" s="1932" t="str">
        <f>+VLOOKUP(H629,TT_Tabelle_Riferimento!$F$3:$G$6,2,FALSE)</f>
        <v>Fognatura bianca e pulizia / manutenzione caditoie stradali</v>
      </c>
      <c r="J629" s="1013">
        <v>2027</v>
      </c>
      <c r="K629" s="2335">
        <f>+SUMIFS('PdI-crono_inv'!BB:BB,'PdI-crono_inv'!CF:CF,F629,'PdI-crono_inv'!CE:CE,H629,'PdI-crono_inv'!J:J,P629,'PdI-crono_inv'!P:P,"&lt;&gt;proprietario")</f>
        <v>0</v>
      </c>
      <c r="M629" s="2335">
        <f>+SUMIFS('PdI-crono_inv'!BC:BC,'PdI-crono_inv'!CF:CF,F629,'PdI-crono_inv'!CE:CE,H629,'PdI-crono_inv'!J:J,P629,'PdI-crono_inv'!P:P,"&lt;&gt;proprietario")+S629</f>
        <v>0</v>
      </c>
      <c r="P629" s="1013" t="s">
        <v>27068</v>
      </c>
      <c r="Q629" s="1932" t="str">
        <f>+VLOOKUP(F629,TT_Tabelle_Riferimento!$D$127:$E$164,2,FALSE)</f>
        <v>Fognatura</v>
      </c>
      <c r="R629" s="1932" t="str">
        <f t="shared" si="52"/>
        <v/>
      </c>
      <c r="S629" s="2335">
        <f t="shared" si="53"/>
        <v>0</v>
      </c>
    </row>
    <row r="630" spans="1:19">
      <c r="A630" s="1932">
        <f t="shared" si="56"/>
        <v>0</v>
      </c>
      <c r="B630" s="1932">
        <f t="shared" si="57"/>
        <v>0</v>
      </c>
      <c r="C630" s="1013" t="s">
        <v>245</v>
      </c>
      <c r="D630" s="1013">
        <v>0</v>
      </c>
      <c r="E630" s="1013" t="s">
        <v>22698</v>
      </c>
      <c r="F630" s="1013">
        <v>19</v>
      </c>
      <c r="G630" s="1932" t="str">
        <f>+VLOOKUP(F630,TT_Tabelle_Riferimento!$D$127:$G$164,4,FALSE)</f>
        <v>Impianti di sollevamento e pompaggio di depurazione</v>
      </c>
      <c r="H630" s="1013">
        <v>2</v>
      </c>
      <c r="I630" s="1932" t="str">
        <f>+VLOOKUP(H630,TT_Tabelle_Riferimento!$F$3:$G$6,2,FALSE)</f>
        <v>Fognatura bianca e pulizia / manutenzione caditoie stradali</v>
      </c>
      <c r="J630" s="1013">
        <v>2027</v>
      </c>
      <c r="K630" s="2335">
        <f>+SUMIFS('PdI-crono_inv'!BB:BB,'PdI-crono_inv'!CF:CF,F630,'PdI-crono_inv'!CE:CE,H630,'PdI-crono_inv'!J:J,P630,'PdI-crono_inv'!P:P,"&lt;&gt;proprietario")</f>
        <v>0</v>
      </c>
      <c r="M630" s="2335">
        <f>+SUMIFS('PdI-crono_inv'!BC:BC,'PdI-crono_inv'!CF:CF,F630,'PdI-crono_inv'!CE:CE,H630,'PdI-crono_inv'!J:J,P630,'PdI-crono_inv'!P:P,"&lt;&gt;proprietario")+S630</f>
        <v>0</v>
      </c>
      <c r="P630" s="1013" t="s">
        <v>27068</v>
      </c>
      <c r="Q630" s="1932" t="str">
        <f>+VLOOKUP(F630,TT_Tabelle_Riferimento!$D$127:$E$164,2,FALSE)</f>
        <v>Depurazione</v>
      </c>
      <c r="R630" s="1932" t="str">
        <f t="shared" si="52"/>
        <v/>
      </c>
      <c r="S630" s="2335">
        <f t="shared" si="53"/>
        <v>0</v>
      </c>
    </row>
    <row r="631" spans="1:19">
      <c r="A631" s="1932">
        <f t="shared" si="56"/>
        <v>0</v>
      </c>
      <c r="B631" s="1932">
        <f t="shared" si="57"/>
        <v>0</v>
      </c>
      <c r="C631" s="1013" t="s">
        <v>245</v>
      </c>
      <c r="D631" s="1013">
        <v>0</v>
      </c>
      <c r="E631" s="1013" t="s">
        <v>22698</v>
      </c>
      <c r="F631" s="1013">
        <v>20</v>
      </c>
      <c r="G631" s="1932" t="str">
        <f>+VLOOKUP(F631,TT_Tabelle_Riferimento!$D$127:$G$164,4,FALSE)</f>
        <v>Tecniche naturali di depurazione (tra cui fitodepurazione e lagunaggio)</v>
      </c>
      <c r="H631" s="1013">
        <v>2</v>
      </c>
      <c r="I631" s="1932" t="str">
        <f>+VLOOKUP(H631,TT_Tabelle_Riferimento!$F$3:$G$6,2,FALSE)</f>
        <v>Fognatura bianca e pulizia / manutenzione caditoie stradali</v>
      </c>
      <c r="J631" s="1013">
        <v>2027</v>
      </c>
      <c r="K631" s="2335">
        <f>+SUMIFS('PdI-crono_inv'!BB:BB,'PdI-crono_inv'!CF:CF,F631,'PdI-crono_inv'!CE:CE,H631,'PdI-crono_inv'!J:J,P631,'PdI-crono_inv'!P:P,"&lt;&gt;proprietario")</f>
        <v>0</v>
      </c>
      <c r="M631" s="2335">
        <f>+SUMIFS('PdI-crono_inv'!BC:BC,'PdI-crono_inv'!CF:CF,F631,'PdI-crono_inv'!CE:CE,H631,'PdI-crono_inv'!J:J,P631,'PdI-crono_inv'!P:P,"&lt;&gt;proprietario")+S631</f>
        <v>0</v>
      </c>
      <c r="P631" s="1013" t="s">
        <v>27068</v>
      </c>
      <c r="Q631" s="1932" t="str">
        <f>+VLOOKUP(F631,TT_Tabelle_Riferimento!$D$127:$E$164,2,FALSE)</f>
        <v>Depurazione</v>
      </c>
      <c r="R631" s="1932" t="str">
        <f t="shared" si="52"/>
        <v/>
      </c>
      <c r="S631" s="2335">
        <f t="shared" si="53"/>
        <v>0</v>
      </c>
    </row>
    <row r="632" spans="1:19">
      <c r="A632" s="1932">
        <f t="shared" si="56"/>
        <v>0</v>
      </c>
      <c r="B632" s="1932">
        <f t="shared" si="57"/>
        <v>0</v>
      </c>
      <c r="C632" s="1013" t="s">
        <v>245</v>
      </c>
      <c r="D632" s="1013">
        <v>0</v>
      </c>
      <c r="E632" s="1013" t="s">
        <v>22698</v>
      </c>
      <c r="F632" s="1013">
        <v>21</v>
      </c>
      <c r="G632" s="1932" t="str">
        <f>+VLOOKUP(F632,TT_Tabelle_Riferimento!$D$127:$G$164,4,FALSE)</f>
        <v>Impianti di depurazione – trattamenti sino al preliminare, integrativo, primario - fosse settiche e fosse Imhoff</v>
      </c>
      <c r="H632" s="1013">
        <v>2</v>
      </c>
      <c r="I632" s="1932" t="str">
        <f>+VLOOKUP(H632,TT_Tabelle_Riferimento!$F$3:$G$6,2,FALSE)</f>
        <v>Fognatura bianca e pulizia / manutenzione caditoie stradali</v>
      </c>
      <c r="J632" s="1013">
        <v>2027</v>
      </c>
      <c r="K632" s="2335">
        <f>+SUMIFS('PdI-crono_inv'!BB:BB,'PdI-crono_inv'!CF:CF,F632,'PdI-crono_inv'!CE:CE,H632,'PdI-crono_inv'!J:J,P632,'PdI-crono_inv'!P:P,"&lt;&gt;proprietario")</f>
        <v>0</v>
      </c>
      <c r="M632" s="2335">
        <f>+SUMIFS('PdI-crono_inv'!BC:BC,'PdI-crono_inv'!CF:CF,F632,'PdI-crono_inv'!CE:CE,H632,'PdI-crono_inv'!J:J,P632,'PdI-crono_inv'!P:P,"&lt;&gt;proprietario")+S632</f>
        <v>0</v>
      </c>
      <c r="P632" s="1013" t="s">
        <v>27068</v>
      </c>
      <c r="Q632" s="1932" t="str">
        <f>+VLOOKUP(F632,TT_Tabelle_Riferimento!$D$127:$E$164,2,FALSE)</f>
        <v>Depurazione</v>
      </c>
      <c r="R632" s="1932" t="str">
        <f t="shared" si="52"/>
        <v/>
      </c>
      <c r="S632" s="2335">
        <f t="shared" si="53"/>
        <v>0</v>
      </c>
    </row>
    <row r="633" spans="1:19">
      <c r="A633" s="1932">
        <f t="shared" si="56"/>
        <v>0</v>
      </c>
      <c r="B633" s="1932">
        <f t="shared" si="57"/>
        <v>0</v>
      </c>
      <c r="C633" s="1013" t="s">
        <v>245</v>
      </c>
      <c r="D633" s="1013">
        <v>0</v>
      </c>
      <c r="E633" s="1013" t="s">
        <v>22698</v>
      </c>
      <c r="F633" s="1013">
        <v>22</v>
      </c>
      <c r="G633" s="1932" t="str">
        <f>+VLOOKUP(F633,TT_Tabelle_Riferimento!$D$127:$G$164,4,FALSE)</f>
        <v>Impianti di depurazione – trattamenti sino al secondario</v>
      </c>
      <c r="H633" s="1013">
        <v>2</v>
      </c>
      <c r="I633" s="1932" t="str">
        <f>+VLOOKUP(H633,TT_Tabelle_Riferimento!$F$3:$G$6,2,FALSE)</f>
        <v>Fognatura bianca e pulizia / manutenzione caditoie stradali</v>
      </c>
      <c r="J633" s="1013">
        <v>2027</v>
      </c>
      <c r="K633" s="2335">
        <f>+SUMIFS('PdI-crono_inv'!BB:BB,'PdI-crono_inv'!CF:CF,F633,'PdI-crono_inv'!CE:CE,H633,'PdI-crono_inv'!J:J,P633,'PdI-crono_inv'!P:P,"&lt;&gt;proprietario")</f>
        <v>0</v>
      </c>
      <c r="M633" s="2335">
        <f>+SUMIFS('PdI-crono_inv'!BC:BC,'PdI-crono_inv'!CF:CF,F633,'PdI-crono_inv'!CE:CE,H633,'PdI-crono_inv'!J:J,P633,'PdI-crono_inv'!P:P,"&lt;&gt;proprietario")+S633</f>
        <v>0</v>
      </c>
      <c r="P633" s="1013" t="s">
        <v>27068</v>
      </c>
      <c r="Q633" s="1932" t="str">
        <f>+VLOOKUP(F633,TT_Tabelle_Riferimento!$D$127:$E$164,2,FALSE)</f>
        <v>Depurazione</v>
      </c>
      <c r="R633" s="1932" t="str">
        <f t="shared" si="52"/>
        <v/>
      </c>
      <c r="S633" s="2335">
        <f t="shared" si="53"/>
        <v>0</v>
      </c>
    </row>
    <row r="634" spans="1:19">
      <c r="A634" s="1932">
        <f t="shared" si="56"/>
        <v>0</v>
      </c>
      <c r="B634" s="1932">
        <f t="shared" si="57"/>
        <v>0</v>
      </c>
      <c r="C634" s="1013" t="s">
        <v>245</v>
      </c>
      <c r="D634" s="1013">
        <v>0</v>
      </c>
      <c r="E634" s="1013" t="s">
        <v>22698</v>
      </c>
      <c r="F634" s="1013">
        <v>23</v>
      </c>
      <c r="G634" s="1932" t="str">
        <f>+VLOOKUP(F634,TT_Tabelle_Riferimento!$D$127:$G$164,4,FALSE)</f>
        <v>Impianti di depurazione – trattamenti sino al terziario e terziario avanzato</v>
      </c>
      <c r="H634" s="1013">
        <v>2</v>
      </c>
      <c r="I634" s="1932" t="str">
        <f>+VLOOKUP(H634,TT_Tabelle_Riferimento!$F$3:$G$6,2,FALSE)</f>
        <v>Fognatura bianca e pulizia / manutenzione caditoie stradali</v>
      </c>
      <c r="J634" s="1013">
        <v>2027</v>
      </c>
      <c r="K634" s="2335">
        <f>+SUMIFS('PdI-crono_inv'!BB:BB,'PdI-crono_inv'!CF:CF,F634,'PdI-crono_inv'!CE:CE,H634,'PdI-crono_inv'!J:J,P634,'PdI-crono_inv'!P:P,"&lt;&gt;proprietario")</f>
        <v>0</v>
      </c>
      <c r="M634" s="2335">
        <f>+SUMIFS('PdI-crono_inv'!BC:BC,'PdI-crono_inv'!CF:CF,F634,'PdI-crono_inv'!CE:CE,H634,'PdI-crono_inv'!J:J,P634,'PdI-crono_inv'!P:P,"&lt;&gt;proprietario")+S634</f>
        <v>0</v>
      </c>
      <c r="P634" s="1013" t="s">
        <v>27068</v>
      </c>
      <c r="Q634" s="1932" t="str">
        <f>+VLOOKUP(F634,TT_Tabelle_Riferimento!$D$127:$E$164,2,FALSE)</f>
        <v>Depurazione</v>
      </c>
      <c r="R634" s="1932" t="str">
        <f t="shared" si="52"/>
        <v/>
      </c>
      <c r="S634" s="2335">
        <f t="shared" si="53"/>
        <v>0</v>
      </c>
    </row>
    <row r="635" spans="1:19">
      <c r="A635" s="1932">
        <f t="shared" si="56"/>
        <v>0</v>
      </c>
      <c r="B635" s="1932">
        <f t="shared" si="57"/>
        <v>0</v>
      </c>
      <c r="C635" s="1013" t="s">
        <v>245</v>
      </c>
      <c r="D635" s="1013">
        <v>0</v>
      </c>
      <c r="E635" s="1013" t="s">
        <v>22698</v>
      </c>
      <c r="F635" s="1013">
        <v>24</v>
      </c>
      <c r="G635" s="1932" t="str">
        <f>+VLOOKUP(F635,TT_Tabelle_Riferimento!$D$127:$G$164,4,FALSE)</f>
        <v>Impianti di essiccamento fanghi e di valorizzazione dei fanghi (tra cui mono-incenerimento, pirolisi, gassificazione)</v>
      </c>
      <c r="H635" s="1013">
        <v>2</v>
      </c>
      <c r="I635" s="1932" t="str">
        <f>+VLOOKUP(H635,TT_Tabelle_Riferimento!$F$3:$G$6,2,FALSE)</f>
        <v>Fognatura bianca e pulizia / manutenzione caditoie stradali</v>
      </c>
      <c r="J635" s="1013">
        <v>2027</v>
      </c>
      <c r="K635" s="2335">
        <f>+SUMIFS('PdI-crono_inv'!BB:BB,'PdI-crono_inv'!CF:CF,F635,'PdI-crono_inv'!CE:CE,H635,'PdI-crono_inv'!J:J,P635,'PdI-crono_inv'!P:P,"&lt;&gt;proprietario")</f>
        <v>0</v>
      </c>
      <c r="M635" s="2335">
        <f>+SUMIFS('PdI-crono_inv'!BC:BC,'PdI-crono_inv'!CF:CF,F635,'PdI-crono_inv'!CE:CE,H635,'PdI-crono_inv'!J:J,P635,'PdI-crono_inv'!P:P,"&lt;&gt;proprietario")+S635</f>
        <v>0</v>
      </c>
      <c r="P635" s="1013" t="s">
        <v>27068</v>
      </c>
      <c r="Q635" s="1932" t="str">
        <f>+VLOOKUP(F635,TT_Tabelle_Riferimento!$D$127:$E$164,2,FALSE)</f>
        <v>Depurazione</v>
      </c>
      <c r="R635" s="1932" t="str">
        <f t="shared" si="52"/>
        <v/>
      </c>
      <c r="S635" s="2335">
        <f t="shared" si="53"/>
        <v>0</v>
      </c>
    </row>
    <row r="636" spans="1:19">
      <c r="A636" s="1932">
        <f t="shared" si="56"/>
        <v>0</v>
      </c>
      <c r="B636" s="1932">
        <f t="shared" si="57"/>
        <v>0</v>
      </c>
      <c r="C636" s="1013" t="s">
        <v>245</v>
      </c>
      <c r="D636" s="1013">
        <v>0</v>
      </c>
      <c r="E636" s="1013" t="s">
        <v>22698</v>
      </c>
      <c r="F636" s="1013">
        <v>25</v>
      </c>
      <c r="G636" s="1932" t="str">
        <f>+VLOOKUP(F636,TT_Tabelle_Riferimento!$D$127:$G$164,4,FALSE)</f>
        <v>Gruppi di misura - altre attrezzature di depurazione</v>
      </c>
      <c r="H636" s="1013">
        <v>2</v>
      </c>
      <c r="I636" s="1932" t="str">
        <f>+VLOOKUP(H636,TT_Tabelle_Riferimento!$F$3:$G$6,2,FALSE)</f>
        <v>Fognatura bianca e pulizia / manutenzione caditoie stradali</v>
      </c>
      <c r="J636" s="1013">
        <v>2027</v>
      </c>
      <c r="K636" s="2335">
        <f>+SUMIFS('PdI-crono_inv'!BB:BB,'PdI-crono_inv'!CF:CF,F636,'PdI-crono_inv'!CE:CE,H636,'PdI-crono_inv'!J:J,P636,'PdI-crono_inv'!P:P,"&lt;&gt;proprietario")</f>
        <v>0</v>
      </c>
      <c r="M636" s="2335">
        <f>+SUMIFS('PdI-crono_inv'!BC:BC,'PdI-crono_inv'!CF:CF,F636,'PdI-crono_inv'!CE:CE,H636,'PdI-crono_inv'!J:J,P636,'PdI-crono_inv'!P:P,"&lt;&gt;proprietario")+S636</f>
        <v>0</v>
      </c>
      <c r="P636" s="1013" t="s">
        <v>27068</v>
      </c>
      <c r="Q636" s="1932" t="str">
        <f>+VLOOKUP(F636,TT_Tabelle_Riferimento!$D$127:$E$164,2,FALSE)</f>
        <v>Depurazione</v>
      </c>
      <c r="R636" s="1932" t="str">
        <f t="shared" si="52"/>
        <v/>
      </c>
      <c r="S636" s="2335">
        <f t="shared" si="53"/>
        <v>0</v>
      </c>
    </row>
    <row r="637" spans="1:19">
      <c r="A637" s="1932">
        <f t="shared" si="56"/>
        <v>0</v>
      </c>
      <c r="B637" s="1932">
        <f t="shared" si="57"/>
        <v>0</v>
      </c>
      <c r="C637" s="1013" t="s">
        <v>245</v>
      </c>
      <c r="D637" s="1013">
        <v>0</v>
      </c>
      <c r="E637" s="1013" t="s">
        <v>22698</v>
      </c>
      <c r="F637" s="1013">
        <v>26</v>
      </c>
      <c r="G637" s="1932" t="str">
        <f>+VLOOKUP(F637,TT_Tabelle_Riferimento!$D$127:$G$164,4,FALSE)</f>
        <v>Sistemi informativi di depurazione</v>
      </c>
      <c r="H637" s="1013">
        <v>2</v>
      </c>
      <c r="I637" s="1932" t="str">
        <f>+VLOOKUP(H637,TT_Tabelle_Riferimento!$F$3:$G$6,2,FALSE)</f>
        <v>Fognatura bianca e pulizia / manutenzione caditoie stradali</v>
      </c>
      <c r="J637" s="1013">
        <v>2027</v>
      </c>
      <c r="K637" s="2335">
        <f>+SUMIFS('PdI-crono_inv'!BB:BB,'PdI-crono_inv'!CF:CF,F637,'PdI-crono_inv'!CE:CE,H637,'PdI-crono_inv'!J:J,P637,'PdI-crono_inv'!P:P,"&lt;&gt;proprietario")</f>
        <v>0</v>
      </c>
      <c r="M637" s="2335">
        <f>+SUMIFS('PdI-crono_inv'!BC:BC,'PdI-crono_inv'!CF:CF,F637,'PdI-crono_inv'!CE:CE,H637,'PdI-crono_inv'!J:J,P637,'PdI-crono_inv'!P:P,"&lt;&gt;proprietario")+S637</f>
        <v>0</v>
      </c>
      <c r="P637" s="1013" t="s">
        <v>27068</v>
      </c>
      <c r="Q637" s="1932" t="str">
        <f>+VLOOKUP(F637,TT_Tabelle_Riferimento!$D$127:$E$164,2,FALSE)</f>
        <v>Depurazione</v>
      </c>
      <c r="R637" s="1932" t="str">
        <f t="shared" si="52"/>
        <v/>
      </c>
      <c r="S637" s="2335">
        <f t="shared" si="53"/>
        <v>0</v>
      </c>
    </row>
    <row r="638" spans="1:19">
      <c r="A638" s="1932">
        <f t="shared" si="56"/>
        <v>0</v>
      </c>
      <c r="B638" s="1932">
        <f t="shared" si="57"/>
        <v>0</v>
      </c>
      <c r="C638" s="1013" t="s">
        <v>245</v>
      </c>
      <c r="D638" s="1013">
        <v>0</v>
      </c>
      <c r="E638" s="1013" t="s">
        <v>22698</v>
      </c>
      <c r="F638" s="1013">
        <v>27</v>
      </c>
      <c r="G638" s="1932" t="str">
        <f>+VLOOKUP(F638,TT_Tabelle_Riferimento!$D$127:$G$164,4,FALSE)</f>
        <v>Telecontrollo e teletrasmissione di depurazione</v>
      </c>
      <c r="H638" s="1013">
        <v>2</v>
      </c>
      <c r="I638" s="1932" t="str">
        <f>+VLOOKUP(H638,TT_Tabelle_Riferimento!$F$3:$G$6,2,FALSE)</f>
        <v>Fognatura bianca e pulizia / manutenzione caditoie stradali</v>
      </c>
      <c r="J638" s="1013">
        <v>2027</v>
      </c>
      <c r="K638" s="2335">
        <f>+SUMIFS('PdI-crono_inv'!BB:BB,'PdI-crono_inv'!CF:CF,F638,'PdI-crono_inv'!CE:CE,H638,'PdI-crono_inv'!J:J,P638,'PdI-crono_inv'!P:P,"&lt;&gt;proprietario")</f>
        <v>0</v>
      </c>
      <c r="M638" s="2335">
        <f>+SUMIFS('PdI-crono_inv'!BC:BC,'PdI-crono_inv'!CF:CF,F638,'PdI-crono_inv'!CE:CE,H638,'PdI-crono_inv'!J:J,P638,'PdI-crono_inv'!P:P,"&lt;&gt;proprietario")+S638</f>
        <v>0</v>
      </c>
      <c r="P638" s="1013" t="s">
        <v>27068</v>
      </c>
      <c r="Q638" s="1932" t="str">
        <f>+VLOOKUP(F638,TT_Tabelle_Riferimento!$D$127:$E$164,2,FALSE)</f>
        <v>Depurazione</v>
      </c>
      <c r="R638" s="1932" t="str">
        <f t="shared" si="52"/>
        <v/>
      </c>
      <c r="S638" s="2335">
        <f t="shared" si="53"/>
        <v>0</v>
      </c>
    </row>
    <row r="639" spans="1:19">
      <c r="A639" s="1932">
        <f t="shared" si="56"/>
        <v>0</v>
      </c>
      <c r="B639" s="1932">
        <f t="shared" si="57"/>
        <v>0</v>
      </c>
      <c r="C639" s="1013" t="s">
        <v>245</v>
      </c>
      <c r="D639" s="1013">
        <v>0</v>
      </c>
      <c r="E639" s="1013" t="s">
        <v>22698</v>
      </c>
      <c r="F639" s="1013">
        <v>28</v>
      </c>
      <c r="G639" s="1932" t="str">
        <f>+VLOOKUP(F639,TT_Tabelle_Riferimento!$D$127:$G$164,4,FALSE)</f>
        <v>Altri impianti</v>
      </c>
      <c r="H639" s="1013">
        <v>2</v>
      </c>
      <c r="I639" s="1932" t="str">
        <f>+VLOOKUP(H639,TT_Tabelle_Riferimento!$F$3:$G$6,2,FALSE)</f>
        <v>Fognatura bianca e pulizia / manutenzione caditoie stradali</v>
      </c>
      <c r="J639" s="1013">
        <v>2027</v>
      </c>
      <c r="K639" s="2335">
        <f>+SUMIFS('PdI-crono_inv'!BB:BB,'PdI-crono_inv'!CF:CF,F639,'PdI-crono_inv'!CE:CE,H639,'PdI-crono_inv'!J:J,P639,'PdI-crono_inv'!P:P,"&lt;&gt;proprietario")</f>
        <v>0</v>
      </c>
      <c r="M639" s="2335">
        <f>+SUMIFS('PdI-crono_inv'!BC:BC,'PdI-crono_inv'!CF:CF,F639,'PdI-crono_inv'!CE:CE,H639,'PdI-crono_inv'!J:J,P639,'PdI-crono_inv'!P:P,"&lt;&gt;proprietario")+S639</f>
        <v>0</v>
      </c>
      <c r="P639" s="1013" t="s">
        <v>27068</v>
      </c>
      <c r="Q639" s="1932" t="str">
        <f>+VLOOKUP(F639,TT_Tabelle_Riferimento!$D$127:$E$164,2,FALSE)</f>
        <v>Comune</v>
      </c>
      <c r="R639" s="1932" t="str">
        <f t="shared" si="52"/>
        <v/>
      </c>
      <c r="S639" s="2335">
        <f t="shared" si="53"/>
        <v>0</v>
      </c>
    </row>
    <row r="640" spans="1:19">
      <c r="A640" s="1932">
        <f t="shared" si="56"/>
        <v>0</v>
      </c>
      <c r="B640" s="1932">
        <f t="shared" si="57"/>
        <v>0</v>
      </c>
      <c r="C640" s="1013" t="s">
        <v>245</v>
      </c>
      <c r="D640" s="1013">
        <v>0</v>
      </c>
      <c r="E640" s="1013" t="s">
        <v>22698</v>
      </c>
      <c r="F640" s="1013">
        <v>29</v>
      </c>
      <c r="G640" s="1932" t="str">
        <f>+VLOOKUP(F640,TT_Tabelle_Riferimento!$D$127:$G$164,4,FALSE)</f>
        <v>Laboratori e attrezzature</v>
      </c>
      <c r="H640" s="1013">
        <v>2</v>
      </c>
      <c r="I640" s="1932" t="str">
        <f>+VLOOKUP(H640,TT_Tabelle_Riferimento!$F$3:$G$6,2,FALSE)</f>
        <v>Fognatura bianca e pulizia / manutenzione caditoie stradali</v>
      </c>
      <c r="J640" s="1013">
        <v>2027</v>
      </c>
      <c r="K640" s="2335">
        <f>+SUMIFS('PdI-crono_inv'!BB:BB,'PdI-crono_inv'!CF:CF,F640,'PdI-crono_inv'!CE:CE,H640,'PdI-crono_inv'!J:J,P640,'PdI-crono_inv'!P:P,"&lt;&gt;proprietario")</f>
        <v>0</v>
      </c>
      <c r="M640" s="2335">
        <f>+SUMIFS('PdI-crono_inv'!BC:BC,'PdI-crono_inv'!CF:CF,F640,'PdI-crono_inv'!CE:CE,H640,'PdI-crono_inv'!J:J,P640,'PdI-crono_inv'!P:P,"&lt;&gt;proprietario")+S640</f>
        <v>0</v>
      </c>
      <c r="P640" s="1013" t="s">
        <v>27068</v>
      </c>
      <c r="Q640" s="1932" t="str">
        <f>+VLOOKUP(F640,TT_Tabelle_Riferimento!$D$127:$E$164,2,FALSE)</f>
        <v>Comune</v>
      </c>
      <c r="R640" s="1932" t="str">
        <f t="shared" si="52"/>
        <v/>
      </c>
      <c r="S640" s="2335">
        <f t="shared" si="53"/>
        <v>0</v>
      </c>
    </row>
    <row r="641" spans="1:19">
      <c r="A641" s="1932">
        <f t="shared" si="56"/>
        <v>0</v>
      </c>
      <c r="B641" s="1932">
        <f t="shared" si="57"/>
        <v>0</v>
      </c>
      <c r="C641" s="1013" t="s">
        <v>245</v>
      </c>
      <c r="D641" s="1013">
        <v>0</v>
      </c>
      <c r="E641" s="1013" t="s">
        <v>22698</v>
      </c>
      <c r="F641" s="1013">
        <v>30</v>
      </c>
      <c r="G641" s="1932" t="str">
        <f>+VLOOKUP(F641,TT_Tabelle_Riferimento!$D$127:$G$164,4,FALSE)</f>
        <v>Sistemi informativi</v>
      </c>
      <c r="H641" s="1013">
        <v>2</v>
      </c>
      <c r="I641" s="1932" t="str">
        <f>+VLOOKUP(H641,TT_Tabelle_Riferimento!$F$3:$G$6,2,FALSE)</f>
        <v>Fognatura bianca e pulizia / manutenzione caditoie stradali</v>
      </c>
      <c r="J641" s="1013">
        <v>2027</v>
      </c>
      <c r="K641" s="2335">
        <f>+SUMIFS('PdI-crono_inv'!BB:BB,'PdI-crono_inv'!CF:CF,F641,'PdI-crono_inv'!CE:CE,H641,'PdI-crono_inv'!J:J,P641,'PdI-crono_inv'!P:P,"&lt;&gt;proprietario")</f>
        <v>0</v>
      </c>
      <c r="M641" s="2335">
        <f>+SUMIFS('PdI-crono_inv'!BC:BC,'PdI-crono_inv'!CF:CF,F641,'PdI-crono_inv'!CE:CE,H641,'PdI-crono_inv'!J:J,P641,'PdI-crono_inv'!P:P,"&lt;&gt;proprietario")+S641</f>
        <v>0</v>
      </c>
      <c r="P641" s="1013" t="s">
        <v>27068</v>
      </c>
      <c r="Q641" s="1932" t="str">
        <f>+VLOOKUP(F641,TT_Tabelle_Riferimento!$D$127:$E$164,2,FALSE)</f>
        <v>Comune</v>
      </c>
      <c r="R641" s="1932" t="str">
        <f t="shared" si="52"/>
        <v/>
      </c>
      <c r="S641" s="2335">
        <f t="shared" si="53"/>
        <v>0</v>
      </c>
    </row>
    <row r="642" spans="1:19">
      <c r="A642" s="1932">
        <f t="shared" si="56"/>
        <v>0</v>
      </c>
      <c r="B642" s="1932">
        <f t="shared" si="57"/>
        <v>0</v>
      </c>
      <c r="C642" s="1013" t="s">
        <v>245</v>
      </c>
      <c r="D642" s="1013">
        <v>0</v>
      </c>
      <c r="E642" s="1013" t="s">
        <v>22698</v>
      </c>
      <c r="F642" s="1013">
        <v>31</v>
      </c>
      <c r="G642" s="1932" t="str">
        <f>+VLOOKUP(F642,TT_Tabelle_Riferimento!$D$127:$G$164,4,FALSE)</f>
        <v>Telecontrollo e teletrasmissione</v>
      </c>
      <c r="H642" s="1013">
        <v>2</v>
      </c>
      <c r="I642" s="1932" t="str">
        <f>+VLOOKUP(H642,TT_Tabelle_Riferimento!$F$3:$G$6,2,FALSE)</f>
        <v>Fognatura bianca e pulizia / manutenzione caditoie stradali</v>
      </c>
      <c r="J642" s="1013">
        <v>2027</v>
      </c>
      <c r="K642" s="2335">
        <f>+SUMIFS('PdI-crono_inv'!BB:BB,'PdI-crono_inv'!CF:CF,F642,'PdI-crono_inv'!CE:CE,H642,'PdI-crono_inv'!J:J,P642,'PdI-crono_inv'!P:P,"&lt;&gt;proprietario")</f>
        <v>0</v>
      </c>
      <c r="M642" s="2335">
        <f>+SUMIFS('PdI-crono_inv'!BC:BC,'PdI-crono_inv'!CF:CF,F642,'PdI-crono_inv'!CE:CE,H642,'PdI-crono_inv'!J:J,P642,'PdI-crono_inv'!P:P,"&lt;&gt;proprietario")+S642</f>
        <v>0</v>
      </c>
      <c r="P642" s="1013" t="s">
        <v>27068</v>
      </c>
      <c r="Q642" s="1932" t="str">
        <f>+VLOOKUP(F642,TT_Tabelle_Riferimento!$D$127:$E$164,2,FALSE)</f>
        <v>Comune</v>
      </c>
      <c r="R642" s="1932" t="str">
        <f t="shared" ref="R642:R689" si="58">+IF(SUM(K642:N642)=0,"","PdI_consolidamento")</f>
        <v/>
      </c>
      <c r="S642" s="2335">
        <f t="shared" si="53"/>
        <v>0</v>
      </c>
    </row>
    <row r="643" spans="1:19">
      <c r="A643" s="1932">
        <f t="shared" si="56"/>
        <v>0</v>
      </c>
      <c r="B643" s="1932">
        <f t="shared" si="57"/>
        <v>0</v>
      </c>
      <c r="C643" s="1013" t="s">
        <v>245</v>
      </c>
      <c r="D643" s="1013">
        <v>0</v>
      </c>
      <c r="E643" s="1013" t="s">
        <v>22698</v>
      </c>
      <c r="F643" s="1013">
        <v>32</v>
      </c>
      <c r="G643" s="1932" t="str">
        <f>+VLOOKUP(F643,TT_Tabelle_Riferimento!$D$127:$G$164,4,FALSE)</f>
        <v>Autoveicoli - automezzi</v>
      </c>
      <c r="H643" s="1013">
        <v>2</v>
      </c>
      <c r="I643" s="1932" t="str">
        <f>+VLOOKUP(H643,TT_Tabelle_Riferimento!$F$3:$G$6,2,FALSE)</f>
        <v>Fognatura bianca e pulizia / manutenzione caditoie stradali</v>
      </c>
      <c r="J643" s="1013">
        <v>2027</v>
      </c>
      <c r="K643" s="2335">
        <f>+SUMIFS('PdI-crono_inv'!BB:BB,'PdI-crono_inv'!CF:CF,F643,'PdI-crono_inv'!CE:CE,H643,'PdI-crono_inv'!J:J,P643,'PdI-crono_inv'!P:P,"&lt;&gt;proprietario")</f>
        <v>0</v>
      </c>
      <c r="M643" s="2335">
        <f>+SUMIFS('PdI-crono_inv'!BC:BC,'PdI-crono_inv'!CF:CF,F643,'PdI-crono_inv'!CE:CE,H643,'PdI-crono_inv'!J:J,P643,'PdI-crono_inv'!P:P,"&lt;&gt;proprietario")+S643</f>
        <v>0</v>
      </c>
      <c r="P643" s="1013" t="s">
        <v>27068</v>
      </c>
      <c r="Q643" s="1932" t="str">
        <f>+VLOOKUP(F643,TT_Tabelle_Riferimento!$D$127:$E$164,2,FALSE)</f>
        <v>Comune</v>
      </c>
      <c r="R643" s="1932" t="str">
        <f t="shared" si="58"/>
        <v/>
      </c>
      <c r="S643" s="2335">
        <f t="shared" si="53"/>
        <v>0</v>
      </c>
    </row>
    <row r="644" spans="1:19">
      <c r="A644" s="1932">
        <f t="shared" si="56"/>
        <v>0</v>
      </c>
      <c r="B644" s="1932">
        <f t="shared" si="57"/>
        <v>0</v>
      </c>
      <c r="C644" s="1013" t="s">
        <v>245</v>
      </c>
      <c r="D644" s="1013">
        <v>0</v>
      </c>
      <c r="E644" s="1013" t="s">
        <v>22698</v>
      </c>
      <c r="F644" s="1013">
        <v>1</v>
      </c>
      <c r="G644" s="1932" t="str">
        <f>+VLOOKUP(F644,TT_Tabelle_Riferimento!$D$127:$G$164,4,FALSE)</f>
        <v>Terreni</v>
      </c>
      <c r="H644" s="1013">
        <v>2</v>
      </c>
      <c r="I644" s="1932" t="str">
        <f>+VLOOKUP(H644,TT_Tabelle_Riferimento!$F$3:$G$6,2,FALSE)</f>
        <v>Fognatura bianca e pulizia / manutenzione caditoie stradali</v>
      </c>
      <c r="J644" s="1013">
        <v>2027</v>
      </c>
      <c r="K644" s="2335">
        <f>+SUMIFS('PdI-crono_inv'!BB:BB,'PdI-crono_inv'!CF:CF,F644,'PdI-crono_inv'!CE:CE,H644,'PdI-crono_inv'!J:J,P644,'PdI-crono_inv'!P:P,"&lt;&gt;proprietario")</f>
        <v>0</v>
      </c>
      <c r="M644" s="2335">
        <f>+SUMIFS('PdI-crono_inv'!BC:BC,'PdI-crono_inv'!CF:CF,F644,'PdI-crono_inv'!CE:CE,H644,'PdI-crono_inv'!J:J,P644,'PdI-crono_inv'!P:P,"&lt;&gt;proprietario")+S644</f>
        <v>0</v>
      </c>
      <c r="P644" s="1013" t="s">
        <v>27068</v>
      </c>
      <c r="Q644" s="1932" t="str">
        <f>+VLOOKUP(F644,TT_Tabelle_Riferimento!$D$127:$E$164,2,FALSE)</f>
        <v>Comune</v>
      </c>
      <c r="R644" s="1932" t="str">
        <f t="shared" si="58"/>
        <v/>
      </c>
      <c r="S644" s="2335">
        <f t="shared" si="53"/>
        <v>0</v>
      </c>
    </row>
    <row r="645" spans="1:19">
      <c r="A645" s="1932">
        <f t="shared" si="56"/>
        <v>0</v>
      </c>
      <c r="B645" s="1932">
        <f t="shared" si="57"/>
        <v>0</v>
      </c>
      <c r="C645" s="1013" t="s">
        <v>245</v>
      </c>
      <c r="D645" s="1013">
        <v>0</v>
      </c>
      <c r="E645" s="1013" t="s">
        <v>22698</v>
      </c>
      <c r="F645" s="1013">
        <v>33</v>
      </c>
      <c r="G645" s="1932" t="str">
        <f>+VLOOKUP(F645,TT_Tabelle_Riferimento!$D$127:$G$164,4,FALSE)</f>
        <v>Fabbricati non industriali</v>
      </c>
      <c r="H645" s="1013">
        <v>2</v>
      </c>
      <c r="I645" s="1932" t="str">
        <f>+VLOOKUP(H645,TT_Tabelle_Riferimento!$F$3:$G$6,2,FALSE)</f>
        <v>Fognatura bianca e pulizia / manutenzione caditoie stradali</v>
      </c>
      <c r="J645" s="1013">
        <v>2027</v>
      </c>
      <c r="K645" s="2335">
        <f>+SUMIFS('PdI-crono_inv'!BB:BB,'PdI-crono_inv'!CF:CF,F645,'PdI-crono_inv'!CE:CE,H645,'PdI-crono_inv'!J:J,P645,'PdI-crono_inv'!P:P,"&lt;&gt;proprietario")</f>
        <v>0</v>
      </c>
      <c r="M645" s="2335">
        <f>+SUMIFS('PdI-crono_inv'!BC:BC,'PdI-crono_inv'!CF:CF,F645,'PdI-crono_inv'!CE:CE,H645,'PdI-crono_inv'!J:J,P645,'PdI-crono_inv'!P:P,"&lt;&gt;proprietario")+S645</f>
        <v>0</v>
      </c>
      <c r="P645" s="1013" t="s">
        <v>27068</v>
      </c>
      <c r="Q645" s="1932" t="str">
        <f>+VLOOKUP(F645,TT_Tabelle_Riferimento!$D$127:$E$164,2,FALSE)</f>
        <v>Comune</v>
      </c>
      <c r="R645" s="1932" t="str">
        <f t="shared" si="58"/>
        <v/>
      </c>
      <c r="S645" s="2335">
        <f t="shared" si="53"/>
        <v>0</v>
      </c>
    </row>
    <row r="646" spans="1:19">
      <c r="A646" s="1932">
        <f t="shared" si="56"/>
        <v>0</v>
      </c>
      <c r="B646" s="1932">
        <f t="shared" si="57"/>
        <v>0</v>
      </c>
      <c r="C646" s="1013" t="s">
        <v>245</v>
      </c>
      <c r="D646" s="1013">
        <v>0</v>
      </c>
      <c r="E646" s="1013" t="s">
        <v>22698</v>
      </c>
      <c r="F646" s="1013">
        <v>34</v>
      </c>
      <c r="G646" s="1932" t="str">
        <f>+VLOOKUP(F646,TT_Tabelle_Riferimento!$D$127:$G$164,4,FALSE)</f>
        <v>Fabbricati industriali</v>
      </c>
      <c r="H646" s="1013">
        <v>2</v>
      </c>
      <c r="I646" s="1932" t="str">
        <f>+VLOOKUP(H646,TT_Tabelle_Riferimento!$F$3:$G$6,2,FALSE)</f>
        <v>Fognatura bianca e pulizia / manutenzione caditoie stradali</v>
      </c>
      <c r="J646" s="1013">
        <v>2027</v>
      </c>
      <c r="K646" s="2335">
        <f>+SUMIFS('PdI-crono_inv'!BB:BB,'PdI-crono_inv'!CF:CF,F646,'PdI-crono_inv'!CE:CE,H646,'PdI-crono_inv'!J:J,P646,'PdI-crono_inv'!P:P,"&lt;&gt;proprietario")</f>
        <v>0</v>
      </c>
      <c r="M646" s="2335">
        <f>+SUMIFS('PdI-crono_inv'!BC:BC,'PdI-crono_inv'!CF:CF,F646,'PdI-crono_inv'!CE:CE,H646,'PdI-crono_inv'!J:J,P646,'PdI-crono_inv'!P:P,"&lt;&gt;proprietario")+S646</f>
        <v>0</v>
      </c>
      <c r="P646" s="1013" t="s">
        <v>27068</v>
      </c>
      <c r="Q646" s="1932" t="str">
        <f>+VLOOKUP(F646,TT_Tabelle_Riferimento!$D$127:$E$164,2,FALSE)</f>
        <v>Comune</v>
      </c>
      <c r="R646" s="1932" t="str">
        <f t="shared" si="58"/>
        <v/>
      </c>
      <c r="S646" s="2335">
        <f t="shared" si="53"/>
        <v>0</v>
      </c>
    </row>
    <row r="647" spans="1:19">
      <c r="A647" s="1932">
        <f t="shared" si="56"/>
        <v>0</v>
      </c>
      <c r="B647" s="1932">
        <f t="shared" si="57"/>
        <v>0</v>
      </c>
      <c r="C647" s="1013" t="s">
        <v>245</v>
      </c>
      <c r="D647" s="1013">
        <v>0</v>
      </c>
      <c r="E647" s="1013" t="s">
        <v>22698</v>
      </c>
      <c r="F647" s="1013">
        <v>35</v>
      </c>
      <c r="G647" s="1932" t="str">
        <f>+VLOOKUP(F647,TT_Tabelle_Riferimento!$D$127:$G$164,4,FALSE)</f>
        <v>Costruzioni leggere</v>
      </c>
      <c r="H647" s="1013">
        <v>2</v>
      </c>
      <c r="I647" s="1932" t="str">
        <f>+VLOOKUP(H647,TT_Tabelle_Riferimento!$F$3:$G$6,2,FALSE)</f>
        <v>Fognatura bianca e pulizia / manutenzione caditoie stradali</v>
      </c>
      <c r="J647" s="1013">
        <v>2027</v>
      </c>
      <c r="K647" s="2335">
        <f>+SUMIFS('PdI-crono_inv'!BB:BB,'PdI-crono_inv'!CF:CF,F647,'PdI-crono_inv'!CE:CE,H647,'PdI-crono_inv'!J:J,P647,'PdI-crono_inv'!P:P,"&lt;&gt;proprietario")</f>
        <v>0</v>
      </c>
      <c r="M647" s="2335">
        <f>+SUMIFS('PdI-crono_inv'!BC:BC,'PdI-crono_inv'!CF:CF,F647,'PdI-crono_inv'!CE:CE,H647,'PdI-crono_inv'!J:J,P647,'PdI-crono_inv'!P:P,"&lt;&gt;proprietario")+S647</f>
        <v>0</v>
      </c>
      <c r="P647" s="1013" t="s">
        <v>27068</v>
      </c>
      <c r="Q647" s="1932" t="str">
        <f>+VLOOKUP(F647,TT_Tabelle_Riferimento!$D$127:$E$164,2,FALSE)</f>
        <v>Comune</v>
      </c>
      <c r="R647" s="1932" t="str">
        <f t="shared" si="58"/>
        <v/>
      </c>
      <c r="S647" s="2335">
        <f t="shared" ref="S647:S710" si="59">+IFERROR(HLOOKUP(J647,$X$2:$Y$5,4,FALSE)*K647,0)</f>
        <v>0</v>
      </c>
    </row>
    <row r="648" spans="1:19">
      <c r="A648" s="1932">
        <f t="shared" si="56"/>
        <v>0</v>
      </c>
      <c r="B648" s="1932">
        <f t="shared" si="57"/>
        <v>0</v>
      </c>
      <c r="C648" s="1013" t="s">
        <v>245</v>
      </c>
      <c r="D648" s="1013">
        <v>0</v>
      </c>
      <c r="E648" s="1013" t="s">
        <v>22698</v>
      </c>
      <c r="F648" s="1013">
        <v>36</v>
      </c>
      <c r="G648" s="1932" t="str">
        <f>+VLOOKUP(F648,TT_Tabelle_Riferimento!$D$127:$G$164,4,FALSE)</f>
        <v>Studi, ricerche, brevetti, diritti di utilizzazione</v>
      </c>
      <c r="H648" s="1013">
        <v>2</v>
      </c>
      <c r="I648" s="1932" t="str">
        <f>+VLOOKUP(H648,TT_Tabelle_Riferimento!$F$3:$G$6,2,FALSE)</f>
        <v>Fognatura bianca e pulizia / manutenzione caditoie stradali</v>
      </c>
      <c r="J648" s="1013">
        <v>2027</v>
      </c>
      <c r="K648" s="2335">
        <f>+SUMIFS('PdI-crono_inv'!BB:BB,'PdI-crono_inv'!CF:CF,F648,'PdI-crono_inv'!CE:CE,H648,'PdI-crono_inv'!J:J,P648,'PdI-crono_inv'!P:P,"&lt;&gt;proprietario")</f>
        <v>0</v>
      </c>
      <c r="M648" s="2335">
        <f>+SUMIFS('PdI-crono_inv'!BC:BC,'PdI-crono_inv'!CF:CF,F648,'PdI-crono_inv'!CE:CE,H648,'PdI-crono_inv'!J:J,P648,'PdI-crono_inv'!P:P,"&lt;&gt;proprietario")+S648</f>
        <v>0</v>
      </c>
      <c r="P648" s="1013" t="s">
        <v>27068</v>
      </c>
      <c r="Q648" s="1932" t="str">
        <f>+VLOOKUP(F648,TT_Tabelle_Riferimento!$D$127:$E$164,2,FALSE)</f>
        <v>Comune</v>
      </c>
      <c r="R648" s="1932" t="str">
        <f t="shared" si="58"/>
        <v/>
      </c>
      <c r="S648" s="2335">
        <f t="shared" si="59"/>
        <v>0</v>
      </c>
    </row>
    <row r="649" spans="1:19">
      <c r="A649" s="1932">
        <v>0</v>
      </c>
      <c r="B649" s="1932">
        <v>0</v>
      </c>
      <c r="C649" s="1013" t="s">
        <v>245</v>
      </c>
      <c r="D649" s="1013">
        <v>0</v>
      </c>
      <c r="E649" s="1013" t="s">
        <v>22698</v>
      </c>
      <c r="F649" s="1013">
        <v>37</v>
      </c>
      <c r="G649" s="1932" t="str">
        <f>+VLOOKUP(F649,TT_Tabelle_Riferimento!$D$127:$G$164,4,FALSE)</f>
        <v>Altre immobilizzazioni materiali e immateriali</v>
      </c>
      <c r="H649" s="1013">
        <v>2</v>
      </c>
      <c r="I649" s="1932" t="str">
        <f>+VLOOKUP(H649,TT_Tabelle_Riferimento!$F$3:$G$6,2,FALSE)</f>
        <v>Fognatura bianca e pulizia / manutenzione caditoie stradali</v>
      </c>
      <c r="J649" s="1013">
        <v>2027</v>
      </c>
      <c r="K649" s="2335">
        <f>+SUMIFS('PdI-crono_inv'!BB:BB,'PdI-crono_inv'!CF:CF,F649,'PdI-crono_inv'!CE:CE,H649,'PdI-crono_inv'!J:J,P649,'PdI-crono_inv'!P:P,"&lt;&gt;proprietario")</f>
        <v>0</v>
      </c>
      <c r="M649" s="2335">
        <f>+SUMIFS('PdI-crono_inv'!BC:BC,'PdI-crono_inv'!CF:CF,F649,'PdI-crono_inv'!CE:CE,H649,'PdI-crono_inv'!J:J,P649,'PdI-crono_inv'!P:P,"&lt;&gt;proprietario")+S649</f>
        <v>0</v>
      </c>
      <c r="P649" s="1013" t="s">
        <v>27068</v>
      </c>
      <c r="Q649" s="1932" t="str">
        <f>+VLOOKUP(F649,TT_Tabelle_Riferimento!$D$127:$E$164,2,FALSE)</f>
        <v>Comune</v>
      </c>
      <c r="R649" s="1932" t="str">
        <f t="shared" si="58"/>
        <v/>
      </c>
      <c r="S649" s="2335">
        <f t="shared" si="59"/>
        <v>0</v>
      </c>
    </row>
    <row r="650" spans="1:19">
      <c r="A650" s="1932">
        <v>0</v>
      </c>
      <c r="B650" s="1932">
        <v>0</v>
      </c>
      <c r="C650" s="1013" t="s">
        <v>245</v>
      </c>
      <c r="D650" s="1013">
        <v>0</v>
      </c>
      <c r="E650" s="1013" t="s">
        <v>22698</v>
      </c>
      <c r="F650" s="1013">
        <v>38</v>
      </c>
      <c r="G650" s="1932" t="str">
        <f>+VLOOKUP(F650,TT_Tabelle_Riferimento!$D$127:$G$164,4,FALSE)</f>
        <v>Grandi dighe (sbarramenti che superano i quindici metri di altezza o che determinano un invaso superiore a 1 milione di metri cubi)</v>
      </c>
      <c r="H650" s="1013">
        <v>2</v>
      </c>
      <c r="I650" s="1932" t="str">
        <f>+VLOOKUP(H650,TT_Tabelle_Riferimento!$F$3:$G$6,2,FALSE)</f>
        <v>Fognatura bianca e pulizia / manutenzione caditoie stradali</v>
      </c>
      <c r="J650" s="1013">
        <v>2027</v>
      </c>
      <c r="K650" s="2335">
        <f>+SUMIFS('PdI-crono_inv'!BB:BB,'PdI-crono_inv'!CF:CF,F650,'PdI-crono_inv'!CE:CE,H650,'PdI-crono_inv'!J:J,P650,'PdI-crono_inv'!P:P,"&lt;&gt;proprietario")</f>
        <v>0</v>
      </c>
      <c r="M650" s="2335">
        <f>+SUMIFS('PdI-crono_inv'!BC:BC,'PdI-crono_inv'!CF:CF,F650,'PdI-crono_inv'!CE:CE,H650,'PdI-crono_inv'!J:J,P650,'PdI-crono_inv'!P:P,"&lt;&gt;proprietario")+S650</f>
        <v>0</v>
      </c>
      <c r="P650" s="1013" t="s">
        <v>27068</v>
      </c>
      <c r="Q650" s="1932" t="str">
        <f>+VLOOKUP(F650,TT_Tabelle_Riferimento!$D$127:$E$164,2,FALSE)</f>
        <v>Acquedotto</v>
      </c>
      <c r="R650" s="1932" t="str">
        <f t="shared" si="58"/>
        <v/>
      </c>
      <c r="S650" s="2335">
        <f t="shared" si="59"/>
        <v>0</v>
      </c>
    </row>
    <row r="651" spans="1:19">
      <c r="A651" s="1932">
        <v>0</v>
      </c>
      <c r="B651" s="1932">
        <v>0</v>
      </c>
      <c r="C651" s="1013" t="s">
        <v>245</v>
      </c>
      <c r="D651" s="1013">
        <v>0</v>
      </c>
      <c r="E651" s="1013" t="s">
        <v>22698</v>
      </c>
      <c r="F651" s="1013">
        <v>39</v>
      </c>
      <c r="G651" s="1932" t="str">
        <f>+VLOOKUP(F651,TT_Tabelle_Riferimento!$D$127:$G$164,4,FALSE)</f>
        <v>Piccole dighe (sbarramenti che non superano i quindici metri di altezza o che determinano un invaso non superiore a 1 milione di metri cubi)</v>
      </c>
      <c r="H651" s="1013">
        <v>2</v>
      </c>
      <c r="I651" s="1932" t="str">
        <f>+VLOOKUP(H651,TT_Tabelle_Riferimento!$F$3:$G$6,2,FALSE)</f>
        <v>Fognatura bianca e pulizia / manutenzione caditoie stradali</v>
      </c>
      <c r="J651" s="1013">
        <v>2027</v>
      </c>
      <c r="K651" s="2335">
        <f>+SUMIFS('PdI-crono_inv'!BB:BB,'PdI-crono_inv'!CF:CF,F651,'PdI-crono_inv'!CE:CE,H651,'PdI-crono_inv'!J:J,P651,'PdI-crono_inv'!P:P,"&lt;&gt;proprietario")</f>
        <v>0</v>
      </c>
      <c r="M651" s="2335">
        <f>+SUMIFS('PdI-crono_inv'!BC:BC,'PdI-crono_inv'!CF:CF,F651,'PdI-crono_inv'!CE:CE,H651,'PdI-crono_inv'!J:J,P651,'PdI-crono_inv'!P:P,"&lt;&gt;proprietario")+S651</f>
        <v>0</v>
      </c>
      <c r="P651" s="1013" t="s">
        <v>27068</v>
      </c>
      <c r="Q651" s="1932" t="str">
        <f>+VLOOKUP(F651,TT_Tabelle_Riferimento!$D$127:$E$164,2,FALSE)</f>
        <v>Acquedotto</v>
      </c>
      <c r="R651" s="1932" t="str">
        <f t="shared" si="58"/>
        <v/>
      </c>
      <c r="S651" s="2335">
        <f t="shared" si="59"/>
        <v>0</v>
      </c>
    </row>
    <row r="652" spans="1:19">
      <c r="A652" s="1932">
        <f t="shared" ref="A652:A715" si="60">+idato</f>
        <v>0</v>
      </c>
      <c r="B652" s="1932">
        <f t="shared" ref="B652:B715" si="61">+idgestore</f>
        <v>0</v>
      </c>
      <c r="C652" s="1013" t="s">
        <v>245</v>
      </c>
      <c r="D652" s="1013">
        <v>0</v>
      </c>
      <c r="E652" s="1013" t="s">
        <v>22698</v>
      </c>
      <c r="F652" s="1013">
        <v>2</v>
      </c>
      <c r="G652" s="1932" t="str">
        <f>+VLOOKUP(F652,TT_Tabelle_Riferimento!$D$127:$G$164,4,FALSE)</f>
        <v>Condotte di acquedotto</v>
      </c>
      <c r="H652" s="1013">
        <v>3</v>
      </c>
      <c r="I652" s="1932" t="str">
        <f>+VLOOKUP(H652,TT_Tabelle_Riferimento!$F$3:$G$6,2,FALSE)</f>
        <v>Altri servizi idrici</v>
      </c>
      <c r="J652" s="1013">
        <v>2027</v>
      </c>
      <c r="K652" s="2335">
        <f>+SUMIFS('PdI-crono_inv'!BB:BB,'PdI-crono_inv'!CF:CF,F652,'PdI-crono_inv'!CE:CE,H652,'PdI-crono_inv'!J:J,P652,'PdI-crono_inv'!P:P,"&lt;&gt;proprietario")</f>
        <v>0</v>
      </c>
      <c r="M652" s="2335">
        <f>+SUMIFS('PdI-crono_inv'!BC:BC,'PdI-crono_inv'!CF:CF,F652,'PdI-crono_inv'!CE:CE,H652,'PdI-crono_inv'!J:J,P652,'PdI-crono_inv'!P:P,"&lt;&gt;proprietario")+S652</f>
        <v>0</v>
      </c>
      <c r="P652" s="1013" t="s">
        <v>27068</v>
      </c>
      <c r="Q652" s="1932" t="str">
        <f>+VLOOKUP(F652,TT_Tabelle_Riferimento!$D$127:$E$164,2,FALSE)</f>
        <v>Acquedotto</v>
      </c>
      <c r="R652" s="1932" t="str">
        <f t="shared" si="58"/>
        <v/>
      </c>
      <c r="S652" s="2335">
        <f t="shared" si="59"/>
        <v>0</v>
      </c>
    </row>
    <row r="653" spans="1:19">
      <c r="A653" s="1932">
        <f t="shared" si="60"/>
        <v>0</v>
      </c>
      <c r="B653" s="1932">
        <f t="shared" si="61"/>
        <v>0</v>
      </c>
      <c r="C653" s="1013" t="s">
        <v>245</v>
      </c>
      <c r="D653" s="1013">
        <v>0</v>
      </c>
      <c r="E653" s="1013" t="s">
        <v>22698</v>
      </c>
      <c r="F653" s="1013">
        <v>3</v>
      </c>
      <c r="G653" s="1932" t="str">
        <f>+VLOOKUP(F653,TT_Tabelle_Riferimento!$D$127:$G$164,4,FALSE)</f>
        <v>Opere idrauliche fisse di acquedotto</v>
      </c>
      <c r="H653" s="1013">
        <v>3</v>
      </c>
      <c r="I653" s="1932" t="str">
        <f>+VLOOKUP(H653,TT_Tabelle_Riferimento!$F$3:$G$6,2,FALSE)</f>
        <v>Altri servizi idrici</v>
      </c>
      <c r="J653" s="1013">
        <v>2027</v>
      </c>
      <c r="K653" s="2335">
        <f>+SUMIFS('PdI-crono_inv'!BB:BB,'PdI-crono_inv'!CF:CF,F653,'PdI-crono_inv'!CE:CE,H653,'PdI-crono_inv'!J:J,P653,'PdI-crono_inv'!P:P,"&lt;&gt;proprietario")</f>
        <v>0</v>
      </c>
      <c r="M653" s="2335">
        <f>+SUMIFS('PdI-crono_inv'!BC:BC,'PdI-crono_inv'!CF:CF,F653,'PdI-crono_inv'!CE:CE,H653,'PdI-crono_inv'!J:J,P653,'PdI-crono_inv'!P:P,"&lt;&gt;proprietario")+S653</f>
        <v>0</v>
      </c>
      <c r="P653" s="1013" t="s">
        <v>27068</v>
      </c>
      <c r="Q653" s="1932" t="str">
        <f>+VLOOKUP(F653,TT_Tabelle_Riferimento!$D$127:$E$164,2,FALSE)</f>
        <v>Acquedotto</v>
      </c>
      <c r="R653" s="1932" t="str">
        <f t="shared" si="58"/>
        <v/>
      </c>
      <c r="S653" s="2335">
        <f t="shared" si="59"/>
        <v>0</v>
      </c>
    </row>
    <row r="654" spans="1:19">
      <c r="A654" s="1932">
        <f t="shared" si="60"/>
        <v>0</v>
      </c>
      <c r="B654" s="1932">
        <f t="shared" si="61"/>
        <v>0</v>
      </c>
      <c r="C654" s="1013" t="s">
        <v>245</v>
      </c>
      <c r="D654" s="1013">
        <v>0</v>
      </c>
      <c r="E654" s="1013" t="s">
        <v>22698</v>
      </c>
      <c r="F654" s="1013">
        <v>4</v>
      </c>
      <c r="G654" s="1932" t="str">
        <f>+VLOOKUP(F654,TT_Tabelle_Riferimento!$D$127:$G$164,4,FALSE)</f>
        <v>Serbatoi</v>
      </c>
      <c r="H654" s="1013">
        <v>3</v>
      </c>
      <c r="I654" s="1932" t="str">
        <f>+VLOOKUP(H654,TT_Tabelle_Riferimento!$F$3:$G$6,2,FALSE)</f>
        <v>Altri servizi idrici</v>
      </c>
      <c r="J654" s="1013">
        <v>2027</v>
      </c>
      <c r="K654" s="2335">
        <f>+SUMIFS('PdI-crono_inv'!BB:BB,'PdI-crono_inv'!CF:CF,F654,'PdI-crono_inv'!CE:CE,H654,'PdI-crono_inv'!J:J,P654,'PdI-crono_inv'!P:P,"&lt;&gt;proprietario")</f>
        <v>0</v>
      </c>
      <c r="M654" s="2335">
        <f>+SUMIFS('PdI-crono_inv'!BC:BC,'PdI-crono_inv'!CF:CF,F654,'PdI-crono_inv'!CE:CE,H654,'PdI-crono_inv'!J:J,P654,'PdI-crono_inv'!P:P,"&lt;&gt;proprietario")+S654</f>
        <v>0</v>
      </c>
      <c r="P654" s="1013" t="s">
        <v>27068</v>
      </c>
      <c r="Q654" s="1932" t="str">
        <f>+VLOOKUP(F654,TT_Tabelle_Riferimento!$D$127:$E$164,2,FALSE)</f>
        <v>Acquedotto</v>
      </c>
      <c r="R654" s="1932" t="str">
        <f t="shared" si="58"/>
        <v/>
      </c>
      <c r="S654" s="2335">
        <f t="shared" si="59"/>
        <v>0</v>
      </c>
    </row>
    <row r="655" spans="1:19">
      <c r="A655" s="1932">
        <f t="shared" si="60"/>
        <v>0</v>
      </c>
      <c r="B655" s="1932">
        <f t="shared" si="61"/>
        <v>0</v>
      </c>
      <c r="C655" s="1013" t="s">
        <v>245</v>
      </c>
      <c r="D655" s="1013">
        <v>0</v>
      </c>
      <c r="E655" s="1013" t="s">
        <v>22698</v>
      </c>
      <c r="F655" s="1013">
        <v>5</v>
      </c>
      <c r="G655" s="1932" t="str">
        <f>+VLOOKUP(F655,TT_Tabelle_Riferimento!$D$127:$G$164,4,FALSE)</f>
        <v>Impianti di sollevamento e pompaggio di acquedotto</v>
      </c>
      <c r="H655" s="1013">
        <v>3</v>
      </c>
      <c r="I655" s="1932" t="str">
        <f>+VLOOKUP(H655,TT_Tabelle_Riferimento!$F$3:$G$6,2,FALSE)</f>
        <v>Altri servizi idrici</v>
      </c>
      <c r="J655" s="1013">
        <v>2027</v>
      </c>
      <c r="K655" s="2335">
        <f>+SUMIFS('PdI-crono_inv'!BB:BB,'PdI-crono_inv'!CF:CF,F655,'PdI-crono_inv'!CE:CE,H655,'PdI-crono_inv'!J:J,P655,'PdI-crono_inv'!P:P,"&lt;&gt;proprietario")</f>
        <v>0</v>
      </c>
      <c r="M655" s="2335">
        <f>+SUMIFS('PdI-crono_inv'!BC:BC,'PdI-crono_inv'!CF:CF,F655,'PdI-crono_inv'!CE:CE,H655,'PdI-crono_inv'!J:J,P655,'PdI-crono_inv'!P:P,"&lt;&gt;proprietario")+S655</f>
        <v>0</v>
      </c>
      <c r="P655" s="1013" t="s">
        <v>27068</v>
      </c>
      <c r="Q655" s="1932" t="str">
        <f>+VLOOKUP(F655,TT_Tabelle_Riferimento!$D$127:$E$164,2,FALSE)</f>
        <v>Acquedotto</v>
      </c>
      <c r="R655" s="1932" t="str">
        <f t="shared" si="58"/>
        <v/>
      </c>
      <c r="S655" s="2335">
        <f t="shared" si="59"/>
        <v>0</v>
      </c>
    </row>
    <row r="656" spans="1:19">
      <c r="A656" s="1932">
        <f t="shared" si="60"/>
        <v>0</v>
      </c>
      <c r="B656" s="1932">
        <f t="shared" si="61"/>
        <v>0</v>
      </c>
      <c r="C656" s="1013" t="s">
        <v>245</v>
      </c>
      <c r="D656" s="1013">
        <v>0</v>
      </c>
      <c r="E656" s="1013" t="s">
        <v>22698</v>
      </c>
      <c r="F656" s="1013">
        <v>6</v>
      </c>
      <c r="G656" s="1932" t="str">
        <f>+VLOOKUP(F656,TT_Tabelle_Riferimento!$D$127:$G$164,4,FALSE)</f>
        <v>Impianti di potabilizzazione</v>
      </c>
      <c r="H656" s="1013">
        <v>3</v>
      </c>
      <c r="I656" s="1932" t="str">
        <f>+VLOOKUP(H656,TT_Tabelle_Riferimento!$F$3:$G$6,2,FALSE)</f>
        <v>Altri servizi idrici</v>
      </c>
      <c r="J656" s="1013">
        <v>2027</v>
      </c>
      <c r="K656" s="2335">
        <f>+SUMIFS('PdI-crono_inv'!BB:BB,'PdI-crono_inv'!CF:CF,F656,'PdI-crono_inv'!CE:CE,H656,'PdI-crono_inv'!J:J,P656,'PdI-crono_inv'!P:P,"&lt;&gt;proprietario")</f>
        <v>0</v>
      </c>
      <c r="M656" s="2335">
        <f>+SUMIFS('PdI-crono_inv'!BC:BC,'PdI-crono_inv'!CF:CF,F656,'PdI-crono_inv'!CE:CE,H656,'PdI-crono_inv'!J:J,P656,'PdI-crono_inv'!P:P,"&lt;&gt;proprietario")+S656</f>
        <v>0</v>
      </c>
      <c r="P656" s="1013" t="s">
        <v>27068</v>
      </c>
      <c r="Q656" s="1932" t="str">
        <f>+VLOOKUP(F656,TT_Tabelle_Riferimento!$D$127:$E$164,2,FALSE)</f>
        <v>Acquedotto</v>
      </c>
      <c r="R656" s="1932" t="str">
        <f t="shared" si="58"/>
        <v/>
      </c>
      <c r="S656" s="2335">
        <f t="shared" si="59"/>
        <v>0</v>
      </c>
    </row>
    <row r="657" spans="1:19">
      <c r="A657" s="1932">
        <f t="shared" si="60"/>
        <v>0</v>
      </c>
      <c r="B657" s="1932">
        <f t="shared" si="61"/>
        <v>0</v>
      </c>
      <c r="C657" s="1013" t="s">
        <v>245</v>
      </c>
      <c r="D657" s="1013">
        <v>0</v>
      </c>
      <c r="E657" s="1013" t="s">
        <v>22698</v>
      </c>
      <c r="F657" s="1013">
        <v>7</v>
      </c>
      <c r="G657" s="1932" t="str">
        <f>+VLOOKUP(F657,TT_Tabelle_Riferimento!$D$127:$G$164,4,FALSE)</f>
        <v>Altri trattamenti di potabilizzazione (tra cui dispositivi di disinfezione, stacciatura, filtrazione, addolcimento)</v>
      </c>
      <c r="H657" s="1013">
        <v>3</v>
      </c>
      <c r="I657" s="1932" t="str">
        <f>+VLOOKUP(H657,TT_Tabelle_Riferimento!$F$3:$G$6,2,FALSE)</f>
        <v>Altri servizi idrici</v>
      </c>
      <c r="J657" s="1013">
        <v>2027</v>
      </c>
      <c r="K657" s="2335">
        <f>+SUMIFS('PdI-crono_inv'!BB:BB,'PdI-crono_inv'!CF:CF,F657,'PdI-crono_inv'!CE:CE,H657,'PdI-crono_inv'!J:J,P657,'PdI-crono_inv'!P:P,"&lt;&gt;proprietario")</f>
        <v>0</v>
      </c>
      <c r="M657" s="2335">
        <f>+SUMIFS('PdI-crono_inv'!BC:BC,'PdI-crono_inv'!CF:CF,F657,'PdI-crono_inv'!CE:CE,H657,'PdI-crono_inv'!J:J,P657,'PdI-crono_inv'!P:P,"&lt;&gt;proprietario")+S657</f>
        <v>0</v>
      </c>
      <c r="P657" s="1013" t="s">
        <v>27068</v>
      </c>
      <c r="Q657" s="1932" t="str">
        <f>+VLOOKUP(F657,TT_Tabelle_Riferimento!$D$127:$E$164,2,FALSE)</f>
        <v>Acquedotto</v>
      </c>
      <c r="R657" s="1932" t="str">
        <f t="shared" si="58"/>
        <v/>
      </c>
      <c r="S657" s="2335">
        <f t="shared" si="59"/>
        <v>0</v>
      </c>
    </row>
    <row r="658" spans="1:19">
      <c r="A658" s="1932">
        <f t="shared" si="60"/>
        <v>0</v>
      </c>
      <c r="B658" s="1932">
        <f t="shared" si="61"/>
        <v>0</v>
      </c>
      <c r="C658" s="1013" t="s">
        <v>245</v>
      </c>
      <c r="D658" s="1013">
        <v>0</v>
      </c>
      <c r="E658" s="1013" t="s">
        <v>22698</v>
      </c>
      <c r="F658" s="1013">
        <v>8</v>
      </c>
      <c r="G658" s="1932" t="str">
        <f>+VLOOKUP(F658,TT_Tabelle_Riferimento!$D$127:$G$164,4,FALSE)</f>
        <v>Gruppi di misura - altre attrezzature di acquedotto</v>
      </c>
      <c r="H658" s="1013">
        <v>3</v>
      </c>
      <c r="I658" s="1932" t="str">
        <f>+VLOOKUP(H658,TT_Tabelle_Riferimento!$F$3:$G$6,2,FALSE)</f>
        <v>Altri servizi idrici</v>
      </c>
      <c r="J658" s="1013">
        <v>2027</v>
      </c>
      <c r="K658" s="2335">
        <f>+SUMIFS('PdI-crono_inv'!BB:BB,'PdI-crono_inv'!CF:CF,F658,'PdI-crono_inv'!CE:CE,H658,'PdI-crono_inv'!J:J,P658,'PdI-crono_inv'!P:P,"&lt;&gt;proprietario")</f>
        <v>0</v>
      </c>
      <c r="M658" s="2335">
        <f>+SUMIFS('PdI-crono_inv'!BC:BC,'PdI-crono_inv'!CF:CF,F658,'PdI-crono_inv'!CE:CE,H658,'PdI-crono_inv'!J:J,P658,'PdI-crono_inv'!P:P,"&lt;&gt;proprietario")+S658</f>
        <v>0</v>
      </c>
      <c r="P658" s="1013" t="s">
        <v>27068</v>
      </c>
      <c r="Q658" s="1932" t="str">
        <f>+VLOOKUP(F658,TT_Tabelle_Riferimento!$D$127:$E$164,2,FALSE)</f>
        <v>Acquedotto</v>
      </c>
      <c r="R658" s="1932" t="str">
        <f t="shared" si="58"/>
        <v/>
      </c>
      <c r="S658" s="2335">
        <f t="shared" si="59"/>
        <v>0</v>
      </c>
    </row>
    <row r="659" spans="1:19">
      <c r="A659" s="1932">
        <f t="shared" si="60"/>
        <v>0</v>
      </c>
      <c r="B659" s="1932">
        <f t="shared" si="61"/>
        <v>0</v>
      </c>
      <c r="C659" s="1013" t="s">
        <v>245</v>
      </c>
      <c r="D659" s="1013">
        <v>0</v>
      </c>
      <c r="E659" s="1013" t="s">
        <v>22698</v>
      </c>
      <c r="F659" s="1013">
        <v>9</v>
      </c>
      <c r="G659" s="1932" t="str">
        <f>+VLOOKUP(F659,TT_Tabelle_Riferimento!$D$127:$G$164,4,FALSE)</f>
        <v>Sistemi informativi di acquedotto</v>
      </c>
      <c r="H659" s="1013">
        <v>3</v>
      </c>
      <c r="I659" s="1932" t="str">
        <f>+VLOOKUP(H659,TT_Tabelle_Riferimento!$F$3:$G$6,2,FALSE)</f>
        <v>Altri servizi idrici</v>
      </c>
      <c r="J659" s="1013">
        <v>2027</v>
      </c>
      <c r="K659" s="2335">
        <f>+SUMIFS('PdI-crono_inv'!BB:BB,'PdI-crono_inv'!CF:CF,F659,'PdI-crono_inv'!CE:CE,H659,'PdI-crono_inv'!J:J,P659,'PdI-crono_inv'!P:P,"&lt;&gt;proprietario")</f>
        <v>0</v>
      </c>
      <c r="M659" s="2335">
        <f>+SUMIFS('PdI-crono_inv'!BC:BC,'PdI-crono_inv'!CF:CF,F659,'PdI-crono_inv'!CE:CE,H659,'PdI-crono_inv'!J:J,P659,'PdI-crono_inv'!P:P,"&lt;&gt;proprietario")+S659</f>
        <v>0</v>
      </c>
      <c r="P659" s="1013" t="s">
        <v>27068</v>
      </c>
      <c r="Q659" s="1932" t="str">
        <f>+VLOOKUP(F659,TT_Tabelle_Riferimento!$D$127:$E$164,2,FALSE)</f>
        <v>Acquedotto</v>
      </c>
      <c r="R659" s="1932" t="str">
        <f t="shared" si="58"/>
        <v/>
      </c>
      <c r="S659" s="2335">
        <f t="shared" si="59"/>
        <v>0</v>
      </c>
    </row>
    <row r="660" spans="1:19">
      <c r="A660" s="1932">
        <f t="shared" si="60"/>
        <v>0</v>
      </c>
      <c r="B660" s="1932">
        <f t="shared" si="61"/>
        <v>0</v>
      </c>
      <c r="C660" s="1013" t="s">
        <v>245</v>
      </c>
      <c r="D660" s="1013">
        <v>0</v>
      </c>
      <c r="E660" s="1013" t="s">
        <v>22698</v>
      </c>
      <c r="F660" s="1013">
        <v>10</v>
      </c>
      <c r="G660" s="1932" t="str">
        <f>+VLOOKUP(F660,TT_Tabelle_Riferimento!$D$127:$G$164,4,FALSE)</f>
        <v>Telecontrollo e teletrasmissione di acquedotto</v>
      </c>
      <c r="H660" s="1013">
        <v>3</v>
      </c>
      <c r="I660" s="1932" t="str">
        <f>+VLOOKUP(H660,TT_Tabelle_Riferimento!$F$3:$G$6,2,FALSE)</f>
        <v>Altri servizi idrici</v>
      </c>
      <c r="J660" s="1013">
        <v>2027</v>
      </c>
      <c r="K660" s="2335">
        <f>+SUMIFS('PdI-crono_inv'!BB:BB,'PdI-crono_inv'!CF:CF,F660,'PdI-crono_inv'!CE:CE,H660,'PdI-crono_inv'!J:J,P660,'PdI-crono_inv'!P:P,"&lt;&gt;proprietario")</f>
        <v>0</v>
      </c>
      <c r="M660" s="2335">
        <f>+SUMIFS('PdI-crono_inv'!BC:BC,'PdI-crono_inv'!CF:CF,F660,'PdI-crono_inv'!CE:CE,H660,'PdI-crono_inv'!J:J,P660,'PdI-crono_inv'!P:P,"&lt;&gt;proprietario")+S660</f>
        <v>0</v>
      </c>
      <c r="P660" s="1013" t="s">
        <v>27068</v>
      </c>
      <c r="Q660" s="1932" t="str">
        <f>+VLOOKUP(F660,TT_Tabelle_Riferimento!$D$127:$E$164,2,FALSE)</f>
        <v>Acquedotto</v>
      </c>
      <c r="R660" s="1932" t="str">
        <f t="shared" si="58"/>
        <v/>
      </c>
      <c r="S660" s="2335">
        <f t="shared" si="59"/>
        <v>0</v>
      </c>
    </row>
    <row r="661" spans="1:19">
      <c r="A661" s="1932">
        <f t="shared" si="60"/>
        <v>0</v>
      </c>
      <c r="B661" s="1932">
        <f t="shared" si="61"/>
        <v>0</v>
      </c>
      <c r="C661" s="1013" t="s">
        <v>245</v>
      </c>
      <c r="D661" s="1013">
        <v>0</v>
      </c>
      <c r="E661" s="1013" t="s">
        <v>22698</v>
      </c>
      <c r="F661" s="1013">
        <v>11</v>
      </c>
      <c r="G661" s="1932" t="str">
        <f>+VLOOKUP(F661,TT_Tabelle_Riferimento!$D$127:$G$164,4,FALSE)</f>
        <v>Condotte fognarie</v>
      </c>
      <c r="H661" s="1013">
        <v>3</v>
      </c>
      <c r="I661" s="1932" t="str">
        <f>+VLOOKUP(H661,TT_Tabelle_Riferimento!$F$3:$G$6,2,FALSE)</f>
        <v>Altri servizi idrici</v>
      </c>
      <c r="J661" s="1013">
        <v>2027</v>
      </c>
      <c r="K661" s="2335">
        <f>+SUMIFS('PdI-crono_inv'!BB:BB,'PdI-crono_inv'!CF:CF,F661,'PdI-crono_inv'!CE:CE,H661,'PdI-crono_inv'!J:J,P661,'PdI-crono_inv'!P:P,"&lt;&gt;proprietario")</f>
        <v>0</v>
      </c>
      <c r="M661" s="2335">
        <f>+SUMIFS('PdI-crono_inv'!BC:BC,'PdI-crono_inv'!CF:CF,F661,'PdI-crono_inv'!CE:CE,H661,'PdI-crono_inv'!J:J,P661,'PdI-crono_inv'!P:P,"&lt;&gt;proprietario")+S661</f>
        <v>0</v>
      </c>
      <c r="P661" s="1013" t="s">
        <v>27068</v>
      </c>
      <c r="Q661" s="1932" t="str">
        <f>+VLOOKUP(F661,TT_Tabelle_Riferimento!$D$127:$E$164,2,FALSE)</f>
        <v>Fognatura</v>
      </c>
      <c r="R661" s="1932" t="str">
        <f t="shared" si="58"/>
        <v/>
      </c>
      <c r="S661" s="2335">
        <f t="shared" si="59"/>
        <v>0</v>
      </c>
    </row>
    <row r="662" spans="1:19">
      <c r="A662" s="1932">
        <f t="shared" si="60"/>
        <v>0</v>
      </c>
      <c r="B662" s="1932">
        <f t="shared" si="61"/>
        <v>0</v>
      </c>
      <c r="C662" s="1013" t="s">
        <v>245</v>
      </c>
      <c r="D662" s="1013">
        <v>0</v>
      </c>
      <c r="E662" s="1013" t="s">
        <v>22698</v>
      </c>
      <c r="F662" s="1013">
        <v>12</v>
      </c>
      <c r="G662" s="1932" t="str">
        <f>+VLOOKUP(F662,TT_Tabelle_Riferimento!$D$127:$G$164,4,FALSE)</f>
        <v>Sifoni e scaricatori di piena e altre opere idrauliche fisse di fognatura</v>
      </c>
      <c r="H662" s="1013">
        <v>3</v>
      </c>
      <c r="I662" s="1932" t="str">
        <f>+VLOOKUP(H662,TT_Tabelle_Riferimento!$F$3:$G$6,2,FALSE)</f>
        <v>Altri servizi idrici</v>
      </c>
      <c r="J662" s="1013">
        <v>2027</v>
      </c>
      <c r="K662" s="2335">
        <f>+SUMIFS('PdI-crono_inv'!BB:BB,'PdI-crono_inv'!CF:CF,F662,'PdI-crono_inv'!CE:CE,H662,'PdI-crono_inv'!J:J,P662,'PdI-crono_inv'!P:P,"&lt;&gt;proprietario")</f>
        <v>0</v>
      </c>
      <c r="M662" s="2335">
        <f>+SUMIFS('PdI-crono_inv'!BC:BC,'PdI-crono_inv'!CF:CF,F662,'PdI-crono_inv'!CE:CE,H662,'PdI-crono_inv'!J:J,P662,'PdI-crono_inv'!P:P,"&lt;&gt;proprietario")+S662</f>
        <v>0</v>
      </c>
      <c r="P662" s="1013" t="s">
        <v>27068</v>
      </c>
      <c r="Q662" s="1932" t="str">
        <f>+VLOOKUP(F662,TT_Tabelle_Riferimento!$D$127:$E$164,2,FALSE)</f>
        <v>Fognatura</v>
      </c>
      <c r="R662" s="1932" t="str">
        <f t="shared" si="58"/>
        <v/>
      </c>
      <c r="S662" s="2335">
        <f t="shared" si="59"/>
        <v>0</v>
      </c>
    </row>
    <row r="663" spans="1:19">
      <c r="A663" s="1932">
        <f t="shared" si="60"/>
        <v>0</v>
      </c>
      <c r="B663" s="1932">
        <f t="shared" si="61"/>
        <v>0</v>
      </c>
      <c r="C663" s="1013" t="s">
        <v>245</v>
      </c>
      <c r="D663" s="1013">
        <v>0</v>
      </c>
      <c r="E663" s="1013" t="s">
        <v>22698</v>
      </c>
      <c r="F663" s="1013">
        <v>13</v>
      </c>
      <c r="G663" s="1932" t="str">
        <f>+VLOOKUP(F663,TT_Tabelle_Riferimento!$D$127:$G$164,4,FALSE)</f>
        <v>Vasche di laminazione e vasche di prima pioggia</v>
      </c>
      <c r="H663" s="1013">
        <v>3</v>
      </c>
      <c r="I663" s="1932" t="str">
        <f>+VLOOKUP(H663,TT_Tabelle_Riferimento!$F$3:$G$6,2,FALSE)</f>
        <v>Altri servizi idrici</v>
      </c>
      <c r="J663" s="1013">
        <v>2027</v>
      </c>
      <c r="K663" s="2335">
        <f>+SUMIFS('PdI-crono_inv'!BB:BB,'PdI-crono_inv'!CF:CF,F663,'PdI-crono_inv'!CE:CE,H663,'PdI-crono_inv'!J:J,P663,'PdI-crono_inv'!P:P,"&lt;&gt;proprietario")</f>
        <v>0</v>
      </c>
      <c r="M663" s="2335">
        <f>+SUMIFS('PdI-crono_inv'!BC:BC,'PdI-crono_inv'!CF:CF,F663,'PdI-crono_inv'!CE:CE,H663,'PdI-crono_inv'!J:J,P663,'PdI-crono_inv'!P:P,"&lt;&gt;proprietario")+S663</f>
        <v>0</v>
      </c>
      <c r="P663" s="1013" t="s">
        <v>27068</v>
      </c>
      <c r="Q663" s="1932" t="str">
        <f>+VLOOKUP(F663,TT_Tabelle_Riferimento!$D$127:$E$164,2,FALSE)</f>
        <v>Fognatura</v>
      </c>
      <c r="R663" s="1932" t="str">
        <f t="shared" si="58"/>
        <v/>
      </c>
      <c r="S663" s="2335">
        <f t="shared" si="59"/>
        <v>0</v>
      </c>
    </row>
    <row r="664" spans="1:19">
      <c r="A664" s="1932">
        <f t="shared" si="60"/>
        <v>0</v>
      </c>
      <c r="B664" s="1932">
        <f t="shared" si="61"/>
        <v>0</v>
      </c>
      <c r="C664" s="1013" t="s">
        <v>245</v>
      </c>
      <c r="D664" s="1013">
        <v>0</v>
      </c>
      <c r="E664" s="1013" t="s">
        <v>22698</v>
      </c>
      <c r="F664" s="1013">
        <v>14</v>
      </c>
      <c r="G664" s="1932" t="str">
        <f>+VLOOKUP(F664,TT_Tabelle_Riferimento!$D$127:$G$164,4,FALSE)</f>
        <v>Impianti di sollevamento e pompaggio di fognatura</v>
      </c>
      <c r="H664" s="1013">
        <v>3</v>
      </c>
      <c r="I664" s="1932" t="str">
        <f>+VLOOKUP(H664,TT_Tabelle_Riferimento!$F$3:$G$6,2,FALSE)</f>
        <v>Altri servizi idrici</v>
      </c>
      <c r="J664" s="1013">
        <v>2027</v>
      </c>
      <c r="K664" s="2335">
        <f>+SUMIFS('PdI-crono_inv'!BB:BB,'PdI-crono_inv'!CF:CF,F664,'PdI-crono_inv'!CE:CE,H664,'PdI-crono_inv'!J:J,P664,'PdI-crono_inv'!P:P,"&lt;&gt;proprietario")</f>
        <v>0</v>
      </c>
      <c r="M664" s="2335">
        <f>+SUMIFS('PdI-crono_inv'!BC:BC,'PdI-crono_inv'!CF:CF,F664,'PdI-crono_inv'!CE:CE,H664,'PdI-crono_inv'!J:J,P664,'PdI-crono_inv'!P:P,"&lt;&gt;proprietario")+S664</f>
        <v>0</v>
      </c>
      <c r="P664" s="1013" t="s">
        <v>27068</v>
      </c>
      <c r="Q664" s="1932" t="str">
        <f>+VLOOKUP(F664,TT_Tabelle_Riferimento!$D$127:$E$164,2,FALSE)</f>
        <v>Fognatura</v>
      </c>
      <c r="R664" s="1932" t="str">
        <f t="shared" si="58"/>
        <v/>
      </c>
      <c r="S664" s="2335">
        <f t="shared" si="59"/>
        <v>0</v>
      </c>
    </row>
    <row r="665" spans="1:19">
      <c r="A665" s="1932">
        <f t="shared" si="60"/>
        <v>0</v>
      </c>
      <c r="B665" s="1932">
        <f t="shared" si="61"/>
        <v>0</v>
      </c>
      <c r="C665" s="1013" t="s">
        <v>245</v>
      </c>
      <c r="D665" s="1013">
        <v>0</v>
      </c>
      <c r="E665" s="1013" t="s">
        <v>22698</v>
      </c>
      <c r="F665" s="1013">
        <v>15</v>
      </c>
      <c r="G665" s="1932" t="str">
        <f>+VLOOKUP(F665,TT_Tabelle_Riferimento!$D$127:$G$164,4,FALSE)</f>
        <v>Gruppi di misura - altre attrezzature di fognatura</v>
      </c>
      <c r="H665" s="1013">
        <v>3</v>
      </c>
      <c r="I665" s="1932" t="str">
        <f>+VLOOKUP(H665,TT_Tabelle_Riferimento!$F$3:$G$6,2,FALSE)</f>
        <v>Altri servizi idrici</v>
      </c>
      <c r="J665" s="1013">
        <v>2027</v>
      </c>
      <c r="K665" s="2335">
        <f>+SUMIFS('PdI-crono_inv'!BB:BB,'PdI-crono_inv'!CF:CF,F665,'PdI-crono_inv'!CE:CE,H665,'PdI-crono_inv'!J:J,P665,'PdI-crono_inv'!P:P,"&lt;&gt;proprietario")</f>
        <v>0</v>
      </c>
      <c r="M665" s="2335">
        <f>+SUMIFS('PdI-crono_inv'!BC:BC,'PdI-crono_inv'!CF:CF,F665,'PdI-crono_inv'!CE:CE,H665,'PdI-crono_inv'!J:J,P665,'PdI-crono_inv'!P:P,"&lt;&gt;proprietario")+S665</f>
        <v>0</v>
      </c>
      <c r="P665" s="1013" t="s">
        <v>27068</v>
      </c>
      <c r="Q665" s="1932" t="str">
        <f>+VLOOKUP(F665,TT_Tabelle_Riferimento!$D$127:$E$164,2,FALSE)</f>
        <v>Fognatura</v>
      </c>
      <c r="R665" s="1932" t="str">
        <f t="shared" si="58"/>
        <v/>
      </c>
      <c r="S665" s="2335">
        <f t="shared" si="59"/>
        <v>0</v>
      </c>
    </row>
    <row r="666" spans="1:19">
      <c r="A666" s="1932">
        <f t="shared" si="60"/>
        <v>0</v>
      </c>
      <c r="B666" s="1932">
        <f t="shared" si="61"/>
        <v>0</v>
      </c>
      <c r="C666" s="1013" t="s">
        <v>245</v>
      </c>
      <c r="D666" s="1013">
        <v>0</v>
      </c>
      <c r="E666" s="1013" t="s">
        <v>22698</v>
      </c>
      <c r="F666" s="1013">
        <v>16</v>
      </c>
      <c r="G666" s="1932" t="str">
        <f>+VLOOKUP(F666,TT_Tabelle_Riferimento!$D$127:$G$164,4,FALSE)</f>
        <v>Sistemi informativi di fognatura</v>
      </c>
      <c r="H666" s="1013">
        <v>3</v>
      </c>
      <c r="I666" s="1932" t="str">
        <f>+VLOOKUP(H666,TT_Tabelle_Riferimento!$F$3:$G$6,2,FALSE)</f>
        <v>Altri servizi idrici</v>
      </c>
      <c r="J666" s="1013">
        <v>2027</v>
      </c>
      <c r="K666" s="2335">
        <f>+SUMIFS('PdI-crono_inv'!BB:BB,'PdI-crono_inv'!CF:CF,F666,'PdI-crono_inv'!CE:CE,H666,'PdI-crono_inv'!J:J,P666,'PdI-crono_inv'!P:P,"&lt;&gt;proprietario")</f>
        <v>0</v>
      </c>
      <c r="M666" s="2335">
        <f>+SUMIFS('PdI-crono_inv'!BC:BC,'PdI-crono_inv'!CF:CF,F666,'PdI-crono_inv'!CE:CE,H666,'PdI-crono_inv'!J:J,P666,'PdI-crono_inv'!P:P,"&lt;&gt;proprietario")+S666</f>
        <v>0</v>
      </c>
      <c r="P666" s="1013" t="s">
        <v>27068</v>
      </c>
      <c r="Q666" s="1932" t="str">
        <f>+VLOOKUP(F666,TT_Tabelle_Riferimento!$D$127:$E$164,2,FALSE)</f>
        <v>Fognatura</v>
      </c>
      <c r="R666" s="1932" t="str">
        <f t="shared" si="58"/>
        <v/>
      </c>
      <c r="S666" s="2335">
        <f t="shared" si="59"/>
        <v>0</v>
      </c>
    </row>
    <row r="667" spans="1:19">
      <c r="A667" s="1932">
        <f t="shared" si="60"/>
        <v>0</v>
      </c>
      <c r="B667" s="1932">
        <f t="shared" si="61"/>
        <v>0</v>
      </c>
      <c r="C667" s="1013" t="s">
        <v>245</v>
      </c>
      <c r="D667" s="1013">
        <v>0</v>
      </c>
      <c r="E667" s="1013" t="s">
        <v>22698</v>
      </c>
      <c r="F667" s="1013">
        <v>18</v>
      </c>
      <c r="G667" s="1932" t="str">
        <f>+VLOOKUP(F667,TT_Tabelle_Riferimento!$D$127:$G$164,4,FALSE)</f>
        <v>Telecontrollo e teletrasmissione di fognatura</v>
      </c>
      <c r="H667" s="1013">
        <v>3</v>
      </c>
      <c r="I667" s="1932" t="str">
        <f>+VLOOKUP(H667,TT_Tabelle_Riferimento!$F$3:$G$6,2,FALSE)</f>
        <v>Altri servizi idrici</v>
      </c>
      <c r="J667" s="1013">
        <v>2027</v>
      </c>
      <c r="K667" s="2335">
        <f>+SUMIFS('PdI-crono_inv'!BB:BB,'PdI-crono_inv'!CF:CF,F667,'PdI-crono_inv'!CE:CE,H667,'PdI-crono_inv'!J:J,P667,'PdI-crono_inv'!P:P,"&lt;&gt;proprietario")</f>
        <v>0</v>
      </c>
      <c r="M667" s="2335">
        <f>+SUMIFS('PdI-crono_inv'!BC:BC,'PdI-crono_inv'!CF:CF,F667,'PdI-crono_inv'!CE:CE,H667,'PdI-crono_inv'!J:J,P667,'PdI-crono_inv'!P:P,"&lt;&gt;proprietario")+S667</f>
        <v>0</v>
      </c>
      <c r="P667" s="1013" t="s">
        <v>27068</v>
      </c>
      <c r="Q667" s="1932" t="str">
        <f>+VLOOKUP(F667,TT_Tabelle_Riferimento!$D$127:$E$164,2,FALSE)</f>
        <v>Fognatura</v>
      </c>
      <c r="R667" s="1932" t="str">
        <f t="shared" si="58"/>
        <v/>
      </c>
      <c r="S667" s="2335">
        <f t="shared" si="59"/>
        <v>0</v>
      </c>
    </row>
    <row r="668" spans="1:19">
      <c r="A668" s="1932">
        <f t="shared" si="60"/>
        <v>0</v>
      </c>
      <c r="B668" s="1932">
        <f t="shared" si="61"/>
        <v>0</v>
      </c>
      <c r="C668" s="1013" t="s">
        <v>245</v>
      </c>
      <c r="D668" s="1013">
        <v>0</v>
      </c>
      <c r="E668" s="1013" t="s">
        <v>22698</v>
      </c>
      <c r="F668" s="1013">
        <v>19</v>
      </c>
      <c r="G668" s="1932" t="str">
        <f>+VLOOKUP(F668,TT_Tabelle_Riferimento!$D$127:$G$164,4,FALSE)</f>
        <v>Impianti di sollevamento e pompaggio di depurazione</v>
      </c>
      <c r="H668" s="1013">
        <v>3</v>
      </c>
      <c r="I668" s="1932" t="str">
        <f>+VLOOKUP(H668,TT_Tabelle_Riferimento!$F$3:$G$6,2,FALSE)</f>
        <v>Altri servizi idrici</v>
      </c>
      <c r="J668" s="1013">
        <v>2027</v>
      </c>
      <c r="K668" s="2335">
        <f>+SUMIFS('PdI-crono_inv'!BB:BB,'PdI-crono_inv'!CF:CF,F668,'PdI-crono_inv'!CE:CE,H668,'PdI-crono_inv'!J:J,P668,'PdI-crono_inv'!P:P,"&lt;&gt;proprietario")</f>
        <v>0</v>
      </c>
      <c r="M668" s="2335">
        <f>+SUMIFS('PdI-crono_inv'!BC:BC,'PdI-crono_inv'!CF:CF,F668,'PdI-crono_inv'!CE:CE,H668,'PdI-crono_inv'!J:J,P668,'PdI-crono_inv'!P:P,"&lt;&gt;proprietario")+S668</f>
        <v>0</v>
      </c>
      <c r="P668" s="1013" t="s">
        <v>27068</v>
      </c>
      <c r="Q668" s="1932" t="str">
        <f>+VLOOKUP(F668,TT_Tabelle_Riferimento!$D$127:$E$164,2,FALSE)</f>
        <v>Depurazione</v>
      </c>
      <c r="R668" s="1932" t="str">
        <f t="shared" si="58"/>
        <v/>
      </c>
      <c r="S668" s="2335">
        <f t="shared" si="59"/>
        <v>0</v>
      </c>
    </row>
    <row r="669" spans="1:19">
      <c r="A669" s="1932">
        <f t="shared" si="60"/>
        <v>0</v>
      </c>
      <c r="B669" s="1932">
        <f t="shared" si="61"/>
        <v>0</v>
      </c>
      <c r="C669" s="1013" t="s">
        <v>245</v>
      </c>
      <c r="D669" s="1013">
        <v>0</v>
      </c>
      <c r="E669" s="1013" t="s">
        <v>22698</v>
      </c>
      <c r="F669" s="1013">
        <v>20</v>
      </c>
      <c r="G669" s="1932" t="str">
        <f>+VLOOKUP(F669,TT_Tabelle_Riferimento!$D$127:$G$164,4,FALSE)</f>
        <v>Tecniche naturali di depurazione (tra cui fitodepurazione e lagunaggio)</v>
      </c>
      <c r="H669" s="1013">
        <v>3</v>
      </c>
      <c r="I669" s="1932" t="str">
        <f>+VLOOKUP(H669,TT_Tabelle_Riferimento!$F$3:$G$6,2,FALSE)</f>
        <v>Altri servizi idrici</v>
      </c>
      <c r="J669" s="1013">
        <v>2027</v>
      </c>
      <c r="K669" s="2335">
        <f>+SUMIFS('PdI-crono_inv'!BB:BB,'PdI-crono_inv'!CF:CF,F669,'PdI-crono_inv'!CE:CE,H669,'PdI-crono_inv'!J:J,P669,'PdI-crono_inv'!P:P,"&lt;&gt;proprietario")</f>
        <v>0</v>
      </c>
      <c r="M669" s="2335">
        <f>+SUMIFS('PdI-crono_inv'!BC:BC,'PdI-crono_inv'!CF:CF,F669,'PdI-crono_inv'!CE:CE,H669,'PdI-crono_inv'!J:J,P669,'PdI-crono_inv'!P:P,"&lt;&gt;proprietario")+S669</f>
        <v>0</v>
      </c>
      <c r="P669" s="1013" t="s">
        <v>27068</v>
      </c>
      <c r="Q669" s="1932" t="str">
        <f>+VLOOKUP(F669,TT_Tabelle_Riferimento!$D$127:$E$164,2,FALSE)</f>
        <v>Depurazione</v>
      </c>
      <c r="R669" s="1932" t="str">
        <f t="shared" si="58"/>
        <v/>
      </c>
      <c r="S669" s="2335">
        <f t="shared" si="59"/>
        <v>0</v>
      </c>
    </row>
    <row r="670" spans="1:19">
      <c r="A670" s="1932">
        <f t="shared" si="60"/>
        <v>0</v>
      </c>
      <c r="B670" s="1932">
        <f t="shared" si="61"/>
        <v>0</v>
      </c>
      <c r="C670" s="1013" t="s">
        <v>245</v>
      </c>
      <c r="D670" s="1013">
        <v>0</v>
      </c>
      <c r="E670" s="1013" t="s">
        <v>22698</v>
      </c>
      <c r="F670" s="1013">
        <v>21</v>
      </c>
      <c r="G670" s="1932" t="str">
        <f>+VLOOKUP(F670,TT_Tabelle_Riferimento!$D$127:$G$164,4,FALSE)</f>
        <v>Impianti di depurazione – trattamenti sino al preliminare, integrativo, primario - fosse settiche e fosse Imhoff</v>
      </c>
      <c r="H670" s="1013">
        <v>3</v>
      </c>
      <c r="I670" s="1932" t="str">
        <f>+VLOOKUP(H670,TT_Tabelle_Riferimento!$F$3:$G$6,2,FALSE)</f>
        <v>Altri servizi idrici</v>
      </c>
      <c r="J670" s="1013">
        <v>2027</v>
      </c>
      <c r="K670" s="2335">
        <f>+SUMIFS('PdI-crono_inv'!BB:BB,'PdI-crono_inv'!CF:CF,F670,'PdI-crono_inv'!CE:CE,H670,'PdI-crono_inv'!J:J,P670,'PdI-crono_inv'!P:P,"&lt;&gt;proprietario")</f>
        <v>0</v>
      </c>
      <c r="M670" s="2335">
        <f>+SUMIFS('PdI-crono_inv'!BC:BC,'PdI-crono_inv'!CF:CF,F670,'PdI-crono_inv'!CE:CE,H670,'PdI-crono_inv'!J:J,P670,'PdI-crono_inv'!P:P,"&lt;&gt;proprietario")+S670</f>
        <v>0</v>
      </c>
      <c r="P670" s="1013" t="s">
        <v>27068</v>
      </c>
      <c r="Q670" s="1932" t="str">
        <f>+VLOOKUP(F670,TT_Tabelle_Riferimento!$D$127:$E$164,2,FALSE)</f>
        <v>Depurazione</v>
      </c>
      <c r="R670" s="1932" t="str">
        <f t="shared" si="58"/>
        <v/>
      </c>
      <c r="S670" s="2335">
        <f t="shared" si="59"/>
        <v>0</v>
      </c>
    </row>
    <row r="671" spans="1:19">
      <c r="A671" s="1932">
        <f t="shared" si="60"/>
        <v>0</v>
      </c>
      <c r="B671" s="1932">
        <f t="shared" si="61"/>
        <v>0</v>
      </c>
      <c r="C671" s="1013" t="s">
        <v>245</v>
      </c>
      <c r="D671" s="1013">
        <v>0</v>
      </c>
      <c r="E671" s="1013" t="s">
        <v>22698</v>
      </c>
      <c r="F671" s="1013">
        <v>22</v>
      </c>
      <c r="G671" s="1932" t="str">
        <f>+VLOOKUP(F671,TT_Tabelle_Riferimento!$D$127:$G$164,4,FALSE)</f>
        <v>Impianti di depurazione – trattamenti sino al secondario</v>
      </c>
      <c r="H671" s="1013">
        <v>3</v>
      </c>
      <c r="I671" s="1932" t="str">
        <f>+VLOOKUP(H671,TT_Tabelle_Riferimento!$F$3:$G$6,2,FALSE)</f>
        <v>Altri servizi idrici</v>
      </c>
      <c r="J671" s="1013">
        <v>2027</v>
      </c>
      <c r="K671" s="2335">
        <f>+SUMIFS('PdI-crono_inv'!BB:BB,'PdI-crono_inv'!CF:CF,F671,'PdI-crono_inv'!CE:CE,H671,'PdI-crono_inv'!J:J,P671,'PdI-crono_inv'!P:P,"&lt;&gt;proprietario")</f>
        <v>0</v>
      </c>
      <c r="M671" s="2335">
        <f>+SUMIFS('PdI-crono_inv'!BC:BC,'PdI-crono_inv'!CF:CF,F671,'PdI-crono_inv'!CE:CE,H671,'PdI-crono_inv'!J:J,P671,'PdI-crono_inv'!P:P,"&lt;&gt;proprietario")+S671</f>
        <v>0</v>
      </c>
      <c r="P671" s="1013" t="s">
        <v>27068</v>
      </c>
      <c r="Q671" s="1932" t="str">
        <f>+VLOOKUP(F671,TT_Tabelle_Riferimento!$D$127:$E$164,2,FALSE)</f>
        <v>Depurazione</v>
      </c>
      <c r="R671" s="1932" t="str">
        <f t="shared" si="58"/>
        <v/>
      </c>
      <c r="S671" s="2335">
        <f t="shared" si="59"/>
        <v>0</v>
      </c>
    </row>
    <row r="672" spans="1:19">
      <c r="A672" s="1932">
        <f t="shared" si="60"/>
        <v>0</v>
      </c>
      <c r="B672" s="1932">
        <f t="shared" si="61"/>
        <v>0</v>
      </c>
      <c r="C672" s="1013" t="s">
        <v>245</v>
      </c>
      <c r="D672" s="1013">
        <v>0</v>
      </c>
      <c r="E672" s="1013" t="s">
        <v>22698</v>
      </c>
      <c r="F672" s="1013">
        <v>23</v>
      </c>
      <c r="G672" s="1932" t="str">
        <f>+VLOOKUP(F672,TT_Tabelle_Riferimento!$D$127:$G$164,4,FALSE)</f>
        <v>Impianti di depurazione – trattamenti sino al terziario e terziario avanzato</v>
      </c>
      <c r="H672" s="1013">
        <v>3</v>
      </c>
      <c r="I672" s="1932" t="str">
        <f>+VLOOKUP(H672,TT_Tabelle_Riferimento!$F$3:$G$6,2,FALSE)</f>
        <v>Altri servizi idrici</v>
      </c>
      <c r="J672" s="1013">
        <v>2027</v>
      </c>
      <c r="K672" s="2335">
        <f>+SUMIFS('PdI-crono_inv'!BB:BB,'PdI-crono_inv'!CF:CF,F672,'PdI-crono_inv'!CE:CE,H672,'PdI-crono_inv'!J:J,P672,'PdI-crono_inv'!P:P,"&lt;&gt;proprietario")</f>
        <v>0</v>
      </c>
      <c r="M672" s="2335">
        <f>+SUMIFS('PdI-crono_inv'!BC:BC,'PdI-crono_inv'!CF:CF,F672,'PdI-crono_inv'!CE:CE,H672,'PdI-crono_inv'!J:J,P672,'PdI-crono_inv'!P:P,"&lt;&gt;proprietario")+S672</f>
        <v>0</v>
      </c>
      <c r="P672" s="1013" t="s">
        <v>27068</v>
      </c>
      <c r="Q672" s="1932" t="str">
        <f>+VLOOKUP(F672,TT_Tabelle_Riferimento!$D$127:$E$164,2,FALSE)</f>
        <v>Depurazione</v>
      </c>
      <c r="R672" s="1932" t="str">
        <f t="shared" si="58"/>
        <v/>
      </c>
      <c r="S672" s="2335">
        <f t="shared" si="59"/>
        <v>0</v>
      </c>
    </row>
    <row r="673" spans="1:19">
      <c r="A673" s="1932">
        <f t="shared" si="60"/>
        <v>0</v>
      </c>
      <c r="B673" s="1932">
        <f t="shared" si="61"/>
        <v>0</v>
      </c>
      <c r="C673" s="1013" t="s">
        <v>245</v>
      </c>
      <c r="D673" s="1013">
        <v>0</v>
      </c>
      <c r="E673" s="1013" t="s">
        <v>22698</v>
      </c>
      <c r="F673" s="1013">
        <v>24</v>
      </c>
      <c r="G673" s="1932" t="str">
        <f>+VLOOKUP(F673,TT_Tabelle_Riferimento!$D$127:$G$164,4,FALSE)</f>
        <v>Impianti di essiccamento fanghi e di valorizzazione dei fanghi (tra cui mono-incenerimento, pirolisi, gassificazione)</v>
      </c>
      <c r="H673" s="1013">
        <v>3</v>
      </c>
      <c r="I673" s="1932" t="str">
        <f>+VLOOKUP(H673,TT_Tabelle_Riferimento!$F$3:$G$6,2,FALSE)</f>
        <v>Altri servizi idrici</v>
      </c>
      <c r="J673" s="1013">
        <v>2027</v>
      </c>
      <c r="K673" s="2335">
        <f>+SUMIFS('PdI-crono_inv'!BB:BB,'PdI-crono_inv'!CF:CF,F673,'PdI-crono_inv'!CE:CE,H673,'PdI-crono_inv'!J:J,P673,'PdI-crono_inv'!P:P,"&lt;&gt;proprietario")</f>
        <v>0</v>
      </c>
      <c r="M673" s="2335">
        <f>+SUMIFS('PdI-crono_inv'!BC:BC,'PdI-crono_inv'!CF:CF,F673,'PdI-crono_inv'!CE:CE,H673,'PdI-crono_inv'!J:J,P673,'PdI-crono_inv'!P:P,"&lt;&gt;proprietario")+S673</f>
        <v>0</v>
      </c>
      <c r="P673" s="1013" t="s">
        <v>27068</v>
      </c>
      <c r="Q673" s="1932" t="str">
        <f>+VLOOKUP(F673,TT_Tabelle_Riferimento!$D$127:$E$164,2,FALSE)</f>
        <v>Depurazione</v>
      </c>
      <c r="R673" s="1932" t="str">
        <f t="shared" si="58"/>
        <v/>
      </c>
      <c r="S673" s="2335">
        <f t="shared" si="59"/>
        <v>0</v>
      </c>
    </row>
    <row r="674" spans="1:19">
      <c r="A674" s="1932">
        <f t="shared" si="60"/>
        <v>0</v>
      </c>
      <c r="B674" s="1932">
        <f t="shared" si="61"/>
        <v>0</v>
      </c>
      <c r="C674" s="1013" t="s">
        <v>245</v>
      </c>
      <c r="D674" s="1013">
        <v>0</v>
      </c>
      <c r="E674" s="1013" t="s">
        <v>22698</v>
      </c>
      <c r="F674" s="1013">
        <v>25</v>
      </c>
      <c r="G674" s="1932" t="str">
        <f>+VLOOKUP(F674,TT_Tabelle_Riferimento!$D$127:$G$164,4,FALSE)</f>
        <v>Gruppi di misura - altre attrezzature di depurazione</v>
      </c>
      <c r="H674" s="1013">
        <v>3</v>
      </c>
      <c r="I674" s="1932" t="str">
        <f>+VLOOKUP(H674,TT_Tabelle_Riferimento!$F$3:$G$6,2,FALSE)</f>
        <v>Altri servizi idrici</v>
      </c>
      <c r="J674" s="1013">
        <v>2027</v>
      </c>
      <c r="K674" s="2335">
        <f>+SUMIFS('PdI-crono_inv'!BB:BB,'PdI-crono_inv'!CF:CF,F674,'PdI-crono_inv'!CE:CE,H674,'PdI-crono_inv'!J:J,P674,'PdI-crono_inv'!P:P,"&lt;&gt;proprietario")</f>
        <v>0</v>
      </c>
      <c r="M674" s="2335">
        <f>+SUMIFS('PdI-crono_inv'!BC:BC,'PdI-crono_inv'!CF:CF,F674,'PdI-crono_inv'!CE:CE,H674,'PdI-crono_inv'!J:J,P674,'PdI-crono_inv'!P:P,"&lt;&gt;proprietario")+S674</f>
        <v>0</v>
      </c>
      <c r="P674" s="1013" t="s">
        <v>27068</v>
      </c>
      <c r="Q674" s="1932" t="str">
        <f>+VLOOKUP(F674,TT_Tabelle_Riferimento!$D$127:$E$164,2,FALSE)</f>
        <v>Depurazione</v>
      </c>
      <c r="R674" s="1932" t="str">
        <f t="shared" si="58"/>
        <v/>
      </c>
      <c r="S674" s="2335">
        <f t="shared" si="59"/>
        <v>0</v>
      </c>
    </row>
    <row r="675" spans="1:19">
      <c r="A675" s="1932">
        <f t="shared" si="60"/>
        <v>0</v>
      </c>
      <c r="B675" s="1932">
        <f t="shared" si="61"/>
        <v>0</v>
      </c>
      <c r="C675" s="1013" t="s">
        <v>245</v>
      </c>
      <c r="D675" s="1013">
        <v>0</v>
      </c>
      <c r="E675" s="1013" t="s">
        <v>22698</v>
      </c>
      <c r="F675" s="1013">
        <v>26</v>
      </c>
      <c r="G675" s="1932" t="str">
        <f>+VLOOKUP(F675,TT_Tabelle_Riferimento!$D$127:$G$164,4,FALSE)</f>
        <v>Sistemi informativi di depurazione</v>
      </c>
      <c r="H675" s="1013">
        <v>3</v>
      </c>
      <c r="I675" s="1932" t="str">
        <f>+VLOOKUP(H675,TT_Tabelle_Riferimento!$F$3:$G$6,2,FALSE)</f>
        <v>Altri servizi idrici</v>
      </c>
      <c r="J675" s="1013">
        <v>2027</v>
      </c>
      <c r="K675" s="2335">
        <f>+SUMIFS('PdI-crono_inv'!BB:BB,'PdI-crono_inv'!CF:CF,F675,'PdI-crono_inv'!CE:CE,H675,'PdI-crono_inv'!J:J,P675,'PdI-crono_inv'!P:P,"&lt;&gt;proprietario")</f>
        <v>0</v>
      </c>
      <c r="M675" s="2335">
        <f>+SUMIFS('PdI-crono_inv'!BC:BC,'PdI-crono_inv'!CF:CF,F675,'PdI-crono_inv'!CE:CE,H675,'PdI-crono_inv'!J:J,P675,'PdI-crono_inv'!P:P,"&lt;&gt;proprietario")+S675</f>
        <v>0</v>
      </c>
      <c r="P675" s="1013" t="s">
        <v>27068</v>
      </c>
      <c r="Q675" s="1932" t="str">
        <f>+VLOOKUP(F675,TT_Tabelle_Riferimento!$D$127:$E$164,2,FALSE)</f>
        <v>Depurazione</v>
      </c>
      <c r="R675" s="1932" t="str">
        <f t="shared" si="58"/>
        <v/>
      </c>
      <c r="S675" s="2335">
        <f t="shared" si="59"/>
        <v>0</v>
      </c>
    </row>
    <row r="676" spans="1:19">
      <c r="A676" s="1932">
        <f t="shared" si="60"/>
        <v>0</v>
      </c>
      <c r="B676" s="1932">
        <f t="shared" si="61"/>
        <v>0</v>
      </c>
      <c r="C676" s="1013" t="s">
        <v>245</v>
      </c>
      <c r="D676" s="1013">
        <v>0</v>
      </c>
      <c r="E676" s="1013" t="s">
        <v>22698</v>
      </c>
      <c r="F676" s="1013">
        <v>27</v>
      </c>
      <c r="G676" s="1932" t="str">
        <f>+VLOOKUP(F676,TT_Tabelle_Riferimento!$D$127:$G$164,4,FALSE)</f>
        <v>Telecontrollo e teletrasmissione di depurazione</v>
      </c>
      <c r="H676" s="1013">
        <v>3</v>
      </c>
      <c r="I676" s="1932" t="str">
        <f>+VLOOKUP(H676,TT_Tabelle_Riferimento!$F$3:$G$6,2,FALSE)</f>
        <v>Altri servizi idrici</v>
      </c>
      <c r="J676" s="1013">
        <v>2027</v>
      </c>
      <c r="K676" s="2335">
        <f>+SUMIFS('PdI-crono_inv'!BB:BB,'PdI-crono_inv'!CF:CF,F676,'PdI-crono_inv'!CE:CE,H676,'PdI-crono_inv'!J:J,P676,'PdI-crono_inv'!P:P,"&lt;&gt;proprietario")</f>
        <v>0</v>
      </c>
      <c r="M676" s="2335">
        <f>+SUMIFS('PdI-crono_inv'!BC:BC,'PdI-crono_inv'!CF:CF,F676,'PdI-crono_inv'!CE:CE,H676,'PdI-crono_inv'!J:J,P676,'PdI-crono_inv'!P:P,"&lt;&gt;proprietario")+S676</f>
        <v>0</v>
      </c>
      <c r="P676" s="1013" t="s">
        <v>27068</v>
      </c>
      <c r="Q676" s="1932" t="str">
        <f>+VLOOKUP(F676,TT_Tabelle_Riferimento!$D$127:$E$164,2,FALSE)</f>
        <v>Depurazione</v>
      </c>
      <c r="R676" s="1932" t="str">
        <f t="shared" si="58"/>
        <v/>
      </c>
      <c r="S676" s="2335">
        <f t="shared" si="59"/>
        <v>0</v>
      </c>
    </row>
    <row r="677" spans="1:19">
      <c r="A677" s="1932">
        <f t="shared" si="60"/>
        <v>0</v>
      </c>
      <c r="B677" s="1932">
        <f t="shared" si="61"/>
        <v>0</v>
      </c>
      <c r="C677" s="1013" t="s">
        <v>245</v>
      </c>
      <c r="D677" s="1013">
        <v>0</v>
      </c>
      <c r="E677" s="1013" t="s">
        <v>22698</v>
      </c>
      <c r="F677" s="1013">
        <v>28</v>
      </c>
      <c r="G677" s="1932" t="str">
        <f>+VLOOKUP(F677,TT_Tabelle_Riferimento!$D$127:$G$164,4,FALSE)</f>
        <v>Altri impianti</v>
      </c>
      <c r="H677" s="1013">
        <v>3</v>
      </c>
      <c r="I677" s="1932" t="str">
        <f>+VLOOKUP(H677,TT_Tabelle_Riferimento!$F$3:$G$6,2,FALSE)</f>
        <v>Altri servizi idrici</v>
      </c>
      <c r="J677" s="1013">
        <v>2027</v>
      </c>
      <c r="K677" s="2335">
        <f>+SUMIFS('PdI-crono_inv'!BB:BB,'PdI-crono_inv'!CF:CF,F677,'PdI-crono_inv'!CE:CE,H677,'PdI-crono_inv'!J:J,P677,'PdI-crono_inv'!P:P,"&lt;&gt;proprietario")</f>
        <v>0</v>
      </c>
      <c r="M677" s="2335">
        <f>+SUMIFS('PdI-crono_inv'!BC:BC,'PdI-crono_inv'!CF:CF,F677,'PdI-crono_inv'!CE:CE,H677,'PdI-crono_inv'!J:J,P677,'PdI-crono_inv'!P:P,"&lt;&gt;proprietario")+S677</f>
        <v>0</v>
      </c>
      <c r="P677" s="1013" t="s">
        <v>27068</v>
      </c>
      <c r="Q677" s="1932" t="str">
        <f>+VLOOKUP(F677,TT_Tabelle_Riferimento!$D$127:$E$164,2,FALSE)</f>
        <v>Comune</v>
      </c>
      <c r="R677" s="1932" t="str">
        <f t="shared" si="58"/>
        <v/>
      </c>
      <c r="S677" s="2335">
        <f t="shared" si="59"/>
        <v>0</v>
      </c>
    </row>
    <row r="678" spans="1:19">
      <c r="A678" s="1932">
        <f t="shared" si="60"/>
        <v>0</v>
      </c>
      <c r="B678" s="1932">
        <f t="shared" si="61"/>
        <v>0</v>
      </c>
      <c r="C678" s="1013" t="s">
        <v>245</v>
      </c>
      <c r="D678" s="1013">
        <v>0</v>
      </c>
      <c r="E678" s="1013" t="s">
        <v>22698</v>
      </c>
      <c r="F678" s="1013">
        <v>29</v>
      </c>
      <c r="G678" s="1932" t="str">
        <f>+VLOOKUP(F678,TT_Tabelle_Riferimento!$D$127:$G$164,4,FALSE)</f>
        <v>Laboratori e attrezzature</v>
      </c>
      <c r="H678" s="1013">
        <v>3</v>
      </c>
      <c r="I678" s="1932" t="str">
        <f>+VLOOKUP(H678,TT_Tabelle_Riferimento!$F$3:$G$6,2,FALSE)</f>
        <v>Altri servizi idrici</v>
      </c>
      <c r="J678" s="1013">
        <v>2027</v>
      </c>
      <c r="K678" s="2335">
        <f>+SUMIFS('PdI-crono_inv'!BB:BB,'PdI-crono_inv'!CF:CF,F678,'PdI-crono_inv'!CE:CE,H678,'PdI-crono_inv'!J:J,P678,'PdI-crono_inv'!P:P,"&lt;&gt;proprietario")</f>
        <v>0</v>
      </c>
      <c r="M678" s="2335">
        <f>+SUMIFS('PdI-crono_inv'!BC:BC,'PdI-crono_inv'!CF:CF,F678,'PdI-crono_inv'!CE:CE,H678,'PdI-crono_inv'!J:J,P678,'PdI-crono_inv'!P:P,"&lt;&gt;proprietario")+S678</f>
        <v>0</v>
      </c>
      <c r="P678" s="1013" t="s">
        <v>27068</v>
      </c>
      <c r="Q678" s="1932" t="str">
        <f>+VLOOKUP(F678,TT_Tabelle_Riferimento!$D$127:$E$164,2,FALSE)</f>
        <v>Comune</v>
      </c>
      <c r="R678" s="1932" t="str">
        <f t="shared" si="58"/>
        <v/>
      </c>
      <c r="S678" s="2335">
        <f t="shared" si="59"/>
        <v>0</v>
      </c>
    </row>
    <row r="679" spans="1:19">
      <c r="A679" s="1932">
        <f t="shared" si="60"/>
        <v>0</v>
      </c>
      <c r="B679" s="1932">
        <f t="shared" si="61"/>
        <v>0</v>
      </c>
      <c r="C679" s="1013" t="s">
        <v>245</v>
      </c>
      <c r="D679" s="1013">
        <v>0</v>
      </c>
      <c r="E679" s="1013" t="s">
        <v>22698</v>
      </c>
      <c r="F679" s="1013">
        <v>30</v>
      </c>
      <c r="G679" s="1932" t="str">
        <f>+VLOOKUP(F679,TT_Tabelle_Riferimento!$D$127:$G$164,4,FALSE)</f>
        <v>Sistemi informativi</v>
      </c>
      <c r="H679" s="1013">
        <v>3</v>
      </c>
      <c r="I679" s="1932" t="str">
        <f>+VLOOKUP(H679,TT_Tabelle_Riferimento!$F$3:$G$6,2,FALSE)</f>
        <v>Altri servizi idrici</v>
      </c>
      <c r="J679" s="1013">
        <v>2027</v>
      </c>
      <c r="K679" s="2335">
        <f>+SUMIFS('PdI-crono_inv'!BB:BB,'PdI-crono_inv'!CF:CF,F679,'PdI-crono_inv'!CE:CE,H679,'PdI-crono_inv'!J:J,P679,'PdI-crono_inv'!P:P,"&lt;&gt;proprietario")</f>
        <v>0</v>
      </c>
      <c r="M679" s="2335">
        <f>+SUMIFS('PdI-crono_inv'!BC:BC,'PdI-crono_inv'!CF:CF,F679,'PdI-crono_inv'!CE:CE,H679,'PdI-crono_inv'!J:J,P679,'PdI-crono_inv'!P:P,"&lt;&gt;proprietario")+S679</f>
        <v>0</v>
      </c>
      <c r="P679" s="1013" t="s">
        <v>27068</v>
      </c>
      <c r="Q679" s="1932" t="str">
        <f>+VLOOKUP(F679,TT_Tabelle_Riferimento!$D$127:$E$164,2,FALSE)</f>
        <v>Comune</v>
      </c>
      <c r="R679" s="1932" t="str">
        <f t="shared" si="58"/>
        <v/>
      </c>
      <c r="S679" s="2335">
        <f t="shared" si="59"/>
        <v>0</v>
      </c>
    </row>
    <row r="680" spans="1:19">
      <c r="A680" s="1932">
        <f t="shared" si="60"/>
        <v>0</v>
      </c>
      <c r="B680" s="1932">
        <f t="shared" si="61"/>
        <v>0</v>
      </c>
      <c r="C680" s="1013" t="s">
        <v>245</v>
      </c>
      <c r="D680" s="1013">
        <v>0</v>
      </c>
      <c r="E680" s="1013" t="s">
        <v>22698</v>
      </c>
      <c r="F680" s="1013">
        <v>31</v>
      </c>
      <c r="G680" s="1932" t="str">
        <f>+VLOOKUP(F680,TT_Tabelle_Riferimento!$D$127:$G$164,4,FALSE)</f>
        <v>Telecontrollo e teletrasmissione</v>
      </c>
      <c r="H680" s="1013">
        <v>3</v>
      </c>
      <c r="I680" s="1932" t="str">
        <f>+VLOOKUP(H680,TT_Tabelle_Riferimento!$F$3:$G$6,2,FALSE)</f>
        <v>Altri servizi idrici</v>
      </c>
      <c r="J680" s="1013">
        <v>2027</v>
      </c>
      <c r="K680" s="2335">
        <f>+SUMIFS('PdI-crono_inv'!BB:BB,'PdI-crono_inv'!CF:CF,F680,'PdI-crono_inv'!CE:CE,H680,'PdI-crono_inv'!J:J,P680,'PdI-crono_inv'!P:P,"&lt;&gt;proprietario")</f>
        <v>0</v>
      </c>
      <c r="M680" s="2335">
        <f>+SUMIFS('PdI-crono_inv'!BC:BC,'PdI-crono_inv'!CF:CF,F680,'PdI-crono_inv'!CE:CE,H680,'PdI-crono_inv'!J:J,P680,'PdI-crono_inv'!P:P,"&lt;&gt;proprietario")+S680</f>
        <v>0</v>
      </c>
      <c r="P680" s="1013" t="s">
        <v>27068</v>
      </c>
      <c r="Q680" s="1932" t="str">
        <f>+VLOOKUP(F680,TT_Tabelle_Riferimento!$D$127:$E$164,2,FALSE)</f>
        <v>Comune</v>
      </c>
      <c r="R680" s="1932" t="str">
        <f t="shared" si="58"/>
        <v/>
      </c>
      <c r="S680" s="2335">
        <f t="shared" si="59"/>
        <v>0</v>
      </c>
    </row>
    <row r="681" spans="1:19">
      <c r="A681" s="1932">
        <f t="shared" si="60"/>
        <v>0</v>
      </c>
      <c r="B681" s="1932">
        <f t="shared" si="61"/>
        <v>0</v>
      </c>
      <c r="C681" s="1013" t="s">
        <v>245</v>
      </c>
      <c r="D681" s="1013">
        <v>0</v>
      </c>
      <c r="E681" s="1013" t="s">
        <v>22698</v>
      </c>
      <c r="F681" s="1013">
        <v>32</v>
      </c>
      <c r="G681" s="1932" t="str">
        <f>+VLOOKUP(F681,TT_Tabelle_Riferimento!$D$127:$G$164,4,FALSE)</f>
        <v>Autoveicoli - automezzi</v>
      </c>
      <c r="H681" s="1013">
        <v>3</v>
      </c>
      <c r="I681" s="1932" t="str">
        <f>+VLOOKUP(H681,TT_Tabelle_Riferimento!$F$3:$G$6,2,FALSE)</f>
        <v>Altri servizi idrici</v>
      </c>
      <c r="J681" s="1013">
        <v>2027</v>
      </c>
      <c r="K681" s="2335">
        <f>+SUMIFS('PdI-crono_inv'!BB:BB,'PdI-crono_inv'!CF:CF,F681,'PdI-crono_inv'!CE:CE,H681,'PdI-crono_inv'!J:J,P681,'PdI-crono_inv'!P:P,"&lt;&gt;proprietario")</f>
        <v>0</v>
      </c>
      <c r="M681" s="2335">
        <f>+SUMIFS('PdI-crono_inv'!BC:BC,'PdI-crono_inv'!CF:CF,F681,'PdI-crono_inv'!CE:CE,H681,'PdI-crono_inv'!J:J,P681,'PdI-crono_inv'!P:P,"&lt;&gt;proprietario")+S681</f>
        <v>0</v>
      </c>
      <c r="P681" s="1013" t="s">
        <v>27068</v>
      </c>
      <c r="Q681" s="1932" t="str">
        <f>+VLOOKUP(F681,TT_Tabelle_Riferimento!$D$127:$E$164,2,FALSE)</f>
        <v>Comune</v>
      </c>
      <c r="R681" s="1932" t="str">
        <f t="shared" si="58"/>
        <v/>
      </c>
      <c r="S681" s="2335">
        <f t="shared" si="59"/>
        <v>0</v>
      </c>
    </row>
    <row r="682" spans="1:19">
      <c r="A682" s="1932">
        <f t="shared" si="60"/>
        <v>0</v>
      </c>
      <c r="B682" s="1932">
        <f t="shared" si="61"/>
        <v>0</v>
      </c>
      <c r="C682" s="1013" t="s">
        <v>245</v>
      </c>
      <c r="D682" s="1013">
        <v>0</v>
      </c>
      <c r="E682" s="1013" t="s">
        <v>22698</v>
      </c>
      <c r="F682" s="1013">
        <v>1</v>
      </c>
      <c r="G682" s="1932" t="str">
        <f>+VLOOKUP(F682,TT_Tabelle_Riferimento!$D$127:$G$164,4,FALSE)</f>
        <v>Terreni</v>
      </c>
      <c r="H682" s="1013">
        <v>3</v>
      </c>
      <c r="I682" s="1932" t="str">
        <f>+VLOOKUP(H682,TT_Tabelle_Riferimento!$F$3:$G$6,2,FALSE)</f>
        <v>Altri servizi idrici</v>
      </c>
      <c r="J682" s="1013">
        <v>2027</v>
      </c>
      <c r="K682" s="2335">
        <f>+SUMIFS('PdI-crono_inv'!BB:BB,'PdI-crono_inv'!CF:CF,F682,'PdI-crono_inv'!CE:CE,H682,'PdI-crono_inv'!J:J,P682,'PdI-crono_inv'!P:P,"&lt;&gt;proprietario")</f>
        <v>0</v>
      </c>
      <c r="M682" s="2335">
        <f>+SUMIFS('PdI-crono_inv'!BC:BC,'PdI-crono_inv'!CF:CF,F682,'PdI-crono_inv'!CE:CE,H682,'PdI-crono_inv'!J:J,P682,'PdI-crono_inv'!P:P,"&lt;&gt;proprietario")+S682</f>
        <v>0</v>
      </c>
      <c r="P682" s="1013" t="s">
        <v>27068</v>
      </c>
      <c r="Q682" s="1932" t="str">
        <f>+VLOOKUP(F682,TT_Tabelle_Riferimento!$D$127:$E$164,2,FALSE)</f>
        <v>Comune</v>
      </c>
      <c r="R682" s="1932" t="str">
        <f t="shared" si="58"/>
        <v/>
      </c>
      <c r="S682" s="2335">
        <f t="shared" si="59"/>
        <v>0</v>
      </c>
    </row>
    <row r="683" spans="1:19">
      <c r="A683" s="1932">
        <f t="shared" si="60"/>
        <v>0</v>
      </c>
      <c r="B683" s="1932">
        <f t="shared" si="61"/>
        <v>0</v>
      </c>
      <c r="C683" s="1013" t="s">
        <v>245</v>
      </c>
      <c r="D683" s="1013">
        <v>0</v>
      </c>
      <c r="E683" s="1013" t="s">
        <v>22698</v>
      </c>
      <c r="F683" s="1013">
        <v>33</v>
      </c>
      <c r="G683" s="1932" t="str">
        <f>+VLOOKUP(F683,TT_Tabelle_Riferimento!$D$127:$G$164,4,FALSE)</f>
        <v>Fabbricati non industriali</v>
      </c>
      <c r="H683" s="1013">
        <v>3</v>
      </c>
      <c r="I683" s="1932" t="str">
        <f>+VLOOKUP(H683,TT_Tabelle_Riferimento!$F$3:$G$6,2,FALSE)</f>
        <v>Altri servizi idrici</v>
      </c>
      <c r="J683" s="1013">
        <v>2027</v>
      </c>
      <c r="K683" s="2335">
        <f>+SUMIFS('PdI-crono_inv'!BB:BB,'PdI-crono_inv'!CF:CF,F683,'PdI-crono_inv'!CE:CE,H683,'PdI-crono_inv'!J:J,P683,'PdI-crono_inv'!P:P,"&lt;&gt;proprietario")</f>
        <v>0</v>
      </c>
      <c r="M683" s="2335">
        <f>+SUMIFS('PdI-crono_inv'!BC:BC,'PdI-crono_inv'!CF:CF,F683,'PdI-crono_inv'!CE:CE,H683,'PdI-crono_inv'!J:J,P683,'PdI-crono_inv'!P:P,"&lt;&gt;proprietario")+S683</f>
        <v>0</v>
      </c>
      <c r="P683" s="1013" t="s">
        <v>27068</v>
      </c>
      <c r="Q683" s="1932" t="str">
        <f>+VLOOKUP(F683,TT_Tabelle_Riferimento!$D$127:$E$164,2,FALSE)</f>
        <v>Comune</v>
      </c>
      <c r="R683" s="1932" t="str">
        <f t="shared" si="58"/>
        <v/>
      </c>
      <c r="S683" s="2335">
        <f t="shared" si="59"/>
        <v>0</v>
      </c>
    </row>
    <row r="684" spans="1:19">
      <c r="A684" s="1932">
        <f t="shared" si="60"/>
        <v>0</v>
      </c>
      <c r="B684" s="1932">
        <f t="shared" si="61"/>
        <v>0</v>
      </c>
      <c r="C684" s="1013" t="s">
        <v>245</v>
      </c>
      <c r="D684" s="1013">
        <v>0</v>
      </c>
      <c r="E684" s="1013" t="s">
        <v>22698</v>
      </c>
      <c r="F684" s="1013">
        <v>34</v>
      </c>
      <c r="G684" s="1932" t="str">
        <f>+VLOOKUP(F684,TT_Tabelle_Riferimento!$D$127:$G$164,4,FALSE)</f>
        <v>Fabbricati industriali</v>
      </c>
      <c r="H684" s="1013">
        <v>3</v>
      </c>
      <c r="I684" s="1932" t="str">
        <f>+VLOOKUP(H684,TT_Tabelle_Riferimento!$F$3:$G$6,2,FALSE)</f>
        <v>Altri servizi idrici</v>
      </c>
      <c r="J684" s="1013">
        <v>2027</v>
      </c>
      <c r="K684" s="2335">
        <f>+SUMIFS('PdI-crono_inv'!BB:BB,'PdI-crono_inv'!CF:CF,F684,'PdI-crono_inv'!CE:CE,H684,'PdI-crono_inv'!J:J,P684,'PdI-crono_inv'!P:P,"&lt;&gt;proprietario")</f>
        <v>0</v>
      </c>
      <c r="M684" s="2335">
        <f>+SUMIFS('PdI-crono_inv'!BC:BC,'PdI-crono_inv'!CF:CF,F684,'PdI-crono_inv'!CE:CE,H684,'PdI-crono_inv'!J:J,P684,'PdI-crono_inv'!P:P,"&lt;&gt;proprietario")+S684</f>
        <v>0</v>
      </c>
      <c r="P684" s="1013" t="s">
        <v>27068</v>
      </c>
      <c r="Q684" s="1932" t="str">
        <f>+VLOOKUP(F684,TT_Tabelle_Riferimento!$D$127:$E$164,2,FALSE)</f>
        <v>Comune</v>
      </c>
      <c r="R684" s="1932" t="str">
        <f t="shared" si="58"/>
        <v/>
      </c>
      <c r="S684" s="2335">
        <f t="shared" si="59"/>
        <v>0</v>
      </c>
    </row>
    <row r="685" spans="1:19">
      <c r="A685" s="1932">
        <f t="shared" si="60"/>
        <v>0</v>
      </c>
      <c r="B685" s="1932">
        <f t="shared" si="61"/>
        <v>0</v>
      </c>
      <c r="C685" s="1013" t="s">
        <v>245</v>
      </c>
      <c r="D685" s="1013">
        <v>0</v>
      </c>
      <c r="E685" s="1013" t="s">
        <v>22698</v>
      </c>
      <c r="F685" s="1013">
        <v>35</v>
      </c>
      <c r="G685" s="1932" t="str">
        <f>+VLOOKUP(F685,TT_Tabelle_Riferimento!$D$127:$G$164,4,FALSE)</f>
        <v>Costruzioni leggere</v>
      </c>
      <c r="H685" s="1013">
        <v>3</v>
      </c>
      <c r="I685" s="1932" t="str">
        <f>+VLOOKUP(H685,TT_Tabelle_Riferimento!$F$3:$G$6,2,FALSE)</f>
        <v>Altri servizi idrici</v>
      </c>
      <c r="J685" s="1013">
        <v>2027</v>
      </c>
      <c r="K685" s="2335">
        <f>+SUMIFS('PdI-crono_inv'!BB:BB,'PdI-crono_inv'!CF:CF,F685,'PdI-crono_inv'!CE:CE,H685,'PdI-crono_inv'!J:J,P685,'PdI-crono_inv'!P:P,"&lt;&gt;proprietario")</f>
        <v>0</v>
      </c>
      <c r="M685" s="2335">
        <f>+SUMIFS('PdI-crono_inv'!BC:BC,'PdI-crono_inv'!CF:CF,F685,'PdI-crono_inv'!CE:CE,H685,'PdI-crono_inv'!J:J,P685,'PdI-crono_inv'!P:P,"&lt;&gt;proprietario")+S685</f>
        <v>0</v>
      </c>
      <c r="P685" s="1013" t="s">
        <v>27068</v>
      </c>
      <c r="Q685" s="1932" t="str">
        <f>+VLOOKUP(F685,TT_Tabelle_Riferimento!$D$127:$E$164,2,FALSE)</f>
        <v>Comune</v>
      </c>
      <c r="R685" s="1932" t="str">
        <f t="shared" si="58"/>
        <v/>
      </c>
      <c r="S685" s="2335">
        <f t="shared" si="59"/>
        <v>0</v>
      </c>
    </row>
    <row r="686" spans="1:19">
      <c r="A686" s="1932">
        <f t="shared" si="60"/>
        <v>0</v>
      </c>
      <c r="B686" s="1932">
        <f t="shared" si="61"/>
        <v>0</v>
      </c>
      <c r="C686" s="1013" t="s">
        <v>245</v>
      </c>
      <c r="D686" s="1013">
        <v>0</v>
      </c>
      <c r="E686" s="1013" t="s">
        <v>22698</v>
      </c>
      <c r="F686" s="1013">
        <v>36</v>
      </c>
      <c r="G686" s="1932" t="str">
        <f>+VLOOKUP(F686,TT_Tabelle_Riferimento!$D$127:$G$164,4,FALSE)</f>
        <v>Studi, ricerche, brevetti, diritti di utilizzazione</v>
      </c>
      <c r="H686" s="1013">
        <v>3</v>
      </c>
      <c r="I686" s="1932" t="str">
        <f>+VLOOKUP(H686,TT_Tabelle_Riferimento!$F$3:$G$6,2,FALSE)</f>
        <v>Altri servizi idrici</v>
      </c>
      <c r="J686" s="1013">
        <v>2027</v>
      </c>
      <c r="K686" s="2335">
        <f>+SUMIFS('PdI-crono_inv'!BB:BB,'PdI-crono_inv'!CF:CF,F686,'PdI-crono_inv'!CE:CE,H686,'PdI-crono_inv'!J:J,P686,'PdI-crono_inv'!P:P,"&lt;&gt;proprietario")</f>
        <v>0</v>
      </c>
      <c r="M686" s="2335">
        <f>+SUMIFS('PdI-crono_inv'!BC:BC,'PdI-crono_inv'!CF:CF,F686,'PdI-crono_inv'!CE:CE,H686,'PdI-crono_inv'!J:J,P686,'PdI-crono_inv'!P:P,"&lt;&gt;proprietario")+S686</f>
        <v>0</v>
      </c>
      <c r="P686" s="1013" t="s">
        <v>27068</v>
      </c>
      <c r="Q686" s="1932" t="str">
        <f>+VLOOKUP(F686,TT_Tabelle_Riferimento!$D$127:$E$164,2,FALSE)</f>
        <v>Comune</v>
      </c>
      <c r="R686" s="1932" t="str">
        <f t="shared" si="58"/>
        <v/>
      </c>
      <c r="S686" s="2335">
        <f t="shared" si="59"/>
        <v>0</v>
      </c>
    </row>
    <row r="687" spans="1:19">
      <c r="A687" s="1932">
        <f t="shared" si="60"/>
        <v>0</v>
      </c>
      <c r="B687" s="1932">
        <f t="shared" si="61"/>
        <v>0</v>
      </c>
      <c r="C687" s="1013" t="s">
        <v>245</v>
      </c>
      <c r="D687" s="1013">
        <v>0</v>
      </c>
      <c r="E687" s="1013" t="s">
        <v>22698</v>
      </c>
      <c r="F687" s="1013">
        <v>37</v>
      </c>
      <c r="G687" s="1932" t="str">
        <f>+VLOOKUP(F687,TT_Tabelle_Riferimento!$D$127:$G$164,4,FALSE)</f>
        <v>Altre immobilizzazioni materiali e immateriali</v>
      </c>
      <c r="H687" s="1013">
        <v>3</v>
      </c>
      <c r="I687" s="1932" t="str">
        <f>+VLOOKUP(H687,TT_Tabelle_Riferimento!$F$3:$G$6,2,FALSE)</f>
        <v>Altri servizi idrici</v>
      </c>
      <c r="J687" s="1013">
        <v>2027</v>
      </c>
      <c r="K687" s="2335">
        <f>+SUMIFS('PdI-crono_inv'!BB:BB,'PdI-crono_inv'!CF:CF,F687,'PdI-crono_inv'!CE:CE,H687,'PdI-crono_inv'!J:J,P687,'PdI-crono_inv'!P:P,"&lt;&gt;proprietario")</f>
        <v>0</v>
      </c>
      <c r="M687" s="2335">
        <f>+SUMIFS('PdI-crono_inv'!BC:BC,'PdI-crono_inv'!CF:CF,F687,'PdI-crono_inv'!CE:CE,H687,'PdI-crono_inv'!J:J,P687,'PdI-crono_inv'!P:P,"&lt;&gt;proprietario")+S687</f>
        <v>0</v>
      </c>
      <c r="P687" s="1013" t="s">
        <v>27068</v>
      </c>
      <c r="Q687" s="1932" t="str">
        <f>+VLOOKUP(F687,TT_Tabelle_Riferimento!$D$127:$E$164,2,FALSE)</f>
        <v>Comune</v>
      </c>
      <c r="R687" s="1932" t="str">
        <f t="shared" si="58"/>
        <v/>
      </c>
      <c r="S687" s="2335">
        <f t="shared" si="59"/>
        <v>0</v>
      </c>
    </row>
    <row r="688" spans="1:19">
      <c r="A688" s="1932">
        <f t="shared" si="60"/>
        <v>0</v>
      </c>
      <c r="B688" s="1932">
        <f t="shared" si="61"/>
        <v>0</v>
      </c>
      <c r="C688" s="1013" t="s">
        <v>245</v>
      </c>
      <c r="D688" s="1013">
        <v>0</v>
      </c>
      <c r="E688" s="1013" t="s">
        <v>22698</v>
      </c>
      <c r="F688" s="1013">
        <v>38</v>
      </c>
      <c r="G688" s="1932" t="str">
        <f>+VLOOKUP(F688,TT_Tabelle_Riferimento!$D$127:$G$164,4,FALSE)</f>
        <v>Grandi dighe (sbarramenti che superano i quindici metri di altezza o che determinano un invaso superiore a 1 milione di metri cubi)</v>
      </c>
      <c r="H688" s="1013">
        <v>3</v>
      </c>
      <c r="I688" s="1932" t="str">
        <f>+VLOOKUP(H688,TT_Tabelle_Riferimento!$F$3:$G$6,2,FALSE)</f>
        <v>Altri servizi idrici</v>
      </c>
      <c r="J688" s="1013">
        <v>2027</v>
      </c>
      <c r="K688" s="2335">
        <f>+SUMIFS('PdI-crono_inv'!BB:BB,'PdI-crono_inv'!CF:CF,F688,'PdI-crono_inv'!CE:CE,H688,'PdI-crono_inv'!J:J,P688,'PdI-crono_inv'!P:P,"&lt;&gt;proprietario")</f>
        <v>0</v>
      </c>
      <c r="M688" s="2335">
        <f>+SUMIFS('PdI-crono_inv'!BC:BC,'PdI-crono_inv'!CF:CF,F688,'PdI-crono_inv'!CE:CE,H688,'PdI-crono_inv'!J:J,P688,'PdI-crono_inv'!P:P,"&lt;&gt;proprietario")+S688</f>
        <v>0</v>
      </c>
      <c r="P688" s="1013" t="s">
        <v>27068</v>
      </c>
      <c r="Q688" s="1932" t="str">
        <f>+VLOOKUP(F688,TT_Tabelle_Riferimento!$D$127:$E$164,2,FALSE)</f>
        <v>Acquedotto</v>
      </c>
      <c r="R688" s="1932" t="str">
        <f t="shared" si="58"/>
        <v/>
      </c>
      <c r="S688" s="2335">
        <f t="shared" si="59"/>
        <v>0</v>
      </c>
    </row>
    <row r="689" spans="1:19">
      <c r="A689" s="1932">
        <f t="shared" si="60"/>
        <v>0</v>
      </c>
      <c r="B689" s="1932">
        <f t="shared" si="61"/>
        <v>0</v>
      </c>
      <c r="C689" s="1013" t="s">
        <v>245</v>
      </c>
      <c r="D689" s="1013">
        <v>0</v>
      </c>
      <c r="E689" s="1013" t="s">
        <v>22698</v>
      </c>
      <c r="F689" s="1013">
        <v>39</v>
      </c>
      <c r="G689" s="1932" t="str">
        <f>+VLOOKUP(F689,TT_Tabelle_Riferimento!$D$127:$G$164,4,FALSE)</f>
        <v>Piccole dighe (sbarramenti che non superano i quindici metri di altezza o che determinano un invaso non superiore a 1 milione di metri cubi)</v>
      </c>
      <c r="H689" s="1013">
        <v>3</v>
      </c>
      <c r="I689" s="1932" t="str">
        <f>+VLOOKUP(H689,TT_Tabelle_Riferimento!$F$3:$G$6,2,FALSE)</f>
        <v>Altri servizi idrici</v>
      </c>
      <c r="J689" s="1013">
        <v>2027</v>
      </c>
      <c r="K689" s="2335">
        <f>+SUMIFS('PdI-crono_inv'!BB:BB,'PdI-crono_inv'!CF:CF,F689,'PdI-crono_inv'!CE:CE,H689,'PdI-crono_inv'!J:J,P689,'PdI-crono_inv'!P:P,"&lt;&gt;proprietario")</f>
        <v>0</v>
      </c>
      <c r="M689" s="2335">
        <f>+SUMIFS('PdI-crono_inv'!BC:BC,'PdI-crono_inv'!CF:CF,F689,'PdI-crono_inv'!CE:CE,H689,'PdI-crono_inv'!J:J,P689,'PdI-crono_inv'!P:P,"&lt;&gt;proprietario")+S689</f>
        <v>0</v>
      </c>
      <c r="P689" s="1013" t="s">
        <v>27068</v>
      </c>
      <c r="Q689" s="1932" t="str">
        <f>+VLOOKUP(F689,TT_Tabelle_Riferimento!$D$127:$E$164,2,FALSE)</f>
        <v>Acquedotto</v>
      </c>
      <c r="R689" s="1932" t="str">
        <f t="shared" si="58"/>
        <v/>
      </c>
      <c r="S689" s="2335">
        <f t="shared" si="59"/>
        <v>0</v>
      </c>
    </row>
    <row r="690" spans="1:19">
      <c r="A690" s="1932">
        <f t="shared" si="60"/>
        <v>0</v>
      </c>
      <c r="B690" s="1932">
        <f t="shared" si="61"/>
        <v>0</v>
      </c>
      <c r="C690" s="1013" t="s">
        <v>245</v>
      </c>
      <c r="D690" s="1013">
        <v>0</v>
      </c>
      <c r="E690" s="1013" t="s">
        <v>22698</v>
      </c>
      <c r="F690" s="1013">
        <v>2</v>
      </c>
      <c r="G690" s="1932" t="str">
        <f>+VLOOKUP(F690,TT_Tabelle_Riferimento!$D$127:$G$164,4,FALSE)</f>
        <v>Condotte di acquedotto</v>
      </c>
      <c r="H690" s="1013">
        <v>1</v>
      </c>
      <c r="I690" s="1932" t="str">
        <f>+VLOOKUP(H690,TT_Tabelle_Riferimento!$F$3:$G$6,2,FALSE)</f>
        <v>Servizio idrico integrato</v>
      </c>
      <c r="J690" s="1013">
        <v>2028</v>
      </c>
      <c r="K690" s="2335">
        <f>+SUMIFS('PdI-crono_inv'!BG:BG,'PdI-crono_inv'!CF:CF,F690,'PdI-crono_inv'!CE:CE,H690,'PdI-crono_inv'!J:J,P690,'PdI-crono_inv'!P:P,"&lt;&gt;proprietario")</f>
        <v>0</v>
      </c>
      <c r="M690" s="2335">
        <f>+SUMIFS('PdI-crono_inv'!BH:BH,'PdI-crono_inv'!CF:CF,F690,'PdI-crono_inv'!CE:CE,H690,'PdI-crono_inv'!J:J,P690,'PdI-crono_inv'!P:P,"&lt;&gt;proprietario")+S690</f>
        <v>0</v>
      </c>
      <c r="P690" s="1013" t="s">
        <v>25486</v>
      </c>
      <c r="Q690" s="1932" t="str">
        <f>+VLOOKUP(F690,TT_Tabelle_Riferimento!$D$127:$E$164,2,FALSE)</f>
        <v>Acquedotto</v>
      </c>
      <c r="R690" s="1932" t="str">
        <f>+IF(SUM(K690:N690)=0,"","PdI_consolidamento")</f>
        <v/>
      </c>
      <c r="S690" s="2335">
        <f t="shared" si="59"/>
        <v>0</v>
      </c>
    </row>
    <row r="691" spans="1:19">
      <c r="A691" s="1932">
        <f t="shared" si="60"/>
        <v>0</v>
      </c>
      <c r="B691" s="1932">
        <f t="shared" si="61"/>
        <v>0</v>
      </c>
      <c r="C691" s="1013" t="s">
        <v>245</v>
      </c>
      <c r="D691" s="1013">
        <v>0</v>
      </c>
      <c r="E691" s="1013" t="s">
        <v>22698</v>
      </c>
      <c r="F691" s="1013">
        <v>3</v>
      </c>
      <c r="G691" s="1932" t="str">
        <f>+VLOOKUP(F691,TT_Tabelle_Riferimento!$D$127:$G$164,4,FALSE)</f>
        <v>Opere idrauliche fisse di acquedotto</v>
      </c>
      <c r="H691" s="1013">
        <v>1</v>
      </c>
      <c r="I691" s="1932" t="str">
        <f>+VLOOKUP(H691,TT_Tabelle_Riferimento!$F$3:$G$6,2,FALSE)</f>
        <v>Servizio idrico integrato</v>
      </c>
      <c r="J691" s="1013">
        <v>2028</v>
      </c>
      <c r="K691" s="2335">
        <f>+SUMIFS('PdI-crono_inv'!BG:BG,'PdI-crono_inv'!CF:CF,F691,'PdI-crono_inv'!CE:CE,H691,'PdI-crono_inv'!J:J,P691,'PdI-crono_inv'!P:P,"&lt;&gt;proprietario")</f>
        <v>0</v>
      </c>
      <c r="M691" s="2335">
        <f>+SUMIFS('PdI-crono_inv'!BH:BH,'PdI-crono_inv'!CF:CF,F691,'PdI-crono_inv'!CE:CE,H691,'PdI-crono_inv'!J:J,P691,'PdI-crono_inv'!P:P,"&lt;&gt;proprietario")+S691</f>
        <v>0</v>
      </c>
      <c r="P691" s="1013" t="s">
        <v>25486</v>
      </c>
      <c r="Q691" s="1932" t="str">
        <f>+VLOOKUP(F691,TT_Tabelle_Riferimento!$D$127:$E$164,2,FALSE)</f>
        <v>Acquedotto</v>
      </c>
      <c r="R691" s="1932" t="str">
        <f t="shared" ref="R691:R724" si="62">+IF(SUM(K691:N691)=0,"","PdI_consolidamento")</f>
        <v/>
      </c>
      <c r="S691" s="2335">
        <f t="shared" si="59"/>
        <v>0</v>
      </c>
    </row>
    <row r="692" spans="1:19">
      <c r="A692" s="1932">
        <f t="shared" si="60"/>
        <v>0</v>
      </c>
      <c r="B692" s="1932">
        <f t="shared" si="61"/>
        <v>0</v>
      </c>
      <c r="C692" s="1013" t="s">
        <v>245</v>
      </c>
      <c r="D692" s="1013">
        <v>0</v>
      </c>
      <c r="E692" s="1013" t="s">
        <v>22698</v>
      </c>
      <c r="F692" s="1013">
        <v>4</v>
      </c>
      <c r="G692" s="1932" t="str">
        <f>+VLOOKUP(F692,TT_Tabelle_Riferimento!$D$127:$G$164,4,FALSE)</f>
        <v>Serbatoi</v>
      </c>
      <c r="H692" s="1013">
        <v>1</v>
      </c>
      <c r="I692" s="1932" t="str">
        <f>+VLOOKUP(H692,TT_Tabelle_Riferimento!$F$3:$G$6,2,FALSE)</f>
        <v>Servizio idrico integrato</v>
      </c>
      <c r="J692" s="1013">
        <v>2028</v>
      </c>
      <c r="K692" s="2335">
        <f>+SUMIFS('PdI-crono_inv'!BG:BG,'PdI-crono_inv'!CF:CF,F692,'PdI-crono_inv'!CE:CE,H692,'PdI-crono_inv'!J:J,P692,'PdI-crono_inv'!P:P,"&lt;&gt;proprietario")</f>
        <v>0</v>
      </c>
      <c r="M692" s="2335">
        <f>+SUMIFS('PdI-crono_inv'!BH:BH,'PdI-crono_inv'!CF:CF,F692,'PdI-crono_inv'!CE:CE,H692,'PdI-crono_inv'!J:J,P692,'PdI-crono_inv'!P:P,"&lt;&gt;proprietario")+S692</f>
        <v>0</v>
      </c>
      <c r="P692" s="1013" t="s">
        <v>25486</v>
      </c>
      <c r="Q692" s="1932" t="str">
        <f>+VLOOKUP(F692,TT_Tabelle_Riferimento!$D$127:$E$164,2,FALSE)</f>
        <v>Acquedotto</v>
      </c>
      <c r="R692" s="1932" t="str">
        <f t="shared" si="62"/>
        <v/>
      </c>
      <c r="S692" s="2335">
        <f t="shared" si="59"/>
        <v>0</v>
      </c>
    </row>
    <row r="693" spans="1:19">
      <c r="A693" s="1932">
        <f t="shared" si="60"/>
        <v>0</v>
      </c>
      <c r="B693" s="1932">
        <f t="shared" si="61"/>
        <v>0</v>
      </c>
      <c r="C693" s="1013" t="s">
        <v>245</v>
      </c>
      <c r="D693" s="1013">
        <v>0</v>
      </c>
      <c r="E693" s="1013" t="s">
        <v>22698</v>
      </c>
      <c r="F693" s="1013">
        <v>5</v>
      </c>
      <c r="G693" s="1932" t="str">
        <f>+VLOOKUP(F693,TT_Tabelle_Riferimento!$D$127:$G$164,4,FALSE)</f>
        <v>Impianti di sollevamento e pompaggio di acquedotto</v>
      </c>
      <c r="H693" s="1013">
        <v>1</v>
      </c>
      <c r="I693" s="1932" t="str">
        <f>+VLOOKUP(H693,TT_Tabelle_Riferimento!$F$3:$G$6,2,FALSE)</f>
        <v>Servizio idrico integrato</v>
      </c>
      <c r="J693" s="1013">
        <v>2028</v>
      </c>
      <c r="K693" s="2335">
        <f>+SUMIFS('PdI-crono_inv'!BG:BG,'PdI-crono_inv'!CF:CF,F693,'PdI-crono_inv'!CE:CE,H693,'PdI-crono_inv'!J:J,P693,'PdI-crono_inv'!P:P,"&lt;&gt;proprietario")</f>
        <v>0</v>
      </c>
      <c r="M693" s="2335">
        <f>+SUMIFS('PdI-crono_inv'!BH:BH,'PdI-crono_inv'!CF:CF,F693,'PdI-crono_inv'!CE:CE,H693,'PdI-crono_inv'!J:J,P693,'PdI-crono_inv'!P:P,"&lt;&gt;proprietario")+S693</f>
        <v>0</v>
      </c>
      <c r="P693" s="1013" t="s">
        <v>25486</v>
      </c>
      <c r="Q693" s="1932" t="str">
        <f>+VLOOKUP(F693,TT_Tabelle_Riferimento!$D$127:$E$164,2,FALSE)</f>
        <v>Acquedotto</v>
      </c>
      <c r="R693" s="1932" t="str">
        <f t="shared" si="62"/>
        <v/>
      </c>
      <c r="S693" s="2335">
        <f t="shared" si="59"/>
        <v>0</v>
      </c>
    </row>
    <row r="694" spans="1:19">
      <c r="A694" s="1932">
        <f t="shared" si="60"/>
        <v>0</v>
      </c>
      <c r="B694" s="1932">
        <f t="shared" si="61"/>
        <v>0</v>
      </c>
      <c r="C694" s="1013" t="s">
        <v>245</v>
      </c>
      <c r="D694" s="1013">
        <v>0</v>
      </c>
      <c r="E694" s="1013" t="s">
        <v>22698</v>
      </c>
      <c r="F694" s="1013">
        <v>6</v>
      </c>
      <c r="G694" s="1932" t="str">
        <f>+VLOOKUP(F694,TT_Tabelle_Riferimento!$D$127:$G$164,4,FALSE)</f>
        <v>Impianti di potabilizzazione</v>
      </c>
      <c r="H694" s="1013">
        <v>1</v>
      </c>
      <c r="I694" s="1932" t="str">
        <f>+VLOOKUP(H694,TT_Tabelle_Riferimento!$F$3:$G$6,2,FALSE)</f>
        <v>Servizio idrico integrato</v>
      </c>
      <c r="J694" s="1013">
        <v>2028</v>
      </c>
      <c r="K694" s="2335">
        <f>+SUMIFS('PdI-crono_inv'!BG:BG,'PdI-crono_inv'!CF:CF,F694,'PdI-crono_inv'!CE:CE,H694,'PdI-crono_inv'!J:J,P694,'PdI-crono_inv'!P:P,"&lt;&gt;proprietario")</f>
        <v>0</v>
      </c>
      <c r="M694" s="2335">
        <f>+SUMIFS('PdI-crono_inv'!BH:BH,'PdI-crono_inv'!CF:CF,F694,'PdI-crono_inv'!CE:CE,H694,'PdI-crono_inv'!J:J,P694,'PdI-crono_inv'!P:P,"&lt;&gt;proprietario")+S694</f>
        <v>0</v>
      </c>
      <c r="P694" s="1013" t="s">
        <v>25486</v>
      </c>
      <c r="Q694" s="1932" t="str">
        <f>+VLOOKUP(F694,TT_Tabelle_Riferimento!$D$127:$E$164,2,FALSE)</f>
        <v>Acquedotto</v>
      </c>
      <c r="R694" s="1932" t="str">
        <f t="shared" si="62"/>
        <v/>
      </c>
      <c r="S694" s="2335">
        <f t="shared" si="59"/>
        <v>0</v>
      </c>
    </row>
    <row r="695" spans="1:19">
      <c r="A695" s="1932">
        <f t="shared" si="60"/>
        <v>0</v>
      </c>
      <c r="B695" s="1932">
        <f t="shared" si="61"/>
        <v>0</v>
      </c>
      <c r="C695" s="1013" t="s">
        <v>245</v>
      </c>
      <c r="D695" s="1013">
        <v>0</v>
      </c>
      <c r="E695" s="1013" t="s">
        <v>22698</v>
      </c>
      <c r="F695" s="1013">
        <v>7</v>
      </c>
      <c r="G695" s="1932" t="str">
        <f>+VLOOKUP(F695,TT_Tabelle_Riferimento!$D$127:$G$164,4,FALSE)</f>
        <v>Altri trattamenti di potabilizzazione (tra cui dispositivi di disinfezione, stacciatura, filtrazione, addolcimento)</v>
      </c>
      <c r="H695" s="1013">
        <v>1</v>
      </c>
      <c r="I695" s="1932" t="str">
        <f>+VLOOKUP(H695,TT_Tabelle_Riferimento!$F$3:$G$6,2,FALSE)</f>
        <v>Servizio idrico integrato</v>
      </c>
      <c r="J695" s="1013">
        <v>2028</v>
      </c>
      <c r="K695" s="2335">
        <f>+SUMIFS('PdI-crono_inv'!BG:BG,'PdI-crono_inv'!CF:CF,F695,'PdI-crono_inv'!CE:CE,H695,'PdI-crono_inv'!J:J,P695,'PdI-crono_inv'!P:P,"&lt;&gt;proprietario")</f>
        <v>0</v>
      </c>
      <c r="M695" s="2335">
        <f>+SUMIFS('PdI-crono_inv'!BH:BH,'PdI-crono_inv'!CF:CF,F695,'PdI-crono_inv'!CE:CE,H695,'PdI-crono_inv'!J:J,P695,'PdI-crono_inv'!P:P,"&lt;&gt;proprietario")+S695</f>
        <v>0</v>
      </c>
      <c r="P695" s="1013" t="s">
        <v>25486</v>
      </c>
      <c r="Q695" s="1932" t="str">
        <f>+VLOOKUP(F695,TT_Tabelle_Riferimento!$D$127:$E$164,2,FALSE)</f>
        <v>Acquedotto</v>
      </c>
      <c r="R695" s="1932" t="str">
        <f t="shared" si="62"/>
        <v/>
      </c>
      <c r="S695" s="2335">
        <f t="shared" si="59"/>
        <v>0</v>
      </c>
    </row>
    <row r="696" spans="1:19">
      <c r="A696" s="1932">
        <f t="shared" si="60"/>
        <v>0</v>
      </c>
      <c r="B696" s="1932">
        <f t="shared" si="61"/>
        <v>0</v>
      </c>
      <c r="C696" s="1013" t="s">
        <v>245</v>
      </c>
      <c r="D696" s="1013">
        <v>0</v>
      </c>
      <c r="E696" s="1013" t="s">
        <v>22698</v>
      </c>
      <c r="F696" s="1013">
        <v>8</v>
      </c>
      <c r="G696" s="1932" t="str">
        <f>+VLOOKUP(F696,TT_Tabelle_Riferimento!$D$127:$G$164,4,FALSE)</f>
        <v>Gruppi di misura - altre attrezzature di acquedotto</v>
      </c>
      <c r="H696" s="1013">
        <v>1</v>
      </c>
      <c r="I696" s="1932" t="str">
        <f>+VLOOKUP(H696,TT_Tabelle_Riferimento!$F$3:$G$6,2,FALSE)</f>
        <v>Servizio idrico integrato</v>
      </c>
      <c r="J696" s="1013">
        <v>2028</v>
      </c>
      <c r="K696" s="2335">
        <f>+SUMIFS('PdI-crono_inv'!BG:BG,'PdI-crono_inv'!CF:CF,F696,'PdI-crono_inv'!CE:CE,H696,'PdI-crono_inv'!J:J,P696,'PdI-crono_inv'!P:P,"&lt;&gt;proprietario")</f>
        <v>0</v>
      </c>
      <c r="M696" s="2335">
        <f>+SUMIFS('PdI-crono_inv'!BH:BH,'PdI-crono_inv'!CF:CF,F696,'PdI-crono_inv'!CE:CE,H696,'PdI-crono_inv'!J:J,P696,'PdI-crono_inv'!P:P,"&lt;&gt;proprietario")+S696</f>
        <v>0</v>
      </c>
      <c r="P696" s="1013" t="s">
        <v>25486</v>
      </c>
      <c r="Q696" s="1932" t="str">
        <f>+VLOOKUP(F696,TT_Tabelle_Riferimento!$D$127:$E$164,2,FALSE)</f>
        <v>Acquedotto</v>
      </c>
      <c r="R696" s="1932" t="str">
        <f t="shared" si="62"/>
        <v/>
      </c>
      <c r="S696" s="2335">
        <f t="shared" si="59"/>
        <v>0</v>
      </c>
    </row>
    <row r="697" spans="1:19">
      <c r="A697" s="1932">
        <f t="shared" si="60"/>
        <v>0</v>
      </c>
      <c r="B697" s="1932">
        <f t="shared" si="61"/>
        <v>0</v>
      </c>
      <c r="C697" s="1013" t="s">
        <v>245</v>
      </c>
      <c r="D697" s="1013">
        <v>0</v>
      </c>
      <c r="E697" s="1013" t="s">
        <v>22698</v>
      </c>
      <c r="F697" s="1013">
        <v>9</v>
      </c>
      <c r="G697" s="1932" t="str">
        <f>+VLOOKUP(F697,TT_Tabelle_Riferimento!$D$127:$G$164,4,FALSE)</f>
        <v>Sistemi informativi di acquedotto</v>
      </c>
      <c r="H697" s="1013">
        <v>1</v>
      </c>
      <c r="I697" s="1932" t="str">
        <f>+VLOOKUP(H697,TT_Tabelle_Riferimento!$F$3:$G$6,2,FALSE)</f>
        <v>Servizio idrico integrato</v>
      </c>
      <c r="J697" s="1013">
        <v>2028</v>
      </c>
      <c r="K697" s="2335">
        <f>+SUMIFS('PdI-crono_inv'!BG:BG,'PdI-crono_inv'!CF:CF,F697,'PdI-crono_inv'!CE:CE,H697,'PdI-crono_inv'!J:J,P697,'PdI-crono_inv'!P:P,"&lt;&gt;proprietario")</f>
        <v>0</v>
      </c>
      <c r="M697" s="2335">
        <f>+SUMIFS('PdI-crono_inv'!BH:BH,'PdI-crono_inv'!CF:CF,F697,'PdI-crono_inv'!CE:CE,H697,'PdI-crono_inv'!J:J,P697,'PdI-crono_inv'!P:P,"&lt;&gt;proprietario")+S697</f>
        <v>0</v>
      </c>
      <c r="P697" s="1013" t="s">
        <v>25486</v>
      </c>
      <c r="Q697" s="1932" t="str">
        <f>+VLOOKUP(F697,TT_Tabelle_Riferimento!$D$127:$E$164,2,FALSE)</f>
        <v>Acquedotto</v>
      </c>
      <c r="R697" s="1932" t="str">
        <f t="shared" si="62"/>
        <v/>
      </c>
      <c r="S697" s="2335">
        <f t="shared" si="59"/>
        <v>0</v>
      </c>
    </row>
    <row r="698" spans="1:19">
      <c r="A698" s="1932">
        <f t="shared" si="60"/>
        <v>0</v>
      </c>
      <c r="B698" s="1932">
        <f t="shared" si="61"/>
        <v>0</v>
      </c>
      <c r="C698" s="1013" t="s">
        <v>245</v>
      </c>
      <c r="D698" s="1013">
        <v>0</v>
      </c>
      <c r="E698" s="1013" t="s">
        <v>22698</v>
      </c>
      <c r="F698" s="1013">
        <v>10</v>
      </c>
      <c r="G698" s="1932" t="str">
        <f>+VLOOKUP(F698,TT_Tabelle_Riferimento!$D$127:$G$164,4,FALSE)</f>
        <v>Telecontrollo e teletrasmissione di acquedotto</v>
      </c>
      <c r="H698" s="1013">
        <v>1</v>
      </c>
      <c r="I698" s="1932" t="str">
        <f>+VLOOKUP(H698,TT_Tabelle_Riferimento!$F$3:$G$6,2,FALSE)</f>
        <v>Servizio idrico integrato</v>
      </c>
      <c r="J698" s="1013">
        <v>2028</v>
      </c>
      <c r="K698" s="2335">
        <f>+SUMIFS('PdI-crono_inv'!BG:BG,'PdI-crono_inv'!CF:CF,F698,'PdI-crono_inv'!CE:CE,H698,'PdI-crono_inv'!J:J,P698,'PdI-crono_inv'!P:P,"&lt;&gt;proprietario")</f>
        <v>0</v>
      </c>
      <c r="M698" s="2335">
        <f>+SUMIFS('PdI-crono_inv'!BH:BH,'PdI-crono_inv'!CF:CF,F698,'PdI-crono_inv'!CE:CE,H698,'PdI-crono_inv'!J:J,P698,'PdI-crono_inv'!P:P,"&lt;&gt;proprietario")+S698</f>
        <v>0</v>
      </c>
      <c r="P698" s="1013" t="s">
        <v>25486</v>
      </c>
      <c r="Q698" s="1932" t="str">
        <f>+VLOOKUP(F698,TT_Tabelle_Riferimento!$D$127:$E$164,2,FALSE)</f>
        <v>Acquedotto</v>
      </c>
      <c r="R698" s="1932" t="str">
        <f t="shared" si="62"/>
        <v/>
      </c>
      <c r="S698" s="2335">
        <f t="shared" si="59"/>
        <v>0</v>
      </c>
    </row>
    <row r="699" spans="1:19">
      <c r="A699" s="1932">
        <f t="shared" si="60"/>
        <v>0</v>
      </c>
      <c r="B699" s="1932">
        <f t="shared" si="61"/>
        <v>0</v>
      </c>
      <c r="C699" s="1013" t="s">
        <v>245</v>
      </c>
      <c r="D699" s="1013">
        <v>0</v>
      </c>
      <c r="E699" s="1013" t="s">
        <v>22698</v>
      </c>
      <c r="F699" s="1013">
        <v>11</v>
      </c>
      <c r="G699" s="1932" t="str">
        <f>+VLOOKUP(F699,TT_Tabelle_Riferimento!$D$127:$G$164,4,FALSE)</f>
        <v>Condotte fognarie</v>
      </c>
      <c r="H699" s="1013">
        <v>1</v>
      </c>
      <c r="I699" s="1932" t="str">
        <f>+VLOOKUP(H699,TT_Tabelle_Riferimento!$F$3:$G$6,2,FALSE)</f>
        <v>Servizio idrico integrato</v>
      </c>
      <c r="J699" s="1013">
        <v>2028</v>
      </c>
      <c r="K699" s="2335">
        <f>+SUMIFS('PdI-crono_inv'!BG:BG,'PdI-crono_inv'!CF:CF,F699,'PdI-crono_inv'!CE:CE,H699,'PdI-crono_inv'!J:J,P699,'PdI-crono_inv'!P:P,"&lt;&gt;proprietario")</f>
        <v>0</v>
      </c>
      <c r="M699" s="2335">
        <f>+SUMIFS('PdI-crono_inv'!BH:BH,'PdI-crono_inv'!CF:CF,F699,'PdI-crono_inv'!CE:CE,H699,'PdI-crono_inv'!J:J,P699,'PdI-crono_inv'!P:P,"&lt;&gt;proprietario")+S699</f>
        <v>0</v>
      </c>
      <c r="P699" s="1013" t="s">
        <v>25486</v>
      </c>
      <c r="Q699" s="1932" t="str">
        <f>+VLOOKUP(F699,TT_Tabelle_Riferimento!$D$127:$E$164,2,FALSE)</f>
        <v>Fognatura</v>
      </c>
      <c r="R699" s="1932" t="str">
        <f t="shared" si="62"/>
        <v/>
      </c>
      <c r="S699" s="2335">
        <f t="shared" si="59"/>
        <v>0</v>
      </c>
    </row>
    <row r="700" spans="1:19">
      <c r="A700" s="1932">
        <f t="shared" si="60"/>
        <v>0</v>
      </c>
      <c r="B700" s="1932">
        <f t="shared" si="61"/>
        <v>0</v>
      </c>
      <c r="C700" s="1013" t="s">
        <v>245</v>
      </c>
      <c r="D700" s="1013">
        <v>0</v>
      </c>
      <c r="E700" s="1013" t="s">
        <v>22698</v>
      </c>
      <c r="F700" s="1013">
        <v>12</v>
      </c>
      <c r="G700" s="1932" t="str">
        <f>+VLOOKUP(F700,TT_Tabelle_Riferimento!$D$127:$G$164,4,FALSE)</f>
        <v>Sifoni e scaricatori di piena e altre opere idrauliche fisse di fognatura</v>
      </c>
      <c r="H700" s="1013">
        <v>1</v>
      </c>
      <c r="I700" s="1932" t="str">
        <f>+VLOOKUP(H700,TT_Tabelle_Riferimento!$F$3:$G$6,2,FALSE)</f>
        <v>Servizio idrico integrato</v>
      </c>
      <c r="J700" s="1013">
        <v>2028</v>
      </c>
      <c r="K700" s="2335">
        <f>+SUMIFS('PdI-crono_inv'!BG:BG,'PdI-crono_inv'!CF:CF,F700,'PdI-crono_inv'!CE:CE,H700,'PdI-crono_inv'!J:J,P700,'PdI-crono_inv'!P:P,"&lt;&gt;proprietario")</f>
        <v>0</v>
      </c>
      <c r="M700" s="2335">
        <f>+SUMIFS('PdI-crono_inv'!BH:BH,'PdI-crono_inv'!CF:CF,F700,'PdI-crono_inv'!CE:CE,H700,'PdI-crono_inv'!J:J,P700,'PdI-crono_inv'!P:P,"&lt;&gt;proprietario")+S700</f>
        <v>0</v>
      </c>
      <c r="P700" s="1013" t="s">
        <v>25486</v>
      </c>
      <c r="Q700" s="1932" t="str">
        <f>+VLOOKUP(F700,TT_Tabelle_Riferimento!$D$127:$E$164,2,FALSE)</f>
        <v>Fognatura</v>
      </c>
      <c r="R700" s="1932" t="str">
        <f t="shared" si="62"/>
        <v/>
      </c>
      <c r="S700" s="2335">
        <f t="shared" si="59"/>
        <v>0</v>
      </c>
    </row>
    <row r="701" spans="1:19">
      <c r="A701" s="1932">
        <f t="shared" si="60"/>
        <v>0</v>
      </c>
      <c r="B701" s="1932">
        <f t="shared" si="61"/>
        <v>0</v>
      </c>
      <c r="C701" s="1013" t="s">
        <v>245</v>
      </c>
      <c r="D701" s="1013">
        <v>0</v>
      </c>
      <c r="E701" s="1013" t="s">
        <v>22698</v>
      </c>
      <c r="F701" s="1013">
        <v>13</v>
      </c>
      <c r="G701" s="1932" t="str">
        <f>+VLOOKUP(F701,TT_Tabelle_Riferimento!$D$127:$G$164,4,FALSE)</f>
        <v>Vasche di laminazione e vasche di prima pioggia</v>
      </c>
      <c r="H701" s="1013">
        <v>1</v>
      </c>
      <c r="I701" s="1932" t="str">
        <f>+VLOOKUP(H701,TT_Tabelle_Riferimento!$F$3:$G$6,2,FALSE)</f>
        <v>Servizio idrico integrato</v>
      </c>
      <c r="J701" s="1013">
        <v>2028</v>
      </c>
      <c r="K701" s="2335">
        <f>+SUMIFS('PdI-crono_inv'!BG:BG,'PdI-crono_inv'!CF:CF,F701,'PdI-crono_inv'!CE:CE,H701,'PdI-crono_inv'!J:J,P701,'PdI-crono_inv'!P:P,"&lt;&gt;proprietario")</f>
        <v>0</v>
      </c>
      <c r="M701" s="2335">
        <f>+SUMIFS('PdI-crono_inv'!BH:BH,'PdI-crono_inv'!CF:CF,F701,'PdI-crono_inv'!CE:CE,H701,'PdI-crono_inv'!J:J,P701,'PdI-crono_inv'!P:P,"&lt;&gt;proprietario")+S701</f>
        <v>0</v>
      </c>
      <c r="P701" s="1013" t="s">
        <v>25486</v>
      </c>
      <c r="Q701" s="1932" t="str">
        <f>+VLOOKUP(F701,TT_Tabelle_Riferimento!$D$127:$E$164,2,FALSE)</f>
        <v>Fognatura</v>
      </c>
      <c r="R701" s="1932" t="str">
        <f t="shared" si="62"/>
        <v/>
      </c>
      <c r="S701" s="2335">
        <f t="shared" si="59"/>
        <v>0</v>
      </c>
    </row>
    <row r="702" spans="1:19">
      <c r="A702" s="1932">
        <f t="shared" si="60"/>
        <v>0</v>
      </c>
      <c r="B702" s="1932">
        <f t="shared" si="61"/>
        <v>0</v>
      </c>
      <c r="C702" s="1013" t="s">
        <v>245</v>
      </c>
      <c r="D702" s="1013">
        <v>0</v>
      </c>
      <c r="E702" s="1013" t="s">
        <v>22698</v>
      </c>
      <c r="F702" s="1013">
        <v>14</v>
      </c>
      <c r="G702" s="1932" t="str">
        <f>+VLOOKUP(F702,TT_Tabelle_Riferimento!$D$127:$G$164,4,FALSE)</f>
        <v>Impianti di sollevamento e pompaggio di fognatura</v>
      </c>
      <c r="H702" s="1013">
        <v>1</v>
      </c>
      <c r="I702" s="1932" t="str">
        <f>+VLOOKUP(H702,TT_Tabelle_Riferimento!$F$3:$G$6,2,FALSE)</f>
        <v>Servizio idrico integrato</v>
      </c>
      <c r="J702" s="1013">
        <v>2028</v>
      </c>
      <c r="K702" s="2335">
        <f>+SUMIFS('PdI-crono_inv'!BG:BG,'PdI-crono_inv'!CF:CF,F702,'PdI-crono_inv'!CE:CE,H702,'PdI-crono_inv'!J:J,P702,'PdI-crono_inv'!P:P,"&lt;&gt;proprietario")</f>
        <v>0</v>
      </c>
      <c r="M702" s="2335">
        <f>+SUMIFS('PdI-crono_inv'!BH:BH,'PdI-crono_inv'!CF:CF,F702,'PdI-crono_inv'!CE:CE,H702,'PdI-crono_inv'!J:J,P702,'PdI-crono_inv'!P:P,"&lt;&gt;proprietario")+S702</f>
        <v>0</v>
      </c>
      <c r="P702" s="1013" t="s">
        <v>25486</v>
      </c>
      <c r="Q702" s="1932" t="str">
        <f>+VLOOKUP(F702,TT_Tabelle_Riferimento!$D$127:$E$164,2,FALSE)</f>
        <v>Fognatura</v>
      </c>
      <c r="R702" s="1932" t="str">
        <f t="shared" si="62"/>
        <v/>
      </c>
      <c r="S702" s="2335">
        <f t="shared" si="59"/>
        <v>0</v>
      </c>
    </row>
    <row r="703" spans="1:19">
      <c r="A703" s="1932">
        <f t="shared" si="60"/>
        <v>0</v>
      </c>
      <c r="B703" s="1932">
        <f t="shared" si="61"/>
        <v>0</v>
      </c>
      <c r="C703" s="1013" t="s">
        <v>245</v>
      </c>
      <c r="D703" s="1013">
        <v>0</v>
      </c>
      <c r="E703" s="1013" t="s">
        <v>22698</v>
      </c>
      <c r="F703" s="1013">
        <v>15</v>
      </c>
      <c r="G703" s="1932" t="str">
        <f>+VLOOKUP(F703,TT_Tabelle_Riferimento!$D$127:$G$164,4,FALSE)</f>
        <v>Gruppi di misura - altre attrezzature di fognatura</v>
      </c>
      <c r="H703" s="1013">
        <v>1</v>
      </c>
      <c r="I703" s="1932" t="str">
        <f>+VLOOKUP(H703,TT_Tabelle_Riferimento!$F$3:$G$6,2,FALSE)</f>
        <v>Servizio idrico integrato</v>
      </c>
      <c r="J703" s="1013">
        <v>2028</v>
      </c>
      <c r="K703" s="2335">
        <f>+SUMIFS('PdI-crono_inv'!BG:BG,'PdI-crono_inv'!CF:CF,F703,'PdI-crono_inv'!CE:CE,H703,'PdI-crono_inv'!J:J,P703,'PdI-crono_inv'!P:P,"&lt;&gt;proprietario")</f>
        <v>0</v>
      </c>
      <c r="M703" s="2335">
        <f>+SUMIFS('PdI-crono_inv'!BH:BH,'PdI-crono_inv'!CF:CF,F703,'PdI-crono_inv'!CE:CE,H703,'PdI-crono_inv'!J:J,P703,'PdI-crono_inv'!P:P,"&lt;&gt;proprietario")+S703</f>
        <v>0</v>
      </c>
      <c r="P703" s="1013" t="s">
        <v>25486</v>
      </c>
      <c r="Q703" s="1932" t="str">
        <f>+VLOOKUP(F703,TT_Tabelle_Riferimento!$D$127:$E$164,2,FALSE)</f>
        <v>Fognatura</v>
      </c>
      <c r="R703" s="1932" t="str">
        <f t="shared" si="62"/>
        <v/>
      </c>
      <c r="S703" s="2335">
        <f t="shared" si="59"/>
        <v>0</v>
      </c>
    </row>
    <row r="704" spans="1:19">
      <c r="A704" s="1932">
        <f t="shared" si="60"/>
        <v>0</v>
      </c>
      <c r="B704" s="1932">
        <f t="shared" si="61"/>
        <v>0</v>
      </c>
      <c r="C704" s="1013" t="s">
        <v>245</v>
      </c>
      <c r="D704" s="1013">
        <v>0</v>
      </c>
      <c r="E704" s="1013" t="s">
        <v>22698</v>
      </c>
      <c r="F704" s="1013">
        <v>16</v>
      </c>
      <c r="G704" s="1932" t="str">
        <f>+VLOOKUP(F704,TT_Tabelle_Riferimento!$D$127:$G$164,4,FALSE)</f>
        <v>Sistemi informativi di fognatura</v>
      </c>
      <c r="H704" s="1013">
        <v>1</v>
      </c>
      <c r="I704" s="1932" t="str">
        <f>+VLOOKUP(H704,TT_Tabelle_Riferimento!$F$3:$G$6,2,FALSE)</f>
        <v>Servizio idrico integrato</v>
      </c>
      <c r="J704" s="1013">
        <v>2028</v>
      </c>
      <c r="K704" s="2335">
        <f>+SUMIFS('PdI-crono_inv'!BG:BG,'PdI-crono_inv'!CF:CF,F704,'PdI-crono_inv'!CE:CE,H704,'PdI-crono_inv'!J:J,P704,'PdI-crono_inv'!P:P,"&lt;&gt;proprietario")</f>
        <v>0</v>
      </c>
      <c r="M704" s="2335">
        <f>+SUMIFS('PdI-crono_inv'!BH:BH,'PdI-crono_inv'!CF:CF,F704,'PdI-crono_inv'!CE:CE,H704,'PdI-crono_inv'!J:J,P704,'PdI-crono_inv'!P:P,"&lt;&gt;proprietario")+S704</f>
        <v>0</v>
      </c>
      <c r="P704" s="1013" t="s">
        <v>25486</v>
      </c>
      <c r="Q704" s="1932" t="str">
        <f>+VLOOKUP(F704,TT_Tabelle_Riferimento!$D$127:$E$164,2,FALSE)</f>
        <v>Fognatura</v>
      </c>
      <c r="R704" s="1932" t="str">
        <f t="shared" si="62"/>
        <v/>
      </c>
      <c r="S704" s="2335">
        <f t="shared" si="59"/>
        <v>0</v>
      </c>
    </row>
    <row r="705" spans="1:19">
      <c r="A705" s="1932">
        <f t="shared" si="60"/>
        <v>0</v>
      </c>
      <c r="B705" s="1932">
        <f t="shared" si="61"/>
        <v>0</v>
      </c>
      <c r="C705" s="1013" t="s">
        <v>245</v>
      </c>
      <c r="D705" s="1013">
        <v>0</v>
      </c>
      <c r="E705" s="1013" t="s">
        <v>22698</v>
      </c>
      <c r="F705" s="1013">
        <v>18</v>
      </c>
      <c r="G705" s="1932" t="str">
        <f>+VLOOKUP(F705,TT_Tabelle_Riferimento!$D$127:$G$164,4,FALSE)</f>
        <v>Telecontrollo e teletrasmissione di fognatura</v>
      </c>
      <c r="H705" s="1013">
        <v>1</v>
      </c>
      <c r="I705" s="1932" t="str">
        <f>+VLOOKUP(H705,TT_Tabelle_Riferimento!$F$3:$G$6,2,FALSE)</f>
        <v>Servizio idrico integrato</v>
      </c>
      <c r="J705" s="1013">
        <v>2028</v>
      </c>
      <c r="K705" s="2335">
        <f>+SUMIFS('PdI-crono_inv'!BG:BG,'PdI-crono_inv'!CF:CF,F705,'PdI-crono_inv'!CE:CE,H705,'PdI-crono_inv'!J:J,P705,'PdI-crono_inv'!P:P,"&lt;&gt;proprietario")</f>
        <v>0</v>
      </c>
      <c r="M705" s="2335">
        <f>+SUMIFS('PdI-crono_inv'!BH:BH,'PdI-crono_inv'!CF:CF,F705,'PdI-crono_inv'!CE:CE,H705,'PdI-crono_inv'!J:J,P705,'PdI-crono_inv'!P:P,"&lt;&gt;proprietario")+S705</f>
        <v>0</v>
      </c>
      <c r="P705" s="1013" t="s">
        <v>25486</v>
      </c>
      <c r="Q705" s="1932" t="str">
        <f>+VLOOKUP(F705,TT_Tabelle_Riferimento!$D$127:$E$164,2,FALSE)</f>
        <v>Fognatura</v>
      </c>
      <c r="R705" s="1932" t="str">
        <f t="shared" si="62"/>
        <v/>
      </c>
      <c r="S705" s="2335">
        <f t="shared" si="59"/>
        <v>0</v>
      </c>
    </row>
    <row r="706" spans="1:19">
      <c r="A706" s="1932">
        <f t="shared" si="60"/>
        <v>0</v>
      </c>
      <c r="B706" s="1932">
        <f t="shared" si="61"/>
        <v>0</v>
      </c>
      <c r="C706" s="1013" t="s">
        <v>245</v>
      </c>
      <c r="D706" s="1013">
        <v>0</v>
      </c>
      <c r="E706" s="1013" t="s">
        <v>22698</v>
      </c>
      <c r="F706" s="1013">
        <v>19</v>
      </c>
      <c r="G706" s="1932" t="str">
        <f>+VLOOKUP(F706,TT_Tabelle_Riferimento!$D$127:$G$164,4,FALSE)</f>
        <v>Impianti di sollevamento e pompaggio di depurazione</v>
      </c>
      <c r="H706" s="1013">
        <v>1</v>
      </c>
      <c r="I706" s="1932" t="str">
        <f>+VLOOKUP(H706,TT_Tabelle_Riferimento!$F$3:$G$6,2,FALSE)</f>
        <v>Servizio idrico integrato</v>
      </c>
      <c r="J706" s="1013">
        <v>2028</v>
      </c>
      <c r="K706" s="2335">
        <f>+SUMIFS('PdI-crono_inv'!BG:BG,'PdI-crono_inv'!CF:CF,F706,'PdI-crono_inv'!CE:CE,H706,'PdI-crono_inv'!J:J,P706,'PdI-crono_inv'!P:P,"&lt;&gt;proprietario")</f>
        <v>0</v>
      </c>
      <c r="M706" s="2335">
        <f>+SUMIFS('PdI-crono_inv'!BH:BH,'PdI-crono_inv'!CF:CF,F706,'PdI-crono_inv'!CE:CE,H706,'PdI-crono_inv'!J:J,P706,'PdI-crono_inv'!P:P,"&lt;&gt;proprietario")+S706</f>
        <v>0</v>
      </c>
      <c r="P706" s="1013" t="s">
        <v>25486</v>
      </c>
      <c r="Q706" s="1932" t="str">
        <f>+VLOOKUP(F706,TT_Tabelle_Riferimento!$D$127:$E$164,2,FALSE)</f>
        <v>Depurazione</v>
      </c>
      <c r="R706" s="1932" t="str">
        <f t="shared" si="62"/>
        <v/>
      </c>
      <c r="S706" s="2335">
        <f t="shared" si="59"/>
        <v>0</v>
      </c>
    </row>
    <row r="707" spans="1:19">
      <c r="A707" s="1932">
        <f t="shared" si="60"/>
        <v>0</v>
      </c>
      <c r="B707" s="1932">
        <f t="shared" si="61"/>
        <v>0</v>
      </c>
      <c r="C707" s="1013" t="s">
        <v>245</v>
      </c>
      <c r="D707" s="1013">
        <v>0</v>
      </c>
      <c r="E707" s="1013" t="s">
        <v>22698</v>
      </c>
      <c r="F707" s="1013">
        <v>20</v>
      </c>
      <c r="G707" s="1932" t="str">
        <f>+VLOOKUP(F707,TT_Tabelle_Riferimento!$D$127:$G$164,4,FALSE)</f>
        <v>Tecniche naturali di depurazione (tra cui fitodepurazione e lagunaggio)</v>
      </c>
      <c r="H707" s="1013">
        <v>1</v>
      </c>
      <c r="I707" s="1932" t="str">
        <f>+VLOOKUP(H707,TT_Tabelle_Riferimento!$F$3:$G$6,2,FALSE)</f>
        <v>Servizio idrico integrato</v>
      </c>
      <c r="J707" s="1013">
        <v>2028</v>
      </c>
      <c r="K707" s="2335">
        <f>+SUMIFS('PdI-crono_inv'!BG:BG,'PdI-crono_inv'!CF:CF,F707,'PdI-crono_inv'!CE:CE,H707,'PdI-crono_inv'!J:J,P707,'PdI-crono_inv'!P:P,"&lt;&gt;proprietario")</f>
        <v>0</v>
      </c>
      <c r="M707" s="2335">
        <f>+SUMIFS('PdI-crono_inv'!BH:BH,'PdI-crono_inv'!CF:CF,F707,'PdI-crono_inv'!CE:CE,H707,'PdI-crono_inv'!J:J,P707,'PdI-crono_inv'!P:P,"&lt;&gt;proprietario")+S707</f>
        <v>0</v>
      </c>
      <c r="P707" s="1013" t="s">
        <v>25486</v>
      </c>
      <c r="Q707" s="1932" t="str">
        <f>+VLOOKUP(F707,TT_Tabelle_Riferimento!$D$127:$E$164,2,FALSE)</f>
        <v>Depurazione</v>
      </c>
      <c r="R707" s="1932" t="str">
        <f t="shared" si="62"/>
        <v/>
      </c>
      <c r="S707" s="2335">
        <f t="shared" si="59"/>
        <v>0</v>
      </c>
    </row>
    <row r="708" spans="1:19">
      <c r="A708" s="1932">
        <f t="shared" si="60"/>
        <v>0</v>
      </c>
      <c r="B708" s="1932">
        <f t="shared" si="61"/>
        <v>0</v>
      </c>
      <c r="C708" s="1013" t="s">
        <v>245</v>
      </c>
      <c r="D708" s="1013">
        <v>0</v>
      </c>
      <c r="E708" s="1013" t="s">
        <v>22698</v>
      </c>
      <c r="F708" s="1013">
        <v>21</v>
      </c>
      <c r="G708" s="1932" t="str">
        <f>+VLOOKUP(F708,TT_Tabelle_Riferimento!$D$127:$G$164,4,FALSE)</f>
        <v>Impianti di depurazione – trattamenti sino al preliminare, integrativo, primario - fosse settiche e fosse Imhoff</v>
      </c>
      <c r="H708" s="1013">
        <v>1</v>
      </c>
      <c r="I708" s="1932" t="str">
        <f>+VLOOKUP(H708,TT_Tabelle_Riferimento!$F$3:$G$6,2,FALSE)</f>
        <v>Servizio idrico integrato</v>
      </c>
      <c r="J708" s="1013">
        <v>2028</v>
      </c>
      <c r="K708" s="2335">
        <f>+SUMIFS('PdI-crono_inv'!BG:BG,'PdI-crono_inv'!CF:CF,F708,'PdI-crono_inv'!CE:CE,H708,'PdI-crono_inv'!J:J,P708,'PdI-crono_inv'!P:P,"&lt;&gt;proprietario")</f>
        <v>0</v>
      </c>
      <c r="M708" s="2335">
        <f>+SUMIFS('PdI-crono_inv'!BH:BH,'PdI-crono_inv'!CF:CF,F708,'PdI-crono_inv'!CE:CE,H708,'PdI-crono_inv'!J:J,P708,'PdI-crono_inv'!P:P,"&lt;&gt;proprietario")+S708</f>
        <v>0</v>
      </c>
      <c r="P708" s="1013" t="s">
        <v>25486</v>
      </c>
      <c r="Q708" s="1932" t="str">
        <f>+VLOOKUP(F708,TT_Tabelle_Riferimento!$D$127:$E$164,2,FALSE)</f>
        <v>Depurazione</v>
      </c>
      <c r="R708" s="1932" t="str">
        <f t="shared" si="62"/>
        <v/>
      </c>
      <c r="S708" s="2335">
        <f t="shared" si="59"/>
        <v>0</v>
      </c>
    </row>
    <row r="709" spans="1:19">
      <c r="A709" s="1932">
        <f t="shared" si="60"/>
        <v>0</v>
      </c>
      <c r="B709" s="1932">
        <f t="shared" si="61"/>
        <v>0</v>
      </c>
      <c r="C709" s="1013" t="s">
        <v>245</v>
      </c>
      <c r="D709" s="1013">
        <v>0</v>
      </c>
      <c r="E709" s="1013" t="s">
        <v>22698</v>
      </c>
      <c r="F709" s="1013">
        <v>22</v>
      </c>
      <c r="G709" s="1932" t="str">
        <f>+VLOOKUP(F709,TT_Tabelle_Riferimento!$D$127:$G$164,4,FALSE)</f>
        <v>Impianti di depurazione – trattamenti sino al secondario</v>
      </c>
      <c r="H709" s="1013">
        <v>1</v>
      </c>
      <c r="I709" s="1932" t="str">
        <f>+VLOOKUP(H709,TT_Tabelle_Riferimento!$F$3:$G$6,2,FALSE)</f>
        <v>Servizio idrico integrato</v>
      </c>
      <c r="J709" s="1013">
        <v>2028</v>
      </c>
      <c r="K709" s="2335">
        <f>+SUMIFS('PdI-crono_inv'!BG:BG,'PdI-crono_inv'!CF:CF,F709,'PdI-crono_inv'!CE:CE,H709,'PdI-crono_inv'!J:J,P709,'PdI-crono_inv'!P:P,"&lt;&gt;proprietario")</f>
        <v>0</v>
      </c>
      <c r="M709" s="2335">
        <f>+SUMIFS('PdI-crono_inv'!BH:BH,'PdI-crono_inv'!CF:CF,F709,'PdI-crono_inv'!CE:CE,H709,'PdI-crono_inv'!J:J,P709,'PdI-crono_inv'!P:P,"&lt;&gt;proprietario")+S709</f>
        <v>0</v>
      </c>
      <c r="P709" s="1013" t="s">
        <v>25486</v>
      </c>
      <c r="Q709" s="1932" t="str">
        <f>+VLOOKUP(F709,TT_Tabelle_Riferimento!$D$127:$E$164,2,FALSE)</f>
        <v>Depurazione</v>
      </c>
      <c r="R709" s="1932" t="str">
        <f t="shared" si="62"/>
        <v/>
      </c>
      <c r="S709" s="2335">
        <f t="shared" si="59"/>
        <v>0</v>
      </c>
    </row>
    <row r="710" spans="1:19">
      <c r="A710" s="1932">
        <f t="shared" si="60"/>
        <v>0</v>
      </c>
      <c r="B710" s="1932">
        <f t="shared" si="61"/>
        <v>0</v>
      </c>
      <c r="C710" s="1013" t="s">
        <v>245</v>
      </c>
      <c r="D710" s="1013">
        <v>0</v>
      </c>
      <c r="E710" s="1013" t="s">
        <v>22698</v>
      </c>
      <c r="F710" s="1013">
        <v>23</v>
      </c>
      <c r="G710" s="1932" t="str">
        <f>+VLOOKUP(F710,TT_Tabelle_Riferimento!$D$127:$G$164,4,FALSE)</f>
        <v>Impianti di depurazione – trattamenti sino al terziario e terziario avanzato</v>
      </c>
      <c r="H710" s="1013">
        <v>1</v>
      </c>
      <c r="I710" s="1932" t="str">
        <f>+VLOOKUP(H710,TT_Tabelle_Riferimento!$F$3:$G$6,2,FALSE)</f>
        <v>Servizio idrico integrato</v>
      </c>
      <c r="J710" s="1013">
        <v>2028</v>
      </c>
      <c r="K710" s="2335">
        <f>+SUMIFS('PdI-crono_inv'!BG:BG,'PdI-crono_inv'!CF:CF,F710,'PdI-crono_inv'!CE:CE,H710,'PdI-crono_inv'!J:J,P710,'PdI-crono_inv'!P:P,"&lt;&gt;proprietario")</f>
        <v>0</v>
      </c>
      <c r="M710" s="2335">
        <f>+SUMIFS('PdI-crono_inv'!BH:BH,'PdI-crono_inv'!CF:CF,F710,'PdI-crono_inv'!CE:CE,H710,'PdI-crono_inv'!J:J,P710,'PdI-crono_inv'!P:P,"&lt;&gt;proprietario")+S710</f>
        <v>0</v>
      </c>
      <c r="P710" s="1013" t="s">
        <v>25486</v>
      </c>
      <c r="Q710" s="1932" t="str">
        <f>+VLOOKUP(F710,TT_Tabelle_Riferimento!$D$127:$E$164,2,FALSE)</f>
        <v>Depurazione</v>
      </c>
      <c r="R710" s="1932" t="str">
        <f t="shared" si="62"/>
        <v/>
      </c>
      <c r="S710" s="2335">
        <f t="shared" si="59"/>
        <v>0</v>
      </c>
    </row>
    <row r="711" spans="1:19">
      <c r="A711" s="1932">
        <f t="shared" si="60"/>
        <v>0</v>
      </c>
      <c r="B711" s="1932">
        <f t="shared" si="61"/>
        <v>0</v>
      </c>
      <c r="C711" s="1013" t="s">
        <v>245</v>
      </c>
      <c r="D711" s="1013">
        <v>0</v>
      </c>
      <c r="E711" s="1013" t="s">
        <v>22698</v>
      </c>
      <c r="F711" s="1013">
        <v>24</v>
      </c>
      <c r="G711" s="1932" t="str">
        <f>+VLOOKUP(F711,TT_Tabelle_Riferimento!$D$127:$G$164,4,FALSE)</f>
        <v>Impianti di essiccamento fanghi e di valorizzazione dei fanghi (tra cui mono-incenerimento, pirolisi, gassificazione)</v>
      </c>
      <c r="H711" s="1013">
        <v>1</v>
      </c>
      <c r="I711" s="1932" t="str">
        <f>+VLOOKUP(H711,TT_Tabelle_Riferimento!$F$3:$G$6,2,FALSE)</f>
        <v>Servizio idrico integrato</v>
      </c>
      <c r="J711" s="1013">
        <v>2028</v>
      </c>
      <c r="K711" s="2335">
        <f>+SUMIFS('PdI-crono_inv'!BG:BG,'PdI-crono_inv'!CF:CF,F711,'PdI-crono_inv'!CE:CE,H711,'PdI-crono_inv'!J:J,P711,'PdI-crono_inv'!P:P,"&lt;&gt;proprietario")</f>
        <v>0</v>
      </c>
      <c r="M711" s="2335">
        <f>+SUMIFS('PdI-crono_inv'!BH:BH,'PdI-crono_inv'!CF:CF,F711,'PdI-crono_inv'!CE:CE,H711,'PdI-crono_inv'!J:J,P711,'PdI-crono_inv'!P:P,"&lt;&gt;proprietario")+S711</f>
        <v>0</v>
      </c>
      <c r="P711" s="1013" t="s">
        <v>25486</v>
      </c>
      <c r="Q711" s="1932" t="str">
        <f>+VLOOKUP(F711,TT_Tabelle_Riferimento!$D$127:$E$164,2,FALSE)</f>
        <v>Depurazione</v>
      </c>
      <c r="R711" s="1932" t="str">
        <f t="shared" si="62"/>
        <v/>
      </c>
      <c r="S711" s="2335">
        <f t="shared" ref="S711:S774" si="63">+IFERROR(HLOOKUP(J711,$X$2:$Y$5,4,FALSE)*K711,0)</f>
        <v>0</v>
      </c>
    </row>
    <row r="712" spans="1:19">
      <c r="A712" s="1932">
        <f t="shared" si="60"/>
        <v>0</v>
      </c>
      <c r="B712" s="1932">
        <f t="shared" si="61"/>
        <v>0</v>
      </c>
      <c r="C712" s="1013" t="s">
        <v>245</v>
      </c>
      <c r="D712" s="1013">
        <v>0</v>
      </c>
      <c r="E712" s="1013" t="s">
        <v>22698</v>
      </c>
      <c r="F712" s="1013">
        <v>25</v>
      </c>
      <c r="G712" s="1932" t="str">
        <f>+VLOOKUP(F712,TT_Tabelle_Riferimento!$D$127:$G$164,4,FALSE)</f>
        <v>Gruppi di misura - altre attrezzature di depurazione</v>
      </c>
      <c r="H712" s="1013">
        <v>1</v>
      </c>
      <c r="I712" s="1932" t="str">
        <f>+VLOOKUP(H712,TT_Tabelle_Riferimento!$F$3:$G$6,2,FALSE)</f>
        <v>Servizio idrico integrato</v>
      </c>
      <c r="J712" s="1013">
        <v>2028</v>
      </c>
      <c r="K712" s="2335">
        <f>+SUMIFS('PdI-crono_inv'!BG:BG,'PdI-crono_inv'!CF:CF,F712,'PdI-crono_inv'!CE:CE,H712,'PdI-crono_inv'!J:J,P712,'PdI-crono_inv'!P:P,"&lt;&gt;proprietario")</f>
        <v>0</v>
      </c>
      <c r="M712" s="2335">
        <f>+SUMIFS('PdI-crono_inv'!BH:BH,'PdI-crono_inv'!CF:CF,F712,'PdI-crono_inv'!CE:CE,H712,'PdI-crono_inv'!J:J,P712,'PdI-crono_inv'!P:P,"&lt;&gt;proprietario")+S712</f>
        <v>0</v>
      </c>
      <c r="P712" s="1013" t="s">
        <v>25486</v>
      </c>
      <c r="Q712" s="1932" t="str">
        <f>+VLOOKUP(F712,TT_Tabelle_Riferimento!$D$127:$E$164,2,FALSE)</f>
        <v>Depurazione</v>
      </c>
      <c r="R712" s="1932" t="str">
        <f t="shared" si="62"/>
        <v/>
      </c>
      <c r="S712" s="2335">
        <f t="shared" si="63"/>
        <v>0</v>
      </c>
    </row>
    <row r="713" spans="1:19">
      <c r="A713" s="1932">
        <f t="shared" si="60"/>
        <v>0</v>
      </c>
      <c r="B713" s="1932">
        <f t="shared" si="61"/>
        <v>0</v>
      </c>
      <c r="C713" s="1013" t="s">
        <v>245</v>
      </c>
      <c r="D713" s="1013">
        <v>0</v>
      </c>
      <c r="E713" s="1013" t="s">
        <v>22698</v>
      </c>
      <c r="F713" s="1013">
        <v>26</v>
      </c>
      <c r="G713" s="1932" t="str">
        <f>+VLOOKUP(F713,TT_Tabelle_Riferimento!$D$127:$G$164,4,FALSE)</f>
        <v>Sistemi informativi di depurazione</v>
      </c>
      <c r="H713" s="1013">
        <v>1</v>
      </c>
      <c r="I713" s="1932" t="str">
        <f>+VLOOKUP(H713,TT_Tabelle_Riferimento!$F$3:$G$6,2,FALSE)</f>
        <v>Servizio idrico integrato</v>
      </c>
      <c r="J713" s="1013">
        <v>2028</v>
      </c>
      <c r="K713" s="2335">
        <f>+SUMIFS('PdI-crono_inv'!BG:BG,'PdI-crono_inv'!CF:CF,F713,'PdI-crono_inv'!CE:CE,H713,'PdI-crono_inv'!J:J,P713,'PdI-crono_inv'!P:P,"&lt;&gt;proprietario")</f>
        <v>0</v>
      </c>
      <c r="M713" s="2335">
        <f>+SUMIFS('PdI-crono_inv'!BH:BH,'PdI-crono_inv'!CF:CF,F713,'PdI-crono_inv'!CE:CE,H713,'PdI-crono_inv'!J:J,P713,'PdI-crono_inv'!P:P,"&lt;&gt;proprietario")+S713</f>
        <v>0</v>
      </c>
      <c r="P713" s="1013" t="s">
        <v>25486</v>
      </c>
      <c r="Q713" s="1932" t="str">
        <f>+VLOOKUP(F713,TT_Tabelle_Riferimento!$D$127:$E$164,2,FALSE)</f>
        <v>Depurazione</v>
      </c>
      <c r="R713" s="1932" t="str">
        <f t="shared" si="62"/>
        <v/>
      </c>
      <c r="S713" s="2335">
        <f t="shared" si="63"/>
        <v>0</v>
      </c>
    </row>
    <row r="714" spans="1:19">
      <c r="A714" s="1932">
        <f t="shared" si="60"/>
        <v>0</v>
      </c>
      <c r="B714" s="1932">
        <f t="shared" si="61"/>
        <v>0</v>
      </c>
      <c r="C714" s="1013" t="s">
        <v>245</v>
      </c>
      <c r="D714" s="1013">
        <v>0</v>
      </c>
      <c r="E714" s="1013" t="s">
        <v>22698</v>
      </c>
      <c r="F714" s="1013">
        <v>27</v>
      </c>
      <c r="G714" s="1932" t="str">
        <f>+VLOOKUP(F714,TT_Tabelle_Riferimento!$D$127:$G$164,4,FALSE)</f>
        <v>Telecontrollo e teletrasmissione di depurazione</v>
      </c>
      <c r="H714" s="1013">
        <v>1</v>
      </c>
      <c r="I714" s="1932" t="str">
        <f>+VLOOKUP(H714,TT_Tabelle_Riferimento!$F$3:$G$6,2,FALSE)</f>
        <v>Servizio idrico integrato</v>
      </c>
      <c r="J714" s="1013">
        <v>2028</v>
      </c>
      <c r="K714" s="2335">
        <f>+SUMIFS('PdI-crono_inv'!BG:BG,'PdI-crono_inv'!CF:CF,F714,'PdI-crono_inv'!CE:CE,H714,'PdI-crono_inv'!J:J,P714,'PdI-crono_inv'!P:P,"&lt;&gt;proprietario")</f>
        <v>0</v>
      </c>
      <c r="M714" s="2335">
        <f>+SUMIFS('PdI-crono_inv'!BH:BH,'PdI-crono_inv'!CF:CF,F714,'PdI-crono_inv'!CE:CE,H714,'PdI-crono_inv'!J:J,P714,'PdI-crono_inv'!P:P,"&lt;&gt;proprietario")+S714</f>
        <v>0</v>
      </c>
      <c r="P714" s="1013" t="s">
        <v>25486</v>
      </c>
      <c r="Q714" s="1932" t="str">
        <f>+VLOOKUP(F714,TT_Tabelle_Riferimento!$D$127:$E$164,2,FALSE)</f>
        <v>Depurazione</v>
      </c>
      <c r="R714" s="1932" t="str">
        <f t="shared" si="62"/>
        <v/>
      </c>
      <c r="S714" s="2335">
        <f t="shared" si="63"/>
        <v>0</v>
      </c>
    </row>
    <row r="715" spans="1:19">
      <c r="A715" s="1932">
        <f t="shared" si="60"/>
        <v>0</v>
      </c>
      <c r="B715" s="1932">
        <f t="shared" si="61"/>
        <v>0</v>
      </c>
      <c r="C715" s="1013" t="s">
        <v>245</v>
      </c>
      <c r="D715" s="1013">
        <v>0</v>
      </c>
      <c r="E715" s="1013" t="s">
        <v>22698</v>
      </c>
      <c r="F715" s="1013">
        <v>28</v>
      </c>
      <c r="G715" s="1932" t="str">
        <f>+VLOOKUP(F715,TT_Tabelle_Riferimento!$D$127:$G$164,4,FALSE)</f>
        <v>Altri impianti</v>
      </c>
      <c r="H715" s="1013">
        <v>1</v>
      </c>
      <c r="I715" s="1932" t="str">
        <f>+VLOOKUP(H715,TT_Tabelle_Riferimento!$F$3:$G$6,2,FALSE)</f>
        <v>Servizio idrico integrato</v>
      </c>
      <c r="J715" s="1013">
        <v>2028</v>
      </c>
      <c r="K715" s="2335">
        <f>+SUMIFS('PdI-crono_inv'!BG:BG,'PdI-crono_inv'!CF:CF,F715,'PdI-crono_inv'!CE:CE,H715,'PdI-crono_inv'!J:J,P715,'PdI-crono_inv'!P:P,"&lt;&gt;proprietario")</f>
        <v>0</v>
      </c>
      <c r="M715" s="2335">
        <f>+SUMIFS('PdI-crono_inv'!BH:BH,'PdI-crono_inv'!CF:CF,F715,'PdI-crono_inv'!CE:CE,H715,'PdI-crono_inv'!J:J,P715,'PdI-crono_inv'!P:P,"&lt;&gt;proprietario")+S715</f>
        <v>0</v>
      </c>
      <c r="P715" s="1013" t="s">
        <v>25486</v>
      </c>
      <c r="Q715" s="1932" t="str">
        <f>+VLOOKUP(F715,TT_Tabelle_Riferimento!$D$127:$E$164,2,FALSE)</f>
        <v>Comune</v>
      </c>
      <c r="R715" s="1932" t="str">
        <f t="shared" si="62"/>
        <v/>
      </c>
      <c r="S715" s="2335">
        <f t="shared" si="63"/>
        <v>0</v>
      </c>
    </row>
    <row r="716" spans="1:19">
      <c r="A716" s="1932">
        <f t="shared" ref="A716:A724" si="64">+idato</f>
        <v>0</v>
      </c>
      <c r="B716" s="1932">
        <f t="shared" ref="B716:B724" si="65">+idgestore</f>
        <v>0</v>
      </c>
      <c r="C716" s="1013" t="s">
        <v>245</v>
      </c>
      <c r="D716" s="1013">
        <v>0</v>
      </c>
      <c r="E716" s="1013" t="s">
        <v>22698</v>
      </c>
      <c r="F716" s="1013">
        <v>29</v>
      </c>
      <c r="G716" s="1932" t="str">
        <f>+VLOOKUP(F716,TT_Tabelle_Riferimento!$D$127:$G$164,4,FALSE)</f>
        <v>Laboratori e attrezzature</v>
      </c>
      <c r="H716" s="1013">
        <v>1</v>
      </c>
      <c r="I716" s="1932" t="str">
        <f>+VLOOKUP(H716,TT_Tabelle_Riferimento!$F$3:$G$6,2,FALSE)</f>
        <v>Servizio idrico integrato</v>
      </c>
      <c r="J716" s="1013">
        <v>2028</v>
      </c>
      <c r="K716" s="2335">
        <f>+SUMIFS('PdI-crono_inv'!BG:BG,'PdI-crono_inv'!CF:CF,F716,'PdI-crono_inv'!CE:CE,H716,'PdI-crono_inv'!J:J,P716,'PdI-crono_inv'!P:P,"&lt;&gt;proprietario")</f>
        <v>0</v>
      </c>
      <c r="M716" s="2335">
        <f>+SUMIFS('PdI-crono_inv'!BH:BH,'PdI-crono_inv'!CF:CF,F716,'PdI-crono_inv'!CE:CE,H716,'PdI-crono_inv'!J:J,P716,'PdI-crono_inv'!P:P,"&lt;&gt;proprietario")+S716</f>
        <v>0</v>
      </c>
      <c r="P716" s="1013" t="s">
        <v>25486</v>
      </c>
      <c r="Q716" s="1932" t="str">
        <f>+VLOOKUP(F716,TT_Tabelle_Riferimento!$D$127:$E$164,2,FALSE)</f>
        <v>Comune</v>
      </c>
      <c r="R716" s="1932" t="str">
        <f t="shared" si="62"/>
        <v/>
      </c>
      <c r="S716" s="2335">
        <f t="shared" si="63"/>
        <v>0</v>
      </c>
    </row>
    <row r="717" spans="1:19">
      <c r="A717" s="1932">
        <f t="shared" si="64"/>
        <v>0</v>
      </c>
      <c r="B717" s="1932">
        <f t="shared" si="65"/>
        <v>0</v>
      </c>
      <c r="C717" s="1013" t="s">
        <v>245</v>
      </c>
      <c r="D717" s="1013">
        <v>0</v>
      </c>
      <c r="E717" s="1013" t="s">
        <v>22698</v>
      </c>
      <c r="F717" s="1013">
        <v>30</v>
      </c>
      <c r="G717" s="1932" t="str">
        <f>+VLOOKUP(F717,TT_Tabelle_Riferimento!$D$127:$G$164,4,FALSE)</f>
        <v>Sistemi informativi</v>
      </c>
      <c r="H717" s="1013">
        <v>1</v>
      </c>
      <c r="I717" s="1932" t="str">
        <f>+VLOOKUP(H717,TT_Tabelle_Riferimento!$F$3:$G$6,2,FALSE)</f>
        <v>Servizio idrico integrato</v>
      </c>
      <c r="J717" s="1013">
        <v>2028</v>
      </c>
      <c r="K717" s="2335">
        <f>+SUMIFS('PdI-crono_inv'!BG:BG,'PdI-crono_inv'!CF:CF,F717,'PdI-crono_inv'!CE:CE,H717,'PdI-crono_inv'!J:J,P717,'PdI-crono_inv'!P:P,"&lt;&gt;proprietario")</f>
        <v>0</v>
      </c>
      <c r="M717" s="2335">
        <f>+SUMIFS('PdI-crono_inv'!BH:BH,'PdI-crono_inv'!CF:CF,F717,'PdI-crono_inv'!CE:CE,H717,'PdI-crono_inv'!J:J,P717,'PdI-crono_inv'!P:P,"&lt;&gt;proprietario")+S717</f>
        <v>0</v>
      </c>
      <c r="P717" s="1013" t="s">
        <v>25486</v>
      </c>
      <c r="Q717" s="1932" t="str">
        <f>+VLOOKUP(F717,TT_Tabelle_Riferimento!$D$127:$E$164,2,FALSE)</f>
        <v>Comune</v>
      </c>
      <c r="R717" s="1932" t="str">
        <f t="shared" si="62"/>
        <v/>
      </c>
      <c r="S717" s="2335">
        <f t="shared" si="63"/>
        <v>0</v>
      </c>
    </row>
    <row r="718" spans="1:19">
      <c r="A718" s="1932">
        <f t="shared" si="64"/>
        <v>0</v>
      </c>
      <c r="B718" s="1932">
        <f t="shared" si="65"/>
        <v>0</v>
      </c>
      <c r="C718" s="1013" t="s">
        <v>245</v>
      </c>
      <c r="D718" s="1013">
        <v>0</v>
      </c>
      <c r="E718" s="1013" t="s">
        <v>22698</v>
      </c>
      <c r="F718" s="1013">
        <v>31</v>
      </c>
      <c r="G718" s="1932" t="str">
        <f>+VLOOKUP(F718,TT_Tabelle_Riferimento!$D$127:$G$164,4,FALSE)</f>
        <v>Telecontrollo e teletrasmissione</v>
      </c>
      <c r="H718" s="1013">
        <v>1</v>
      </c>
      <c r="I718" s="1932" t="str">
        <f>+VLOOKUP(H718,TT_Tabelle_Riferimento!$F$3:$G$6,2,FALSE)</f>
        <v>Servizio idrico integrato</v>
      </c>
      <c r="J718" s="1013">
        <v>2028</v>
      </c>
      <c r="K718" s="2335">
        <f>+SUMIFS('PdI-crono_inv'!BG:BG,'PdI-crono_inv'!CF:CF,F718,'PdI-crono_inv'!CE:CE,H718,'PdI-crono_inv'!J:J,P718,'PdI-crono_inv'!P:P,"&lt;&gt;proprietario")</f>
        <v>0</v>
      </c>
      <c r="M718" s="2335">
        <f>+SUMIFS('PdI-crono_inv'!BH:BH,'PdI-crono_inv'!CF:CF,F718,'PdI-crono_inv'!CE:CE,H718,'PdI-crono_inv'!J:J,P718,'PdI-crono_inv'!P:P,"&lt;&gt;proprietario")+S718</f>
        <v>0</v>
      </c>
      <c r="P718" s="1013" t="s">
        <v>25486</v>
      </c>
      <c r="Q718" s="1932" t="str">
        <f>+VLOOKUP(F718,TT_Tabelle_Riferimento!$D$127:$E$164,2,FALSE)</f>
        <v>Comune</v>
      </c>
      <c r="R718" s="1932" t="str">
        <f t="shared" si="62"/>
        <v/>
      </c>
      <c r="S718" s="2335">
        <f t="shared" si="63"/>
        <v>0</v>
      </c>
    </row>
    <row r="719" spans="1:19">
      <c r="A719" s="1932">
        <f t="shared" si="64"/>
        <v>0</v>
      </c>
      <c r="B719" s="1932">
        <f t="shared" si="65"/>
        <v>0</v>
      </c>
      <c r="C719" s="1013" t="s">
        <v>245</v>
      </c>
      <c r="D719" s="1013">
        <v>0</v>
      </c>
      <c r="E719" s="1013" t="s">
        <v>22698</v>
      </c>
      <c r="F719" s="1013">
        <v>32</v>
      </c>
      <c r="G719" s="1932" t="str">
        <f>+VLOOKUP(F719,TT_Tabelle_Riferimento!$D$127:$G$164,4,FALSE)</f>
        <v>Autoveicoli - automezzi</v>
      </c>
      <c r="H719" s="1013">
        <v>1</v>
      </c>
      <c r="I719" s="1932" t="str">
        <f>+VLOOKUP(H719,TT_Tabelle_Riferimento!$F$3:$G$6,2,FALSE)</f>
        <v>Servizio idrico integrato</v>
      </c>
      <c r="J719" s="1013">
        <v>2028</v>
      </c>
      <c r="K719" s="2335">
        <f>+SUMIFS('PdI-crono_inv'!BG:BG,'PdI-crono_inv'!CF:CF,F719,'PdI-crono_inv'!CE:CE,H719,'PdI-crono_inv'!J:J,P719,'PdI-crono_inv'!P:P,"&lt;&gt;proprietario")</f>
        <v>0</v>
      </c>
      <c r="M719" s="2335">
        <f>+SUMIFS('PdI-crono_inv'!BH:BH,'PdI-crono_inv'!CF:CF,F719,'PdI-crono_inv'!CE:CE,H719,'PdI-crono_inv'!J:J,P719,'PdI-crono_inv'!P:P,"&lt;&gt;proprietario")+S719</f>
        <v>0</v>
      </c>
      <c r="P719" s="1013" t="s">
        <v>25486</v>
      </c>
      <c r="Q719" s="1932" t="str">
        <f>+VLOOKUP(F719,TT_Tabelle_Riferimento!$D$127:$E$164,2,FALSE)</f>
        <v>Comune</v>
      </c>
      <c r="R719" s="1932" t="str">
        <f t="shared" si="62"/>
        <v/>
      </c>
      <c r="S719" s="2335">
        <f t="shared" si="63"/>
        <v>0</v>
      </c>
    </row>
    <row r="720" spans="1:19">
      <c r="A720" s="1932">
        <f t="shared" si="64"/>
        <v>0</v>
      </c>
      <c r="B720" s="1932">
        <f t="shared" si="65"/>
        <v>0</v>
      </c>
      <c r="C720" s="1013" t="s">
        <v>245</v>
      </c>
      <c r="D720" s="1013">
        <v>0</v>
      </c>
      <c r="E720" s="1013" t="s">
        <v>22698</v>
      </c>
      <c r="F720" s="1013">
        <v>1</v>
      </c>
      <c r="G720" s="1932" t="str">
        <f>+VLOOKUP(F720,TT_Tabelle_Riferimento!$D$127:$G$164,4,FALSE)</f>
        <v>Terreni</v>
      </c>
      <c r="H720" s="1013">
        <v>1</v>
      </c>
      <c r="I720" s="1932" t="str">
        <f>+VLOOKUP(H720,TT_Tabelle_Riferimento!$F$3:$G$6,2,FALSE)</f>
        <v>Servizio idrico integrato</v>
      </c>
      <c r="J720" s="1013">
        <v>2028</v>
      </c>
      <c r="K720" s="2335">
        <f>+SUMIFS('PdI-crono_inv'!BG:BG,'PdI-crono_inv'!CF:CF,F720,'PdI-crono_inv'!CE:CE,H720,'PdI-crono_inv'!J:J,P720,'PdI-crono_inv'!P:P,"&lt;&gt;proprietario")</f>
        <v>0</v>
      </c>
      <c r="M720" s="2335">
        <f>+SUMIFS('PdI-crono_inv'!BH:BH,'PdI-crono_inv'!CF:CF,F720,'PdI-crono_inv'!CE:CE,H720,'PdI-crono_inv'!J:J,P720,'PdI-crono_inv'!P:P,"&lt;&gt;proprietario")+S720</f>
        <v>0</v>
      </c>
      <c r="P720" s="1013" t="s">
        <v>25486</v>
      </c>
      <c r="Q720" s="1932" t="str">
        <f>+VLOOKUP(F720,TT_Tabelle_Riferimento!$D$127:$E$164,2,FALSE)</f>
        <v>Comune</v>
      </c>
      <c r="R720" s="1932" t="str">
        <f t="shared" si="62"/>
        <v/>
      </c>
      <c r="S720" s="2335">
        <f t="shared" si="63"/>
        <v>0</v>
      </c>
    </row>
    <row r="721" spans="1:19">
      <c r="A721" s="1932">
        <f t="shared" si="64"/>
        <v>0</v>
      </c>
      <c r="B721" s="1932">
        <f t="shared" si="65"/>
        <v>0</v>
      </c>
      <c r="C721" s="1013" t="s">
        <v>245</v>
      </c>
      <c r="D721" s="1013">
        <v>0</v>
      </c>
      <c r="E721" s="1013" t="s">
        <v>22698</v>
      </c>
      <c r="F721" s="1013">
        <v>33</v>
      </c>
      <c r="G721" s="1932" t="str">
        <f>+VLOOKUP(F721,TT_Tabelle_Riferimento!$D$127:$G$164,4,FALSE)</f>
        <v>Fabbricati non industriali</v>
      </c>
      <c r="H721" s="1013">
        <v>1</v>
      </c>
      <c r="I721" s="1932" t="str">
        <f>+VLOOKUP(H721,TT_Tabelle_Riferimento!$F$3:$G$6,2,FALSE)</f>
        <v>Servizio idrico integrato</v>
      </c>
      <c r="J721" s="1013">
        <v>2028</v>
      </c>
      <c r="K721" s="2335">
        <f>+SUMIFS('PdI-crono_inv'!BG:BG,'PdI-crono_inv'!CF:CF,F721,'PdI-crono_inv'!CE:CE,H721,'PdI-crono_inv'!J:J,P721,'PdI-crono_inv'!P:P,"&lt;&gt;proprietario")</f>
        <v>0</v>
      </c>
      <c r="M721" s="2335">
        <f>+SUMIFS('PdI-crono_inv'!BH:BH,'PdI-crono_inv'!CF:CF,F721,'PdI-crono_inv'!CE:CE,H721,'PdI-crono_inv'!J:J,P721,'PdI-crono_inv'!P:P,"&lt;&gt;proprietario")+S721</f>
        <v>0</v>
      </c>
      <c r="P721" s="1013" t="s">
        <v>25486</v>
      </c>
      <c r="Q721" s="1932" t="str">
        <f>+VLOOKUP(F721,TT_Tabelle_Riferimento!$D$127:$E$164,2,FALSE)</f>
        <v>Comune</v>
      </c>
      <c r="R721" s="1932" t="str">
        <f t="shared" si="62"/>
        <v/>
      </c>
      <c r="S721" s="2335">
        <f t="shared" si="63"/>
        <v>0</v>
      </c>
    </row>
    <row r="722" spans="1:19">
      <c r="A722" s="1932">
        <f t="shared" si="64"/>
        <v>0</v>
      </c>
      <c r="B722" s="1932">
        <f t="shared" si="65"/>
        <v>0</v>
      </c>
      <c r="C722" s="1013" t="s">
        <v>245</v>
      </c>
      <c r="D722" s="1013">
        <v>0</v>
      </c>
      <c r="E722" s="1013" t="s">
        <v>22698</v>
      </c>
      <c r="F722" s="1013">
        <v>34</v>
      </c>
      <c r="G722" s="1932" t="str">
        <f>+VLOOKUP(F722,TT_Tabelle_Riferimento!$D$127:$G$164,4,FALSE)</f>
        <v>Fabbricati industriali</v>
      </c>
      <c r="H722" s="1013">
        <v>1</v>
      </c>
      <c r="I722" s="1932" t="str">
        <f>+VLOOKUP(H722,TT_Tabelle_Riferimento!$F$3:$G$6,2,FALSE)</f>
        <v>Servizio idrico integrato</v>
      </c>
      <c r="J722" s="1013">
        <v>2028</v>
      </c>
      <c r="K722" s="2335">
        <f>+SUMIFS('PdI-crono_inv'!BG:BG,'PdI-crono_inv'!CF:CF,F722,'PdI-crono_inv'!CE:CE,H722,'PdI-crono_inv'!J:J,P722,'PdI-crono_inv'!P:P,"&lt;&gt;proprietario")</f>
        <v>0</v>
      </c>
      <c r="M722" s="2335">
        <f>+SUMIFS('PdI-crono_inv'!BH:BH,'PdI-crono_inv'!CF:CF,F722,'PdI-crono_inv'!CE:CE,H722,'PdI-crono_inv'!J:J,P722,'PdI-crono_inv'!P:P,"&lt;&gt;proprietario")+S722</f>
        <v>0</v>
      </c>
      <c r="P722" s="1013" t="s">
        <v>25486</v>
      </c>
      <c r="Q722" s="1932" t="str">
        <f>+VLOOKUP(F722,TT_Tabelle_Riferimento!$D$127:$E$164,2,FALSE)</f>
        <v>Comune</v>
      </c>
      <c r="R722" s="1932" t="str">
        <f t="shared" si="62"/>
        <v/>
      </c>
      <c r="S722" s="2335">
        <f t="shared" si="63"/>
        <v>0</v>
      </c>
    </row>
    <row r="723" spans="1:19">
      <c r="A723" s="1932">
        <f t="shared" si="64"/>
        <v>0</v>
      </c>
      <c r="B723" s="1932">
        <f t="shared" si="65"/>
        <v>0</v>
      </c>
      <c r="C723" s="1013" t="s">
        <v>245</v>
      </c>
      <c r="D723" s="1013">
        <v>0</v>
      </c>
      <c r="E723" s="1013" t="s">
        <v>22698</v>
      </c>
      <c r="F723" s="1013">
        <v>35</v>
      </c>
      <c r="G723" s="1932" t="str">
        <f>+VLOOKUP(F723,TT_Tabelle_Riferimento!$D$127:$G$164,4,FALSE)</f>
        <v>Costruzioni leggere</v>
      </c>
      <c r="H723" s="1013">
        <v>1</v>
      </c>
      <c r="I723" s="1932" t="str">
        <f>+VLOOKUP(H723,TT_Tabelle_Riferimento!$F$3:$G$6,2,FALSE)</f>
        <v>Servizio idrico integrato</v>
      </c>
      <c r="J723" s="1013">
        <v>2028</v>
      </c>
      <c r="K723" s="2335">
        <f>+SUMIFS('PdI-crono_inv'!BG:BG,'PdI-crono_inv'!CF:CF,F723,'PdI-crono_inv'!CE:CE,H723,'PdI-crono_inv'!J:J,P723,'PdI-crono_inv'!P:P,"&lt;&gt;proprietario")</f>
        <v>0</v>
      </c>
      <c r="M723" s="2335">
        <f>+SUMIFS('PdI-crono_inv'!BH:BH,'PdI-crono_inv'!CF:CF,F723,'PdI-crono_inv'!CE:CE,H723,'PdI-crono_inv'!J:J,P723,'PdI-crono_inv'!P:P,"&lt;&gt;proprietario")+S723</f>
        <v>0</v>
      </c>
      <c r="P723" s="1013" t="s">
        <v>25486</v>
      </c>
      <c r="Q723" s="1932" t="str">
        <f>+VLOOKUP(F723,TT_Tabelle_Riferimento!$D$127:$E$164,2,FALSE)</f>
        <v>Comune</v>
      </c>
      <c r="R723" s="1932" t="str">
        <f t="shared" si="62"/>
        <v/>
      </c>
      <c r="S723" s="2335">
        <f t="shared" si="63"/>
        <v>0</v>
      </c>
    </row>
    <row r="724" spans="1:19">
      <c r="A724" s="1932">
        <f t="shared" si="64"/>
        <v>0</v>
      </c>
      <c r="B724" s="1932">
        <f t="shared" si="65"/>
        <v>0</v>
      </c>
      <c r="C724" s="1013" t="s">
        <v>245</v>
      </c>
      <c r="D724" s="1013">
        <v>0</v>
      </c>
      <c r="E724" s="1013" t="s">
        <v>22698</v>
      </c>
      <c r="F724" s="1013">
        <v>36</v>
      </c>
      <c r="G724" s="1932" t="str">
        <f>+VLOOKUP(F724,TT_Tabelle_Riferimento!$D$127:$G$164,4,FALSE)</f>
        <v>Studi, ricerche, brevetti, diritti di utilizzazione</v>
      </c>
      <c r="H724" s="1013">
        <v>1</v>
      </c>
      <c r="I724" s="1932" t="str">
        <f>+VLOOKUP(H724,TT_Tabelle_Riferimento!$F$3:$G$6,2,FALSE)</f>
        <v>Servizio idrico integrato</v>
      </c>
      <c r="J724" s="1013">
        <v>2028</v>
      </c>
      <c r="K724" s="2335">
        <f>+SUMIFS('PdI-crono_inv'!BG:BG,'PdI-crono_inv'!CF:CF,F724,'PdI-crono_inv'!CE:CE,H724,'PdI-crono_inv'!J:J,P724,'PdI-crono_inv'!P:P,"&lt;&gt;proprietario")</f>
        <v>0</v>
      </c>
      <c r="M724" s="2335">
        <f>+SUMIFS('PdI-crono_inv'!BH:BH,'PdI-crono_inv'!CF:CF,F724,'PdI-crono_inv'!CE:CE,H724,'PdI-crono_inv'!J:J,P724,'PdI-crono_inv'!P:P,"&lt;&gt;proprietario")+S724</f>
        <v>0</v>
      </c>
      <c r="P724" s="1013" t="s">
        <v>25486</v>
      </c>
      <c r="Q724" s="1932" t="str">
        <f>+VLOOKUP(F724,TT_Tabelle_Riferimento!$D$127:$E$164,2,FALSE)</f>
        <v>Comune</v>
      </c>
      <c r="R724" s="1932" t="str">
        <f t="shared" si="62"/>
        <v/>
      </c>
      <c r="S724" s="2335">
        <f t="shared" si="63"/>
        <v>0</v>
      </c>
    </row>
    <row r="725" spans="1:19">
      <c r="A725" s="1932">
        <v>0</v>
      </c>
      <c r="B725" s="1932">
        <v>0</v>
      </c>
      <c r="C725" s="1013" t="s">
        <v>245</v>
      </c>
      <c r="D725" s="1013">
        <v>0</v>
      </c>
      <c r="E725" s="1013" t="s">
        <v>22698</v>
      </c>
      <c r="F725" s="1013">
        <v>37</v>
      </c>
      <c r="G725" s="1932" t="str">
        <f>+VLOOKUP(F725,TT_Tabelle_Riferimento!$D$127:$G$164,4,FALSE)</f>
        <v>Altre immobilizzazioni materiali e immateriali</v>
      </c>
      <c r="H725" s="1013">
        <v>1</v>
      </c>
      <c r="I725" s="1932" t="str">
        <f>+VLOOKUP(H725,TT_Tabelle_Riferimento!$F$3:$G$6,2,FALSE)</f>
        <v>Servizio idrico integrato</v>
      </c>
      <c r="J725" s="1013">
        <v>2028</v>
      </c>
      <c r="K725" s="2335">
        <f>+SUMIFS('PdI-crono_inv'!BG:BG,'PdI-crono_inv'!CF:CF,F725,'PdI-crono_inv'!CE:CE,H725,'PdI-crono_inv'!J:J,P725,'PdI-crono_inv'!P:P,"&lt;&gt;proprietario")</f>
        <v>0</v>
      </c>
      <c r="M725" s="2335">
        <f>+SUMIFS('PdI-crono_inv'!BH:BH,'PdI-crono_inv'!CF:CF,F725,'PdI-crono_inv'!CE:CE,H725,'PdI-crono_inv'!J:J,P725,'PdI-crono_inv'!P:P,"&lt;&gt;proprietario")+S725</f>
        <v>0</v>
      </c>
      <c r="P725" s="1013" t="s">
        <v>25486</v>
      </c>
      <c r="Q725" s="1932" t="str">
        <f>+VLOOKUP(F725,TT_Tabelle_Riferimento!$D$127:$E$164,2,FALSE)</f>
        <v>Comune</v>
      </c>
      <c r="R725" s="1932" t="str">
        <f>+IF(SUM(K725:N725)=0,"","PdI_consolidamento")</f>
        <v/>
      </c>
      <c r="S725" s="2335">
        <f t="shared" si="63"/>
        <v>0</v>
      </c>
    </row>
    <row r="726" spans="1:19">
      <c r="A726" s="1932">
        <v>0</v>
      </c>
      <c r="B726" s="1932">
        <v>0</v>
      </c>
      <c r="C726" s="1013" t="s">
        <v>245</v>
      </c>
      <c r="D726" s="1013">
        <v>0</v>
      </c>
      <c r="E726" s="1013" t="s">
        <v>22698</v>
      </c>
      <c r="F726" s="1013">
        <v>38</v>
      </c>
      <c r="G726" s="1932" t="str">
        <f>+VLOOKUP(F726,TT_Tabelle_Riferimento!$D$127:$G$164,4,FALSE)</f>
        <v>Grandi dighe (sbarramenti che superano i quindici metri di altezza o che determinano un invaso superiore a 1 milione di metri cubi)</v>
      </c>
      <c r="H726" s="1013">
        <v>1</v>
      </c>
      <c r="I726" s="1932" t="str">
        <f>+VLOOKUP(H726,TT_Tabelle_Riferimento!$F$3:$G$6,2,FALSE)</f>
        <v>Servizio idrico integrato</v>
      </c>
      <c r="J726" s="1013">
        <v>2028</v>
      </c>
      <c r="K726" s="2335">
        <f>+SUMIFS('PdI-crono_inv'!BG:BG,'PdI-crono_inv'!CF:CF,F726,'PdI-crono_inv'!CE:CE,H726,'PdI-crono_inv'!J:J,P726,'PdI-crono_inv'!P:P,"&lt;&gt;proprietario")</f>
        <v>0</v>
      </c>
      <c r="M726" s="2335">
        <f>+SUMIFS('PdI-crono_inv'!BH:BH,'PdI-crono_inv'!CF:CF,F726,'PdI-crono_inv'!CE:CE,H726,'PdI-crono_inv'!J:J,P726,'PdI-crono_inv'!P:P,"&lt;&gt;proprietario")+S726</f>
        <v>0</v>
      </c>
      <c r="P726" s="1013" t="s">
        <v>25486</v>
      </c>
      <c r="Q726" s="1932" t="str">
        <f>+VLOOKUP(F726,TT_Tabelle_Riferimento!$D$127:$E$164,2,FALSE)</f>
        <v>Acquedotto</v>
      </c>
      <c r="R726" s="1932" t="str">
        <f>+IF(SUM(K726:N726)=0,"","PdI_consolidamento")</f>
        <v/>
      </c>
      <c r="S726" s="2335">
        <f t="shared" si="63"/>
        <v>0</v>
      </c>
    </row>
    <row r="727" spans="1:19">
      <c r="A727" s="1932">
        <v>0</v>
      </c>
      <c r="B727" s="1932">
        <v>0</v>
      </c>
      <c r="C727" s="1013" t="s">
        <v>245</v>
      </c>
      <c r="D727" s="1013">
        <v>0</v>
      </c>
      <c r="E727" s="1013" t="s">
        <v>22698</v>
      </c>
      <c r="F727" s="1013">
        <v>39</v>
      </c>
      <c r="G727" s="1932" t="str">
        <f>+VLOOKUP(F727,TT_Tabelle_Riferimento!$D$127:$G$164,4,FALSE)</f>
        <v>Piccole dighe (sbarramenti che non superano i quindici metri di altezza o che determinano un invaso non superiore a 1 milione di metri cubi)</v>
      </c>
      <c r="H727" s="1013">
        <v>1</v>
      </c>
      <c r="I727" s="1932" t="str">
        <f>+VLOOKUP(H727,TT_Tabelle_Riferimento!$F$3:$G$6,2,FALSE)</f>
        <v>Servizio idrico integrato</v>
      </c>
      <c r="J727" s="1013">
        <v>2028</v>
      </c>
      <c r="K727" s="2335">
        <f>+SUMIFS('PdI-crono_inv'!BG:BG,'PdI-crono_inv'!CF:CF,F727,'PdI-crono_inv'!CE:CE,H727,'PdI-crono_inv'!J:J,P727,'PdI-crono_inv'!P:P,"&lt;&gt;proprietario")</f>
        <v>0</v>
      </c>
      <c r="M727" s="2335">
        <f>+SUMIFS('PdI-crono_inv'!BH:BH,'PdI-crono_inv'!CF:CF,F727,'PdI-crono_inv'!CE:CE,H727,'PdI-crono_inv'!J:J,P727,'PdI-crono_inv'!P:P,"&lt;&gt;proprietario")+S727</f>
        <v>0</v>
      </c>
      <c r="P727" s="1013" t="s">
        <v>25486</v>
      </c>
      <c r="Q727" s="1932" t="str">
        <f>+VLOOKUP(F727,TT_Tabelle_Riferimento!$D$127:$E$164,2,FALSE)</f>
        <v>Acquedotto</v>
      </c>
      <c r="R727" s="1932" t="str">
        <f>+IF(SUM(K727:N727)=0,"","PdI_consolidamento")</f>
        <v/>
      </c>
      <c r="S727" s="2335">
        <f t="shared" si="63"/>
        <v>0</v>
      </c>
    </row>
    <row r="728" spans="1:19">
      <c r="A728" s="1932">
        <f t="shared" ref="A728:A762" si="66">+idato</f>
        <v>0</v>
      </c>
      <c r="B728" s="1932">
        <f t="shared" ref="B728:B762" si="67">+idgestore</f>
        <v>0</v>
      </c>
      <c r="C728" s="1013" t="s">
        <v>245</v>
      </c>
      <c r="D728" s="1013">
        <v>0</v>
      </c>
      <c r="E728" s="1013" t="s">
        <v>22698</v>
      </c>
      <c r="F728" s="1013">
        <v>2</v>
      </c>
      <c r="G728" s="1932" t="str">
        <f>+VLOOKUP(F728,TT_Tabelle_Riferimento!$D$127:$G$164,4,FALSE)</f>
        <v>Condotte di acquedotto</v>
      </c>
      <c r="H728" s="1013">
        <v>2</v>
      </c>
      <c r="I728" s="1932" t="str">
        <f>+VLOOKUP(H728,TT_Tabelle_Riferimento!$F$3:$G$6,2,FALSE)</f>
        <v>Fognatura bianca e pulizia / manutenzione caditoie stradali</v>
      </c>
      <c r="J728" s="1013">
        <v>2028</v>
      </c>
      <c r="K728" s="2335">
        <f>+SUMIFS('PdI-crono_inv'!BG:BG,'PdI-crono_inv'!CF:CF,F728,'PdI-crono_inv'!CE:CE,H728,'PdI-crono_inv'!J:J,P728,'PdI-crono_inv'!P:P,"&lt;&gt;proprietario")</f>
        <v>0</v>
      </c>
      <c r="M728" s="2335">
        <f>+SUMIFS('PdI-crono_inv'!BH:BH,'PdI-crono_inv'!CF:CF,F728,'PdI-crono_inv'!CE:CE,H728,'PdI-crono_inv'!J:J,P728,'PdI-crono_inv'!P:P,"&lt;&gt;proprietario")+S728</f>
        <v>0</v>
      </c>
      <c r="P728" s="1013" t="s">
        <v>25486</v>
      </c>
      <c r="Q728" s="1932" t="str">
        <f>+VLOOKUP(F728,TT_Tabelle_Riferimento!$D$127:$E$164,2,FALSE)</f>
        <v>Acquedotto</v>
      </c>
      <c r="R728" s="1932" t="str">
        <f t="shared" ref="R728:R791" si="68">+IF(SUM(K728:N728)=0,"","PdI_consolidamento")</f>
        <v/>
      </c>
      <c r="S728" s="2335">
        <f t="shared" si="63"/>
        <v>0</v>
      </c>
    </row>
    <row r="729" spans="1:19">
      <c r="A729" s="1932">
        <f t="shared" si="66"/>
        <v>0</v>
      </c>
      <c r="B729" s="1932">
        <f t="shared" si="67"/>
        <v>0</v>
      </c>
      <c r="C729" s="1013" t="s">
        <v>245</v>
      </c>
      <c r="D729" s="1013">
        <v>0</v>
      </c>
      <c r="E729" s="1013" t="s">
        <v>22698</v>
      </c>
      <c r="F729" s="1013">
        <v>3</v>
      </c>
      <c r="G729" s="1932" t="str">
        <f>+VLOOKUP(F729,TT_Tabelle_Riferimento!$D$127:$G$164,4,FALSE)</f>
        <v>Opere idrauliche fisse di acquedotto</v>
      </c>
      <c r="H729" s="1013">
        <v>2</v>
      </c>
      <c r="I729" s="1932" t="str">
        <f>+VLOOKUP(H729,TT_Tabelle_Riferimento!$F$3:$G$6,2,FALSE)</f>
        <v>Fognatura bianca e pulizia / manutenzione caditoie stradali</v>
      </c>
      <c r="J729" s="1013">
        <v>2028</v>
      </c>
      <c r="K729" s="2335">
        <f>+SUMIFS('PdI-crono_inv'!BG:BG,'PdI-crono_inv'!CF:CF,F729,'PdI-crono_inv'!CE:CE,H729,'PdI-crono_inv'!J:J,P729,'PdI-crono_inv'!P:P,"&lt;&gt;proprietario")</f>
        <v>0</v>
      </c>
      <c r="M729" s="2335">
        <f>+SUMIFS('PdI-crono_inv'!BH:BH,'PdI-crono_inv'!CF:CF,F729,'PdI-crono_inv'!CE:CE,H729,'PdI-crono_inv'!J:J,P729,'PdI-crono_inv'!P:P,"&lt;&gt;proprietario")+S729</f>
        <v>0</v>
      </c>
      <c r="P729" s="1013" t="s">
        <v>25486</v>
      </c>
      <c r="Q729" s="1932" t="str">
        <f>+VLOOKUP(F729,TT_Tabelle_Riferimento!$D$127:$E$164,2,FALSE)</f>
        <v>Acquedotto</v>
      </c>
      <c r="R729" s="1932" t="str">
        <f t="shared" si="68"/>
        <v/>
      </c>
      <c r="S729" s="2335">
        <f t="shared" si="63"/>
        <v>0</v>
      </c>
    </row>
    <row r="730" spans="1:19">
      <c r="A730" s="1932">
        <f t="shared" si="66"/>
        <v>0</v>
      </c>
      <c r="B730" s="1932">
        <f t="shared" si="67"/>
        <v>0</v>
      </c>
      <c r="C730" s="1013" t="s">
        <v>245</v>
      </c>
      <c r="D730" s="1013">
        <v>0</v>
      </c>
      <c r="E730" s="1013" t="s">
        <v>22698</v>
      </c>
      <c r="F730" s="1013">
        <v>4</v>
      </c>
      <c r="G730" s="1932" t="str">
        <f>+VLOOKUP(F730,TT_Tabelle_Riferimento!$D$127:$G$164,4,FALSE)</f>
        <v>Serbatoi</v>
      </c>
      <c r="H730" s="1013">
        <v>2</v>
      </c>
      <c r="I730" s="1932" t="str">
        <f>+VLOOKUP(H730,TT_Tabelle_Riferimento!$F$3:$G$6,2,FALSE)</f>
        <v>Fognatura bianca e pulizia / manutenzione caditoie stradali</v>
      </c>
      <c r="J730" s="1013">
        <v>2028</v>
      </c>
      <c r="K730" s="2335">
        <f>+SUMIFS('PdI-crono_inv'!BG:BG,'PdI-crono_inv'!CF:CF,F730,'PdI-crono_inv'!CE:CE,H730,'PdI-crono_inv'!J:J,P730,'PdI-crono_inv'!P:P,"&lt;&gt;proprietario")</f>
        <v>0</v>
      </c>
      <c r="M730" s="2335">
        <f>+SUMIFS('PdI-crono_inv'!BH:BH,'PdI-crono_inv'!CF:CF,F730,'PdI-crono_inv'!CE:CE,H730,'PdI-crono_inv'!J:J,P730,'PdI-crono_inv'!P:P,"&lt;&gt;proprietario")+S730</f>
        <v>0</v>
      </c>
      <c r="P730" s="1013" t="s">
        <v>25486</v>
      </c>
      <c r="Q730" s="1932" t="str">
        <f>+VLOOKUP(F730,TT_Tabelle_Riferimento!$D$127:$E$164,2,FALSE)</f>
        <v>Acquedotto</v>
      </c>
      <c r="R730" s="1932" t="str">
        <f t="shared" si="68"/>
        <v/>
      </c>
      <c r="S730" s="2335">
        <f t="shared" si="63"/>
        <v>0</v>
      </c>
    </row>
    <row r="731" spans="1:19">
      <c r="A731" s="1932">
        <f t="shared" si="66"/>
        <v>0</v>
      </c>
      <c r="B731" s="1932">
        <f t="shared" si="67"/>
        <v>0</v>
      </c>
      <c r="C731" s="1013" t="s">
        <v>245</v>
      </c>
      <c r="D731" s="1013">
        <v>0</v>
      </c>
      <c r="E731" s="1013" t="s">
        <v>22698</v>
      </c>
      <c r="F731" s="1013">
        <v>5</v>
      </c>
      <c r="G731" s="1932" t="str">
        <f>+VLOOKUP(F731,TT_Tabelle_Riferimento!$D$127:$G$164,4,FALSE)</f>
        <v>Impianti di sollevamento e pompaggio di acquedotto</v>
      </c>
      <c r="H731" s="1013">
        <v>2</v>
      </c>
      <c r="I731" s="1932" t="str">
        <f>+VLOOKUP(H731,TT_Tabelle_Riferimento!$F$3:$G$6,2,FALSE)</f>
        <v>Fognatura bianca e pulizia / manutenzione caditoie stradali</v>
      </c>
      <c r="J731" s="1013">
        <v>2028</v>
      </c>
      <c r="K731" s="2335">
        <f>+SUMIFS('PdI-crono_inv'!BG:BG,'PdI-crono_inv'!CF:CF,F731,'PdI-crono_inv'!CE:CE,H731,'PdI-crono_inv'!J:J,P731,'PdI-crono_inv'!P:P,"&lt;&gt;proprietario")</f>
        <v>0</v>
      </c>
      <c r="M731" s="2335">
        <f>+SUMIFS('PdI-crono_inv'!BH:BH,'PdI-crono_inv'!CF:CF,F731,'PdI-crono_inv'!CE:CE,H731,'PdI-crono_inv'!J:J,P731,'PdI-crono_inv'!P:P,"&lt;&gt;proprietario")+S731</f>
        <v>0</v>
      </c>
      <c r="P731" s="1013" t="s">
        <v>25486</v>
      </c>
      <c r="Q731" s="1932" t="str">
        <f>+VLOOKUP(F731,TT_Tabelle_Riferimento!$D$127:$E$164,2,FALSE)</f>
        <v>Acquedotto</v>
      </c>
      <c r="R731" s="1932" t="str">
        <f t="shared" si="68"/>
        <v/>
      </c>
      <c r="S731" s="2335">
        <f t="shared" si="63"/>
        <v>0</v>
      </c>
    </row>
    <row r="732" spans="1:19">
      <c r="A732" s="1932">
        <f t="shared" si="66"/>
        <v>0</v>
      </c>
      <c r="B732" s="1932">
        <f t="shared" si="67"/>
        <v>0</v>
      </c>
      <c r="C732" s="1013" t="s">
        <v>245</v>
      </c>
      <c r="D732" s="1013">
        <v>0</v>
      </c>
      <c r="E732" s="1013" t="s">
        <v>22698</v>
      </c>
      <c r="F732" s="1013">
        <v>6</v>
      </c>
      <c r="G732" s="1932" t="str">
        <f>+VLOOKUP(F732,TT_Tabelle_Riferimento!$D$127:$G$164,4,FALSE)</f>
        <v>Impianti di potabilizzazione</v>
      </c>
      <c r="H732" s="1013">
        <v>2</v>
      </c>
      <c r="I732" s="1932" t="str">
        <f>+VLOOKUP(H732,TT_Tabelle_Riferimento!$F$3:$G$6,2,FALSE)</f>
        <v>Fognatura bianca e pulizia / manutenzione caditoie stradali</v>
      </c>
      <c r="J732" s="1013">
        <v>2028</v>
      </c>
      <c r="K732" s="2335">
        <f>+SUMIFS('PdI-crono_inv'!BG:BG,'PdI-crono_inv'!CF:CF,F732,'PdI-crono_inv'!CE:CE,H732,'PdI-crono_inv'!J:J,P732,'PdI-crono_inv'!P:P,"&lt;&gt;proprietario")</f>
        <v>0</v>
      </c>
      <c r="M732" s="2335">
        <f>+SUMIFS('PdI-crono_inv'!BH:BH,'PdI-crono_inv'!CF:CF,F732,'PdI-crono_inv'!CE:CE,H732,'PdI-crono_inv'!J:J,P732,'PdI-crono_inv'!P:P,"&lt;&gt;proprietario")+S732</f>
        <v>0</v>
      </c>
      <c r="P732" s="1013" t="s">
        <v>25486</v>
      </c>
      <c r="Q732" s="1932" t="str">
        <f>+VLOOKUP(F732,TT_Tabelle_Riferimento!$D$127:$E$164,2,FALSE)</f>
        <v>Acquedotto</v>
      </c>
      <c r="R732" s="1932" t="str">
        <f t="shared" si="68"/>
        <v/>
      </c>
      <c r="S732" s="2335">
        <f t="shared" si="63"/>
        <v>0</v>
      </c>
    </row>
    <row r="733" spans="1:19">
      <c r="A733" s="1932">
        <f t="shared" si="66"/>
        <v>0</v>
      </c>
      <c r="B733" s="1932">
        <f t="shared" si="67"/>
        <v>0</v>
      </c>
      <c r="C733" s="1013" t="s">
        <v>245</v>
      </c>
      <c r="D733" s="1013">
        <v>0</v>
      </c>
      <c r="E733" s="1013" t="s">
        <v>22698</v>
      </c>
      <c r="F733" s="1013">
        <v>7</v>
      </c>
      <c r="G733" s="1932" t="str">
        <f>+VLOOKUP(F733,TT_Tabelle_Riferimento!$D$127:$G$164,4,FALSE)</f>
        <v>Altri trattamenti di potabilizzazione (tra cui dispositivi di disinfezione, stacciatura, filtrazione, addolcimento)</v>
      </c>
      <c r="H733" s="1013">
        <v>2</v>
      </c>
      <c r="I733" s="1932" t="str">
        <f>+VLOOKUP(H733,TT_Tabelle_Riferimento!$F$3:$G$6,2,FALSE)</f>
        <v>Fognatura bianca e pulizia / manutenzione caditoie stradali</v>
      </c>
      <c r="J733" s="1013">
        <v>2028</v>
      </c>
      <c r="K733" s="2335">
        <f>+SUMIFS('PdI-crono_inv'!BG:BG,'PdI-crono_inv'!CF:CF,F733,'PdI-crono_inv'!CE:CE,H733,'PdI-crono_inv'!J:J,P733,'PdI-crono_inv'!P:P,"&lt;&gt;proprietario")</f>
        <v>0</v>
      </c>
      <c r="M733" s="2335">
        <f>+SUMIFS('PdI-crono_inv'!BH:BH,'PdI-crono_inv'!CF:CF,F733,'PdI-crono_inv'!CE:CE,H733,'PdI-crono_inv'!J:J,P733,'PdI-crono_inv'!P:P,"&lt;&gt;proprietario")+S733</f>
        <v>0</v>
      </c>
      <c r="P733" s="1013" t="s">
        <v>25486</v>
      </c>
      <c r="Q733" s="1932" t="str">
        <f>+VLOOKUP(F733,TT_Tabelle_Riferimento!$D$127:$E$164,2,FALSE)</f>
        <v>Acquedotto</v>
      </c>
      <c r="R733" s="1932" t="str">
        <f t="shared" si="68"/>
        <v/>
      </c>
      <c r="S733" s="2335">
        <f t="shared" si="63"/>
        <v>0</v>
      </c>
    </row>
    <row r="734" spans="1:19">
      <c r="A734" s="1932">
        <f t="shared" si="66"/>
        <v>0</v>
      </c>
      <c r="B734" s="1932">
        <f t="shared" si="67"/>
        <v>0</v>
      </c>
      <c r="C734" s="1013" t="s">
        <v>245</v>
      </c>
      <c r="D734" s="1013">
        <v>0</v>
      </c>
      <c r="E734" s="1013" t="s">
        <v>22698</v>
      </c>
      <c r="F734" s="1013">
        <v>8</v>
      </c>
      <c r="G734" s="1932" t="str">
        <f>+VLOOKUP(F734,TT_Tabelle_Riferimento!$D$127:$G$164,4,FALSE)</f>
        <v>Gruppi di misura - altre attrezzature di acquedotto</v>
      </c>
      <c r="H734" s="1013">
        <v>2</v>
      </c>
      <c r="I734" s="1932" t="str">
        <f>+VLOOKUP(H734,TT_Tabelle_Riferimento!$F$3:$G$6,2,FALSE)</f>
        <v>Fognatura bianca e pulizia / manutenzione caditoie stradali</v>
      </c>
      <c r="J734" s="1013">
        <v>2028</v>
      </c>
      <c r="K734" s="2335">
        <f>+SUMIFS('PdI-crono_inv'!BG:BG,'PdI-crono_inv'!CF:CF,F734,'PdI-crono_inv'!CE:CE,H734,'PdI-crono_inv'!J:J,P734,'PdI-crono_inv'!P:P,"&lt;&gt;proprietario")</f>
        <v>0</v>
      </c>
      <c r="M734" s="2335">
        <f>+SUMIFS('PdI-crono_inv'!BH:BH,'PdI-crono_inv'!CF:CF,F734,'PdI-crono_inv'!CE:CE,H734,'PdI-crono_inv'!J:J,P734,'PdI-crono_inv'!P:P,"&lt;&gt;proprietario")+S734</f>
        <v>0</v>
      </c>
      <c r="P734" s="1013" t="s">
        <v>25486</v>
      </c>
      <c r="Q734" s="1932" t="str">
        <f>+VLOOKUP(F734,TT_Tabelle_Riferimento!$D$127:$E$164,2,FALSE)</f>
        <v>Acquedotto</v>
      </c>
      <c r="R734" s="1932" t="str">
        <f t="shared" si="68"/>
        <v/>
      </c>
      <c r="S734" s="2335">
        <f t="shared" si="63"/>
        <v>0</v>
      </c>
    </row>
    <row r="735" spans="1:19">
      <c r="A735" s="1932">
        <f t="shared" si="66"/>
        <v>0</v>
      </c>
      <c r="B735" s="1932">
        <f t="shared" si="67"/>
        <v>0</v>
      </c>
      <c r="C735" s="1013" t="s">
        <v>245</v>
      </c>
      <c r="D735" s="1013">
        <v>0</v>
      </c>
      <c r="E735" s="1013" t="s">
        <v>22698</v>
      </c>
      <c r="F735" s="1013">
        <v>9</v>
      </c>
      <c r="G735" s="1932" t="str">
        <f>+VLOOKUP(F735,TT_Tabelle_Riferimento!$D$127:$G$164,4,FALSE)</f>
        <v>Sistemi informativi di acquedotto</v>
      </c>
      <c r="H735" s="1013">
        <v>2</v>
      </c>
      <c r="I735" s="1932" t="str">
        <f>+VLOOKUP(H735,TT_Tabelle_Riferimento!$F$3:$G$6,2,FALSE)</f>
        <v>Fognatura bianca e pulizia / manutenzione caditoie stradali</v>
      </c>
      <c r="J735" s="1013">
        <v>2028</v>
      </c>
      <c r="K735" s="2335">
        <f>+SUMIFS('PdI-crono_inv'!BG:BG,'PdI-crono_inv'!CF:CF,F735,'PdI-crono_inv'!CE:CE,H735,'PdI-crono_inv'!J:J,P735,'PdI-crono_inv'!P:P,"&lt;&gt;proprietario")</f>
        <v>0</v>
      </c>
      <c r="M735" s="2335">
        <f>+SUMIFS('PdI-crono_inv'!BH:BH,'PdI-crono_inv'!CF:CF,F735,'PdI-crono_inv'!CE:CE,H735,'PdI-crono_inv'!J:J,P735,'PdI-crono_inv'!P:P,"&lt;&gt;proprietario")+S735</f>
        <v>0</v>
      </c>
      <c r="P735" s="1013" t="s">
        <v>25486</v>
      </c>
      <c r="Q735" s="1932" t="str">
        <f>+VLOOKUP(F735,TT_Tabelle_Riferimento!$D$127:$E$164,2,FALSE)</f>
        <v>Acquedotto</v>
      </c>
      <c r="R735" s="1932" t="str">
        <f t="shared" si="68"/>
        <v/>
      </c>
      <c r="S735" s="2335">
        <f t="shared" si="63"/>
        <v>0</v>
      </c>
    </row>
    <row r="736" spans="1:19">
      <c r="A736" s="1932">
        <f t="shared" si="66"/>
        <v>0</v>
      </c>
      <c r="B736" s="1932">
        <f t="shared" si="67"/>
        <v>0</v>
      </c>
      <c r="C736" s="1013" t="s">
        <v>245</v>
      </c>
      <c r="D736" s="1013">
        <v>0</v>
      </c>
      <c r="E736" s="1013" t="s">
        <v>22698</v>
      </c>
      <c r="F736" s="1013">
        <v>10</v>
      </c>
      <c r="G736" s="1932" t="str">
        <f>+VLOOKUP(F736,TT_Tabelle_Riferimento!$D$127:$G$164,4,FALSE)</f>
        <v>Telecontrollo e teletrasmissione di acquedotto</v>
      </c>
      <c r="H736" s="1013">
        <v>2</v>
      </c>
      <c r="I736" s="1932" t="str">
        <f>+VLOOKUP(H736,TT_Tabelle_Riferimento!$F$3:$G$6,2,FALSE)</f>
        <v>Fognatura bianca e pulizia / manutenzione caditoie stradali</v>
      </c>
      <c r="J736" s="1013">
        <v>2028</v>
      </c>
      <c r="K736" s="2335">
        <f>+SUMIFS('PdI-crono_inv'!BG:BG,'PdI-crono_inv'!CF:CF,F736,'PdI-crono_inv'!CE:CE,H736,'PdI-crono_inv'!J:J,P736,'PdI-crono_inv'!P:P,"&lt;&gt;proprietario")</f>
        <v>0</v>
      </c>
      <c r="M736" s="2335">
        <f>+SUMIFS('PdI-crono_inv'!BH:BH,'PdI-crono_inv'!CF:CF,F736,'PdI-crono_inv'!CE:CE,H736,'PdI-crono_inv'!J:J,P736,'PdI-crono_inv'!P:P,"&lt;&gt;proprietario")+S736</f>
        <v>0</v>
      </c>
      <c r="P736" s="1013" t="s">
        <v>25486</v>
      </c>
      <c r="Q736" s="1932" t="str">
        <f>+VLOOKUP(F736,TT_Tabelle_Riferimento!$D$127:$E$164,2,FALSE)</f>
        <v>Acquedotto</v>
      </c>
      <c r="R736" s="1932" t="str">
        <f t="shared" si="68"/>
        <v/>
      </c>
      <c r="S736" s="2335">
        <f t="shared" si="63"/>
        <v>0</v>
      </c>
    </row>
    <row r="737" spans="1:19">
      <c r="A737" s="1932">
        <f t="shared" si="66"/>
        <v>0</v>
      </c>
      <c r="B737" s="1932">
        <f t="shared" si="67"/>
        <v>0</v>
      </c>
      <c r="C737" s="1013" t="s">
        <v>245</v>
      </c>
      <c r="D737" s="1013">
        <v>0</v>
      </c>
      <c r="E737" s="1013" t="s">
        <v>22698</v>
      </c>
      <c r="F737" s="1013">
        <v>11</v>
      </c>
      <c r="G737" s="1932" t="str">
        <f>+VLOOKUP(F737,TT_Tabelle_Riferimento!$D$127:$G$164,4,FALSE)</f>
        <v>Condotte fognarie</v>
      </c>
      <c r="H737" s="1013">
        <v>2</v>
      </c>
      <c r="I737" s="1932" t="str">
        <f>+VLOOKUP(H737,TT_Tabelle_Riferimento!$F$3:$G$6,2,FALSE)</f>
        <v>Fognatura bianca e pulizia / manutenzione caditoie stradali</v>
      </c>
      <c r="J737" s="1013">
        <v>2028</v>
      </c>
      <c r="K737" s="2335">
        <f>+SUMIFS('PdI-crono_inv'!BG:BG,'PdI-crono_inv'!CF:CF,F737,'PdI-crono_inv'!CE:CE,H737,'PdI-crono_inv'!J:J,P737,'PdI-crono_inv'!P:P,"&lt;&gt;proprietario")</f>
        <v>0</v>
      </c>
      <c r="M737" s="2335">
        <f>+SUMIFS('PdI-crono_inv'!BH:BH,'PdI-crono_inv'!CF:CF,F737,'PdI-crono_inv'!CE:CE,H737,'PdI-crono_inv'!J:J,P737,'PdI-crono_inv'!P:P,"&lt;&gt;proprietario")+S737</f>
        <v>0</v>
      </c>
      <c r="P737" s="1013" t="s">
        <v>25486</v>
      </c>
      <c r="Q737" s="1932" t="str">
        <f>+VLOOKUP(F737,TT_Tabelle_Riferimento!$D$127:$E$164,2,FALSE)</f>
        <v>Fognatura</v>
      </c>
      <c r="R737" s="1932" t="str">
        <f t="shared" si="68"/>
        <v/>
      </c>
      <c r="S737" s="2335">
        <f t="shared" si="63"/>
        <v>0</v>
      </c>
    </row>
    <row r="738" spans="1:19">
      <c r="A738" s="1932">
        <f t="shared" si="66"/>
        <v>0</v>
      </c>
      <c r="B738" s="1932">
        <f t="shared" si="67"/>
        <v>0</v>
      </c>
      <c r="C738" s="1013" t="s">
        <v>245</v>
      </c>
      <c r="D738" s="1013">
        <v>0</v>
      </c>
      <c r="E738" s="1013" t="s">
        <v>22698</v>
      </c>
      <c r="F738" s="1013">
        <v>12</v>
      </c>
      <c r="G738" s="1932" t="str">
        <f>+VLOOKUP(F738,TT_Tabelle_Riferimento!$D$127:$G$164,4,FALSE)</f>
        <v>Sifoni e scaricatori di piena e altre opere idrauliche fisse di fognatura</v>
      </c>
      <c r="H738" s="1013">
        <v>2</v>
      </c>
      <c r="I738" s="1932" t="str">
        <f>+VLOOKUP(H738,TT_Tabelle_Riferimento!$F$3:$G$6,2,FALSE)</f>
        <v>Fognatura bianca e pulizia / manutenzione caditoie stradali</v>
      </c>
      <c r="J738" s="1013">
        <v>2028</v>
      </c>
      <c r="K738" s="2335">
        <f>+SUMIFS('PdI-crono_inv'!BG:BG,'PdI-crono_inv'!CF:CF,F738,'PdI-crono_inv'!CE:CE,H738,'PdI-crono_inv'!J:J,P738,'PdI-crono_inv'!P:P,"&lt;&gt;proprietario")</f>
        <v>0</v>
      </c>
      <c r="M738" s="2335">
        <f>+SUMIFS('PdI-crono_inv'!BH:BH,'PdI-crono_inv'!CF:CF,F738,'PdI-crono_inv'!CE:CE,H738,'PdI-crono_inv'!J:J,P738,'PdI-crono_inv'!P:P,"&lt;&gt;proprietario")+S738</f>
        <v>0</v>
      </c>
      <c r="P738" s="1013" t="s">
        <v>25486</v>
      </c>
      <c r="Q738" s="1932" t="str">
        <f>+VLOOKUP(F738,TT_Tabelle_Riferimento!$D$127:$E$164,2,FALSE)</f>
        <v>Fognatura</v>
      </c>
      <c r="R738" s="1932" t="str">
        <f t="shared" si="68"/>
        <v/>
      </c>
      <c r="S738" s="2335">
        <f t="shared" si="63"/>
        <v>0</v>
      </c>
    </row>
    <row r="739" spans="1:19">
      <c r="A739" s="1932">
        <f t="shared" si="66"/>
        <v>0</v>
      </c>
      <c r="B739" s="1932">
        <f t="shared" si="67"/>
        <v>0</v>
      </c>
      <c r="C739" s="1013" t="s">
        <v>245</v>
      </c>
      <c r="D739" s="1013">
        <v>0</v>
      </c>
      <c r="E739" s="1013" t="s">
        <v>22698</v>
      </c>
      <c r="F739" s="1013">
        <v>13</v>
      </c>
      <c r="G739" s="1932" t="str">
        <f>+VLOOKUP(F739,TT_Tabelle_Riferimento!$D$127:$G$164,4,FALSE)</f>
        <v>Vasche di laminazione e vasche di prima pioggia</v>
      </c>
      <c r="H739" s="1013">
        <v>2</v>
      </c>
      <c r="I739" s="1932" t="str">
        <f>+VLOOKUP(H739,TT_Tabelle_Riferimento!$F$3:$G$6,2,FALSE)</f>
        <v>Fognatura bianca e pulizia / manutenzione caditoie stradali</v>
      </c>
      <c r="J739" s="1013">
        <v>2028</v>
      </c>
      <c r="K739" s="2335">
        <f>+SUMIFS('PdI-crono_inv'!BG:BG,'PdI-crono_inv'!CF:CF,F739,'PdI-crono_inv'!CE:CE,H739,'PdI-crono_inv'!J:J,P739,'PdI-crono_inv'!P:P,"&lt;&gt;proprietario")</f>
        <v>0</v>
      </c>
      <c r="M739" s="2335">
        <f>+SUMIFS('PdI-crono_inv'!BH:BH,'PdI-crono_inv'!CF:CF,F739,'PdI-crono_inv'!CE:CE,H739,'PdI-crono_inv'!J:J,P739,'PdI-crono_inv'!P:P,"&lt;&gt;proprietario")+S739</f>
        <v>0</v>
      </c>
      <c r="P739" s="1013" t="s">
        <v>25486</v>
      </c>
      <c r="Q739" s="1932" t="str">
        <f>+VLOOKUP(F739,TT_Tabelle_Riferimento!$D$127:$E$164,2,FALSE)</f>
        <v>Fognatura</v>
      </c>
      <c r="R739" s="1932" t="str">
        <f t="shared" si="68"/>
        <v/>
      </c>
      <c r="S739" s="2335">
        <f t="shared" si="63"/>
        <v>0</v>
      </c>
    </row>
    <row r="740" spans="1:19">
      <c r="A740" s="1932">
        <f t="shared" si="66"/>
        <v>0</v>
      </c>
      <c r="B740" s="1932">
        <f t="shared" si="67"/>
        <v>0</v>
      </c>
      <c r="C740" s="1013" t="s">
        <v>245</v>
      </c>
      <c r="D740" s="1013">
        <v>0</v>
      </c>
      <c r="E740" s="1013" t="s">
        <v>22698</v>
      </c>
      <c r="F740" s="1013">
        <v>14</v>
      </c>
      <c r="G740" s="1932" t="str">
        <f>+VLOOKUP(F740,TT_Tabelle_Riferimento!$D$127:$G$164,4,FALSE)</f>
        <v>Impianti di sollevamento e pompaggio di fognatura</v>
      </c>
      <c r="H740" s="1013">
        <v>2</v>
      </c>
      <c r="I740" s="1932" t="str">
        <f>+VLOOKUP(H740,TT_Tabelle_Riferimento!$F$3:$G$6,2,FALSE)</f>
        <v>Fognatura bianca e pulizia / manutenzione caditoie stradali</v>
      </c>
      <c r="J740" s="1013">
        <v>2028</v>
      </c>
      <c r="K740" s="2335">
        <f>+SUMIFS('PdI-crono_inv'!BG:BG,'PdI-crono_inv'!CF:CF,F740,'PdI-crono_inv'!CE:CE,H740,'PdI-crono_inv'!J:J,P740,'PdI-crono_inv'!P:P,"&lt;&gt;proprietario")</f>
        <v>0</v>
      </c>
      <c r="M740" s="2335">
        <f>+SUMIFS('PdI-crono_inv'!BH:BH,'PdI-crono_inv'!CF:CF,F740,'PdI-crono_inv'!CE:CE,H740,'PdI-crono_inv'!J:J,P740,'PdI-crono_inv'!P:P,"&lt;&gt;proprietario")+S740</f>
        <v>0</v>
      </c>
      <c r="P740" s="1013" t="s">
        <v>25486</v>
      </c>
      <c r="Q740" s="1932" t="str">
        <f>+VLOOKUP(F740,TT_Tabelle_Riferimento!$D$127:$E$164,2,FALSE)</f>
        <v>Fognatura</v>
      </c>
      <c r="R740" s="1932" t="str">
        <f t="shared" si="68"/>
        <v/>
      </c>
      <c r="S740" s="2335">
        <f t="shared" si="63"/>
        <v>0</v>
      </c>
    </row>
    <row r="741" spans="1:19">
      <c r="A741" s="1932">
        <f t="shared" si="66"/>
        <v>0</v>
      </c>
      <c r="B741" s="1932">
        <f t="shared" si="67"/>
        <v>0</v>
      </c>
      <c r="C741" s="1013" t="s">
        <v>245</v>
      </c>
      <c r="D741" s="1013">
        <v>0</v>
      </c>
      <c r="E741" s="1013" t="s">
        <v>22698</v>
      </c>
      <c r="F741" s="1013">
        <v>15</v>
      </c>
      <c r="G741" s="1932" t="str">
        <f>+VLOOKUP(F741,TT_Tabelle_Riferimento!$D$127:$G$164,4,FALSE)</f>
        <v>Gruppi di misura - altre attrezzature di fognatura</v>
      </c>
      <c r="H741" s="1013">
        <v>2</v>
      </c>
      <c r="I741" s="1932" t="str">
        <f>+VLOOKUP(H741,TT_Tabelle_Riferimento!$F$3:$G$6,2,FALSE)</f>
        <v>Fognatura bianca e pulizia / manutenzione caditoie stradali</v>
      </c>
      <c r="J741" s="1013">
        <v>2028</v>
      </c>
      <c r="K741" s="2335">
        <f>+SUMIFS('PdI-crono_inv'!BG:BG,'PdI-crono_inv'!CF:CF,F741,'PdI-crono_inv'!CE:CE,H741,'PdI-crono_inv'!J:J,P741,'PdI-crono_inv'!P:P,"&lt;&gt;proprietario")</f>
        <v>0</v>
      </c>
      <c r="M741" s="2335">
        <f>+SUMIFS('PdI-crono_inv'!BH:BH,'PdI-crono_inv'!CF:CF,F741,'PdI-crono_inv'!CE:CE,H741,'PdI-crono_inv'!J:J,P741,'PdI-crono_inv'!P:P,"&lt;&gt;proprietario")+S741</f>
        <v>0</v>
      </c>
      <c r="P741" s="1013" t="s">
        <v>25486</v>
      </c>
      <c r="Q741" s="1932" t="str">
        <f>+VLOOKUP(F741,TT_Tabelle_Riferimento!$D$127:$E$164,2,FALSE)</f>
        <v>Fognatura</v>
      </c>
      <c r="R741" s="1932" t="str">
        <f t="shared" si="68"/>
        <v/>
      </c>
      <c r="S741" s="2335">
        <f t="shared" si="63"/>
        <v>0</v>
      </c>
    </row>
    <row r="742" spans="1:19">
      <c r="A742" s="1932">
        <f t="shared" si="66"/>
        <v>0</v>
      </c>
      <c r="B742" s="1932">
        <f t="shared" si="67"/>
        <v>0</v>
      </c>
      <c r="C742" s="1013" t="s">
        <v>245</v>
      </c>
      <c r="D742" s="1013">
        <v>0</v>
      </c>
      <c r="E742" s="1013" t="s">
        <v>22698</v>
      </c>
      <c r="F742" s="1013">
        <v>16</v>
      </c>
      <c r="G742" s="1932" t="str">
        <f>+VLOOKUP(F742,TT_Tabelle_Riferimento!$D$127:$G$164,4,FALSE)</f>
        <v>Sistemi informativi di fognatura</v>
      </c>
      <c r="H742" s="1013">
        <v>2</v>
      </c>
      <c r="I742" s="1932" t="str">
        <f>+VLOOKUP(H742,TT_Tabelle_Riferimento!$F$3:$G$6,2,FALSE)</f>
        <v>Fognatura bianca e pulizia / manutenzione caditoie stradali</v>
      </c>
      <c r="J742" s="1013">
        <v>2028</v>
      </c>
      <c r="K742" s="2335">
        <f>+SUMIFS('PdI-crono_inv'!BG:BG,'PdI-crono_inv'!CF:CF,F742,'PdI-crono_inv'!CE:CE,H742,'PdI-crono_inv'!J:J,P742,'PdI-crono_inv'!P:P,"&lt;&gt;proprietario")</f>
        <v>0</v>
      </c>
      <c r="M742" s="2335">
        <f>+SUMIFS('PdI-crono_inv'!BH:BH,'PdI-crono_inv'!CF:CF,F742,'PdI-crono_inv'!CE:CE,H742,'PdI-crono_inv'!J:J,P742,'PdI-crono_inv'!P:P,"&lt;&gt;proprietario")+S742</f>
        <v>0</v>
      </c>
      <c r="P742" s="1013" t="s">
        <v>25486</v>
      </c>
      <c r="Q742" s="1932" t="str">
        <f>+VLOOKUP(F742,TT_Tabelle_Riferimento!$D$127:$E$164,2,FALSE)</f>
        <v>Fognatura</v>
      </c>
      <c r="R742" s="1932" t="str">
        <f t="shared" si="68"/>
        <v/>
      </c>
      <c r="S742" s="2335">
        <f t="shared" si="63"/>
        <v>0</v>
      </c>
    </row>
    <row r="743" spans="1:19">
      <c r="A743" s="1932">
        <f t="shared" si="66"/>
        <v>0</v>
      </c>
      <c r="B743" s="1932">
        <f t="shared" si="67"/>
        <v>0</v>
      </c>
      <c r="C743" s="1013" t="s">
        <v>245</v>
      </c>
      <c r="D743" s="1013">
        <v>0</v>
      </c>
      <c r="E743" s="1013" t="s">
        <v>22698</v>
      </c>
      <c r="F743" s="1013">
        <v>18</v>
      </c>
      <c r="G743" s="1932" t="str">
        <f>+VLOOKUP(F743,TT_Tabelle_Riferimento!$D$127:$G$164,4,FALSE)</f>
        <v>Telecontrollo e teletrasmissione di fognatura</v>
      </c>
      <c r="H743" s="1013">
        <v>2</v>
      </c>
      <c r="I743" s="1932" t="str">
        <f>+VLOOKUP(H743,TT_Tabelle_Riferimento!$F$3:$G$6,2,FALSE)</f>
        <v>Fognatura bianca e pulizia / manutenzione caditoie stradali</v>
      </c>
      <c r="J743" s="1013">
        <v>2028</v>
      </c>
      <c r="K743" s="2335">
        <f>+SUMIFS('PdI-crono_inv'!BG:BG,'PdI-crono_inv'!CF:CF,F743,'PdI-crono_inv'!CE:CE,H743,'PdI-crono_inv'!J:J,P743,'PdI-crono_inv'!P:P,"&lt;&gt;proprietario")</f>
        <v>0</v>
      </c>
      <c r="M743" s="2335">
        <f>+SUMIFS('PdI-crono_inv'!BH:BH,'PdI-crono_inv'!CF:CF,F743,'PdI-crono_inv'!CE:CE,H743,'PdI-crono_inv'!J:J,P743,'PdI-crono_inv'!P:P,"&lt;&gt;proprietario")+S743</f>
        <v>0</v>
      </c>
      <c r="P743" s="1013" t="s">
        <v>25486</v>
      </c>
      <c r="Q743" s="1932" t="str">
        <f>+VLOOKUP(F743,TT_Tabelle_Riferimento!$D$127:$E$164,2,FALSE)</f>
        <v>Fognatura</v>
      </c>
      <c r="R743" s="1932" t="str">
        <f t="shared" si="68"/>
        <v/>
      </c>
      <c r="S743" s="2335">
        <f t="shared" si="63"/>
        <v>0</v>
      </c>
    </row>
    <row r="744" spans="1:19">
      <c r="A744" s="1932">
        <f t="shared" si="66"/>
        <v>0</v>
      </c>
      <c r="B744" s="1932">
        <f t="shared" si="67"/>
        <v>0</v>
      </c>
      <c r="C744" s="1013" t="s">
        <v>245</v>
      </c>
      <c r="D744" s="1013">
        <v>0</v>
      </c>
      <c r="E744" s="1013" t="s">
        <v>22698</v>
      </c>
      <c r="F744" s="1013">
        <v>19</v>
      </c>
      <c r="G744" s="1932" t="str">
        <f>+VLOOKUP(F744,TT_Tabelle_Riferimento!$D$127:$G$164,4,FALSE)</f>
        <v>Impianti di sollevamento e pompaggio di depurazione</v>
      </c>
      <c r="H744" s="1013">
        <v>2</v>
      </c>
      <c r="I744" s="1932" t="str">
        <f>+VLOOKUP(H744,TT_Tabelle_Riferimento!$F$3:$G$6,2,FALSE)</f>
        <v>Fognatura bianca e pulizia / manutenzione caditoie stradali</v>
      </c>
      <c r="J744" s="1013">
        <v>2028</v>
      </c>
      <c r="K744" s="2335">
        <f>+SUMIFS('PdI-crono_inv'!BG:BG,'PdI-crono_inv'!CF:CF,F744,'PdI-crono_inv'!CE:CE,H744,'PdI-crono_inv'!J:J,P744,'PdI-crono_inv'!P:P,"&lt;&gt;proprietario")</f>
        <v>0</v>
      </c>
      <c r="M744" s="2335">
        <f>+SUMIFS('PdI-crono_inv'!BH:BH,'PdI-crono_inv'!CF:CF,F744,'PdI-crono_inv'!CE:CE,H744,'PdI-crono_inv'!J:J,P744,'PdI-crono_inv'!P:P,"&lt;&gt;proprietario")+S744</f>
        <v>0</v>
      </c>
      <c r="P744" s="1013" t="s">
        <v>25486</v>
      </c>
      <c r="Q744" s="1932" t="str">
        <f>+VLOOKUP(F744,TT_Tabelle_Riferimento!$D$127:$E$164,2,FALSE)</f>
        <v>Depurazione</v>
      </c>
      <c r="R744" s="1932" t="str">
        <f t="shared" si="68"/>
        <v/>
      </c>
      <c r="S744" s="2335">
        <f t="shared" si="63"/>
        <v>0</v>
      </c>
    </row>
    <row r="745" spans="1:19">
      <c r="A745" s="1932">
        <f t="shared" si="66"/>
        <v>0</v>
      </c>
      <c r="B745" s="1932">
        <f t="shared" si="67"/>
        <v>0</v>
      </c>
      <c r="C745" s="1013" t="s">
        <v>245</v>
      </c>
      <c r="D745" s="1013">
        <v>0</v>
      </c>
      <c r="E745" s="1013" t="s">
        <v>22698</v>
      </c>
      <c r="F745" s="1013">
        <v>20</v>
      </c>
      <c r="G745" s="1932" t="str">
        <f>+VLOOKUP(F745,TT_Tabelle_Riferimento!$D$127:$G$164,4,FALSE)</f>
        <v>Tecniche naturali di depurazione (tra cui fitodepurazione e lagunaggio)</v>
      </c>
      <c r="H745" s="1013">
        <v>2</v>
      </c>
      <c r="I745" s="1932" t="str">
        <f>+VLOOKUP(H745,TT_Tabelle_Riferimento!$F$3:$G$6,2,FALSE)</f>
        <v>Fognatura bianca e pulizia / manutenzione caditoie stradali</v>
      </c>
      <c r="J745" s="1013">
        <v>2028</v>
      </c>
      <c r="K745" s="2335">
        <f>+SUMIFS('PdI-crono_inv'!BG:BG,'PdI-crono_inv'!CF:CF,F745,'PdI-crono_inv'!CE:CE,H745,'PdI-crono_inv'!J:J,P745,'PdI-crono_inv'!P:P,"&lt;&gt;proprietario")</f>
        <v>0</v>
      </c>
      <c r="M745" s="2335">
        <f>+SUMIFS('PdI-crono_inv'!BH:BH,'PdI-crono_inv'!CF:CF,F745,'PdI-crono_inv'!CE:CE,H745,'PdI-crono_inv'!J:J,P745,'PdI-crono_inv'!P:P,"&lt;&gt;proprietario")+S745</f>
        <v>0</v>
      </c>
      <c r="P745" s="1013" t="s">
        <v>25486</v>
      </c>
      <c r="Q745" s="1932" t="str">
        <f>+VLOOKUP(F745,TT_Tabelle_Riferimento!$D$127:$E$164,2,FALSE)</f>
        <v>Depurazione</v>
      </c>
      <c r="R745" s="1932" t="str">
        <f t="shared" si="68"/>
        <v/>
      </c>
      <c r="S745" s="2335">
        <f t="shared" si="63"/>
        <v>0</v>
      </c>
    </row>
    <row r="746" spans="1:19">
      <c r="A746" s="1932">
        <f t="shared" si="66"/>
        <v>0</v>
      </c>
      <c r="B746" s="1932">
        <f t="shared" si="67"/>
        <v>0</v>
      </c>
      <c r="C746" s="1013" t="s">
        <v>245</v>
      </c>
      <c r="D746" s="1013">
        <v>0</v>
      </c>
      <c r="E746" s="1013" t="s">
        <v>22698</v>
      </c>
      <c r="F746" s="1013">
        <v>21</v>
      </c>
      <c r="G746" s="1932" t="str">
        <f>+VLOOKUP(F746,TT_Tabelle_Riferimento!$D$127:$G$164,4,FALSE)</f>
        <v>Impianti di depurazione – trattamenti sino al preliminare, integrativo, primario - fosse settiche e fosse Imhoff</v>
      </c>
      <c r="H746" s="1013">
        <v>2</v>
      </c>
      <c r="I746" s="1932" t="str">
        <f>+VLOOKUP(H746,TT_Tabelle_Riferimento!$F$3:$G$6,2,FALSE)</f>
        <v>Fognatura bianca e pulizia / manutenzione caditoie stradali</v>
      </c>
      <c r="J746" s="1013">
        <v>2028</v>
      </c>
      <c r="K746" s="2335">
        <f>+SUMIFS('PdI-crono_inv'!BG:BG,'PdI-crono_inv'!CF:CF,F746,'PdI-crono_inv'!CE:CE,H746,'PdI-crono_inv'!J:J,P746,'PdI-crono_inv'!P:P,"&lt;&gt;proprietario")</f>
        <v>0</v>
      </c>
      <c r="M746" s="2335">
        <f>+SUMIFS('PdI-crono_inv'!BH:BH,'PdI-crono_inv'!CF:CF,F746,'PdI-crono_inv'!CE:CE,H746,'PdI-crono_inv'!J:J,P746,'PdI-crono_inv'!P:P,"&lt;&gt;proprietario")+S746</f>
        <v>0</v>
      </c>
      <c r="P746" s="1013" t="s">
        <v>25486</v>
      </c>
      <c r="Q746" s="1932" t="str">
        <f>+VLOOKUP(F746,TT_Tabelle_Riferimento!$D$127:$E$164,2,FALSE)</f>
        <v>Depurazione</v>
      </c>
      <c r="R746" s="1932" t="str">
        <f t="shared" si="68"/>
        <v/>
      </c>
      <c r="S746" s="2335">
        <f t="shared" si="63"/>
        <v>0</v>
      </c>
    </row>
    <row r="747" spans="1:19">
      <c r="A747" s="1932">
        <f t="shared" si="66"/>
        <v>0</v>
      </c>
      <c r="B747" s="1932">
        <f t="shared" si="67"/>
        <v>0</v>
      </c>
      <c r="C747" s="1013" t="s">
        <v>245</v>
      </c>
      <c r="D747" s="1013">
        <v>0</v>
      </c>
      <c r="E747" s="1013" t="s">
        <v>22698</v>
      </c>
      <c r="F747" s="1013">
        <v>22</v>
      </c>
      <c r="G747" s="1932" t="str">
        <f>+VLOOKUP(F747,TT_Tabelle_Riferimento!$D$127:$G$164,4,FALSE)</f>
        <v>Impianti di depurazione – trattamenti sino al secondario</v>
      </c>
      <c r="H747" s="1013">
        <v>2</v>
      </c>
      <c r="I747" s="1932" t="str">
        <f>+VLOOKUP(H747,TT_Tabelle_Riferimento!$F$3:$G$6,2,FALSE)</f>
        <v>Fognatura bianca e pulizia / manutenzione caditoie stradali</v>
      </c>
      <c r="J747" s="1013">
        <v>2028</v>
      </c>
      <c r="K747" s="2335">
        <f>+SUMIFS('PdI-crono_inv'!BG:BG,'PdI-crono_inv'!CF:CF,F747,'PdI-crono_inv'!CE:CE,H747,'PdI-crono_inv'!J:J,P747,'PdI-crono_inv'!P:P,"&lt;&gt;proprietario")</f>
        <v>0</v>
      </c>
      <c r="M747" s="2335">
        <f>+SUMIFS('PdI-crono_inv'!BH:BH,'PdI-crono_inv'!CF:CF,F747,'PdI-crono_inv'!CE:CE,H747,'PdI-crono_inv'!J:J,P747,'PdI-crono_inv'!P:P,"&lt;&gt;proprietario")+S747</f>
        <v>0</v>
      </c>
      <c r="P747" s="1013" t="s">
        <v>25486</v>
      </c>
      <c r="Q747" s="1932" t="str">
        <f>+VLOOKUP(F747,TT_Tabelle_Riferimento!$D$127:$E$164,2,FALSE)</f>
        <v>Depurazione</v>
      </c>
      <c r="R747" s="1932" t="str">
        <f t="shared" si="68"/>
        <v/>
      </c>
      <c r="S747" s="2335">
        <f t="shared" si="63"/>
        <v>0</v>
      </c>
    </row>
    <row r="748" spans="1:19">
      <c r="A748" s="1932">
        <f t="shared" si="66"/>
        <v>0</v>
      </c>
      <c r="B748" s="1932">
        <f t="shared" si="67"/>
        <v>0</v>
      </c>
      <c r="C748" s="1013" t="s">
        <v>245</v>
      </c>
      <c r="D748" s="1013">
        <v>0</v>
      </c>
      <c r="E748" s="1013" t="s">
        <v>22698</v>
      </c>
      <c r="F748" s="1013">
        <v>23</v>
      </c>
      <c r="G748" s="1932" t="str">
        <f>+VLOOKUP(F748,TT_Tabelle_Riferimento!$D$127:$G$164,4,FALSE)</f>
        <v>Impianti di depurazione – trattamenti sino al terziario e terziario avanzato</v>
      </c>
      <c r="H748" s="1013">
        <v>2</v>
      </c>
      <c r="I748" s="1932" t="str">
        <f>+VLOOKUP(H748,TT_Tabelle_Riferimento!$F$3:$G$6,2,FALSE)</f>
        <v>Fognatura bianca e pulizia / manutenzione caditoie stradali</v>
      </c>
      <c r="J748" s="1013">
        <v>2028</v>
      </c>
      <c r="K748" s="2335">
        <f>+SUMIFS('PdI-crono_inv'!BG:BG,'PdI-crono_inv'!CF:CF,F748,'PdI-crono_inv'!CE:CE,H748,'PdI-crono_inv'!J:J,P748,'PdI-crono_inv'!P:P,"&lt;&gt;proprietario")</f>
        <v>0</v>
      </c>
      <c r="M748" s="2335">
        <f>+SUMIFS('PdI-crono_inv'!BH:BH,'PdI-crono_inv'!CF:CF,F748,'PdI-crono_inv'!CE:CE,H748,'PdI-crono_inv'!J:J,P748,'PdI-crono_inv'!P:P,"&lt;&gt;proprietario")+S748</f>
        <v>0</v>
      </c>
      <c r="P748" s="1013" t="s">
        <v>25486</v>
      </c>
      <c r="Q748" s="1932" t="str">
        <f>+VLOOKUP(F748,TT_Tabelle_Riferimento!$D$127:$E$164,2,FALSE)</f>
        <v>Depurazione</v>
      </c>
      <c r="R748" s="1932" t="str">
        <f t="shared" si="68"/>
        <v/>
      </c>
      <c r="S748" s="2335">
        <f t="shared" si="63"/>
        <v>0</v>
      </c>
    </row>
    <row r="749" spans="1:19">
      <c r="A749" s="1932">
        <f t="shared" si="66"/>
        <v>0</v>
      </c>
      <c r="B749" s="1932">
        <f t="shared" si="67"/>
        <v>0</v>
      </c>
      <c r="C749" s="1013" t="s">
        <v>245</v>
      </c>
      <c r="D749" s="1013">
        <v>0</v>
      </c>
      <c r="E749" s="1013" t="s">
        <v>22698</v>
      </c>
      <c r="F749" s="1013">
        <v>24</v>
      </c>
      <c r="G749" s="1932" t="str">
        <f>+VLOOKUP(F749,TT_Tabelle_Riferimento!$D$127:$G$164,4,FALSE)</f>
        <v>Impianti di essiccamento fanghi e di valorizzazione dei fanghi (tra cui mono-incenerimento, pirolisi, gassificazione)</v>
      </c>
      <c r="H749" s="1013">
        <v>2</v>
      </c>
      <c r="I749" s="1932" t="str">
        <f>+VLOOKUP(H749,TT_Tabelle_Riferimento!$F$3:$G$6,2,FALSE)</f>
        <v>Fognatura bianca e pulizia / manutenzione caditoie stradali</v>
      </c>
      <c r="J749" s="1013">
        <v>2028</v>
      </c>
      <c r="K749" s="2335">
        <f>+SUMIFS('PdI-crono_inv'!BG:BG,'PdI-crono_inv'!CF:CF,F749,'PdI-crono_inv'!CE:CE,H749,'PdI-crono_inv'!J:J,P749,'PdI-crono_inv'!P:P,"&lt;&gt;proprietario")</f>
        <v>0</v>
      </c>
      <c r="M749" s="2335">
        <f>+SUMIFS('PdI-crono_inv'!BH:BH,'PdI-crono_inv'!CF:CF,F749,'PdI-crono_inv'!CE:CE,H749,'PdI-crono_inv'!J:J,P749,'PdI-crono_inv'!P:P,"&lt;&gt;proprietario")+S749</f>
        <v>0</v>
      </c>
      <c r="P749" s="1013" t="s">
        <v>25486</v>
      </c>
      <c r="Q749" s="1932" t="str">
        <f>+VLOOKUP(F749,TT_Tabelle_Riferimento!$D$127:$E$164,2,FALSE)</f>
        <v>Depurazione</v>
      </c>
      <c r="R749" s="1932" t="str">
        <f t="shared" si="68"/>
        <v/>
      </c>
      <c r="S749" s="2335">
        <f t="shared" si="63"/>
        <v>0</v>
      </c>
    </row>
    <row r="750" spans="1:19">
      <c r="A750" s="1932">
        <f t="shared" si="66"/>
        <v>0</v>
      </c>
      <c r="B750" s="1932">
        <f t="shared" si="67"/>
        <v>0</v>
      </c>
      <c r="C750" s="1013" t="s">
        <v>245</v>
      </c>
      <c r="D750" s="1013">
        <v>0</v>
      </c>
      <c r="E750" s="1013" t="s">
        <v>22698</v>
      </c>
      <c r="F750" s="1013">
        <v>25</v>
      </c>
      <c r="G750" s="1932" t="str">
        <f>+VLOOKUP(F750,TT_Tabelle_Riferimento!$D$127:$G$164,4,FALSE)</f>
        <v>Gruppi di misura - altre attrezzature di depurazione</v>
      </c>
      <c r="H750" s="1013">
        <v>2</v>
      </c>
      <c r="I750" s="1932" t="str">
        <f>+VLOOKUP(H750,TT_Tabelle_Riferimento!$F$3:$G$6,2,FALSE)</f>
        <v>Fognatura bianca e pulizia / manutenzione caditoie stradali</v>
      </c>
      <c r="J750" s="1013">
        <v>2028</v>
      </c>
      <c r="K750" s="2335">
        <f>+SUMIFS('PdI-crono_inv'!BG:BG,'PdI-crono_inv'!CF:CF,F750,'PdI-crono_inv'!CE:CE,H750,'PdI-crono_inv'!J:J,P750,'PdI-crono_inv'!P:P,"&lt;&gt;proprietario")</f>
        <v>0</v>
      </c>
      <c r="M750" s="2335">
        <f>+SUMIFS('PdI-crono_inv'!BH:BH,'PdI-crono_inv'!CF:CF,F750,'PdI-crono_inv'!CE:CE,H750,'PdI-crono_inv'!J:J,P750,'PdI-crono_inv'!P:P,"&lt;&gt;proprietario")+S750</f>
        <v>0</v>
      </c>
      <c r="P750" s="1013" t="s">
        <v>25486</v>
      </c>
      <c r="Q750" s="1932" t="str">
        <f>+VLOOKUP(F750,TT_Tabelle_Riferimento!$D$127:$E$164,2,FALSE)</f>
        <v>Depurazione</v>
      </c>
      <c r="R750" s="1932" t="str">
        <f t="shared" si="68"/>
        <v/>
      </c>
      <c r="S750" s="2335">
        <f t="shared" si="63"/>
        <v>0</v>
      </c>
    </row>
    <row r="751" spans="1:19">
      <c r="A751" s="1932">
        <f t="shared" si="66"/>
        <v>0</v>
      </c>
      <c r="B751" s="1932">
        <f t="shared" si="67"/>
        <v>0</v>
      </c>
      <c r="C751" s="1013" t="s">
        <v>245</v>
      </c>
      <c r="D751" s="1013">
        <v>0</v>
      </c>
      <c r="E751" s="1013" t="s">
        <v>22698</v>
      </c>
      <c r="F751" s="1013">
        <v>26</v>
      </c>
      <c r="G751" s="1932" t="str">
        <f>+VLOOKUP(F751,TT_Tabelle_Riferimento!$D$127:$G$164,4,FALSE)</f>
        <v>Sistemi informativi di depurazione</v>
      </c>
      <c r="H751" s="1013">
        <v>2</v>
      </c>
      <c r="I751" s="1932" t="str">
        <f>+VLOOKUP(H751,TT_Tabelle_Riferimento!$F$3:$G$6,2,FALSE)</f>
        <v>Fognatura bianca e pulizia / manutenzione caditoie stradali</v>
      </c>
      <c r="J751" s="1013">
        <v>2028</v>
      </c>
      <c r="K751" s="2335">
        <f>+SUMIFS('PdI-crono_inv'!BG:BG,'PdI-crono_inv'!CF:CF,F751,'PdI-crono_inv'!CE:CE,H751,'PdI-crono_inv'!J:J,P751,'PdI-crono_inv'!P:P,"&lt;&gt;proprietario")</f>
        <v>0</v>
      </c>
      <c r="M751" s="2335">
        <f>+SUMIFS('PdI-crono_inv'!BH:BH,'PdI-crono_inv'!CF:CF,F751,'PdI-crono_inv'!CE:CE,H751,'PdI-crono_inv'!J:J,P751,'PdI-crono_inv'!P:P,"&lt;&gt;proprietario")+S751</f>
        <v>0</v>
      </c>
      <c r="P751" s="1013" t="s">
        <v>25486</v>
      </c>
      <c r="Q751" s="1932" t="str">
        <f>+VLOOKUP(F751,TT_Tabelle_Riferimento!$D$127:$E$164,2,FALSE)</f>
        <v>Depurazione</v>
      </c>
      <c r="R751" s="1932" t="str">
        <f t="shared" si="68"/>
        <v/>
      </c>
      <c r="S751" s="2335">
        <f t="shared" si="63"/>
        <v>0</v>
      </c>
    </row>
    <row r="752" spans="1:19">
      <c r="A752" s="1932">
        <f t="shared" si="66"/>
        <v>0</v>
      </c>
      <c r="B752" s="1932">
        <f t="shared" si="67"/>
        <v>0</v>
      </c>
      <c r="C752" s="1013" t="s">
        <v>245</v>
      </c>
      <c r="D752" s="1013">
        <v>0</v>
      </c>
      <c r="E752" s="1013" t="s">
        <v>22698</v>
      </c>
      <c r="F752" s="1013">
        <v>27</v>
      </c>
      <c r="G752" s="1932" t="str">
        <f>+VLOOKUP(F752,TT_Tabelle_Riferimento!$D$127:$G$164,4,FALSE)</f>
        <v>Telecontrollo e teletrasmissione di depurazione</v>
      </c>
      <c r="H752" s="1013">
        <v>2</v>
      </c>
      <c r="I752" s="1932" t="str">
        <f>+VLOOKUP(H752,TT_Tabelle_Riferimento!$F$3:$G$6,2,FALSE)</f>
        <v>Fognatura bianca e pulizia / manutenzione caditoie stradali</v>
      </c>
      <c r="J752" s="1013">
        <v>2028</v>
      </c>
      <c r="K752" s="2335">
        <f>+SUMIFS('PdI-crono_inv'!BG:BG,'PdI-crono_inv'!CF:CF,F752,'PdI-crono_inv'!CE:CE,H752,'PdI-crono_inv'!J:J,P752,'PdI-crono_inv'!P:P,"&lt;&gt;proprietario")</f>
        <v>0</v>
      </c>
      <c r="M752" s="2335">
        <f>+SUMIFS('PdI-crono_inv'!BH:BH,'PdI-crono_inv'!CF:CF,F752,'PdI-crono_inv'!CE:CE,H752,'PdI-crono_inv'!J:J,P752,'PdI-crono_inv'!P:P,"&lt;&gt;proprietario")+S752</f>
        <v>0</v>
      </c>
      <c r="P752" s="1013" t="s">
        <v>25486</v>
      </c>
      <c r="Q752" s="1932" t="str">
        <f>+VLOOKUP(F752,TT_Tabelle_Riferimento!$D$127:$E$164,2,FALSE)</f>
        <v>Depurazione</v>
      </c>
      <c r="R752" s="1932" t="str">
        <f t="shared" si="68"/>
        <v/>
      </c>
      <c r="S752" s="2335">
        <f t="shared" si="63"/>
        <v>0</v>
      </c>
    </row>
    <row r="753" spans="1:19">
      <c r="A753" s="1932">
        <f t="shared" si="66"/>
        <v>0</v>
      </c>
      <c r="B753" s="1932">
        <f t="shared" si="67"/>
        <v>0</v>
      </c>
      <c r="C753" s="1013" t="s">
        <v>245</v>
      </c>
      <c r="D753" s="1013">
        <v>0</v>
      </c>
      <c r="E753" s="1013" t="s">
        <v>22698</v>
      </c>
      <c r="F753" s="1013">
        <v>28</v>
      </c>
      <c r="G753" s="1932" t="str">
        <f>+VLOOKUP(F753,TT_Tabelle_Riferimento!$D$127:$G$164,4,FALSE)</f>
        <v>Altri impianti</v>
      </c>
      <c r="H753" s="1013">
        <v>2</v>
      </c>
      <c r="I753" s="1932" t="str">
        <f>+VLOOKUP(H753,TT_Tabelle_Riferimento!$F$3:$G$6,2,FALSE)</f>
        <v>Fognatura bianca e pulizia / manutenzione caditoie stradali</v>
      </c>
      <c r="J753" s="1013">
        <v>2028</v>
      </c>
      <c r="K753" s="2335">
        <f>+SUMIFS('PdI-crono_inv'!BG:BG,'PdI-crono_inv'!CF:CF,F753,'PdI-crono_inv'!CE:CE,H753,'PdI-crono_inv'!J:J,P753,'PdI-crono_inv'!P:P,"&lt;&gt;proprietario")</f>
        <v>0</v>
      </c>
      <c r="M753" s="2335">
        <f>+SUMIFS('PdI-crono_inv'!BH:BH,'PdI-crono_inv'!CF:CF,F753,'PdI-crono_inv'!CE:CE,H753,'PdI-crono_inv'!J:J,P753,'PdI-crono_inv'!P:P,"&lt;&gt;proprietario")+S753</f>
        <v>0</v>
      </c>
      <c r="P753" s="1013" t="s">
        <v>25486</v>
      </c>
      <c r="Q753" s="1932" t="str">
        <f>+VLOOKUP(F753,TT_Tabelle_Riferimento!$D$127:$E$164,2,FALSE)</f>
        <v>Comune</v>
      </c>
      <c r="R753" s="1932" t="str">
        <f t="shared" si="68"/>
        <v/>
      </c>
      <c r="S753" s="2335">
        <f t="shared" si="63"/>
        <v>0</v>
      </c>
    </row>
    <row r="754" spans="1:19">
      <c r="A754" s="1932">
        <f t="shared" si="66"/>
        <v>0</v>
      </c>
      <c r="B754" s="1932">
        <f t="shared" si="67"/>
        <v>0</v>
      </c>
      <c r="C754" s="1013" t="s">
        <v>245</v>
      </c>
      <c r="D754" s="1013">
        <v>0</v>
      </c>
      <c r="E754" s="1013" t="s">
        <v>22698</v>
      </c>
      <c r="F754" s="1013">
        <v>29</v>
      </c>
      <c r="G754" s="1932" t="str">
        <f>+VLOOKUP(F754,TT_Tabelle_Riferimento!$D$127:$G$164,4,FALSE)</f>
        <v>Laboratori e attrezzature</v>
      </c>
      <c r="H754" s="1013">
        <v>2</v>
      </c>
      <c r="I754" s="1932" t="str">
        <f>+VLOOKUP(H754,TT_Tabelle_Riferimento!$F$3:$G$6,2,FALSE)</f>
        <v>Fognatura bianca e pulizia / manutenzione caditoie stradali</v>
      </c>
      <c r="J754" s="1013">
        <v>2028</v>
      </c>
      <c r="K754" s="2335">
        <f>+SUMIFS('PdI-crono_inv'!BG:BG,'PdI-crono_inv'!CF:CF,F754,'PdI-crono_inv'!CE:CE,H754,'PdI-crono_inv'!J:J,P754,'PdI-crono_inv'!P:P,"&lt;&gt;proprietario")</f>
        <v>0</v>
      </c>
      <c r="M754" s="2335">
        <f>+SUMIFS('PdI-crono_inv'!BH:BH,'PdI-crono_inv'!CF:CF,F754,'PdI-crono_inv'!CE:CE,H754,'PdI-crono_inv'!J:J,P754,'PdI-crono_inv'!P:P,"&lt;&gt;proprietario")+S754</f>
        <v>0</v>
      </c>
      <c r="P754" s="1013" t="s">
        <v>25486</v>
      </c>
      <c r="Q754" s="1932" t="str">
        <f>+VLOOKUP(F754,TT_Tabelle_Riferimento!$D$127:$E$164,2,FALSE)</f>
        <v>Comune</v>
      </c>
      <c r="R754" s="1932" t="str">
        <f t="shared" si="68"/>
        <v/>
      </c>
      <c r="S754" s="2335">
        <f t="shared" si="63"/>
        <v>0</v>
      </c>
    </row>
    <row r="755" spans="1:19">
      <c r="A755" s="1932">
        <f t="shared" si="66"/>
        <v>0</v>
      </c>
      <c r="B755" s="1932">
        <f t="shared" si="67"/>
        <v>0</v>
      </c>
      <c r="C755" s="1013" t="s">
        <v>245</v>
      </c>
      <c r="D755" s="1013">
        <v>0</v>
      </c>
      <c r="E755" s="1013" t="s">
        <v>22698</v>
      </c>
      <c r="F755" s="1013">
        <v>30</v>
      </c>
      <c r="G755" s="1932" t="str">
        <f>+VLOOKUP(F755,TT_Tabelle_Riferimento!$D$127:$G$164,4,FALSE)</f>
        <v>Sistemi informativi</v>
      </c>
      <c r="H755" s="1013">
        <v>2</v>
      </c>
      <c r="I755" s="1932" t="str">
        <f>+VLOOKUP(H755,TT_Tabelle_Riferimento!$F$3:$G$6,2,FALSE)</f>
        <v>Fognatura bianca e pulizia / manutenzione caditoie stradali</v>
      </c>
      <c r="J755" s="1013">
        <v>2028</v>
      </c>
      <c r="K755" s="2335">
        <f>+SUMIFS('PdI-crono_inv'!BG:BG,'PdI-crono_inv'!CF:CF,F755,'PdI-crono_inv'!CE:CE,H755,'PdI-crono_inv'!J:J,P755,'PdI-crono_inv'!P:P,"&lt;&gt;proprietario")</f>
        <v>0</v>
      </c>
      <c r="M755" s="2335">
        <f>+SUMIFS('PdI-crono_inv'!BH:BH,'PdI-crono_inv'!CF:CF,F755,'PdI-crono_inv'!CE:CE,H755,'PdI-crono_inv'!J:J,P755,'PdI-crono_inv'!P:P,"&lt;&gt;proprietario")+S755</f>
        <v>0</v>
      </c>
      <c r="P755" s="1013" t="s">
        <v>25486</v>
      </c>
      <c r="Q755" s="1932" t="str">
        <f>+VLOOKUP(F755,TT_Tabelle_Riferimento!$D$127:$E$164,2,FALSE)</f>
        <v>Comune</v>
      </c>
      <c r="R755" s="1932" t="str">
        <f t="shared" si="68"/>
        <v/>
      </c>
      <c r="S755" s="2335">
        <f t="shared" si="63"/>
        <v>0</v>
      </c>
    </row>
    <row r="756" spans="1:19">
      <c r="A756" s="1932">
        <f t="shared" si="66"/>
        <v>0</v>
      </c>
      <c r="B756" s="1932">
        <f t="shared" si="67"/>
        <v>0</v>
      </c>
      <c r="C756" s="1013" t="s">
        <v>245</v>
      </c>
      <c r="D756" s="1013">
        <v>0</v>
      </c>
      <c r="E756" s="1013" t="s">
        <v>22698</v>
      </c>
      <c r="F756" s="1013">
        <v>31</v>
      </c>
      <c r="G756" s="1932" t="str">
        <f>+VLOOKUP(F756,TT_Tabelle_Riferimento!$D$127:$G$164,4,FALSE)</f>
        <v>Telecontrollo e teletrasmissione</v>
      </c>
      <c r="H756" s="1013">
        <v>2</v>
      </c>
      <c r="I756" s="1932" t="str">
        <f>+VLOOKUP(H756,TT_Tabelle_Riferimento!$F$3:$G$6,2,FALSE)</f>
        <v>Fognatura bianca e pulizia / manutenzione caditoie stradali</v>
      </c>
      <c r="J756" s="1013">
        <v>2028</v>
      </c>
      <c r="K756" s="2335">
        <f>+SUMIFS('PdI-crono_inv'!BG:BG,'PdI-crono_inv'!CF:CF,F756,'PdI-crono_inv'!CE:CE,H756,'PdI-crono_inv'!J:J,P756,'PdI-crono_inv'!P:P,"&lt;&gt;proprietario")</f>
        <v>0</v>
      </c>
      <c r="M756" s="2335">
        <f>+SUMIFS('PdI-crono_inv'!BH:BH,'PdI-crono_inv'!CF:CF,F756,'PdI-crono_inv'!CE:CE,H756,'PdI-crono_inv'!J:J,P756,'PdI-crono_inv'!P:P,"&lt;&gt;proprietario")+S756</f>
        <v>0</v>
      </c>
      <c r="P756" s="1013" t="s">
        <v>25486</v>
      </c>
      <c r="Q756" s="1932" t="str">
        <f>+VLOOKUP(F756,TT_Tabelle_Riferimento!$D$127:$E$164,2,FALSE)</f>
        <v>Comune</v>
      </c>
      <c r="R756" s="1932" t="str">
        <f t="shared" si="68"/>
        <v/>
      </c>
      <c r="S756" s="2335">
        <f t="shared" si="63"/>
        <v>0</v>
      </c>
    </row>
    <row r="757" spans="1:19">
      <c r="A757" s="1932">
        <f t="shared" si="66"/>
        <v>0</v>
      </c>
      <c r="B757" s="1932">
        <f t="shared" si="67"/>
        <v>0</v>
      </c>
      <c r="C757" s="1013" t="s">
        <v>245</v>
      </c>
      <c r="D757" s="1013">
        <v>0</v>
      </c>
      <c r="E757" s="1013" t="s">
        <v>22698</v>
      </c>
      <c r="F757" s="1013">
        <v>32</v>
      </c>
      <c r="G757" s="1932" t="str">
        <f>+VLOOKUP(F757,TT_Tabelle_Riferimento!$D$127:$G$164,4,FALSE)</f>
        <v>Autoveicoli - automezzi</v>
      </c>
      <c r="H757" s="1013">
        <v>2</v>
      </c>
      <c r="I757" s="1932" t="str">
        <f>+VLOOKUP(H757,TT_Tabelle_Riferimento!$F$3:$G$6,2,FALSE)</f>
        <v>Fognatura bianca e pulizia / manutenzione caditoie stradali</v>
      </c>
      <c r="J757" s="1013">
        <v>2028</v>
      </c>
      <c r="K757" s="2335">
        <f>+SUMIFS('PdI-crono_inv'!BG:BG,'PdI-crono_inv'!CF:CF,F757,'PdI-crono_inv'!CE:CE,H757,'PdI-crono_inv'!J:J,P757,'PdI-crono_inv'!P:P,"&lt;&gt;proprietario")</f>
        <v>0</v>
      </c>
      <c r="M757" s="2335">
        <f>+SUMIFS('PdI-crono_inv'!BH:BH,'PdI-crono_inv'!CF:CF,F757,'PdI-crono_inv'!CE:CE,H757,'PdI-crono_inv'!J:J,P757,'PdI-crono_inv'!P:P,"&lt;&gt;proprietario")+S757</f>
        <v>0</v>
      </c>
      <c r="P757" s="1013" t="s">
        <v>25486</v>
      </c>
      <c r="Q757" s="1932" t="str">
        <f>+VLOOKUP(F757,TT_Tabelle_Riferimento!$D$127:$E$164,2,FALSE)</f>
        <v>Comune</v>
      </c>
      <c r="R757" s="1932" t="str">
        <f t="shared" si="68"/>
        <v/>
      </c>
      <c r="S757" s="2335">
        <f t="shared" si="63"/>
        <v>0</v>
      </c>
    </row>
    <row r="758" spans="1:19">
      <c r="A758" s="1932">
        <f t="shared" si="66"/>
        <v>0</v>
      </c>
      <c r="B758" s="1932">
        <f t="shared" si="67"/>
        <v>0</v>
      </c>
      <c r="C758" s="1013" t="s">
        <v>245</v>
      </c>
      <c r="D758" s="1013">
        <v>0</v>
      </c>
      <c r="E758" s="1013" t="s">
        <v>22698</v>
      </c>
      <c r="F758" s="1013">
        <v>1</v>
      </c>
      <c r="G758" s="1932" t="str">
        <f>+VLOOKUP(F758,TT_Tabelle_Riferimento!$D$127:$G$164,4,FALSE)</f>
        <v>Terreni</v>
      </c>
      <c r="H758" s="1013">
        <v>2</v>
      </c>
      <c r="I758" s="1932" t="str">
        <f>+VLOOKUP(H758,TT_Tabelle_Riferimento!$F$3:$G$6,2,FALSE)</f>
        <v>Fognatura bianca e pulizia / manutenzione caditoie stradali</v>
      </c>
      <c r="J758" s="1013">
        <v>2028</v>
      </c>
      <c r="K758" s="2335">
        <f>+SUMIFS('PdI-crono_inv'!BG:BG,'PdI-crono_inv'!CF:CF,F758,'PdI-crono_inv'!CE:CE,H758,'PdI-crono_inv'!J:J,P758,'PdI-crono_inv'!P:P,"&lt;&gt;proprietario")</f>
        <v>0</v>
      </c>
      <c r="M758" s="2335">
        <f>+SUMIFS('PdI-crono_inv'!BH:BH,'PdI-crono_inv'!CF:CF,F758,'PdI-crono_inv'!CE:CE,H758,'PdI-crono_inv'!J:J,P758,'PdI-crono_inv'!P:P,"&lt;&gt;proprietario")+S758</f>
        <v>0</v>
      </c>
      <c r="P758" s="1013" t="s">
        <v>25486</v>
      </c>
      <c r="Q758" s="1932" t="str">
        <f>+VLOOKUP(F758,TT_Tabelle_Riferimento!$D$127:$E$164,2,FALSE)</f>
        <v>Comune</v>
      </c>
      <c r="R758" s="1932" t="str">
        <f t="shared" si="68"/>
        <v/>
      </c>
      <c r="S758" s="2335">
        <f t="shared" si="63"/>
        <v>0</v>
      </c>
    </row>
    <row r="759" spans="1:19">
      <c r="A759" s="1932">
        <f t="shared" si="66"/>
        <v>0</v>
      </c>
      <c r="B759" s="1932">
        <f t="shared" si="67"/>
        <v>0</v>
      </c>
      <c r="C759" s="1013" t="s">
        <v>245</v>
      </c>
      <c r="D759" s="1013">
        <v>0</v>
      </c>
      <c r="E759" s="1013" t="s">
        <v>22698</v>
      </c>
      <c r="F759" s="1013">
        <v>33</v>
      </c>
      <c r="G759" s="1932" t="str">
        <f>+VLOOKUP(F759,TT_Tabelle_Riferimento!$D$127:$G$164,4,FALSE)</f>
        <v>Fabbricati non industriali</v>
      </c>
      <c r="H759" s="1013">
        <v>2</v>
      </c>
      <c r="I759" s="1932" t="str">
        <f>+VLOOKUP(H759,TT_Tabelle_Riferimento!$F$3:$G$6,2,FALSE)</f>
        <v>Fognatura bianca e pulizia / manutenzione caditoie stradali</v>
      </c>
      <c r="J759" s="1013">
        <v>2028</v>
      </c>
      <c r="K759" s="2335">
        <f>+SUMIFS('PdI-crono_inv'!BG:BG,'PdI-crono_inv'!CF:CF,F759,'PdI-crono_inv'!CE:CE,H759,'PdI-crono_inv'!J:J,P759,'PdI-crono_inv'!P:P,"&lt;&gt;proprietario")</f>
        <v>0</v>
      </c>
      <c r="M759" s="2335">
        <f>+SUMIFS('PdI-crono_inv'!BH:BH,'PdI-crono_inv'!CF:CF,F759,'PdI-crono_inv'!CE:CE,H759,'PdI-crono_inv'!J:J,P759,'PdI-crono_inv'!P:P,"&lt;&gt;proprietario")+S759</f>
        <v>0</v>
      </c>
      <c r="P759" s="1013" t="s">
        <v>25486</v>
      </c>
      <c r="Q759" s="1932" t="str">
        <f>+VLOOKUP(F759,TT_Tabelle_Riferimento!$D$127:$E$164,2,FALSE)</f>
        <v>Comune</v>
      </c>
      <c r="R759" s="1932" t="str">
        <f t="shared" si="68"/>
        <v/>
      </c>
      <c r="S759" s="2335">
        <f t="shared" si="63"/>
        <v>0</v>
      </c>
    </row>
    <row r="760" spans="1:19">
      <c r="A760" s="1932">
        <f t="shared" si="66"/>
        <v>0</v>
      </c>
      <c r="B760" s="1932">
        <f t="shared" si="67"/>
        <v>0</v>
      </c>
      <c r="C760" s="1013" t="s">
        <v>245</v>
      </c>
      <c r="D760" s="1013">
        <v>0</v>
      </c>
      <c r="E760" s="1013" t="s">
        <v>22698</v>
      </c>
      <c r="F760" s="1013">
        <v>34</v>
      </c>
      <c r="G760" s="1932" t="str">
        <f>+VLOOKUP(F760,TT_Tabelle_Riferimento!$D$127:$G$164,4,FALSE)</f>
        <v>Fabbricati industriali</v>
      </c>
      <c r="H760" s="1013">
        <v>2</v>
      </c>
      <c r="I760" s="1932" t="str">
        <f>+VLOOKUP(H760,TT_Tabelle_Riferimento!$F$3:$G$6,2,FALSE)</f>
        <v>Fognatura bianca e pulizia / manutenzione caditoie stradali</v>
      </c>
      <c r="J760" s="1013">
        <v>2028</v>
      </c>
      <c r="K760" s="2335">
        <f>+SUMIFS('PdI-crono_inv'!BG:BG,'PdI-crono_inv'!CF:CF,F760,'PdI-crono_inv'!CE:CE,H760,'PdI-crono_inv'!J:J,P760,'PdI-crono_inv'!P:P,"&lt;&gt;proprietario")</f>
        <v>0</v>
      </c>
      <c r="M760" s="2335">
        <f>+SUMIFS('PdI-crono_inv'!BH:BH,'PdI-crono_inv'!CF:CF,F760,'PdI-crono_inv'!CE:CE,H760,'PdI-crono_inv'!J:J,P760,'PdI-crono_inv'!P:P,"&lt;&gt;proprietario")+S760</f>
        <v>0</v>
      </c>
      <c r="P760" s="1013" t="s">
        <v>25486</v>
      </c>
      <c r="Q760" s="1932" t="str">
        <f>+VLOOKUP(F760,TT_Tabelle_Riferimento!$D$127:$E$164,2,FALSE)</f>
        <v>Comune</v>
      </c>
      <c r="R760" s="1932" t="str">
        <f t="shared" si="68"/>
        <v/>
      </c>
      <c r="S760" s="2335">
        <f t="shared" si="63"/>
        <v>0</v>
      </c>
    </row>
    <row r="761" spans="1:19">
      <c r="A761" s="1932">
        <f t="shared" si="66"/>
        <v>0</v>
      </c>
      <c r="B761" s="1932">
        <f t="shared" si="67"/>
        <v>0</v>
      </c>
      <c r="C761" s="1013" t="s">
        <v>245</v>
      </c>
      <c r="D761" s="1013">
        <v>0</v>
      </c>
      <c r="E761" s="1013" t="s">
        <v>22698</v>
      </c>
      <c r="F761" s="1013">
        <v>35</v>
      </c>
      <c r="G761" s="1932" t="str">
        <f>+VLOOKUP(F761,TT_Tabelle_Riferimento!$D$127:$G$164,4,FALSE)</f>
        <v>Costruzioni leggere</v>
      </c>
      <c r="H761" s="1013">
        <v>2</v>
      </c>
      <c r="I761" s="1932" t="str">
        <f>+VLOOKUP(H761,TT_Tabelle_Riferimento!$F$3:$G$6,2,FALSE)</f>
        <v>Fognatura bianca e pulizia / manutenzione caditoie stradali</v>
      </c>
      <c r="J761" s="1013">
        <v>2028</v>
      </c>
      <c r="K761" s="2335">
        <f>+SUMIFS('PdI-crono_inv'!BG:BG,'PdI-crono_inv'!CF:CF,F761,'PdI-crono_inv'!CE:CE,H761,'PdI-crono_inv'!J:J,P761,'PdI-crono_inv'!P:P,"&lt;&gt;proprietario")</f>
        <v>0</v>
      </c>
      <c r="M761" s="2335">
        <f>+SUMIFS('PdI-crono_inv'!BH:BH,'PdI-crono_inv'!CF:CF,F761,'PdI-crono_inv'!CE:CE,H761,'PdI-crono_inv'!J:J,P761,'PdI-crono_inv'!P:P,"&lt;&gt;proprietario")+S761</f>
        <v>0</v>
      </c>
      <c r="P761" s="1013" t="s">
        <v>25486</v>
      </c>
      <c r="Q761" s="1932" t="str">
        <f>+VLOOKUP(F761,TT_Tabelle_Riferimento!$D$127:$E$164,2,FALSE)</f>
        <v>Comune</v>
      </c>
      <c r="R761" s="1932" t="str">
        <f t="shared" si="68"/>
        <v/>
      </c>
      <c r="S761" s="2335">
        <f t="shared" si="63"/>
        <v>0</v>
      </c>
    </row>
    <row r="762" spans="1:19">
      <c r="A762" s="1932">
        <f t="shared" si="66"/>
        <v>0</v>
      </c>
      <c r="B762" s="1932">
        <f t="shared" si="67"/>
        <v>0</v>
      </c>
      <c r="C762" s="1013" t="s">
        <v>245</v>
      </c>
      <c r="D762" s="1013">
        <v>0</v>
      </c>
      <c r="E762" s="1013" t="s">
        <v>22698</v>
      </c>
      <c r="F762" s="1013">
        <v>36</v>
      </c>
      <c r="G762" s="1932" t="str">
        <f>+VLOOKUP(F762,TT_Tabelle_Riferimento!$D$127:$G$164,4,FALSE)</f>
        <v>Studi, ricerche, brevetti, diritti di utilizzazione</v>
      </c>
      <c r="H762" s="1013">
        <v>2</v>
      </c>
      <c r="I762" s="1932" t="str">
        <f>+VLOOKUP(H762,TT_Tabelle_Riferimento!$F$3:$G$6,2,FALSE)</f>
        <v>Fognatura bianca e pulizia / manutenzione caditoie stradali</v>
      </c>
      <c r="J762" s="1013">
        <v>2028</v>
      </c>
      <c r="K762" s="2335">
        <f>+SUMIFS('PdI-crono_inv'!BG:BG,'PdI-crono_inv'!CF:CF,F762,'PdI-crono_inv'!CE:CE,H762,'PdI-crono_inv'!J:J,P762,'PdI-crono_inv'!P:P,"&lt;&gt;proprietario")</f>
        <v>0</v>
      </c>
      <c r="M762" s="2335">
        <f>+SUMIFS('PdI-crono_inv'!BH:BH,'PdI-crono_inv'!CF:CF,F762,'PdI-crono_inv'!CE:CE,H762,'PdI-crono_inv'!J:J,P762,'PdI-crono_inv'!P:P,"&lt;&gt;proprietario")+S762</f>
        <v>0</v>
      </c>
      <c r="P762" s="1013" t="s">
        <v>25486</v>
      </c>
      <c r="Q762" s="1932" t="str">
        <f>+VLOOKUP(F762,TT_Tabelle_Riferimento!$D$127:$E$164,2,FALSE)</f>
        <v>Comune</v>
      </c>
      <c r="R762" s="1932" t="str">
        <f t="shared" si="68"/>
        <v/>
      </c>
      <c r="S762" s="2335">
        <f t="shared" si="63"/>
        <v>0</v>
      </c>
    </row>
    <row r="763" spans="1:19">
      <c r="A763" s="1932">
        <v>0</v>
      </c>
      <c r="B763" s="1932">
        <v>0</v>
      </c>
      <c r="C763" s="1013" t="s">
        <v>245</v>
      </c>
      <c r="D763" s="1013">
        <v>0</v>
      </c>
      <c r="E763" s="1013" t="s">
        <v>22698</v>
      </c>
      <c r="F763" s="1013">
        <v>37</v>
      </c>
      <c r="G763" s="1932" t="str">
        <f>+VLOOKUP(F763,TT_Tabelle_Riferimento!$D$127:$G$164,4,FALSE)</f>
        <v>Altre immobilizzazioni materiali e immateriali</v>
      </c>
      <c r="H763" s="1013">
        <v>2</v>
      </c>
      <c r="I763" s="1932" t="str">
        <f>+VLOOKUP(H763,TT_Tabelle_Riferimento!$F$3:$G$6,2,FALSE)</f>
        <v>Fognatura bianca e pulizia / manutenzione caditoie stradali</v>
      </c>
      <c r="J763" s="1013">
        <v>2028</v>
      </c>
      <c r="K763" s="2335">
        <f>+SUMIFS('PdI-crono_inv'!BG:BG,'PdI-crono_inv'!CF:CF,F763,'PdI-crono_inv'!CE:CE,H763,'PdI-crono_inv'!J:J,P763,'PdI-crono_inv'!P:P,"&lt;&gt;proprietario")</f>
        <v>0</v>
      </c>
      <c r="M763" s="2335">
        <f>+SUMIFS('PdI-crono_inv'!BH:BH,'PdI-crono_inv'!CF:CF,F763,'PdI-crono_inv'!CE:CE,H763,'PdI-crono_inv'!J:J,P763,'PdI-crono_inv'!P:P,"&lt;&gt;proprietario")+S763</f>
        <v>0</v>
      </c>
      <c r="P763" s="1013" t="s">
        <v>25486</v>
      </c>
      <c r="Q763" s="1932" t="str">
        <f>+VLOOKUP(F763,TT_Tabelle_Riferimento!$D$127:$E$164,2,FALSE)</f>
        <v>Comune</v>
      </c>
      <c r="R763" s="1932" t="str">
        <f t="shared" si="68"/>
        <v/>
      </c>
      <c r="S763" s="2335">
        <f t="shared" si="63"/>
        <v>0</v>
      </c>
    </row>
    <row r="764" spans="1:19">
      <c r="A764" s="1932">
        <v>0</v>
      </c>
      <c r="B764" s="1932">
        <v>0</v>
      </c>
      <c r="C764" s="1013" t="s">
        <v>245</v>
      </c>
      <c r="D764" s="1013">
        <v>0</v>
      </c>
      <c r="E764" s="1013" t="s">
        <v>22698</v>
      </c>
      <c r="F764" s="1013">
        <v>38</v>
      </c>
      <c r="G764" s="1932" t="str">
        <f>+VLOOKUP(F764,TT_Tabelle_Riferimento!$D$127:$G$164,4,FALSE)</f>
        <v>Grandi dighe (sbarramenti che superano i quindici metri di altezza o che determinano un invaso superiore a 1 milione di metri cubi)</v>
      </c>
      <c r="H764" s="1013">
        <v>2</v>
      </c>
      <c r="I764" s="1932" t="str">
        <f>+VLOOKUP(H764,TT_Tabelle_Riferimento!$F$3:$G$6,2,FALSE)</f>
        <v>Fognatura bianca e pulizia / manutenzione caditoie stradali</v>
      </c>
      <c r="J764" s="1013">
        <v>2028</v>
      </c>
      <c r="K764" s="2335">
        <f>+SUMIFS('PdI-crono_inv'!BG:BG,'PdI-crono_inv'!CF:CF,F764,'PdI-crono_inv'!CE:CE,H764,'PdI-crono_inv'!J:J,P764,'PdI-crono_inv'!P:P,"&lt;&gt;proprietario")</f>
        <v>0</v>
      </c>
      <c r="M764" s="2335">
        <f>+SUMIFS('PdI-crono_inv'!BH:BH,'PdI-crono_inv'!CF:CF,F764,'PdI-crono_inv'!CE:CE,H764,'PdI-crono_inv'!J:J,P764,'PdI-crono_inv'!P:P,"&lt;&gt;proprietario")+S764</f>
        <v>0</v>
      </c>
      <c r="P764" s="1013" t="s">
        <v>25486</v>
      </c>
      <c r="Q764" s="1932" t="str">
        <f>+VLOOKUP(F764,TT_Tabelle_Riferimento!$D$127:$E$164,2,FALSE)</f>
        <v>Acquedotto</v>
      </c>
      <c r="R764" s="1932" t="str">
        <f t="shared" si="68"/>
        <v/>
      </c>
      <c r="S764" s="2335">
        <f t="shared" si="63"/>
        <v>0</v>
      </c>
    </row>
    <row r="765" spans="1:19">
      <c r="A765" s="1932">
        <v>0</v>
      </c>
      <c r="B765" s="1932">
        <v>0</v>
      </c>
      <c r="C765" s="1013" t="s">
        <v>245</v>
      </c>
      <c r="D765" s="1013">
        <v>0</v>
      </c>
      <c r="E765" s="1013" t="s">
        <v>22698</v>
      </c>
      <c r="F765" s="1013">
        <v>39</v>
      </c>
      <c r="G765" s="1932" t="str">
        <f>+VLOOKUP(F765,TT_Tabelle_Riferimento!$D$127:$G$164,4,FALSE)</f>
        <v>Piccole dighe (sbarramenti che non superano i quindici metri di altezza o che determinano un invaso non superiore a 1 milione di metri cubi)</v>
      </c>
      <c r="H765" s="1013">
        <v>2</v>
      </c>
      <c r="I765" s="1932" t="str">
        <f>+VLOOKUP(H765,TT_Tabelle_Riferimento!$F$3:$G$6,2,FALSE)</f>
        <v>Fognatura bianca e pulizia / manutenzione caditoie stradali</v>
      </c>
      <c r="J765" s="1013">
        <v>2028</v>
      </c>
      <c r="K765" s="2335">
        <f>+SUMIFS('PdI-crono_inv'!BG:BG,'PdI-crono_inv'!CF:CF,F765,'PdI-crono_inv'!CE:CE,H765,'PdI-crono_inv'!J:J,P765,'PdI-crono_inv'!P:P,"&lt;&gt;proprietario")</f>
        <v>0</v>
      </c>
      <c r="M765" s="2335">
        <f>+SUMIFS('PdI-crono_inv'!BH:BH,'PdI-crono_inv'!CF:CF,F765,'PdI-crono_inv'!CE:CE,H765,'PdI-crono_inv'!J:J,P765,'PdI-crono_inv'!P:P,"&lt;&gt;proprietario")+S765</f>
        <v>0</v>
      </c>
      <c r="P765" s="1013" t="s">
        <v>25486</v>
      </c>
      <c r="Q765" s="1932" t="str">
        <f>+VLOOKUP(F765,TT_Tabelle_Riferimento!$D$127:$E$164,2,FALSE)</f>
        <v>Acquedotto</v>
      </c>
      <c r="R765" s="1932" t="str">
        <f t="shared" si="68"/>
        <v/>
      </c>
      <c r="S765" s="2335">
        <f t="shared" si="63"/>
        <v>0</v>
      </c>
    </row>
    <row r="766" spans="1:19">
      <c r="A766" s="1932">
        <f t="shared" ref="A766:A829" si="69">+idato</f>
        <v>0</v>
      </c>
      <c r="B766" s="1932">
        <f t="shared" ref="B766:B829" si="70">+idgestore</f>
        <v>0</v>
      </c>
      <c r="C766" s="1013" t="s">
        <v>245</v>
      </c>
      <c r="D766" s="1013">
        <v>0</v>
      </c>
      <c r="E766" s="1013" t="s">
        <v>22698</v>
      </c>
      <c r="F766" s="1013">
        <v>2</v>
      </c>
      <c r="G766" s="1932" t="str">
        <f>+VLOOKUP(F766,TT_Tabelle_Riferimento!$D$127:$G$164,4,FALSE)</f>
        <v>Condotte di acquedotto</v>
      </c>
      <c r="H766" s="1013">
        <v>3</v>
      </c>
      <c r="I766" s="1932" t="str">
        <f>+VLOOKUP(H766,TT_Tabelle_Riferimento!$F$3:$G$6,2,FALSE)</f>
        <v>Altri servizi idrici</v>
      </c>
      <c r="J766" s="1013">
        <v>2028</v>
      </c>
      <c r="K766" s="2335">
        <f>+SUMIFS('PdI-crono_inv'!BG:BG,'PdI-crono_inv'!CF:CF,F766,'PdI-crono_inv'!CE:CE,H766,'PdI-crono_inv'!J:J,P766,'PdI-crono_inv'!P:P,"&lt;&gt;proprietario")</f>
        <v>0</v>
      </c>
      <c r="M766" s="2335">
        <f>+SUMIFS('PdI-crono_inv'!BH:BH,'PdI-crono_inv'!CF:CF,F766,'PdI-crono_inv'!CE:CE,H766,'PdI-crono_inv'!J:J,P766,'PdI-crono_inv'!P:P,"&lt;&gt;proprietario")+S766</f>
        <v>0</v>
      </c>
      <c r="P766" s="1013" t="s">
        <v>25486</v>
      </c>
      <c r="Q766" s="1932" t="str">
        <f>+VLOOKUP(F766,TT_Tabelle_Riferimento!$D$127:$E$164,2,FALSE)</f>
        <v>Acquedotto</v>
      </c>
      <c r="R766" s="1932" t="str">
        <f t="shared" si="68"/>
        <v/>
      </c>
      <c r="S766" s="2335">
        <f t="shared" si="63"/>
        <v>0</v>
      </c>
    </row>
    <row r="767" spans="1:19">
      <c r="A767" s="1932">
        <f t="shared" si="69"/>
        <v>0</v>
      </c>
      <c r="B767" s="1932">
        <f t="shared" si="70"/>
        <v>0</v>
      </c>
      <c r="C767" s="1013" t="s">
        <v>245</v>
      </c>
      <c r="D767" s="1013">
        <v>0</v>
      </c>
      <c r="E767" s="1013" t="s">
        <v>22698</v>
      </c>
      <c r="F767" s="1013">
        <v>3</v>
      </c>
      <c r="G767" s="1932" t="str">
        <f>+VLOOKUP(F767,TT_Tabelle_Riferimento!$D$127:$G$164,4,FALSE)</f>
        <v>Opere idrauliche fisse di acquedotto</v>
      </c>
      <c r="H767" s="1013">
        <v>3</v>
      </c>
      <c r="I767" s="1932" t="str">
        <f>+VLOOKUP(H767,TT_Tabelle_Riferimento!$F$3:$G$6,2,FALSE)</f>
        <v>Altri servizi idrici</v>
      </c>
      <c r="J767" s="1013">
        <v>2028</v>
      </c>
      <c r="K767" s="2335">
        <f>+SUMIFS('PdI-crono_inv'!BG:BG,'PdI-crono_inv'!CF:CF,F767,'PdI-crono_inv'!CE:CE,H767,'PdI-crono_inv'!J:J,P767,'PdI-crono_inv'!P:P,"&lt;&gt;proprietario")</f>
        <v>0</v>
      </c>
      <c r="M767" s="2335">
        <f>+SUMIFS('PdI-crono_inv'!BH:BH,'PdI-crono_inv'!CF:CF,F767,'PdI-crono_inv'!CE:CE,H767,'PdI-crono_inv'!J:J,P767,'PdI-crono_inv'!P:P,"&lt;&gt;proprietario")+S767</f>
        <v>0</v>
      </c>
      <c r="P767" s="1013" t="s">
        <v>25486</v>
      </c>
      <c r="Q767" s="1932" t="str">
        <f>+VLOOKUP(F767,TT_Tabelle_Riferimento!$D$127:$E$164,2,FALSE)</f>
        <v>Acquedotto</v>
      </c>
      <c r="R767" s="1932" t="str">
        <f t="shared" si="68"/>
        <v/>
      </c>
      <c r="S767" s="2335">
        <f t="shared" si="63"/>
        <v>0</v>
      </c>
    </row>
    <row r="768" spans="1:19">
      <c r="A768" s="1932">
        <f t="shared" si="69"/>
        <v>0</v>
      </c>
      <c r="B768" s="1932">
        <f t="shared" si="70"/>
        <v>0</v>
      </c>
      <c r="C768" s="1013" t="s">
        <v>245</v>
      </c>
      <c r="D768" s="1013">
        <v>0</v>
      </c>
      <c r="E768" s="1013" t="s">
        <v>22698</v>
      </c>
      <c r="F768" s="1013">
        <v>4</v>
      </c>
      <c r="G768" s="1932" t="str">
        <f>+VLOOKUP(F768,TT_Tabelle_Riferimento!$D$127:$G$164,4,FALSE)</f>
        <v>Serbatoi</v>
      </c>
      <c r="H768" s="1013">
        <v>3</v>
      </c>
      <c r="I768" s="1932" t="str">
        <f>+VLOOKUP(H768,TT_Tabelle_Riferimento!$F$3:$G$6,2,FALSE)</f>
        <v>Altri servizi idrici</v>
      </c>
      <c r="J768" s="1013">
        <v>2028</v>
      </c>
      <c r="K768" s="2335">
        <f>+SUMIFS('PdI-crono_inv'!BG:BG,'PdI-crono_inv'!CF:CF,F768,'PdI-crono_inv'!CE:CE,H768,'PdI-crono_inv'!J:J,P768,'PdI-crono_inv'!P:P,"&lt;&gt;proprietario")</f>
        <v>0</v>
      </c>
      <c r="M768" s="2335">
        <f>+SUMIFS('PdI-crono_inv'!BH:BH,'PdI-crono_inv'!CF:CF,F768,'PdI-crono_inv'!CE:CE,H768,'PdI-crono_inv'!J:J,P768,'PdI-crono_inv'!P:P,"&lt;&gt;proprietario")+S768</f>
        <v>0</v>
      </c>
      <c r="P768" s="1013" t="s">
        <v>25486</v>
      </c>
      <c r="Q768" s="1932" t="str">
        <f>+VLOOKUP(F768,TT_Tabelle_Riferimento!$D$127:$E$164,2,FALSE)</f>
        <v>Acquedotto</v>
      </c>
      <c r="R768" s="1932" t="str">
        <f t="shared" si="68"/>
        <v/>
      </c>
      <c r="S768" s="2335">
        <f t="shared" si="63"/>
        <v>0</v>
      </c>
    </row>
    <row r="769" spans="1:19">
      <c r="A769" s="1932">
        <f t="shared" si="69"/>
        <v>0</v>
      </c>
      <c r="B769" s="1932">
        <f t="shared" si="70"/>
        <v>0</v>
      </c>
      <c r="C769" s="1013" t="s">
        <v>245</v>
      </c>
      <c r="D769" s="1013">
        <v>0</v>
      </c>
      <c r="E769" s="1013" t="s">
        <v>22698</v>
      </c>
      <c r="F769" s="1013">
        <v>5</v>
      </c>
      <c r="G769" s="1932" t="str">
        <f>+VLOOKUP(F769,TT_Tabelle_Riferimento!$D$127:$G$164,4,FALSE)</f>
        <v>Impianti di sollevamento e pompaggio di acquedotto</v>
      </c>
      <c r="H769" s="1013">
        <v>3</v>
      </c>
      <c r="I769" s="1932" t="str">
        <f>+VLOOKUP(H769,TT_Tabelle_Riferimento!$F$3:$G$6,2,FALSE)</f>
        <v>Altri servizi idrici</v>
      </c>
      <c r="J769" s="1013">
        <v>2028</v>
      </c>
      <c r="K769" s="2335">
        <f>+SUMIFS('PdI-crono_inv'!BG:BG,'PdI-crono_inv'!CF:CF,F769,'PdI-crono_inv'!CE:CE,H769,'PdI-crono_inv'!J:J,P769,'PdI-crono_inv'!P:P,"&lt;&gt;proprietario")</f>
        <v>0</v>
      </c>
      <c r="M769" s="2335">
        <f>+SUMIFS('PdI-crono_inv'!BH:BH,'PdI-crono_inv'!CF:CF,F769,'PdI-crono_inv'!CE:CE,H769,'PdI-crono_inv'!J:J,P769,'PdI-crono_inv'!P:P,"&lt;&gt;proprietario")+S769</f>
        <v>0</v>
      </c>
      <c r="P769" s="1013" t="s">
        <v>25486</v>
      </c>
      <c r="Q769" s="1932" t="str">
        <f>+VLOOKUP(F769,TT_Tabelle_Riferimento!$D$127:$E$164,2,FALSE)</f>
        <v>Acquedotto</v>
      </c>
      <c r="R769" s="1932" t="str">
        <f t="shared" si="68"/>
        <v/>
      </c>
      <c r="S769" s="2335">
        <f t="shared" si="63"/>
        <v>0</v>
      </c>
    </row>
    <row r="770" spans="1:19">
      <c r="A770" s="1932">
        <f t="shared" si="69"/>
        <v>0</v>
      </c>
      <c r="B770" s="1932">
        <f t="shared" si="70"/>
        <v>0</v>
      </c>
      <c r="C770" s="1013" t="s">
        <v>245</v>
      </c>
      <c r="D770" s="1013">
        <v>0</v>
      </c>
      <c r="E770" s="1013" t="s">
        <v>22698</v>
      </c>
      <c r="F770" s="1013">
        <v>6</v>
      </c>
      <c r="G770" s="1932" t="str">
        <f>+VLOOKUP(F770,TT_Tabelle_Riferimento!$D$127:$G$164,4,FALSE)</f>
        <v>Impianti di potabilizzazione</v>
      </c>
      <c r="H770" s="1013">
        <v>3</v>
      </c>
      <c r="I770" s="1932" t="str">
        <f>+VLOOKUP(H770,TT_Tabelle_Riferimento!$F$3:$G$6,2,FALSE)</f>
        <v>Altri servizi idrici</v>
      </c>
      <c r="J770" s="1013">
        <v>2028</v>
      </c>
      <c r="K770" s="2335">
        <f>+SUMIFS('PdI-crono_inv'!BG:BG,'PdI-crono_inv'!CF:CF,F770,'PdI-crono_inv'!CE:CE,H770,'PdI-crono_inv'!J:J,P770,'PdI-crono_inv'!P:P,"&lt;&gt;proprietario")</f>
        <v>0</v>
      </c>
      <c r="M770" s="2335">
        <f>+SUMIFS('PdI-crono_inv'!BH:BH,'PdI-crono_inv'!CF:CF,F770,'PdI-crono_inv'!CE:CE,H770,'PdI-crono_inv'!J:J,P770,'PdI-crono_inv'!P:P,"&lt;&gt;proprietario")+S770</f>
        <v>0</v>
      </c>
      <c r="P770" s="1013" t="s">
        <v>25486</v>
      </c>
      <c r="Q770" s="1932" t="str">
        <f>+VLOOKUP(F770,TT_Tabelle_Riferimento!$D$127:$E$164,2,FALSE)</f>
        <v>Acquedotto</v>
      </c>
      <c r="R770" s="1932" t="str">
        <f t="shared" si="68"/>
        <v/>
      </c>
      <c r="S770" s="2335">
        <f t="shared" si="63"/>
        <v>0</v>
      </c>
    </row>
    <row r="771" spans="1:19">
      <c r="A771" s="1932">
        <f t="shared" si="69"/>
        <v>0</v>
      </c>
      <c r="B771" s="1932">
        <f t="shared" si="70"/>
        <v>0</v>
      </c>
      <c r="C771" s="1013" t="s">
        <v>245</v>
      </c>
      <c r="D771" s="1013">
        <v>0</v>
      </c>
      <c r="E771" s="1013" t="s">
        <v>22698</v>
      </c>
      <c r="F771" s="1013">
        <v>7</v>
      </c>
      <c r="G771" s="1932" t="str">
        <f>+VLOOKUP(F771,TT_Tabelle_Riferimento!$D$127:$G$164,4,FALSE)</f>
        <v>Altri trattamenti di potabilizzazione (tra cui dispositivi di disinfezione, stacciatura, filtrazione, addolcimento)</v>
      </c>
      <c r="H771" s="1013">
        <v>3</v>
      </c>
      <c r="I771" s="1932" t="str">
        <f>+VLOOKUP(H771,TT_Tabelle_Riferimento!$F$3:$G$6,2,FALSE)</f>
        <v>Altri servizi idrici</v>
      </c>
      <c r="J771" s="1013">
        <v>2028</v>
      </c>
      <c r="K771" s="2335">
        <f>+SUMIFS('PdI-crono_inv'!BG:BG,'PdI-crono_inv'!CF:CF,F771,'PdI-crono_inv'!CE:CE,H771,'PdI-crono_inv'!J:J,P771,'PdI-crono_inv'!P:P,"&lt;&gt;proprietario")</f>
        <v>0</v>
      </c>
      <c r="M771" s="2335">
        <f>+SUMIFS('PdI-crono_inv'!BH:BH,'PdI-crono_inv'!CF:CF,F771,'PdI-crono_inv'!CE:CE,H771,'PdI-crono_inv'!J:J,P771,'PdI-crono_inv'!P:P,"&lt;&gt;proprietario")+S771</f>
        <v>0</v>
      </c>
      <c r="P771" s="1013" t="s">
        <v>25486</v>
      </c>
      <c r="Q771" s="1932" t="str">
        <f>+VLOOKUP(F771,TT_Tabelle_Riferimento!$D$127:$E$164,2,FALSE)</f>
        <v>Acquedotto</v>
      </c>
      <c r="R771" s="1932" t="str">
        <f t="shared" si="68"/>
        <v/>
      </c>
      <c r="S771" s="2335">
        <f t="shared" si="63"/>
        <v>0</v>
      </c>
    </row>
    <row r="772" spans="1:19">
      <c r="A772" s="1932">
        <f t="shared" si="69"/>
        <v>0</v>
      </c>
      <c r="B772" s="1932">
        <f t="shared" si="70"/>
        <v>0</v>
      </c>
      <c r="C772" s="1013" t="s">
        <v>245</v>
      </c>
      <c r="D772" s="1013">
        <v>0</v>
      </c>
      <c r="E772" s="1013" t="s">
        <v>22698</v>
      </c>
      <c r="F772" s="1013">
        <v>8</v>
      </c>
      <c r="G772" s="1932" t="str">
        <f>+VLOOKUP(F772,TT_Tabelle_Riferimento!$D$127:$G$164,4,FALSE)</f>
        <v>Gruppi di misura - altre attrezzature di acquedotto</v>
      </c>
      <c r="H772" s="1013">
        <v>3</v>
      </c>
      <c r="I772" s="1932" t="str">
        <f>+VLOOKUP(H772,TT_Tabelle_Riferimento!$F$3:$G$6,2,FALSE)</f>
        <v>Altri servizi idrici</v>
      </c>
      <c r="J772" s="1013">
        <v>2028</v>
      </c>
      <c r="K772" s="2335">
        <f>+SUMIFS('PdI-crono_inv'!BG:BG,'PdI-crono_inv'!CF:CF,F772,'PdI-crono_inv'!CE:CE,H772,'PdI-crono_inv'!J:J,P772,'PdI-crono_inv'!P:P,"&lt;&gt;proprietario")</f>
        <v>0</v>
      </c>
      <c r="M772" s="2335">
        <f>+SUMIFS('PdI-crono_inv'!BH:BH,'PdI-crono_inv'!CF:CF,F772,'PdI-crono_inv'!CE:CE,H772,'PdI-crono_inv'!J:J,P772,'PdI-crono_inv'!P:P,"&lt;&gt;proprietario")+S772</f>
        <v>0</v>
      </c>
      <c r="P772" s="1013" t="s">
        <v>25486</v>
      </c>
      <c r="Q772" s="1932" t="str">
        <f>+VLOOKUP(F772,TT_Tabelle_Riferimento!$D$127:$E$164,2,FALSE)</f>
        <v>Acquedotto</v>
      </c>
      <c r="R772" s="1932" t="str">
        <f t="shared" si="68"/>
        <v/>
      </c>
      <c r="S772" s="2335">
        <f t="shared" si="63"/>
        <v>0</v>
      </c>
    </row>
    <row r="773" spans="1:19">
      <c r="A773" s="1932">
        <f t="shared" si="69"/>
        <v>0</v>
      </c>
      <c r="B773" s="1932">
        <f t="shared" si="70"/>
        <v>0</v>
      </c>
      <c r="C773" s="1013" t="s">
        <v>245</v>
      </c>
      <c r="D773" s="1013">
        <v>0</v>
      </c>
      <c r="E773" s="1013" t="s">
        <v>22698</v>
      </c>
      <c r="F773" s="1013">
        <v>9</v>
      </c>
      <c r="G773" s="1932" t="str">
        <f>+VLOOKUP(F773,TT_Tabelle_Riferimento!$D$127:$G$164,4,FALSE)</f>
        <v>Sistemi informativi di acquedotto</v>
      </c>
      <c r="H773" s="1013">
        <v>3</v>
      </c>
      <c r="I773" s="1932" t="str">
        <f>+VLOOKUP(H773,TT_Tabelle_Riferimento!$F$3:$G$6,2,FALSE)</f>
        <v>Altri servizi idrici</v>
      </c>
      <c r="J773" s="1013">
        <v>2028</v>
      </c>
      <c r="K773" s="2335">
        <f>+SUMIFS('PdI-crono_inv'!BG:BG,'PdI-crono_inv'!CF:CF,F773,'PdI-crono_inv'!CE:CE,H773,'PdI-crono_inv'!J:J,P773,'PdI-crono_inv'!P:P,"&lt;&gt;proprietario")</f>
        <v>0</v>
      </c>
      <c r="M773" s="2335">
        <f>+SUMIFS('PdI-crono_inv'!BH:BH,'PdI-crono_inv'!CF:CF,F773,'PdI-crono_inv'!CE:CE,H773,'PdI-crono_inv'!J:J,P773,'PdI-crono_inv'!P:P,"&lt;&gt;proprietario")+S773</f>
        <v>0</v>
      </c>
      <c r="P773" s="1013" t="s">
        <v>25486</v>
      </c>
      <c r="Q773" s="1932" t="str">
        <f>+VLOOKUP(F773,TT_Tabelle_Riferimento!$D$127:$E$164,2,FALSE)</f>
        <v>Acquedotto</v>
      </c>
      <c r="R773" s="1932" t="str">
        <f t="shared" si="68"/>
        <v/>
      </c>
      <c r="S773" s="2335">
        <f t="shared" si="63"/>
        <v>0</v>
      </c>
    </row>
    <row r="774" spans="1:19">
      <c r="A774" s="1932">
        <f t="shared" si="69"/>
        <v>0</v>
      </c>
      <c r="B774" s="1932">
        <f t="shared" si="70"/>
        <v>0</v>
      </c>
      <c r="C774" s="1013" t="s">
        <v>245</v>
      </c>
      <c r="D774" s="1013">
        <v>0</v>
      </c>
      <c r="E774" s="1013" t="s">
        <v>22698</v>
      </c>
      <c r="F774" s="1013">
        <v>10</v>
      </c>
      <c r="G774" s="1932" t="str">
        <f>+VLOOKUP(F774,TT_Tabelle_Riferimento!$D$127:$G$164,4,FALSE)</f>
        <v>Telecontrollo e teletrasmissione di acquedotto</v>
      </c>
      <c r="H774" s="1013">
        <v>3</v>
      </c>
      <c r="I774" s="1932" t="str">
        <f>+VLOOKUP(H774,TT_Tabelle_Riferimento!$F$3:$G$6,2,FALSE)</f>
        <v>Altri servizi idrici</v>
      </c>
      <c r="J774" s="1013">
        <v>2028</v>
      </c>
      <c r="K774" s="2335">
        <f>+SUMIFS('PdI-crono_inv'!BG:BG,'PdI-crono_inv'!CF:CF,F774,'PdI-crono_inv'!CE:CE,H774,'PdI-crono_inv'!J:J,P774,'PdI-crono_inv'!P:P,"&lt;&gt;proprietario")</f>
        <v>0</v>
      </c>
      <c r="M774" s="2335">
        <f>+SUMIFS('PdI-crono_inv'!BH:BH,'PdI-crono_inv'!CF:CF,F774,'PdI-crono_inv'!CE:CE,H774,'PdI-crono_inv'!J:J,P774,'PdI-crono_inv'!P:P,"&lt;&gt;proprietario")+S774</f>
        <v>0</v>
      </c>
      <c r="P774" s="1013" t="s">
        <v>25486</v>
      </c>
      <c r="Q774" s="1932" t="str">
        <f>+VLOOKUP(F774,TT_Tabelle_Riferimento!$D$127:$E$164,2,FALSE)</f>
        <v>Acquedotto</v>
      </c>
      <c r="R774" s="1932" t="str">
        <f t="shared" si="68"/>
        <v/>
      </c>
      <c r="S774" s="2335">
        <f t="shared" si="63"/>
        <v>0</v>
      </c>
    </row>
    <row r="775" spans="1:19">
      <c r="A775" s="1932">
        <f t="shared" si="69"/>
        <v>0</v>
      </c>
      <c r="B775" s="1932">
        <f t="shared" si="70"/>
        <v>0</v>
      </c>
      <c r="C775" s="1013" t="s">
        <v>245</v>
      </c>
      <c r="D775" s="1013">
        <v>0</v>
      </c>
      <c r="E775" s="1013" t="s">
        <v>22698</v>
      </c>
      <c r="F775" s="1013">
        <v>11</v>
      </c>
      <c r="G775" s="1932" t="str">
        <f>+VLOOKUP(F775,TT_Tabelle_Riferimento!$D$127:$G$164,4,FALSE)</f>
        <v>Condotte fognarie</v>
      </c>
      <c r="H775" s="1013">
        <v>3</v>
      </c>
      <c r="I775" s="1932" t="str">
        <f>+VLOOKUP(H775,TT_Tabelle_Riferimento!$F$3:$G$6,2,FALSE)</f>
        <v>Altri servizi idrici</v>
      </c>
      <c r="J775" s="1013">
        <v>2028</v>
      </c>
      <c r="K775" s="2335">
        <f>+SUMIFS('PdI-crono_inv'!BG:BG,'PdI-crono_inv'!CF:CF,F775,'PdI-crono_inv'!CE:CE,H775,'PdI-crono_inv'!J:J,P775,'PdI-crono_inv'!P:P,"&lt;&gt;proprietario")</f>
        <v>0</v>
      </c>
      <c r="M775" s="2335">
        <f>+SUMIFS('PdI-crono_inv'!BH:BH,'PdI-crono_inv'!CF:CF,F775,'PdI-crono_inv'!CE:CE,H775,'PdI-crono_inv'!J:J,P775,'PdI-crono_inv'!P:P,"&lt;&gt;proprietario")+S775</f>
        <v>0</v>
      </c>
      <c r="P775" s="1013" t="s">
        <v>25486</v>
      </c>
      <c r="Q775" s="1932" t="str">
        <f>+VLOOKUP(F775,TT_Tabelle_Riferimento!$D$127:$E$164,2,FALSE)</f>
        <v>Fognatura</v>
      </c>
      <c r="R775" s="1932" t="str">
        <f t="shared" si="68"/>
        <v/>
      </c>
      <c r="S775" s="2335">
        <f t="shared" ref="S775:S838" si="71">+IFERROR(HLOOKUP(J775,$X$2:$Y$5,4,FALSE)*K775,0)</f>
        <v>0</v>
      </c>
    </row>
    <row r="776" spans="1:19">
      <c r="A776" s="1932">
        <f t="shared" si="69"/>
        <v>0</v>
      </c>
      <c r="B776" s="1932">
        <f t="shared" si="70"/>
        <v>0</v>
      </c>
      <c r="C776" s="1013" t="s">
        <v>245</v>
      </c>
      <c r="D776" s="1013">
        <v>0</v>
      </c>
      <c r="E776" s="1013" t="s">
        <v>22698</v>
      </c>
      <c r="F776" s="1013">
        <v>12</v>
      </c>
      <c r="G776" s="1932" t="str">
        <f>+VLOOKUP(F776,TT_Tabelle_Riferimento!$D$127:$G$164,4,FALSE)</f>
        <v>Sifoni e scaricatori di piena e altre opere idrauliche fisse di fognatura</v>
      </c>
      <c r="H776" s="1013">
        <v>3</v>
      </c>
      <c r="I776" s="1932" t="str">
        <f>+VLOOKUP(H776,TT_Tabelle_Riferimento!$F$3:$G$6,2,FALSE)</f>
        <v>Altri servizi idrici</v>
      </c>
      <c r="J776" s="1013">
        <v>2028</v>
      </c>
      <c r="K776" s="2335">
        <f>+SUMIFS('PdI-crono_inv'!BG:BG,'PdI-crono_inv'!CF:CF,F776,'PdI-crono_inv'!CE:CE,H776,'PdI-crono_inv'!J:J,P776,'PdI-crono_inv'!P:P,"&lt;&gt;proprietario")</f>
        <v>0</v>
      </c>
      <c r="M776" s="2335">
        <f>+SUMIFS('PdI-crono_inv'!BH:BH,'PdI-crono_inv'!CF:CF,F776,'PdI-crono_inv'!CE:CE,H776,'PdI-crono_inv'!J:J,P776,'PdI-crono_inv'!P:P,"&lt;&gt;proprietario")+S776</f>
        <v>0</v>
      </c>
      <c r="P776" s="1013" t="s">
        <v>25486</v>
      </c>
      <c r="Q776" s="1932" t="str">
        <f>+VLOOKUP(F776,TT_Tabelle_Riferimento!$D$127:$E$164,2,FALSE)</f>
        <v>Fognatura</v>
      </c>
      <c r="R776" s="1932" t="str">
        <f t="shared" si="68"/>
        <v/>
      </c>
      <c r="S776" s="2335">
        <f t="shared" si="71"/>
        <v>0</v>
      </c>
    </row>
    <row r="777" spans="1:19">
      <c r="A777" s="1932">
        <f t="shared" si="69"/>
        <v>0</v>
      </c>
      <c r="B777" s="1932">
        <f t="shared" si="70"/>
        <v>0</v>
      </c>
      <c r="C777" s="1013" t="s">
        <v>245</v>
      </c>
      <c r="D777" s="1013">
        <v>0</v>
      </c>
      <c r="E777" s="1013" t="s">
        <v>22698</v>
      </c>
      <c r="F777" s="1013">
        <v>13</v>
      </c>
      <c r="G777" s="1932" t="str">
        <f>+VLOOKUP(F777,TT_Tabelle_Riferimento!$D$127:$G$164,4,FALSE)</f>
        <v>Vasche di laminazione e vasche di prima pioggia</v>
      </c>
      <c r="H777" s="1013">
        <v>3</v>
      </c>
      <c r="I777" s="1932" t="str">
        <f>+VLOOKUP(H777,TT_Tabelle_Riferimento!$F$3:$G$6,2,FALSE)</f>
        <v>Altri servizi idrici</v>
      </c>
      <c r="J777" s="1013">
        <v>2028</v>
      </c>
      <c r="K777" s="2335">
        <f>+SUMIFS('PdI-crono_inv'!BG:BG,'PdI-crono_inv'!CF:CF,F777,'PdI-crono_inv'!CE:CE,H777,'PdI-crono_inv'!J:J,P777,'PdI-crono_inv'!P:P,"&lt;&gt;proprietario")</f>
        <v>0</v>
      </c>
      <c r="M777" s="2335">
        <f>+SUMIFS('PdI-crono_inv'!BH:BH,'PdI-crono_inv'!CF:CF,F777,'PdI-crono_inv'!CE:CE,H777,'PdI-crono_inv'!J:J,P777,'PdI-crono_inv'!P:P,"&lt;&gt;proprietario")+S777</f>
        <v>0</v>
      </c>
      <c r="P777" s="1013" t="s">
        <v>25486</v>
      </c>
      <c r="Q777" s="1932" t="str">
        <f>+VLOOKUP(F777,TT_Tabelle_Riferimento!$D$127:$E$164,2,FALSE)</f>
        <v>Fognatura</v>
      </c>
      <c r="R777" s="1932" t="str">
        <f t="shared" si="68"/>
        <v/>
      </c>
      <c r="S777" s="2335">
        <f t="shared" si="71"/>
        <v>0</v>
      </c>
    </row>
    <row r="778" spans="1:19">
      <c r="A778" s="1932">
        <f t="shared" si="69"/>
        <v>0</v>
      </c>
      <c r="B778" s="1932">
        <f t="shared" si="70"/>
        <v>0</v>
      </c>
      <c r="C778" s="1013" t="s">
        <v>245</v>
      </c>
      <c r="D778" s="1013">
        <v>0</v>
      </c>
      <c r="E778" s="1013" t="s">
        <v>22698</v>
      </c>
      <c r="F778" s="1013">
        <v>14</v>
      </c>
      <c r="G778" s="1932" t="str">
        <f>+VLOOKUP(F778,TT_Tabelle_Riferimento!$D$127:$G$164,4,FALSE)</f>
        <v>Impianti di sollevamento e pompaggio di fognatura</v>
      </c>
      <c r="H778" s="1013">
        <v>3</v>
      </c>
      <c r="I778" s="1932" t="str">
        <f>+VLOOKUP(H778,TT_Tabelle_Riferimento!$F$3:$G$6,2,FALSE)</f>
        <v>Altri servizi idrici</v>
      </c>
      <c r="J778" s="1013">
        <v>2028</v>
      </c>
      <c r="K778" s="2335">
        <f>+SUMIFS('PdI-crono_inv'!BG:BG,'PdI-crono_inv'!CF:CF,F778,'PdI-crono_inv'!CE:CE,H778,'PdI-crono_inv'!J:J,P778,'PdI-crono_inv'!P:P,"&lt;&gt;proprietario")</f>
        <v>0</v>
      </c>
      <c r="M778" s="2335">
        <f>+SUMIFS('PdI-crono_inv'!BH:BH,'PdI-crono_inv'!CF:CF,F778,'PdI-crono_inv'!CE:CE,H778,'PdI-crono_inv'!J:J,P778,'PdI-crono_inv'!P:P,"&lt;&gt;proprietario")+S778</f>
        <v>0</v>
      </c>
      <c r="P778" s="1013" t="s">
        <v>25486</v>
      </c>
      <c r="Q778" s="1932" t="str">
        <f>+VLOOKUP(F778,TT_Tabelle_Riferimento!$D$127:$E$164,2,FALSE)</f>
        <v>Fognatura</v>
      </c>
      <c r="R778" s="1932" t="str">
        <f t="shared" si="68"/>
        <v/>
      </c>
      <c r="S778" s="2335">
        <f t="shared" si="71"/>
        <v>0</v>
      </c>
    </row>
    <row r="779" spans="1:19">
      <c r="A779" s="1932">
        <f t="shared" si="69"/>
        <v>0</v>
      </c>
      <c r="B779" s="1932">
        <f t="shared" si="70"/>
        <v>0</v>
      </c>
      <c r="C779" s="1013" t="s">
        <v>245</v>
      </c>
      <c r="D779" s="1013">
        <v>0</v>
      </c>
      <c r="E779" s="1013" t="s">
        <v>22698</v>
      </c>
      <c r="F779" s="1013">
        <v>15</v>
      </c>
      <c r="G779" s="1932" t="str">
        <f>+VLOOKUP(F779,TT_Tabelle_Riferimento!$D$127:$G$164,4,FALSE)</f>
        <v>Gruppi di misura - altre attrezzature di fognatura</v>
      </c>
      <c r="H779" s="1013">
        <v>3</v>
      </c>
      <c r="I779" s="1932" t="str">
        <f>+VLOOKUP(H779,TT_Tabelle_Riferimento!$F$3:$G$6,2,FALSE)</f>
        <v>Altri servizi idrici</v>
      </c>
      <c r="J779" s="1013">
        <v>2028</v>
      </c>
      <c r="K779" s="2335">
        <f>+SUMIFS('PdI-crono_inv'!BG:BG,'PdI-crono_inv'!CF:CF,F779,'PdI-crono_inv'!CE:CE,H779,'PdI-crono_inv'!J:J,P779,'PdI-crono_inv'!P:P,"&lt;&gt;proprietario")</f>
        <v>0</v>
      </c>
      <c r="M779" s="2335">
        <f>+SUMIFS('PdI-crono_inv'!BH:BH,'PdI-crono_inv'!CF:CF,F779,'PdI-crono_inv'!CE:CE,H779,'PdI-crono_inv'!J:J,P779,'PdI-crono_inv'!P:P,"&lt;&gt;proprietario")+S779</f>
        <v>0</v>
      </c>
      <c r="P779" s="1013" t="s">
        <v>25486</v>
      </c>
      <c r="Q779" s="1932" t="str">
        <f>+VLOOKUP(F779,TT_Tabelle_Riferimento!$D$127:$E$164,2,FALSE)</f>
        <v>Fognatura</v>
      </c>
      <c r="R779" s="1932" t="str">
        <f t="shared" si="68"/>
        <v/>
      </c>
      <c r="S779" s="2335">
        <f t="shared" si="71"/>
        <v>0</v>
      </c>
    </row>
    <row r="780" spans="1:19">
      <c r="A780" s="1932">
        <f t="shared" si="69"/>
        <v>0</v>
      </c>
      <c r="B780" s="1932">
        <f t="shared" si="70"/>
        <v>0</v>
      </c>
      <c r="C780" s="1013" t="s">
        <v>245</v>
      </c>
      <c r="D780" s="1013">
        <v>0</v>
      </c>
      <c r="E780" s="1013" t="s">
        <v>22698</v>
      </c>
      <c r="F780" s="1013">
        <v>16</v>
      </c>
      <c r="G780" s="1932" t="str">
        <f>+VLOOKUP(F780,TT_Tabelle_Riferimento!$D$127:$G$164,4,FALSE)</f>
        <v>Sistemi informativi di fognatura</v>
      </c>
      <c r="H780" s="1013">
        <v>3</v>
      </c>
      <c r="I780" s="1932" t="str">
        <f>+VLOOKUP(H780,TT_Tabelle_Riferimento!$F$3:$G$6,2,FALSE)</f>
        <v>Altri servizi idrici</v>
      </c>
      <c r="J780" s="1013">
        <v>2028</v>
      </c>
      <c r="K780" s="2335">
        <f>+SUMIFS('PdI-crono_inv'!BG:BG,'PdI-crono_inv'!CF:CF,F780,'PdI-crono_inv'!CE:CE,H780,'PdI-crono_inv'!J:J,P780,'PdI-crono_inv'!P:P,"&lt;&gt;proprietario")</f>
        <v>0</v>
      </c>
      <c r="M780" s="2335">
        <f>+SUMIFS('PdI-crono_inv'!BH:BH,'PdI-crono_inv'!CF:CF,F780,'PdI-crono_inv'!CE:CE,H780,'PdI-crono_inv'!J:J,P780,'PdI-crono_inv'!P:P,"&lt;&gt;proprietario")+S780</f>
        <v>0</v>
      </c>
      <c r="P780" s="1013" t="s">
        <v>25486</v>
      </c>
      <c r="Q780" s="1932" t="str">
        <f>+VLOOKUP(F780,TT_Tabelle_Riferimento!$D$127:$E$164,2,FALSE)</f>
        <v>Fognatura</v>
      </c>
      <c r="R780" s="1932" t="str">
        <f t="shared" si="68"/>
        <v/>
      </c>
      <c r="S780" s="2335">
        <f t="shared" si="71"/>
        <v>0</v>
      </c>
    </row>
    <row r="781" spans="1:19">
      <c r="A781" s="1932">
        <f t="shared" si="69"/>
        <v>0</v>
      </c>
      <c r="B781" s="1932">
        <f t="shared" si="70"/>
        <v>0</v>
      </c>
      <c r="C781" s="1013" t="s">
        <v>245</v>
      </c>
      <c r="D781" s="1013">
        <v>0</v>
      </c>
      <c r="E781" s="1013" t="s">
        <v>22698</v>
      </c>
      <c r="F781" s="1013">
        <v>18</v>
      </c>
      <c r="G781" s="1932" t="str">
        <f>+VLOOKUP(F781,TT_Tabelle_Riferimento!$D$127:$G$164,4,FALSE)</f>
        <v>Telecontrollo e teletrasmissione di fognatura</v>
      </c>
      <c r="H781" s="1013">
        <v>3</v>
      </c>
      <c r="I781" s="1932" t="str">
        <f>+VLOOKUP(H781,TT_Tabelle_Riferimento!$F$3:$G$6,2,FALSE)</f>
        <v>Altri servizi idrici</v>
      </c>
      <c r="J781" s="1013">
        <v>2028</v>
      </c>
      <c r="K781" s="2335">
        <f>+SUMIFS('PdI-crono_inv'!BG:BG,'PdI-crono_inv'!CF:CF,F781,'PdI-crono_inv'!CE:CE,H781,'PdI-crono_inv'!J:J,P781,'PdI-crono_inv'!P:P,"&lt;&gt;proprietario")</f>
        <v>0</v>
      </c>
      <c r="M781" s="2335">
        <f>+SUMIFS('PdI-crono_inv'!BH:BH,'PdI-crono_inv'!CF:CF,F781,'PdI-crono_inv'!CE:CE,H781,'PdI-crono_inv'!J:J,P781,'PdI-crono_inv'!P:P,"&lt;&gt;proprietario")+S781</f>
        <v>0</v>
      </c>
      <c r="P781" s="1013" t="s">
        <v>25486</v>
      </c>
      <c r="Q781" s="1932" t="str">
        <f>+VLOOKUP(F781,TT_Tabelle_Riferimento!$D$127:$E$164,2,FALSE)</f>
        <v>Fognatura</v>
      </c>
      <c r="R781" s="1932" t="str">
        <f t="shared" si="68"/>
        <v/>
      </c>
      <c r="S781" s="2335">
        <f t="shared" si="71"/>
        <v>0</v>
      </c>
    </row>
    <row r="782" spans="1:19">
      <c r="A782" s="1932">
        <f t="shared" si="69"/>
        <v>0</v>
      </c>
      <c r="B782" s="1932">
        <f t="shared" si="70"/>
        <v>0</v>
      </c>
      <c r="C782" s="1013" t="s">
        <v>245</v>
      </c>
      <c r="D782" s="1013">
        <v>0</v>
      </c>
      <c r="E782" s="1013" t="s">
        <v>22698</v>
      </c>
      <c r="F782" s="1013">
        <v>19</v>
      </c>
      <c r="G782" s="1932" t="str">
        <f>+VLOOKUP(F782,TT_Tabelle_Riferimento!$D$127:$G$164,4,FALSE)</f>
        <v>Impianti di sollevamento e pompaggio di depurazione</v>
      </c>
      <c r="H782" s="1013">
        <v>3</v>
      </c>
      <c r="I782" s="1932" t="str">
        <f>+VLOOKUP(H782,TT_Tabelle_Riferimento!$F$3:$G$6,2,FALSE)</f>
        <v>Altri servizi idrici</v>
      </c>
      <c r="J782" s="1013">
        <v>2028</v>
      </c>
      <c r="K782" s="2335">
        <f>+SUMIFS('PdI-crono_inv'!BG:BG,'PdI-crono_inv'!CF:CF,F782,'PdI-crono_inv'!CE:CE,H782,'PdI-crono_inv'!J:J,P782,'PdI-crono_inv'!P:P,"&lt;&gt;proprietario")</f>
        <v>0</v>
      </c>
      <c r="M782" s="2335">
        <f>+SUMIFS('PdI-crono_inv'!BH:BH,'PdI-crono_inv'!CF:CF,F782,'PdI-crono_inv'!CE:CE,H782,'PdI-crono_inv'!J:J,P782,'PdI-crono_inv'!P:P,"&lt;&gt;proprietario")+S782</f>
        <v>0</v>
      </c>
      <c r="P782" s="1013" t="s">
        <v>25486</v>
      </c>
      <c r="Q782" s="1932" t="str">
        <f>+VLOOKUP(F782,TT_Tabelle_Riferimento!$D$127:$E$164,2,FALSE)</f>
        <v>Depurazione</v>
      </c>
      <c r="R782" s="1932" t="str">
        <f t="shared" si="68"/>
        <v/>
      </c>
      <c r="S782" s="2335">
        <f t="shared" si="71"/>
        <v>0</v>
      </c>
    </row>
    <row r="783" spans="1:19">
      <c r="A783" s="1932">
        <f t="shared" si="69"/>
        <v>0</v>
      </c>
      <c r="B783" s="1932">
        <f t="shared" si="70"/>
        <v>0</v>
      </c>
      <c r="C783" s="1013" t="s">
        <v>245</v>
      </c>
      <c r="D783" s="1013">
        <v>0</v>
      </c>
      <c r="E783" s="1013" t="s">
        <v>22698</v>
      </c>
      <c r="F783" s="1013">
        <v>20</v>
      </c>
      <c r="G783" s="1932" t="str">
        <f>+VLOOKUP(F783,TT_Tabelle_Riferimento!$D$127:$G$164,4,FALSE)</f>
        <v>Tecniche naturali di depurazione (tra cui fitodepurazione e lagunaggio)</v>
      </c>
      <c r="H783" s="1013">
        <v>3</v>
      </c>
      <c r="I783" s="1932" t="str">
        <f>+VLOOKUP(H783,TT_Tabelle_Riferimento!$F$3:$G$6,2,FALSE)</f>
        <v>Altri servizi idrici</v>
      </c>
      <c r="J783" s="1013">
        <v>2028</v>
      </c>
      <c r="K783" s="2335">
        <f>+SUMIFS('PdI-crono_inv'!BG:BG,'PdI-crono_inv'!CF:CF,F783,'PdI-crono_inv'!CE:CE,H783,'PdI-crono_inv'!J:J,P783,'PdI-crono_inv'!P:P,"&lt;&gt;proprietario")</f>
        <v>0</v>
      </c>
      <c r="M783" s="2335">
        <f>+SUMIFS('PdI-crono_inv'!BH:BH,'PdI-crono_inv'!CF:CF,F783,'PdI-crono_inv'!CE:CE,H783,'PdI-crono_inv'!J:J,P783,'PdI-crono_inv'!P:P,"&lt;&gt;proprietario")+S783</f>
        <v>0</v>
      </c>
      <c r="P783" s="1013" t="s">
        <v>25486</v>
      </c>
      <c r="Q783" s="1932" t="str">
        <f>+VLOOKUP(F783,TT_Tabelle_Riferimento!$D$127:$E$164,2,FALSE)</f>
        <v>Depurazione</v>
      </c>
      <c r="R783" s="1932" t="str">
        <f t="shared" si="68"/>
        <v/>
      </c>
      <c r="S783" s="2335">
        <f t="shared" si="71"/>
        <v>0</v>
      </c>
    </row>
    <row r="784" spans="1:19">
      <c r="A784" s="1932">
        <f t="shared" si="69"/>
        <v>0</v>
      </c>
      <c r="B784" s="1932">
        <f t="shared" si="70"/>
        <v>0</v>
      </c>
      <c r="C784" s="1013" t="s">
        <v>245</v>
      </c>
      <c r="D784" s="1013">
        <v>0</v>
      </c>
      <c r="E784" s="1013" t="s">
        <v>22698</v>
      </c>
      <c r="F784" s="1013">
        <v>21</v>
      </c>
      <c r="G784" s="1932" t="str">
        <f>+VLOOKUP(F784,TT_Tabelle_Riferimento!$D$127:$G$164,4,FALSE)</f>
        <v>Impianti di depurazione – trattamenti sino al preliminare, integrativo, primario - fosse settiche e fosse Imhoff</v>
      </c>
      <c r="H784" s="1013">
        <v>3</v>
      </c>
      <c r="I784" s="1932" t="str">
        <f>+VLOOKUP(H784,TT_Tabelle_Riferimento!$F$3:$G$6,2,FALSE)</f>
        <v>Altri servizi idrici</v>
      </c>
      <c r="J784" s="1013">
        <v>2028</v>
      </c>
      <c r="K784" s="2335">
        <f>+SUMIFS('PdI-crono_inv'!BG:BG,'PdI-crono_inv'!CF:CF,F784,'PdI-crono_inv'!CE:CE,H784,'PdI-crono_inv'!J:J,P784,'PdI-crono_inv'!P:P,"&lt;&gt;proprietario")</f>
        <v>0</v>
      </c>
      <c r="M784" s="2335">
        <f>+SUMIFS('PdI-crono_inv'!BH:BH,'PdI-crono_inv'!CF:CF,F784,'PdI-crono_inv'!CE:CE,H784,'PdI-crono_inv'!J:J,P784,'PdI-crono_inv'!P:P,"&lt;&gt;proprietario")+S784</f>
        <v>0</v>
      </c>
      <c r="P784" s="1013" t="s">
        <v>25486</v>
      </c>
      <c r="Q784" s="1932" t="str">
        <f>+VLOOKUP(F784,TT_Tabelle_Riferimento!$D$127:$E$164,2,FALSE)</f>
        <v>Depurazione</v>
      </c>
      <c r="R784" s="1932" t="str">
        <f t="shared" si="68"/>
        <v/>
      </c>
      <c r="S784" s="2335">
        <f t="shared" si="71"/>
        <v>0</v>
      </c>
    </row>
    <row r="785" spans="1:19">
      <c r="A785" s="1932">
        <f t="shared" si="69"/>
        <v>0</v>
      </c>
      <c r="B785" s="1932">
        <f t="shared" si="70"/>
        <v>0</v>
      </c>
      <c r="C785" s="1013" t="s">
        <v>245</v>
      </c>
      <c r="D785" s="1013">
        <v>0</v>
      </c>
      <c r="E785" s="1013" t="s">
        <v>22698</v>
      </c>
      <c r="F785" s="1013">
        <v>22</v>
      </c>
      <c r="G785" s="1932" t="str">
        <f>+VLOOKUP(F785,TT_Tabelle_Riferimento!$D$127:$G$164,4,FALSE)</f>
        <v>Impianti di depurazione – trattamenti sino al secondario</v>
      </c>
      <c r="H785" s="1013">
        <v>3</v>
      </c>
      <c r="I785" s="1932" t="str">
        <f>+VLOOKUP(H785,TT_Tabelle_Riferimento!$F$3:$G$6,2,FALSE)</f>
        <v>Altri servizi idrici</v>
      </c>
      <c r="J785" s="1013">
        <v>2028</v>
      </c>
      <c r="K785" s="2335">
        <f>+SUMIFS('PdI-crono_inv'!BG:BG,'PdI-crono_inv'!CF:CF,F785,'PdI-crono_inv'!CE:CE,H785,'PdI-crono_inv'!J:J,P785,'PdI-crono_inv'!P:P,"&lt;&gt;proprietario")</f>
        <v>0</v>
      </c>
      <c r="M785" s="2335">
        <f>+SUMIFS('PdI-crono_inv'!BH:BH,'PdI-crono_inv'!CF:CF,F785,'PdI-crono_inv'!CE:CE,H785,'PdI-crono_inv'!J:J,P785,'PdI-crono_inv'!P:P,"&lt;&gt;proprietario")+S785</f>
        <v>0</v>
      </c>
      <c r="P785" s="1013" t="s">
        <v>25486</v>
      </c>
      <c r="Q785" s="1932" t="str">
        <f>+VLOOKUP(F785,TT_Tabelle_Riferimento!$D$127:$E$164,2,FALSE)</f>
        <v>Depurazione</v>
      </c>
      <c r="R785" s="1932" t="str">
        <f t="shared" si="68"/>
        <v/>
      </c>
      <c r="S785" s="2335">
        <f t="shared" si="71"/>
        <v>0</v>
      </c>
    </row>
    <row r="786" spans="1:19">
      <c r="A786" s="1932">
        <f t="shared" si="69"/>
        <v>0</v>
      </c>
      <c r="B786" s="1932">
        <f t="shared" si="70"/>
        <v>0</v>
      </c>
      <c r="C786" s="1013" t="s">
        <v>245</v>
      </c>
      <c r="D786" s="1013">
        <v>0</v>
      </c>
      <c r="E786" s="1013" t="s">
        <v>22698</v>
      </c>
      <c r="F786" s="1013">
        <v>23</v>
      </c>
      <c r="G786" s="1932" t="str">
        <f>+VLOOKUP(F786,TT_Tabelle_Riferimento!$D$127:$G$164,4,FALSE)</f>
        <v>Impianti di depurazione – trattamenti sino al terziario e terziario avanzato</v>
      </c>
      <c r="H786" s="1013">
        <v>3</v>
      </c>
      <c r="I786" s="1932" t="str">
        <f>+VLOOKUP(H786,TT_Tabelle_Riferimento!$F$3:$G$6,2,FALSE)</f>
        <v>Altri servizi idrici</v>
      </c>
      <c r="J786" s="1013">
        <v>2028</v>
      </c>
      <c r="K786" s="2335">
        <f>+SUMIFS('PdI-crono_inv'!BG:BG,'PdI-crono_inv'!CF:CF,F786,'PdI-crono_inv'!CE:CE,H786,'PdI-crono_inv'!J:J,P786,'PdI-crono_inv'!P:P,"&lt;&gt;proprietario")</f>
        <v>0</v>
      </c>
      <c r="M786" s="2335">
        <f>+SUMIFS('PdI-crono_inv'!BH:BH,'PdI-crono_inv'!CF:CF,F786,'PdI-crono_inv'!CE:CE,H786,'PdI-crono_inv'!J:J,P786,'PdI-crono_inv'!P:P,"&lt;&gt;proprietario")+S786</f>
        <v>0</v>
      </c>
      <c r="P786" s="1013" t="s">
        <v>25486</v>
      </c>
      <c r="Q786" s="1932" t="str">
        <f>+VLOOKUP(F786,TT_Tabelle_Riferimento!$D$127:$E$164,2,FALSE)</f>
        <v>Depurazione</v>
      </c>
      <c r="R786" s="1932" t="str">
        <f t="shared" si="68"/>
        <v/>
      </c>
      <c r="S786" s="2335">
        <f t="shared" si="71"/>
        <v>0</v>
      </c>
    </row>
    <row r="787" spans="1:19">
      <c r="A787" s="1932">
        <f t="shared" si="69"/>
        <v>0</v>
      </c>
      <c r="B787" s="1932">
        <f t="shared" si="70"/>
        <v>0</v>
      </c>
      <c r="C787" s="1013" t="s">
        <v>245</v>
      </c>
      <c r="D787" s="1013">
        <v>0</v>
      </c>
      <c r="E787" s="1013" t="s">
        <v>22698</v>
      </c>
      <c r="F787" s="1013">
        <v>24</v>
      </c>
      <c r="G787" s="1932" t="str">
        <f>+VLOOKUP(F787,TT_Tabelle_Riferimento!$D$127:$G$164,4,FALSE)</f>
        <v>Impianti di essiccamento fanghi e di valorizzazione dei fanghi (tra cui mono-incenerimento, pirolisi, gassificazione)</v>
      </c>
      <c r="H787" s="1013">
        <v>3</v>
      </c>
      <c r="I787" s="1932" t="str">
        <f>+VLOOKUP(H787,TT_Tabelle_Riferimento!$F$3:$G$6,2,FALSE)</f>
        <v>Altri servizi idrici</v>
      </c>
      <c r="J787" s="1013">
        <v>2028</v>
      </c>
      <c r="K787" s="2335">
        <f>+SUMIFS('PdI-crono_inv'!BG:BG,'PdI-crono_inv'!CF:CF,F787,'PdI-crono_inv'!CE:CE,H787,'PdI-crono_inv'!J:J,P787,'PdI-crono_inv'!P:P,"&lt;&gt;proprietario")</f>
        <v>0</v>
      </c>
      <c r="M787" s="2335">
        <f>+SUMIFS('PdI-crono_inv'!BH:BH,'PdI-crono_inv'!CF:CF,F787,'PdI-crono_inv'!CE:CE,H787,'PdI-crono_inv'!J:J,P787,'PdI-crono_inv'!P:P,"&lt;&gt;proprietario")+S787</f>
        <v>0</v>
      </c>
      <c r="P787" s="1013" t="s">
        <v>25486</v>
      </c>
      <c r="Q787" s="1932" t="str">
        <f>+VLOOKUP(F787,TT_Tabelle_Riferimento!$D$127:$E$164,2,FALSE)</f>
        <v>Depurazione</v>
      </c>
      <c r="R787" s="1932" t="str">
        <f t="shared" si="68"/>
        <v/>
      </c>
      <c r="S787" s="2335">
        <f t="shared" si="71"/>
        <v>0</v>
      </c>
    </row>
    <row r="788" spans="1:19">
      <c r="A788" s="1932">
        <f t="shared" si="69"/>
        <v>0</v>
      </c>
      <c r="B788" s="1932">
        <f t="shared" si="70"/>
        <v>0</v>
      </c>
      <c r="C788" s="1013" t="s">
        <v>245</v>
      </c>
      <c r="D788" s="1013">
        <v>0</v>
      </c>
      <c r="E788" s="1013" t="s">
        <v>22698</v>
      </c>
      <c r="F788" s="1013">
        <v>25</v>
      </c>
      <c r="G788" s="1932" t="str">
        <f>+VLOOKUP(F788,TT_Tabelle_Riferimento!$D$127:$G$164,4,FALSE)</f>
        <v>Gruppi di misura - altre attrezzature di depurazione</v>
      </c>
      <c r="H788" s="1013">
        <v>3</v>
      </c>
      <c r="I788" s="1932" t="str">
        <f>+VLOOKUP(H788,TT_Tabelle_Riferimento!$F$3:$G$6,2,FALSE)</f>
        <v>Altri servizi idrici</v>
      </c>
      <c r="J788" s="1013">
        <v>2028</v>
      </c>
      <c r="K788" s="2335">
        <f>+SUMIFS('PdI-crono_inv'!BG:BG,'PdI-crono_inv'!CF:CF,F788,'PdI-crono_inv'!CE:CE,H788,'PdI-crono_inv'!J:J,P788,'PdI-crono_inv'!P:P,"&lt;&gt;proprietario")</f>
        <v>0</v>
      </c>
      <c r="M788" s="2335">
        <f>+SUMIFS('PdI-crono_inv'!BH:BH,'PdI-crono_inv'!CF:CF,F788,'PdI-crono_inv'!CE:CE,H788,'PdI-crono_inv'!J:J,P788,'PdI-crono_inv'!P:P,"&lt;&gt;proprietario")+S788</f>
        <v>0</v>
      </c>
      <c r="P788" s="1013" t="s">
        <v>25486</v>
      </c>
      <c r="Q788" s="1932" t="str">
        <f>+VLOOKUP(F788,TT_Tabelle_Riferimento!$D$127:$E$164,2,FALSE)</f>
        <v>Depurazione</v>
      </c>
      <c r="R788" s="1932" t="str">
        <f t="shared" si="68"/>
        <v/>
      </c>
      <c r="S788" s="2335">
        <f t="shared" si="71"/>
        <v>0</v>
      </c>
    </row>
    <row r="789" spans="1:19">
      <c r="A789" s="1932">
        <f t="shared" si="69"/>
        <v>0</v>
      </c>
      <c r="B789" s="1932">
        <f t="shared" si="70"/>
        <v>0</v>
      </c>
      <c r="C789" s="1013" t="s">
        <v>245</v>
      </c>
      <c r="D789" s="1013">
        <v>0</v>
      </c>
      <c r="E789" s="1013" t="s">
        <v>22698</v>
      </c>
      <c r="F789" s="1013">
        <v>26</v>
      </c>
      <c r="G789" s="1932" t="str">
        <f>+VLOOKUP(F789,TT_Tabelle_Riferimento!$D$127:$G$164,4,FALSE)</f>
        <v>Sistemi informativi di depurazione</v>
      </c>
      <c r="H789" s="1013">
        <v>3</v>
      </c>
      <c r="I789" s="1932" t="str">
        <f>+VLOOKUP(H789,TT_Tabelle_Riferimento!$F$3:$G$6,2,FALSE)</f>
        <v>Altri servizi idrici</v>
      </c>
      <c r="J789" s="1013">
        <v>2028</v>
      </c>
      <c r="K789" s="2335">
        <f>+SUMIFS('PdI-crono_inv'!BG:BG,'PdI-crono_inv'!CF:CF,F789,'PdI-crono_inv'!CE:CE,H789,'PdI-crono_inv'!J:J,P789,'PdI-crono_inv'!P:P,"&lt;&gt;proprietario")</f>
        <v>0</v>
      </c>
      <c r="M789" s="2335">
        <f>+SUMIFS('PdI-crono_inv'!BH:BH,'PdI-crono_inv'!CF:CF,F789,'PdI-crono_inv'!CE:CE,H789,'PdI-crono_inv'!J:J,P789,'PdI-crono_inv'!P:P,"&lt;&gt;proprietario")+S789</f>
        <v>0</v>
      </c>
      <c r="P789" s="1013" t="s">
        <v>25486</v>
      </c>
      <c r="Q789" s="1932" t="str">
        <f>+VLOOKUP(F789,TT_Tabelle_Riferimento!$D$127:$E$164,2,FALSE)</f>
        <v>Depurazione</v>
      </c>
      <c r="R789" s="1932" t="str">
        <f t="shared" si="68"/>
        <v/>
      </c>
      <c r="S789" s="2335">
        <f t="shared" si="71"/>
        <v>0</v>
      </c>
    </row>
    <row r="790" spans="1:19">
      <c r="A790" s="1932">
        <f t="shared" si="69"/>
        <v>0</v>
      </c>
      <c r="B790" s="1932">
        <f t="shared" si="70"/>
        <v>0</v>
      </c>
      <c r="C790" s="1013" t="s">
        <v>245</v>
      </c>
      <c r="D790" s="1013">
        <v>0</v>
      </c>
      <c r="E790" s="1013" t="s">
        <v>22698</v>
      </c>
      <c r="F790" s="1013">
        <v>27</v>
      </c>
      <c r="G790" s="1932" t="str">
        <f>+VLOOKUP(F790,TT_Tabelle_Riferimento!$D$127:$G$164,4,FALSE)</f>
        <v>Telecontrollo e teletrasmissione di depurazione</v>
      </c>
      <c r="H790" s="1013">
        <v>3</v>
      </c>
      <c r="I790" s="1932" t="str">
        <f>+VLOOKUP(H790,TT_Tabelle_Riferimento!$F$3:$G$6,2,FALSE)</f>
        <v>Altri servizi idrici</v>
      </c>
      <c r="J790" s="1013">
        <v>2028</v>
      </c>
      <c r="K790" s="2335">
        <f>+SUMIFS('PdI-crono_inv'!BG:BG,'PdI-crono_inv'!CF:CF,F790,'PdI-crono_inv'!CE:CE,H790,'PdI-crono_inv'!J:J,P790,'PdI-crono_inv'!P:P,"&lt;&gt;proprietario")</f>
        <v>0</v>
      </c>
      <c r="M790" s="2335">
        <f>+SUMIFS('PdI-crono_inv'!BH:BH,'PdI-crono_inv'!CF:CF,F790,'PdI-crono_inv'!CE:CE,H790,'PdI-crono_inv'!J:J,P790,'PdI-crono_inv'!P:P,"&lt;&gt;proprietario")+S790</f>
        <v>0</v>
      </c>
      <c r="P790" s="1013" t="s">
        <v>25486</v>
      </c>
      <c r="Q790" s="1932" t="str">
        <f>+VLOOKUP(F790,TT_Tabelle_Riferimento!$D$127:$E$164,2,FALSE)</f>
        <v>Depurazione</v>
      </c>
      <c r="R790" s="1932" t="str">
        <f t="shared" si="68"/>
        <v/>
      </c>
      <c r="S790" s="2335">
        <f t="shared" si="71"/>
        <v>0</v>
      </c>
    </row>
    <row r="791" spans="1:19">
      <c r="A791" s="1932">
        <f t="shared" si="69"/>
        <v>0</v>
      </c>
      <c r="B791" s="1932">
        <f t="shared" si="70"/>
        <v>0</v>
      </c>
      <c r="C791" s="1013" t="s">
        <v>245</v>
      </c>
      <c r="D791" s="1013">
        <v>0</v>
      </c>
      <c r="E791" s="1013" t="s">
        <v>22698</v>
      </c>
      <c r="F791" s="1013">
        <v>28</v>
      </c>
      <c r="G791" s="1932" t="str">
        <f>+VLOOKUP(F791,TT_Tabelle_Riferimento!$D$127:$G$164,4,FALSE)</f>
        <v>Altri impianti</v>
      </c>
      <c r="H791" s="1013">
        <v>3</v>
      </c>
      <c r="I791" s="1932" t="str">
        <f>+VLOOKUP(H791,TT_Tabelle_Riferimento!$F$3:$G$6,2,FALSE)</f>
        <v>Altri servizi idrici</v>
      </c>
      <c r="J791" s="1013">
        <v>2028</v>
      </c>
      <c r="K791" s="2335">
        <f>+SUMIFS('PdI-crono_inv'!BG:BG,'PdI-crono_inv'!CF:CF,F791,'PdI-crono_inv'!CE:CE,H791,'PdI-crono_inv'!J:J,P791,'PdI-crono_inv'!P:P,"&lt;&gt;proprietario")</f>
        <v>0</v>
      </c>
      <c r="M791" s="2335">
        <f>+SUMIFS('PdI-crono_inv'!BH:BH,'PdI-crono_inv'!CF:CF,F791,'PdI-crono_inv'!CE:CE,H791,'PdI-crono_inv'!J:J,P791,'PdI-crono_inv'!P:P,"&lt;&gt;proprietario")+S791</f>
        <v>0</v>
      </c>
      <c r="P791" s="1013" t="s">
        <v>25486</v>
      </c>
      <c r="Q791" s="1932" t="str">
        <f>+VLOOKUP(F791,TT_Tabelle_Riferimento!$D$127:$E$164,2,FALSE)</f>
        <v>Comune</v>
      </c>
      <c r="R791" s="1932" t="str">
        <f t="shared" si="68"/>
        <v/>
      </c>
      <c r="S791" s="2335">
        <f t="shared" si="71"/>
        <v>0</v>
      </c>
    </row>
    <row r="792" spans="1:19">
      <c r="A792" s="1932">
        <f t="shared" si="69"/>
        <v>0</v>
      </c>
      <c r="B792" s="1932">
        <f t="shared" si="70"/>
        <v>0</v>
      </c>
      <c r="C792" s="1013" t="s">
        <v>245</v>
      </c>
      <c r="D792" s="1013">
        <v>0</v>
      </c>
      <c r="E792" s="1013" t="s">
        <v>22698</v>
      </c>
      <c r="F792" s="1013">
        <v>29</v>
      </c>
      <c r="G792" s="1932" t="str">
        <f>+VLOOKUP(F792,TT_Tabelle_Riferimento!$D$127:$G$164,4,FALSE)</f>
        <v>Laboratori e attrezzature</v>
      </c>
      <c r="H792" s="1013">
        <v>3</v>
      </c>
      <c r="I792" s="1932" t="str">
        <f>+VLOOKUP(H792,TT_Tabelle_Riferimento!$F$3:$G$6,2,FALSE)</f>
        <v>Altri servizi idrici</v>
      </c>
      <c r="J792" s="1013">
        <v>2028</v>
      </c>
      <c r="K792" s="2335">
        <f>+SUMIFS('PdI-crono_inv'!BG:BG,'PdI-crono_inv'!CF:CF,F792,'PdI-crono_inv'!CE:CE,H792,'PdI-crono_inv'!J:J,P792,'PdI-crono_inv'!P:P,"&lt;&gt;proprietario")</f>
        <v>0</v>
      </c>
      <c r="M792" s="2335">
        <f>+SUMIFS('PdI-crono_inv'!BH:BH,'PdI-crono_inv'!CF:CF,F792,'PdI-crono_inv'!CE:CE,H792,'PdI-crono_inv'!J:J,P792,'PdI-crono_inv'!P:P,"&lt;&gt;proprietario")+S792</f>
        <v>0</v>
      </c>
      <c r="P792" s="1013" t="s">
        <v>25486</v>
      </c>
      <c r="Q792" s="1932" t="str">
        <f>+VLOOKUP(F792,TT_Tabelle_Riferimento!$D$127:$E$164,2,FALSE)</f>
        <v>Comune</v>
      </c>
      <c r="R792" s="1932" t="str">
        <f t="shared" ref="R792:R855" si="72">+IF(SUM(K792:N792)=0,"","PdI_consolidamento")</f>
        <v/>
      </c>
      <c r="S792" s="2335">
        <f t="shared" si="71"/>
        <v>0</v>
      </c>
    </row>
    <row r="793" spans="1:19">
      <c r="A793" s="1932">
        <f t="shared" si="69"/>
        <v>0</v>
      </c>
      <c r="B793" s="1932">
        <f t="shared" si="70"/>
        <v>0</v>
      </c>
      <c r="C793" s="1013" t="s">
        <v>245</v>
      </c>
      <c r="D793" s="1013">
        <v>0</v>
      </c>
      <c r="E793" s="1013" t="s">
        <v>22698</v>
      </c>
      <c r="F793" s="1013">
        <v>30</v>
      </c>
      <c r="G793" s="1932" t="str">
        <f>+VLOOKUP(F793,TT_Tabelle_Riferimento!$D$127:$G$164,4,FALSE)</f>
        <v>Sistemi informativi</v>
      </c>
      <c r="H793" s="1013">
        <v>3</v>
      </c>
      <c r="I793" s="1932" t="str">
        <f>+VLOOKUP(H793,TT_Tabelle_Riferimento!$F$3:$G$6,2,FALSE)</f>
        <v>Altri servizi idrici</v>
      </c>
      <c r="J793" s="1013">
        <v>2028</v>
      </c>
      <c r="K793" s="2335">
        <f>+SUMIFS('PdI-crono_inv'!BG:BG,'PdI-crono_inv'!CF:CF,F793,'PdI-crono_inv'!CE:CE,H793,'PdI-crono_inv'!J:J,P793,'PdI-crono_inv'!P:P,"&lt;&gt;proprietario")</f>
        <v>0</v>
      </c>
      <c r="M793" s="2335">
        <f>+SUMIFS('PdI-crono_inv'!BH:BH,'PdI-crono_inv'!CF:CF,F793,'PdI-crono_inv'!CE:CE,H793,'PdI-crono_inv'!J:J,P793,'PdI-crono_inv'!P:P,"&lt;&gt;proprietario")+S793</f>
        <v>0</v>
      </c>
      <c r="P793" s="1013" t="s">
        <v>25486</v>
      </c>
      <c r="Q793" s="1932" t="str">
        <f>+VLOOKUP(F793,TT_Tabelle_Riferimento!$D$127:$E$164,2,FALSE)</f>
        <v>Comune</v>
      </c>
      <c r="R793" s="1932" t="str">
        <f t="shared" si="72"/>
        <v/>
      </c>
      <c r="S793" s="2335">
        <f t="shared" si="71"/>
        <v>0</v>
      </c>
    </row>
    <row r="794" spans="1:19">
      <c r="A794" s="1932">
        <f t="shared" si="69"/>
        <v>0</v>
      </c>
      <c r="B794" s="1932">
        <f t="shared" si="70"/>
        <v>0</v>
      </c>
      <c r="C794" s="1013" t="s">
        <v>245</v>
      </c>
      <c r="D794" s="1013">
        <v>0</v>
      </c>
      <c r="E794" s="1013" t="s">
        <v>22698</v>
      </c>
      <c r="F794" s="1013">
        <v>31</v>
      </c>
      <c r="G794" s="1932" t="str">
        <f>+VLOOKUP(F794,TT_Tabelle_Riferimento!$D$127:$G$164,4,FALSE)</f>
        <v>Telecontrollo e teletrasmissione</v>
      </c>
      <c r="H794" s="1013">
        <v>3</v>
      </c>
      <c r="I794" s="1932" t="str">
        <f>+VLOOKUP(H794,TT_Tabelle_Riferimento!$F$3:$G$6,2,FALSE)</f>
        <v>Altri servizi idrici</v>
      </c>
      <c r="J794" s="1013">
        <v>2028</v>
      </c>
      <c r="K794" s="2335">
        <f>+SUMIFS('PdI-crono_inv'!BG:BG,'PdI-crono_inv'!CF:CF,F794,'PdI-crono_inv'!CE:CE,H794,'PdI-crono_inv'!J:J,P794,'PdI-crono_inv'!P:P,"&lt;&gt;proprietario")</f>
        <v>0</v>
      </c>
      <c r="M794" s="2335">
        <f>+SUMIFS('PdI-crono_inv'!BH:BH,'PdI-crono_inv'!CF:CF,F794,'PdI-crono_inv'!CE:CE,H794,'PdI-crono_inv'!J:J,P794,'PdI-crono_inv'!P:P,"&lt;&gt;proprietario")+S794</f>
        <v>0</v>
      </c>
      <c r="P794" s="1013" t="s">
        <v>25486</v>
      </c>
      <c r="Q794" s="1932" t="str">
        <f>+VLOOKUP(F794,TT_Tabelle_Riferimento!$D$127:$E$164,2,FALSE)</f>
        <v>Comune</v>
      </c>
      <c r="R794" s="1932" t="str">
        <f t="shared" si="72"/>
        <v/>
      </c>
      <c r="S794" s="2335">
        <f t="shared" si="71"/>
        <v>0</v>
      </c>
    </row>
    <row r="795" spans="1:19">
      <c r="A795" s="1932">
        <f t="shared" si="69"/>
        <v>0</v>
      </c>
      <c r="B795" s="1932">
        <f t="shared" si="70"/>
        <v>0</v>
      </c>
      <c r="C795" s="1013" t="s">
        <v>245</v>
      </c>
      <c r="D795" s="1013">
        <v>0</v>
      </c>
      <c r="E795" s="1013" t="s">
        <v>22698</v>
      </c>
      <c r="F795" s="1013">
        <v>32</v>
      </c>
      <c r="G795" s="1932" t="str">
        <f>+VLOOKUP(F795,TT_Tabelle_Riferimento!$D$127:$G$164,4,FALSE)</f>
        <v>Autoveicoli - automezzi</v>
      </c>
      <c r="H795" s="1013">
        <v>3</v>
      </c>
      <c r="I795" s="1932" t="str">
        <f>+VLOOKUP(H795,TT_Tabelle_Riferimento!$F$3:$G$6,2,FALSE)</f>
        <v>Altri servizi idrici</v>
      </c>
      <c r="J795" s="1013">
        <v>2028</v>
      </c>
      <c r="K795" s="2335">
        <f>+SUMIFS('PdI-crono_inv'!BG:BG,'PdI-crono_inv'!CF:CF,F795,'PdI-crono_inv'!CE:CE,H795,'PdI-crono_inv'!J:J,P795,'PdI-crono_inv'!P:P,"&lt;&gt;proprietario")</f>
        <v>0</v>
      </c>
      <c r="M795" s="2335">
        <f>+SUMIFS('PdI-crono_inv'!BH:BH,'PdI-crono_inv'!CF:CF,F795,'PdI-crono_inv'!CE:CE,H795,'PdI-crono_inv'!J:J,P795,'PdI-crono_inv'!P:P,"&lt;&gt;proprietario")+S795</f>
        <v>0</v>
      </c>
      <c r="P795" s="1013" t="s">
        <v>25486</v>
      </c>
      <c r="Q795" s="1932" t="str">
        <f>+VLOOKUP(F795,TT_Tabelle_Riferimento!$D$127:$E$164,2,FALSE)</f>
        <v>Comune</v>
      </c>
      <c r="R795" s="1932" t="str">
        <f t="shared" si="72"/>
        <v/>
      </c>
      <c r="S795" s="2335">
        <f t="shared" si="71"/>
        <v>0</v>
      </c>
    </row>
    <row r="796" spans="1:19">
      <c r="A796" s="1932">
        <f t="shared" si="69"/>
        <v>0</v>
      </c>
      <c r="B796" s="1932">
        <f t="shared" si="70"/>
        <v>0</v>
      </c>
      <c r="C796" s="1013" t="s">
        <v>245</v>
      </c>
      <c r="D796" s="1013">
        <v>0</v>
      </c>
      <c r="E796" s="1013" t="s">
        <v>22698</v>
      </c>
      <c r="F796" s="1013">
        <v>1</v>
      </c>
      <c r="G796" s="1932" t="str">
        <f>+VLOOKUP(F796,TT_Tabelle_Riferimento!$D$127:$G$164,4,FALSE)</f>
        <v>Terreni</v>
      </c>
      <c r="H796" s="1013">
        <v>3</v>
      </c>
      <c r="I796" s="1932" t="str">
        <f>+VLOOKUP(H796,TT_Tabelle_Riferimento!$F$3:$G$6,2,FALSE)</f>
        <v>Altri servizi idrici</v>
      </c>
      <c r="J796" s="1013">
        <v>2028</v>
      </c>
      <c r="K796" s="2335">
        <f>+SUMIFS('PdI-crono_inv'!BG:BG,'PdI-crono_inv'!CF:CF,F796,'PdI-crono_inv'!CE:CE,H796,'PdI-crono_inv'!J:J,P796,'PdI-crono_inv'!P:P,"&lt;&gt;proprietario")</f>
        <v>0</v>
      </c>
      <c r="M796" s="2335">
        <f>+SUMIFS('PdI-crono_inv'!BH:BH,'PdI-crono_inv'!CF:CF,F796,'PdI-crono_inv'!CE:CE,H796,'PdI-crono_inv'!J:J,P796,'PdI-crono_inv'!P:P,"&lt;&gt;proprietario")+S796</f>
        <v>0</v>
      </c>
      <c r="P796" s="1013" t="s">
        <v>25486</v>
      </c>
      <c r="Q796" s="1932" t="str">
        <f>+VLOOKUP(F796,TT_Tabelle_Riferimento!$D$127:$E$164,2,FALSE)</f>
        <v>Comune</v>
      </c>
      <c r="R796" s="1932" t="str">
        <f t="shared" si="72"/>
        <v/>
      </c>
      <c r="S796" s="2335">
        <f t="shared" si="71"/>
        <v>0</v>
      </c>
    </row>
    <row r="797" spans="1:19">
      <c r="A797" s="1932">
        <f t="shared" si="69"/>
        <v>0</v>
      </c>
      <c r="B797" s="1932">
        <f t="shared" si="70"/>
        <v>0</v>
      </c>
      <c r="C797" s="1013" t="s">
        <v>245</v>
      </c>
      <c r="D797" s="1013">
        <v>0</v>
      </c>
      <c r="E797" s="1013" t="s">
        <v>22698</v>
      </c>
      <c r="F797" s="1013">
        <v>33</v>
      </c>
      <c r="G797" s="1932" t="str">
        <f>+VLOOKUP(F797,TT_Tabelle_Riferimento!$D$127:$G$164,4,FALSE)</f>
        <v>Fabbricati non industriali</v>
      </c>
      <c r="H797" s="1013">
        <v>3</v>
      </c>
      <c r="I797" s="1932" t="str">
        <f>+VLOOKUP(H797,TT_Tabelle_Riferimento!$F$3:$G$6,2,FALSE)</f>
        <v>Altri servizi idrici</v>
      </c>
      <c r="J797" s="1013">
        <v>2028</v>
      </c>
      <c r="K797" s="2335">
        <f>+SUMIFS('PdI-crono_inv'!BG:BG,'PdI-crono_inv'!CF:CF,F797,'PdI-crono_inv'!CE:CE,H797,'PdI-crono_inv'!J:J,P797,'PdI-crono_inv'!P:P,"&lt;&gt;proprietario")</f>
        <v>0</v>
      </c>
      <c r="M797" s="2335">
        <f>+SUMIFS('PdI-crono_inv'!BH:BH,'PdI-crono_inv'!CF:CF,F797,'PdI-crono_inv'!CE:CE,H797,'PdI-crono_inv'!J:J,P797,'PdI-crono_inv'!P:P,"&lt;&gt;proprietario")+S797</f>
        <v>0</v>
      </c>
      <c r="P797" s="1013" t="s">
        <v>25486</v>
      </c>
      <c r="Q797" s="1932" t="str">
        <f>+VLOOKUP(F797,TT_Tabelle_Riferimento!$D$127:$E$164,2,FALSE)</f>
        <v>Comune</v>
      </c>
      <c r="R797" s="1932" t="str">
        <f t="shared" si="72"/>
        <v/>
      </c>
      <c r="S797" s="2335">
        <f t="shared" si="71"/>
        <v>0</v>
      </c>
    </row>
    <row r="798" spans="1:19">
      <c r="A798" s="1932">
        <f t="shared" si="69"/>
        <v>0</v>
      </c>
      <c r="B798" s="1932">
        <f t="shared" si="70"/>
        <v>0</v>
      </c>
      <c r="C798" s="1013" t="s">
        <v>245</v>
      </c>
      <c r="D798" s="1013">
        <v>0</v>
      </c>
      <c r="E798" s="1013" t="s">
        <v>22698</v>
      </c>
      <c r="F798" s="1013">
        <v>34</v>
      </c>
      <c r="G798" s="1932" t="str">
        <f>+VLOOKUP(F798,TT_Tabelle_Riferimento!$D$127:$G$164,4,FALSE)</f>
        <v>Fabbricati industriali</v>
      </c>
      <c r="H798" s="1013">
        <v>3</v>
      </c>
      <c r="I798" s="1932" t="str">
        <f>+VLOOKUP(H798,TT_Tabelle_Riferimento!$F$3:$G$6,2,FALSE)</f>
        <v>Altri servizi idrici</v>
      </c>
      <c r="J798" s="1013">
        <v>2028</v>
      </c>
      <c r="K798" s="2335">
        <f>+SUMIFS('PdI-crono_inv'!BG:BG,'PdI-crono_inv'!CF:CF,F798,'PdI-crono_inv'!CE:CE,H798,'PdI-crono_inv'!J:J,P798,'PdI-crono_inv'!P:P,"&lt;&gt;proprietario")</f>
        <v>0</v>
      </c>
      <c r="M798" s="2335">
        <f>+SUMIFS('PdI-crono_inv'!BH:BH,'PdI-crono_inv'!CF:CF,F798,'PdI-crono_inv'!CE:CE,H798,'PdI-crono_inv'!J:J,P798,'PdI-crono_inv'!P:P,"&lt;&gt;proprietario")+S798</f>
        <v>0</v>
      </c>
      <c r="P798" s="1013" t="s">
        <v>25486</v>
      </c>
      <c r="Q798" s="1932" t="str">
        <f>+VLOOKUP(F798,TT_Tabelle_Riferimento!$D$127:$E$164,2,FALSE)</f>
        <v>Comune</v>
      </c>
      <c r="R798" s="1932" t="str">
        <f t="shared" si="72"/>
        <v/>
      </c>
      <c r="S798" s="2335">
        <f t="shared" si="71"/>
        <v>0</v>
      </c>
    </row>
    <row r="799" spans="1:19">
      <c r="A799" s="1932">
        <f t="shared" si="69"/>
        <v>0</v>
      </c>
      <c r="B799" s="1932">
        <f t="shared" si="70"/>
        <v>0</v>
      </c>
      <c r="C799" s="1013" t="s">
        <v>245</v>
      </c>
      <c r="D799" s="1013">
        <v>0</v>
      </c>
      <c r="E799" s="1013" t="s">
        <v>22698</v>
      </c>
      <c r="F799" s="1013">
        <v>35</v>
      </c>
      <c r="G799" s="1932" t="str">
        <f>+VLOOKUP(F799,TT_Tabelle_Riferimento!$D$127:$G$164,4,FALSE)</f>
        <v>Costruzioni leggere</v>
      </c>
      <c r="H799" s="1013">
        <v>3</v>
      </c>
      <c r="I799" s="1932" t="str">
        <f>+VLOOKUP(H799,TT_Tabelle_Riferimento!$F$3:$G$6,2,FALSE)</f>
        <v>Altri servizi idrici</v>
      </c>
      <c r="J799" s="1013">
        <v>2028</v>
      </c>
      <c r="K799" s="2335">
        <f>+SUMIFS('PdI-crono_inv'!BG:BG,'PdI-crono_inv'!CF:CF,F799,'PdI-crono_inv'!CE:CE,H799,'PdI-crono_inv'!J:J,P799,'PdI-crono_inv'!P:P,"&lt;&gt;proprietario")</f>
        <v>0</v>
      </c>
      <c r="M799" s="2335">
        <f>+SUMIFS('PdI-crono_inv'!BH:BH,'PdI-crono_inv'!CF:CF,F799,'PdI-crono_inv'!CE:CE,H799,'PdI-crono_inv'!J:J,P799,'PdI-crono_inv'!P:P,"&lt;&gt;proprietario")+S799</f>
        <v>0</v>
      </c>
      <c r="P799" s="1013" t="s">
        <v>25486</v>
      </c>
      <c r="Q799" s="1932" t="str">
        <f>+VLOOKUP(F799,TT_Tabelle_Riferimento!$D$127:$E$164,2,FALSE)</f>
        <v>Comune</v>
      </c>
      <c r="R799" s="1932" t="str">
        <f t="shared" si="72"/>
        <v/>
      </c>
      <c r="S799" s="2335">
        <f t="shared" si="71"/>
        <v>0</v>
      </c>
    </row>
    <row r="800" spans="1:19">
      <c r="A800" s="1932">
        <f t="shared" si="69"/>
        <v>0</v>
      </c>
      <c r="B800" s="1932">
        <f t="shared" si="70"/>
        <v>0</v>
      </c>
      <c r="C800" s="1013" t="s">
        <v>245</v>
      </c>
      <c r="D800" s="1013">
        <v>0</v>
      </c>
      <c r="E800" s="1013" t="s">
        <v>22698</v>
      </c>
      <c r="F800" s="1013">
        <v>36</v>
      </c>
      <c r="G800" s="1932" t="str">
        <f>+VLOOKUP(F800,TT_Tabelle_Riferimento!$D$127:$G$164,4,FALSE)</f>
        <v>Studi, ricerche, brevetti, diritti di utilizzazione</v>
      </c>
      <c r="H800" s="1013">
        <v>3</v>
      </c>
      <c r="I800" s="1932" t="str">
        <f>+VLOOKUP(H800,TT_Tabelle_Riferimento!$F$3:$G$6,2,FALSE)</f>
        <v>Altri servizi idrici</v>
      </c>
      <c r="J800" s="1013">
        <v>2028</v>
      </c>
      <c r="K800" s="2335">
        <f>+SUMIFS('PdI-crono_inv'!BG:BG,'PdI-crono_inv'!CF:CF,F800,'PdI-crono_inv'!CE:CE,H800,'PdI-crono_inv'!J:J,P800,'PdI-crono_inv'!P:P,"&lt;&gt;proprietario")</f>
        <v>0</v>
      </c>
      <c r="M800" s="2335">
        <f>+SUMIFS('PdI-crono_inv'!BH:BH,'PdI-crono_inv'!CF:CF,F800,'PdI-crono_inv'!CE:CE,H800,'PdI-crono_inv'!J:J,P800,'PdI-crono_inv'!P:P,"&lt;&gt;proprietario")+S800</f>
        <v>0</v>
      </c>
      <c r="P800" s="1013" t="s">
        <v>25486</v>
      </c>
      <c r="Q800" s="1932" t="str">
        <f>+VLOOKUP(F800,TT_Tabelle_Riferimento!$D$127:$E$164,2,FALSE)</f>
        <v>Comune</v>
      </c>
      <c r="R800" s="1932" t="str">
        <f t="shared" si="72"/>
        <v/>
      </c>
      <c r="S800" s="2335">
        <f t="shared" si="71"/>
        <v>0</v>
      </c>
    </row>
    <row r="801" spans="1:19">
      <c r="A801" s="1932">
        <f t="shared" si="69"/>
        <v>0</v>
      </c>
      <c r="B801" s="1932">
        <f t="shared" si="70"/>
        <v>0</v>
      </c>
      <c r="C801" s="1013" t="s">
        <v>245</v>
      </c>
      <c r="D801" s="1013">
        <v>0</v>
      </c>
      <c r="E801" s="1013" t="s">
        <v>22698</v>
      </c>
      <c r="F801" s="1013">
        <v>37</v>
      </c>
      <c r="G801" s="1932" t="str">
        <f>+VLOOKUP(F801,TT_Tabelle_Riferimento!$D$127:$G$164,4,FALSE)</f>
        <v>Altre immobilizzazioni materiali e immateriali</v>
      </c>
      <c r="H801" s="1013">
        <v>3</v>
      </c>
      <c r="I801" s="1932" t="str">
        <f>+VLOOKUP(H801,TT_Tabelle_Riferimento!$F$3:$G$6,2,FALSE)</f>
        <v>Altri servizi idrici</v>
      </c>
      <c r="J801" s="1013">
        <v>2028</v>
      </c>
      <c r="K801" s="2335">
        <f>+SUMIFS('PdI-crono_inv'!BG:BG,'PdI-crono_inv'!CF:CF,F801,'PdI-crono_inv'!CE:CE,H801,'PdI-crono_inv'!J:J,P801,'PdI-crono_inv'!P:P,"&lt;&gt;proprietario")</f>
        <v>0</v>
      </c>
      <c r="M801" s="2335">
        <f>+SUMIFS('PdI-crono_inv'!BH:BH,'PdI-crono_inv'!CF:CF,F801,'PdI-crono_inv'!CE:CE,H801,'PdI-crono_inv'!J:J,P801,'PdI-crono_inv'!P:P,"&lt;&gt;proprietario")+S801</f>
        <v>0</v>
      </c>
      <c r="P801" s="1013" t="s">
        <v>25486</v>
      </c>
      <c r="Q801" s="1932" t="str">
        <f>+VLOOKUP(F801,TT_Tabelle_Riferimento!$D$127:$E$164,2,FALSE)</f>
        <v>Comune</v>
      </c>
      <c r="R801" s="1932" t="str">
        <f t="shared" si="72"/>
        <v/>
      </c>
      <c r="S801" s="2335">
        <f t="shared" si="71"/>
        <v>0</v>
      </c>
    </row>
    <row r="802" spans="1:19">
      <c r="A802" s="1932">
        <f t="shared" si="69"/>
        <v>0</v>
      </c>
      <c r="B802" s="1932">
        <f t="shared" si="70"/>
        <v>0</v>
      </c>
      <c r="C802" s="1013" t="s">
        <v>245</v>
      </c>
      <c r="D802" s="1013">
        <v>0</v>
      </c>
      <c r="E802" s="1013" t="s">
        <v>22698</v>
      </c>
      <c r="F802" s="1013">
        <v>38</v>
      </c>
      <c r="G802" s="1932" t="str">
        <f>+VLOOKUP(F802,TT_Tabelle_Riferimento!$D$127:$G$164,4,FALSE)</f>
        <v>Grandi dighe (sbarramenti che superano i quindici metri di altezza o che determinano un invaso superiore a 1 milione di metri cubi)</v>
      </c>
      <c r="H802" s="1013">
        <v>3</v>
      </c>
      <c r="I802" s="1932" t="str">
        <f>+VLOOKUP(H802,TT_Tabelle_Riferimento!$F$3:$G$6,2,FALSE)</f>
        <v>Altri servizi idrici</v>
      </c>
      <c r="J802" s="1013">
        <v>2028</v>
      </c>
      <c r="K802" s="2335">
        <f>+SUMIFS('PdI-crono_inv'!BG:BG,'PdI-crono_inv'!CF:CF,F802,'PdI-crono_inv'!CE:CE,H802,'PdI-crono_inv'!J:J,P802,'PdI-crono_inv'!P:P,"&lt;&gt;proprietario")</f>
        <v>0</v>
      </c>
      <c r="M802" s="2335">
        <f>+SUMIFS('PdI-crono_inv'!BH:BH,'PdI-crono_inv'!CF:CF,F802,'PdI-crono_inv'!CE:CE,H802,'PdI-crono_inv'!J:J,P802,'PdI-crono_inv'!P:P,"&lt;&gt;proprietario")+S802</f>
        <v>0</v>
      </c>
      <c r="P802" s="1013" t="s">
        <v>25486</v>
      </c>
      <c r="Q802" s="1932" t="str">
        <f>+VLOOKUP(F802,TT_Tabelle_Riferimento!$D$127:$E$164,2,FALSE)</f>
        <v>Acquedotto</v>
      </c>
      <c r="R802" s="1932" t="str">
        <f t="shared" si="72"/>
        <v/>
      </c>
      <c r="S802" s="2335">
        <f t="shared" si="71"/>
        <v>0</v>
      </c>
    </row>
    <row r="803" spans="1:19">
      <c r="A803" s="1932">
        <f t="shared" si="69"/>
        <v>0</v>
      </c>
      <c r="B803" s="1932">
        <f t="shared" si="70"/>
        <v>0</v>
      </c>
      <c r="C803" s="1013" t="s">
        <v>245</v>
      </c>
      <c r="D803" s="1013">
        <v>0</v>
      </c>
      <c r="E803" s="1013" t="s">
        <v>22698</v>
      </c>
      <c r="F803" s="1013">
        <v>39</v>
      </c>
      <c r="G803" s="1932" t="str">
        <f>+VLOOKUP(F803,TT_Tabelle_Riferimento!$D$127:$G$164,4,FALSE)</f>
        <v>Piccole dighe (sbarramenti che non superano i quindici metri di altezza o che determinano un invaso non superiore a 1 milione di metri cubi)</v>
      </c>
      <c r="H803" s="1013">
        <v>3</v>
      </c>
      <c r="I803" s="1932" t="str">
        <f>+VLOOKUP(H803,TT_Tabelle_Riferimento!$F$3:$G$6,2,FALSE)</f>
        <v>Altri servizi idrici</v>
      </c>
      <c r="J803" s="1013">
        <v>2028</v>
      </c>
      <c r="K803" s="2335">
        <f>+SUMIFS('PdI-crono_inv'!BG:BG,'PdI-crono_inv'!CF:CF,F803,'PdI-crono_inv'!CE:CE,H803,'PdI-crono_inv'!J:J,P803,'PdI-crono_inv'!P:P,"&lt;&gt;proprietario")</f>
        <v>0</v>
      </c>
      <c r="M803" s="2335">
        <f>+SUMIFS('PdI-crono_inv'!BH:BH,'PdI-crono_inv'!CF:CF,F803,'PdI-crono_inv'!CE:CE,H803,'PdI-crono_inv'!J:J,P803,'PdI-crono_inv'!P:P,"&lt;&gt;proprietario")+S803</f>
        <v>0</v>
      </c>
      <c r="P803" s="1013" t="s">
        <v>25486</v>
      </c>
      <c r="Q803" s="1932" t="str">
        <f>+VLOOKUP(F803,TT_Tabelle_Riferimento!$D$127:$E$164,2,FALSE)</f>
        <v>Acquedotto</v>
      </c>
      <c r="R803" s="1932" t="str">
        <f t="shared" si="72"/>
        <v/>
      </c>
      <c r="S803" s="2335">
        <f t="shared" si="71"/>
        <v>0</v>
      </c>
    </row>
    <row r="804" spans="1:19">
      <c r="A804" s="1932">
        <f t="shared" si="69"/>
        <v>0</v>
      </c>
      <c r="B804" s="1932">
        <f t="shared" si="70"/>
        <v>0</v>
      </c>
      <c r="C804" s="1013" t="s">
        <v>245</v>
      </c>
      <c r="D804" s="1013">
        <v>0</v>
      </c>
      <c r="E804" s="1013" t="s">
        <v>22698</v>
      </c>
      <c r="F804" s="1013">
        <v>2</v>
      </c>
      <c r="G804" s="1932" t="str">
        <f>+VLOOKUP(F804,TT_Tabelle_Riferimento!$D$127:$G$164,4,FALSE)</f>
        <v>Condotte di acquedotto</v>
      </c>
      <c r="H804" s="1013">
        <v>1</v>
      </c>
      <c r="I804" s="1932" t="str">
        <f>+VLOOKUP(H804,TT_Tabelle_Riferimento!$F$3:$G$6,2,FALSE)</f>
        <v>Servizio idrico integrato</v>
      </c>
      <c r="J804" s="1013">
        <v>2028</v>
      </c>
      <c r="K804" s="2335">
        <f>+SUMIFS('PdI-crono_inv'!BG:BG,'PdI-crono_inv'!CF:CF,F804,'PdI-crono_inv'!CE:CE,H804,'PdI-crono_inv'!J:J,P804,'PdI-crono_inv'!P:P,"&lt;&gt;proprietario")</f>
        <v>0</v>
      </c>
      <c r="M804" s="2335">
        <f>+SUMIFS('PdI-crono_inv'!BH:BH,'PdI-crono_inv'!CF:CF,F804,'PdI-crono_inv'!CE:CE,H804,'PdI-crono_inv'!J:J,P804,'PdI-crono_inv'!P:P,"&lt;&gt;proprietario")+S804</f>
        <v>0</v>
      </c>
      <c r="P804" s="1013" t="s">
        <v>25481</v>
      </c>
      <c r="Q804" s="1932" t="str">
        <f>+VLOOKUP(F804,TT_Tabelle_Riferimento!$D$127:$E$164,2,FALSE)</f>
        <v>Acquedotto</v>
      </c>
      <c r="R804" s="1932" t="str">
        <f t="shared" si="72"/>
        <v/>
      </c>
      <c r="S804" s="2335">
        <f t="shared" si="71"/>
        <v>0</v>
      </c>
    </row>
    <row r="805" spans="1:19">
      <c r="A805" s="1932">
        <f t="shared" si="69"/>
        <v>0</v>
      </c>
      <c r="B805" s="1932">
        <f t="shared" si="70"/>
        <v>0</v>
      </c>
      <c r="C805" s="1013" t="s">
        <v>245</v>
      </c>
      <c r="D805" s="1013">
        <v>0</v>
      </c>
      <c r="E805" s="1013" t="s">
        <v>22698</v>
      </c>
      <c r="F805" s="1013">
        <v>3</v>
      </c>
      <c r="G805" s="1932" t="str">
        <f>+VLOOKUP(F805,TT_Tabelle_Riferimento!$D$127:$G$164,4,FALSE)</f>
        <v>Opere idrauliche fisse di acquedotto</v>
      </c>
      <c r="H805" s="1013">
        <v>1</v>
      </c>
      <c r="I805" s="1932" t="str">
        <f>+VLOOKUP(H805,TT_Tabelle_Riferimento!$F$3:$G$6,2,FALSE)</f>
        <v>Servizio idrico integrato</v>
      </c>
      <c r="J805" s="1013">
        <v>2028</v>
      </c>
      <c r="K805" s="2335">
        <f>+SUMIFS('PdI-crono_inv'!BG:BG,'PdI-crono_inv'!CF:CF,F805,'PdI-crono_inv'!CE:CE,H805,'PdI-crono_inv'!J:J,P805,'PdI-crono_inv'!P:P,"&lt;&gt;proprietario")</f>
        <v>0</v>
      </c>
      <c r="M805" s="2335">
        <f>+SUMIFS('PdI-crono_inv'!BH:BH,'PdI-crono_inv'!CF:CF,F805,'PdI-crono_inv'!CE:CE,H805,'PdI-crono_inv'!J:J,P805,'PdI-crono_inv'!P:P,"&lt;&gt;proprietario")+S805</f>
        <v>0</v>
      </c>
      <c r="P805" s="1013" t="s">
        <v>25481</v>
      </c>
      <c r="Q805" s="1932" t="str">
        <f>+VLOOKUP(F805,TT_Tabelle_Riferimento!$D$127:$E$164,2,FALSE)</f>
        <v>Acquedotto</v>
      </c>
      <c r="R805" s="1932" t="str">
        <f t="shared" si="72"/>
        <v/>
      </c>
      <c r="S805" s="2335">
        <f t="shared" si="71"/>
        <v>0</v>
      </c>
    </row>
    <row r="806" spans="1:19">
      <c r="A806" s="1932">
        <f t="shared" si="69"/>
        <v>0</v>
      </c>
      <c r="B806" s="1932">
        <f t="shared" si="70"/>
        <v>0</v>
      </c>
      <c r="C806" s="1013" t="s">
        <v>245</v>
      </c>
      <c r="D806" s="1013">
        <v>0</v>
      </c>
      <c r="E806" s="1013" t="s">
        <v>22698</v>
      </c>
      <c r="F806" s="1013">
        <v>4</v>
      </c>
      <c r="G806" s="1932" t="str">
        <f>+VLOOKUP(F806,TT_Tabelle_Riferimento!$D$127:$G$164,4,FALSE)</f>
        <v>Serbatoi</v>
      </c>
      <c r="H806" s="1013">
        <v>1</v>
      </c>
      <c r="I806" s="1932" t="str">
        <f>+VLOOKUP(H806,TT_Tabelle_Riferimento!$F$3:$G$6,2,FALSE)</f>
        <v>Servizio idrico integrato</v>
      </c>
      <c r="J806" s="1013">
        <v>2028</v>
      </c>
      <c r="K806" s="2335">
        <f>+SUMIFS('PdI-crono_inv'!BG:BG,'PdI-crono_inv'!CF:CF,F806,'PdI-crono_inv'!CE:CE,H806,'PdI-crono_inv'!J:J,P806,'PdI-crono_inv'!P:P,"&lt;&gt;proprietario")</f>
        <v>0</v>
      </c>
      <c r="M806" s="2335">
        <f>+SUMIFS('PdI-crono_inv'!BH:BH,'PdI-crono_inv'!CF:CF,F806,'PdI-crono_inv'!CE:CE,H806,'PdI-crono_inv'!J:J,P806,'PdI-crono_inv'!P:P,"&lt;&gt;proprietario")+S806</f>
        <v>0</v>
      </c>
      <c r="P806" s="1013" t="s">
        <v>25481</v>
      </c>
      <c r="Q806" s="1932" t="str">
        <f>+VLOOKUP(F806,TT_Tabelle_Riferimento!$D$127:$E$164,2,FALSE)</f>
        <v>Acquedotto</v>
      </c>
      <c r="R806" s="1932" t="str">
        <f t="shared" si="72"/>
        <v/>
      </c>
      <c r="S806" s="2335">
        <f t="shared" si="71"/>
        <v>0</v>
      </c>
    </row>
    <row r="807" spans="1:19">
      <c r="A807" s="1932">
        <f t="shared" si="69"/>
        <v>0</v>
      </c>
      <c r="B807" s="1932">
        <f t="shared" si="70"/>
        <v>0</v>
      </c>
      <c r="C807" s="1013" t="s">
        <v>245</v>
      </c>
      <c r="D807" s="1013">
        <v>0</v>
      </c>
      <c r="E807" s="1013" t="s">
        <v>22698</v>
      </c>
      <c r="F807" s="1013">
        <v>5</v>
      </c>
      <c r="G807" s="1932" t="str">
        <f>+VLOOKUP(F807,TT_Tabelle_Riferimento!$D$127:$G$164,4,FALSE)</f>
        <v>Impianti di sollevamento e pompaggio di acquedotto</v>
      </c>
      <c r="H807" s="1013">
        <v>1</v>
      </c>
      <c r="I807" s="1932" t="str">
        <f>+VLOOKUP(H807,TT_Tabelle_Riferimento!$F$3:$G$6,2,FALSE)</f>
        <v>Servizio idrico integrato</v>
      </c>
      <c r="J807" s="1013">
        <v>2028</v>
      </c>
      <c r="K807" s="2335">
        <f>+SUMIFS('PdI-crono_inv'!BG:BG,'PdI-crono_inv'!CF:CF,F807,'PdI-crono_inv'!CE:CE,H807,'PdI-crono_inv'!J:J,P807,'PdI-crono_inv'!P:P,"&lt;&gt;proprietario")</f>
        <v>0</v>
      </c>
      <c r="M807" s="2335">
        <f>+SUMIFS('PdI-crono_inv'!BH:BH,'PdI-crono_inv'!CF:CF,F807,'PdI-crono_inv'!CE:CE,H807,'PdI-crono_inv'!J:J,P807,'PdI-crono_inv'!P:P,"&lt;&gt;proprietario")+S807</f>
        <v>0</v>
      </c>
      <c r="P807" s="1013" t="s">
        <v>25481</v>
      </c>
      <c r="Q807" s="1932" t="str">
        <f>+VLOOKUP(F807,TT_Tabelle_Riferimento!$D$127:$E$164,2,FALSE)</f>
        <v>Acquedotto</v>
      </c>
      <c r="R807" s="1932" t="str">
        <f t="shared" si="72"/>
        <v/>
      </c>
      <c r="S807" s="2335">
        <f t="shared" si="71"/>
        <v>0</v>
      </c>
    </row>
    <row r="808" spans="1:19">
      <c r="A808" s="1932">
        <f t="shared" si="69"/>
        <v>0</v>
      </c>
      <c r="B808" s="1932">
        <f t="shared" si="70"/>
        <v>0</v>
      </c>
      <c r="C808" s="1013" t="s">
        <v>245</v>
      </c>
      <c r="D808" s="1013">
        <v>0</v>
      </c>
      <c r="E808" s="1013" t="s">
        <v>22698</v>
      </c>
      <c r="F808" s="1013">
        <v>6</v>
      </c>
      <c r="G808" s="1932" t="str">
        <f>+VLOOKUP(F808,TT_Tabelle_Riferimento!$D$127:$G$164,4,FALSE)</f>
        <v>Impianti di potabilizzazione</v>
      </c>
      <c r="H808" s="1013">
        <v>1</v>
      </c>
      <c r="I808" s="1932" t="str">
        <f>+VLOOKUP(H808,TT_Tabelle_Riferimento!$F$3:$G$6,2,FALSE)</f>
        <v>Servizio idrico integrato</v>
      </c>
      <c r="J808" s="1013">
        <v>2028</v>
      </c>
      <c r="K808" s="2335">
        <f>+SUMIFS('PdI-crono_inv'!BG:BG,'PdI-crono_inv'!CF:CF,F808,'PdI-crono_inv'!CE:CE,H808,'PdI-crono_inv'!J:J,P808,'PdI-crono_inv'!P:P,"&lt;&gt;proprietario")</f>
        <v>0</v>
      </c>
      <c r="M808" s="2335">
        <f>+SUMIFS('PdI-crono_inv'!BH:BH,'PdI-crono_inv'!CF:CF,F808,'PdI-crono_inv'!CE:CE,H808,'PdI-crono_inv'!J:J,P808,'PdI-crono_inv'!P:P,"&lt;&gt;proprietario")+S808</f>
        <v>0</v>
      </c>
      <c r="P808" s="1013" t="s">
        <v>25481</v>
      </c>
      <c r="Q808" s="1932" t="str">
        <f>+VLOOKUP(F808,TT_Tabelle_Riferimento!$D$127:$E$164,2,FALSE)</f>
        <v>Acquedotto</v>
      </c>
      <c r="R808" s="1932" t="str">
        <f t="shared" si="72"/>
        <v/>
      </c>
      <c r="S808" s="2335">
        <f t="shared" si="71"/>
        <v>0</v>
      </c>
    </row>
    <row r="809" spans="1:19">
      <c r="A809" s="1932">
        <f t="shared" si="69"/>
        <v>0</v>
      </c>
      <c r="B809" s="1932">
        <f t="shared" si="70"/>
        <v>0</v>
      </c>
      <c r="C809" s="1013" t="s">
        <v>245</v>
      </c>
      <c r="D809" s="1013">
        <v>0</v>
      </c>
      <c r="E809" s="1013" t="s">
        <v>22698</v>
      </c>
      <c r="F809" s="1013">
        <v>7</v>
      </c>
      <c r="G809" s="1932" t="str">
        <f>+VLOOKUP(F809,TT_Tabelle_Riferimento!$D$127:$G$164,4,FALSE)</f>
        <v>Altri trattamenti di potabilizzazione (tra cui dispositivi di disinfezione, stacciatura, filtrazione, addolcimento)</v>
      </c>
      <c r="H809" s="1013">
        <v>1</v>
      </c>
      <c r="I809" s="1932" t="str">
        <f>+VLOOKUP(H809,TT_Tabelle_Riferimento!$F$3:$G$6,2,FALSE)</f>
        <v>Servizio idrico integrato</v>
      </c>
      <c r="J809" s="1013">
        <v>2028</v>
      </c>
      <c r="K809" s="2335">
        <f>+SUMIFS('PdI-crono_inv'!BG:BG,'PdI-crono_inv'!CF:CF,F809,'PdI-crono_inv'!CE:CE,H809,'PdI-crono_inv'!J:J,P809,'PdI-crono_inv'!P:P,"&lt;&gt;proprietario")</f>
        <v>0</v>
      </c>
      <c r="M809" s="2335">
        <f>+SUMIFS('PdI-crono_inv'!BH:BH,'PdI-crono_inv'!CF:CF,F809,'PdI-crono_inv'!CE:CE,H809,'PdI-crono_inv'!J:J,P809,'PdI-crono_inv'!P:P,"&lt;&gt;proprietario")+S809</f>
        <v>0</v>
      </c>
      <c r="P809" s="1013" t="s">
        <v>25481</v>
      </c>
      <c r="Q809" s="1932" t="str">
        <f>+VLOOKUP(F809,TT_Tabelle_Riferimento!$D$127:$E$164,2,FALSE)</f>
        <v>Acquedotto</v>
      </c>
      <c r="R809" s="1932" t="str">
        <f t="shared" si="72"/>
        <v/>
      </c>
      <c r="S809" s="2335">
        <f t="shared" si="71"/>
        <v>0</v>
      </c>
    </row>
    <row r="810" spans="1:19">
      <c r="A810" s="1932">
        <f t="shared" si="69"/>
        <v>0</v>
      </c>
      <c r="B810" s="1932">
        <f t="shared" si="70"/>
        <v>0</v>
      </c>
      <c r="C810" s="1013" t="s">
        <v>245</v>
      </c>
      <c r="D810" s="1013">
        <v>0</v>
      </c>
      <c r="E810" s="1013" t="s">
        <v>22698</v>
      </c>
      <c r="F810" s="1013">
        <v>8</v>
      </c>
      <c r="G810" s="1932" t="str">
        <f>+VLOOKUP(F810,TT_Tabelle_Riferimento!$D$127:$G$164,4,FALSE)</f>
        <v>Gruppi di misura - altre attrezzature di acquedotto</v>
      </c>
      <c r="H810" s="1013">
        <v>1</v>
      </c>
      <c r="I810" s="1932" t="str">
        <f>+VLOOKUP(H810,TT_Tabelle_Riferimento!$F$3:$G$6,2,FALSE)</f>
        <v>Servizio idrico integrato</v>
      </c>
      <c r="J810" s="1013">
        <v>2028</v>
      </c>
      <c r="K810" s="2335">
        <f>+SUMIFS('PdI-crono_inv'!BG:BG,'PdI-crono_inv'!CF:CF,F810,'PdI-crono_inv'!CE:CE,H810,'PdI-crono_inv'!J:J,P810,'PdI-crono_inv'!P:P,"&lt;&gt;proprietario")</f>
        <v>0</v>
      </c>
      <c r="M810" s="2335">
        <f>+SUMIFS('PdI-crono_inv'!BH:BH,'PdI-crono_inv'!CF:CF,F810,'PdI-crono_inv'!CE:CE,H810,'PdI-crono_inv'!J:J,P810,'PdI-crono_inv'!P:P,"&lt;&gt;proprietario")+S810</f>
        <v>0</v>
      </c>
      <c r="P810" s="1013" t="s">
        <v>25481</v>
      </c>
      <c r="Q810" s="1932" t="str">
        <f>+VLOOKUP(F810,TT_Tabelle_Riferimento!$D$127:$E$164,2,FALSE)</f>
        <v>Acquedotto</v>
      </c>
      <c r="R810" s="1932" t="str">
        <f t="shared" si="72"/>
        <v/>
      </c>
      <c r="S810" s="2335">
        <f t="shared" si="71"/>
        <v>0</v>
      </c>
    </row>
    <row r="811" spans="1:19">
      <c r="A811" s="1932">
        <f t="shared" si="69"/>
        <v>0</v>
      </c>
      <c r="B811" s="1932">
        <f t="shared" si="70"/>
        <v>0</v>
      </c>
      <c r="C811" s="1013" t="s">
        <v>245</v>
      </c>
      <c r="D811" s="1013">
        <v>0</v>
      </c>
      <c r="E811" s="1013" t="s">
        <v>22698</v>
      </c>
      <c r="F811" s="1013">
        <v>9</v>
      </c>
      <c r="G811" s="1932" t="str">
        <f>+VLOOKUP(F811,TT_Tabelle_Riferimento!$D$127:$G$164,4,FALSE)</f>
        <v>Sistemi informativi di acquedotto</v>
      </c>
      <c r="H811" s="1013">
        <v>1</v>
      </c>
      <c r="I811" s="1932" t="str">
        <f>+VLOOKUP(H811,TT_Tabelle_Riferimento!$F$3:$G$6,2,FALSE)</f>
        <v>Servizio idrico integrato</v>
      </c>
      <c r="J811" s="1013">
        <v>2028</v>
      </c>
      <c r="K811" s="2335">
        <f>+SUMIFS('PdI-crono_inv'!BG:BG,'PdI-crono_inv'!CF:CF,F811,'PdI-crono_inv'!CE:CE,H811,'PdI-crono_inv'!J:J,P811,'PdI-crono_inv'!P:P,"&lt;&gt;proprietario")</f>
        <v>0</v>
      </c>
      <c r="M811" s="2335">
        <f>+SUMIFS('PdI-crono_inv'!BH:BH,'PdI-crono_inv'!CF:CF,F811,'PdI-crono_inv'!CE:CE,H811,'PdI-crono_inv'!J:J,P811,'PdI-crono_inv'!P:P,"&lt;&gt;proprietario")+S811</f>
        <v>0</v>
      </c>
      <c r="P811" s="1013" t="s">
        <v>25481</v>
      </c>
      <c r="Q811" s="1932" t="str">
        <f>+VLOOKUP(F811,TT_Tabelle_Riferimento!$D$127:$E$164,2,FALSE)</f>
        <v>Acquedotto</v>
      </c>
      <c r="R811" s="1932" t="str">
        <f t="shared" si="72"/>
        <v/>
      </c>
      <c r="S811" s="2335">
        <f t="shared" si="71"/>
        <v>0</v>
      </c>
    </row>
    <row r="812" spans="1:19">
      <c r="A812" s="1932">
        <f t="shared" si="69"/>
        <v>0</v>
      </c>
      <c r="B812" s="1932">
        <f t="shared" si="70"/>
        <v>0</v>
      </c>
      <c r="C812" s="1013" t="s">
        <v>245</v>
      </c>
      <c r="D812" s="1013">
        <v>0</v>
      </c>
      <c r="E812" s="1013" t="s">
        <v>22698</v>
      </c>
      <c r="F812" s="1013">
        <v>10</v>
      </c>
      <c r="G812" s="1932" t="str">
        <f>+VLOOKUP(F812,TT_Tabelle_Riferimento!$D$127:$G$164,4,FALSE)</f>
        <v>Telecontrollo e teletrasmissione di acquedotto</v>
      </c>
      <c r="H812" s="1013">
        <v>1</v>
      </c>
      <c r="I812" s="1932" t="str">
        <f>+VLOOKUP(H812,TT_Tabelle_Riferimento!$F$3:$G$6,2,FALSE)</f>
        <v>Servizio idrico integrato</v>
      </c>
      <c r="J812" s="1013">
        <v>2028</v>
      </c>
      <c r="K812" s="2335">
        <f>+SUMIFS('PdI-crono_inv'!BG:BG,'PdI-crono_inv'!CF:CF,F812,'PdI-crono_inv'!CE:CE,H812,'PdI-crono_inv'!J:J,P812,'PdI-crono_inv'!P:P,"&lt;&gt;proprietario")</f>
        <v>0</v>
      </c>
      <c r="M812" s="2335">
        <f>+SUMIFS('PdI-crono_inv'!BH:BH,'PdI-crono_inv'!CF:CF,F812,'PdI-crono_inv'!CE:CE,H812,'PdI-crono_inv'!J:J,P812,'PdI-crono_inv'!P:P,"&lt;&gt;proprietario")+S812</f>
        <v>0</v>
      </c>
      <c r="P812" s="1013" t="s">
        <v>25481</v>
      </c>
      <c r="Q812" s="1932" t="str">
        <f>+VLOOKUP(F812,TT_Tabelle_Riferimento!$D$127:$E$164,2,FALSE)</f>
        <v>Acquedotto</v>
      </c>
      <c r="R812" s="1932" t="str">
        <f t="shared" si="72"/>
        <v/>
      </c>
      <c r="S812" s="2335">
        <f t="shared" si="71"/>
        <v>0</v>
      </c>
    </row>
    <row r="813" spans="1:19">
      <c r="A813" s="1932">
        <f t="shared" si="69"/>
        <v>0</v>
      </c>
      <c r="B813" s="1932">
        <f t="shared" si="70"/>
        <v>0</v>
      </c>
      <c r="C813" s="1013" t="s">
        <v>245</v>
      </c>
      <c r="D813" s="1013">
        <v>0</v>
      </c>
      <c r="E813" s="1013" t="s">
        <v>22698</v>
      </c>
      <c r="F813" s="1013">
        <v>11</v>
      </c>
      <c r="G813" s="1932" t="str">
        <f>+VLOOKUP(F813,TT_Tabelle_Riferimento!$D$127:$G$164,4,FALSE)</f>
        <v>Condotte fognarie</v>
      </c>
      <c r="H813" s="1013">
        <v>1</v>
      </c>
      <c r="I813" s="1932" t="str">
        <f>+VLOOKUP(H813,TT_Tabelle_Riferimento!$F$3:$G$6,2,FALSE)</f>
        <v>Servizio idrico integrato</v>
      </c>
      <c r="J813" s="1013">
        <v>2028</v>
      </c>
      <c r="K813" s="2335">
        <f>+SUMIFS('PdI-crono_inv'!BG:BG,'PdI-crono_inv'!CF:CF,F813,'PdI-crono_inv'!CE:CE,H813,'PdI-crono_inv'!J:J,P813,'PdI-crono_inv'!P:P,"&lt;&gt;proprietario")</f>
        <v>0</v>
      </c>
      <c r="M813" s="2335">
        <f>+SUMIFS('PdI-crono_inv'!BH:BH,'PdI-crono_inv'!CF:CF,F813,'PdI-crono_inv'!CE:CE,H813,'PdI-crono_inv'!J:J,P813,'PdI-crono_inv'!P:P,"&lt;&gt;proprietario")+S813</f>
        <v>0</v>
      </c>
      <c r="P813" s="1013" t="s">
        <v>25481</v>
      </c>
      <c r="Q813" s="1932" t="str">
        <f>+VLOOKUP(F813,TT_Tabelle_Riferimento!$D$127:$E$164,2,FALSE)</f>
        <v>Fognatura</v>
      </c>
      <c r="R813" s="1932" t="str">
        <f t="shared" si="72"/>
        <v/>
      </c>
      <c r="S813" s="2335">
        <f t="shared" si="71"/>
        <v>0</v>
      </c>
    </row>
    <row r="814" spans="1:19">
      <c r="A814" s="1932">
        <f t="shared" si="69"/>
        <v>0</v>
      </c>
      <c r="B814" s="1932">
        <f t="shared" si="70"/>
        <v>0</v>
      </c>
      <c r="C814" s="1013" t="s">
        <v>245</v>
      </c>
      <c r="D814" s="1013">
        <v>0</v>
      </c>
      <c r="E814" s="1013" t="s">
        <v>22698</v>
      </c>
      <c r="F814" s="1013">
        <v>12</v>
      </c>
      <c r="G814" s="1932" t="str">
        <f>+VLOOKUP(F814,TT_Tabelle_Riferimento!$D$127:$G$164,4,FALSE)</f>
        <v>Sifoni e scaricatori di piena e altre opere idrauliche fisse di fognatura</v>
      </c>
      <c r="H814" s="1013">
        <v>1</v>
      </c>
      <c r="I814" s="1932" t="str">
        <f>+VLOOKUP(H814,TT_Tabelle_Riferimento!$F$3:$G$6,2,FALSE)</f>
        <v>Servizio idrico integrato</v>
      </c>
      <c r="J814" s="1013">
        <v>2028</v>
      </c>
      <c r="K814" s="2335">
        <f>+SUMIFS('PdI-crono_inv'!BG:BG,'PdI-crono_inv'!CF:CF,F814,'PdI-crono_inv'!CE:CE,H814,'PdI-crono_inv'!J:J,P814,'PdI-crono_inv'!P:P,"&lt;&gt;proprietario")</f>
        <v>0</v>
      </c>
      <c r="M814" s="2335">
        <f>+SUMIFS('PdI-crono_inv'!BH:BH,'PdI-crono_inv'!CF:CF,F814,'PdI-crono_inv'!CE:CE,H814,'PdI-crono_inv'!J:J,P814,'PdI-crono_inv'!P:P,"&lt;&gt;proprietario")+S814</f>
        <v>0</v>
      </c>
      <c r="P814" s="1013" t="s">
        <v>25481</v>
      </c>
      <c r="Q814" s="1932" t="str">
        <f>+VLOOKUP(F814,TT_Tabelle_Riferimento!$D$127:$E$164,2,FALSE)</f>
        <v>Fognatura</v>
      </c>
      <c r="R814" s="1932" t="str">
        <f t="shared" si="72"/>
        <v/>
      </c>
      <c r="S814" s="2335">
        <f t="shared" si="71"/>
        <v>0</v>
      </c>
    </row>
    <row r="815" spans="1:19">
      <c r="A815" s="1932">
        <f t="shared" si="69"/>
        <v>0</v>
      </c>
      <c r="B815" s="1932">
        <f t="shared" si="70"/>
        <v>0</v>
      </c>
      <c r="C815" s="1013" t="s">
        <v>245</v>
      </c>
      <c r="D815" s="1013">
        <v>0</v>
      </c>
      <c r="E815" s="1013" t="s">
        <v>22698</v>
      </c>
      <c r="F815" s="1013">
        <v>13</v>
      </c>
      <c r="G815" s="1932" t="str">
        <f>+VLOOKUP(F815,TT_Tabelle_Riferimento!$D$127:$G$164,4,FALSE)</f>
        <v>Vasche di laminazione e vasche di prima pioggia</v>
      </c>
      <c r="H815" s="1013">
        <v>1</v>
      </c>
      <c r="I815" s="1932" t="str">
        <f>+VLOOKUP(H815,TT_Tabelle_Riferimento!$F$3:$G$6,2,FALSE)</f>
        <v>Servizio idrico integrato</v>
      </c>
      <c r="J815" s="1013">
        <v>2028</v>
      </c>
      <c r="K815" s="2335">
        <f>+SUMIFS('PdI-crono_inv'!BG:BG,'PdI-crono_inv'!CF:CF,F815,'PdI-crono_inv'!CE:CE,H815,'PdI-crono_inv'!J:J,P815,'PdI-crono_inv'!P:P,"&lt;&gt;proprietario")</f>
        <v>0</v>
      </c>
      <c r="M815" s="2335">
        <f>+SUMIFS('PdI-crono_inv'!BH:BH,'PdI-crono_inv'!CF:CF,F815,'PdI-crono_inv'!CE:CE,H815,'PdI-crono_inv'!J:J,P815,'PdI-crono_inv'!P:P,"&lt;&gt;proprietario")+S815</f>
        <v>0</v>
      </c>
      <c r="P815" s="1013" t="s">
        <v>25481</v>
      </c>
      <c r="Q815" s="1932" t="str">
        <f>+VLOOKUP(F815,TT_Tabelle_Riferimento!$D$127:$E$164,2,FALSE)</f>
        <v>Fognatura</v>
      </c>
      <c r="R815" s="1932" t="str">
        <f t="shared" si="72"/>
        <v/>
      </c>
      <c r="S815" s="2335">
        <f t="shared" si="71"/>
        <v>0</v>
      </c>
    </row>
    <row r="816" spans="1:19">
      <c r="A816" s="1932">
        <f t="shared" si="69"/>
        <v>0</v>
      </c>
      <c r="B816" s="1932">
        <f t="shared" si="70"/>
        <v>0</v>
      </c>
      <c r="C816" s="1013" t="s">
        <v>245</v>
      </c>
      <c r="D816" s="1013">
        <v>0</v>
      </c>
      <c r="E816" s="1013" t="s">
        <v>22698</v>
      </c>
      <c r="F816" s="1013">
        <v>14</v>
      </c>
      <c r="G816" s="1932" t="str">
        <f>+VLOOKUP(F816,TT_Tabelle_Riferimento!$D$127:$G$164,4,FALSE)</f>
        <v>Impianti di sollevamento e pompaggio di fognatura</v>
      </c>
      <c r="H816" s="1013">
        <v>1</v>
      </c>
      <c r="I816" s="1932" t="str">
        <f>+VLOOKUP(H816,TT_Tabelle_Riferimento!$F$3:$G$6,2,FALSE)</f>
        <v>Servizio idrico integrato</v>
      </c>
      <c r="J816" s="1013">
        <v>2028</v>
      </c>
      <c r="K816" s="2335">
        <f>+SUMIFS('PdI-crono_inv'!BG:BG,'PdI-crono_inv'!CF:CF,F816,'PdI-crono_inv'!CE:CE,H816,'PdI-crono_inv'!J:J,P816,'PdI-crono_inv'!P:P,"&lt;&gt;proprietario")</f>
        <v>0</v>
      </c>
      <c r="M816" s="2335">
        <f>+SUMIFS('PdI-crono_inv'!BH:BH,'PdI-crono_inv'!CF:CF,F816,'PdI-crono_inv'!CE:CE,H816,'PdI-crono_inv'!J:J,P816,'PdI-crono_inv'!P:P,"&lt;&gt;proprietario")+S816</f>
        <v>0</v>
      </c>
      <c r="P816" s="1013" t="s">
        <v>25481</v>
      </c>
      <c r="Q816" s="1932" t="str">
        <f>+VLOOKUP(F816,TT_Tabelle_Riferimento!$D$127:$E$164,2,FALSE)</f>
        <v>Fognatura</v>
      </c>
      <c r="R816" s="1932" t="str">
        <f t="shared" si="72"/>
        <v/>
      </c>
      <c r="S816" s="2335">
        <f t="shared" si="71"/>
        <v>0</v>
      </c>
    </row>
    <row r="817" spans="1:19">
      <c r="A817" s="1932">
        <f t="shared" si="69"/>
        <v>0</v>
      </c>
      <c r="B817" s="1932">
        <f t="shared" si="70"/>
        <v>0</v>
      </c>
      <c r="C817" s="1013" t="s">
        <v>245</v>
      </c>
      <c r="D817" s="1013">
        <v>0</v>
      </c>
      <c r="E817" s="1013" t="s">
        <v>22698</v>
      </c>
      <c r="F817" s="1013">
        <v>15</v>
      </c>
      <c r="G817" s="1932" t="str">
        <f>+VLOOKUP(F817,TT_Tabelle_Riferimento!$D$127:$G$164,4,FALSE)</f>
        <v>Gruppi di misura - altre attrezzature di fognatura</v>
      </c>
      <c r="H817" s="1013">
        <v>1</v>
      </c>
      <c r="I817" s="1932" t="str">
        <f>+VLOOKUP(H817,TT_Tabelle_Riferimento!$F$3:$G$6,2,FALSE)</f>
        <v>Servizio idrico integrato</v>
      </c>
      <c r="J817" s="1013">
        <v>2028</v>
      </c>
      <c r="K817" s="2335">
        <f>+SUMIFS('PdI-crono_inv'!BG:BG,'PdI-crono_inv'!CF:CF,F817,'PdI-crono_inv'!CE:CE,H817,'PdI-crono_inv'!J:J,P817,'PdI-crono_inv'!P:P,"&lt;&gt;proprietario")</f>
        <v>0</v>
      </c>
      <c r="M817" s="2335">
        <f>+SUMIFS('PdI-crono_inv'!BH:BH,'PdI-crono_inv'!CF:CF,F817,'PdI-crono_inv'!CE:CE,H817,'PdI-crono_inv'!J:J,P817,'PdI-crono_inv'!P:P,"&lt;&gt;proprietario")+S817</f>
        <v>0</v>
      </c>
      <c r="P817" s="1013" t="s">
        <v>25481</v>
      </c>
      <c r="Q817" s="1932" t="str">
        <f>+VLOOKUP(F817,TT_Tabelle_Riferimento!$D$127:$E$164,2,FALSE)</f>
        <v>Fognatura</v>
      </c>
      <c r="R817" s="1932" t="str">
        <f t="shared" si="72"/>
        <v/>
      </c>
      <c r="S817" s="2335">
        <f t="shared" si="71"/>
        <v>0</v>
      </c>
    </row>
    <row r="818" spans="1:19">
      <c r="A818" s="1932">
        <f t="shared" si="69"/>
        <v>0</v>
      </c>
      <c r="B818" s="1932">
        <f t="shared" si="70"/>
        <v>0</v>
      </c>
      <c r="C818" s="1013" t="s">
        <v>245</v>
      </c>
      <c r="D818" s="1013">
        <v>0</v>
      </c>
      <c r="E818" s="1013" t="s">
        <v>22698</v>
      </c>
      <c r="F818" s="1013">
        <v>16</v>
      </c>
      <c r="G818" s="1932" t="str">
        <f>+VLOOKUP(F818,TT_Tabelle_Riferimento!$D$127:$G$164,4,FALSE)</f>
        <v>Sistemi informativi di fognatura</v>
      </c>
      <c r="H818" s="1013">
        <v>1</v>
      </c>
      <c r="I818" s="1932" t="str">
        <f>+VLOOKUP(H818,TT_Tabelle_Riferimento!$F$3:$G$6,2,FALSE)</f>
        <v>Servizio idrico integrato</v>
      </c>
      <c r="J818" s="1013">
        <v>2028</v>
      </c>
      <c r="K818" s="2335">
        <f>+SUMIFS('PdI-crono_inv'!BG:BG,'PdI-crono_inv'!CF:CF,F818,'PdI-crono_inv'!CE:CE,H818,'PdI-crono_inv'!J:J,P818,'PdI-crono_inv'!P:P,"&lt;&gt;proprietario")</f>
        <v>0</v>
      </c>
      <c r="M818" s="2335">
        <f>+SUMIFS('PdI-crono_inv'!BH:BH,'PdI-crono_inv'!CF:CF,F818,'PdI-crono_inv'!CE:CE,H818,'PdI-crono_inv'!J:J,P818,'PdI-crono_inv'!P:P,"&lt;&gt;proprietario")+S818</f>
        <v>0</v>
      </c>
      <c r="P818" s="1013" t="s">
        <v>25481</v>
      </c>
      <c r="Q818" s="1932" t="str">
        <f>+VLOOKUP(F818,TT_Tabelle_Riferimento!$D$127:$E$164,2,FALSE)</f>
        <v>Fognatura</v>
      </c>
      <c r="R818" s="1932" t="str">
        <f t="shared" si="72"/>
        <v/>
      </c>
      <c r="S818" s="2335">
        <f t="shared" si="71"/>
        <v>0</v>
      </c>
    </row>
    <row r="819" spans="1:19">
      <c r="A819" s="1932">
        <f t="shared" si="69"/>
        <v>0</v>
      </c>
      <c r="B819" s="1932">
        <f t="shared" si="70"/>
        <v>0</v>
      </c>
      <c r="C819" s="1013" t="s">
        <v>245</v>
      </c>
      <c r="D819" s="1013">
        <v>0</v>
      </c>
      <c r="E819" s="1013" t="s">
        <v>22698</v>
      </c>
      <c r="F819" s="1013">
        <v>18</v>
      </c>
      <c r="G819" s="1932" t="str">
        <f>+VLOOKUP(F819,TT_Tabelle_Riferimento!$D$127:$G$164,4,FALSE)</f>
        <v>Telecontrollo e teletrasmissione di fognatura</v>
      </c>
      <c r="H819" s="1013">
        <v>1</v>
      </c>
      <c r="I819" s="1932" t="str">
        <f>+VLOOKUP(H819,TT_Tabelle_Riferimento!$F$3:$G$6,2,FALSE)</f>
        <v>Servizio idrico integrato</v>
      </c>
      <c r="J819" s="1013">
        <v>2028</v>
      </c>
      <c r="K819" s="2335">
        <f>+SUMIFS('PdI-crono_inv'!BG:BG,'PdI-crono_inv'!CF:CF,F819,'PdI-crono_inv'!CE:CE,H819,'PdI-crono_inv'!J:J,P819,'PdI-crono_inv'!P:P,"&lt;&gt;proprietario")</f>
        <v>0</v>
      </c>
      <c r="M819" s="2335">
        <f>+SUMIFS('PdI-crono_inv'!BH:BH,'PdI-crono_inv'!CF:CF,F819,'PdI-crono_inv'!CE:CE,H819,'PdI-crono_inv'!J:J,P819,'PdI-crono_inv'!P:P,"&lt;&gt;proprietario")+S819</f>
        <v>0</v>
      </c>
      <c r="P819" s="1013" t="s">
        <v>25481</v>
      </c>
      <c r="Q819" s="1932" t="str">
        <f>+VLOOKUP(F819,TT_Tabelle_Riferimento!$D$127:$E$164,2,FALSE)</f>
        <v>Fognatura</v>
      </c>
      <c r="R819" s="1932" t="str">
        <f t="shared" si="72"/>
        <v/>
      </c>
      <c r="S819" s="2335">
        <f t="shared" si="71"/>
        <v>0</v>
      </c>
    </row>
    <row r="820" spans="1:19">
      <c r="A820" s="1932">
        <f t="shared" si="69"/>
        <v>0</v>
      </c>
      <c r="B820" s="1932">
        <f t="shared" si="70"/>
        <v>0</v>
      </c>
      <c r="C820" s="1013" t="s">
        <v>245</v>
      </c>
      <c r="D820" s="1013">
        <v>0</v>
      </c>
      <c r="E820" s="1013" t="s">
        <v>22698</v>
      </c>
      <c r="F820" s="1013">
        <v>19</v>
      </c>
      <c r="G820" s="1932" t="str">
        <f>+VLOOKUP(F820,TT_Tabelle_Riferimento!$D$127:$G$164,4,FALSE)</f>
        <v>Impianti di sollevamento e pompaggio di depurazione</v>
      </c>
      <c r="H820" s="1013">
        <v>1</v>
      </c>
      <c r="I820" s="1932" t="str">
        <f>+VLOOKUP(H820,TT_Tabelle_Riferimento!$F$3:$G$6,2,FALSE)</f>
        <v>Servizio idrico integrato</v>
      </c>
      <c r="J820" s="1013">
        <v>2028</v>
      </c>
      <c r="K820" s="2335">
        <f>+SUMIFS('PdI-crono_inv'!BG:BG,'PdI-crono_inv'!CF:CF,F820,'PdI-crono_inv'!CE:CE,H820,'PdI-crono_inv'!J:J,P820,'PdI-crono_inv'!P:P,"&lt;&gt;proprietario")</f>
        <v>0</v>
      </c>
      <c r="M820" s="2335">
        <f>+SUMIFS('PdI-crono_inv'!BH:BH,'PdI-crono_inv'!CF:CF,F820,'PdI-crono_inv'!CE:CE,H820,'PdI-crono_inv'!J:J,P820,'PdI-crono_inv'!P:P,"&lt;&gt;proprietario")+S820</f>
        <v>0</v>
      </c>
      <c r="P820" s="1013" t="s">
        <v>25481</v>
      </c>
      <c r="Q820" s="1932" t="str">
        <f>+VLOOKUP(F820,TT_Tabelle_Riferimento!$D$127:$E$164,2,FALSE)</f>
        <v>Depurazione</v>
      </c>
      <c r="R820" s="1932" t="str">
        <f t="shared" si="72"/>
        <v/>
      </c>
      <c r="S820" s="2335">
        <f t="shared" si="71"/>
        <v>0</v>
      </c>
    </row>
    <row r="821" spans="1:19">
      <c r="A821" s="1932">
        <f t="shared" si="69"/>
        <v>0</v>
      </c>
      <c r="B821" s="1932">
        <f t="shared" si="70"/>
        <v>0</v>
      </c>
      <c r="C821" s="1013" t="s">
        <v>245</v>
      </c>
      <c r="D821" s="1013">
        <v>0</v>
      </c>
      <c r="E821" s="1013" t="s">
        <v>22698</v>
      </c>
      <c r="F821" s="1013">
        <v>20</v>
      </c>
      <c r="G821" s="1932" t="str">
        <f>+VLOOKUP(F821,TT_Tabelle_Riferimento!$D$127:$G$164,4,FALSE)</f>
        <v>Tecniche naturali di depurazione (tra cui fitodepurazione e lagunaggio)</v>
      </c>
      <c r="H821" s="1013">
        <v>1</v>
      </c>
      <c r="I821" s="1932" t="str">
        <f>+VLOOKUP(H821,TT_Tabelle_Riferimento!$F$3:$G$6,2,FALSE)</f>
        <v>Servizio idrico integrato</v>
      </c>
      <c r="J821" s="1013">
        <v>2028</v>
      </c>
      <c r="K821" s="2335">
        <f>+SUMIFS('PdI-crono_inv'!BG:BG,'PdI-crono_inv'!CF:CF,F821,'PdI-crono_inv'!CE:CE,H821,'PdI-crono_inv'!J:J,P821,'PdI-crono_inv'!P:P,"&lt;&gt;proprietario")</f>
        <v>0</v>
      </c>
      <c r="M821" s="2335">
        <f>+SUMIFS('PdI-crono_inv'!BH:BH,'PdI-crono_inv'!CF:CF,F821,'PdI-crono_inv'!CE:CE,H821,'PdI-crono_inv'!J:J,P821,'PdI-crono_inv'!P:P,"&lt;&gt;proprietario")+S821</f>
        <v>0</v>
      </c>
      <c r="P821" s="1013" t="s">
        <v>25481</v>
      </c>
      <c r="Q821" s="1932" t="str">
        <f>+VLOOKUP(F821,TT_Tabelle_Riferimento!$D$127:$E$164,2,FALSE)</f>
        <v>Depurazione</v>
      </c>
      <c r="R821" s="1932" t="str">
        <f t="shared" si="72"/>
        <v/>
      </c>
      <c r="S821" s="2335">
        <f t="shared" si="71"/>
        <v>0</v>
      </c>
    </row>
    <row r="822" spans="1:19">
      <c r="A822" s="1932">
        <f t="shared" si="69"/>
        <v>0</v>
      </c>
      <c r="B822" s="1932">
        <f t="shared" si="70"/>
        <v>0</v>
      </c>
      <c r="C822" s="1013" t="s">
        <v>245</v>
      </c>
      <c r="D822" s="1013">
        <v>0</v>
      </c>
      <c r="E822" s="1013" t="s">
        <v>22698</v>
      </c>
      <c r="F822" s="1013">
        <v>21</v>
      </c>
      <c r="G822" s="1932" t="str">
        <f>+VLOOKUP(F822,TT_Tabelle_Riferimento!$D$127:$G$164,4,FALSE)</f>
        <v>Impianti di depurazione – trattamenti sino al preliminare, integrativo, primario - fosse settiche e fosse Imhoff</v>
      </c>
      <c r="H822" s="1013">
        <v>1</v>
      </c>
      <c r="I822" s="1932" t="str">
        <f>+VLOOKUP(H822,TT_Tabelle_Riferimento!$F$3:$G$6,2,FALSE)</f>
        <v>Servizio idrico integrato</v>
      </c>
      <c r="J822" s="1013">
        <v>2028</v>
      </c>
      <c r="K822" s="2335">
        <f>+SUMIFS('PdI-crono_inv'!BG:BG,'PdI-crono_inv'!CF:CF,F822,'PdI-crono_inv'!CE:CE,H822,'PdI-crono_inv'!J:J,P822,'PdI-crono_inv'!P:P,"&lt;&gt;proprietario")</f>
        <v>0</v>
      </c>
      <c r="M822" s="2335">
        <f>+SUMIFS('PdI-crono_inv'!BH:BH,'PdI-crono_inv'!CF:CF,F822,'PdI-crono_inv'!CE:CE,H822,'PdI-crono_inv'!J:J,P822,'PdI-crono_inv'!P:P,"&lt;&gt;proprietario")+S822</f>
        <v>0</v>
      </c>
      <c r="P822" s="1013" t="s">
        <v>25481</v>
      </c>
      <c r="Q822" s="1932" t="str">
        <f>+VLOOKUP(F822,TT_Tabelle_Riferimento!$D$127:$E$164,2,FALSE)</f>
        <v>Depurazione</v>
      </c>
      <c r="R822" s="1932" t="str">
        <f t="shared" si="72"/>
        <v/>
      </c>
      <c r="S822" s="2335">
        <f t="shared" si="71"/>
        <v>0</v>
      </c>
    </row>
    <row r="823" spans="1:19">
      <c r="A823" s="1932">
        <f t="shared" si="69"/>
        <v>0</v>
      </c>
      <c r="B823" s="1932">
        <f t="shared" si="70"/>
        <v>0</v>
      </c>
      <c r="C823" s="1013" t="s">
        <v>245</v>
      </c>
      <c r="D823" s="1013">
        <v>0</v>
      </c>
      <c r="E823" s="1013" t="s">
        <v>22698</v>
      </c>
      <c r="F823" s="1013">
        <v>22</v>
      </c>
      <c r="G823" s="1932" t="str">
        <f>+VLOOKUP(F823,TT_Tabelle_Riferimento!$D$127:$G$164,4,FALSE)</f>
        <v>Impianti di depurazione – trattamenti sino al secondario</v>
      </c>
      <c r="H823" s="1013">
        <v>1</v>
      </c>
      <c r="I823" s="1932" t="str">
        <f>+VLOOKUP(H823,TT_Tabelle_Riferimento!$F$3:$G$6,2,FALSE)</f>
        <v>Servizio idrico integrato</v>
      </c>
      <c r="J823" s="1013">
        <v>2028</v>
      </c>
      <c r="K823" s="2335">
        <f>+SUMIFS('PdI-crono_inv'!BG:BG,'PdI-crono_inv'!CF:CF,F823,'PdI-crono_inv'!CE:CE,H823,'PdI-crono_inv'!J:J,P823,'PdI-crono_inv'!P:P,"&lt;&gt;proprietario")</f>
        <v>0</v>
      </c>
      <c r="M823" s="2335">
        <f>+SUMIFS('PdI-crono_inv'!BH:BH,'PdI-crono_inv'!CF:CF,F823,'PdI-crono_inv'!CE:CE,H823,'PdI-crono_inv'!J:J,P823,'PdI-crono_inv'!P:P,"&lt;&gt;proprietario")+S823</f>
        <v>0</v>
      </c>
      <c r="P823" s="1013" t="s">
        <v>25481</v>
      </c>
      <c r="Q823" s="1932" t="str">
        <f>+VLOOKUP(F823,TT_Tabelle_Riferimento!$D$127:$E$164,2,FALSE)</f>
        <v>Depurazione</v>
      </c>
      <c r="R823" s="1932" t="str">
        <f t="shared" si="72"/>
        <v/>
      </c>
      <c r="S823" s="2335">
        <f t="shared" si="71"/>
        <v>0</v>
      </c>
    </row>
    <row r="824" spans="1:19">
      <c r="A824" s="1932">
        <f t="shared" si="69"/>
        <v>0</v>
      </c>
      <c r="B824" s="1932">
        <f t="shared" si="70"/>
        <v>0</v>
      </c>
      <c r="C824" s="1013" t="s">
        <v>245</v>
      </c>
      <c r="D824" s="1013">
        <v>0</v>
      </c>
      <c r="E824" s="1013" t="s">
        <v>22698</v>
      </c>
      <c r="F824" s="1013">
        <v>23</v>
      </c>
      <c r="G824" s="1932" t="str">
        <f>+VLOOKUP(F824,TT_Tabelle_Riferimento!$D$127:$G$164,4,FALSE)</f>
        <v>Impianti di depurazione – trattamenti sino al terziario e terziario avanzato</v>
      </c>
      <c r="H824" s="1013">
        <v>1</v>
      </c>
      <c r="I824" s="1932" t="str">
        <f>+VLOOKUP(H824,TT_Tabelle_Riferimento!$F$3:$G$6,2,FALSE)</f>
        <v>Servizio idrico integrato</v>
      </c>
      <c r="J824" s="1013">
        <v>2028</v>
      </c>
      <c r="K824" s="2335">
        <f>+SUMIFS('PdI-crono_inv'!BG:BG,'PdI-crono_inv'!CF:CF,F824,'PdI-crono_inv'!CE:CE,H824,'PdI-crono_inv'!J:J,P824,'PdI-crono_inv'!P:P,"&lt;&gt;proprietario")</f>
        <v>0</v>
      </c>
      <c r="M824" s="2335">
        <f>+SUMIFS('PdI-crono_inv'!BH:BH,'PdI-crono_inv'!CF:CF,F824,'PdI-crono_inv'!CE:CE,H824,'PdI-crono_inv'!J:J,P824,'PdI-crono_inv'!P:P,"&lt;&gt;proprietario")+S824</f>
        <v>0</v>
      </c>
      <c r="P824" s="1013" t="s">
        <v>25481</v>
      </c>
      <c r="Q824" s="1932" t="str">
        <f>+VLOOKUP(F824,TT_Tabelle_Riferimento!$D$127:$E$164,2,FALSE)</f>
        <v>Depurazione</v>
      </c>
      <c r="R824" s="1932" t="str">
        <f t="shared" si="72"/>
        <v/>
      </c>
      <c r="S824" s="2335">
        <f t="shared" si="71"/>
        <v>0</v>
      </c>
    </row>
    <row r="825" spans="1:19">
      <c r="A825" s="1932">
        <f t="shared" si="69"/>
        <v>0</v>
      </c>
      <c r="B825" s="1932">
        <f t="shared" si="70"/>
        <v>0</v>
      </c>
      <c r="C825" s="1013" t="s">
        <v>245</v>
      </c>
      <c r="D825" s="1013">
        <v>0</v>
      </c>
      <c r="E825" s="1013" t="s">
        <v>22698</v>
      </c>
      <c r="F825" s="1013">
        <v>24</v>
      </c>
      <c r="G825" s="1932" t="str">
        <f>+VLOOKUP(F825,TT_Tabelle_Riferimento!$D$127:$G$164,4,FALSE)</f>
        <v>Impianti di essiccamento fanghi e di valorizzazione dei fanghi (tra cui mono-incenerimento, pirolisi, gassificazione)</v>
      </c>
      <c r="H825" s="1013">
        <v>1</v>
      </c>
      <c r="I825" s="1932" t="str">
        <f>+VLOOKUP(H825,TT_Tabelle_Riferimento!$F$3:$G$6,2,FALSE)</f>
        <v>Servizio idrico integrato</v>
      </c>
      <c r="J825" s="1013">
        <v>2028</v>
      </c>
      <c r="K825" s="2335">
        <f>+SUMIFS('PdI-crono_inv'!BG:BG,'PdI-crono_inv'!CF:CF,F825,'PdI-crono_inv'!CE:CE,H825,'PdI-crono_inv'!J:J,P825,'PdI-crono_inv'!P:P,"&lt;&gt;proprietario")</f>
        <v>0</v>
      </c>
      <c r="M825" s="2335">
        <f>+SUMIFS('PdI-crono_inv'!BH:BH,'PdI-crono_inv'!CF:CF,F825,'PdI-crono_inv'!CE:CE,H825,'PdI-crono_inv'!J:J,P825,'PdI-crono_inv'!P:P,"&lt;&gt;proprietario")+S825</f>
        <v>0</v>
      </c>
      <c r="P825" s="1013" t="s">
        <v>25481</v>
      </c>
      <c r="Q825" s="1932" t="str">
        <f>+VLOOKUP(F825,TT_Tabelle_Riferimento!$D$127:$E$164,2,FALSE)</f>
        <v>Depurazione</v>
      </c>
      <c r="R825" s="1932" t="str">
        <f t="shared" si="72"/>
        <v/>
      </c>
      <c r="S825" s="2335">
        <f t="shared" si="71"/>
        <v>0</v>
      </c>
    </row>
    <row r="826" spans="1:19">
      <c r="A826" s="1932">
        <f t="shared" si="69"/>
        <v>0</v>
      </c>
      <c r="B826" s="1932">
        <f t="shared" si="70"/>
        <v>0</v>
      </c>
      <c r="C826" s="1013" t="s">
        <v>245</v>
      </c>
      <c r="D826" s="1013">
        <v>0</v>
      </c>
      <c r="E826" s="1013" t="s">
        <v>22698</v>
      </c>
      <c r="F826" s="1013">
        <v>25</v>
      </c>
      <c r="G826" s="1932" t="str">
        <f>+VLOOKUP(F826,TT_Tabelle_Riferimento!$D$127:$G$164,4,FALSE)</f>
        <v>Gruppi di misura - altre attrezzature di depurazione</v>
      </c>
      <c r="H826" s="1013">
        <v>1</v>
      </c>
      <c r="I826" s="1932" t="str">
        <f>+VLOOKUP(H826,TT_Tabelle_Riferimento!$F$3:$G$6,2,FALSE)</f>
        <v>Servizio idrico integrato</v>
      </c>
      <c r="J826" s="1013">
        <v>2028</v>
      </c>
      <c r="K826" s="2335">
        <f>+SUMIFS('PdI-crono_inv'!BG:BG,'PdI-crono_inv'!CF:CF,F826,'PdI-crono_inv'!CE:CE,H826,'PdI-crono_inv'!J:J,P826,'PdI-crono_inv'!P:P,"&lt;&gt;proprietario")</f>
        <v>0</v>
      </c>
      <c r="M826" s="2335">
        <f>+SUMIFS('PdI-crono_inv'!BH:BH,'PdI-crono_inv'!CF:CF,F826,'PdI-crono_inv'!CE:CE,H826,'PdI-crono_inv'!J:J,P826,'PdI-crono_inv'!P:P,"&lt;&gt;proprietario")+S826</f>
        <v>0</v>
      </c>
      <c r="P826" s="1013" t="s">
        <v>25481</v>
      </c>
      <c r="Q826" s="1932" t="str">
        <f>+VLOOKUP(F826,TT_Tabelle_Riferimento!$D$127:$E$164,2,FALSE)</f>
        <v>Depurazione</v>
      </c>
      <c r="R826" s="1932" t="str">
        <f t="shared" si="72"/>
        <v/>
      </c>
      <c r="S826" s="2335">
        <f t="shared" si="71"/>
        <v>0</v>
      </c>
    </row>
    <row r="827" spans="1:19">
      <c r="A827" s="1932">
        <f t="shared" si="69"/>
        <v>0</v>
      </c>
      <c r="B827" s="1932">
        <f t="shared" si="70"/>
        <v>0</v>
      </c>
      <c r="C827" s="1013" t="s">
        <v>245</v>
      </c>
      <c r="D827" s="1013">
        <v>0</v>
      </c>
      <c r="E827" s="1013" t="s">
        <v>22698</v>
      </c>
      <c r="F827" s="1013">
        <v>26</v>
      </c>
      <c r="G827" s="1932" t="str">
        <f>+VLOOKUP(F827,TT_Tabelle_Riferimento!$D$127:$G$164,4,FALSE)</f>
        <v>Sistemi informativi di depurazione</v>
      </c>
      <c r="H827" s="1013">
        <v>1</v>
      </c>
      <c r="I827" s="1932" t="str">
        <f>+VLOOKUP(H827,TT_Tabelle_Riferimento!$F$3:$G$6,2,FALSE)</f>
        <v>Servizio idrico integrato</v>
      </c>
      <c r="J827" s="1013">
        <v>2028</v>
      </c>
      <c r="K827" s="2335">
        <f>+SUMIFS('PdI-crono_inv'!BG:BG,'PdI-crono_inv'!CF:CF,F827,'PdI-crono_inv'!CE:CE,H827,'PdI-crono_inv'!J:J,P827,'PdI-crono_inv'!P:P,"&lt;&gt;proprietario")</f>
        <v>0</v>
      </c>
      <c r="M827" s="2335">
        <f>+SUMIFS('PdI-crono_inv'!BH:BH,'PdI-crono_inv'!CF:CF,F827,'PdI-crono_inv'!CE:CE,H827,'PdI-crono_inv'!J:J,P827,'PdI-crono_inv'!P:P,"&lt;&gt;proprietario")+S827</f>
        <v>0</v>
      </c>
      <c r="P827" s="1013" t="s">
        <v>25481</v>
      </c>
      <c r="Q827" s="1932" t="str">
        <f>+VLOOKUP(F827,TT_Tabelle_Riferimento!$D$127:$E$164,2,FALSE)</f>
        <v>Depurazione</v>
      </c>
      <c r="R827" s="1932" t="str">
        <f t="shared" si="72"/>
        <v/>
      </c>
      <c r="S827" s="2335">
        <f t="shared" si="71"/>
        <v>0</v>
      </c>
    </row>
    <row r="828" spans="1:19">
      <c r="A828" s="1932">
        <f t="shared" si="69"/>
        <v>0</v>
      </c>
      <c r="B828" s="1932">
        <f t="shared" si="70"/>
        <v>0</v>
      </c>
      <c r="C828" s="1013" t="s">
        <v>245</v>
      </c>
      <c r="D828" s="1013">
        <v>0</v>
      </c>
      <c r="E828" s="1013" t="s">
        <v>22698</v>
      </c>
      <c r="F828" s="1013">
        <v>27</v>
      </c>
      <c r="G828" s="1932" t="str">
        <f>+VLOOKUP(F828,TT_Tabelle_Riferimento!$D$127:$G$164,4,FALSE)</f>
        <v>Telecontrollo e teletrasmissione di depurazione</v>
      </c>
      <c r="H828" s="1013">
        <v>1</v>
      </c>
      <c r="I828" s="1932" t="str">
        <f>+VLOOKUP(H828,TT_Tabelle_Riferimento!$F$3:$G$6,2,FALSE)</f>
        <v>Servizio idrico integrato</v>
      </c>
      <c r="J828" s="1013">
        <v>2028</v>
      </c>
      <c r="K828" s="2335">
        <f>+SUMIFS('PdI-crono_inv'!BG:BG,'PdI-crono_inv'!CF:CF,F828,'PdI-crono_inv'!CE:CE,H828,'PdI-crono_inv'!J:J,P828,'PdI-crono_inv'!P:P,"&lt;&gt;proprietario")</f>
        <v>0</v>
      </c>
      <c r="M828" s="2335">
        <f>+SUMIFS('PdI-crono_inv'!BH:BH,'PdI-crono_inv'!CF:CF,F828,'PdI-crono_inv'!CE:CE,H828,'PdI-crono_inv'!J:J,P828,'PdI-crono_inv'!P:P,"&lt;&gt;proprietario")+S828</f>
        <v>0</v>
      </c>
      <c r="P828" s="1013" t="s">
        <v>25481</v>
      </c>
      <c r="Q828" s="1932" t="str">
        <f>+VLOOKUP(F828,TT_Tabelle_Riferimento!$D$127:$E$164,2,FALSE)</f>
        <v>Depurazione</v>
      </c>
      <c r="R828" s="1932" t="str">
        <f t="shared" si="72"/>
        <v/>
      </c>
      <c r="S828" s="2335">
        <f t="shared" si="71"/>
        <v>0</v>
      </c>
    </row>
    <row r="829" spans="1:19">
      <c r="A829" s="1932">
        <f t="shared" si="69"/>
        <v>0</v>
      </c>
      <c r="B829" s="1932">
        <f t="shared" si="70"/>
        <v>0</v>
      </c>
      <c r="C829" s="1013" t="s">
        <v>245</v>
      </c>
      <c r="D829" s="1013">
        <v>0</v>
      </c>
      <c r="E829" s="1013" t="s">
        <v>22698</v>
      </c>
      <c r="F829" s="1013">
        <v>28</v>
      </c>
      <c r="G829" s="1932" t="str">
        <f>+VLOOKUP(F829,TT_Tabelle_Riferimento!$D$127:$G$164,4,FALSE)</f>
        <v>Altri impianti</v>
      </c>
      <c r="H829" s="1013">
        <v>1</v>
      </c>
      <c r="I829" s="1932" t="str">
        <f>+VLOOKUP(H829,TT_Tabelle_Riferimento!$F$3:$G$6,2,FALSE)</f>
        <v>Servizio idrico integrato</v>
      </c>
      <c r="J829" s="1013">
        <v>2028</v>
      </c>
      <c r="K829" s="2335">
        <f>+SUMIFS('PdI-crono_inv'!BG:BG,'PdI-crono_inv'!CF:CF,F829,'PdI-crono_inv'!CE:CE,H829,'PdI-crono_inv'!J:J,P829,'PdI-crono_inv'!P:P,"&lt;&gt;proprietario")</f>
        <v>0</v>
      </c>
      <c r="M829" s="2335">
        <f>+SUMIFS('PdI-crono_inv'!BH:BH,'PdI-crono_inv'!CF:CF,F829,'PdI-crono_inv'!CE:CE,H829,'PdI-crono_inv'!J:J,P829,'PdI-crono_inv'!P:P,"&lt;&gt;proprietario")+S829</f>
        <v>0</v>
      </c>
      <c r="P829" s="1013" t="s">
        <v>25481</v>
      </c>
      <c r="Q829" s="1932" t="str">
        <f>+VLOOKUP(F829,TT_Tabelle_Riferimento!$D$127:$E$164,2,FALSE)</f>
        <v>Comune</v>
      </c>
      <c r="R829" s="1932" t="str">
        <f t="shared" si="72"/>
        <v/>
      </c>
      <c r="S829" s="2335">
        <f t="shared" si="71"/>
        <v>0</v>
      </c>
    </row>
    <row r="830" spans="1:19">
      <c r="A830" s="1932">
        <f t="shared" ref="A830:A838" si="73">+idato</f>
        <v>0</v>
      </c>
      <c r="B830" s="1932">
        <f t="shared" ref="B830:B838" si="74">+idgestore</f>
        <v>0</v>
      </c>
      <c r="C830" s="1013" t="s">
        <v>245</v>
      </c>
      <c r="D830" s="1013">
        <v>0</v>
      </c>
      <c r="E830" s="1013" t="s">
        <v>22698</v>
      </c>
      <c r="F830" s="1013">
        <v>29</v>
      </c>
      <c r="G830" s="1932" t="str">
        <f>+VLOOKUP(F830,TT_Tabelle_Riferimento!$D$127:$G$164,4,FALSE)</f>
        <v>Laboratori e attrezzature</v>
      </c>
      <c r="H830" s="1013">
        <v>1</v>
      </c>
      <c r="I830" s="1932" t="str">
        <f>+VLOOKUP(H830,TT_Tabelle_Riferimento!$F$3:$G$6,2,FALSE)</f>
        <v>Servizio idrico integrato</v>
      </c>
      <c r="J830" s="1013">
        <v>2028</v>
      </c>
      <c r="K830" s="2335">
        <f>+SUMIFS('PdI-crono_inv'!BG:BG,'PdI-crono_inv'!CF:CF,F830,'PdI-crono_inv'!CE:CE,H830,'PdI-crono_inv'!J:J,P830,'PdI-crono_inv'!P:P,"&lt;&gt;proprietario")</f>
        <v>0</v>
      </c>
      <c r="M830" s="2335">
        <f>+SUMIFS('PdI-crono_inv'!BH:BH,'PdI-crono_inv'!CF:CF,F830,'PdI-crono_inv'!CE:CE,H830,'PdI-crono_inv'!J:J,P830,'PdI-crono_inv'!P:P,"&lt;&gt;proprietario")+S830</f>
        <v>0</v>
      </c>
      <c r="P830" s="1013" t="s">
        <v>25481</v>
      </c>
      <c r="Q830" s="1932" t="str">
        <f>+VLOOKUP(F830,TT_Tabelle_Riferimento!$D$127:$E$164,2,FALSE)</f>
        <v>Comune</v>
      </c>
      <c r="R830" s="1932" t="str">
        <f t="shared" si="72"/>
        <v/>
      </c>
      <c r="S830" s="2335">
        <f t="shared" si="71"/>
        <v>0</v>
      </c>
    </row>
    <row r="831" spans="1:19">
      <c r="A831" s="1932">
        <f t="shared" si="73"/>
        <v>0</v>
      </c>
      <c r="B831" s="1932">
        <f t="shared" si="74"/>
        <v>0</v>
      </c>
      <c r="C831" s="1013" t="s">
        <v>245</v>
      </c>
      <c r="D831" s="1013">
        <v>0</v>
      </c>
      <c r="E831" s="1013" t="s">
        <v>22698</v>
      </c>
      <c r="F831" s="1013">
        <v>30</v>
      </c>
      <c r="G831" s="1932" t="str">
        <f>+VLOOKUP(F831,TT_Tabelle_Riferimento!$D$127:$G$164,4,FALSE)</f>
        <v>Sistemi informativi</v>
      </c>
      <c r="H831" s="1013">
        <v>1</v>
      </c>
      <c r="I831" s="1932" t="str">
        <f>+VLOOKUP(H831,TT_Tabelle_Riferimento!$F$3:$G$6,2,FALSE)</f>
        <v>Servizio idrico integrato</v>
      </c>
      <c r="J831" s="1013">
        <v>2028</v>
      </c>
      <c r="K831" s="2335">
        <f>+SUMIFS('PdI-crono_inv'!BG:BG,'PdI-crono_inv'!CF:CF,F831,'PdI-crono_inv'!CE:CE,H831,'PdI-crono_inv'!J:J,P831,'PdI-crono_inv'!P:P,"&lt;&gt;proprietario")</f>
        <v>0</v>
      </c>
      <c r="M831" s="2335">
        <f>+SUMIFS('PdI-crono_inv'!BH:BH,'PdI-crono_inv'!CF:CF,F831,'PdI-crono_inv'!CE:CE,H831,'PdI-crono_inv'!J:J,P831,'PdI-crono_inv'!P:P,"&lt;&gt;proprietario")+S831</f>
        <v>0</v>
      </c>
      <c r="P831" s="1013" t="s">
        <v>25481</v>
      </c>
      <c r="Q831" s="1932" t="str">
        <f>+VLOOKUP(F831,TT_Tabelle_Riferimento!$D$127:$E$164,2,FALSE)</f>
        <v>Comune</v>
      </c>
      <c r="R831" s="1932" t="str">
        <f t="shared" si="72"/>
        <v/>
      </c>
      <c r="S831" s="2335">
        <f t="shared" si="71"/>
        <v>0</v>
      </c>
    </row>
    <row r="832" spans="1:19">
      <c r="A832" s="1932">
        <f t="shared" si="73"/>
        <v>0</v>
      </c>
      <c r="B832" s="1932">
        <f t="shared" si="74"/>
        <v>0</v>
      </c>
      <c r="C832" s="1013" t="s">
        <v>245</v>
      </c>
      <c r="D832" s="1013">
        <v>0</v>
      </c>
      <c r="E832" s="1013" t="s">
        <v>22698</v>
      </c>
      <c r="F832" s="1013">
        <v>31</v>
      </c>
      <c r="G832" s="1932" t="str">
        <f>+VLOOKUP(F832,TT_Tabelle_Riferimento!$D$127:$G$164,4,FALSE)</f>
        <v>Telecontrollo e teletrasmissione</v>
      </c>
      <c r="H832" s="1013">
        <v>1</v>
      </c>
      <c r="I832" s="1932" t="str">
        <f>+VLOOKUP(H832,TT_Tabelle_Riferimento!$F$3:$G$6,2,FALSE)</f>
        <v>Servizio idrico integrato</v>
      </c>
      <c r="J832" s="1013">
        <v>2028</v>
      </c>
      <c r="K832" s="2335">
        <f>+SUMIFS('PdI-crono_inv'!BG:BG,'PdI-crono_inv'!CF:CF,F832,'PdI-crono_inv'!CE:CE,H832,'PdI-crono_inv'!J:J,P832,'PdI-crono_inv'!P:P,"&lt;&gt;proprietario")</f>
        <v>0</v>
      </c>
      <c r="M832" s="2335">
        <f>+SUMIFS('PdI-crono_inv'!BH:BH,'PdI-crono_inv'!CF:CF,F832,'PdI-crono_inv'!CE:CE,H832,'PdI-crono_inv'!J:J,P832,'PdI-crono_inv'!P:P,"&lt;&gt;proprietario")+S832</f>
        <v>0</v>
      </c>
      <c r="P832" s="1013" t="s">
        <v>25481</v>
      </c>
      <c r="Q832" s="1932" t="str">
        <f>+VLOOKUP(F832,TT_Tabelle_Riferimento!$D$127:$E$164,2,FALSE)</f>
        <v>Comune</v>
      </c>
      <c r="R832" s="1932" t="str">
        <f t="shared" si="72"/>
        <v/>
      </c>
      <c r="S832" s="2335">
        <f t="shared" si="71"/>
        <v>0</v>
      </c>
    </row>
    <row r="833" spans="1:19">
      <c r="A833" s="1932">
        <f t="shared" si="73"/>
        <v>0</v>
      </c>
      <c r="B833" s="1932">
        <f t="shared" si="74"/>
        <v>0</v>
      </c>
      <c r="C833" s="1013" t="s">
        <v>245</v>
      </c>
      <c r="D833" s="1013">
        <v>0</v>
      </c>
      <c r="E833" s="1013" t="s">
        <v>22698</v>
      </c>
      <c r="F833" s="1013">
        <v>32</v>
      </c>
      <c r="G833" s="1932" t="str">
        <f>+VLOOKUP(F833,TT_Tabelle_Riferimento!$D$127:$G$164,4,FALSE)</f>
        <v>Autoveicoli - automezzi</v>
      </c>
      <c r="H833" s="1013">
        <v>1</v>
      </c>
      <c r="I833" s="1932" t="str">
        <f>+VLOOKUP(H833,TT_Tabelle_Riferimento!$F$3:$G$6,2,FALSE)</f>
        <v>Servizio idrico integrato</v>
      </c>
      <c r="J833" s="1013">
        <v>2028</v>
      </c>
      <c r="K833" s="2335">
        <f>+SUMIFS('PdI-crono_inv'!BG:BG,'PdI-crono_inv'!CF:CF,F833,'PdI-crono_inv'!CE:CE,H833,'PdI-crono_inv'!J:J,P833,'PdI-crono_inv'!P:P,"&lt;&gt;proprietario")</f>
        <v>0</v>
      </c>
      <c r="M833" s="2335">
        <f>+SUMIFS('PdI-crono_inv'!BH:BH,'PdI-crono_inv'!CF:CF,F833,'PdI-crono_inv'!CE:CE,H833,'PdI-crono_inv'!J:J,P833,'PdI-crono_inv'!P:P,"&lt;&gt;proprietario")+S833</f>
        <v>0</v>
      </c>
      <c r="P833" s="1013" t="s">
        <v>25481</v>
      </c>
      <c r="Q833" s="1932" t="str">
        <f>+VLOOKUP(F833,TT_Tabelle_Riferimento!$D$127:$E$164,2,FALSE)</f>
        <v>Comune</v>
      </c>
      <c r="R833" s="1932" t="str">
        <f t="shared" si="72"/>
        <v/>
      </c>
      <c r="S833" s="2335">
        <f t="shared" si="71"/>
        <v>0</v>
      </c>
    </row>
    <row r="834" spans="1:19">
      <c r="A834" s="1932">
        <f t="shared" si="73"/>
        <v>0</v>
      </c>
      <c r="B834" s="1932">
        <f t="shared" si="74"/>
        <v>0</v>
      </c>
      <c r="C834" s="1013" t="s">
        <v>245</v>
      </c>
      <c r="D834" s="1013">
        <v>0</v>
      </c>
      <c r="E834" s="1013" t="s">
        <v>22698</v>
      </c>
      <c r="F834" s="1013">
        <v>1</v>
      </c>
      <c r="G834" s="1932" t="str">
        <f>+VLOOKUP(F834,TT_Tabelle_Riferimento!$D$127:$G$164,4,FALSE)</f>
        <v>Terreni</v>
      </c>
      <c r="H834" s="1013">
        <v>1</v>
      </c>
      <c r="I834" s="1932" t="str">
        <f>+VLOOKUP(H834,TT_Tabelle_Riferimento!$F$3:$G$6,2,FALSE)</f>
        <v>Servizio idrico integrato</v>
      </c>
      <c r="J834" s="1013">
        <v>2028</v>
      </c>
      <c r="K834" s="2335">
        <f>+SUMIFS('PdI-crono_inv'!BG:BG,'PdI-crono_inv'!CF:CF,F834,'PdI-crono_inv'!CE:CE,H834,'PdI-crono_inv'!J:J,P834,'PdI-crono_inv'!P:P,"&lt;&gt;proprietario")</f>
        <v>0</v>
      </c>
      <c r="M834" s="2335">
        <f>+SUMIFS('PdI-crono_inv'!BH:BH,'PdI-crono_inv'!CF:CF,F834,'PdI-crono_inv'!CE:CE,H834,'PdI-crono_inv'!J:J,P834,'PdI-crono_inv'!P:P,"&lt;&gt;proprietario")+S834</f>
        <v>0</v>
      </c>
      <c r="P834" s="1013" t="s">
        <v>25481</v>
      </c>
      <c r="Q834" s="1932" t="str">
        <f>+VLOOKUP(F834,TT_Tabelle_Riferimento!$D$127:$E$164,2,FALSE)</f>
        <v>Comune</v>
      </c>
      <c r="R834" s="1932" t="str">
        <f t="shared" si="72"/>
        <v/>
      </c>
      <c r="S834" s="2335">
        <f t="shared" si="71"/>
        <v>0</v>
      </c>
    </row>
    <row r="835" spans="1:19">
      <c r="A835" s="1932">
        <f t="shared" si="73"/>
        <v>0</v>
      </c>
      <c r="B835" s="1932">
        <f t="shared" si="74"/>
        <v>0</v>
      </c>
      <c r="C835" s="1013" t="s">
        <v>245</v>
      </c>
      <c r="D835" s="1013">
        <v>0</v>
      </c>
      <c r="E835" s="1013" t="s">
        <v>22698</v>
      </c>
      <c r="F835" s="1013">
        <v>33</v>
      </c>
      <c r="G835" s="1932" t="str">
        <f>+VLOOKUP(F835,TT_Tabelle_Riferimento!$D$127:$G$164,4,FALSE)</f>
        <v>Fabbricati non industriali</v>
      </c>
      <c r="H835" s="1013">
        <v>1</v>
      </c>
      <c r="I835" s="1932" t="str">
        <f>+VLOOKUP(H835,TT_Tabelle_Riferimento!$F$3:$G$6,2,FALSE)</f>
        <v>Servizio idrico integrato</v>
      </c>
      <c r="J835" s="1013">
        <v>2028</v>
      </c>
      <c r="K835" s="2335">
        <f>+SUMIFS('PdI-crono_inv'!BG:BG,'PdI-crono_inv'!CF:CF,F835,'PdI-crono_inv'!CE:CE,H835,'PdI-crono_inv'!J:J,P835,'PdI-crono_inv'!P:P,"&lt;&gt;proprietario")</f>
        <v>0</v>
      </c>
      <c r="M835" s="2335">
        <f>+SUMIFS('PdI-crono_inv'!BH:BH,'PdI-crono_inv'!CF:CF,F835,'PdI-crono_inv'!CE:CE,H835,'PdI-crono_inv'!J:J,P835,'PdI-crono_inv'!P:P,"&lt;&gt;proprietario")+S835</f>
        <v>0</v>
      </c>
      <c r="P835" s="1013" t="s">
        <v>25481</v>
      </c>
      <c r="Q835" s="1932" t="str">
        <f>+VLOOKUP(F835,TT_Tabelle_Riferimento!$D$127:$E$164,2,FALSE)</f>
        <v>Comune</v>
      </c>
      <c r="R835" s="1932" t="str">
        <f t="shared" si="72"/>
        <v/>
      </c>
      <c r="S835" s="2335">
        <f t="shared" si="71"/>
        <v>0</v>
      </c>
    </row>
    <row r="836" spans="1:19">
      <c r="A836" s="1932">
        <f t="shared" si="73"/>
        <v>0</v>
      </c>
      <c r="B836" s="1932">
        <f t="shared" si="74"/>
        <v>0</v>
      </c>
      <c r="C836" s="1013" t="s">
        <v>245</v>
      </c>
      <c r="D836" s="1013">
        <v>0</v>
      </c>
      <c r="E836" s="1013" t="s">
        <v>22698</v>
      </c>
      <c r="F836" s="1013">
        <v>34</v>
      </c>
      <c r="G836" s="1932" t="str">
        <f>+VLOOKUP(F836,TT_Tabelle_Riferimento!$D$127:$G$164,4,FALSE)</f>
        <v>Fabbricati industriali</v>
      </c>
      <c r="H836" s="1013">
        <v>1</v>
      </c>
      <c r="I836" s="1932" t="str">
        <f>+VLOOKUP(H836,TT_Tabelle_Riferimento!$F$3:$G$6,2,FALSE)</f>
        <v>Servizio idrico integrato</v>
      </c>
      <c r="J836" s="1013">
        <v>2028</v>
      </c>
      <c r="K836" s="2335">
        <f>+SUMIFS('PdI-crono_inv'!BG:BG,'PdI-crono_inv'!CF:CF,F836,'PdI-crono_inv'!CE:CE,H836,'PdI-crono_inv'!J:J,P836,'PdI-crono_inv'!P:P,"&lt;&gt;proprietario")</f>
        <v>0</v>
      </c>
      <c r="M836" s="2335">
        <f>+SUMIFS('PdI-crono_inv'!BH:BH,'PdI-crono_inv'!CF:CF,F836,'PdI-crono_inv'!CE:CE,H836,'PdI-crono_inv'!J:J,P836,'PdI-crono_inv'!P:P,"&lt;&gt;proprietario")+S836</f>
        <v>0</v>
      </c>
      <c r="P836" s="1013" t="s">
        <v>25481</v>
      </c>
      <c r="Q836" s="1932" t="str">
        <f>+VLOOKUP(F836,TT_Tabelle_Riferimento!$D$127:$E$164,2,FALSE)</f>
        <v>Comune</v>
      </c>
      <c r="R836" s="1932" t="str">
        <f t="shared" si="72"/>
        <v/>
      </c>
      <c r="S836" s="2335">
        <f t="shared" si="71"/>
        <v>0</v>
      </c>
    </row>
    <row r="837" spans="1:19">
      <c r="A837" s="1932">
        <f t="shared" si="73"/>
        <v>0</v>
      </c>
      <c r="B837" s="1932">
        <f t="shared" si="74"/>
        <v>0</v>
      </c>
      <c r="C837" s="1013" t="s">
        <v>245</v>
      </c>
      <c r="D837" s="1013">
        <v>0</v>
      </c>
      <c r="E837" s="1013" t="s">
        <v>22698</v>
      </c>
      <c r="F837" s="1013">
        <v>35</v>
      </c>
      <c r="G837" s="1932" t="str">
        <f>+VLOOKUP(F837,TT_Tabelle_Riferimento!$D$127:$G$164,4,FALSE)</f>
        <v>Costruzioni leggere</v>
      </c>
      <c r="H837" s="1013">
        <v>1</v>
      </c>
      <c r="I837" s="1932" t="str">
        <f>+VLOOKUP(H837,TT_Tabelle_Riferimento!$F$3:$G$6,2,FALSE)</f>
        <v>Servizio idrico integrato</v>
      </c>
      <c r="J837" s="1013">
        <v>2028</v>
      </c>
      <c r="K837" s="2335">
        <f>+SUMIFS('PdI-crono_inv'!BG:BG,'PdI-crono_inv'!CF:CF,F837,'PdI-crono_inv'!CE:CE,H837,'PdI-crono_inv'!J:J,P837,'PdI-crono_inv'!P:P,"&lt;&gt;proprietario")</f>
        <v>0</v>
      </c>
      <c r="M837" s="2335">
        <f>+SUMIFS('PdI-crono_inv'!BH:BH,'PdI-crono_inv'!CF:CF,F837,'PdI-crono_inv'!CE:CE,H837,'PdI-crono_inv'!J:J,P837,'PdI-crono_inv'!P:P,"&lt;&gt;proprietario")+S837</f>
        <v>0</v>
      </c>
      <c r="P837" s="1013" t="s">
        <v>25481</v>
      </c>
      <c r="Q837" s="1932" t="str">
        <f>+VLOOKUP(F837,TT_Tabelle_Riferimento!$D$127:$E$164,2,FALSE)</f>
        <v>Comune</v>
      </c>
      <c r="R837" s="1932" t="str">
        <f t="shared" si="72"/>
        <v/>
      </c>
      <c r="S837" s="2335">
        <f t="shared" si="71"/>
        <v>0</v>
      </c>
    </row>
    <row r="838" spans="1:19">
      <c r="A838" s="1932">
        <f t="shared" si="73"/>
        <v>0</v>
      </c>
      <c r="B838" s="1932">
        <f t="shared" si="74"/>
        <v>0</v>
      </c>
      <c r="C838" s="1013" t="s">
        <v>245</v>
      </c>
      <c r="D838" s="1013">
        <v>0</v>
      </c>
      <c r="E838" s="1013" t="s">
        <v>22698</v>
      </c>
      <c r="F838" s="1013">
        <v>36</v>
      </c>
      <c r="G838" s="1932" t="str">
        <f>+VLOOKUP(F838,TT_Tabelle_Riferimento!$D$127:$G$164,4,FALSE)</f>
        <v>Studi, ricerche, brevetti, diritti di utilizzazione</v>
      </c>
      <c r="H838" s="1013">
        <v>1</v>
      </c>
      <c r="I838" s="1932" t="str">
        <f>+VLOOKUP(H838,TT_Tabelle_Riferimento!$F$3:$G$6,2,FALSE)</f>
        <v>Servizio idrico integrato</v>
      </c>
      <c r="J838" s="1013">
        <v>2028</v>
      </c>
      <c r="K838" s="2335">
        <f>+SUMIFS('PdI-crono_inv'!BG:BG,'PdI-crono_inv'!CF:CF,F838,'PdI-crono_inv'!CE:CE,H838,'PdI-crono_inv'!J:J,P838,'PdI-crono_inv'!P:P,"&lt;&gt;proprietario")</f>
        <v>0</v>
      </c>
      <c r="M838" s="2335">
        <f>+SUMIFS('PdI-crono_inv'!BH:BH,'PdI-crono_inv'!CF:CF,F838,'PdI-crono_inv'!CE:CE,H838,'PdI-crono_inv'!J:J,P838,'PdI-crono_inv'!P:P,"&lt;&gt;proprietario")+S838</f>
        <v>0</v>
      </c>
      <c r="P838" s="1013" t="s">
        <v>25481</v>
      </c>
      <c r="Q838" s="1932" t="str">
        <f>+VLOOKUP(F838,TT_Tabelle_Riferimento!$D$127:$E$164,2,FALSE)</f>
        <v>Comune</v>
      </c>
      <c r="R838" s="1932" t="str">
        <f t="shared" si="72"/>
        <v/>
      </c>
      <c r="S838" s="2335">
        <f t="shared" si="71"/>
        <v>0</v>
      </c>
    </row>
    <row r="839" spans="1:19">
      <c r="A839" s="1932">
        <v>0</v>
      </c>
      <c r="B839" s="1932">
        <v>0</v>
      </c>
      <c r="C839" s="1013" t="s">
        <v>245</v>
      </c>
      <c r="D839" s="1013">
        <v>0</v>
      </c>
      <c r="E839" s="1013" t="s">
        <v>22698</v>
      </c>
      <c r="F839" s="1013">
        <v>37</v>
      </c>
      <c r="G839" s="1932" t="str">
        <f>+VLOOKUP(F839,TT_Tabelle_Riferimento!$D$127:$G$164,4,FALSE)</f>
        <v>Altre immobilizzazioni materiali e immateriali</v>
      </c>
      <c r="H839" s="1013">
        <v>1</v>
      </c>
      <c r="I839" s="1932" t="str">
        <f>+VLOOKUP(H839,TT_Tabelle_Riferimento!$F$3:$G$6,2,FALSE)</f>
        <v>Servizio idrico integrato</v>
      </c>
      <c r="J839" s="1013">
        <v>2028</v>
      </c>
      <c r="K839" s="2335">
        <f>+SUMIFS('PdI-crono_inv'!BG:BG,'PdI-crono_inv'!CF:CF,F839,'PdI-crono_inv'!CE:CE,H839,'PdI-crono_inv'!J:J,P839,'PdI-crono_inv'!P:P,"&lt;&gt;proprietario")</f>
        <v>0</v>
      </c>
      <c r="M839" s="2335">
        <f>+SUMIFS('PdI-crono_inv'!BH:BH,'PdI-crono_inv'!CF:CF,F839,'PdI-crono_inv'!CE:CE,H839,'PdI-crono_inv'!J:J,P839,'PdI-crono_inv'!P:P,"&lt;&gt;proprietario")+S839</f>
        <v>0</v>
      </c>
      <c r="P839" s="1013" t="s">
        <v>25481</v>
      </c>
      <c r="Q839" s="1932" t="str">
        <f>+VLOOKUP(F839,TT_Tabelle_Riferimento!$D$127:$E$164,2,FALSE)</f>
        <v>Comune</v>
      </c>
      <c r="R839" s="1932" t="str">
        <f t="shared" si="72"/>
        <v/>
      </c>
      <c r="S839" s="2335">
        <f t="shared" ref="S839:S902" si="75">+IFERROR(HLOOKUP(J839,$X$2:$Y$5,4,FALSE)*K839,0)</f>
        <v>0</v>
      </c>
    </row>
    <row r="840" spans="1:19">
      <c r="A840" s="1932">
        <v>0</v>
      </c>
      <c r="B840" s="1932">
        <v>0</v>
      </c>
      <c r="C840" s="1013" t="s">
        <v>245</v>
      </c>
      <c r="D840" s="1013">
        <v>0</v>
      </c>
      <c r="E840" s="1013" t="s">
        <v>22698</v>
      </c>
      <c r="F840" s="1013">
        <v>38</v>
      </c>
      <c r="G840" s="1932" t="str">
        <f>+VLOOKUP(F840,TT_Tabelle_Riferimento!$D$127:$G$164,4,FALSE)</f>
        <v>Grandi dighe (sbarramenti che superano i quindici metri di altezza o che determinano un invaso superiore a 1 milione di metri cubi)</v>
      </c>
      <c r="H840" s="1013">
        <v>1</v>
      </c>
      <c r="I840" s="1932" t="str">
        <f>+VLOOKUP(H840,TT_Tabelle_Riferimento!$F$3:$G$6,2,FALSE)</f>
        <v>Servizio idrico integrato</v>
      </c>
      <c r="J840" s="1013">
        <v>2028</v>
      </c>
      <c r="K840" s="2335">
        <f>+SUMIFS('PdI-crono_inv'!BG:BG,'PdI-crono_inv'!CF:CF,F840,'PdI-crono_inv'!CE:CE,H840,'PdI-crono_inv'!J:J,P840,'PdI-crono_inv'!P:P,"&lt;&gt;proprietario")</f>
        <v>0</v>
      </c>
      <c r="M840" s="2335">
        <f>+SUMIFS('PdI-crono_inv'!BH:BH,'PdI-crono_inv'!CF:CF,F840,'PdI-crono_inv'!CE:CE,H840,'PdI-crono_inv'!J:J,P840,'PdI-crono_inv'!P:P,"&lt;&gt;proprietario")+S840</f>
        <v>0</v>
      </c>
      <c r="P840" s="1013" t="s">
        <v>25481</v>
      </c>
      <c r="Q840" s="1932" t="str">
        <f>+VLOOKUP(F840,TT_Tabelle_Riferimento!$D$127:$E$164,2,FALSE)</f>
        <v>Acquedotto</v>
      </c>
      <c r="R840" s="1932" t="str">
        <f t="shared" si="72"/>
        <v/>
      </c>
      <c r="S840" s="2335">
        <f t="shared" si="75"/>
        <v>0</v>
      </c>
    </row>
    <row r="841" spans="1:19">
      <c r="A841" s="1932">
        <v>0</v>
      </c>
      <c r="B841" s="1932">
        <v>0</v>
      </c>
      <c r="C841" s="1013" t="s">
        <v>245</v>
      </c>
      <c r="D841" s="1013">
        <v>0</v>
      </c>
      <c r="E841" s="1013" t="s">
        <v>22698</v>
      </c>
      <c r="F841" s="1013">
        <v>39</v>
      </c>
      <c r="G841" s="1932" t="str">
        <f>+VLOOKUP(F841,TT_Tabelle_Riferimento!$D$127:$G$164,4,FALSE)</f>
        <v>Piccole dighe (sbarramenti che non superano i quindici metri di altezza o che determinano un invaso non superiore a 1 milione di metri cubi)</v>
      </c>
      <c r="H841" s="1013">
        <v>1</v>
      </c>
      <c r="I841" s="1932" t="str">
        <f>+VLOOKUP(H841,TT_Tabelle_Riferimento!$F$3:$G$6,2,FALSE)</f>
        <v>Servizio idrico integrato</v>
      </c>
      <c r="J841" s="1013">
        <v>2028</v>
      </c>
      <c r="K841" s="2335">
        <f>+SUMIFS('PdI-crono_inv'!BG:BG,'PdI-crono_inv'!CF:CF,F841,'PdI-crono_inv'!CE:CE,H841,'PdI-crono_inv'!J:J,P841,'PdI-crono_inv'!P:P,"&lt;&gt;proprietario")</f>
        <v>0</v>
      </c>
      <c r="M841" s="2335">
        <f>+SUMIFS('PdI-crono_inv'!BH:BH,'PdI-crono_inv'!CF:CF,F841,'PdI-crono_inv'!CE:CE,H841,'PdI-crono_inv'!J:J,P841,'PdI-crono_inv'!P:P,"&lt;&gt;proprietario")+S841</f>
        <v>0</v>
      </c>
      <c r="P841" s="1013" t="s">
        <v>25481</v>
      </c>
      <c r="Q841" s="1932" t="str">
        <f>+VLOOKUP(F841,TT_Tabelle_Riferimento!$D$127:$E$164,2,FALSE)</f>
        <v>Acquedotto</v>
      </c>
      <c r="R841" s="1932" t="str">
        <f t="shared" si="72"/>
        <v/>
      </c>
      <c r="S841" s="2335">
        <f t="shared" si="75"/>
        <v>0</v>
      </c>
    </row>
    <row r="842" spans="1:19">
      <c r="A842" s="1932">
        <f t="shared" ref="A842:A876" si="76">+idato</f>
        <v>0</v>
      </c>
      <c r="B842" s="1932">
        <f t="shared" ref="B842:B876" si="77">+idgestore</f>
        <v>0</v>
      </c>
      <c r="C842" s="1013" t="s">
        <v>245</v>
      </c>
      <c r="D842" s="1013">
        <v>0</v>
      </c>
      <c r="E842" s="1013" t="s">
        <v>22698</v>
      </c>
      <c r="F842" s="1013">
        <v>2</v>
      </c>
      <c r="G842" s="1932" t="str">
        <f>+VLOOKUP(F842,TT_Tabelle_Riferimento!$D$127:$G$164,4,FALSE)</f>
        <v>Condotte di acquedotto</v>
      </c>
      <c r="H842" s="1013">
        <v>2</v>
      </c>
      <c r="I842" s="1932" t="str">
        <f>+VLOOKUP(H842,TT_Tabelle_Riferimento!$F$3:$G$6,2,FALSE)</f>
        <v>Fognatura bianca e pulizia / manutenzione caditoie stradali</v>
      </c>
      <c r="J842" s="1013">
        <v>2028</v>
      </c>
      <c r="K842" s="2335">
        <f>+SUMIFS('PdI-crono_inv'!BG:BG,'PdI-crono_inv'!CF:CF,F842,'PdI-crono_inv'!CE:CE,H842,'PdI-crono_inv'!J:J,P842,'PdI-crono_inv'!P:P,"&lt;&gt;proprietario")</f>
        <v>0</v>
      </c>
      <c r="M842" s="2335">
        <f>+SUMIFS('PdI-crono_inv'!BH:BH,'PdI-crono_inv'!CF:CF,F842,'PdI-crono_inv'!CE:CE,H842,'PdI-crono_inv'!J:J,P842,'PdI-crono_inv'!P:P,"&lt;&gt;proprietario")+S842</f>
        <v>0</v>
      </c>
      <c r="P842" s="1013" t="s">
        <v>25481</v>
      </c>
      <c r="Q842" s="1932" t="str">
        <f>+VLOOKUP(F842,TT_Tabelle_Riferimento!$D$127:$E$164,2,FALSE)</f>
        <v>Acquedotto</v>
      </c>
      <c r="R842" s="1932" t="str">
        <f t="shared" si="72"/>
        <v/>
      </c>
      <c r="S842" s="2335">
        <f t="shared" si="75"/>
        <v>0</v>
      </c>
    </row>
    <row r="843" spans="1:19">
      <c r="A843" s="1932">
        <f t="shared" si="76"/>
        <v>0</v>
      </c>
      <c r="B843" s="1932">
        <f t="shared" si="77"/>
        <v>0</v>
      </c>
      <c r="C843" s="1013" t="s">
        <v>245</v>
      </c>
      <c r="D843" s="1013">
        <v>0</v>
      </c>
      <c r="E843" s="1013" t="s">
        <v>22698</v>
      </c>
      <c r="F843" s="1013">
        <v>3</v>
      </c>
      <c r="G843" s="1932" t="str">
        <f>+VLOOKUP(F843,TT_Tabelle_Riferimento!$D$127:$G$164,4,FALSE)</f>
        <v>Opere idrauliche fisse di acquedotto</v>
      </c>
      <c r="H843" s="1013">
        <v>2</v>
      </c>
      <c r="I843" s="1932" t="str">
        <f>+VLOOKUP(H843,TT_Tabelle_Riferimento!$F$3:$G$6,2,FALSE)</f>
        <v>Fognatura bianca e pulizia / manutenzione caditoie stradali</v>
      </c>
      <c r="J843" s="1013">
        <v>2028</v>
      </c>
      <c r="K843" s="2335">
        <f>+SUMIFS('PdI-crono_inv'!BG:BG,'PdI-crono_inv'!CF:CF,F843,'PdI-crono_inv'!CE:CE,H843,'PdI-crono_inv'!J:J,P843,'PdI-crono_inv'!P:P,"&lt;&gt;proprietario")</f>
        <v>0</v>
      </c>
      <c r="M843" s="2335">
        <f>+SUMIFS('PdI-crono_inv'!BH:BH,'PdI-crono_inv'!CF:CF,F843,'PdI-crono_inv'!CE:CE,H843,'PdI-crono_inv'!J:J,P843,'PdI-crono_inv'!P:P,"&lt;&gt;proprietario")+S843</f>
        <v>0</v>
      </c>
      <c r="P843" s="1013" t="s">
        <v>25481</v>
      </c>
      <c r="Q843" s="1932" t="str">
        <f>+VLOOKUP(F843,TT_Tabelle_Riferimento!$D$127:$E$164,2,FALSE)</f>
        <v>Acquedotto</v>
      </c>
      <c r="R843" s="1932" t="str">
        <f t="shared" si="72"/>
        <v/>
      </c>
      <c r="S843" s="2335">
        <f t="shared" si="75"/>
        <v>0</v>
      </c>
    </row>
    <row r="844" spans="1:19">
      <c r="A844" s="1932">
        <f t="shared" si="76"/>
        <v>0</v>
      </c>
      <c r="B844" s="1932">
        <f t="shared" si="77"/>
        <v>0</v>
      </c>
      <c r="C844" s="1013" t="s">
        <v>245</v>
      </c>
      <c r="D844" s="1013">
        <v>0</v>
      </c>
      <c r="E844" s="1013" t="s">
        <v>22698</v>
      </c>
      <c r="F844" s="1013">
        <v>4</v>
      </c>
      <c r="G844" s="1932" t="str">
        <f>+VLOOKUP(F844,TT_Tabelle_Riferimento!$D$127:$G$164,4,FALSE)</f>
        <v>Serbatoi</v>
      </c>
      <c r="H844" s="1013">
        <v>2</v>
      </c>
      <c r="I844" s="1932" t="str">
        <f>+VLOOKUP(H844,TT_Tabelle_Riferimento!$F$3:$G$6,2,FALSE)</f>
        <v>Fognatura bianca e pulizia / manutenzione caditoie stradali</v>
      </c>
      <c r="J844" s="1013">
        <v>2028</v>
      </c>
      <c r="K844" s="2335">
        <f>+SUMIFS('PdI-crono_inv'!BG:BG,'PdI-crono_inv'!CF:CF,F844,'PdI-crono_inv'!CE:CE,H844,'PdI-crono_inv'!J:J,P844,'PdI-crono_inv'!P:P,"&lt;&gt;proprietario")</f>
        <v>0</v>
      </c>
      <c r="M844" s="2335">
        <f>+SUMIFS('PdI-crono_inv'!BH:BH,'PdI-crono_inv'!CF:CF,F844,'PdI-crono_inv'!CE:CE,H844,'PdI-crono_inv'!J:J,P844,'PdI-crono_inv'!P:P,"&lt;&gt;proprietario")+S844</f>
        <v>0</v>
      </c>
      <c r="P844" s="1013" t="s">
        <v>25481</v>
      </c>
      <c r="Q844" s="1932" t="str">
        <f>+VLOOKUP(F844,TT_Tabelle_Riferimento!$D$127:$E$164,2,FALSE)</f>
        <v>Acquedotto</v>
      </c>
      <c r="R844" s="1932" t="str">
        <f t="shared" si="72"/>
        <v/>
      </c>
      <c r="S844" s="2335">
        <f t="shared" si="75"/>
        <v>0</v>
      </c>
    </row>
    <row r="845" spans="1:19">
      <c r="A845" s="1932">
        <f t="shared" si="76"/>
        <v>0</v>
      </c>
      <c r="B845" s="1932">
        <f t="shared" si="77"/>
        <v>0</v>
      </c>
      <c r="C845" s="1013" t="s">
        <v>245</v>
      </c>
      <c r="D845" s="1013">
        <v>0</v>
      </c>
      <c r="E845" s="1013" t="s">
        <v>22698</v>
      </c>
      <c r="F845" s="1013">
        <v>5</v>
      </c>
      <c r="G845" s="1932" t="str">
        <f>+VLOOKUP(F845,TT_Tabelle_Riferimento!$D$127:$G$164,4,FALSE)</f>
        <v>Impianti di sollevamento e pompaggio di acquedotto</v>
      </c>
      <c r="H845" s="1013">
        <v>2</v>
      </c>
      <c r="I845" s="1932" t="str">
        <f>+VLOOKUP(H845,TT_Tabelle_Riferimento!$F$3:$G$6,2,FALSE)</f>
        <v>Fognatura bianca e pulizia / manutenzione caditoie stradali</v>
      </c>
      <c r="J845" s="1013">
        <v>2028</v>
      </c>
      <c r="K845" s="2335">
        <f>+SUMIFS('PdI-crono_inv'!BG:BG,'PdI-crono_inv'!CF:CF,F845,'PdI-crono_inv'!CE:CE,H845,'PdI-crono_inv'!J:J,P845,'PdI-crono_inv'!P:P,"&lt;&gt;proprietario")</f>
        <v>0</v>
      </c>
      <c r="M845" s="2335">
        <f>+SUMIFS('PdI-crono_inv'!BH:BH,'PdI-crono_inv'!CF:CF,F845,'PdI-crono_inv'!CE:CE,H845,'PdI-crono_inv'!J:J,P845,'PdI-crono_inv'!P:P,"&lt;&gt;proprietario")+S845</f>
        <v>0</v>
      </c>
      <c r="P845" s="1013" t="s">
        <v>25481</v>
      </c>
      <c r="Q845" s="1932" t="str">
        <f>+VLOOKUP(F845,TT_Tabelle_Riferimento!$D$127:$E$164,2,FALSE)</f>
        <v>Acquedotto</v>
      </c>
      <c r="R845" s="1932" t="str">
        <f t="shared" si="72"/>
        <v/>
      </c>
      <c r="S845" s="2335">
        <f t="shared" si="75"/>
        <v>0</v>
      </c>
    </row>
    <row r="846" spans="1:19">
      <c r="A846" s="1932">
        <f t="shared" si="76"/>
        <v>0</v>
      </c>
      <c r="B846" s="1932">
        <f t="shared" si="77"/>
        <v>0</v>
      </c>
      <c r="C846" s="1013" t="s">
        <v>245</v>
      </c>
      <c r="D846" s="1013">
        <v>0</v>
      </c>
      <c r="E846" s="1013" t="s">
        <v>22698</v>
      </c>
      <c r="F846" s="1013">
        <v>6</v>
      </c>
      <c r="G846" s="1932" t="str">
        <f>+VLOOKUP(F846,TT_Tabelle_Riferimento!$D$127:$G$164,4,FALSE)</f>
        <v>Impianti di potabilizzazione</v>
      </c>
      <c r="H846" s="1013">
        <v>2</v>
      </c>
      <c r="I846" s="1932" t="str">
        <f>+VLOOKUP(H846,TT_Tabelle_Riferimento!$F$3:$G$6,2,FALSE)</f>
        <v>Fognatura bianca e pulizia / manutenzione caditoie stradali</v>
      </c>
      <c r="J846" s="1013">
        <v>2028</v>
      </c>
      <c r="K846" s="2335">
        <f>+SUMIFS('PdI-crono_inv'!BG:BG,'PdI-crono_inv'!CF:CF,F846,'PdI-crono_inv'!CE:CE,H846,'PdI-crono_inv'!J:J,P846,'PdI-crono_inv'!P:P,"&lt;&gt;proprietario")</f>
        <v>0</v>
      </c>
      <c r="M846" s="2335">
        <f>+SUMIFS('PdI-crono_inv'!BH:BH,'PdI-crono_inv'!CF:CF,F846,'PdI-crono_inv'!CE:CE,H846,'PdI-crono_inv'!J:J,P846,'PdI-crono_inv'!P:P,"&lt;&gt;proprietario")+S846</f>
        <v>0</v>
      </c>
      <c r="P846" s="1013" t="s">
        <v>25481</v>
      </c>
      <c r="Q846" s="1932" t="str">
        <f>+VLOOKUP(F846,TT_Tabelle_Riferimento!$D$127:$E$164,2,FALSE)</f>
        <v>Acquedotto</v>
      </c>
      <c r="R846" s="1932" t="str">
        <f t="shared" si="72"/>
        <v/>
      </c>
      <c r="S846" s="2335">
        <f t="shared" si="75"/>
        <v>0</v>
      </c>
    </row>
    <row r="847" spans="1:19">
      <c r="A847" s="1932">
        <f t="shared" si="76"/>
        <v>0</v>
      </c>
      <c r="B847" s="1932">
        <f t="shared" si="77"/>
        <v>0</v>
      </c>
      <c r="C847" s="1013" t="s">
        <v>245</v>
      </c>
      <c r="D847" s="1013">
        <v>0</v>
      </c>
      <c r="E847" s="1013" t="s">
        <v>22698</v>
      </c>
      <c r="F847" s="1013">
        <v>7</v>
      </c>
      <c r="G847" s="1932" t="str">
        <f>+VLOOKUP(F847,TT_Tabelle_Riferimento!$D$127:$G$164,4,FALSE)</f>
        <v>Altri trattamenti di potabilizzazione (tra cui dispositivi di disinfezione, stacciatura, filtrazione, addolcimento)</v>
      </c>
      <c r="H847" s="1013">
        <v>2</v>
      </c>
      <c r="I847" s="1932" t="str">
        <f>+VLOOKUP(H847,TT_Tabelle_Riferimento!$F$3:$G$6,2,FALSE)</f>
        <v>Fognatura bianca e pulizia / manutenzione caditoie stradali</v>
      </c>
      <c r="J847" s="1013">
        <v>2028</v>
      </c>
      <c r="K847" s="2335">
        <f>+SUMIFS('PdI-crono_inv'!BG:BG,'PdI-crono_inv'!CF:CF,F847,'PdI-crono_inv'!CE:CE,H847,'PdI-crono_inv'!J:J,P847,'PdI-crono_inv'!P:P,"&lt;&gt;proprietario")</f>
        <v>0</v>
      </c>
      <c r="M847" s="2335">
        <f>+SUMIFS('PdI-crono_inv'!BH:BH,'PdI-crono_inv'!CF:CF,F847,'PdI-crono_inv'!CE:CE,H847,'PdI-crono_inv'!J:J,P847,'PdI-crono_inv'!P:P,"&lt;&gt;proprietario")+S847</f>
        <v>0</v>
      </c>
      <c r="P847" s="1013" t="s">
        <v>25481</v>
      </c>
      <c r="Q847" s="1932" t="str">
        <f>+VLOOKUP(F847,TT_Tabelle_Riferimento!$D$127:$E$164,2,FALSE)</f>
        <v>Acquedotto</v>
      </c>
      <c r="R847" s="1932" t="str">
        <f t="shared" si="72"/>
        <v/>
      </c>
      <c r="S847" s="2335">
        <f t="shared" si="75"/>
        <v>0</v>
      </c>
    </row>
    <row r="848" spans="1:19">
      <c r="A848" s="1932">
        <f t="shared" si="76"/>
        <v>0</v>
      </c>
      <c r="B848" s="1932">
        <f t="shared" si="77"/>
        <v>0</v>
      </c>
      <c r="C848" s="1013" t="s">
        <v>245</v>
      </c>
      <c r="D848" s="1013">
        <v>0</v>
      </c>
      <c r="E848" s="1013" t="s">
        <v>22698</v>
      </c>
      <c r="F848" s="1013">
        <v>8</v>
      </c>
      <c r="G848" s="1932" t="str">
        <f>+VLOOKUP(F848,TT_Tabelle_Riferimento!$D$127:$G$164,4,FALSE)</f>
        <v>Gruppi di misura - altre attrezzature di acquedotto</v>
      </c>
      <c r="H848" s="1013">
        <v>2</v>
      </c>
      <c r="I848" s="1932" t="str">
        <f>+VLOOKUP(H848,TT_Tabelle_Riferimento!$F$3:$G$6,2,FALSE)</f>
        <v>Fognatura bianca e pulizia / manutenzione caditoie stradali</v>
      </c>
      <c r="J848" s="1013">
        <v>2028</v>
      </c>
      <c r="K848" s="2335">
        <f>+SUMIFS('PdI-crono_inv'!BG:BG,'PdI-crono_inv'!CF:CF,F848,'PdI-crono_inv'!CE:CE,H848,'PdI-crono_inv'!J:J,P848,'PdI-crono_inv'!P:P,"&lt;&gt;proprietario")</f>
        <v>0</v>
      </c>
      <c r="M848" s="2335">
        <f>+SUMIFS('PdI-crono_inv'!BH:BH,'PdI-crono_inv'!CF:CF,F848,'PdI-crono_inv'!CE:CE,H848,'PdI-crono_inv'!J:J,P848,'PdI-crono_inv'!P:P,"&lt;&gt;proprietario")+S848</f>
        <v>0</v>
      </c>
      <c r="P848" s="1013" t="s">
        <v>25481</v>
      </c>
      <c r="Q848" s="1932" t="str">
        <f>+VLOOKUP(F848,TT_Tabelle_Riferimento!$D$127:$E$164,2,FALSE)</f>
        <v>Acquedotto</v>
      </c>
      <c r="R848" s="1932" t="str">
        <f t="shared" si="72"/>
        <v/>
      </c>
      <c r="S848" s="2335">
        <f t="shared" si="75"/>
        <v>0</v>
      </c>
    </row>
    <row r="849" spans="1:19">
      <c r="A849" s="1932">
        <f t="shared" si="76"/>
        <v>0</v>
      </c>
      <c r="B849" s="1932">
        <f t="shared" si="77"/>
        <v>0</v>
      </c>
      <c r="C849" s="1013" t="s">
        <v>245</v>
      </c>
      <c r="D849" s="1013">
        <v>0</v>
      </c>
      <c r="E849" s="1013" t="s">
        <v>22698</v>
      </c>
      <c r="F849" s="1013">
        <v>9</v>
      </c>
      <c r="G849" s="1932" t="str">
        <f>+VLOOKUP(F849,TT_Tabelle_Riferimento!$D$127:$G$164,4,FALSE)</f>
        <v>Sistemi informativi di acquedotto</v>
      </c>
      <c r="H849" s="1013">
        <v>2</v>
      </c>
      <c r="I849" s="1932" t="str">
        <f>+VLOOKUP(H849,TT_Tabelle_Riferimento!$F$3:$G$6,2,FALSE)</f>
        <v>Fognatura bianca e pulizia / manutenzione caditoie stradali</v>
      </c>
      <c r="J849" s="1013">
        <v>2028</v>
      </c>
      <c r="K849" s="2335">
        <f>+SUMIFS('PdI-crono_inv'!BG:BG,'PdI-crono_inv'!CF:CF,F849,'PdI-crono_inv'!CE:CE,H849,'PdI-crono_inv'!J:J,P849,'PdI-crono_inv'!P:P,"&lt;&gt;proprietario")</f>
        <v>0</v>
      </c>
      <c r="M849" s="2335">
        <f>+SUMIFS('PdI-crono_inv'!BH:BH,'PdI-crono_inv'!CF:CF,F849,'PdI-crono_inv'!CE:CE,H849,'PdI-crono_inv'!J:J,P849,'PdI-crono_inv'!P:P,"&lt;&gt;proprietario")+S849</f>
        <v>0</v>
      </c>
      <c r="P849" s="1013" t="s">
        <v>25481</v>
      </c>
      <c r="Q849" s="1932" t="str">
        <f>+VLOOKUP(F849,TT_Tabelle_Riferimento!$D$127:$E$164,2,FALSE)</f>
        <v>Acquedotto</v>
      </c>
      <c r="R849" s="1932" t="str">
        <f t="shared" si="72"/>
        <v/>
      </c>
      <c r="S849" s="2335">
        <f t="shared" si="75"/>
        <v>0</v>
      </c>
    </row>
    <row r="850" spans="1:19">
      <c r="A850" s="1932">
        <f t="shared" si="76"/>
        <v>0</v>
      </c>
      <c r="B850" s="1932">
        <f t="shared" si="77"/>
        <v>0</v>
      </c>
      <c r="C850" s="1013" t="s">
        <v>245</v>
      </c>
      <c r="D850" s="1013">
        <v>0</v>
      </c>
      <c r="E850" s="1013" t="s">
        <v>22698</v>
      </c>
      <c r="F850" s="1013">
        <v>10</v>
      </c>
      <c r="G850" s="1932" t="str">
        <f>+VLOOKUP(F850,TT_Tabelle_Riferimento!$D$127:$G$164,4,FALSE)</f>
        <v>Telecontrollo e teletrasmissione di acquedotto</v>
      </c>
      <c r="H850" s="1013">
        <v>2</v>
      </c>
      <c r="I850" s="1932" t="str">
        <f>+VLOOKUP(H850,TT_Tabelle_Riferimento!$F$3:$G$6,2,FALSE)</f>
        <v>Fognatura bianca e pulizia / manutenzione caditoie stradali</v>
      </c>
      <c r="J850" s="1013">
        <v>2028</v>
      </c>
      <c r="K850" s="2335">
        <f>+SUMIFS('PdI-crono_inv'!BG:BG,'PdI-crono_inv'!CF:CF,F850,'PdI-crono_inv'!CE:CE,H850,'PdI-crono_inv'!J:J,P850,'PdI-crono_inv'!P:P,"&lt;&gt;proprietario")</f>
        <v>0</v>
      </c>
      <c r="M850" s="2335">
        <f>+SUMIFS('PdI-crono_inv'!BH:BH,'PdI-crono_inv'!CF:CF,F850,'PdI-crono_inv'!CE:CE,H850,'PdI-crono_inv'!J:J,P850,'PdI-crono_inv'!P:P,"&lt;&gt;proprietario")+S850</f>
        <v>0</v>
      </c>
      <c r="P850" s="1013" t="s">
        <v>25481</v>
      </c>
      <c r="Q850" s="1932" t="str">
        <f>+VLOOKUP(F850,TT_Tabelle_Riferimento!$D$127:$E$164,2,FALSE)</f>
        <v>Acquedotto</v>
      </c>
      <c r="R850" s="1932" t="str">
        <f t="shared" si="72"/>
        <v/>
      </c>
      <c r="S850" s="2335">
        <f t="shared" si="75"/>
        <v>0</v>
      </c>
    </row>
    <row r="851" spans="1:19">
      <c r="A851" s="1932">
        <f t="shared" si="76"/>
        <v>0</v>
      </c>
      <c r="B851" s="1932">
        <f t="shared" si="77"/>
        <v>0</v>
      </c>
      <c r="C851" s="1013" t="s">
        <v>245</v>
      </c>
      <c r="D851" s="1013">
        <v>0</v>
      </c>
      <c r="E851" s="1013" t="s">
        <v>22698</v>
      </c>
      <c r="F851" s="1013">
        <v>11</v>
      </c>
      <c r="G851" s="1932" t="str">
        <f>+VLOOKUP(F851,TT_Tabelle_Riferimento!$D$127:$G$164,4,FALSE)</f>
        <v>Condotte fognarie</v>
      </c>
      <c r="H851" s="1013">
        <v>2</v>
      </c>
      <c r="I851" s="1932" t="str">
        <f>+VLOOKUP(H851,TT_Tabelle_Riferimento!$F$3:$G$6,2,FALSE)</f>
        <v>Fognatura bianca e pulizia / manutenzione caditoie stradali</v>
      </c>
      <c r="J851" s="1013">
        <v>2028</v>
      </c>
      <c r="K851" s="2335">
        <f>+SUMIFS('PdI-crono_inv'!BG:BG,'PdI-crono_inv'!CF:CF,F851,'PdI-crono_inv'!CE:CE,H851,'PdI-crono_inv'!J:J,P851,'PdI-crono_inv'!P:P,"&lt;&gt;proprietario")</f>
        <v>0</v>
      </c>
      <c r="M851" s="2335">
        <f>+SUMIFS('PdI-crono_inv'!BH:BH,'PdI-crono_inv'!CF:CF,F851,'PdI-crono_inv'!CE:CE,H851,'PdI-crono_inv'!J:J,P851,'PdI-crono_inv'!P:P,"&lt;&gt;proprietario")+S851</f>
        <v>0</v>
      </c>
      <c r="P851" s="1013" t="s">
        <v>25481</v>
      </c>
      <c r="Q851" s="1932" t="str">
        <f>+VLOOKUP(F851,TT_Tabelle_Riferimento!$D$127:$E$164,2,FALSE)</f>
        <v>Fognatura</v>
      </c>
      <c r="R851" s="1932" t="str">
        <f t="shared" si="72"/>
        <v/>
      </c>
      <c r="S851" s="2335">
        <f t="shared" si="75"/>
        <v>0</v>
      </c>
    </row>
    <row r="852" spans="1:19">
      <c r="A852" s="1932">
        <f t="shared" si="76"/>
        <v>0</v>
      </c>
      <c r="B852" s="1932">
        <f t="shared" si="77"/>
        <v>0</v>
      </c>
      <c r="C852" s="1013" t="s">
        <v>245</v>
      </c>
      <c r="D852" s="1013">
        <v>0</v>
      </c>
      <c r="E852" s="1013" t="s">
        <v>22698</v>
      </c>
      <c r="F852" s="1013">
        <v>12</v>
      </c>
      <c r="G852" s="1932" t="str">
        <f>+VLOOKUP(F852,TT_Tabelle_Riferimento!$D$127:$G$164,4,FALSE)</f>
        <v>Sifoni e scaricatori di piena e altre opere idrauliche fisse di fognatura</v>
      </c>
      <c r="H852" s="1013">
        <v>2</v>
      </c>
      <c r="I852" s="1932" t="str">
        <f>+VLOOKUP(H852,TT_Tabelle_Riferimento!$F$3:$G$6,2,FALSE)</f>
        <v>Fognatura bianca e pulizia / manutenzione caditoie stradali</v>
      </c>
      <c r="J852" s="1013">
        <v>2028</v>
      </c>
      <c r="K852" s="2335">
        <f>+SUMIFS('PdI-crono_inv'!BG:BG,'PdI-crono_inv'!CF:CF,F852,'PdI-crono_inv'!CE:CE,H852,'PdI-crono_inv'!J:J,P852,'PdI-crono_inv'!P:P,"&lt;&gt;proprietario")</f>
        <v>0</v>
      </c>
      <c r="M852" s="2335">
        <f>+SUMIFS('PdI-crono_inv'!BH:BH,'PdI-crono_inv'!CF:CF,F852,'PdI-crono_inv'!CE:CE,H852,'PdI-crono_inv'!J:J,P852,'PdI-crono_inv'!P:P,"&lt;&gt;proprietario")+S852</f>
        <v>0</v>
      </c>
      <c r="P852" s="1013" t="s">
        <v>25481</v>
      </c>
      <c r="Q852" s="1932" t="str">
        <f>+VLOOKUP(F852,TT_Tabelle_Riferimento!$D$127:$E$164,2,FALSE)</f>
        <v>Fognatura</v>
      </c>
      <c r="R852" s="1932" t="str">
        <f t="shared" si="72"/>
        <v/>
      </c>
      <c r="S852" s="2335">
        <f t="shared" si="75"/>
        <v>0</v>
      </c>
    </row>
    <row r="853" spans="1:19">
      <c r="A853" s="1932">
        <f t="shared" si="76"/>
        <v>0</v>
      </c>
      <c r="B853" s="1932">
        <f t="shared" si="77"/>
        <v>0</v>
      </c>
      <c r="C853" s="1013" t="s">
        <v>245</v>
      </c>
      <c r="D853" s="1013">
        <v>0</v>
      </c>
      <c r="E853" s="1013" t="s">
        <v>22698</v>
      </c>
      <c r="F853" s="1013">
        <v>13</v>
      </c>
      <c r="G853" s="1932" t="str">
        <f>+VLOOKUP(F853,TT_Tabelle_Riferimento!$D$127:$G$164,4,FALSE)</f>
        <v>Vasche di laminazione e vasche di prima pioggia</v>
      </c>
      <c r="H853" s="1013">
        <v>2</v>
      </c>
      <c r="I853" s="1932" t="str">
        <f>+VLOOKUP(H853,TT_Tabelle_Riferimento!$F$3:$G$6,2,FALSE)</f>
        <v>Fognatura bianca e pulizia / manutenzione caditoie stradali</v>
      </c>
      <c r="J853" s="1013">
        <v>2028</v>
      </c>
      <c r="K853" s="2335">
        <f>+SUMIFS('PdI-crono_inv'!BG:BG,'PdI-crono_inv'!CF:CF,F853,'PdI-crono_inv'!CE:CE,H853,'PdI-crono_inv'!J:J,P853,'PdI-crono_inv'!P:P,"&lt;&gt;proprietario")</f>
        <v>0</v>
      </c>
      <c r="M853" s="2335">
        <f>+SUMIFS('PdI-crono_inv'!BH:BH,'PdI-crono_inv'!CF:CF,F853,'PdI-crono_inv'!CE:CE,H853,'PdI-crono_inv'!J:J,P853,'PdI-crono_inv'!P:P,"&lt;&gt;proprietario")+S853</f>
        <v>0</v>
      </c>
      <c r="P853" s="1013" t="s">
        <v>25481</v>
      </c>
      <c r="Q853" s="1932" t="str">
        <f>+VLOOKUP(F853,TT_Tabelle_Riferimento!$D$127:$E$164,2,FALSE)</f>
        <v>Fognatura</v>
      </c>
      <c r="R853" s="1932" t="str">
        <f t="shared" si="72"/>
        <v/>
      </c>
      <c r="S853" s="2335">
        <f t="shared" si="75"/>
        <v>0</v>
      </c>
    </row>
    <row r="854" spans="1:19">
      <c r="A854" s="1932">
        <f t="shared" si="76"/>
        <v>0</v>
      </c>
      <c r="B854" s="1932">
        <f t="shared" si="77"/>
        <v>0</v>
      </c>
      <c r="C854" s="1013" t="s">
        <v>245</v>
      </c>
      <c r="D854" s="1013">
        <v>0</v>
      </c>
      <c r="E854" s="1013" t="s">
        <v>22698</v>
      </c>
      <c r="F854" s="1013">
        <v>14</v>
      </c>
      <c r="G854" s="1932" t="str">
        <f>+VLOOKUP(F854,TT_Tabelle_Riferimento!$D$127:$G$164,4,FALSE)</f>
        <v>Impianti di sollevamento e pompaggio di fognatura</v>
      </c>
      <c r="H854" s="1013">
        <v>2</v>
      </c>
      <c r="I854" s="1932" t="str">
        <f>+VLOOKUP(H854,TT_Tabelle_Riferimento!$F$3:$G$6,2,FALSE)</f>
        <v>Fognatura bianca e pulizia / manutenzione caditoie stradali</v>
      </c>
      <c r="J854" s="1013">
        <v>2028</v>
      </c>
      <c r="K854" s="2335">
        <f>+SUMIFS('PdI-crono_inv'!BG:BG,'PdI-crono_inv'!CF:CF,F854,'PdI-crono_inv'!CE:CE,H854,'PdI-crono_inv'!J:J,P854,'PdI-crono_inv'!P:P,"&lt;&gt;proprietario")</f>
        <v>0</v>
      </c>
      <c r="M854" s="2335">
        <f>+SUMIFS('PdI-crono_inv'!BH:BH,'PdI-crono_inv'!CF:CF,F854,'PdI-crono_inv'!CE:CE,H854,'PdI-crono_inv'!J:J,P854,'PdI-crono_inv'!P:P,"&lt;&gt;proprietario")+S854</f>
        <v>0</v>
      </c>
      <c r="P854" s="1013" t="s">
        <v>25481</v>
      </c>
      <c r="Q854" s="1932" t="str">
        <f>+VLOOKUP(F854,TT_Tabelle_Riferimento!$D$127:$E$164,2,FALSE)</f>
        <v>Fognatura</v>
      </c>
      <c r="R854" s="1932" t="str">
        <f t="shared" si="72"/>
        <v/>
      </c>
      <c r="S854" s="2335">
        <f t="shared" si="75"/>
        <v>0</v>
      </c>
    </row>
    <row r="855" spans="1:19">
      <c r="A855" s="1932">
        <f t="shared" si="76"/>
        <v>0</v>
      </c>
      <c r="B855" s="1932">
        <f t="shared" si="77"/>
        <v>0</v>
      </c>
      <c r="C855" s="1013" t="s">
        <v>245</v>
      </c>
      <c r="D855" s="1013">
        <v>0</v>
      </c>
      <c r="E855" s="1013" t="s">
        <v>22698</v>
      </c>
      <c r="F855" s="1013">
        <v>15</v>
      </c>
      <c r="G855" s="1932" t="str">
        <f>+VLOOKUP(F855,TT_Tabelle_Riferimento!$D$127:$G$164,4,FALSE)</f>
        <v>Gruppi di misura - altre attrezzature di fognatura</v>
      </c>
      <c r="H855" s="1013">
        <v>2</v>
      </c>
      <c r="I855" s="1932" t="str">
        <f>+VLOOKUP(H855,TT_Tabelle_Riferimento!$F$3:$G$6,2,FALSE)</f>
        <v>Fognatura bianca e pulizia / manutenzione caditoie stradali</v>
      </c>
      <c r="J855" s="1013">
        <v>2028</v>
      </c>
      <c r="K855" s="2335">
        <f>+SUMIFS('PdI-crono_inv'!BG:BG,'PdI-crono_inv'!CF:CF,F855,'PdI-crono_inv'!CE:CE,H855,'PdI-crono_inv'!J:J,P855,'PdI-crono_inv'!P:P,"&lt;&gt;proprietario")</f>
        <v>0</v>
      </c>
      <c r="M855" s="2335">
        <f>+SUMIFS('PdI-crono_inv'!BH:BH,'PdI-crono_inv'!CF:CF,F855,'PdI-crono_inv'!CE:CE,H855,'PdI-crono_inv'!J:J,P855,'PdI-crono_inv'!P:P,"&lt;&gt;proprietario")+S855</f>
        <v>0</v>
      </c>
      <c r="P855" s="1013" t="s">
        <v>25481</v>
      </c>
      <c r="Q855" s="1932" t="str">
        <f>+VLOOKUP(F855,TT_Tabelle_Riferimento!$D$127:$E$164,2,FALSE)</f>
        <v>Fognatura</v>
      </c>
      <c r="R855" s="1932" t="str">
        <f t="shared" si="72"/>
        <v/>
      </c>
      <c r="S855" s="2335">
        <f t="shared" si="75"/>
        <v>0</v>
      </c>
    </row>
    <row r="856" spans="1:19">
      <c r="A856" s="1932">
        <f t="shared" si="76"/>
        <v>0</v>
      </c>
      <c r="B856" s="1932">
        <f t="shared" si="77"/>
        <v>0</v>
      </c>
      <c r="C856" s="1013" t="s">
        <v>245</v>
      </c>
      <c r="D856" s="1013">
        <v>0</v>
      </c>
      <c r="E856" s="1013" t="s">
        <v>22698</v>
      </c>
      <c r="F856" s="1013">
        <v>16</v>
      </c>
      <c r="G856" s="1932" t="str">
        <f>+VLOOKUP(F856,TT_Tabelle_Riferimento!$D$127:$G$164,4,FALSE)</f>
        <v>Sistemi informativi di fognatura</v>
      </c>
      <c r="H856" s="1013">
        <v>2</v>
      </c>
      <c r="I856" s="1932" t="str">
        <f>+VLOOKUP(H856,TT_Tabelle_Riferimento!$F$3:$G$6,2,FALSE)</f>
        <v>Fognatura bianca e pulizia / manutenzione caditoie stradali</v>
      </c>
      <c r="J856" s="1013">
        <v>2028</v>
      </c>
      <c r="K856" s="2335">
        <f>+SUMIFS('PdI-crono_inv'!BG:BG,'PdI-crono_inv'!CF:CF,F856,'PdI-crono_inv'!CE:CE,H856,'PdI-crono_inv'!J:J,P856,'PdI-crono_inv'!P:P,"&lt;&gt;proprietario")</f>
        <v>0</v>
      </c>
      <c r="M856" s="2335">
        <f>+SUMIFS('PdI-crono_inv'!BH:BH,'PdI-crono_inv'!CF:CF,F856,'PdI-crono_inv'!CE:CE,H856,'PdI-crono_inv'!J:J,P856,'PdI-crono_inv'!P:P,"&lt;&gt;proprietario")+S856</f>
        <v>0</v>
      </c>
      <c r="P856" s="1013" t="s">
        <v>25481</v>
      </c>
      <c r="Q856" s="1932" t="str">
        <f>+VLOOKUP(F856,TT_Tabelle_Riferimento!$D$127:$E$164,2,FALSE)</f>
        <v>Fognatura</v>
      </c>
      <c r="R856" s="1932" t="str">
        <f t="shared" ref="R856:R919" si="78">+IF(SUM(K856:N856)=0,"","PdI_consolidamento")</f>
        <v/>
      </c>
      <c r="S856" s="2335">
        <f t="shared" si="75"/>
        <v>0</v>
      </c>
    </row>
    <row r="857" spans="1:19">
      <c r="A857" s="1932">
        <f t="shared" si="76"/>
        <v>0</v>
      </c>
      <c r="B857" s="1932">
        <f t="shared" si="77"/>
        <v>0</v>
      </c>
      <c r="C857" s="1013" t="s">
        <v>245</v>
      </c>
      <c r="D857" s="1013">
        <v>0</v>
      </c>
      <c r="E857" s="1013" t="s">
        <v>22698</v>
      </c>
      <c r="F857" s="1013">
        <v>18</v>
      </c>
      <c r="G857" s="1932" t="str">
        <f>+VLOOKUP(F857,TT_Tabelle_Riferimento!$D$127:$G$164,4,FALSE)</f>
        <v>Telecontrollo e teletrasmissione di fognatura</v>
      </c>
      <c r="H857" s="1013">
        <v>2</v>
      </c>
      <c r="I857" s="1932" t="str">
        <f>+VLOOKUP(H857,TT_Tabelle_Riferimento!$F$3:$G$6,2,FALSE)</f>
        <v>Fognatura bianca e pulizia / manutenzione caditoie stradali</v>
      </c>
      <c r="J857" s="1013">
        <v>2028</v>
      </c>
      <c r="K857" s="2335">
        <f>+SUMIFS('PdI-crono_inv'!BG:BG,'PdI-crono_inv'!CF:CF,F857,'PdI-crono_inv'!CE:CE,H857,'PdI-crono_inv'!J:J,P857,'PdI-crono_inv'!P:P,"&lt;&gt;proprietario")</f>
        <v>0</v>
      </c>
      <c r="M857" s="2335">
        <f>+SUMIFS('PdI-crono_inv'!BH:BH,'PdI-crono_inv'!CF:CF,F857,'PdI-crono_inv'!CE:CE,H857,'PdI-crono_inv'!J:J,P857,'PdI-crono_inv'!P:P,"&lt;&gt;proprietario")+S857</f>
        <v>0</v>
      </c>
      <c r="P857" s="1013" t="s">
        <v>25481</v>
      </c>
      <c r="Q857" s="1932" t="str">
        <f>+VLOOKUP(F857,TT_Tabelle_Riferimento!$D$127:$E$164,2,FALSE)</f>
        <v>Fognatura</v>
      </c>
      <c r="R857" s="1932" t="str">
        <f t="shared" si="78"/>
        <v/>
      </c>
      <c r="S857" s="2335">
        <f t="shared" si="75"/>
        <v>0</v>
      </c>
    </row>
    <row r="858" spans="1:19">
      <c r="A858" s="1932">
        <f t="shared" si="76"/>
        <v>0</v>
      </c>
      <c r="B858" s="1932">
        <f t="shared" si="77"/>
        <v>0</v>
      </c>
      <c r="C858" s="1013" t="s">
        <v>245</v>
      </c>
      <c r="D858" s="1013">
        <v>0</v>
      </c>
      <c r="E858" s="1013" t="s">
        <v>22698</v>
      </c>
      <c r="F858" s="1013">
        <v>19</v>
      </c>
      <c r="G858" s="1932" t="str">
        <f>+VLOOKUP(F858,TT_Tabelle_Riferimento!$D$127:$G$164,4,FALSE)</f>
        <v>Impianti di sollevamento e pompaggio di depurazione</v>
      </c>
      <c r="H858" s="1013">
        <v>2</v>
      </c>
      <c r="I858" s="1932" t="str">
        <f>+VLOOKUP(H858,TT_Tabelle_Riferimento!$F$3:$G$6,2,FALSE)</f>
        <v>Fognatura bianca e pulizia / manutenzione caditoie stradali</v>
      </c>
      <c r="J858" s="1013">
        <v>2028</v>
      </c>
      <c r="K858" s="2335">
        <f>+SUMIFS('PdI-crono_inv'!BG:BG,'PdI-crono_inv'!CF:CF,F858,'PdI-crono_inv'!CE:CE,H858,'PdI-crono_inv'!J:J,P858,'PdI-crono_inv'!P:P,"&lt;&gt;proprietario")</f>
        <v>0</v>
      </c>
      <c r="M858" s="2335">
        <f>+SUMIFS('PdI-crono_inv'!BH:BH,'PdI-crono_inv'!CF:CF,F858,'PdI-crono_inv'!CE:CE,H858,'PdI-crono_inv'!J:J,P858,'PdI-crono_inv'!P:P,"&lt;&gt;proprietario")+S858</f>
        <v>0</v>
      </c>
      <c r="P858" s="1013" t="s">
        <v>25481</v>
      </c>
      <c r="Q858" s="1932" t="str">
        <f>+VLOOKUP(F858,TT_Tabelle_Riferimento!$D$127:$E$164,2,FALSE)</f>
        <v>Depurazione</v>
      </c>
      <c r="R858" s="1932" t="str">
        <f t="shared" si="78"/>
        <v/>
      </c>
      <c r="S858" s="2335">
        <f t="shared" si="75"/>
        <v>0</v>
      </c>
    </row>
    <row r="859" spans="1:19">
      <c r="A859" s="1932">
        <f t="shared" si="76"/>
        <v>0</v>
      </c>
      <c r="B859" s="1932">
        <f t="shared" si="77"/>
        <v>0</v>
      </c>
      <c r="C859" s="1013" t="s">
        <v>245</v>
      </c>
      <c r="D859" s="1013">
        <v>0</v>
      </c>
      <c r="E859" s="1013" t="s">
        <v>22698</v>
      </c>
      <c r="F859" s="1013">
        <v>20</v>
      </c>
      <c r="G859" s="1932" t="str">
        <f>+VLOOKUP(F859,TT_Tabelle_Riferimento!$D$127:$G$164,4,FALSE)</f>
        <v>Tecniche naturali di depurazione (tra cui fitodepurazione e lagunaggio)</v>
      </c>
      <c r="H859" s="1013">
        <v>2</v>
      </c>
      <c r="I859" s="1932" t="str">
        <f>+VLOOKUP(H859,TT_Tabelle_Riferimento!$F$3:$G$6,2,FALSE)</f>
        <v>Fognatura bianca e pulizia / manutenzione caditoie stradali</v>
      </c>
      <c r="J859" s="1013">
        <v>2028</v>
      </c>
      <c r="K859" s="2335">
        <f>+SUMIFS('PdI-crono_inv'!BG:BG,'PdI-crono_inv'!CF:CF,F859,'PdI-crono_inv'!CE:CE,H859,'PdI-crono_inv'!J:J,P859,'PdI-crono_inv'!P:P,"&lt;&gt;proprietario")</f>
        <v>0</v>
      </c>
      <c r="M859" s="2335">
        <f>+SUMIFS('PdI-crono_inv'!BH:BH,'PdI-crono_inv'!CF:CF,F859,'PdI-crono_inv'!CE:CE,H859,'PdI-crono_inv'!J:J,P859,'PdI-crono_inv'!P:P,"&lt;&gt;proprietario")+S859</f>
        <v>0</v>
      </c>
      <c r="P859" s="1013" t="s">
        <v>25481</v>
      </c>
      <c r="Q859" s="1932" t="str">
        <f>+VLOOKUP(F859,TT_Tabelle_Riferimento!$D$127:$E$164,2,FALSE)</f>
        <v>Depurazione</v>
      </c>
      <c r="R859" s="1932" t="str">
        <f t="shared" si="78"/>
        <v/>
      </c>
      <c r="S859" s="2335">
        <f t="shared" si="75"/>
        <v>0</v>
      </c>
    </row>
    <row r="860" spans="1:19">
      <c r="A860" s="1932">
        <f t="shared" si="76"/>
        <v>0</v>
      </c>
      <c r="B860" s="1932">
        <f t="shared" si="77"/>
        <v>0</v>
      </c>
      <c r="C860" s="1013" t="s">
        <v>245</v>
      </c>
      <c r="D860" s="1013">
        <v>0</v>
      </c>
      <c r="E860" s="1013" t="s">
        <v>22698</v>
      </c>
      <c r="F860" s="1013">
        <v>21</v>
      </c>
      <c r="G860" s="1932" t="str">
        <f>+VLOOKUP(F860,TT_Tabelle_Riferimento!$D$127:$G$164,4,FALSE)</f>
        <v>Impianti di depurazione – trattamenti sino al preliminare, integrativo, primario - fosse settiche e fosse Imhoff</v>
      </c>
      <c r="H860" s="1013">
        <v>2</v>
      </c>
      <c r="I860" s="1932" t="str">
        <f>+VLOOKUP(H860,TT_Tabelle_Riferimento!$F$3:$G$6,2,FALSE)</f>
        <v>Fognatura bianca e pulizia / manutenzione caditoie stradali</v>
      </c>
      <c r="J860" s="1013">
        <v>2028</v>
      </c>
      <c r="K860" s="2335">
        <f>+SUMIFS('PdI-crono_inv'!BG:BG,'PdI-crono_inv'!CF:CF,F860,'PdI-crono_inv'!CE:CE,H860,'PdI-crono_inv'!J:J,P860,'PdI-crono_inv'!P:P,"&lt;&gt;proprietario")</f>
        <v>0</v>
      </c>
      <c r="M860" s="2335">
        <f>+SUMIFS('PdI-crono_inv'!BH:BH,'PdI-crono_inv'!CF:CF,F860,'PdI-crono_inv'!CE:CE,H860,'PdI-crono_inv'!J:J,P860,'PdI-crono_inv'!P:P,"&lt;&gt;proprietario")+S860</f>
        <v>0</v>
      </c>
      <c r="P860" s="1013" t="s">
        <v>25481</v>
      </c>
      <c r="Q860" s="1932" t="str">
        <f>+VLOOKUP(F860,TT_Tabelle_Riferimento!$D$127:$E$164,2,FALSE)</f>
        <v>Depurazione</v>
      </c>
      <c r="R860" s="1932" t="str">
        <f t="shared" si="78"/>
        <v/>
      </c>
      <c r="S860" s="2335">
        <f t="shared" si="75"/>
        <v>0</v>
      </c>
    </row>
    <row r="861" spans="1:19">
      <c r="A861" s="1932">
        <f t="shared" si="76"/>
        <v>0</v>
      </c>
      <c r="B861" s="1932">
        <f t="shared" si="77"/>
        <v>0</v>
      </c>
      <c r="C861" s="1013" t="s">
        <v>245</v>
      </c>
      <c r="D861" s="1013">
        <v>0</v>
      </c>
      <c r="E861" s="1013" t="s">
        <v>22698</v>
      </c>
      <c r="F861" s="1013">
        <v>22</v>
      </c>
      <c r="G861" s="1932" t="str">
        <f>+VLOOKUP(F861,TT_Tabelle_Riferimento!$D$127:$G$164,4,FALSE)</f>
        <v>Impianti di depurazione – trattamenti sino al secondario</v>
      </c>
      <c r="H861" s="1013">
        <v>2</v>
      </c>
      <c r="I861" s="1932" t="str">
        <f>+VLOOKUP(H861,TT_Tabelle_Riferimento!$F$3:$G$6,2,FALSE)</f>
        <v>Fognatura bianca e pulizia / manutenzione caditoie stradali</v>
      </c>
      <c r="J861" s="1013">
        <v>2028</v>
      </c>
      <c r="K861" s="2335">
        <f>+SUMIFS('PdI-crono_inv'!BG:BG,'PdI-crono_inv'!CF:CF,F861,'PdI-crono_inv'!CE:CE,H861,'PdI-crono_inv'!J:J,P861,'PdI-crono_inv'!P:P,"&lt;&gt;proprietario")</f>
        <v>0</v>
      </c>
      <c r="M861" s="2335">
        <f>+SUMIFS('PdI-crono_inv'!BH:BH,'PdI-crono_inv'!CF:CF,F861,'PdI-crono_inv'!CE:CE,H861,'PdI-crono_inv'!J:J,P861,'PdI-crono_inv'!P:P,"&lt;&gt;proprietario")+S861</f>
        <v>0</v>
      </c>
      <c r="P861" s="1013" t="s">
        <v>25481</v>
      </c>
      <c r="Q861" s="1932" t="str">
        <f>+VLOOKUP(F861,TT_Tabelle_Riferimento!$D$127:$E$164,2,FALSE)</f>
        <v>Depurazione</v>
      </c>
      <c r="R861" s="1932" t="str">
        <f t="shared" si="78"/>
        <v/>
      </c>
      <c r="S861" s="2335">
        <f t="shared" si="75"/>
        <v>0</v>
      </c>
    </row>
    <row r="862" spans="1:19">
      <c r="A862" s="1932">
        <f t="shared" si="76"/>
        <v>0</v>
      </c>
      <c r="B862" s="1932">
        <f t="shared" si="77"/>
        <v>0</v>
      </c>
      <c r="C862" s="1013" t="s">
        <v>245</v>
      </c>
      <c r="D862" s="1013">
        <v>0</v>
      </c>
      <c r="E862" s="1013" t="s">
        <v>22698</v>
      </c>
      <c r="F862" s="1013">
        <v>23</v>
      </c>
      <c r="G862" s="1932" t="str">
        <f>+VLOOKUP(F862,TT_Tabelle_Riferimento!$D$127:$G$164,4,FALSE)</f>
        <v>Impianti di depurazione – trattamenti sino al terziario e terziario avanzato</v>
      </c>
      <c r="H862" s="1013">
        <v>2</v>
      </c>
      <c r="I862" s="1932" t="str">
        <f>+VLOOKUP(H862,TT_Tabelle_Riferimento!$F$3:$G$6,2,FALSE)</f>
        <v>Fognatura bianca e pulizia / manutenzione caditoie stradali</v>
      </c>
      <c r="J862" s="1013">
        <v>2028</v>
      </c>
      <c r="K862" s="2335">
        <f>+SUMIFS('PdI-crono_inv'!BG:BG,'PdI-crono_inv'!CF:CF,F862,'PdI-crono_inv'!CE:CE,H862,'PdI-crono_inv'!J:J,P862,'PdI-crono_inv'!P:P,"&lt;&gt;proprietario")</f>
        <v>0</v>
      </c>
      <c r="M862" s="2335">
        <f>+SUMIFS('PdI-crono_inv'!BH:BH,'PdI-crono_inv'!CF:CF,F862,'PdI-crono_inv'!CE:CE,H862,'PdI-crono_inv'!J:J,P862,'PdI-crono_inv'!P:P,"&lt;&gt;proprietario")+S862</f>
        <v>0</v>
      </c>
      <c r="P862" s="1013" t="s">
        <v>25481</v>
      </c>
      <c r="Q862" s="1932" t="str">
        <f>+VLOOKUP(F862,TT_Tabelle_Riferimento!$D$127:$E$164,2,FALSE)</f>
        <v>Depurazione</v>
      </c>
      <c r="R862" s="1932" t="str">
        <f t="shared" si="78"/>
        <v/>
      </c>
      <c r="S862" s="2335">
        <f t="shared" si="75"/>
        <v>0</v>
      </c>
    </row>
    <row r="863" spans="1:19">
      <c r="A863" s="1932">
        <f t="shared" si="76"/>
        <v>0</v>
      </c>
      <c r="B863" s="1932">
        <f t="shared" si="77"/>
        <v>0</v>
      </c>
      <c r="C863" s="1013" t="s">
        <v>245</v>
      </c>
      <c r="D863" s="1013">
        <v>0</v>
      </c>
      <c r="E863" s="1013" t="s">
        <v>22698</v>
      </c>
      <c r="F863" s="1013">
        <v>24</v>
      </c>
      <c r="G863" s="1932" t="str">
        <f>+VLOOKUP(F863,TT_Tabelle_Riferimento!$D$127:$G$164,4,FALSE)</f>
        <v>Impianti di essiccamento fanghi e di valorizzazione dei fanghi (tra cui mono-incenerimento, pirolisi, gassificazione)</v>
      </c>
      <c r="H863" s="1013">
        <v>2</v>
      </c>
      <c r="I863" s="1932" t="str">
        <f>+VLOOKUP(H863,TT_Tabelle_Riferimento!$F$3:$G$6,2,FALSE)</f>
        <v>Fognatura bianca e pulizia / manutenzione caditoie stradali</v>
      </c>
      <c r="J863" s="1013">
        <v>2028</v>
      </c>
      <c r="K863" s="2335">
        <f>+SUMIFS('PdI-crono_inv'!BG:BG,'PdI-crono_inv'!CF:CF,F863,'PdI-crono_inv'!CE:CE,H863,'PdI-crono_inv'!J:J,P863,'PdI-crono_inv'!P:P,"&lt;&gt;proprietario")</f>
        <v>0</v>
      </c>
      <c r="M863" s="2335">
        <f>+SUMIFS('PdI-crono_inv'!BH:BH,'PdI-crono_inv'!CF:CF,F863,'PdI-crono_inv'!CE:CE,H863,'PdI-crono_inv'!J:J,P863,'PdI-crono_inv'!P:P,"&lt;&gt;proprietario")+S863</f>
        <v>0</v>
      </c>
      <c r="P863" s="1013" t="s">
        <v>25481</v>
      </c>
      <c r="Q863" s="1932" t="str">
        <f>+VLOOKUP(F863,TT_Tabelle_Riferimento!$D$127:$E$164,2,FALSE)</f>
        <v>Depurazione</v>
      </c>
      <c r="R863" s="1932" t="str">
        <f t="shared" si="78"/>
        <v/>
      </c>
      <c r="S863" s="2335">
        <f t="shared" si="75"/>
        <v>0</v>
      </c>
    </row>
    <row r="864" spans="1:19">
      <c r="A864" s="1932">
        <f t="shared" si="76"/>
        <v>0</v>
      </c>
      <c r="B864" s="1932">
        <f t="shared" si="77"/>
        <v>0</v>
      </c>
      <c r="C864" s="1013" t="s">
        <v>245</v>
      </c>
      <c r="D864" s="1013">
        <v>0</v>
      </c>
      <c r="E864" s="1013" t="s">
        <v>22698</v>
      </c>
      <c r="F864" s="1013">
        <v>25</v>
      </c>
      <c r="G864" s="1932" t="str">
        <f>+VLOOKUP(F864,TT_Tabelle_Riferimento!$D$127:$G$164,4,FALSE)</f>
        <v>Gruppi di misura - altre attrezzature di depurazione</v>
      </c>
      <c r="H864" s="1013">
        <v>2</v>
      </c>
      <c r="I864" s="1932" t="str">
        <f>+VLOOKUP(H864,TT_Tabelle_Riferimento!$F$3:$G$6,2,FALSE)</f>
        <v>Fognatura bianca e pulizia / manutenzione caditoie stradali</v>
      </c>
      <c r="J864" s="1013">
        <v>2028</v>
      </c>
      <c r="K864" s="2335">
        <f>+SUMIFS('PdI-crono_inv'!BG:BG,'PdI-crono_inv'!CF:CF,F864,'PdI-crono_inv'!CE:CE,H864,'PdI-crono_inv'!J:J,P864,'PdI-crono_inv'!P:P,"&lt;&gt;proprietario")</f>
        <v>0</v>
      </c>
      <c r="M864" s="2335">
        <f>+SUMIFS('PdI-crono_inv'!BH:BH,'PdI-crono_inv'!CF:CF,F864,'PdI-crono_inv'!CE:CE,H864,'PdI-crono_inv'!J:J,P864,'PdI-crono_inv'!P:P,"&lt;&gt;proprietario")+S864</f>
        <v>0</v>
      </c>
      <c r="P864" s="1013" t="s">
        <v>25481</v>
      </c>
      <c r="Q864" s="1932" t="str">
        <f>+VLOOKUP(F864,TT_Tabelle_Riferimento!$D$127:$E$164,2,FALSE)</f>
        <v>Depurazione</v>
      </c>
      <c r="R864" s="1932" t="str">
        <f t="shared" si="78"/>
        <v/>
      </c>
      <c r="S864" s="2335">
        <f t="shared" si="75"/>
        <v>0</v>
      </c>
    </row>
    <row r="865" spans="1:19">
      <c r="A865" s="1932">
        <f t="shared" si="76"/>
        <v>0</v>
      </c>
      <c r="B865" s="1932">
        <f t="shared" si="77"/>
        <v>0</v>
      </c>
      <c r="C865" s="1013" t="s">
        <v>245</v>
      </c>
      <c r="D865" s="1013">
        <v>0</v>
      </c>
      <c r="E865" s="1013" t="s">
        <v>22698</v>
      </c>
      <c r="F865" s="1013">
        <v>26</v>
      </c>
      <c r="G865" s="1932" t="str">
        <f>+VLOOKUP(F865,TT_Tabelle_Riferimento!$D$127:$G$164,4,FALSE)</f>
        <v>Sistemi informativi di depurazione</v>
      </c>
      <c r="H865" s="1013">
        <v>2</v>
      </c>
      <c r="I865" s="1932" t="str">
        <f>+VLOOKUP(H865,TT_Tabelle_Riferimento!$F$3:$G$6,2,FALSE)</f>
        <v>Fognatura bianca e pulizia / manutenzione caditoie stradali</v>
      </c>
      <c r="J865" s="1013">
        <v>2028</v>
      </c>
      <c r="K865" s="2335">
        <f>+SUMIFS('PdI-crono_inv'!BG:BG,'PdI-crono_inv'!CF:CF,F865,'PdI-crono_inv'!CE:CE,H865,'PdI-crono_inv'!J:J,P865,'PdI-crono_inv'!P:P,"&lt;&gt;proprietario")</f>
        <v>0</v>
      </c>
      <c r="M865" s="2335">
        <f>+SUMIFS('PdI-crono_inv'!BH:BH,'PdI-crono_inv'!CF:CF,F865,'PdI-crono_inv'!CE:CE,H865,'PdI-crono_inv'!J:J,P865,'PdI-crono_inv'!P:P,"&lt;&gt;proprietario")+S865</f>
        <v>0</v>
      </c>
      <c r="P865" s="1013" t="s">
        <v>25481</v>
      </c>
      <c r="Q865" s="1932" t="str">
        <f>+VLOOKUP(F865,TT_Tabelle_Riferimento!$D$127:$E$164,2,FALSE)</f>
        <v>Depurazione</v>
      </c>
      <c r="R865" s="1932" t="str">
        <f t="shared" si="78"/>
        <v/>
      </c>
      <c r="S865" s="2335">
        <f t="shared" si="75"/>
        <v>0</v>
      </c>
    </row>
    <row r="866" spans="1:19">
      <c r="A866" s="1932">
        <f t="shared" si="76"/>
        <v>0</v>
      </c>
      <c r="B866" s="1932">
        <f t="shared" si="77"/>
        <v>0</v>
      </c>
      <c r="C866" s="1013" t="s">
        <v>245</v>
      </c>
      <c r="D866" s="1013">
        <v>0</v>
      </c>
      <c r="E866" s="1013" t="s">
        <v>22698</v>
      </c>
      <c r="F866" s="1013">
        <v>27</v>
      </c>
      <c r="G866" s="1932" t="str">
        <f>+VLOOKUP(F866,TT_Tabelle_Riferimento!$D$127:$G$164,4,FALSE)</f>
        <v>Telecontrollo e teletrasmissione di depurazione</v>
      </c>
      <c r="H866" s="1013">
        <v>2</v>
      </c>
      <c r="I866" s="1932" t="str">
        <f>+VLOOKUP(H866,TT_Tabelle_Riferimento!$F$3:$G$6,2,FALSE)</f>
        <v>Fognatura bianca e pulizia / manutenzione caditoie stradali</v>
      </c>
      <c r="J866" s="1013">
        <v>2028</v>
      </c>
      <c r="K866" s="2335">
        <f>+SUMIFS('PdI-crono_inv'!BG:BG,'PdI-crono_inv'!CF:CF,F866,'PdI-crono_inv'!CE:CE,H866,'PdI-crono_inv'!J:J,P866,'PdI-crono_inv'!P:P,"&lt;&gt;proprietario")</f>
        <v>0</v>
      </c>
      <c r="M866" s="2335">
        <f>+SUMIFS('PdI-crono_inv'!BH:BH,'PdI-crono_inv'!CF:CF,F866,'PdI-crono_inv'!CE:CE,H866,'PdI-crono_inv'!J:J,P866,'PdI-crono_inv'!P:P,"&lt;&gt;proprietario")+S866</f>
        <v>0</v>
      </c>
      <c r="P866" s="1013" t="s">
        <v>25481</v>
      </c>
      <c r="Q866" s="1932" t="str">
        <f>+VLOOKUP(F866,TT_Tabelle_Riferimento!$D$127:$E$164,2,FALSE)</f>
        <v>Depurazione</v>
      </c>
      <c r="R866" s="1932" t="str">
        <f t="shared" si="78"/>
        <v/>
      </c>
      <c r="S866" s="2335">
        <f t="shared" si="75"/>
        <v>0</v>
      </c>
    </row>
    <row r="867" spans="1:19">
      <c r="A867" s="1932">
        <f t="shared" si="76"/>
        <v>0</v>
      </c>
      <c r="B867" s="1932">
        <f t="shared" si="77"/>
        <v>0</v>
      </c>
      <c r="C867" s="1013" t="s">
        <v>245</v>
      </c>
      <c r="D867" s="1013">
        <v>0</v>
      </c>
      <c r="E867" s="1013" t="s">
        <v>22698</v>
      </c>
      <c r="F867" s="1013">
        <v>28</v>
      </c>
      <c r="G867" s="1932" t="str">
        <f>+VLOOKUP(F867,TT_Tabelle_Riferimento!$D$127:$G$164,4,FALSE)</f>
        <v>Altri impianti</v>
      </c>
      <c r="H867" s="1013">
        <v>2</v>
      </c>
      <c r="I867" s="1932" t="str">
        <f>+VLOOKUP(H867,TT_Tabelle_Riferimento!$F$3:$G$6,2,FALSE)</f>
        <v>Fognatura bianca e pulizia / manutenzione caditoie stradali</v>
      </c>
      <c r="J867" s="1013">
        <v>2028</v>
      </c>
      <c r="K867" s="2335">
        <f>+SUMIFS('PdI-crono_inv'!BG:BG,'PdI-crono_inv'!CF:CF,F867,'PdI-crono_inv'!CE:CE,H867,'PdI-crono_inv'!J:J,P867,'PdI-crono_inv'!P:P,"&lt;&gt;proprietario")</f>
        <v>0</v>
      </c>
      <c r="M867" s="2335">
        <f>+SUMIFS('PdI-crono_inv'!BH:BH,'PdI-crono_inv'!CF:CF,F867,'PdI-crono_inv'!CE:CE,H867,'PdI-crono_inv'!J:J,P867,'PdI-crono_inv'!P:P,"&lt;&gt;proprietario")+S867</f>
        <v>0</v>
      </c>
      <c r="P867" s="1013" t="s">
        <v>25481</v>
      </c>
      <c r="Q867" s="1932" t="str">
        <f>+VLOOKUP(F867,TT_Tabelle_Riferimento!$D$127:$E$164,2,FALSE)</f>
        <v>Comune</v>
      </c>
      <c r="R867" s="1932" t="str">
        <f t="shared" si="78"/>
        <v/>
      </c>
      <c r="S867" s="2335">
        <f t="shared" si="75"/>
        <v>0</v>
      </c>
    </row>
    <row r="868" spans="1:19">
      <c r="A868" s="1932">
        <f t="shared" si="76"/>
        <v>0</v>
      </c>
      <c r="B868" s="1932">
        <f t="shared" si="77"/>
        <v>0</v>
      </c>
      <c r="C868" s="1013" t="s">
        <v>245</v>
      </c>
      <c r="D868" s="1013">
        <v>0</v>
      </c>
      <c r="E868" s="1013" t="s">
        <v>22698</v>
      </c>
      <c r="F868" s="1013">
        <v>29</v>
      </c>
      <c r="G868" s="1932" t="str">
        <f>+VLOOKUP(F868,TT_Tabelle_Riferimento!$D$127:$G$164,4,FALSE)</f>
        <v>Laboratori e attrezzature</v>
      </c>
      <c r="H868" s="1013">
        <v>2</v>
      </c>
      <c r="I868" s="1932" t="str">
        <f>+VLOOKUP(H868,TT_Tabelle_Riferimento!$F$3:$G$6,2,FALSE)</f>
        <v>Fognatura bianca e pulizia / manutenzione caditoie stradali</v>
      </c>
      <c r="J868" s="1013">
        <v>2028</v>
      </c>
      <c r="K868" s="2335">
        <f>+SUMIFS('PdI-crono_inv'!BG:BG,'PdI-crono_inv'!CF:CF,F868,'PdI-crono_inv'!CE:CE,H868,'PdI-crono_inv'!J:J,P868,'PdI-crono_inv'!P:P,"&lt;&gt;proprietario")</f>
        <v>0</v>
      </c>
      <c r="M868" s="2335">
        <f>+SUMIFS('PdI-crono_inv'!BH:BH,'PdI-crono_inv'!CF:CF,F868,'PdI-crono_inv'!CE:CE,H868,'PdI-crono_inv'!J:J,P868,'PdI-crono_inv'!P:P,"&lt;&gt;proprietario")+S868</f>
        <v>0</v>
      </c>
      <c r="P868" s="1013" t="s">
        <v>25481</v>
      </c>
      <c r="Q868" s="1932" t="str">
        <f>+VLOOKUP(F868,TT_Tabelle_Riferimento!$D$127:$E$164,2,FALSE)</f>
        <v>Comune</v>
      </c>
      <c r="R868" s="1932" t="str">
        <f t="shared" si="78"/>
        <v/>
      </c>
      <c r="S868" s="2335">
        <f t="shared" si="75"/>
        <v>0</v>
      </c>
    </row>
    <row r="869" spans="1:19">
      <c r="A869" s="1932">
        <f t="shared" si="76"/>
        <v>0</v>
      </c>
      <c r="B869" s="1932">
        <f t="shared" si="77"/>
        <v>0</v>
      </c>
      <c r="C869" s="1013" t="s">
        <v>245</v>
      </c>
      <c r="D869" s="1013">
        <v>0</v>
      </c>
      <c r="E869" s="1013" t="s">
        <v>22698</v>
      </c>
      <c r="F869" s="1013">
        <v>30</v>
      </c>
      <c r="G869" s="1932" t="str">
        <f>+VLOOKUP(F869,TT_Tabelle_Riferimento!$D$127:$G$164,4,FALSE)</f>
        <v>Sistemi informativi</v>
      </c>
      <c r="H869" s="1013">
        <v>2</v>
      </c>
      <c r="I869" s="1932" t="str">
        <f>+VLOOKUP(H869,TT_Tabelle_Riferimento!$F$3:$G$6,2,FALSE)</f>
        <v>Fognatura bianca e pulizia / manutenzione caditoie stradali</v>
      </c>
      <c r="J869" s="1013">
        <v>2028</v>
      </c>
      <c r="K869" s="2335">
        <f>+SUMIFS('PdI-crono_inv'!BG:BG,'PdI-crono_inv'!CF:CF,F869,'PdI-crono_inv'!CE:CE,H869,'PdI-crono_inv'!J:J,P869,'PdI-crono_inv'!P:P,"&lt;&gt;proprietario")</f>
        <v>0</v>
      </c>
      <c r="M869" s="2335">
        <f>+SUMIFS('PdI-crono_inv'!BH:BH,'PdI-crono_inv'!CF:CF,F869,'PdI-crono_inv'!CE:CE,H869,'PdI-crono_inv'!J:J,P869,'PdI-crono_inv'!P:P,"&lt;&gt;proprietario")+S869</f>
        <v>0</v>
      </c>
      <c r="P869" s="1013" t="s">
        <v>25481</v>
      </c>
      <c r="Q869" s="1932" t="str">
        <f>+VLOOKUP(F869,TT_Tabelle_Riferimento!$D$127:$E$164,2,FALSE)</f>
        <v>Comune</v>
      </c>
      <c r="R869" s="1932" t="str">
        <f t="shared" si="78"/>
        <v/>
      </c>
      <c r="S869" s="2335">
        <f t="shared" si="75"/>
        <v>0</v>
      </c>
    </row>
    <row r="870" spans="1:19">
      <c r="A870" s="1932">
        <f t="shared" si="76"/>
        <v>0</v>
      </c>
      <c r="B870" s="1932">
        <f t="shared" si="77"/>
        <v>0</v>
      </c>
      <c r="C870" s="1013" t="s">
        <v>245</v>
      </c>
      <c r="D870" s="1013">
        <v>0</v>
      </c>
      <c r="E870" s="1013" t="s">
        <v>22698</v>
      </c>
      <c r="F870" s="1013">
        <v>31</v>
      </c>
      <c r="G870" s="1932" t="str">
        <f>+VLOOKUP(F870,TT_Tabelle_Riferimento!$D$127:$G$164,4,FALSE)</f>
        <v>Telecontrollo e teletrasmissione</v>
      </c>
      <c r="H870" s="1013">
        <v>2</v>
      </c>
      <c r="I870" s="1932" t="str">
        <f>+VLOOKUP(H870,TT_Tabelle_Riferimento!$F$3:$G$6,2,FALSE)</f>
        <v>Fognatura bianca e pulizia / manutenzione caditoie stradali</v>
      </c>
      <c r="J870" s="1013">
        <v>2028</v>
      </c>
      <c r="K870" s="2335">
        <f>+SUMIFS('PdI-crono_inv'!BG:BG,'PdI-crono_inv'!CF:CF,F870,'PdI-crono_inv'!CE:CE,H870,'PdI-crono_inv'!J:J,P870,'PdI-crono_inv'!P:P,"&lt;&gt;proprietario")</f>
        <v>0</v>
      </c>
      <c r="M870" s="2335">
        <f>+SUMIFS('PdI-crono_inv'!BH:BH,'PdI-crono_inv'!CF:CF,F870,'PdI-crono_inv'!CE:CE,H870,'PdI-crono_inv'!J:J,P870,'PdI-crono_inv'!P:P,"&lt;&gt;proprietario")+S870</f>
        <v>0</v>
      </c>
      <c r="P870" s="1013" t="s">
        <v>25481</v>
      </c>
      <c r="Q870" s="1932" t="str">
        <f>+VLOOKUP(F870,TT_Tabelle_Riferimento!$D$127:$E$164,2,FALSE)</f>
        <v>Comune</v>
      </c>
      <c r="R870" s="1932" t="str">
        <f t="shared" si="78"/>
        <v/>
      </c>
      <c r="S870" s="2335">
        <f t="shared" si="75"/>
        <v>0</v>
      </c>
    </row>
    <row r="871" spans="1:19">
      <c r="A871" s="1932">
        <f t="shared" si="76"/>
        <v>0</v>
      </c>
      <c r="B871" s="1932">
        <f t="shared" si="77"/>
        <v>0</v>
      </c>
      <c r="C871" s="1013" t="s">
        <v>245</v>
      </c>
      <c r="D871" s="1013">
        <v>0</v>
      </c>
      <c r="E871" s="1013" t="s">
        <v>22698</v>
      </c>
      <c r="F871" s="1013">
        <v>32</v>
      </c>
      <c r="G871" s="1932" t="str">
        <f>+VLOOKUP(F871,TT_Tabelle_Riferimento!$D$127:$G$164,4,FALSE)</f>
        <v>Autoveicoli - automezzi</v>
      </c>
      <c r="H871" s="1013">
        <v>2</v>
      </c>
      <c r="I871" s="1932" t="str">
        <f>+VLOOKUP(H871,TT_Tabelle_Riferimento!$F$3:$G$6,2,FALSE)</f>
        <v>Fognatura bianca e pulizia / manutenzione caditoie stradali</v>
      </c>
      <c r="J871" s="1013">
        <v>2028</v>
      </c>
      <c r="K871" s="2335">
        <f>+SUMIFS('PdI-crono_inv'!BG:BG,'PdI-crono_inv'!CF:CF,F871,'PdI-crono_inv'!CE:CE,H871,'PdI-crono_inv'!J:J,P871,'PdI-crono_inv'!P:P,"&lt;&gt;proprietario")</f>
        <v>0</v>
      </c>
      <c r="M871" s="2335">
        <f>+SUMIFS('PdI-crono_inv'!BH:BH,'PdI-crono_inv'!CF:CF,F871,'PdI-crono_inv'!CE:CE,H871,'PdI-crono_inv'!J:J,P871,'PdI-crono_inv'!P:P,"&lt;&gt;proprietario")+S871</f>
        <v>0</v>
      </c>
      <c r="P871" s="1013" t="s">
        <v>25481</v>
      </c>
      <c r="Q871" s="1932" t="str">
        <f>+VLOOKUP(F871,TT_Tabelle_Riferimento!$D$127:$E$164,2,FALSE)</f>
        <v>Comune</v>
      </c>
      <c r="R871" s="1932" t="str">
        <f t="shared" si="78"/>
        <v/>
      </c>
      <c r="S871" s="2335">
        <f t="shared" si="75"/>
        <v>0</v>
      </c>
    </row>
    <row r="872" spans="1:19">
      <c r="A872" s="1932">
        <f t="shared" si="76"/>
        <v>0</v>
      </c>
      <c r="B872" s="1932">
        <f t="shared" si="77"/>
        <v>0</v>
      </c>
      <c r="C872" s="1013" t="s">
        <v>245</v>
      </c>
      <c r="D872" s="1013">
        <v>0</v>
      </c>
      <c r="E872" s="1013" t="s">
        <v>22698</v>
      </c>
      <c r="F872" s="1013">
        <v>1</v>
      </c>
      <c r="G872" s="1932" t="str">
        <f>+VLOOKUP(F872,TT_Tabelle_Riferimento!$D$127:$G$164,4,FALSE)</f>
        <v>Terreni</v>
      </c>
      <c r="H872" s="1013">
        <v>2</v>
      </c>
      <c r="I872" s="1932" t="str">
        <f>+VLOOKUP(H872,TT_Tabelle_Riferimento!$F$3:$G$6,2,FALSE)</f>
        <v>Fognatura bianca e pulizia / manutenzione caditoie stradali</v>
      </c>
      <c r="J872" s="1013">
        <v>2028</v>
      </c>
      <c r="K872" s="2335">
        <f>+SUMIFS('PdI-crono_inv'!BG:BG,'PdI-crono_inv'!CF:CF,F872,'PdI-crono_inv'!CE:CE,H872,'PdI-crono_inv'!J:J,P872,'PdI-crono_inv'!P:P,"&lt;&gt;proprietario")</f>
        <v>0</v>
      </c>
      <c r="M872" s="2335">
        <f>+SUMIFS('PdI-crono_inv'!BH:BH,'PdI-crono_inv'!CF:CF,F872,'PdI-crono_inv'!CE:CE,H872,'PdI-crono_inv'!J:J,P872,'PdI-crono_inv'!P:P,"&lt;&gt;proprietario")+S872</f>
        <v>0</v>
      </c>
      <c r="P872" s="1013" t="s">
        <v>25481</v>
      </c>
      <c r="Q872" s="1932" t="str">
        <f>+VLOOKUP(F872,TT_Tabelle_Riferimento!$D$127:$E$164,2,FALSE)</f>
        <v>Comune</v>
      </c>
      <c r="R872" s="1932" t="str">
        <f t="shared" si="78"/>
        <v/>
      </c>
      <c r="S872" s="2335">
        <f t="shared" si="75"/>
        <v>0</v>
      </c>
    </row>
    <row r="873" spans="1:19">
      <c r="A873" s="1932">
        <f t="shared" si="76"/>
        <v>0</v>
      </c>
      <c r="B873" s="1932">
        <f t="shared" si="77"/>
        <v>0</v>
      </c>
      <c r="C873" s="1013" t="s">
        <v>245</v>
      </c>
      <c r="D873" s="1013">
        <v>0</v>
      </c>
      <c r="E873" s="1013" t="s">
        <v>22698</v>
      </c>
      <c r="F873" s="1013">
        <v>33</v>
      </c>
      <c r="G873" s="1932" t="str">
        <f>+VLOOKUP(F873,TT_Tabelle_Riferimento!$D$127:$G$164,4,FALSE)</f>
        <v>Fabbricati non industriali</v>
      </c>
      <c r="H873" s="1013">
        <v>2</v>
      </c>
      <c r="I873" s="1932" t="str">
        <f>+VLOOKUP(H873,TT_Tabelle_Riferimento!$F$3:$G$6,2,FALSE)</f>
        <v>Fognatura bianca e pulizia / manutenzione caditoie stradali</v>
      </c>
      <c r="J873" s="1013">
        <v>2028</v>
      </c>
      <c r="K873" s="2335">
        <f>+SUMIFS('PdI-crono_inv'!BG:BG,'PdI-crono_inv'!CF:CF,F873,'PdI-crono_inv'!CE:CE,H873,'PdI-crono_inv'!J:J,P873,'PdI-crono_inv'!P:P,"&lt;&gt;proprietario")</f>
        <v>0</v>
      </c>
      <c r="M873" s="2335">
        <f>+SUMIFS('PdI-crono_inv'!BH:BH,'PdI-crono_inv'!CF:CF,F873,'PdI-crono_inv'!CE:CE,H873,'PdI-crono_inv'!J:J,P873,'PdI-crono_inv'!P:P,"&lt;&gt;proprietario")+S873</f>
        <v>0</v>
      </c>
      <c r="P873" s="1013" t="s">
        <v>25481</v>
      </c>
      <c r="Q873" s="1932" t="str">
        <f>+VLOOKUP(F873,TT_Tabelle_Riferimento!$D$127:$E$164,2,FALSE)</f>
        <v>Comune</v>
      </c>
      <c r="R873" s="1932" t="str">
        <f t="shared" si="78"/>
        <v/>
      </c>
      <c r="S873" s="2335">
        <f t="shared" si="75"/>
        <v>0</v>
      </c>
    </row>
    <row r="874" spans="1:19">
      <c r="A874" s="1932">
        <f t="shared" si="76"/>
        <v>0</v>
      </c>
      <c r="B874" s="1932">
        <f t="shared" si="77"/>
        <v>0</v>
      </c>
      <c r="C874" s="1013" t="s">
        <v>245</v>
      </c>
      <c r="D874" s="1013">
        <v>0</v>
      </c>
      <c r="E874" s="1013" t="s">
        <v>22698</v>
      </c>
      <c r="F874" s="1013">
        <v>34</v>
      </c>
      <c r="G874" s="1932" t="str">
        <f>+VLOOKUP(F874,TT_Tabelle_Riferimento!$D$127:$G$164,4,FALSE)</f>
        <v>Fabbricati industriali</v>
      </c>
      <c r="H874" s="1013">
        <v>2</v>
      </c>
      <c r="I874" s="1932" t="str">
        <f>+VLOOKUP(H874,TT_Tabelle_Riferimento!$F$3:$G$6,2,FALSE)</f>
        <v>Fognatura bianca e pulizia / manutenzione caditoie stradali</v>
      </c>
      <c r="J874" s="1013">
        <v>2028</v>
      </c>
      <c r="K874" s="2335">
        <f>+SUMIFS('PdI-crono_inv'!BG:BG,'PdI-crono_inv'!CF:CF,F874,'PdI-crono_inv'!CE:CE,H874,'PdI-crono_inv'!J:J,P874,'PdI-crono_inv'!P:P,"&lt;&gt;proprietario")</f>
        <v>0</v>
      </c>
      <c r="M874" s="2335">
        <f>+SUMIFS('PdI-crono_inv'!BH:BH,'PdI-crono_inv'!CF:CF,F874,'PdI-crono_inv'!CE:CE,H874,'PdI-crono_inv'!J:J,P874,'PdI-crono_inv'!P:P,"&lt;&gt;proprietario")+S874</f>
        <v>0</v>
      </c>
      <c r="P874" s="1013" t="s">
        <v>25481</v>
      </c>
      <c r="Q874" s="1932" t="str">
        <f>+VLOOKUP(F874,TT_Tabelle_Riferimento!$D$127:$E$164,2,FALSE)</f>
        <v>Comune</v>
      </c>
      <c r="R874" s="1932" t="str">
        <f t="shared" si="78"/>
        <v/>
      </c>
      <c r="S874" s="2335">
        <f t="shared" si="75"/>
        <v>0</v>
      </c>
    </row>
    <row r="875" spans="1:19">
      <c r="A875" s="1932">
        <f t="shared" si="76"/>
        <v>0</v>
      </c>
      <c r="B875" s="1932">
        <f t="shared" si="77"/>
        <v>0</v>
      </c>
      <c r="C875" s="1013" t="s">
        <v>245</v>
      </c>
      <c r="D875" s="1013">
        <v>0</v>
      </c>
      <c r="E875" s="1013" t="s">
        <v>22698</v>
      </c>
      <c r="F875" s="1013">
        <v>35</v>
      </c>
      <c r="G875" s="1932" t="str">
        <f>+VLOOKUP(F875,TT_Tabelle_Riferimento!$D$127:$G$164,4,FALSE)</f>
        <v>Costruzioni leggere</v>
      </c>
      <c r="H875" s="1013">
        <v>2</v>
      </c>
      <c r="I875" s="1932" t="str">
        <f>+VLOOKUP(H875,TT_Tabelle_Riferimento!$F$3:$G$6,2,FALSE)</f>
        <v>Fognatura bianca e pulizia / manutenzione caditoie stradali</v>
      </c>
      <c r="J875" s="1013">
        <v>2028</v>
      </c>
      <c r="K875" s="2335">
        <f>+SUMIFS('PdI-crono_inv'!BG:BG,'PdI-crono_inv'!CF:CF,F875,'PdI-crono_inv'!CE:CE,H875,'PdI-crono_inv'!J:J,P875,'PdI-crono_inv'!P:P,"&lt;&gt;proprietario")</f>
        <v>0</v>
      </c>
      <c r="M875" s="2335">
        <f>+SUMIFS('PdI-crono_inv'!BH:BH,'PdI-crono_inv'!CF:CF,F875,'PdI-crono_inv'!CE:CE,H875,'PdI-crono_inv'!J:J,P875,'PdI-crono_inv'!P:P,"&lt;&gt;proprietario")+S875</f>
        <v>0</v>
      </c>
      <c r="P875" s="1013" t="s">
        <v>25481</v>
      </c>
      <c r="Q875" s="1932" t="str">
        <f>+VLOOKUP(F875,TT_Tabelle_Riferimento!$D$127:$E$164,2,FALSE)</f>
        <v>Comune</v>
      </c>
      <c r="R875" s="1932" t="str">
        <f t="shared" si="78"/>
        <v/>
      </c>
      <c r="S875" s="2335">
        <f t="shared" si="75"/>
        <v>0</v>
      </c>
    </row>
    <row r="876" spans="1:19">
      <c r="A876" s="1932">
        <f t="shared" si="76"/>
        <v>0</v>
      </c>
      <c r="B876" s="1932">
        <f t="shared" si="77"/>
        <v>0</v>
      </c>
      <c r="C876" s="1013" t="s">
        <v>245</v>
      </c>
      <c r="D876" s="1013">
        <v>0</v>
      </c>
      <c r="E876" s="1013" t="s">
        <v>22698</v>
      </c>
      <c r="F876" s="1013">
        <v>36</v>
      </c>
      <c r="G876" s="1932" t="str">
        <f>+VLOOKUP(F876,TT_Tabelle_Riferimento!$D$127:$G$164,4,FALSE)</f>
        <v>Studi, ricerche, brevetti, diritti di utilizzazione</v>
      </c>
      <c r="H876" s="1013">
        <v>2</v>
      </c>
      <c r="I876" s="1932" t="str">
        <f>+VLOOKUP(H876,TT_Tabelle_Riferimento!$F$3:$G$6,2,FALSE)</f>
        <v>Fognatura bianca e pulizia / manutenzione caditoie stradali</v>
      </c>
      <c r="J876" s="1013">
        <v>2028</v>
      </c>
      <c r="K876" s="2335">
        <f>+SUMIFS('PdI-crono_inv'!BG:BG,'PdI-crono_inv'!CF:CF,F876,'PdI-crono_inv'!CE:CE,H876,'PdI-crono_inv'!J:J,P876,'PdI-crono_inv'!P:P,"&lt;&gt;proprietario")</f>
        <v>0</v>
      </c>
      <c r="M876" s="2335">
        <f>+SUMIFS('PdI-crono_inv'!BH:BH,'PdI-crono_inv'!CF:CF,F876,'PdI-crono_inv'!CE:CE,H876,'PdI-crono_inv'!J:J,P876,'PdI-crono_inv'!P:P,"&lt;&gt;proprietario")+S876</f>
        <v>0</v>
      </c>
      <c r="P876" s="1013" t="s">
        <v>25481</v>
      </c>
      <c r="Q876" s="1932" t="str">
        <f>+VLOOKUP(F876,TT_Tabelle_Riferimento!$D$127:$E$164,2,FALSE)</f>
        <v>Comune</v>
      </c>
      <c r="R876" s="1932" t="str">
        <f t="shared" si="78"/>
        <v/>
      </c>
      <c r="S876" s="2335">
        <f t="shared" si="75"/>
        <v>0</v>
      </c>
    </row>
    <row r="877" spans="1:19">
      <c r="A877" s="1932">
        <v>0</v>
      </c>
      <c r="B877" s="1932">
        <v>0</v>
      </c>
      <c r="C877" s="1013" t="s">
        <v>245</v>
      </c>
      <c r="D877" s="1013">
        <v>0</v>
      </c>
      <c r="E877" s="1013" t="s">
        <v>22698</v>
      </c>
      <c r="F877" s="1013">
        <v>37</v>
      </c>
      <c r="G877" s="1932" t="str">
        <f>+VLOOKUP(F877,TT_Tabelle_Riferimento!$D$127:$G$164,4,FALSE)</f>
        <v>Altre immobilizzazioni materiali e immateriali</v>
      </c>
      <c r="H877" s="1013">
        <v>2</v>
      </c>
      <c r="I877" s="1932" t="str">
        <f>+VLOOKUP(H877,TT_Tabelle_Riferimento!$F$3:$G$6,2,FALSE)</f>
        <v>Fognatura bianca e pulizia / manutenzione caditoie stradali</v>
      </c>
      <c r="J877" s="1013">
        <v>2028</v>
      </c>
      <c r="K877" s="2335">
        <f>+SUMIFS('PdI-crono_inv'!BG:BG,'PdI-crono_inv'!CF:CF,F877,'PdI-crono_inv'!CE:CE,H877,'PdI-crono_inv'!J:J,P877,'PdI-crono_inv'!P:P,"&lt;&gt;proprietario")</f>
        <v>0</v>
      </c>
      <c r="M877" s="2335">
        <f>+SUMIFS('PdI-crono_inv'!BH:BH,'PdI-crono_inv'!CF:CF,F877,'PdI-crono_inv'!CE:CE,H877,'PdI-crono_inv'!J:J,P877,'PdI-crono_inv'!P:P,"&lt;&gt;proprietario")+S877</f>
        <v>0</v>
      </c>
      <c r="P877" s="1013" t="s">
        <v>25481</v>
      </c>
      <c r="Q877" s="1932" t="str">
        <f>+VLOOKUP(F877,TT_Tabelle_Riferimento!$D$127:$E$164,2,FALSE)</f>
        <v>Comune</v>
      </c>
      <c r="R877" s="1932" t="str">
        <f t="shared" si="78"/>
        <v/>
      </c>
      <c r="S877" s="2335">
        <f t="shared" si="75"/>
        <v>0</v>
      </c>
    </row>
    <row r="878" spans="1:19">
      <c r="A878" s="1932">
        <v>0</v>
      </c>
      <c r="B878" s="1932">
        <v>0</v>
      </c>
      <c r="C878" s="1013" t="s">
        <v>245</v>
      </c>
      <c r="D878" s="1013">
        <v>0</v>
      </c>
      <c r="E878" s="1013" t="s">
        <v>22698</v>
      </c>
      <c r="F878" s="1013">
        <v>38</v>
      </c>
      <c r="G878" s="1932" t="str">
        <f>+VLOOKUP(F878,TT_Tabelle_Riferimento!$D$127:$G$164,4,FALSE)</f>
        <v>Grandi dighe (sbarramenti che superano i quindici metri di altezza o che determinano un invaso superiore a 1 milione di metri cubi)</v>
      </c>
      <c r="H878" s="1013">
        <v>2</v>
      </c>
      <c r="I878" s="1932" t="str">
        <f>+VLOOKUP(H878,TT_Tabelle_Riferimento!$F$3:$G$6,2,FALSE)</f>
        <v>Fognatura bianca e pulizia / manutenzione caditoie stradali</v>
      </c>
      <c r="J878" s="1013">
        <v>2028</v>
      </c>
      <c r="K878" s="2335">
        <f>+SUMIFS('PdI-crono_inv'!BG:BG,'PdI-crono_inv'!CF:CF,F878,'PdI-crono_inv'!CE:CE,H878,'PdI-crono_inv'!J:J,P878,'PdI-crono_inv'!P:P,"&lt;&gt;proprietario")</f>
        <v>0</v>
      </c>
      <c r="M878" s="2335">
        <f>+SUMIFS('PdI-crono_inv'!BH:BH,'PdI-crono_inv'!CF:CF,F878,'PdI-crono_inv'!CE:CE,H878,'PdI-crono_inv'!J:J,P878,'PdI-crono_inv'!P:P,"&lt;&gt;proprietario")+S878</f>
        <v>0</v>
      </c>
      <c r="P878" s="1013" t="s">
        <v>25481</v>
      </c>
      <c r="Q878" s="1932" t="str">
        <f>+VLOOKUP(F878,TT_Tabelle_Riferimento!$D$127:$E$164,2,FALSE)</f>
        <v>Acquedotto</v>
      </c>
      <c r="R878" s="1932" t="str">
        <f t="shared" si="78"/>
        <v/>
      </c>
      <c r="S878" s="2335">
        <f t="shared" si="75"/>
        <v>0</v>
      </c>
    </row>
    <row r="879" spans="1:19">
      <c r="A879" s="1932">
        <v>0</v>
      </c>
      <c r="B879" s="1932">
        <v>0</v>
      </c>
      <c r="C879" s="1013" t="s">
        <v>245</v>
      </c>
      <c r="D879" s="1013">
        <v>0</v>
      </c>
      <c r="E879" s="1013" t="s">
        <v>22698</v>
      </c>
      <c r="F879" s="1013">
        <v>39</v>
      </c>
      <c r="G879" s="1932" t="str">
        <f>+VLOOKUP(F879,TT_Tabelle_Riferimento!$D$127:$G$164,4,FALSE)</f>
        <v>Piccole dighe (sbarramenti che non superano i quindici metri di altezza o che determinano un invaso non superiore a 1 milione di metri cubi)</v>
      </c>
      <c r="H879" s="1013">
        <v>2</v>
      </c>
      <c r="I879" s="1932" t="str">
        <f>+VLOOKUP(H879,TT_Tabelle_Riferimento!$F$3:$G$6,2,FALSE)</f>
        <v>Fognatura bianca e pulizia / manutenzione caditoie stradali</v>
      </c>
      <c r="J879" s="1013">
        <v>2028</v>
      </c>
      <c r="K879" s="2335">
        <f>+SUMIFS('PdI-crono_inv'!BG:BG,'PdI-crono_inv'!CF:CF,F879,'PdI-crono_inv'!CE:CE,H879,'PdI-crono_inv'!J:J,P879,'PdI-crono_inv'!P:P,"&lt;&gt;proprietario")</f>
        <v>0</v>
      </c>
      <c r="M879" s="2335">
        <f>+SUMIFS('PdI-crono_inv'!BH:BH,'PdI-crono_inv'!CF:CF,F879,'PdI-crono_inv'!CE:CE,H879,'PdI-crono_inv'!J:J,P879,'PdI-crono_inv'!P:P,"&lt;&gt;proprietario")+S879</f>
        <v>0</v>
      </c>
      <c r="P879" s="1013" t="s">
        <v>25481</v>
      </c>
      <c r="Q879" s="1932" t="str">
        <f>+VLOOKUP(F879,TT_Tabelle_Riferimento!$D$127:$E$164,2,FALSE)</f>
        <v>Acquedotto</v>
      </c>
      <c r="R879" s="1932" t="str">
        <f t="shared" si="78"/>
        <v/>
      </c>
      <c r="S879" s="2335">
        <f t="shared" si="75"/>
        <v>0</v>
      </c>
    </row>
    <row r="880" spans="1:19">
      <c r="A880" s="1932">
        <f t="shared" ref="A880:A943" si="79">+idato</f>
        <v>0</v>
      </c>
      <c r="B880" s="1932">
        <f t="shared" ref="B880:B943" si="80">+idgestore</f>
        <v>0</v>
      </c>
      <c r="C880" s="1013" t="s">
        <v>245</v>
      </c>
      <c r="D880" s="1013">
        <v>0</v>
      </c>
      <c r="E880" s="1013" t="s">
        <v>22698</v>
      </c>
      <c r="F880" s="1013">
        <v>2</v>
      </c>
      <c r="G880" s="1932" t="str">
        <f>+VLOOKUP(F880,TT_Tabelle_Riferimento!$D$127:$G$164,4,FALSE)</f>
        <v>Condotte di acquedotto</v>
      </c>
      <c r="H880" s="1013">
        <v>3</v>
      </c>
      <c r="I880" s="1932" t="str">
        <f>+VLOOKUP(H880,TT_Tabelle_Riferimento!$F$3:$G$6,2,FALSE)</f>
        <v>Altri servizi idrici</v>
      </c>
      <c r="J880" s="1013">
        <v>2028</v>
      </c>
      <c r="K880" s="2335">
        <f>+SUMIFS('PdI-crono_inv'!BG:BG,'PdI-crono_inv'!CF:CF,F880,'PdI-crono_inv'!CE:CE,H880,'PdI-crono_inv'!J:J,P880,'PdI-crono_inv'!P:P,"&lt;&gt;proprietario")</f>
        <v>0</v>
      </c>
      <c r="M880" s="2335">
        <f>+SUMIFS('PdI-crono_inv'!BH:BH,'PdI-crono_inv'!CF:CF,F880,'PdI-crono_inv'!CE:CE,H880,'PdI-crono_inv'!J:J,P880,'PdI-crono_inv'!P:P,"&lt;&gt;proprietario")+S880</f>
        <v>0</v>
      </c>
      <c r="P880" s="1013" t="s">
        <v>25481</v>
      </c>
      <c r="Q880" s="1932" t="str">
        <f>+VLOOKUP(F880,TT_Tabelle_Riferimento!$D$127:$E$164,2,FALSE)</f>
        <v>Acquedotto</v>
      </c>
      <c r="R880" s="1932" t="str">
        <f t="shared" si="78"/>
        <v/>
      </c>
      <c r="S880" s="2335">
        <f t="shared" si="75"/>
        <v>0</v>
      </c>
    </row>
    <row r="881" spans="1:19">
      <c r="A881" s="1932">
        <f t="shared" si="79"/>
        <v>0</v>
      </c>
      <c r="B881" s="1932">
        <f t="shared" si="80"/>
        <v>0</v>
      </c>
      <c r="C881" s="1013" t="s">
        <v>245</v>
      </c>
      <c r="D881" s="1013">
        <v>0</v>
      </c>
      <c r="E881" s="1013" t="s">
        <v>22698</v>
      </c>
      <c r="F881" s="1013">
        <v>3</v>
      </c>
      <c r="G881" s="1932" t="str">
        <f>+VLOOKUP(F881,TT_Tabelle_Riferimento!$D$127:$G$164,4,FALSE)</f>
        <v>Opere idrauliche fisse di acquedotto</v>
      </c>
      <c r="H881" s="1013">
        <v>3</v>
      </c>
      <c r="I881" s="1932" t="str">
        <f>+VLOOKUP(H881,TT_Tabelle_Riferimento!$F$3:$G$6,2,FALSE)</f>
        <v>Altri servizi idrici</v>
      </c>
      <c r="J881" s="1013">
        <v>2028</v>
      </c>
      <c r="K881" s="2335">
        <f>+SUMIFS('PdI-crono_inv'!BG:BG,'PdI-crono_inv'!CF:CF,F881,'PdI-crono_inv'!CE:CE,H881,'PdI-crono_inv'!J:J,P881,'PdI-crono_inv'!P:P,"&lt;&gt;proprietario")</f>
        <v>0</v>
      </c>
      <c r="M881" s="2335">
        <f>+SUMIFS('PdI-crono_inv'!BH:BH,'PdI-crono_inv'!CF:CF,F881,'PdI-crono_inv'!CE:CE,H881,'PdI-crono_inv'!J:J,P881,'PdI-crono_inv'!P:P,"&lt;&gt;proprietario")+S881</f>
        <v>0</v>
      </c>
      <c r="P881" s="1013" t="s">
        <v>25481</v>
      </c>
      <c r="Q881" s="1932" t="str">
        <f>+VLOOKUP(F881,TT_Tabelle_Riferimento!$D$127:$E$164,2,FALSE)</f>
        <v>Acquedotto</v>
      </c>
      <c r="R881" s="1932" t="str">
        <f t="shared" si="78"/>
        <v/>
      </c>
      <c r="S881" s="2335">
        <f t="shared" si="75"/>
        <v>0</v>
      </c>
    </row>
    <row r="882" spans="1:19">
      <c r="A882" s="1932">
        <f t="shared" si="79"/>
        <v>0</v>
      </c>
      <c r="B882" s="1932">
        <f t="shared" si="80"/>
        <v>0</v>
      </c>
      <c r="C882" s="1013" t="s">
        <v>245</v>
      </c>
      <c r="D882" s="1013">
        <v>0</v>
      </c>
      <c r="E882" s="1013" t="s">
        <v>22698</v>
      </c>
      <c r="F882" s="1013">
        <v>4</v>
      </c>
      <c r="G882" s="1932" t="str">
        <f>+VLOOKUP(F882,TT_Tabelle_Riferimento!$D$127:$G$164,4,FALSE)</f>
        <v>Serbatoi</v>
      </c>
      <c r="H882" s="1013">
        <v>3</v>
      </c>
      <c r="I882" s="1932" t="str">
        <f>+VLOOKUP(H882,TT_Tabelle_Riferimento!$F$3:$G$6,2,FALSE)</f>
        <v>Altri servizi idrici</v>
      </c>
      <c r="J882" s="1013">
        <v>2028</v>
      </c>
      <c r="K882" s="2335">
        <f>+SUMIFS('PdI-crono_inv'!BG:BG,'PdI-crono_inv'!CF:CF,F882,'PdI-crono_inv'!CE:CE,H882,'PdI-crono_inv'!J:J,P882,'PdI-crono_inv'!P:P,"&lt;&gt;proprietario")</f>
        <v>0</v>
      </c>
      <c r="M882" s="2335">
        <f>+SUMIFS('PdI-crono_inv'!BH:BH,'PdI-crono_inv'!CF:CF,F882,'PdI-crono_inv'!CE:CE,H882,'PdI-crono_inv'!J:J,P882,'PdI-crono_inv'!P:P,"&lt;&gt;proprietario")+S882</f>
        <v>0</v>
      </c>
      <c r="P882" s="1013" t="s">
        <v>25481</v>
      </c>
      <c r="Q882" s="1932" t="str">
        <f>+VLOOKUP(F882,TT_Tabelle_Riferimento!$D$127:$E$164,2,FALSE)</f>
        <v>Acquedotto</v>
      </c>
      <c r="R882" s="1932" t="str">
        <f t="shared" si="78"/>
        <v/>
      </c>
      <c r="S882" s="2335">
        <f t="shared" si="75"/>
        <v>0</v>
      </c>
    </row>
    <row r="883" spans="1:19">
      <c r="A883" s="1932">
        <f t="shared" si="79"/>
        <v>0</v>
      </c>
      <c r="B883" s="1932">
        <f t="shared" si="80"/>
        <v>0</v>
      </c>
      <c r="C883" s="1013" t="s">
        <v>245</v>
      </c>
      <c r="D883" s="1013">
        <v>0</v>
      </c>
      <c r="E883" s="1013" t="s">
        <v>22698</v>
      </c>
      <c r="F883" s="1013">
        <v>5</v>
      </c>
      <c r="G883" s="1932" t="str">
        <f>+VLOOKUP(F883,TT_Tabelle_Riferimento!$D$127:$G$164,4,FALSE)</f>
        <v>Impianti di sollevamento e pompaggio di acquedotto</v>
      </c>
      <c r="H883" s="1013">
        <v>3</v>
      </c>
      <c r="I883" s="1932" t="str">
        <f>+VLOOKUP(H883,TT_Tabelle_Riferimento!$F$3:$G$6,2,FALSE)</f>
        <v>Altri servizi idrici</v>
      </c>
      <c r="J883" s="1013">
        <v>2028</v>
      </c>
      <c r="K883" s="2335">
        <f>+SUMIFS('PdI-crono_inv'!BG:BG,'PdI-crono_inv'!CF:CF,F883,'PdI-crono_inv'!CE:CE,H883,'PdI-crono_inv'!J:J,P883,'PdI-crono_inv'!P:P,"&lt;&gt;proprietario")</f>
        <v>0</v>
      </c>
      <c r="M883" s="2335">
        <f>+SUMIFS('PdI-crono_inv'!BH:BH,'PdI-crono_inv'!CF:CF,F883,'PdI-crono_inv'!CE:CE,H883,'PdI-crono_inv'!J:J,P883,'PdI-crono_inv'!P:P,"&lt;&gt;proprietario")+S883</f>
        <v>0</v>
      </c>
      <c r="P883" s="1013" t="s">
        <v>25481</v>
      </c>
      <c r="Q883" s="1932" t="str">
        <f>+VLOOKUP(F883,TT_Tabelle_Riferimento!$D$127:$E$164,2,FALSE)</f>
        <v>Acquedotto</v>
      </c>
      <c r="R883" s="1932" t="str">
        <f t="shared" si="78"/>
        <v/>
      </c>
      <c r="S883" s="2335">
        <f t="shared" si="75"/>
        <v>0</v>
      </c>
    </row>
    <row r="884" spans="1:19">
      <c r="A884" s="1932">
        <f t="shared" si="79"/>
        <v>0</v>
      </c>
      <c r="B884" s="1932">
        <f t="shared" si="80"/>
        <v>0</v>
      </c>
      <c r="C884" s="1013" t="s">
        <v>245</v>
      </c>
      <c r="D884" s="1013">
        <v>0</v>
      </c>
      <c r="E884" s="1013" t="s">
        <v>22698</v>
      </c>
      <c r="F884" s="1013">
        <v>6</v>
      </c>
      <c r="G884" s="1932" t="str">
        <f>+VLOOKUP(F884,TT_Tabelle_Riferimento!$D$127:$G$164,4,FALSE)</f>
        <v>Impianti di potabilizzazione</v>
      </c>
      <c r="H884" s="1013">
        <v>3</v>
      </c>
      <c r="I884" s="1932" t="str">
        <f>+VLOOKUP(H884,TT_Tabelle_Riferimento!$F$3:$G$6,2,FALSE)</f>
        <v>Altri servizi idrici</v>
      </c>
      <c r="J884" s="1013">
        <v>2028</v>
      </c>
      <c r="K884" s="2335">
        <f>+SUMIFS('PdI-crono_inv'!BG:BG,'PdI-crono_inv'!CF:CF,F884,'PdI-crono_inv'!CE:CE,H884,'PdI-crono_inv'!J:J,P884,'PdI-crono_inv'!P:P,"&lt;&gt;proprietario")</f>
        <v>0</v>
      </c>
      <c r="M884" s="2335">
        <f>+SUMIFS('PdI-crono_inv'!BH:BH,'PdI-crono_inv'!CF:CF,F884,'PdI-crono_inv'!CE:CE,H884,'PdI-crono_inv'!J:J,P884,'PdI-crono_inv'!P:P,"&lt;&gt;proprietario")+S884</f>
        <v>0</v>
      </c>
      <c r="P884" s="1013" t="s">
        <v>25481</v>
      </c>
      <c r="Q884" s="1932" t="str">
        <f>+VLOOKUP(F884,TT_Tabelle_Riferimento!$D$127:$E$164,2,FALSE)</f>
        <v>Acquedotto</v>
      </c>
      <c r="R884" s="1932" t="str">
        <f t="shared" si="78"/>
        <v/>
      </c>
      <c r="S884" s="2335">
        <f t="shared" si="75"/>
        <v>0</v>
      </c>
    </row>
    <row r="885" spans="1:19">
      <c r="A885" s="1932">
        <f t="shared" si="79"/>
        <v>0</v>
      </c>
      <c r="B885" s="1932">
        <f t="shared" si="80"/>
        <v>0</v>
      </c>
      <c r="C885" s="1013" t="s">
        <v>245</v>
      </c>
      <c r="D885" s="1013">
        <v>0</v>
      </c>
      <c r="E885" s="1013" t="s">
        <v>22698</v>
      </c>
      <c r="F885" s="1013">
        <v>7</v>
      </c>
      <c r="G885" s="1932" t="str">
        <f>+VLOOKUP(F885,TT_Tabelle_Riferimento!$D$127:$G$164,4,FALSE)</f>
        <v>Altri trattamenti di potabilizzazione (tra cui dispositivi di disinfezione, stacciatura, filtrazione, addolcimento)</v>
      </c>
      <c r="H885" s="1013">
        <v>3</v>
      </c>
      <c r="I885" s="1932" t="str">
        <f>+VLOOKUP(H885,TT_Tabelle_Riferimento!$F$3:$G$6,2,FALSE)</f>
        <v>Altri servizi idrici</v>
      </c>
      <c r="J885" s="1013">
        <v>2028</v>
      </c>
      <c r="K885" s="2335">
        <f>+SUMIFS('PdI-crono_inv'!BG:BG,'PdI-crono_inv'!CF:CF,F885,'PdI-crono_inv'!CE:CE,H885,'PdI-crono_inv'!J:J,P885,'PdI-crono_inv'!P:P,"&lt;&gt;proprietario")</f>
        <v>0</v>
      </c>
      <c r="M885" s="2335">
        <f>+SUMIFS('PdI-crono_inv'!BH:BH,'PdI-crono_inv'!CF:CF,F885,'PdI-crono_inv'!CE:CE,H885,'PdI-crono_inv'!J:J,P885,'PdI-crono_inv'!P:P,"&lt;&gt;proprietario")+S885</f>
        <v>0</v>
      </c>
      <c r="P885" s="1013" t="s">
        <v>25481</v>
      </c>
      <c r="Q885" s="1932" t="str">
        <f>+VLOOKUP(F885,TT_Tabelle_Riferimento!$D$127:$E$164,2,FALSE)</f>
        <v>Acquedotto</v>
      </c>
      <c r="R885" s="1932" t="str">
        <f t="shared" si="78"/>
        <v/>
      </c>
      <c r="S885" s="2335">
        <f t="shared" si="75"/>
        <v>0</v>
      </c>
    </row>
    <row r="886" spans="1:19">
      <c r="A886" s="1932">
        <f t="shared" si="79"/>
        <v>0</v>
      </c>
      <c r="B886" s="1932">
        <f t="shared" si="80"/>
        <v>0</v>
      </c>
      <c r="C886" s="1013" t="s">
        <v>245</v>
      </c>
      <c r="D886" s="1013">
        <v>0</v>
      </c>
      <c r="E886" s="1013" t="s">
        <v>22698</v>
      </c>
      <c r="F886" s="1013">
        <v>8</v>
      </c>
      <c r="G886" s="1932" t="str">
        <f>+VLOOKUP(F886,TT_Tabelle_Riferimento!$D$127:$G$164,4,FALSE)</f>
        <v>Gruppi di misura - altre attrezzature di acquedotto</v>
      </c>
      <c r="H886" s="1013">
        <v>3</v>
      </c>
      <c r="I886" s="1932" t="str">
        <f>+VLOOKUP(H886,TT_Tabelle_Riferimento!$F$3:$G$6,2,FALSE)</f>
        <v>Altri servizi idrici</v>
      </c>
      <c r="J886" s="1013">
        <v>2028</v>
      </c>
      <c r="K886" s="2335">
        <f>+SUMIFS('PdI-crono_inv'!BG:BG,'PdI-crono_inv'!CF:CF,F886,'PdI-crono_inv'!CE:CE,H886,'PdI-crono_inv'!J:J,P886,'PdI-crono_inv'!P:P,"&lt;&gt;proprietario")</f>
        <v>0</v>
      </c>
      <c r="M886" s="2335">
        <f>+SUMIFS('PdI-crono_inv'!BH:BH,'PdI-crono_inv'!CF:CF,F886,'PdI-crono_inv'!CE:CE,H886,'PdI-crono_inv'!J:J,P886,'PdI-crono_inv'!P:P,"&lt;&gt;proprietario")+S886</f>
        <v>0</v>
      </c>
      <c r="P886" s="1013" t="s">
        <v>25481</v>
      </c>
      <c r="Q886" s="1932" t="str">
        <f>+VLOOKUP(F886,TT_Tabelle_Riferimento!$D$127:$E$164,2,FALSE)</f>
        <v>Acquedotto</v>
      </c>
      <c r="R886" s="1932" t="str">
        <f t="shared" si="78"/>
        <v/>
      </c>
      <c r="S886" s="2335">
        <f t="shared" si="75"/>
        <v>0</v>
      </c>
    </row>
    <row r="887" spans="1:19">
      <c r="A887" s="1932">
        <f t="shared" si="79"/>
        <v>0</v>
      </c>
      <c r="B887" s="1932">
        <f t="shared" si="80"/>
        <v>0</v>
      </c>
      <c r="C887" s="1013" t="s">
        <v>245</v>
      </c>
      <c r="D887" s="1013">
        <v>0</v>
      </c>
      <c r="E887" s="1013" t="s">
        <v>22698</v>
      </c>
      <c r="F887" s="1013">
        <v>9</v>
      </c>
      <c r="G887" s="1932" t="str">
        <f>+VLOOKUP(F887,TT_Tabelle_Riferimento!$D$127:$G$164,4,FALSE)</f>
        <v>Sistemi informativi di acquedotto</v>
      </c>
      <c r="H887" s="1013">
        <v>3</v>
      </c>
      <c r="I887" s="1932" t="str">
        <f>+VLOOKUP(H887,TT_Tabelle_Riferimento!$F$3:$G$6,2,FALSE)</f>
        <v>Altri servizi idrici</v>
      </c>
      <c r="J887" s="1013">
        <v>2028</v>
      </c>
      <c r="K887" s="2335">
        <f>+SUMIFS('PdI-crono_inv'!BG:BG,'PdI-crono_inv'!CF:CF,F887,'PdI-crono_inv'!CE:CE,H887,'PdI-crono_inv'!J:J,P887,'PdI-crono_inv'!P:P,"&lt;&gt;proprietario")</f>
        <v>0</v>
      </c>
      <c r="M887" s="2335">
        <f>+SUMIFS('PdI-crono_inv'!BH:BH,'PdI-crono_inv'!CF:CF,F887,'PdI-crono_inv'!CE:CE,H887,'PdI-crono_inv'!J:J,P887,'PdI-crono_inv'!P:P,"&lt;&gt;proprietario")+S887</f>
        <v>0</v>
      </c>
      <c r="P887" s="1013" t="s">
        <v>25481</v>
      </c>
      <c r="Q887" s="1932" t="str">
        <f>+VLOOKUP(F887,TT_Tabelle_Riferimento!$D$127:$E$164,2,FALSE)</f>
        <v>Acquedotto</v>
      </c>
      <c r="R887" s="1932" t="str">
        <f t="shared" si="78"/>
        <v/>
      </c>
      <c r="S887" s="2335">
        <f t="shared" si="75"/>
        <v>0</v>
      </c>
    </row>
    <row r="888" spans="1:19">
      <c r="A888" s="1932">
        <f t="shared" si="79"/>
        <v>0</v>
      </c>
      <c r="B888" s="1932">
        <f t="shared" si="80"/>
        <v>0</v>
      </c>
      <c r="C888" s="1013" t="s">
        <v>245</v>
      </c>
      <c r="D888" s="1013">
        <v>0</v>
      </c>
      <c r="E888" s="1013" t="s">
        <v>22698</v>
      </c>
      <c r="F888" s="1013">
        <v>10</v>
      </c>
      <c r="G888" s="1932" t="str">
        <f>+VLOOKUP(F888,TT_Tabelle_Riferimento!$D$127:$G$164,4,FALSE)</f>
        <v>Telecontrollo e teletrasmissione di acquedotto</v>
      </c>
      <c r="H888" s="1013">
        <v>3</v>
      </c>
      <c r="I888" s="1932" t="str">
        <f>+VLOOKUP(H888,TT_Tabelle_Riferimento!$F$3:$G$6,2,FALSE)</f>
        <v>Altri servizi idrici</v>
      </c>
      <c r="J888" s="1013">
        <v>2028</v>
      </c>
      <c r="K888" s="2335">
        <f>+SUMIFS('PdI-crono_inv'!BG:BG,'PdI-crono_inv'!CF:CF,F888,'PdI-crono_inv'!CE:CE,H888,'PdI-crono_inv'!J:J,P888,'PdI-crono_inv'!P:P,"&lt;&gt;proprietario")</f>
        <v>0</v>
      </c>
      <c r="M888" s="2335">
        <f>+SUMIFS('PdI-crono_inv'!BH:BH,'PdI-crono_inv'!CF:CF,F888,'PdI-crono_inv'!CE:CE,H888,'PdI-crono_inv'!J:J,P888,'PdI-crono_inv'!P:P,"&lt;&gt;proprietario")+S888</f>
        <v>0</v>
      </c>
      <c r="P888" s="1013" t="s">
        <v>25481</v>
      </c>
      <c r="Q888" s="1932" t="str">
        <f>+VLOOKUP(F888,TT_Tabelle_Riferimento!$D$127:$E$164,2,FALSE)</f>
        <v>Acquedotto</v>
      </c>
      <c r="R888" s="1932" t="str">
        <f t="shared" si="78"/>
        <v/>
      </c>
      <c r="S888" s="2335">
        <f t="shared" si="75"/>
        <v>0</v>
      </c>
    </row>
    <row r="889" spans="1:19">
      <c r="A889" s="1932">
        <f t="shared" si="79"/>
        <v>0</v>
      </c>
      <c r="B889" s="1932">
        <f t="shared" si="80"/>
        <v>0</v>
      </c>
      <c r="C889" s="1013" t="s">
        <v>245</v>
      </c>
      <c r="D889" s="1013">
        <v>0</v>
      </c>
      <c r="E889" s="1013" t="s">
        <v>22698</v>
      </c>
      <c r="F889" s="1013">
        <v>11</v>
      </c>
      <c r="G889" s="1932" t="str">
        <f>+VLOOKUP(F889,TT_Tabelle_Riferimento!$D$127:$G$164,4,FALSE)</f>
        <v>Condotte fognarie</v>
      </c>
      <c r="H889" s="1013">
        <v>3</v>
      </c>
      <c r="I889" s="1932" t="str">
        <f>+VLOOKUP(H889,TT_Tabelle_Riferimento!$F$3:$G$6,2,FALSE)</f>
        <v>Altri servizi idrici</v>
      </c>
      <c r="J889" s="1013">
        <v>2028</v>
      </c>
      <c r="K889" s="2335">
        <f>+SUMIFS('PdI-crono_inv'!BG:BG,'PdI-crono_inv'!CF:CF,F889,'PdI-crono_inv'!CE:CE,H889,'PdI-crono_inv'!J:J,P889,'PdI-crono_inv'!P:P,"&lt;&gt;proprietario")</f>
        <v>0</v>
      </c>
      <c r="M889" s="2335">
        <f>+SUMIFS('PdI-crono_inv'!BH:BH,'PdI-crono_inv'!CF:CF,F889,'PdI-crono_inv'!CE:CE,H889,'PdI-crono_inv'!J:J,P889,'PdI-crono_inv'!P:P,"&lt;&gt;proprietario")+S889</f>
        <v>0</v>
      </c>
      <c r="P889" s="1013" t="s">
        <v>25481</v>
      </c>
      <c r="Q889" s="1932" t="str">
        <f>+VLOOKUP(F889,TT_Tabelle_Riferimento!$D$127:$E$164,2,FALSE)</f>
        <v>Fognatura</v>
      </c>
      <c r="R889" s="1932" t="str">
        <f t="shared" si="78"/>
        <v/>
      </c>
      <c r="S889" s="2335">
        <f t="shared" si="75"/>
        <v>0</v>
      </c>
    </row>
    <row r="890" spans="1:19">
      <c r="A890" s="1932">
        <f t="shared" si="79"/>
        <v>0</v>
      </c>
      <c r="B890" s="1932">
        <f t="shared" si="80"/>
        <v>0</v>
      </c>
      <c r="C890" s="1013" t="s">
        <v>245</v>
      </c>
      <c r="D890" s="1013">
        <v>0</v>
      </c>
      <c r="E890" s="1013" t="s">
        <v>22698</v>
      </c>
      <c r="F890" s="1013">
        <v>12</v>
      </c>
      <c r="G890" s="1932" t="str">
        <f>+VLOOKUP(F890,TT_Tabelle_Riferimento!$D$127:$G$164,4,FALSE)</f>
        <v>Sifoni e scaricatori di piena e altre opere idrauliche fisse di fognatura</v>
      </c>
      <c r="H890" s="1013">
        <v>3</v>
      </c>
      <c r="I890" s="1932" t="str">
        <f>+VLOOKUP(H890,TT_Tabelle_Riferimento!$F$3:$G$6,2,FALSE)</f>
        <v>Altri servizi idrici</v>
      </c>
      <c r="J890" s="1013">
        <v>2028</v>
      </c>
      <c r="K890" s="2335">
        <f>+SUMIFS('PdI-crono_inv'!BG:BG,'PdI-crono_inv'!CF:CF,F890,'PdI-crono_inv'!CE:CE,H890,'PdI-crono_inv'!J:J,P890,'PdI-crono_inv'!P:P,"&lt;&gt;proprietario")</f>
        <v>0</v>
      </c>
      <c r="M890" s="2335">
        <f>+SUMIFS('PdI-crono_inv'!BH:BH,'PdI-crono_inv'!CF:CF,F890,'PdI-crono_inv'!CE:CE,H890,'PdI-crono_inv'!J:J,P890,'PdI-crono_inv'!P:P,"&lt;&gt;proprietario")+S890</f>
        <v>0</v>
      </c>
      <c r="P890" s="1013" t="s">
        <v>25481</v>
      </c>
      <c r="Q890" s="1932" t="str">
        <f>+VLOOKUP(F890,TT_Tabelle_Riferimento!$D$127:$E$164,2,FALSE)</f>
        <v>Fognatura</v>
      </c>
      <c r="R890" s="1932" t="str">
        <f t="shared" si="78"/>
        <v/>
      </c>
      <c r="S890" s="2335">
        <f t="shared" si="75"/>
        <v>0</v>
      </c>
    </row>
    <row r="891" spans="1:19">
      <c r="A891" s="1932">
        <f t="shared" si="79"/>
        <v>0</v>
      </c>
      <c r="B891" s="1932">
        <f t="shared" si="80"/>
        <v>0</v>
      </c>
      <c r="C891" s="1013" t="s">
        <v>245</v>
      </c>
      <c r="D891" s="1013">
        <v>0</v>
      </c>
      <c r="E891" s="1013" t="s">
        <v>22698</v>
      </c>
      <c r="F891" s="1013">
        <v>13</v>
      </c>
      <c r="G891" s="1932" t="str">
        <f>+VLOOKUP(F891,TT_Tabelle_Riferimento!$D$127:$G$164,4,FALSE)</f>
        <v>Vasche di laminazione e vasche di prima pioggia</v>
      </c>
      <c r="H891" s="1013">
        <v>3</v>
      </c>
      <c r="I891" s="1932" t="str">
        <f>+VLOOKUP(H891,TT_Tabelle_Riferimento!$F$3:$G$6,2,FALSE)</f>
        <v>Altri servizi idrici</v>
      </c>
      <c r="J891" s="1013">
        <v>2028</v>
      </c>
      <c r="K891" s="2335">
        <f>+SUMIFS('PdI-crono_inv'!BG:BG,'PdI-crono_inv'!CF:CF,F891,'PdI-crono_inv'!CE:CE,H891,'PdI-crono_inv'!J:J,P891,'PdI-crono_inv'!P:P,"&lt;&gt;proprietario")</f>
        <v>0</v>
      </c>
      <c r="M891" s="2335">
        <f>+SUMIFS('PdI-crono_inv'!BH:BH,'PdI-crono_inv'!CF:CF,F891,'PdI-crono_inv'!CE:CE,H891,'PdI-crono_inv'!J:J,P891,'PdI-crono_inv'!P:P,"&lt;&gt;proprietario")+S891</f>
        <v>0</v>
      </c>
      <c r="P891" s="1013" t="s">
        <v>25481</v>
      </c>
      <c r="Q891" s="1932" t="str">
        <f>+VLOOKUP(F891,TT_Tabelle_Riferimento!$D$127:$E$164,2,FALSE)</f>
        <v>Fognatura</v>
      </c>
      <c r="R891" s="1932" t="str">
        <f t="shared" si="78"/>
        <v/>
      </c>
      <c r="S891" s="2335">
        <f t="shared" si="75"/>
        <v>0</v>
      </c>
    </row>
    <row r="892" spans="1:19">
      <c r="A892" s="1932">
        <f t="shared" si="79"/>
        <v>0</v>
      </c>
      <c r="B892" s="1932">
        <f t="shared" si="80"/>
        <v>0</v>
      </c>
      <c r="C892" s="1013" t="s">
        <v>245</v>
      </c>
      <c r="D892" s="1013">
        <v>0</v>
      </c>
      <c r="E892" s="1013" t="s">
        <v>22698</v>
      </c>
      <c r="F892" s="1013">
        <v>14</v>
      </c>
      <c r="G892" s="1932" t="str">
        <f>+VLOOKUP(F892,TT_Tabelle_Riferimento!$D$127:$G$164,4,FALSE)</f>
        <v>Impianti di sollevamento e pompaggio di fognatura</v>
      </c>
      <c r="H892" s="1013">
        <v>3</v>
      </c>
      <c r="I892" s="1932" t="str">
        <f>+VLOOKUP(H892,TT_Tabelle_Riferimento!$F$3:$G$6,2,FALSE)</f>
        <v>Altri servizi idrici</v>
      </c>
      <c r="J892" s="1013">
        <v>2028</v>
      </c>
      <c r="K892" s="2335">
        <f>+SUMIFS('PdI-crono_inv'!BG:BG,'PdI-crono_inv'!CF:CF,F892,'PdI-crono_inv'!CE:CE,H892,'PdI-crono_inv'!J:J,P892,'PdI-crono_inv'!P:P,"&lt;&gt;proprietario")</f>
        <v>0</v>
      </c>
      <c r="M892" s="2335">
        <f>+SUMIFS('PdI-crono_inv'!BH:BH,'PdI-crono_inv'!CF:CF,F892,'PdI-crono_inv'!CE:CE,H892,'PdI-crono_inv'!J:J,P892,'PdI-crono_inv'!P:P,"&lt;&gt;proprietario")+S892</f>
        <v>0</v>
      </c>
      <c r="P892" s="1013" t="s">
        <v>25481</v>
      </c>
      <c r="Q892" s="1932" t="str">
        <f>+VLOOKUP(F892,TT_Tabelle_Riferimento!$D$127:$E$164,2,FALSE)</f>
        <v>Fognatura</v>
      </c>
      <c r="R892" s="1932" t="str">
        <f t="shared" si="78"/>
        <v/>
      </c>
      <c r="S892" s="2335">
        <f t="shared" si="75"/>
        <v>0</v>
      </c>
    </row>
    <row r="893" spans="1:19">
      <c r="A893" s="1932">
        <f t="shared" si="79"/>
        <v>0</v>
      </c>
      <c r="B893" s="1932">
        <f t="shared" si="80"/>
        <v>0</v>
      </c>
      <c r="C893" s="1013" t="s">
        <v>245</v>
      </c>
      <c r="D893" s="1013">
        <v>0</v>
      </c>
      <c r="E893" s="1013" t="s">
        <v>22698</v>
      </c>
      <c r="F893" s="1013">
        <v>15</v>
      </c>
      <c r="G893" s="1932" t="str">
        <f>+VLOOKUP(F893,TT_Tabelle_Riferimento!$D$127:$G$164,4,FALSE)</f>
        <v>Gruppi di misura - altre attrezzature di fognatura</v>
      </c>
      <c r="H893" s="1013">
        <v>3</v>
      </c>
      <c r="I893" s="1932" t="str">
        <f>+VLOOKUP(H893,TT_Tabelle_Riferimento!$F$3:$G$6,2,FALSE)</f>
        <v>Altri servizi idrici</v>
      </c>
      <c r="J893" s="1013">
        <v>2028</v>
      </c>
      <c r="K893" s="2335">
        <f>+SUMIFS('PdI-crono_inv'!BG:BG,'PdI-crono_inv'!CF:CF,F893,'PdI-crono_inv'!CE:CE,H893,'PdI-crono_inv'!J:J,P893,'PdI-crono_inv'!P:P,"&lt;&gt;proprietario")</f>
        <v>0</v>
      </c>
      <c r="M893" s="2335">
        <f>+SUMIFS('PdI-crono_inv'!BH:BH,'PdI-crono_inv'!CF:CF,F893,'PdI-crono_inv'!CE:CE,H893,'PdI-crono_inv'!J:J,P893,'PdI-crono_inv'!P:P,"&lt;&gt;proprietario")+S893</f>
        <v>0</v>
      </c>
      <c r="P893" s="1013" t="s">
        <v>25481</v>
      </c>
      <c r="Q893" s="1932" t="str">
        <f>+VLOOKUP(F893,TT_Tabelle_Riferimento!$D$127:$E$164,2,FALSE)</f>
        <v>Fognatura</v>
      </c>
      <c r="R893" s="1932" t="str">
        <f t="shared" si="78"/>
        <v/>
      </c>
      <c r="S893" s="2335">
        <f t="shared" si="75"/>
        <v>0</v>
      </c>
    </row>
    <row r="894" spans="1:19">
      <c r="A894" s="1932">
        <f t="shared" si="79"/>
        <v>0</v>
      </c>
      <c r="B894" s="1932">
        <f t="shared" si="80"/>
        <v>0</v>
      </c>
      <c r="C894" s="1013" t="s">
        <v>245</v>
      </c>
      <c r="D894" s="1013">
        <v>0</v>
      </c>
      <c r="E894" s="1013" t="s">
        <v>22698</v>
      </c>
      <c r="F894" s="1013">
        <v>16</v>
      </c>
      <c r="G894" s="1932" t="str">
        <f>+VLOOKUP(F894,TT_Tabelle_Riferimento!$D$127:$G$164,4,FALSE)</f>
        <v>Sistemi informativi di fognatura</v>
      </c>
      <c r="H894" s="1013">
        <v>3</v>
      </c>
      <c r="I894" s="1932" t="str">
        <f>+VLOOKUP(H894,TT_Tabelle_Riferimento!$F$3:$G$6,2,FALSE)</f>
        <v>Altri servizi idrici</v>
      </c>
      <c r="J894" s="1013">
        <v>2028</v>
      </c>
      <c r="K894" s="2335">
        <f>+SUMIFS('PdI-crono_inv'!BG:BG,'PdI-crono_inv'!CF:CF,F894,'PdI-crono_inv'!CE:CE,H894,'PdI-crono_inv'!J:J,P894,'PdI-crono_inv'!P:P,"&lt;&gt;proprietario")</f>
        <v>0</v>
      </c>
      <c r="M894" s="2335">
        <f>+SUMIFS('PdI-crono_inv'!BH:BH,'PdI-crono_inv'!CF:CF,F894,'PdI-crono_inv'!CE:CE,H894,'PdI-crono_inv'!J:J,P894,'PdI-crono_inv'!P:P,"&lt;&gt;proprietario")+S894</f>
        <v>0</v>
      </c>
      <c r="P894" s="1013" t="s">
        <v>25481</v>
      </c>
      <c r="Q894" s="1932" t="str">
        <f>+VLOOKUP(F894,TT_Tabelle_Riferimento!$D$127:$E$164,2,FALSE)</f>
        <v>Fognatura</v>
      </c>
      <c r="R894" s="1932" t="str">
        <f t="shared" si="78"/>
        <v/>
      </c>
      <c r="S894" s="2335">
        <f t="shared" si="75"/>
        <v>0</v>
      </c>
    </row>
    <row r="895" spans="1:19">
      <c r="A895" s="1932">
        <f t="shared" si="79"/>
        <v>0</v>
      </c>
      <c r="B895" s="1932">
        <f t="shared" si="80"/>
        <v>0</v>
      </c>
      <c r="C895" s="1013" t="s">
        <v>245</v>
      </c>
      <c r="D895" s="1013">
        <v>0</v>
      </c>
      <c r="E895" s="1013" t="s">
        <v>22698</v>
      </c>
      <c r="F895" s="1013">
        <v>18</v>
      </c>
      <c r="G895" s="1932" t="str">
        <f>+VLOOKUP(F895,TT_Tabelle_Riferimento!$D$127:$G$164,4,FALSE)</f>
        <v>Telecontrollo e teletrasmissione di fognatura</v>
      </c>
      <c r="H895" s="1013">
        <v>3</v>
      </c>
      <c r="I895" s="1932" t="str">
        <f>+VLOOKUP(H895,TT_Tabelle_Riferimento!$F$3:$G$6,2,FALSE)</f>
        <v>Altri servizi idrici</v>
      </c>
      <c r="J895" s="1013">
        <v>2028</v>
      </c>
      <c r="K895" s="2335">
        <f>+SUMIFS('PdI-crono_inv'!BG:BG,'PdI-crono_inv'!CF:CF,F895,'PdI-crono_inv'!CE:CE,H895,'PdI-crono_inv'!J:J,P895,'PdI-crono_inv'!P:P,"&lt;&gt;proprietario")</f>
        <v>0</v>
      </c>
      <c r="M895" s="2335">
        <f>+SUMIFS('PdI-crono_inv'!BH:BH,'PdI-crono_inv'!CF:CF,F895,'PdI-crono_inv'!CE:CE,H895,'PdI-crono_inv'!J:J,P895,'PdI-crono_inv'!P:P,"&lt;&gt;proprietario")+S895</f>
        <v>0</v>
      </c>
      <c r="P895" s="1013" t="s">
        <v>25481</v>
      </c>
      <c r="Q895" s="1932" t="str">
        <f>+VLOOKUP(F895,TT_Tabelle_Riferimento!$D$127:$E$164,2,FALSE)</f>
        <v>Fognatura</v>
      </c>
      <c r="R895" s="1932" t="str">
        <f t="shared" si="78"/>
        <v/>
      </c>
      <c r="S895" s="2335">
        <f t="shared" si="75"/>
        <v>0</v>
      </c>
    </row>
    <row r="896" spans="1:19">
      <c r="A896" s="1932">
        <f t="shared" si="79"/>
        <v>0</v>
      </c>
      <c r="B896" s="1932">
        <f t="shared" si="80"/>
        <v>0</v>
      </c>
      <c r="C896" s="1013" t="s">
        <v>245</v>
      </c>
      <c r="D896" s="1013">
        <v>0</v>
      </c>
      <c r="E896" s="1013" t="s">
        <v>22698</v>
      </c>
      <c r="F896" s="1013">
        <v>19</v>
      </c>
      <c r="G896" s="1932" t="str">
        <f>+VLOOKUP(F896,TT_Tabelle_Riferimento!$D$127:$G$164,4,FALSE)</f>
        <v>Impianti di sollevamento e pompaggio di depurazione</v>
      </c>
      <c r="H896" s="1013">
        <v>3</v>
      </c>
      <c r="I896" s="1932" t="str">
        <f>+VLOOKUP(H896,TT_Tabelle_Riferimento!$F$3:$G$6,2,FALSE)</f>
        <v>Altri servizi idrici</v>
      </c>
      <c r="J896" s="1013">
        <v>2028</v>
      </c>
      <c r="K896" s="2335">
        <f>+SUMIFS('PdI-crono_inv'!BG:BG,'PdI-crono_inv'!CF:CF,F896,'PdI-crono_inv'!CE:CE,H896,'PdI-crono_inv'!J:J,P896,'PdI-crono_inv'!P:P,"&lt;&gt;proprietario")</f>
        <v>0</v>
      </c>
      <c r="M896" s="2335">
        <f>+SUMIFS('PdI-crono_inv'!BH:BH,'PdI-crono_inv'!CF:CF,F896,'PdI-crono_inv'!CE:CE,H896,'PdI-crono_inv'!J:J,P896,'PdI-crono_inv'!P:P,"&lt;&gt;proprietario")+S896</f>
        <v>0</v>
      </c>
      <c r="P896" s="1013" t="s">
        <v>25481</v>
      </c>
      <c r="Q896" s="1932" t="str">
        <f>+VLOOKUP(F896,TT_Tabelle_Riferimento!$D$127:$E$164,2,FALSE)</f>
        <v>Depurazione</v>
      </c>
      <c r="R896" s="1932" t="str">
        <f t="shared" si="78"/>
        <v/>
      </c>
      <c r="S896" s="2335">
        <f t="shared" si="75"/>
        <v>0</v>
      </c>
    </row>
    <row r="897" spans="1:19">
      <c r="A897" s="1932">
        <f t="shared" si="79"/>
        <v>0</v>
      </c>
      <c r="B897" s="1932">
        <f t="shared" si="80"/>
        <v>0</v>
      </c>
      <c r="C897" s="1013" t="s">
        <v>245</v>
      </c>
      <c r="D897" s="1013">
        <v>0</v>
      </c>
      <c r="E897" s="1013" t="s">
        <v>22698</v>
      </c>
      <c r="F897" s="1013">
        <v>20</v>
      </c>
      <c r="G897" s="1932" t="str">
        <f>+VLOOKUP(F897,TT_Tabelle_Riferimento!$D$127:$G$164,4,FALSE)</f>
        <v>Tecniche naturali di depurazione (tra cui fitodepurazione e lagunaggio)</v>
      </c>
      <c r="H897" s="1013">
        <v>3</v>
      </c>
      <c r="I897" s="1932" t="str">
        <f>+VLOOKUP(H897,TT_Tabelle_Riferimento!$F$3:$G$6,2,FALSE)</f>
        <v>Altri servizi idrici</v>
      </c>
      <c r="J897" s="1013">
        <v>2028</v>
      </c>
      <c r="K897" s="2335">
        <f>+SUMIFS('PdI-crono_inv'!BG:BG,'PdI-crono_inv'!CF:CF,F897,'PdI-crono_inv'!CE:CE,H897,'PdI-crono_inv'!J:J,P897,'PdI-crono_inv'!P:P,"&lt;&gt;proprietario")</f>
        <v>0</v>
      </c>
      <c r="M897" s="2335">
        <f>+SUMIFS('PdI-crono_inv'!BH:BH,'PdI-crono_inv'!CF:CF,F897,'PdI-crono_inv'!CE:CE,H897,'PdI-crono_inv'!J:J,P897,'PdI-crono_inv'!P:P,"&lt;&gt;proprietario")+S897</f>
        <v>0</v>
      </c>
      <c r="P897" s="1013" t="s">
        <v>25481</v>
      </c>
      <c r="Q897" s="1932" t="str">
        <f>+VLOOKUP(F897,TT_Tabelle_Riferimento!$D$127:$E$164,2,FALSE)</f>
        <v>Depurazione</v>
      </c>
      <c r="R897" s="1932" t="str">
        <f t="shared" si="78"/>
        <v/>
      </c>
      <c r="S897" s="2335">
        <f t="shared" si="75"/>
        <v>0</v>
      </c>
    </row>
    <row r="898" spans="1:19">
      <c r="A898" s="1932">
        <f t="shared" si="79"/>
        <v>0</v>
      </c>
      <c r="B898" s="1932">
        <f t="shared" si="80"/>
        <v>0</v>
      </c>
      <c r="C898" s="1013" t="s">
        <v>245</v>
      </c>
      <c r="D898" s="1013">
        <v>0</v>
      </c>
      <c r="E898" s="1013" t="s">
        <v>22698</v>
      </c>
      <c r="F898" s="1013">
        <v>21</v>
      </c>
      <c r="G898" s="1932" t="str">
        <f>+VLOOKUP(F898,TT_Tabelle_Riferimento!$D$127:$G$164,4,FALSE)</f>
        <v>Impianti di depurazione – trattamenti sino al preliminare, integrativo, primario - fosse settiche e fosse Imhoff</v>
      </c>
      <c r="H898" s="1013">
        <v>3</v>
      </c>
      <c r="I898" s="1932" t="str">
        <f>+VLOOKUP(H898,TT_Tabelle_Riferimento!$F$3:$G$6,2,FALSE)</f>
        <v>Altri servizi idrici</v>
      </c>
      <c r="J898" s="1013">
        <v>2028</v>
      </c>
      <c r="K898" s="2335">
        <f>+SUMIFS('PdI-crono_inv'!BG:BG,'PdI-crono_inv'!CF:CF,F898,'PdI-crono_inv'!CE:CE,H898,'PdI-crono_inv'!J:J,P898,'PdI-crono_inv'!P:P,"&lt;&gt;proprietario")</f>
        <v>0</v>
      </c>
      <c r="M898" s="2335">
        <f>+SUMIFS('PdI-crono_inv'!BH:BH,'PdI-crono_inv'!CF:CF,F898,'PdI-crono_inv'!CE:CE,H898,'PdI-crono_inv'!J:J,P898,'PdI-crono_inv'!P:P,"&lt;&gt;proprietario")+S898</f>
        <v>0</v>
      </c>
      <c r="P898" s="1013" t="s">
        <v>25481</v>
      </c>
      <c r="Q898" s="1932" t="str">
        <f>+VLOOKUP(F898,TT_Tabelle_Riferimento!$D$127:$E$164,2,FALSE)</f>
        <v>Depurazione</v>
      </c>
      <c r="R898" s="1932" t="str">
        <f t="shared" si="78"/>
        <v/>
      </c>
      <c r="S898" s="2335">
        <f t="shared" si="75"/>
        <v>0</v>
      </c>
    </row>
    <row r="899" spans="1:19">
      <c r="A899" s="1932">
        <f t="shared" si="79"/>
        <v>0</v>
      </c>
      <c r="B899" s="1932">
        <f t="shared" si="80"/>
        <v>0</v>
      </c>
      <c r="C899" s="1013" t="s">
        <v>245</v>
      </c>
      <c r="D899" s="1013">
        <v>0</v>
      </c>
      <c r="E899" s="1013" t="s">
        <v>22698</v>
      </c>
      <c r="F899" s="1013">
        <v>22</v>
      </c>
      <c r="G899" s="1932" t="str">
        <f>+VLOOKUP(F899,TT_Tabelle_Riferimento!$D$127:$G$164,4,FALSE)</f>
        <v>Impianti di depurazione – trattamenti sino al secondario</v>
      </c>
      <c r="H899" s="1013">
        <v>3</v>
      </c>
      <c r="I899" s="1932" t="str">
        <f>+VLOOKUP(H899,TT_Tabelle_Riferimento!$F$3:$G$6,2,FALSE)</f>
        <v>Altri servizi idrici</v>
      </c>
      <c r="J899" s="1013">
        <v>2028</v>
      </c>
      <c r="K899" s="2335">
        <f>+SUMIFS('PdI-crono_inv'!BG:BG,'PdI-crono_inv'!CF:CF,F899,'PdI-crono_inv'!CE:CE,H899,'PdI-crono_inv'!J:J,P899,'PdI-crono_inv'!P:P,"&lt;&gt;proprietario")</f>
        <v>0</v>
      </c>
      <c r="M899" s="2335">
        <f>+SUMIFS('PdI-crono_inv'!BH:BH,'PdI-crono_inv'!CF:CF,F899,'PdI-crono_inv'!CE:CE,H899,'PdI-crono_inv'!J:J,P899,'PdI-crono_inv'!P:P,"&lt;&gt;proprietario")+S899</f>
        <v>0</v>
      </c>
      <c r="P899" s="1013" t="s">
        <v>25481</v>
      </c>
      <c r="Q899" s="1932" t="str">
        <f>+VLOOKUP(F899,TT_Tabelle_Riferimento!$D$127:$E$164,2,FALSE)</f>
        <v>Depurazione</v>
      </c>
      <c r="R899" s="1932" t="str">
        <f t="shared" si="78"/>
        <v/>
      </c>
      <c r="S899" s="2335">
        <f t="shared" si="75"/>
        <v>0</v>
      </c>
    </row>
    <row r="900" spans="1:19">
      <c r="A900" s="1932">
        <f t="shared" si="79"/>
        <v>0</v>
      </c>
      <c r="B900" s="1932">
        <f t="shared" si="80"/>
        <v>0</v>
      </c>
      <c r="C900" s="1013" t="s">
        <v>245</v>
      </c>
      <c r="D900" s="1013">
        <v>0</v>
      </c>
      <c r="E900" s="1013" t="s">
        <v>22698</v>
      </c>
      <c r="F900" s="1013">
        <v>23</v>
      </c>
      <c r="G900" s="1932" t="str">
        <f>+VLOOKUP(F900,TT_Tabelle_Riferimento!$D$127:$G$164,4,FALSE)</f>
        <v>Impianti di depurazione – trattamenti sino al terziario e terziario avanzato</v>
      </c>
      <c r="H900" s="1013">
        <v>3</v>
      </c>
      <c r="I900" s="1932" t="str">
        <f>+VLOOKUP(H900,TT_Tabelle_Riferimento!$F$3:$G$6,2,FALSE)</f>
        <v>Altri servizi idrici</v>
      </c>
      <c r="J900" s="1013">
        <v>2028</v>
      </c>
      <c r="K900" s="2335">
        <f>+SUMIFS('PdI-crono_inv'!BG:BG,'PdI-crono_inv'!CF:CF,F900,'PdI-crono_inv'!CE:CE,H900,'PdI-crono_inv'!J:J,P900,'PdI-crono_inv'!P:P,"&lt;&gt;proprietario")</f>
        <v>0</v>
      </c>
      <c r="M900" s="2335">
        <f>+SUMIFS('PdI-crono_inv'!BH:BH,'PdI-crono_inv'!CF:CF,F900,'PdI-crono_inv'!CE:CE,H900,'PdI-crono_inv'!J:J,P900,'PdI-crono_inv'!P:P,"&lt;&gt;proprietario")+S900</f>
        <v>0</v>
      </c>
      <c r="P900" s="1013" t="s">
        <v>25481</v>
      </c>
      <c r="Q900" s="1932" t="str">
        <f>+VLOOKUP(F900,TT_Tabelle_Riferimento!$D$127:$E$164,2,FALSE)</f>
        <v>Depurazione</v>
      </c>
      <c r="R900" s="1932" t="str">
        <f t="shared" si="78"/>
        <v/>
      </c>
      <c r="S900" s="2335">
        <f t="shared" si="75"/>
        <v>0</v>
      </c>
    </row>
    <row r="901" spans="1:19">
      <c r="A901" s="1932">
        <f t="shared" si="79"/>
        <v>0</v>
      </c>
      <c r="B901" s="1932">
        <f t="shared" si="80"/>
        <v>0</v>
      </c>
      <c r="C901" s="1013" t="s">
        <v>245</v>
      </c>
      <c r="D901" s="1013">
        <v>0</v>
      </c>
      <c r="E901" s="1013" t="s">
        <v>22698</v>
      </c>
      <c r="F901" s="1013">
        <v>24</v>
      </c>
      <c r="G901" s="1932" t="str">
        <f>+VLOOKUP(F901,TT_Tabelle_Riferimento!$D$127:$G$164,4,FALSE)</f>
        <v>Impianti di essiccamento fanghi e di valorizzazione dei fanghi (tra cui mono-incenerimento, pirolisi, gassificazione)</v>
      </c>
      <c r="H901" s="1013">
        <v>3</v>
      </c>
      <c r="I901" s="1932" t="str">
        <f>+VLOOKUP(H901,TT_Tabelle_Riferimento!$F$3:$G$6,2,FALSE)</f>
        <v>Altri servizi idrici</v>
      </c>
      <c r="J901" s="1013">
        <v>2028</v>
      </c>
      <c r="K901" s="2335">
        <f>+SUMIFS('PdI-crono_inv'!BG:BG,'PdI-crono_inv'!CF:CF,F901,'PdI-crono_inv'!CE:CE,H901,'PdI-crono_inv'!J:J,P901,'PdI-crono_inv'!P:P,"&lt;&gt;proprietario")</f>
        <v>0</v>
      </c>
      <c r="M901" s="2335">
        <f>+SUMIFS('PdI-crono_inv'!BH:BH,'PdI-crono_inv'!CF:CF,F901,'PdI-crono_inv'!CE:CE,H901,'PdI-crono_inv'!J:J,P901,'PdI-crono_inv'!P:P,"&lt;&gt;proprietario")+S901</f>
        <v>0</v>
      </c>
      <c r="P901" s="1013" t="s">
        <v>25481</v>
      </c>
      <c r="Q901" s="1932" t="str">
        <f>+VLOOKUP(F901,TT_Tabelle_Riferimento!$D$127:$E$164,2,FALSE)</f>
        <v>Depurazione</v>
      </c>
      <c r="R901" s="1932" t="str">
        <f t="shared" si="78"/>
        <v/>
      </c>
      <c r="S901" s="2335">
        <f t="shared" si="75"/>
        <v>0</v>
      </c>
    </row>
    <row r="902" spans="1:19">
      <c r="A902" s="1932">
        <f t="shared" si="79"/>
        <v>0</v>
      </c>
      <c r="B902" s="1932">
        <f t="shared" si="80"/>
        <v>0</v>
      </c>
      <c r="C902" s="1013" t="s">
        <v>245</v>
      </c>
      <c r="D902" s="1013">
        <v>0</v>
      </c>
      <c r="E902" s="1013" t="s">
        <v>22698</v>
      </c>
      <c r="F902" s="1013">
        <v>25</v>
      </c>
      <c r="G902" s="1932" t="str">
        <f>+VLOOKUP(F902,TT_Tabelle_Riferimento!$D$127:$G$164,4,FALSE)</f>
        <v>Gruppi di misura - altre attrezzature di depurazione</v>
      </c>
      <c r="H902" s="1013">
        <v>3</v>
      </c>
      <c r="I902" s="1932" t="str">
        <f>+VLOOKUP(H902,TT_Tabelle_Riferimento!$F$3:$G$6,2,FALSE)</f>
        <v>Altri servizi idrici</v>
      </c>
      <c r="J902" s="1013">
        <v>2028</v>
      </c>
      <c r="K902" s="2335">
        <f>+SUMIFS('PdI-crono_inv'!BG:BG,'PdI-crono_inv'!CF:CF,F902,'PdI-crono_inv'!CE:CE,H902,'PdI-crono_inv'!J:J,P902,'PdI-crono_inv'!P:P,"&lt;&gt;proprietario")</f>
        <v>0</v>
      </c>
      <c r="M902" s="2335">
        <f>+SUMIFS('PdI-crono_inv'!BH:BH,'PdI-crono_inv'!CF:CF,F902,'PdI-crono_inv'!CE:CE,H902,'PdI-crono_inv'!J:J,P902,'PdI-crono_inv'!P:P,"&lt;&gt;proprietario")+S902</f>
        <v>0</v>
      </c>
      <c r="P902" s="1013" t="s">
        <v>25481</v>
      </c>
      <c r="Q902" s="1932" t="str">
        <f>+VLOOKUP(F902,TT_Tabelle_Riferimento!$D$127:$E$164,2,FALSE)</f>
        <v>Depurazione</v>
      </c>
      <c r="R902" s="1932" t="str">
        <f t="shared" si="78"/>
        <v/>
      </c>
      <c r="S902" s="2335">
        <f t="shared" si="75"/>
        <v>0</v>
      </c>
    </row>
    <row r="903" spans="1:19">
      <c r="A903" s="1932">
        <f t="shared" si="79"/>
        <v>0</v>
      </c>
      <c r="B903" s="1932">
        <f t="shared" si="80"/>
        <v>0</v>
      </c>
      <c r="C903" s="1013" t="s">
        <v>245</v>
      </c>
      <c r="D903" s="1013">
        <v>0</v>
      </c>
      <c r="E903" s="1013" t="s">
        <v>22698</v>
      </c>
      <c r="F903" s="1013">
        <v>26</v>
      </c>
      <c r="G903" s="1932" t="str">
        <f>+VLOOKUP(F903,TT_Tabelle_Riferimento!$D$127:$G$164,4,FALSE)</f>
        <v>Sistemi informativi di depurazione</v>
      </c>
      <c r="H903" s="1013">
        <v>3</v>
      </c>
      <c r="I903" s="1932" t="str">
        <f>+VLOOKUP(H903,TT_Tabelle_Riferimento!$F$3:$G$6,2,FALSE)</f>
        <v>Altri servizi idrici</v>
      </c>
      <c r="J903" s="1013">
        <v>2028</v>
      </c>
      <c r="K903" s="2335">
        <f>+SUMIFS('PdI-crono_inv'!BG:BG,'PdI-crono_inv'!CF:CF,F903,'PdI-crono_inv'!CE:CE,H903,'PdI-crono_inv'!J:J,P903,'PdI-crono_inv'!P:P,"&lt;&gt;proprietario")</f>
        <v>0</v>
      </c>
      <c r="M903" s="2335">
        <f>+SUMIFS('PdI-crono_inv'!BH:BH,'PdI-crono_inv'!CF:CF,F903,'PdI-crono_inv'!CE:CE,H903,'PdI-crono_inv'!J:J,P903,'PdI-crono_inv'!P:P,"&lt;&gt;proprietario")+S903</f>
        <v>0</v>
      </c>
      <c r="P903" s="1013" t="s">
        <v>25481</v>
      </c>
      <c r="Q903" s="1932" t="str">
        <f>+VLOOKUP(F903,TT_Tabelle_Riferimento!$D$127:$E$164,2,FALSE)</f>
        <v>Depurazione</v>
      </c>
      <c r="R903" s="1932" t="str">
        <f t="shared" si="78"/>
        <v/>
      </c>
      <c r="S903" s="2335">
        <f t="shared" ref="S903:S966" si="81">+IFERROR(HLOOKUP(J903,$X$2:$Y$5,4,FALSE)*K903,0)</f>
        <v>0</v>
      </c>
    </row>
    <row r="904" spans="1:19">
      <c r="A904" s="1932">
        <f t="shared" si="79"/>
        <v>0</v>
      </c>
      <c r="B904" s="1932">
        <f t="shared" si="80"/>
        <v>0</v>
      </c>
      <c r="C904" s="1013" t="s">
        <v>245</v>
      </c>
      <c r="D904" s="1013">
        <v>0</v>
      </c>
      <c r="E904" s="1013" t="s">
        <v>22698</v>
      </c>
      <c r="F904" s="1013">
        <v>27</v>
      </c>
      <c r="G904" s="1932" t="str">
        <f>+VLOOKUP(F904,TT_Tabelle_Riferimento!$D$127:$G$164,4,FALSE)</f>
        <v>Telecontrollo e teletrasmissione di depurazione</v>
      </c>
      <c r="H904" s="1013">
        <v>3</v>
      </c>
      <c r="I904" s="1932" t="str">
        <f>+VLOOKUP(H904,TT_Tabelle_Riferimento!$F$3:$G$6,2,FALSE)</f>
        <v>Altri servizi idrici</v>
      </c>
      <c r="J904" s="1013">
        <v>2028</v>
      </c>
      <c r="K904" s="2335">
        <f>+SUMIFS('PdI-crono_inv'!BG:BG,'PdI-crono_inv'!CF:CF,F904,'PdI-crono_inv'!CE:CE,H904,'PdI-crono_inv'!J:J,P904,'PdI-crono_inv'!P:P,"&lt;&gt;proprietario")</f>
        <v>0</v>
      </c>
      <c r="M904" s="2335">
        <f>+SUMIFS('PdI-crono_inv'!BH:BH,'PdI-crono_inv'!CF:CF,F904,'PdI-crono_inv'!CE:CE,H904,'PdI-crono_inv'!J:J,P904,'PdI-crono_inv'!P:P,"&lt;&gt;proprietario")+S904</f>
        <v>0</v>
      </c>
      <c r="P904" s="1013" t="s">
        <v>25481</v>
      </c>
      <c r="Q904" s="1932" t="str">
        <f>+VLOOKUP(F904,TT_Tabelle_Riferimento!$D$127:$E$164,2,FALSE)</f>
        <v>Depurazione</v>
      </c>
      <c r="R904" s="1932" t="str">
        <f t="shared" si="78"/>
        <v/>
      </c>
      <c r="S904" s="2335">
        <f t="shared" si="81"/>
        <v>0</v>
      </c>
    </row>
    <row r="905" spans="1:19">
      <c r="A905" s="1932">
        <f t="shared" si="79"/>
        <v>0</v>
      </c>
      <c r="B905" s="1932">
        <f t="shared" si="80"/>
        <v>0</v>
      </c>
      <c r="C905" s="1013" t="s">
        <v>245</v>
      </c>
      <c r="D905" s="1013">
        <v>0</v>
      </c>
      <c r="E905" s="1013" t="s">
        <v>22698</v>
      </c>
      <c r="F905" s="1013">
        <v>28</v>
      </c>
      <c r="G905" s="1932" t="str">
        <f>+VLOOKUP(F905,TT_Tabelle_Riferimento!$D$127:$G$164,4,FALSE)</f>
        <v>Altri impianti</v>
      </c>
      <c r="H905" s="1013">
        <v>3</v>
      </c>
      <c r="I905" s="1932" t="str">
        <f>+VLOOKUP(H905,TT_Tabelle_Riferimento!$F$3:$G$6,2,FALSE)</f>
        <v>Altri servizi idrici</v>
      </c>
      <c r="J905" s="1013">
        <v>2028</v>
      </c>
      <c r="K905" s="2335">
        <f>+SUMIFS('PdI-crono_inv'!BG:BG,'PdI-crono_inv'!CF:CF,F905,'PdI-crono_inv'!CE:CE,H905,'PdI-crono_inv'!J:J,P905,'PdI-crono_inv'!P:P,"&lt;&gt;proprietario")</f>
        <v>0</v>
      </c>
      <c r="M905" s="2335">
        <f>+SUMIFS('PdI-crono_inv'!BH:BH,'PdI-crono_inv'!CF:CF,F905,'PdI-crono_inv'!CE:CE,H905,'PdI-crono_inv'!J:J,P905,'PdI-crono_inv'!P:P,"&lt;&gt;proprietario")+S905</f>
        <v>0</v>
      </c>
      <c r="P905" s="1013" t="s">
        <v>25481</v>
      </c>
      <c r="Q905" s="1932" t="str">
        <f>+VLOOKUP(F905,TT_Tabelle_Riferimento!$D$127:$E$164,2,FALSE)</f>
        <v>Comune</v>
      </c>
      <c r="R905" s="1932" t="str">
        <f t="shared" si="78"/>
        <v/>
      </c>
      <c r="S905" s="2335">
        <f t="shared" si="81"/>
        <v>0</v>
      </c>
    </row>
    <row r="906" spans="1:19">
      <c r="A906" s="1932">
        <f t="shared" si="79"/>
        <v>0</v>
      </c>
      <c r="B906" s="1932">
        <f t="shared" si="80"/>
        <v>0</v>
      </c>
      <c r="C906" s="1013" t="s">
        <v>245</v>
      </c>
      <c r="D906" s="1013">
        <v>0</v>
      </c>
      <c r="E906" s="1013" t="s">
        <v>22698</v>
      </c>
      <c r="F906" s="1013">
        <v>29</v>
      </c>
      <c r="G906" s="1932" t="str">
        <f>+VLOOKUP(F906,TT_Tabelle_Riferimento!$D$127:$G$164,4,FALSE)</f>
        <v>Laboratori e attrezzature</v>
      </c>
      <c r="H906" s="1013">
        <v>3</v>
      </c>
      <c r="I906" s="1932" t="str">
        <f>+VLOOKUP(H906,TT_Tabelle_Riferimento!$F$3:$G$6,2,FALSE)</f>
        <v>Altri servizi idrici</v>
      </c>
      <c r="J906" s="1013">
        <v>2028</v>
      </c>
      <c r="K906" s="2335">
        <f>+SUMIFS('PdI-crono_inv'!BG:BG,'PdI-crono_inv'!CF:CF,F906,'PdI-crono_inv'!CE:CE,H906,'PdI-crono_inv'!J:J,P906,'PdI-crono_inv'!P:P,"&lt;&gt;proprietario")</f>
        <v>0</v>
      </c>
      <c r="M906" s="2335">
        <f>+SUMIFS('PdI-crono_inv'!BH:BH,'PdI-crono_inv'!CF:CF,F906,'PdI-crono_inv'!CE:CE,H906,'PdI-crono_inv'!J:J,P906,'PdI-crono_inv'!P:P,"&lt;&gt;proprietario")+S906</f>
        <v>0</v>
      </c>
      <c r="P906" s="1013" t="s">
        <v>25481</v>
      </c>
      <c r="Q906" s="1932" t="str">
        <f>+VLOOKUP(F906,TT_Tabelle_Riferimento!$D$127:$E$164,2,FALSE)</f>
        <v>Comune</v>
      </c>
      <c r="R906" s="1932" t="str">
        <f t="shared" si="78"/>
        <v/>
      </c>
      <c r="S906" s="2335">
        <f t="shared" si="81"/>
        <v>0</v>
      </c>
    </row>
    <row r="907" spans="1:19">
      <c r="A907" s="1932">
        <f t="shared" si="79"/>
        <v>0</v>
      </c>
      <c r="B907" s="1932">
        <f t="shared" si="80"/>
        <v>0</v>
      </c>
      <c r="C907" s="1013" t="s">
        <v>245</v>
      </c>
      <c r="D907" s="1013">
        <v>0</v>
      </c>
      <c r="E907" s="1013" t="s">
        <v>22698</v>
      </c>
      <c r="F907" s="1013">
        <v>30</v>
      </c>
      <c r="G907" s="1932" t="str">
        <f>+VLOOKUP(F907,TT_Tabelle_Riferimento!$D$127:$G$164,4,FALSE)</f>
        <v>Sistemi informativi</v>
      </c>
      <c r="H907" s="1013">
        <v>3</v>
      </c>
      <c r="I907" s="1932" t="str">
        <f>+VLOOKUP(H907,TT_Tabelle_Riferimento!$F$3:$G$6,2,FALSE)</f>
        <v>Altri servizi idrici</v>
      </c>
      <c r="J907" s="1013">
        <v>2028</v>
      </c>
      <c r="K907" s="2335">
        <f>+SUMIFS('PdI-crono_inv'!BG:BG,'PdI-crono_inv'!CF:CF,F907,'PdI-crono_inv'!CE:CE,H907,'PdI-crono_inv'!J:J,P907,'PdI-crono_inv'!P:P,"&lt;&gt;proprietario")</f>
        <v>0</v>
      </c>
      <c r="M907" s="2335">
        <f>+SUMIFS('PdI-crono_inv'!BH:BH,'PdI-crono_inv'!CF:CF,F907,'PdI-crono_inv'!CE:CE,H907,'PdI-crono_inv'!J:J,P907,'PdI-crono_inv'!P:P,"&lt;&gt;proprietario")+S907</f>
        <v>0</v>
      </c>
      <c r="P907" s="1013" t="s">
        <v>25481</v>
      </c>
      <c r="Q907" s="1932" t="str">
        <f>+VLOOKUP(F907,TT_Tabelle_Riferimento!$D$127:$E$164,2,FALSE)</f>
        <v>Comune</v>
      </c>
      <c r="R907" s="1932" t="str">
        <f t="shared" si="78"/>
        <v/>
      </c>
      <c r="S907" s="2335">
        <f t="shared" si="81"/>
        <v>0</v>
      </c>
    </row>
    <row r="908" spans="1:19">
      <c r="A908" s="1932">
        <f t="shared" si="79"/>
        <v>0</v>
      </c>
      <c r="B908" s="1932">
        <f t="shared" si="80"/>
        <v>0</v>
      </c>
      <c r="C908" s="1013" t="s">
        <v>245</v>
      </c>
      <c r="D908" s="1013">
        <v>0</v>
      </c>
      <c r="E908" s="1013" t="s">
        <v>22698</v>
      </c>
      <c r="F908" s="1013">
        <v>31</v>
      </c>
      <c r="G908" s="1932" t="str">
        <f>+VLOOKUP(F908,TT_Tabelle_Riferimento!$D$127:$G$164,4,FALSE)</f>
        <v>Telecontrollo e teletrasmissione</v>
      </c>
      <c r="H908" s="1013">
        <v>3</v>
      </c>
      <c r="I908" s="1932" t="str">
        <f>+VLOOKUP(H908,TT_Tabelle_Riferimento!$F$3:$G$6,2,FALSE)</f>
        <v>Altri servizi idrici</v>
      </c>
      <c r="J908" s="1013">
        <v>2028</v>
      </c>
      <c r="K908" s="2335">
        <f>+SUMIFS('PdI-crono_inv'!BG:BG,'PdI-crono_inv'!CF:CF,F908,'PdI-crono_inv'!CE:CE,H908,'PdI-crono_inv'!J:J,P908,'PdI-crono_inv'!P:P,"&lt;&gt;proprietario")</f>
        <v>0</v>
      </c>
      <c r="M908" s="2335">
        <f>+SUMIFS('PdI-crono_inv'!BH:BH,'PdI-crono_inv'!CF:CF,F908,'PdI-crono_inv'!CE:CE,H908,'PdI-crono_inv'!J:J,P908,'PdI-crono_inv'!P:P,"&lt;&gt;proprietario")+S908</f>
        <v>0</v>
      </c>
      <c r="P908" s="1013" t="s">
        <v>25481</v>
      </c>
      <c r="Q908" s="1932" t="str">
        <f>+VLOOKUP(F908,TT_Tabelle_Riferimento!$D$127:$E$164,2,FALSE)</f>
        <v>Comune</v>
      </c>
      <c r="R908" s="1932" t="str">
        <f t="shared" si="78"/>
        <v/>
      </c>
      <c r="S908" s="2335">
        <f t="shared" si="81"/>
        <v>0</v>
      </c>
    </row>
    <row r="909" spans="1:19">
      <c r="A909" s="1932">
        <f t="shared" si="79"/>
        <v>0</v>
      </c>
      <c r="B909" s="1932">
        <f t="shared" si="80"/>
        <v>0</v>
      </c>
      <c r="C909" s="1013" t="s">
        <v>245</v>
      </c>
      <c r="D909" s="1013">
        <v>0</v>
      </c>
      <c r="E909" s="1013" t="s">
        <v>22698</v>
      </c>
      <c r="F909" s="1013">
        <v>32</v>
      </c>
      <c r="G909" s="1932" t="str">
        <f>+VLOOKUP(F909,TT_Tabelle_Riferimento!$D$127:$G$164,4,FALSE)</f>
        <v>Autoveicoli - automezzi</v>
      </c>
      <c r="H909" s="1013">
        <v>3</v>
      </c>
      <c r="I909" s="1932" t="str">
        <f>+VLOOKUP(H909,TT_Tabelle_Riferimento!$F$3:$G$6,2,FALSE)</f>
        <v>Altri servizi idrici</v>
      </c>
      <c r="J909" s="1013">
        <v>2028</v>
      </c>
      <c r="K909" s="2335">
        <f>+SUMIFS('PdI-crono_inv'!BG:BG,'PdI-crono_inv'!CF:CF,F909,'PdI-crono_inv'!CE:CE,H909,'PdI-crono_inv'!J:J,P909,'PdI-crono_inv'!P:P,"&lt;&gt;proprietario")</f>
        <v>0</v>
      </c>
      <c r="M909" s="2335">
        <f>+SUMIFS('PdI-crono_inv'!BH:BH,'PdI-crono_inv'!CF:CF,F909,'PdI-crono_inv'!CE:CE,H909,'PdI-crono_inv'!J:J,P909,'PdI-crono_inv'!P:P,"&lt;&gt;proprietario")+S909</f>
        <v>0</v>
      </c>
      <c r="P909" s="1013" t="s">
        <v>25481</v>
      </c>
      <c r="Q909" s="1932" t="str">
        <f>+VLOOKUP(F909,TT_Tabelle_Riferimento!$D$127:$E$164,2,FALSE)</f>
        <v>Comune</v>
      </c>
      <c r="R909" s="1932" t="str">
        <f t="shared" si="78"/>
        <v/>
      </c>
      <c r="S909" s="2335">
        <f t="shared" si="81"/>
        <v>0</v>
      </c>
    </row>
    <row r="910" spans="1:19">
      <c r="A910" s="1932">
        <f t="shared" si="79"/>
        <v>0</v>
      </c>
      <c r="B910" s="1932">
        <f t="shared" si="80"/>
        <v>0</v>
      </c>
      <c r="C910" s="1013" t="s">
        <v>245</v>
      </c>
      <c r="D910" s="1013">
        <v>0</v>
      </c>
      <c r="E910" s="1013" t="s">
        <v>22698</v>
      </c>
      <c r="F910" s="1013">
        <v>1</v>
      </c>
      <c r="G910" s="1932" t="str">
        <f>+VLOOKUP(F910,TT_Tabelle_Riferimento!$D$127:$G$164,4,FALSE)</f>
        <v>Terreni</v>
      </c>
      <c r="H910" s="1013">
        <v>3</v>
      </c>
      <c r="I910" s="1932" t="str">
        <f>+VLOOKUP(H910,TT_Tabelle_Riferimento!$F$3:$G$6,2,FALSE)</f>
        <v>Altri servizi idrici</v>
      </c>
      <c r="J910" s="1013">
        <v>2028</v>
      </c>
      <c r="K910" s="2335">
        <f>+SUMIFS('PdI-crono_inv'!BG:BG,'PdI-crono_inv'!CF:CF,F910,'PdI-crono_inv'!CE:CE,H910,'PdI-crono_inv'!J:J,P910,'PdI-crono_inv'!P:P,"&lt;&gt;proprietario")</f>
        <v>0</v>
      </c>
      <c r="M910" s="2335">
        <f>+SUMIFS('PdI-crono_inv'!BH:BH,'PdI-crono_inv'!CF:CF,F910,'PdI-crono_inv'!CE:CE,H910,'PdI-crono_inv'!J:J,P910,'PdI-crono_inv'!P:P,"&lt;&gt;proprietario")+S910</f>
        <v>0</v>
      </c>
      <c r="P910" s="1013" t="s">
        <v>25481</v>
      </c>
      <c r="Q910" s="1932" t="str">
        <f>+VLOOKUP(F910,TT_Tabelle_Riferimento!$D$127:$E$164,2,FALSE)</f>
        <v>Comune</v>
      </c>
      <c r="R910" s="1932" t="str">
        <f t="shared" si="78"/>
        <v/>
      </c>
      <c r="S910" s="2335">
        <f t="shared" si="81"/>
        <v>0</v>
      </c>
    </row>
    <row r="911" spans="1:19">
      <c r="A911" s="1932">
        <f t="shared" si="79"/>
        <v>0</v>
      </c>
      <c r="B911" s="1932">
        <f t="shared" si="80"/>
        <v>0</v>
      </c>
      <c r="C911" s="1013" t="s">
        <v>245</v>
      </c>
      <c r="D911" s="1013">
        <v>0</v>
      </c>
      <c r="E911" s="1013" t="s">
        <v>22698</v>
      </c>
      <c r="F911" s="1013">
        <v>33</v>
      </c>
      <c r="G911" s="1932" t="str">
        <f>+VLOOKUP(F911,TT_Tabelle_Riferimento!$D$127:$G$164,4,FALSE)</f>
        <v>Fabbricati non industriali</v>
      </c>
      <c r="H911" s="1013">
        <v>3</v>
      </c>
      <c r="I911" s="1932" t="str">
        <f>+VLOOKUP(H911,TT_Tabelle_Riferimento!$F$3:$G$6,2,FALSE)</f>
        <v>Altri servizi idrici</v>
      </c>
      <c r="J911" s="1013">
        <v>2028</v>
      </c>
      <c r="K911" s="2335">
        <f>+SUMIFS('PdI-crono_inv'!BG:BG,'PdI-crono_inv'!CF:CF,F911,'PdI-crono_inv'!CE:CE,H911,'PdI-crono_inv'!J:J,P911,'PdI-crono_inv'!P:P,"&lt;&gt;proprietario")</f>
        <v>0</v>
      </c>
      <c r="M911" s="2335">
        <f>+SUMIFS('PdI-crono_inv'!BH:BH,'PdI-crono_inv'!CF:CF,F911,'PdI-crono_inv'!CE:CE,H911,'PdI-crono_inv'!J:J,P911,'PdI-crono_inv'!P:P,"&lt;&gt;proprietario")+S911</f>
        <v>0</v>
      </c>
      <c r="P911" s="1013" t="s">
        <v>25481</v>
      </c>
      <c r="Q911" s="1932" t="str">
        <f>+VLOOKUP(F911,TT_Tabelle_Riferimento!$D$127:$E$164,2,FALSE)</f>
        <v>Comune</v>
      </c>
      <c r="R911" s="1932" t="str">
        <f t="shared" si="78"/>
        <v/>
      </c>
      <c r="S911" s="2335">
        <f t="shared" si="81"/>
        <v>0</v>
      </c>
    </row>
    <row r="912" spans="1:19">
      <c r="A912" s="1932">
        <f t="shared" si="79"/>
        <v>0</v>
      </c>
      <c r="B912" s="1932">
        <f t="shared" si="80"/>
        <v>0</v>
      </c>
      <c r="C912" s="1013" t="s">
        <v>245</v>
      </c>
      <c r="D912" s="1013">
        <v>0</v>
      </c>
      <c r="E912" s="1013" t="s">
        <v>22698</v>
      </c>
      <c r="F912" s="1013">
        <v>34</v>
      </c>
      <c r="G912" s="1932" t="str">
        <f>+VLOOKUP(F912,TT_Tabelle_Riferimento!$D$127:$G$164,4,FALSE)</f>
        <v>Fabbricati industriali</v>
      </c>
      <c r="H912" s="1013">
        <v>3</v>
      </c>
      <c r="I912" s="1932" t="str">
        <f>+VLOOKUP(H912,TT_Tabelle_Riferimento!$F$3:$G$6,2,FALSE)</f>
        <v>Altri servizi idrici</v>
      </c>
      <c r="J912" s="1013">
        <v>2028</v>
      </c>
      <c r="K912" s="2335">
        <f>+SUMIFS('PdI-crono_inv'!BG:BG,'PdI-crono_inv'!CF:CF,F912,'PdI-crono_inv'!CE:CE,H912,'PdI-crono_inv'!J:J,P912,'PdI-crono_inv'!P:P,"&lt;&gt;proprietario")</f>
        <v>0</v>
      </c>
      <c r="M912" s="2335">
        <f>+SUMIFS('PdI-crono_inv'!BH:BH,'PdI-crono_inv'!CF:CF,F912,'PdI-crono_inv'!CE:CE,H912,'PdI-crono_inv'!J:J,P912,'PdI-crono_inv'!P:P,"&lt;&gt;proprietario")+S912</f>
        <v>0</v>
      </c>
      <c r="P912" s="1013" t="s">
        <v>25481</v>
      </c>
      <c r="Q912" s="1932" t="str">
        <f>+VLOOKUP(F912,TT_Tabelle_Riferimento!$D$127:$E$164,2,FALSE)</f>
        <v>Comune</v>
      </c>
      <c r="R912" s="1932" t="str">
        <f t="shared" si="78"/>
        <v/>
      </c>
      <c r="S912" s="2335">
        <f t="shared" si="81"/>
        <v>0</v>
      </c>
    </row>
    <row r="913" spans="1:19">
      <c r="A913" s="1932">
        <f t="shared" si="79"/>
        <v>0</v>
      </c>
      <c r="B913" s="1932">
        <f t="shared" si="80"/>
        <v>0</v>
      </c>
      <c r="C913" s="1013" t="s">
        <v>245</v>
      </c>
      <c r="D913" s="1013">
        <v>0</v>
      </c>
      <c r="E913" s="1013" t="s">
        <v>22698</v>
      </c>
      <c r="F913" s="1013">
        <v>35</v>
      </c>
      <c r="G913" s="1932" t="str">
        <f>+VLOOKUP(F913,TT_Tabelle_Riferimento!$D$127:$G$164,4,FALSE)</f>
        <v>Costruzioni leggere</v>
      </c>
      <c r="H913" s="1013">
        <v>3</v>
      </c>
      <c r="I913" s="1932" t="str">
        <f>+VLOOKUP(H913,TT_Tabelle_Riferimento!$F$3:$G$6,2,FALSE)</f>
        <v>Altri servizi idrici</v>
      </c>
      <c r="J913" s="1013">
        <v>2028</v>
      </c>
      <c r="K913" s="2335">
        <f>+SUMIFS('PdI-crono_inv'!BG:BG,'PdI-crono_inv'!CF:CF,F913,'PdI-crono_inv'!CE:CE,H913,'PdI-crono_inv'!J:J,P913,'PdI-crono_inv'!P:P,"&lt;&gt;proprietario")</f>
        <v>0</v>
      </c>
      <c r="M913" s="2335">
        <f>+SUMIFS('PdI-crono_inv'!BH:BH,'PdI-crono_inv'!CF:CF,F913,'PdI-crono_inv'!CE:CE,H913,'PdI-crono_inv'!J:J,P913,'PdI-crono_inv'!P:P,"&lt;&gt;proprietario")+S913</f>
        <v>0</v>
      </c>
      <c r="P913" s="1013" t="s">
        <v>25481</v>
      </c>
      <c r="Q913" s="1932" t="str">
        <f>+VLOOKUP(F913,TT_Tabelle_Riferimento!$D$127:$E$164,2,FALSE)</f>
        <v>Comune</v>
      </c>
      <c r="R913" s="1932" t="str">
        <f t="shared" si="78"/>
        <v/>
      </c>
      <c r="S913" s="2335">
        <f t="shared" si="81"/>
        <v>0</v>
      </c>
    </row>
    <row r="914" spans="1:19">
      <c r="A914" s="1932">
        <f t="shared" si="79"/>
        <v>0</v>
      </c>
      <c r="B914" s="1932">
        <f t="shared" si="80"/>
        <v>0</v>
      </c>
      <c r="C914" s="1013" t="s">
        <v>245</v>
      </c>
      <c r="D914" s="1013">
        <v>0</v>
      </c>
      <c r="E914" s="1013" t="s">
        <v>22698</v>
      </c>
      <c r="F914" s="1013">
        <v>36</v>
      </c>
      <c r="G914" s="1932" t="str">
        <f>+VLOOKUP(F914,TT_Tabelle_Riferimento!$D$127:$G$164,4,FALSE)</f>
        <v>Studi, ricerche, brevetti, diritti di utilizzazione</v>
      </c>
      <c r="H914" s="1013">
        <v>3</v>
      </c>
      <c r="I914" s="1932" t="str">
        <f>+VLOOKUP(H914,TT_Tabelle_Riferimento!$F$3:$G$6,2,FALSE)</f>
        <v>Altri servizi idrici</v>
      </c>
      <c r="J914" s="1013">
        <v>2028</v>
      </c>
      <c r="K914" s="2335">
        <f>+SUMIFS('PdI-crono_inv'!BG:BG,'PdI-crono_inv'!CF:CF,F914,'PdI-crono_inv'!CE:CE,H914,'PdI-crono_inv'!J:J,P914,'PdI-crono_inv'!P:P,"&lt;&gt;proprietario")</f>
        <v>0</v>
      </c>
      <c r="M914" s="2335">
        <f>+SUMIFS('PdI-crono_inv'!BH:BH,'PdI-crono_inv'!CF:CF,F914,'PdI-crono_inv'!CE:CE,H914,'PdI-crono_inv'!J:J,P914,'PdI-crono_inv'!P:P,"&lt;&gt;proprietario")+S914</f>
        <v>0</v>
      </c>
      <c r="P914" s="1013" t="s">
        <v>25481</v>
      </c>
      <c r="Q914" s="1932" t="str">
        <f>+VLOOKUP(F914,TT_Tabelle_Riferimento!$D$127:$E$164,2,FALSE)</f>
        <v>Comune</v>
      </c>
      <c r="R914" s="1932" t="str">
        <f t="shared" si="78"/>
        <v/>
      </c>
      <c r="S914" s="2335">
        <f t="shared" si="81"/>
        <v>0</v>
      </c>
    </row>
    <row r="915" spans="1:19">
      <c r="A915" s="1932">
        <f t="shared" si="79"/>
        <v>0</v>
      </c>
      <c r="B915" s="1932">
        <f t="shared" si="80"/>
        <v>0</v>
      </c>
      <c r="C915" s="1013" t="s">
        <v>245</v>
      </c>
      <c r="D915" s="1013">
        <v>0</v>
      </c>
      <c r="E915" s="1013" t="s">
        <v>22698</v>
      </c>
      <c r="F915" s="1013">
        <v>37</v>
      </c>
      <c r="G915" s="1932" t="str">
        <f>+VLOOKUP(F915,TT_Tabelle_Riferimento!$D$127:$G$164,4,FALSE)</f>
        <v>Altre immobilizzazioni materiali e immateriali</v>
      </c>
      <c r="H915" s="1013">
        <v>3</v>
      </c>
      <c r="I915" s="1932" t="str">
        <f>+VLOOKUP(H915,TT_Tabelle_Riferimento!$F$3:$G$6,2,FALSE)</f>
        <v>Altri servizi idrici</v>
      </c>
      <c r="J915" s="1013">
        <v>2028</v>
      </c>
      <c r="K915" s="2335">
        <f>+SUMIFS('PdI-crono_inv'!BG:BG,'PdI-crono_inv'!CF:CF,F915,'PdI-crono_inv'!CE:CE,H915,'PdI-crono_inv'!J:J,P915,'PdI-crono_inv'!P:P,"&lt;&gt;proprietario")</f>
        <v>0</v>
      </c>
      <c r="M915" s="2335">
        <f>+SUMIFS('PdI-crono_inv'!BH:BH,'PdI-crono_inv'!CF:CF,F915,'PdI-crono_inv'!CE:CE,H915,'PdI-crono_inv'!J:J,P915,'PdI-crono_inv'!P:P,"&lt;&gt;proprietario")+S915</f>
        <v>0</v>
      </c>
      <c r="P915" s="1013" t="s">
        <v>25481</v>
      </c>
      <c r="Q915" s="1932" t="str">
        <f>+VLOOKUP(F915,TT_Tabelle_Riferimento!$D$127:$E$164,2,FALSE)</f>
        <v>Comune</v>
      </c>
      <c r="R915" s="1932" t="str">
        <f t="shared" si="78"/>
        <v/>
      </c>
      <c r="S915" s="2335">
        <f t="shared" si="81"/>
        <v>0</v>
      </c>
    </row>
    <row r="916" spans="1:19">
      <c r="A916" s="1932">
        <f t="shared" si="79"/>
        <v>0</v>
      </c>
      <c r="B916" s="1932">
        <f t="shared" si="80"/>
        <v>0</v>
      </c>
      <c r="C916" s="1013" t="s">
        <v>245</v>
      </c>
      <c r="D916" s="1013">
        <v>0</v>
      </c>
      <c r="E916" s="1013" t="s">
        <v>22698</v>
      </c>
      <c r="F916" s="1013">
        <v>38</v>
      </c>
      <c r="G916" s="1932" t="str">
        <f>+VLOOKUP(F916,TT_Tabelle_Riferimento!$D$127:$G$164,4,FALSE)</f>
        <v>Grandi dighe (sbarramenti che superano i quindici metri di altezza o che determinano un invaso superiore a 1 milione di metri cubi)</v>
      </c>
      <c r="H916" s="1013">
        <v>3</v>
      </c>
      <c r="I916" s="1932" t="str">
        <f>+VLOOKUP(H916,TT_Tabelle_Riferimento!$F$3:$G$6,2,FALSE)</f>
        <v>Altri servizi idrici</v>
      </c>
      <c r="J916" s="1013">
        <v>2028</v>
      </c>
      <c r="K916" s="2335">
        <f>+SUMIFS('PdI-crono_inv'!BG:BG,'PdI-crono_inv'!CF:CF,F916,'PdI-crono_inv'!CE:CE,H916,'PdI-crono_inv'!J:J,P916,'PdI-crono_inv'!P:P,"&lt;&gt;proprietario")</f>
        <v>0</v>
      </c>
      <c r="M916" s="2335">
        <f>+SUMIFS('PdI-crono_inv'!BH:BH,'PdI-crono_inv'!CF:CF,F916,'PdI-crono_inv'!CE:CE,H916,'PdI-crono_inv'!J:J,P916,'PdI-crono_inv'!P:P,"&lt;&gt;proprietario")+S916</f>
        <v>0</v>
      </c>
      <c r="P916" s="1013" t="s">
        <v>25481</v>
      </c>
      <c r="Q916" s="1932" t="str">
        <f>+VLOOKUP(F916,TT_Tabelle_Riferimento!$D$127:$E$164,2,FALSE)</f>
        <v>Acquedotto</v>
      </c>
      <c r="R916" s="1932" t="str">
        <f t="shared" si="78"/>
        <v/>
      </c>
      <c r="S916" s="2335">
        <f t="shared" si="81"/>
        <v>0</v>
      </c>
    </row>
    <row r="917" spans="1:19">
      <c r="A917" s="1932">
        <f t="shared" si="79"/>
        <v>0</v>
      </c>
      <c r="B917" s="1932">
        <f t="shared" si="80"/>
        <v>0</v>
      </c>
      <c r="C917" s="1013" t="s">
        <v>245</v>
      </c>
      <c r="D917" s="1013">
        <v>0</v>
      </c>
      <c r="E917" s="1013" t="s">
        <v>22698</v>
      </c>
      <c r="F917" s="1013">
        <v>39</v>
      </c>
      <c r="G917" s="1932" t="str">
        <f>+VLOOKUP(F917,TT_Tabelle_Riferimento!$D$127:$G$164,4,FALSE)</f>
        <v>Piccole dighe (sbarramenti che non superano i quindici metri di altezza o che determinano un invaso non superiore a 1 milione di metri cubi)</v>
      </c>
      <c r="H917" s="1013">
        <v>3</v>
      </c>
      <c r="I917" s="1932" t="str">
        <f>+VLOOKUP(H917,TT_Tabelle_Riferimento!$F$3:$G$6,2,FALSE)</f>
        <v>Altri servizi idrici</v>
      </c>
      <c r="J917" s="1013">
        <v>2028</v>
      </c>
      <c r="K917" s="2335">
        <f>+SUMIFS('PdI-crono_inv'!BG:BG,'PdI-crono_inv'!CF:CF,F917,'PdI-crono_inv'!CE:CE,H917,'PdI-crono_inv'!J:J,P917,'PdI-crono_inv'!P:P,"&lt;&gt;proprietario")</f>
        <v>0</v>
      </c>
      <c r="M917" s="2335">
        <f>+SUMIFS('PdI-crono_inv'!BH:BH,'PdI-crono_inv'!CF:CF,F917,'PdI-crono_inv'!CE:CE,H917,'PdI-crono_inv'!J:J,P917,'PdI-crono_inv'!P:P,"&lt;&gt;proprietario")+S917</f>
        <v>0</v>
      </c>
      <c r="P917" s="1013" t="s">
        <v>25481</v>
      </c>
      <c r="Q917" s="1932" t="str">
        <f>+VLOOKUP(F917,TT_Tabelle_Riferimento!$D$127:$E$164,2,FALSE)</f>
        <v>Acquedotto</v>
      </c>
      <c r="R917" s="1932" t="str">
        <f t="shared" si="78"/>
        <v/>
      </c>
      <c r="S917" s="2335">
        <f t="shared" si="81"/>
        <v>0</v>
      </c>
    </row>
    <row r="918" spans="1:19">
      <c r="A918" s="1932">
        <f t="shared" si="79"/>
        <v>0</v>
      </c>
      <c r="B918" s="1932">
        <f t="shared" si="80"/>
        <v>0</v>
      </c>
      <c r="C918" s="1013" t="s">
        <v>245</v>
      </c>
      <c r="D918" s="1013">
        <v>0</v>
      </c>
      <c r="E918" s="1013" t="s">
        <v>22698</v>
      </c>
      <c r="F918" s="1013">
        <v>2</v>
      </c>
      <c r="G918" s="1932" t="str">
        <f>+VLOOKUP(F918,TT_Tabelle_Riferimento!$D$127:$G$164,4,FALSE)</f>
        <v>Condotte di acquedotto</v>
      </c>
      <c r="H918" s="1013">
        <v>1</v>
      </c>
      <c r="I918" s="1932" t="str">
        <f>+VLOOKUP(H918,TT_Tabelle_Riferimento!$F$3:$G$6,2,FALSE)</f>
        <v>Servizio idrico integrato</v>
      </c>
      <c r="J918" s="1013">
        <v>2028</v>
      </c>
      <c r="K918" s="2335">
        <f>+SUMIFS('PdI-crono_inv'!BG:BG,'PdI-crono_inv'!CF:CF,F918,'PdI-crono_inv'!CE:CE,H918,'PdI-crono_inv'!J:J,P918,'PdI-crono_inv'!P:P,"&lt;&gt;proprietario")</f>
        <v>0</v>
      </c>
      <c r="M918" s="2335">
        <f>+SUMIFS('PdI-crono_inv'!BH:BH,'PdI-crono_inv'!CF:CF,F918,'PdI-crono_inv'!CE:CE,H918,'PdI-crono_inv'!J:J,P918,'PdI-crono_inv'!P:P,"&lt;&gt;proprietario")+S918</f>
        <v>0</v>
      </c>
      <c r="P918" s="1013" t="s">
        <v>27068</v>
      </c>
      <c r="Q918" s="1932" t="str">
        <f>+VLOOKUP(F918,TT_Tabelle_Riferimento!$D$127:$E$164,2,FALSE)</f>
        <v>Acquedotto</v>
      </c>
      <c r="R918" s="1932" t="str">
        <f t="shared" si="78"/>
        <v/>
      </c>
      <c r="S918" s="2335">
        <f t="shared" si="81"/>
        <v>0</v>
      </c>
    </row>
    <row r="919" spans="1:19">
      <c r="A919" s="1932">
        <f t="shared" si="79"/>
        <v>0</v>
      </c>
      <c r="B919" s="1932">
        <f t="shared" si="80"/>
        <v>0</v>
      </c>
      <c r="C919" s="1013" t="s">
        <v>245</v>
      </c>
      <c r="D919" s="1013">
        <v>0</v>
      </c>
      <c r="E919" s="1013" t="s">
        <v>22698</v>
      </c>
      <c r="F919" s="1013">
        <v>3</v>
      </c>
      <c r="G919" s="1932" t="str">
        <f>+VLOOKUP(F919,TT_Tabelle_Riferimento!$D$127:$G$164,4,FALSE)</f>
        <v>Opere idrauliche fisse di acquedotto</v>
      </c>
      <c r="H919" s="1013">
        <v>1</v>
      </c>
      <c r="I919" s="1932" t="str">
        <f>+VLOOKUP(H919,TT_Tabelle_Riferimento!$F$3:$G$6,2,FALSE)</f>
        <v>Servizio idrico integrato</v>
      </c>
      <c r="J919" s="1013">
        <v>2028</v>
      </c>
      <c r="K919" s="2335">
        <f>+SUMIFS('PdI-crono_inv'!BG:BG,'PdI-crono_inv'!CF:CF,F919,'PdI-crono_inv'!CE:CE,H919,'PdI-crono_inv'!J:J,P919,'PdI-crono_inv'!P:P,"&lt;&gt;proprietario")</f>
        <v>0</v>
      </c>
      <c r="M919" s="2335">
        <f>+SUMIFS('PdI-crono_inv'!BH:BH,'PdI-crono_inv'!CF:CF,F919,'PdI-crono_inv'!CE:CE,H919,'PdI-crono_inv'!J:J,P919,'PdI-crono_inv'!P:P,"&lt;&gt;proprietario")+S919</f>
        <v>0</v>
      </c>
      <c r="P919" s="1013" t="s">
        <v>27068</v>
      </c>
      <c r="Q919" s="1932" t="str">
        <f>+VLOOKUP(F919,TT_Tabelle_Riferimento!$D$127:$E$164,2,FALSE)</f>
        <v>Acquedotto</v>
      </c>
      <c r="R919" s="1932" t="str">
        <f t="shared" si="78"/>
        <v/>
      </c>
      <c r="S919" s="2335">
        <f t="shared" si="81"/>
        <v>0</v>
      </c>
    </row>
    <row r="920" spans="1:19">
      <c r="A920" s="1932">
        <f t="shared" si="79"/>
        <v>0</v>
      </c>
      <c r="B920" s="1932">
        <f t="shared" si="80"/>
        <v>0</v>
      </c>
      <c r="C920" s="1013" t="s">
        <v>245</v>
      </c>
      <c r="D920" s="1013">
        <v>0</v>
      </c>
      <c r="E920" s="1013" t="s">
        <v>22698</v>
      </c>
      <c r="F920" s="1013">
        <v>4</v>
      </c>
      <c r="G920" s="1932" t="str">
        <f>+VLOOKUP(F920,TT_Tabelle_Riferimento!$D$127:$G$164,4,FALSE)</f>
        <v>Serbatoi</v>
      </c>
      <c r="H920" s="1013">
        <v>1</v>
      </c>
      <c r="I920" s="1932" t="str">
        <f>+VLOOKUP(H920,TT_Tabelle_Riferimento!$F$3:$G$6,2,FALSE)</f>
        <v>Servizio idrico integrato</v>
      </c>
      <c r="J920" s="1013">
        <v>2028</v>
      </c>
      <c r="K920" s="2335">
        <f>+SUMIFS('PdI-crono_inv'!BG:BG,'PdI-crono_inv'!CF:CF,F920,'PdI-crono_inv'!CE:CE,H920,'PdI-crono_inv'!J:J,P920,'PdI-crono_inv'!P:P,"&lt;&gt;proprietario")</f>
        <v>0</v>
      </c>
      <c r="M920" s="2335">
        <f>+SUMIFS('PdI-crono_inv'!BH:BH,'PdI-crono_inv'!CF:CF,F920,'PdI-crono_inv'!CE:CE,H920,'PdI-crono_inv'!J:J,P920,'PdI-crono_inv'!P:P,"&lt;&gt;proprietario")+S920</f>
        <v>0</v>
      </c>
      <c r="P920" s="1013" t="s">
        <v>27068</v>
      </c>
      <c r="Q920" s="1932" t="str">
        <f>+VLOOKUP(F920,TT_Tabelle_Riferimento!$D$127:$E$164,2,FALSE)</f>
        <v>Acquedotto</v>
      </c>
      <c r="R920" s="1932" t="str">
        <f t="shared" ref="R920:R983" si="82">+IF(SUM(K920:N920)=0,"","PdI_consolidamento")</f>
        <v/>
      </c>
      <c r="S920" s="2335">
        <f t="shared" si="81"/>
        <v>0</v>
      </c>
    </row>
    <row r="921" spans="1:19">
      <c r="A921" s="1932">
        <f t="shared" si="79"/>
        <v>0</v>
      </c>
      <c r="B921" s="1932">
        <f t="shared" si="80"/>
        <v>0</v>
      </c>
      <c r="C921" s="1013" t="s">
        <v>245</v>
      </c>
      <c r="D921" s="1013">
        <v>0</v>
      </c>
      <c r="E921" s="1013" t="s">
        <v>22698</v>
      </c>
      <c r="F921" s="1013">
        <v>5</v>
      </c>
      <c r="G921" s="1932" t="str">
        <f>+VLOOKUP(F921,TT_Tabelle_Riferimento!$D$127:$G$164,4,FALSE)</f>
        <v>Impianti di sollevamento e pompaggio di acquedotto</v>
      </c>
      <c r="H921" s="1013">
        <v>1</v>
      </c>
      <c r="I921" s="1932" t="str">
        <f>+VLOOKUP(H921,TT_Tabelle_Riferimento!$F$3:$G$6,2,FALSE)</f>
        <v>Servizio idrico integrato</v>
      </c>
      <c r="J921" s="1013">
        <v>2028</v>
      </c>
      <c r="K921" s="2335">
        <f>+SUMIFS('PdI-crono_inv'!BG:BG,'PdI-crono_inv'!CF:CF,F921,'PdI-crono_inv'!CE:CE,H921,'PdI-crono_inv'!J:J,P921,'PdI-crono_inv'!P:P,"&lt;&gt;proprietario")</f>
        <v>0</v>
      </c>
      <c r="M921" s="2335">
        <f>+SUMIFS('PdI-crono_inv'!BH:BH,'PdI-crono_inv'!CF:CF,F921,'PdI-crono_inv'!CE:CE,H921,'PdI-crono_inv'!J:J,P921,'PdI-crono_inv'!P:P,"&lt;&gt;proprietario")+S921</f>
        <v>0</v>
      </c>
      <c r="P921" s="1013" t="s">
        <v>27068</v>
      </c>
      <c r="Q921" s="1932" t="str">
        <f>+VLOOKUP(F921,TT_Tabelle_Riferimento!$D$127:$E$164,2,FALSE)</f>
        <v>Acquedotto</v>
      </c>
      <c r="R921" s="1932" t="str">
        <f t="shared" si="82"/>
        <v/>
      </c>
      <c r="S921" s="2335">
        <f t="shared" si="81"/>
        <v>0</v>
      </c>
    </row>
    <row r="922" spans="1:19">
      <c r="A922" s="1932">
        <f t="shared" si="79"/>
        <v>0</v>
      </c>
      <c r="B922" s="1932">
        <f t="shared" si="80"/>
        <v>0</v>
      </c>
      <c r="C922" s="1013" t="s">
        <v>245</v>
      </c>
      <c r="D922" s="1013">
        <v>0</v>
      </c>
      <c r="E922" s="1013" t="s">
        <v>22698</v>
      </c>
      <c r="F922" s="1013">
        <v>6</v>
      </c>
      <c r="G922" s="1932" t="str">
        <f>+VLOOKUP(F922,TT_Tabelle_Riferimento!$D$127:$G$164,4,FALSE)</f>
        <v>Impianti di potabilizzazione</v>
      </c>
      <c r="H922" s="1013">
        <v>1</v>
      </c>
      <c r="I922" s="1932" t="str">
        <f>+VLOOKUP(H922,TT_Tabelle_Riferimento!$F$3:$G$6,2,FALSE)</f>
        <v>Servizio idrico integrato</v>
      </c>
      <c r="J922" s="1013">
        <v>2028</v>
      </c>
      <c r="K922" s="2335">
        <f>+SUMIFS('PdI-crono_inv'!BG:BG,'PdI-crono_inv'!CF:CF,F922,'PdI-crono_inv'!CE:CE,H922,'PdI-crono_inv'!J:J,P922,'PdI-crono_inv'!P:P,"&lt;&gt;proprietario")</f>
        <v>0</v>
      </c>
      <c r="M922" s="2335">
        <f>+SUMIFS('PdI-crono_inv'!BH:BH,'PdI-crono_inv'!CF:CF,F922,'PdI-crono_inv'!CE:CE,H922,'PdI-crono_inv'!J:J,P922,'PdI-crono_inv'!P:P,"&lt;&gt;proprietario")+S922</f>
        <v>0</v>
      </c>
      <c r="P922" s="1013" t="s">
        <v>27068</v>
      </c>
      <c r="Q922" s="1932" t="str">
        <f>+VLOOKUP(F922,TT_Tabelle_Riferimento!$D$127:$E$164,2,FALSE)</f>
        <v>Acquedotto</v>
      </c>
      <c r="R922" s="1932" t="str">
        <f t="shared" si="82"/>
        <v/>
      </c>
      <c r="S922" s="2335">
        <f t="shared" si="81"/>
        <v>0</v>
      </c>
    </row>
    <row r="923" spans="1:19">
      <c r="A923" s="1932">
        <f t="shared" si="79"/>
        <v>0</v>
      </c>
      <c r="B923" s="1932">
        <f t="shared" si="80"/>
        <v>0</v>
      </c>
      <c r="C923" s="1013" t="s">
        <v>245</v>
      </c>
      <c r="D923" s="1013">
        <v>0</v>
      </c>
      <c r="E923" s="1013" t="s">
        <v>22698</v>
      </c>
      <c r="F923" s="1013">
        <v>7</v>
      </c>
      <c r="G923" s="1932" t="str">
        <f>+VLOOKUP(F923,TT_Tabelle_Riferimento!$D$127:$G$164,4,FALSE)</f>
        <v>Altri trattamenti di potabilizzazione (tra cui dispositivi di disinfezione, stacciatura, filtrazione, addolcimento)</v>
      </c>
      <c r="H923" s="1013">
        <v>1</v>
      </c>
      <c r="I923" s="1932" t="str">
        <f>+VLOOKUP(H923,TT_Tabelle_Riferimento!$F$3:$G$6,2,FALSE)</f>
        <v>Servizio idrico integrato</v>
      </c>
      <c r="J923" s="1013">
        <v>2028</v>
      </c>
      <c r="K923" s="2335">
        <f>+SUMIFS('PdI-crono_inv'!BG:BG,'PdI-crono_inv'!CF:CF,F923,'PdI-crono_inv'!CE:CE,H923,'PdI-crono_inv'!J:J,P923,'PdI-crono_inv'!P:P,"&lt;&gt;proprietario")</f>
        <v>0</v>
      </c>
      <c r="M923" s="2335">
        <f>+SUMIFS('PdI-crono_inv'!BH:BH,'PdI-crono_inv'!CF:CF,F923,'PdI-crono_inv'!CE:CE,H923,'PdI-crono_inv'!J:J,P923,'PdI-crono_inv'!P:P,"&lt;&gt;proprietario")+S923</f>
        <v>0</v>
      </c>
      <c r="P923" s="1013" t="s">
        <v>27068</v>
      </c>
      <c r="Q923" s="1932" t="str">
        <f>+VLOOKUP(F923,TT_Tabelle_Riferimento!$D$127:$E$164,2,FALSE)</f>
        <v>Acquedotto</v>
      </c>
      <c r="R923" s="1932" t="str">
        <f t="shared" si="82"/>
        <v/>
      </c>
      <c r="S923" s="2335">
        <f t="shared" si="81"/>
        <v>0</v>
      </c>
    </row>
    <row r="924" spans="1:19">
      <c r="A924" s="1932">
        <f t="shared" si="79"/>
        <v>0</v>
      </c>
      <c r="B924" s="1932">
        <f t="shared" si="80"/>
        <v>0</v>
      </c>
      <c r="C924" s="1013" t="s">
        <v>245</v>
      </c>
      <c r="D924" s="1013">
        <v>0</v>
      </c>
      <c r="E924" s="1013" t="s">
        <v>22698</v>
      </c>
      <c r="F924" s="1013">
        <v>8</v>
      </c>
      <c r="G924" s="1932" t="str">
        <f>+VLOOKUP(F924,TT_Tabelle_Riferimento!$D$127:$G$164,4,FALSE)</f>
        <v>Gruppi di misura - altre attrezzature di acquedotto</v>
      </c>
      <c r="H924" s="1013">
        <v>1</v>
      </c>
      <c r="I924" s="1932" t="str">
        <f>+VLOOKUP(H924,TT_Tabelle_Riferimento!$F$3:$G$6,2,FALSE)</f>
        <v>Servizio idrico integrato</v>
      </c>
      <c r="J924" s="1013">
        <v>2028</v>
      </c>
      <c r="K924" s="2335">
        <f>+SUMIFS('PdI-crono_inv'!BG:BG,'PdI-crono_inv'!CF:CF,F924,'PdI-crono_inv'!CE:CE,H924,'PdI-crono_inv'!J:J,P924,'PdI-crono_inv'!P:P,"&lt;&gt;proprietario")</f>
        <v>0</v>
      </c>
      <c r="M924" s="2335">
        <f>+SUMIFS('PdI-crono_inv'!BH:BH,'PdI-crono_inv'!CF:CF,F924,'PdI-crono_inv'!CE:CE,H924,'PdI-crono_inv'!J:J,P924,'PdI-crono_inv'!P:P,"&lt;&gt;proprietario")+S924</f>
        <v>0</v>
      </c>
      <c r="P924" s="1013" t="s">
        <v>27068</v>
      </c>
      <c r="Q924" s="1932" t="str">
        <f>+VLOOKUP(F924,TT_Tabelle_Riferimento!$D$127:$E$164,2,FALSE)</f>
        <v>Acquedotto</v>
      </c>
      <c r="R924" s="1932" t="str">
        <f t="shared" si="82"/>
        <v/>
      </c>
      <c r="S924" s="2335">
        <f t="shared" si="81"/>
        <v>0</v>
      </c>
    </row>
    <row r="925" spans="1:19">
      <c r="A925" s="1932">
        <f t="shared" si="79"/>
        <v>0</v>
      </c>
      <c r="B925" s="1932">
        <f t="shared" si="80"/>
        <v>0</v>
      </c>
      <c r="C925" s="1013" t="s">
        <v>245</v>
      </c>
      <c r="D925" s="1013">
        <v>0</v>
      </c>
      <c r="E925" s="1013" t="s">
        <v>22698</v>
      </c>
      <c r="F925" s="1013">
        <v>9</v>
      </c>
      <c r="G925" s="1932" t="str">
        <f>+VLOOKUP(F925,TT_Tabelle_Riferimento!$D$127:$G$164,4,FALSE)</f>
        <v>Sistemi informativi di acquedotto</v>
      </c>
      <c r="H925" s="1013">
        <v>1</v>
      </c>
      <c r="I925" s="1932" t="str">
        <f>+VLOOKUP(H925,TT_Tabelle_Riferimento!$F$3:$G$6,2,FALSE)</f>
        <v>Servizio idrico integrato</v>
      </c>
      <c r="J925" s="1013">
        <v>2028</v>
      </c>
      <c r="K925" s="2335">
        <f>+SUMIFS('PdI-crono_inv'!BG:BG,'PdI-crono_inv'!CF:CF,F925,'PdI-crono_inv'!CE:CE,H925,'PdI-crono_inv'!J:J,P925,'PdI-crono_inv'!P:P,"&lt;&gt;proprietario")</f>
        <v>0</v>
      </c>
      <c r="M925" s="2335">
        <f>+SUMIFS('PdI-crono_inv'!BH:BH,'PdI-crono_inv'!CF:CF,F925,'PdI-crono_inv'!CE:CE,H925,'PdI-crono_inv'!J:J,P925,'PdI-crono_inv'!P:P,"&lt;&gt;proprietario")+S925</f>
        <v>0</v>
      </c>
      <c r="P925" s="1013" t="s">
        <v>27068</v>
      </c>
      <c r="Q925" s="1932" t="str">
        <f>+VLOOKUP(F925,TT_Tabelle_Riferimento!$D$127:$E$164,2,FALSE)</f>
        <v>Acquedotto</v>
      </c>
      <c r="R925" s="1932" t="str">
        <f t="shared" si="82"/>
        <v/>
      </c>
      <c r="S925" s="2335">
        <f t="shared" si="81"/>
        <v>0</v>
      </c>
    </row>
    <row r="926" spans="1:19">
      <c r="A926" s="1932">
        <f t="shared" si="79"/>
        <v>0</v>
      </c>
      <c r="B926" s="1932">
        <f t="shared" si="80"/>
        <v>0</v>
      </c>
      <c r="C926" s="1013" t="s">
        <v>245</v>
      </c>
      <c r="D926" s="1013">
        <v>0</v>
      </c>
      <c r="E926" s="1013" t="s">
        <v>22698</v>
      </c>
      <c r="F926" s="1013">
        <v>10</v>
      </c>
      <c r="G926" s="1932" t="str">
        <f>+VLOOKUP(F926,TT_Tabelle_Riferimento!$D$127:$G$164,4,FALSE)</f>
        <v>Telecontrollo e teletrasmissione di acquedotto</v>
      </c>
      <c r="H926" s="1013">
        <v>1</v>
      </c>
      <c r="I926" s="1932" t="str">
        <f>+VLOOKUP(H926,TT_Tabelle_Riferimento!$F$3:$G$6,2,FALSE)</f>
        <v>Servizio idrico integrato</v>
      </c>
      <c r="J926" s="1013">
        <v>2028</v>
      </c>
      <c r="K926" s="2335">
        <f>+SUMIFS('PdI-crono_inv'!BG:BG,'PdI-crono_inv'!CF:CF,F926,'PdI-crono_inv'!CE:CE,H926,'PdI-crono_inv'!J:J,P926,'PdI-crono_inv'!P:P,"&lt;&gt;proprietario")</f>
        <v>0</v>
      </c>
      <c r="M926" s="2335">
        <f>+SUMIFS('PdI-crono_inv'!BH:BH,'PdI-crono_inv'!CF:CF,F926,'PdI-crono_inv'!CE:CE,H926,'PdI-crono_inv'!J:J,P926,'PdI-crono_inv'!P:P,"&lt;&gt;proprietario")+S926</f>
        <v>0</v>
      </c>
      <c r="P926" s="1013" t="s">
        <v>27068</v>
      </c>
      <c r="Q926" s="1932" t="str">
        <f>+VLOOKUP(F926,TT_Tabelle_Riferimento!$D$127:$E$164,2,FALSE)</f>
        <v>Acquedotto</v>
      </c>
      <c r="R926" s="1932" t="str">
        <f t="shared" si="82"/>
        <v/>
      </c>
      <c r="S926" s="2335">
        <f t="shared" si="81"/>
        <v>0</v>
      </c>
    </row>
    <row r="927" spans="1:19">
      <c r="A927" s="1932">
        <f t="shared" si="79"/>
        <v>0</v>
      </c>
      <c r="B927" s="1932">
        <f t="shared" si="80"/>
        <v>0</v>
      </c>
      <c r="C927" s="1013" t="s">
        <v>245</v>
      </c>
      <c r="D927" s="1013">
        <v>0</v>
      </c>
      <c r="E927" s="1013" t="s">
        <v>22698</v>
      </c>
      <c r="F927" s="1013">
        <v>11</v>
      </c>
      <c r="G927" s="1932" t="str">
        <f>+VLOOKUP(F927,TT_Tabelle_Riferimento!$D$127:$G$164,4,FALSE)</f>
        <v>Condotte fognarie</v>
      </c>
      <c r="H927" s="1013">
        <v>1</v>
      </c>
      <c r="I927" s="1932" t="str">
        <f>+VLOOKUP(H927,TT_Tabelle_Riferimento!$F$3:$G$6,2,FALSE)</f>
        <v>Servizio idrico integrato</v>
      </c>
      <c r="J927" s="1013">
        <v>2028</v>
      </c>
      <c r="K927" s="2335">
        <f>+SUMIFS('PdI-crono_inv'!BG:BG,'PdI-crono_inv'!CF:CF,F927,'PdI-crono_inv'!CE:CE,H927,'PdI-crono_inv'!J:J,P927,'PdI-crono_inv'!P:P,"&lt;&gt;proprietario")</f>
        <v>0</v>
      </c>
      <c r="M927" s="2335">
        <f>+SUMIFS('PdI-crono_inv'!BH:BH,'PdI-crono_inv'!CF:CF,F927,'PdI-crono_inv'!CE:CE,H927,'PdI-crono_inv'!J:J,P927,'PdI-crono_inv'!P:P,"&lt;&gt;proprietario")+S927</f>
        <v>0</v>
      </c>
      <c r="P927" s="1013" t="s">
        <v>27068</v>
      </c>
      <c r="Q927" s="1932" t="str">
        <f>+VLOOKUP(F927,TT_Tabelle_Riferimento!$D$127:$E$164,2,FALSE)</f>
        <v>Fognatura</v>
      </c>
      <c r="R927" s="1932" t="str">
        <f t="shared" si="82"/>
        <v/>
      </c>
      <c r="S927" s="2335">
        <f t="shared" si="81"/>
        <v>0</v>
      </c>
    </row>
    <row r="928" spans="1:19">
      <c r="A928" s="1932">
        <f t="shared" si="79"/>
        <v>0</v>
      </c>
      <c r="B928" s="1932">
        <f t="shared" si="80"/>
        <v>0</v>
      </c>
      <c r="C928" s="1013" t="s">
        <v>245</v>
      </c>
      <c r="D928" s="1013">
        <v>0</v>
      </c>
      <c r="E928" s="1013" t="s">
        <v>22698</v>
      </c>
      <c r="F928" s="1013">
        <v>12</v>
      </c>
      <c r="G928" s="1932" t="str">
        <f>+VLOOKUP(F928,TT_Tabelle_Riferimento!$D$127:$G$164,4,FALSE)</f>
        <v>Sifoni e scaricatori di piena e altre opere idrauliche fisse di fognatura</v>
      </c>
      <c r="H928" s="1013">
        <v>1</v>
      </c>
      <c r="I928" s="1932" t="str">
        <f>+VLOOKUP(H928,TT_Tabelle_Riferimento!$F$3:$G$6,2,FALSE)</f>
        <v>Servizio idrico integrato</v>
      </c>
      <c r="J928" s="1013">
        <v>2028</v>
      </c>
      <c r="K928" s="2335">
        <f>+SUMIFS('PdI-crono_inv'!BG:BG,'PdI-crono_inv'!CF:CF,F928,'PdI-crono_inv'!CE:CE,H928,'PdI-crono_inv'!J:J,P928,'PdI-crono_inv'!P:P,"&lt;&gt;proprietario")</f>
        <v>0</v>
      </c>
      <c r="M928" s="2335">
        <f>+SUMIFS('PdI-crono_inv'!BH:BH,'PdI-crono_inv'!CF:CF,F928,'PdI-crono_inv'!CE:CE,H928,'PdI-crono_inv'!J:J,P928,'PdI-crono_inv'!P:P,"&lt;&gt;proprietario")+S928</f>
        <v>0</v>
      </c>
      <c r="P928" s="1013" t="s">
        <v>27068</v>
      </c>
      <c r="Q928" s="1932" t="str">
        <f>+VLOOKUP(F928,TT_Tabelle_Riferimento!$D$127:$E$164,2,FALSE)</f>
        <v>Fognatura</v>
      </c>
      <c r="R928" s="1932" t="str">
        <f t="shared" si="82"/>
        <v/>
      </c>
      <c r="S928" s="2335">
        <f t="shared" si="81"/>
        <v>0</v>
      </c>
    </row>
    <row r="929" spans="1:19">
      <c r="A929" s="1932">
        <f t="shared" si="79"/>
        <v>0</v>
      </c>
      <c r="B929" s="1932">
        <f t="shared" si="80"/>
        <v>0</v>
      </c>
      <c r="C929" s="1013" t="s">
        <v>245</v>
      </c>
      <c r="D929" s="1013">
        <v>0</v>
      </c>
      <c r="E929" s="1013" t="s">
        <v>22698</v>
      </c>
      <c r="F929" s="1013">
        <v>13</v>
      </c>
      <c r="G929" s="1932" t="str">
        <f>+VLOOKUP(F929,TT_Tabelle_Riferimento!$D$127:$G$164,4,FALSE)</f>
        <v>Vasche di laminazione e vasche di prima pioggia</v>
      </c>
      <c r="H929" s="1013">
        <v>1</v>
      </c>
      <c r="I929" s="1932" t="str">
        <f>+VLOOKUP(H929,TT_Tabelle_Riferimento!$F$3:$G$6,2,FALSE)</f>
        <v>Servizio idrico integrato</v>
      </c>
      <c r="J929" s="1013">
        <v>2028</v>
      </c>
      <c r="K929" s="2335">
        <f>+SUMIFS('PdI-crono_inv'!BG:BG,'PdI-crono_inv'!CF:CF,F929,'PdI-crono_inv'!CE:CE,H929,'PdI-crono_inv'!J:J,P929,'PdI-crono_inv'!P:P,"&lt;&gt;proprietario")</f>
        <v>0</v>
      </c>
      <c r="M929" s="2335">
        <f>+SUMIFS('PdI-crono_inv'!BH:BH,'PdI-crono_inv'!CF:CF,F929,'PdI-crono_inv'!CE:CE,H929,'PdI-crono_inv'!J:J,P929,'PdI-crono_inv'!P:P,"&lt;&gt;proprietario")+S929</f>
        <v>0</v>
      </c>
      <c r="P929" s="1013" t="s">
        <v>27068</v>
      </c>
      <c r="Q929" s="1932" t="str">
        <f>+VLOOKUP(F929,TT_Tabelle_Riferimento!$D$127:$E$164,2,FALSE)</f>
        <v>Fognatura</v>
      </c>
      <c r="R929" s="1932" t="str">
        <f t="shared" si="82"/>
        <v/>
      </c>
      <c r="S929" s="2335">
        <f t="shared" si="81"/>
        <v>0</v>
      </c>
    </row>
    <row r="930" spans="1:19">
      <c r="A930" s="1932">
        <f t="shared" si="79"/>
        <v>0</v>
      </c>
      <c r="B930" s="1932">
        <f t="shared" si="80"/>
        <v>0</v>
      </c>
      <c r="C930" s="1013" t="s">
        <v>245</v>
      </c>
      <c r="D930" s="1013">
        <v>0</v>
      </c>
      <c r="E930" s="1013" t="s">
        <v>22698</v>
      </c>
      <c r="F930" s="1013">
        <v>14</v>
      </c>
      <c r="G930" s="1932" t="str">
        <f>+VLOOKUP(F930,TT_Tabelle_Riferimento!$D$127:$G$164,4,FALSE)</f>
        <v>Impianti di sollevamento e pompaggio di fognatura</v>
      </c>
      <c r="H930" s="1013">
        <v>1</v>
      </c>
      <c r="I930" s="1932" t="str">
        <f>+VLOOKUP(H930,TT_Tabelle_Riferimento!$F$3:$G$6,2,FALSE)</f>
        <v>Servizio idrico integrato</v>
      </c>
      <c r="J930" s="1013">
        <v>2028</v>
      </c>
      <c r="K930" s="2335">
        <f>+SUMIFS('PdI-crono_inv'!BG:BG,'PdI-crono_inv'!CF:CF,F930,'PdI-crono_inv'!CE:CE,H930,'PdI-crono_inv'!J:J,P930,'PdI-crono_inv'!P:P,"&lt;&gt;proprietario")</f>
        <v>0</v>
      </c>
      <c r="M930" s="2335">
        <f>+SUMIFS('PdI-crono_inv'!BH:BH,'PdI-crono_inv'!CF:CF,F930,'PdI-crono_inv'!CE:CE,H930,'PdI-crono_inv'!J:J,P930,'PdI-crono_inv'!P:P,"&lt;&gt;proprietario")+S930</f>
        <v>0</v>
      </c>
      <c r="P930" s="1013" t="s">
        <v>27068</v>
      </c>
      <c r="Q930" s="1932" t="str">
        <f>+VLOOKUP(F930,TT_Tabelle_Riferimento!$D$127:$E$164,2,FALSE)</f>
        <v>Fognatura</v>
      </c>
      <c r="R930" s="1932" t="str">
        <f t="shared" si="82"/>
        <v/>
      </c>
      <c r="S930" s="2335">
        <f t="shared" si="81"/>
        <v>0</v>
      </c>
    </row>
    <row r="931" spans="1:19">
      <c r="A931" s="1932">
        <f t="shared" si="79"/>
        <v>0</v>
      </c>
      <c r="B931" s="1932">
        <f t="shared" si="80"/>
        <v>0</v>
      </c>
      <c r="C931" s="1013" t="s">
        <v>245</v>
      </c>
      <c r="D931" s="1013">
        <v>0</v>
      </c>
      <c r="E931" s="1013" t="s">
        <v>22698</v>
      </c>
      <c r="F931" s="1013">
        <v>15</v>
      </c>
      <c r="G931" s="1932" t="str">
        <f>+VLOOKUP(F931,TT_Tabelle_Riferimento!$D$127:$G$164,4,FALSE)</f>
        <v>Gruppi di misura - altre attrezzature di fognatura</v>
      </c>
      <c r="H931" s="1013">
        <v>1</v>
      </c>
      <c r="I931" s="1932" t="str">
        <f>+VLOOKUP(H931,TT_Tabelle_Riferimento!$F$3:$G$6,2,FALSE)</f>
        <v>Servizio idrico integrato</v>
      </c>
      <c r="J931" s="1013">
        <v>2028</v>
      </c>
      <c r="K931" s="2335">
        <f>+SUMIFS('PdI-crono_inv'!BG:BG,'PdI-crono_inv'!CF:CF,F931,'PdI-crono_inv'!CE:CE,H931,'PdI-crono_inv'!J:J,P931,'PdI-crono_inv'!P:P,"&lt;&gt;proprietario")</f>
        <v>0</v>
      </c>
      <c r="M931" s="2335">
        <f>+SUMIFS('PdI-crono_inv'!BH:BH,'PdI-crono_inv'!CF:CF,F931,'PdI-crono_inv'!CE:CE,H931,'PdI-crono_inv'!J:J,P931,'PdI-crono_inv'!P:P,"&lt;&gt;proprietario")+S931</f>
        <v>0</v>
      </c>
      <c r="P931" s="1013" t="s">
        <v>27068</v>
      </c>
      <c r="Q931" s="1932" t="str">
        <f>+VLOOKUP(F931,TT_Tabelle_Riferimento!$D$127:$E$164,2,FALSE)</f>
        <v>Fognatura</v>
      </c>
      <c r="R931" s="1932" t="str">
        <f t="shared" si="82"/>
        <v/>
      </c>
      <c r="S931" s="2335">
        <f t="shared" si="81"/>
        <v>0</v>
      </c>
    </row>
    <row r="932" spans="1:19">
      <c r="A932" s="1932">
        <f t="shared" si="79"/>
        <v>0</v>
      </c>
      <c r="B932" s="1932">
        <f t="shared" si="80"/>
        <v>0</v>
      </c>
      <c r="C932" s="1013" t="s">
        <v>245</v>
      </c>
      <c r="D932" s="1013">
        <v>0</v>
      </c>
      <c r="E932" s="1013" t="s">
        <v>22698</v>
      </c>
      <c r="F932" s="1013">
        <v>16</v>
      </c>
      <c r="G932" s="1932" t="str">
        <f>+VLOOKUP(F932,TT_Tabelle_Riferimento!$D$127:$G$164,4,FALSE)</f>
        <v>Sistemi informativi di fognatura</v>
      </c>
      <c r="H932" s="1013">
        <v>1</v>
      </c>
      <c r="I932" s="1932" t="str">
        <f>+VLOOKUP(H932,TT_Tabelle_Riferimento!$F$3:$G$6,2,FALSE)</f>
        <v>Servizio idrico integrato</v>
      </c>
      <c r="J932" s="1013">
        <v>2028</v>
      </c>
      <c r="K932" s="2335">
        <f>+SUMIFS('PdI-crono_inv'!BG:BG,'PdI-crono_inv'!CF:CF,F932,'PdI-crono_inv'!CE:CE,H932,'PdI-crono_inv'!J:J,P932,'PdI-crono_inv'!P:P,"&lt;&gt;proprietario")</f>
        <v>0</v>
      </c>
      <c r="M932" s="2335">
        <f>+SUMIFS('PdI-crono_inv'!BH:BH,'PdI-crono_inv'!CF:CF,F932,'PdI-crono_inv'!CE:CE,H932,'PdI-crono_inv'!J:J,P932,'PdI-crono_inv'!P:P,"&lt;&gt;proprietario")+S932</f>
        <v>0</v>
      </c>
      <c r="P932" s="1013" t="s">
        <v>27068</v>
      </c>
      <c r="Q932" s="1932" t="str">
        <f>+VLOOKUP(F932,TT_Tabelle_Riferimento!$D$127:$E$164,2,FALSE)</f>
        <v>Fognatura</v>
      </c>
      <c r="R932" s="1932" t="str">
        <f t="shared" si="82"/>
        <v/>
      </c>
      <c r="S932" s="2335">
        <f t="shared" si="81"/>
        <v>0</v>
      </c>
    </row>
    <row r="933" spans="1:19">
      <c r="A933" s="1932">
        <f t="shared" si="79"/>
        <v>0</v>
      </c>
      <c r="B933" s="1932">
        <f t="shared" si="80"/>
        <v>0</v>
      </c>
      <c r="C933" s="1013" t="s">
        <v>245</v>
      </c>
      <c r="D933" s="1013">
        <v>0</v>
      </c>
      <c r="E933" s="1013" t="s">
        <v>22698</v>
      </c>
      <c r="F933" s="1013">
        <v>18</v>
      </c>
      <c r="G933" s="1932" t="str">
        <f>+VLOOKUP(F933,TT_Tabelle_Riferimento!$D$127:$G$164,4,FALSE)</f>
        <v>Telecontrollo e teletrasmissione di fognatura</v>
      </c>
      <c r="H933" s="1013">
        <v>1</v>
      </c>
      <c r="I933" s="1932" t="str">
        <f>+VLOOKUP(H933,TT_Tabelle_Riferimento!$F$3:$G$6,2,FALSE)</f>
        <v>Servizio idrico integrato</v>
      </c>
      <c r="J933" s="1013">
        <v>2028</v>
      </c>
      <c r="K933" s="2335">
        <f>+SUMIFS('PdI-crono_inv'!BG:BG,'PdI-crono_inv'!CF:CF,F933,'PdI-crono_inv'!CE:CE,H933,'PdI-crono_inv'!J:J,P933,'PdI-crono_inv'!P:P,"&lt;&gt;proprietario")</f>
        <v>0</v>
      </c>
      <c r="M933" s="2335">
        <f>+SUMIFS('PdI-crono_inv'!BH:BH,'PdI-crono_inv'!CF:CF,F933,'PdI-crono_inv'!CE:CE,H933,'PdI-crono_inv'!J:J,P933,'PdI-crono_inv'!P:P,"&lt;&gt;proprietario")+S933</f>
        <v>0</v>
      </c>
      <c r="P933" s="1013" t="s">
        <v>27068</v>
      </c>
      <c r="Q933" s="1932" t="str">
        <f>+VLOOKUP(F933,TT_Tabelle_Riferimento!$D$127:$E$164,2,FALSE)</f>
        <v>Fognatura</v>
      </c>
      <c r="R933" s="1932" t="str">
        <f t="shared" si="82"/>
        <v/>
      </c>
      <c r="S933" s="2335">
        <f t="shared" si="81"/>
        <v>0</v>
      </c>
    </row>
    <row r="934" spans="1:19">
      <c r="A934" s="1932">
        <f t="shared" si="79"/>
        <v>0</v>
      </c>
      <c r="B934" s="1932">
        <f t="shared" si="80"/>
        <v>0</v>
      </c>
      <c r="C934" s="1013" t="s">
        <v>245</v>
      </c>
      <c r="D934" s="1013">
        <v>0</v>
      </c>
      <c r="E934" s="1013" t="s">
        <v>22698</v>
      </c>
      <c r="F934" s="1013">
        <v>19</v>
      </c>
      <c r="G934" s="1932" t="str">
        <f>+VLOOKUP(F934,TT_Tabelle_Riferimento!$D$127:$G$164,4,FALSE)</f>
        <v>Impianti di sollevamento e pompaggio di depurazione</v>
      </c>
      <c r="H934" s="1013">
        <v>1</v>
      </c>
      <c r="I934" s="1932" t="str">
        <f>+VLOOKUP(H934,TT_Tabelle_Riferimento!$F$3:$G$6,2,FALSE)</f>
        <v>Servizio idrico integrato</v>
      </c>
      <c r="J934" s="1013">
        <v>2028</v>
      </c>
      <c r="K934" s="2335">
        <f>+SUMIFS('PdI-crono_inv'!BG:BG,'PdI-crono_inv'!CF:CF,F934,'PdI-crono_inv'!CE:CE,H934,'PdI-crono_inv'!J:J,P934,'PdI-crono_inv'!P:P,"&lt;&gt;proprietario")</f>
        <v>0</v>
      </c>
      <c r="M934" s="2335">
        <f>+SUMIFS('PdI-crono_inv'!BH:BH,'PdI-crono_inv'!CF:CF,F934,'PdI-crono_inv'!CE:CE,H934,'PdI-crono_inv'!J:J,P934,'PdI-crono_inv'!P:P,"&lt;&gt;proprietario")+S934</f>
        <v>0</v>
      </c>
      <c r="P934" s="1013" t="s">
        <v>27068</v>
      </c>
      <c r="Q934" s="1932" t="str">
        <f>+VLOOKUP(F934,TT_Tabelle_Riferimento!$D$127:$E$164,2,FALSE)</f>
        <v>Depurazione</v>
      </c>
      <c r="R934" s="1932" t="str">
        <f t="shared" si="82"/>
        <v/>
      </c>
      <c r="S934" s="2335">
        <f t="shared" si="81"/>
        <v>0</v>
      </c>
    </row>
    <row r="935" spans="1:19">
      <c r="A935" s="1932">
        <f t="shared" si="79"/>
        <v>0</v>
      </c>
      <c r="B935" s="1932">
        <f t="shared" si="80"/>
        <v>0</v>
      </c>
      <c r="C935" s="1013" t="s">
        <v>245</v>
      </c>
      <c r="D935" s="1013">
        <v>0</v>
      </c>
      <c r="E935" s="1013" t="s">
        <v>22698</v>
      </c>
      <c r="F935" s="1013">
        <v>20</v>
      </c>
      <c r="G935" s="1932" t="str">
        <f>+VLOOKUP(F935,TT_Tabelle_Riferimento!$D$127:$G$164,4,FALSE)</f>
        <v>Tecniche naturali di depurazione (tra cui fitodepurazione e lagunaggio)</v>
      </c>
      <c r="H935" s="1013">
        <v>1</v>
      </c>
      <c r="I935" s="1932" t="str">
        <f>+VLOOKUP(H935,TT_Tabelle_Riferimento!$F$3:$G$6,2,FALSE)</f>
        <v>Servizio idrico integrato</v>
      </c>
      <c r="J935" s="1013">
        <v>2028</v>
      </c>
      <c r="K935" s="2335">
        <f>+SUMIFS('PdI-crono_inv'!BG:BG,'PdI-crono_inv'!CF:CF,F935,'PdI-crono_inv'!CE:CE,H935,'PdI-crono_inv'!J:J,P935,'PdI-crono_inv'!P:P,"&lt;&gt;proprietario")</f>
        <v>0</v>
      </c>
      <c r="M935" s="2335">
        <f>+SUMIFS('PdI-crono_inv'!BH:BH,'PdI-crono_inv'!CF:CF,F935,'PdI-crono_inv'!CE:CE,H935,'PdI-crono_inv'!J:J,P935,'PdI-crono_inv'!P:P,"&lt;&gt;proprietario")+S935</f>
        <v>0</v>
      </c>
      <c r="P935" s="1013" t="s">
        <v>27068</v>
      </c>
      <c r="Q935" s="1932" t="str">
        <f>+VLOOKUP(F935,TT_Tabelle_Riferimento!$D$127:$E$164,2,FALSE)</f>
        <v>Depurazione</v>
      </c>
      <c r="R935" s="1932" t="str">
        <f t="shared" si="82"/>
        <v/>
      </c>
      <c r="S935" s="2335">
        <f t="shared" si="81"/>
        <v>0</v>
      </c>
    </row>
    <row r="936" spans="1:19">
      <c r="A936" s="1932">
        <f t="shared" si="79"/>
        <v>0</v>
      </c>
      <c r="B936" s="1932">
        <f t="shared" si="80"/>
        <v>0</v>
      </c>
      <c r="C936" s="1013" t="s">
        <v>245</v>
      </c>
      <c r="D936" s="1013">
        <v>0</v>
      </c>
      <c r="E936" s="1013" t="s">
        <v>22698</v>
      </c>
      <c r="F936" s="1013">
        <v>21</v>
      </c>
      <c r="G936" s="1932" t="str">
        <f>+VLOOKUP(F936,TT_Tabelle_Riferimento!$D$127:$G$164,4,FALSE)</f>
        <v>Impianti di depurazione – trattamenti sino al preliminare, integrativo, primario - fosse settiche e fosse Imhoff</v>
      </c>
      <c r="H936" s="1013">
        <v>1</v>
      </c>
      <c r="I936" s="1932" t="str">
        <f>+VLOOKUP(H936,TT_Tabelle_Riferimento!$F$3:$G$6,2,FALSE)</f>
        <v>Servizio idrico integrato</v>
      </c>
      <c r="J936" s="1013">
        <v>2028</v>
      </c>
      <c r="K936" s="2335">
        <f>+SUMIFS('PdI-crono_inv'!BG:BG,'PdI-crono_inv'!CF:CF,F936,'PdI-crono_inv'!CE:CE,H936,'PdI-crono_inv'!J:J,P936,'PdI-crono_inv'!P:P,"&lt;&gt;proprietario")</f>
        <v>0</v>
      </c>
      <c r="M936" s="2335">
        <f>+SUMIFS('PdI-crono_inv'!BH:BH,'PdI-crono_inv'!CF:CF,F936,'PdI-crono_inv'!CE:CE,H936,'PdI-crono_inv'!J:J,P936,'PdI-crono_inv'!P:P,"&lt;&gt;proprietario")+S936</f>
        <v>0</v>
      </c>
      <c r="P936" s="1013" t="s">
        <v>27068</v>
      </c>
      <c r="Q936" s="1932" t="str">
        <f>+VLOOKUP(F936,TT_Tabelle_Riferimento!$D$127:$E$164,2,FALSE)</f>
        <v>Depurazione</v>
      </c>
      <c r="R936" s="1932" t="str">
        <f t="shared" si="82"/>
        <v/>
      </c>
      <c r="S936" s="2335">
        <f t="shared" si="81"/>
        <v>0</v>
      </c>
    </row>
    <row r="937" spans="1:19">
      <c r="A937" s="1932">
        <f t="shared" si="79"/>
        <v>0</v>
      </c>
      <c r="B937" s="1932">
        <f t="shared" si="80"/>
        <v>0</v>
      </c>
      <c r="C937" s="1013" t="s">
        <v>245</v>
      </c>
      <c r="D937" s="1013">
        <v>0</v>
      </c>
      <c r="E937" s="1013" t="s">
        <v>22698</v>
      </c>
      <c r="F937" s="1013">
        <v>22</v>
      </c>
      <c r="G937" s="1932" t="str">
        <f>+VLOOKUP(F937,TT_Tabelle_Riferimento!$D$127:$G$164,4,FALSE)</f>
        <v>Impianti di depurazione – trattamenti sino al secondario</v>
      </c>
      <c r="H937" s="1013">
        <v>1</v>
      </c>
      <c r="I937" s="1932" t="str">
        <f>+VLOOKUP(H937,TT_Tabelle_Riferimento!$F$3:$G$6,2,FALSE)</f>
        <v>Servizio idrico integrato</v>
      </c>
      <c r="J937" s="1013">
        <v>2028</v>
      </c>
      <c r="K937" s="2335">
        <f>+SUMIFS('PdI-crono_inv'!BG:BG,'PdI-crono_inv'!CF:CF,F937,'PdI-crono_inv'!CE:CE,H937,'PdI-crono_inv'!J:J,P937,'PdI-crono_inv'!P:P,"&lt;&gt;proprietario")</f>
        <v>0</v>
      </c>
      <c r="M937" s="2335">
        <f>+SUMIFS('PdI-crono_inv'!BH:BH,'PdI-crono_inv'!CF:CF,F937,'PdI-crono_inv'!CE:CE,H937,'PdI-crono_inv'!J:J,P937,'PdI-crono_inv'!P:P,"&lt;&gt;proprietario")+S937</f>
        <v>0</v>
      </c>
      <c r="P937" s="1013" t="s">
        <v>27068</v>
      </c>
      <c r="Q937" s="1932" t="str">
        <f>+VLOOKUP(F937,TT_Tabelle_Riferimento!$D$127:$E$164,2,FALSE)</f>
        <v>Depurazione</v>
      </c>
      <c r="R937" s="1932" t="str">
        <f t="shared" si="82"/>
        <v/>
      </c>
      <c r="S937" s="2335">
        <f t="shared" si="81"/>
        <v>0</v>
      </c>
    </row>
    <row r="938" spans="1:19">
      <c r="A938" s="1932">
        <f t="shared" si="79"/>
        <v>0</v>
      </c>
      <c r="B938" s="1932">
        <f t="shared" si="80"/>
        <v>0</v>
      </c>
      <c r="C938" s="1013" t="s">
        <v>245</v>
      </c>
      <c r="D938" s="1013">
        <v>0</v>
      </c>
      <c r="E938" s="1013" t="s">
        <v>22698</v>
      </c>
      <c r="F938" s="1013">
        <v>23</v>
      </c>
      <c r="G938" s="1932" t="str">
        <f>+VLOOKUP(F938,TT_Tabelle_Riferimento!$D$127:$G$164,4,FALSE)</f>
        <v>Impianti di depurazione – trattamenti sino al terziario e terziario avanzato</v>
      </c>
      <c r="H938" s="1013">
        <v>1</v>
      </c>
      <c r="I938" s="1932" t="str">
        <f>+VLOOKUP(H938,TT_Tabelle_Riferimento!$F$3:$G$6,2,FALSE)</f>
        <v>Servizio idrico integrato</v>
      </c>
      <c r="J938" s="1013">
        <v>2028</v>
      </c>
      <c r="K938" s="2335">
        <f>+SUMIFS('PdI-crono_inv'!BG:BG,'PdI-crono_inv'!CF:CF,F938,'PdI-crono_inv'!CE:CE,H938,'PdI-crono_inv'!J:J,P938,'PdI-crono_inv'!P:P,"&lt;&gt;proprietario")</f>
        <v>0</v>
      </c>
      <c r="M938" s="2335">
        <f>+SUMIFS('PdI-crono_inv'!BH:BH,'PdI-crono_inv'!CF:CF,F938,'PdI-crono_inv'!CE:CE,H938,'PdI-crono_inv'!J:J,P938,'PdI-crono_inv'!P:P,"&lt;&gt;proprietario")+S938</f>
        <v>0</v>
      </c>
      <c r="P938" s="1013" t="s">
        <v>27068</v>
      </c>
      <c r="Q938" s="1932" t="str">
        <f>+VLOOKUP(F938,TT_Tabelle_Riferimento!$D$127:$E$164,2,FALSE)</f>
        <v>Depurazione</v>
      </c>
      <c r="R938" s="1932" t="str">
        <f t="shared" si="82"/>
        <v/>
      </c>
      <c r="S938" s="2335">
        <f t="shared" si="81"/>
        <v>0</v>
      </c>
    </row>
    <row r="939" spans="1:19">
      <c r="A939" s="1932">
        <f t="shared" si="79"/>
        <v>0</v>
      </c>
      <c r="B939" s="1932">
        <f t="shared" si="80"/>
        <v>0</v>
      </c>
      <c r="C939" s="1013" t="s">
        <v>245</v>
      </c>
      <c r="D939" s="1013">
        <v>0</v>
      </c>
      <c r="E939" s="1013" t="s">
        <v>22698</v>
      </c>
      <c r="F939" s="1013">
        <v>24</v>
      </c>
      <c r="G939" s="1932" t="str">
        <f>+VLOOKUP(F939,TT_Tabelle_Riferimento!$D$127:$G$164,4,FALSE)</f>
        <v>Impianti di essiccamento fanghi e di valorizzazione dei fanghi (tra cui mono-incenerimento, pirolisi, gassificazione)</v>
      </c>
      <c r="H939" s="1013">
        <v>1</v>
      </c>
      <c r="I939" s="1932" t="str">
        <f>+VLOOKUP(H939,TT_Tabelle_Riferimento!$F$3:$G$6,2,FALSE)</f>
        <v>Servizio idrico integrato</v>
      </c>
      <c r="J939" s="1013">
        <v>2028</v>
      </c>
      <c r="K939" s="2335">
        <f>+SUMIFS('PdI-crono_inv'!BG:BG,'PdI-crono_inv'!CF:CF,F939,'PdI-crono_inv'!CE:CE,H939,'PdI-crono_inv'!J:J,P939,'PdI-crono_inv'!P:P,"&lt;&gt;proprietario")</f>
        <v>0</v>
      </c>
      <c r="M939" s="2335">
        <f>+SUMIFS('PdI-crono_inv'!BH:BH,'PdI-crono_inv'!CF:CF,F939,'PdI-crono_inv'!CE:CE,H939,'PdI-crono_inv'!J:J,P939,'PdI-crono_inv'!P:P,"&lt;&gt;proprietario")+S939</f>
        <v>0</v>
      </c>
      <c r="P939" s="1013" t="s">
        <v>27068</v>
      </c>
      <c r="Q939" s="1932" t="str">
        <f>+VLOOKUP(F939,TT_Tabelle_Riferimento!$D$127:$E$164,2,FALSE)</f>
        <v>Depurazione</v>
      </c>
      <c r="R939" s="1932" t="str">
        <f t="shared" si="82"/>
        <v/>
      </c>
      <c r="S939" s="2335">
        <f t="shared" si="81"/>
        <v>0</v>
      </c>
    </row>
    <row r="940" spans="1:19">
      <c r="A940" s="1932">
        <f t="shared" si="79"/>
        <v>0</v>
      </c>
      <c r="B940" s="1932">
        <f t="shared" si="80"/>
        <v>0</v>
      </c>
      <c r="C940" s="1013" t="s">
        <v>245</v>
      </c>
      <c r="D940" s="1013">
        <v>0</v>
      </c>
      <c r="E940" s="1013" t="s">
        <v>22698</v>
      </c>
      <c r="F940" s="1013">
        <v>25</v>
      </c>
      <c r="G940" s="1932" t="str">
        <f>+VLOOKUP(F940,TT_Tabelle_Riferimento!$D$127:$G$164,4,FALSE)</f>
        <v>Gruppi di misura - altre attrezzature di depurazione</v>
      </c>
      <c r="H940" s="1013">
        <v>1</v>
      </c>
      <c r="I940" s="1932" t="str">
        <f>+VLOOKUP(H940,TT_Tabelle_Riferimento!$F$3:$G$6,2,FALSE)</f>
        <v>Servizio idrico integrato</v>
      </c>
      <c r="J940" s="1013">
        <v>2028</v>
      </c>
      <c r="K940" s="2335">
        <f>+SUMIFS('PdI-crono_inv'!BG:BG,'PdI-crono_inv'!CF:CF,F940,'PdI-crono_inv'!CE:CE,H940,'PdI-crono_inv'!J:J,P940,'PdI-crono_inv'!P:P,"&lt;&gt;proprietario")</f>
        <v>0</v>
      </c>
      <c r="M940" s="2335">
        <f>+SUMIFS('PdI-crono_inv'!BH:BH,'PdI-crono_inv'!CF:CF,F940,'PdI-crono_inv'!CE:CE,H940,'PdI-crono_inv'!J:J,P940,'PdI-crono_inv'!P:P,"&lt;&gt;proprietario")+S940</f>
        <v>0</v>
      </c>
      <c r="P940" s="1013" t="s">
        <v>27068</v>
      </c>
      <c r="Q940" s="1932" t="str">
        <f>+VLOOKUP(F940,TT_Tabelle_Riferimento!$D$127:$E$164,2,FALSE)</f>
        <v>Depurazione</v>
      </c>
      <c r="R940" s="1932" t="str">
        <f t="shared" si="82"/>
        <v/>
      </c>
      <c r="S940" s="2335">
        <f t="shared" si="81"/>
        <v>0</v>
      </c>
    </row>
    <row r="941" spans="1:19">
      <c r="A941" s="1932">
        <f t="shared" si="79"/>
        <v>0</v>
      </c>
      <c r="B941" s="1932">
        <f t="shared" si="80"/>
        <v>0</v>
      </c>
      <c r="C941" s="1013" t="s">
        <v>245</v>
      </c>
      <c r="D941" s="1013">
        <v>0</v>
      </c>
      <c r="E941" s="1013" t="s">
        <v>22698</v>
      </c>
      <c r="F941" s="1013">
        <v>26</v>
      </c>
      <c r="G941" s="1932" t="str">
        <f>+VLOOKUP(F941,TT_Tabelle_Riferimento!$D$127:$G$164,4,FALSE)</f>
        <v>Sistemi informativi di depurazione</v>
      </c>
      <c r="H941" s="1013">
        <v>1</v>
      </c>
      <c r="I941" s="1932" t="str">
        <f>+VLOOKUP(H941,TT_Tabelle_Riferimento!$F$3:$G$6,2,FALSE)</f>
        <v>Servizio idrico integrato</v>
      </c>
      <c r="J941" s="1013">
        <v>2028</v>
      </c>
      <c r="K941" s="2335">
        <f>+SUMIFS('PdI-crono_inv'!BG:BG,'PdI-crono_inv'!CF:CF,F941,'PdI-crono_inv'!CE:CE,H941,'PdI-crono_inv'!J:J,P941,'PdI-crono_inv'!P:P,"&lt;&gt;proprietario")</f>
        <v>0</v>
      </c>
      <c r="M941" s="2335">
        <f>+SUMIFS('PdI-crono_inv'!BH:BH,'PdI-crono_inv'!CF:CF,F941,'PdI-crono_inv'!CE:CE,H941,'PdI-crono_inv'!J:J,P941,'PdI-crono_inv'!P:P,"&lt;&gt;proprietario")+S941</f>
        <v>0</v>
      </c>
      <c r="P941" s="1013" t="s">
        <v>27068</v>
      </c>
      <c r="Q941" s="1932" t="str">
        <f>+VLOOKUP(F941,TT_Tabelle_Riferimento!$D$127:$E$164,2,FALSE)</f>
        <v>Depurazione</v>
      </c>
      <c r="R941" s="1932" t="str">
        <f t="shared" si="82"/>
        <v/>
      </c>
      <c r="S941" s="2335">
        <f t="shared" si="81"/>
        <v>0</v>
      </c>
    </row>
    <row r="942" spans="1:19">
      <c r="A942" s="1932">
        <f t="shared" si="79"/>
        <v>0</v>
      </c>
      <c r="B942" s="1932">
        <f t="shared" si="80"/>
        <v>0</v>
      </c>
      <c r="C942" s="1013" t="s">
        <v>245</v>
      </c>
      <c r="D942" s="1013">
        <v>0</v>
      </c>
      <c r="E942" s="1013" t="s">
        <v>22698</v>
      </c>
      <c r="F942" s="1013">
        <v>27</v>
      </c>
      <c r="G942" s="1932" t="str">
        <f>+VLOOKUP(F942,TT_Tabelle_Riferimento!$D$127:$G$164,4,FALSE)</f>
        <v>Telecontrollo e teletrasmissione di depurazione</v>
      </c>
      <c r="H942" s="1013">
        <v>1</v>
      </c>
      <c r="I942" s="1932" t="str">
        <f>+VLOOKUP(H942,TT_Tabelle_Riferimento!$F$3:$G$6,2,FALSE)</f>
        <v>Servizio idrico integrato</v>
      </c>
      <c r="J942" s="1013">
        <v>2028</v>
      </c>
      <c r="K942" s="2335">
        <f>+SUMIFS('PdI-crono_inv'!BG:BG,'PdI-crono_inv'!CF:CF,F942,'PdI-crono_inv'!CE:CE,H942,'PdI-crono_inv'!J:J,P942,'PdI-crono_inv'!P:P,"&lt;&gt;proprietario")</f>
        <v>0</v>
      </c>
      <c r="M942" s="2335">
        <f>+SUMIFS('PdI-crono_inv'!BH:BH,'PdI-crono_inv'!CF:CF,F942,'PdI-crono_inv'!CE:CE,H942,'PdI-crono_inv'!J:J,P942,'PdI-crono_inv'!P:P,"&lt;&gt;proprietario")+S942</f>
        <v>0</v>
      </c>
      <c r="P942" s="1013" t="s">
        <v>27068</v>
      </c>
      <c r="Q942" s="1932" t="str">
        <f>+VLOOKUP(F942,TT_Tabelle_Riferimento!$D$127:$E$164,2,FALSE)</f>
        <v>Depurazione</v>
      </c>
      <c r="R942" s="1932" t="str">
        <f t="shared" si="82"/>
        <v/>
      </c>
      <c r="S942" s="2335">
        <f t="shared" si="81"/>
        <v>0</v>
      </c>
    </row>
    <row r="943" spans="1:19">
      <c r="A943" s="1932">
        <f t="shared" si="79"/>
        <v>0</v>
      </c>
      <c r="B943" s="1932">
        <f t="shared" si="80"/>
        <v>0</v>
      </c>
      <c r="C943" s="1013" t="s">
        <v>245</v>
      </c>
      <c r="D943" s="1013">
        <v>0</v>
      </c>
      <c r="E943" s="1013" t="s">
        <v>22698</v>
      </c>
      <c r="F943" s="1013">
        <v>28</v>
      </c>
      <c r="G943" s="1932" t="str">
        <f>+VLOOKUP(F943,TT_Tabelle_Riferimento!$D$127:$G$164,4,FALSE)</f>
        <v>Altri impianti</v>
      </c>
      <c r="H943" s="1013">
        <v>1</v>
      </c>
      <c r="I943" s="1932" t="str">
        <f>+VLOOKUP(H943,TT_Tabelle_Riferimento!$F$3:$G$6,2,FALSE)</f>
        <v>Servizio idrico integrato</v>
      </c>
      <c r="J943" s="1013">
        <v>2028</v>
      </c>
      <c r="K943" s="2335">
        <f>+SUMIFS('PdI-crono_inv'!BG:BG,'PdI-crono_inv'!CF:CF,F943,'PdI-crono_inv'!CE:CE,H943,'PdI-crono_inv'!J:J,P943,'PdI-crono_inv'!P:P,"&lt;&gt;proprietario")</f>
        <v>0</v>
      </c>
      <c r="M943" s="2335">
        <f>+SUMIFS('PdI-crono_inv'!BH:BH,'PdI-crono_inv'!CF:CF,F943,'PdI-crono_inv'!CE:CE,H943,'PdI-crono_inv'!J:J,P943,'PdI-crono_inv'!P:P,"&lt;&gt;proprietario")+S943</f>
        <v>0</v>
      </c>
      <c r="P943" s="1013" t="s">
        <v>27068</v>
      </c>
      <c r="Q943" s="1932" t="str">
        <f>+VLOOKUP(F943,TT_Tabelle_Riferimento!$D$127:$E$164,2,FALSE)</f>
        <v>Comune</v>
      </c>
      <c r="R943" s="1932" t="str">
        <f t="shared" si="82"/>
        <v/>
      </c>
      <c r="S943" s="2335">
        <f t="shared" si="81"/>
        <v>0</v>
      </c>
    </row>
    <row r="944" spans="1:19">
      <c r="A944" s="1932">
        <f t="shared" ref="A944:A952" si="83">+idato</f>
        <v>0</v>
      </c>
      <c r="B944" s="1932">
        <f t="shared" ref="B944:B952" si="84">+idgestore</f>
        <v>0</v>
      </c>
      <c r="C944" s="1013" t="s">
        <v>245</v>
      </c>
      <c r="D944" s="1013">
        <v>0</v>
      </c>
      <c r="E944" s="1013" t="s">
        <v>22698</v>
      </c>
      <c r="F944" s="1013">
        <v>29</v>
      </c>
      <c r="G944" s="1932" t="str">
        <f>+VLOOKUP(F944,TT_Tabelle_Riferimento!$D$127:$G$164,4,FALSE)</f>
        <v>Laboratori e attrezzature</v>
      </c>
      <c r="H944" s="1013">
        <v>1</v>
      </c>
      <c r="I944" s="1932" t="str">
        <f>+VLOOKUP(H944,TT_Tabelle_Riferimento!$F$3:$G$6,2,FALSE)</f>
        <v>Servizio idrico integrato</v>
      </c>
      <c r="J944" s="1013">
        <v>2028</v>
      </c>
      <c r="K944" s="2335">
        <f>+SUMIFS('PdI-crono_inv'!BG:BG,'PdI-crono_inv'!CF:CF,F944,'PdI-crono_inv'!CE:CE,H944,'PdI-crono_inv'!J:J,P944,'PdI-crono_inv'!P:P,"&lt;&gt;proprietario")</f>
        <v>0</v>
      </c>
      <c r="M944" s="2335">
        <f>+SUMIFS('PdI-crono_inv'!BH:BH,'PdI-crono_inv'!CF:CF,F944,'PdI-crono_inv'!CE:CE,H944,'PdI-crono_inv'!J:J,P944,'PdI-crono_inv'!P:P,"&lt;&gt;proprietario")+S944</f>
        <v>0</v>
      </c>
      <c r="P944" s="1013" t="s">
        <v>27068</v>
      </c>
      <c r="Q944" s="1932" t="str">
        <f>+VLOOKUP(F944,TT_Tabelle_Riferimento!$D$127:$E$164,2,FALSE)</f>
        <v>Comune</v>
      </c>
      <c r="R944" s="1932" t="str">
        <f t="shared" si="82"/>
        <v/>
      </c>
      <c r="S944" s="2335">
        <f t="shared" si="81"/>
        <v>0</v>
      </c>
    </row>
    <row r="945" spans="1:19">
      <c r="A945" s="1932">
        <f t="shared" si="83"/>
        <v>0</v>
      </c>
      <c r="B945" s="1932">
        <f t="shared" si="84"/>
        <v>0</v>
      </c>
      <c r="C945" s="1013" t="s">
        <v>245</v>
      </c>
      <c r="D945" s="1013">
        <v>0</v>
      </c>
      <c r="E945" s="1013" t="s">
        <v>22698</v>
      </c>
      <c r="F945" s="1013">
        <v>30</v>
      </c>
      <c r="G945" s="1932" t="str">
        <f>+VLOOKUP(F945,TT_Tabelle_Riferimento!$D$127:$G$164,4,FALSE)</f>
        <v>Sistemi informativi</v>
      </c>
      <c r="H945" s="1013">
        <v>1</v>
      </c>
      <c r="I945" s="1932" t="str">
        <f>+VLOOKUP(H945,TT_Tabelle_Riferimento!$F$3:$G$6,2,FALSE)</f>
        <v>Servizio idrico integrato</v>
      </c>
      <c r="J945" s="1013">
        <v>2028</v>
      </c>
      <c r="K945" s="2335">
        <f>+SUMIFS('PdI-crono_inv'!BG:BG,'PdI-crono_inv'!CF:CF,F945,'PdI-crono_inv'!CE:CE,H945,'PdI-crono_inv'!J:J,P945,'PdI-crono_inv'!P:P,"&lt;&gt;proprietario")</f>
        <v>0</v>
      </c>
      <c r="M945" s="2335">
        <f>+SUMIFS('PdI-crono_inv'!BH:BH,'PdI-crono_inv'!CF:CF,F945,'PdI-crono_inv'!CE:CE,H945,'PdI-crono_inv'!J:J,P945,'PdI-crono_inv'!P:P,"&lt;&gt;proprietario")+S945</f>
        <v>0</v>
      </c>
      <c r="P945" s="1013" t="s">
        <v>27068</v>
      </c>
      <c r="Q945" s="1932" t="str">
        <f>+VLOOKUP(F945,TT_Tabelle_Riferimento!$D$127:$E$164,2,FALSE)</f>
        <v>Comune</v>
      </c>
      <c r="R945" s="1932" t="str">
        <f t="shared" si="82"/>
        <v/>
      </c>
      <c r="S945" s="2335">
        <f t="shared" si="81"/>
        <v>0</v>
      </c>
    </row>
    <row r="946" spans="1:19">
      <c r="A946" s="1932">
        <f t="shared" si="83"/>
        <v>0</v>
      </c>
      <c r="B946" s="1932">
        <f t="shared" si="84"/>
        <v>0</v>
      </c>
      <c r="C946" s="1013" t="s">
        <v>245</v>
      </c>
      <c r="D946" s="1013">
        <v>0</v>
      </c>
      <c r="E946" s="1013" t="s">
        <v>22698</v>
      </c>
      <c r="F946" s="1013">
        <v>31</v>
      </c>
      <c r="G946" s="1932" t="str">
        <f>+VLOOKUP(F946,TT_Tabelle_Riferimento!$D$127:$G$164,4,FALSE)</f>
        <v>Telecontrollo e teletrasmissione</v>
      </c>
      <c r="H946" s="1013">
        <v>1</v>
      </c>
      <c r="I946" s="1932" t="str">
        <f>+VLOOKUP(H946,TT_Tabelle_Riferimento!$F$3:$G$6,2,FALSE)</f>
        <v>Servizio idrico integrato</v>
      </c>
      <c r="J946" s="1013">
        <v>2028</v>
      </c>
      <c r="K946" s="2335">
        <f>+SUMIFS('PdI-crono_inv'!BG:BG,'PdI-crono_inv'!CF:CF,F946,'PdI-crono_inv'!CE:CE,H946,'PdI-crono_inv'!J:J,P946,'PdI-crono_inv'!P:P,"&lt;&gt;proprietario")</f>
        <v>0</v>
      </c>
      <c r="M946" s="2335">
        <f>+SUMIFS('PdI-crono_inv'!BH:BH,'PdI-crono_inv'!CF:CF,F946,'PdI-crono_inv'!CE:CE,H946,'PdI-crono_inv'!J:J,P946,'PdI-crono_inv'!P:P,"&lt;&gt;proprietario")+S946</f>
        <v>0</v>
      </c>
      <c r="P946" s="1013" t="s">
        <v>27068</v>
      </c>
      <c r="Q946" s="1932" t="str">
        <f>+VLOOKUP(F946,TT_Tabelle_Riferimento!$D$127:$E$164,2,FALSE)</f>
        <v>Comune</v>
      </c>
      <c r="R946" s="1932" t="str">
        <f t="shared" si="82"/>
        <v/>
      </c>
      <c r="S946" s="2335">
        <f t="shared" si="81"/>
        <v>0</v>
      </c>
    </row>
    <row r="947" spans="1:19">
      <c r="A947" s="1932">
        <f t="shared" si="83"/>
        <v>0</v>
      </c>
      <c r="B947" s="1932">
        <f t="shared" si="84"/>
        <v>0</v>
      </c>
      <c r="C947" s="1013" t="s">
        <v>245</v>
      </c>
      <c r="D947" s="1013">
        <v>0</v>
      </c>
      <c r="E947" s="1013" t="s">
        <v>22698</v>
      </c>
      <c r="F947" s="1013">
        <v>32</v>
      </c>
      <c r="G947" s="1932" t="str">
        <f>+VLOOKUP(F947,TT_Tabelle_Riferimento!$D$127:$G$164,4,FALSE)</f>
        <v>Autoveicoli - automezzi</v>
      </c>
      <c r="H947" s="1013">
        <v>1</v>
      </c>
      <c r="I947" s="1932" t="str">
        <f>+VLOOKUP(H947,TT_Tabelle_Riferimento!$F$3:$G$6,2,FALSE)</f>
        <v>Servizio idrico integrato</v>
      </c>
      <c r="J947" s="1013">
        <v>2028</v>
      </c>
      <c r="K947" s="2335">
        <f>+SUMIFS('PdI-crono_inv'!BG:BG,'PdI-crono_inv'!CF:CF,F947,'PdI-crono_inv'!CE:CE,H947,'PdI-crono_inv'!J:J,P947,'PdI-crono_inv'!P:P,"&lt;&gt;proprietario")</f>
        <v>0</v>
      </c>
      <c r="M947" s="2335">
        <f>+SUMIFS('PdI-crono_inv'!BH:BH,'PdI-crono_inv'!CF:CF,F947,'PdI-crono_inv'!CE:CE,H947,'PdI-crono_inv'!J:J,P947,'PdI-crono_inv'!P:P,"&lt;&gt;proprietario")+S947</f>
        <v>0</v>
      </c>
      <c r="P947" s="1013" t="s">
        <v>27068</v>
      </c>
      <c r="Q947" s="1932" t="str">
        <f>+VLOOKUP(F947,TT_Tabelle_Riferimento!$D$127:$E$164,2,FALSE)</f>
        <v>Comune</v>
      </c>
      <c r="R947" s="1932" t="str">
        <f t="shared" si="82"/>
        <v/>
      </c>
      <c r="S947" s="2335">
        <f t="shared" si="81"/>
        <v>0</v>
      </c>
    </row>
    <row r="948" spans="1:19">
      <c r="A948" s="1932">
        <f t="shared" si="83"/>
        <v>0</v>
      </c>
      <c r="B948" s="1932">
        <f t="shared" si="84"/>
        <v>0</v>
      </c>
      <c r="C948" s="1013" t="s">
        <v>245</v>
      </c>
      <c r="D948" s="1013">
        <v>0</v>
      </c>
      <c r="E948" s="1013" t="s">
        <v>22698</v>
      </c>
      <c r="F948" s="1013">
        <v>1</v>
      </c>
      <c r="G948" s="1932" t="str">
        <f>+VLOOKUP(F948,TT_Tabelle_Riferimento!$D$127:$G$164,4,FALSE)</f>
        <v>Terreni</v>
      </c>
      <c r="H948" s="1013">
        <v>1</v>
      </c>
      <c r="I948" s="1932" t="str">
        <f>+VLOOKUP(H948,TT_Tabelle_Riferimento!$F$3:$G$6,2,FALSE)</f>
        <v>Servizio idrico integrato</v>
      </c>
      <c r="J948" s="1013">
        <v>2028</v>
      </c>
      <c r="K948" s="2335">
        <f>+SUMIFS('PdI-crono_inv'!BG:BG,'PdI-crono_inv'!CF:CF,F948,'PdI-crono_inv'!CE:CE,H948,'PdI-crono_inv'!J:J,P948,'PdI-crono_inv'!P:P,"&lt;&gt;proprietario")</f>
        <v>0</v>
      </c>
      <c r="M948" s="2335">
        <f>+SUMIFS('PdI-crono_inv'!BH:BH,'PdI-crono_inv'!CF:CF,F948,'PdI-crono_inv'!CE:CE,H948,'PdI-crono_inv'!J:J,P948,'PdI-crono_inv'!P:P,"&lt;&gt;proprietario")+S948</f>
        <v>0</v>
      </c>
      <c r="P948" s="1013" t="s">
        <v>27068</v>
      </c>
      <c r="Q948" s="1932" t="str">
        <f>+VLOOKUP(F948,TT_Tabelle_Riferimento!$D$127:$E$164,2,FALSE)</f>
        <v>Comune</v>
      </c>
      <c r="R948" s="1932" t="str">
        <f t="shared" si="82"/>
        <v/>
      </c>
      <c r="S948" s="2335">
        <f t="shared" si="81"/>
        <v>0</v>
      </c>
    </row>
    <row r="949" spans="1:19">
      <c r="A949" s="1932">
        <f t="shared" si="83"/>
        <v>0</v>
      </c>
      <c r="B949" s="1932">
        <f t="shared" si="84"/>
        <v>0</v>
      </c>
      <c r="C949" s="1013" t="s">
        <v>245</v>
      </c>
      <c r="D949" s="1013">
        <v>0</v>
      </c>
      <c r="E949" s="1013" t="s">
        <v>22698</v>
      </c>
      <c r="F949" s="1013">
        <v>33</v>
      </c>
      <c r="G949" s="1932" t="str">
        <f>+VLOOKUP(F949,TT_Tabelle_Riferimento!$D$127:$G$164,4,FALSE)</f>
        <v>Fabbricati non industriali</v>
      </c>
      <c r="H949" s="1013">
        <v>1</v>
      </c>
      <c r="I949" s="1932" t="str">
        <f>+VLOOKUP(H949,TT_Tabelle_Riferimento!$F$3:$G$6,2,FALSE)</f>
        <v>Servizio idrico integrato</v>
      </c>
      <c r="J949" s="1013">
        <v>2028</v>
      </c>
      <c r="K949" s="2335">
        <f>+SUMIFS('PdI-crono_inv'!BG:BG,'PdI-crono_inv'!CF:CF,F949,'PdI-crono_inv'!CE:CE,H949,'PdI-crono_inv'!J:J,P949,'PdI-crono_inv'!P:P,"&lt;&gt;proprietario")</f>
        <v>0</v>
      </c>
      <c r="M949" s="2335">
        <f>+SUMIFS('PdI-crono_inv'!BH:BH,'PdI-crono_inv'!CF:CF,F949,'PdI-crono_inv'!CE:CE,H949,'PdI-crono_inv'!J:J,P949,'PdI-crono_inv'!P:P,"&lt;&gt;proprietario")+S949</f>
        <v>0</v>
      </c>
      <c r="P949" s="1013" t="s">
        <v>27068</v>
      </c>
      <c r="Q949" s="1932" t="str">
        <f>+VLOOKUP(F949,TT_Tabelle_Riferimento!$D$127:$E$164,2,FALSE)</f>
        <v>Comune</v>
      </c>
      <c r="R949" s="1932" t="str">
        <f t="shared" si="82"/>
        <v/>
      </c>
      <c r="S949" s="2335">
        <f t="shared" si="81"/>
        <v>0</v>
      </c>
    </row>
    <row r="950" spans="1:19">
      <c r="A950" s="1932">
        <f t="shared" si="83"/>
        <v>0</v>
      </c>
      <c r="B950" s="1932">
        <f t="shared" si="84"/>
        <v>0</v>
      </c>
      <c r="C950" s="1013" t="s">
        <v>245</v>
      </c>
      <c r="D950" s="1013">
        <v>0</v>
      </c>
      <c r="E950" s="1013" t="s">
        <v>22698</v>
      </c>
      <c r="F950" s="1013">
        <v>34</v>
      </c>
      <c r="G950" s="1932" t="str">
        <f>+VLOOKUP(F950,TT_Tabelle_Riferimento!$D$127:$G$164,4,FALSE)</f>
        <v>Fabbricati industriali</v>
      </c>
      <c r="H950" s="1013">
        <v>1</v>
      </c>
      <c r="I950" s="1932" t="str">
        <f>+VLOOKUP(H950,TT_Tabelle_Riferimento!$F$3:$G$6,2,FALSE)</f>
        <v>Servizio idrico integrato</v>
      </c>
      <c r="J950" s="1013">
        <v>2028</v>
      </c>
      <c r="K950" s="2335">
        <f>+SUMIFS('PdI-crono_inv'!BG:BG,'PdI-crono_inv'!CF:CF,F950,'PdI-crono_inv'!CE:CE,H950,'PdI-crono_inv'!J:J,P950,'PdI-crono_inv'!P:P,"&lt;&gt;proprietario")</f>
        <v>0</v>
      </c>
      <c r="M950" s="2335">
        <f>+SUMIFS('PdI-crono_inv'!BH:BH,'PdI-crono_inv'!CF:CF,F950,'PdI-crono_inv'!CE:CE,H950,'PdI-crono_inv'!J:J,P950,'PdI-crono_inv'!P:P,"&lt;&gt;proprietario")+S950</f>
        <v>0</v>
      </c>
      <c r="P950" s="1013" t="s">
        <v>27068</v>
      </c>
      <c r="Q950" s="1932" t="str">
        <f>+VLOOKUP(F950,TT_Tabelle_Riferimento!$D$127:$E$164,2,FALSE)</f>
        <v>Comune</v>
      </c>
      <c r="R950" s="1932" t="str">
        <f t="shared" si="82"/>
        <v/>
      </c>
      <c r="S950" s="2335">
        <f t="shared" si="81"/>
        <v>0</v>
      </c>
    </row>
    <row r="951" spans="1:19">
      <c r="A951" s="1932">
        <f t="shared" si="83"/>
        <v>0</v>
      </c>
      <c r="B951" s="1932">
        <f t="shared" si="84"/>
        <v>0</v>
      </c>
      <c r="C951" s="1013" t="s">
        <v>245</v>
      </c>
      <c r="D951" s="1013">
        <v>0</v>
      </c>
      <c r="E951" s="1013" t="s">
        <v>22698</v>
      </c>
      <c r="F951" s="1013">
        <v>35</v>
      </c>
      <c r="G951" s="1932" t="str">
        <f>+VLOOKUP(F951,TT_Tabelle_Riferimento!$D$127:$G$164,4,FALSE)</f>
        <v>Costruzioni leggere</v>
      </c>
      <c r="H951" s="1013">
        <v>1</v>
      </c>
      <c r="I951" s="1932" t="str">
        <f>+VLOOKUP(H951,TT_Tabelle_Riferimento!$F$3:$G$6,2,FALSE)</f>
        <v>Servizio idrico integrato</v>
      </c>
      <c r="J951" s="1013">
        <v>2028</v>
      </c>
      <c r="K951" s="2335">
        <f>+SUMIFS('PdI-crono_inv'!BG:BG,'PdI-crono_inv'!CF:CF,F951,'PdI-crono_inv'!CE:CE,H951,'PdI-crono_inv'!J:J,P951,'PdI-crono_inv'!P:P,"&lt;&gt;proprietario")</f>
        <v>0</v>
      </c>
      <c r="M951" s="2335">
        <f>+SUMIFS('PdI-crono_inv'!BH:BH,'PdI-crono_inv'!CF:CF,F951,'PdI-crono_inv'!CE:CE,H951,'PdI-crono_inv'!J:J,P951,'PdI-crono_inv'!P:P,"&lt;&gt;proprietario")+S951</f>
        <v>0</v>
      </c>
      <c r="P951" s="1013" t="s">
        <v>27068</v>
      </c>
      <c r="Q951" s="1932" t="str">
        <f>+VLOOKUP(F951,TT_Tabelle_Riferimento!$D$127:$E$164,2,FALSE)</f>
        <v>Comune</v>
      </c>
      <c r="R951" s="1932" t="str">
        <f t="shared" si="82"/>
        <v/>
      </c>
      <c r="S951" s="2335">
        <f t="shared" si="81"/>
        <v>0</v>
      </c>
    </row>
    <row r="952" spans="1:19">
      <c r="A952" s="1932">
        <f t="shared" si="83"/>
        <v>0</v>
      </c>
      <c r="B952" s="1932">
        <f t="shared" si="84"/>
        <v>0</v>
      </c>
      <c r="C952" s="1013" t="s">
        <v>245</v>
      </c>
      <c r="D952" s="1013">
        <v>0</v>
      </c>
      <c r="E952" s="1013" t="s">
        <v>22698</v>
      </c>
      <c r="F952" s="1013">
        <v>36</v>
      </c>
      <c r="G952" s="1932" t="str">
        <f>+VLOOKUP(F952,TT_Tabelle_Riferimento!$D$127:$G$164,4,FALSE)</f>
        <v>Studi, ricerche, brevetti, diritti di utilizzazione</v>
      </c>
      <c r="H952" s="1013">
        <v>1</v>
      </c>
      <c r="I952" s="1932" t="str">
        <f>+VLOOKUP(H952,TT_Tabelle_Riferimento!$F$3:$G$6,2,FALSE)</f>
        <v>Servizio idrico integrato</v>
      </c>
      <c r="J952" s="1013">
        <v>2028</v>
      </c>
      <c r="K952" s="2335">
        <f>+SUMIFS('PdI-crono_inv'!BG:BG,'PdI-crono_inv'!CF:CF,F952,'PdI-crono_inv'!CE:CE,H952,'PdI-crono_inv'!J:J,P952,'PdI-crono_inv'!P:P,"&lt;&gt;proprietario")</f>
        <v>0</v>
      </c>
      <c r="M952" s="2335">
        <f>+SUMIFS('PdI-crono_inv'!BH:BH,'PdI-crono_inv'!CF:CF,F952,'PdI-crono_inv'!CE:CE,H952,'PdI-crono_inv'!J:J,P952,'PdI-crono_inv'!P:P,"&lt;&gt;proprietario")+S952</f>
        <v>0</v>
      </c>
      <c r="P952" s="1013" t="s">
        <v>27068</v>
      </c>
      <c r="Q952" s="1932" t="str">
        <f>+VLOOKUP(F952,TT_Tabelle_Riferimento!$D$127:$E$164,2,FALSE)</f>
        <v>Comune</v>
      </c>
      <c r="R952" s="1932" t="str">
        <f t="shared" si="82"/>
        <v/>
      </c>
      <c r="S952" s="2335">
        <f t="shared" si="81"/>
        <v>0</v>
      </c>
    </row>
    <row r="953" spans="1:19">
      <c r="A953" s="1932">
        <v>0</v>
      </c>
      <c r="B953" s="1932">
        <v>0</v>
      </c>
      <c r="C953" s="1013" t="s">
        <v>245</v>
      </c>
      <c r="D953" s="1013">
        <v>0</v>
      </c>
      <c r="E953" s="1013" t="s">
        <v>22698</v>
      </c>
      <c r="F953" s="1013">
        <v>37</v>
      </c>
      <c r="G953" s="1932" t="str">
        <f>+VLOOKUP(F953,TT_Tabelle_Riferimento!$D$127:$G$164,4,FALSE)</f>
        <v>Altre immobilizzazioni materiali e immateriali</v>
      </c>
      <c r="H953" s="1013">
        <v>1</v>
      </c>
      <c r="I953" s="1932" t="str">
        <f>+VLOOKUP(H953,TT_Tabelle_Riferimento!$F$3:$G$6,2,FALSE)</f>
        <v>Servizio idrico integrato</v>
      </c>
      <c r="J953" s="1013">
        <v>2028</v>
      </c>
      <c r="K953" s="2335">
        <f>+SUMIFS('PdI-crono_inv'!BG:BG,'PdI-crono_inv'!CF:CF,F953,'PdI-crono_inv'!CE:CE,H953,'PdI-crono_inv'!J:J,P953,'PdI-crono_inv'!P:P,"&lt;&gt;proprietario")</f>
        <v>0</v>
      </c>
      <c r="M953" s="2335">
        <f>+SUMIFS('PdI-crono_inv'!BH:BH,'PdI-crono_inv'!CF:CF,F953,'PdI-crono_inv'!CE:CE,H953,'PdI-crono_inv'!J:J,P953,'PdI-crono_inv'!P:P,"&lt;&gt;proprietario")+S953</f>
        <v>0</v>
      </c>
      <c r="P953" s="1013" t="s">
        <v>27068</v>
      </c>
      <c r="Q953" s="1932" t="str">
        <f>+VLOOKUP(F953,TT_Tabelle_Riferimento!$D$127:$E$164,2,FALSE)</f>
        <v>Comune</v>
      </c>
      <c r="R953" s="1932" t="str">
        <f t="shared" si="82"/>
        <v/>
      </c>
      <c r="S953" s="2335">
        <f t="shared" si="81"/>
        <v>0</v>
      </c>
    </row>
    <row r="954" spans="1:19">
      <c r="A954" s="1932">
        <v>0</v>
      </c>
      <c r="B954" s="1932">
        <v>0</v>
      </c>
      <c r="C954" s="1013" t="s">
        <v>245</v>
      </c>
      <c r="D954" s="1013">
        <v>0</v>
      </c>
      <c r="E954" s="1013" t="s">
        <v>22698</v>
      </c>
      <c r="F954" s="1013">
        <v>38</v>
      </c>
      <c r="G954" s="1932" t="str">
        <f>+VLOOKUP(F954,TT_Tabelle_Riferimento!$D$127:$G$164,4,FALSE)</f>
        <v>Grandi dighe (sbarramenti che superano i quindici metri di altezza o che determinano un invaso superiore a 1 milione di metri cubi)</v>
      </c>
      <c r="H954" s="1013">
        <v>1</v>
      </c>
      <c r="I954" s="1932" t="str">
        <f>+VLOOKUP(H954,TT_Tabelle_Riferimento!$F$3:$G$6,2,FALSE)</f>
        <v>Servizio idrico integrato</v>
      </c>
      <c r="J954" s="1013">
        <v>2028</v>
      </c>
      <c r="K954" s="2335">
        <f>+SUMIFS('PdI-crono_inv'!BG:BG,'PdI-crono_inv'!CF:CF,F954,'PdI-crono_inv'!CE:CE,H954,'PdI-crono_inv'!J:J,P954,'PdI-crono_inv'!P:P,"&lt;&gt;proprietario")</f>
        <v>0</v>
      </c>
      <c r="M954" s="2335">
        <f>+SUMIFS('PdI-crono_inv'!BH:BH,'PdI-crono_inv'!CF:CF,F954,'PdI-crono_inv'!CE:CE,H954,'PdI-crono_inv'!J:J,P954,'PdI-crono_inv'!P:P,"&lt;&gt;proprietario")+S954</f>
        <v>0</v>
      </c>
      <c r="P954" s="1013" t="s">
        <v>27068</v>
      </c>
      <c r="Q954" s="1932" t="str">
        <f>+VLOOKUP(F954,TT_Tabelle_Riferimento!$D$127:$E$164,2,FALSE)</f>
        <v>Acquedotto</v>
      </c>
      <c r="R954" s="1932" t="str">
        <f t="shared" si="82"/>
        <v/>
      </c>
      <c r="S954" s="2335">
        <f t="shared" si="81"/>
        <v>0</v>
      </c>
    </row>
    <row r="955" spans="1:19">
      <c r="A955" s="1932">
        <v>0</v>
      </c>
      <c r="B955" s="1932">
        <v>0</v>
      </c>
      <c r="C955" s="1013" t="s">
        <v>245</v>
      </c>
      <c r="D955" s="1013">
        <v>0</v>
      </c>
      <c r="E955" s="1013" t="s">
        <v>22698</v>
      </c>
      <c r="F955" s="1013">
        <v>39</v>
      </c>
      <c r="G955" s="1932" t="str">
        <f>+VLOOKUP(F955,TT_Tabelle_Riferimento!$D$127:$G$164,4,FALSE)</f>
        <v>Piccole dighe (sbarramenti che non superano i quindici metri di altezza o che determinano un invaso non superiore a 1 milione di metri cubi)</v>
      </c>
      <c r="H955" s="1013">
        <v>1</v>
      </c>
      <c r="I955" s="1932" t="str">
        <f>+VLOOKUP(H955,TT_Tabelle_Riferimento!$F$3:$G$6,2,FALSE)</f>
        <v>Servizio idrico integrato</v>
      </c>
      <c r="J955" s="1013">
        <v>2028</v>
      </c>
      <c r="K955" s="2335">
        <f>+SUMIFS('PdI-crono_inv'!BG:BG,'PdI-crono_inv'!CF:CF,F955,'PdI-crono_inv'!CE:CE,H955,'PdI-crono_inv'!J:J,P955,'PdI-crono_inv'!P:P,"&lt;&gt;proprietario")</f>
        <v>0</v>
      </c>
      <c r="M955" s="2335">
        <f>+SUMIFS('PdI-crono_inv'!BH:BH,'PdI-crono_inv'!CF:CF,F955,'PdI-crono_inv'!CE:CE,H955,'PdI-crono_inv'!J:J,P955,'PdI-crono_inv'!P:P,"&lt;&gt;proprietario")+S955</f>
        <v>0</v>
      </c>
      <c r="P955" s="1013" t="s">
        <v>27068</v>
      </c>
      <c r="Q955" s="1932" t="str">
        <f>+VLOOKUP(F955,TT_Tabelle_Riferimento!$D$127:$E$164,2,FALSE)</f>
        <v>Acquedotto</v>
      </c>
      <c r="R955" s="1932" t="str">
        <f t="shared" si="82"/>
        <v/>
      </c>
      <c r="S955" s="2335">
        <f t="shared" si="81"/>
        <v>0</v>
      </c>
    </row>
    <row r="956" spans="1:19">
      <c r="A956" s="1932">
        <f t="shared" ref="A956:A990" si="85">+idato</f>
        <v>0</v>
      </c>
      <c r="B956" s="1932">
        <f t="shared" ref="B956:B990" si="86">+idgestore</f>
        <v>0</v>
      </c>
      <c r="C956" s="1013" t="s">
        <v>245</v>
      </c>
      <c r="D956" s="1013">
        <v>0</v>
      </c>
      <c r="E956" s="1013" t="s">
        <v>22698</v>
      </c>
      <c r="F956" s="1013">
        <v>2</v>
      </c>
      <c r="G956" s="1932" t="str">
        <f>+VLOOKUP(F956,TT_Tabelle_Riferimento!$D$127:$G$164,4,FALSE)</f>
        <v>Condotte di acquedotto</v>
      </c>
      <c r="H956" s="1013">
        <v>2</v>
      </c>
      <c r="I956" s="1932" t="str">
        <f>+VLOOKUP(H956,TT_Tabelle_Riferimento!$F$3:$G$6,2,FALSE)</f>
        <v>Fognatura bianca e pulizia / manutenzione caditoie stradali</v>
      </c>
      <c r="J956" s="1013">
        <v>2028</v>
      </c>
      <c r="K956" s="2335">
        <f>+SUMIFS('PdI-crono_inv'!BG:BG,'PdI-crono_inv'!CF:CF,F956,'PdI-crono_inv'!CE:CE,H956,'PdI-crono_inv'!J:J,P956,'PdI-crono_inv'!P:P,"&lt;&gt;proprietario")</f>
        <v>0</v>
      </c>
      <c r="M956" s="2335">
        <f>+SUMIFS('PdI-crono_inv'!BH:BH,'PdI-crono_inv'!CF:CF,F956,'PdI-crono_inv'!CE:CE,H956,'PdI-crono_inv'!J:J,P956,'PdI-crono_inv'!P:P,"&lt;&gt;proprietario")+S956</f>
        <v>0</v>
      </c>
      <c r="P956" s="1013" t="s">
        <v>27068</v>
      </c>
      <c r="Q956" s="1932" t="str">
        <f>+VLOOKUP(F956,TT_Tabelle_Riferimento!$D$127:$E$164,2,FALSE)</f>
        <v>Acquedotto</v>
      </c>
      <c r="R956" s="1932" t="str">
        <f t="shared" si="82"/>
        <v/>
      </c>
      <c r="S956" s="2335">
        <f t="shared" si="81"/>
        <v>0</v>
      </c>
    </row>
    <row r="957" spans="1:19">
      <c r="A957" s="1932">
        <f t="shared" si="85"/>
        <v>0</v>
      </c>
      <c r="B957" s="1932">
        <f t="shared" si="86"/>
        <v>0</v>
      </c>
      <c r="C957" s="1013" t="s">
        <v>245</v>
      </c>
      <c r="D957" s="1013">
        <v>0</v>
      </c>
      <c r="E957" s="1013" t="s">
        <v>22698</v>
      </c>
      <c r="F957" s="1013">
        <v>3</v>
      </c>
      <c r="G957" s="1932" t="str">
        <f>+VLOOKUP(F957,TT_Tabelle_Riferimento!$D$127:$G$164,4,FALSE)</f>
        <v>Opere idrauliche fisse di acquedotto</v>
      </c>
      <c r="H957" s="1013">
        <v>2</v>
      </c>
      <c r="I957" s="1932" t="str">
        <f>+VLOOKUP(H957,TT_Tabelle_Riferimento!$F$3:$G$6,2,FALSE)</f>
        <v>Fognatura bianca e pulizia / manutenzione caditoie stradali</v>
      </c>
      <c r="J957" s="1013">
        <v>2028</v>
      </c>
      <c r="K957" s="2335">
        <f>+SUMIFS('PdI-crono_inv'!BG:BG,'PdI-crono_inv'!CF:CF,F957,'PdI-crono_inv'!CE:CE,H957,'PdI-crono_inv'!J:J,P957,'PdI-crono_inv'!P:P,"&lt;&gt;proprietario")</f>
        <v>0</v>
      </c>
      <c r="M957" s="2335">
        <f>+SUMIFS('PdI-crono_inv'!BH:BH,'PdI-crono_inv'!CF:CF,F957,'PdI-crono_inv'!CE:CE,H957,'PdI-crono_inv'!J:J,P957,'PdI-crono_inv'!P:P,"&lt;&gt;proprietario")+S957</f>
        <v>0</v>
      </c>
      <c r="P957" s="1013" t="s">
        <v>27068</v>
      </c>
      <c r="Q957" s="1932" t="str">
        <f>+VLOOKUP(F957,TT_Tabelle_Riferimento!$D$127:$E$164,2,FALSE)</f>
        <v>Acquedotto</v>
      </c>
      <c r="R957" s="1932" t="str">
        <f t="shared" si="82"/>
        <v/>
      </c>
      <c r="S957" s="2335">
        <f t="shared" si="81"/>
        <v>0</v>
      </c>
    </row>
    <row r="958" spans="1:19">
      <c r="A958" s="1932">
        <f t="shared" si="85"/>
        <v>0</v>
      </c>
      <c r="B958" s="1932">
        <f t="shared" si="86"/>
        <v>0</v>
      </c>
      <c r="C958" s="1013" t="s">
        <v>245</v>
      </c>
      <c r="D958" s="1013">
        <v>0</v>
      </c>
      <c r="E958" s="1013" t="s">
        <v>22698</v>
      </c>
      <c r="F958" s="1013">
        <v>4</v>
      </c>
      <c r="G958" s="1932" t="str">
        <f>+VLOOKUP(F958,TT_Tabelle_Riferimento!$D$127:$G$164,4,FALSE)</f>
        <v>Serbatoi</v>
      </c>
      <c r="H958" s="1013">
        <v>2</v>
      </c>
      <c r="I958" s="1932" t="str">
        <f>+VLOOKUP(H958,TT_Tabelle_Riferimento!$F$3:$G$6,2,FALSE)</f>
        <v>Fognatura bianca e pulizia / manutenzione caditoie stradali</v>
      </c>
      <c r="J958" s="1013">
        <v>2028</v>
      </c>
      <c r="K958" s="2335">
        <f>+SUMIFS('PdI-crono_inv'!BG:BG,'PdI-crono_inv'!CF:CF,F958,'PdI-crono_inv'!CE:CE,H958,'PdI-crono_inv'!J:J,P958,'PdI-crono_inv'!P:P,"&lt;&gt;proprietario")</f>
        <v>0</v>
      </c>
      <c r="M958" s="2335">
        <f>+SUMIFS('PdI-crono_inv'!BH:BH,'PdI-crono_inv'!CF:CF,F958,'PdI-crono_inv'!CE:CE,H958,'PdI-crono_inv'!J:J,P958,'PdI-crono_inv'!P:P,"&lt;&gt;proprietario")+S958</f>
        <v>0</v>
      </c>
      <c r="P958" s="1013" t="s">
        <v>27068</v>
      </c>
      <c r="Q958" s="1932" t="str">
        <f>+VLOOKUP(F958,TT_Tabelle_Riferimento!$D$127:$E$164,2,FALSE)</f>
        <v>Acquedotto</v>
      </c>
      <c r="R958" s="1932" t="str">
        <f t="shared" si="82"/>
        <v/>
      </c>
      <c r="S958" s="2335">
        <f t="shared" si="81"/>
        <v>0</v>
      </c>
    </row>
    <row r="959" spans="1:19">
      <c r="A959" s="1932">
        <f t="shared" si="85"/>
        <v>0</v>
      </c>
      <c r="B959" s="1932">
        <f t="shared" si="86"/>
        <v>0</v>
      </c>
      <c r="C959" s="1013" t="s">
        <v>245</v>
      </c>
      <c r="D959" s="1013">
        <v>0</v>
      </c>
      <c r="E959" s="1013" t="s">
        <v>22698</v>
      </c>
      <c r="F959" s="1013">
        <v>5</v>
      </c>
      <c r="G959" s="1932" t="str">
        <f>+VLOOKUP(F959,TT_Tabelle_Riferimento!$D$127:$G$164,4,FALSE)</f>
        <v>Impianti di sollevamento e pompaggio di acquedotto</v>
      </c>
      <c r="H959" s="1013">
        <v>2</v>
      </c>
      <c r="I959" s="1932" t="str">
        <f>+VLOOKUP(H959,TT_Tabelle_Riferimento!$F$3:$G$6,2,FALSE)</f>
        <v>Fognatura bianca e pulizia / manutenzione caditoie stradali</v>
      </c>
      <c r="J959" s="1013">
        <v>2028</v>
      </c>
      <c r="K959" s="2335">
        <f>+SUMIFS('PdI-crono_inv'!BG:BG,'PdI-crono_inv'!CF:CF,F959,'PdI-crono_inv'!CE:CE,H959,'PdI-crono_inv'!J:J,P959,'PdI-crono_inv'!P:P,"&lt;&gt;proprietario")</f>
        <v>0</v>
      </c>
      <c r="M959" s="2335">
        <f>+SUMIFS('PdI-crono_inv'!BH:BH,'PdI-crono_inv'!CF:CF,F959,'PdI-crono_inv'!CE:CE,H959,'PdI-crono_inv'!J:J,P959,'PdI-crono_inv'!P:P,"&lt;&gt;proprietario")+S959</f>
        <v>0</v>
      </c>
      <c r="P959" s="1013" t="s">
        <v>27068</v>
      </c>
      <c r="Q959" s="1932" t="str">
        <f>+VLOOKUP(F959,TT_Tabelle_Riferimento!$D$127:$E$164,2,FALSE)</f>
        <v>Acquedotto</v>
      </c>
      <c r="R959" s="1932" t="str">
        <f t="shared" si="82"/>
        <v/>
      </c>
      <c r="S959" s="2335">
        <f t="shared" si="81"/>
        <v>0</v>
      </c>
    </row>
    <row r="960" spans="1:19">
      <c r="A960" s="1932">
        <f t="shared" si="85"/>
        <v>0</v>
      </c>
      <c r="B960" s="1932">
        <f t="shared" si="86"/>
        <v>0</v>
      </c>
      <c r="C960" s="1013" t="s">
        <v>245</v>
      </c>
      <c r="D960" s="1013">
        <v>0</v>
      </c>
      <c r="E960" s="1013" t="s">
        <v>22698</v>
      </c>
      <c r="F960" s="1013">
        <v>6</v>
      </c>
      <c r="G960" s="1932" t="str">
        <f>+VLOOKUP(F960,TT_Tabelle_Riferimento!$D$127:$G$164,4,FALSE)</f>
        <v>Impianti di potabilizzazione</v>
      </c>
      <c r="H960" s="1013">
        <v>2</v>
      </c>
      <c r="I960" s="1932" t="str">
        <f>+VLOOKUP(H960,TT_Tabelle_Riferimento!$F$3:$G$6,2,FALSE)</f>
        <v>Fognatura bianca e pulizia / manutenzione caditoie stradali</v>
      </c>
      <c r="J960" s="1013">
        <v>2028</v>
      </c>
      <c r="K960" s="2335">
        <f>+SUMIFS('PdI-crono_inv'!BG:BG,'PdI-crono_inv'!CF:CF,F960,'PdI-crono_inv'!CE:CE,H960,'PdI-crono_inv'!J:J,P960,'PdI-crono_inv'!P:P,"&lt;&gt;proprietario")</f>
        <v>0</v>
      </c>
      <c r="M960" s="2335">
        <f>+SUMIFS('PdI-crono_inv'!BH:BH,'PdI-crono_inv'!CF:CF,F960,'PdI-crono_inv'!CE:CE,H960,'PdI-crono_inv'!J:J,P960,'PdI-crono_inv'!P:P,"&lt;&gt;proprietario")+S960</f>
        <v>0</v>
      </c>
      <c r="P960" s="1013" t="s">
        <v>27068</v>
      </c>
      <c r="Q960" s="1932" t="str">
        <f>+VLOOKUP(F960,TT_Tabelle_Riferimento!$D$127:$E$164,2,FALSE)</f>
        <v>Acquedotto</v>
      </c>
      <c r="R960" s="1932" t="str">
        <f t="shared" si="82"/>
        <v/>
      </c>
      <c r="S960" s="2335">
        <f t="shared" si="81"/>
        <v>0</v>
      </c>
    </row>
    <row r="961" spans="1:19">
      <c r="A961" s="1932">
        <f t="shared" si="85"/>
        <v>0</v>
      </c>
      <c r="B961" s="1932">
        <f t="shared" si="86"/>
        <v>0</v>
      </c>
      <c r="C961" s="1013" t="s">
        <v>245</v>
      </c>
      <c r="D961" s="1013">
        <v>0</v>
      </c>
      <c r="E961" s="1013" t="s">
        <v>22698</v>
      </c>
      <c r="F961" s="1013">
        <v>7</v>
      </c>
      <c r="G961" s="1932" t="str">
        <f>+VLOOKUP(F961,TT_Tabelle_Riferimento!$D$127:$G$164,4,FALSE)</f>
        <v>Altri trattamenti di potabilizzazione (tra cui dispositivi di disinfezione, stacciatura, filtrazione, addolcimento)</v>
      </c>
      <c r="H961" s="1013">
        <v>2</v>
      </c>
      <c r="I961" s="1932" t="str">
        <f>+VLOOKUP(H961,TT_Tabelle_Riferimento!$F$3:$G$6,2,FALSE)</f>
        <v>Fognatura bianca e pulizia / manutenzione caditoie stradali</v>
      </c>
      <c r="J961" s="1013">
        <v>2028</v>
      </c>
      <c r="K961" s="2335">
        <f>+SUMIFS('PdI-crono_inv'!BG:BG,'PdI-crono_inv'!CF:CF,F961,'PdI-crono_inv'!CE:CE,H961,'PdI-crono_inv'!J:J,P961,'PdI-crono_inv'!P:P,"&lt;&gt;proprietario")</f>
        <v>0</v>
      </c>
      <c r="M961" s="2335">
        <f>+SUMIFS('PdI-crono_inv'!BH:BH,'PdI-crono_inv'!CF:CF,F961,'PdI-crono_inv'!CE:CE,H961,'PdI-crono_inv'!J:J,P961,'PdI-crono_inv'!P:P,"&lt;&gt;proprietario")+S961</f>
        <v>0</v>
      </c>
      <c r="P961" s="1013" t="s">
        <v>27068</v>
      </c>
      <c r="Q961" s="1932" t="str">
        <f>+VLOOKUP(F961,TT_Tabelle_Riferimento!$D$127:$E$164,2,FALSE)</f>
        <v>Acquedotto</v>
      </c>
      <c r="R961" s="1932" t="str">
        <f t="shared" si="82"/>
        <v/>
      </c>
      <c r="S961" s="2335">
        <f t="shared" si="81"/>
        <v>0</v>
      </c>
    </row>
    <row r="962" spans="1:19">
      <c r="A962" s="1932">
        <f t="shared" si="85"/>
        <v>0</v>
      </c>
      <c r="B962" s="1932">
        <f t="shared" si="86"/>
        <v>0</v>
      </c>
      <c r="C962" s="1013" t="s">
        <v>245</v>
      </c>
      <c r="D962" s="1013">
        <v>0</v>
      </c>
      <c r="E962" s="1013" t="s">
        <v>22698</v>
      </c>
      <c r="F962" s="1013">
        <v>8</v>
      </c>
      <c r="G962" s="1932" t="str">
        <f>+VLOOKUP(F962,TT_Tabelle_Riferimento!$D$127:$G$164,4,FALSE)</f>
        <v>Gruppi di misura - altre attrezzature di acquedotto</v>
      </c>
      <c r="H962" s="1013">
        <v>2</v>
      </c>
      <c r="I962" s="1932" t="str">
        <f>+VLOOKUP(H962,TT_Tabelle_Riferimento!$F$3:$G$6,2,FALSE)</f>
        <v>Fognatura bianca e pulizia / manutenzione caditoie stradali</v>
      </c>
      <c r="J962" s="1013">
        <v>2028</v>
      </c>
      <c r="K962" s="2335">
        <f>+SUMIFS('PdI-crono_inv'!BG:BG,'PdI-crono_inv'!CF:CF,F962,'PdI-crono_inv'!CE:CE,H962,'PdI-crono_inv'!J:J,P962,'PdI-crono_inv'!P:P,"&lt;&gt;proprietario")</f>
        <v>0</v>
      </c>
      <c r="M962" s="2335">
        <f>+SUMIFS('PdI-crono_inv'!BH:BH,'PdI-crono_inv'!CF:CF,F962,'PdI-crono_inv'!CE:CE,H962,'PdI-crono_inv'!J:J,P962,'PdI-crono_inv'!P:P,"&lt;&gt;proprietario")+S962</f>
        <v>0</v>
      </c>
      <c r="P962" s="1013" t="s">
        <v>27068</v>
      </c>
      <c r="Q962" s="1932" t="str">
        <f>+VLOOKUP(F962,TT_Tabelle_Riferimento!$D$127:$E$164,2,FALSE)</f>
        <v>Acquedotto</v>
      </c>
      <c r="R962" s="1932" t="str">
        <f t="shared" si="82"/>
        <v/>
      </c>
      <c r="S962" s="2335">
        <f t="shared" si="81"/>
        <v>0</v>
      </c>
    </row>
    <row r="963" spans="1:19">
      <c r="A963" s="1932">
        <f t="shared" si="85"/>
        <v>0</v>
      </c>
      <c r="B963" s="1932">
        <f t="shared" si="86"/>
        <v>0</v>
      </c>
      <c r="C963" s="1013" t="s">
        <v>245</v>
      </c>
      <c r="D963" s="1013">
        <v>0</v>
      </c>
      <c r="E963" s="1013" t="s">
        <v>22698</v>
      </c>
      <c r="F963" s="1013">
        <v>9</v>
      </c>
      <c r="G963" s="1932" t="str">
        <f>+VLOOKUP(F963,TT_Tabelle_Riferimento!$D$127:$G$164,4,FALSE)</f>
        <v>Sistemi informativi di acquedotto</v>
      </c>
      <c r="H963" s="1013">
        <v>2</v>
      </c>
      <c r="I963" s="1932" t="str">
        <f>+VLOOKUP(H963,TT_Tabelle_Riferimento!$F$3:$G$6,2,FALSE)</f>
        <v>Fognatura bianca e pulizia / manutenzione caditoie stradali</v>
      </c>
      <c r="J963" s="1013">
        <v>2028</v>
      </c>
      <c r="K963" s="2335">
        <f>+SUMIFS('PdI-crono_inv'!BG:BG,'PdI-crono_inv'!CF:CF,F963,'PdI-crono_inv'!CE:CE,H963,'PdI-crono_inv'!J:J,P963,'PdI-crono_inv'!P:P,"&lt;&gt;proprietario")</f>
        <v>0</v>
      </c>
      <c r="M963" s="2335">
        <f>+SUMIFS('PdI-crono_inv'!BH:BH,'PdI-crono_inv'!CF:CF,F963,'PdI-crono_inv'!CE:CE,H963,'PdI-crono_inv'!J:J,P963,'PdI-crono_inv'!P:P,"&lt;&gt;proprietario")+S963</f>
        <v>0</v>
      </c>
      <c r="P963" s="1013" t="s">
        <v>27068</v>
      </c>
      <c r="Q963" s="1932" t="str">
        <f>+VLOOKUP(F963,TT_Tabelle_Riferimento!$D$127:$E$164,2,FALSE)</f>
        <v>Acquedotto</v>
      </c>
      <c r="R963" s="1932" t="str">
        <f t="shared" si="82"/>
        <v/>
      </c>
      <c r="S963" s="2335">
        <f t="shared" si="81"/>
        <v>0</v>
      </c>
    </row>
    <row r="964" spans="1:19">
      <c r="A964" s="1932">
        <f t="shared" si="85"/>
        <v>0</v>
      </c>
      <c r="B964" s="1932">
        <f t="shared" si="86"/>
        <v>0</v>
      </c>
      <c r="C964" s="1013" t="s">
        <v>245</v>
      </c>
      <c r="D964" s="1013">
        <v>0</v>
      </c>
      <c r="E964" s="1013" t="s">
        <v>22698</v>
      </c>
      <c r="F964" s="1013">
        <v>10</v>
      </c>
      <c r="G964" s="1932" t="str">
        <f>+VLOOKUP(F964,TT_Tabelle_Riferimento!$D$127:$G$164,4,FALSE)</f>
        <v>Telecontrollo e teletrasmissione di acquedotto</v>
      </c>
      <c r="H964" s="1013">
        <v>2</v>
      </c>
      <c r="I964" s="1932" t="str">
        <f>+VLOOKUP(H964,TT_Tabelle_Riferimento!$F$3:$G$6,2,FALSE)</f>
        <v>Fognatura bianca e pulizia / manutenzione caditoie stradali</v>
      </c>
      <c r="J964" s="1013">
        <v>2028</v>
      </c>
      <c r="K964" s="2335">
        <f>+SUMIFS('PdI-crono_inv'!BG:BG,'PdI-crono_inv'!CF:CF,F964,'PdI-crono_inv'!CE:CE,H964,'PdI-crono_inv'!J:J,P964,'PdI-crono_inv'!P:P,"&lt;&gt;proprietario")</f>
        <v>0</v>
      </c>
      <c r="M964" s="2335">
        <f>+SUMIFS('PdI-crono_inv'!BH:BH,'PdI-crono_inv'!CF:CF,F964,'PdI-crono_inv'!CE:CE,H964,'PdI-crono_inv'!J:J,P964,'PdI-crono_inv'!P:P,"&lt;&gt;proprietario")+S964</f>
        <v>0</v>
      </c>
      <c r="P964" s="1013" t="s">
        <v>27068</v>
      </c>
      <c r="Q964" s="1932" t="str">
        <f>+VLOOKUP(F964,TT_Tabelle_Riferimento!$D$127:$E$164,2,FALSE)</f>
        <v>Acquedotto</v>
      </c>
      <c r="R964" s="1932" t="str">
        <f t="shared" si="82"/>
        <v/>
      </c>
      <c r="S964" s="2335">
        <f t="shared" si="81"/>
        <v>0</v>
      </c>
    </row>
    <row r="965" spans="1:19">
      <c r="A965" s="1932">
        <f t="shared" si="85"/>
        <v>0</v>
      </c>
      <c r="B965" s="1932">
        <f t="shared" si="86"/>
        <v>0</v>
      </c>
      <c r="C965" s="1013" t="s">
        <v>245</v>
      </c>
      <c r="D965" s="1013">
        <v>0</v>
      </c>
      <c r="E965" s="1013" t="s">
        <v>22698</v>
      </c>
      <c r="F965" s="1013">
        <v>11</v>
      </c>
      <c r="G965" s="1932" t="str">
        <f>+VLOOKUP(F965,TT_Tabelle_Riferimento!$D$127:$G$164,4,FALSE)</f>
        <v>Condotte fognarie</v>
      </c>
      <c r="H965" s="1013">
        <v>2</v>
      </c>
      <c r="I965" s="1932" t="str">
        <f>+VLOOKUP(H965,TT_Tabelle_Riferimento!$F$3:$G$6,2,FALSE)</f>
        <v>Fognatura bianca e pulizia / manutenzione caditoie stradali</v>
      </c>
      <c r="J965" s="1013">
        <v>2028</v>
      </c>
      <c r="K965" s="2335">
        <f>+SUMIFS('PdI-crono_inv'!BG:BG,'PdI-crono_inv'!CF:CF,F965,'PdI-crono_inv'!CE:CE,H965,'PdI-crono_inv'!J:J,P965,'PdI-crono_inv'!P:P,"&lt;&gt;proprietario")</f>
        <v>0</v>
      </c>
      <c r="M965" s="2335">
        <f>+SUMIFS('PdI-crono_inv'!BH:BH,'PdI-crono_inv'!CF:CF,F965,'PdI-crono_inv'!CE:CE,H965,'PdI-crono_inv'!J:J,P965,'PdI-crono_inv'!P:P,"&lt;&gt;proprietario")+S965</f>
        <v>0</v>
      </c>
      <c r="P965" s="1013" t="s">
        <v>27068</v>
      </c>
      <c r="Q965" s="1932" t="str">
        <f>+VLOOKUP(F965,TT_Tabelle_Riferimento!$D$127:$E$164,2,FALSE)</f>
        <v>Fognatura</v>
      </c>
      <c r="R965" s="1932" t="str">
        <f t="shared" si="82"/>
        <v/>
      </c>
      <c r="S965" s="2335">
        <f t="shared" si="81"/>
        <v>0</v>
      </c>
    </row>
    <row r="966" spans="1:19">
      <c r="A966" s="1932">
        <f t="shared" si="85"/>
        <v>0</v>
      </c>
      <c r="B966" s="1932">
        <f t="shared" si="86"/>
        <v>0</v>
      </c>
      <c r="C966" s="1013" t="s">
        <v>245</v>
      </c>
      <c r="D966" s="1013">
        <v>0</v>
      </c>
      <c r="E966" s="1013" t="s">
        <v>22698</v>
      </c>
      <c r="F966" s="1013">
        <v>12</v>
      </c>
      <c r="G966" s="1932" t="str">
        <f>+VLOOKUP(F966,TT_Tabelle_Riferimento!$D$127:$G$164,4,FALSE)</f>
        <v>Sifoni e scaricatori di piena e altre opere idrauliche fisse di fognatura</v>
      </c>
      <c r="H966" s="1013">
        <v>2</v>
      </c>
      <c r="I966" s="1932" t="str">
        <f>+VLOOKUP(H966,TT_Tabelle_Riferimento!$F$3:$G$6,2,FALSE)</f>
        <v>Fognatura bianca e pulizia / manutenzione caditoie stradali</v>
      </c>
      <c r="J966" s="1013">
        <v>2028</v>
      </c>
      <c r="K966" s="2335">
        <f>+SUMIFS('PdI-crono_inv'!BG:BG,'PdI-crono_inv'!CF:CF,F966,'PdI-crono_inv'!CE:CE,H966,'PdI-crono_inv'!J:J,P966,'PdI-crono_inv'!P:P,"&lt;&gt;proprietario")</f>
        <v>0</v>
      </c>
      <c r="M966" s="2335">
        <f>+SUMIFS('PdI-crono_inv'!BH:BH,'PdI-crono_inv'!CF:CF,F966,'PdI-crono_inv'!CE:CE,H966,'PdI-crono_inv'!J:J,P966,'PdI-crono_inv'!P:P,"&lt;&gt;proprietario")+S966</f>
        <v>0</v>
      </c>
      <c r="P966" s="1013" t="s">
        <v>27068</v>
      </c>
      <c r="Q966" s="1932" t="str">
        <f>+VLOOKUP(F966,TT_Tabelle_Riferimento!$D$127:$E$164,2,FALSE)</f>
        <v>Fognatura</v>
      </c>
      <c r="R966" s="1932" t="str">
        <f t="shared" si="82"/>
        <v/>
      </c>
      <c r="S966" s="2335">
        <f t="shared" si="81"/>
        <v>0</v>
      </c>
    </row>
    <row r="967" spans="1:19">
      <c r="A967" s="1932">
        <f t="shared" si="85"/>
        <v>0</v>
      </c>
      <c r="B967" s="1932">
        <f t="shared" si="86"/>
        <v>0</v>
      </c>
      <c r="C967" s="1013" t="s">
        <v>245</v>
      </c>
      <c r="D967" s="1013">
        <v>0</v>
      </c>
      <c r="E967" s="1013" t="s">
        <v>22698</v>
      </c>
      <c r="F967" s="1013">
        <v>13</v>
      </c>
      <c r="G967" s="1932" t="str">
        <f>+VLOOKUP(F967,TT_Tabelle_Riferimento!$D$127:$G$164,4,FALSE)</f>
        <v>Vasche di laminazione e vasche di prima pioggia</v>
      </c>
      <c r="H967" s="1013">
        <v>2</v>
      </c>
      <c r="I967" s="1932" t="str">
        <f>+VLOOKUP(H967,TT_Tabelle_Riferimento!$F$3:$G$6,2,FALSE)</f>
        <v>Fognatura bianca e pulizia / manutenzione caditoie stradali</v>
      </c>
      <c r="J967" s="1013">
        <v>2028</v>
      </c>
      <c r="K967" s="2335">
        <f>+SUMIFS('PdI-crono_inv'!BG:BG,'PdI-crono_inv'!CF:CF,F967,'PdI-crono_inv'!CE:CE,H967,'PdI-crono_inv'!J:J,P967,'PdI-crono_inv'!P:P,"&lt;&gt;proprietario")</f>
        <v>0</v>
      </c>
      <c r="M967" s="2335">
        <f>+SUMIFS('PdI-crono_inv'!BH:BH,'PdI-crono_inv'!CF:CF,F967,'PdI-crono_inv'!CE:CE,H967,'PdI-crono_inv'!J:J,P967,'PdI-crono_inv'!P:P,"&lt;&gt;proprietario")+S967</f>
        <v>0</v>
      </c>
      <c r="P967" s="1013" t="s">
        <v>27068</v>
      </c>
      <c r="Q967" s="1932" t="str">
        <f>+VLOOKUP(F967,TT_Tabelle_Riferimento!$D$127:$E$164,2,FALSE)</f>
        <v>Fognatura</v>
      </c>
      <c r="R967" s="1932" t="str">
        <f t="shared" si="82"/>
        <v/>
      </c>
      <c r="S967" s="2335">
        <f t="shared" ref="S967:S1030" si="87">+IFERROR(HLOOKUP(J967,$X$2:$Y$5,4,FALSE)*K967,0)</f>
        <v>0</v>
      </c>
    </row>
    <row r="968" spans="1:19">
      <c r="A968" s="1932">
        <f t="shared" si="85"/>
        <v>0</v>
      </c>
      <c r="B968" s="1932">
        <f t="shared" si="86"/>
        <v>0</v>
      </c>
      <c r="C968" s="1013" t="s">
        <v>245</v>
      </c>
      <c r="D968" s="1013">
        <v>0</v>
      </c>
      <c r="E968" s="1013" t="s">
        <v>22698</v>
      </c>
      <c r="F968" s="1013">
        <v>14</v>
      </c>
      <c r="G968" s="1932" t="str">
        <f>+VLOOKUP(F968,TT_Tabelle_Riferimento!$D$127:$G$164,4,FALSE)</f>
        <v>Impianti di sollevamento e pompaggio di fognatura</v>
      </c>
      <c r="H968" s="1013">
        <v>2</v>
      </c>
      <c r="I968" s="1932" t="str">
        <f>+VLOOKUP(H968,TT_Tabelle_Riferimento!$F$3:$G$6,2,FALSE)</f>
        <v>Fognatura bianca e pulizia / manutenzione caditoie stradali</v>
      </c>
      <c r="J968" s="1013">
        <v>2028</v>
      </c>
      <c r="K968" s="2335">
        <f>+SUMIFS('PdI-crono_inv'!BG:BG,'PdI-crono_inv'!CF:CF,F968,'PdI-crono_inv'!CE:CE,H968,'PdI-crono_inv'!J:J,P968,'PdI-crono_inv'!P:P,"&lt;&gt;proprietario")</f>
        <v>0</v>
      </c>
      <c r="M968" s="2335">
        <f>+SUMIFS('PdI-crono_inv'!BH:BH,'PdI-crono_inv'!CF:CF,F968,'PdI-crono_inv'!CE:CE,H968,'PdI-crono_inv'!J:J,P968,'PdI-crono_inv'!P:P,"&lt;&gt;proprietario")+S968</f>
        <v>0</v>
      </c>
      <c r="P968" s="1013" t="s">
        <v>27068</v>
      </c>
      <c r="Q968" s="1932" t="str">
        <f>+VLOOKUP(F968,TT_Tabelle_Riferimento!$D$127:$E$164,2,FALSE)</f>
        <v>Fognatura</v>
      </c>
      <c r="R968" s="1932" t="str">
        <f t="shared" si="82"/>
        <v/>
      </c>
      <c r="S968" s="2335">
        <f t="shared" si="87"/>
        <v>0</v>
      </c>
    </row>
    <row r="969" spans="1:19">
      <c r="A969" s="1932">
        <f t="shared" si="85"/>
        <v>0</v>
      </c>
      <c r="B969" s="1932">
        <f t="shared" si="86"/>
        <v>0</v>
      </c>
      <c r="C969" s="1013" t="s">
        <v>245</v>
      </c>
      <c r="D969" s="1013">
        <v>0</v>
      </c>
      <c r="E969" s="1013" t="s">
        <v>22698</v>
      </c>
      <c r="F969" s="1013">
        <v>15</v>
      </c>
      <c r="G969" s="1932" t="str">
        <f>+VLOOKUP(F969,TT_Tabelle_Riferimento!$D$127:$G$164,4,FALSE)</f>
        <v>Gruppi di misura - altre attrezzature di fognatura</v>
      </c>
      <c r="H969" s="1013">
        <v>2</v>
      </c>
      <c r="I969" s="1932" t="str">
        <f>+VLOOKUP(H969,TT_Tabelle_Riferimento!$F$3:$G$6,2,FALSE)</f>
        <v>Fognatura bianca e pulizia / manutenzione caditoie stradali</v>
      </c>
      <c r="J969" s="1013">
        <v>2028</v>
      </c>
      <c r="K969" s="2335">
        <f>+SUMIFS('PdI-crono_inv'!BG:BG,'PdI-crono_inv'!CF:CF,F969,'PdI-crono_inv'!CE:CE,H969,'PdI-crono_inv'!J:J,P969,'PdI-crono_inv'!P:P,"&lt;&gt;proprietario")</f>
        <v>0</v>
      </c>
      <c r="M969" s="2335">
        <f>+SUMIFS('PdI-crono_inv'!BH:BH,'PdI-crono_inv'!CF:CF,F969,'PdI-crono_inv'!CE:CE,H969,'PdI-crono_inv'!J:J,P969,'PdI-crono_inv'!P:P,"&lt;&gt;proprietario")+S969</f>
        <v>0</v>
      </c>
      <c r="P969" s="1013" t="s">
        <v>27068</v>
      </c>
      <c r="Q969" s="1932" t="str">
        <f>+VLOOKUP(F969,TT_Tabelle_Riferimento!$D$127:$E$164,2,FALSE)</f>
        <v>Fognatura</v>
      </c>
      <c r="R969" s="1932" t="str">
        <f t="shared" si="82"/>
        <v/>
      </c>
      <c r="S969" s="2335">
        <f t="shared" si="87"/>
        <v>0</v>
      </c>
    </row>
    <row r="970" spans="1:19">
      <c r="A970" s="1932">
        <f t="shared" si="85"/>
        <v>0</v>
      </c>
      <c r="B970" s="1932">
        <f t="shared" si="86"/>
        <v>0</v>
      </c>
      <c r="C970" s="1013" t="s">
        <v>245</v>
      </c>
      <c r="D970" s="1013">
        <v>0</v>
      </c>
      <c r="E970" s="1013" t="s">
        <v>22698</v>
      </c>
      <c r="F970" s="1013">
        <v>16</v>
      </c>
      <c r="G970" s="1932" t="str">
        <f>+VLOOKUP(F970,TT_Tabelle_Riferimento!$D$127:$G$164,4,FALSE)</f>
        <v>Sistemi informativi di fognatura</v>
      </c>
      <c r="H970" s="1013">
        <v>2</v>
      </c>
      <c r="I970" s="1932" t="str">
        <f>+VLOOKUP(H970,TT_Tabelle_Riferimento!$F$3:$G$6,2,FALSE)</f>
        <v>Fognatura bianca e pulizia / manutenzione caditoie stradali</v>
      </c>
      <c r="J970" s="1013">
        <v>2028</v>
      </c>
      <c r="K970" s="2335">
        <f>+SUMIFS('PdI-crono_inv'!BG:BG,'PdI-crono_inv'!CF:CF,F970,'PdI-crono_inv'!CE:CE,H970,'PdI-crono_inv'!J:J,P970,'PdI-crono_inv'!P:P,"&lt;&gt;proprietario")</f>
        <v>0</v>
      </c>
      <c r="M970" s="2335">
        <f>+SUMIFS('PdI-crono_inv'!BH:BH,'PdI-crono_inv'!CF:CF,F970,'PdI-crono_inv'!CE:CE,H970,'PdI-crono_inv'!J:J,P970,'PdI-crono_inv'!P:P,"&lt;&gt;proprietario")+S970</f>
        <v>0</v>
      </c>
      <c r="P970" s="1013" t="s">
        <v>27068</v>
      </c>
      <c r="Q970" s="1932" t="str">
        <f>+VLOOKUP(F970,TT_Tabelle_Riferimento!$D$127:$E$164,2,FALSE)</f>
        <v>Fognatura</v>
      </c>
      <c r="R970" s="1932" t="str">
        <f t="shared" si="82"/>
        <v/>
      </c>
      <c r="S970" s="2335">
        <f t="shared" si="87"/>
        <v>0</v>
      </c>
    </row>
    <row r="971" spans="1:19">
      <c r="A971" s="1932">
        <f t="shared" si="85"/>
        <v>0</v>
      </c>
      <c r="B971" s="1932">
        <f t="shared" si="86"/>
        <v>0</v>
      </c>
      <c r="C971" s="1013" t="s">
        <v>245</v>
      </c>
      <c r="D971" s="1013">
        <v>0</v>
      </c>
      <c r="E971" s="1013" t="s">
        <v>22698</v>
      </c>
      <c r="F971" s="1013">
        <v>18</v>
      </c>
      <c r="G971" s="1932" t="str">
        <f>+VLOOKUP(F971,TT_Tabelle_Riferimento!$D$127:$G$164,4,FALSE)</f>
        <v>Telecontrollo e teletrasmissione di fognatura</v>
      </c>
      <c r="H971" s="1013">
        <v>2</v>
      </c>
      <c r="I971" s="1932" t="str">
        <f>+VLOOKUP(H971,TT_Tabelle_Riferimento!$F$3:$G$6,2,FALSE)</f>
        <v>Fognatura bianca e pulizia / manutenzione caditoie stradali</v>
      </c>
      <c r="J971" s="1013">
        <v>2028</v>
      </c>
      <c r="K971" s="2335">
        <f>+SUMIFS('PdI-crono_inv'!BG:BG,'PdI-crono_inv'!CF:CF,F971,'PdI-crono_inv'!CE:CE,H971,'PdI-crono_inv'!J:J,P971,'PdI-crono_inv'!P:P,"&lt;&gt;proprietario")</f>
        <v>0</v>
      </c>
      <c r="M971" s="2335">
        <f>+SUMIFS('PdI-crono_inv'!BH:BH,'PdI-crono_inv'!CF:CF,F971,'PdI-crono_inv'!CE:CE,H971,'PdI-crono_inv'!J:J,P971,'PdI-crono_inv'!P:P,"&lt;&gt;proprietario")+S971</f>
        <v>0</v>
      </c>
      <c r="P971" s="1013" t="s">
        <v>27068</v>
      </c>
      <c r="Q971" s="1932" t="str">
        <f>+VLOOKUP(F971,TT_Tabelle_Riferimento!$D$127:$E$164,2,FALSE)</f>
        <v>Fognatura</v>
      </c>
      <c r="R971" s="1932" t="str">
        <f t="shared" si="82"/>
        <v/>
      </c>
      <c r="S971" s="2335">
        <f t="shared" si="87"/>
        <v>0</v>
      </c>
    </row>
    <row r="972" spans="1:19">
      <c r="A972" s="1932">
        <f t="shared" si="85"/>
        <v>0</v>
      </c>
      <c r="B972" s="1932">
        <f t="shared" si="86"/>
        <v>0</v>
      </c>
      <c r="C972" s="1013" t="s">
        <v>245</v>
      </c>
      <c r="D972" s="1013">
        <v>0</v>
      </c>
      <c r="E972" s="1013" t="s">
        <v>22698</v>
      </c>
      <c r="F972" s="1013">
        <v>19</v>
      </c>
      <c r="G972" s="1932" t="str">
        <f>+VLOOKUP(F972,TT_Tabelle_Riferimento!$D$127:$G$164,4,FALSE)</f>
        <v>Impianti di sollevamento e pompaggio di depurazione</v>
      </c>
      <c r="H972" s="1013">
        <v>2</v>
      </c>
      <c r="I972" s="1932" t="str">
        <f>+VLOOKUP(H972,TT_Tabelle_Riferimento!$F$3:$G$6,2,FALSE)</f>
        <v>Fognatura bianca e pulizia / manutenzione caditoie stradali</v>
      </c>
      <c r="J972" s="1013">
        <v>2028</v>
      </c>
      <c r="K972" s="2335">
        <f>+SUMIFS('PdI-crono_inv'!BG:BG,'PdI-crono_inv'!CF:CF,F972,'PdI-crono_inv'!CE:CE,H972,'PdI-crono_inv'!J:J,P972,'PdI-crono_inv'!P:P,"&lt;&gt;proprietario")</f>
        <v>0</v>
      </c>
      <c r="M972" s="2335">
        <f>+SUMIFS('PdI-crono_inv'!BH:BH,'PdI-crono_inv'!CF:CF,F972,'PdI-crono_inv'!CE:CE,H972,'PdI-crono_inv'!J:J,P972,'PdI-crono_inv'!P:P,"&lt;&gt;proprietario")+S972</f>
        <v>0</v>
      </c>
      <c r="P972" s="1013" t="s">
        <v>27068</v>
      </c>
      <c r="Q972" s="1932" t="str">
        <f>+VLOOKUP(F972,TT_Tabelle_Riferimento!$D$127:$E$164,2,FALSE)</f>
        <v>Depurazione</v>
      </c>
      <c r="R972" s="1932" t="str">
        <f t="shared" si="82"/>
        <v/>
      </c>
      <c r="S972" s="2335">
        <f t="shared" si="87"/>
        <v>0</v>
      </c>
    </row>
    <row r="973" spans="1:19">
      <c r="A973" s="1932">
        <f t="shared" si="85"/>
        <v>0</v>
      </c>
      <c r="B973" s="1932">
        <f t="shared" si="86"/>
        <v>0</v>
      </c>
      <c r="C973" s="1013" t="s">
        <v>245</v>
      </c>
      <c r="D973" s="1013">
        <v>0</v>
      </c>
      <c r="E973" s="1013" t="s">
        <v>22698</v>
      </c>
      <c r="F973" s="1013">
        <v>20</v>
      </c>
      <c r="G973" s="1932" t="str">
        <f>+VLOOKUP(F973,TT_Tabelle_Riferimento!$D$127:$G$164,4,FALSE)</f>
        <v>Tecniche naturali di depurazione (tra cui fitodepurazione e lagunaggio)</v>
      </c>
      <c r="H973" s="1013">
        <v>2</v>
      </c>
      <c r="I973" s="1932" t="str">
        <f>+VLOOKUP(H973,TT_Tabelle_Riferimento!$F$3:$G$6,2,FALSE)</f>
        <v>Fognatura bianca e pulizia / manutenzione caditoie stradali</v>
      </c>
      <c r="J973" s="1013">
        <v>2028</v>
      </c>
      <c r="K973" s="2335">
        <f>+SUMIFS('PdI-crono_inv'!BG:BG,'PdI-crono_inv'!CF:CF,F973,'PdI-crono_inv'!CE:CE,H973,'PdI-crono_inv'!J:J,P973,'PdI-crono_inv'!P:P,"&lt;&gt;proprietario")</f>
        <v>0</v>
      </c>
      <c r="M973" s="2335">
        <f>+SUMIFS('PdI-crono_inv'!BH:BH,'PdI-crono_inv'!CF:CF,F973,'PdI-crono_inv'!CE:CE,H973,'PdI-crono_inv'!J:J,P973,'PdI-crono_inv'!P:P,"&lt;&gt;proprietario")+S973</f>
        <v>0</v>
      </c>
      <c r="P973" s="1013" t="s">
        <v>27068</v>
      </c>
      <c r="Q973" s="1932" t="str">
        <f>+VLOOKUP(F973,TT_Tabelle_Riferimento!$D$127:$E$164,2,FALSE)</f>
        <v>Depurazione</v>
      </c>
      <c r="R973" s="1932" t="str">
        <f t="shared" si="82"/>
        <v/>
      </c>
      <c r="S973" s="2335">
        <f t="shared" si="87"/>
        <v>0</v>
      </c>
    </row>
    <row r="974" spans="1:19">
      <c r="A974" s="1932">
        <f t="shared" si="85"/>
        <v>0</v>
      </c>
      <c r="B974" s="1932">
        <f t="shared" si="86"/>
        <v>0</v>
      </c>
      <c r="C974" s="1013" t="s">
        <v>245</v>
      </c>
      <c r="D974" s="1013">
        <v>0</v>
      </c>
      <c r="E974" s="1013" t="s">
        <v>22698</v>
      </c>
      <c r="F974" s="1013">
        <v>21</v>
      </c>
      <c r="G974" s="1932" t="str">
        <f>+VLOOKUP(F974,TT_Tabelle_Riferimento!$D$127:$G$164,4,FALSE)</f>
        <v>Impianti di depurazione – trattamenti sino al preliminare, integrativo, primario - fosse settiche e fosse Imhoff</v>
      </c>
      <c r="H974" s="1013">
        <v>2</v>
      </c>
      <c r="I974" s="1932" t="str">
        <f>+VLOOKUP(H974,TT_Tabelle_Riferimento!$F$3:$G$6,2,FALSE)</f>
        <v>Fognatura bianca e pulizia / manutenzione caditoie stradali</v>
      </c>
      <c r="J974" s="1013">
        <v>2028</v>
      </c>
      <c r="K974" s="2335">
        <f>+SUMIFS('PdI-crono_inv'!BG:BG,'PdI-crono_inv'!CF:CF,F974,'PdI-crono_inv'!CE:CE,H974,'PdI-crono_inv'!J:J,P974,'PdI-crono_inv'!P:P,"&lt;&gt;proprietario")</f>
        <v>0</v>
      </c>
      <c r="M974" s="2335">
        <f>+SUMIFS('PdI-crono_inv'!BH:BH,'PdI-crono_inv'!CF:CF,F974,'PdI-crono_inv'!CE:CE,H974,'PdI-crono_inv'!J:J,P974,'PdI-crono_inv'!P:P,"&lt;&gt;proprietario")+S974</f>
        <v>0</v>
      </c>
      <c r="P974" s="1013" t="s">
        <v>27068</v>
      </c>
      <c r="Q974" s="1932" t="str">
        <f>+VLOOKUP(F974,TT_Tabelle_Riferimento!$D$127:$E$164,2,FALSE)</f>
        <v>Depurazione</v>
      </c>
      <c r="R974" s="1932" t="str">
        <f t="shared" si="82"/>
        <v/>
      </c>
      <c r="S974" s="2335">
        <f t="shared" si="87"/>
        <v>0</v>
      </c>
    </row>
    <row r="975" spans="1:19">
      <c r="A975" s="1932">
        <f t="shared" si="85"/>
        <v>0</v>
      </c>
      <c r="B975" s="1932">
        <f t="shared" si="86"/>
        <v>0</v>
      </c>
      <c r="C975" s="1013" t="s">
        <v>245</v>
      </c>
      <c r="D975" s="1013">
        <v>0</v>
      </c>
      <c r="E975" s="1013" t="s">
        <v>22698</v>
      </c>
      <c r="F975" s="1013">
        <v>22</v>
      </c>
      <c r="G975" s="1932" t="str">
        <f>+VLOOKUP(F975,TT_Tabelle_Riferimento!$D$127:$G$164,4,FALSE)</f>
        <v>Impianti di depurazione – trattamenti sino al secondario</v>
      </c>
      <c r="H975" s="1013">
        <v>2</v>
      </c>
      <c r="I975" s="1932" t="str">
        <f>+VLOOKUP(H975,TT_Tabelle_Riferimento!$F$3:$G$6,2,FALSE)</f>
        <v>Fognatura bianca e pulizia / manutenzione caditoie stradali</v>
      </c>
      <c r="J975" s="1013">
        <v>2028</v>
      </c>
      <c r="K975" s="2335">
        <f>+SUMIFS('PdI-crono_inv'!BG:BG,'PdI-crono_inv'!CF:CF,F975,'PdI-crono_inv'!CE:CE,H975,'PdI-crono_inv'!J:J,P975,'PdI-crono_inv'!P:P,"&lt;&gt;proprietario")</f>
        <v>0</v>
      </c>
      <c r="M975" s="2335">
        <f>+SUMIFS('PdI-crono_inv'!BH:BH,'PdI-crono_inv'!CF:CF,F975,'PdI-crono_inv'!CE:CE,H975,'PdI-crono_inv'!J:J,P975,'PdI-crono_inv'!P:P,"&lt;&gt;proprietario")+S975</f>
        <v>0</v>
      </c>
      <c r="P975" s="1013" t="s">
        <v>27068</v>
      </c>
      <c r="Q975" s="1932" t="str">
        <f>+VLOOKUP(F975,TT_Tabelle_Riferimento!$D$127:$E$164,2,FALSE)</f>
        <v>Depurazione</v>
      </c>
      <c r="R975" s="1932" t="str">
        <f t="shared" si="82"/>
        <v/>
      </c>
      <c r="S975" s="2335">
        <f t="shared" si="87"/>
        <v>0</v>
      </c>
    </row>
    <row r="976" spans="1:19">
      <c r="A976" s="1932">
        <f t="shared" si="85"/>
        <v>0</v>
      </c>
      <c r="B976" s="1932">
        <f t="shared" si="86"/>
        <v>0</v>
      </c>
      <c r="C976" s="1013" t="s">
        <v>245</v>
      </c>
      <c r="D976" s="1013">
        <v>0</v>
      </c>
      <c r="E976" s="1013" t="s">
        <v>22698</v>
      </c>
      <c r="F976" s="1013">
        <v>23</v>
      </c>
      <c r="G976" s="1932" t="str">
        <f>+VLOOKUP(F976,TT_Tabelle_Riferimento!$D$127:$G$164,4,FALSE)</f>
        <v>Impianti di depurazione – trattamenti sino al terziario e terziario avanzato</v>
      </c>
      <c r="H976" s="1013">
        <v>2</v>
      </c>
      <c r="I976" s="1932" t="str">
        <f>+VLOOKUP(H976,TT_Tabelle_Riferimento!$F$3:$G$6,2,FALSE)</f>
        <v>Fognatura bianca e pulizia / manutenzione caditoie stradali</v>
      </c>
      <c r="J976" s="1013">
        <v>2028</v>
      </c>
      <c r="K976" s="2335">
        <f>+SUMIFS('PdI-crono_inv'!BG:BG,'PdI-crono_inv'!CF:CF,F976,'PdI-crono_inv'!CE:CE,H976,'PdI-crono_inv'!J:J,P976,'PdI-crono_inv'!P:P,"&lt;&gt;proprietario")</f>
        <v>0</v>
      </c>
      <c r="M976" s="2335">
        <f>+SUMIFS('PdI-crono_inv'!BH:BH,'PdI-crono_inv'!CF:CF,F976,'PdI-crono_inv'!CE:CE,H976,'PdI-crono_inv'!J:J,P976,'PdI-crono_inv'!P:P,"&lt;&gt;proprietario")+S976</f>
        <v>0</v>
      </c>
      <c r="P976" s="1013" t="s">
        <v>27068</v>
      </c>
      <c r="Q976" s="1932" t="str">
        <f>+VLOOKUP(F976,TT_Tabelle_Riferimento!$D$127:$E$164,2,FALSE)</f>
        <v>Depurazione</v>
      </c>
      <c r="R976" s="1932" t="str">
        <f t="shared" si="82"/>
        <v/>
      </c>
      <c r="S976" s="2335">
        <f t="shared" si="87"/>
        <v>0</v>
      </c>
    </row>
    <row r="977" spans="1:19">
      <c r="A977" s="1932">
        <f t="shared" si="85"/>
        <v>0</v>
      </c>
      <c r="B977" s="1932">
        <f t="shared" si="86"/>
        <v>0</v>
      </c>
      <c r="C977" s="1013" t="s">
        <v>245</v>
      </c>
      <c r="D977" s="1013">
        <v>0</v>
      </c>
      <c r="E977" s="1013" t="s">
        <v>22698</v>
      </c>
      <c r="F977" s="1013">
        <v>24</v>
      </c>
      <c r="G977" s="1932" t="str">
        <f>+VLOOKUP(F977,TT_Tabelle_Riferimento!$D$127:$G$164,4,FALSE)</f>
        <v>Impianti di essiccamento fanghi e di valorizzazione dei fanghi (tra cui mono-incenerimento, pirolisi, gassificazione)</v>
      </c>
      <c r="H977" s="1013">
        <v>2</v>
      </c>
      <c r="I977" s="1932" t="str">
        <f>+VLOOKUP(H977,TT_Tabelle_Riferimento!$F$3:$G$6,2,FALSE)</f>
        <v>Fognatura bianca e pulizia / manutenzione caditoie stradali</v>
      </c>
      <c r="J977" s="1013">
        <v>2028</v>
      </c>
      <c r="K977" s="2335">
        <f>+SUMIFS('PdI-crono_inv'!BG:BG,'PdI-crono_inv'!CF:CF,F977,'PdI-crono_inv'!CE:CE,H977,'PdI-crono_inv'!J:J,P977,'PdI-crono_inv'!P:P,"&lt;&gt;proprietario")</f>
        <v>0</v>
      </c>
      <c r="M977" s="2335">
        <f>+SUMIFS('PdI-crono_inv'!BH:BH,'PdI-crono_inv'!CF:CF,F977,'PdI-crono_inv'!CE:CE,H977,'PdI-crono_inv'!J:J,P977,'PdI-crono_inv'!P:P,"&lt;&gt;proprietario")+S977</f>
        <v>0</v>
      </c>
      <c r="P977" s="1013" t="s">
        <v>27068</v>
      </c>
      <c r="Q977" s="1932" t="str">
        <f>+VLOOKUP(F977,TT_Tabelle_Riferimento!$D$127:$E$164,2,FALSE)</f>
        <v>Depurazione</v>
      </c>
      <c r="R977" s="1932" t="str">
        <f t="shared" si="82"/>
        <v/>
      </c>
      <c r="S977" s="2335">
        <f t="shared" si="87"/>
        <v>0</v>
      </c>
    </row>
    <row r="978" spans="1:19">
      <c r="A978" s="1932">
        <f t="shared" si="85"/>
        <v>0</v>
      </c>
      <c r="B978" s="1932">
        <f t="shared" si="86"/>
        <v>0</v>
      </c>
      <c r="C978" s="1013" t="s">
        <v>245</v>
      </c>
      <c r="D978" s="1013">
        <v>0</v>
      </c>
      <c r="E978" s="1013" t="s">
        <v>22698</v>
      </c>
      <c r="F978" s="1013">
        <v>25</v>
      </c>
      <c r="G978" s="1932" t="str">
        <f>+VLOOKUP(F978,TT_Tabelle_Riferimento!$D$127:$G$164,4,FALSE)</f>
        <v>Gruppi di misura - altre attrezzature di depurazione</v>
      </c>
      <c r="H978" s="1013">
        <v>2</v>
      </c>
      <c r="I978" s="1932" t="str">
        <f>+VLOOKUP(H978,TT_Tabelle_Riferimento!$F$3:$G$6,2,FALSE)</f>
        <v>Fognatura bianca e pulizia / manutenzione caditoie stradali</v>
      </c>
      <c r="J978" s="1013">
        <v>2028</v>
      </c>
      <c r="K978" s="2335">
        <f>+SUMIFS('PdI-crono_inv'!BG:BG,'PdI-crono_inv'!CF:CF,F978,'PdI-crono_inv'!CE:CE,H978,'PdI-crono_inv'!J:J,P978,'PdI-crono_inv'!P:P,"&lt;&gt;proprietario")</f>
        <v>0</v>
      </c>
      <c r="M978" s="2335">
        <f>+SUMIFS('PdI-crono_inv'!BH:BH,'PdI-crono_inv'!CF:CF,F978,'PdI-crono_inv'!CE:CE,H978,'PdI-crono_inv'!J:J,P978,'PdI-crono_inv'!P:P,"&lt;&gt;proprietario")+S978</f>
        <v>0</v>
      </c>
      <c r="P978" s="1013" t="s">
        <v>27068</v>
      </c>
      <c r="Q978" s="1932" t="str">
        <f>+VLOOKUP(F978,TT_Tabelle_Riferimento!$D$127:$E$164,2,FALSE)</f>
        <v>Depurazione</v>
      </c>
      <c r="R978" s="1932" t="str">
        <f t="shared" si="82"/>
        <v/>
      </c>
      <c r="S978" s="2335">
        <f t="shared" si="87"/>
        <v>0</v>
      </c>
    </row>
    <row r="979" spans="1:19">
      <c r="A979" s="1932">
        <f t="shared" si="85"/>
        <v>0</v>
      </c>
      <c r="B979" s="1932">
        <f t="shared" si="86"/>
        <v>0</v>
      </c>
      <c r="C979" s="1013" t="s">
        <v>245</v>
      </c>
      <c r="D979" s="1013">
        <v>0</v>
      </c>
      <c r="E979" s="1013" t="s">
        <v>22698</v>
      </c>
      <c r="F979" s="1013">
        <v>26</v>
      </c>
      <c r="G979" s="1932" t="str">
        <f>+VLOOKUP(F979,TT_Tabelle_Riferimento!$D$127:$G$164,4,FALSE)</f>
        <v>Sistemi informativi di depurazione</v>
      </c>
      <c r="H979" s="1013">
        <v>2</v>
      </c>
      <c r="I979" s="1932" t="str">
        <f>+VLOOKUP(H979,TT_Tabelle_Riferimento!$F$3:$G$6,2,FALSE)</f>
        <v>Fognatura bianca e pulizia / manutenzione caditoie stradali</v>
      </c>
      <c r="J979" s="1013">
        <v>2028</v>
      </c>
      <c r="K979" s="2335">
        <f>+SUMIFS('PdI-crono_inv'!BG:BG,'PdI-crono_inv'!CF:CF,F979,'PdI-crono_inv'!CE:CE,H979,'PdI-crono_inv'!J:J,P979,'PdI-crono_inv'!P:P,"&lt;&gt;proprietario")</f>
        <v>0</v>
      </c>
      <c r="M979" s="2335">
        <f>+SUMIFS('PdI-crono_inv'!BH:BH,'PdI-crono_inv'!CF:CF,F979,'PdI-crono_inv'!CE:CE,H979,'PdI-crono_inv'!J:J,P979,'PdI-crono_inv'!P:P,"&lt;&gt;proprietario")+S979</f>
        <v>0</v>
      </c>
      <c r="P979" s="1013" t="s">
        <v>27068</v>
      </c>
      <c r="Q979" s="1932" t="str">
        <f>+VLOOKUP(F979,TT_Tabelle_Riferimento!$D$127:$E$164,2,FALSE)</f>
        <v>Depurazione</v>
      </c>
      <c r="R979" s="1932" t="str">
        <f t="shared" si="82"/>
        <v/>
      </c>
      <c r="S979" s="2335">
        <f t="shared" si="87"/>
        <v>0</v>
      </c>
    </row>
    <row r="980" spans="1:19">
      <c r="A980" s="1932">
        <f t="shared" si="85"/>
        <v>0</v>
      </c>
      <c r="B980" s="1932">
        <f t="shared" si="86"/>
        <v>0</v>
      </c>
      <c r="C980" s="1013" t="s">
        <v>245</v>
      </c>
      <c r="D980" s="1013">
        <v>0</v>
      </c>
      <c r="E980" s="1013" t="s">
        <v>22698</v>
      </c>
      <c r="F980" s="1013">
        <v>27</v>
      </c>
      <c r="G980" s="1932" t="str">
        <f>+VLOOKUP(F980,TT_Tabelle_Riferimento!$D$127:$G$164,4,FALSE)</f>
        <v>Telecontrollo e teletrasmissione di depurazione</v>
      </c>
      <c r="H980" s="1013">
        <v>2</v>
      </c>
      <c r="I980" s="1932" t="str">
        <f>+VLOOKUP(H980,TT_Tabelle_Riferimento!$F$3:$G$6,2,FALSE)</f>
        <v>Fognatura bianca e pulizia / manutenzione caditoie stradali</v>
      </c>
      <c r="J980" s="1013">
        <v>2028</v>
      </c>
      <c r="K980" s="2335">
        <f>+SUMIFS('PdI-crono_inv'!BG:BG,'PdI-crono_inv'!CF:CF,F980,'PdI-crono_inv'!CE:CE,H980,'PdI-crono_inv'!J:J,P980,'PdI-crono_inv'!P:P,"&lt;&gt;proprietario")</f>
        <v>0</v>
      </c>
      <c r="M980" s="2335">
        <f>+SUMIFS('PdI-crono_inv'!BH:BH,'PdI-crono_inv'!CF:CF,F980,'PdI-crono_inv'!CE:CE,H980,'PdI-crono_inv'!J:J,P980,'PdI-crono_inv'!P:P,"&lt;&gt;proprietario")+S980</f>
        <v>0</v>
      </c>
      <c r="P980" s="1013" t="s">
        <v>27068</v>
      </c>
      <c r="Q980" s="1932" t="str">
        <f>+VLOOKUP(F980,TT_Tabelle_Riferimento!$D$127:$E$164,2,FALSE)</f>
        <v>Depurazione</v>
      </c>
      <c r="R980" s="1932" t="str">
        <f t="shared" si="82"/>
        <v/>
      </c>
      <c r="S980" s="2335">
        <f t="shared" si="87"/>
        <v>0</v>
      </c>
    </row>
    <row r="981" spans="1:19">
      <c r="A981" s="1932">
        <f t="shared" si="85"/>
        <v>0</v>
      </c>
      <c r="B981" s="1932">
        <f t="shared" si="86"/>
        <v>0</v>
      </c>
      <c r="C981" s="1013" t="s">
        <v>245</v>
      </c>
      <c r="D981" s="1013">
        <v>0</v>
      </c>
      <c r="E981" s="1013" t="s">
        <v>22698</v>
      </c>
      <c r="F981" s="1013">
        <v>28</v>
      </c>
      <c r="G981" s="1932" t="str">
        <f>+VLOOKUP(F981,TT_Tabelle_Riferimento!$D$127:$G$164,4,FALSE)</f>
        <v>Altri impianti</v>
      </c>
      <c r="H981" s="1013">
        <v>2</v>
      </c>
      <c r="I981" s="1932" t="str">
        <f>+VLOOKUP(H981,TT_Tabelle_Riferimento!$F$3:$G$6,2,FALSE)</f>
        <v>Fognatura bianca e pulizia / manutenzione caditoie stradali</v>
      </c>
      <c r="J981" s="1013">
        <v>2028</v>
      </c>
      <c r="K981" s="2335">
        <f>+SUMIFS('PdI-crono_inv'!BG:BG,'PdI-crono_inv'!CF:CF,F981,'PdI-crono_inv'!CE:CE,H981,'PdI-crono_inv'!J:J,P981,'PdI-crono_inv'!P:P,"&lt;&gt;proprietario")</f>
        <v>0</v>
      </c>
      <c r="M981" s="2335">
        <f>+SUMIFS('PdI-crono_inv'!BH:BH,'PdI-crono_inv'!CF:CF,F981,'PdI-crono_inv'!CE:CE,H981,'PdI-crono_inv'!J:J,P981,'PdI-crono_inv'!P:P,"&lt;&gt;proprietario")+S981</f>
        <v>0</v>
      </c>
      <c r="P981" s="1013" t="s">
        <v>27068</v>
      </c>
      <c r="Q981" s="1932" t="str">
        <f>+VLOOKUP(F981,TT_Tabelle_Riferimento!$D$127:$E$164,2,FALSE)</f>
        <v>Comune</v>
      </c>
      <c r="R981" s="1932" t="str">
        <f t="shared" si="82"/>
        <v/>
      </c>
      <c r="S981" s="2335">
        <f t="shared" si="87"/>
        <v>0</v>
      </c>
    </row>
    <row r="982" spans="1:19">
      <c r="A982" s="1932">
        <f t="shared" si="85"/>
        <v>0</v>
      </c>
      <c r="B982" s="1932">
        <f t="shared" si="86"/>
        <v>0</v>
      </c>
      <c r="C982" s="1013" t="s">
        <v>245</v>
      </c>
      <c r="D982" s="1013">
        <v>0</v>
      </c>
      <c r="E982" s="1013" t="s">
        <v>22698</v>
      </c>
      <c r="F982" s="1013">
        <v>29</v>
      </c>
      <c r="G982" s="1932" t="str">
        <f>+VLOOKUP(F982,TT_Tabelle_Riferimento!$D$127:$G$164,4,FALSE)</f>
        <v>Laboratori e attrezzature</v>
      </c>
      <c r="H982" s="1013">
        <v>2</v>
      </c>
      <c r="I982" s="1932" t="str">
        <f>+VLOOKUP(H982,TT_Tabelle_Riferimento!$F$3:$G$6,2,FALSE)</f>
        <v>Fognatura bianca e pulizia / manutenzione caditoie stradali</v>
      </c>
      <c r="J982" s="1013">
        <v>2028</v>
      </c>
      <c r="K982" s="2335">
        <f>+SUMIFS('PdI-crono_inv'!BG:BG,'PdI-crono_inv'!CF:CF,F982,'PdI-crono_inv'!CE:CE,H982,'PdI-crono_inv'!J:J,P982,'PdI-crono_inv'!P:P,"&lt;&gt;proprietario")</f>
        <v>0</v>
      </c>
      <c r="M982" s="2335">
        <f>+SUMIFS('PdI-crono_inv'!BH:BH,'PdI-crono_inv'!CF:CF,F982,'PdI-crono_inv'!CE:CE,H982,'PdI-crono_inv'!J:J,P982,'PdI-crono_inv'!P:P,"&lt;&gt;proprietario")+S982</f>
        <v>0</v>
      </c>
      <c r="P982" s="1013" t="s">
        <v>27068</v>
      </c>
      <c r="Q982" s="1932" t="str">
        <f>+VLOOKUP(F982,TT_Tabelle_Riferimento!$D$127:$E$164,2,FALSE)</f>
        <v>Comune</v>
      </c>
      <c r="R982" s="1932" t="str">
        <f t="shared" si="82"/>
        <v/>
      </c>
      <c r="S982" s="2335">
        <f t="shared" si="87"/>
        <v>0</v>
      </c>
    </row>
    <row r="983" spans="1:19">
      <c r="A983" s="1932">
        <f t="shared" si="85"/>
        <v>0</v>
      </c>
      <c r="B983" s="1932">
        <f t="shared" si="86"/>
        <v>0</v>
      </c>
      <c r="C983" s="1013" t="s">
        <v>245</v>
      </c>
      <c r="D983" s="1013">
        <v>0</v>
      </c>
      <c r="E983" s="1013" t="s">
        <v>22698</v>
      </c>
      <c r="F983" s="1013">
        <v>30</v>
      </c>
      <c r="G983" s="1932" t="str">
        <f>+VLOOKUP(F983,TT_Tabelle_Riferimento!$D$127:$G$164,4,FALSE)</f>
        <v>Sistemi informativi</v>
      </c>
      <c r="H983" s="1013">
        <v>2</v>
      </c>
      <c r="I983" s="1932" t="str">
        <f>+VLOOKUP(H983,TT_Tabelle_Riferimento!$F$3:$G$6,2,FALSE)</f>
        <v>Fognatura bianca e pulizia / manutenzione caditoie stradali</v>
      </c>
      <c r="J983" s="1013">
        <v>2028</v>
      </c>
      <c r="K983" s="2335">
        <f>+SUMIFS('PdI-crono_inv'!BG:BG,'PdI-crono_inv'!CF:CF,F983,'PdI-crono_inv'!CE:CE,H983,'PdI-crono_inv'!J:J,P983,'PdI-crono_inv'!P:P,"&lt;&gt;proprietario")</f>
        <v>0</v>
      </c>
      <c r="M983" s="2335">
        <f>+SUMIFS('PdI-crono_inv'!BH:BH,'PdI-crono_inv'!CF:CF,F983,'PdI-crono_inv'!CE:CE,H983,'PdI-crono_inv'!J:J,P983,'PdI-crono_inv'!P:P,"&lt;&gt;proprietario")+S983</f>
        <v>0</v>
      </c>
      <c r="P983" s="1013" t="s">
        <v>27068</v>
      </c>
      <c r="Q983" s="1932" t="str">
        <f>+VLOOKUP(F983,TT_Tabelle_Riferimento!$D$127:$E$164,2,FALSE)</f>
        <v>Comune</v>
      </c>
      <c r="R983" s="1932" t="str">
        <f t="shared" si="82"/>
        <v/>
      </c>
      <c r="S983" s="2335">
        <f t="shared" si="87"/>
        <v>0</v>
      </c>
    </row>
    <row r="984" spans="1:19">
      <c r="A984" s="1932">
        <f t="shared" si="85"/>
        <v>0</v>
      </c>
      <c r="B984" s="1932">
        <f t="shared" si="86"/>
        <v>0</v>
      </c>
      <c r="C984" s="1013" t="s">
        <v>245</v>
      </c>
      <c r="D984" s="1013">
        <v>0</v>
      </c>
      <c r="E984" s="1013" t="s">
        <v>22698</v>
      </c>
      <c r="F984" s="1013">
        <v>31</v>
      </c>
      <c r="G984" s="1932" t="str">
        <f>+VLOOKUP(F984,TT_Tabelle_Riferimento!$D$127:$G$164,4,FALSE)</f>
        <v>Telecontrollo e teletrasmissione</v>
      </c>
      <c r="H984" s="1013">
        <v>2</v>
      </c>
      <c r="I984" s="1932" t="str">
        <f>+VLOOKUP(H984,TT_Tabelle_Riferimento!$F$3:$G$6,2,FALSE)</f>
        <v>Fognatura bianca e pulizia / manutenzione caditoie stradali</v>
      </c>
      <c r="J984" s="1013">
        <v>2028</v>
      </c>
      <c r="K984" s="2335">
        <f>+SUMIFS('PdI-crono_inv'!BG:BG,'PdI-crono_inv'!CF:CF,F984,'PdI-crono_inv'!CE:CE,H984,'PdI-crono_inv'!J:J,P984,'PdI-crono_inv'!P:P,"&lt;&gt;proprietario")</f>
        <v>0</v>
      </c>
      <c r="M984" s="2335">
        <f>+SUMIFS('PdI-crono_inv'!BH:BH,'PdI-crono_inv'!CF:CF,F984,'PdI-crono_inv'!CE:CE,H984,'PdI-crono_inv'!J:J,P984,'PdI-crono_inv'!P:P,"&lt;&gt;proprietario")+S984</f>
        <v>0</v>
      </c>
      <c r="P984" s="1013" t="s">
        <v>27068</v>
      </c>
      <c r="Q984" s="1932" t="str">
        <f>+VLOOKUP(F984,TT_Tabelle_Riferimento!$D$127:$E$164,2,FALSE)</f>
        <v>Comune</v>
      </c>
      <c r="R984" s="1932" t="str">
        <f t="shared" ref="R984:R1031" si="88">+IF(SUM(K984:N984)=0,"","PdI_consolidamento")</f>
        <v/>
      </c>
      <c r="S984" s="2335">
        <f t="shared" si="87"/>
        <v>0</v>
      </c>
    </row>
    <row r="985" spans="1:19">
      <c r="A985" s="1932">
        <f t="shared" si="85"/>
        <v>0</v>
      </c>
      <c r="B985" s="1932">
        <f t="shared" si="86"/>
        <v>0</v>
      </c>
      <c r="C985" s="1013" t="s">
        <v>245</v>
      </c>
      <c r="D985" s="1013">
        <v>0</v>
      </c>
      <c r="E985" s="1013" t="s">
        <v>22698</v>
      </c>
      <c r="F985" s="1013">
        <v>32</v>
      </c>
      <c r="G985" s="1932" t="str">
        <f>+VLOOKUP(F985,TT_Tabelle_Riferimento!$D$127:$G$164,4,FALSE)</f>
        <v>Autoveicoli - automezzi</v>
      </c>
      <c r="H985" s="1013">
        <v>2</v>
      </c>
      <c r="I985" s="1932" t="str">
        <f>+VLOOKUP(H985,TT_Tabelle_Riferimento!$F$3:$G$6,2,FALSE)</f>
        <v>Fognatura bianca e pulizia / manutenzione caditoie stradali</v>
      </c>
      <c r="J985" s="1013">
        <v>2028</v>
      </c>
      <c r="K985" s="2335">
        <f>+SUMIFS('PdI-crono_inv'!BG:BG,'PdI-crono_inv'!CF:CF,F985,'PdI-crono_inv'!CE:CE,H985,'PdI-crono_inv'!J:J,P985,'PdI-crono_inv'!P:P,"&lt;&gt;proprietario")</f>
        <v>0</v>
      </c>
      <c r="M985" s="2335">
        <f>+SUMIFS('PdI-crono_inv'!BH:BH,'PdI-crono_inv'!CF:CF,F985,'PdI-crono_inv'!CE:CE,H985,'PdI-crono_inv'!J:J,P985,'PdI-crono_inv'!P:P,"&lt;&gt;proprietario")+S985</f>
        <v>0</v>
      </c>
      <c r="P985" s="1013" t="s">
        <v>27068</v>
      </c>
      <c r="Q985" s="1932" t="str">
        <f>+VLOOKUP(F985,TT_Tabelle_Riferimento!$D$127:$E$164,2,FALSE)</f>
        <v>Comune</v>
      </c>
      <c r="R985" s="1932" t="str">
        <f t="shared" si="88"/>
        <v/>
      </c>
      <c r="S985" s="2335">
        <f t="shared" si="87"/>
        <v>0</v>
      </c>
    </row>
    <row r="986" spans="1:19">
      <c r="A986" s="1932">
        <f t="shared" si="85"/>
        <v>0</v>
      </c>
      <c r="B986" s="1932">
        <f t="shared" si="86"/>
        <v>0</v>
      </c>
      <c r="C986" s="1013" t="s">
        <v>245</v>
      </c>
      <c r="D986" s="1013">
        <v>0</v>
      </c>
      <c r="E986" s="1013" t="s">
        <v>22698</v>
      </c>
      <c r="F986" s="1013">
        <v>1</v>
      </c>
      <c r="G986" s="1932" t="str">
        <f>+VLOOKUP(F986,TT_Tabelle_Riferimento!$D$127:$G$164,4,FALSE)</f>
        <v>Terreni</v>
      </c>
      <c r="H986" s="1013">
        <v>2</v>
      </c>
      <c r="I986" s="1932" t="str">
        <f>+VLOOKUP(H986,TT_Tabelle_Riferimento!$F$3:$G$6,2,FALSE)</f>
        <v>Fognatura bianca e pulizia / manutenzione caditoie stradali</v>
      </c>
      <c r="J986" s="1013">
        <v>2028</v>
      </c>
      <c r="K986" s="2335">
        <f>+SUMIFS('PdI-crono_inv'!BG:BG,'PdI-crono_inv'!CF:CF,F986,'PdI-crono_inv'!CE:CE,H986,'PdI-crono_inv'!J:J,P986,'PdI-crono_inv'!P:P,"&lt;&gt;proprietario")</f>
        <v>0</v>
      </c>
      <c r="M986" s="2335">
        <f>+SUMIFS('PdI-crono_inv'!BH:BH,'PdI-crono_inv'!CF:CF,F986,'PdI-crono_inv'!CE:CE,H986,'PdI-crono_inv'!J:J,P986,'PdI-crono_inv'!P:P,"&lt;&gt;proprietario")+S986</f>
        <v>0</v>
      </c>
      <c r="P986" s="1013" t="s">
        <v>27068</v>
      </c>
      <c r="Q986" s="1932" t="str">
        <f>+VLOOKUP(F986,TT_Tabelle_Riferimento!$D$127:$E$164,2,FALSE)</f>
        <v>Comune</v>
      </c>
      <c r="R986" s="1932" t="str">
        <f t="shared" si="88"/>
        <v/>
      </c>
      <c r="S986" s="2335">
        <f t="shared" si="87"/>
        <v>0</v>
      </c>
    </row>
    <row r="987" spans="1:19">
      <c r="A987" s="1932">
        <f t="shared" si="85"/>
        <v>0</v>
      </c>
      <c r="B987" s="1932">
        <f t="shared" si="86"/>
        <v>0</v>
      </c>
      <c r="C987" s="1013" t="s">
        <v>245</v>
      </c>
      <c r="D987" s="1013">
        <v>0</v>
      </c>
      <c r="E987" s="1013" t="s">
        <v>22698</v>
      </c>
      <c r="F987" s="1013">
        <v>33</v>
      </c>
      <c r="G987" s="1932" t="str">
        <f>+VLOOKUP(F987,TT_Tabelle_Riferimento!$D$127:$G$164,4,FALSE)</f>
        <v>Fabbricati non industriali</v>
      </c>
      <c r="H987" s="1013">
        <v>2</v>
      </c>
      <c r="I987" s="1932" t="str">
        <f>+VLOOKUP(H987,TT_Tabelle_Riferimento!$F$3:$G$6,2,FALSE)</f>
        <v>Fognatura bianca e pulizia / manutenzione caditoie stradali</v>
      </c>
      <c r="J987" s="1013">
        <v>2028</v>
      </c>
      <c r="K987" s="2335">
        <f>+SUMIFS('PdI-crono_inv'!BG:BG,'PdI-crono_inv'!CF:CF,F987,'PdI-crono_inv'!CE:CE,H987,'PdI-crono_inv'!J:J,P987,'PdI-crono_inv'!P:P,"&lt;&gt;proprietario")</f>
        <v>0</v>
      </c>
      <c r="M987" s="2335">
        <f>+SUMIFS('PdI-crono_inv'!BH:BH,'PdI-crono_inv'!CF:CF,F987,'PdI-crono_inv'!CE:CE,H987,'PdI-crono_inv'!J:J,P987,'PdI-crono_inv'!P:P,"&lt;&gt;proprietario")+S987</f>
        <v>0</v>
      </c>
      <c r="P987" s="1013" t="s">
        <v>27068</v>
      </c>
      <c r="Q987" s="1932" t="str">
        <f>+VLOOKUP(F987,TT_Tabelle_Riferimento!$D$127:$E$164,2,FALSE)</f>
        <v>Comune</v>
      </c>
      <c r="R987" s="1932" t="str">
        <f t="shared" si="88"/>
        <v/>
      </c>
      <c r="S987" s="2335">
        <f t="shared" si="87"/>
        <v>0</v>
      </c>
    </row>
    <row r="988" spans="1:19">
      <c r="A988" s="1932">
        <f t="shared" si="85"/>
        <v>0</v>
      </c>
      <c r="B988" s="1932">
        <f t="shared" si="86"/>
        <v>0</v>
      </c>
      <c r="C988" s="1013" t="s">
        <v>245</v>
      </c>
      <c r="D988" s="1013">
        <v>0</v>
      </c>
      <c r="E988" s="1013" t="s">
        <v>22698</v>
      </c>
      <c r="F988" s="1013">
        <v>34</v>
      </c>
      <c r="G988" s="1932" t="str">
        <f>+VLOOKUP(F988,TT_Tabelle_Riferimento!$D$127:$G$164,4,FALSE)</f>
        <v>Fabbricati industriali</v>
      </c>
      <c r="H988" s="1013">
        <v>2</v>
      </c>
      <c r="I988" s="1932" t="str">
        <f>+VLOOKUP(H988,TT_Tabelle_Riferimento!$F$3:$G$6,2,FALSE)</f>
        <v>Fognatura bianca e pulizia / manutenzione caditoie stradali</v>
      </c>
      <c r="J988" s="1013">
        <v>2028</v>
      </c>
      <c r="K988" s="2335">
        <f>+SUMIFS('PdI-crono_inv'!BG:BG,'PdI-crono_inv'!CF:CF,F988,'PdI-crono_inv'!CE:CE,H988,'PdI-crono_inv'!J:J,P988,'PdI-crono_inv'!P:P,"&lt;&gt;proprietario")</f>
        <v>0</v>
      </c>
      <c r="M988" s="2335">
        <f>+SUMIFS('PdI-crono_inv'!BH:BH,'PdI-crono_inv'!CF:CF,F988,'PdI-crono_inv'!CE:CE,H988,'PdI-crono_inv'!J:J,P988,'PdI-crono_inv'!P:P,"&lt;&gt;proprietario")+S988</f>
        <v>0</v>
      </c>
      <c r="P988" s="1013" t="s">
        <v>27068</v>
      </c>
      <c r="Q988" s="1932" t="str">
        <f>+VLOOKUP(F988,TT_Tabelle_Riferimento!$D$127:$E$164,2,FALSE)</f>
        <v>Comune</v>
      </c>
      <c r="R988" s="1932" t="str">
        <f t="shared" si="88"/>
        <v/>
      </c>
      <c r="S988" s="2335">
        <f t="shared" si="87"/>
        <v>0</v>
      </c>
    </row>
    <row r="989" spans="1:19">
      <c r="A989" s="1932">
        <f t="shared" si="85"/>
        <v>0</v>
      </c>
      <c r="B989" s="1932">
        <f t="shared" si="86"/>
        <v>0</v>
      </c>
      <c r="C989" s="1013" t="s">
        <v>245</v>
      </c>
      <c r="D989" s="1013">
        <v>0</v>
      </c>
      <c r="E989" s="1013" t="s">
        <v>22698</v>
      </c>
      <c r="F989" s="1013">
        <v>35</v>
      </c>
      <c r="G989" s="1932" t="str">
        <f>+VLOOKUP(F989,TT_Tabelle_Riferimento!$D$127:$G$164,4,FALSE)</f>
        <v>Costruzioni leggere</v>
      </c>
      <c r="H989" s="1013">
        <v>2</v>
      </c>
      <c r="I989" s="1932" t="str">
        <f>+VLOOKUP(H989,TT_Tabelle_Riferimento!$F$3:$G$6,2,FALSE)</f>
        <v>Fognatura bianca e pulizia / manutenzione caditoie stradali</v>
      </c>
      <c r="J989" s="1013">
        <v>2028</v>
      </c>
      <c r="K989" s="2335">
        <f>+SUMIFS('PdI-crono_inv'!BG:BG,'PdI-crono_inv'!CF:CF,F989,'PdI-crono_inv'!CE:CE,H989,'PdI-crono_inv'!J:J,P989,'PdI-crono_inv'!P:P,"&lt;&gt;proprietario")</f>
        <v>0</v>
      </c>
      <c r="M989" s="2335">
        <f>+SUMIFS('PdI-crono_inv'!BH:BH,'PdI-crono_inv'!CF:CF,F989,'PdI-crono_inv'!CE:CE,H989,'PdI-crono_inv'!J:J,P989,'PdI-crono_inv'!P:P,"&lt;&gt;proprietario")+S989</f>
        <v>0</v>
      </c>
      <c r="P989" s="1013" t="s">
        <v>27068</v>
      </c>
      <c r="Q989" s="1932" t="str">
        <f>+VLOOKUP(F989,TT_Tabelle_Riferimento!$D$127:$E$164,2,FALSE)</f>
        <v>Comune</v>
      </c>
      <c r="R989" s="1932" t="str">
        <f t="shared" si="88"/>
        <v/>
      </c>
      <c r="S989" s="2335">
        <f t="shared" si="87"/>
        <v>0</v>
      </c>
    </row>
    <row r="990" spans="1:19">
      <c r="A990" s="1932">
        <f t="shared" si="85"/>
        <v>0</v>
      </c>
      <c r="B990" s="1932">
        <f t="shared" si="86"/>
        <v>0</v>
      </c>
      <c r="C990" s="1013" t="s">
        <v>245</v>
      </c>
      <c r="D990" s="1013">
        <v>0</v>
      </c>
      <c r="E990" s="1013" t="s">
        <v>22698</v>
      </c>
      <c r="F990" s="1013">
        <v>36</v>
      </c>
      <c r="G990" s="1932" t="str">
        <f>+VLOOKUP(F990,TT_Tabelle_Riferimento!$D$127:$G$164,4,FALSE)</f>
        <v>Studi, ricerche, brevetti, diritti di utilizzazione</v>
      </c>
      <c r="H990" s="1013">
        <v>2</v>
      </c>
      <c r="I990" s="1932" t="str">
        <f>+VLOOKUP(H990,TT_Tabelle_Riferimento!$F$3:$G$6,2,FALSE)</f>
        <v>Fognatura bianca e pulizia / manutenzione caditoie stradali</v>
      </c>
      <c r="J990" s="1013">
        <v>2028</v>
      </c>
      <c r="K990" s="2335">
        <f>+SUMIFS('PdI-crono_inv'!BG:BG,'PdI-crono_inv'!CF:CF,F990,'PdI-crono_inv'!CE:CE,H990,'PdI-crono_inv'!J:J,P990,'PdI-crono_inv'!P:P,"&lt;&gt;proprietario")</f>
        <v>0</v>
      </c>
      <c r="M990" s="2335">
        <f>+SUMIFS('PdI-crono_inv'!BH:BH,'PdI-crono_inv'!CF:CF,F990,'PdI-crono_inv'!CE:CE,H990,'PdI-crono_inv'!J:J,P990,'PdI-crono_inv'!P:P,"&lt;&gt;proprietario")+S990</f>
        <v>0</v>
      </c>
      <c r="P990" s="1013" t="s">
        <v>27068</v>
      </c>
      <c r="Q990" s="1932" t="str">
        <f>+VLOOKUP(F990,TT_Tabelle_Riferimento!$D$127:$E$164,2,FALSE)</f>
        <v>Comune</v>
      </c>
      <c r="R990" s="1932" t="str">
        <f t="shared" si="88"/>
        <v/>
      </c>
      <c r="S990" s="2335">
        <f t="shared" si="87"/>
        <v>0</v>
      </c>
    </row>
    <row r="991" spans="1:19">
      <c r="A991" s="1932">
        <v>0</v>
      </c>
      <c r="B991" s="1932">
        <v>0</v>
      </c>
      <c r="C991" s="1013" t="s">
        <v>245</v>
      </c>
      <c r="D991" s="1013">
        <v>0</v>
      </c>
      <c r="E991" s="1013" t="s">
        <v>22698</v>
      </c>
      <c r="F991" s="1013">
        <v>37</v>
      </c>
      <c r="G991" s="1932" t="str">
        <f>+VLOOKUP(F991,TT_Tabelle_Riferimento!$D$127:$G$164,4,FALSE)</f>
        <v>Altre immobilizzazioni materiali e immateriali</v>
      </c>
      <c r="H991" s="1013">
        <v>2</v>
      </c>
      <c r="I991" s="1932" t="str">
        <f>+VLOOKUP(H991,TT_Tabelle_Riferimento!$F$3:$G$6,2,FALSE)</f>
        <v>Fognatura bianca e pulizia / manutenzione caditoie stradali</v>
      </c>
      <c r="J991" s="1013">
        <v>2028</v>
      </c>
      <c r="K991" s="2335">
        <f>+SUMIFS('PdI-crono_inv'!BG:BG,'PdI-crono_inv'!CF:CF,F991,'PdI-crono_inv'!CE:CE,H991,'PdI-crono_inv'!J:J,P991,'PdI-crono_inv'!P:P,"&lt;&gt;proprietario")</f>
        <v>0</v>
      </c>
      <c r="M991" s="2335">
        <f>+SUMIFS('PdI-crono_inv'!BH:BH,'PdI-crono_inv'!CF:CF,F991,'PdI-crono_inv'!CE:CE,H991,'PdI-crono_inv'!J:J,P991,'PdI-crono_inv'!P:P,"&lt;&gt;proprietario")+S991</f>
        <v>0</v>
      </c>
      <c r="P991" s="1013" t="s">
        <v>27068</v>
      </c>
      <c r="Q991" s="1932" t="str">
        <f>+VLOOKUP(F991,TT_Tabelle_Riferimento!$D$127:$E$164,2,FALSE)</f>
        <v>Comune</v>
      </c>
      <c r="R991" s="1932" t="str">
        <f t="shared" si="88"/>
        <v/>
      </c>
      <c r="S991" s="2335">
        <f t="shared" si="87"/>
        <v>0</v>
      </c>
    </row>
    <row r="992" spans="1:19">
      <c r="A992" s="1932">
        <v>0</v>
      </c>
      <c r="B992" s="1932">
        <v>0</v>
      </c>
      <c r="C992" s="1013" t="s">
        <v>245</v>
      </c>
      <c r="D992" s="1013">
        <v>0</v>
      </c>
      <c r="E992" s="1013" t="s">
        <v>22698</v>
      </c>
      <c r="F992" s="1013">
        <v>38</v>
      </c>
      <c r="G992" s="1932" t="str">
        <f>+VLOOKUP(F992,TT_Tabelle_Riferimento!$D$127:$G$164,4,FALSE)</f>
        <v>Grandi dighe (sbarramenti che superano i quindici metri di altezza o che determinano un invaso superiore a 1 milione di metri cubi)</v>
      </c>
      <c r="H992" s="1013">
        <v>2</v>
      </c>
      <c r="I992" s="1932" t="str">
        <f>+VLOOKUP(H992,TT_Tabelle_Riferimento!$F$3:$G$6,2,FALSE)</f>
        <v>Fognatura bianca e pulizia / manutenzione caditoie stradali</v>
      </c>
      <c r="J992" s="1013">
        <v>2028</v>
      </c>
      <c r="K992" s="2335">
        <f>+SUMIFS('PdI-crono_inv'!BG:BG,'PdI-crono_inv'!CF:CF,F992,'PdI-crono_inv'!CE:CE,H992,'PdI-crono_inv'!J:J,P992,'PdI-crono_inv'!P:P,"&lt;&gt;proprietario")</f>
        <v>0</v>
      </c>
      <c r="M992" s="2335">
        <f>+SUMIFS('PdI-crono_inv'!BH:BH,'PdI-crono_inv'!CF:CF,F992,'PdI-crono_inv'!CE:CE,H992,'PdI-crono_inv'!J:J,P992,'PdI-crono_inv'!P:P,"&lt;&gt;proprietario")+S992</f>
        <v>0</v>
      </c>
      <c r="P992" s="1013" t="s">
        <v>27068</v>
      </c>
      <c r="Q992" s="1932" t="str">
        <f>+VLOOKUP(F992,TT_Tabelle_Riferimento!$D$127:$E$164,2,FALSE)</f>
        <v>Acquedotto</v>
      </c>
      <c r="R992" s="1932" t="str">
        <f t="shared" si="88"/>
        <v/>
      </c>
      <c r="S992" s="2335">
        <f t="shared" si="87"/>
        <v>0</v>
      </c>
    </row>
    <row r="993" spans="1:19">
      <c r="A993" s="1932">
        <v>0</v>
      </c>
      <c r="B993" s="1932">
        <v>0</v>
      </c>
      <c r="C993" s="1013" t="s">
        <v>245</v>
      </c>
      <c r="D993" s="1013">
        <v>0</v>
      </c>
      <c r="E993" s="1013" t="s">
        <v>22698</v>
      </c>
      <c r="F993" s="1013">
        <v>39</v>
      </c>
      <c r="G993" s="1932" t="str">
        <f>+VLOOKUP(F993,TT_Tabelle_Riferimento!$D$127:$G$164,4,FALSE)</f>
        <v>Piccole dighe (sbarramenti che non superano i quindici metri di altezza o che determinano un invaso non superiore a 1 milione di metri cubi)</v>
      </c>
      <c r="H993" s="1013">
        <v>2</v>
      </c>
      <c r="I993" s="1932" t="str">
        <f>+VLOOKUP(H993,TT_Tabelle_Riferimento!$F$3:$G$6,2,FALSE)</f>
        <v>Fognatura bianca e pulizia / manutenzione caditoie stradali</v>
      </c>
      <c r="J993" s="1013">
        <v>2028</v>
      </c>
      <c r="K993" s="2335">
        <f>+SUMIFS('PdI-crono_inv'!BG:BG,'PdI-crono_inv'!CF:CF,F993,'PdI-crono_inv'!CE:CE,H993,'PdI-crono_inv'!J:J,P993,'PdI-crono_inv'!P:P,"&lt;&gt;proprietario")</f>
        <v>0</v>
      </c>
      <c r="M993" s="2335">
        <f>+SUMIFS('PdI-crono_inv'!BH:BH,'PdI-crono_inv'!CF:CF,F993,'PdI-crono_inv'!CE:CE,H993,'PdI-crono_inv'!J:J,P993,'PdI-crono_inv'!P:P,"&lt;&gt;proprietario")+S993</f>
        <v>0</v>
      </c>
      <c r="P993" s="1013" t="s">
        <v>27068</v>
      </c>
      <c r="Q993" s="1932" t="str">
        <f>+VLOOKUP(F993,TT_Tabelle_Riferimento!$D$127:$E$164,2,FALSE)</f>
        <v>Acquedotto</v>
      </c>
      <c r="R993" s="1932" t="str">
        <f t="shared" si="88"/>
        <v/>
      </c>
      <c r="S993" s="2335">
        <f t="shared" si="87"/>
        <v>0</v>
      </c>
    </row>
    <row r="994" spans="1:19">
      <c r="A994" s="1932">
        <f t="shared" ref="A994:A1057" si="89">+idato</f>
        <v>0</v>
      </c>
      <c r="B994" s="1932">
        <f t="shared" ref="B994:B1057" si="90">+idgestore</f>
        <v>0</v>
      </c>
      <c r="C994" s="1013" t="s">
        <v>245</v>
      </c>
      <c r="D994" s="1013">
        <v>0</v>
      </c>
      <c r="E994" s="1013" t="s">
        <v>22698</v>
      </c>
      <c r="F994" s="1013">
        <v>2</v>
      </c>
      <c r="G994" s="1932" t="str">
        <f>+VLOOKUP(F994,TT_Tabelle_Riferimento!$D$127:$G$164,4,FALSE)</f>
        <v>Condotte di acquedotto</v>
      </c>
      <c r="H994" s="1013">
        <v>3</v>
      </c>
      <c r="I994" s="1932" t="str">
        <f>+VLOOKUP(H994,TT_Tabelle_Riferimento!$F$3:$G$6,2,FALSE)</f>
        <v>Altri servizi idrici</v>
      </c>
      <c r="J994" s="1013">
        <v>2028</v>
      </c>
      <c r="K994" s="2335">
        <f>+SUMIFS('PdI-crono_inv'!BG:BG,'PdI-crono_inv'!CF:CF,F994,'PdI-crono_inv'!CE:CE,H994,'PdI-crono_inv'!J:J,P994,'PdI-crono_inv'!P:P,"&lt;&gt;proprietario")</f>
        <v>0</v>
      </c>
      <c r="M994" s="2335">
        <f>+SUMIFS('PdI-crono_inv'!BH:BH,'PdI-crono_inv'!CF:CF,F994,'PdI-crono_inv'!CE:CE,H994,'PdI-crono_inv'!J:J,P994,'PdI-crono_inv'!P:P,"&lt;&gt;proprietario")+S994</f>
        <v>0</v>
      </c>
      <c r="P994" s="1013" t="s">
        <v>27068</v>
      </c>
      <c r="Q994" s="1932" t="str">
        <f>+VLOOKUP(F994,TT_Tabelle_Riferimento!$D$127:$E$164,2,FALSE)</f>
        <v>Acquedotto</v>
      </c>
      <c r="R994" s="1932" t="str">
        <f t="shared" si="88"/>
        <v/>
      </c>
      <c r="S994" s="2335">
        <f t="shared" si="87"/>
        <v>0</v>
      </c>
    </row>
    <row r="995" spans="1:19">
      <c r="A995" s="1932">
        <f t="shared" si="89"/>
        <v>0</v>
      </c>
      <c r="B995" s="1932">
        <f t="shared" si="90"/>
        <v>0</v>
      </c>
      <c r="C995" s="1013" t="s">
        <v>245</v>
      </c>
      <c r="D995" s="1013">
        <v>0</v>
      </c>
      <c r="E995" s="1013" t="s">
        <v>22698</v>
      </c>
      <c r="F995" s="1013">
        <v>3</v>
      </c>
      <c r="G995" s="1932" t="str">
        <f>+VLOOKUP(F995,TT_Tabelle_Riferimento!$D$127:$G$164,4,FALSE)</f>
        <v>Opere idrauliche fisse di acquedotto</v>
      </c>
      <c r="H995" s="1013">
        <v>3</v>
      </c>
      <c r="I995" s="1932" t="str">
        <f>+VLOOKUP(H995,TT_Tabelle_Riferimento!$F$3:$G$6,2,FALSE)</f>
        <v>Altri servizi idrici</v>
      </c>
      <c r="J995" s="1013">
        <v>2028</v>
      </c>
      <c r="K995" s="2335">
        <f>+SUMIFS('PdI-crono_inv'!BG:BG,'PdI-crono_inv'!CF:CF,F995,'PdI-crono_inv'!CE:CE,H995,'PdI-crono_inv'!J:J,P995,'PdI-crono_inv'!P:P,"&lt;&gt;proprietario")</f>
        <v>0</v>
      </c>
      <c r="M995" s="2335">
        <f>+SUMIFS('PdI-crono_inv'!BH:BH,'PdI-crono_inv'!CF:CF,F995,'PdI-crono_inv'!CE:CE,H995,'PdI-crono_inv'!J:J,P995,'PdI-crono_inv'!P:P,"&lt;&gt;proprietario")+S995</f>
        <v>0</v>
      </c>
      <c r="P995" s="1013" t="s">
        <v>27068</v>
      </c>
      <c r="Q995" s="1932" t="str">
        <f>+VLOOKUP(F995,TT_Tabelle_Riferimento!$D$127:$E$164,2,FALSE)</f>
        <v>Acquedotto</v>
      </c>
      <c r="R995" s="1932" t="str">
        <f t="shared" si="88"/>
        <v/>
      </c>
      <c r="S995" s="2335">
        <f t="shared" si="87"/>
        <v>0</v>
      </c>
    </row>
    <row r="996" spans="1:19">
      <c r="A996" s="1932">
        <f t="shared" si="89"/>
        <v>0</v>
      </c>
      <c r="B996" s="1932">
        <f t="shared" si="90"/>
        <v>0</v>
      </c>
      <c r="C996" s="1013" t="s">
        <v>245</v>
      </c>
      <c r="D996" s="1013">
        <v>0</v>
      </c>
      <c r="E996" s="1013" t="s">
        <v>22698</v>
      </c>
      <c r="F996" s="1013">
        <v>4</v>
      </c>
      <c r="G996" s="1932" t="str">
        <f>+VLOOKUP(F996,TT_Tabelle_Riferimento!$D$127:$G$164,4,FALSE)</f>
        <v>Serbatoi</v>
      </c>
      <c r="H996" s="1013">
        <v>3</v>
      </c>
      <c r="I996" s="1932" t="str">
        <f>+VLOOKUP(H996,TT_Tabelle_Riferimento!$F$3:$G$6,2,FALSE)</f>
        <v>Altri servizi idrici</v>
      </c>
      <c r="J996" s="1013">
        <v>2028</v>
      </c>
      <c r="K996" s="2335">
        <f>+SUMIFS('PdI-crono_inv'!BG:BG,'PdI-crono_inv'!CF:CF,F996,'PdI-crono_inv'!CE:CE,H996,'PdI-crono_inv'!J:J,P996,'PdI-crono_inv'!P:P,"&lt;&gt;proprietario")</f>
        <v>0</v>
      </c>
      <c r="M996" s="2335">
        <f>+SUMIFS('PdI-crono_inv'!BH:BH,'PdI-crono_inv'!CF:CF,F996,'PdI-crono_inv'!CE:CE,H996,'PdI-crono_inv'!J:J,P996,'PdI-crono_inv'!P:P,"&lt;&gt;proprietario")+S996</f>
        <v>0</v>
      </c>
      <c r="P996" s="1013" t="s">
        <v>27068</v>
      </c>
      <c r="Q996" s="1932" t="str">
        <f>+VLOOKUP(F996,TT_Tabelle_Riferimento!$D$127:$E$164,2,FALSE)</f>
        <v>Acquedotto</v>
      </c>
      <c r="R996" s="1932" t="str">
        <f t="shared" si="88"/>
        <v/>
      </c>
      <c r="S996" s="2335">
        <f t="shared" si="87"/>
        <v>0</v>
      </c>
    </row>
    <row r="997" spans="1:19">
      <c r="A997" s="1932">
        <f t="shared" si="89"/>
        <v>0</v>
      </c>
      <c r="B997" s="1932">
        <f t="shared" si="90"/>
        <v>0</v>
      </c>
      <c r="C997" s="1013" t="s">
        <v>245</v>
      </c>
      <c r="D997" s="1013">
        <v>0</v>
      </c>
      <c r="E997" s="1013" t="s">
        <v>22698</v>
      </c>
      <c r="F997" s="1013">
        <v>5</v>
      </c>
      <c r="G997" s="1932" t="str">
        <f>+VLOOKUP(F997,TT_Tabelle_Riferimento!$D$127:$G$164,4,FALSE)</f>
        <v>Impianti di sollevamento e pompaggio di acquedotto</v>
      </c>
      <c r="H997" s="1013">
        <v>3</v>
      </c>
      <c r="I997" s="1932" t="str">
        <f>+VLOOKUP(H997,TT_Tabelle_Riferimento!$F$3:$G$6,2,FALSE)</f>
        <v>Altri servizi idrici</v>
      </c>
      <c r="J997" s="1013">
        <v>2028</v>
      </c>
      <c r="K997" s="2335">
        <f>+SUMIFS('PdI-crono_inv'!BG:BG,'PdI-crono_inv'!CF:CF,F997,'PdI-crono_inv'!CE:CE,H997,'PdI-crono_inv'!J:J,P997,'PdI-crono_inv'!P:P,"&lt;&gt;proprietario")</f>
        <v>0</v>
      </c>
      <c r="M997" s="2335">
        <f>+SUMIFS('PdI-crono_inv'!BH:BH,'PdI-crono_inv'!CF:CF,F997,'PdI-crono_inv'!CE:CE,H997,'PdI-crono_inv'!J:J,P997,'PdI-crono_inv'!P:P,"&lt;&gt;proprietario")+S997</f>
        <v>0</v>
      </c>
      <c r="P997" s="1013" t="s">
        <v>27068</v>
      </c>
      <c r="Q997" s="1932" t="str">
        <f>+VLOOKUP(F997,TT_Tabelle_Riferimento!$D$127:$E$164,2,FALSE)</f>
        <v>Acquedotto</v>
      </c>
      <c r="R997" s="1932" t="str">
        <f t="shared" si="88"/>
        <v/>
      </c>
      <c r="S997" s="2335">
        <f t="shared" si="87"/>
        <v>0</v>
      </c>
    </row>
    <row r="998" spans="1:19">
      <c r="A998" s="1932">
        <f t="shared" si="89"/>
        <v>0</v>
      </c>
      <c r="B998" s="1932">
        <f t="shared" si="90"/>
        <v>0</v>
      </c>
      <c r="C998" s="1013" t="s">
        <v>245</v>
      </c>
      <c r="D998" s="1013">
        <v>0</v>
      </c>
      <c r="E998" s="1013" t="s">
        <v>22698</v>
      </c>
      <c r="F998" s="1013">
        <v>6</v>
      </c>
      <c r="G998" s="1932" t="str">
        <f>+VLOOKUP(F998,TT_Tabelle_Riferimento!$D$127:$G$164,4,FALSE)</f>
        <v>Impianti di potabilizzazione</v>
      </c>
      <c r="H998" s="1013">
        <v>3</v>
      </c>
      <c r="I998" s="1932" t="str">
        <f>+VLOOKUP(H998,TT_Tabelle_Riferimento!$F$3:$G$6,2,FALSE)</f>
        <v>Altri servizi idrici</v>
      </c>
      <c r="J998" s="1013">
        <v>2028</v>
      </c>
      <c r="K998" s="2335">
        <f>+SUMIFS('PdI-crono_inv'!BG:BG,'PdI-crono_inv'!CF:CF,F998,'PdI-crono_inv'!CE:CE,H998,'PdI-crono_inv'!J:J,P998,'PdI-crono_inv'!P:P,"&lt;&gt;proprietario")</f>
        <v>0</v>
      </c>
      <c r="M998" s="2335">
        <f>+SUMIFS('PdI-crono_inv'!BH:BH,'PdI-crono_inv'!CF:CF,F998,'PdI-crono_inv'!CE:CE,H998,'PdI-crono_inv'!J:J,P998,'PdI-crono_inv'!P:P,"&lt;&gt;proprietario")+S998</f>
        <v>0</v>
      </c>
      <c r="P998" s="1013" t="s">
        <v>27068</v>
      </c>
      <c r="Q998" s="1932" t="str">
        <f>+VLOOKUP(F998,TT_Tabelle_Riferimento!$D$127:$E$164,2,FALSE)</f>
        <v>Acquedotto</v>
      </c>
      <c r="R998" s="1932" t="str">
        <f t="shared" si="88"/>
        <v/>
      </c>
      <c r="S998" s="2335">
        <f t="shared" si="87"/>
        <v>0</v>
      </c>
    </row>
    <row r="999" spans="1:19">
      <c r="A999" s="1932">
        <f t="shared" si="89"/>
        <v>0</v>
      </c>
      <c r="B999" s="1932">
        <f t="shared" si="90"/>
        <v>0</v>
      </c>
      <c r="C999" s="1013" t="s">
        <v>245</v>
      </c>
      <c r="D999" s="1013">
        <v>0</v>
      </c>
      <c r="E999" s="1013" t="s">
        <v>22698</v>
      </c>
      <c r="F999" s="1013">
        <v>7</v>
      </c>
      <c r="G999" s="1932" t="str">
        <f>+VLOOKUP(F999,TT_Tabelle_Riferimento!$D$127:$G$164,4,FALSE)</f>
        <v>Altri trattamenti di potabilizzazione (tra cui dispositivi di disinfezione, stacciatura, filtrazione, addolcimento)</v>
      </c>
      <c r="H999" s="1013">
        <v>3</v>
      </c>
      <c r="I999" s="1932" t="str">
        <f>+VLOOKUP(H999,TT_Tabelle_Riferimento!$F$3:$G$6,2,FALSE)</f>
        <v>Altri servizi idrici</v>
      </c>
      <c r="J999" s="1013">
        <v>2028</v>
      </c>
      <c r="K999" s="2335">
        <f>+SUMIFS('PdI-crono_inv'!BG:BG,'PdI-crono_inv'!CF:CF,F999,'PdI-crono_inv'!CE:CE,H999,'PdI-crono_inv'!J:J,P999,'PdI-crono_inv'!P:P,"&lt;&gt;proprietario")</f>
        <v>0</v>
      </c>
      <c r="M999" s="2335">
        <f>+SUMIFS('PdI-crono_inv'!BH:BH,'PdI-crono_inv'!CF:CF,F999,'PdI-crono_inv'!CE:CE,H999,'PdI-crono_inv'!J:J,P999,'PdI-crono_inv'!P:P,"&lt;&gt;proprietario")+S999</f>
        <v>0</v>
      </c>
      <c r="P999" s="1013" t="s">
        <v>27068</v>
      </c>
      <c r="Q999" s="1932" t="str">
        <f>+VLOOKUP(F999,TT_Tabelle_Riferimento!$D$127:$E$164,2,FALSE)</f>
        <v>Acquedotto</v>
      </c>
      <c r="R999" s="1932" t="str">
        <f t="shared" si="88"/>
        <v/>
      </c>
      <c r="S999" s="2335">
        <f t="shared" si="87"/>
        <v>0</v>
      </c>
    </row>
    <row r="1000" spans="1:19">
      <c r="A1000" s="1932">
        <f t="shared" si="89"/>
        <v>0</v>
      </c>
      <c r="B1000" s="1932">
        <f t="shared" si="90"/>
        <v>0</v>
      </c>
      <c r="C1000" s="1013" t="s">
        <v>245</v>
      </c>
      <c r="D1000" s="1013">
        <v>0</v>
      </c>
      <c r="E1000" s="1013" t="s">
        <v>22698</v>
      </c>
      <c r="F1000" s="1013">
        <v>8</v>
      </c>
      <c r="G1000" s="1932" t="str">
        <f>+VLOOKUP(F1000,TT_Tabelle_Riferimento!$D$127:$G$164,4,FALSE)</f>
        <v>Gruppi di misura - altre attrezzature di acquedotto</v>
      </c>
      <c r="H1000" s="1013">
        <v>3</v>
      </c>
      <c r="I1000" s="1932" t="str">
        <f>+VLOOKUP(H1000,TT_Tabelle_Riferimento!$F$3:$G$6,2,FALSE)</f>
        <v>Altri servizi idrici</v>
      </c>
      <c r="J1000" s="1013">
        <v>2028</v>
      </c>
      <c r="K1000" s="2335">
        <f>+SUMIFS('PdI-crono_inv'!BG:BG,'PdI-crono_inv'!CF:CF,F1000,'PdI-crono_inv'!CE:CE,H1000,'PdI-crono_inv'!J:J,P1000,'PdI-crono_inv'!P:P,"&lt;&gt;proprietario")</f>
        <v>0</v>
      </c>
      <c r="M1000" s="2335">
        <f>+SUMIFS('PdI-crono_inv'!BH:BH,'PdI-crono_inv'!CF:CF,F1000,'PdI-crono_inv'!CE:CE,H1000,'PdI-crono_inv'!J:J,P1000,'PdI-crono_inv'!P:P,"&lt;&gt;proprietario")+S1000</f>
        <v>0</v>
      </c>
      <c r="P1000" s="1013" t="s">
        <v>27068</v>
      </c>
      <c r="Q1000" s="1932" t="str">
        <f>+VLOOKUP(F1000,TT_Tabelle_Riferimento!$D$127:$E$164,2,FALSE)</f>
        <v>Acquedotto</v>
      </c>
      <c r="R1000" s="1932" t="str">
        <f t="shared" si="88"/>
        <v/>
      </c>
      <c r="S1000" s="2335">
        <f t="shared" si="87"/>
        <v>0</v>
      </c>
    </row>
    <row r="1001" spans="1:19">
      <c r="A1001" s="1932">
        <f t="shared" si="89"/>
        <v>0</v>
      </c>
      <c r="B1001" s="1932">
        <f t="shared" si="90"/>
        <v>0</v>
      </c>
      <c r="C1001" s="1013" t="s">
        <v>245</v>
      </c>
      <c r="D1001" s="1013">
        <v>0</v>
      </c>
      <c r="E1001" s="1013" t="s">
        <v>22698</v>
      </c>
      <c r="F1001" s="1013">
        <v>9</v>
      </c>
      <c r="G1001" s="1932" t="str">
        <f>+VLOOKUP(F1001,TT_Tabelle_Riferimento!$D$127:$G$164,4,FALSE)</f>
        <v>Sistemi informativi di acquedotto</v>
      </c>
      <c r="H1001" s="1013">
        <v>3</v>
      </c>
      <c r="I1001" s="1932" t="str">
        <f>+VLOOKUP(H1001,TT_Tabelle_Riferimento!$F$3:$G$6,2,FALSE)</f>
        <v>Altri servizi idrici</v>
      </c>
      <c r="J1001" s="1013">
        <v>2028</v>
      </c>
      <c r="K1001" s="2335">
        <f>+SUMIFS('PdI-crono_inv'!BG:BG,'PdI-crono_inv'!CF:CF,F1001,'PdI-crono_inv'!CE:CE,H1001,'PdI-crono_inv'!J:J,P1001,'PdI-crono_inv'!P:P,"&lt;&gt;proprietario")</f>
        <v>0</v>
      </c>
      <c r="M1001" s="2335">
        <f>+SUMIFS('PdI-crono_inv'!BH:BH,'PdI-crono_inv'!CF:CF,F1001,'PdI-crono_inv'!CE:CE,H1001,'PdI-crono_inv'!J:J,P1001,'PdI-crono_inv'!P:P,"&lt;&gt;proprietario")+S1001</f>
        <v>0</v>
      </c>
      <c r="P1001" s="1013" t="s">
        <v>27068</v>
      </c>
      <c r="Q1001" s="1932" t="str">
        <f>+VLOOKUP(F1001,TT_Tabelle_Riferimento!$D$127:$E$164,2,FALSE)</f>
        <v>Acquedotto</v>
      </c>
      <c r="R1001" s="1932" t="str">
        <f t="shared" si="88"/>
        <v/>
      </c>
      <c r="S1001" s="2335">
        <f t="shared" si="87"/>
        <v>0</v>
      </c>
    </row>
    <row r="1002" spans="1:19">
      <c r="A1002" s="1932">
        <f t="shared" si="89"/>
        <v>0</v>
      </c>
      <c r="B1002" s="1932">
        <f t="shared" si="90"/>
        <v>0</v>
      </c>
      <c r="C1002" s="1013" t="s">
        <v>245</v>
      </c>
      <c r="D1002" s="1013">
        <v>0</v>
      </c>
      <c r="E1002" s="1013" t="s">
        <v>22698</v>
      </c>
      <c r="F1002" s="1013">
        <v>10</v>
      </c>
      <c r="G1002" s="1932" t="str">
        <f>+VLOOKUP(F1002,TT_Tabelle_Riferimento!$D$127:$G$164,4,FALSE)</f>
        <v>Telecontrollo e teletrasmissione di acquedotto</v>
      </c>
      <c r="H1002" s="1013">
        <v>3</v>
      </c>
      <c r="I1002" s="1932" t="str">
        <f>+VLOOKUP(H1002,TT_Tabelle_Riferimento!$F$3:$G$6,2,FALSE)</f>
        <v>Altri servizi idrici</v>
      </c>
      <c r="J1002" s="1013">
        <v>2028</v>
      </c>
      <c r="K1002" s="2335">
        <f>+SUMIFS('PdI-crono_inv'!BG:BG,'PdI-crono_inv'!CF:CF,F1002,'PdI-crono_inv'!CE:CE,H1002,'PdI-crono_inv'!J:J,P1002,'PdI-crono_inv'!P:P,"&lt;&gt;proprietario")</f>
        <v>0</v>
      </c>
      <c r="M1002" s="2335">
        <f>+SUMIFS('PdI-crono_inv'!BH:BH,'PdI-crono_inv'!CF:CF,F1002,'PdI-crono_inv'!CE:CE,H1002,'PdI-crono_inv'!J:J,P1002,'PdI-crono_inv'!P:P,"&lt;&gt;proprietario")+S1002</f>
        <v>0</v>
      </c>
      <c r="P1002" s="1013" t="s">
        <v>27068</v>
      </c>
      <c r="Q1002" s="1932" t="str">
        <f>+VLOOKUP(F1002,TT_Tabelle_Riferimento!$D$127:$E$164,2,FALSE)</f>
        <v>Acquedotto</v>
      </c>
      <c r="R1002" s="1932" t="str">
        <f t="shared" si="88"/>
        <v/>
      </c>
      <c r="S1002" s="2335">
        <f t="shared" si="87"/>
        <v>0</v>
      </c>
    </row>
    <row r="1003" spans="1:19">
      <c r="A1003" s="1932">
        <f t="shared" si="89"/>
        <v>0</v>
      </c>
      <c r="B1003" s="1932">
        <f t="shared" si="90"/>
        <v>0</v>
      </c>
      <c r="C1003" s="1013" t="s">
        <v>245</v>
      </c>
      <c r="D1003" s="1013">
        <v>0</v>
      </c>
      <c r="E1003" s="1013" t="s">
        <v>22698</v>
      </c>
      <c r="F1003" s="1013">
        <v>11</v>
      </c>
      <c r="G1003" s="1932" t="str">
        <f>+VLOOKUP(F1003,TT_Tabelle_Riferimento!$D$127:$G$164,4,FALSE)</f>
        <v>Condotte fognarie</v>
      </c>
      <c r="H1003" s="1013">
        <v>3</v>
      </c>
      <c r="I1003" s="1932" t="str">
        <f>+VLOOKUP(H1003,TT_Tabelle_Riferimento!$F$3:$G$6,2,FALSE)</f>
        <v>Altri servizi idrici</v>
      </c>
      <c r="J1003" s="1013">
        <v>2028</v>
      </c>
      <c r="K1003" s="2335">
        <f>+SUMIFS('PdI-crono_inv'!BG:BG,'PdI-crono_inv'!CF:CF,F1003,'PdI-crono_inv'!CE:CE,H1003,'PdI-crono_inv'!J:J,P1003,'PdI-crono_inv'!P:P,"&lt;&gt;proprietario")</f>
        <v>0</v>
      </c>
      <c r="M1003" s="2335">
        <f>+SUMIFS('PdI-crono_inv'!BH:BH,'PdI-crono_inv'!CF:CF,F1003,'PdI-crono_inv'!CE:CE,H1003,'PdI-crono_inv'!J:J,P1003,'PdI-crono_inv'!P:P,"&lt;&gt;proprietario")+S1003</f>
        <v>0</v>
      </c>
      <c r="P1003" s="1013" t="s">
        <v>27068</v>
      </c>
      <c r="Q1003" s="1932" t="str">
        <f>+VLOOKUP(F1003,TT_Tabelle_Riferimento!$D$127:$E$164,2,FALSE)</f>
        <v>Fognatura</v>
      </c>
      <c r="R1003" s="1932" t="str">
        <f t="shared" si="88"/>
        <v/>
      </c>
      <c r="S1003" s="2335">
        <f t="shared" si="87"/>
        <v>0</v>
      </c>
    </row>
    <row r="1004" spans="1:19">
      <c r="A1004" s="1932">
        <f t="shared" si="89"/>
        <v>0</v>
      </c>
      <c r="B1004" s="1932">
        <f t="shared" si="90"/>
        <v>0</v>
      </c>
      <c r="C1004" s="1013" t="s">
        <v>245</v>
      </c>
      <c r="D1004" s="1013">
        <v>0</v>
      </c>
      <c r="E1004" s="1013" t="s">
        <v>22698</v>
      </c>
      <c r="F1004" s="1013">
        <v>12</v>
      </c>
      <c r="G1004" s="1932" t="str">
        <f>+VLOOKUP(F1004,TT_Tabelle_Riferimento!$D$127:$G$164,4,FALSE)</f>
        <v>Sifoni e scaricatori di piena e altre opere idrauliche fisse di fognatura</v>
      </c>
      <c r="H1004" s="1013">
        <v>3</v>
      </c>
      <c r="I1004" s="1932" t="str">
        <f>+VLOOKUP(H1004,TT_Tabelle_Riferimento!$F$3:$G$6,2,FALSE)</f>
        <v>Altri servizi idrici</v>
      </c>
      <c r="J1004" s="1013">
        <v>2028</v>
      </c>
      <c r="K1004" s="2335">
        <f>+SUMIFS('PdI-crono_inv'!BG:BG,'PdI-crono_inv'!CF:CF,F1004,'PdI-crono_inv'!CE:CE,H1004,'PdI-crono_inv'!J:J,P1004,'PdI-crono_inv'!P:P,"&lt;&gt;proprietario")</f>
        <v>0</v>
      </c>
      <c r="M1004" s="2335">
        <f>+SUMIFS('PdI-crono_inv'!BH:BH,'PdI-crono_inv'!CF:CF,F1004,'PdI-crono_inv'!CE:CE,H1004,'PdI-crono_inv'!J:J,P1004,'PdI-crono_inv'!P:P,"&lt;&gt;proprietario")+S1004</f>
        <v>0</v>
      </c>
      <c r="P1004" s="1013" t="s">
        <v>27068</v>
      </c>
      <c r="Q1004" s="1932" t="str">
        <f>+VLOOKUP(F1004,TT_Tabelle_Riferimento!$D$127:$E$164,2,FALSE)</f>
        <v>Fognatura</v>
      </c>
      <c r="R1004" s="1932" t="str">
        <f t="shared" si="88"/>
        <v/>
      </c>
      <c r="S1004" s="2335">
        <f t="shared" si="87"/>
        <v>0</v>
      </c>
    </row>
    <row r="1005" spans="1:19">
      <c r="A1005" s="1932">
        <f t="shared" si="89"/>
        <v>0</v>
      </c>
      <c r="B1005" s="1932">
        <f t="shared" si="90"/>
        <v>0</v>
      </c>
      <c r="C1005" s="1013" t="s">
        <v>245</v>
      </c>
      <c r="D1005" s="1013">
        <v>0</v>
      </c>
      <c r="E1005" s="1013" t="s">
        <v>22698</v>
      </c>
      <c r="F1005" s="1013">
        <v>13</v>
      </c>
      <c r="G1005" s="1932" t="str">
        <f>+VLOOKUP(F1005,TT_Tabelle_Riferimento!$D$127:$G$164,4,FALSE)</f>
        <v>Vasche di laminazione e vasche di prima pioggia</v>
      </c>
      <c r="H1005" s="1013">
        <v>3</v>
      </c>
      <c r="I1005" s="1932" t="str">
        <f>+VLOOKUP(H1005,TT_Tabelle_Riferimento!$F$3:$G$6,2,FALSE)</f>
        <v>Altri servizi idrici</v>
      </c>
      <c r="J1005" s="1013">
        <v>2028</v>
      </c>
      <c r="K1005" s="2335">
        <f>+SUMIFS('PdI-crono_inv'!BG:BG,'PdI-crono_inv'!CF:CF,F1005,'PdI-crono_inv'!CE:CE,H1005,'PdI-crono_inv'!J:J,P1005,'PdI-crono_inv'!P:P,"&lt;&gt;proprietario")</f>
        <v>0</v>
      </c>
      <c r="M1005" s="2335">
        <f>+SUMIFS('PdI-crono_inv'!BH:BH,'PdI-crono_inv'!CF:CF,F1005,'PdI-crono_inv'!CE:CE,H1005,'PdI-crono_inv'!J:J,P1005,'PdI-crono_inv'!P:P,"&lt;&gt;proprietario")+S1005</f>
        <v>0</v>
      </c>
      <c r="P1005" s="1013" t="s">
        <v>27068</v>
      </c>
      <c r="Q1005" s="1932" t="str">
        <f>+VLOOKUP(F1005,TT_Tabelle_Riferimento!$D$127:$E$164,2,FALSE)</f>
        <v>Fognatura</v>
      </c>
      <c r="R1005" s="1932" t="str">
        <f t="shared" si="88"/>
        <v/>
      </c>
      <c r="S1005" s="2335">
        <f t="shared" si="87"/>
        <v>0</v>
      </c>
    </row>
    <row r="1006" spans="1:19">
      <c r="A1006" s="1932">
        <f t="shared" si="89"/>
        <v>0</v>
      </c>
      <c r="B1006" s="1932">
        <f t="shared" si="90"/>
        <v>0</v>
      </c>
      <c r="C1006" s="1013" t="s">
        <v>245</v>
      </c>
      <c r="D1006" s="1013">
        <v>0</v>
      </c>
      <c r="E1006" s="1013" t="s">
        <v>22698</v>
      </c>
      <c r="F1006" s="1013">
        <v>14</v>
      </c>
      <c r="G1006" s="1932" t="str">
        <f>+VLOOKUP(F1006,TT_Tabelle_Riferimento!$D$127:$G$164,4,FALSE)</f>
        <v>Impianti di sollevamento e pompaggio di fognatura</v>
      </c>
      <c r="H1006" s="1013">
        <v>3</v>
      </c>
      <c r="I1006" s="1932" t="str">
        <f>+VLOOKUP(H1006,TT_Tabelle_Riferimento!$F$3:$G$6,2,FALSE)</f>
        <v>Altri servizi idrici</v>
      </c>
      <c r="J1006" s="1013">
        <v>2028</v>
      </c>
      <c r="K1006" s="2335">
        <f>+SUMIFS('PdI-crono_inv'!BG:BG,'PdI-crono_inv'!CF:CF,F1006,'PdI-crono_inv'!CE:CE,H1006,'PdI-crono_inv'!J:J,P1006,'PdI-crono_inv'!P:P,"&lt;&gt;proprietario")</f>
        <v>0</v>
      </c>
      <c r="M1006" s="2335">
        <f>+SUMIFS('PdI-crono_inv'!BH:BH,'PdI-crono_inv'!CF:CF,F1006,'PdI-crono_inv'!CE:CE,H1006,'PdI-crono_inv'!J:J,P1006,'PdI-crono_inv'!P:P,"&lt;&gt;proprietario")+S1006</f>
        <v>0</v>
      </c>
      <c r="P1006" s="1013" t="s">
        <v>27068</v>
      </c>
      <c r="Q1006" s="1932" t="str">
        <f>+VLOOKUP(F1006,TT_Tabelle_Riferimento!$D$127:$E$164,2,FALSE)</f>
        <v>Fognatura</v>
      </c>
      <c r="R1006" s="1932" t="str">
        <f t="shared" si="88"/>
        <v/>
      </c>
      <c r="S1006" s="2335">
        <f t="shared" si="87"/>
        <v>0</v>
      </c>
    </row>
    <row r="1007" spans="1:19">
      <c r="A1007" s="1932">
        <f t="shared" si="89"/>
        <v>0</v>
      </c>
      <c r="B1007" s="1932">
        <f t="shared" si="90"/>
        <v>0</v>
      </c>
      <c r="C1007" s="1013" t="s">
        <v>245</v>
      </c>
      <c r="D1007" s="1013">
        <v>0</v>
      </c>
      <c r="E1007" s="1013" t="s">
        <v>22698</v>
      </c>
      <c r="F1007" s="1013">
        <v>15</v>
      </c>
      <c r="G1007" s="1932" t="str">
        <f>+VLOOKUP(F1007,TT_Tabelle_Riferimento!$D$127:$G$164,4,FALSE)</f>
        <v>Gruppi di misura - altre attrezzature di fognatura</v>
      </c>
      <c r="H1007" s="1013">
        <v>3</v>
      </c>
      <c r="I1007" s="1932" t="str">
        <f>+VLOOKUP(H1007,TT_Tabelle_Riferimento!$F$3:$G$6,2,FALSE)</f>
        <v>Altri servizi idrici</v>
      </c>
      <c r="J1007" s="1013">
        <v>2028</v>
      </c>
      <c r="K1007" s="2335">
        <f>+SUMIFS('PdI-crono_inv'!BG:BG,'PdI-crono_inv'!CF:CF,F1007,'PdI-crono_inv'!CE:CE,H1007,'PdI-crono_inv'!J:J,P1007,'PdI-crono_inv'!P:P,"&lt;&gt;proprietario")</f>
        <v>0</v>
      </c>
      <c r="M1007" s="2335">
        <f>+SUMIFS('PdI-crono_inv'!BH:BH,'PdI-crono_inv'!CF:CF,F1007,'PdI-crono_inv'!CE:CE,H1007,'PdI-crono_inv'!J:J,P1007,'PdI-crono_inv'!P:P,"&lt;&gt;proprietario")+S1007</f>
        <v>0</v>
      </c>
      <c r="P1007" s="1013" t="s">
        <v>27068</v>
      </c>
      <c r="Q1007" s="1932" t="str">
        <f>+VLOOKUP(F1007,TT_Tabelle_Riferimento!$D$127:$E$164,2,FALSE)</f>
        <v>Fognatura</v>
      </c>
      <c r="R1007" s="1932" t="str">
        <f t="shared" si="88"/>
        <v/>
      </c>
      <c r="S1007" s="2335">
        <f t="shared" si="87"/>
        <v>0</v>
      </c>
    </row>
    <row r="1008" spans="1:19">
      <c r="A1008" s="1932">
        <f t="shared" si="89"/>
        <v>0</v>
      </c>
      <c r="B1008" s="1932">
        <f t="shared" si="90"/>
        <v>0</v>
      </c>
      <c r="C1008" s="1013" t="s">
        <v>245</v>
      </c>
      <c r="D1008" s="1013">
        <v>0</v>
      </c>
      <c r="E1008" s="1013" t="s">
        <v>22698</v>
      </c>
      <c r="F1008" s="1013">
        <v>16</v>
      </c>
      <c r="G1008" s="1932" t="str">
        <f>+VLOOKUP(F1008,TT_Tabelle_Riferimento!$D$127:$G$164,4,FALSE)</f>
        <v>Sistemi informativi di fognatura</v>
      </c>
      <c r="H1008" s="1013">
        <v>3</v>
      </c>
      <c r="I1008" s="1932" t="str">
        <f>+VLOOKUP(H1008,TT_Tabelle_Riferimento!$F$3:$G$6,2,FALSE)</f>
        <v>Altri servizi idrici</v>
      </c>
      <c r="J1008" s="1013">
        <v>2028</v>
      </c>
      <c r="K1008" s="2335">
        <f>+SUMIFS('PdI-crono_inv'!BG:BG,'PdI-crono_inv'!CF:CF,F1008,'PdI-crono_inv'!CE:CE,H1008,'PdI-crono_inv'!J:J,P1008,'PdI-crono_inv'!P:P,"&lt;&gt;proprietario")</f>
        <v>0</v>
      </c>
      <c r="M1008" s="2335">
        <f>+SUMIFS('PdI-crono_inv'!BH:BH,'PdI-crono_inv'!CF:CF,F1008,'PdI-crono_inv'!CE:CE,H1008,'PdI-crono_inv'!J:J,P1008,'PdI-crono_inv'!P:P,"&lt;&gt;proprietario")+S1008</f>
        <v>0</v>
      </c>
      <c r="P1008" s="1013" t="s">
        <v>27068</v>
      </c>
      <c r="Q1008" s="1932" t="str">
        <f>+VLOOKUP(F1008,TT_Tabelle_Riferimento!$D$127:$E$164,2,FALSE)</f>
        <v>Fognatura</v>
      </c>
      <c r="R1008" s="1932" t="str">
        <f t="shared" si="88"/>
        <v/>
      </c>
      <c r="S1008" s="2335">
        <f t="shared" si="87"/>
        <v>0</v>
      </c>
    </row>
    <row r="1009" spans="1:19">
      <c r="A1009" s="1932">
        <f t="shared" si="89"/>
        <v>0</v>
      </c>
      <c r="B1009" s="1932">
        <f t="shared" si="90"/>
        <v>0</v>
      </c>
      <c r="C1009" s="1013" t="s">
        <v>245</v>
      </c>
      <c r="D1009" s="1013">
        <v>0</v>
      </c>
      <c r="E1009" s="1013" t="s">
        <v>22698</v>
      </c>
      <c r="F1009" s="1013">
        <v>18</v>
      </c>
      <c r="G1009" s="1932" t="str">
        <f>+VLOOKUP(F1009,TT_Tabelle_Riferimento!$D$127:$G$164,4,FALSE)</f>
        <v>Telecontrollo e teletrasmissione di fognatura</v>
      </c>
      <c r="H1009" s="1013">
        <v>3</v>
      </c>
      <c r="I1009" s="1932" t="str">
        <f>+VLOOKUP(H1009,TT_Tabelle_Riferimento!$F$3:$G$6,2,FALSE)</f>
        <v>Altri servizi idrici</v>
      </c>
      <c r="J1009" s="1013">
        <v>2028</v>
      </c>
      <c r="K1009" s="2335">
        <f>+SUMIFS('PdI-crono_inv'!BG:BG,'PdI-crono_inv'!CF:CF,F1009,'PdI-crono_inv'!CE:CE,H1009,'PdI-crono_inv'!J:J,P1009,'PdI-crono_inv'!P:P,"&lt;&gt;proprietario")</f>
        <v>0</v>
      </c>
      <c r="M1009" s="2335">
        <f>+SUMIFS('PdI-crono_inv'!BH:BH,'PdI-crono_inv'!CF:CF,F1009,'PdI-crono_inv'!CE:CE,H1009,'PdI-crono_inv'!J:J,P1009,'PdI-crono_inv'!P:P,"&lt;&gt;proprietario")+S1009</f>
        <v>0</v>
      </c>
      <c r="P1009" s="1013" t="s">
        <v>27068</v>
      </c>
      <c r="Q1009" s="1932" t="str">
        <f>+VLOOKUP(F1009,TT_Tabelle_Riferimento!$D$127:$E$164,2,FALSE)</f>
        <v>Fognatura</v>
      </c>
      <c r="R1009" s="1932" t="str">
        <f t="shared" si="88"/>
        <v/>
      </c>
      <c r="S1009" s="2335">
        <f t="shared" si="87"/>
        <v>0</v>
      </c>
    </row>
    <row r="1010" spans="1:19">
      <c r="A1010" s="1932">
        <f t="shared" si="89"/>
        <v>0</v>
      </c>
      <c r="B1010" s="1932">
        <f t="shared" si="90"/>
        <v>0</v>
      </c>
      <c r="C1010" s="1013" t="s">
        <v>245</v>
      </c>
      <c r="D1010" s="1013">
        <v>0</v>
      </c>
      <c r="E1010" s="1013" t="s">
        <v>22698</v>
      </c>
      <c r="F1010" s="1013">
        <v>19</v>
      </c>
      <c r="G1010" s="1932" t="str">
        <f>+VLOOKUP(F1010,TT_Tabelle_Riferimento!$D$127:$G$164,4,FALSE)</f>
        <v>Impianti di sollevamento e pompaggio di depurazione</v>
      </c>
      <c r="H1010" s="1013">
        <v>3</v>
      </c>
      <c r="I1010" s="1932" t="str">
        <f>+VLOOKUP(H1010,TT_Tabelle_Riferimento!$F$3:$G$6,2,FALSE)</f>
        <v>Altri servizi idrici</v>
      </c>
      <c r="J1010" s="1013">
        <v>2028</v>
      </c>
      <c r="K1010" s="2335">
        <f>+SUMIFS('PdI-crono_inv'!BG:BG,'PdI-crono_inv'!CF:CF,F1010,'PdI-crono_inv'!CE:CE,H1010,'PdI-crono_inv'!J:J,P1010,'PdI-crono_inv'!P:P,"&lt;&gt;proprietario")</f>
        <v>0</v>
      </c>
      <c r="M1010" s="2335">
        <f>+SUMIFS('PdI-crono_inv'!BH:BH,'PdI-crono_inv'!CF:CF,F1010,'PdI-crono_inv'!CE:CE,H1010,'PdI-crono_inv'!J:J,P1010,'PdI-crono_inv'!P:P,"&lt;&gt;proprietario")+S1010</f>
        <v>0</v>
      </c>
      <c r="P1010" s="1013" t="s">
        <v>27068</v>
      </c>
      <c r="Q1010" s="1932" t="str">
        <f>+VLOOKUP(F1010,TT_Tabelle_Riferimento!$D$127:$E$164,2,FALSE)</f>
        <v>Depurazione</v>
      </c>
      <c r="R1010" s="1932" t="str">
        <f t="shared" si="88"/>
        <v/>
      </c>
      <c r="S1010" s="2335">
        <f t="shared" si="87"/>
        <v>0</v>
      </c>
    </row>
    <row r="1011" spans="1:19">
      <c r="A1011" s="1932">
        <f t="shared" si="89"/>
        <v>0</v>
      </c>
      <c r="B1011" s="1932">
        <f t="shared" si="90"/>
        <v>0</v>
      </c>
      <c r="C1011" s="1013" t="s">
        <v>245</v>
      </c>
      <c r="D1011" s="1013">
        <v>0</v>
      </c>
      <c r="E1011" s="1013" t="s">
        <v>22698</v>
      </c>
      <c r="F1011" s="1013">
        <v>20</v>
      </c>
      <c r="G1011" s="1932" t="str">
        <f>+VLOOKUP(F1011,TT_Tabelle_Riferimento!$D$127:$G$164,4,FALSE)</f>
        <v>Tecniche naturali di depurazione (tra cui fitodepurazione e lagunaggio)</v>
      </c>
      <c r="H1011" s="1013">
        <v>3</v>
      </c>
      <c r="I1011" s="1932" t="str">
        <f>+VLOOKUP(H1011,TT_Tabelle_Riferimento!$F$3:$G$6,2,FALSE)</f>
        <v>Altri servizi idrici</v>
      </c>
      <c r="J1011" s="1013">
        <v>2028</v>
      </c>
      <c r="K1011" s="2335">
        <f>+SUMIFS('PdI-crono_inv'!BG:BG,'PdI-crono_inv'!CF:CF,F1011,'PdI-crono_inv'!CE:CE,H1011,'PdI-crono_inv'!J:J,P1011,'PdI-crono_inv'!P:P,"&lt;&gt;proprietario")</f>
        <v>0</v>
      </c>
      <c r="M1011" s="2335">
        <f>+SUMIFS('PdI-crono_inv'!BH:BH,'PdI-crono_inv'!CF:CF,F1011,'PdI-crono_inv'!CE:CE,H1011,'PdI-crono_inv'!J:J,P1011,'PdI-crono_inv'!P:P,"&lt;&gt;proprietario")+S1011</f>
        <v>0</v>
      </c>
      <c r="P1011" s="1013" t="s">
        <v>27068</v>
      </c>
      <c r="Q1011" s="1932" t="str">
        <f>+VLOOKUP(F1011,TT_Tabelle_Riferimento!$D$127:$E$164,2,FALSE)</f>
        <v>Depurazione</v>
      </c>
      <c r="R1011" s="1932" t="str">
        <f t="shared" si="88"/>
        <v/>
      </c>
      <c r="S1011" s="2335">
        <f t="shared" si="87"/>
        <v>0</v>
      </c>
    </row>
    <row r="1012" spans="1:19">
      <c r="A1012" s="1932">
        <f t="shared" si="89"/>
        <v>0</v>
      </c>
      <c r="B1012" s="1932">
        <f t="shared" si="90"/>
        <v>0</v>
      </c>
      <c r="C1012" s="1013" t="s">
        <v>245</v>
      </c>
      <c r="D1012" s="1013">
        <v>0</v>
      </c>
      <c r="E1012" s="1013" t="s">
        <v>22698</v>
      </c>
      <c r="F1012" s="1013">
        <v>21</v>
      </c>
      <c r="G1012" s="1932" t="str">
        <f>+VLOOKUP(F1012,TT_Tabelle_Riferimento!$D$127:$G$164,4,FALSE)</f>
        <v>Impianti di depurazione – trattamenti sino al preliminare, integrativo, primario - fosse settiche e fosse Imhoff</v>
      </c>
      <c r="H1012" s="1013">
        <v>3</v>
      </c>
      <c r="I1012" s="1932" t="str">
        <f>+VLOOKUP(H1012,TT_Tabelle_Riferimento!$F$3:$G$6,2,FALSE)</f>
        <v>Altri servizi idrici</v>
      </c>
      <c r="J1012" s="1013">
        <v>2028</v>
      </c>
      <c r="K1012" s="2335">
        <f>+SUMIFS('PdI-crono_inv'!BG:BG,'PdI-crono_inv'!CF:CF,F1012,'PdI-crono_inv'!CE:CE,H1012,'PdI-crono_inv'!J:J,P1012,'PdI-crono_inv'!P:P,"&lt;&gt;proprietario")</f>
        <v>0</v>
      </c>
      <c r="M1012" s="2335">
        <f>+SUMIFS('PdI-crono_inv'!BH:BH,'PdI-crono_inv'!CF:CF,F1012,'PdI-crono_inv'!CE:CE,H1012,'PdI-crono_inv'!J:J,P1012,'PdI-crono_inv'!P:P,"&lt;&gt;proprietario")+S1012</f>
        <v>0</v>
      </c>
      <c r="P1012" s="1013" t="s">
        <v>27068</v>
      </c>
      <c r="Q1012" s="1932" t="str">
        <f>+VLOOKUP(F1012,TT_Tabelle_Riferimento!$D$127:$E$164,2,FALSE)</f>
        <v>Depurazione</v>
      </c>
      <c r="R1012" s="1932" t="str">
        <f t="shared" si="88"/>
        <v/>
      </c>
      <c r="S1012" s="2335">
        <f t="shared" si="87"/>
        <v>0</v>
      </c>
    </row>
    <row r="1013" spans="1:19">
      <c r="A1013" s="1932">
        <f t="shared" si="89"/>
        <v>0</v>
      </c>
      <c r="B1013" s="1932">
        <f t="shared" si="90"/>
        <v>0</v>
      </c>
      <c r="C1013" s="1013" t="s">
        <v>245</v>
      </c>
      <c r="D1013" s="1013">
        <v>0</v>
      </c>
      <c r="E1013" s="1013" t="s">
        <v>22698</v>
      </c>
      <c r="F1013" s="1013">
        <v>22</v>
      </c>
      <c r="G1013" s="1932" t="str">
        <f>+VLOOKUP(F1013,TT_Tabelle_Riferimento!$D$127:$G$164,4,FALSE)</f>
        <v>Impianti di depurazione – trattamenti sino al secondario</v>
      </c>
      <c r="H1013" s="1013">
        <v>3</v>
      </c>
      <c r="I1013" s="1932" t="str">
        <f>+VLOOKUP(H1013,TT_Tabelle_Riferimento!$F$3:$G$6,2,FALSE)</f>
        <v>Altri servizi idrici</v>
      </c>
      <c r="J1013" s="1013">
        <v>2028</v>
      </c>
      <c r="K1013" s="2335">
        <f>+SUMIFS('PdI-crono_inv'!BG:BG,'PdI-crono_inv'!CF:CF,F1013,'PdI-crono_inv'!CE:CE,H1013,'PdI-crono_inv'!J:J,P1013,'PdI-crono_inv'!P:P,"&lt;&gt;proprietario")</f>
        <v>0</v>
      </c>
      <c r="M1013" s="2335">
        <f>+SUMIFS('PdI-crono_inv'!BH:BH,'PdI-crono_inv'!CF:CF,F1013,'PdI-crono_inv'!CE:CE,H1013,'PdI-crono_inv'!J:J,P1013,'PdI-crono_inv'!P:P,"&lt;&gt;proprietario")+S1013</f>
        <v>0</v>
      </c>
      <c r="P1013" s="1013" t="s">
        <v>27068</v>
      </c>
      <c r="Q1013" s="1932" t="str">
        <f>+VLOOKUP(F1013,TT_Tabelle_Riferimento!$D$127:$E$164,2,FALSE)</f>
        <v>Depurazione</v>
      </c>
      <c r="R1013" s="1932" t="str">
        <f t="shared" si="88"/>
        <v/>
      </c>
      <c r="S1013" s="2335">
        <f t="shared" si="87"/>
        <v>0</v>
      </c>
    </row>
    <row r="1014" spans="1:19">
      <c r="A1014" s="1932">
        <f t="shared" si="89"/>
        <v>0</v>
      </c>
      <c r="B1014" s="1932">
        <f t="shared" si="90"/>
        <v>0</v>
      </c>
      <c r="C1014" s="1013" t="s">
        <v>245</v>
      </c>
      <c r="D1014" s="1013">
        <v>0</v>
      </c>
      <c r="E1014" s="1013" t="s">
        <v>22698</v>
      </c>
      <c r="F1014" s="1013">
        <v>23</v>
      </c>
      <c r="G1014" s="1932" t="str">
        <f>+VLOOKUP(F1014,TT_Tabelle_Riferimento!$D$127:$G$164,4,FALSE)</f>
        <v>Impianti di depurazione – trattamenti sino al terziario e terziario avanzato</v>
      </c>
      <c r="H1014" s="1013">
        <v>3</v>
      </c>
      <c r="I1014" s="1932" t="str">
        <f>+VLOOKUP(H1014,TT_Tabelle_Riferimento!$F$3:$G$6,2,FALSE)</f>
        <v>Altri servizi idrici</v>
      </c>
      <c r="J1014" s="1013">
        <v>2028</v>
      </c>
      <c r="K1014" s="2335">
        <f>+SUMIFS('PdI-crono_inv'!BG:BG,'PdI-crono_inv'!CF:CF,F1014,'PdI-crono_inv'!CE:CE,H1014,'PdI-crono_inv'!J:J,P1014,'PdI-crono_inv'!P:P,"&lt;&gt;proprietario")</f>
        <v>0</v>
      </c>
      <c r="M1014" s="2335">
        <f>+SUMIFS('PdI-crono_inv'!BH:BH,'PdI-crono_inv'!CF:CF,F1014,'PdI-crono_inv'!CE:CE,H1014,'PdI-crono_inv'!J:J,P1014,'PdI-crono_inv'!P:P,"&lt;&gt;proprietario")+S1014</f>
        <v>0</v>
      </c>
      <c r="P1014" s="1013" t="s">
        <v>27068</v>
      </c>
      <c r="Q1014" s="1932" t="str">
        <f>+VLOOKUP(F1014,TT_Tabelle_Riferimento!$D$127:$E$164,2,FALSE)</f>
        <v>Depurazione</v>
      </c>
      <c r="R1014" s="1932" t="str">
        <f t="shared" si="88"/>
        <v/>
      </c>
      <c r="S1014" s="2335">
        <f t="shared" si="87"/>
        <v>0</v>
      </c>
    </row>
    <row r="1015" spans="1:19">
      <c r="A1015" s="1932">
        <f t="shared" si="89"/>
        <v>0</v>
      </c>
      <c r="B1015" s="1932">
        <f t="shared" si="90"/>
        <v>0</v>
      </c>
      <c r="C1015" s="1013" t="s">
        <v>245</v>
      </c>
      <c r="D1015" s="1013">
        <v>0</v>
      </c>
      <c r="E1015" s="1013" t="s">
        <v>22698</v>
      </c>
      <c r="F1015" s="1013">
        <v>24</v>
      </c>
      <c r="G1015" s="1932" t="str">
        <f>+VLOOKUP(F1015,TT_Tabelle_Riferimento!$D$127:$G$164,4,FALSE)</f>
        <v>Impianti di essiccamento fanghi e di valorizzazione dei fanghi (tra cui mono-incenerimento, pirolisi, gassificazione)</v>
      </c>
      <c r="H1015" s="1013">
        <v>3</v>
      </c>
      <c r="I1015" s="1932" t="str">
        <f>+VLOOKUP(H1015,TT_Tabelle_Riferimento!$F$3:$G$6,2,FALSE)</f>
        <v>Altri servizi idrici</v>
      </c>
      <c r="J1015" s="1013">
        <v>2028</v>
      </c>
      <c r="K1015" s="2335">
        <f>+SUMIFS('PdI-crono_inv'!BG:BG,'PdI-crono_inv'!CF:CF,F1015,'PdI-crono_inv'!CE:CE,H1015,'PdI-crono_inv'!J:J,P1015,'PdI-crono_inv'!P:P,"&lt;&gt;proprietario")</f>
        <v>0</v>
      </c>
      <c r="M1015" s="2335">
        <f>+SUMIFS('PdI-crono_inv'!BH:BH,'PdI-crono_inv'!CF:CF,F1015,'PdI-crono_inv'!CE:CE,H1015,'PdI-crono_inv'!J:J,P1015,'PdI-crono_inv'!P:P,"&lt;&gt;proprietario")+S1015</f>
        <v>0</v>
      </c>
      <c r="P1015" s="1013" t="s">
        <v>27068</v>
      </c>
      <c r="Q1015" s="1932" t="str">
        <f>+VLOOKUP(F1015,TT_Tabelle_Riferimento!$D$127:$E$164,2,FALSE)</f>
        <v>Depurazione</v>
      </c>
      <c r="R1015" s="1932" t="str">
        <f t="shared" si="88"/>
        <v/>
      </c>
      <c r="S1015" s="2335">
        <f t="shared" si="87"/>
        <v>0</v>
      </c>
    </row>
    <row r="1016" spans="1:19">
      <c r="A1016" s="1932">
        <f t="shared" si="89"/>
        <v>0</v>
      </c>
      <c r="B1016" s="1932">
        <f t="shared" si="90"/>
        <v>0</v>
      </c>
      <c r="C1016" s="1013" t="s">
        <v>245</v>
      </c>
      <c r="D1016" s="1013">
        <v>0</v>
      </c>
      <c r="E1016" s="1013" t="s">
        <v>22698</v>
      </c>
      <c r="F1016" s="1013">
        <v>25</v>
      </c>
      <c r="G1016" s="1932" t="str">
        <f>+VLOOKUP(F1016,TT_Tabelle_Riferimento!$D$127:$G$164,4,FALSE)</f>
        <v>Gruppi di misura - altre attrezzature di depurazione</v>
      </c>
      <c r="H1016" s="1013">
        <v>3</v>
      </c>
      <c r="I1016" s="1932" t="str">
        <f>+VLOOKUP(H1016,TT_Tabelle_Riferimento!$F$3:$G$6,2,FALSE)</f>
        <v>Altri servizi idrici</v>
      </c>
      <c r="J1016" s="1013">
        <v>2028</v>
      </c>
      <c r="K1016" s="2335">
        <f>+SUMIFS('PdI-crono_inv'!BG:BG,'PdI-crono_inv'!CF:CF,F1016,'PdI-crono_inv'!CE:CE,H1016,'PdI-crono_inv'!J:J,P1016,'PdI-crono_inv'!P:P,"&lt;&gt;proprietario")</f>
        <v>0</v>
      </c>
      <c r="M1016" s="2335">
        <f>+SUMIFS('PdI-crono_inv'!BH:BH,'PdI-crono_inv'!CF:CF,F1016,'PdI-crono_inv'!CE:CE,H1016,'PdI-crono_inv'!J:J,P1016,'PdI-crono_inv'!P:P,"&lt;&gt;proprietario")+S1016</f>
        <v>0</v>
      </c>
      <c r="P1016" s="1013" t="s">
        <v>27068</v>
      </c>
      <c r="Q1016" s="1932" t="str">
        <f>+VLOOKUP(F1016,TT_Tabelle_Riferimento!$D$127:$E$164,2,FALSE)</f>
        <v>Depurazione</v>
      </c>
      <c r="R1016" s="1932" t="str">
        <f t="shared" si="88"/>
        <v/>
      </c>
      <c r="S1016" s="2335">
        <f t="shared" si="87"/>
        <v>0</v>
      </c>
    </row>
    <row r="1017" spans="1:19">
      <c r="A1017" s="1932">
        <f t="shared" si="89"/>
        <v>0</v>
      </c>
      <c r="B1017" s="1932">
        <f t="shared" si="90"/>
        <v>0</v>
      </c>
      <c r="C1017" s="1013" t="s">
        <v>245</v>
      </c>
      <c r="D1017" s="1013">
        <v>0</v>
      </c>
      <c r="E1017" s="1013" t="s">
        <v>22698</v>
      </c>
      <c r="F1017" s="1013">
        <v>26</v>
      </c>
      <c r="G1017" s="1932" t="str">
        <f>+VLOOKUP(F1017,TT_Tabelle_Riferimento!$D$127:$G$164,4,FALSE)</f>
        <v>Sistemi informativi di depurazione</v>
      </c>
      <c r="H1017" s="1013">
        <v>3</v>
      </c>
      <c r="I1017" s="1932" t="str">
        <f>+VLOOKUP(H1017,TT_Tabelle_Riferimento!$F$3:$G$6,2,FALSE)</f>
        <v>Altri servizi idrici</v>
      </c>
      <c r="J1017" s="1013">
        <v>2028</v>
      </c>
      <c r="K1017" s="2335">
        <f>+SUMIFS('PdI-crono_inv'!BG:BG,'PdI-crono_inv'!CF:CF,F1017,'PdI-crono_inv'!CE:CE,H1017,'PdI-crono_inv'!J:J,P1017,'PdI-crono_inv'!P:P,"&lt;&gt;proprietario")</f>
        <v>0</v>
      </c>
      <c r="M1017" s="2335">
        <f>+SUMIFS('PdI-crono_inv'!BH:BH,'PdI-crono_inv'!CF:CF,F1017,'PdI-crono_inv'!CE:CE,H1017,'PdI-crono_inv'!J:J,P1017,'PdI-crono_inv'!P:P,"&lt;&gt;proprietario")+S1017</f>
        <v>0</v>
      </c>
      <c r="P1017" s="1013" t="s">
        <v>27068</v>
      </c>
      <c r="Q1017" s="1932" t="str">
        <f>+VLOOKUP(F1017,TT_Tabelle_Riferimento!$D$127:$E$164,2,FALSE)</f>
        <v>Depurazione</v>
      </c>
      <c r="R1017" s="1932" t="str">
        <f t="shared" si="88"/>
        <v/>
      </c>
      <c r="S1017" s="2335">
        <f t="shared" si="87"/>
        <v>0</v>
      </c>
    </row>
    <row r="1018" spans="1:19">
      <c r="A1018" s="1932">
        <f t="shared" si="89"/>
        <v>0</v>
      </c>
      <c r="B1018" s="1932">
        <f t="shared" si="90"/>
        <v>0</v>
      </c>
      <c r="C1018" s="1013" t="s">
        <v>245</v>
      </c>
      <c r="D1018" s="1013">
        <v>0</v>
      </c>
      <c r="E1018" s="1013" t="s">
        <v>22698</v>
      </c>
      <c r="F1018" s="1013">
        <v>27</v>
      </c>
      <c r="G1018" s="1932" t="str">
        <f>+VLOOKUP(F1018,TT_Tabelle_Riferimento!$D$127:$G$164,4,FALSE)</f>
        <v>Telecontrollo e teletrasmissione di depurazione</v>
      </c>
      <c r="H1018" s="1013">
        <v>3</v>
      </c>
      <c r="I1018" s="1932" t="str">
        <f>+VLOOKUP(H1018,TT_Tabelle_Riferimento!$F$3:$G$6,2,FALSE)</f>
        <v>Altri servizi idrici</v>
      </c>
      <c r="J1018" s="1013">
        <v>2028</v>
      </c>
      <c r="K1018" s="2335">
        <f>+SUMIFS('PdI-crono_inv'!BG:BG,'PdI-crono_inv'!CF:CF,F1018,'PdI-crono_inv'!CE:CE,H1018,'PdI-crono_inv'!J:J,P1018,'PdI-crono_inv'!P:P,"&lt;&gt;proprietario")</f>
        <v>0</v>
      </c>
      <c r="M1018" s="2335">
        <f>+SUMIFS('PdI-crono_inv'!BH:BH,'PdI-crono_inv'!CF:CF,F1018,'PdI-crono_inv'!CE:CE,H1018,'PdI-crono_inv'!J:J,P1018,'PdI-crono_inv'!P:P,"&lt;&gt;proprietario")+S1018</f>
        <v>0</v>
      </c>
      <c r="P1018" s="1013" t="s">
        <v>27068</v>
      </c>
      <c r="Q1018" s="1932" t="str">
        <f>+VLOOKUP(F1018,TT_Tabelle_Riferimento!$D$127:$E$164,2,FALSE)</f>
        <v>Depurazione</v>
      </c>
      <c r="R1018" s="1932" t="str">
        <f t="shared" si="88"/>
        <v/>
      </c>
      <c r="S1018" s="2335">
        <f t="shared" si="87"/>
        <v>0</v>
      </c>
    </row>
    <row r="1019" spans="1:19">
      <c r="A1019" s="1932">
        <f t="shared" si="89"/>
        <v>0</v>
      </c>
      <c r="B1019" s="1932">
        <f t="shared" si="90"/>
        <v>0</v>
      </c>
      <c r="C1019" s="1013" t="s">
        <v>245</v>
      </c>
      <c r="D1019" s="1013">
        <v>0</v>
      </c>
      <c r="E1019" s="1013" t="s">
        <v>22698</v>
      </c>
      <c r="F1019" s="1013">
        <v>28</v>
      </c>
      <c r="G1019" s="1932" t="str">
        <f>+VLOOKUP(F1019,TT_Tabelle_Riferimento!$D$127:$G$164,4,FALSE)</f>
        <v>Altri impianti</v>
      </c>
      <c r="H1019" s="1013">
        <v>3</v>
      </c>
      <c r="I1019" s="1932" t="str">
        <f>+VLOOKUP(H1019,TT_Tabelle_Riferimento!$F$3:$G$6,2,FALSE)</f>
        <v>Altri servizi idrici</v>
      </c>
      <c r="J1019" s="1013">
        <v>2028</v>
      </c>
      <c r="K1019" s="2335">
        <f>+SUMIFS('PdI-crono_inv'!BG:BG,'PdI-crono_inv'!CF:CF,F1019,'PdI-crono_inv'!CE:CE,H1019,'PdI-crono_inv'!J:J,P1019,'PdI-crono_inv'!P:P,"&lt;&gt;proprietario")</f>
        <v>0</v>
      </c>
      <c r="M1019" s="2335">
        <f>+SUMIFS('PdI-crono_inv'!BH:BH,'PdI-crono_inv'!CF:CF,F1019,'PdI-crono_inv'!CE:CE,H1019,'PdI-crono_inv'!J:J,P1019,'PdI-crono_inv'!P:P,"&lt;&gt;proprietario")+S1019</f>
        <v>0</v>
      </c>
      <c r="P1019" s="1013" t="s">
        <v>27068</v>
      </c>
      <c r="Q1019" s="1932" t="str">
        <f>+VLOOKUP(F1019,TT_Tabelle_Riferimento!$D$127:$E$164,2,FALSE)</f>
        <v>Comune</v>
      </c>
      <c r="R1019" s="1932" t="str">
        <f t="shared" si="88"/>
        <v/>
      </c>
      <c r="S1019" s="2335">
        <f t="shared" si="87"/>
        <v>0</v>
      </c>
    </row>
    <row r="1020" spans="1:19">
      <c r="A1020" s="1932">
        <f t="shared" si="89"/>
        <v>0</v>
      </c>
      <c r="B1020" s="1932">
        <f t="shared" si="90"/>
        <v>0</v>
      </c>
      <c r="C1020" s="1013" t="s">
        <v>245</v>
      </c>
      <c r="D1020" s="1013">
        <v>0</v>
      </c>
      <c r="E1020" s="1013" t="s">
        <v>22698</v>
      </c>
      <c r="F1020" s="1013">
        <v>29</v>
      </c>
      <c r="G1020" s="1932" t="str">
        <f>+VLOOKUP(F1020,TT_Tabelle_Riferimento!$D$127:$G$164,4,FALSE)</f>
        <v>Laboratori e attrezzature</v>
      </c>
      <c r="H1020" s="1013">
        <v>3</v>
      </c>
      <c r="I1020" s="1932" t="str">
        <f>+VLOOKUP(H1020,TT_Tabelle_Riferimento!$F$3:$G$6,2,FALSE)</f>
        <v>Altri servizi idrici</v>
      </c>
      <c r="J1020" s="1013">
        <v>2028</v>
      </c>
      <c r="K1020" s="2335">
        <f>+SUMIFS('PdI-crono_inv'!BG:BG,'PdI-crono_inv'!CF:CF,F1020,'PdI-crono_inv'!CE:CE,H1020,'PdI-crono_inv'!J:J,P1020,'PdI-crono_inv'!P:P,"&lt;&gt;proprietario")</f>
        <v>0</v>
      </c>
      <c r="M1020" s="2335">
        <f>+SUMIFS('PdI-crono_inv'!BH:BH,'PdI-crono_inv'!CF:CF,F1020,'PdI-crono_inv'!CE:CE,H1020,'PdI-crono_inv'!J:J,P1020,'PdI-crono_inv'!P:P,"&lt;&gt;proprietario")+S1020</f>
        <v>0</v>
      </c>
      <c r="P1020" s="1013" t="s">
        <v>27068</v>
      </c>
      <c r="Q1020" s="1932" t="str">
        <f>+VLOOKUP(F1020,TT_Tabelle_Riferimento!$D$127:$E$164,2,FALSE)</f>
        <v>Comune</v>
      </c>
      <c r="R1020" s="1932" t="str">
        <f t="shared" si="88"/>
        <v/>
      </c>
      <c r="S1020" s="2335">
        <f t="shared" si="87"/>
        <v>0</v>
      </c>
    </row>
    <row r="1021" spans="1:19">
      <c r="A1021" s="1932">
        <f t="shared" si="89"/>
        <v>0</v>
      </c>
      <c r="B1021" s="1932">
        <f t="shared" si="90"/>
        <v>0</v>
      </c>
      <c r="C1021" s="1013" t="s">
        <v>245</v>
      </c>
      <c r="D1021" s="1013">
        <v>0</v>
      </c>
      <c r="E1021" s="1013" t="s">
        <v>22698</v>
      </c>
      <c r="F1021" s="1013">
        <v>30</v>
      </c>
      <c r="G1021" s="1932" t="str">
        <f>+VLOOKUP(F1021,TT_Tabelle_Riferimento!$D$127:$G$164,4,FALSE)</f>
        <v>Sistemi informativi</v>
      </c>
      <c r="H1021" s="1013">
        <v>3</v>
      </c>
      <c r="I1021" s="1932" t="str">
        <f>+VLOOKUP(H1021,TT_Tabelle_Riferimento!$F$3:$G$6,2,FALSE)</f>
        <v>Altri servizi idrici</v>
      </c>
      <c r="J1021" s="1013">
        <v>2028</v>
      </c>
      <c r="K1021" s="2335">
        <f>+SUMIFS('PdI-crono_inv'!BG:BG,'PdI-crono_inv'!CF:CF,F1021,'PdI-crono_inv'!CE:CE,H1021,'PdI-crono_inv'!J:J,P1021,'PdI-crono_inv'!P:P,"&lt;&gt;proprietario")</f>
        <v>0</v>
      </c>
      <c r="M1021" s="2335">
        <f>+SUMIFS('PdI-crono_inv'!BH:BH,'PdI-crono_inv'!CF:CF,F1021,'PdI-crono_inv'!CE:CE,H1021,'PdI-crono_inv'!J:J,P1021,'PdI-crono_inv'!P:P,"&lt;&gt;proprietario")+S1021</f>
        <v>0</v>
      </c>
      <c r="P1021" s="1013" t="s">
        <v>27068</v>
      </c>
      <c r="Q1021" s="1932" t="str">
        <f>+VLOOKUP(F1021,TT_Tabelle_Riferimento!$D$127:$E$164,2,FALSE)</f>
        <v>Comune</v>
      </c>
      <c r="R1021" s="1932" t="str">
        <f t="shared" si="88"/>
        <v/>
      </c>
      <c r="S1021" s="2335">
        <f t="shared" si="87"/>
        <v>0</v>
      </c>
    </row>
    <row r="1022" spans="1:19">
      <c r="A1022" s="1932">
        <f t="shared" si="89"/>
        <v>0</v>
      </c>
      <c r="B1022" s="1932">
        <f t="shared" si="90"/>
        <v>0</v>
      </c>
      <c r="C1022" s="1013" t="s">
        <v>245</v>
      </c>
      <c r="D1022" s="1013">
        <v>0</v>
      </c>
      <c r="E1022" s="1013" t="s">
        <v>22698</v>
      </c>
      <c r="F1022" s="1013">
        <v>31</v>
      </c>
      <c r="G1022" s="1932" t="str">
        <f>+VLOOKUP(F1022,TT_Tabelle_Riferimento!$D$127:$G$164,4,FALSE)</f>
        <v>Telecontrollo e teletrasmissione</v>
      </c>
      <c r="H1022" s="1013">
        <v>3</v>
      </c>
      <c r="I1022" s="1932" t="str">
        <f>+VLOOKUP(H1022,TT_Tabelle_Riferimento!$F$3:$G$6,2,FALSE)</f>
        <v>Altri servizi idrici</v>
      </c>
      <c r="J1022" s="1013">
        <v>2028</v>
      </c>
      <c r="K1022" s="2335">
        <f>+SUMIFS('PdI-crono_inv'!BG:BG,'PdI-crono_inv'!CF:CF,F1022,'PdI-crono_inv'!CE:CE,H1022,'PdI-crono_inv'!J:J,P1022,'PdI-crono_inv'!P:P,"&lt;&gt;proprietario")</f>
        <v>0</v>
      </c>
      <c r="M1022" s="2335">
        <f>+SUMIFS('PdI-crono_inv'!BH:BH,'PdI-crono_inv'!CF:CF,F1022,'PdI-crono_inv'!CE:CE,H1022,'PdI-crono_inv'!J:J,P1022,'PdI-crono_inv'!P:P,"&lt;&gt;proprietario")+S1022</f>
        <v>0</v>
      </c>
      <c r="P1022" s="1013" t="s">
        <v>27068</v>
      </c>
      <c r="Q1022" s="1932" t="str">
        <f>+VLOOKUP(F1022,TT_Tabelle_Riferimento!$D$127:$E$164,2,FALSE)</f>
        <v>Comune</v>
      </c>
      <c r="R1022" s="1932" t="str">
        <f t="shared" si="88"/>
        <v/>
      </c>
      <c r="S1022" s="2335">
        <f t="shared" si="87"/>
        <v>0</v>
      </c>
    </row>
    <row r="1023" spans="1:19">
      <c r="A1023" s="1932">
        <f t="shared" si="89"/>
        <v>0</v>
      </c>
      <c r="B1023" s="1932">
        <f t="shared" si="90"/>
        <v>0</v>
      </c>
      <c r="C1023" s="1013" t="s">
        <v>245</v>
      </c>
      <c r="D1023" s="1013">
        <v>0</v>
      </c>
      <c r="E1023" s="1013" t="s">
        <v>22698</v>
      </c>
      <c r="F1023" s="1013">
        <v>32</v>
      </c>
      <c r="G1023" s="1932" t="str">
        <f>+VLOOKUP(F1023,TT_Tabelle_Riferimento!$D$127:$G$164,4,FALSE)</f>
        <v>Autoveicoli - automezzi</v>
      </c>
      <c r="H1023" s="1013">
        <v>3</v>
      </c>
      <c r="I1023" s="1932" t="str">
        <f>+VLOOKUP(H1023,TT_Tabelle_Riferimento!$F$3:$G$6,2,FALSE)</f>
        <v>Altri servizi idrici</v>
      </c>
      <c r="J1023" s="1013">
        <v>2028</v>
      </c>
      <c r="K1023" s="2335">
        <f>+SUMIFS('PdI-crono_inv'!BG:BG,'PdI-crono_inv'!CF:CF,F1023,'PdI-crono_inv'!CE:CE,H1023,'PdI-crono_inv'!J:J,P1023,'PdI-crono_inv'!P:P,"&lt;&gt;proprietario")</f>
        <v>0</v>
      </c>
      <c r="M1023" s="2335">
        <f>+SUMIFS('PdI-crono_inv'!BH:BH,'PdI-crono_inv'!CF:CF,F1023,'PdI-crono_inv'!CE:CE,H1023,'PdI-crono_inv'!J:J,P1023,'PdI-crono_inv'!P:P,"&lt;&gt;proprietario")+S1023</f>
        <v>0</v>
      </c>
      <c r="P1023" s="1013" t="s">
        <v>27068</v>
      </c>
      <c r="Q1023" s="1932" t="str">
        <f>+VLOOKUP(F1023,TT_Tabelle_Riferimento!$D$127:$E$164,2,FALSE)</f>
        <v>Comune</v>
      </c>
      <c r="R1023" s="1932" t="str">
        <f t="shared" si="88"/>
        <v/>
      </c>
      <c r="S1023" s="2335">
        <f t="shared" si="87"/>
        <v>0</v>
      </c>
    </row>
    <row r="1024" spans="1:19">
      <c r="A1024" s="1932">
        <f t="shared" si="89"/>
        <v>0</v>
      </c>
      <c r="B1024" s="1932">
        <f t="shared" si="90"/>
        <v>0</v>
      </c>
      <c r="C1024" s="1013" t="s">
        <v>245</v>
      </c>
      <c r="D1024" s="1013">
        <v>0</v>
      </c>
      <c r="E1024" s="1013" t="s">
        <v>22698</v>
      </c>
      <c r="F1024" s="1013">
        <v>1</v>
      </c>
      <c r="G1024" s="1932" t="str">
        <f>+VLOOKUP(F1024,TT_Tabelle_Riferimento!$D$127:$G$164,4,FALSE)</f>
        <v>Terreni</v>
      </c>
      <c r="H1024" s="1013">
        <v>3</v>
      </c>
      <c r="I1024" s="1932" t="str">
        <f>+VLOOKUP(H1024,TT_Tabelle_Riferimento!$F$3:$G$6,2,FALSE)</f>
        <v>Altri servizi idrici</v>
      </c>
      <c r="J1024" s="1013">
        <v>2028</v>
      </c>
      <c r="K1024" s="2335">
        <f>+SUMIFS('PdI-crono_inv'!BG:BG,'PdI-crono_inv'!CF:CF,F1024,'PdI-crono_inv'!CE:CE,H1024,'PdI-crono_inv'!J:J,P1024,'PdI-crono_inv'!P:P,"&lt;&gt;proprietario")</f>
        <v>0</v>
      </c>
      <c r="M1024" s="2335">
        <f>+SUMIFS('PdI-crono_inv'!BH:BH,'PdI-crono_inv'!CF:CF,F1024,'PdI-crono_inv'!CE:CE,H1024,'PdI-crono_inv'!J:J,P1024,'PdI-crono_inv'!P:P,"&lt;&gt;proprietario")+S1024</f>
        <v>0</v>
      </c>
      <c r="P1024" s="1013" t="s">
        <v>27068</v>
      </c>
      <c r="Q1024" s="1932" t="str">
        <f>+VLOOKUP(F1024,TT_Tabelle_Riferimento!$D$127:$E$164,2,FALSE)</f>
        <v>Comune</v>
      </c>
      <c r="R1024" s="1932" t="str">
        <f t="shared" si="88"/>
        <v/>
      </c>
      <c r="S1024" s="2335">
        <f t="shared" si="87"/>
        <v>0</v>
      </c>
    </row>
    <row r="1025" spans="1:19">
      <c r="A1025" s="1932">
        <f t="shared" si="89"/>
        <v>0</v>
      </c>
      <c r="B1025" s="1932">
        <f t="shared" si="90"/>
        <v>0</v>
      </c>
      <c r="C1025" s="1013" t="s">
        <v>245</v>
      </c>
      <c r="D1025" s="1013">
        <v>0</v>
      </c>
      <c r="E1025" s="1013" t="s">
        <v>22698</v>
      </c>
      <c r="F1025" s="1013">
        <v>33</v>
      </c>
      <c r="G1025" s="1932" t="str">
        <f>+VLOOKUP(F1025,TT_Tabelle_Riferimento!$D$127:$G$164,4,FALSE)</f>
        <v>Fabbricati non industriali</v>
      </c>
      <c r="H1025" s="1013">
        <v>3</v>
      </c>
      <c r="I1025" s="1932" t="str">
        <f>+VLOOKUP(H1025,TT_Tabelle_Riferimento!$F$3:$G$6,2,FALSE)</f>
        <v>Altri servizi idrici</v>
      </c>
      <c r="J1025" s="1013">
        <v>2028</v>
      </c>
      <c r="K1025" s="2335">
        <f>+SUMIFS('PdI-crono_inv'!BG:BG,'PdI-crono_inv'!CF:CF,F1025,'PdI-crono_inv'!CE:CE,H1025,'PdI-crono_inv'!J:J,P1025,'PdI-crono_inv'!P:P,"&lt;&gt;proprietario")</f>
        <v>0</v>
      </c>
      <c r="M1025" s="2335">
        <f>+SUMIFS('PdI-crono_inv'!BH:BH,'PdI-crono_inv'!CF:CF,F1025,'PdI-crono_inv'!CE:CE,H1025,'PdI-crono_inv'!J:J,P1025,'PdI-crono_inv'!P:P,"&lt;&gt;proprietario")+S1025</f>
        <v>0</v>
      </c>
      <c r="P1025" s="1013" t="s">
        <v>27068</v>
      </c>
      <c r="Q1025" s="1932" t="str">
        <f>+VLOOKUP(F1025,TT_Tabelle_Riferimento!$D$127:$E$164,2,FALSE)</f>
        <v>Comune</v>
      </c>
      <c r="R1025" s="1932" t="str">
        <f t="shared" si="88"/>
        <v/>
      </c>
      <c r="S1025" s="2335">
        <f t="shared" si="87"/>
        <v>0</v>
      </c>
    </row>
    <row r="1026" spans="1:19">
      <c r="A1026" s="1932">
        <f t="shared" si="89"/>
        <v>0</v>
      </c>
      <c r="B1026" s="1932">
        <f t="shared" si="90"/>
        <v>0</v>
      </c>
      <c r="C1026" s="1013" t="s">
        <v>245</v>
      </c>
      <c r="D1026" s="1013">
        <v>0</v>
      </c>
      <c r="E1026" s="1013" t="s">
        <v>22698</v>
      </c>
      <c r="F1026" s="1013">
        <v>34</v>
      </c>
      <c r="G1026" s="1932" t="str">
        <f>+VLOOKUP(F1026,TT_Tabelle_Riferimento!$D$127:$G$164,4,FALSE)</f>
        <v>Fabbricati industriali</v>
      </c>
      <c r="H1026" s="1013">
        <v>3</v>
      </c>
      <c r="I1026" s="1932" t="str">
        <f>+VLOOKUP(H1026,TT_Tabelle_Riferimento!$F$3:$G$6,2,FALSE)</f>
        <v>Altri servizi idrici</v>
      </c>
      <c r="J1026" s="1013">
        <v>2028</v>
      </c>
      <c r="K1026" s="2335">
        <f>+SUMIFS('PdI-crono_inv'!BG:BG,'PdI-crono_inv'!CF:CF,F1026,'PdI-crono_inv'!CE:CE,H1026,'PdI-crono_inv'!J:J,P1026,'PdI-crono_inv'!P:P,"&lt;&gt;proprietario")</f>
        <v>0</v>
      </c>
      <c r="M1026" s="2335">
        <f>+SUMIFS('PdI-crono_inv'!BH:BH,'PdI-crono_inv'!CF:CF,F1026,'PdI-crono_inv'!CE:CE,H1026,'PdI-crono_inv'!J:J,P1026,'PdI-crono_inv'!P:P,"&lt;&gt;proprietario")+S1026</f>
        <v>0</v>
      </c>
      <c r="P1026" s="1013" t="s">
        <v>27068</v>
      </c>
      <c r="Q1026" s="1932" t="str">
        <f>+VLOOKUP(F1026,TT_Tabelle_Riferimento!$D$127:$E$164,2,FALSE)</f>
        <v>Comune</v>
      </c>
      <c r="R1026" s="1932" t="str">
        <f t="shared" si="88"/>
        <v/>
      </c>
      <c r="S1026" s="2335">
        <f t="shared" si="87"/>
        <v>0</v>
      </c>
    </row>
    <row r="1027" spans="1:19">
      <c r="A1027" s="1932">
        <f t="shared" si="89"/>
        <v>0</v>
      </c>
      <c r="B1027" s="1932">
        <f t="shared" si="90"/>
        <v>0</v>
      </c>
      <c r="C1027" s="1013" t="s">
        <v>245</v>
      </c>
      <c r="D1027" s="1013">
        <v>0</v>
      </c>
      <c r="E1027" s="1013" t="s">
        <v>22698</v>
      </c>
      <c r="F1027" s="1013">
        <v>35</v>
      </c>
      <c r="G1027" s="1932" t="str">
        <f>+VLOOKUP(F1027,TT_Tabelle_Riferimento!$D$127:$G$164,4,FALSE)</f>
        <v>Costruzioni leggere</v>
      </c>
      <c r="H1027" s="1013">
        <v>3</v>
      </c>
      <c r="I1027" s="1932" t="str">
        <f>+VLOOKUP(H1027,TT_Tabelle_Riferimento!$F$3:$G$6,2,FALSE)</f>
        <v>Altri servizi idrici</v>
      </c>
      <c r="J1027" s="1013">
        <v>2028</v>
      </c>
      <c r="K1027" s="2335">
        <f>+SUMIFS('PdI-crono_inv'!BG:BG,'PdI-crono_inv'!CF:CF,F1027,'PdI-crono_inv'!CE:CE,H1027,'PdI-crono_inv'!J:J,P1027,'PdI-crono_inv'!P:P,"&lt;&gt;proprietario")</f>
        <v>0</v>
      </c>
      <c r="M1027" s="2335">
        <f>+SUMIFS('PdI-crono_inv'!BH:BH,'PdI-crono_inv'!CF:CF,F1027,'PdI-crono_inv'!CE:CE,H1027,'PdI-crono_inv'!J:J,P1027,'PdI-crono_inv'!P:P,"&lt;&gt;proprietario")+S1027</f>
        <v>0</v>
      </c>
      <c r="P1027" s="1013" t="s">
        <v>27068</v>
      </c>
      <c r="Q1027" s="1932" t="str">
        <f>+VLOOKUP(F1027,TT_Tabelle_Riferimento!$D$127:$E$164,2,FALSE)</f>
        <v>Comune</v>
      </c>
      <c r="R1027" s="1932" t="str">
        <f t="shared" si="88"/>
        <v/>
      </c>
      <c r="S1027" s="2335">
        <f t="shared" si="87"/>
        <v>0</v>
      </c>
    </row>
    <row r="1028" spans="1:19">
      <c r="A1028" s="1932">
        <f t="shared" si="89"/>
        <v>0</v>
      </c>
      <c r="B1028" s="1932">
        <f t="shared" si="90"/>
        <v>0</v>
      </c>
      <c r="C1028" s="1013" t="s">
        <v>245</v>
      </c>
      <c r="D1028" s="1013">
        <v>0</v>
      </c>
      <c r="E1028" s="1013" t="s">
        <v>22698</v>
      </c>
      <c r="F1028" s="1013">
        <v>36</v>
      </c>
      <c r="G1028" s="1932" t="str">
        <f>+VLOOKUP(F1028,TT_Tabelle_Riferimento!$D$127:$G$164,4,FALSE)</f>
        <v>Studi, ricerche, brevetti, diritti di utilizzazione</v>
      </c>
      <c r="H1028" s="1013">
        <v>3</v>
      </c>
      <c r="I1028" s="1932" t="str">
        <f>+VLOOKUP(H1028,TT_Tabelle_Riferimento!$F$3:$G$6,2,FALSE)</f>
        <v>Altri servizi idrici</v>
      </c>
      <c r="J1028" s="1013">
        <v>2028</v>
      </c>
      <c r="K1028" s="2335">
        <f>+SUMIFS('PdI-crono_inv'!BG:BG,'PdI-crono_inv'!CF:CF,F1028,'PdI-crono_inv'!CE:CE,H1028,'PdI-crono_inv'!J:J,P1028,'PdI-crono_inv'!P:P,"&lt;&gt;proprietario")</f>
        <v>0</v>
      </c>
      <c r="M1028" s="2335">
        <f>+SUMIFS('PdI-crono_inv'!BH:BH,'PdI-crono_inv'!CF:CF,F1028,'PdI-crono_inv'!CE:CE,H1028,'PdI-crono_inv'!J:J,P1028,'PdI-crono_inv'!P:P,"&lt;&gt;proprietario")+S1028</f>
        <v>0</v>
      </c>
      <c r="P1028" s="1013" t="s">
        <v>27068</v>
      </c>
      <c r="Q1028" s="1932" t="str">
        <f>+VLOOKUP(F1028,TT_Tabelle_Riferimento!$D$127:$E$164,2,FALSE)</f>
        <v>Comune</v>
      </c>
      <c r="R1028" s="1932" t="str">
        <f t="shared" si="88"/>
        <v/>
      </c>
      <c r="S1028" s="2335">
        <f t="shared" si="87"/>
        <v>0</v>
      </c>
    </row>
    <row r="1029" spans="1:19">
      <c r="A1029" s="1932">
        <f t="shared" si="89"/>
        <v>0</v>
      </c>
      <c r="B1029" s="1932">
        <f t="shared" si="90"/>
        <v>0</v>
      </c>
      <c r="C1029" s="1013" t="s">
        <v>245</v>
      </c>
      <c r="D1029" s="1013">
        <v>0</v>
      </c>
      <c r="E1029" s="1013" t="s">
        <v>22698</v>
      </c>
      <c r="F1029" s="1013">
        <v>37</v>
      </c>
      <c r="G1029" s="1932" t="str">
        <f>+VLOOKUP(F1029,TT_Tabelle_Riferimento!$D$127:$G$164,4,FALSE)</f>
        <v>Altre immobilizzazioni materiali e immateriali</v>
      </c>
      <c r="H1029" s="1013">
        <v>3</v>
      </c>
      <c r="I1029" s="1932" t="str">
        <f>+VLOOKUP(H1029,TT_Tabelle_Riferimento!$F$3:$G$6,2,FALSE)</f>
        <v>Altri servizi idrici</v>
      </c>
      <c r="J1029" s="1013">
        <v>2028</v>
      </c>
      <c r="K1029" s="2335">
        <f>+SUMIFS('PdI-crono_inv'!BG:BG,'PdI-crono_inv'!CF:CF,F1029,'PdI-crono_inv'!CE:CE,H1029,'PdI-crono_inv'!J:J,P1029,'PdI-crono_inv'!P:P,"&lt;&gt;proprietario")</f>
        <v>0</v>
      </c>
      <c r="M1029" s="2335">
        <f>+SUMIFS('PdI-crono_inv'!BH:BH,'PdI-crono_inv'!CF:CF,F1029,'PdI-crono_inv'!CE:CE,H1029,'PdI-crono_inv'!J:J,P1029,'PdI-crono_inv'!P:P,"&lt;&gt;proprietario")+S1029</f>
        <v>0</v>
      </c>
      <c r="P1029" s="1013" t="s">
        <v>27068</v>
      </c>
      <c r="Q1029" s="1932" t="str">
        <f>+VLOOKUP(F1029,TT_Tabelle_Riferimento!$D$127:$E$164,2,FALSE)</f>
        <v>Comune</v>
      </c>
      <c r="R1029" s="1932" t="str">
        <f t="shared" si="88"/>
        <v/>
      </c>
      <c r="S1029" s="2335">
        <f t="shared" si="87"/>
        <v>0</v>
      </c>
    </row>
    <row r="1030" spans="1:19">
      <c r="A1030" s="1932">
        <f t="shared" si="89"/>
        <v>0</v>
      </c>
      <c r="B1030" s="1932">
        <f t="shared" si="90"/>
        <v>0</v>
      </c>
      <c r="C1030" s="1013" t="s">
        <v>245</v>
      </c>
      <c r="D1030" s="1013">
        <v>0</v>
      </c>
      <c r="E1030" s="1013" t="s">
        <v>22698</v>
      </c>
      <c r="F1030" s="1013">
        <v>38</v>
      </c>
      <c r="G1030" s="1932" t="str">
        <f>+VLOOKUP(F1030,TT_Tabelle_Riferimento!$D$127:$G$164,4,FALSE)</f>
        <v>Grandi dighe (sbarramenti che superano i quindici metri di altezza o che determinano un invaso superiore a 1 milione di metri cubi)</v>
      </c>
      <c r="H1030" s="1013">
        <v>3</v>
      </c>
      <c r="I1030" s="1932" t="str">
        <f>+VLOOKUP(H1030,TT_Tabelle_Riferimento!$F$3:$G$6,2,FALSE)</f>
        <v>Altri servizi idrici</v>
      </c>
      <c r="J1030" s="1013">
        <v>2028</v>
      </c>
      <c r="K1030" s="2335">
        <f>+SUMIFS('PdI-crono_inv'!BG:BG,'PdI-crono_inv'!CF:CF,F1030,'PdI-crono_inv'!CE:CE,H1030,'PdI-crono_inv'!J:J,P1030,'PdI-crono_inv'!P:P,"&lt;&gt;proprietario")</f>
        <v>0</v>
      </c>
      <c r="M1030" s="2335">
        <f>+SUMIFS('PdI-crono_inv'!BH:BH,'PdI-crono_inv'!CF:CF,F1030,'PdI-crono_inv'!CE:CE,H1030,'PdI-crono_inv'!J:J,P1030,'PdI-crono_inv'!P:P,"&lt;&gt;proprietario")+S1030</f>
        <v>0</v>
      </c>
      <c r="P1030" s="1013" t="s">
        <v>27068</v>
      </c>
      <c r="Q1030" s="1932" t="str">
        <f>+VLOOKUP(F1030,TT_Tabelle_Riferimento!$D$127:$E$164,2,FALSE)</f>
        <v>Acquedotto</v>
      </c>
      <c r="R1030" s="1932" t="str">
        <f t="shared" si="88"/>
        <v/>
      </c>
      <c r="S1030" s="2335">
        <f t="shared" si="87"/>
        <v>0</v>
      </c>
    </row>
    <row r="1031" spans="1:19">
      <c r="A1031" s="1932">
        <f t="shared" si="89"/>
        <v>0</v>
      </c>
      <c r="B1031" s="1932">
        <f t="shared" si="90"/>
        <v>0</v>
      </c>
      <c r="C1031" s="1013" t="s">
        <v>245</v>
      </c>
      <c r="D1031" s="1013">
        <v>0</v>
      </c>
      <c r="E1031" s="1013" t="s">
        <v>22698</v>
      </c>
      <c r="F1031" s="1013">
        <v>39</v>
      </c>
      <c r="G1031" s="1932" t="str">
        <f>+VLOOKUP(F1031,TT_Tabelle_Riferimento!$D$127:$G$164,4,FALSE)</f>
        <v>Piccole dighe (sbarramenti che non superano i quindici metri di altezza o che determinano un invaso non superiore a 1 milione di metri cubi)</v>
      </c>
      <c r="H1031" s="1013">
        <v>3</v>
      </c>
      <c r="I1031" s="1932" t="str">
        <f>+VLOOKUP(H1031,TT_Tabelle_Riferimento!$F$3:$G$6,2,FALSE)</f>
        <v>Altri servizi idrici</v>
      </c>
      <c r="J1031" s="1013">
        <v>2028</v>
      </c>
      <c r="K1031" s="2335">
        <f>+SUMIFS('PdI-crono_inv'!BG:BG,'PdI-crono_inv'!CF:CF,F1031,'PdI-crono_inv'!CE:CE,H1031,'PdI-crono_inv'!J:J,P1031,'PdI-crono_inv'!P:P,"&lt;&gt;proprietario")</f>
        <v>0</v>
      </c>
      <c r="M1031" s="2335">
        <f>+SUMIFS('PdI-crono_inv'!BH:BH,'PdI-crono_inv'!CF:CF,F1031,'PdI-crono_inv'!CE:CE,H1031,'PdI-crono_inv'!J:J,P1031,'PdI-crono_inv'!P:P,"&lt;&gt;proprietario")+S1031</f>
        <v>0</v>
      </c>
      <c r="P1031" s="1013" t="s">
        <v>27068</v>
      </c>
      <c r="Q1031" s="1932" t="str">
        <f>+VLOOKUP(F1031,TT_Tabelle_Riferimento!$D$127:$E$164,2,FALSE)</f>
        <v>Acquedotto</v>
      </c>
      <c r="R1031" s="1932" t="str">
        <f t="shared" si="88"/>
        <v/>
      </c>
      <c r="S1031" s="2335">
        <f t="shared" ref="S1031:S1094" si="91">+IFERROR(HLOOKUP(J1031,$X$2:$Y$5,4,FALSE)*K1031,0)</f>
        <v>0</v>
      </c>
    </row>
    <row r="1032" spans="1:19">
      <c r="A1032" s="1932">
        <f t="shared" si="89"/>
        <v>0</v>
      </c>
      <c r="B1032" s="1932">
        <f t="shared" si="90"/>
        <v>0</v>
      </c>
      <c r="C1032" s="1013" t="s">
        <v>245</v>
      </c>
      <c r="D1032" s="1013">
        <v>0</v>
      </c>
      <c r="E1032" s="1013" t="s">
        <v>22698</v>
      </c>
      <c r="F1032" s="1013">
        <v>2</v>
      </c>
      <c r="G1032" s="1932" t="str">
        <f>+VLOOKUP(F1032,TT_Tabelle_Riferimento!$D$127:$G$164,4,FALSE)</f>
        <v>Condotte di acquedotto</v>
      </c>
      <c r="H1032" s="1013">
        <v>1</v>
      </c>
      <c r="I1032" s="1932" t="str">
        <f>+VLOOKUP(H1032,TT_Tabelle_Riferimento!$F$3:$G$6,2,FALSE)</f>
        <v>Servizio idrico integrato</v>
      </c>
      <c r="J1032" s="1013">
        <v>2029</v>
      </c>
      <c r="K1032" s="2335">
        <f>+SUMIFS('PdI-crono_inv'!BL:BL,'PdI-crono_inv'!CF:CF,F1032,'PdI-crono_inv'!CE:CE,H1032,'PdI-crono_inv'!J:J,P1032,'PdI-crono_inv'!P:P,"&lt;&gt;proprietario")</f>
        <v>0</v>
      </c>
      <c r="M1032" s="2335">
        <f>+SUMIFS('PdI-crono_inv'!BM:BM,'PdI-crono_inv'!CF:CF,F1032,'PdI-crono_inv'!CE:CE,H1032,'PdI-crono_inv'!J:J,P1032,'PdI-crono_inv'!P:P,"&lt;&gt;proprietario")+S1032</f>
        <v>0</v>
      </c>
      <c r="P1032" s="1013" t="s">
        <v>25486</v>
      </c>
      <c r="Q1032" s="1932" t="str">
        <f>+VLOOKUP(F1032,TT_Tabelle_Riferimento!$D$127:$E$164,2,FALSE)</f>
        <v>Acquedotto</v>
      </c>
      <c r="R1032" s="1932" t="str">
        <f>+IF(SUM(K1032:N1032)=0,"","PdI_consolidamento")</f>
        <v/>
      </c>
      <c r="S1032" s="2335">
        <f t="shared" si="91"/>
        <v>0</v>
      </c>
    </row>
    <row r="1033" spans="1:19">
      <c r="A1033" s="1932">
        <f t="shared" si="89"/>
        <v>0</v>
      </c>
      <c r="B1033" s="1932">
        <f t="shared" si="90"/>
        <v>0</v>
      </c>
      <c r="C1033" s="1013" t="s">
        <v>245</v>
      </c>
      <c r="D1033" s="1013">
        <v>0</v>
      </c>
      <c r="E1033" s="1013" t="s">
        <v>22698</v>
      </c>
      <c r="F1033" s="1013">
        <v>3</v>
      </c>
      <c r="G1033" s="1932" t="str">
        <f>+VLOOKUP(F1033,TT_Tabelle_Riferimento!$D$127:$G$164,4,FALSE)</f>
        <v>Opere idrauliche fisse di acquedotto</v>
      </c>
      <c r="H1033" s="1013">
        <v>1</v>
      </c>
      <c r="I1033" s="1932" t="str">
        <f>+VLOOKUP(H1033,TT_Tabelle_Riferimento!$F$3:$G$6,2,FALSE)</f>
        <v>Servizio idrico integrato</v>
      </c>
      <c r="J1033" s="1013">
        <v>2029</v>
      </c>
      <c r="K1033" s="2335">
        <f>+SUMIFS('PdI-crono_inv'!BL:BL,'PdI-crono_inv'!CF:CF,F1033,'PdI-crono_inv'!CE:CE,H1033,'PdI-crono_inv'!J:J,P1033,'PdI-crono_inv'!P:P,"&lt;&gt;proprietario")</f>
        <v>0</v>
      </c>
      <c r="M1033" s="2335">
        <f>+SUMIFS('PdI-crono_inv'!BM:BM,'PdI-crono_inv'!CF:CF,F1033,'PdI-crono_inv'!CE:CE,H1033,'PdI-crono_inv'!J:J,P1033,'PdI-crono_inv'!P:P,"&lt;&gt;proprietario")+S1033</f>
        <v>0</v>
      </c>
      <c r="P1033" s="1013" t="s">
        <v>25486</v>
      </c>
      <c r="Q1033" s="1932" t="str">
        <f>+VLOOKUP(F1033,TT_Tabelle_Riferimento!$D$127:$E$164,2,FALSE)</f>
        <v>Acquedotto</v>
      </c>
      <c r="R1033" s="1932" t="str">
        <f t="shared" ref="R1033:R1066" si="92">+IF(SUM(K1033:N1033)=0,"","PdI_consolidamento")</f>
        <v/>
      </c>
      <c r="S1033" s="2335">
        <f t="shared" si="91"/>
        <v>0</v>
      </c>
    </row>
    <row r="1034" spans="1:19">
      <c r="A1034" s="1932">
        <f t="shared" si="89"/>
        <v>0</v>
      </c>
      <c r="B1034" s="1932">
        <f t="shared" si="90"/>
        <v>0</v>
      </c>
      <c r="C1034" s="1013" t="s">
        <v>245</v>
      </c>
      <c r="D1034" s="1013">
        <v>0</v>
      </c>
      <c r="E1034" s="1013" t="s">
        <v>22698</v>
      </c>
      <c r="F1034" s="1013">
        <v>4</v>
      </c>
      <c r="G1034" s="1932" t="str">
        <f>+VLOOKUP(F1034,TT_Tabelle_Riferimento!$D$127:$G$164,4,FALSE)</f>
        <v>Serbatoi</v>
      </c>
      <c r="H1034" s="1013">
        <v>1</v>
      </c>
      <c r="I1034" s="1932" t="str">
        <f>+VLOOKUP(H1034,TT_Tabelle_Riferimento!$F$3:$G$6,2,FALSE)</f>
        <v>Servizio idrico integrato</v>
      </c>
      <c r="J1034" s="1013">
        <v>2029</v>
      </c>
      <c r="K1034" s="2335">
        <f>+SUMIFS('PdI-crono_inv'!BL:BL,'PdI-crono_inv'!CF:CF,F1034,'PdI-crono_inv'!CE:CE,H1034,'PdI-crono_inv'!J:J,P1034,'PdI-crono_inv'!P:P,"&lt;&gt;proprietario")</f>
        <v>0</v>
      </c>
      <c r="M1034" s="2335">
        <f>+SUMIFS('PdI-crono_inv'!BM:BM,'PdI-crono_inv'!CF:CF,F1034,'PdI-crono_inv'!CE:CE,H1034,'PdI-crono_inv'!J:J,P1034,'PdI-crono_inv'!P:P,"&lt;&gt;proprietario")+S1034</f>
        <v>0</v>
      </c>
      <c r="P1034" s="1013" t="s">
        <v>25486</v>
      </c>
      <c r="Q1034" s="1932" t="str">
        <f>+VLOOKUP(F1034,TT_Tabelle_Riferimento!$D$127:$E$164,2,FALSE)</f>
        <v>Acquedotto</v>
      </c>
      <c r="R1034" s="1932" t="str">
        <f t="shared" si="92"/>
        <v/>
      </c>
      <c r="S1034" s="2335">
        <f t="shared" si="91"/>
        <v>0</v>
      </c>
    </row>
    <row r="1035" spans="1:19">
      <c r="A1035" s="1932">
        <f t="shared" si="89"/>
        <v>0</v>
      </c>
      <c r="B1035" s="1932">
        <f t="shared" si="90"/>
        <v>0</v>
      </c>
      <c r="C1035" s="1013" t="s">
        <v>245</v>
      </c>
      <c r="D1035" s="1013">
        <v>0</v>
      </c>
      <c r="E1035" s="1013" t="s">
        <v>22698</v>
      </c>
      <c r="F1035" s="1013">
        <v>5</v>
      </c>
      <c r="G1035" s="1932" t="str">
        <f>+VLOOKUP(F1035,TT_Tabelle_Riferimento!$D$127:$G$164,4,FALSE)</f>
        <v>Impianti di sollevamento e pompaggio di acquedotto</v>
      </c>
      <c r="H1035" s="1013">
        <v>1</v>
      </c>
      <c r="I1035" s="1932" t="str">
        <f>+VLOOKUP(H1035,TT_Tabelle_Riferimento!$F$3:$G$6,2,FALSE)</f>
        <v>Servizio idrico integrato</v>
      </c>
      <c r="J1035" s="1013">
        <v>2029</v>
      </c>
      <c r="K1035" s="2335">
        <f>+SUMIFS('PdI-crono_inv'!BL:BL,'PdI-crono_inv'!CF:CF,F1035,'PdI-crono_inv'!CE:CE,H1035,'PdI-crono_inv'!J:J,P1035,'PdI-crono_inv'!P:P,"&lt;&gt;proprietario")</f>
        <v>0</v>
      </c>
      <c r="M1035" s="2335">
        <f>+SUMIFS('PdI-crono_inv'!BM:BM,'PdI-crono_inv'!CF:CF,F1035,'PdI-crono_inv'!CE:CE,H1035,'PdI-crono_inv'!J:J,P1035,'PdI-crono_inv'!P:P,"&lt;&gt;proprietario")+S1035</f>
        <v>0</v>
      </c>
      <c r="P1035" s="1013" t="s">
        <v>25486</v>
      </c>
      <c r="Q1035" s="1932" t="str">
        <f>+VLOOKUP(F1035,TT_Tabelle_Riferimento!$D$127:$E$164,2,FALSE)</f>
        <v>Acquedotto</v>
      </c>
      <c r="R1035" s="1932" t="str">
        <f t="shared" si="92"/>
        <v/>
      </c>
      <c r="S1035" s="2335">
        <f t="shared" si="91"/>
        <v>0</v>
      </c>
    </row>
    <row r="1036" spans="1:19">
      <c r="A1036" s="1932">
        <f t="shared" si="89"/>
        <v>0</v>
      </c>
      <c r="B1036" s="1932">
        <f t="shared" si="90"/>
        <v>0</v>
      </c>
      <c r="C1036" s="1013" t="s">
        <v>245</v>
      </c>
      <c r="D1036" s="1013">
        <v>0</v>
      </c>
      <c r="E1036" s="1013" t="s">
        <v>22698</v>
      </c>
      <c r="F1036" s="1013">
        <v>6</v>
      </c>
      <c r="G1036" s="1932" t="str">
        <f>+VLOOKUP(F1036,TT_Tabelle_Riferimento!$D$127:$G$164,4,FALSE)</f>
        <v>Impianti di potabilizzazione</v>
      </c>
      <c r="H1036" s="1013">
        <v>1</v>
      </c>
      <c r="I1036" s="1932" t="str">
        <f>+VLOOKUP(H1036,TT_Tabelle_Riferimento!$F$3:$G$6,2,FALSE)</f>
        <v>Servizio idrico integrato</v>
      </c>
      <c r="J1036" s="1013">
        <v>2029</v>
      </c>
      <c r="K1036" s="2335">
        <f>+SUMIFS('PdI-crono_inv'!BL:BL,'PdI-crono_inv'!CF:CF,F1036,'PdI-crono_inv'!CE:CE,H1036,'PdI-crono_inv'!J:J,P1036,'PdI-crono_inv'!P:P,"&lt;&gt;proprietario")</f>
        <v>0</v>
      </c>
      <c r="M1036" s="2335">
        <f>+SUMIFS('PdI-crono_inv'!BM:BM,'PdI-crono_inv'!CF:CF,F1036,'PdI-crono_inv'!CE:CE,H1036,'PdI-crono_inv'!J:J,P1036,'PdI-crono_inv'!P:P,"&lt;&gt;proprietario")+S1036</f>
        <v>0</v>
      </c>
      <c r="P1036" s="1013" t="s">
        <v>25486</v>
      </c>
      <c r="Q1036" s="1932" t="str">
        <f>+VLOOKUP(F1036,TT_Tabelle_Riferimento!$D$127:$E$164,2,FALSE)</f>
        <v>Acquedotto</v>
      </c>
      <c r="R1036" s="1932" t="str">
        <f t="shared" si="92"/>
        <v/>
      </c>
      <c r="S1036" s="2335">
        <f t="shared" si="91"/>
        <v>0</v>
      </c>
    </row>
    <row r="1037" spans="1:19">
      <c r="A1037" s="1932">
        <f t="shared" si="89"/>
        <v>0</v>
      </c>
      <c r="B1037" s="1932">
        <f t="shared" si="90"/>
        <v>0</v>
      </c>
      <c r="C1037" s="1013" t="s">
        <v>245</v>
      </c>
      <c r="D1037" s="1013">
        <v>0</v>
      </c>
      <c r="E1037" s="1013" t="s">
        <v>22698</v>
      </c>
      <c r="F1037" s="1013">
        <v>7</v>
      </c>
      <c r="G1037" s="1932" t="str">
        <f>+VLOOKUP(F1037,TT_Tabelle_Riferimento!$D$127:$G$164,4,FALSE)</f>
        <v>Altri trattamenti di potabilizzazione (tra cui dispositivi di disinfezione, stacciatura, filtrazione, addolcimento)</v>
      </c>
      <c r="H1037" s="1013">
        <v>1</v>
      </c>
      <c r="I1037" s="1932" t="str">
        <f>+VLOOKUP(H1037,TT_Tabelle_Riferimento!$F$3:$G$6,2,FALSE)</f>
        <v>Servizio idrico integrato</v>
      </c>
      <c r="J1037" s="1013">
        <v>2029</v>
      </c>
      <c r="K1037" s="2335">
        <f>+SUMIFS('PdI-crono_inv'!BL:BL,'PdI-crono_inv'!CF:CF,F1037,'PdI-crono_inv'!CE:CE,H1037,'PdI-crono_inv'!J:J,P1037,'PdI-crono_inv'!P:P,"&lt;&gt;proprietario")</f>
        <v>0</v>
      </c>
      <c r="M1037" s="2335">
        <f>+SUMIFS('PdI-crono_inv'!BM:BM,'PdI-crono_inv'!CF:CF,F1037,'PdI-crono_inv'!CE:CE,H1037,'PdI-crono_inv'!J:J,P1037,'PdI-crono_inv'!P:P,"&lt;&gt;proprietario")+S1037</f>
        <v>0</v>
      </c>
      <c r="P1037" s="1013" t="s">
        <v>25486</v>
      </c>
      <c r="Q1037" s="1932" t="str">
        <f>+VLOOKUP(F1037,TT_Tabelle_Riferimento!$D$127:$E$164,2,FALSE)</f>
        <v>Acquedotto</v>
      </c>
      <c r="R1037" s="1932" t="str">
        <f t="shared" si="92"/>
        <v/>
      </c>
      <c r="S1037" s="2335">
        <f t="shared" si="91"/>
        <v>0</v>
      </c>
    </row>
    <row r="1038" spans="1:19">
      <c r="A1038" s="1932">
        <f t="shared" si="89"/>
        <v>0</v>
      </c>
      <c r="B1038" s="1932">
        <f t="shared" si="90"/>
        <v>0</v>
      </c>
      <c r="C1038" s="1013" t="s">
        <v>245</v>
      </c>
      <c r="D1038" s="1013">
        <v>0</v>
      </c>
      <c r="E1038" s="1013" t="s">
        <v>22698</v>
      </c>
      <c r="F1038" s="1013">
        <v>8</v>
      </c>
      <c r="G1038" s="1932" t="str">
        <f>+VLOOKUP(F1038,TT_Tabelle_Riferimento!$D$127:$G$164,4,FALSE)</f>
        <v>Gruppi di misura - altre attrezzature di acquedotto</v>
      </c>
      <c r="H1038" s="1013">
        <v>1</v>
      </c>
      <c r="I1038" s="1932" t="str">
        <f>+VLOOKUP(H1038,TT_Tabelle_Riferimento!$F$3:$G$6,2,FALSE)</f>
        <v>Servizio idrico integrato</v>
      </c>
      <c r="J1038" s="1013">
        <v>2029</v>
      </c>
      <c r="K1038" s="2335">
        <f>+SUMIFS('PdI-crono_inv'!BL:BL,'PdI-crono_inv'!CF:CF,F1038,'PdI-crono_inv'!CE:CE,H1038,'PdI-crono_inv'!J:J,P1038,'PdI-crono_inv'!P:P,"&lt;&gt;proprietario")</f>
        <v>0</v>
      </c>
      <c r="M1038" s="2335">
        <f>+SUMIFS('PdI-crono_inv'!BM:BM,'PdI-crono_inv'!CF:CF,F1038,'PdI-crono_inv'!CE:CE,H1038,'PdI-crono_inv'!J:J,P1038,'PdI-crono_inv'!P:P,"&lt;&gt;proprietario")+S1038</f>
        <v>0</v>
      </c>
      <c r="P1038" s="1013" t="s">
        <v>25486</v>
      </c>
      <c r="Q1038" s="1932" t="str">
        <f>+VLOOKUP(F1038,TT_Tabelle_Riferimento!$D$127:$E$164,2,FALSE)</f>
        <v>Acquedotto</v>
      </c>
      <c r="R1038" s="1932" t="str">
        <f t="shared" si="92"/>
        <v/>
      </c>
      <c r="S1038" s="2335">
        <f t="shared" si="91"/>
        <v>0</v>
      </c>
    </row>
    <row r="1039" spans="1:19">
      <c r="A1039" s="1932">
        <f t="shared" si="89"/>
        <v>0</v>
      </c>
      <c r="B1039" s="1932">
        <f t="shared" si="90"/>
        <v>0</v>
      </c>
      <c r="C1039" s="1013" t="s">
        <v>245</v>
      </c>
      <c r="D1039" s="1013">
        <v>0</v>
      </c>
      <c r="E1039" s="1013" t="s">
        <v>22698</v>
      </c>
      <c r="F1039" s="1013">
        <v>9</v>
      </c>
      <c r="G1039" s="1932" t="str">
        <f>+VLOOKUP(F1039,TT_Tabelle_Riferimento!$D$127:$G$164,4,FALSE)</f>
        <v>Sistemi informativi di acquedotto</v>
      </c>
      <c r="H1039" s="1013">
        <v>1</v>
      </c>
      <c r="I1039" s="1932" t="str">
        <f>+VLOOKUP(H1039,TT_Tabelle_Riferimento!$F$3:$G$6,2,FALSE)</f>
        <v>Servizio idrico integrato</v>
      </c>
      <c r="J1039" s="1013">
        <v>2029</v>
      </c>
      <c r="K1039" s="2335">
        <f>+SUMIFS('PdI-crono_inv'!BL:BL,'PdI-crono_inv'!CF:CF,F1039,'PdI-crono_inv'!CE:CE,H1039,'PdI-crono_inv'!J:J,P1039,'PdI-crono_inv'!P:P,"&lt;&gt;proprietario")</f>
        <v>0</v>
      </c>
      <c r="M1039" s="2335">
        <f>+SUMIFS('PdI-crono_inv'!BM:BM,'PdI-crono_inv'!CF:CF,F1039,'PdI-crono_inv'!CE:CE,H1039,'PdI-crono_inv'!J:J,P1039,'PdI-crono_inv'!P:P,"&lt;&gt;proprietario")+S1039</f>
        <v>0</v>
      </c>
      <c r="P1039" s="1013" t="s">
        <v>25486</v>
      </c>
      <c r="Q1039" s="1932" t="str">
        <f>+VLOOKUP(F1039,TT_Tabelle_Riferimento!$D$127:$E$164,2,FALSE)</f>
        <v>Acquedotto</v>
      </c>
      <c r="R1039" s="1932" t="str">
        <f t="shared" si="92"/>
        <v/>
      </c>
      <c r="S1039" s="2335">
        <f t="shared" si="91"/>
        <v>0</v>
      </c>
    </row>
    <row r="1040" spans="1:19">
      <c r="A1040" s="1932">
        <f t="shared" si="89"/>
        <v>0</v>
      </c>
      <c r="B1040" s="1932">
        <f t="shared" si="90"/>
        <v>0</v>
      </c>
      <c r="C1040" s="1013" t="s">
        <v>245</v>
      </c>
      <c r="D1040" s="1013">
        <v>0</v>
      </c>
      <c r="E1040" s="1013" t="s">
        <v>22698</v>
      </c>
      <c r="F1040" s="1013">
        <v>10</v>
      </c>
      <c r="G1040" s="1932" t="str">
        <f>+VLOOKUP(F1040,TT_Tabelle_Riferimento!$D$127:$G$164,4,FALSE)</f>
        <v>Telecontrollo e teletrasmissione di acquedotto</v>
      </c>
      <c r="H1040" s="1013">
        <v>1</v>
      </c>
      <c r="I1040" s="1932" t="str">
        <f>+VLOOKUP(H1040,TT_Tabelle_Riferimento!$F$3:$G$6,2,FALSE)</f>
        <v>Servizio idrico integrato</v>
      </c>
      <c r="J1040" s="1013">
        <v>2029</v>
      </c>
      <c r="K1040" s="2335">
        <f>+SUMIFS('PdI-crono_inv'!BL:BL,'PdI-crono_inv'!CF:CF,F1040,'PdI-crono_inv'!CE:CE,H1040,'PdI-crono_inv'!J:J,P1040,'PdI-crono_inv'!P:P,"&lt;&gt;proprietario")</f>
        <v>0</v>
      </c>
      <c r="M1040" s="2335">
        <f>+SUMIFS('PdI-crono_inv'!BM:BM,'PdI-crono_inv'!CF:CF,F1040,'PdI-crono_inv'!CE:CE,H1040,'PdI-crono_inv'!J:J,P1040,'PdI-crono_inv'!P:P,"&lt;&gt;proprietario")+S1040</f>
        <v>0</v>
      </c>
      <c r="P1040" s="1013" t="s">
        <v>25486</v>
      </c>
      <c r="Q1040" s="1932" t="str">
        <f>+VLOOKUP(F1040,TT_Tabelle_Riferimento!$D$127:$E$164,2,FALSE)</f>
        <v>Acquedotto</v>
      </c>
      <c r="R1040" s="1932" t="str">
        <f t="shared" si="92"/>
        <v/>
      </c>
      <c r="S1040" s="2335">
        <f t="shared" si="91"/>
        <v>0</v>
      </c>
    </row>
    <row r="1041" spans="1:19">
      <c r="A1041" s="1932">
        <f t="shared" si="89"/>
        <v>0</v>
      </c>
      <c r="B1041" s="1932">
        <f t="shared" si="90"/>
        <v>0</v>
      </c>
      <c r="C1041" s="1013" t="s">
        <v>245</v>
      </c>
      <c r="D1041" s="1013">
        <v>0</v>
      </c>
      <c r="E1041" s="1013" t="s">
        <v>22698</v>
      </c>
      <c r="F1041" s="1013">
        <v>11</v>
      </c>
      <c r="G1041" s="1932" t="str">
        <f>+VLOOKUP(F1041,TT_Tabelle_Riferimento!$D$127:$G$164,4,FALSE)</f>
        <v>Condotte fognarie</v>
      </c>
      <c r="H1041" s="1013">
        <v>1</v>
      </c>
      <c r="I1041" s="1932" t="str">
        <f>+VLOOKUP(H1041,TT_Tabelle_Riferimento!$F$3:$G$6,2,FALSE)</f>
        <v>Servizio idrico integrato</v>
      </c>
      <c r="J1041" s="1013">
        <v>2029</v>
      </c>
      <c r="K1041" s="2335">
        <f>+SUMIFS('PdI-crono_inv'!BL:BL,'PdI-crono_inv'!CF:CF,F1041,'PdI-crono_inv'!CE:CE,H1041,'PdI-crono_inv'!J:J,P1041,'PdI-crono_inv'!P:P,"&lt;&gt;proprietario")</f>
        <v>0</v>
      </c>
      <c r="M1041" s="2335">
        <f>+SUMIFS('PdI-crono_inv'!BM:BM,'PdI-crono_inv'!CF:CF,F1041,'PdI-crono_inv'!CE:CE,H1041,'PdI-crono_inv'!J:J,P1041,'PdI-crono_inv'!P:P,"&lt;&gt;proprietario")+S1041</f>
        <v>0</v>
      </c>
      <c r="P1041" s="1013" t="s">
        <v>25486</v>
      </c>
      <c r="Q1041" s="1932" t="str">
        <f>+VLOOKUP(F1041,TT_Tabelle_Riferimento!$D$127:$E$164,2,FALSE)</f>
        <v>Fognatura</v>
      </c>
      <c r="R1041" s="1932" t="str">
        <f t="shared" si="92"/>
        <v/>
      </c>
      <c r="S1041" s="2335">
        <f t="shared" si="91"/>
        <v>0</v>
      </c>
    </row>
    <row r="1042" spans="1:19">
      <c r="A1042" s="1932">
        <f t="shared" si="89"/>
        <v>0</v>
      </c>
      <c r="B1042" s="1932">
        <f t="shared" si="90"/>
        <v>0</v>
      </c>
      <c r="C1042" s="1013" t="s">
        <v>245</v>
      </c>
      <c r="D1042" s="1013">
        <v>0</v>
      </c>
      <c r="E1042" s="1013" t="s">
        <v>22698</v>
      </c>
      <c r="F1042" s="1013">
        <v>12</v>
      </c>
      <c r="G1042" s="1932" t="str">
        <f>+VLOOKUP(F1042,TT_Tabelle_Riferimento!$D$127:$G$164,4,FALSE)</f>
        <v>Sifoni e scaricatori di piena e altre opere idrauliche fisse di fognatura</v>
      </c>
      <c r="H1042" s="1013">
        <v>1</v>
      </c>
      <c r="I1042" s="1932" t="str">
        <f>+VLOOKUP(H1042,TT_Tabelle_Riferimento!$F$3:$G$6,2,FALSE)</f>
        <v>Servizio idrico integrato</v>
      </c>
      <c r="J1042" s="1013">
        <v>2029</v>
      </c>
      <c r="K1042" s="2335">
        <f>+SUMIFS('PdI-crono_inv'!BL:BL,'PdI-crono_inv'!CF:CF,F1042,'PdI-crono_inv'!CE:CE,H1042,'PdI-crono_inv'!J:J,P1042,'PdI-crono_inv'!P:P,"&lt;&gt;proprietario")</f>
        <v>0</v>
      </c>
      <c r="M1042" s="2335">
        <f>+SUMIFS('PdI-crono_inv'!BM:BM,'PdI-crono_inv'!CF:CF,F1042,'PdI-crono_inv'!CE:CE,H1042,'PdI-crono_inv'!J:J,P1042,'PdI-crono_inv'!P:P,"&lt;&gt;proprietario")+S1042</f>
        <v>0</v>
      </c>
      <c r="P1042" s="1013" t="s">
        <v>25486</v>
      </c>
      <c r="Q1042" s="1932" t="str">
        <f>+VLOOKUP(F1042,TT_Tabelle_Riferimento!$D$127:$E$164,2,FALSE)</f>
        <v>Fognatura</v>
      </c>
      <c r="R1042" s="1932" t="str">
        <f t="shared" si="92"/>
        <v/>
      </c>
      <c r="S1042" s="2335">
        <f t="shared" si="91"/>
        <v>0</v>
      </c>
    </row>
    <row r="1043" spans="1:19">
      <c r="A1043" s="1932">
        <f t="shared" si="89"/>
        <v>0</v>
      </c>
      <c r="B1043" s="1932">
        <f t="shared" si="90"/>
        <v>0</v>
      </c>
      <c r="C1043" s="1013" t="s">
        <v>245</v>
      </c>
      <c r="D1043" s="1013">
        <v>0</v>
      </c>
      <c r="E1043" s="1013" t="s">
        <v>22698</v>
      </c>
      <c r="F1043" s="1013">
        <v>13</v>
      </c>
      <c r="G1043" s="1932" t="str">
        <f>+VLOOKUP(F1043,TT_Tabelle_Riferimento!$D$127:$G$164,4,FALSE)</f>
        <v>Vasche di laminazione e vasche di prima pioggia</v>
      </c>
      <c r="H1043" s="1013">
        <v>1</v>
      </c>
      <c r="I1043" s="1932" t="str">
        <f>+VLOOKUP(H1043,TT_Tabelle_Riferimento!$F$3:$G$6,2,FALSE)</f>
        <v>Servizio idrico integrato</v>
      </c>
      <c r="J1043" s="1013">
        <v>2029</v>
      </c>
      <c r="K1043" s="2335">
        <f>+SUMIFS('PdI-crono_inv'!BL:BL,'PdI-crono_inv'!CF:CF,F1043,'PdI-crono_inv'!CE:CE,H1043,'PdI-crono_inv'!J:J,P1043,'PdI-crono_inv'!P:P,"&lt;&gt;proprietario")</f>
        <v>0</v>
      </c>
      <c r="M1043" s="2335">
        <f>+SUMIFS('PdI-crono_inv'!BM:BM,'PdI-crono_inv'!CF:CF,F1043,'PdI-crono_inv'!CE:CE,H1043,'PdI-crono_inv'!J:J,P1043,'PdI-crono_inv'!P:P,"&lt;&gt;proprietario")+S1043</f>
        <v>0</v>
      </c>
      <c r="P1043" s="1013" t="s">
        <v>25486</v>
      </c>
      <c r="Q1043" s="1932" t="str">
        <f>+VLOOKUP(F1043,TT_Tabelle_Riferimento!$D$127:$E$164,2,FALSE)</f>
        <v>Fognatura</v>
      </c>
      <c r="R1043" s="1932" t="str">
        <f t="shared" si="92"/>
        <v/>
      </c>
      <c r="S1043" s="2335">
        <f t="shared" si="91"/>
        <v>0</v>
      </c>
    </row>
    <row r="1044" spans="1:19">
      <c r="A1044" s="1932">
        <f t="shared" si="89"/>
        <v>0</v>
      </c>
      <c r="B1044" s="1932">
        <f t="shared" si="90"/>
        <v>0</v>
      </c>
      <c r="C1044" s="1013" t="s">
        <v>245</v>
      </c>
      <c r="D1044" s="1013">
        <v>0</v>
      </c>
      <c r="E1044" s="1013" t="s">
        <v>22698</v>
      </c>
      <c r="F1044" s="1013">
        <v>14</v>
      </c>
      <c r="G1044" s="1932" t="str">
        <f>+VLOOKUP(F1044,TT_Tabelle_Riferimento!$D$127:$G$164,4,FALSE)</f>
        <v>Impianti di sollevamento e pompaggio di fognatura</v>
      </c>
      <c r="H1044" s="1013">
        <v>1</v>
      </c>
      <c r="I1044" s="1932" t="str">
        <f>+VLOOKUP(H1044,TT_Tabelle_Riferimento!$F$3:$G$6,2,FALSE)</f>
        <v>Servizio idrico integrato</v>
      </c>
      <c r="J1044" s="1013">
        <v>2029</v>
      </c>
      <c r="K1044" s="2335">
        <f>+SUMIFS('PdI-crono_inv'!BL:BL,'PdI-crono_inv'!CF:CF,F1044,'PdI-crono_inv'!CE:CE,H1044,'PdI-crono_inv'!J:J,P1044,'PdI-crono_inv'!P:P,"&lt;&gt;proprietario")</f>
        <v>0</v>
      </c>
      <c r="M1044" s="2335">
        <f>+SUMIFS('PdI-crono_inv'!BM:BM,'PdI-crono_inv'!CF:CF,F1044,'PdI-crono_inv'!CE:CE,H1044,'PdI-crono_inv'!J:J,P1044,'PdI-crono_inv'!P:P,"&lt;&gt;proprietario")+S1044</f>
        <v>0</v>
      </c>
      <c r="P1044" s="1013" t="s">
        <v>25486</v>
      </c>
      <c r="Q1044" s="1932" t="str">
        <f>+VLOOKUP(F1044,TT_Tabelle_Riferimento!$D$127:$E$164,2,FALSE)</f>
        <v>Fognatura</v>
      </c>
      <c r="R1044" s="1932" t="str">
        <f t="shared" si="92"/>
        <v/>
      </c>
      <c r="S1044" s="2335">
        <f t="shared" si="91"/>
        <v>0</v>
      </c>
    </row>
    <row r="1045" spans="1:19">
      <c r="A1045" s="1932">
        <f t="shared" si="89"/>
        <v>0</v>
      </c>
      <c r="B1045" s="1932">
        <f t="shared" si="90"/>
        <v>0</v>
      </c>
      <c r="C1045" s="1013" t="s">
        <v>245</v>
      </c>
      <c r="D1045" s="1013">
        <v>0</v>
      </c>
      <c r="E1045" s="1013" t="s">
        <v>22698</v>
      </c>
      <c r="F1045" s="1013">
        <v>15</v>
      </c>
      <c r="G1045" s="1932" t="str">
        <f>+VLOOKUP(F1045,TT_Tabelle_Riferimento!$D$127:$G$164,4,FALSE)</f>
        <v>Gruppi di misura - altre attrezzature di fognatura</v>
      </c>
      <c r="H1045" s="1013">
        <v>1</v>
      </c>
      <c r="I1045" s="1932" t="str">
        <f>+VLOOKUP(H1045,TT_Tabelle_Riferimento!$F$3:$G$6,2,FALSE)</f>
        <v>Servizio idrico integrato</v>
      </c>
      <c r="J1045" s="1013">
        <v>2029</v>
      </c>
      <c r="K1045" s="2335">
        <f>+SUMIFS('PdI-crono_inv'!BL:BL,'PdI-crono_inv'!CF:CF,F1045,'PdI-crono_inv'!CE:CE,H1045,'PdI-crono_inv'!J:J,P1045,'PdI-crono_inv'!P:P,"&lt;&gt;proprietario")</f>
        <v>0</v>
      </c>
      <c r="M1045" s="2335">
        <f>+SUMIFS('PdI-crono_inv'!BM:BM,'PdI-crono_inv'!CF:CF,F1045,'PdI-crono_inv'!CE:CE,H1045,'PdI-crono_inv'!J:J,P1045,'PdI-crono_inv'!P:P,"&lt;&gt;proprietario")+S1045</f>
        <v>0</v>
      </c>
      <c r="P1045" s="1013" t="s">
        <v>25486</v>
      </c>
      <c r="Q1045" s="1932" t="str">
        <f>+VLOOKUP(F1045,TT_Tabelle_Riferimento!$D$127:$E$164,2,FALSE)</f>
        <v>Fognatura</v>
      </c>
      <c r="R1045" s="1932" t="str">
        <f t="shared" si="92"/>
        <v/>
      </c>
      <c r="S1045" s="2335">
        <f t="shared" si="91"/>
        <v>0</v>
      </c>
    </row>
    <row r="1046" spans="1:19">
      <c r="A1046" s="1932">
        <f t="shared" si="89"/>
        <v>0</v>
      </c>
      <c r="B1046" s="1932">
        <f t="shared" si="90"/>
        <v>0</v>
      </c>
      <c r="C1046" s="1013" t="s">
        <v>245</v>
      </c>
      <c r="D1046" s="1013">
        <v>0</v>
      </c>
      <c r="E1046" s="1013" t="s">
        <v>22698</v>
      </c>
      <c r="F1046" s="1013">
        <v>16</v>
      </c>
      <c r="G1046" s="1932" t="str">
        <f>+VLOOKUP(F1046,TT_Tabelle_Riferimento!$D$127:$G$164,4,FALSE)</f>
        <v>Sistemi informativi di fognatura</v>
      </c>
      <c r="H1046" s="1013">
        <v>1</v>
      </c>
      <c r="I1046" s="1932" t="str">
        <f>+VLOOKUP(H1046,TT_Tabelle_Riferimento!$F$3:$G$6,2,FALSE)</f>
        <v>Servizio idrico integrato</v>
      </c>
      <c r="J1046" s="1013">
        <v>2029</v>
      </c>
      <c r="K1046" s="2335">
        <f>+SUMIFS('PdI-crono_inv'!BL:BL,'PdI-crono_inv'!CF:CF,F1046,'PdI-crono_inv'!CE:CE,H1046,'PdI-crono_inv'!J:J,P1046,'PdI-crono_inv'!P:P,"&lt;&gt;proprietario")</f>
        <v>0</v>
      </c>
      <c r="M1046" s="2335">
        <f>+SUMIFS('PdI-crono_inv'!BM:BM,'PdI-crono_inv'!CF:CF,F1046,'PdI-crono_inv'!CE:CE,H1046,'PdI-crono_inv'!J:J,P1046,'PdI-crono_inv'!P:P,"&lt;&gt;proprietario")+S1046</f>
        <v>0</v>
      </c>
      <c r="P1046" s="1013" t="s">
        <v>25486</v>
      </c>
      <c r="Q1046" s="1932" t="str">
        <f>+VLOOKUP(F1046,TT_Tabelle_Riferimento!$D$127:$E$164,2,FALSE)</f>
        <v>Fognatura</v>
      </c>
      <c r="R1046" s="1932" t="str">
        <f t="shared" si="92"/>
        <v/>
      </c>
      <c r="S1046" s="2335">
        <f t="shared" si="91"/>
        <v>0</v>
      </c>
    </row>
    <row r="1047" spans="1:19">
      <c r="A1047" s="1932">
        <f t="shared" si="89"/>
        <v>0</v>
      </c>
      <c r="B1047" s="1932">
        <f t="shared" si="90"/>
        <v>0</v>
      </c>
      <c r="C1047" s="1013" t="s">
        <v>245</v>
      </c>
      <c r="D1047" s="1013">
        <v>0</v>
      </c>
      <c r="E1047" s="1013" t="s">
        <v>22698</v>
      </c>
      <c r="F1047" s="1013">
        <v>18</v>
      </c>
      <c r="G1047" s="1932" t="str">
        <f>+VLOOKUP(F1047,TT_Tabelle_Riferimento!$D$127:$G$164,4,FALSE)</f>
        <v>Telecontrollo e teletrasmissione di fognatura</v>
      </c>
      <c r="H1047" s="1013">
        <v>1</v>
      </c>
      <c r="I1047" s="1932" t="str">
        <f>+VLOOKUP(H1047,TT_Tabelle_Riferimento!$F$3:$G$6,2,FALSE)</f>
        <v>Servizio idrico integrato</v>
      </c>
      <c r="J1047" s="1013">
        <v>2029</v>
      </c>
      <c r="K1047" s="2335">
        <f>+SUMIFS('PdI-crono_inv'!BL:BL,'PdI-crono_inv'!CF:CF,F1047,'PdI-crono_inv'!CE:CE,H1047,'PdI-crono_inv'!J:J,P1047,'PdI-crono_inv'!P:P,"&lt;&gt;proprietario")</f>
        <v>0</v>
      </c>
      <c r="M1047" s="2335">
        <f>+SUMIFS('PdI-crono_inv'!BM:BM,'PdI-crono_inv'!CF:CF,F1047,'PdI-crono_inv'!CE:CE,H1047,'PdI-crono_inv'!J:J,P1047,'PdI-crono_inv'!P:P,"&lt;&gt;proprietario")+S1047</f>
        <v>0</v>
      </c>
      <c r="P1047" s="1013" t="s">
        <v>25486</v>
      </c>
      <c r="Q1047" s="1932" t="str">
        <f>+VLOOKUP(F1047,TT_Tabelle_Riferimento!$D$127:$E$164,2,FALSE)</f>
        <v>Fognatura</v>
      </c>
      <c r="R1047" s="1932" t="str">
        <f t="shared" si="92"/>
        <v/>
      </c>
      <c r="S1047" s="2335">
        <f t="shared" si="91"/>
        <v>0</v>
      </c>
    </row>
    <row r="1048" spans="1:19">
      <c r="A1048" s="1932">
        <f t="shared" si="89"/>
        <v>0</v>
      </c>
      <c r="B1048" s="1932">
        <f t="shared" si="90"/>
        <v>0</v>
      </c>
      <c r="C1048" s="1013" t="s">
        <v>245</v>
      </c>
      <c r="D1048" s="1013">
        <v>0</v>
      </c>
      <c r="E1048" s="1013" t="s">
        <v>22698</v>
      </c>
      <c r="F1048" s="1013">
        <v>19</v>
      </c>
      <c r="G1048" s="1932" t="str">
        <f>+VLOOKUP(F1048,TT_Tabelle_Riferimento!$D$127:$G$164,4,FALSE)</f>
        <v>Impianti di sollevamento e pompaggio di depurazione</v>
      </c>
      <c r="H1048" s="1013">
        <v>1</v>
      </c>
      <c r="I1048" s="1932" t="str">
        <f>+VLOOKUP(H1048,TT_Tabelle_Riferimento!$F$3:$G$6,2,FALSE)</f>
        <v>Servizio idrico integrato</v>
      </c>
      <c r="J1048" s="1013">
        <v>2029</v>
      </c>
      <c r="K1048" s="2335">
        <f>+SUMIFS('PdI-crono_inv'!BL:BL,'PdI-crono_inv'!CF:CF,F1048,'PdI-crono_inv'!CE:CE,H1048,'PdI-crono_inv'!J:J,P1048,'PdI-crono_inv'!P:P,"&lt;&gt;proprietario")</f>
        <v>0</v>
      </c>
      <c r="M1048" s="2335">
        <f>+SUMIFS('PdI-crono_inv'!BM:BM,'PdI-crono_inv'!CF:CF,F1048,'PdI-crono_inv'!CE:CE,H1048,'PdI-crono_inv'!J:J,P1048,'PdI-crono_inv'!P:P,"&lt;&gt;proprietario")+S1048</f>
        <v>0</v>
      </c>
      <c r="P1048" s="1013" t="s">
        <v>25486</v>
      </c>
      <c r="Q1048" s="1932" t="str">
        <f>+VLOOKUP(F1048,TT_Tabelle_Riferimento!$D$127:$E$164,2,FALSE)</f>
        <v>Depurazione</v>
      </c>
      <c r="R1048" s="1932" t="str">
        <f t="shared" si="92"/>
        <v/>
      </c>
      <c r="S1048" s="2335">
        <f t="shared" si="91"/>
        <v>0</v>
      </c>
    </row>
    <row r="1049" spans="1:19">
      <c r="A1049" s="1932">
        <f t="shared" si="89"/>
        <v>0</v>
      </c>
      <c r="B1049" s="1932">
        <f t="shared" si="90"/>
        <v>0</v>
      </c>
      <c r="C1049" s="1013" t="s">
        <v>245</v>
      </c>
      <c r="D1049" s="1013">
        <v>0</v>
      </c>
      <c r="E1049" s="1013" t="s">
        <v>22698</v>
      </c>
      <c r="F1049" s="1013">
        <v>20</v>
      </c>
      <c r="G1049" s="1932" t="str">
        <f>+VLOOKUP(F1049,TT_Tabelle_Riferimento!$D$127:$G$164,4,FALSE)</f>
        <v>Tecniche naturali di depurazione (tra cui fitodepurazione e lagunaggio)</v>
      </c>
      <c r="H1049" s="1013">
        <v>1</v>
      </c>
      <c r="I1049" s="1932" t="str">
        <f>+VLOOKUP(H1049,TT_Tabelle_Riferimento!$F$3:$G$6,2,FALSE)</f>
        <v>Servizio idrico integrato</v>
      </c>
      <c r="J1049" s="1013">
        <v>2029</v>
      </c>
      <c r="K1049" s="2335">
        <f>+SUMIFS('PdI-crono_inv'!BL:BL,'PdI-crono_inv'!CF:CF,F1049,'PdI-crono_inv'!CE:CE,H1049,'PdI-crono_inv'!J:J,P1049,'PdI-crono_inv'!P:P,"&lt;&gt;proprietario")</f>
        <v>0</v>
      </c>
      <c r="M1049" s="2335">
        <f>+SUMIFS('PdI-crono_inv'!BM:BM,'PdI-crono_inv'!CF:CF,F1049,'PdI-crono_inv'!CE:CE,H1049,'PdI-crono_inv'!J:J,P1049,'PdI-crono_inv'!P:P,"&lt;&gt;proprietario")+S1049</f>
        <v>0</v>
      </c>
      <c r="P1049" s="1013" t="s">
        <v>25486</v>
      </c>
      <c r="Q1049" s="1932" t="str">
        <f>+VLOOKUP(F1049,TT_Tabelle_Riferimento!$D$127:$E$164,2,FALSE)</f>
        <v>Depurazione</v>
      </c>
      <c r="R1049" s="1932" t="str">
        <f t="shared" si="92"/>
        <v/>
      </c>
      <c r="S1049" s="2335">
        <f t="shared" si="91"/>
        <v>0</v>
      </c>
    </row>
    <row r="1050" spans="1:19">
      <c r="A1050" s="1932">
        <f t="shared" si="89"/>
        <v>0</v>
      </c>
      <c r="B1050" s="1932">
        <f t="shared" si="90"/>
        <v>0</v>
      </c>
      <c r="C1050" s="1013" t="s">
        <v>245</v>
      </c>
      <c r="D1050" s="1013">
        <v>0</v>
      </c>
      <c r="E1050" s="1013" t="s">
        <v>22698</v>
      </c>
      <c r="F1050" s="1013">
        <v>21</v>
      </c>
      <c r="G1050" s="1932" t="str">
        <f>+VLOOKUP(F1050,TT_Tabelle_Riferimento!$D$127:$G$164,4,FALSE)</f>
        <v>Impianti di depurazione – trattamenti sino al preliminare, integrativo, primario - fosse settiche e fosse Imhoff</v>
      </c>
      <c r="H1050" s="1013">
        <v>1</v>
      </c>
      <c r="I1050" s="1932" t="str">
        <f>+VLOOKUP(H1050,TT_Tabelle_Riferimento!$F$3:$G$6,2,FALSE)</f>
        <v>Servizio idrico integrato</v>
      </c>
      <c r="J1050" s="1013">
        <v>2029</v>
      </c>
      <c r="K1050" s="2335">
        <f>+SUMIFS('PdI-crono_inv'!BL:BL,'PdI-crono_inv'!CF:CF,F1050,'PdI-crono_inv'!CE:CE,H1050,'PdI-crono_inv'!J:J,P1050,'PdI-crono_inv'!P:P,"&lt;&gt;proprietario")</f>
        <v>0</v>
      </c>
      <c r="M1050" s="2335">
        <f>+SUMIFS('PdI-crono_inv'!BM:BM,'PdI-crono_inv'!CF:CF,F1050,'PdI-crono_inv'!CE:CE,H1050,'PdI-crono_inv'!J:J,P1050,'PdI-crono_inv'!P:P,"&lt;&gt;proprietario")+S1050</f>
        <v>0</v>
      </c>
      <c r="P1050" s="1013" t="s">
        <v>25486</v>
      </c>
      <c r="Q1050" s="1932" t="str">
        <f>+VLOOKUP(F1050,TT_Tabelle_Riferimento!$D$127:$E$164,2,FALSE)</f>
        <v>Depurazione</v>
      </c>
      <c r="R1050" s="1932" t="str">
        <f t="shared" si="92"/>
        <v/>
      </c>
      <c r="S1050" s="2335">
        <f t="shared" si="91"/>
        <v>0</v>
      </c>
    </row>
    <row r="1051" spans="1:19">
      <c r="A1051" s="1932">
        <f t="shared" si="89"/>
        <v>0</v>
      </c>
      <c r="B1051" s="1932">
        <f t="shared" si="90"/>
        <v>0</v>
      </c>
      <c r="C1051" s="1013" t="s">
        <v>245</v>
      </c>
      <c r="D1051" s="1013">
        <v>0</v>
      </c>
      <c r="E1051" s="1013" t="s">
        <v>22698</v>
      </c>
      <c r="F1051" s="1013">
        <v>22</v>
      </c>
      <c r="G1051" s="1932" t="str">
        <f>+VLOOKUP(F1051,TT_Tabelle_Riferimento!$D$127:$G$164,4,FALSE)</f>
        <v>Impianti di depurazione – trattamenti sino al secondario</v>
      </c>
      <c r="H1051" s="1013">
        <v>1</v>
      </c>
      <c r="I1051" s="1932" t="str">
        <f>+VLOOKUP(H1051,TT_Tabelle_Riferimento!$F$3:$G$6,2,FALSE)</f>
        <v>Servizio idrico integrato</v>
      </c>
      <c r="J1051" s="1013">
        <v>2029</v>
      </c>
      <c r="K1051" s="2335">
        <f>+SUMIFS('PdI-crono_inv'!BL:BL,'PdI-crono_inv'!CF:CF,F1051,'PdI-crono_inv'!CE:CE,H1051,'PdI-crono_inv'!J:J,P1051,'PdI-crono_inv'!P:P,"&lt;&gt;proprietario")</f>
        <v>0</v>
      </c>
      <c r="M1051" s="2335">
        <f>+SUMIFS('PdI-crono_inv'!BM:BM,'PdI-crono_inv'!CF:CF,F1051,'PdI-crono_inv'!CE:CE,H1051,'PdI-crono_inv'!J:J,P1051,'PdI-crono_inv'!P:P,"&lt;&gt;proprietario")+S1051</f>
        <v>0</v>
      </c>
      <c r="P1051" s="1013" t="s">
        <v>25486</v>
      </c>
      <c r="Q1051" s="1932" t="str">
        <f>+VLOOKUP(F1051,TT_Tabelle_Riferimento!$D$127:$E$164,2,FALSE)</f>
        <v>Depurazione</v>
      </c>
      <c r="R1051" s="1932" t="str">
        <f t="shared" si="92"/>
        <v/>
      </c>
      <c r="S1051" s="2335">
        <f t="shared" si="91"/>
        <v>0</v>
      </c>
    </row>
    <row r="1052" spans="1:19">
      <c r="A1052" s="1932">
        <f t="shared" si="89"/>
        <v>0</v>
      </c>
      <c r="B1052" s="1932">
        <f t="shared" si="90"/>
        <v>0</v>
      </c>
      <c r="C1052" s="1013" t="s">
        <v>245</v>
      </c>
      <c r="D1052" s="1013">
        <v>0</v>
      </c>
      <c r="E1052" s="1013" t="s">
        <v>22698</v>
      </c>
      <c r="F1052" s="1013">
        <v>23</v>
      </c>
      <c r="G1052" s="1932" t="str">
        <f>+VLOOKUP(F1052,TT_Tabelle_Riferimento!$D$127:$G$164,4,FALSE)</f>
        <v>Impianti di depurazione – trattamenti sino al terziario e terziario avanzato</v>
      </c>
      <c r="H1052" s="1013">
        <v>1</v>
      </c>
      <c r="I1052" s="1932" t="str">
        <f>+VLOOKUP(H1052,TT_Tabelle_Riferimento!$F$3:$G$6,2,FALSE)</f>
        <v>Servizio idrico integrato</v>
      </c>
      <c r="J1052" s="1013">
        <v>2029</v>
      </c>
      <c r="K1052" s="2335">
        <f>+SUMIFS('PdI-crono_inv'!BL:BL,'PdI-crono_inv'!CF:CF,F1052,'PdI-crono_inv'!CE:CE,H1052,'PdI-crono_inv'!J:J,P1052,'PdI-crono_inv'!P:P,"&lt;&gt;proprietario")</f>
        <v>0</v>
      </c>
      <c r="M1052" s="2335">
        <f>+SUMIFS('PdI-crono_inv'!BM:BM,'PdI-crono_inv'!CF:CF,F1052,'PdI-crono_inv'!CE:CE,H1052,'PdI-crono_inv'!J:J,P1052,'PdI-crono_inv'!P:P,"&lt;&gt;proprietario")+S1052</f>
        <v>0</v>
      </c>
      <c r="P1052" s="1013" t="s">
        <v>25486</v>
      </c>
      <c r="Q1052" s="1932" t="str">
        <f>+VLOOKUP(F1052,TT_Tabelle_Riferimento!$D$127:$E$164,2,FALSE)</f>
        <v>Depurazione</v>
      </c>
      <c r="R1052" s="1932" t="str">
        <f t="shared" si="92"/>
        <v/>
      </c>
      <c r="S1052" s="2335">
        <f t="shared" si="91"/>
        <v>0</v>
      </c>
    </row>
    <row r="1053" spans="1:19">
      <c r="A1053" s="1932">
        <f t="shared" si="89"/>
        <v>0</v>
      </c>
      <c r="B1053" s="1932">
        <f t="shared" si="90"/>
        <v>0</v>
      </c>
      <c r="C1053" s="1013" t="s">
        <v>245</v>
      </c>
      <c r="D1053" s="1013">
        <v>0</v>
      </c>
      <c r="E1053" s="1013" t="s">
        <v>22698</v>
      </c>
      <c r="F1053" s="1013">
        <v>24</v>
      </c>
      <c r="G1053" s="1932" t="str">
        <f>+VLOOKUP(F1053,TT_Tabelle_Riferimento!$D$127:$G$164,4,FALSE)</f>
        <v>Impianti di essiccamento fanghi e di valorizzazione dei fanghi (tra cui mono-incenerimento, pirolisi, gassificazione)</v>
      </c>
      <c r="H1053" s="1013">
        <v>1</v>
      </c>
      <c r="I1053" s="1932" t="str">
        <f>+VLOOKUP(H1053,TT_Tabelle_Riferimento!$F$3:$G$6,2,FALSE)</f>
        <v>Servizio idrico integrato</v>
      </c>
      <c r="J1053" s="1013">
        <v>2029</v>
      </c>
      <c r="K1053" s="2335">
        <f>+SUMIFS('PdI-crono_inv'!BL:BL,'PdI-crono_inv'!CF:CF,F1053,'PdI-crono_inv'!CE:CE,H1053,'PdI-crono_inv'!J:J,P1053,'PdI-crono_inv'!P:P,"&lt;&gt;proprietario")</f>
        <v>0</v>
      </c>
      <c r="M1053" s="2335">
        <f>+SUMIFS('PdI-crono_inv'!BM:BM,'PdI-crono_inv'!CF:CF,F1053,'PdI-crono_inv'!CE:CE,H1053,'PdI-crono_inv'!J:J,P1053,'PdI-crono_inv'!P:P,"&lt;&gt;proprietario")+S1053</f>
        <v>0</v>
      </c>
      <c r="P1053" s="1013" t="s">
        <v>25486</v>
      </c>
      <c r="Q1053" s="1932" t="str">
        <f>+VLOOKUP(F1053,TT_Tabelle_Riferimento!$D$127:$E$164,2,FALSE)</f>
        <v>Depurazione</v>
      </c>
      <c r="R1053" s="1932" t="str">
        <f t="shared" si="92"/>
        <v/>
      </c>
      <c r="S1053" s="2335">
        <f t="shared" si="91"/>
        <v>0</v>
      </c>
    </row>
    <row r="1054" spans="1:19">
      <c r="A1054" s="1932">
        <f t="shared" si="89"/>
        <v>0</v>
      </c>
      <c r="B1054" s="1932">
        <f t="shared" si="90"/>
        <v>0</v>
      </c>
      <c r="C1054" s="1013" t="s">
        <v>245</v>
      </c>
      <c r="D1054" s="1013">
        <v>0</v>
      </c>
      <c r="E1054" s="1013" t="s">
        <v>22698</v>
      </c>
      <c r="F1054" s="1013">
        <v>25</v>
      </c>
      <c r="G1054" s="1932" t="str">
        <f>+VLOOKUP(F1054,TT_Tabelle_Riferimento!$D$127:$G$164,4,FALSE)</f>
        <v>Gruppi di misura - altre attrezzature di depurazione</v>
      </c>
      <c r="H1054" s="1013">
        <v>1</v>
      </c>
      <c r="I1054" s="1932" t="str">
        <f>+VLOOKUP(H1054,TT_Tabelle_Riferimento!$F$3:$G$6,2,FALSE)</f>
        <v>Servizio idrico integrato</v>
      </c>
      <c r="J1054" s="1013">
        <v>2029</v>
      </c>
      <c r="K1054" s="2335">
        <f>+SUMIFS('PdI-crono_inv'!BL:BL,'PdI-crono_inv'!CF:CF,F1054,'PdI-crono_inv'!CE:CE,H1054,'PdI-crono_inv'!J:J,P1054,'PdI-crono_inv'!P:P,"&lt;&gt;proprietario")</f>
        <v>0</v>
      </c>
      <c r="M1054" s="2335">
        <f>+SUMIFS('PdI-crono_inv'!BM:BM,'PdI-crono_inv'!CF:CF,F1054,'PdI-crono_inv'!CE:CE,H1054,'PdI-crono_inv'!J:J,P1054,'PdI-crono_inv'!P:P,"&lt;&gt;proprietario")+S1054</f>
        <v>0</v>
      </c>
      <c r="P1054" s="1013" t="s">
        <v>25486</v>
      </c>
      <c r="Q1054" s="1932" t="str">
        <f>+VLOOKUP(F1054,TT_Tabelle_Riferimento!$D$127:$E$164,2,FALSE)</f>
        <v>Depurazione</v>
      </c>
      <c r="R1054" s="1932" t="str">
        <f t="shared" si="92"/>
        <v/>
      </c>
      <c r="S1054" s="2335">
        <f t="shared" si="91"/>
        <v>0</v>
      </c>
    </row>
    <row r="1055" spans="1:19">
      <c r="A1055" s="1932">
        <f t="shared" si="89"/>
        <v>0</v>
      </c>
      <c r="B1055" s="1932">
        <f t="shared" si="90"/>
        <v>0</v>
      </c>
      <c r="C1055" s="1013" t="s">
        <v>245</v>
      </c>
      <c r="D1055" s="1013">
        <v>0</v>
      </c>
      <c r="E1055" s="1013" t="s">
        <v>22698</v>
      </c>
      <c r="F1055" s="1013">
        <v>26</v>
      </c>
      <c r="G1055" s="1932" t="str">
        <f>+VLOOKUP(F1055,TT_Tabelle_Riferimento!$D$127:$G$164,4,FALSE)</f>
        <v>Sistemi informativi di depurazione</v>
      </c>
      <c r="H1055" s="1013">
        <v>1</v>
      </c>
      <c r="I1055" s="1932" t="str">
        <f>+VLOOKUP(H1055,TT_Tabelle_Riferimento!$F$3:$G$6,2,FALSE)</f>
        <v>Servizio idrico integrato</v>
      </c>
      <c r="J1055" s="1013">
        <v>2029</v>
      </c>
      <c r="K1055" s="2335">
        <f>+SUMIFS('PdI-crono_inv'!BL:BL,'PdI-crono_inv'!CF:CF,F1055,'PdI-crono_inv'!CE:CE,H1055,'PdI-crono_inv'!J:J,P1055,'PdI-crono_inv'!P:P,"&lt;&gt;proprietario")</f>
        <v>0</v>
      </c>
      <c r="M1055" s="2335">
        <f>+SUMIFS('PdI-crono_inv'!BM:BM,'PdI-crono_inv'!CF:CF,F1055,'PdI-crono_inv'!CE:CE,H1055,'PdI-crono_inv'!J:J,P1055,'PdI-crono_inv'!P:P,"&lt;&gt;proprietario")+S1055</f>
        <v>0</v>
      </c>
      <c r="P1055" s="1013" t="s">
        <v>25486</v>
      </c>
      <c r="Q1055" s="1932" t="str">
        <f>+VLOOKUP(F1055,TT_Tabelle_Riferimento!$D$127:$E$164,2,FALSE)</f>
        <v>Depurazione</v>
      </c>
      <c r="R1055" s="1932" t="str">
        <f t="shared" si="92"/>
        <v/>
      </c>
      <c r="S1055" s="2335">
        <f t="shared" si="91"/>
        <v>0</v>
      </c>
    </row>
    <row r="1056" spans="1:19">
      <c r="A1056" s="1932">
        <f t="shared" si="89"/>
        <v>0</v>
      </c>
      <c r="B1056" s="1932">
        <f t="shared" si="90"/>
        <v>0</v>
      </c>
      <c r="C1056" s="1013" t="s">
        <v>245</v>
      </c>
      <c r="D1056" s="1013">
        <v>0</v>
      </c>
      <c r="E1056" s="1013" t="s">
        <v>22698</v>
      </c>
      <c r="F1056" s="1013">
        <v>27</v>
      </c>
      <c r="G1056" s="1932" t="str">
        <f>+VLOOKUP(F1056,TT_Tabelle_Riferimento!$D$127:$G$164,4,FALSE)</f>
        <v>Telecontrollo e teletrasmissione di depurazione</v>
      </c>
      <c r="H1056" s="1013">
        <v>1</v>
      </c>
      <c r="I1056" s="1932" t="str">
        <f>+VLOOKUP(H1056,TT_Tabelle_Riferimento!$F$3:$G$6,2,FALSE)</f>
        <v>Servizio idrico integrato</v>
      </c>
      <c r="J1056" s="1013">
        <v>2029</v>
      </c>
      <c r="K1056" s="2335">
        <f>+SUMIFS('PdI-crono_inv'!BL:BL,'PdI-crono_inv'!CF:CF,F1056,'PdI-crono_inv'!CE:CE,H1056,'PdI-crono_inv'!J:J,P1056,'PdI-crono_inv'!P:P,"&lt;&gt;proprietario")</f>
        <v>0</v>
      </c>
      <c r="M1056" s="2335">
        <f>+SUMIFS('PdI-crono_inv'!BM:BM,'PdI-crono_inv'!CF:CF,F1056,'PdI-crono_inv'!CE:CE,H1056,'PdI-crono_inv'!J:J,P1056,'PdI-crono_inv'!P:P,"&lt;&gt;proprietario")+S1056</f>
        <v>0</v>
      </c>
      <c r="P1056" s="1013" t="s">
        <v>25486</v>
      </c>
      <c r="Q1056" s="1932" t="str">
        <f>+VLOOKUP(F1056,TT_Tabelle_Riferimento!$D$127:$E$164,2,FALSE)</f>
        <v>Depurazione</v>
      </c>
      <c r="R1056" s="1932" t="str">
        <f t="shared" si="92"/>
        <v/>
      </c>
      <c r="S1056" s="2335">
        <f t="shared" si="91"/>
        <v>0</v>
      </c>
    </row>
    <row r="1057" spans="1:19">
      <c r="A1057" s="1932">
        <f t="shared" si="89"/>
        <v>0</v>
      </c>
      <c r="B1057" s="1932">
        <f t="shared" si="90"/>
        <v>0</v>
      </c>
      <c r="C1057" s="1013" t="s">
        <v>245</v>
      </c>
      <c r="D1057" s="1013">
        <v>0</v>
      </c>
      <c r="E1057" s="1013" t="s">
        <v>22698</v>
      </c>
      <c r="F1057" s="1013">
        <v>28</v>
      </c>
      <c r="G1057" s="1932" t="str">
        <f>+VLOOKUP(F1057,TT_Tabelle_Riferimento!$D$127:$G$164,4,FALSE)</f>
        <v>Altri impianti</v>
      </c>
      <c r="H1057" s="1013">
        <v>1</v>
      </c>
      <c r="I1057" s="1932" t="str">
        <f>+VLOOKUP(H1057,TT_Tabelle_Riferimento!$F$3:$G$6,2,FALSE)</f>
        <v>Servizio idrico integrato</v>
      </c>
      <c r="J1057" s="1013">
        <v>2029</v>
      </c>
      <c r="K1057" s="2335">
        <f>+SUMIFS('PdI-crono_inv'!BL:BL,'PdI-crono_inv'!CF:CF,F1057,'PdI-crono_inv'!CE:CE,H1057,'PdI-crono_inv'!J:J,P1057,'PdI-crono_inv'!P:P,"&lt;&gt;proprietario")</f>
        <v>0</v>
      </c>
      <c r="M1057" s="2335">
        <f>+SUMIFS('PdI-crono_inv'!BM:BM,'PdI-crono_inv'!CF:CF,F1057,'PdI-crono_inv'!CE:CE,H1057,'PdI-crono_inv'!J:J,P1057,'PdI-crono_inv'!P:P,"&lt;&gt;proprietario")+S1057</f>
        <v>0</v>
      </c>
      <c r="P1057" s="1013" t="s">
        <v>25486</v>
      </c>
      <c r="Q1057" s="1932" t="str">
        <f>+VLOOKUP(F1057,TT_Tabelle_Riferimento!$D$127:$E$164,2,FALSE)</f>
        <v>Comune</v>
      </c>
      <c r="R1057" s="1932" t="str">
        <f t="shared" si="92"/>
        <v/>
      </c>
      <c r="S1057" s="2335">
        <f t="shared" si="91"/>
        <v>0</v>
      </c>
    </row>
    <row r="1058" spans="1:19">
      <c r="A1058" s="1932">
        <f t="shared" ref="A1058:A1066" si="93">+idato</f>
        <v>0</v>
      </c>
      <c r="B1058" s="1932">
        <f t="shared" ref="B1058:B1066" si="94">+idgestore</f>
        <v>0</v>
      </c>
      <c r="C1058" s="1013" t="s">
        <v>245</v>
      </c>
      <c r="D1058" s="1013">
        <v>0</v>
      </c>
      <c r="E1058" s="1013" t="s">
        <v>22698</v>
      </c>
      <c r="F1058" s="1013">
        <v>29</v>
      </c>
      <c r="G1058" s="1932" t="str">
        <f>+VLOOKUP(F1058,TT_Tabelle_Riferimento!$D$127:$G$164,4,FALSE)</f>
        <v>Laboratori e attrezzature</v>
      </c>
      <c r="H1058" s="1013">
        <v>1</v>
      </c>
      <c r="I1058" s="1932" t="str">
        <f>+VLOOKUP(H1058,TT_Tabelle_Riferimento!$F$3:$G$6,2,FALSE)</f>
        <v>Servizio idrico integrato</v>
      </c>
      <c r="J1058" s="1013">
        <v>2029</v>
      </c>
      <c r="K1058" s="2335">
        <f>+SUMIFS('PdI-crono_inv'!BL:BL,'PdI-crono_inv'!CF:CF,F1058,'PdI-crono_inv'!CE:CE,H1058,'PdI-crono_inv'!J:J,P1058,'PdI-crono_inv'!P:P,"&lt;&gt;proprietario")</f>
        <v>0</v>
      </c>
      <c r="M1058" s="2335">
        <f>+SUMIFS('PdI-crono_inv'!BM:BM,'PdI-crono_inv'!CF:CF,F1058,'PdI-crono_inv'!CE:CE,H1058,'PdI-crono_inv'!J:J,P1058,'PdI-crono_inv'!P:P,"&lt;&gt;proprietario")+S1058</f>
        <v>0</v>
      </c>
      <c r="P1058" s="1013" t="s">
        <v>25486</v>
      </c>
      <c r="Q1058" s="1932" t="str">
        <f>+VLOOKUP(F1058,TT_Tabelle_Riferimento!$D$127:$E$164,2,FALSE)</f>
        <v>Comune</v>
      </c>
      <c r="R1058" s="1932" t="str">
        <f t="shared" si="92"/>
        <v/>
      </c>
      <c r="S1058" s="2335">
        <f t="shared" si="91"/>
        <v>0</v>
      </c>
    </row>
    <row r="1059" spans="1:19">
      <c r="A1059" s="1932">
        <f t="shared" si="93"/>
        <v>0</v>
      </c>
      <c r="B1059" s="1932">
        <f t="shared" si="94"/>
        <v>0</v>
      </c>
      <c r="C1059" s="1013" t="s">
        <v>245</v>
      </c>
      <c r="D1059" s="1013">
        <v>0</v>
      </c>
      <c r="E1059" s="1013" t="s">
        <v>22698</v>
      </c>
      <c r="F1059" s="1013">
        <v>30</v>
      </c>
      <c r="G1059" s="1932" t="str">
        <f>+VLOOKUP(F1059,TT_Tabelle_Riferimento!$D$127:$G$164,4,FALSE)</f>
        <v>Sistemi informativi</v>
      </c>
      <c r="H1059" s="1013">
        <v>1</v>
      </c>
      <c r="I1059" s="1932" t="str">
        <f>+VLOOKUP(H1059,TT_Tabelle_Riferimento!$F$3:$G$6,2,FALSE)</f>
        <v>Servizio idrico integrato</v>
      </c>
      <c r="J1059" s="1013">
        <v>2029</v>
      </c>
      <c r="K1059" s="2335">
        <f>+SUMIFS('PdI-crono_inv'!BL:BL,'PdI-crono_inv'!CF:CF,F1059,'PdI-crono_inv'!CE:CE,H1059,'PdI-crono_inv'!J:J,P1059,'PdI-crono_inv'!P:P,"&lt;&gt;proprietario")</f>
        <v>0</v>
      </c>
      <c r="M1059" s="2335">
        <f>+SUMIFS('PdI-crono_inv'!BM:BM,'PdI-crono_inv'!CF:CF,F1059,'PdI-crono_inv'!CE:CE,H1059,'PdI-crono_inv'!J:J,P1059,'PdI-crono_inv'!P:P,"&lt;&gt;proprietario")+S1059</f>
        <v>0</v>
      </c>
      <c r="P1059" s="1013" t="s">
        <v>25486</v>
      </c>
      <c r="Q1059" s="1932" t="str">
        <f>+VLOOKUP(F1059,TT_Tabelle_Riferimento!$D$127:$E$164,2,FALSE)</f>
        <v>Comune</v>
      </c>
      <c r="R1059" s="1932" t="str">
        <f t="shared" si="92"/>
        <v/>
      </c>
      <c r="S1059" s="2335">
        <f t="shared" si="91"/>
        <v>0</v>
      </c>
    </row>
    <row r="1060" spans="1:19">
      <c r="A1060" s="1932">
        <f t="shared" si="93"/>
        <v>0</v>
      </c>
      <c r="B1060" s="1932">
        <f t="shared" si="94"/>
        <v>0</v>
      </c>
      <c r="C1060" s="1013" t="s">
        <v>245</v>
      </c>
      <c r="D1060" s="1013">
        <v>0</v>
      </c>
      <c r="E1060" s="1013" t="s">
        <v>22698</v>
      </c>
      <c r="F1060" s="1013">
        <v>31</v>
      </c>
      <c r="G1060" s="1932" t="str">
        <f>+VLOOKUP(F1060,TT_Tabelle_Riferimento!$D$127:$G$164,4,FALSE)</f>
        <v>Telecontrollo e teletrasmissione</v>
      </c>
      <c r="H1060" s="1013">
        <v>1</v>
      </c>
      <c r="I1060" s="1932" t="str">
        <f>+VLOOKUP(H1060,TT_Tabelle_Riferimento!$F$3:$G$6,2,FALSE)</f>
        <v>Servizio idrico integrato</v>
      </c>
      <c r="J1060" s="1013">
        <v>2029</v>
      </c>
      <c r="K1060" s="2335">
        <f>+SUMIFS('PdI-crono_inv'!BL:BL,'PdI-crono_inv'!CF:CF,F1060,'PdI-crono_inv'!CE:CE,H1060,'PdI-crono_inv'!J:J,P1060,'PdI-crono_inv'!P:P,"&lt;&gt;proprietario")</f>
        <v>0</v>
      </c>
      <c r="M1060" s="2335">
        <f>+SUMIFS('PdI-crono_inv'!BM:BM,'PdI-crono_inv'!CF:CF,F1060,'PdI-crono_inv'!CE:CE,H1060,'PdI-crono_inv'!J:J,P1060,'PdI-crono_inv'!P:P,"&lt;&gt;proprietario")+S1060</f>
        <v>0</v>
      </c>
      <c r="P1060" s="1013" t="s">
        <v>25486</v>
      </c>
      <c r="Q1060" s="1932" t="str">
        <f>+VLOOKUP(F1060,TT_Tabelle_Riferimento!$D$127:$E$164,2,FALSE)</f>
        <v>Comune</v>
      </c>
      <c r="R1060" s="1932" t="str">
        <f t="shared" si="92"/>
        <v/>
      </c>
      <c r="S1060" s="2335">
        <f t="shared" si="91"/>
        <v>0</v>
      </c>
    </row>
    <row r="1061" spans="1:19">
      <c r="A1061" s="1932">
        <f t="shared" si="93"/>
        <v>0</v>
      </c>
      <c r="B1061" s="1932">
        <f t="shared" si="94"/>
        <v>0</v>
      </c>
      <c r="C1061" s="1013" t="s">
        <v>245</v>
      </c>
      <c r="D1061" s="1013">
        <v>0</v>
      </c>
      <c r="E1061" s="1013" t="s">
        <v>22698</v>
      </c>
      <c r="F1061" s="1013">
        <v>32</v>
      </c>
      <c r="G1061" s="1932" t="str">
        <f>+VLOOKUP(F1061,TT_Tabelle_Riferimento!$D$127:$G$164,4,FALSE)</f>
        <v>Autoveicoli - automezzi</v>
      </c>
      <c r="H1061" s="1013">
        <v>1</v>
      </c>
      <c r="I1061" s="1932" t="str">
        <f>+VLOOKUP(H1061,TT_Tabelle_Riferimento!$F$3:$G$6,2,FALSE)</f>
        <v>Servizio idrico integrato</v>
      </c>
      <c r="J1061" s="1013">
        <v>2029</v>
      </c>
      <c r="K1061" s="2335">
        <f>+SUMIFS('PdI-crono_inv'!BL:BL,'PdI-crono_inv'!CF:CF,F1061,'PdI-crono_inv'!CE:CE,H1061,'PdI-crono_inv'!J:J,P1061,'PdI-crono_inv'!P:P,"&lt;&gt;proprietario")</f>
        <v>0</v>
      </c>
      <c r="M1061" s="2335">
        <f>+SUMIFS('PdI-crono_inv'!BM:BM,'PdI-crono_inv'!CF:CF,F1061,'PdI-crono_inv'!CE:CE,H1061,'PdI-crono_inv'!J:J,P1061,'PdI-crono_inv'!P:P,"&lt;&gt;proprietario")+S1061</f>
        <v>0</v>
      </c>
      <c r="P1061" s="1013" t="s">
        <v>25486</v>
      </c>
      <c r="Q1061" s="1932" t="str">
        <f>+VLOOKUP(F1061,TT_Tabelle_Riferimento!$D$127:$E$164,2,FALSE)</f>
        <v>Comune</v>
      </c>
      <c r="R1061" s="1932" t="str">
        <f t="shared" si="92"/>
        <v/>
      </c>
      <c r="S1061" s="2335">
        <f t="shared" si="91"/>
        <v>0</v>
      </c>
    </row>
    <row r="1062" spans="1:19">
      <c r="A1062" s="1932">
        <f t="shared" si="93"/>
        <v>0</v>
      </c>
      <c r="B1062" s="1932">
        <f t="shared" si="94"/>
        <v>0</v>
      </c>
      <c r="C1062" s="1013" t="s">
        <v>245</v>
      </c>
      <c r="D1062" s="1013">
        <v>0</v>
      </c>
      <c r="E1062" s="1013" t="s">
        <v>22698</v>
      </c>
      <c r="F1062" s="1013">
        <v>1</v>
      </c>
      <c r="G1062" s="1932" t="str">
        <f>+VLOOKUP(F1062,TT_Tabelle_Riferimento!$D$127:$G$164,4,FALSE)</f>
        <v>Terreni</v>
      </c>
      <c r="H1062" s="1013">
        <v>1</v>
      </c>
      <c r="I1062" s="1932" t="str">
        <f>+VLOOKUP(H1062,TT_Tabelle_Riferimento!$F$3:$G$6,2,FALSE)</f>
        <v>Servizio idrico integrato</v>
      </c>
      <c r="J1062" s="1013">
        <v>2029</v>
      </c>
      <c r="K1062" s="2335">
        <f>+SUMIFS('PdI-crono_inv'!BL:BL,'PdI-crono_inv'!CF:CF,F1062,'PdI-crono_inv'!CE:CE,H1062,'PdI-crono_inv'!J:J,P1062,'PdI-crono_inv'!P:P,"&lt;&gt;proprietario")</f>
        <v>0</v>
      </c>
      <c r="M1062" s="2335">
        <f>+SUMIFS('PdI-crono_inv'!BM:BM,'PdI-crono_inv'!CF:CF,F1062,'PdI-crono_inv'!CE:CE,H1062,'PdI-crono_inv'!J:J,P1062,'PdI-crono_inv'!P:P,"&lt;&gt;proprietario")+S1062</f>
        <v>0</v>
      </c>
      <c r="P1062" s="1013" t="s">
        <v>25486</v>
      </c>
      <c r="Q1062" s="1932" t="str">
        <f>+VLOOKUP(F1062,TT_Tabelle_Riferimento!$D$127:$E$164,2,FALSE)</f>
        <v>Comune</v>
      </c>
      <c r="R1062" s="1932" t="str">
        <f t="shared" si="92"/>
        <v/>
      </c>
      <c r="S1062" s="2335">
        <f t="shared" si="91"/>
        <v>0</v>
      </c>
    </row>
    <row r="1063" spans="1:19">
      <c r="A1063" s="1932">
        <f t="shared" si="93"/>
        <v>0</v>
      </c>
      <c r="B1063" s="1932">
        <f t="shared" si="94"/>
        <v>0</v>
      </c>
      <c r="C1063" s="1013" t="s">
        <v>245</v>
      </c>
      <c r="D1063" s="1013">
        <v>0</v>
      </c>
      <c r="E1063" s="1013" t="s">
        <v>22698</v>
      </c>
      <c r="F1063" s="1013">
        <v>33</v>
      </c>
      <c r="G1063" s="1932" t="str">
        <f>+VLOOKUP(F1063,TT_Tabelle_Riferimento!$D$127:$G$164,4,FALSE)</f>
        <v>Fabbricati non industriali</v>
      </c>
      <c r="H1063" s="1013">
        <v>1</v>
      </c>
      <c r="I1063" s="1932" t="str">
        <f>+VLOOKUP(H1063,TT_Tabelle_Riferimento!$F$3:$G$6,2,FALSE)</f>
        <v>Servizio idrico integrato</v>
      </c>
      <c r="J1063" s="1013">
        <v>2029</v>
      </c>
      <c r="K1063" s="2335">
        <f>+SUMIFS('PdI-crono_inv'!BL:BL,'PdI-crono_inv'!CF:CF,F1063,'PdI-crono_inv'!CE:CE,H1063,'PdI-crono_inv'!J:J,P1063,'PdI-crono_inv'!P:P,"&lt;&gt;proprietario")</f>
        <v>0</v>
      </c>
      <c r="M1063" s="2335">
        <f>+SUMIFS('PdI-crono_inv'!BM:BM,'PdI-crono_inv'!CF:CF,F1063,'PdI-crono_inv'!CE:CE,H1063,'PdI-crono_inv'!J:J,P1063,'PdI-crono_inv'!P:P,"&lt;&gt;proprietario")+S1063</f>
        <v>0</v>
      </c>
      <c r="P1063" s="1013" t="s">
        <v>25486</v>
      </c>
      <c r="Q1063" s="1932" t="str">
        <f>+VLOOKUP(F1063,TT_Tabelle_Riferimento!$D$127:$E$164,2,FALSE)</f>
        <v>Comune</v>
      </c>
      <c r="R1063" s="1932" t="str">
        <f t="shared" si="92"/>
        <v/>
      </c>
      <c r="S1063" s="2335">
        <f t="shared" si="91"/>
        <v>0</v>
      </c>
    </row>
    <row r="1064" spans="1:19">
      <c r="A1064" s="1932">
        <f t="shared" si="93"/>
        <v>0</v>
      </c>
      <c r="B1064" s="1932">
        <f t="shared" si="94"/>
        <v>0</v>
      </c>
      <c r="C1064" s="1013" t="s">
        <v>245</v>
      </c>
      <c r="D1064" s="1013">
        <v>0</v>
      </c>
      <c r="E1064" s="1013" t="s">
        <v>22698</v>
      </c>
      <c r="F1064" s="1013">
        <v>34</v>
      </c>
      <c r="G1064" s="1932" t="str">
        <f>+VLOOKUP(F1064,TT_Tabelle_Riferimento!$D$127:$G$164,4,FALSE)</f>
        <v>Fabbricati industriali</v>
      </c>
      <c r="H1064" s="1013">
        <v>1</v>
      </c>
      <c r="I1064" s="1932" t="str">
        <f>+VLOOKUP(H1064,TT_Tabelle_Riferimento!$F$3:$G$6,2,FALSE)</f>
        <v>Servizio idrico integrato</v>
      </c>
      <c r="J1064" s="1013">
        <v>2029</v>
      </c>
      <c r="K1064" s="2335">
        <f>+SUMIFS('PdI-crono_inv'!BL:BL,'PdI-crono_inv'!CF:CF,F1064,'PdI-crono_inv'!CE:CE,H1064,'PdI-crono_inv'!J:J,P1064,'PdI-crono_inv'!P:P,"&lt;&gt;proprietario")</f>
        <v>0</v>
      </c>
      <c r="M1064" s="2335">
        <f>+SUMIFS('PdI-crono_inv'!BM:BM,'PdI-crono_inv'!CF:CF,F1064,'PdI-crono_inv'!CE:CE,H1064,'PdI-crono_inv'!J:J,P1064,'PdI-crono_inv'!P:P,"&lt;&gt;proprietario")+S1064</f>
        <v>0</v>
      </c>
      <c r="P1064" s="1013" t="s">
        <v>25486</v>
      </c>
      <c r="Q1064" s="1932" t="str">
        <f>+VLOOKUP(F1064,TT_Tabelle_Riferimento!$D$127:$E$164,2,FALSE)</f>
        <v>Comune</v>
      </c>
      <c r="R1064" s="1932" t="str">
        <f t="shared" si="92"/>
        <v/>
      </c>
      <c r="S1064" s="2335">
        <f t="shared" si="91"/>
        <v>0</v>
      </c>
    </row>
    <row r="1065" spans="1:19">
      <c r="A1065" s="1932">
        <f t="shared" si="93"/>
        <v>0</v>
      </c>
      <c r="B1065" s="1932">
        <f t="shared" si="94"/>
        <v>0</v>
      </c>
      <c r="C1065" s="1013" t="s">
        <v>245</v>
      </c>
      <c r="D1065" s="1013">
        <v>0</v>
      </c>
      <c r="E1065" s="1013" t="s">
        <v>22698</v>
      </c>
      <c r="F1065" s="1013">
        <v>35</v>
      </c>
      <c r="G1065" s="1932" t="str">
        <f>+VLOOKUP(F1065,TT_Tabelle_Riferimento!$D$127:$G$164,4,FALSE)</f>
        <v>Costruzioni leggere</v>
      </c>
      <c r="H1065" s="1013">
        <v>1</v>
      </c>
      <c r="I1065" s="1932" t="str">
        <f>+VLOOKUP(H1065,TT_Tabelle_Riferimento!$F$3:$G$6,2,FALSE)</f>
        <v>Servizio idrico integrato</v>
      </c>
      <c r="J1065" s="1013">
        <v>2029</v>
      </c>
      <c r="K1065" s="2335">
        <f>+SUMIFS('PdI-crono_inv'!BL:BL,'PdI-crono_inv'!CF:CF,F1065,'PdI-crono_inv'!CE:CE,H1065,'PdI-crono_inv'!J:J,P1065,'PdI-crono_inv'!P:P,"&lt;&gt;proprietario")</f>
        <v>0</v>
      </c>
      <c r="M1065" s="2335">
        <f>+SUMIFS('PdI-crono_inv'!BM:BM,'PdI-crono_inv'!CF:CF,F1065,'PdI-crono_inv'!CE:CE,H1065,'PdI-crono_inv'!J:J,P1065,'PdI-crono_inv'!P:P,"&lt;&gt;proprietario")+S1065</f>
        <v>0</v>
      </c>
      <c r="P1065" s="1013" t="s">
        <v>25486</v>
      </c>
      <c r="Q1065" s="1932" t="str">
        <f>+VLOOKUP(F1065,TT_Tabelle_Riferimento!$D$127:$E$164,2,FALSE)</f>
        <v>Comune</v>
      </c>
      <c r="R1065" s="1932" t="str">
        <f t="shared" si="92"/>
        <v/>
      </c>
      <c r="S1065" s="2335">
        <f t="shared" si="91"/>
        <v>0</v>
      </c>
    </row>
    <row r="1066" spans="1:19">
      <c r="A1066" s="1932">
        <f t="shared" si="93"/>
        <v>0</v>
      </c>
      <c r="B1066" s="1932">
        <f t="shared" si="94"/>
        <v>0</v>
      </c>
      <c r="C1066" s="1013" t="s">
        <v>245</v>
      </c>
      <c r="D1066" s="1013">
        <v>0</v>
      </c>
      <c r="E1066" s="1013" t="s">
        <v>22698</v>
      </c>
      <c r="F1066" s="1013">
        <v>36</v>
      </c>
      <c r="G1066" s="1932" t="str">
        <f>+VLOOKUP(F1066,TT_Tabelle_Riferimento!$D$127:$G$164,4,FALSE)</f>
        <v>Studi, ricerche, brevetti, diritti di utilizzazione</v>
      </c>
      <c r="H1066" s="1013">
        <v>1</v>
      </c>
      <c r="I1066" s="1932" t="str">
        <f>+VLOOKUP(H1066,TT_Tabelle_Riferimento!$F$3:$G$6,2,FALSE)</f>
        <v>Servizio idrico integrato</v>
      </c>
      <c r="J1066" s="1013">
        <v>2029</v>
      </c>
      <c r="K1066" s="2335">
        <f>+SUMIFS('PdI-crono_inv'!BL:BL,'PdI-crono_inv'!CF:CF,F1066,'PdI-crono_inv'!CE:CE,H1066,'PdI-crono_inv'!J:J,P1066,'PdI-crono_inv'!P:P,"&lt;&gt;proprietario")</f>
        <v>0</v>
      </c>
      <c r="M1066" s="2335">
        <f>+SUMIFS('PdI-crono_inv'!BM:BM,'PdI-crono_inv'!CF:CF,F1066,'PdI-crono_inv'!CE:CE,H1066,'PdI-crono_inv'!J:J,P1066,'PdI-crono_inv'!P:P,"&lt;&gt;proprietario")+S1066</f>
        <v>0</v>
      </c>
      <c r="P1066" s="1013" t="s">
        <v>25486</v>
      </c>
      <c r="Q1066" s="1932" t="str">
        <f>+VLOOKUP(F1066,TT_Tabelle_Riferimento!$D$127:$E$164,2,FALSE)</f>
        <v>Comune</v>
      </c>
      <c r="R1066" s="1932" t="str">
        <f t="shared" si="92"/>
        <v/>
      </c>
      <c r="S1066" s="2335">
        <f t="shared" si="91"/>
        <v>0</v>
      </c>
    </row>
    <row r="1067" spans="1:19">
      <c r="A1067" s="1932">
        <v>0</v>
      </c>
      <c r="B1067" s="1932">
        <v>0</v>
      </c>
      <c r="C1067" s="1013" t="s">
        <v>245</v>
      </c>
      <c r="D1067" s="1013">
        <v>0</v>
      </c>
      <c r="E1067" s="1013" t="s">
        <v>22698</v>
      </c>
      <c r="F1067" s="1013">
        <v>37</v>
      </c>
      <c r="G1067" s="1932" t="str">
        <f>+VLOOKUP(F1067,TT_Tabelle_Riferimento!$D$127:$G$164,4,FALSE)</f>
        <v>Altre immobilizzazioni materiali e immateriali</v>
      </c>
      <c r="H1067" s="1013">
        <v>1</v>
      </c>
      <c r="I1067" s="1932" t="str">
        <f>+VLOOKUP(H1067,TT_Tabelle_Riferimento!$F$3:$G$6,2,FALSE)</f>
        <v>Servizio idrico integrato</v>
      </c>
      <c r="J1067" s="1013">
        <v>2029</v>
      </c>
      <c r="K1067" s="2335">
        <f>+SUMIFS('PdI-crono_inv'!BL:BL,'PdI-crono_inv'!CF:CF,F1067,'PdI-crono_inv'!CE:CE,H1067,'PdI-crono_inv'!J:J,P1067,'PdI-crono_inv'!P:P,"&lt;&gt;proprietario")</f>
        <v>0</v>
      </c>
      <c r="M1067" s="2335">
        <f>+SUMIFS('PdI-crono_inv'!BM:BM,'PdI-crono_inv'!CF:CF,F1067,'PdI-crono_inv'!CE:CE,H1067,'PdI-crono_inv'!J:J,P1067,'PdI-crono_inv'!P:P,"&lt;&gt;proprietario")+S1067</f>
        <v>0</v>
      </c>
      <c r="P1067" s="1013" t="s">
        <v>25486</v>
      </c>
      <c r="Q1067" s="1932" t="str">
        <f>+VLOOKUP(F1067,TT_Tabelle_Riferimento!$D$127:$E$164,2,FALSE)</f>
        <v>Comune</v>
      </c>
      <c r="R1067" s="1932" t="str">
        <f>+IF(SUM(K1067:N1067)=0,"","PdI_consolidamento")</f>
        <v/>
      </c>
      <c r="S1067" s="2335">
        <f t="shared" si="91"/>
        <v>0</v>
      </c>
    </row>
    <row r="1068" spans="1:19">
      <c r="A1068" s="1932">
        <v>0</v>
      </c>
      <c r="B1068" s="1932">
        <v>0</v>
      </c>
      <c r="C1068" s="1013" t="s">
        <v>245</v>
      </c>
      <c r="D1068" s="1013">
        <v>0</v>
      </c>
      <c r="E1068" s="1013" t="s">
        <v>22698</v>
      </c>
      <c r="F1068" s="1013">
        <v>38</v>
      </c>
      <c r="G1068" s="1932" t="str">
        <f>+VLOOKUP(F1068,TT_Tabelle_Riferimento!$D$127:$G$164,4,FALSE)</f>
        <v>Grandi dighe (sbarramenti che superano i quindici metri di altezza o che determinano un invaso superiore a 1 milione di metri cubi)</v>
      </c>
      <c r="H1068" s="1013">
        <v>1</v>
      </c>
      <c r="I1068" s="1932" t="str">
        <f>+VLOOKUP(H1068,TT_Tabelle_Riferimento!$F$3:$G$6,2,FALSE)</f>
        <v>Servizio idrico integrato</v>
      </c>
      <c r="J1068" s="1013">
        <v>2029</v>
      </c>
      <c r="K1068" s="2335">
        <f>+SUMIFS('PdI-crono_inv'!BL:BL,'PdI-crono_inv'!CF:CF,F1068,'PdI-crono_inv'!CE:CE,H1068,'PdI-crono_inv'!J:J,P1068,'PdI-crono_inv'!P:P,"&lt;&gt;proprietario")</f>
        <v>0</v>
      </c>
      <c r="M1068" s="2335">
        <f>+SUMIFS('PdI-crono_inv'!BM:BM,'PdI-crono_inv'!CF:CF,F1068,'PdI-crono_inv'!CE:CE,H1068,'PdI-crono_inv'!J:J,P1068,'PdI-crono_inv'!P:P,"&lt;&gt;proprietario")+S1068</f>
        <v>0</v>
      </c>
      <c r="P1068" s="1013" t="s">
        <v>25486</v>
      </c>
      <c r="Q1068" s="1932" t="str">
        <f>+VLOOKUP(F1068,TT_Tabelle_Riferimento!$D$127:$E$164,2,FALSE)</f>
        <v>Acquedotto</v>
      </c>
      <c r="R1068" s="1932" t="str">
        <f>+IF(SUM(K1068:N1068)=0,"","PdI_consolidamento")</f>
        <v/>
      </c>
      <c r="S1068" s="2335">
        <f t="shared" si="91"/>
        <v>0</v>
      </c>
    </row>
    <row r="1069" spans="1:19">
      <c r="A1069" s="1932">
        <v>0</v>
      </c>
      <c r="B1069" s="1932">
        <v>0</v>
      </c>
      <c r="C1069" s="1013" t="s">
        <v>245</v>
      </c>
      <c r="D1069" s="1013">
        <v>0</v>
      </c>
      <c r="E1069" s="1013" t="s">
        <v>22698</v>
      </c>
      <c r="F1069" s="1013">
        <v>39</v>
      </c>
      <c r="G1069" s="1932" t="str">
        <f>+VLOOKUP(F1069,TT_Tabelle_Riferimento!$D$127:$G$164,4,FALSE)</f>
        <v>Piccole dighe (sbarramenti che non superano i quindici metri di altezza o che determinano un invaso non superiore a 1 milione di metri cubi)</v>
      </c>
      <c r="H1069" s="1013">
        <v>1</v>
      </c>
      <c r="I1069" s="1932" t="str">
        <f>+VLOOKUP(H1069,TT_Tabelle_Riferimento!$F$3:$G$6,2,FALSE)</f>
        <v>Servizio idrico integrato</v>
      </c>
      <c r="J1069" s="1013">
        <v>2029</v>
      </c>
      <c r="K1069" s="2335">
        <f>+SUMIFS('PdI-crono_inv'!BL:BL,'PdI-crono_inv'!CF:CF,F1069,'PdI-crono_inv'!CE:CE,H1069,'PdI-crono_inv'!J:J,P1069,'PdI-crono_inv'!P:P,"&lt;&gt;proprietario")</f>
        <v>0</v>
      </c>
      <c r="M1069" s="2335">
        <f>+SUMIFS('PdI-crono_inv'!BM:BM,'PdI-crono_inv'!CF:CF,F1069,'PdI-crono_inv'!CE:CE,H1069,'PdI-crono_inv'!J:J,P1069,'PdI-crono_inv'!P:P,"&lt;&gt;proprietario")+S1069</f>
        <v>0</v>
      </c>
      <c r="P1069" s="1013" t="s">
        <v>25486</v>
      </c>
      <c r="Q1069" s="1932" t="str">
        <f>+VLOOKUP(F1069,TT_Tabelle_Riferimento!$D$127:$E$164,2,FALSE)</f>
        <v>Acquedotto</v>
      </c>
      <c r="R1069" s="1932" t="str">
        <f>+IF(SUM(K1069:N1069)=0,"","PdI_consolidamento")</f>
        <v/>
      </c>
      <c r="S1069" s="2335">
        <f t="shared" si="91"/>
        <v>0</v>
      </c>
    </row>
    <row r="1070" spans="1:19">
      <c r="A1070" s="1932">
        <f t="shared" ref="A1070:A1104" si="95">+idato</f>
        <v>0</v>
      </c>
      <c r="B1070" s="1932">
        <f t="shared" ref="B1070:B1104" si="96">+idgestore</f>
        <v>0</v>
      </c>
      <c r="C1070" s="1013" t="s">
        <v>245</v>
      </c>
      <c r="D1070" s="1013">
        <v>0</v>
      </c>
      <c r="E1070" s="1013" t="s">
        <v>22698</v>
      </c>
      <c r="F1070" s="1013">
        <v>2</v>
      </c>
      <c r="G1070" s="1932" t="str">
        <f>+VLOOKUP(F1070,TT_Tabelle_Riferimento!$D$127:$G$164,4,FALSE)</f>
        <v>Condotte di acquedotto</v>
      </c>
      <c r="H1070" s="1013">
        <v>2</v>
      </c>
      <c r="I1070" s="1932" t="str">
        <f>+VLOOKUP(H1070,TT_Tabelle_Riferimento!$F$3:$G$6,2,FALSE)</f>
        <v>Fognatura bianca e pulizia / manutenzione caditoie stradali</v>
      </c>
      <c r="J1070" s="1013">
        <v>2029</v>
      </c>
      <c r="K1070" s="2335">
        <f>+SUMIFS('PdI-crono_inv'!BL:BL,'PdI-crono_inv'!CF:CF,F1070,'PdI-crono_inv'!CE:CE,H1070,'PdI-crono_inv'!J:J,P1070,'PdI-crono_inv'!P:P,"&lt;&gt;proprietario")</f>
        <v>0</v>
      </c>
      <c r="M1070" s="2335">
        <f>+SUMIFS('PdI-crono_inv'!BM:BM,'PdI-crono_inv'!CF:CF,F1070,'PdI-crono_inv'!CE:CE,H1070,'PdI-crono_inv'!J:J,P1070,'PdI-crono_inv'!P:P,"&lt;&gt;proprietario")+S1070</f>
        <v>0</v>
      </c>
      <c r="P1070" s="1013" t="s">
        <v>25486</v>
      </c>
      <c r="Q1070" s="1932" t="str">
        <f>+VLOOKUP(F1070,TT_Tabelle_Riferimento!$D$127:$E$164,2,FALSE)</f>
        <v>Acquedotto</v>
      </c>
      <c r="R1070" s="1932" t="str">
        <f t="shared" ref="R1070:R1133" si="97">+IF(SUM(K1070:N1070)=0,"","PdI_consolidamento")</f>
        <v/>
      </c>
      <c r="S1070" s="2335">
        <f t="shared" si="91"/>
        <v>0</v>
      </c>
    </row>
    <row r="1071" spans="1:19">
      <c r="A1071" s="1932">
        <f t="shared" si="95"/>
        <v>0</v>
      </c>
      <c r="B1071" s="1932">
        <f t="shared" si="96"/>
        <v>0</v>
      </c>
      <c r="C1071" s="1013" t="s">
        <v>245</v>
      </c>
      <c r="D1071" s="1013">
        <v>0</v>
      </c>
      <c r="E1071" s="1013" t="s">
        <v>22698</v>
      </c>
      <c r="F1071" s="1013">
        <v>3</v>
      </c>
      <c r="G1071" s="1932" t="str">
        <f>+VLOOKUP(F1071,TT_Tabelle_Riferimento!$D$127:$G$164,4,FALSE)</f>
        <v>Opere idrauliche fisse di acquedotto</v>
      </c>
      <c r="H1071" s="1013">
        <v>2</v>
      </c>
      <c r="I1071" s="1932" t="str">
        <f>+VLOOKUP(H1071,TT_Tabelle_Riferimento!$F$3:$G$6,2,FALSE)</f>
        <v>Fognatura bianca e pulizia / manutenzione caditoie stradali</v>
      </c>
      <c r="J1071" s="1013">
        <v>2029</v>
      </c>
      <c r="K1071" s="2335">
        <f>+SUMIFS('PdI-crono_inv'!BL:BL,'PdI-crono_inv'!CF:CF,F1071,'PdI-crono_inv'!CE:CE,H1071,'PdI-crono_inv'!J:J,P1071,'PdI-crono_inv'!P:P,"&lt;&gt;proprietario")</f>
        <v>0</v>
      </c>
      <c r="M1071" s="2335">
        <f>+SUMIFS('PdI-crono_inv'!BM:BM,'PdI-crono_inv'!CF:CF,F1071,'PdI-crono_inv'!CE:CE,H1071,'PdI-crono_inv'!J:J,P1071,'PdI-crono_inv'!P:P,"&lt;&gt;proprietario")+S1071</f>
        <v>0</v>
      </c>
      <c r="P1071" s="1013" t="s">
        <v>25486</v>
      </c>
      <c r="Q1071" s="1932" t="str">
        <f>+VLOOKUP(F1071,TT_Tabelle_Riferimento!$D$127:$E$164,2,FALSE)</f>
        <v>Acquedotto</v>
      </c>
      <c r="R1071" s="1932" t="str">
        <f t="shared" si="97"/>
        <v/>
      </c>
      <c r="S1071" s="2335">
        <f t="shared" si="91"/>
        <v>0</v>
      </c>
    </row>
    <row r="1072" spans="1:19">
      <c r="A1072" s="1932">
        <f t="shared" si="95"/>
        <v>0</v>
      </c>
      <c r="B1072" s="1932">
        <f t="shared" si="96"/>
        <v>0</v>
      </c>
      <c r="C1072" s="1013" t="s">
        <v>245</v>
      </c>
      <c r="D1072" s="1013">
        <v>0</v>
      </c>
      <c r="E1072" s="1013" t="s">
        <v>22698</v>
      </c>
      <c r="F1072" s="1013">
        <v>4</v>
      </c>
      <c r="G1072" s="1932" t="str">
        <f>+VLOOKUP(F1072,TT_Tabelle_Riferimento!$D$127:$G$164,4,FALSE)</f>
        <v>Serbatoi</v>
      </c>
      <c r="H1072" s="1013">
        <v>2</v>
      </c>
      <c r="I1072" s="1932" t="str">
        <f>+VLOOKUP(H1072,TT_Tabelle_Riferimento!$F$3:$G$6,2,FALSE)</f>
        <v>Fognatura bianca e pulizia / manutenzione caditoie stradali</v>
      </c>
      <c r="J1072" s="1013">
        <v>2029</v>
      </c>
      <c r="K1072" s="2335">
        <f>+SUMIFS('PdI-crono_inv'!BL:BL,'PdI-crono_inv'!CF:CF,F1072,'PdI-crono_inv'!CE:CE,H1072,'PdI-crono_inv'!J:J,P1072,'PdI-crono_inv'!P:P,"&lt;&gt;proprietario")</f>
        <v>0</v>
      </c>
      <c r="M1072" s="2335">
        <f>+SUMIFS('PdI-crono_inv'!BM:BM,'PdI-crono_inv'!CF:CF,F1072,'PdI-crono_inv'!CE:CE,H1072,'PdI-crono_inv'!J:J,P1072,'PdI-crono_inv'!P:P,"&lt;&gt;proprietario")+S1072</f>
        <v>0</v>
      </c>
      <c r="P1072" s="1013" t="s">
        <v>25486</v>
      </c>
      <c r="Q1072" s="1932" t="str">
        <f>+VLOOKUP(F1072,TT_Tabelle_Riferimento!$D$127:$E$164,2,FALSE)</f>
        <v>Acquedotto</v>
      </c>
      <c r="R1072" s="1932" t="str">
        <f t="shared" si="97"/>
        <v/>
      </c>
      <c r="S1072" s="2335">
        <f t="shared" si="91"/>
        <v>0</v>
      </c>
    </row>
    <row r="1073" spans="1:19">
      <c r="A1073" s="1932">
        <f t="shared" si="95"/>
        <v>0</v>
      </c>
      <c r="B1073" s="1932">
        <f t="shared" si="96"/>
        <v>0</v>
      </c>
      <c r="C1073" s="1013" t="s">
        <v>245</v>
      </c>
      <c r="D1073" s="1013">
        <v>0</v>
      </c>
      <c r="E1073" s="1013" t="s">
        <v>22698</v>
      </c>
      <c r="F1073" s="1013">
        <v>5</v>
      </c>
      <c r="G1073" s="1932" t="str">
        <f>+VLOOKUP(F1073,TT_Tabelle_Riferimento!$D$127:$G$164,4,FALSE)</f>
        <v>Impianti di sollevamento e pompaggio di acquedotto</v>
      </c>
      <c r="H1073" s="1013">
        <v>2</v>
      </c>
      <c r="I1073" s="1932" t="str">
        <f>+VLOOKUP(H1073,TT_Tabelle_Riferimento!$F$3:$G$6,2,FALSE)</f>
        <v>Fognatura bianca e pulizia / manutenzione caditoie stradali</v>
      </c>
      <c r="J1073" s="1013">
        <v>2029</v>
      </c>
      <c r="K1073" s="2335">
        <f>+SUMIFS('PdI-crono_inv'!BL:BL,'PdI-crono_inv'!CF:CF,F1073,'PdI-crono_inv'!CE:CE,H1073,'PdI-crono_inv'!J:J,P1073,'PdI-crono_inv'!P:P,"&lt;&gt;proprietario")</f>
        <v>0</v>
      </c>
      <c r="M1073" s="2335">
        <f>+SUMIFS('PdI-crono_inv'!BM:BM,'PdI-crono_inv'!CF:CF,F1073,'PdI-crono_inv'!CE:CE,H1073,'PdI-crono_inv'!J:J,P1073,'PdI-crono_inv'!P:P,"&lt;&gt;proprietario")+S1073</f>
        <v>0</v>
      </c>
      <c r="P1073" s="1013" t="s">
        <v>25486</v>
      </c>
      <c r="Q1073" s="1932" t="str">
        <f>+VLOOKUP(F1073,TT_Tabelle_Riferimento!$D$127:$E$164,2,FALSE)</f>
        <v>Acquedotto</v>
      </c>
      <c r="R1073" s="1932" t="str">
        <f t="shared" si="97"/>
        <v/>
      </c>
      <c r="S1073" s="2335">
        <f t="shared" si="91"/>
        <v>0</v>
      </c>
    </row>
    <row r="1074" spans="1:19">
      <c r="A1074" s="1932">
        <f t="shared" si="95"/>
        <v>0</v>
      </c>
      <c r="B1074" s="1932">
        <f t="shared" si="96"/>
        <v>0</v>
      </c>
      <c r="C1074" s="1013" t="s">
        <v>245</v>
      </c>
      <c r="D1074" s="1013">
        <v>0</v>
      </c>
      <c r="E1074" s="1013" t="s">
        <v>22698</v>
      </c>
      <c r="F1074" s="1013">
        <v>6</v>
      </c>
      <c r="G1074" s="1932" t="str">
        <f>+VLOOKUP(F1074,TT_Tabelle_Riferimento!$D$127:$G$164,4,FALSE)</f>
        <v>Impianti di potabilizzazione</v>
      </c>
      <c r="H1074" s="1013">
        <v>2</v>
      </c>
      <c r="I1074" s="1932" t="str">
        <f>+VLOOKUP(H1074,TT_Tabelle_Riferimento!$F$3:$G$6,2,FALSE)</f>
        <v>Fognatura bianca e pulizia / manutenzione caditoie stradali</v>
      </c>
      <c r="J1074" s="1013">
        <v>2029</v>
      </c>
      <c r="K1074" s="2335">
        <f>+SUMIFS('PdI-crono_inv'!BL:BL,'PdI-crono_inv'!CF:CF,F1074,'PdI-crono_inv'!CE:CE,H1074,'PdI-crono_inv'!J:J,P1074,'PdI-crono_inv'!P:P,"&lt;&gt;proprietario")</f>
        <v>0</v>
      </c>
      <c r="M1074" s="2335">
        <f>+SUMIFS('PdI-crono_inv'!BM:BM,'PdI-crono_inv'!CF:CF,F1074,'PdI-crono_inv'!CE:CE,H1074,'PdI-crono_inv'!J:J,P1074,'PdI-crono_inv'!P:P,"&lt;&gt;proprietario")+S1074</f>
        <v>0</v>
      </c>
      <c r="P1074" s="1013" t="s">
        <v>25486</v>
      </c>
      <c r="Q1074" s="1932" t="str">
        <f>+VLOOKUP(F1074,TT_Tabelle_Riferimento!$D$127:$E$164,2,FALSE)</f>
        <v>Acquedotto</v>
      </c>
      <c r="R1074" s="1932" t="str">
        <f t="shared" si="97"/>
        <v/>
      </c>
      <c r="S1074" s="2335">
        <f t="shared" si="91"/>
        <v>0</v>
      </c>
    </row>
    <row r="1075" spans="1:19">
      <c r="A1075" s="1932">
        <f t="shared" si="95"/>
        <v>0</v>
      </c>
      <c r="B1075" s="1932">
        <f t="shared" si="96"/>
        <v>0</v>
      </c>
      <c r="C1075" s="1013" t="s">
        <v>245</v>
      </c>
      <c r="D1075" s="1013">
        <v>0</v>
      </c>
      <c r="E1075" s="1013" t="s">
        <v>22698</v>
      </c>
      <c r="F1075" s="1013">
        <v>7</v>
      </c>
      <c r="G1075" s="1932" t="str">
        <f>+VLOOKUP(F1075,TT_Tabelle_Riferimento!$D$127:$G$164,4,FALSE)</f>
        <v>Altri trattamenti di potabilizzazione (tra cui dispositivi di disinfezione, stacciatura, filtrazione, addolcimento)</v>
      </c>
      <c r="H1075" s="1013">
        <v>2</v>
      </c>
      <c r="I1075" s="1932" t="str">
        <f>+VLOOKUP(H1075,TT_Tabelle_Riferimento!$F$3:$G$6,2,FALSE)</f>
        <v>Fognatura bianca e pulizia / manutenzione caditoie stradali</v>
      </c>
      <c r="J1075" s="1013">
        <v>2029</v>
      </c>
      <c r="K1075" s="2335">
        <f>+SUMIFS('PdI-crono_inv'!BL:BL,'PdI-crono_inv'!CF:CF,F1075,'PdI-crono_inv'!CE:CE,H1075,'PdI-crono_inv'!J:J,P1075,'PdI-crono_inv'!P:P,"&lt;&gt;proprietario")</f>
        <v>0</v>
      </c>
      <c r="M1075" s="2335">
        <f>+SUMIFS('PdI-crono_inv'!BM:BM,'PdI-crono_inv'!CF:CF,F1075,'PdI-crono_inv'!CE:CE,H1075,'PdI-crono_inv'!J:J,P1075,'PdI-crono_inv'!P:P,"&lt;&gt;proprietario")+S1075</f>
        <v>0</v>
      </c>
      <c r="P1075" s="1013" t="s">
        <v>25486</v>
      </c>
      <c r="Q1075" s="1932" t="str">
        <f>+VLOOKUP(F1075,TT_Tabelle_Riferimento!$D$127:$E$164,2,FALSE)</f>
        <v>Acquedotto</v>
      </c>
      <c r="R1075" s="1932" t="str">
        <f t="shared" si="97"/>
        <v/>
      </c>
      <c r="S1075" s="2335">
        <f t="shared" si="91"/>
        <v>0</v>
      </c>
    </row>
    <row r="1076" spans="1:19">
      <c r="A1076" s="1932">
        <f t="shared" si="95"/>
        <v>0</v>
      </c>
      <c r="B1076" s="1932">
        <f t="shared" si="96"/>
        <v>0</v>
      </c>
      <c r="C1076" s="1013" t="s">
        <v>245</v>
      </c>
      <c r="D1076" s="1013">
        <v>0</v>
      </c>
      <c r="E1076" s="1013" t="s">
        <v>22698</v>
      </c>
      <c r="F1076" s="1013">
        <v>8</v>
      </c>
      <c r="G1076" s="1932" t="str">
        <f>+VLOOKUP(F1076,TT_Tabelle_Riferimento!$D$127:$G$164,4,FALSE)</f>
        <v>Gruppi di misura - altre attrezzature di acquedotto</v>
      </c>
      <c r="H1076" s="1013">
        <v>2</v>
      </c>
      <c r="I1076" s="1932" t="str">
        <f>+VLOOKUP(H1076,TT_Tabelle_Riferimento!$F$3:$G$6,2,FALSE)</f>
        <v>Fognatura bianca e pulizia / manutenzione caditoie stradali</v>
      </c>
      <c r="J1076" s="1013">
        <v>2029</v>
      </c>
      <c r="K1076" s="2335">
        <f>+SUMIFS('PdI-crono_inv'!BL:BL,'PdI-crono_inv'!CF:CF,F1076,'PdI-crono_inv'!CE:CE,H1076,'PdI-crono_inv'!J:J,P1076,'PdI-crono_inv'!P:P,"&lt;&gt;proprietario")</f>
        <v>0</v>
      </c>
      <c r="M1076" s="2335">
        <f>+SUMIFS('PdI-crono_inv'!BM:BM,'PdI-crono_inv'!CF:CF,F1076,'PdI-crono_inv'!CE:CE,H1076,'PdI-crono_inv'!J:J,P1076,'PdI-crono_inv'!P:P,"&lt;&gt;proprietario")+S1076</f>
        <v>0</v>
      </c>
      <c r="P1076" s="1013" t="s">
        <v>25486</v>
      </c>
      <c r="Q1076" s="1932" t="str">
        <f>+VLOOKUP(F1076,TT_Tabelle_Riferimento!$D$127:$E$164,2,FALSE)</f>
        <v>Acquedotto</v>
      </c>
      <c r="R1076" s="1932" t="str">
        <f t="shared" si="97"/>
        <v/>
      </c>
      <c r="S1076" s="2335">
        <f t="shared" si="91"/>
        <v>0</v>
      </c>
    </row>
    <row r="1077" spans="1:19">
      <c r="A1077" s="1932">
        <f t="shared" si="95"/>
        <v>0</v>
      </c>
      <c r="B1077" s="1932">
        <f t="shared" si="96"/>
        <v>0</v>
      </c>
      <c r="C1077" s="1013" t="s">
        <v>245</v>
      </c>
      <c r="D1077" s="1013">
        <v>0</v>
      </c>
      <c r="E1077" s="1013" t="s">
        <v>22698</v>
      </c>
      <c r="F1077" s="1013">
        <v>9</v>
      </c>
      <c r="G1077" s="1932" t="str">
        <f>+VLOOKUP(F1077,TT_Tabelle_Riferimento!$D$127:$G$164,4,FALSE)</f>
        <v>Sistemi informativi di acquedotto</v>
      </c>
      <c r="H1077" s="1013">
        <v>2</v>
      </c>
      <c r="I1077" s="1932" t="str">
        <f>+VLOOKUP(H1077,TT_Tabelle_Riferimento!$F$3:$G$6,2,FALSE)</f>
        <v>Fognatura bianca e pulizia / manutenzione caditoie stradali</v>
      </c>
      <c r="J1077" s="1013">
        <v>2029</v>
      </c>
      <c r="K1077" s="2335">
        <f>+SUMIFS('PdI-crono_inv'!BL:BL,'PdI-crono_inv'!CF:CF,F1077,'PdI-crono_inv'!CE:CE,H1077,'PdI-crono_inv'!J:J,P1077,'PdI-crono_inv'!P:P,"&lt;&gt;proprietario")</f>
        <v>0</v>
      </c>
      <c r="M1077" s="2335">
        <f>+SUMIFS('PdI-crono_inv'!BM:BM,'PdI-crono_inv'!CF:CF,F1077,'PdI-crono_inv'!CE:CE,H1077,'PdI-crono_inv'!J:J,P1077,'PdI-crono_inv'!P:P,"&lt;&gt;proprietario")+S1077</f>
        <v>0</v>
      </c>
      <c r="P1077" s="1013" t="s">
        <v>25486</v>
      </c>
      <c r="Q1077" s="1932" t="str">
        <f>+VLOOKUP(F1077,TT_Tabelle_Riferimento!$D$127:$E$164,2,FALSE)</f>
        <v>Acquedotto</v>
      </c>
      <c r="R1077" s="1932" t="str">
        <f t="shared" si="97"/>
        <v/>
      </c>
      <c r="S1077" s="2335">
        <f t="shared" si="91"/>
        <v>0</v>
      </c>
    </row>
    <row r="1078" spans="1:19">
      <c r="A1078" s="1932">
        <f t="shared" si="95"/>
        <v>0</v>
      </c>
      <c r="B1078" s="1932">
        <f t="shared" si="96"/>
        <v>0</v>
      </c>
      <c r="C1078" s="1013" t="s">
        <v>245</v>
      </c>
      <c r="D1078" s="1013">
        <v>0</v>
      </c>
      <c r="E1078" s="1013" t="s">
        <v>22698</v>
      </c>
      <c r="F1078" s="1013">
        <v>10</v>
      </c>
      <c r="G1078" s="1932" t="str">
        <f>+VLOOKUP(F1078,TT_Tabelle_Riferimento!$D$127:$G$164,4,FALSE)</f>
        <v>Telecontrollo e teletrasmissione di acquedotto</v>
      </c>
      <c r="H1078" s="1013">
        <v>2</v>
      </c>
      <c r="I1078" s="1932" t="str">
        <f>+VLOOKUP(H1078,TT_Tabelle_Riferimento!$F$3:$G$6,2,FALSE)</f>
        <v>Fognatura bianca e pulizia / manutenzione caditoie stradali</v>
      </c>
      <c r="J1078" s="1013">
        <v>2029</v>
      </c>
      <c r="K1078" s="2335">
        <f>+SUMIFS('PdI-crono_inv'!BL:BL,'PdI-crono_inv'!CF:CF,F1078,'PdI-crono_inv'!CE:CE,H1078,'PdI-crono_inv'!J:J,P1078,'PdI-crono_inv'!P:P,"&lt;&gt;proprietario")</f>
        <v>0</v>
      </c>
      <c r="M1078" s="2335">
        <f>+SUMIFS('PdI-crono_inv'!BM:BM,'PdI-crono_inv'!CF:CF,F1078,'PdI-crono_inv'!CE:CE,H1078,'PdI-crono_inv'!J:J,P1078,'PdI-crono_inv'!P:P,"&lt;&gt;proprietario")+S1078</f>
        <v>0</v>
      </c>
      <c r="P1078" s="1013" t="s">
        <v>25486</v>
      </c>
      <c r="Q1078" s="1932" t="str">
        <f>+VLOOKUP(F1078,TT_Tabelle_Riferimento!$D$127:$E$164,2,FALSE)</f>
        <v>Acquedotto</v>
      </c>
      <c r="R1078" s="1932" t="str">
        <f t="shared" si="97"/>
        <v/>
      </c>
      <c r="S1078" s="2335">
        <f t="shared" si="91"/>
        <v>0</v>
      </c>
    </row>
    <row r="1079" spans="1:19">
      <c r="A1079" s="1932">
        <f t="shared" si="95"/>
        <v>0</v>
      </c>
      <c r="B1079" s="1932">
        <f t="shared" si="96"/>
        <v>0</v>
      </c>
      <c r="C1079" s="1013" t="s">
        <v>245</v>
      </c>
      <c r="D1079" s="1013">
        <v>0</v>
      </c>
      <c r="E1079" s="1013" t="s">
        <v>22698</v>
      </c>
      <c r="F1079" s="1013">
        <v>11</v>
      </c>
      <c r="G1079" s="1932" t="str">
        <f>+VLOOKUP(F1079,TT_Tabelle_Riferimento!$D$127:$G$164,4,FALSE)</f>
        <v>Condotte fognarie</v>
      </c>
      <c r="H1079" s="1013">
        <v>2</v>
      </c>
      <c r="I1079" s="1932" t="str">
        <f>+VLOOKUP(H1079,TT_Tabelle_Riferimento!$F$3:$G$6,2,FALSE)</f>
        <v>Fognatura bianca e pulizia / manutenzione caditoie stradali</v>
      </c>
      <c r="J1079" s="1013">
        <v>2029</v>
      </c>
      <c r="K1079" s="2335">
        <f>+SUMIFS('PdI-crono_inv'!BL:BL,'PdI-crono_inv'!CF:CF,F1079,'PdI-crono_inv'!CE:CE,H1079,'PdI-crono_inv'!J:J,P1079,'PdI-crono_inv'!P:P,"&lt;&gt;proprietario")</f>
        <v>0</v>
      </c>
      <c r="M1079" s="2335">
        <f>+SUMIFS('PdI-crono_inv'!BM:BM,'PdI-crono_inv'!CF:CF,F1079,'PdI-crono_inv'!CE:CE,H1079,'PdI-crono_inv'!J:J,P1079,'PdI-crono_inv'!P:P,"&lt;&gt;proprietario")+S1079</f>
        <v>0</v>
      </c>
      <c r="P1079" s="1013" t="s">
        <v>25486</v>
      </c>
      <c r="Q1079" s="1932" t="str">
        <f>+VLOOKUP(F1079,TT_Tabelle_Riferimento!$D$127:$E$164,2,FALSE)</f>
        <v>Fognatura</v>
      </c>
      <c r="R1079" s="1932" t="str">
        <f t="shared" si="97"/>
        <v/>
      </c>
      <c r="S1079" s="2335">
        <f t="shared" si="91"/>
        <v>0</v>
      </c>
    </row>
    <row r="1080" spans="1:19">
      <c r="A1080" s="1932">
        <f t="shared" si="95"/>
        <v>0</v>
      </c>
      <c r="B1080" s="1932">
        <f t="shared" si="96"/>
        <v>0</v>
      </c>
      <c r="C1080" s="1013" t="s">
        <v>245</v>
      </c>
      <c r="D1080" s="1013">
        <v>0</v>
      </c>
      <c r="E1080" s="1013" t="s">
        <v>22698</v>
      </c>
      <c r="F1080" s="1013">
        <v>12</v>
      </c>
      <c r="G1080" s="1932" t="str">
        <f>+VLOOKUP(F1080,TT_Tabelle_Riferimento!$D$127:$G$164,4,FALSE)</f>
        <v>Sifoni e scaricatori di piena e altre opere idrauliche fisse di fognatura</v>
      </c>
      <c r="H1080" s="1013">
        <v>2</v>
      </c>
      <c r="I1080" s="1932" t="str">
        <f>+VLOOKUP(H1080,TT_Tabelle_Riferimento!$F$3:$G$6,2,FALSE)</f>
        <v>Fognatura bianca e pulizia / manutenzione caditoie stradali</v>
      </c>
      <c r="J1080" s="1013">
        <v>2029</v>
      </c>
      <c r="K1080" s="2335">
        <f>+SUMIFS('PdI-crono_inv'!BL:BL,'PdI-crono_inv'!CF:CF,F1080,'PdI-crono_inv'!CE:CE,H1080,'PdI-crono_inv'!J:J,P1080,'PdI-crono_inv'!P:P,"&lt;&gt;proprietario")</f>
        <v>0</v>
      </c>
      <c r="M1080" s="2335">
        <f>+SUMIFS('PdI-crono_inv'!BM:BM,'PdI-crono_inv'!CF:CF,F1080,'PdI-crono_inv'!CE:CE,H1080,'PdI-crono_inv'!J:J,P1080,'PdI-crono_inv'!P:P,"&lt;&gt;proprietario")+S1080</f>
        <v>0</v>
      </c>
      <c r="P1080" s="1013" t="s">
        <v>25486</v>
      </c>
      <c r="Q1080" s="1932" t="str">
        <f>+VLOOKUP(F1080,TT_Tabelle_Riferimento!$D$127:$E$164,2,FALSE)</f>
        <v>Fognatura</v>
      </c>
      <c r="R1080" s="1932" t="str">
        <f t="shared" si="97"/>
        <v/>
      </c>
      <c r="S1080" s="2335">
        <f t="shared" si="91"/>
        <v>0</v>
      </c>
    </row>
    <row r="1081" spans="1:19">
      <c r="A1081" s="1932">
        <f t="shared" si="95"/>
        <v>0</v>
      </c>
      <c r="B1081" s="1932">
        <f t="shared" si="96"/>
        <v>0</v>
      </c>
      <c r="C1081" s="1013" t="s">
        <v>245</v>
      </c>
      <c r="D1081" s="1013">
        <v>0</v>
      </c>
      <c r="E1081" s="1013" t="s">
        <v>22698</v>
      </c>
      <c r="F1081" s="1013">
        <v>13</v>
      </c>
      <c r="G1081" s="1932" t="str">
        <f>+VLOOKUP(F1081,TT_Tabelle_Riferimento!$D$127:$G$164,4,FALSE)</f>
        <v>Vasche di laminazione e vasche di prima pioggia</v>
      </c>
      <c r="H1081" s="1013">
        <v>2</v>
      </c>
      <c r="I1081" s="1932" t="str">
        <f>+VLOOKUP(H1081,TT_Tabelle_Riferimento!$F$3:$G$6,2,FALSE)</f>
        <v>Fognatura bianca e pulizia / manutenzione caditoie stradali</v>
      </c>
      <c r="J1081" s="1013">
        <v>2029</v>
      </c>
      <c r="K1081" s="2335">
        <f>+SUMIFS('PdI-crono_inv'!BL:BL,'PdI-crono_inv'!CF:CF,F1081,'PdI-crono_inv'!CE:CE,H1081,'PdI-crono_inv'!J:J,P1081,'PdI-crono_inv'!P:P,"&lt;&gt;proprietario")</f>
        <v>0</v>
      </c>
      <c r="M1081" s="2335">
        <f>+SUMIFS('PdI-crono_inv'!BM:BM,'PdI-crono_inv'!CF:CF,F1081,'PdI-crono_inv'!CE:CE,H1081,'PdI-crono_inv'!J:J,P1081,'PdI-crono_inv'!P:P,"&lt;&gt;proprietario")+S1081</f>
        <v>0</v>
      </c>
      <c r="P1081" s="1013" t="s">
        <v>25486</v>
      </c>
      <c r="Q1081" s="1932" t="str">
        <f>+VLOOKUP(F1081,TT_Tabelle_Riferimento!$D$127:$E$164,2,FALSE)</f>
        <v>Fognatura</v>
      </c>
      <c r="R1081" s="1932" t="str">
        <f t="shared" si="97"/>
        <v/>
      </c>
      <c r="S1081" s="2335">
        <f t="shared" si="91"/>
        <v>0</v>
      </c>
    </row>
    <row r="1082" spans="1:19">
      <c r="A1082" s="1932">
        <f t="shared" si="95"/>
        <v>0</v>
      </c>
      <c r="B1082" s="1932">
        <f t="shared" si="96"/>
        <v>0</v>
      </c>
      <c r="C1082" s="1013" t="s">
        <v>245</v>
      </c>
      <c r="D1082" s="1013">
        <v>0</v>
      </c>
      <c r="E1082" s="1013" t="s">
        <v>22698</v>
      </c>
      <c r="F1082" s="1013">
        <v>14</v>
      </c>
      <c r="G1082" s="1932" t="str">
        <f>+VLOOKUP(F1082,TT_Tabelle_Riferimento!$D$127:$G$164,4,FALSE)</f>
        <v>Impianti di sollevamento e pompaggio di fognatura</v>
      </c>
      <c r="H1082" s="1013">
        <v>2</v>
      </c>
      <c r="I1082" s="1932" t="str">
        <f>+VLOOKUP(H1082,TT_Tabelle_Riferimento!$F$3:$G$6,2,FALSE)</f>
        <v>Fognatura bianca e pulizia / manutenzione caditoie stradali</v>
      </c>
      <c r="J1082" s="1013">
        <v>2029</v>
      </c>
      <c r="K1082" s="2335">
        <f>+SUMIFS('PdI-crono_inv'!BL:BL,'PdI-crono_inv'!CF:CF,F1082,'PdI-crono_inv'!CE:CE,H1082,'PdI-crono_inv'!J:J,P1082,'PdI-crono_inv'!P:P,"&lt;&gt;proprietario")</f>
        <v>0</v>
      </c>
      <c r="M1082" s="2335">
        <f>+SUMIFS('PdI-crono_inv'!BM:BM,'PdI-crono_inv'!CF:CF,F1082,'PdI-crono_inv'!CE:CE,H1082,'PdI-crono_inv'!J:J,P1082,'PdI-crono_inv'!P:P,"&lt;&gt;proprietario")+S1082</f>
        <v>0</v>
      </c>
      <c r="P1082" s="1013" t="s">
        <v>25486</v>
      </c>
      <c r="Q1082" s="1932" t="str">
        <f>+VLOOKUP(F1082,TT_Tabelle_Riferimento!$D$127:$E$164,2,FALSE)</f>
        <v>Fognatura</v>
      </c>
      <c r="R1082" s="1932" t="str">
        <f t="shared" si="97"/>
        <v/>
      </c>
      <c r="S1082" s="2335">
        <f t="shared" si="91"/>
        <v>0</v>
      </c>
    </row>
    <row r="1083" spans="1:19">
      <c r="A1083" s="1932">
        <f t="shared" si="95"/>
        <v>0</v>
      </c>
      <c r="B1083" s="1932">
        <f t="shared" si="96"/>
        <v>0</v>
      </c>
      <c r="C1083" s="1013" t="s">
        <v>245</v>
      </c>
      <c r="D1083" s="1013">
        <v>0</v>
      </c>
      <c r="E1083" s="1013" t="s">
        <v>22698</v>
      </c>
      <c r="F1083" s="1013">
        <v>15</v>
      </c>
      <c r="G1083" s="1932" t="str">
        <f>+VLOOKUP(F1083,TT_Tabelle_Riferimento!$D$127:$G$164,4,FALSE)</f>
        <v>Gruppi di misura - altre attrezzature di fognatura</v>
      </c>
      <c r="H1083" s="1013">
        <v>2</v>
      </c>
      <c r="I1083" s="1932" t="str">
        <f>+VLOOKUP(H1083,TT_Tabelle_Riferimento!$F$3:$G$6,2,FALSE)</f>
        <v>Fognatura bianca e pulizia / manutenzione caditoie stradali</v>
      </c>
      <c r="J1083" s="1013">
        <v>2029</v>
      </c>
      <c r="K1083" s="2335">
        <f>+SUMIFS('PdI-crono_inv'!BL:BL,'PdI-crono_inv'!CF:CF,F1083,'PdI-crono_inv'!CE:CE,H1083,'PdI-crono_inv'!J:J,P1083,'PdI-crono_inv'!P:P,"&lt;&gt;proprietario")</f>
        <v>0</v>
      </c>
      <c r="M1083" s="2335">
        <f>+SUMIFS('PdI-crono_inv'!BM:BM,'PdI-crono_inv'!CF:CF,F1083,'PdI-crono_inv'!CE:CE,H1083,'PdI-crono_inv'!J:J,P1083,'PdI-crono_inv'!P:P,"&lt;&gt;proprietario")+S1083</f>
        <v>0</v>
      </c>
      <c r="P1083" s="1013" t="s">
        <v>25486</v>
      </c>
      <c r="Q1083" s="1932" t="str">
        <f>+VLOOKUP(F1083,TT_Tabelle_Riferimento!$D$127:$E$164,2,FALSE)</f>
        <v>Fognatura</v>
      </c>
      <c r="R1083" s="1932" t="str">
        <f t="shared" si="97"/>
        <v/>
      </c>
      <c r="S1083" s="2335">
        <f t="shared" si="91"/>
        <v>0</v>
      </c>
    </row>
    <row r="1084" spans="1:19">
      <c r="A1084" s="1932">
        <f t="shared" si="95"/>
        <v>0</v>
      </c>
      <c r="B1084" s="1932">
        <f t="shared" si="96"/>
        <v>0</v>
      </c>
      <c r="C1084" s="1013" t="s">
        <v>245</v>
      </c>
      <c r="D1084" s="1013">
        <v>0</v>
      </c>
      <c r="E1084" s="1013" t="s">
        <v>22698</v>
      </c>
      <c r="F1084" s="1013">
        <v>16</v>
      </c>
      <c r="G1084" s="1932" t="str">
        <f>+VLOOKUP(F1084,TT_Tabelle_Riferimento!$D$127:$G$164,4,FALSE)</f>
        <v>Sistemi informativi di fognatura</v>
      </c>
      <c r="H1084" s="1013">
        <v>2</v>
      </c>
      <c r="I1084" s="1932" t="str">
        <f>+VLOOKUP(H1084,TT_Tabelle_Riferimento!$F$3:$G$6,2,FALSE)</f>
        <v>Fognatura bianca e pulizia / manutenzione caditoie stradali</v>
      </c>
      <c r="J1084" s="1013">
        <v>2029</v>
      </c>
      <c r="K1084" s="2335">
        <f>+SUMIFS('PdI-crono_inv'!BL:BL,'PdI-crono_inv'!CF:CF,F1084,'PdI-crono_inv'!CE:CE,H1084,'PdI-crono_inv'!J:J,P1084,'PdI-crono_inv'!P:P,"&lt;&gt;proprietario")</f>
        <v>0</v>
      </c>
      <c r="M1084" s="2335">
        <f>+SUMIFS('PdI-crono_inv'!BM:BM,'PdI-crono_inv'!CF:CF,F1084,'PdI-crono_inv'!CE:CE,H1084,'PdI-crono_inv'!J:J,P1084,'PdI-crono_inv'!P:P,"&lt;&gt;proprietario")+S1084</f>
        <v>0</v>
      </c>
      <c r="P1084" s="1013" t="s">
        <v>25486</v>
      </c>
      <c r="Q1084" s="1932" t="str">
        <f>+VLOOKUP(F1084,TT_Tabelle_Riferimento!$D$127:$E$164,2,FALSE)</f>
        <v>Fognatura</v>
      </c>
      <c r="R1084" s="1932" t="str">
        <f t="shared" si="97"/>
        <v/>
      </c>
      <c r="S1084" s="2335">
        <f t="shared" si="91"/>
        <v>0</v>
      </c>
    </row>
    <row r="1085" spans="1:19">
      <c r="A1085" s="1932">
        <f t="shared" si="95"/>
        <v>0</v>
      </c>
      <c r="B1085" s="1932">
        <f t="shared" si="96"/>
        <v>0</v>
      </c>
      <c r="C1085" s="1013" t="s">
        <v>245</v>
      </c>
      <c r="D1085" s="1013">
        <v>0</v>
      </c>
      <c r="E1085" s="1013" t="s">
        <v>22698</v>
      </c>
      <c r="F1085" s="1013">
        <v>18</v>
      </c>
      <c r="G1085" s="1932" t="str">
        <f>+VLOOKUP(F1085,TT_Tabelle_Riferimento!$D$127:$G$164,4,FALSE)</f>
        <v>Telecontrollo e teletrasmissione di fognatura</v>
      </c>
      <c r="H1085" s="1013">
        <v>2</v>
      </c>
      <c r="I1085" s="1932" t="str">
        <f>+VLOOKUP(H1085,TT_Tabelle_Riferimento!$F$3:$G$6,2,FALSE)</f>
        <v>Fognatura bianca e pulizia / manutenzione caditoie stradali</v>
      </c>
      <c r="J1085" s="1013">
        <v>2029</v>
      </c>
      <c r="K1085" s="2335">
        <f>+SUMIFS('PdI-crono_inv'!BL:BL,'PdI-crono_inv'!CF:CF,F1085,'PdI-crono_inv'!CE:CE,H1085,'PdI-crono_inv'!J:J,P1085,'PdI-crono_inv'!P:P,"&lt;&gt;proprietario")</f>
        <v>0</v>
      </c>
      <c r="M1085" s="2335">
        <f>+SUMIFS('PdI-crono_inv'!BM:BM,'PdI-crono_inv'!CF:CF,F1085,'PdI-crono_inv'!CE:CE,H1085,'PdI-crono_inv'!J:J,P1085,'PdI-crono_inv'!P:P,"&lt;&gt;proprietario")+S1085</f>
        <v>0</v>
      </c>
      <c r="P1085" s="1013" t="s">
        <v>25486</v>
      </c>
      <c r="Q1085" s="1932" t="str">
        <f>+VLOOKUP(F1085,TT_Tabelle_Riferimento!$D$127:$E$164,2,FALSE)</f>
        <v>Fognatura</v>
      </c>
      <c r="R1085" s="1932" t="str">
        <f t="shared" si="97"/>
        <v/>
      </c>
      <c r="S1085" s="2335">
        <f t="shared" si="91"/>
        <v>0</v>
      </c>
    </row>
    <row r="1086" spans="1:19">
      <c r="A1086" s="1932">
        <f t="shared" si="95"/>
        <v>0</v>
      </c>
      <c r="B1086" s="1932">
        <f t="shared" si="96"/>
        <v>0</v>
      </c>
      <c r="C1086" s="1013" t="s">
        <v>245</v>
      </c>
      <c r="D1086" s="1013">
        <v>0</v>
      </c>
      <c r="E1086" s="1013" t="s">
        <v>22698</v>
      </c>
      <c r="F1086" s="1013">
        <v>19</v>
      </c>
      <c r="G1086" s="1932" t="str">
        <f>+VLOOKUP(F1086,TT_Tabelle_Riferimento!$D$127:$G$164,4,FALSE)</f>
        <v>Impianti di sollevamento e pompaggio di depurazione</v>
      </c>
      <c r="H1086" s="1013">
        <v>2</v>
      </c>
      <c r="I1086" s="1932" t="str">
        <f>+VLOOKUP(H1086,TT_Tabelle_Riferimento!$F$3:$G$6,2,FALSE)</f>
        <v>Fognatura bianca e pulizia / manutenzione caditoie stradali</v>
      </c>
      <c r="J1086" s="1013">
        <v>2029</v>
      </c>
      <c r="K1086" s="2335">
        <f>+SUMIFS('PdI-crono_inv'!BL:BL,'PdI-crono_inv'!CF:CF,F1086,'PdI-crono_inv'!CE:CE,H1086,'PdI-crono_inv'!J:J,P1086,'PdI-crono_inv'!P:P,"&lt;&gt;proprietario")</f>
        <v>0</v>
      </c>
      <c r="M1086" s="2335">
        <f>+SUMIFS('PdI-crono_inv'!BM:BM,'PdI-crono_inv'!CF:CF,F1086,'PdI-crono_inv'!CE:CE,H1086,'PdI-crono_inv'!J:J,P1086,'PdI-crono_inv'!P:P,"&lt;&gt;proprietario")+S1086</f>
        <v>0</v>
      </c>
      <c r="P1086" s="1013" t="s">
        <v>25486</v>
      </c>
      <c r="Q1086" s="1932" t="str">
        <f>+VLOOKUP(F1086,TT_Tabelle_Riferimento!$D$127:$E$164,2,FALSE)</f>
        <v>Depurazione</v>
      </c>
      <c r="R1086" s="1932" t="str">
        <f t="shared" si="97"/>
        <v/>
      </c>
      <c r="S1086" s="2335">
        <f t="shared" si="91"/>
        <v>0</v>
      </c>
    </row>
    <row r="1087" spans="1:19">
      <c r="A1087" s="1932">
        <f t="shared" si="95"/>
        <v>0</v>
      </c>
      <c r="B1087" s="1932">
        <f t="shared" si="96"/>
        <v>0</v>
      </c>
      <c r="C1087" s="1013" t="s">
        <v>245</v>
      </c>
      <c r="D1087" s="1013">
        <v>0</v>
      </c>
      <c r="E1087" s="1013" t="s">
        <v>22698</v>
      </c>
      <c r="F1087" s="1013">
        <v>20</v>
      </c>
      <c r="G1087" s="1932" t="str">
        <f>+VLOOKUP(F1087,TT_Tabelle_Riferimento!$D$127:$G$164,4,FALSE)</f>
        <v>Tecniche naturali di depurazione (tra cui fitodepurazione e lagunaggio)</v>
      </c>
      <c r="H1087" s="1013">
        <v>2</v>
      </c>
      <c r="I1087" s="1932" t="str">
        <f>+VLOOKUP(H1087,TT_Tabelle_Riferimento!$F$3:$G$6,2,FALSE)</f>
        <v>Fognatura bianca e pulizia / manutenzione caditoie stradali</v>
      </c>
      <c r="J1087" s="1013">
        <v>2029</v>
      </c>
      <c r="K1087" s="2335">
        <f>+SUMIFS('PdI-crono_inv'!BL:BL,'PdI-crono_inv'!CF:CF,F1087,'PdI-crono_inv'!CE:CE,H1087,'PdI-crono_inv'!J:J,P1087,'PdI-crono_inv'!P:P,"&lt;&gt;proprietario")</f>
        <v>0</v>
      </c>
      <c r="M1087" s="2335">
        <f>+SUMIFS('PdI-crono_inv'!BM:BM,'PdI-crono_inv'!CF:CF,F1087,'PdI-crono_inv'!CE:CE,H1087,'PdI-crono_inv'!J:J,P1087,'PdI-crono_inv'!P:P,"&lt;&gt;proprietario")+S1087</f>
        <v>0</v>
      </c>
      <c r="P1087" s="1013" t="s">
        <v>25486</v>
      </c>
      <c r="Q1087" s="1932" t="str">
        <f>+VLOOKUP(F1087,TT_Tabelle_Riferimento!$D$127:$E$164,2,FALSE)</f>
        <v>Depurazione</v>
      </c>
      <c r="R1087" s="1932" t="str">
        <f t="shared" si="97"/>
        <v/>
      </c>
      <c r="S1087" s="2335">
        <f t="shared" si="91"/>
        <v>0</v>
      </c>
    </row>
    <row r="1088" spans="1:19">
      <c r="A1088" s="1932">
        <f t="shared" si="95"/>
        <v>0</v>
      </c>
      <c r="B1088" s="1932">
        <f t="shared" si="96"/>
        <v>0</v>
      </c>
      <c r="C1088" s="1013" t="s">
        <v>245</v>
      </c>
      <c r="D1088" s="1013">
        <v>0</v>
      </c>
      <c r="E1088" s="1013" t="s">
        <v>22698</v>
      </c>
      <c r="F1088" s="1013">
        <v>21</v>
      </c>
      <c r="G1088" s="1932" t="str">
        <f>+VLOOKUP(F1088,TT_Tabelle_Riferimento!$D$127:$G$164,4,FALSE)</f>
        <v>Impianti di depurazione – trattamenti sino al preliminare, integrativo, primario - fosse settiche e fosse Imhoff</v>
      </c>
      <c r="H1088" s="1013">
        <v>2</v>
      </c>
      <c r="I1088" s="1932" t="str">
        <f>+VLOOKUP(H1088,TT_Tabelle_Riferimento!$F$3:$G$6,2,FALSE)</f>
        <v>Fognatura bianca e pulizia / manutenzione caditoie stradali</v>
      </c>
      <c r="J1088" s="1013">
        <v>2029</v>
      </c>
      <c r="K1088" s="2335">
        <f>+SUMIFS('PdI-crono_inv'!BL:BL,'PdI-crono_inv'!CF:CF,F1088,'PdI-crono_inv'!CE:CE,H1088,'PdI-crono_inv'!J:J,P1088,'PdI-crono_inv'!P:P,"&lt;&gt;proprietario")</f>
        <v>0</v>
      </c>
      <c r="M1088" s="2335">
        <f>+SUMIFS('PdI-crono_inv'!BM:BM,'PdI-crono_inv'!CF:CF,F1088,'PdI-crono_inv'!CE:CE,H1088,'PdI-crono_inv'!J:J,P1088,'PdI-crono_inv'!P:P,"&lt;&gt;proprietario")+S1088</f>
        <v>0</v>
      </c>
      <c r="P1088" s="1013" t="s">
        <v>25486</v>
      </c>
      <c r="Q1088" s="1932" t="str">
        <f>+VLOOKUP(F1088,TT_Tabelle_Riferimento!$D$127:$E$164,2,FALSE)</f>
        <v>Depurazione</v>
      </c>
      <c r="R1088" s="1932" t="str">
        <f t="shared" si="97"/>
        <v/>
      </c>
      <c r="S1088" s="2335">
        <f t="shared" si="91"/>
        <v>0</v>
      </c>
    </row>
    <row r="1089" spans="1:19">
      <c r="A1089" s="1932">
        <f t="shared" si="95"/>
        <v>0</v>
      </c>
      <c r="B1089" s="1932">
        <f t="shared" si="96"/>
        <v>0</v>
      </c>
      <c r="C1089" s="1013" t="s">
        <v>245</v>
      </c>
      <c r="D1089" s="1013">
        <v>0</v>
      </c>
      <c r="E1089" s="1013" t="s">
        <v>22698</v>
      </c>
      <c r="F1089" s="1013">
        <v>22</v>
      </c>
      <c r="G1089" s="1932" t="str">
        <f>+VLOOKUP(F1089,TT_Tabelle_Riferimento!$D$127:$G$164,4,FALSE)</f>
        <v>Impianti di depurazione – trattamenti sino al secondario</v>
      </c>
      <c r="H1089" s="1013">
        <v>2</v>
      </c>
      <c r="I1089" s="1932" t="str">
        <f>+VLOOKUP(H1089,TT_Tabelle_Riferimento!$F$3:$G$6,2,FALSE)</f>
        <v>Fognatura bianca e pulizia / manutenzione caditoie stradali</v>
      </c>
      <c r="J1089" s="1013">
        <v>2029</v>
      </c>
      <c r="K1089" s="2335">
        <f>+SUMIFS('PdI-crono_inv'!BL:BL,'PdI-crono_inv'!CF:CF,F1089,'PdI-crono_inv'!CE:CE,H1089,'PdI-crono_inv'!J:J,P1089,'PdI-crono_inv'!P:P,"&lt;&gt;proprietario")</f>
        <v>0</v>
      </c>
      <c r="M1089" s="2335">
        <f>+SUMIFS('PdI-crono_inv'!BM:BM,'PdI-crono_inv'!CF:CF,F1089,'PdI-crono_inv'!CE:CE,H1089,'PdI-crono_inv'!J:J,P1089,'PdI-crono_inv'!P:P,"&lt;&gt;proprietario")+S1089</f>
        <v>0</v>
      </c>
      <c r="P1089" s="1013" t="s">
        <v>25486</v>
      </c>
      <c r="Q1089" s="1932" t="str">
        <f>+VLOOKUP(F1089,TT_Tabelle_Riferimento!$D$127:$E$164,2,FALSE)</f>
        <v>Depurazione</v>
      </c>
      <c r="R1089" s="1932" t="str">
        <f t="shared" si="97"/>
        <v/>
      </c>
      <c r="S1089" s="2335">
        <f t="shared" si="91"/>
        <v>0</v>
      </c>
    </row>
    <row r="1090" spans="1:19">
      <c r="A1090" s="1932">
        <f t="shared" si="95"/>
        <v>0</v>
      </c>
      <c r="B1090" s="1932">
        <f t="shared" si="96"/>
        <v>0</v>
      </c>
      <c r="C1090" s="1013" t="s">
        <v>245</v>
      </c>
      <c r="D1090" s="1013">
        <v>0</v>
      </c>
      <c r="E1090" s="1013" t="s">
        <v>22698</v>
      </c>
      <c r="F1090" s="1013">
        <v>23</v>
      </c>
      <c r="G1090" s="1932" t="str">
        <f>+VLOOKUP(F1090,TT_Tabelle_Riferimento!$D$127:$G$164,4,FALSE)</f>
        <v>Impianti di depurazione – trattamenti sino al terziario e terziario avanzato</v>
      </c>
      <c r="H1090" s="1013">
        <v>2</v>
      </c>
      <c r="I1090" s="1932" t="str">
        <f>+VLOOKUP(H1090,TT_Tabelle_Riferimento!$F$3:$G$6,2,FALSE)</f>
        <v>Fognatura bianca e pulizia / manutenzione caditoie stradali</v>
      </c>
      <c r="J1090" s="1013">
        <v>2029</v>
      </c>
      <c r="K1090" s="2335">
        <f>+SUMIFS('PdI-crono_inv'!BL:BL,'PdI-crono_inv'!CF:CF,F1090,'PdI-crono_inv'!CE:CE,H1090,'PdI-crono_inv'!J:J,P1090,'PdI-crono_inv'!P:P,"&lt;&gt;proprietario")</f>
        <v>0</v>
      </c>
      <c r="M1090" s="2335">
        <f>+SUMIFS('PdI-crono_inv'!BM:BM,'PdI-crono_inv'!CF:CF,F1090,'PdI-crono_inv'!CE:CE,H1090,'PdI-crono_inv'!J:J,P1090,'PdI-crono_inv'!P:P,"&lt;&gt;proprietario")+S1090</f>
        <v>0</v>
      </c>
      <c r="P1090" s="1013" t="s">
        <v>25486</v>
      </c>
      <c r="Q1090" s="1932" t="str">
        <f>+VLOOKUP(F1090,TT_Tabelle_Riferimento!$D$127:$E$164,2,FALSE)</f>
        <v>Depurazione</v>
      </c>
      <c r="R1090" s="1932" t="str">
        <f t="shared" si="97"/>
        <v/>
      </c>
      <c r="S1090" s="2335">
        <f t="shared" si="91"/>
        <v>0</v>
      </c>
    </row>
    <row r="1091" spans="1:19">
      <c r="A1091" s="1932">
        <f t="shared" si="95"/>
        <v>0</v>
      </c>
      <c r="B1091" s="1932">
        <f t="shared" si="96"/>
        <v>0</v>
      </c>
      <c r="C1091" s="1013" t="s">
        <v>245</v>
      </c>
      <c r="D1091" s="1013">
        <v>0</v>
      </c>
      <c r="E1091" s="1013" t="s">
        <v>22698</v>
      </c>
      <c r="F1091" s="1013">
        <v>24</v>
      </c>
      <c r="G1091" s="1932" t="str">
        <f>+VLOOKUP(F1091,TT_Tabelle_Riferimento!$D$127:$G$164,4,FALSE)</f>
        <v>Impianti di essiccamento fanghi e di valorizzazione dei fanghi (tra cui mono-incenerimento, pirolisi, gassificazione)</v>
      </c>
      <c r="H1091" s="1013">
        <v>2</v>
      </c>
      <c r="I1091" s="1932" t="str">
        <f>+VLOOKUP(H1091,TT_Tabelle_Riferimento!$F$3:$G$6,2,FALSE)</f>
        <v>Fognatura bianca e pulizia / manutenzione caditoie stradali</v>
      </c>
      <c r="J1091" s="1013">
        <v>2029</v>
      </c>
      <c r="K1091" s="2335">
        <f>+SUMIFS('PdI-crono_inv'!BL:BL,'PdI-crono_inv'!CF:CF,F1091,'PdI-crono_inv'!CE:CE,H1091,'PdI-crono_inv'!J:J,P1091,'PdI-crono_inv'!P:P,"&lt;&gt;proprietario")</f>
        <v>0</v>
      </c>
      <c r="M1091" s="2335">
        <f>+SUMIFS('PdI-crono_inv'!BM:BM,'PdI-crono_inv'!CF:CF,F1091,'PdI-crono_inv'!CE:CE,H1091,'PdI-crono_inv'!J:J,P1091,'PdI-crono_inv'!P:P,"&lt;&gt;proprietario")+S1091</f>
        <v>0</v>
      </c>
      <c r="P1091" s="1013" t="s">
        <v>25486</v>
      </c>
      <c r="Q1091" s="1932" t="str">
        <f>+VLOOKUP(F1091,TT_Tabelle_Riferimento!$D$127:$E$164,2,FALSE)</f>
        <v>Depurazione</v>
      </c>
      <c r="R1091" s="1932" t="str">
        <f t="shared" si="97"/>
        <v/>
      </c>
      <c r="S1091" s="2335">
        <f t="shared" si="91"/>
        <v>0</v>
      </c>
    </row>
    <row r="1092" spans="1:19">
      <c r="A1092" s="1932">
        <f t="shared" si="95"/>
        <v>0</v>
      </c>
      <c r="B1092" s="1932">
        <f t="shared" si="96"/>
        <v>0</v>
      </c>
      <c r="C1092" s="1013" t="s">
        <v>245</v>
      </c>
      <c r="D1092" s="1013">
        <v>0</v>
      </c>
      <c r="E1092" s="1013" t="s">
        <v>22698</v>
      </c>
      <c r="F1092" s="1013">
        <v>25</v>
      </c>
      <c r="G1092" s="1932" t="str">
        <f>+VLOOKUP(F1092,TT_Tabelle_Riferimento!$D$127:$G$164,4,FALSE)</f>
        <v>Gruppi di misura - altre attrezzature di depurazione</v>
      </c>
      <c r="H1092" s="1013">
        <v>2</v>
      </c>
      <c r="I1092" s="1932" t="str">
        <f>+VLOOKUP(H1092,TT_Tabelle_Riferimento!$F$3:$G$6,2,FALSE)</f>
        <v>Fognatura bianca e pulizia / manutenzione caditoie stradali</v>
      </c>
      <c r="J1092" s="1013">
        <v>2029</v>
      </c>
      <c r="K1092" s="2335">
        <f>+SUMIFS('PdI-crono_inv'!BL:BL,'PdI-crono_inv'!CF:CF,F1092,'PdI-crono_inv'!CE:CE,H1092,'PdI-crono_inv'!J:J,P1092,'PdI-crono_inv'!P:P,"&lt;&gt;proprietario")</f>
        <v>0</v>
      </c>
      <c r="M1092" s="2335">
        <f>+SUMIFS('PdI-crono_inv'!BM:BM,'PdI-crono_inv'!CF:CF,F1092,'PdI-crono_inv'!CE:CE,H1092,'PdI-crono_inv'!J:J,P1092,'PdI-crono_inv'!P:P,"&lt;&gt;proprietario")+S1092</f>
        <v>0</v>
      </c>
      <c r="P1092" s="1013" t="s">
        <v>25486</v>
      </c>
      <c r="Q1092" s="1932" t="str">
        <f>+VLOOKUP(F1092,TT_Tabelle_Riferimento!$D$127:$E$164,2,FALSE)</f>
        <v>Depurazione</v>
      </c>
      <c r="R1092" s="1932" t="str">
        <f t="shared" si="97"/>
        <v/>
      </c>
      <c r="S1092" s="2335">
        <f t="shared" si="91"/>
        <v>0</v>
      </c>
    </row>
    <row r="1093" spans="1:19">
      <c r="A1093" s="1932">
        <f t="shared" si="95"/>
        <v>0</v>
      </c>
      <c r="B1093" s="1932">
        <f t="shared" si="96"/>
        <v>0</v>
      </c>
      <c r="C1093" s="1013" t="s">
        <v>245</v>
      </c>
      <c r="D1093" s="1013">
        <v>0</v>
      </c>
      <c r="E1093" s="1013" t="s">
        <v>22698</v>
      </c>
      <c r="F1093" s="1013">
        <v>26</v>
      </c>
      <c r="G1093" s="1932" t="str">
        <f>+VLOOKUP(F1093,TT_Tabelle_Riferimento!$D$127:$G$164,4,FALSE)</f>
        <v>Sistemi informativi di depurazione</v>
      </c>
      <c r="H1093" s="1013">
        <v>2</v>
      </c>
      <c r="I1093" s="1932" t="str">
        <f>+VLOOKUP(H1093,TT_Tabelle_Riferimento!$F$3:$G$6,2,FALSE)</f>
        <v>Fognatura bianca e pulizia / manutenzione caditoie stradali</v>
      </c>
      <c r="J1093" s="1013">
        <v>2029</v>
      </c>
      <c r="K1093" s="2335">
        <f>+SUMIFS('PdI-crono_inv'!BL:BL,'PdI-crono_inv'!CF:CF,F1093,'PdI-crono_inv'!CE:CE,H1093,'PdI-crono_inv'!J:J,P1093,'PdI-crono_inv'!P:P,"&lt;&gt;proprietario")</f>
        <v>0</v>
      </c>
      <c r="M1093" s="2335">
        <f>+SUMIFS('PdI-crono_inv'!BM:BM,'PdI-crono_inv'!CF:CF,F1093,'PdI-crono_inv'!CE:CE,H1093,'PdI-crono_inv'!J:J,P1093,'PdI-crono_inv'!P:P,"&lt;&gt;proprietario")+S1093</f>
        <v>0</v>
      </c>
      <c r="P1093" s="1013" t="s">
        <v>25486</v>
      </c>
      <c r="Q1093" s="1932" t="str">
        <f>+VLOOKUP(F1093,TT_Tabelle_Riferimento!$D$127:$E$164,2,FALSE)</f>
        <v>Depurazione</v>
      </c>
      <c r="R1093" s="1932" t="str">
        <f t="shared" si="97"/>
        <v/>
      </c>
      <c r="S1093" s="2335">
        <f t="shared" si="91"/>
        <v>0</v>
      </c>
    </row>
    <row r="1094" spans="1:19">
      <c r="A1094" s="1932">
        <f t="shared" si="95"/>
        <v>0</v>
      </c>
      <c r="B1094" s="1932">
        <f t="shared" si="96"/>
        <v>0</v>
      </c>
      <c r="C1094" s="1013" t="s">
        <v>245</v>
      </c>
      <c r="D1094" s="1013">
        <v>0</v>
      </c>
      <c r="E1094" s="1013" t="s">
        <v>22698</v>
      </c>
      <c r="F1094" s="1013">
        <v>27</v>
      </c>
      <c r="G1094" s="1932" t="str">
        <f>+VLOOKUP(F1094,TT_Tabelle_Riferimento!$D$127:$G$164,4,FALSE)</f>
        <v>Telecontrollo e teletrasmissione di depurazione</v>
      </c>
      <c r="H1094" s="1013">
        <v>2</v>
      </c>
      <c r="I1094" s="1932" t="str">
        <f>+VLOOKUP(H1094,TT_Tabelle_Riferimento!$F$3:$G$6,2,FALSE)</f>
        <v>Fognatura bianca e pulizia / manutenzione caditoie stradali</v>
      </c>
      <c r="J1094" s="1013">
        <v>2029</v>
      </c>
      <c r="K1094" s="2335">
        <f>+SUMIFS('PdI-crono_inv'!BL:BL,'PdI-crono_inv'!CF:CF,F1094,'PdI-crono_inv'!CE:CE,H1094,'PdI-crono_inv'!J:J,P1094,'PdI-crono_inv'!P:P,"&lt;&gt;proprietario")</f>
        <v>0</v>
      </c>
      <c r="M1094" s="2335">
        <f>+SUMIFS('PdI-crono_inv'!BM:BM,'PdI-crono_inv'!CF:CF,F1094,'PdI-crono_inv'!CE:CE,H1094,'PdI-crono_inv'!J:J,P1094,'PdI-crono_inv'!P:P,"&lt;&gt;proprietario")+S1094</f>
        <v>0</v>
      </c>
      <c r="P1094" s="1013" t="s">
        <v>25486</v>
      </c>
      <c r="Q1094" s="1932" t="str">
        <f>+VLOOKUP(F1094,TT_Tabelle_Riferimento!$D$127:$E$164,2,FALSE)</f>
        <v>Depurazione</v>
      </c>
      <c r="R1094" s="1932" t="str">
        <f t="shared" si="97"/>
        <v/>
      </c>
      <c r="S1094" s="2335">
        <f t="shared" si="91"/>
        <v>0</v>
      </c>
    </row>
    <row r="1095" spans="1:19">
      <c r="A1095" s="1932">
        <f t="shared" si="95"/>
        <v>0</v>
      </c>
      <c r="B1095" s="1932">
        <f t="shared" si="96"/>
        <v>0</v>
      </c>
      <c r="C1095" s="1013" t="s">
        <v>245</v>
      </c>
      <c r="D1095" s="1013">
        <v>0</v>
      </c>
      <c r="E1095" s="1013" t="s">
        <v>22698</v>
      </c>
      <c r="F1095" s="1013">
        <v>28</v>
      </c>
      <c r="G1095" s="1932" t="str">
        <f>+VLOOKUP(F1095,TT_Tabelle_Riferimento!$D$127:$G$164,4,FALSE)</f>
        <v>Altri impianti</v>
      </c>
      <c r="H1095" s="1013">
        <v>2</v>
      </c>
      <c r="I1095" s="1932" t="str">
        <f>+VLOOKUP(H1095,TT_Tabelle_Riferimento!$F$3:$G$6,2,FALSE)</f>
        <v>Fognatura bianca e pulizia / manutenzione caditoie stradali</v>
      </c>
      <c r="J1095" s="1013">
        <v>2029</v>
      </c>
      <c r="K1095" s="2335">
        <f>+SUMIFS('PdI-crono_inv'!BL:BL,'PdI-crono_inv'!CF:CF,F1095,'PdI-crono_inv'!CE:CE,H1095,'PdI-crono_inv'!J:J,P1095,'PdI-crono_inv'!P:P,"&lt;&gt;proprietario")</f>
        <v>0</v>
      </c>
      <c r="M1095" s="2335">
        <f>+SUMIFS('PdI-crono_inv'!BM:BM,'PdI-crono_inv'!CF:CF,F1095,'PdI-crono_inv'!CE:CE,H1095,'PdI-crono_inv'!J:J,P1095,'PdI-crono_inv'!P:P,"&lt;&gt;proprietario")+S1095</f>
        <v>0</v>
      </c>
      <c r="P1095" s="1013" t="s">
        <v>25486</v>
      </c>
      <c r="Q1095" s="1932" t="str">
        <f>+VLOOKUP(F1095,TT_Tabelle_Riferimento!$D$127:$E$164,2,FALSE)</f>
        <v>Comune</v>
      </c>
      <c r="R1095" s="1932" t="str">
        <f t="shared" si="97"/>
        <v/>
      </c>
      <c r="S1095" s="2335">
        <f t="shared" ref="S1095:S1158" si="98">+IFERROR(HLOOKUP(J1095,$X$2:$Y$5,4,FALSE)*K1095,0)</f>
        <v>0</v>
      </c>
    </row>
    <row r="1096" spans="1:19">
      <c r="A1096" s="1932">
        <f t="shared" si="95"/>
        <v>0</v>
      </c>
      <c r="B1096" s="1932">
        <f t="shared" si="96"/>
        <v>0</v>
      </c>
      <c r="C1096" s="1013" t="s">
        <v>245</v>
      </c>
      <c r="D1096" s="1013">
        <v>0</v>
      </c>
      <c r="E1096" s="1013" t="s">
        <v>22698</v>
      </c>
      <c r="F1096" s="1013">
        <v>29</v>
      </c>
      <c r="G1096" s="1932" t="str">
        <f>+VLOOKUP(F1096,TT_Tabelle_Riferimento!$D$127:$G$164,4,FALSE)</f>
        <v>Laboratori e attrezzature</v>
      </c>
      <c r="H1096" s="1013">
        <v>2</v>
      </c>
      <c r="I1096" s="1932" t="str">
        <f>+VLOOKUP(H1096,TT_Tabelle_Riferimento!$F$3:$G$6,2,FALSE)</f>
        <v>Fognatura bianca e pulizia / manutenzione caditoie stradali</v>
      </c>
      <c r="J1096" s="1013">
        <v>2029</v>
      </c>
      <c r="K1096" s="2335">
        <f>+SUMIFS('PdI-crono_inv'!BL:BL,'PdI-crono_inv'!CF:CF,F1096,'PdI-crono_inv'!CE:CE,H1096,'PdI-crono_inv'!J:J,P1096,'PdI-crono_inv'!P:P,"&lt;&gt;proprietario")</f>
        <v>0</v>
      </c>
      <c r="M1096" s="2335">
        <f>+SUMIFS('PdI-crono_inv'!BM:BM,'PdI-crono_inv'!CF:CF,F1096,'PdI-crono_inv'!CE:CE,H1096,'PdI-crono_inv'!J:J,P1096,'PdI-crono_inv'!P:P,"&lt;&gt;proprietario")+S1096</f>
        <v>0</v>
      </c>
      <c r="P1096" s="1013" t="s">
        <v>25486</v>
      </c>
      <c r="Q1096" s="1932" t="str">
        <f>+VLOOKUP(F1096,TT_Tabelle_Riferimento!$D$127:$E$164,2,FALSE)</f>
        <v>Comune</v>
      </c>
      <c r="R1096" s="1932" t="str">
        <f t="shared" si="97"/>
        <v/>
      </c>
      <c r="S1096" s="2335">
        <f t="shared" si="98"/>
        <v>0</v>
      </c>
    </row>
    <row r="1097" spans="1:19">
      <c r="A1097" s="1932">
        <f t="shared" si="95"/>
        <v>0</v>
      </c>
      <c r="B1097" s="1932">
        <f t="shared" si="96"/>
        <v>0</v>
      </c>
      <c r="C1097" s="1013" t="s">
        <v>245</v>
      </c>
      <c r="D1097" s="1013">
        <v>0</v>
      </c>
      <c r="E1097" s="1013" t="s">
        <v>22698</v>
      </c>
      <c r="F1097" s="1013">
        <v>30</v>
      </c>
      <c r="G1097" s="1932" t="str">
        <f>+VLOOKUP(F1097,TT_Tabelle_Riferimento!$D$127:$G$164,4,FALSE)</f>
        <v>Sistemi informativi</v>
      </c>
      <c r="H1097" s="1013">
        <v>2</v>
      </c>
      <c r="I1097" s="1932" t="str">
        <f>+VLOOKUP(H1097,TT_Tabelle_Riferimento!$F$3:$G$6,2,FALSE)</f>
        <v>Fognatura bianca e pulizia / manutenzione caditoie stradali</v>
      </c>
      <c r="J1097" s="1013">
        <v>2029</v>
      </c>
      <c r="K1097" s="2335">
        <f>+SUMIFS('PdI-crono_inv'!BL:BL,'PdI-crono_inv'!CF:CF,F1097,'PdI-crono_inv'!CE:CE,H1097,'PdI-crono_inv'!J:J,P1097,'PdI-crono_inv'!P:P,"&lt;&gt;proprietario")</f>
        <v>0</v>
      </c>
      <c r="M1097" s="2335">
        <f>+SUMIFS('PdI-crono_inv'!BM:BM,'PdI-crono_inv'!CF:CF,F1097,'PdI-crono_inv'!CE:CE,H1097,'PdI-crono_inv'!J:J,P1097,'PdI-crono_inv'!P:P,"&lt;&gt;proprietario")+S1097</f>
        <v>0</v>
      </c>
      <c r="P1097" s="1013" t="s">
        <v>25486</v>
      </c>
      <c r="Q1097" s="1932" t="str">
        <f>+VLOOKUP(F1097,TT_Tabelle_Riferimento!$D$127:$E$164,2,FALSE)</f>
        <v>Comune</v>
      </c>
      <c r="R1097" s="1932" t="str">
        <f t="shared" si="97"/>
        <v/>
      </c>
      <c r="S1097" s="2335">
        <f t="shared" si="98"/>
        <v>0</v>
      </c>
    </row>
    <row r="1098" spans="1:19">
      <c r="A1098" s="1932">
        <f t="shared" si="95"/>
        <v>0</v>
      </c>
      <c r="B1098" s="1932">
        <f t="shared" si="96"/>
        <v>0</v>
      </c>
      <c r="C1098" s="1013" t="s">
        <v>245</v>
      </c>
      <c r="D1098" s="1013">
        <v>0</v>
      </c>
      <c r="E1098" s="1013" t="s">
        <v>22698</v>
      </c>
      <c r="F1098" s="1013">
        <v>31</v>
      </c>
      <c r="G1098" s="1932" t="str">
        <f>+VLOOKUP(F1098,TT_Tabelle_Riferimento!$D$127:$G$164,4,FALSE)</f>
        <v>Telecontrollo e teletrasmissione</v>
      </c>
      <c r="H1098" s="1013">
        <v>2</v>
      </c>
      <c r="I1098" s="1932" t="str">
        <f>+VLOOKUP(H1098,TT_Tabelle_Riferimento!$F$3:$G$6,2,FALSE)</f>
        <v>Fognatura bianca e pulizia / manutenzione caditoie stradali</v>
      </c>
      <c r="J1098" s="1013">
        <v>2029</v>
      </c>
      <c r="K1098" s="2335">
        <f>+SUMIFS('PdI-crono_inv'!BL:BL,'PdI-crono_inv'!CF:CF,F1098,'PdI-crono_inv'!CE:CE,H1098,'PdI-crono_inv'!J:J,P1098,'PdI-crono_inv'!P:P,"&lt;&gt;proprietario")</f>
        <v>0</v>
      </c>
      <c r="M1098" s="2335">
        <f>+SUMIFS('PdI-crono_inv'!BM:BM,'PdI-crono_inv'!CF:CF,F1098,'PdI-crono_inv'!CE:CE,H1098,'PdI-crono_inv'!J:J,P1098,'PdI-crono_inv'!P:P,"&lt;&gt;proprietario")+S1098</f>
        <v>0</v>
      </c>
      <c r="P1098" s="1013" t="s">
        <v>25486</v>
      </c>
      <c r="Q1098" s="1932" t="str">
        <f>+VLOOKUP(F1098,TT_Tabelle_Riferimento!$D$127:$E$164,2,FALSE)</f>
        <v>Comune</v>
      </c>
      <c r="R1098" s="1932" t="str">
        <f t="shared" si="97"/>
        <v/>
      </c>
      <c r="S1098" s="2335">
        <f t="shared" si="98"/>
        <v>0</v>
      </c>
    </row>
    <row r="1099" spans="1:19">
      <c r="A1099" s="1932">
        <f t="shared" si="95"/>
        <v>0</v>
      </c>
      <c r="B1099" s="1932">
        <f t="shared" si="96"/>
        <v>0</v>
      </c>
      <c r="C1099" s="1013" t="s">
        <v>245</v>
      </c>
      <c r="D1099" s="1013">
        <v>0</v>
      </c>
      <c r="E1099" s="1013" t="s">
        <v>22698</v>
      </c>
      <c r="F1099" s="1013">
        <v>32</v>
      </c>
      <c r="G1099" s="1932" t="str">
        <f>+VLOOKUP(F1099,TT_Tabelle_Riferimento!$D$127:$G$164,4,FALSE)</f>
        <v>Autoveicoli - automezzi</v>
      </c>
      <c r="H1099" s="1013">
        <v>2</v>
      </c>
      <c r="I1099" s="1932" t="str">
        <f>+VLOOKUP(H1099,TT_Tabelle_Riferimento!$F$3:$G$6,2,FALSE)</f>
        <v>Fognatura bianca e pulizia / manutenzione caditoie stradali</v>
      </c>
      <c r="J1099" s="1013">
        <v>2029</v>
      </c>
      <c r="K1099" s="2335">
        <f>+SUMIFS('PdI-crono_inv'!BL:BL,'PdI-crono_inv'!CF:CF,F1099,'PdI-crono_inv'!CE:CE,H1099,'PdI-crono_inv'!J:J,P1099,'PdI-crono_inv'!P:P,"&lt;&gt;proprietario")</f>
        <v>0</v>
      </c>
      <c r="M1099" s="2335">
        <f>+SUMIFS('PdI-crono_inv'!BM:BM,'PdI-crono_inv'!CF:CF,F1099,'PdI-crono_inv'!CE:CE,H1099,'PdI-crono_inv'!J:J,P1099,'PdI-crono_inv'!P:P,"&lt;&gt;proprietario")+S1099</f>
        <v>0</v>
      </c>
      <c r="P1099" s="1013" t="s">
        <v>25486</v>
      </c>
      <c r="Q1099" s="1932" t="str">
        <f>+VLOOKUP(F1099,TT_Tabelle_Riferimento!$D$127:$E$164,2,FALSE)</f>
        <v>Comune</v>
      </c>
      <c r="R1099" s="1932" t="str">
        <f t="shared" si="97"/>
        <v/>
      </c>
      <c r="S1099" s="2335">
        <f t="shared" si="98"/>
        <v>0</v>
      </c>
    </row>
    <row r="1100" spans="1:19">
      <c r="A1100" s="1932">
        <f t="shared" si="95"/>
        <v>0</v>
      </c>
      <c r="B1100" s="1932">
        <f t="shared" si="96"/>
        <v>0</v>
      </c>
      <c r="C1100" s="1013" t="s">
        <v>245</v>
      </c>
      <c r="D1100" s="1013">
        <v>0</v>
      </c>
      <c r="E1100" s="1013" t="s">
        <v>22698</v>
      </c>
      <c r="F1100" s="1013">
        <v>1</v>
      </c>
      <c r="G1100" s="1932" t="str">
        <f>+VLOOKUP(F1100,TT_Tabelle_Riferimento!$D$127:$G$164,4,FALSE)</f>
        <v>Terreni</v>
      </c>
      <c r="H1100" s="1013">
        <v>2</v>
      </c>
      <c r="I1100" s="1932" t="str">
        <f>+VLOOKUP(H1100,TT_Tabelle_Riferimento!$F$3:$G$6,2,FALSE)</f>
        <v>Fognatura bianca e pulizia / manutenzione caditoie stradali</v>
      </c>
      <c r="J1100" s="1013">
        <v>2029</v>
      </c>
      <c r="K1100" s="2335">
        <f>+SUMIFS('PdI-crono_inv'!BL:BL,'PdI-crono_inv'!CF:CF,F1100,'PdI-crono_inv'!CE:CE,H1100,'PdI-crono_inv'!J:J,P1100,'PdI-crono_inv'!P:P,"&lt;&gt;proprietario")</f>
        <v>0</v>
      </c>
      <c r="M1100" s="2335">
        <f>+SUMIFS('PdI-crono_inv'!BM:BM,'PdI-crono_inv'!CF:CF,F1100,'PdI-crono_inv'!CE:CE,H1100,'PdI-crono_inv'!J:J,P1100,'PdI-crono_inv'!P:P,"&lt;&gt;proprietario")+S1100</f>
        <v>0</v>
      </c>
      <c r="P1100" s="1013" t="s">
        <v>25486</v>
      </c>
      <c r="Q1100" s="1932" t="str">
        <f>+VLOOKUP(F1100,TT_Tabelle_Riferimento!$D$127:$E$164,2,FALSE)</f>
        <v>Comune</v>
      </c>
      <c r="R1100" s="1932" t="str">
        <f t="shared" si="97"/>
        <v/>
      </c>
      <c r="S1100" s="2335">
        <f t="shared" si="98"/>
        <v>0</v>
      </c>
    </row>
    <row r="1101" spans="1:19">
      <c r="A1101" s="1932">
        <f t="shared" si="95"/>
        <v>0</v>
      </c>
      <c r="B1101" s="1932">
        <f t="shared" si="96"/>
        <v>0</v>
      </c>
      <c r="C1101" s="1013" t="s">
        <v>245</v>
      </c>
      <c r="D1101" s="1013">
        <v>0</v>
      </c>
      <c r="E1101" s="1013" t="s">
        <v>22698</v>
      </c>
      <c r="F1101" s="1013">
        <v>33</v>
      </c>
      <c r="G1101" s="1932" t="str">
        <f>+VLOOKUP(F1101,TT_Tabelle_Riferimento!$D$127:$G$164,4,FALSE)</f>
        <v>Fabbricati non industriali</v>
      </c>
      <c r="H1101" s="1013">
        <v>2</v>
      </c>
      <c r="I1101" s="1932" t="str">
        <f>+VLOOKUP(H1101,TT_Tabelle_Riferimento!$F$3:$G$6,2,FALSE)</f>
        <v>Fognatura bianca e pulizia / manutenzione caditoie stradali</v>
      </c>
      <c r="J1101" s="1013">
        <v>2029</v>
      </c>
      <c r="K1101" s="2335">
        <f>+SUMIFS('PdI-crono_inv'!BL:BL,'PdI-crono_inv'!CF:CF,F1101,'PdI-crono_inv'!CE:CE,H1101,'PdI-crono_inv'!J:J,P1101,'PdI-crono_inv'!P:P,"&lt;&gt;proprietario")</f>
        <v>0</v>
      </c>
      <c r="M1101" s="2335">
        <f>+SUMIFS('PdI-crono_inv'!BM:BM,'PdI-crono_inv'!CF:CF,F1101,'PdI-crono_inv'!CE:CE,H1101,'PdI-crono_inv'!J:J,P1101,'PdI-crono_inv'!P:P,"&lt;&gt;proprietario")+S1101</f>
        <v>0</v>
      </c>
      <c r="P1101" s="1013" t="s">
        <v>25486</v>
      </c>
      <c r="Q1101" s="1932" t="str">
        <f>+VLOOKUP(F1101,TT_Tabelle_Riferimento!$D$127:$E$164,2,FALSE)</f>
        <v>Comune</v>
      </c>
      <c r="R1101" s="1932" t="str">
        <f t="shared" si="97"/>
        <v/>
      </c>
      <c r="S1101" s="2335">
        <f t="shared" si="98"/>
        <v>0</v>
      </c>
    </row>
    <row r="1102" spans="1:19">
      <c r="A1102" s="1932">
        <f t="shared" si="95"/>
        <v>0</v>
      </c>
      <c r="B1102" s="1932">
        <f t="shared" si="96"/>
        <v>0</v>
      </c>
      <c r="C1102" s="1013" t="s">
        <v>245</v>
      </c>
      <c r="D1102" s="1013">
        <v>0</v>
      </c>
      <c r="E1102" s="1013" t="s">
        <v>22698</v>
      </c>
      <c r="F1102" s="1013">
        <v>34</v>
      </c>
      <c r="G1102" s="1932" t="str">
        <f>+VLOOKUP(F1102,TT_Tabelle_Riferimento!$D$127:$G$164,4,FALSE)</f>
        <v>Fabbricati industriali</v>
      </c>
      <c r="H1102" s="1013">
        <v>2</v>
      </c>
      <c r="I1102" s="1932" t="str">
        <f>+VLOOKUP(H1102,TT_Tabelle_Riferimento!$F$3:$G$6,2,FALSE)</f>
        <v>Fognatura bianca e pulizia / manutenzione caditoie stradali</v>
      </c>
      <c r="J1102" s="1013">
        <v>2029</v>
      </c>
      <c r="K1102" s="2335">
        <f>+SUMIFS('PdI-crono_inv'!BL:BL,'PdI-crono_inv'!CF:CF,F1102,'PdI-crono_inv'!CE:CE,H1102,'PdI-crono_inv'!J:J,P1102,'PdI-crono_inv'!P:P,"&lt;&gt;proprietario")</f>
        <v>0</v>
      </c>
      <c r="M1102" s="2335">
        <f>+SUMIFS('PdI-crono_inv'!BM:BM,'PdI-crono_inv'!CF:CF,F1102,'PdI-crono_inv'!CE:CE,H1102,'PdI-crono_inv'!J:J,P1102,'PdI-crono_inv'!P:P,"&lt;&gt;proprietario")+S1102</f>
        <v>0</v>
      </c>
      <c r="P1102" s="1013" t="s">
        <v>25486</v>
      </c>
      <c r="Q1102" s="1932" t="str">
        <f>+VLOOKUP(F1102,TT_Tabelle_Riferimento!$D$127:$E$164,2,FALSE)</f>
        <v>Comune</v>
      </c>
      <c r="R1102" s="1932" t="str">
        <f t="shared" si="97"/>
        <v/>
      </c>
      <c r="S1102" s="2335">
        <f t="shared" si="98"/>
        <v>0</v>
      </c>
    </row>
    <row r="1103" spans="1:19">
      <c r="A1103" s="1932">
        <f t="shared" si="95"/>
        <v>0</v>
      </c>
      <c r="B1103" s="1932">
        <f t="shared" si="96"/>
        <v>0</v>
      </c>
      <c r="C1103" s="1013" t="s">
        <v>245</v>
      </c>
      <c r="D1103" s="1013">
        <v>0</v>
      </c>
      <c r="E1103" s="1013" t="s">
        <v>22698</v>
      </c>
      <c r="F1103" s="1013">
        <v>35</v>
      </c>
      <c r="G1103" s="1932" t="str">
        <f>+VLOOKUP(F1103,TT_Tabelle_Riferimento!$D$127:$G$164,4,FALSE)</f>
        <v>Costruzioni leggere</v>
      </c>
      <c r="H1103" s="1013">
        <v>2</v>
      </c>
      <c r="I1103" s="1932" t="str">
        <f>+VLOOKUP(H1103,TT_Tabelle_Riferimento!$F$3:$G$6,2,FALSE)</f>
        <v>Fognatura bianca e pulizia / manutenzione caditoie stradali</v>
      </c>
      <c r="J1103" s="1013">
        <v>2029</v>
      </c>
      <c r="K1103" s="2335">
        <f>+SUMIFS('PdI-crono_inv'!BL:BL,'PdI-crono_inv'!CF:CF,F1103,'PdI-crono_inv'!CE:CE,H1103,'PdI-crono_inv'!J:J,P1103,'PdI-crono_inv'!P:P,"&lt;&gt;proprietario")</f>
        <v>0</v>
      </c>
      <c r="M1103" s="2335">
        <f>+SUMIFS('PdI-crono_inv'!BM:BM,'PdI-crono_inv'!CF:CF,F1103,'PdI-crono_inv'!CE:CE,H1103,'PdI-crono_inv'!J:J,P1103,'PdI-crono_inv'!P:P,"&lt;&gt;proprietario")+S1103</f>
        <v>0</v>
      </c>
      <c r="P1103" s="1013" t="s">
        <v>25486</v>
      </c>
      <c r="Q1103" s="1932" t="str">
        <f>+VLOOKUP(F1103,TT_Tabelle_Riferimento!$D$127:$E$164,2,FALSE)</f>
        <v>Comune</v>
      </c>
      <c r="R1103" s="1932" t="str">
        <f t="shared" si="97"/>
        <v/>
      </c>
      <c r="S1103" s="2335">
        <f t="shared" si="98"/>
        <v>0</v>
      </c>
    </row>
    <row r="1104" spans="1:19">
      <c r="A1104" s="1932">
        <f t="shared" si="95"/>
        <v>0</v>
      </c>
      <c r="B1104" s="1932">
        <f t="shared" si="96"/>
        <v>0</v>
      </c>
      <c r="C1104" s="1013" t="s">
        <v>245</v>
      </c>
      <c r="D1104" s="1013">
        <v>0</v>
      </c>
      <c r="E1104" s="1013" t="s">
        <v>22698</v>
      </c>
      <c r="F1104" s="1013">
        <v>36</v>
      </c>
      <c r="G1104" s="1932" t="str">
        <f>+VLOOKUP(F1104,TT_Tabelle_Riferimento!$D$127:$G$164,4,FALSE)</f>
        <v>Studi, ricerche, brevetti, diritti di utilizzazione</v>
      </c>
      <c r="H1104" s="1013">
        <v>2</v>
      </c>
      <c r="I1104" s="1932" t="str">
        <f>+VLOOKUP(H1104,TT_Tabelle_Riferimento!$F$3:$G$6,2,FALSE)</f>
        <v>Fognatura bianca e pulizia / manutenzione caditoie stradali</v>
      </c>
      <c r="J1104" s="1013">
        <v>2029</v>
      </c>
      <c r="K1104" s="2335">
        <f>+SUMIFS('PdI-crono_inv'!BL:BL,'PdI-crono_inv'!CF:CF,F1104,'PdI-crono_inv'!CE:CE,H1104,'PdI-crono_inv'!J:J,P1104,'PdI-crono_inv'!P:P,"&lt;&gt;proprietario")</f>
        <v>0</v>
      </c>
      <c r="M1104" s="2335">
        <f>+SUMIFS('PdI-crono_inv'!BM:BM,'PdI-crono_inv'!CF:CF,F1104,'PdI-crono_inv'!CE:CE,H1104,'PdI-crono_inv'!J:J,P1104,'PdI-crono_inv'!P:P,"&lt;&gt;proprietario")+S1104</f>
        <v>0</v>
      </c>
      <c r="P1104" s="1013" t="s">
        <v>25486</v>
      </c>
      <c r="Q1104" s="1932" t="str">
        <f>+VLOOKUP(F1104,TT_Tabelle_Riferimento!$D$127:$E$164,2,FALSE)</f>
        <v>Comune</v>
      </c>
      <c r="R1104" s="1932" t="str">
        <f t="shared" si="97"/>
        <v/>
      </c>
      <c r="S1104" s="2335">
        <f t="shared" si="98"/>
        <v>0</v>
      </c>
    </row>
    <row r="1105" spans="1:19">
      <c r="A1105" s="1932">
        <v>0</v>
      </c>
      <c r="B1105" s="1932">
        <v>0</v>
      </c>
      <c r="C1105" s="1013" t="s">
        <v>245</v>
      </c>
      <c r="D1105" s="1013">
        <v>0</v>
      </c>
      <c r="E1105" s="1013" t="s">
        <v>22698</v>
      </c>
      <c r="F1105" s="1013">
        <v>37</v>
      </c>
      <c r="G1105" s="1932" t="str">
        <f>+VLOOKUP(F1105,TT_Tabelle_Riferimento!$D$127:$G$164,4,FALSE)</f>
        <v>Altre immobilizzazioni materiali e immateriali</v>
      </c>
      <c r="H1105" s="1013">
        <v>2</v>
      </c>
      <c r="I1105" s="1932" t="str">
        <f>+VLOOKUP(H1105,TT_Tabelle_Riferimento!$F$3:$G$6,2,FALSE)</f>
        <v>Fognatura bianca e pulizia / manutenzione caditoie stradali</v>
      </c>
      <c r="J1105" s="1013">
        <v>2029</v>
      </c>
      <c r="K1105" s="2335">
        <f>+SUMIFS('PdI-crono_inv'!BL:BL,'PdI-crono_inv'!CF:CF,F1105,'PdI-crono_inv'!CE:CE,H1105,'PdI-crono_inv'!J:J,P1105,'PdI-crono_inv'!P:P,"&lt;&gt;proprietario")</f>
        <v>0</v>
      </c>
      <c r="M1105" s="2335">
        <f>+SUMIFS('PdI-crono_inv'!BM:BM,'PdI-crono_inv'!CF:CF,F1105,'PdI-crono_inv'!CE:CE,H1105,'PdI-crono_inv'!J:J,P1105,'PdI-crono_inv'!P:P,"&lt;&gt;proprietario")+S1105</f>
        <v>0</v>
      </c>
      <c r="P1105" s="1013" t="s">
        <v>25486</v>
      </c>
      <c r="Q1105" s="1932" t="str">
        <f>+VLOOKUP(F1105,TT_Tabelle_Riferimento!$D$127:$E$164,2,FALSE)</f>
        <v>Comune</v>
      </c>
      <c r="R1105" s="1932" t="str">
        <f t="shared" si="97"/>
        <v/>
      </c>
      <c r="S1105" s="2335">
        <f t="shared" si="98"/>
        <v>0</v>
      </c>
    </row>
    <row r="1106" spans="1:19">
      <c r="A1106" s="1932">
        <v>0</v>
      </c>
      <c r="B1106" s="1932">
        <v>0</v>
      </c>
      <c r="C1106" s="1013" t="s">
        <v>245</v>
      </c>
      <c r="D1106" s="1013">
        <v>0</v>
      </c>
      <c r="E1106" s="1013" t="s">
        <v>22698</v>
      </c>
      <c r="F1106" s="1013">
        <v>38</v>
      </c>
      <c r="G1106" s="1932" t="str">
        <f>+VLOOKUP(F1106,TT_Tabelle_Riferimento!$D$127:$G$164,4,FALSE)</f>
        <v>Grandi dighe (sbarramenti che superano i quindici metri di altezza o che determinano un invaso superiore a 1 milione di metri cubi)</v>
      </c>
      <c r="H1106" s="1013">
        <v>2</v>
      </c>
      <c r="I1106" s="1932" t="str">
        <f>+VLOOKUP(H1106,TT_Tabelle_Riferimento!$F$3:$G$6,2,FALSE)</f>
        <v>Fognatura bianca e pulizia / manutenzione caditoie stradali</v>
      </c>
      <c r="J1106" s="1013">
        <v>2029</v>
      </c>
      <c r="K1106" s="2335">
        <f>+SUMIFS('PdI-crono_inv'!BL:BL,'PdI-crono_inv'!CF:CF,F1106,'PdI-crono_inv'!CE:CE,H1106,'PdI-crono_inv'!J:J,P1106,'PdI-crono_inv'!P:P,"&lt;&gt;proprietario")</f>
        <v>0</v>
      </c>
      <c r="M1106" s="2335">
        <f>+SUMIFS('PdI-crono_inv'!BM:BM,'PdI-crono_inv'!CF:CF,F1106,'PdI-crono_inv'!CE:CE,H1106,'PdI-crono_inv'!J:J,P1106,'PdI-crono_inv'!P:P,"&lt;&gt;proprietario")+S1106</f>
        <v>0</v>
      </c>
      <c r="P1106" s="1013" t="s">
        <v>25486</v>
      </c>
      <c r="Q1106" s="1932" t="str">
        <f>+VLOOKUP(F1106,TT_Tabelle_Riferimento!$D$127:$E$164,2,FALSE)</f>
        <v>Acquedotto</v>
      </c>
      <c r="R1106" s="1932" t="str">
        <f t="shared" si="97"/>
        <v/>
      </c>
      <c r="S1106" s="2335">
        <f t="shared" si="98"/>
        <v>0</v>
      </c>
    </row>
    <row r="1107" spans="1:19">
      <c r="A1107" s="1932">
        <v>0</v>
      </c>
      <c r="B1107" s="1932">
        <v>0</v>
      </c>
      <c r="C1107" s="1013" t="s">
        <v>245</v>
      </c>
      <c r="D1107" s="1013">
        <v>0</v>
      </c>
      <c r="E1107" s="1013" t="s">
        <v>22698</v>
      </c>
      <c r="F1107" s="1013">
        <v>39</v>
      </c>
      <c r="G1107" s="1932" t="str">
        <f>+VLOOKUP(F1107,TT_Tabelle_Riferimento!$D$127:$G$164,4,FALSE)</f>
        <v>Piccole dighe (sbarramenti che non superano i quindici metri di altezza o che determinano un invaso non superiore a 1 milione di metri cubi)</v>
      </c>
      <c r="H1107" s="1013">
        <v>2</v>
      </c>
      <c r="I1107" s="1932" t="str">
        <f>+VLOOKUP(H1107,TT_Tabelle_Riferimento!$F$3:$G$6,2,FALSE)</f>
        <v>Fognatura bianca e pulizia / manutenzione caditoie stradali</v>
      </c>
      <c r="J1107" s="1013">
        <v>2029</v>
      </c>
      <c r="K1107" s="2335">
        <f>+SUMIFS('PdI-crono_inv'!BL:BL,'PdI-crono_inv'!CF:CF,F1107,'PdI-crono_inv'!CE:CE,H1107,'PdI-crono_inv'!J:J,P1107,'PdI-crono_inv'!P:P,"&lt;&gt;proprietario")</f>
        <v>0</v>
      </c>
      <c r="M1107" s="2335">
        <f>+SUMIFS('PdI-crono_inv'!BM:BM,'PdI-crono_inv'!CF:CF,F1107,'PdI-crono_inv'!CE:CE,H1107,'PdI-crono_inv'!J:J,P1107,'PdI-crono_inv'!P:P,"&lt;&gt;proprietario")+S1107</f>
        <v>0</v>
      </c>
      <c r="P1107" s="1013" t="s">
        <v>25486</v>
      </c>
      <c r="Q1107" s="1932" t="str">
        <f>+VLOOKUP(F1107,TT_Tabelle_Riferimento!$D$127:$E$164,2,FALSE)</f>
        <v>Acquedotto</v>
      </c>
      <c r="R1107" s="1932" t="str">
        <f t="shared" si="97"/>
        <v/>
      </c>
      <c r="S1107" s="2335">
        <f t="shared" si="98"/>
        <v>0</v>
      </c>
    </row>
    <row r="1108" spans="1:19">
      <c r="A1108" s="1932">
        <f t="shared" ref="A1108:A1171" si="99">+idato</f>
        <v>0</v>
      </c>
      <c r="B1108" s="1932">
        <f t="shared" ref="B1108:B1171" si="100">+idgestore</f>
        <v>0</v>
      </c>
      <c r="C1108" s="1013" t="s">
        <v>245</v>
      </c>
      <c r="D1108" s="1013">
        <v>0</v>
      </c>
      <c r="E1108" s="1013" t="s">
        <v>22698</v>
      </c>
      <c r="F1108" s="1013">
        <v>2</v>
      </c>
      <c r="G1108" s="1932" t="str">
        <f>+VLOOKUP(F1108,TT_Tabelle_Riferimento!$D$127:$G$164,4,FALSE)</f>
        <v>Condotte di acquedotto</v>
      </c>
      <c r="H1108" s="1013">
        <v>3</v>
      </c>
      <c r="I1108" s="1932" t="str">
        <f>+VLOOKUP(H1108,TT_Tabelle_Riferimento!$F$3:$G$6,2,FALSE)</f>
        <v>Altri servizi idrici</v>
      </c>
      <c r="J1108" s="1013">
        <v>2029</v>
      </c>
      <c r="K1108" s="2335">
        <f>+SUMIFS('PdI-crono_inv'!BL:BL,'PdI-crono_inv'!CF:CF,F1108,'PdI-crono_inv'!CE:CE,H1108,'PdI-crono_inv'!J:J,P1108,'PdI-crono_inv'!P:P,"&lt;&gt;proprietario")</f>
        <v>0</v>
      </c>
      <c r="M1108" s="2335">
        <f>+SUMIFS('PdI-crono_inv'!BM:BM,'PdI-crono_inv'!CF:CF,F1108,'PdI-crono_inv'!CE:CE,H1108,'PdI-crono_inv'!J:J,P1108,'PdI-crono_inv'!P:P,"&lt;&gt;proprietario")+S1108</f>
        <v>0</v>
      </c>
      <c r="P1108" s="1013" t="s">
        <v>25486</v>
      </c>
      <c r="Q1108" s="1932" t="str">
        <f>+VLOOKUP(F1108,TT_Tabelle_Riferimento!$D$127:$E$164,2,FALSE)</f>
        <v>Acquedotto</v>
      </c>
      <c r="R1108" s="1932" t="str">
        <f t="shared" si="97"/>
        <v/>
      </c>
      <c r="S1108" s="2335">
        <f t="shared" si="98"/>
        <v>0</v>
      </c>
    </row>
    <row r="1109" spans="1:19">
      <c r="A1109" s="1932">
        <f t="shared" si="99"/>
        <v>0</v>
      </c>
      <c r="B1109" s="1932">
        <f t="shared" si="100"/>
        <v>0</v>
      </c>
      <c r="C1109" s="1013" t="s">
        <v>245</v>
      </c>
      <c r="D1109" s="1013">
        <v>0</v>
      </c>
      <c r="E1109" s="1013" t="s">
        <v>22698</v>
      </c>
      <c r="F1109" s="1013">
        <v>3</v>
      </c>
      <c r="G1109" s="1932" t="str">
        <f>+VLOOKUP(F1109,TT_Tabelle_Riferimento!$D$127:$G$164,4,FALSE)</f>
        <v>Opere idrauliche fisse di acquedotto</v>
      </c>
      <c r="H1109" s="1013">
        <v>3</v>
      </c>
      <c r="I1109" s="1932" t="str">
        <f>+VLOOKUP(H1109,TT_Tabelle_Riferimento!$F$3:$G$6,2,FALSE)</f>
        <v>Altri servizi idrici</v>
      </c>
      <c r="J1109" s="1013">
        <v>2029</v>
      </c>
      <c r="K1109" s="2335">
        <f>+SUMIFS('PdI-crono_inv'!BL:BL,'PdI-crono_inv'!CF:CF,F1109,'PdI-crono_inv'!CE:CE,H1109,'PdI-crono_inv'!J:J,P1109,'PdI-crono_inv'!P:P,"&lt;&gt;proprietario")</f>
        <v>0</v>
      </c>
      <c r="M1109" s="2335">
        <f>+SUMIFS('PdI-crono_inv'!BM:BM,'PdI-crono_inv'!CF:CF,F1109,'PdI-crono_inv'!CE:CE,H1109,'PdI-crono_inv'!J:J,P1109,'PdI-crono_inv'!P:P,"&lt;&gt;proprietario")+S1109</f>
        <v>0</v>
      </c>
      <c r="P1109" s="1013" t="s">
        <v>25486</v>
      </c>
      <c r="Q1109" s="1932" t="str">
        <f>+VLOOKUP(F1109,TT_Tabelle_Riferimento!$D$127:$E$164,2,FALSE)</f>
        <v>Acquedotto</v>
      </c>
      <c r="R1109" s="1932" t="str">
        <f t="shared" si="97"/>
        <v/>
      </c>
      <c r="S1109" s="2335">
        <f t="shared" si="98"/>
        <v>0</v>
      </c>
    </row>
    <row r="1110" spans="1:19">
      <c r="A1110" s="1932">
        <f t="shared" si="99"/>
        <v>0</v>
      </c>
      <c r="B1110" s="1932">
        <f t="shared" si="100"/>
        <v>0</v>
      </c>
      <c r="C1110" s="1013" t="s">
        <v>245</v>
      </c>
      <c r="D1110" s="1013">
        <v>0</v>
      </c>
      <c r="E1110" s="1013" t="s">
        <v>22698</v>
      </c>
      <c r="F1110" s="1013">
        <v>4</v>
      </c>
      <c r="G1110" s="1932" t="str">
        <f>+VLOOKUP(F1110,TT_Tabelle_Riferimento!$D$127:$G$164,4,FALSE)</f>
        <v>Serbatoi</v>
      </c>
      <c r="H1110" s="1013">
        <v>3</v>
      </c>
      <c r="I1110" s="1932" t="str">
        <f>+VLOOKUP(H1110,TT_Tabelle_Riferimento!$F$3:$G$6,2,FALSE)</f>
        <v>Altri servizi idrici</v>
      </c>
      <c r="J1110" s="1013">
        <v>2029</v>
      </c>
      <c r="K1110" s="2335">
        <f>+SUMIFS('PdI-crono_inv'!BL:BL,'PdI-crono_inv'!CF:CF,F1110,'PdI-crono_inv'!CE:CE,H1110,'PdI-crono_inv'!J:J,P1110,'PdI-crono_inv'!P:P,"&lt;&gt;proprietario")</f>
        <v>0</v>
      </c>
      <c r="M1110" s="2335">
        <f>+SUMIFS('PdI-crono_inv'!BM:BM,'PdI-crono_inv'!CF:CF,F1110,'PdI-crono_inv'!CE:CE,H1110,'PdI-crono_inv'!J:J,P1110,'PdI-crono_inv'!P:P,"&lt;&gt;proprietario")+S1110</f>
        <v>0</v>
      </c>
      <c r="P1110" s="1013" t="s">
        <v>25486</v>
      </c>
      <c r="Q1110" s="1932" t="str">
        <f>+VLOOKUP(F1110,TT_Tabelle_Riferimento!$D$127:$E$164,2,FALSE)</f>
        <v>Acquedotto</v>
      </c>
      <c r="R1110" s="1932" t="str">
        <f t="shared" si="97"/>
        <v/>
      </c>
      <c r="S1110" s="2335">
        <f t="shared" si="98"/>
        <v>0</v>
      </c>
    </row>
    <row r="1111" spans="1:19">
      <c r="A1111" s="1932">
        <f t="shared" si="99"/>
        <v>0</v>
      </c>
      <c r="B1111" s="1932">
        <f t="shared" si="100"/>
        <v>0</v>
      </c>
      <c r="C1111" s="1013" t="s">
        <v>245</v>
      </c>
      <c r="D1111" s="1013">
        <v>0</v>
      </c>
      <c r="E1111" s="1013" t="s">
        <v>22698</v>
      </c>
      <c r="F1111" s="1013">
        <v>5</v>
      </c>
      <c r="G1111" s="1932" t="str">
        <f>+VLOOKUP(F1111,TT_Tabelle_Riferimento!$D$127:$G$164,4,FALSE)</f>
        <v>Impianti di sollevamento e pompaggio di acquedotto</v>
      </c>
      <c r="H1111" s="1013">
        <v>3</v>
      </c>
      <c r="I1111" s="1932" t="str">
        <f>+VLOOKUP(H1111,TT_Tabelle_Riferimento!$F$3:$G$6,2,FALSE)</f>
        <v>Altri servizi idrici</v>
      </c>
      <c r="J1111" s="1013">
        <v>2029</v>
      </c>
      <c r="K1111" s="2335">
        <f>+SUMIFS('PdI-crono_inv'!BL:BL,'PdI-crono_inv'!CF:CF,F1111,'PdI-crono_inv'!CE:CE,H1111,'PdI-crono_inv'!J:J,P1111,'PdI-crono_inv'!P:P,"&lt;&gt;proprietario")</f>
        <v>0</v>
      </c>
      <c r="M1111" s="2335">
        <f>+SUMIFS('PdI-crono_inv'!BM:BM,'PdI-crono_inv'!CF:CF,F1111,'PdI-crono_inv'!CE:CE,H1111,'PdI-crono_inv'!J:J,P1111,'PdI-crono_inv'!P:P,"&lt;&gt;proprietario")+S1111</f>
        <v>0</v>
      </c>
      <c r="P1111" s="1013" t="s">
        <v>25486</v>
      </c>
      <c r="Q1111" s="1932" t="str">
        <f>+VLOOKUP(F1111,TT_Tabelle_Riferimento!$D$127:$E$164,2,FALSE)</f>
        <v>Acquedotto</v>
      </c>
      <c r="R1111" s="1932" t="str">
        <f t="shared" si="97"/>
        <v/>
      </c>
      <c r="S1111" s="2335">
        <f t="shared" si="98"/>
        <v>0</v>
      </c>
    </row>
    <row r="1112" spans="1:19">
      <c r="A1112" s="1932">
        <f t="shared" si="99"/>
        <v>0</v>
      </c>
      <c r="B1112" s="1932">
        <f t="shared" si="100"/>
        <v>0</v>
      </c>
      <c r="C1112" s="1013" t="s">
        <v>245</v>
      </c>
      <c r="D1112" s="1013">
        <v>0</v>
      </c>
      <c r="E1112" s="1013" t="s">
        <v>22698</v>
      </c>
      <c r="F1112" s="1013">
        <v>6</v>
      </c>
      <c r="G1112" s="1932" t="str">
        <f>+VLOOKUP(F1112,TT_Tabelle_Riferimento!$D$127:$G$164,4,FALSE)</f>
        <v>Impianti di potabilizzazione</v>
      </c>
      <c r="H1112" s="1013">
        <v>3</v>
      </c>
      <c r="I1112" s="1932" t="str">
        <f>+VLOOKUP(H1112,TT_Tabelle_Riferimento!$F$3:$G$6,2,FALSE)</f>
        <v>Altri servizi idrici</v>
      </c>
      <c r="J1112" s="1013">
        <v>2029</v>
      </c>
      <c r="K1112" s="2335">
        <f>+SUMIFS('PdI-crono_inv'!BL:BL,'PdI-crono_inv'!CF:CF,F1112,'PdI-crono_inv'!CE:CE,H1112,'PdI-crono_inv'!J:J,P1112,'PdI-crono_inv'!P:P,"&lt;&gt;proprietario")</f>
        <v>0</v>
      </c>
      <c r="M1112" s="2335">
        <f>+SUMIFS('PdI-crono_inv'!BM:BM,'PdI-crono_inv'!CF:CF,F1112,'PdI-crono_inv'!CE:CE,H1112,'PdI-crono_inv'!J:J,P1112,'PdI-crono_inv'!P:P,"&lt;&gt;proprietario")+S1112</f>
        <v>0</v>
      </c>
      <c r="P1112" s="1013" t="s">
        <v>25486</v>
      </c>
      <c r="Q1112" s="1932" t="str">
        <f>+VLOOKUP(F1112,TT_Tabelle_Riferimento!$D$127:$E$164,2,FALSE)</f>
        <v>Acquedotto</v>
      </c>
      <c r="R1112" s="1932" t="str">
        <f t="shared" si="97"/>
        <v/>
      </c>
      <c r="S1112" s="2335">
        <f t="shared" si="98"/>
        <v>0</v>
      </c>
    </row>
    <row r="1113" spans="1:19">
      <c r="A1113" s="1932">
        <f t="shared" si="99"/>
        <v>0</v>
      </c>
      <c r="B1113" s="1932">
        <f t="shared" si="100"/>
        <v>0</v>
      </c>
      <c r="C1113" s="1013" t="s">
        <v>245</v>
      </c>
      <c r="D1113" s="1013">
        <v>0</v>
      </c>
      <c r="E1113" s="1013" t="s">
        <v>22698</v>
      </c>
      <c r="F1113" s="1013">
        <v>7</v>
      </c>
      <c r="G1113" s="1932" t="str">
        <f>+VLOOKUP(F1113,TT_Tabelle_Riferimento!$D$127:$G$164,4,FALSE)</f>
        <v>Altri trattamenti di potabilizzazione (tra cui dispositivi di disinfezione, stacciatura, filtrazione, addolcimento)</v>
      </c>
      <c r="H1113" s="1013">
        <v>3</v>
      </c>
      <c r="I1113" s="1932" t="str">
        <f>+VLOOKUP(H1113,TT_Tabelle_Riferimento!$F$3:$G$6,2,FALSE)</f>
        <v>Altri servizi idrici</v>
      </c>
      <c r="J1113" s="1013">
        <v>2029</v>
      </c>
      <c r="K1113" s="2335">
        <f>+SUMIFS('PdI-crono_inv'!BL:BL,'PdI-crono_inv'!CF:CF,F1113,'PdI-crono_inv'!CE:CE,H1113,'PdI-crono_inv'!J:J,P1113,'PdI-crono_inv'!P:P,"&lt;&gt;proprietario")</f>
        <v>0</v>
      </c>
      <c r="M1113" s="2335">
        <f>+SUMIFS('PdI-crono_inv'!BM:BM,'PdI-crono_inv'!CF:CF,F1113,'PdI-crono_inv'!CE:CE,H1113,'PdI-crono_inv'!J:J,P1113,'PdI-crono_inv'!P:P,"&lt;&gt;proprietario")+S1113</f>
        <v>0</v>
      </c>
      <c r="P1113" s="1013" t="s">
        <v>25486</v>
      </c>
      <c r="Q1113" s="1932" t="str">
        <f>+VLOOKUP(F1113,TT_Tabelle_Riferimento!$D$127:$E$164,2,FALSE)</f>
        <v>Acquedotto</v>
      </c>
      <c r="R1113" s="1932" t="str">
        <f t="shared" si="97"/>
        <v/>
      </c>
      <c r="S1113" s="2335">
        <f t="shared" si="98"/>
        <v>0</v>
      </c>
    </row>
    <row r="1114" spans="1:19">
      <c r="A1114" s="1932">
        <f t="shared" si="99"/>
        <v>0</v>
      </c>
      <c r="B1114" s="1932">
        <f t="shared" si="100"/>
        <v>0</v>
      </c>
      <c r="C1114" s="1013" t="s">
        <v>245</v>
      </c>
      <c r="D1114" s="1013">
        <v>0</v>
      </c>
      <c r="E1114" s="1013" t="s">
        <v>22698</v>
      </c>
      <c r="F1114" s="1013">
        <v>8</v>
      </c>
      <c r="G1114" s="1932" t="str">
        <f>+VLOOKUP(F1114,TT_Tabelle_Riferimento!$D$127:$G$164,4,FALSE)</f>
        <v>Gruppi di misura - altre attrezzature di acquedotto</v>
      </c>
      <c r="H1114" s="1013">
        <v>3</v>
      </c>
      <c r="I1114" s="1932" t="str">
        <f>+VLOOKUP(H1114,TT_Tabelle_Riferimento!$F$3:$G$6,2,FALSE)</f>
        <v>Altri servizi idrici</v>
      </c>
      <c r="J1114" s="1013">
        <v>2029</v>
      </c>
      <c r="K1114" s="2335">
        <f>+SUMIFS('PdI-crono_inv'!BL:BL,'PdI-crono_inv'!CF:CF,F1114,'PdI-crono_inv'!CE:CE,H1114,'PdI-crono_inv'!J:J,P1114,'PdI-crono_inv'!P:P,"&lt;&gt;proprietario")</f>
        <v>0</v>
      </c>
      <c r="M1114" s="2335">
        <f>+SUMIFS('PdI-crono_inv'!BM:BM,'PdI-crono_inv'!CF:CF,F1114,'PdI-crono_inv'!CE:CE,H1114,'PdI-crono_inv'!J:J,P1114,'PdI-crono_inv'!P:P,"&lt;&gt;proprietario")+S1114</f>
        <v>0</v>
      </c>
      <c r="P1114" s="1013" t="s">
        <v>25486</v>
      </c>
      <c r="Q1114" s="1932" t="str">
        <f>+VLOOKUP(F1114,TT_Tabelle_Riferimento!$D$127:$E$164,2,FALSE)</f>
        <v>Acquedotto</v>
      </c>
      <c r="R1114" s="1932" t="str">
        <f t="shared" si="97"/>
        <v/>
      </c>
      <c r="S1114" s="2335">
        <f t="shared" si="98"/>
        <v>0</v>
      </c>
    </row>
    <row r="1115" spans="1:19">
      <c r="A1115" s="1932">
        <f t="shared" si="99"/>
        <v>0</v>
      </c>
      <c r="B1115" s="1932">
        <f t="shared" si="100"/>
        <v>0</v>
      </c>
      <c r="C1115" s="1013" t="s">
        <v>245</v>
      </c>
      <c r="D1115" s="1013">
        <v>0</v>
      </c>
      <c r="E1115" s="1013" t="s">
        <v>22698</v>
      </c>
      <c r="F1115" s="1013">
        <v>9</v>
      </c>
      <c r="G1115" s="1932" t="str">
        <f>+VLOOKUP(F1115,TT_Tabelle_Riferimento!$D$127:$G$164,4,FALSE)</f>
        <v>Sistemi informativi di acquedotto</v>
      </c>
      <c r="H1115" s="1013">
        <v>3</v>
      </c>
      <c r="I1115" s="1932" t="str">
        <f>+VLOOKUP(H1115,TT_Tabelle_Riferimento!$F$3:$G$6,2,FALSE)</f>
        <v>Altri servizi idrici</v>
      </c>
      <c r="J1115" s="1013">
        <v>2029</v>
      </c>
      <c r="K1115" s="2335">
        <f>+SUMIFS('PdI-crono_inv'!BL:BL,'PdI-crono_inv'!CF:CF,F1115,'PdI-crono_inv'!CE:CE,H1115,'PdI-crono_inv'!J:J,P1115,'PdI-crono_inv'!P:P,"&lt;&gt;proprietario")</f>
        <v>0</v>
      </c>
      <c r="M1115" s="2335">
        <f>+SUMIFS('PdI-crono_inv'!BM:BM,'PdI-crono_inv'!CF:CF,F1115,'PdI-crono_inv'!CE:CE,H1115,'PdI-crono_inv'!J:J,P1115,'PdI-crono_inv'!P:P,"&lt;&gt;proprietario")+S1115</f>
        <v>0</v>
      </c>
      <c r="P1115" s="1013" t="s">
        <v>25486</v>
      </c>
      <c r="Q1115" s="1932" t="str">
        <f>+VLOOKUP(F1115,TT_Tabelle_Riferimento!$D$127:$E$164,2,FALSE)</f>
        <v>Acquedotto</v>
      </c>
      <c r="R1115" s="1932" t="str">
        <f t="shared" si="97"/>
        <v/>
      </c>
      <c r="S1115" s="2335">
        <f t="shared" si="98"/>
        <v>0</v>
      </c>
    </row>
    <row r="1116" spans="1:19">
      <c r="A1116" s="1932">
        <f t="shared" si="99"/>
        <v>0</v>
      </c>
      <c r="B1116" s="1932">
        <f t="shared" si="100"/>
        <v>0</v>
      </c>
      <c r="C1116" s="1013" t="s">
        <v>245</v>
      </c>
      <c r="D1116" s="1013">
        <v>0</v>
      </c>
      <c r="E1116" s="1013" t="s">
        <v>22698</v>
      </c>
      <c r="F1116" s="1013">
        <v>10</v>
      </c>
      <c r="G1116" s="1932" t="str">
        <f>+VLOOKUP(F1116,TT_Tabelle_Riferimento!$D$127:$G$164,4,FALSE)</f>
        <v>Telecontrollo e teletrasmissione di acquedotto</v>
      </c>
      <c r="H1116" s="1013">
        <v>3</v>
      </c>
      <c r="I1116" s="1932" t="str">
        <f>+VLOOKUP(H1116,TT_Tabelle_Riferimento!$F$3:$G$6,2,FALSE)</f>
        <v>Altri servizi idrici</v>
      </c>
      <c r="J1116" s="1013">
        <v>2029</v>
      </c>
      <c r="K1116" s="2335">
        <f>+SUMIFS('PdI-crono_inv'!BL:BL,'PdI-crono_inv'!CF:CF,F1116,'PdI-crono_inv'!CE:CE,H1116,'PdI-crono_inv'!J:J,P1116,'PdI-crono_inv'!P:P,"&lt;&gt;proprietario")</f>
        <v>0</v>
      </c>
      <c r="M1116" s="2335">
        <f>+SUMIFS('PdI-crono_inv'!BM:BM,'PdI-crono_inv'!CF:CF,F1116,'PdI-crono_inv'!CE:CE,H1116,'PdI-crono_inv'!J:J,P1116,'PdI-crono_inv'!P:P,"&lt;&gt;proprietario")+S1116</f>
        <v>0</v>
      </c>
      <c r="P1116" s="1013" t="s">
        <v>25486</v>
      </c>
      <c r="Q1116" s="1932" t="str">
        <f>+VLOOKUP(F1116,TT_Tabelle_Riferimento!$D$127:$E$164,2,FALSE)</f>
        <v>Acquedotto</v>
      </c>
      <c r="R1116" s="1932" t="str">
        <f t="shared" si="97"/>
        <v/>
      </c>
      <c r="S1116" s="2335">
        <f t="shared" si="98"/>
        <v>0</v>
      </c>
    </row>
    <row r="1117" spans="1:19">
      <c r="A1117" s="1932">
        <f t="shared" si="99"/>
        <v>0</v>
      </c>
      <c r="B1117" s="1932">
        <f t="shared" si="100"/>
        <v>0</v>
      </c>
      <c r="C1117" s="1013" t="s">
        <v>245</v>
      </c>
      <c r="D1117" s="1013">
        <v>0</v>
      </c>
      <c r="E1117" s="1013" t="s">
        <v>22698</v>
      </c>
      <c r="F1117" s="1013">
        <v>11</v>
      </c>
      <c r="G1117" s="1932" t="str">
        <f>+VLOOKUP(F1117,TT_Tabelle_Riferimento!$D$127:$G$164,4,FALSE)</f>
        <v>Condotte fognarie</v>
      </c>
      <c r="H1117" s="1013">
        <v>3</v>
      </c>
      <c r="I1117" s="1932" t="str">
        <f>+VLOOKUP(H1117,TT_Tabelle_Riferimento!$F$3:$G$6,2,FALSE)</f>
        <v>Altri servizi idrici</v>
      </c>
      <c r="J1117" s="1013">
        <v>2029</v>
      </c>
      <c r="K1117" s="2335">
        <f>+SUMIFS('PdI-crono_inv'!BL:BL,'PdI-crono_inv'!CF:CF,F1117,'PdI-crono_inv'!CE:CE,H1117,'PdI-crono_inv'!J:J,P1117,'PdI-crono_inv'!P:P,"&lt;&gt;proprietario")</f>
        <v>0</v>
      </c>
      <c r="M1117" s="2335">
        <f>+SUMIFS('PdI-crono_inv'!BM:BM,'PdI-crono_inv'!CF:CF,F1117,'PdI-crono_inv'!CE:CE,H1117,'PdI-crono_inv'!J:J,P1117,'PdI-crono_inv'!P:P,"&lt;&gt;proprietario")+S1117</f>
        <v>0</v>
      </c>
      <c r="P1117" s="1013" t="s">
        <v>25486</v>
      </c>
      <c r="Q1117" s="1932" t="str">
        <f>+VLOOKUP(F1117,TT_Tabelle_Riferimento!$D$127:$E$164,2,FALSE)</f>
        <v>Fognatura</v>
      </c>
      <c r="R1117" s="1932" t="str">
        <f t="shared" si="97"/>
        <v/>
      </c>
      <c r="S1117" s="2335">
        <f t="shared" si="98"/>
        <v>0</v>
      </c>
    </row>
    <row r="1118" spans="1:19">
      <c r="A1118" s="1932">
        <f t="shared" si="99"/>
        <v>0</v>
      </c>
      <c r="B1118" s="1932">
        <f t="shared" si="100"/>
        <v>0</v>
      </c>
      <c r="C1118" s="1013" t="s">
        <v>245</v>
      </c>
      <c r="D1118" s="1013">
        <v>0</v>
      </c>
      <c r="E1118" s="1013" t="s">
        <v>22698</v>
      </c>
      <c r="F1118" s="1013">
        <v>12</v>
      </c>
      <c r="G1118" s="1932" t="str">
        <f>+VLOOKUP(F1118,TT_Tabelle_Riferimento!$D$127:$G$164,4,FALSE)</f>
        <v>Sifoni e scaricatori di piena e altre opere idrauliche fisse di fognatura</v>
      </c>
      <c r="H1118" s="1013">
        <v>3</v>
      </c>
      <c r="I1118" s="1932" t="str">
        <f>+VLOOKUP(H1118,TT_Tabelle_Riferimento!$F$3:$G$6,2,FALSE)</f>
        <v>Altri servizi idrici</v>
      </c>
      <c r="J1118" s="1013">
        <v>2029</v>
      </c>
      <c r="K1118" s="2335">
        <f>+SUMIFS('PdI-crono_inv'!BL:BL,'PdI-crono_inv'!CF:CF,F1118,'PdI-crono_inv'!CE:CE,H1118,'PdI-crono_inv'!J:J,P1118,'PdI-crono_inv'!P:P,"&lt;&gt;proprietario")</f>
        <v>0</v>
      </c>
      <c r="M1118" s="2335">
        <f>+SUMIFS('PdI-crono_inv'!BM:BM,'PdI-crono_inv'!CF:CF,F1118,'PdI-crono_inv'!CE:CE,H1118,'PdI-crono_inv'!J:J,P1118,'PdI-crono_inv'!P:P,"&lt;&gt;proprietario")+S1118</f>
        <v>0</v>
      </c>
      <c r="P1118" s="1013" t="s">
        <v>25486</v>
      </c>
      <c r="Q1118" s="1932" t="str">
        <f>+VLOOKUP(F1118,TT_Tabelle_Riferimento!$D$127:$E$164,2,FALSE)</f>
        <v>Fognatura</v>
      </c>
      <c r="R1118" s="1932" t="str">
        <f t="shared" si="97"/>
        <v/>
      </c>
      <c r="S1118" s="2335">
        <f t="shared" si="98"/>
        <v>0</v>
      </c>
    </row>
    <row r="1119" spans="1:19">
      <c r="A1119" s="1932">
        <f t="shared" si="99"/>
        <v>0</v>
      </c>
      <c r="B1119" s="1932">
        <f t="shared" si="100"/>
        <v>0</v>
      </c>
      <c r="C1119" s="1013" t="s">
        <v>245</v>
      </c>
      <c r="D1119" s="1013">
        <v>0</v>
      </c>
      <c r="E1119" s="1013" t="s">
        <v>22698</v>
      </c>
      <c r="F1119" s="1013">
        <v>13</v>
      </c>
      <c r="G1119" s="1932" t="str">
        <f>+VLOOKUP(F1119,TT_Tabelle_Riferimento!$D$127:$G$164,4,FALSE)</f>
        <v>Vasche di laminazione e vasche di prima pioggia</v>
      </c>
      <c r="H1119" s="1013">
        <v>3</v>
      </c>
      <c r="I1119" s="1932" t="str">
        <f>+VLOOKUP(H1119,TT_Tabelle_Riferimento!$F$3:$G$6,2,FALSE)</f>
        <v>Altri servizi idrici</v>
      </c>
      <c r="J1119" s="1013">
        <v>2029</v>
      </c>
      <c r="K1119" s="2335">
        <f>+SUMIFS('PdI-crono_inv'!BL:BL,'PdI-crono_inv'!CF:CF,F1119,'PdI-crono_inv'!CE:CE,H1119,'PdI-crono_inv'!J:J,P1119,'PdI-crono_inv'!P:P,"&lt;&gt;proprietario")</f>
        <v>0</v>
      </c>
      <c r="M1119" s="2335">
        <f>+SUMIFS('PdI-crono_inv'!BM:BM,'PdI-crono_inv'!CF:CF,F1119,'PdI-crono_inv'!CE:CE,H1119,'PdI-crono_inv'!J:J,P1119,'PdI-crono_inv'!P:P,"&lt;&gt;proprietario")+S1119</f>
        <v>0</v>
      </c>
      <c r="P1119" s="1013" t="s">
        <v>25486</v>
      </c>
      <c r="Q1119" s="1932" t="str">
        <f>+VLOOKUP(F1119,TT_Tabelle_Riferimento!$D$127:$E$164,2,FALSE)</f>
        <v>Fognatura</v>
      </c>
      <c r="R1119" s="1932" t="str">
        <f t="shared" si="97"/>
        <v/>
      </c>
      <c r="S1119" s="2335">
        <f t="shared" si="98"/>
        <v>0</v>
      </c>
    </row>
    <row r="1120" spans="1:19">
      <c r="A1120" s="1932">
        <f t="shared" si="99"/>
        <v>0</v>
      </c>
      <c r="B1120" s="1932">
        <f t="shared" si="100"/>
        <v>0</v>
      </c>
      <c r="C1120" s="1013" t="s">
        <v>245</v>
      </c>
      <c r="D1120" s="1013">
        <v>0</v>
      </c>
      <c r="E1120" s="1013" t="s">
        <v>22698</v>
      </c>
      <c r="F1120" s="1013">
        <v>14</v>
      </c>
      <c r="G1120" s="1932" t="str">
        <f>+VLOOKUP(F1120,TT_Tabelle_Riferimento!$D$127:$G$164,4,FALSE)</f>
        <v>Impianti di sollevamento e pompaggio di fognatura</v>
      </c>
      <c r="H1120" s="1013">
        <v>3</v>
      </c>
      <c r="I1120" s="1932" t="str">
        <f>+VLOOKUP(H1120,TT_Tabelle_Riferimento!$F$3:$G$6,2,FALSE)</f>
        <v>Altri servizi idrici</v>
      </c>
      <c r="J1120" s="1013">
        <v>2029</v>
      </c>
      <c r="K1120" s="2335">
        <f>+SUMIFS('PdI-crono_inv'!BL:BL,'PdI-crono_inv'!CF:CF,F1120,'PdI-crono_inv'!CE:CE,H1120,'PdI-crono_inv'!J:J,P1120,'PdI-crono_inv'!P:P,"&lt;&gt;proprietario")</f>
        <v>0</v>
      </c>
      <c r="M1120" s="2335">
        <f>+SUMIFS('PdI-crono_inv'!BM:BM,'PdI-crono_inv'!CF:CF,F1120,'PdI-crono_inv'!CE:CE,H1120,'PdI-crono_inv'!J:J,P1120,'PdI-crono_inv'!P:P,"&lt;&gt;proprietario")+S1120</f>
        <v>0</v>
      </c>
      <c r="P1120" s="1013" t="s">
        <v>25486</v>
      </c>
      <c r="Q1120" s="1932" t="str">
        <f>+VLOOKUP(F1120,TT_Tabelle_Riferimento!$D$127:$E$164,2,FALSE)</f>
        <v>Fognatura</v>
      </c>
      <c r="R1120" s="1932" t="str">
        <f t="shared" si="97"/>
        <v/>
      </c>
      <c r="S1120" s="2335">
        <f t="shared" si="98"/>
        <v>0</v>
      </c>
    </row>
    <row r="1121" spans="1:19">
      <c r="A1121" s="1932">
        <f t="shared" si="99"/>
        <v>0</v>
      </c>
      <c r="B1121" s="1932">
        <f t="shared" si="100"/>
        <v>0</v>
      </c>
      <c r="C1121" s="1013" t="s">
        <v>245</v>
      </c>
      <c r="D1121" s="1013">
        <v>0</v>
      </c>
      <c r="E1121" s="1013" t="s">
        <v>22698</v>
      </c>
      <c r="F1121" s="1013">
        <v>15</v>
      </c>
      <c r="G1121" s="1932" t="str">
        <f>+VLOOKUP(F1121,TT_Tabelle_Riferimento!$D$127:$G$164,4,FALSE)</f>
        <v>Gruppi di misura - altre attrezzature di fognatura</v>
      </c>
      <c r="H1121" s="1013">
        <v>3</v>
      </c>
      <c r="I1121" s="1932" t="str">
        <f>+VLOOKUP(H1121,TT_Tabelle_Riferimento!$F$3:$G$6,2,FALSE)</f>
        <v>Altri servizi idrici</v>
      </c>
      <c r="J1121" s="1013">
        <v>2029</v>
      </c>
      <c r="K1121" s="2335">
        <f>+SUMIFS('PdI-crono_inv'!BL:BL,'PdI-crono_inv'!CF:CF,F1121,'PdI-crono_inv'!CE:CE,H1121,'PdI-crono_inv'!J:J,P1121,'PdI-crono_inv'!P:P,"&lt;&gt;proprietario")</f>
        <v>0</v>
      </c>
      <c r="M1121" s="2335">
        <f>+SUMIFS('PdI-crono_inv'!BM:BM,'PdI-crono_inv'!CF:CF,F1121,'PdI-crono_inv'!CE:CE,H1121,'PdI-crono_inv'!J:J,P1121,'PdI-crono_inv'!P:P,"&lt;&gt;proprietario")+S1121</f>
        <v>0</v>
      </c>
      <c r="P1121" s="1013" t="s">
        <v>25486</v>
      </c>
      <c r="Q1121" s="1932" t="str">
        <f>+VLOOKUP(F1121,TT_Tabelle_Riferimento!$D$127:$E$164,2,FALSE)</f>
        <v>Fognatura</v>
      </c>
      <c r="R1121" s="1932" t="str">
        <f t="shared" si="97"/>
        <v/>
      </c>
      <c r="S1121" s="2335">
        <f t="shared" si="98"/>
        <v>0</v>
      </c>
    </row>
    <row r="1122" spans="1:19">
      <c r="A1122" s="1932">
        <f t="shared" si="99"/>
        <v>0</v>
      </c>
      <c r="B1122" s="1932">
        <f t="shared" si="100"/>
        <v>0</v>
      </c>
      <c r="C1122" s="1013" t="s">
        <v>245</v>
      </c>
      <c r="D1122" s="1013">
        <v>0</v>
      </c>
      <c r="E1122" s="1013" t="s">
        <v>22698</v>
      </c>
      <c r="F1122" s="1013">
        <v>16</v>
      </c>
      <c r="G1122" s="1932" t="str">
        <f>+VLOOKUP(F1122,TT_Tabelle_Riferimento!$D$127:$G$164,4,FALSE)</f>
        <v>Sistemi informativi di fognatura</v>
      </c>
      <c r="H1122" s="1013">
        <v>3</v>
      </c>
      <c r="I1122" s="1932" t="str">
        <f>+VLOOKUP(H1122,TT_Tabelle_Riferimento!$F$3:$G$6,2,FALSE)</f>
        <v>Altri servizi idrici</v>
      </c>
      <c r="J1122" s="1013">
        <v>2029</v>
      </c>
      <c r="K1122" s="2335">
        <f>+SUMIFS('PdI-crono_inv'!BL:BL,'PdI-crono_inv'!CF:CF,F1122,'PdI-crono_inv'!CE:CE,H1122,'PdI-crono_inv'!J:J,P1122,'PdI-crono_inv'!P:P,"&lt;&gt;proprietario")</f>
        <v>0</v>
      </c>
      <c r="M1122" s="2335">
        <f>+SUMIFS('PdI-crono_inv'!BM:BM,'PdI-crono_inv'!CF:CF,F1122,'PdI-crono_inv'!CE:CE,H1122,'PdI-crono_inv'!J:J,P1122,'PdI-crono_inv'!P:P,"&lt;&gt;proprietario")+S1122</f>
        <v>0</v>
      </c>
      <c r="P1122" s="1013" t="s">
        <v>25486</v>
      </c>
      <c r="Q1122" s="1932" t="str">
        <f>+VLOOKUP(F1122,TT_Tabelle_Riferimento!$D$127:$E$164,2,FALSE)</f>
        <v>Fognatura</v>
      </c>
      <c r="R1122" s="1932" t="str">
        <f t="shared" si="97"/>
        <v/>
      </c>
      <c r="S1122" s="2335">
        <f t="shared" si="98"/>
        <v>0</v>
      </c>
    </row>
    <row r="1123" spans="1:19">
      <c r="A1123" s="1932">
        <f t="shared" si="99"/>
        <v>0</v>
      </c>
      <c r="B1123" s="1932">
        <f t="shared" si="100"/>
        <v>0</v>
      </c>
      <c r="C1123" s="1013" t="s">
        <v>245</v>
      </c>
      <c r="D1123" s="1013">
        <v>0</v>
      </c>
      <c r="E1123" s="1013" t="s">
        <v>22698</v>
      </c>
      <c r="F1123" s="1013">
        <v>18</v>
      </c>
      <c r="G1123" s="1932" t="str">
        <f>+VLOOKUP(F1123,TT_Tabelle_Riferimento!$D$127:$G$164,4,FALSE)</f>
        <v>Telecontrollo e teletrasmissione di fognatura</v>
      </c>
      <c r="H1123" s="1013">
        <v>3</v>
      </c>
      <c r="I1123" s="1932" t="str">
        <f>+VLOOKUP(H1123,TT_Tabelle_Riferimento!$F$3:$G$6,2,FALSE)</f>
        <v>Altri servizi idrici</v>
      </c>
      <c r="J1123" s="1013">
        <v>2029</v>
      </c>
      <c r="K1123" s="2335">
        <f>+SUMIFS('PdI-crono_inv'!BL:BL,'PdI-crono_inv'!CF:CF,F1123,'PdI-crono_inv'!CE:CE,H1123,'PdI-crono_inv'!J:J,P1123,'PdI-crono_inv'!P:P,"&lt;&gt;proprietario")</f>
        <v>0</v>
      </c>
      <c r="M1123" s="2335">
        <f>+SUMIFS('PdI-crono_inv'!BM:BM,'PdI-crono_inv'!CF:CF,F1123,'PdI-crono_inv'!CE:CE,H1123,'PdI-crono_inv'!J:J,P1123,'PdI-crono_inv'!P:P,"&lt;&gt;proprietario")+S1123</f>
        <v>0</v>
      </c>
      <c r="P1123" s="1013" t="s">
        <v>25486</v>
      </c>
      <c r="Q1123" s="1932" t="str">
        <f>+VLOOKUP(F1123,TT_Tabelle_Riferimento!$D$127:$E$164,2,FALSE)</f>
        <v>Fognatura</v>
      </c>
      <c r="R1123" s="1932" t="str">
        <f t="shared" si="97"/>
        <v/>
      </c>
      <c r="S1123" s="2335">
        <f t="shared" si="98"/>
        <v>0</v>
      </c>
    </row>
    <row r="1124" spans="1:19">
      <c r="A1124" s="1932">
        <f t="shared" si="99"/>
        <v>0</v>
      </c>
      <c r="B1124" s="1932">
        <f t="shared" si="100"/>
        <v>0</v>
      </c>
      <c r="C1124" s="1013" t="s">
        <v>245</v>
      </c>
      <c r="D1124" s="1013">
        <v>0</v>
      </c>
      <c r="E1124" s="1013" t="s">
        <v>22698</v>
      </c>
      <c r="F1124" s="1013">
        <v>19</v>
      </c>
      <c r="G1124" s="1932" t="str">
        <f>+VLOOKUP(F1124,TT_Tabelle_Riferimento!$D$127:$G$164,4,FALSE)</f>
        <v>Impianti di sollevamento e pompaggio di depurazione</v>
      </c>
      <c r="H1124" s="1013">
        <v>3</v>
      </c>
      <c r="I1124" s="1932" t="str">
        <f>+VLOOKUP(H1124,TT_Tabelle_Riferimento!$F$3:$G$6,2,FALSE)</f>
        <v>Altri servizi idrici</v>
      </c>
      <c r="J1124" s="1013">
        <v>2029</v>
      </c>
      <c r="K1124" s="2335">
        <f>+SUMIFS('PdI-crono_inv'!BL:BL,'PdI-crono_inv'!CF:CF,F1124,'PdI-crono_inv'!CE:CE,H1124,'PdI-crono_inv'!J:J,P1124,'PdI-crono_inv'!P:P,"&lt;&gt;proprietario")</f>
        <v>0</v>
      </c>
      <c r="M1124" s="2335">
        <f>+SUMIFS('PdI-crono_inv'!BM:BM,'PdI-crono_inv'!CF:CF,F1124,'PdI-crono_inv'!CE:CE,H1124,'PdI-crono_inv'!J:J,P1124,'PdI-crono_inv'!P:P,"&lt;&gt;proprietario")+S1124</f>
        <v>0</v>
      </c>
      <c r="P1124" s="1013" t="s">
        <v>25486</v>
      </c>
      <c r="Q1124" s="1932" t="str">
        <f>+VLOOKUP(F1124,TT_Tabelle_Riferimento!$D$127:$E$164,2,FALSE)</f>
        <v>Depurazione</v>
      </c>
      <c r="R1124" s="1932" t="str">
        <f t="shared" si="97"/>
        <v/>
      </c>
      <c r="S1124" s="2335">
        <f t="shared" si="98"/>
        <v>0</v>
      </c>
    </row>
    <row r="1125" spans="1:19">
      <c r="A1125" s="1932">
        <f t="shared" si="99"/>
        <v>0</v>
      </c>
      <c r="B1125" s="1932">
        <f t="shared" si="100"/>
        <v>0</v>
      </c>
      <c r="C1125" s="1013" t="s">
        <v>245</v>
      </c>
      <c r="D1125" s="1013">
        <v>0</v>
      </c>
      <c r="E1125" s="1013" t="s">
        <v>22698</v>
      </c>
      <c r="F1125" s="1013">
        <v>20</v>
      </c>
      <c r="G1125" s="1932" t="str">
        <f>+VLOOKUP(F1125,TT_Tabelle_Riferimento!$D$127:$G$164,4,FALSE)</f>
        <v>Tecniche naturali di depurazione (tra cui fitodepurazione e lagunaggio)</v>
      </c>
      <c r="H1125" s="1013">
        <v>3</v>
      </c>
      <c r="I1125" s="1932" t="str">
        <f>+VLOOKUP(H1125,TT_Tabelle_Riferimento!$F$3:$G$6,2,FALSE)</f>
        <v>Altri servizi idrici</v>
      </c>
      <c r="J1125" s="1013">
        <v>2029</v>
      </c>
      <c r="K1125" s="2335">
        <f>+SUMIFS('PdI-crono_inv'!BL:BL,'PdI-crono_inv'!CF:CF,F1125,'PdI-crono_inv'!CE:CE,H1125,'PdI-crono_inv'!J:J,P1125,'PdI-crono_inv'!P:P,"&lt;&gt;proprietario")</f>
        <v>0</v>
      </c>
      <c r="M1125" s="2335">
        <f>+SUMIFS('PdI-crono_inv'!BM:BM,'PdI-crono_inv'!CF:CF,F1125,'PdI-crono_inv'!CE:CE,H1125,'PdI-crono_inv'!J:J,P1125,'PdI-crono_inv'!P:P,"&lt;&gt;proprietario")+S1125</f>
        <v>0</v>
      </c>
      <c r="P1125" s="1013" t="s">
        <v>25486</v>
      </c>
      <c r="Q1125" s="1932" t="str">
        <f>+VLOOKUP(F1125,TT_Tabelle_Riferimento!$D$127:$E$164,2,FALSE)</f>
        <v>Depurazione</v>
      </c>
      <c r="R1125" s="1932" t="str">
        <f t="shared" si="97"/>
        <v/>
      </c>
      <c r="S1125" s="2335">
        <f t="shared" si="98"/>
        <v>0</v>
      </c>
    </row>
    <row r="1126" spans="1:19">
      <c r="A1126" s="1932">
        <f t="shared" si="99"/>
        <v>0</v>
      </c>
      <c r="B1126" s="1932">
        <f t="shared" si="100"/>
        <v>0</v>
      </c>
      <c r="C1126" s="1013" t="s">
        <v>245</v>
      </c>
      <c r="D1126" s="1013">
        <v>0</v>
      </c>
      <c r="E1126" s="1013" t="s">
        <v>22698</v>
      </c>
      <c r="F1126" s="1013">
        <v>21</v>
      </c>
      <c r="G1126" s="1932" t="str">
        <f>+VLOOKUP(F1126,TT_Tabelle_Riferimento!$D$127:$G$164,4,FALSE)</f>
        <v>Impianti di depurazione – trattamenti sino al preliminare, integrativo, primario - fosse settiche e fosse Imhoff</v>
      </c>
      <c r="H1126" s="1013">
        <v>3</v>
      </c>
      <c r="I1126" s="1932" t="str">
        <f>+VLOOKUP(H1126,TT_Tabelle_Riferimento!$F$3:$G$6,2,FALSE)</f>
        <v>Altri servizi idrici</v>
      </c>
      <c r="J1126" s="1013">
        <v>2029</v>
      </c>
      <c r="K1126" s="2335">
        <f>+SUMIFS('PdI-crono_inv'!BL:BL,'PdI-crono_inv'!CF:CF,F1126,'PdI-crono_inv'!CE:CE,H1126,'PdI-crono_inv'!J:J,P1126,'PdI-crono_inv'!P:P,"&lt;&gt;proprietario")</f>
        <v>0</v>
      </c>
      <c r="M1126" s="2335">
        <f>+SUMIFS('PdI-crono_inv'!BM:BM,'PdI-crono_inv'!CF:CF,F1126,'PdI-crono_inv'!CE:CE,H1126,'PdI-crono_inv'!J:J,P1126,'PdI-crono_inv'!P:P,"&lt;&gt;proprietario")+S1126</f>
        <v>0</v>
      </c>
      <c r="P1126" s="1013" t="s">
        <v>25486</v>
      </c>
      <c r="Q1126" s="1932" t="str">
        <f>+VLOOKUP(F1126,TT_Tabelle_Riferimento!$D$127:$E$164,2,FALSE)</f>
        <v>Depurazione</v>
      </c>
      <c r="R1126" s="1932" t="str">
        <f t="shared" si="97"/>
        <v/>
      </c>
      <c r="S1126" s="2335">
        <f t="shared" si="98"/>
        <v>0</v>
      </c>
    </row>
    <row r="1127" spans="1:19">
      <c r="A1127" s="1932">
        <f t="shared" si="99"/>
        <v>0</v>
      </c>
      <c r="B1127" s="1932">
        <f t="shared" si="100"/>
        <v>0</v>
      </c>
      <c r="C1127" s="1013" t="s">
        <v>245</v>
      </c>
      <c r="D1127" s="1013">
        <v>0</v>
      </c>
      <c r="E1127" s="1013" t="s">
        <v>22698</v>
      </c>
      <c r="F1127" s="1013">
        <v>22</v>
      </c>
      <c r="G1127" s="1932" t="str">
        <f>+VLOOKUP(F1127,TT_Tabelle_Riferimento!$D$127:$G$164,4,FALSE)</f>
        <v>Impianti di depurazione – trattamenti sino al secondario</v>
      </c>
      <c r="H1127" s="1013">
        <v>3</v>
      </c>
      <c r="I1127" s="1932" t="str">
        <f>+VLOOKUP(H1127,TT_Tabelle_Riferimento!$F$3:$G$6,2,FALSE)</f>
        <v>Altri servizi idrici</v>
      </c>
      <c r="J1127" s="1013">
        <v>2029</v>
      </c>
      <c r="K1127" s="2335">
        <f>+SUMIFS('PdI-crono_inv'!BL:BL,'PdI-crono_inv'!CF:CF,F1127,'PdI-crono_inv'!CE:CE,H1127,'PdI-crono_inv'!J:J,P1127,'PdI-crono_inv'!P:P,"&lt;&gt;proprietario")</f>
        <v>0</v>
      </c>
      <c r="M1127" s="2335">
        <f>+SUMIFS('PdI-crono_inv'!BM:BM,'PdI-crono_inv'!CF:CF,F1127,'PdI-crono_inv'!CE:CE,H1127,'PdI-crono_inv'!J:J,P1127,'PdI-crono_inv'!P:P,"&lt;&gt;proprietario")+S1127</f>
        <v>0</v>
      </c>
      <c r="P1127" s="1013" t="s">
        <v>25486</v>
      </c>
      <c r="Q1127" s="1932" t="str">
        <f>+VLOOKUP(F1127,TT_Tabelle_Riferimento!$D$127:$E$164,2,FALSE)</f>
        <v>Depurazione</v>
      </c>
      <c r="R1127" s="1932" t="str">
        <f t="shared" si="97"/>
        <v/>
      </c>
      <c r="S1127" s="2335">
        <f t="shared" si="98"/>
        <v>0</v>
      </c>
    </row>
    <row r="1128" spans="1:19">
      <c r="A1128" s="1932">
        <f t="shared" si="99"/>
        <v>0</v>
      </c>
      <c r="B1128" s="1932">
        <f t="shared" si="100"/>
        <v>0</v>
      </c>
      <c r="C1128" s="1013" t="s">
        <v>245</v>
      </c>
      <c r="D1128" s="1013">
        <v>0</v>
      </c>
      <c r="E1128" s="1013" t="s">
        <v>22698</v>
      </c>
      <c r="F1128" s="1013">
        <v>23</v>
      </c>
      <c r="G1128" s="1932" t="str">
        <f>+VLOOKUP(F1128,TT_Tabelle_Riferimento!$D$127:$G$164,4,FALSE)</f>
        <v>Impianti di depurazione – trattamenti sino al terziario e terziario avanzato</v>
      </c>
      <c r="H1128" s="1013">
        <v>3</v>
      </c>
      <c r="I1128" s="1932" t="str">
        <f>+VLOOKUP(H1128,TT_Tabelle_Riferimento!$F$3:$G$6,2,FALSE)</f>
        <v>Altri servizi idrici</v>
      </c>
      <c r="J1128" s="1013">
        <v>2029</v>
      </c>
      <c r="K1128" s="2335">
        <f>+SUMIFS('PdI-crono_inv'!BL:BL,'PdI-crono_inv'!CF:CF,F1128,'PdI-crono_inv'!CE:CE,H1128,'PdI-crono_inv'!J:J,P1128,'PdI-crono_inv'!P:P,"&lt;&gt;proprietario")</f>
        <v>0</v>
      </c>
      <c r="M1128" s="2335">
        <f>+SUMIFS('PdI-crono_inv'!BM:BM,'PdI-crono_inv'!CF:CF,F1128,'PdI-crono_inv'!CE:CE,H1128,'PdI-crono_inv'!J:J,P1128,'PdI-crono_inv'!P:P,"&lt;&gt;proprietario")+S1128</f>
        <v>0</v>
      </c>
      <c r="P1128" s="1013" t="s">
        <v>25486</v>
      </c>
      <c r="Q1128" s="1932" t="str">
        <f>+VLOOKUP(F1128,TT_Tabelle_Riferimento!$D$127:$E$164,2,FALSE)</f>
        <v>Depurazione</v>
      </c>
      <c r="R1128" s="1932" t="str">
        <f t="shared" si="97"/>
        <v/>
      </c>
      <c r="S1128" s="2335">
        <f t="shared" si="98"/>
        <v>0</v>
      </c>
    </row>
    <row r="1129" spans="1:19">
      <c r="A1129" s="1932">
        <f t="shared" si="99"/>
        <v>0</v>
      </c>
      <c r="B1129" s="1932">
        <f t="shared" si="100"/>
        <v>0</v>
      </c>
      <c r="C1129" s="1013" t="s">
        <v>245</v>
      </c>
      <c r="D1129" s="1013">
        <v>0</v>
      </c>
      <c r="E1129" s="1013" t="s">
        <v>22698</v>
      </c>
      <c r="F1129" s="1013">
        <v>24</v>
      </c>
      <c r="G1129" s="1932" t="str">
        <f>+VLOOKUP(F1129,TT_Tabelle_Riferimento!$D$127:$G$164,4,FALSE)</f>
        <v>Impianti di essiccamento fanghi e di valorizzazione dei fanghi (tra cui mono-incenerimento, pirolisi, gassificazione)</v>
      </c>
      <c r="H1129" s="1013">
        <v>3</v>
      </c>
      <c r="I1129" s="1932" t="str">
        <f>+VLOOKUP(H1129,TT_Tabelle_Riferimento!$F$3:$G$6,2,FALSE)</f>
        <v>Altri servizi idrici</v>
      </c>
      <c r="J1129" s="1013">
        <v>2029</v>
      </c>
      <c r="K1129" s="2335">
        <f>+SUMIFS('PdI-crono_inv'!BL:BL,'PdI-crono_inv'!CF:CF,F1129,'PdI-crono_inv'!CE:CE,H1129,'PdI-crono_inv'!J:J,P1129,'PdI-crono_inv'!P:P,"&lt;&gt;proprietario")</f>
        <v>0</v>
      </c>
      <c r="M1129" s="2335">
        <f>+SUMIFS('PdI-crono_inv'!BM:BM,'PdI-crono_inv'!CF:CF,F1129,'PdI-crono_inv'!CE:CE,H1129,'PdI-crono_inv'!J:J,P1129,'PdI-crono_inv'!P:P,"&lt;&gt;proprietario")+S1129</f>
        <v>0</v>
      </c>
      <c r="P1129" s="1013" t="s">
        <v>25486</v>
      </c>
      <c r="Q1129" s="1932" t="str">
        <f>+VLOOKUP(F1129,TT_Tabelle_Riferimento!$D$127:$E$164,2,FALSE)</f>
        <v>Depurazione</v>
      </c>
      <c r="R1129" s="1932" t="str">
        <f t="shared" si="97"/>
        <v/>
      </c>
      <c r="S1129" s="2335">
        <f t="shared" si="98"/>
        <v>0</v>
      </c>
    </row>
    <row r="1130" spans="1:19">
      <c r="A1130" s="1932">
        <f t="shared" si="99"/>
        <v>0</v>
      </c>
      <c r="B1130" s="1932">
        <f t="shared" si="100"/>
        <v>0</v>
      </c>
      <c r="C1130" s="1013" t="s">
        <v>245</v>
      </c>
      <c r="D1130" s="1013">
        <v>0</v>
      </c>
      <c r="E1130" s="1013" t="s">
        <v>22698</v>
      </c>
      <c r="F1130" s="1013">
        <v>25</v>
      </c>
      <c r="G1130" s="1932" t="str">
        <f>+VLOOKUP(F1130,TT_Tabelle_Riferimento!$D$127:$G$164,4,FALSE)</f>
        <v>Gruppi di misura - altre attrezzature di depurazione</v>
      </c>
      <c r="H1130" s="1013">
        <v>3</v>
      </c>
      <c r="I1130" s="1932" t="str">
        <f>+VLOOKUP(H1130,TT_Tabelle_Riferimento!$F$3:$G$6,2,FALSE)</f>
        <v>Altri servizi idrici</v>
      </c>
      <c r="J1130" s="1013">
        <v>2029</v>
      </c>
      <c r="K1130" s="2335">
        <f>+SUMIFS('PdI-crono_inv'!BL:BL,'PdI-crono_inv'!CF:CF,F1130,'PdI-crono_inv'!CE:CE,H1130,'PdI-crono_inv'!J:J,P1130,'PdI-crono_inv'!P:P,"&lt;&gt;proprietario")</f>
        <v>0</v>
      </c>
      <c r="M1130" s="2335">
        <f>+SUMIFS('PdI-crono_inv'!BM:BM,'PdI-crono_inv'!CF:CF,F1130,'PdI-crono_inv'!CE:CE,H1130,'PdI-crono_inv'!J:J,P1130,'PdI-crono_inv'!P:P,"&lt;&gt;proprietario")+S1130</f>
        <v>0</v>
      </c>
      <c r="P1130" s="1013" t="s">
        <v>25486</v>
      </c>
      <c r="Q1130" s="1932" t="str">
        <f>+VLOOKUP(F1130,TT_Tabelle_Riferimento!$D$127:$E$164,2,FALSE)</f>
        <v>Depurazione</v>
      </c>
      <c r="R1130" s="1932" t="str">
        <f t="shared" si="97"/>
        <v/>
      </c>
      <c r="S1130" s="2335">
        <f t="shared" si="98"/>
        <v>0</v>
      </c>
    </row>
    <row r="1131" spans="1:19">
      <c r="A1131" s="1932">
        <f t="shared" si="99"/>
        <v>0</v>
      </c>
      <c r="B1131" s="1932">
        <f t="shared" si="100"/>
        <v>0</v>
      </c>
      <c r="C1131" s="1013" t="s">
        <v>245</v>
      </c>
      <c r="D1131" s="1013">
        <v>0</v>
      </c>
      <c r="E1131" s="1013" t="s">
        <v>22698</v>
      </c>
      <c r="F1131" s="1013">
        <v>26</v>
      </c>
      <c r="G1131" s="1932" t="str">
        <f>+VLOOKUP(F1131,TT_Tabelle_Riferimento!$D$127:$G$164,4,FALSE)</f>
        <v>Sistemi informativi di depurazione</v>
      </c>
      <c r="H1131" s="1013">
        <v>3</v>
      </c>
      <c r="I1131" s="1932" t="str">
        <f>+VLOOKUP(H1131,TT_Tabelle_Riferimento!$F$3:$G$6,2,FALSE)</f>
        <v>Altri servizi idrici</v>
      </c>
      <c r="J1131" s="1013">
        <v>2029</v>
      </c>
      <c r="K1131" s="2335">
        <f>+SUMIFS('PdI-crono_inv'!BL:BL,'PdI-crono_inv'!CF:CF,F1131,'PdI-crono_inv'!CE:CE,H1131,'PdI-crono_inv'!J:J,P1131,'PdI-crono_inv'!P:P,"&lt;&gt;proprietario")</f>
        <v>0</v>
      </c>
      <c r="M1131" s="2335">
        <f>+SUMIFS('PdI-crono_inv'!BM:BM,'PdI-crono_inv'!CF:CF,F1131,'PdI-crono_inv'!CE:CE,H1131,'PdI-crono_inv'!J:J,P1131,'PdI-crono_inv'!P:P,"&lt;&gt;proprietario")+S1131</f>
        <v>0</v>
      </c>
      <c r="P1131" s="1013" t="s">
        <v>25486</v>
      </c>
      <c r="Q1131" s="1932" t="str">
        <f>+VLOOKUP(F1131,TT_Tabelle_Riferimento!$D$127:$E$164,2,FALSE)</f>
        <v>Depurazione</v>
      </c>
      <c r="R1131" s="1932" t="str">
        <f t="shared" si="97"/>
        <v/>
      </c>
      <c r="S1131" s="2335">
        <f t="shared" si="98"/>
        <v>0</v>
      </c>
    </row>
    <row r="1132" spans="1:19">
      <c r="A1132" s="1932">
        <f t="shared" si="99"/>
        <v>0</v>
      </c>
      <c r="B1132" s="1932">
        <f t="shared" si="100"/>
        <v>0</v>
      </c>
      <c r="C1132" s="1013" t="s">
        <v>245</v>
      </c>
      <c r="D1132" s="1013">
        <v>0</v>
      </c>
      <c r="E1132" s="1013" t="s">
        <v>22698</v>
      </c>
      <c r="F1132" s="1013">
        <v>27</v>
      </c>
      <c r="G1132" s="1932" t="str">
        <f>+VLOOKUP(F1132,TT_Tabelle_Riferimento!$D$127:$G$164,4,FALSE)</f>
        <v>Telecontrollo e teletrasmissione di depurazione</v>
      </c>
      <c r="H1132" s="1013">
        <v>3</v>
      </c>
      <c r="I1132" s="1932" t="str">
        <f>+VLOOKUP(H1132,TT_Tabelle_Riferimento!$F$3:$G$6,2,FALSE)</f>
        <v>Altri servizi idrici</v>
      </c>
      <c r="J1132" s="1013">
        <v>2029</v>
      </c>
      <c r="K1132" s="2335">
        <f>+SUMIFS('PdI-crono_inv'!BL:BL,'PdI-crono_inv'!CF:CF,F1132,'PdI-crono_inv'!CE:CE,H1132,'PdI-crono_inv'!J:J,P1132,'PdI-crono_inv'!P:P,"&lt;&gt;proprietario")</f>
        <v>0</v>
      </c>
      <c r="M1132" s="2335">
        <f>+SUMIFS('PdI-crono_inv'!BM:BM,'PdI-crono_inv'!CF:CF,F1132,'PdI-crono_inv'!CE:CE,H1132,'PdI-crono_inv'!J:J,P1132,'PdI-crono_inv'!P:P,"&lt;&gt;proprietario")+S1132</f>
        <v>0</v>
      </c>
      <c r="P1132" s="1013" t="s">
        <v>25486</v>
      </c>
      <c r="Q1132" s="1932" t="str">
        <f>+VLOOKUP(F1132,TT_Tabelle_Riferimento!$D$127:$E$164,2,FALSE)</f>
        <v>Depurazione</v>
      </c>
      <c r="R1132" s="1932" t="str">
        <f t="shared" si="97"/>
        <v/>
      </c>
      <c r="S1132" s="2335">
        <f t="shared" si="98"/>
        <v>0</v>
      </c>
    </row>
    <row r="1133" spans="1:19">
      <c r="A1133" s="1932">
        <f t="shared" si="99"/>
        <v>0</v>
      </c>
      <c r="B1133" s="1932">
        <f t="shared" si="100"/>
        <v>0</v>
      </c>
      <c r="C1133" s="1013" t="s">
        <v>245</v>
      </c>
      <c r="D1133" s="1013">
        <v>0</v>
      </c>
      <c r="E1133" s="1013" t="s">
        <v>22698</v>
      </c>
      <c r="F1133" s="1013">
        <v>28</v>
      </c>
      <c r="G1133" s="1932" t="str">
        <f>+VLOOKUP(F1133,TT_Tabelle_Riferimento!$D$127:$G$164,4,FALSE)</f>
        <v>Altri impianti</v>
      </c>
      <c r="H1133" s="1013">
        <v>3</v>
      </c>
      <c r="I1133" s="1932" t="str">
        <f>+VLOOKUP(H1133,TT_Tabelle_Riferimento!$F$3:$G$6,2,FALSE)</f>
        <v>Altri servizi idrici</v>
      </c>
      <c r="J1133" s="1013">
        <v>2029</v>
      </c>
      <c r="K1133" s="2335">
        <f>+SUMIFS('PdI-crono_inv'!BL:BL,'PdI-crono_inv'!CF:CF,F1133,'PdI-crono_inv'!CE:CE,H1133,'PdI-crono_inv'!J:J,P1133,'PdI-crono_inv'!P:P,"&lt;&gt;proprietario")</f>
        <v>0</v>
      </c>
      <c r="M1133" s="2335">
        <f>+SUMIFS('PdI-crono_inv'!BM:BM,'PdI-crono_inv'!CF:CF,F1133,'PdI-crono_inv'!CE:CE,H1133,'PdI-crono_inv'!J:J,P1133,'PdI-crono_inv'!P:P,"&lt;&gt;proprietario")+S1133</f>
        <v>0</v>
      </c>
      <c r="P1133" s="1013" t="s">
        <v>25486</v>
      </c>
      <c r="Q1133" s="1932" t="str">
        <f>+VLOOKUP(F1133,TT_Tabelle_Riferimento!$D$127:$E$164,2,FALSE)</f>
        <v>Comune</v>
      </c>
      <c r="R1133" s="1932" t="str">
        <f t="shared" si="97"/>
        <v/>
      </c>
      <c r="S1133" s="2335">
        <f t="shared" si="98"/>
        <v>0</v>
      </c>
    </row>
    <row r="1134" spans="1:19">
      <c r="A1134" s="1932">
        <f t="shared" si="99"/>
        <v>0</v>
      </c>
      <c r="B1134" s="1932">
        <f t="shared" si="100"/>
        <v>0</v>
      </c>
      <c r="C1134" s="1013" t="s">
        <v>245</v>
      </c>
      <c r="D1134" s="1013">
        <v>0</v>
      </c>
      <c r="E1134" s="1013" t="s">
        <v>22698</v>
      </c>
      <c r="F1134" s="1013">
        <v>29</v>
      </c>
      <c r="G1134" s="1932" t="str">
        <f>+VLOOKUP(F1134,TT_Tabelle_Riferimento!$D$127:$G$164,4,FALSE)</f>
        <v>Laboratori e attrezzature</v>
      </c>
      <c r="H1134" s="1013">
        <v>3</v>
      </c>
      <c r="I1134" s="1932" t="str">
        <f>+VLOOKUP(H1134,TT_Tabelle_Riferimento!$F$3:$G$6,2,FALSE)</f>
        <v>Altri servizi idrici</v>
      </c>
      <c r="J1134" s="1013">
        <v>2029</v>
      </c>
      <c r="K1134" s="2335">
        <f>+SUMIFS('PdI-crono_inv'!BL:BL,'PdI-crono_inv'!CF:CF,F1134,'PdI-crono_inv'!CE:CE,H1134,'PdI-crono_inv'!J:J,P1134,'PdI-crono_inv'!P:P,"&lt;&gt;proprietario")</f>
        <v>0</v>
      </c>
      <c r="M1134" s="2335">
        <f>+SUMIFS('PdI-crono_inv'!BM:BM,'PdI-crono_inv'!CF:CF,F1134,'PdI-crono_inv'!CE:CE,H1134,'PdI-crono_inv'!J:J,P1134,'PdI-crono_inv'!P:P,"&lt;&gt;proprietario")+S1134</f>
        <v>0</v>
      </c>
      <c r="P1134" s="1013" t="s">
        <v>25486</v>
      </c>
      <c r="Q1134" s="1932" t="str">
        <f>+VLOOKUP(F1134,TT_Tabelle_Riferimento!$D$127:$E$164,2,FALSE)</f>
        <v>Comune</v>
      </c>
      <c r="R1134" s="1932" t="str">
        <f t="shared" ref="R1134:R1197" si="101">+IF(SUM(K1134:N1134)=0,"","PdI_consolidamento")</f>
        <v/>
      </c>
      <c r="S1134" s="2335">
        <f t="shared" si="98"/>
        <v>0</v>
      </c>
    </row>
    <row r="1135" spans="1:19">
      <c r="A1135" s="1932">
        <f t="shared" si="99"/>
        <v>0</v>
      </c>
      <c r="B1135" s="1932">
        <f t="shared" si="100"/>
        <v>0</v>
      </c>
      <c r="C1135" s="1013" t="s">
        <v>245</v>
      </c>
      <c r="D1135" s="1013">
        <v>0</v>
      </c>
      <c r="E1135" s="1013" t="s">
        <v>22698</v>
      </c>
      <c r="F1135" s="1013">
        <v>30</v>
      </c>
      <c r="G1135" s="1932" t="str">
        <f>+VLOOKUP(F1135,TT_Tabelle_Riferimento!$D$127:$G$164,4,FALSE)</f>
        <v>Sistemi informativi</v>
      </c>
      <c r="H1135" s="1013">
        <v>3</v>
      </c>
      <c r="I1135" s="1932" t="str">
        <f>+VLOOKUP(H1135,TT_Tabelle_Riferimento!$F$3:$G$6,2,FALSE)</f>
        <v>Altri servizi idrici</v>
      </c>
      <c r="J1135" s="1013">
        <v>2029</v>
      </c>
      <c r="K1135" s="2335">
        <f>+SUMIFS('PdI-crono_inv'!BL:BL,'PdI-crono_inv'!CF:CF,F1135,'PdI-crono_inv'!CE:CE,H1135,'PdI-crono_inv'!J:J,P1135,'PdI-crono_inv'!P:P,"&lt;&gt;proprietario")</f>
        <v>0</v>
      </c>
      <c r="M1135" s="2335">
        <f>+SUMIFS('PdI-crono_inv'!BM:BM,'PdI-crono_inv'!CF:CF,F1135,'PdI-crono_inv'!CE:CE,H1135,'PdI-crono_inv'!J:J,P1135,'PdI-crono_inv'!P:P,"&lt;&gt;proprietario")+S1135</f>
        <v>0</v>
      </c>
      <c r="P1135" s="1013" t="s">
        <v>25486</v>
      </c>
      <c r="Q1135" s="1932" t="str">
        <f>+VLOOKUP(F1135,TT_Tabelle_Riferimento!$D$127:$E$164,2,FALSE)</f>
        <v>Comune</v>
      </c>
      <c r="R1135" s="1932" t="str">
        <f t="shared" si="101"/>
        <v/>
      </c>
      <c r="S1135" s="2335">
        <f t="shared" si="98"/>
        <v>0</v>
      </c>
    </row>
    <row r="1136" spans="1:19">
      <c r="A1136" s="1932">
        <f t="shared" si="99"/>
        <v>0</v>
      </c>
      <c r="B1136" s="1932">
        <f t="shared" si="100"/>
        <v>0</v>
      </c>
      <c r="C1136" s="1013" t="s">
        <v>245</v>
      </c>
      <c r="D1136" s="1013">
        <v>0</v>
      </c>
      <c r="E1136" s="1013" t="s">
        <v>22698</v>
      </c>
      <c r="F1136" s="1013">
        <v>31</v>
      </c>
      <c r="G1136" s="1932" t="str">
        <f>+VLOOKUP(F1136,TT_Tabelle_Riferimento!$D$127:$G$164,4,FALSE)</f>
        <v>Telecontrollo e teletrasmissione</v>
      </c>
      <c r="H1136" s="1013">
        <v>3</v>
      </c>
      <c r="I1136" s="1932" t="str">
        <f>+VLOOKUP(H1136,TT_Tabelle_Riferimento!$F$3:$G$6,2,FALSE)</f>
        <v>Altri servizi idrici</v>
      </c>
      <c r="J1136" s="1013">
        <v>2029</v>
      </c>
      <c r="K1136" s="2335">
        <f>+SUMIFS('PdI-crono_inv'!BL:BL,'PdI-crono_inv'!CF:CF,F1136,'PdI-crono_inv'!CE:CE,H1136,'PdI-crono_inv'!J:J,P1136,'PdI-crono_inv'!P:P,"&lt;&gt;proprietario")</f>
        <v>0</v>
      </c>
      <c r="M1136" s="2335">
        <f>+SUMIFS('PdI-crono_inv'!BM:BM,'PdI-crono_inv'!CF:CF,F1136,'PdI-crono_inv'!CE:CE,H1136,'PdI-crono_inv'!J:J,P1136,'PdI-crono_inv'!P:P,"&lt;&gt;proprietario")+S1136</f>
        <v>0</v>
      </c>
      <c r="P1136" s="1013" t="s">
        <v>25486</v>
      </c>
      <c r="Q1136" s="1932" t="str">
        <f>+VLOOKUP(F1136,TT_Tabelle_Riferimento!$D$127:$E$164,2,FALSE)</f>
        <v>Comune</v>
      </c>
      <c r="R1136" s="1932" t="str">
        <f t="shared" si="101"/>
        <v/>
      </c>
      <c r="S1136" s="2335">
        <f t="shared" si="98"/>
        <v>0</v>
      </c>
    </row>
    <row r="1137" spans="1:19">
      <c r="A1137" s="1932">
        <f t="shared" si="99"/>
        <v>0</v>
      </c>
      <c r="B1137" s="1932">
        <f t="shared" si="100"/>
        <v>0</v>
      </c>
      <c r="C1137" s="1013" t="s">
        <v>245</v>
      </c>
      <c r="D1137" s="1013">
        <v>0</v>
      </c>
      <c r="E1137" s="1013" t="s">
        <v>22698</v>
      </c>
      <c r="F1137" s="1013">
        <v>32</v>
      </c>
      <c r="G1137" s="1932" t="str">
        <f>+VLOOKUP(F1137,TT_Tabelle_Riferimento!$D$127:$G$164,4,FALSE)</f>
        <v>Autoveicoli - automezzi</v>
      </c>
      <c r="H1137" s="1013">
        <v>3</v>
      </c>
      <c r="I1137" s="1932" t="str">
        <f>+VLOOKUP(H1137,TT_Tabelle_Riferimento!$F$3:$G$6,2,FALSE)</f>
        <v>Altri servizi idrici</v>
      </c>
      <c r="J1137" s="1013">
        <v>2029</v>
      </c>
      <c r="K1137" s="2335">
        <f>+SUMIFS('PdI-crono_inv'!BL:BL,'PdI-crono_inv'!CF:CF,F1137,'PdI-crono_inv'!CE:CE,H1137,'PdI-crono_inv'!J:J,P1137,'PdI-crono_inv'!P:P,"&lt;&gt;proprietario")</f>
        <v>0</v>
      </c>
      <c r="M1137" s="2335">
        <f>+SUMIFS('PdI-crono_inv'!BM:BM,'PdI-crono_inv'!CF:CF,F1137,'PdI-crono_inv'!CE:CE,H1137,'PdI-crono_inv'!J:J,P1137,'PdI-crono_inv'!P:P,"&lt;&gt;proprietario")+S1137</f>
        <v>0</v>
      </c>
      <c r="P1137" s="1013" t="s">
        <v>25486</v>
      </c>
      <c r="Q1137" s="1932" t="str">
        <f>+VLOOKUP(F1137,TT_Tabelle_Riferimento!$D$127:$E$164,2,FALSE)</f>
        <v>Comune</v>
      </c>
      <c r="R1137" s="1932" t="str">
        <f t="shared" si="101"/>
        <v/>
      </c>
      <c r="S1137" s="2335">
        <f t="shared" si="98"/>
        <v>0</v>
      </c>
    </row>
    <row r="1138" spans="1:19">
      <c r="A1138" s="1932">
        <f t="shared" si="99"/>
        <v>0</v>
      </c>
      <c r="B1138" s="1932">
        <f t="shared" si="100"/>
        <v>0</v>
      </c>
      <c r="C1138" s="1013" t="s">
        <v>245</v>
      </c>
      <c r="D1138" s="1013">
        <v>0</v>
      </c>
      <c r="E1138" s="1013" t="s">
        <v>22698</v>
      </c>
      <c r="F1138" s="1013">
        <v>1</v>
      </c>
      <c r="G1138" s="1932" t="str">
        <f>+VLOOKUP(F1138,TT_Tabelle_Riferimento!$D$127:$G$164,4,FALSE)</f>
        <v>Terreni</v>
      </c>
      <c r="H1138" s="1013">
        <v>3</v>
      </c>
      <c r="I1138" s="1932" t="str">
        <f>+VLOOKUP(H1138,TT_Tabelle_Riferimento!$F$3:$G$6,2,FALSE)</f>
        <v>Altri servizi idrici</v>
      </c>
      <c r="J1138" s="1013">
        <v>2029</v>
      </c>
      <c r="K1138" s="2335">
        <f>+SUMIFS('PdI-crono_inv'!BL:BL,'PdI-crono_inv'!CF:CF,F1138,'PdI-crono_inv'!CE:CE,H1138,'PdI-crono_inv'!J:J,P1138,'PdI-crono_inv'!P:P,"&lt;&gt;proprietario")</f>
        <v>0</v>
      </c>
      <c r="M1138" s="2335">
        <f>+SUMIFS('PdI-crono_inv'!BM:BM,'PdI-crono_inv'!CF:CF,F1138,'PdI-crono_inv'!CE:CE,H1138,'PdI-crono_inv'!J:J,P1138,'PdI-crono_inv'!P:P,"&lt;&gt;proprietario")+S1138</f>
        <v>0</v>
      </c>
      <c r="P1138" s="1013" t="s">
        <v>25486</v>
      </c>
      <c r="Q1138" s="1932" t="str">
        <f>+VLOOKUP(F1138,TT_Tabelle_Riferimento!$D$127:$E$164,2,FALSE)</f>
        <v>Comune</v>
      </c>
      <c r="R1138" s="1932" t="str">
        <f t="shared" si="101"/>
        <v/>
      </c>
      <c r="S1138" s="2335">
        <f t="shared" si="98"/>
        <v>0</v>
      </c>
    </row>
    <row r="1139" spans="1:19">
      <c r="A1139" s="1932">
        <f t="shared" si="99"/>
        <v>0</v>
      </c>
      <c r="B1139" s="1932">
        <f t="shared" si="100"/>
        <v>0</v>
      </c>
      <c r="C1139" s="1013" t="s">
        <v>245</v>
      </c>
      <c r="D1139" s="1013">
        <v>0</v>
      </c>
      <c r="E1139" s="1013" t="s">
        <v>22698</v>
      </c>
      <c r="F1139" s="1013">
        <v>33</v>
      </c>
      <c r="G1139" s="1932" t="str">
        <f>+VLOOKUP(F1139,TT_Tabelle_Riferimento!$D$127:$G$164,4,FALSE)</f>
        <v>Fabbricati non industriali</v>
      </c>
      <c r="H1139" s="1013">
        <v>3</v>
      </c>
      <c r="I1139" s="1932" t="str">
        <f>+VLOOKUP(H1139,TT_Tabelle_Riferimento!$F$3:$G$6,2,FALSE)</f>
        <v>Altri servizi idrici</v>
      </c>
      <c r="J1139" s="1013">
        <v>2029</v>
      </c>
      <c r="K1139" s="2335">
        <f>+SUMIFS('PdI-crono_inv'!BL:BL,'PdI-crono_inv'!CF:CF,F1139,'PdI-crono_inv'!CE:CE,H1139,'PdI-crono_inv'!J:J,P1139,'PdI-crono_inv'!P:P,"&lt;&gt;proprietario")</f>
        <v>0</v>
      </c>
      <c r="M1139" s="2335">
        <f>+SUMIFS('PdI-crono_inv'!BM:BM,'PdI-crono_inv'!CF:CF,F1139,'PdI-crono_inv'!CE:CE,H1139,'PdI-crono_inv'!J:J,P1139,'PdI-crono_inv'!P:P,"&lt;&gt;proprietario")+S1139</f>
        <v>0</v>
      </c>
      <c r="P1139" s="1013" t="s">
        <v>25486</v>
      </c>
      <c r="Q1139" s="1932" t="str">
        <f>+VLOOKUP(F1139,TT_Tabelle_Riferimento!$D$127:$E$164,2,FALSE)</f>
        <v>Comune</v>
      </c>
      <c r="R1139" s="1932" t="str">
        <f t="shared" si="101"/>
        <v/>
      </c>
      <c r="S1139" s="2335">
        <f t="shared" si="98"/>
        <v>0</v>
      </c>
    </row>
    <row r="1140" spans="1:19">
      <c r="A1140" s="1932">
        <f t="shared" si="99"/>
        <v>0</v>
      </c>
      <c r="B1140" s="1932">
        <f t="shared" si="100"/>
        <v>0</v>
      </c>
      <c r="C1140" s="1013" t="s">
        <v>245</v>
      </c>
      <c r="D1140" s="1013">
        <v>0</v>
      </c>
      <c r="E1140" s="1013" t="s">
        <v>22698</v>
      </c>
      <c r="F1140" s="1013">
        <v>34</v>
      </c>
      <c r="G1140" s="1932" t="str">
        <f>+VLOOKUP(F1140,TT_Tabelle_Riferimento!$D$127:$G$164,4,FALSE)</f>
        <v>Fabbricati industriali</v>
      </c>
      <c r="H1140" s="1013">
        <v>3</v>
      </c>
      <c r="I1140" s="1932" t="str">
        <f>+VLOOKUP(H1140,TT_Tabelle_Riferimento!$F$3:$G$6,2,FALSE)</f>
        <v>Altri servizi idrici</v>
      </c>
      <c r="J1140" s="1013">
        <v>2029</v>
      </c>
      <c r="K1140" s="2335">
        <f>+SUMIFS('PdI-crono_inv'!BL:BL,'PdI-crono_inv'!CF:CF,F1140,'PdI-crono_inv'!CE:CE,H1140,'PdI-crono_inv'!J:J,P1140,'PdI-crono_inv'!P:P,"&lt;&gt;proprietario")</f>
        <v>0</v>
      </c>
      <c r="M1140" s="2335">
        <f>+SUMIFS('PdI-crono_inv'!BM:BM,'PdI-crono_inv'!CF:CF,F1140,'PdI-crono_inv'!CE:CE,H1140,'PdI-crono_inv'!J:J,P1140,'PdI-crono_inv'!P:P,"&lt;&gt;proprietario")+S1140</f>
        <v>0</v>
      </c>
      <c r="P1140" s="1013" t="s">
        <v>25486</v>
      </c>
      <c r="Q1140" s="1932" t="str">
        <f>+VLOOKUP(F1140,TT_Tabelle_Riferimento!$D$127:$E$164,2,FALSE)</f>
        <v>Comune</v>
      </c>
      <c r="R1140" s="1932" t="str">
        <f t="shared" si="101"/>
        <v/>
      </c>
      <c r="S1140" s="2335">
        <f t="shared" si="98"/>
        <v>0</v>
      </c>
    </row>
    <row r="1141" spans="1:19">
      <c r="A1141" s="1932">
        <f t="shared" si="99"/>
        <v>0</v>
      </c>
      <c r="B1141" s="1932">
        <f t="shared" si="100"/>
        <v>0</v>
      </c>
      <c r="C1141" s="1013" t="s">
        <v>245</v>
      </c>
      <c r="D1141" s="1013">
        <v>0</v>
      </c>
      <c r="E1141" s="1013" t="s">
        <v>22698</v>
      </c>
      <c r="F1141" s="1013">
        <v>35</v>
      </c>
      <c r="G1141" s="1932" t="str">
        <f>+VLOOKUP(F1141,TT_Tabelle_Riferimento!$D$127:$G$164,4,FALSE)</f>
        <v>Costruzioni leggere</v>
      </c>
      <c r="H1141" s="1013">
        <v>3</v>
      </c>
      <c r="I1141" s="1932" t="str">
        <f>+VLOOKUP(H1141,TT_Tabelle_Riferimento!$F$3:$G$6,2,FALSE)</f>
        <v>Altri servizi idrici</v>
      </c>
      <c r="J1141" s="1013">
        <v>2029</v>
      </c>
      <c r="K1141" s="2335">
        <f>+SUMIFS('PdI-crono_inv'!BL:BL,'PdI-crono_inv'!CF:CF,F1141,'PdI-crono_inv'!CE:CE,H1141,'PdI-crono_inv'!J:J,P1141,'PdI-crono_inv'!P:P,"&lt;&gt;proprietario")</f>
        <v>0</v>
      </c>
      <c r="M1141" s="2335">
        <f>+SUMIFS('PdI-crono_inv'!BM:BM,'PdI-crono_inv'!CF:CF,F1141,'PdI-crono_inv'!CE:CE,H1141,'PdI-crono_inv'!J:J,P1141,'PdI-crono_inv'!P:P,"&lt;&gt;proprietario")+S1141</f>
        <v>0</v>
      </c>
      <c r="P1141" s="1013" t="s">
        <v>25486</v>
      </c>
      <c r="Q1141" s="1932" t="str">
        <f>+VLOOKUP(F1141,TT_Tabelle_Riferimento!$D$127:$E$164,2,FALSE)</f>
        <v>Comune</v>
      </c>
      <c r="R1141" s="1932" t="str">
        <f t="shared" si="101"/>
        <v/>
      </c>
      <c r="S1141" s="2335">
        <f t="shared" si="98"/>
        <v>0</v>
      </c>
    </row>
    <row r="1142" spans="1:19">
      <c r="A1142" s="1932">
        <f t="shared" si="99"/>
        <v>0</v>
      </c>
      <c r="B1142" s="1932">
        <f t="shared" si="100"/>
        <v>0</v>
      </c>
      <c r="C1142" s="1013" t="s">
        <v>245</v>
      </c>
      <c r="D1142" s="1013">
        <v>0</v>
      </c>
      <c r="E1142" s="1013" t="s">
        <v>22698</v>
      </c>
      <c r="F1142" s="1013">
        <v>36</v>
      </c>
      <c r="G1142" s="1932" t="str">
        <f>+VLOOKUP(F1142,TT_Tabelle_Riferimento!$D$127:$G$164,4,FALSE)</f>
        <v>Studi, ricerche, brevetti, diritti di utilizzazione</v>
      </c>
      <c r="H1142" s="1013">
        <v>3</v>
      </c>
      <c r="I1142" s="1932" t="str">
        <f>+VLOOKUP(H1142,TT_Tabelle_Riferimento!$F$3:$G$6,2,FALSE)</f>
        <v>Altri servizi idrici</v>
      </c>
      <c r="J1142" s="1013">
        <v>2029</v>
      </c>
      <c r="K1142" s="2335">
        <f>+SUMIFS('PdI-crono_inv'!BL:BL,'PdI-crono_inv'!CF:CF,F1142,'PdI-crono_inv'!CE:CE,H1142,'PdI-crono_inv'!J:J,P1142,'PdI-crono_inv'!P:P,"&lt;&gt;proprietario")</f>
        <v>0</v>
      </c>
      <c r="M1142" s="2335">
        <f>+SUMIFS('PdI-crono_inv'!BM:BM,'PdI-crono_inv'!CF:CF,F1142,'PdI-crono_inv'!CE:CE,H1142,'PdI-crono_inv'!J:J,P1142,'PdI-crono_inv'!P:P,"&lt;&gt;proprietario")+S1142</f>
        <v>0</v>
      </c>
      <c r="P1142" s="1013" t="s">
        <v>25486</v>
      </c>
      <c r="Q1142" s="1932" t="str">
        <f>+VLOOKUP(F1142,TT_Tabelle_Riferimento!$D$127:$E$164,2,FALSE)</f>
        <v>Comune</v>
      </c>
      <c r="R1142" s="1932" t="str">
        <f t="shared" si="101"/>
        <v/>
      </c>
      <c r="S1142" s="2335">
        <f t="shared" si="98"/>
        <v>0</v>
      </c>
    </row>
    <row r="1143" spans="1:19">
      <c r="A1143" s="1932">
        <f t="shared" si="99"/>
        <v>0</v>
      </c>
      <c r="B1143" s="1932">
        <f t="shared" si="100"/>
        <v>0</v>
      </c>
      <c r="C1143" s="1013" t="s">
        <v>245</v>
      </c>
      <c r="D1143" s="1013">
        <v>0</v>
      </c>
      <c r="E1143" s="1013" t="s">
        <v>22698</v>
      </c>
      <c r="F1143" s="1013">
        <v>37</v>
      </c>
      <c r="G1143" s="1932" t="str">
        <f>+VLOOKUP(F1143,TT_Tabelle_Riferimento!$D$127:$G$164,4,FALSE)</f>
        <v>Altre immobilizzazioni materiali e immateriali</v>
      </c>
      <c r="H1143" s="1013">
        <v>3</v>
      </c>
      <c r="I1143" s="1932" t="str">
        <f>+VLOOKUP(H1143,TT_Tabelle_Riferimento!$F$3:$G$6,2,FALSE)</f>
        <v>Altri servizi idrici</v>
      </c>
      <c r="J1143" s="1013">
        <v>2029</v>
      </c>
      <c r="K1143" s="2335">
        <f>+SUMIFS('PdI-crono_inv'!BL:BL,'PdI-crono_inv'!CF:CF,F1143,'PdI-crono_inv'!CE:CE,H1143,'PdI-crono_inv'!J:J,P1143,'PdI-crono_inv'!P:P,"&lt;&gt;proprietario")</f>
        <v>0</v>
      </c>
      <c r="M1143" s="2335">
        <f>+SUMIFS('PdI-crono_inv'!BM:BM,'PdI-crono_inv'!CF:CF,F1143,'PdI-crono_inv'!CE:CE,H1143,'PdI-crono_inv'!J:J,P1143,'PdI-crono_inv'!P:P,"&lt;&gt;proprietario")+S1143</f>
        <v>0</v>
      </c>
      <c r="P1143" s="1013" t="s">
        <v>25486</v>
      </c>
      <c r="Q1143" s="1932" t="str">
        <f>+VLOOKUP(F1143,TT_Tabelle_Riferimento!$D$127:$E$164,2,FALSE)</f>
        <v>Comune</v>
      </c>
      <c r="R1143" s="1932" t="str">
        <f t="shared" si="101"/>
        <v/>
      </c>
      <c r="S1143" s="2335">
        <f t="shared" si="98"/>
        <v>0</v>
      </c>
    </row>
    <row r="1144" spans="1:19">
      <c r="A1144" s="1932">
        <f t="shared" si="99"/>
        <v>0</v>
      </c>
      <c r="B1144" s="1932">
        <f t="shared" si="100"/>
        <v>0</v>
      </c>
      <c r="C1144" s="1013" t="s">
        <v>245</v>
      </c>
      <c r="D1144" s="1013">
        <v>0</v>
      </c>
      <c r="E1144" s="1013" t="s">
        <v>22698</v>
      </c>
      <c r="F1144" s="1013">
        <v>38</v>
      </c>
      <c r="G1144" s="1932" t="str">
        <f>+VLOOKUP(F1144,TT_Tabelle_Riferimento!$D$127:$G$164,4,FALSE)</f>
        <v>Grandi dighe (sbarramenti che superano i quindici metri di altezza o che determinano un invaso superiore a 1 milione di metri cubi)</v>
      </c>
      <c r="H1144" s="1013">
        <v>3</v>
      </c>
      <c r="I1144" s="1932" t="str">
        <f>+VLOOKUP(H1144,TT_Tabelle_Riferimento!$F$3:$G$6,2,FALSE)</f>
        <v>Altri servizi idrici</v>
      </c>
      <c r="J1144" s="1013">
        <v>2029</v>
      </c>
      <c r="K1144" s="2335">
        <f>+SUMIFS('PdI-crono_inv'!BL:BL,'PdI-crono_inv'!CF:CF,F1144,'PdI-crono_inv'!CE:CE,H1144,'PdI-crono_inv'!J:J,P1144,'PdI-crono_inv'!P:P,"&lt;&gt;proprietario")</f>
        <v>0</v>
      </c>
      <c r="M1144" s="2335">
        <f>+SUMIFS('PdI-crono_inv'!BM:BM,'PdI-crono_inv'!CF:CF,F1144,'PdI-crono_inv'!CE:CE,H1144,'PdI-crono_inv'!J:J,P1144,'PdI-crono_inv'!P:P,"&lt;&gt;proprietario")+S1144</f>
        <v>0</v>
      </c>
      <c r="P1144" s="1013" t="s">
        <v>25486</v>
      </c>
      <c r="Q1144" s="1932" t="str">
        <f>+VLOOKUP(F1144,TT_Tabelle_Riferimento!$D$127:$E$164,2,FALSE)</f>
        <v>Acquedotto</v>
      </c>
      <c r="R1144" s="1932" t="str">
        <f t="shared" si="101"/>
        <v/>
      </c>
      <c r="S1144" s="2335">
        <f t="shared" si="98"/>
        <v>0</v>
      </c>
    </row>
    <row r="1145" spans="1:19">
      <c r="A1145" s="1932">
        <f t="shared" si="99"/>
        <v>0</v>
      </c>
      <c r="B1145" s="1932">
        <f t="shared" si="100"/>
        <v>0</v>
      </c>
      <c r="C1145" s="1013" t="s">
        <v>245</v>
      </c>
      <c r="D1145" s="1013">
        <v>0</v>
      </c>
      <c r="E1145" s="1013" t="s">
        <v>22698</v>
      </c>
      <c r="F1145" s="1013">
        <v>39</v>
      </c>
      <c r="G1145" s="1932" t="str">
        <f>+VLOOKUP(F1145,TT_Tabelle_Riferimento!$D$127:$G$164,4,FALSE)</f>
        <v>Piccole dighe (sbarramenti che non superano i quindici metri di altezza o che determinano un invaso non superiore a 1 milione di metri cubi)</v>
      </c>
      <c r="H1145" s="1013">
        <v>3</v>
      </c>
      <c r="I1145" s="1932" t="str">
        <f>+VLOOKUP(H1145,TT_Tabelle_Riferimento!$F$3:$G$6,2,FALSE)</f>
        <v>Altri servizi idrici</v>
      </c>
      <c r="J1145" s="1013">
        <v>2029</v>
      </c>
      <c r="K1145" s="2335">
        <f>+SUMIFS('PdI-crono_inv'!BL:BL,'PdI-crono_inv'!CF:CF,F1145,'PdI-crono_inv'!CE:CE,H1145,'PdI-crono_inv'!J:J,P1145,'PdI-crono_inv'!P:P,"&lt;&gt;proprietario")</f>
        <v>0</v>
      </c>
      <c r="M1145" s="2335">
        <f>+SUMIFS('PdI-crono_inv'!BM:BM,'PdI-crono_inv'!CF:CF,F1145,'PdI-crono_inv'!CE:CE,H1145,'PdI-crono_inv'!J:J,P1145,'PdI-crono_inv'!P:P,"&lt;&gt;proprietario")+S1145</f>
        <v>0</v>
      </c>
      <c r="P1145" s="1013" t="s">
        <v>25486</v>
      </c>
      <c r="Q1145" s="1932" t="str">
        <f>+VLOOKUP(F1145,TT_Tabelle_Riferimento!$D$127:$E$164,2,FALSE)</f>
        <v>Acquedotto</v>
      </c>
      <c r="R1145" s="1932" t="str">
        <f t="shared" si="101"/>
        <v/>
      </c>
      <c r="S1145" s="2335">
        <f t="shared" si="98"/>
        <v>0</v>
      </c>
    </row>
    <row r="1146" spans="1:19">
      <c r="A1146" s="1932">
        <f t="shared" si="99"/>
        <v>0</v>
      </c>
      <c r="B1146" s="1932">
        <f t="shared" si="100"/>
        <v>0</v>
      </c>
      <c r="C1146" s="1013" t="s">
        <v>245</v>
      </c>
      <c r="D1146" s="1013">
        <v>0</v>
      </c>
      <c r="E1146" s="1013" t="s">
        <v>22698</v>
      </c>
      <c r="F1146" s="1013">
        <v>2</v>
      </c>
      <c r="G1146" s="1932" t="str">
        <f>+VLOOKUP(F1146,TT_Tabelle_Riferimento!$D$127:$G$164,4,FALSE)</f>
        <v>Condotte di acquedotto</v>
      </c>
      <c r="H1146" s="1013">
        <v>1</v>
      </c>
      <c r="I1146" s="1932" t="str">
        <f>+VLOOKUP(H1146,TT_Tabelle_Riferimento!$F$3:$G$6,2,FALSE)</f>
        <v>Servizio idrico integrato</v>
      </c>
      <c r="J1146" s="1013">
        <v>2029</v>
      </c>
      <c r="K1146" s="2335">
        <f>+SUMIFS('PdI-crono_inv'!BL:BL,'PdI-crono_inv'!CF:CF,F1146,'PdI-crono_inv'!CE:CE,H1146,'PdI-crono_inv'!J:J,P1146,'PdI-crono_inv'!P:P,"&lt;&gt;proprietario")</f>
        <v>0</v>
      </c>
      <c r="M1146" s="2335">
        <f>+SUMIFS('PdI-crono_inv'!BM:BM,'PdI-crono_inv'!CF:CF,F1146,'PdI-crono_inv'!CE:CE,H1146,'PdI-crono_inv'!J:J,P1146,'PdI-crono_inv'!P:P,"&lt;&gt;proprietario")+S1146</f>
        <v>0</v>
      </c>
      <c r="P1146" s="1013" t="s">
        <v>25481</v>
      </c>
      <c r="Q1146" s="1932" t="str">
        <f>+VLOOKUP(F1146,TT_Tabelle_Riferimento!$D$127:$E$164,2,FALSE)</f>
        <v>Acquedotto</v>
      </c>
      <c r="R1146" s="1932" t="str">
        <f t="shared" si="101"/>
        <v/>
      </c>
      <c r="S1146" s="2335">
        <f t="shared" si="98"/>
        <v>0</v>
      </c>
    </row>
    <row r="1147" spans="1:19">
      <c r="A1147" s="1932">
        <f t="shared" si="99"/>
        <v>0</v>
      </c>
      <c r="B1147" s="1932">
        <f t="shared" si="100"/>
        <v>0</v>
      </c>
      <c r="C1147" s="1013" t="s">
        <v>245</v>
      </c>
      <c r="D1147" s="1013">
        <v>0</v>
      </c>
      <c r="E1147" s="1013" t="s">
        <v>22698</v>
      </c>
      <c r="F1147" s="1013">
        <v>3</v>
      </c>
      <c r="G1147" s="1932" t="str">
        <f>+VLOOKUP(F1147,TT_Tabelle_Riferimento!$D$127:$G$164,4,FALSE)</f>
        <v>Opere idrauliche fisse di acquedotto</v>
      </c>
      <c r="H1147" s="1013">
        <v>1</v>
      </c>
      <c r="I1147" s="1932" t="str">
        <f>+VLOOKUP(H1147,TT_Tabelle_Riferimento!$F$3:$G$6,2,FALSE)</f>
        <v>Servizio idrico integrato</v>
      </c>
      <c r="J1147" s="1013">
        <v>2029</v>
      </c>
      <c r="K1147" s="2335">
        <f>+SUMIFS('PdI-crono_inv'!BL:BL,'PdI-crono_inv'!CF:CF,F1147,'PdI-crono_inv'!CE:CE,H1147,'PdI-crono_inv'!J:J,P1147,'PdI-crono_inv'!P:P,"&lt;&gt;proprietario")</f>
        <v>0</v>
      </c>
      <c r="M1147" s="2335">
        <f>+SUMIFS('PdI-crono_inv'!BM:BM,'PdI-crono_inv'!CF:CF,F1147,'PdI-crono_inv'!CE:CE,H1147,'PdI-crono_inv'!J:J,P1147,'PdI-crono_inv'!P:P,"&lt;&gt;proprietario")+S1147</f>
        <v>0</v>
      </c>
      <c r="P1147" s="1013" t="s">
        <v>25481</v>
      </c>
      <c r="Q1147" s="1932" t="str">
        <f>+VLOOKUP(F1147,TT_Tabelle_Riferimento!$D$127:$E$164,2,FALSE)</f>
        <v>Acquedotto</v>
      </c>
      <c r="R1147" s="1932" t="str">
        <f t="shared" si="101"/>
        <v/>
      </c>
      <c r="S1147" s="2335">
        <f t="shared" si="98"/>
        <v>0</v>
      </c>
    </row>
    <row r="1148" spans="1:19">
      <c r="A1148" s="1932">
        <f t="shared" si="99"/>
        <v>0</v>
      </c>
      <c r="B1148" s="1932">
        <f t="shared" si="100"/>
        <v>0</v>
      </c>
      <c r="C1148" s="1013" t="s">
        <v>245</v>
      </c>
      <c r="D1148" s="1013">
        <v>0</v>
      </c>
      <c r="E1148" s="1013" t="s">
        <v>22698</v>
      </c>
      <c r="F1148" s="1013">
        <v>4</v>
      </c>
      <c r="G1148" s="1932" t="str">
        <f>+VLOOKUP(F1148,TT_Tabelle_Riferimento!$D$127:$G$164,4,FALSE)</f>
        <v>Serbatoi</v>
      </c>
      <c r="H1148" s="1013">
        <v>1</v>
      </c>
      <c r="I1148" s="1932" t="str">
        <f>+VLOOKUP(H1148,TT_Tabelle_Riferimento!$F$3:$G$6,2,FALSE)</f>
        <v>Servizio idrico integrato</v>
      </c>
      <c r="J1148" s="1013">
        <v>2029</v>
      </c>
      <c r="K1148" s="2335">
        <f>+SUMIFS('PdI-crono_inv'!BL:BL,'PdI-crono_inv'!CF:CF,F1148,'PdI-crono_inv'!CE:CE,H1148,'PdI-crono_inv'!J:J,P1148,'PdI-crono_inv'!P:P,"&lt;&gt;proprietario")</f>
        <v>0</v>
      </c>
      <c r="M1148" s="2335">
        <f>+SUMIFS('PdI-crono_inv'!BM:BM,'PdI-crono_inv'!CF:CF,F1148,'PdI-crono_inv'!CE:CE,H1148,'PdI-crono_inv'!J:J,P1148,'PdI-crono_inv'!P:P,"&lt;&gt;proprietario")+S1148</f>
        <v>0</v>
      </c>
      <c r="P1148" s="1013" t="s">
        <v>25481</v>
      </c>
      <c r="Q1148" s="1932" t="str">
        <f>+VLOOKUP(F1148,TT_Tabelle_Riferimento!$D$127:$E$164,2,FALSE)</f>
        <v>Acquedotto</v>
      </c>
      <c r="R1148" s="1932" t="str">
        <f t="shared" si="101"/>
        <v/>
      </c>
      <c r="S1148" s="2335">
        <f t="shared" si="98"/>
        <v>0</v>
      </c>
    </row>
    <row r="1149" spans="1:19">
      <c r="A1149" s="1932">
        <f t="shared" si="99"/>
        <v>0</v>
      </c>
      <c r="B1149" s="1932">
        <f t="shared" si="100"/>
        <v>0</v>
      </c>
      <c r="C1149" s="1013" t="s">
        <v>245</v>
      </c>
      <c r="D1149" s="1013">
        <v>0</v>
      </c>
      <c r="E1149" s="1013" t="s">
        <v>22698</v>
      </c>
      <c r="F1149" s="1013">
        <v>5</v>
      </c>
      <c r="G1149" s="1932" t="str">
        <f>+VLOOKUP(F1149,TT_Tabelle_Riferimento!$D$127:$G$164,4,FALSE)</f>
        <v>Impianti di sollevamento e pompaggio di acquedotto</v>
      </c>
      <c r="H1149" s="1013">
        <v>1</v>
      </c>
      <c r="I1149" s="1932" t="str">
        <f>+VLOOKUP(H1149,TT_Tabelle_Riferimento!$F$3:$G$6,2,FALSE)</f>
        <v>Servizio idrico integrato</v>
      </c>
      <c r="J1149" s="1013">
        <v>2029</v>
      </c>
      <c r="K1149" s="2335">
        <f>+SUMIFS('PdI-crono_inv'!BL:BL,'PdI-crono_inv'!CF:CF,F1149,'PdI-crono_inv'!CE:CE,H1149,'PdI-crono_inv'!J:J,P1149,'PdI-crono_inv'!P:P,"&lt;&gt;proprietario")</f>
        <v>0</v>
      </c>
      <c r="M1149" s="2335">
        <f>+SUMIFS('PdI-crono_inv'!BM:BM,'PdI-crono_inv'!CF:CF,F1149,'PdI-crono_inv'!CE:CE,H1149,'PdI-crono_inv'!J:J,P1149,'PdI-crono_inv'!P:P,"&lt;&gt;proprietario")+S1149</f>
        <v>0</v>
      </c>
      <c r="P1149" s="1013" t="s">
        <v>25481</v>
      </c>
      <c r="Q1149" s="1932" t="str">
        <f>+VLOOKUP(F1149,TT_Tabelle_Riferimento!$D$127:$E$164,2,FALSE)</f>
        <v>Acquedotto</v>
      </c>
      <c r="R1149" s="1932" t="str">
        <f t="shared" si="101"/>
        <v/>
      </c>
      <c r="S1149" s="2335">
        <f t="shared" si="98"/>
        <v>0</v>
      </c>
    </row>
    <row r="1150" spans="1:19">
      <c r="A1150" s="1932">
        <f t="shared" si="99"/>
        <v>0</v>
      </c>
      <c r="B1150" s="1932">
        <f t="shared" si="100"/>
        <v>0</v>
      </c>
      <c r="C1150" s="1013" t="s">
        <v>245</v>
      </c>
      <c r="D1150" s="1013">
        <v>0</v>
      </c>
      <c r="E1150" s="1013" t="s">
        <v>22698</v>
      </c>
      <c r="F1150" s="1013">
        <v>6</v>
      </c>
      <c r="G1150" s="1932" t="str">
        <f>+VLOOKUP(F1150,TT_Tabelle_Riferimento!$D$127:$G$164,4,FALSE)</f>
        <v>Impianti di potabilizzazione</v>
      </c>
      <c r="H1150" s="1013">
        <v>1</v>
      </c>
      <c r="I1150" s="1932" t="str">
        <f>+VLOOKUP(H1150,TT_Tabelle_Riferimento!$F$3:$G$6,2,FALSE)</f>
        <v>Servizio idrico integrato</v>
      </c>
      <c r="J1150" s="1013">
        <v>2029</v>
      </c>
      <c r="K1150" s="2335">
        <f>+SUMIFS('PdI-crono_inv'!BL:BL,'PdI-crono_inv'!CF:CF,F1150,'PdI-crono_inv'!CE:CE,H1150,'PdI-crono_inv'!J:J,P1150,'PdI-crono_inv'!P:P,"&lt;&gt;proprietario")</f>
        <v>0</v>
      </c>
      <c r="M1150" s="2335">
        <f>+SUMIFS('PdI-crono_inv'!BM:BM,'PdI-crono_inv'!CF:CF,F1150,'PdI-crono_inv'!CE:CE,H1150,'PdI-crono_inv'!J:J,P1150,'PdI-crono_inv'!P:P,"&lt;&gt;proprietario")+S1150</f>
        <v>0</v>
      </c>
      <c r="P1150" s="1013" t="s">
        <v>25481</v>
      </c>
      <c r="Q1150" s="1932" t="str">
        <f>+VLOOKUP(F1150,TT_Tabelle_Riferimento!$D$127:$E$164,2,FALSE)</f>
        <v>Acquedotto</v>
      </c>
      <c r="R1150" s="1932" t="str">
        <f t="shared" si="101"/>
        <v/>
      </c>
      <c r="S1150" s="2335">
        <f t="shared" si="98"/>
        <v>0</v>
      </c>
    </row>
    <row r="1151" spans="1:19">
      <c r="A1151" s="1932">
        <f t="shared" si="99"/>
        <v>0</v>
      </c>
      <c r="B1151" s="1932">
        <f t="shared" si="100"/>
        <v>0</v>
      </c>
      <c r="C1151" s="1013" t="s">
        <v>245</v>
      </c>
      <c r="D1151" s="1013">
        <v>0</v>
      </c>
      <c r="E1151" s="1013" t="s">
        <v>22698</v>
      </c>
      <c r="F1151" s="1013">
        <v>7</v>
      </c>
      <c r="G1151" s="1932" t="str">
        <f>+VLOOKUP(F1151,TT_Tabelle_Riferimento!$D$127:$G$164,4,FALSE)</f>
        <v>Altri trattamenti di potabilizzazione (tra cui dispositivi di disinfezione, stacciatura, filtrazione, addolcimento)</v>
      </c>
      <c r="H1151" s="1013">
        <v>1</v>
      </c>
      <c r="I1151" s="1932" t="str">
        <f>+VLOOKUP(H1151,TT_Tabelle_Riferimento!$F$3:$G$6,2,FALSE)</f>
        <v>Servizio idrico integrato</v>
      </c>
      <c r="J1151" s="1013">
        <v>2029</v>
      </c>
      <c r="K1151" s="2335">
        <f>+SUMIFS('PdI-crono_inv'!BL:BL,'PdI-crono_inv'!CF:CF,F1151,'PdI-crono_inv'!CE:CE,H1151,'PdI-crono_inv'!J:J,P1151,'PdI-crono_inv'!P:P,"&lt;&gt;proprietario")</f>
        <v>0</v>
      </c>
      <c r="M1151" s="2335">
        <f>+SUMIFS('PdI-crono_inv'!BM:BM,'PdI-crono_inv'!CF:CF,F1151,'PdI-crono_inv'!CE:CE,H1151,'PdI-crono_inv'!J:J,P1151,'PdI-crono_inv'!P:P,"&lt;&gt;proprietario")+S1151</f>
        <v>0</v>
      </c>
      <c r="P1151" s="1013" t="s">
        <v>25481</v>
      </c>
      <c r="Q1151" s="1932" t="str">
        <f>+VLOOKUP(F1151,TT_Tabelle_Riferimento!$D$127:$E$164,2,FALSE)</f>
        <v>Acquedotto</v>
      </c>
      <c r="R1151" s="1932" t="str">
        <f t="shared" si="101"/>
        <v/>
      </c>
      <c r="S1151" s="2335">
        <f t="shared" si="98"/>
        <v>0</v>
      </c>
    </row>
    <row r="1152" spans="1:19">
      <c r="A1152" s="1932">
        <f t="shared" si="99"/>
        <v>0</v>
      </c>
      <c r="B1152" s="1932">
        <f t="shared" si="100"/>
        <v>0</v>
      </c>
      <c r="C1152" s="1013" t="s">
        <v>245</v>
      </c>
      <c r="D1152" s="1013">
        <v>0</v>
      </c>
      <c r="E1152" s="1013" t="s">
        <v>22698</v>
      </c>
      <c r="F1152" s="1013">
        <v>8</v>
      </c>
      <c r="G1152" s="1932" t="str">
        <f>+VLOOKUP(F1152,TT_Tabelle_Riferimento!$D$127:$G$164,4,FALSE)</f>
        <v>Gruppi di misura - altre attrezzature di acquedotto</v>
      </c>
      <c r="H1152" s="1013">
        <v>1</v>
      </c>
      <c r="I1152" s="1932" t="str">
        <f>+VLOOKUP(H1152,TT_Tabelle_Riferimento!$F$3:$G$6,2,FALSE)</f>
        <v>Servizio idrico integrato</v>
      </c>
      <c r="J1152" s="1013">
        <v>2029</v>
      </c>
      <c r="K1152" s="2335">
        <f>+SUMIFS('PdI-crono_inv'!BL:BL,'PdI-crono_inv'!CF:CF,F1152,'PdI-crono_inv'!CE:CE,H1152,'PdI-crono_inv'!J:J,P1152,'PdI-crono_inv'!P:P,"&lt;&gt;proprietario")</f>
        <v>0</v>
      </c>
      <c r="M1152" s="2335">
        <f>+SUMIFS('PdI-crono_inv'!BM:BM,'PdI-crono_inv'!CF:CF,F1152,'PdI-crono_inv'!CE:CE,H1152,'PdI-crono_inv'!J:J,P1152,'PdI-crono_inv'!P:P,"&lt;&gt;proprietario")+S1152</f>
        <v>0</v>
      </c>
      <c r="P1152" s="1013" t="s">
        <v>25481</v>
      </c>
      <c r="Q1152" s="1932" t="str">
        <f>+VLOOKUP(F1152,TT_Tabelle_Riferimento!$D$127:$E$164,2,FALSE)</f>
        <v>Acquedotto</v>
      </c>
      <c r="R1152" s="1932" t="str">
        <f t="shared" si="101"/>
        <v/>
      </c>
      <c r="S1152" s="2335">
        <f t="shared" si="98"/>
        <v>0</v>
      </c>
    </row>
    <row r="1153" spans="1:19">
      <c r="A1153" s="1932">
        <f t="shared" si="99"/>
        <v>0</v>
      </c>
      <c r="B1153" s="1932">
        <f t="shared" si="100"/>
        <v>0</v>
      </c>
      <c r="C1153" s="1013" t="s">
        <v>245</v>
      </c>
      <c r="D1153" s="1013">
        <v>0</v>
      </c>
      <c r="E1153" s="1013" t="s">
        <v>22698</v>
      </c>
      <c r="F1153" s="1013">
        <v>9</v>
      </c>
      <c r="G1153" s="1932" t="str">
        <f>+VLOOKUP(F1153,TT_Tabelle_Riferimento!$D$127:$G$164,4,FALSE)</f>
        <v>Sistemi informativi di acquedotto</v>
      </c>
      <c r="H1153" s="1013">
        <v>1</v>
      </c>
      <c r="I1153" s="1932" t="str">
        <f>+VLOOKUP(H1153,TT_Tabelle_Riferimento!$F$3:$G$6,2,FALSE)</f>
        <v>Servizio idrico integrato</v>
      </c>
      <c r="J1153" s="1013">
        <v>2029</v>
      </c>
      <c r="K1153" s="2335">
        <f>+SUMIFS('PdI-crono_inv'!BL:BL,'PdI-crono_inv'!CF:CF,F1153,'PdI-crono_inv'!CE:CE,H1153,'PdI-crono_inv'!J:J,P1153,'PdI-crono_inv'!P:P,"&lt;&gt;proprietario")</f>
        <v>0</v>
      </c>
      <c r="M1153" s="2335">
        <f>+SUMIFS('PdI-crono_inv'!BM:BM,'PdI-crono_inv'!CF:CF,F1153,'PdI-crono_inv'!CE:CE,H1153,'PdI-crono_inv'!J:J,P1153,'PdI-crono_inv'!P:P,"&lt;&gt;proprietario")+S1153</f>
        <v>0</v>
      </c>
      <c r="P1153" s="1013" t="s">
        <v>25481</v>
      </c>
      <c r="Q1153" s="1932" t="str">
        <f>+VLOOKUP(F1153,TT_Tabelle_Riferimento!$D$127:$E$164,2,FALSE)</f>
        <v>Acquedotto</v>
      </c>
      <c r="R1153" s="1932" t="str">
        <f t="shared" si="101"/>
        <v/>
      </c>
      <c r="S1153" s="2335">
        <f t="shared" si="98"/>
        <v>0</v>
      </c>
    </row>
    <row r="1154" spans="1:19">
      <c r="A1154" s="1932">
        <f t="shared" si="99"/>
        <v>0</v>
      </c>
      <c r="B1154" s="1932">
        <f t="shared" si="100"/>
        <v>0</v>
      </c>
      <c r="C1154" s="1013" t="s">
        <v>245</v>
      </c>
      <c r="D1154" s="1013">
        <v>0</v>
      </c>
      <c r="E1154" s="1013" t="s">
        <v>22698</v>
      </c>
      <c r="F1154" s="1013">
        <v>10</v>
      </c>
      <c r="G1154" s="1932" t="str">
        <f>+VLOOKUP(F1154,TT_Tabelle_Riferimento!$D$127:$G$164,4,FALSE)</f>
        <v>Telecontrollo e teletrasmissione di acquedotto</v>
      </c>
      <c r="H1154" s="1013">
        <v>1</v>
      </c>
      <c r="I1154" s="1932" t="str">
        <f>+VLOOKUP(H1154,TT_Tabelle_Riferimento!$F$3:$G$6,2,FALSE)</f>
        <v>Servizio idrico integrato</v>
      </c>
      <c r="J1154" s="1013">
        <v>2029</v>
      </c>
      <c r="K1154" s="2335">
        <f>+SUMIFS('PdI-crono_inv'!BL:BL,'PdI-crono_inv'!CF:CF,F1154,'PdI-crono_inv'!CE:CE,H1154,'PdI-crono_inv'!J:J,P1154,'PdI-crono_inv'!P:P,"&lt;&gt;proprietario")</f>
        <v>0</v>
      </c>
      <c r="M1154" s="2335">
        <f>+SUMIFS('PdI-crono_inv'!BM:BM,'PdI-crono_inv'!CF:CF,F1154,'PdI-crono_inv'!CE:CE,H1154,'PdI-crono_inv'!J:J,P1154,'PdI-crono_inv'!P:P,"&lt;&gt;proprietario")+S1154</f>
        <v>0</v>
      </c>
      <c r="P1154" s="1013" t="s">
        <v>25481</v>
      </c>
      <c r="Q1154" s="1932" t="str">
        <f>+VLOOKUP(F1154,TT_Tabelle_Riferimento!$D$127:$E$164,2,FALSE)</f>
        <v>Acquedotto</v>
      </c>
      <c r="R1154" s="1932" t="str">
        <f t="shared" si="101"/>
        <v/>
      </c>
      <c r="S1154" s="2335">
        <f t="shared" si="98"/>
        <v>0</v>
      </c>
    </row>
    <row r="1155" spans="1:19">
      <c r="A1155" s="1932">
        <f t="shared" si="99"/>
        <v>0</v>
      </c>
      <c r="B1155" s="1932">
        <f t="shared" si="100"/>
        <v>0</v>
      </c>
      <c r="C1155" s="1013" t="s">
        <v>245</v>
      </c>
      <c r="D1155" s="1013">
        <v>0</v>
      </c>
      <c r="E1155" s="1013" t="s">
        <v>22698</v>
      </c>
      <c r="F1155" s="1013">
        <v>11</v>
      </c>
      <c r="G1155" s="1932" t="str">
        <f>+VLOOKUP(F1155,TT_Tabelle_Riferimento!$D$127:$G$164,4,FALSE)</f>
        <v>Condotte fognarie</v>
      </c>
      <c r="H1155" s="1013">
        <v>1</v>
      </c>
      <c r="I1155" s="1932" t="str">
        <f>+VLOOKUP(H1155,TT_Tabelle_Riferimento!$F$3:$G$6,2,FALSE)</f>
        <v>Servizio idrico integrato</v>
      </c>
      <c r="J1155" s="1013">
        <v>2029</v>
      </c>
      <c r="K1155" s="2335">
        <f>+SUMIFS('PdI-crono_inv'!BL:BL,'PdI-crono_inv'!CF:CF,F1155,'PdI-crono_inv'!CE:CE,H1155,'PdI-crono_inv'!J:J,P1155,'PdI-crono_inv'!P:P,"&lt;&gt;proprietario")</f>
        <v>0</v>
      </c>
      <c r="M1155" s="2335">
        <f>+SUMIFS('PdI-crono_inv'!BM:BM,'PdI-crono_inv'!CF:CF,F1155,'PdI-crono_inv'!CE:CE,H1155,'PdI-crono_inv'!J:J,P1155,'PdI-crono_inv'!P:P,"&lt;&gt;proprietario")+S1155</f>
        <v>0</v>
      </c>
      <c r="P1155" s="1013" t="s">
        <v>25481</v>
      </c>
      <c r="Q1155" s="1932" t="str">
        <f>+VLOOKUP(F1155,TT_Tabelle_Riferimento!$D$127:$E$164,2,FALSE)</f>
        <v>Fognatura</v>
      </c>
      <c r="R1155" s="1932" t="str">
        <f t="shared" si="101"/>
        <v/>
      </c>
      <c r="S1155" s="2335">
        <f t="shared" si="98"/>
        <v>0</v>
      </c>
    </row>
    <row r="1156" spans="1:19">
      <c r="A1156" s="1932">
        <f t="shared" si="99"/>
        <v>0</v>
      </c>
      <c r="B1156" s="1932">
        <f t="shared" si="100"/>
        <v>0</v>
      </c>
      <c r="C1156" s="1013" t="s">
        <v>245</v>
      </c>
      <c r="D1156" s="1013">
        <v>0</v>
      </c>
      <c r="E1156" s="1013" t="s">
        <v>22698</v>
      </c>
      <c r="F1156" s="1013">
        <v>12</v>
      </c>
      <c r="G1156" s="1932" t="str">
        <f>+VLOOKUP(F1156,TT_Tabelle_Riferimento!$D$127:$G$164,4,FALSE)</f>
        <v>Sifoni e scaricatori di piena e altre opere idrauliche fisse di fognatura</v>
      </c>
      <c r="H1156" s="1013">
        <v>1</v>
      </c>
      <c r="I1156" s="1932" t="str">
        <f>+VLOOKUP(H1156,TT_Tabelle_Riferimento!$F$3:$G$6,2,FALSE)</f>
        <v>Servizio idrico integrato</v>
      </c>
      <c r="J1156" s="1013">
        <v>2029</v>
      </c>
      <c r="K1156" s="2335">
        <f>+SUMIFS('PdI-crono_inv'!BL:BL,'PdI-crono_inv'!CF:CF,F1156,'PdI-crono_inv'!CE:CE,H1156,'PdI-crono_inv'!J:J,P1156,'PdI-crono_inv'!P:P,"&lt;&gt;proprietario")</f>
        <v>0</v>
      </c>
      <c r="M1156" s="2335">
        <f>+SUMIFS('PdI-crono_inv'!BM:BM,'PdI-crono_inv'!CF:CF,F1156,'PdI-crono_inv'!CE:CE,H1156,'PdI-crono_inv'!J:J,P1156,'PdI-crono_inv'!P:P,"&lt;&gt;proprietario")+S1156</f>
        <v>0</v>
      </c>
      <c r="P1156" s="1013" t="s">
        <v>25481</v>
      </c>
      <c r="Q1156" s="1932" t="str">
        <f>+VLOOKUP(F1156,TT_Tabelle_Riferimento!$D$127:$E$164,2,FALSE)</f>
        <v>Fognatura</v>
      </c>
      <c r="R1156" s="1932" t="str">
        <f t="shared" si="101"/>
        <v/>
      </c>
      <c r="S1156" s="2335">
        <f t="shared" si="98"/>
        <v>0</v>
      </c>
    </row>
    <row r="1157" spans="1:19">
      <c r="A1157" s="1932">
        <f t="shared" si="99"/>
        <v>0</v>
      </c>
      <c r="B1157" s="1932">
        <f t="shared" si="100"/>
        <v>0</v>
      </c>
      <c r="C1157" s="1013" t="s">
        <v>245</v>
      </c>
      <c r="D1157" s="1013">
        <v>0</v>
      </c>
      <c r="E1157" s="1013" t="s">
        <v>22698</v>
      </c>
      <c r="F1157" s="1013">
        <v>13</v>
      </c>
      <c r="G1157" s="1932" t="str">
        <f>+VLOOKUP(F1157,TT_Tabelle_Riferimento!$D$127:$G$164,4,FALSE)</f>
        <v>Vasche di laminazione e vasche di prima pioggia</v>
      </c>
      <c r="H1157" s="1013">
        <v>1</v>
      </c>
      <c r="I1157" s="1932" t="str">
        <f>+VLOOKUP(H1157,TT_Tabelle_Riferimento!$F$3:$G$6,2,FALSE)</f>
        <v>Servizio idrico integrato</v>
      </c>
      <c r="J1157" s="1013">
        <v>2029</v>
      </c>
      <c r="K1157" s="2335">
        <f>+SUMIFS('PdI-crono_inv'!BL:BL,'PdI-crono_inv'!CF:CF,F1157,'PdI-crono_inv'!CE:CE,H1157,'PdI-crono_inv'!J:J,P1157,'PdI-crono_inv'!P:P,"&lt;&gt;proprietario")</f>
        <v>0</v>
      </c>
      <c r="M1157" s="2335">
        <f>+SUMIFS('PdI-crono_inv'!BM:BM,'PdI-crono_inv'!CF:CF,F1157,'PdI-crono_inv'!CE:CE,H1157,'PdI-crono_inv'!J:J,P1157,'PdI-crono_inv'!P:P,"&lt;&gt;proprietario")+S1157</f>
        <v>0</v>
      </c>
      <c r="P1157" s="1013" t="s">
        <v>25481</v>
      </c>
      <c r="Q1157" s="1932" t="str">
        <f>+VLOOKUP(F1157,TT_Tabelle_Riferimento!$D$127:$E$164,2,FALSE)</f>
        <v>Fognatura</v>
      </c>
      <c r="R1157" s="1932" t="str">
        <f t="shared" si="101"/>
        <v/>
      </c>
      <c r="S1157" s="2335">
        <f t="shared" si="98"/>
        <v>0</v>
      </c>
    </row>
    <row r="1158" spans="1:19">
      <c r="A1158" s="1932">
        <f t="shared" si="99"/>
        <v>0</v>
      </c>
      <c r="B1158" s="1932">
        <f t="shared" si="100"/>
        <v>0</v>
      </c>
      <c r="C1158" s="1013" t="s">
        <v>245</v>
      </c>
      <c r="D1158" s="1013">
        <v>0</v>
      </c>
      <c r="E1158" s="1013" t="s">
        <v>22698</v>
      </c>
      <c r="F1158" s="1013">
        <v>14</v>
      </c>
      <c r="G1158" s="1932" t="str">
        <f>+VLOOKUP(F1158,TT_Tabelle_Riferimento!$D$127:$G$164,4,FALSE)</f>
        <v>Impianti di sollevamento e pompaggio di fognatura</v>
      </c>
      <c r="H1158" s="1013">
        <v>1</v>
      </c>
      <c r="I1158" s="1932" t="str">
        <f>+VLOOKUP(H1158,TT_Tabelle_Riferimento!$F$3:$G$6,2,FALSE)</f>
        <v>Servizio idrico integrato</v>
      </c>
      <c r="J1158" s="1013">
        <v>2029</v>
      </c>
      <c r="K1158" s="2335">
        <f>+SUMIFS('PdI-crono_inv'!BL:BL,'PdI-crono_inv'!CF:CF,F1158,'PdI-crono_inv'!CE:CE,H1158,'PdI-crono_inv'!J:J,P1158,'PdI-crono_inv'!P:P,"&lt;&gt;proprietario")</f>
        <v>0</v>
      </c>
      <c r="M1158" s="2335">
        <f>+SUMIFS('PdI-crono_inv'!BM:BM,'PdI-crono_inv'!CF:CF,F1158,'PdI-crono_inv'!CE:CE,H1158,'PdI-crono_inv'!J:J,P1158,'PdI-crono_inv'!P:P,"&lt;&gt;proprietario")+S1158</f>
        <v>0</v>
      </c>
      <c r="P1158" s="1013" t="s">
        <v>25481</v>
      </c>
      <c r="Q1158" s="1932" t="str">
        <f>+VLOOKUP(F1158,TT_Tabelle_Riferimento!$D$127:$E$164,2,FALSE)</f>
        <v>Fognatura</v>
      </c>
      <c r="R1158" s="1932" t="str">
        <f t="shared" si="101"/>
        <v/>
      </c>
      <c r="S1158" s="2335">
        <f t="shared" si="98"/>
        <v>0</v>
      </c>
    </row>
    <row r="1159" spans="1:19">
      <c r="A1159" s="1932">
        <f t="shared" si="99"/>
        <v>0</v>
      </c>
      <c r="B1159" s="1932">
        <f t="shared" si="100"/>
        <v>0</v>
      </c>
      <c r="C1159" s="1013" t="s">
        <v>245</v>
      </c>
      <c r="D1159" s="1013">
        <v>0</v>
      </c>
      <c r="E1159" s="1013" t="s">
        <v>22698</v>
      </c>
      <c r="F1159" s="1013">
        <v>15</v>
      </c>
      <c r="G1159" s="1932" t="str">
        <f>+VLOOKUP(F1159,TT_Tabelle_Riferimento!$D$127:$G$164,4,FALSE)</f>
        <v>Gruppi di misura - altre attrezzature di fognatura</v>
      </c>
      <c r="H1159" s="1013">
        <v>1</v>
      </c>
      <c r="I1159" s="1932" t="str">
        <f>+VLOOKUP(H1159,TT_Tabelle_Riferimento!$F$3:$G$6,2,FALSE)</f>
        <v>Servizio idrico integrato</v>
      </c>
      <c r="J1159" s="1013">
        <v>2029</v>
      </c>
      <c r="K1159" s="2335">
        <f>+SUMIFS('PdI-crono_inv'!BL:BL,'PdI-crono_inv'!CF:CF,F1159,'PdI-crono_inv'!CE:CE,H1159,'PdI-crono_inv'!J:J,P1159,'PdI-crono_inv'!P:P,"&lt;&gt;proprietario")</f>
        <v>0</v>
      </c>
      <c r="M1159" s="2335">
        <f>+SUMIFS('PdI-crono_inv'!BM:BM,'PdI-crono_inv'!CF:CF,F1159,'PdI-crono_inv'!CE:CE,H1159,'PdI-crono_inv'!J:J,P1159,'PdI-crono_inv'!P:P,"&lt;&gt;proprietario")+S1159</f>
        <v>0</v>
      </c>
      <c r="P1159" s="1013" t="s">
        <v>25481</v>
      </c>
      <c r="Q1159" s="1932" t="str">
        <f>+VLOOKUP(F1159,TT_Tabelle_Riferimento!$D$127:$E$164,2,FALSE)</f>
        <v>Fognatura</v>
      </c>
      <c r="R1159" s="1932" t="str">
        <f t="shared" si="101"/>
        <v/>
      </c>
      <c r="S1159" s="2335">
        <f t="shared" ref="S1159:S1222" si="102">+IFERROR(HLOOKUP(J1159,$X$2:$Y$5,4,FALSE)*K1159,0)</f>
        <v>0</v>
      </c>
    </row>
    <row r="1160" spans="1:19">
      <c r="A1160" s="1932">
        <f t="shared" si="99"/>
        <v>0</v>
      </c>
      <c r="B1160" s="1932">
        <f t="shared" si="100"/>
        <v>0</v>
      </c>
      <c r="C1160" s="1013" t="s">
        <v>245</v>
      </c>
      <c r="D1160" s="1013">
        <v>0</v>
      </c>
      <c r="E1160" s="1013" t="s">
        <v>22698</v>
      </c>
      <c r="F1160" s="1013">
        <v>16</v>
      </c>
      <c r="G1160" s="1932" t="str">
        <f>+VLOOKUP(F1160,TT_Tabelle_Riferimento!$D$127:$G$164,4,FALSE)</f>
        <v>Sistemi informativi di fognatura</v>
      </c>
      <c r="H1160" s="1013">
        <v>1</v>
      </c>
      <c r="I1160" s="1932" t="str">
        <f>+VLOOKUP(H1160,TT_Tabelle_Riferimento!$F$3:$G$6,2,FALSE)</f>
        <v>Servizio idrico integrato</v>
      </c>
      <c r="J1160" s="1013">
        <v>2029</v>
      </c>
      <c r="K1160" s="2335">
        <f>+SUMIFS('PdI-crono_inv'!BL:BL,'PdI-crono_inv'!CF:CF,F1160,'PdI-crono_inv'!CE:CE,H1160,'PdI-crono_inv'!J:J,P1160,'PdI-crono_inv'!P:P,"&lt;&gt;proprietario")</f>
        <v>0</v>
      </c>
      <c r="M1160" s="2335">
        <f>+SUMIFS('PdI-crono_inv'!BM:BM,'PdI-crono_inv'!CF:CF,F1160,'PdI-crono_inv'!CE:CE,H1160,'PdI-crono_inv'!J:J,P1160,'PdI-crono_inv'!P:P,"&lt;&gt;proprietario")+S1160</f>
        <v>0</v>
      </c>
      <c r="P1160" s="1013" t="s">
        <v>25481</v>
      </c>
      <c r="Q1160" s="1932" t="str">
        <f>+VLOOKUP(F1160,TT_Tabelle_Riferimento!$D$127:$E$164,2,FALSE)</f>
        <v>Fognatura</v>
      </c>
      <c r="R1160" s="1932" t="str">
        <f t="shared" si="101"/>
        <v/>
      </c>
      <c r="S1160" s="2335">
        <f t="shared" si="102"/>
        <v>0</v>
      </c>
    </row>
    <row r="1161" spans="1:19">
      <c r="A1161" s="1932">
        <f t="shared" si="99"/>
        <v>0</v>
      </c>
      <c r="B1161" s="1932">
        <f t="shared" si="100"/>
        <v>0</v>
      </c>
      <c r="C1161" s="1013" t="s">
        <v>245</v>
      </c>
      <c r="D1161" s="1013">
        <v>0</v>
      </c>
      <c r="E1161" s="1013" t="s">
        <v>22698</v>
      </c>
      <c r="F1161" s="1013">
        <v>18</v>
      </c>
      <c r="G1161" s="1932" t="str">
        <f>+VLOOKUP(F1161,TT_Tabelle_Riferimento!$D$127:$G$164,4,FALSE)</f>
        <v>Telecontrollo e teletrasmissione di fognatura</v>
      </c>
      <c r="H1161" s="1013">
        <v>1</v>
      </c>
      <c r="I1161" s="1932" t="str">
        <f>+VLOOKUP(H1161,TT_Tabelle_Riferimento!$F$3:$G$6,2,FALSE)</f>
        <v>Servizio idrico integrato</v>
      </c>
      <c r="J1161" s="1013">
        <v>2029</v>
      </c>
      <c r="K1161" s="2335">
        <f>+SUMIFS('PdI-crono_inv'!BL:BL,'PdI-crono_inv'!CF:CF,F1161,'PdI-crono_inv'!CE:CE,H1161,'PdI-crono_inv'!J:J,P1161,'PdI-crono_inv'!P:P,"&lt;&gt;proprietario")</f>
        <v>0</v>
      </c>
      <c r="M1161" s="2335">
        <f>+SUMIFS('PdI-crono_inv'!BM:BM,'PdI-crono_inv'!CF:CF,F1161,'PdI-crono_inv'!CE:CE,H1161,'PdI-crono_inv'!J:J,P1161,'PdI-crono_inv'!P:P,"&lt;&gt;proprietario")+S1161</f>
        <v>0</v>
      </c>
      <c r="P1161" s="1013" t="s">
        <v>25481</v>
      </c>
      <c r="Q1161" s="1932" t="str">
        <f>+VLOOKUP(F1161,TT_Tabelle_Riferimento!$D$127:$E$164,2,FALSE)</f>
        <v>Fognatura</v>
      </c>
      <c r="R1161" s="1932" t="str">
        <f t="shared" si="101"/>
        <v/>
      </c>
      <c r="S1161" s="2335">
        <f t="shared" si="102"/>
        <v>0</v>
      </c>
    </row>
    <row r="1162" spans="1:19">
      <c r="A1162" s="1932">
        <f t="shared" si="99"/>
        <v>0</v>
      </c>
      <c r="B1162" s="1932">
        <f t="shared" si="100"/>
        <v>0</v>
      </c>
      <c r="C1162" s="1013" t="s">
        <v>245</v>
      </c>
      <c r="D1162" s="1013">
        <v>0</v>
      </c>
      <c r="E1162" s="1013" t="s">
        <v>22698</v>
      </c>
      <c r="F1162" s="1013">
        <v>19</v>
      </c>
      <c r="G1162" s="1932" t="str">
        <f>+VLOOKUP(F1162,TT_Tabelle_Riferimento!$D$127:$G$164,4,FALSE)</f>
        <v>Impianti di sollevamento e pompaggio di depurazione</v>
      </c>
      <c r="H1162" s="1013">
        <v>1</v>
      </c>
      <c r="I1162" s="1932" t="str">
        <f>+VLOOKUP(H1162,TT_Tabelle_Riferimento!$F$3:$G$6,2,FALSE)</f>
        <v>Servizio idrico integrato</v>
      </c>
      <c r="J1162" s="1013">
        <v>2029</v>
      </c>
      <c r="K1162" s="2335">
        <f>+SUMIFS('PdI-crono_inv'!BL:BL,'PdI-crono_inv'!CF:CF,F1162,'PdI-crono_inv'!CE:CE,H1162,'PdI-crono_inv'!J:J,P1162,'PdI-crono_inv'!P:P,"&lt;&gt;proprietario")</f>
        <v>0</v>
      </c>
      <c r="M1162" s="2335">
        <f>+SUMIFS('PdI-crono_inv'!BM:BM,'PdI-crono_inv'!CF:CF,F1162,'PdI-crono_inv'!CE:CE,H1162,'PdI-crono_inv'!J:J,P1162,'PdI-crono_inv'!P:P,"&lt;&gt;proprietario")+S1162</f>
        <v>0</v>
      </c>
      <c r="P1162" s="1013" t="s">
        <v>25481</v>
      </c>
      <c r="Q1162" s="1932" t="str">
        <f>+VLOOKUP(F1162,TT_Tabelle_Riferimento!$D$127:$E$164,2,FALSE)</f>
        <v>Depurazione</v>
      </c>
      <c r="R1162" s="1932" t="str">
        <f t="shared" si="101"/>
        <v/>
      </c>
      <c r="S1162" s="2335">
        <f t="shared" si="102"/>
        <v>0</v>
      </c>
    </row>
    <row r="1163" spans="1:19">
      <c r="A1163" s="1932">
        <f t="shared" si="99"/>
        <v>0</v>
      </c>
      <c r="B1163" s="1932">
        <f t="shared" si="100"/>
        <v>0</v>
      </c>
      <c r="C1163" s="1013" t="s">
        <v>245</v>
      </c>
      <c r="D1163" s="1013">
        <v>0</v>
      </c>
      <c r="E1163" s="1013" t="s">
        <v>22698</v>
      </c>
      <c r="F1163" s="1013">
        <v>20</v>
      </c>
      <c r="G1163" s="1932" t="str">
        <f>+VLOOKUP(F1163,TT_Tabelle_Riferimento!$D$127:$G$164,4,FALSE)</f>
        <v>Tecniche naturali di depurazione (tra cui fitodepurazione e lagunaggio)</v>
      </c>
      <c r="H1163" s="1013">
        <v>1</v>
      </c>
      <c r="I1163" s="1932" t="str">
        <f>+VLOOKUP(H1163,TT_Tabelle_Riferimento!$F$3:$G$6,2,FALSE)</f>
        <v>Servizio idrico integrato</v>
      </c>
      <c r="J1163" s="1013">
        <v>2029</v>
      </c>
      <c r="K1163" s="2335">
        <f>+SUMIFS('PdI-crono_inv'!BL:BL,'PdI-crono_inv'!CF:CF,F1163,'PdI-crono_inv'!CE:CE,H1163,'PdI-crono_inv'!J:J,P1163,'PdI-crono_inv'!P:P,"&lt;&gt;proprietario")</f>
        <v>0</v>
      </c>
      <c r="M1163" s="2335">
        <f>+SUMIFS('PdI-crono_inv'!BM:BM,'PdI-crono_inv'!CF:CF,F1163,'PdI-crono_inv'!CE:CE,H1163,'PdI-crono_inv'!J:J,P1163,'PdI-crono_inv'!P:P,"&lt;&gt;proprietario")+S1163</f>
        <v>0</v>
      </c>
      <c r="P1163" s="1013" t="s">
        <v>25481</v>
      </c>
      <c r="Q1163" s="1932" t="str">
        <f>+VLOOKUP(F1163,TT_Tabelle_Riferimento!$D$127:$E$164,2,FALSE)</f>
        <v>Depurazione</v>
      </c>
      <c r="R1163" s="1932" t="str">
        <f t="shared" si="101"/>
        <v/>
      </c>
      <c r="S1163" s="2335">
        <f t="shared" si="102"/>
        <v>0</v>
      </c>
    </row>
    <row r="1164" spans="1:19">
      <c r="A1164" s="1932">
        <f t="shared" si="99"/>
        <v>0</v>
      </c>
      <c r="B1164" s="1932">
        <f t="shared" si="100"/>
        <v>0</v>
      </c>
      <c r="C1164" s="1013" t="s">
        <v>245</v>
      </c>
      <c r="D1164" s="1013">
        <v>0</v>
      </c>
      <c r="E1164" s="1013" t="s">
        <v>22698</v>
      </c>
      <c r="F1164" s="1013">
        <v>21</v>
      </c>
      <c r="G1164" s="1932" t="str">
        <f>+VLOOKUP(F1164,TT_Tabelle_Riferimento!$D$127:$G$164,4,FALSE)</f>
        <v>Impianti di depurazione – trattamenti sino al preliminare, integrativo, primario - fosse settiche e fosse Imhoff</v>
      </c>
      <c r="H1164" s="1013">
        <v>1</v>
      </c>
      <c r="I1164" s="1932" t="str">
        <f>+VLOOKUP(H1164,TT_Tabelle_Riferimento!$F$3:$G$6,2,FALSE)</f>
        <v>Servizio idrico integrato</v>
      </c>
      <c r="J1164" s="1013">
        <v>2029</v>
      </c>
      <c r="K1164" s="2335">
        <f>+SUMIFS('PdI-crono_inv'!BL:BL,'PdI-crono_inv'!CF:CF,F1164,'PdI-crono_inv'!CE:CE,H1164,'PdI-crono_inv'!J:J,P1164,'PdI-crono_inv'!P:P,"&lt;&gt;proprietario")</f>
        <v>0</v>
      </c>
      <c r="M1164" s="2335">
        <f>+SUMIFS('PdI-crono_inv'!BM:BM,'PdI-crono_inv'!CF:CF,F1164,'PdI-crono_inv'!CE:CE,H1164,'PdI-crono_inv'!J:J,P1164,'PdI-crono_inv'!P:P,"&lt;&gt;proprietario")+S1164</f>
        <v>0</v>
      </c>
      <c r="P1164" s="1013" t="s">
        <v>25481</v>
      </c>
      <c r="Q1164" s="1932" t="str">
        <f>+VLOOKUP(F1164,TT_Tabelle_Riferimento!$D$127:$E$164,2,FALSE)</f>
        <v>Depurazione</v>
      </c>
      <c r="R1164" s="1932" t="str">
        <f t="shared" si="101"/>
        <v/>
      </c>
      <c r="S1164" s="2335">
        <f t="shared" si="102"/>
        <v>0</v>
      </c>
    </row>
    <row r="1165" spans="1:19">
      <c r="A1165" s="1932">
        <f t="shared" si="99"/>
        <v>0</v>
      </c>
      <c r="B1165" s="1932">
        <f t="shared" si="100"/>
        <v>0</v>
      </c>
      <c r="C1165" s="1013" t="s">
        <v>245</v>
      </c>
      <c r="D1165" s="1013">
        <v>0</v>
      </c>
      <c r="E1165" s="1013" t="s">
        <v>22698</v>
      </c>
      <c r="F1165" s="1013">
        <v>22</v>
      </c>
      <c r="G1165" s="1932" t="str">
        <f>+VLOOKUP(F1165,TT_Tabelle_Riferimento!$D$127:$G$164,4,FALSE)</f>
        <v>Impianti di depurazione – trattamenti sino al secondario</v>
      </c>
      <c r="H1165" s="1013">
        <v>1</v>
      </c>
      <c r="I1165" s="1932" t="str">
        <f>+VLOOKUP(H1165,TT_Tabelle_Riferimento!$F$3:$G$6,2,FALSE)</f>
        <v>Servizio idrico integrato</v>
      </c>
      <c r="J1165" s="1013">
        <v>2029</v>
      </c>
      <c r="K1165" s="2335">
        <f>+SUMIFS('PdI-crono_inv'!BL:BL,'PdI-crono_inv'!CF:CF,F1165,'PdI-crono_inv'!CE:CE,H1165,'PdI-crono_inv'!J:J,P1165,'PdI-crono_inv'!P:P,"&lt;&gt;proprietario")</f>
        <v>0</v>
      </c>
      <c r="M1165" s="2335">
        <f>+SUMIFS('PdI-crono_inv'!BM:BM,'PdI-crono_inv'!CF:CF,F1165,'PdI-crono_inv'!CE:CE,H1165,'PdI-crono_inv'!J:J,P1165,'PdI-crono_inv'!P:P,"&lt;&gt;proprietario")+S1165</f>
        <v>0</v>
      </c>
      <c r="P1165" s="1013" t="s">
        <v>25481</v>
      </c>
      <c r="Q1165" s="1932" t="str">
        <f>+VLOOKUP(F1165,TT_Tabelle_Riferimento!$D$127:$E$164,2,FALSE)</f>
        <v>Depurazione</v>
      </c>
      <c r="R1165" s="1932" t="str">
        <f t="shared" si="101"/>
        <v/>
      </c>
      <c r="S1165" s="2335">
        <f t="shared" si="102"/>
        <v>0</v>
      </c>
    </row>
    <row r="1166" spans="1:19">
      <c r="A1166" s="1932">
        <f t="shared" si="99"/>
        <v>0</v>
      </c>
      <c r="B1166" s="1932">
        <f t="shared" si="100"/>
        <v>0</v>
      </c>
      <c r="C1166" s="1013" t="s">
        <v>245</v>
      </c>
      <c r="D1166" s="1013">
        <v>0</v>
      </c>
      <c r="E1166" s="1013" t="s">
        <v>22698</v>
      </c>
      <c r="F1166" s="1013">
        <v>23</v>
      </c>
      <c r="G1166" s="1932" t="str">
        <f>+VLOOKUP(F1166,TT_Tabelle_Riferimento!$D$127:$G$164,4,FALSE)</f>
        <v>Impianti di depurazione – trattamenti sino al terziario e terziario avanzato</v>
      </c>
      <c r="H1166" s="1013">
        <v>1</v>
      </c>
      <c r="I1166" s="1932" t="str">
        <f>+VLOOKUP(H1166,TT_Tabelle_Riferimento!$F$3:$G$6,2,FALSE)</f>
        <v>Servizio idrico integrato</v>
      </c>
      <c r="J1166" s="1013">
        <v>2029</v>
      </c>
      <c r="K1166" s="2335">
        <f>+SUMIFS('PdI-crono_inv'!BL:BL,'PdI-crono_inv'!CF:CF,F1166,'PdI-crono_inv'!CE:CE,H1166,'PdI-crono_inv'!J:J,P1166,'PdI-crono_inv'!P:P,"&lt;&gt;proprietario")</f>
        <v>0</v>
      </c>
      <c r="M1166" s="2335">
        <f>+SUMIFS('PdI-crono_inv'!BM:BM,'PdI-crono_inv'!CF:CF,F1166,'PdI-crono_inv'!CE:CE,H1166,'PdI-crono_inv'!J:J,P1166,'PdI-crono_inv'!P:P,"&lt;&gt;proprietario")+S1166</f>
        <v>0</v>
      </c>
      <c r="P1166" s="1013" t="s">
        <v>25481</v>
      </c>
      <c r="Q1166" s="1932" t="str">
        <f>+VLOOKUP(F1166,TT_Tabelle_Riferimento!$D$127:$E$164,2,FALSE)</f>
        <v>Depurazione</v>
      </c>
      <c r="R1166" s="1932" t="str">
        <f t="shared" si="101"/>
        <v/>
      </c>
      <c r="S1166" s="2335">
        <f t="shared" si="102"/>
        <v>0</v>
      </c>
    </row>
    <row r="1167" spans="1:19">
      <c r="A1167" s="1932">
        <f t="shared" si="99"/>
        <v>0</v>
      </c>
      <c r="B1167" s="1932">
        <f t="shared" si="100"/>
        <v>0</v>
      </c>
      <c r="C1167" s="1013" t="s">
        <v>245</v>
      </c>
      <c r="D1167" s="1013">
        <v>0</v>
      </c>
      <c r="E1167" s="1013" t="s">
        <v>22698</v>
      </c>
      <c r="F1167" s="1013">
        <v>24</v>
      </c>
      <c r="G1167" s="1932" t="str">
        <f>+VLOOKUP(F1167,TT_Tabelle_Riferimento!$D$127:$G$164,4,FALSE)</f>
        <v>Impianti di essiccamento fanghi e di valorizzazione dei fanghi (tra cui mono-incenerimento, pirolisi, gassificazione)</v>
      </c>
      <c r="H1167" s="1013">
        <v>1</v>
      </c>
      <c r="I1167" s="1932" t="str">
        <f>+VLOOKUP(H1167,TT_Tabelle_Riferimento!$F$3:$G$6,2,FALSE)</f>
        <v>Servizio idrico integrato</v>
      </c>
      <c r="J1167" s="1013">
        <v>2029</v>
      </c>
      <c r="K1167" s="2335">
        <f>+SUMIFS('PdI-crono_inv'!BL:BL,'PdI-crono_inv'!CF:CF,F1167,'PdI-crono_inv'!CE:CE,H1167,'PdI-crono_inv'!J:J,P1167,'PdI-crono_inv'!P:P,"&lt;&gt;proprietario")</f>
        <v>0</v>
      </c>
      <c r="M1167" s="2335">
        <f>+SUMIFS('PdI-crono_inv'!BM:BM,'PdI-crono_inv'!CF:CF,F1167,'PdI-crono_inv'!CE:CE,H1167,'PdI-crono_inv'!J:J,P1167,'PdI-crono_inv'!P:P,"&lt;&gt;proprietario")+S1167</f>
        <v>0</v>
      </c>
      <c r="P1167" s="1013" t="s">
        <v>25481</v>
      </c>
      <c r="Q1167" s="1932" t="str">
        <f>+VLOOKUP(F1167,TT_Tabelle_Riferimento!$D$127:$E$164,2,FALSE)</f>
        <v>Depurazione</v>
      </c>
      <c r="R1167" s="1932" t="str">
        <f t="shared" si="101"/>
        <v/>
      </c>
      <c r="S1167" s="2335">
        <f t="shared" si="102"/>
        <v>0</v>
      </c>
    </row>
    <row r="1168" spans="1:19">
      <c r="A1168" s="1932">
        <f t="shared" si="99"/>
        <v>0</v>
      </c>
      <c r="B1168" s="1932">
        <f t="shared" si="100"/>
        <v>0</v>
      </c>
      <c r="C1168" s="1013" t="s">
        <v>245</v>
      </c>
      <c r="D1168" s="1013">
        <v>0</v>
      </c>
      <c r="E1168" s="1013" t="s">
        <v>22698</v>
      </c>
      <c r="F1168" s="1013">
        <v>25</v>
      </c>
      <c r="G1168" s="1932" t="str">
        <f>+VLOOKUP(F1168,TT_Tabelle_Riferimento!$D$127:$G$164,4,FALSE)</f>
        <v>Gruppi di misura - altre attrezzature di depurazione</v>
      </c>
      <c r="H1168" s="1013">
        <v>1</v>
      </c>
      <c r="I1168" s="1932" t="str">
        <f>+VLOOKUP(H1168,TT_Tabelle_Riferimento!$F$3:$G$6,2,FALSE)</f>
        <v>Servizio idrico integrato</v>
      </c>
      <c r="J1168" s="1013">
        <v>2029</v>
      </c>
      <c r="K1168" s="2335">
        <f>+SUMIFS('PdI-crono_inv'!BL:BL,'PdI-crono_inv'!CF:CF,F1168,'PdI-crono_inv'!CE:CE,H1168,'PdI-crono_inv'!J:J,P1168,'PdI-crono_inv'!P:P,"&lt;&gt;proprietario")</f>
        <v>0</v>
      </c>
      <c r="M1168" s="2335">
        <f>+SUMIFS('PdI-crono_inv'!BM:BM,'PdI-crono_inv'!CF:CF,F1168,'PdI-crono_inv'!CE:CE,H1168,'PdI-crono_inv'!J:J,P1168,'PdI-crono_inv'!P:P,"&lt;&gt;proprietario")+S1168</f>
        <v>0</v>
      </c>
      <c r="P1168" s="1013" t="s">
        <v>25481</v>
      </c>
      <c r="Q1168" s="1932" t="str">
        <f>+VLOOKUP(F1168,TT_Tabelle_Riferimento!$D$127:$E$164,2,FALSE)</f>
        <v>Depurazione</v>
      </c>
      <c r="R1168" s="1932" t="str">
        <f t="shared" si="101"/>
        <v/>
      </c>
      <c r="S1168" s="2335">
        <f t="shared" si="102"/>
        <v>0</v>
      </c>
    </row>
    <row r="1169" spans="1:19">
      <c r="A1169" s="1932">
        <f t="shared" si="99"/>
        <v>0</v>
      </c>
      <c r="B1169" s="1932">
        <f t="shared" si="100"/>
        <v>0</v>
      </c>
      <c r="C1169" s="1013" t="s">
        <v>245</v>
      </c>
      <c r="D1169" s="1013">
        <v>0</v>
      </c>
      <c r="E1169" s="1013" t="s">
        <v>22698</v>
      </c>
      <c r="F1169" s="1013">
        <v>26</v>
      </c>
      <c r="G1169" s="1932" t="str">
        <f>+VLOOKUP(F1169,TT_Tabelle_Riferimento!$D$127:$G$164,4,FALSE)</f>
        <v>Sistemi informativi di depurazione</v>
      </c>
      <c r="H1169" s="1013">
        <v>1</v>
      </c>
      <c r="I1169" s="1932" t="str">
        <f>+VLOOKUP(H1169,TT_Tabelle_Riferimento!$F$3:$G$6,2,FALSE)</f>
        <v>Servizio idrico integrato</v>
      </c>
      <c r="J1169" s="1013">
        <v>2029</v>
      </c>
      <c r="K1169" s="2335">
        <f>+SUMIFS('PdI-crono_inv'!BL:BL,'PdI-crono_inv'!CF:CF,F1169,'PdI-crono_inv'!CE:CE,H1169,'PdI-crono_inv'!J:J,P1169,'PdI-crono_inv'!P:P,"&lt;&gt;proprietario")</f>
        <v>0</v>
      </c>
      <c r="M1169" s="2335">
        <f>+SUMIFS('PdI-crono_inv'!BM:BM,'PdI-crono_inv'!CF:CF,F1169,'PdI-crono_inv'!CE:CE,H1169,'PdI-crono_inv'!J:J,P1169,'PdI-crono_inv'!P:P,"&lt;&gt;proprietario")+S1169</f>
        <v>0</v>
      </c>
      <c r="P1169" s="1013" t="s">
        <v>25481</v>
      </c>
      <c r="Q1169" s="1932" t="str">
        <f>+VLOOKUP(F1169,TT_Tabelle_Riferimento!$D$127:$E$164,2,FALSE)</f>
        <v>Depurazione</v>
      </c>
      <c r="R1169" s="1932" t="str">
        <f t="shared" si="101"/>
        <v/>
      </c>
      <c r="S1169" s="2335">
        <f t="shared" si="102"/>
        <v>0</v>
      </c>
    </row>
    <row r="1170" spans="1:19">
      <c r="A1170" s="1932">
        <f t="shared" si="99"/>
        <v>0</v>
      </c>
      <c r="B1170" s="1932">
        <f t="shared" si="100"/>
        <v>0</v>
      </c>
      <c r="C1170" s="1013" t="s">
        <v>245</v>
      </c>
      <c r="D1170" s="1013">
        <v>0</v>
      </c>
      <c r="E1170" s="1013" t="s">
        <v>22698</v>
      </c>
      <c r="F1170" s="1013">
        <v>27</v>
      </c>
      <c r="G1170" s="1932" t="str">
        <f>+VLOOKUP(F1170,TT_Tabelle_Riferimento!$D$127:$G$164,4,FALSE)</f>
        <v>Telecontrollo e teletrasmissione di depurazione</v>
      </c>
      <c r="H1170" s="1013">
        <v>1</v>
      </c>
      <c r="I1170" s="1932" t="str">
        <f>+VLOOKUP(H1170,TT_Tabelle_Riferimento!$F$3:$G$6,2,FALSE)</f>
        <v>Servizio idrico integrato</v>
      </c>
      <c r="J1170" s="1013">
        <v>2029</v>
      </c>
      <c r="K1170" s="2335">
        <f>+SUMIFS('PdI-crono_inv'!BL:BL,'PdI-crono_inv'!CF:CF,F1170,'PdI-crono_inv'!CE:CE,H1170,'PdI-crono_inv'!J:J,P1170,'PdI-crono_inv'!P:P,"&lt;&gt;proprietario")</f>
        <v>0</v>
      </c>
      <c r="M1170" s="2335">
        <f>+SUMIFS('PdI-crono_inv'!BM:BM,'PdI-crono_inv'!CF:CF,F1170,'PdI-crono_inv'!CE:CE,H1170,'PdI-crono_inv'!J:J,P1170,'PdI-crono_inv'!P:P,"&lt;&gt;proprietario")+S1170</f>
        <v>0</v>
      </c>
      <c r="P1170" s="1013" t="s">
        <v>25481</v>
      </c>
      <c r="Q1170" s="1932" t="str">
        <f>+VLOOKUP(F1170,TT_Tabelle_Riferimento!$D$127:$E$164,2,FALSE)</f>
        <v>Depurazione</v>
      </c>
      <c r="R1170" s="1932" t="str">
        <f t="shared" si="101"/>
        <v/>
      </c>
      <c r="S1170" s="2335">
        <f t="shared" si="102"/>
        <v>0</v>
      </c>
    </row>
    <row r="1171" spans="1:19">
      <c r="A1171" s="1932">
        <f t="shared" si="99"/>
        <v>0</v>
      </c>
      <c r="B1171" s="1932">
        <f t="shared" si="100"/>
        <v>0</v>
      </c>
      <c r="C1171" s="1013" t="s">
        <v>245</v>
      </c>
      <c r="D1171" s="1013">
        <v>0</v>
      </c>
      <c r="E1171" s="1013" t="s">
        <v>22698</v>
      </c>
      <c r="F1171" s="1013">
        <v>28</v>
      </c>
      <c r="G1171" s="1932" t="str">
        <f>+VLOOKUP(F1171,TT_Tabelle_Riferimento!$D$127:$G$164,4,FALSE)</f>
        <v>Altri impianti</v>
      </c>
      <c r="H1171" s="1013">
        <v>1</v>
      </c>
      <c r="I1171" s="1932" t="str">
        <f>+VLOOKUP(H1171,TT_Tabelle_Riferimento!$F$3:$G$6,2,FALSE)</f>
        <v>Servizio idrico integrato</v>
      </c>
      <c r="J1171" s="1013">
        <v>2029</v>
      </c>
      <c r="K1171" s="2335">
        <f>+SUMIFS('PdI-crono_inv'!BL:BL,'PdI-crono_inv'!CF:CF,F1171,'PdI-crono_inv'!CE:CE,H1171,'PdI-crono_inv'!J:J,P1171,'PdI-crono_inv'!P:P,"&lt;&gt;proprietario")</f>
        <v>0</v>
      </c>
      <c r="M1171" s="2335">
        <f>+SUMIFS('PdI-crono_inv'!BM:BM,'PdI-crono_inv'!CF:CF,F1171,'PdI-crono_inv'!CE:CE,H1171,'PdI-crono_inv'!J:J,P1171,'PdI-crono_inv'!P:P,"&lt;&gt;proprietario")+S1171</f>
        <v>0</v>
      </c>
      <c r="P1171" s="1013" t="s">
        <v>25481</v>
      </c>
      <c r="Q1171" s="1932" t="str">
        <f>+VLOOKUP(F1171,TT_Tabelle_Riferimento!$D$127:$E$164,2,FALSE)</f>
        <v>Comune</v>
      </c>
      <c r="R1171" s="1932" t="str">
        <f t="shared" si="101"/>
        <v/>
      </c>
      <c r="S1171" s="2335">
        <f t="shared" si="102"/>
        <v>0</v>
      </c>
    </row>
    <row r="1172" spans="1:19">
      <c r="A1172" s="1932">
        <f t="shared" ref="A1172:A1180" si="103">+idato</f>
        <v>0</v>
      </c>
      <c r="B1172" s="1932">
        <f t="shared" ref="B1172:B1180" si="104">+idgestore</f>
        <v>0</v>
      </c>
      <c r="C1172" s="1013" t="s">
        <v>245</v>
      </c>
      <c r="D1172" s="1013">
        <v>0</v>
      </c>
      <c r="E1172" s="1013" t="s">
        <v>22698</v>
      </c>
      <c r="F1172" s="1013">
        <v>29</v>
      </c>
      <c r="G1172" s="1932" t="str">
        <f>+VLOOKUP(F1172,TT_Tabelle_Riferimento!$D$127:$G$164,4,FALSE)</f>
        <v>Laboratori e attrezzature</v>
      </c>
      <c r="H1172" s="1013">
        <v>1</v>
      </c>
      <c r="I1172" s="1932" t="str">
        <f>+VLOOKUP(H1172,TT_Tabelle_Riferimento!$F$3:$G$6,2,FALSE)</f>
        <v>Servizio idrico integrato</v>
      </c>
      <c r="J1172" s="1013">
        <v>2029</v>
      </c>
      <c r="K1172" s="2335">
        <f>+SUMIFS('PdI-crono_inv'!BL:BL,'PdI-crono_inv'!CF:CF,F1172,'PdI-crono_inv'!CE:CE,H1172,'PdI-crono_inv'!J:J,P1172,'PdI-crono_inv'!P:P,"&lt;&gt;proprietario")</f>
        <v>0</v>
      </c>
      <c r="M1172" s="2335">
        <f>+SUMIFS('PdI-crono_inv'!BM:BM,'PdI-crono_inv'!CF:CF,F1172,'PdI-crono_inv'!CE:CE,H1172,'PdI-crono_inv'!J:J,P1172,'PdI-crono_inv'!P:P,"&lt;&gt;proprietario")+S1172</f>
        <v>0</v>
      </c>
      <c r="P1172" s="1013" t="s">
        <v>25481</v>
      </c>
      <c r="Q1172" s="1932" t="str">
        <f>+VLOOKUP(F1172,TT_Tabelle_Riferimento!$D$127:$E$164,2,FALSE)</f>
        <v>Comune</v>
      </c>
      <c r="R1172" s="1932" t="str">
        <f t="shared" si="101"/>
        <v/>
      </c>
      <c r="S1172" s="2335">
        <f t="shared" si="102"/>
        <v>0</v>
      </c>
    </row>
    <row r="1173" spans="1:19">
      <c r="A1173" s="1932">
        <f t="shared" si="103"/>
        <v>0</v>
      </c>
      <c r="B1173" s="1932">
        <f t="shared" si="104"/>
        <v>0</v>
      </c>
      <c r="C1173" s="1013" t="s">
        <v>245</v>
      </c>
      <c r="D1173" s="1013">
        <v>0</v>
      </c>
      <c r="E1173" s="1013" t="s">
        <v>22698</v>
      </c>
      <c r="F1173" s="1013">
        <v>30</v>
      </c>
      <c r="G1173" s="1932" t="str">
        <f>+VLOOKUP(F1173,TT_Tabelle_Riferimento!$D$127:$G$164,4,FALSE)</f>
        <v>Sistemi informativi</v>
      </c>
      <c r="H1173" s="1013">
        <v>1</v>
      </c>
      <c r="I1173" s="1932" t="str">
        <f>+VLOOKUP(H1173,TT_Tabelle_Riferimento!$F$3:$G$6,2,FALSE)</f>
        <v>Servizio idrico integrato</v>
      </c>
      <c r="J1173" s="1013">
        <v>2029</v>
      </c>
      <c r="K1173" s="2335">
        <f>+SUMIFS('PdI-crono_inv'!BL:BL,'PdI-crono_inv'!CF:CF,F1173,'PdI-crono_inv'!CE:CE,H1173,'PdI-crono_inv'!J:J,P1173,'PdI-crono_inv'!P:P,"&lt;&gt;proprietario")</f>
        <v>0</v>
      </c>
      <c r="M1173" s="2335">
        <f>+SUMIFS('PdI-crono_inv'!BM:BM,'PdI-crono_inv'!CF:CF,F1173,'PdI-crono_inv'!CE:CE,H1173,'PdI-crono_inv'!J:J,P1173,'PdI-crono_inv'!P:P,"&lt;&gt;proprietario")+S1173</f>
        <v>0</v>
      </c>
      <c r="P1173" s="1013" t="s">
        <v>25481</v>
      </c>
      <c r="Q1173" s="1932" t="str">
        <f>+VLOOKUP(F1173,TT_Tabelle_Riferimento!$D$127:$E$164,2,FALSE)</f>
        <v>Comune</v>
      </c>
      <c r="R1173" s="1932" t="str">
        <f t="shared" si="101"/>
        <v/>
      </c>
      <c r="S1173" s="2335">
        <f t="shared" si="102"/>
        <v>0</v>
      </c>
    </row>
    <row r="1174" spans="1:19">
      <c r="A1174" s="1932">
        <f t="shared" si="103"/>
        <v>0</v>
      </c>
      <c r="B1174" s="1932">
        <f t="shared" si="104"/>
        <v>0</v>
      </c>
      <c r="C1174" s="1013" t="s">
        <v>245</v>
      </c>
      <c r="D1174" s="1013">
        <v>0</v>
      </c>
      <c r="E1174" s="1013" t="s">
        <v>22698</v>
      </c>
      <c r="F1174" s="1013">
        <v>31</v>
      </c>
      <c r="G1174" s="1932" t="str">
        <f>+VLOOKUP(F1174,TT_Tabelle_Riferimento!$D$127:$G$164,4,FALSE)</f>
        <v>Telecontrollo e teletrasmissione</v>
      </c>
      <c r="H1174" s="1013">
        <v>1</v>
      </c>
      <c r="I1174" s="1932" t="str">
        <f>+VLOOKUP(H1174,TT_Tabelle_Riferimento!$F$3:$G$6,2,FALSE)</f>
        <v>Servizio idrico integrato</v>
      </c>
      <c r="J1174" s="1013">
        <v>2029</v>
      </c>
      <c r="K1174" s="2335">
        <f>+SUMIFS('PdI-crono_inv'!BL:BL,'PdI-crono_inv'!CF:CF,F1174,'PdI-crono_inv'!CE:CE,H1174,'PdI-crono_inv'!J:J,P1174,'PdI-crono_inv'!P:P,"&lt;&gt;proprietario")</f>
        <v>0</v>
      </c>
      <c r="M1174" s="2335">
        <f>+SUMIFS('PdI-crono_inv'!BM:BM,'PdI-crono_inv'!CF:CF,F1174,'PdI-crono_inv'!CE:CE,H1174,'PdI-crono_inv'!J:J,P1174,'PdI-crono_inv'!P:P,"&lt;&gt;proprietario")+S1174</f>
        <v>0</v>
      </c>
      <c r="P1174" s="1013" t="s">
        <v>25481</v>
      </c>
      <c r="Q1174" s="1932" t="str">
        <f>+VLOOKUP(F1174,TT_Tabelle_Riferimento!$D$127:$E$164,2,FALSE)</f>
        <v>Comune</v>
      </c>
      <c r="R1174" s="1932" t="str">
        <f t="shared" si="101"/>
        <v/>
      </c>
      <c r="S1174" s="2335">
        <f t="shared" si="102"/>
        <v>0</v>
      </c>
    </row>
    <row r="1175" spans="1:19">
      <c r="A1175" s="1932">
        <f t="shared" si="103"/>
        <v>0</v>
      </c>
      <c r="B1175" s="1932">
        <f t="shared" si="104"/>
        <v>0</v>
      </c>
      <c r="C1175" s="1013" t="s">
        <v>245</v>
      </c>
      <c r="D1175" s="1013">
        <v>0</v>
      </c>
      <c r="E1175" s="1013" t="s">
        <v>22698</v>
      </c>
      <c r="F1175" s="1013">
        <v>32</v>
      </c>
      <c r="G1175" s="1932" t="str">
        <f>+VLOOKUP(F1175,TT_Tabelle_Riferimento!$D$127:$G$164,4,FALSE)</f>
        <v>Autoveicoli - automezzi</v>
      </c>
      <c r="H1175" s="1013">
        <v>1</v>
      </c>
      <c r="I1175" s="1932" t="str">
        <f>+VLOOKUP(H1175,TT_Tabelle_Riferimento!$F$3:$G$6,2,FALSE)</f>
        <v>Servizio idrico integrato</v>
      </c>
      <c r="J1175" s="1013">
        <v>2029</v>
      </c>
      <c r="K1175" s="2335">
        <f>+SUMIFS('PdI-crono_inv'!BL:BL,'PdI-crono_inv'!CF:CF,F1175,'PdI-crono_inv'!CE:CE,H1175,'PdI-crono_inv'!J:J,P1175,'PdI-crono_inv'!P:P,"&lt;&gt;proprietario")</f>
        <v>0</v>
      </c>
      <c r="M1175" s="2335">
        <f>+SUMIFS('PdI-crono_inv'!BM:BM,'PdI-crono_inv'!CF:CF,F1175,'PdI-crono_inv'!CE:CE,H1175,'PdI-crono_inv'!J:J,P1175,'PdI-crono_inv'!P:P,"&lt;&gt;proprietario")+S1175</f>
        <v>0</v>
      </c>
      <c r="P1175" s="1013" t="s">
        <v>25481</v>
      </c>
      <c r="Q1175" s="1932" t="str">
        <f>+VLOOKUP(F1175,TT_Tabelle_Riferimento!$D$127:$E$164,2,FALSE)</f>
        <v>Comune</v>
      </c>
      <c r="R1175" s="1932" t="str">
        <f t="shared" si="101"/>
        <v/>
      </c>
      <c r="S1175" s="2335">
        <f t="shared" si="102"/>
        <v>0</v>
      </c>
    </row>
    <row r="1176" spans="1:19">
      <c r="A1176" s="1932">
        <f t="shared" si="103"/>
        <v>0</v>
      </c>
      <c r="B1176" s="1932">
        <f t="shared" si="104"/>
        <v>0</v>
      </c>
      <c r="C1176" s="1013" t="s">
        <v>245</v>
      </c>
      <c r="D1176" s="1013">
        <v>0</v>
      </c>
      <c r="E1176" s="1013" t="s">
        <v>22698</v>
      </c>
      <c r="F1176" s="1013">
        <v>1</v>
      </c>
      <c r="G1176" s="1932" t="str">
        <f>+VLOOKUP(F1176,TT_Tabelle_Riferimento!$D$127:$G$164,4,FALSE)</f>
        <v>Terreni</v>
      </c>
      <c r="H1176" s="1013">
        <v>1</v>
      </c>
      <c r="I1176" s="1932" t="str">
        <f>+VLOOKUP(H1176,TT_Tabelle_Riferimento!$F$3:$G$6,2,FALSE)</f>
        <v>Servizio idrico integrato</v>
      </c>
      <c r="J1176" s="1013">
        <v>2029</v>
      </c>
      <c r="K1176" s="2335">
        <f>+SUMIFS('PdI-crono_inv'!BL:BL,'PdI-crono_inv'!CF:CF,F1176,'PdI-crono_inv'!CE:CE,H1176,'PdI-crono_inv'!J:J,P1176,'PdI-crono_inv'!P:P,"&lt;&gt;proprietario")</f>
        <v>0</v>
      </c>
      <c r="M1176" s="2335">
        <f>+SUMIFS('PdI-crono_inv'!BM:BM,'PdI-crono_inv'!CF:CF,F1176,'PdI-crono_inv'!CE:CE,H1176,'PdI-crono_inv'!J:J,P1176,'PdI-crono_inv'!P:P,"&lt;&gt;proprietario")+S1176</f>
        <v>0</v>
      </c>
      <c r="P1176" s="1013" t="s">
        <v>25481</v>
      </c>
      <c r="Q1176" s="1932" t="str">
        <f>+VLOOKUP(F1176,TT_Tabelle_Riferimento!$D$127:$E$164,2,FALSE)</f>
        <v>Comune</v>
      </c>
      <c r="R1176" s="1932" t="str">
        <f t="shared" si="101"/>
        <v/>
      </c>
      <c r="S1176" s="2335">
        <f t="shared" si="102"/>
        <v>0</v>
      </c>
    </row>
    <row r="1177" spans="1:19">
      <c r="A1177" s="1932">
        <f t="shared" si="103"/>
        <v>0</v>
      </c>
      <c r="B1177" s="1932">
        <f t="shared" si="104"/>
        <v>0</v>
      </c>
      <c r="C1177" s="1013" t="s">
        <v>245</v>
      </c>
      <c r="D1177" s="1013">
        <v>0</v>
      </c>
      <c r="E1177" s="1013" t="s">
        <v>22698</v>
      </c>
      <c r="F1177" s="1013">
        <v>33</v>
      </c>
      <c r="G1177" s="1932" t="str">
        <f>+VLOOKUP(F1177,TT_Tabelle_Riferimento!$D$127:$G$164,4,FALSE)</f>
        <v>Fabbricati non industriali</v>
      </c>
      <c r="H1177" s="1013">
        <v>1</v>
      </c>
      <c r="I1177" s="1932" t="str">
        <f>+VLOOKUP(H1177,TT_Tabelle_Riferimento!$F$3:$G$6,2,FALSE)</f>
        <v>Servizio idrico integrato</v>
      </c>
      <c r="J1177" s="1013">
        <v>2029</v>
      </c>
      <c r="K1177" s="2335">
        <f>+SUMIFS('PdI-crono_inv'!BL:BL,'PdI-crono_inv'!CF:CF,F1177,'PdI-crono_inv'!CE:CE,H1177,'PdI-crono_inv'!J:J,P1177,'PdI-crono_inv'!P:P,"&lt;&gt;proprietario")</f>
        <v>0</v>
      </c>
      <c r="M1177" s="2335">
        <f>+SUMIFS('PdI-crono_inv'!BM:BM,'PdI-crono_inv'!CF:CF,F1177,'PdI-crono_inv'!CE:CE,H1177,'PdI-crono_inv'!J:J,P1177,'PdI-crono_inv'!P:P,"&lt;&gt;proprietario")+S1177</f>
        <v>0</v>
      </c>
      <c r="P1177" s="1013" t="s">
        <v>25481</v>
      </c>
      <c r="Q1177" s="1932" t="str">
        <f>+VLOOKUP(F1177,TT_Tabelle_Riferimento!$D$127:$E$164,2,FALSE)</f>
        <v>Comune</v>
      </c>
      <c r="R1177" s="1932" t="str">
        <f t="shared" si="101"/>
        <v/>
      </c>
      <c r="S1177" s="2335">
        <f t="shared" si="102"/>
        <v>0</v>
      </c>
    </row>
    <row r="1178" spans="1:19">
      <c r="A1178" s="1932">
        <f t="shared" si="103"/>
        <v>0</v>
      </c>
      <c r="B1178" s="1932">
        <f t="shared" si="104"/>
        <v>0</v>
      </c>
      <c r="C1178" s="1013" t="s">
        <v>245</v>
      </c>
      <c r="D1178" s="1013">
        <v>0</v>
      </c>
      <c r="E1178" s="1013" t="s">
        <v>22698</v>
      </c>
      <c r="F1178" s="1013">
        <v>34</v>
      </c>
      <c r="G1178" s="1932" t="str">
        <f>+VLOOKUP(F1178,TT_Tabelle_Riferimento!$D$127:$G$164,4,FALSE)</f>
        <v>Fabbricati industriali</v>
      </c>
      <c r="H1178" s="1013">
        <v>1</v>
      </c>
      <c r="I1178" s="1932" t="str">
        <f>+VLOOKUP(H1178,TT_Tabelle_Riferimento!$F$3:$G$6,2,FALSE)</f>
        <v>Servizio idrico integrato</v>
      </c>
      <c r="J1178" s="1013">
        <v>2029</v>
      </c>
      <c r="K1178" s="2335">
        <f>+SUMIFS('PdI-crono_inv'!BL:BL,'PdI-crono_inv'!CF:CF,F1178,'PdI-crono_inv'!CE:CE,H1178,'PdI-crono_inv'!J:J,P1178,'PdI-crono_inv'!P:P,"&lt;&gt;proprietario")</f>
        <v>0</v>
      </c>
      <c r="M1178" s="2335">
        <f>+SUMIFS('PdI-crono_inv'!BM:BM,'PdI-crono_inv'!CF:CF,F1178,'PdI-crono_inv'!CE:CE,H1178,'PdI-crono_inv'!J:J,P1178,'PdI-crono_inv'!P:P,"&lt;&gt;proprietario")+S1178</f>
        <v>0</v>
      </c>
      <c r="P1178" s="1013" t="s">
        <v>25481</v>
      </c>
      <c r="Q1178" s="1932" t="str">
        <f>+VLOOKUP(F1178,TT_Tabelle_Riferimento!$D$127:$E$164,2,FALSE)</f>
        <v>Comune</v>
      </c>
      <c r="R1178" s="1932" t="str">
        <f t="shared" si="101"/>
        <v/>
      </c>
      <c r="S1178" s="2335">
        <f t="shared" si="102"/>
        <v>0</v>
      </c>
    </row>
    <row r="1179" spans="1:19">
      <c r="A1179" s="1932">
        <f t="shared" si="103"/>
        <v>0</v>
      </c>
      <c r="B1179" s="1932">
        <f t="shared" si="104"/>
        <v>0</v>
      </c>
      <c r="C1179" s="1013" t="s">
        <v>245</v>
      </c>
      <c r="D1179" s="1013">
        <v>0</v>
      </c>
      <c r="E1179" s="1013" t="s">
        <v>22698</v>
      </c>
      <c r="F1179" s="1013">
        <v>35</v>
      </c>
      <c r="G1179" s="1932" t="str">
        <f>+VLOOKUP(F1179,TT_Tabelle_Riferimento!$D$127:$G$164,4,FALSE)</f>
        <v>Costruzioni leggere</v>
      </c>
      <c r="H1179" s="1013">
        <v>1</v>
      </c>
      <c r="I1179" s="1932" t="str">
        <f>+VLOOKUP(H1179,TT_Tabelle_Riferimento!$F$3:$G$6,2,FALSE)</f>
        <v>Servizio idrico integrato</v>
      </c>
      <c r="J1179" s="1013">
        <v>2029</v>
      </c>
      <c r="K1179" s="2335">
        <f>+SUMIFS('PdI-crono_inv'!BL:BL,'PdI-crono_inv'!CF:CF,F1179,'PdI-crono_inv'!CE:CE,H1179,'PdI-crono_inv'!J:J,P1179,'PdI-crono_inv'!P:P,"&lt;&gt;proprietario")</f>
        <v>0</v>
      </c>
      <c r="M1179" s="2335">
        <f>+SUMIFS('PdI-crono_inv'!BM:BM,'PdI-crono_inv'!CF:CF,F1179,'PdI-crono_inv'!CE:CE,H1179,'PdI-crono_inv'!J:J,P1179,'PdI-crono_inv'!P:P,"&lt;&gt;proprietario")+S1179</f>
        <v>0</v>
      </c>
      <c r="P1179" s="1013" t="s">
        <v>25481</v>
      </c>
      <c r="Q1179" s="1932" t="str">
        <f>+VLOOKUP(F1179,TT_Tabelle_Riferimento!$D$127:$E$164,2,FALSE)</f>
        <v>Comune</v>
      </c>
      <c r="R1179" s="1932" t="str">
        <f t="shared" si="101"/>
        <v/>
      </c>
      <c r="S1179" s="2335">
        <f t="shared" si="102"/>
        <v>0</v>
      </c>
    </row>
    <row r="1180" spans="1:19">
      <c r="A1180" s="1932">
        <f t="shared" si="103"/>
        <v>0</v>
      </c>
      <c r="B1180" s="1932">
        <f t="shared" si="104"/>
        <v>0</v>
      </c>
      <c r="C1180" s="1013" t="s">
        <v>245</v>
      </c>
      <c r="D1180" s="1013">
        <v>0</v>
      </c>
      <c r="E1180" s="1013" t="s">
        <v>22698</v>
      </c>
      <c r="F1180" s="1013">
        <v>36</v>
      </c>
      <c r="G1180" s="1932" t="str">
        <f>+VLOOKUP(F1180,TT_Tabelle_Riferimento!$D$127:$G$164,4,FALSE)</f>
        <v>Studi, ricerche, brevetti, diritti di utilizzazione</v>
      </c>
      <c r="H1180" s="1013">
        <v>1</v>
      </c>
      <c r="I1180" s="1932" t="str">
        <f>+VLOOKUP(H1180,TT_Tabelle_Riferimento!$F$3:$G$6,2,FALSE)</f>
        <v>Servizio idrico integrato</v>
      </c>
      <c r="J1180" s="1013">
        <v>2029</v>
      </c>
      <c r="K1180" s="2335">
        <f>+SUMIFS('PdI-crono_inv'!BL:BL,'PdI-crono_inv'!CF:CF,F1180,'PdI-crono_inv'!CE:CE,H1180,'PdI-crono_inv'!J:J,P1180,'PdI-crono_inv'!P:P,"&lt;&gt;proprietario")</f>
        <v>0</v>
      </c>
      <c r="M1180" s="2335">
        <f>+SUMIFS('PdI-crono_inv'!BM:BM,'PdI-crono_inv'!CF:CF,F1180,'PdI-crono_inv'!CE:CE,H1180,'PdI-crono_inv'!J:J,P1180,'PdI-crono_inv'!P:P,"&lt;&gt;proprietario")+S1180</f>
        <v>0</v>
      </c>
      <c r="P1180" s="1013" t="s">
        <v>25481</v>
      </c>
      <c r="Q1180" s="1932" t="str">
        <f>+VLOOKUP(F1180,TT_Tabelle_Riferimento!$D$127:$E$164,2,FALSE)</f>
        <v>Comune</v>
      </c>
      <c r="R1180" s="1932" t="str">
        <f t="shared" si="101"/>
        <v/>
      </c>
      <c r="S1180" s="2335">
        <f t="shared" si="102"/>
        <v>0</v>
      </c>
    </row>
    <row r="1181" spans="1:19">
      <c r="A1181" s="1932">
        <v>0</v>
      </c>
      <c r="B1181" s="1932">
        <v>0</v>
      </c>
      <c r="C1181" s="1013" t="s">
        <v>245</v>
      </c>
      <c r="D1181" s="1013">
        <v>0</v>
      </c>
      <c r="E1181" s="1013" t="s">
        <v>22698</v>
      </c>
      <c r="F1181" s="1013">
        <v>37</v>
      </c>
      <c r="G1181" s="1932" t="str">
        <f>+VLOOKUP(F1181,TT_Tabelle_Riferimento!$D$127:$G$164,4,FALSE)</f>
        <v>Altre immobilizzazioni materiali e immateriali</v>
      </c>
      <c r="H1181" s="1013">
        <v>1</v>
      </c>
      <c r="I1181" s="1932" t="str">
        <f>+VLOOKUP(H1181,TT_Tabelle_Riferimento!$F$3:$G$6,2,FALSE)</f>
        <v>Servizio idrico integrato</v>
      </c>
      <c r="J1181" s="1013">
        <v>2029</v>
      </c>
      <c r="K1181" s="2335">
        <f>+SUMIFS('PdI-crono_inv'!BL:BL,'PdI-crono_inv'!CF:CF,F1181,'PdI-crono_inv'!CE:CE,H1181,'PdI-crono_inv'!J:J,P1181,'PdI-crono_inv'!P:P,"&lt;&gt;proprietario")</f>
        <v>0</v>
      </c>
      <c r="M1181" s="2335">
        <f>+SUMIFS('PdI-crono_inv'!BM:BM,'PdI-crono_inv'!CF:CF,F1181,'PdI-crono_inv'!CE:CE,H1181,'PdI-crono_inv'!J:J,P1181,'PdI-crono_inv'!P:P,"&lt;&gt;proprietario")+S1181</f>
        <v>0</v>
      </c>
      <c r="P1181" s="1013" t="s">
        <v>25481</v>
      </c>
      <c r="Q1181" s="1932" t="str">
        <f>+VLOOKUP(F1181,TT_Tabelle_Riferimento!$D$127:$E$164,2,FALSE)</f>
        <v>Comune</v>
      </c>
      <c r="R1181" s="1932" t="str">
        <f t="shared" si="101"/>
        <v/>
      </c>
      <c r="S1181" s="2335">
        <f t="shared" si="102"/>
        <v>0</v>
      </c>
    </row>
    <row r="1182" spans="1:19">
      <c r="A1182" s="1932">
        <v>0</v>
      </c>
      <c r="B1182" s="1932">
        <v>0</v>
      </c>
      <c r="C1182" s="1013" t="s">
        <v>245</v>
      </c>
      <c r="D1182" s="1013">
        <v>0</v>
      </c>
      <c r="E1182" s="1013" t="s">
        <v>22698</v>
      </c>
      <c r="F1182" s="1013">
        <v>38</v>
      </c>
      <c r="G1182" s="1932" t="str">
        <f>+VLOOKUP(F1182,TT_Tabelle_Riferimento!$D$127:$G$164,4,FALSE)</f>
        <v>Grandi dighe (sbarramenti che superano i quindici metri di altezza o che determinano un invaso superiore a 1 milione di metri cubi)</v>
      </c>
      <c r="H1182" s="1013">
        <v>1</v>
      </c>
      <c r="I1182" s="1932" t="str">
        <f>+VLOOKUP(H1182,TT_Tabelle_Riferimento!$F$3:$G$6,2,FALSE)</f>
        <v>Servizio idrico integrato</v>
      </c>
      <c r="J1182" s="1013">
        <v>2029</v>
      </c>
      <c r="K1182" s="2335">
        <f>+SUMIFS('PdI-crono_inv'!BL:BL,'PdI-crono_inv'!CF:CF,F1182,'PdI-crono_inv'!CE:CE,H1182,'PdI-crono_inv'!J:J,P1182,'PdI-crono_inv'!P:P,"&lt;&gt;proprietario")</f>
        <v>0</v>
      </c>
      <c r="M1182" s="2335">
        <f>+SUMIFS('PdI-crono_inv'!BM:BM,'PdI-crono_inv'!CF:CF,F1182,'PdI-crono_inv'!CE:CE,H1182,'PdI-crono_inv'!J:J,P1182,'PdI-crono_inv'!P:P,"&lt;&gt;proprietario")+S1182</f>
        <v>0</v>
      </c>
      <c r="P1182" s="1013" t="s">
        <v>25481</v>
      </c>
      <c r="Q1182" s="1932" t="str">
        <f>+VLOOKUP(F1182,TT_Tabelle_Riferimento!$D$127:$E$164,2,FALSE)</f>
        <v>Acquedotto</v>
      </c>
      <c r="R1182" s="1932" t="str">
        <f t="shared" si="101"/>
        <v/>
      </c>
      <c r="S1182" s="2335">
        <f t="shared" si="102"/>
        <v>0</v>
      </c>
    </row>
    <row r="1183" spans="1:19">
      <c r="A1183" s="1932">
        <v>0</v>
      </c>
      <c r="B1183" s="1932">
        <v>0</v>
      </c>
      <c r="C1183" s="1013" t="s">
        <v>245</v>
      </c>
      <c r="D1183" s="1013">
        <v>0</v>
      </c>
      <c r="E1183" s="1013" t="s">
        <v>22698</v>
      </c>
      <c r="F1183" s="1013">
        <v>39</v>
      </c>
      <c r="G1183" s="1932" t="str">
        <f>+VLOOKUP(F1183,TT_Tabelle_Riferimento!$D$127:$G$164,4,FALSE)</f>
        <v>Piccole dighe (sbarramenti che non superano i quindici metri di altezza o che determinano un invaso non superiore a 1 milione di metri cubi)</v>
      </c>
      <c r="H1183" s="1013">
        <v>1</v>
      </c>
      <c r="I1183" s="1932" t="str">
        <f>+VLOOKUP(H1183,TT_Tabelle_Riferimento!$F$3:$G$6,2,FALSE)</f>
        <v>Servizio idrico integrato</v>
      </c>
      <c r="J1183" s="1013">
        <v>2029</v>
      </c>
      <c r="K1183" s="2335">
        <f>+SUMIFS('PdI-crono_inv'!BL:BL,'PdI-crono_inv'!CF:CF,F1183,'PdI-crono_inv'!CE:CE,H1183,'PdI-crono_inv'!J:J,P1183,'PdI-crono_inv'!P:P,"&lt;&gt;proprietario")</f>
        <v>0</v>
      </c>
      <c r="M1183" s="2335">
        <f>+SUMIFS('PdI-crono_inv'!BM:BM,'PdI-crono_inv'!CF:CF,F1183,'PdI-crono_inv'!CE:CE,H1183,'PdI-crono_inv'!J:J,P1183,'PdI-crono_inv'!P:P,"&lt;&gt;proprietario")+S1183</f>
        <v>0</v>
      </c>
      <c r="P1183" s="1013" t="s">
        <v>25481</v>
      </c>
      <c r="Q1183" s="1932" t="str">
        <f>+VLOOKUP(F1183,TT_Tabelle_Riferimento!$D$127:$E$164,2,FALSE)</f>
        <v>Acquedotto</v>
      </c>
      <c r="R1183" s="1932" t="str">
        <f t="shared" si="101"/>
        <v/>
      </c>
      <c r="S1183" s="2335">
        <f t="shared" si="102"/>
        <v>0</v>
      </c>
    </row>
    <row r="1184" spans="1:19">
      <c r="A1184" s="1932">
        <f t="shared" ref="A1184:A1218" si="105">+idato</f>
        <v>0</v>
      </c>
      <c r="B1184" s="1932">
        <f t="shared" ref="B1184:B1218" si="106">+idgestore</f>
        <v>0</v>
      </c>
      <c r="C1184" s="1013" t="s">
        <v>245</v>
      </c>
      <c r="D1184" s="1013">
        <v>0</v>
      </c>
      <c r="E1184" s="1013" t="s">
        <v>22698</v>
      </c>
      <c r="F1184" s="1013">
        <v>2</v>
      </c>
      <c r="G1184" s="1932" t="str">
        <f>+VLOOKUP(F1184,TT_Tabelle_Riferimento!$D$127:$G$164,4,FALSE)</f>
        <v>Condotte di acquedotto</v>
      </c>
      <c r="H1184" s="1013">
        <v>2</v>
      </c>
      <c r="I1184" s="1932" t="str">
        <f>+VLOOKUP(H1184,TT_Tabelle_Riferimento!$F$3:$G$6,2,FALSE)</f>
        <v>Fognatura bianca e pulizia / manutenzione caditoie stradali</v>
      </c>
      <c r="J1184" s="1013">
        <v>2029</v>
      </c>
      <c r="K1184" s="2335">
        <f>+SUMIFS('PdI-crono_inv'!BL:BL,'PdI-crono_inv'!CF:CF,F1184,'PdI-crono_inv'!CE:CE,H1184,'PdI-crono_inv'!J:J,P1184,'PdI-crono_inv'!P:P,"&lt;&gt;proprietario")</f>
        <v>0</v>
      </c>
      <c r="M1184" s="2335">
        <f>+SUMIFS('PdI-crono_inv'!BM:BM,'PdI-crono_inv'!CF:CF,F1184,'PdI-crono_inv'!CE:CE,H1184,'PdI-crono_inv'!J:J,P1184,'PdI-crono_inv'!P:P,"&lt;&gt;proprietario")+S1184</f>
        <v>0</v>
      </c>
      <c r="P1184" s="1013" t="s">
        <v>25481</v>
      </c>
      <c r="Q1184" s="1932" t="str">
        <f>+VLOOKUP(F1184,TT_Tabelle_Riferimento!$D$127:$E$164,2,FALSE)</f>
        <v>Acquedotto</v>
      </c>
      <c r="R1184" s="1932" t="str">
        <f t="shared" si="101"/>
        <v/>
      </c>
      <c r="S1184" s="2335">
        <f t="shared" si="102"/>
        <v>0</v>
      </c>
    </row>
    <row r="1185" spans="1:19">
      <c r="A1185" s="1932">
        <f t="shared" si="105"/>
        <v>0</v>
      </c>
      <c r="B1185" s="1932">
        <f t="shared" si="106"/>
        <v>0</v>
      </c>
      <c r="C1185" s="1013" t="s">
        <v>245</v>
      </c>
      <c r="D1185" s="1013">
        <v>0</v>
      </c>
      <c r="E1185" s="1013" t="s">
        <v>22698</v>
      </c>
      <c r="F1185" s="1013">
        <v>3</v>
      </c>
      <c r="G1185" s="1932" t="str">
        <f>+VLOOKUP(F1185,TT_Tabelle_Riferimento!$D$127:$G$164,4,FALSE)</f>
        <v>Opere idrauliche fisse di acquedotto</v>
      </c>
      <c r="H1185" s="1013">
        <v>2</v>
      </c>
      <c r="I1185" s="1932" t="str">
        <f>+VLOOKUP(H1185,TT_Tabelle_Riferimento!$F$3:$G$6,2,FALSE)</f>
        <v>Fognatura bianca e pulizia / manutenzione caditoie stradali</v>
      </c>
      <c r="J1185" s="1013">
        <v>2029</v>
      </c>
      <c r="K1185" s="2335">
        <f>+SUMIFS('PdI-crono_inv'!BL:BL,'PdI-crono_inv'!CF:CF,F1185,'PdI-crono_inv'!CE:CE,H1185,'PdI-crono_inv'!J:J,P1185,'PdI-crono_inv'!P:P,"&lt;&gt;proprietario")</f>
        <v>0</v>
      </c>
      <c r="M1185" s="2335">
        <f>+SUMIFS('PdI-crono_inv'!BM:BM,'PdI-crono_inv'!CF:CF,F1185,'PdI-crono_inv'!CE:CE,H1185,'PdI-crono_inv'!J:J,P1185,'PdI-crono_inv'!P:P,"&lt;&gt;proprietario")+S1185</f>
        <v>0</v>
      </c>
      <c r="P1185" s="1013" t="s">
        <v>25481</v>
      </c>
      <c r="Q1185" s="1932" t="str">
        <f>+VLOOKUP(F1185,TT_Tabelle_Riferimento!$D$127:$E$164,2,FALSE)</f>
        <v>Acquedotto</v>
      </c>
      <c r="R1185" s="1932" t="str">
        <f t="shared" si="101"/>
        <v/>
      </c>
      <c r="S1185" s="2335">
        <f t="shared" si="102"/>
        <v>0</v>
      </c>
    </row>
    <row r="1186" spans="1:19">
      <c r="A1186" s="1932">
        <f t="shared" si="105"/>
        <v>0</v>
      </c>
      <c r="B1186" s="1932">
        <f t="shared" si="106"/>
        <v>0</v>
      </c>
      <c r="C1186" s="1013" t="s">
        <v>245</v>
      </c>
      <c r="D1186" s="1013">
        <v>0</v>
      </c>
      <c r="E1186" s="1013" t="s">
        <v>22698</v>
      </c>
      <c r="F1186" s="1013">
        <v>4</v>
      </c>
      <c r="G1186" s="1932" t="str">
        <f>+VLOOKUP(F1186,TT_Tabelle_Riferimento!$D$127:$G$164,4,FALSE)</f>
        <v>Serbatoi</v>
      </c>
      <c r="H1186" s="1013">
        <v>2</v>
      </c>
      <c r="I1186" s="1932" t="str">
        <f>+VLOOKUP(H1186,TT_Tabelle_Riferimento!$F$3:$G$6,2,FALSE)</f>
        <v>Fognatura bianca e pulizia / manutenzione caditoie stradali</v>
      </c>
      <c r="J1186" s="1013">
        <v>2029</v>
      </c>
      <c r="K1186" s="2335">
        <f>+SUMIFS('PdI-crono_inv'!BL:BL,'PdI-crono_inv'!CF:CF,F1186,'PdI-crono_inv'!CE:CE,H1186,'PdI-crono_inv'!J:J,P1186,'PdI-crono_inv'!P:P,"&lt;&gt;proprietario")</f>
        <v>0</v>
      </c>
      <c r="M1186" s="2335">
        <f>+SUMIFS('PdI-crono_inv'!BM:BM,'PdI-crono_inv'!CF:CF,F1186,'PdI-crono_inv'!CE:CE,H1186,'PdI-crono_inv'!J:J,P1186,'PdI-crono_inv'!P:P,"&lt;&gt;proprietario")+S1186</f>
        <v>0</v>
      </c>
      <c r="P1186" s="1013" t="s">
        <v>25481</v>
      </c>
      <c r="Q1186" s="1932" t="str">
        <f>+VLOOKUP(F1186,TT_Tabelle_Riferimento!$D$127:$E$164,2,FALSE)</f>
        <v>Acquedotto</v>
      </c>
      <c r="R1186" s="1932" t="str">
        <f t="shared" si="101"/>
        <v/>
      </c>
      <c r="S1186" s="2335">
        <f t="shared" si="102"/>
        <v>0</v>
      </c>
    </row>
    <row r="1187" spans="1:19">
      <c r="A1187" s="1932">
        <f t="shared" si="105"/>
        <v>0</v>
      </c>
      <c r="B1187" s="1932">
        <f t="shared" si="106"/>
        <v>0</v>
      </c>
      <c r="C1187" s="1013" t="s">
        <v>245</v>
      </c>
      <c r="D1187" s="1013">
        <v>0</v>
      </c>
      <c r="E1187" s="1013" t="s">
        <v>22698</v>
      </c>
      <c r="F1187" s="1013">
        <v>5</v>
      </c>
      <c r="G1187" s="1932" t="str">
        <f>+VLOOKUP(F1187,TT_Tabelle_Riferimento!$D$127:$G$164,4,FALSE)</f>
        <v>Impianti di sollevamento e pompaggio di acquedotto</v>
      </c>
      <c r="H1187" s="1013">
        <v>2</v>
      </c>
      <c r="I1187" s="1932" t="str">
        <f>+VLOOKUP(H1187,TT_Tabelle_Riferimento!$F$3:$G$6,2,FALSE)</f>
        <v>Fognatura bianca e pulizia / manutenzione caditoie stradali</v>
      </c>
      <c r="J1187" s="1013">
        <v>2029</v>
      </c>
      <c r="K1187" s="2335">
        <f>+SUMIFS('PdI-crono_inv'!BL:BL,'PdI-crono_inv'!CF:CF,F1187,'PdI-crono_inv'!CE:CE,H1187,'PdI-crono_inv'!J:J,P1187,'PdI-crono_inv'!P:P,"&lt;&gt;proprietario")</f>
        <v>0</v>
      </c>
      <c r="M1187" s="2335">
        <f>+SUMIFS('PdI-crono_inv'!BM:BM,'PdI-crono_inv'!CF:CF,F1187,'PdI-crono_inv'!CE:CE,H1187,'PdI-crono_inv'!J:J,P1187,'PdI-crono_inv'!P:P,"&lt;&gt;proprietario")+S1187</f>
        <v>0</v>
      </c>
      <c r="P1187" s="1013" t="s">
        <v>25481</v>
      </c>
      <c r="Q1187" s="1932" t="str">
        <f>+VLOOKUP(F1187,TT_Tabelle_Riferimento!$D$127:$E$164,2,FALSE)</f>
        <v>Acquedotto</v>
      </c>
      <c r="R1187" s="1932" t="str">
        <f t="shared" si="101"/>
        <v/>
      </c>
      <c r="S1187" s="2335">
        <f t="shared" si="102"/>
        <v>0</v>
      </c>
    </row>
    <row r="1188" spans="1:19">
      <c r="A1188" s="1932">
        <f t="shared" si="105"/>
        <v>0</v>
      </c>
      <c r="B1188" s="1932">
        <f t="shared" si="106"/>
        <v>0</v>
      </c>
      <c r="C1188" s="1013" t="s">
        <v>245</v>
      </c>
      <c r="D1188" s="1013">
        <v>0</v>
      </c>
      <c r="E1188" s="1013" t="s">
        <v>22698</v>
      </c>
      <c r="F1188" s="1013">
        <v>6</v>
      </c>
      <c r="G1188" s="1932" t="str">
        <f>+VLOOKUP(F1188,TT_Tabelle_Riferimento!$D$127:$G$164,4,FALSE)</f>
        <v>Impianti di potabilizzazione</v>
      </c>
      <c r="H1188" s="1013">
        <v>2</v>
      </c>
      <c r="I1188" s="1932" t="str">
        <f>+VLOOKUP(H1188,TT_Tabelle_Riferimento!$F$3:$G$6,2,FALSE)</f>
        <v>Fognatura bianca e pulizia / manutenzione caditoie stradali</v>
      </c>
      <c r="J1188" s="1013">
        <v>2029</v>
      </c>
      <c r="K1188" s="2335">
        <f>+SUMIFS('PdI-crono_inv'!BL:BL,'PdI-crono_inv'!CF:CF,F1188,'PdI-crono_inv'!CE:CE,H1188,'PdI-crono_inv'!J:J,P1188,'PdI-crono_inv'!P:P,"&lt;&gt;proprietario")</f>
        <v>0</v>
      </c>
      <c r="M1188" s="2335">
        <f>+SUMIFS('PdI-crono_inv'!BM:BM,'PdI-crono_inv'!CF:CF,F1188,'PdI-crono_inv'!CE:CE,H1188,'PdI-crono_inv'!J:J,P1188,'PdI-crono_inv'!P:P,"&lt;&gt;proprietario")+S1188</f>
        <v>0</v>
      </c>
      <c r="P1188" s="1013" t="s">
        <v>25481</v>
      </c>
      <c r="Q1188" s="1932" t="str">
        <f>+VLOOKUP(F1188,TT_Tabelle_Riferimento!$D$127:$E$164,2,FALSE)</f>
        <v>Acquedotto</v>
      </c>
      <c r="R1188" s="1932" t="str">
        <f t="shared" si="101"/>
        <v/>
      </c>
      <c r="S1188" s="2335">
        <f t="shared" si="102"/>
        <v>0</v>
      </c>
    </row>
    <row r="1189" spans="1:19">
      <c r="A1189" s="1932">
        <f t="shared" si="105"/>
        <v>0</v>
      </c>
      <c r="B1189" s="1932">
        <f t="shared" si="106"/>
        <v>0</v>
      </c>
      <c r="C1189" s="1013" t="s">
        <v>245</v>
      </c>
      <c r="D1189" s="1013">
        <v>0</v>
      </c>
      <c r="E1189" s="1013" t="s">
        <v>22698</v>
      </c>
      <c r="F1189" s="1013">
        <v>7</v>
      </c>
      <c r="G1189" s="1932" t="str">
        <f>+VLOOKUP(F1189,TT_Tabelle_Riferimento!$D$127:$G$164,4,FALSE)</f>
        <v>Altri trattamenti di potabilizzazione (tra cui dispositivi di disinfezione, stacciatura, filtrazione, addolcimento)</v>
      </c>
      <c r="H1189" s="1013">
        <v>2</v>
      </c>
      <c r="I1189" s="1932" t="str">
        <f>+VLOOKUP(H1189,TT_Tabelle_Riferimento!$F$3:$G$6,2,FALSE)</f>
        <v>Fognatura bianca e pulizia / manutenzione caditoie stradali</v>
      </c>
      <c r="J1189" s="1013">
        <v>2029</v>
      </c>
      <c r="K1189" s="2335">
        <f>+SUMIFS('PdI-crono_inv'!BL:BL,'PdI-crono_inv'!CF:CF,F1189,'PdI-crono_inv'!CE:CE,H1189,'PdI-crono_inv'!J:J,P1189,'PdI-crono_inv'!P:P,"&lt;&gt;proprietario")</f>
        <v>0</v>
      </c>
      <c r="M1189" s="2335">
        <f>+SUMIFS('PdI-crono_inv'!BM:BM,'PdI-crono_inv'!CF:CF,F1189,'PdI-crono_inv'!CE:CE,H1189,'PdI-crono_inv'!J:J,P1189,'PdI-crono_inv'!P:P,"&lt;&gt;proprietario")+S1189</f>
        <v>0</v>
      </c>
      <c r="P1189" s="1013" t="s">
        <v>25481</v>
      </c>
      <c r="Q1189" s="1932" t="str">
        <f>+VLOOKUP(F1189,TT_Tabelle_Riferimento!$D$127:$E$164,2,FALSE)</f>
        <v>Acquedotto</v>
      </c>
      <c r="R1189" s="1932" t="str">
        <f t="shared" si="101"/>
        <v/>
      </c>
      <c r="S1189" s="2335">
        <f t="shared" si="102"/>
        <v>0</v>
      </c>
    </row>
    <row r="1190" spans="1:19">
      <c r="A1190" s="1932">
        <f t="shared" si="105"/>
        <v>0</v>
      </c>
      <c r="B1190" s="1932">
        <f t="shared" si="106"/>
        <v>0</v>
      </c>
      <c r="C1190" s="1013" t="s">
        <v>245</v>
      </c>
      <c r="D1190" s="1013">
        <v>0</v>
      </c>
      <c r="E1190" s="1013" t="s">
        <v>22698</v>
      </c>
      <c r="F1190" s="1013">
        <v>8</v>
      </c>
      <c r="G1190" s="1932" t="str">
        <f>+VLOOKUP(F1190,TT_Tabelle_Riferimento!$D$127:$G$164,4,FALSE)</f>
        <v>Gruppi di misura - altre attrezzature di acquedotto</v>
      </c>
      <c r="H1190" s="1013">
        <v>2</v>
      </c>
      <c r="I1190" s="1932" t="str">
        <f>+VLOOKUP(H1190,TT_Tabelle_Riferimento!$F$3:$G$6,2,FALSE)</f>
        <v>Fognatura bianca e pulizia / manutenzione caditoie stradali</v>
      </c>
      <c r="J1190" s="1013">
        <v>2029</v>
      </c>
      <c r="K1190" s="2335">
        <f>+SUMIFS('PdI-crono_inv'!BL:BL,'PdI-crono_inv'!CF:CF,F1190,'PdI-crono_inv'!CE:CE,H1190,'PdI-crono_inv'!J:J,P1190,'PdI-crono_inv'!P:P,"&lt;&gt;proprietario")</f>
        <v>0</v>
      </c>
      <c r="M1190" s="2335">
        <f>+SUMIFS('PdI-crono_inv'!BM:BM,'PdI-crono_inv'!CF:CF,F1190,'PdI-crono_inv'!CE:CE,H1190,'PdI-crono_inv'!J:J,P1190,'PdI-crono_inv'!P:P,"&lt;&gt;proprietario")+S1190</f>
        <v>0</v>
      </c>
      <c r="P1190" s="1013" t="s">
        <v>25481</v>
      </c>
      <c r="Q1190" s="1932" t="str">
        <f>+VLOOKUP(F1190,TT_Tabelle_Riferimento!$D$127:$E$164,2,FALSE)</f>
        <v>Acquedotto</v>
      </c>
      <c r="R1190" s="1932" t="str">
        <f t="shared" si="101"/>
        <v/>
      </c>
      <c r="S1190" s="2335">
        <f t="shared" si="102"/>
        <v>0</v>
      </c>
    </row>
    <row r="1191" spans="1:19">
      <c r="A1191" s="1932">
        <f t="shared" si="105"/>
        <v>0</v>
      </c>
      <c r="B1191" s="1932">
        <f t="shared" si="106"/>
        <v>0</v>
      </c>
      <c r="C1191" s="1013" t="s">
        <v>245</v>
      </c>
      <c r="D1191" s="1013">
        <v>0</v>
      </c>
      <c r="E1191" s="1013" t="s">
        <v>22698</v>
      </c>
      <c r="F1191" s="1013">
        <v>9</v>
      </c>
      <c r="G1191" s="1932" t="str">
        <f>+VLOOKUP(F1191,TT_Tabelle_Riferimento!$D$127:$G$164,4,FALSE)</f>
        <v>Sistemi informativi di acquedotto</v>
      </c>
      <c r="H1191" s="1013">
        <v>2</v>
      </c>
      <c r="I1191" s="1932" t="str">
        <f>+VLOOKUP(H1191,TT_Tabelle_Riferimento!$F$3:$G$6,2,FALSE)</f>
        <v>Fognatura bianca e pulizia / manutenzione caditoie stradali</v>
      </c>
      <c r="J1191" s="1013">
        <v>2029</v>
      </c>
      <c r="K1191" s="2335">
        <f>+SUMIFS('PdI-crono_inv'!BL:BL,'PdI-crono_inv'!CF:CF,F1191,'PdI-crono_inv'!CE:CE,H1191,'PdI-crono_inv'!J:J,P1191,'PdI-crono_inv'!P:P,"&lt;&gt;proprietario")</f>
        <v>0</v>
      </c>
      <c r="M1191" s="2335">
        <f>+SUMIFS('PdI-crono_inv'!BM:BM,'PdI-crono_inv'!CF:CF,F1191,'PdI-crono_inv'!CE:CE,H1191,'PdI-crono_inv'!J:J,P1191,'PdI-crono_inv'!P:P,"&lt;&gt;proprietario")+S1191</f>
        <v>0</v>
      </c>
      <c r="P1191" s="1013" t="s">
        <v>25481</v>
      </c>
      <c r="Q1191" s="1932" t="str">
        <f>+VLOOKUP(F1191,TT_Tabelle_Riferimento!$D$127:$E$164,2,FALSE)</f>
        <v>Acquedotto</v>
      </c>
      <c r="R1191" s="1932" t="str">
        <f t="shared" si="101"/>
        <v/>
      </c>
      <c r="S1191" s="2335">
        <f t="shared" si="102"/>
        <v>0</v>
      </c>
    </row>
    <row r="1192" spans="1:19">
      <c r="A1192" s="1932">
        <f t="shared" si="105"/>
        <v>0</v>
      </c>
      <c r="B1192" s="1932">
        <f t="shared" si="106"/>
        <v>0</v>
      </c>
      <c r="C1192" s="1013" t="s">
        <v>245</v>
      </c>
      <c r="D1192" s="1013">
        <v>0</v>
      </c>
      <c r="E1192" s="1013" t="s">
        <v>22698</v>
      </c>
      <c r="F1192" s="1013">
        <v>10</v>
      </c>
      <c r="G1192" s="1932" t="str">
        <f>+VLOOKUP(F1192,TT_Tabelle_Riferimento!$D$127:$G$164,4,FALSE)</f>
        <v>Telecontrollo e teletrasmissione di acquedotto</v>
      </c>
      <c r="H1192" s="1013">
        <v>2</v>
      </c>
      <c r="I1192" s="1932" t="str">
        <f>+VLOOKUP(H1192,TT_Tabelle_Riferimento!$F$3:$G$6,2,FALSE)</f>
        <v>Fognatura bianca e pulizia / manutenzione caditoie stradali</v>
      </c>
      <c r="J1192" s="1013">
        <v>2029</v>
      </c>
      <c r="K1192" s="2335">
        <f>+SUMIFS('PdI-crono_inv'!BL:BL,'PdI-crono_inv'!CF:CF,F1192,'PdI-crono_inv'!CE:CE,H1192,'PdI-crono_inv'!J:J,P1192,'PdI-crono_inv'!P:P,"&lt;&gt;proprietario")</f>
        <v>0</v>
      </c>
      <c r="M1192" s="2335">
        <f>+SUMIFS('PdI-crono_inv'!BM:BM,'PdI-crono_inv'!CF:CF,F1192,'PdI-crono_inv'!CE:CE,H1192,'PdI-crono_inv'!J:J,P1192,'PdI-crono_inv'!P:P,"&lt;&gt;proprietario")+S1192</f>
        <v>0</v>
      </c>
      <c r="P1192" s="1013" t="s">
        <v>25481</v>
      </c>
      <c r="Q1192" s="1932" t="str">
        <f>+VLOOKUP(F1192,TT_Tabelle_Riferimento!$D$127:$E$164,2,FALSE)</f>
        <v>Acquedotto</v>
      </c>
      <c r="R1192" s="1932" t="str">
        <f t="shared" si="101"/>
        <v/>
      </c>
      <c r="S1192" s="2335">
        <f t="shared" si="102"/>
        <v>0</v>
      </c>
    </row>
    <row r="1193" spans="1:19">
      <c r="A1193" s="1932">
        <f t="shared" si="105"/>
        <v>0</v>
      </c>
      <c r="B1193" s="1932">
        <f t="shared" si="106"/>
        <v>0</v>
      </c>
      <c r="C1193" s="1013" t="s">
        <v>245</v>
      </c>
      <c r="D1193" s="1013">
        <v>0</v>
      </c>
      <c r="E1193" s="1013" t="s">
        <v>22698</v>
      </c>
      <c r="F1193" s="1013">
        <v>11</v>
      </c>
      <c r="G1193" s="1932" t="str">
        <f>+VLOOKUP(F1193,TT_Tabelle_Riferimento!$D$127:$G$164,4,FALSE)</f>
        <v>Condotte fognarie</v>
      </c>
      <c r="H1193" s="1013">
        <v>2</v>
      </c>
      <c r="I1193" s="1932" t="str">
        <f>+VLOOKUP(H1193,TT_Tabelle_Riferimento!$F$3:$G$6,2,FALSE)</f>
        <v>Fognatura bianca e pulizia / manutenzione caditoie stradali</v>
      </c>
      <c r="J1193" s="1013">
        <v>2029</v>
      </c>
      <c r="K1193" s="2335">
        <f>+SUMIFS('PdI-crono_inv'!BL:BL,'PdI-crono_inv'!CF:CF,F1193,'PdI-crono_inv'!CE:CE,H1193,'PdI-crono_inv'!J:J,P1193,'PdI-crono_inv'!P:P,"&lt;&gt;proprietario")</f>
        <v>0</v>
      </c>
      <c r="M1193" s="2335">
        <f>+SUMIFS('PdI-crono_inv'!BM:BM,'PdI-crono_inv'!CF:CF,F1193,'PdI-crono_inv'!CE:CE,H1193,'PdI-crono_inv'!J:J,P1193,'PdI-crono_inv'!P:P,"&lt;&gt;proprietario")+S1193</f>
        <v>0</v>
      </c>
      <c r="P1193" s="1013" t="s">
        <v>25481</v>
      </c>
      <c r="Q1193" s="1932" t="str">
        <f>+VLOOKUP(F1193,TT_Tabelle_Riferimento!$D$127:$E$164,2,FALSE)</f>
        <v>Fognatura</v>
      </c>
      <c r="R1193" s="1932" t="str">
        <f t="shared" si="101"/>
        <v/>
      </c>
      <c r="S1193" s="2335">
        <f t="shared" si="102"/>
        <v>0</v>
      </c>
    </row>
    <row r="1194" spans="1:19">
      <c r="A1194" s="1932">
        <f t="shared" si="105"/>
        <v>0</v>
      </c>
      <c r="B1194" s="1932">
        <f t="shared" si="106"/>
        <v>0</v>
      </c>
      <c r="C1194" s="1013" t="s">
        <v>245</v>
      </c>
      <c r="D1194" s="1013">
        <v>0</v>
      </c>
      <c r="E1194" s="1013" t="s">
        <v>22698</v>
      </c>
      <c r="F1194" s="1013">
        <v>12</v>
      </c>
      <c r="G1194" s="1932" t="str">
        <f>+VLOOKUP(F1194,TT_Tabelle_Riferimento!$D$127:$G$164,4,FALSE)</f>
        <v>Sifoni e scaricatori di piena e altre opere idrauliche fisse di fognatura</v>
      </c>
      <c r="H1194" s="1013">
        <v>2</v>
      </c>
      <c r="I1194" s="1932" t="str">
        <f>+VLOOKUP(H1194,TT_Tabelle_Riferimento!$F$3:$G$6,2,FALSE)</f>
        <v>Fognatura bianca e pulizia / manutenzione caditoie stradali</v>
      </c>
      <c r="J1194" s="1013">
        <v>2029</v>
      </c>
      <c r="K1194" s="2335">
        <f>+SUMIFS('PdI-crono_inv'!BL:BL,'PdI-crono_inv'!CF:CF,F1194,'PdI-crono_inv'!CE:CE,H1194,'PdI-crono_inv'!J:J,P1194,'PdI-crono_inv'!P:P,"&lt;&gt;proprietario")</f>
        <v>0</v>
      </c>
      <c r="M1194" s="2335">
        <f>+SUMIFS('PdI-crono_inv'!BM:BM,'PdI-crono_inv'!CF:CF,F1194,'PdI-crono_inv'!CE:CE,H1194,'PdI-crono_inv'!J:J,P1194,'PdI-crono_inv'!P:P,"&lt;&gt;proprietario")+S1194</f>
        <v>0</v>
      </c>
      <c r="P1194" s="1013" t="s">
        <v>25481</v>
      </c>
      <c r="Q1194" s="1932" t="str">
        <f>+VLOOKUP(F1194,TT_Tabelle_Riferimento!$D$127:$E$164,2,FALSE)</f>
        <v>Fognatura</v>
      </c>
      <c r="R1194" s="1932" t="str">
        <f t="shared" si="101"/>
        <v/>
      </c>
      <c r="S1194" s="2335">
        <f t="shared" si="102"/>
        <v>0</v>
      </c>
    </row>
    <row r="1195" spans="1:19">
      <c r="A1195" s="1932">
        <f t="shared" si="105"/>
        <v>0</v>
      </c>
      <c r="B1195" s="1932">
        <f t="shared" si="106"/>
        <v>0</v>
      </c>
      <c r="C1195" s="1013" t="s">
        <v>245</v>
      </c>
      <c r="D1195" s="1013">
        <v>0</v>
      </c>
      <c r="E1195" s="1013" t="s">
        <v>22698</v>
      </c>
      <c r="F1195" s="1013">
        <v>13</v>
      </c>
      <c r="G1195" s="1932" t="str">
        <f>+VLOOKUP(F1195,TT_Tabelle_Riferimento!$D$127:$G$164,4,FALSE)</f>
        <v>Vasche di laminazione e vasche di prima pioggia</v>
      </c>
      <c r="H1195" s="1013">
        <v>2</v>
      </c>
      <c r="I1195" s="1932" t="str">
        <f>+VLOOKUP(H1195,TT_Tabelle_Riferimento!$F$3:$G$6,2,FALSE)</f>
        <v>Fognatura bianca e pulizia / manutenzione caditoie stradali</v>
      </c>
      <c r="J1195" s="1013">
        <v>2029</v>
      </c>
      <c r="K1195" s="2335">
        <f>+SUMIFS('PdI-crono_inv'!BL:BL,'PdI-crono_inv'!CF:CF,F1195,'PdI-crono_inv'!CE:CE,H1195,'PdI-crono_inv'!J:J,P1195,'PdI-crono_inv'!P:P,"&lt;&gt;proprietario")</f>
        <v>0</v>
      </c>
      <c r="M1195" s="2335">
        <f>+SUMIFS('PdI-crono_inv'!BM:BM,'PdI-crono_inv'!CF:CF,F1195,'PdI-crono_inv'!CE:CE,H1195,'PdI-crono_inv'!J:J,P1195,'PdI-crono_inv'!P:P,"&lt;&gt;proprietario")+S1195</f>
        <v>0</v>
      </c>
      <c r="P1195" s="1013" t="s">
        <v>25481</v>
      </c>
      <c r="Q1195" s="1932" t="str">
        <f>+VLOOKUP(F1195,TT_Tabelle_Riferimento!$D$127:$E$164,2,FALSE)</f>
        <v>Fognatura</v>
      </c>
      <c r="R1195" s="1932" t="str">
        <f t="shared" si="101"/>
        <v/>
      </c>
      <c r="S1195" s="2335">
        <f t="shared" si="102"/>
        <v>0</v>
      </c>
    </row>
    <row r="1196" spans="1:19">
      <c r="A1196" s="1932">
        <f t="shared" si="105"/>
        <v>0</v>
      </c>
      <c r="B1196" s="1932">
        <f t="shared" si="106"/>
        <v>0</v>
      </c>
      <c r="C1196" s="1013" t="s">
        <v>245</v>
      </c>
      <c r="D1196" s="1013">
        <v>0</v>
      </c>
      <c r="E1196" s="1013" t="s">
        <v>22698</v>
      </c>
      <c r="F1196" s="1013">
        <v>14</v>
      </c>
      <c r="G1196" s="1932" t="str">
        <f>+VLOOKUP(F1196,TT_Tabelle_Riferimento!$D$127:$G$164,4,FALSE)</f>
        <v>Impianti di sollevamento e pompaggio di fognatura</v>
      </c>
      <c r="H1196" s="1013">
        <v>2</v>
      </c>
      <c r="I1196" s="1932" t="str">
        <f>+VLOOKUP(H1196,TT_Tabelle_Riferimento!$F$3:$G$6,2,FALSE)</f>
        <v>Fognatura bianca e pulizia / manutenzione caditoie stradali</v>
      </c>
      <c r="J1196" s="1013">
        <v>2029</v>
      </c>
      <c r="K1196" s="2335">
        <f>+SUMIFS('PdI-crono_inv'!BL:BL,'PdI-crono_inv'!CF:CF,F1196,'PdI-crono_inv'!CE:CE,H1196,'PdI-crono_inv'!J:J,P1196,'PdI-crono_inv'!P:P,"&lt;&gt;proprietario")</f>
        <v>0</v>
      </c>
      <c r="M1196" s="2335">
        <f>+SUMIFS('PdI-crono_inv'!BM:BM,'PdI-crono_inv'!CF:CF,F1196,'PdI-crono_inv'!CE:CE,H1196,'PdI-crono_inv'!J:J,P1196,'PdI-crono_inv'!P:P,"&lt;&gt;proprietario")+S1196</f>
        <v>0</v>
      </c>
      <c r="P1196" s="1013" t="s">
        <v>25481</v>
      </c>
      <c r="Q1196" s="1932" t="str">
        <f>+VLOOKUP(F1196,TT_Tabelle_Riferimento!$D$127:$E$164,2,FALSE)</f>
        <v>Fognatura</v>
      </c>
      <c r="R1196" s="1932" t="str">
        <f t="shared" si="101"/>
        <v/>
      </c>
      <c r="S1196" s="2335">
        <f t="shared" si="102"/>
        <v>0</v>
      </c>
    </row>
    <row r="1197" spans="1:19">
      <c r="A1197" s="1932">
        <f t="shared" si="105"/>
        <v>0</v>
      </c>
      <c r="B1197" s="1932">
        <f t="shared" si="106"/>
        <v>0</v>
      </c>
      <c r="C1197" s="1013" t="s">
        <v>245</v>
      </c>
      <c r="D1197" s="1013">
        <v>0</v>
      </c>
      <c r="E1197" s="1013" t="s">
        <v>22698</v>
      </c>
      <c r="F1197" s="1013">
        <v>15</v>
      </c>
      <c r="G1197" s="1932" t="str">
        <f>+VLOOKUP(F1197,TT_Tabelle_Riferimento!$D$127:$G$164,4,FALSE)</f>
        <v>Gruppi di misura - altre attrezzature di fognatura</v>
      </c>
      <c r="H1197" s="1013">
        <v>2</v>
      </c>
      <c r="I1197" s="1932" t="str">
        <f>+VLOOKUP(H1197,TT_Tabelle_Riferimento!$F$3:$G$6,2,FALSE)</f>
        <v>Fognatura bianca e pulizia / manutenzione caditoie stradali</v>
      </c>
      <c r="J1197" s="1013">
        <v>2029</v>
      </c>
      <c r="K1197" s="2335">
        <f>+SUMIFS('PdI-crono_inv'!BL:BL,'PdI-crono_inv'!CF:CF,F1197,'PdI-crono_inv'!CE:CE,H1197,'PdI-crono_inv'!J:J,P1197,'PdI-crono_inv'!P:P,"&lt;&gt;proprietario")</f>
        <v>0</v>
      </c>
      <c r="M1197" s="2335">
        <f>+SUMIFS('PdI-crono_inv'!BM:BM,'PdI-crono_inv'!CF:CF,F1197,'PdI-crono_inv'!CE:CE,H1197,'PdI-crono_inv'!J:J,P1197,'PdI-crono_inv'!P:P,"&lt;&gt;proprietario")+S1197</f>
        <v>0</v>
      </c>
      <c r="P1197" s="1013" t="s">
        <v>25481</v>
      </c>
      <c r="Q1197" s="1932" t="str">
        <f>+VLOOKUP(F1197,TT_Tabelle_Riferimento!$D$127:$E$164,2,FALSE)</f>
        <v>Fognatura</v>
      </c>
      <c r="R1197" s="1932" t="str">
        <f t="shared" si="101"/>
        <v/>
      </c>
      <c r="S1197" s="2335">
        <f t="shared" si="102"/>
        <v>0</v>
      </c>
    </row>
    <row r="1198" spans="1:19">
      <c r="A1198" s="1932">
        <f t="shared" si="105"/>
        <v>0</v>
      </c>
      <c r="B1198" s="1932">
        <f t="shared" si="106"/>
        <v>0</v>
      </c>
      <c r="C1198" s="1013" t="s">
        <v>245</v>
      </c>
      <c r="D1198" s="1013">
        <v>0</v>
      </c>
      <c r="E1198" s="1013" t="s">
        <v>22698</v>
      </c>
      <c r="F1198" s="1013">
        <v>16</v>
      </c>
      <c r="G1198" s="1932" t="str">
        <f>+VLOOKUP(F1198,TT_Tabelle_Riferimento!$D$127:$G$164,4,FALSE)</f>
        <v>Sistemi informativi di fognatura</v>
      </c>
      <c r="H1198" s="1013">
        <v>2</v>
      </c>
      <c r="I1198" s="1932" t="str">
        <f>+VLOOKUP(H1198,TT_Tabelle_Riferimento!$F$3:$G$6,2,FALSE)</f>
        <v>Fognatura bianca e pulizia / manutenzione caditoie stradali</v>
      </c>
      <c r="J1198" s="1013">
        <v>2029</v>
      </c>
      <c r="K1198" s="2335">
        <f>+SUMIFS('PdI-crono_inv'!BL:BL,'PdI-crono_inv'!CF:CF,F1198,'PdI-crono_inv'!CE:CE,H1198,'PdI-crono_inv'!J:J,P1198,'PdI-crono_inv'!P:P,"&lt;&gt;proprietario")</f>
        <v>0</v>
      </c>
      <c r="M1198" s="2335">
        <f>+SUMIFS('PdI-crono_inv'!BM:BM,'PdI-crono_inv'!CF:CF,F1198,'PdI-crono_inv'!CE:CE,H1198,'PdI-crono_inv'!J:J,P1198,'PdI-crono_inv'!P:P,"&lt;&gt;proprietario")+S1198</f>
        <v>0</v>
      </c>
      <c r="P1198" s="1013" t="s">
        <v>25481</v>
      </c>
      <c r="Q1198" s="1932" t="str">
        <f>+VLOOKUP(F1198,TT_Tabelle_Riferimento!$D$127:$E$164,2,FALSE)</f>
        <v>Fognatura</v>
      </c>
      <c r="R1198" s="1932" t="str">
        <f t="shared" ref="R1198:R1261" si="107">+IF(SUM(K1198:N1198)=0,"","PdI_consolidamento")</f>
        <v/>
      </c>
      <c r="S1198" s="2335">
        <f t="shared" si="102"/>
        <v>0</v>
      </c>
    </row>
    <row r="1199" spans="1:19">
      <c r="A1199" s="1932">
        <f t="shared" si="105"/>
        <v>0</v>
      </c>
      <c r="B1199" s="1932">
        <f t="shared" si="106"/>
        <v>0</v>
      </c>
      <c r="C1199" s="1013" t="s">
        <v>245</v>
      </c>
      <c r="D1199" s="1013">
        <v>0</v>
      </c>
      <c r="E1199" s="1013" t="s">
        <v>22698</v>
      </c>
      <c r="F1199" s="1013">
        <v>18</v>
      </c>
      <c r="G1199" s="1932" t="str">
        <f>+VLOOKUP(F1199,TT_Tabelle_Riferimento!$D$127:$G$164,4,FALSE)</f>
        <v>Telecontrollo e teletrasmissione di fognatura</v>
      </c>
      <c r="H1199" s="1013">
        <v>2</v>
      </c>
      <c r="I1199" s="1932" t="str">
        <f>+VLOOKUP(H1199,TT_Tabelle_Riferimento!$F$3:$G$6,2,FALSE)</f>
        <v>Fognatura bianca e pulizia / manutenzione caditoie stradali</v>
      </c>
      <c r="J1199" s="1013">
        <v>2029</v>
      </c>
      <c r="K1199" s="2335">
        <f>+SUMIFS('PdI-crono_inv'!BL:BL,'PdI-crono_inv'!CF:CF,F1199,'PdI-crono_inv'!CE:CE,H1199,'PdI-crono_inv'!J:J,P1199,'PdI-crono_inv'!P:P,"&lt;&gt;proprietario")</f>
        <v>0</v>
      </c>
      <c r="M1199" s="2335">
        <f>+SUMIFS('PdI-crono_inv'!BM:BM,'PdI-crono_inv'!CF:CF,F1199,'PdI-crono_inv'!CE:CE,H1199,'PdI-crono_inv'!J:J,P1199,'PdI-crono_inv'!P:P,"&lt;&gt;proprietario")+S1199</f>
        <v>0</v>
      </c>
      <c r="P1199" s="1013" t="s">
        <v>25481</v>
      </c>
      <c r="Q1199" s="1932" t="str">
        <f>+VLOOKUP(F1199,TT_Tabelle_Riferimento!$D$127:$E$164,2,FALSE)</f>
        <v>Fognatura</v>
      </c>
      <c r="R1199" s="1932" t="str">
        <f t="shared" si="107"/>
        <v/>
      </c>
      <c r="S1199" s="2335">
        <f t="shared" si="102"/>
        <v>0</v>
      </c>
    </row>
    <row r="1200" spans="1:19">
      <c r="A1200" s="1932">
        <f t="shared" si="105"/>
        <v>0</v>
      </c>
      <c r="B1200" s="1932">
        <f t="shared" si="106"/>
        <v>0</v>
      </c>
      <c r="C1200" s="1013" t="s">
        <v>245</v>
      </c>
      <c r="D1200" s="1013">
        <v>0</v>
      </c>
      <c r="E1200" s="1013" t="s">
        <v>22698</v>
      </c>
      <c r="F1200" s="1013">
        <v>19</v>
      </c>
      <c r="G1200" s="1932" t="str">
        <f>+VLOOKUP(F1200,TT_Tabelle_Riferimento!$D$127:$G$164,4,FALSE)</f>
        <v>Impianti di sollevamento e pompaggio di depurazione</v>
      </c>
      <c r="H1200" s="1013">
        <v>2</v>
      </c>
      <c r="I1200" s="1932" t="str">
        <f>+VLOOKUP(H1200,TT_Tabelle_Riferimento!$F$3:$G$6,2,FALSE)</f>
        <v>Fognatura bianca e pulizia / manutenzione caditoie stradali</v>
      </c>
      <c r="J1200" s="1013">
        <v>2029</v>
      </c>
      <c r="K1200" s="2335">
        <f>+SUMIFS('PdI-crono_inv'!BL:BL,'PdI-crono_inv'!CF:CF,F1200,'PdI-crono_inv'!CE:CE,H1200,'PdI-crono_inv'!J:J,P1200,'PdI-crono_inv'!P:P,"&lt;&gt;proprietario")</f>
        <v>0</v>
      </c>
      <c r="M1200" s="2335">
        <f>+SUMIFS('PdI-crono_inv'!BM:BM,'PdI-crono_inv'!CF:CF,F1200,'PdI-crono_inv'!CE:CE,H1200,'PdI-crono_inv'!J:J,P1200,'PdI-crono_inv'!P:P,"&lt;&gt;proprietario")+S1200</f>
        <v>0</v>
      </c>
      <c r="P1200" s="1013" t="s">
        <v>25481</v>
      </c>
      <c r="Q1200" s="1932" t="str">
        <f>+VLOOKUP(F1200,TT_Tabelle_Riferimento!$D$127:$E$164,2,FALSE)</f>
        <v>Depurazione</v>
      </c>
      <c r="R1200" s="1932" t="str">
        <f t="shared" si="107"/>
        <v/>
      </c>
      <c r="S1200" s="2335">
        <f t="shared" si="102"/>
        <v>0</v>
      </c>
    </row>
    <row r="1201" spans="1:19">
      <c r="A1201" s="1932">
        <f t="shared" si="105"/>
        <v>0</v>
      </c>
      <c r="B1201" s="1932">
        <f t="shared" si="106"/>
        <v>0</v>
      </c>
      <c r="C1201" s="1013" t="s">
        <v>245</v>
      </c>
      <c r="D1201" s="1013">
        <v>0</v>
      </c>
      <c r="E1201" s="1013" t="s">
        <v>22698</v>
      </c>
      <c r="F1201" s="1013">
        <v>20</v>
      </c>
      <c r="G1201" s="1932" t="str">
        <f>+VLOOKUP(F1201,TT_Tabelle_Riferimento!$D$127:$G$164,4,FALSE)</f>
        <v>Tecniche naturali di depurazione (tra cui fitodepurazione e lagunaggio)</v>
      </c>
      <c r="H1201" s="1013">
        <v>2</v>
      </c>
      <c r="I1201" s="1932" t="str">
        <f>+VLOOKUP(H1201,TT_Tabelle_Riferimento!$F$3:$G$6,2,FALSE)</f>
        <v>Fognatura bianca e pulizia / manutenzione caditoie stradali</v>
      </c>
      <c r="J1201" s="1013">
        <v>2029</v>
      </c>
      <c r="K1201" s="2335">
        <f>+SUMIFS('PdI-crono_inv'!BL:BL,'PdI-crono_inv'!CF:CF,F1201,'PdI-crono_inv'!CE:CE,H1201,'PdI-crono_inv'!J:J,P1201,'PdI-crono_inv'!P:P,"&lt;&gt;proprietario")</f>
        <v>0</v>
      </c>
      <c r="M1201" s="2335">
        <f>+SUMIFS('PdI-crono_inv'!BM:BM,'PdI-crono_inv'!CF:CF,F1201,'PdI-crono_inv'!CE:CE,H1201,'PdI-crono_inv'!J:J,P1201,'PdI-crono_inv'!P:P,"&lt;&gt;proprietario")+S1201</f>
        <v>0</v>
      </c>
      <c r="P1201" s="1013" t="s">
        <v>25481</v>
      </c>
      <c r="Q1201" s="1932" t="str">
        <f>+VLOOKUP(F1201,TT_Tabelle_Riferimento!$D$127:$E$164,2,FALSE)</f>
        <v>Depurazione</v>
      </c>
      <c r="R1201" s="1932" t="str">
        <f t="shared" si="107"/>
        <v/>
      </c>
      <c r="S1201" s="2335">
        <f t="shared" si="102"/>
        <v>0</v>
      </c>
    </row>
    <row r="1202" spans="1:19">
      <c r="A1202" s="1932">
        <f t="shared" si="105"/>
        <v>0</v>
      </c>
      <c r="B1202" s="1932">
        <f t="shared" si="106"/>
        <v>0</v>
      </c>
      <c r="C1202" s="1013" t="s">
        <v>245</v>
      </c>
      <c r="D1202" s="1013">
        <v>0</v>
      </c>
      <c r="E1202" s="1013" t="s">
        <v>22698</v>
      </c>
      <c r="F1202" s="1013">
        <v>21</v>
      </c>
      <c r="G1202" s="1932" t="str">
        <f>+VLOOKUP(F1202,TT_Tabelle_Riferimento!$D$127:$G$164,4,FALSE)</f>
        <v>Impianti di depurazione – trattamenti sino al preliminare, integrativo, primario - fosse settiche e fosse Imhoff</v>
      </c>
      <c r="H1202" s="1013">
        <v>2</v>
      </c>
      <c r="I1202" s="1932" t="str">
        <f>+VLOOKUP(H1202,TT_Tabelle_Riferimento!$F$3:$G$6,2,FALSE)</f>
        <v>Fognatura bianca e pulizia / manutenzione caditoie stradali</v>
      </c>
      <c r="J1202" s="1013">
        <v>2029</v>
      </c>
      <c r="K1202" s="2335">
        <f>+SUMIFS('PdI-crono_inv'!BL:BL,'PdI-crono_inv'!CF:CF,F1202,'PdI-crono_inv'!CE:CE,H1202,'PdI-crono_inv'!J:J,P1202,'PdI-crono_inv'!P:P,"&lt;&gt;proprietario")</f>
        <v>0</v>
      </c>
      <c r="M1202" s="2335">
        <f>+SUMIFS('PdI-crono_inv'!BM:BM,'PdI-crono_inv'!CF:CF,F1202,'PdI-crono_inv'!CE:CE,H1202,'PdI-crono_inv'!J:J,P1202,'PdI-crono_inv'!P:P,"&lt;&gt;proprietario")+S1202</f>
        <v>0</v>
      </c>
      <c r="P1202" s="1013" t="s">
        <v>25481</v>
      </c>
      <c r="Q1202" s="1932" t="str">
        <f>+VLOOKUP(F1202,TT_Tabelle_Riferimento!$D$127:$E$164,2,FALSE)</f>
        <v>Depurazione</v>
      </c>
      <c r="R1202" s="1932" t="str">
        <f t="shared" si="107"/>
        <v/>
      </c>
      <c r="S1202" s="2335">
        <f t="shared" si="102"/>
        <v>0</v>
      </c>
    </row>
    <row r="1203" spans="1:19">
      <c r="A1203" s="1932">
        <f t="shared" si="105"/>
        <v>0</v>
      </c>
      <c r="B1203" s="1932">
        <f t="shared" si="106"/>
        <v>0</v>
      </c>
      <c r="C1203" s="1013" t="s">
        <v>245</v>
      </c>
      <c r="D1203" s="1013">
        <v>0</v>
      </c>
      <c r="E1203" s="1013" t="s">
        <v>22698</v>
      </c>
      <c r="F1203" s="1013">
        <v>22</v>
      </c>
      <c r="G1203" s="1932" t="str">
        <f>+VLOOKUP(F1203,TT_Tabelle_Riferimento!$D$127:$G$164,4,FALSE)</f>
        <v>Impianti di depurazione – trattamenti sino al secondario</v>
      </c>
      <c r="H1203" s="1013">
        <v>2</v>
      </c>
      <c r="I1203" s="1932" t="str">
        <f>+VLOOKUP(H1203,TT_Tabelle_Riferimento!$F$3:$G$6,2,FALSE)</f>
        <v>Fognatura bianca e pulizia / manutenzione caditoie stradali</v>
      </c>
      <c r="J1203" s="1013">
        <v>2029</v>
      </c>
      <c r="K1203" s="2335">
        <f>+SUMIFS('PdI-crono_inv'!BL:BL,'PdI-crono_inv'!CF:CF,F1203,'PdI-crono_inv'!CE:CE,H1203,'PdI-crono_inv'!J:J,P1203,'PdI-crono_inv'!P:P,"&lt;&gt;proprietario")</f>
        <v>0</v>
      </c>
      <c r="M1203" s="2335">
        <f>+SUMIFS('PdI-crono_inv'!BM:BM,'PdI-crono_inv'!CF:CF,F1203,'PdI-crono_inv'!CE:CE,H1203,'PdI-crono_inv'!J:J,P1203,'PdI-crono_inv'!P:P,"&lt;&gt;proprietario")+S1203</f>
        <v>0</v>
      </c>
      <c r="P1203" s="1013" t="s">
        <v>25481</v>
      </c>
      <c r="Q1203" s="1932" t="str">
        <f>+VLOOKUP(F1203,TT_Tabelle_Riferimento!$D$127:$E$164,2,FALSE)</f>
        <v>Depurazione</v>
      </c>
      <c r="R1203" s="1932" t="str">
        <f t="shared" si="107"/>
        <v/>
      </c>
      <c r="S1203" s="2335">
        <f t="shared" si="102"/>
        <v>0</v>
      </c>
    </row>
    <row r="1204" spans="1:19">
      <c r="A1204" s="1932">
        <f t="shared" si="105"/>
        <v>0</v>
      </c>
      <c r="B1204" s="1932">
        <f t="shared" si="106"/>
        <v>0</v>
      </c>
      <c r="C1204" s="1013" t="s">
        <v>245</v>
      </c>
      <c r="D1204" s="1013">
        <v>0</v>
      </c>
      <c r="E1204" s="1013" t="s">
        <v>22698</v>
      </c>
      <c r="F1204" s="1013">
        <v>23</v>
      </c>
      <c r="G1204" s="1932" t="str">
        <f>+VLOOKUP(F1204,TT_Tabelle_Riferimento!$D$127:$G$164,4,FALSE)</f>
        <v>Impianti di depurazione – trattamenti sino al terziario e terziario avanzato</v>
      </c>
      <c r="H1204" s="1013">
        <v>2</v>
      </c>
      <c r="I1204" s="1932" t="str">
        <f>+VLOOKUP(H1204,TT_Tabelle_Riferimento!$F$3:$G$6,2,FALSE)</f>
        <v>Fognatura bianca e pulizia / manutenzione caditoie stradali</v>
      </c>
      <c r="J1204" s="1013">
        <v>2029</v>
      </c>
      <c r="K1204" s="2335">
        <f>+SUMIFS('PdI-crono_inv'!BL:BL,'PdI-crono_inv'!CF:CF,F1204,'PdI-crono_inv'!CE:CE,H1204,'PdI-crono_inv'!J:J,P1204,'PdI-crono_inv'!P:P,"&lt;&gt;proprietario")</f>
        <v>0</v>
      </c>
      <c r="M1204" s="2335">
        <f>+SUMIFS('PdI-crono_inv'!BM:BM,'PdI-crono_inv'!CF:CF,F1204,'PdI-crono_inv'!CE:CE,H1204,'PdI-crono_inv'!J:J,P1204,'PdI-crono_inv'!P:P,"&lt;&gt;proprietario")+S1204</f>
        <v>0</v>
      </c>
      <c r="P1204" s="1013" t="s">
        <v>25481</v>
      </c>
      <c r="Q1204" s="1932" t="str">
        <f>+VLOOKUP(F1204,TT_Tabelle_Riferimento!$D$127:$E$164,2,FALSE)</f>
        <v>Depurazione</v>
      </c>
      <c r="R1204" s="1932" t="str">
        <f t="shared" si="107"/>
        <v/>
      </c>
      <c r="S1204" s="2335">
        <f t="shared" si="102"/>
        <v>0</v>
      </c>
    </row>
    <row r="1205" spans="1:19">
      <c r="A1205" s="1932">
        <f t="shared" si="105"/>
        <v>0</v>
      </c>
      <c r="B1205" s="1932">
        <f t="shared" si="106"/>
        <v>0</v>
      </c>
      <c r="C1205" s="1013" t="s">
        <v>245</v>
      </c>
      <c r="D1205" s="1013">
        <v>0</v>
      </c>
      <c r="E1205" s="1013" t="s">
        <v>22698</v>
      </c>
      <c r="F1205" s="1013">
        <v>24</v>
      </c>
      <c r="G1205" s="1932" t="str">
        <f>+VLOOKUP(F1205,TT_Tabelle_Riferimento!$D$127:$G$164,4,FALSE)</f>
        <v>Impianti di essiccamento fanghi e di valorizzazione dei fanghi (tra cui mono-incenerimento, pirolisi, gassificazione)</v>
      </c>
      <c r="H1205" s="1013">
        <v>2</v>
      </c>
      <c r="I1205" s="1932" t="str">
        <f>+VLOOKUP(H1205,TT_Tabelle_Riferimento!$F$3:$G$6,2,FALSE)</f>
        <v>Fognatura bianca e pulizia / manutenzione caditoie stradali</v>
      </c>
      <c r="J1205" s="1013">
        <v>2029</v>
      </c>
      <c r="K1205" s="2335">
        <f>+SUMIFS('PdI-crono_inv'!BL:BL,'PdI-crono_inv'!CF:CF,F1205,'PdI-crono_inv'!CE:CE,H1205,'PdI-crono_inv'!J:J,P1205,'PdI-crono_inv'!P:P,"&lt;&gt;proprietario")</f>
        <v>0</v>
      </c>
      <c r="M1205" s="2335">
        <f>+SUMIFS('PdI-crono_inv'!BM:BM,'PdI-crono_inv'!CF:CF,F1205,'PdI-crono_inv'!CE:CE,H1205,'PdI-crono_inv'!J:J,P1205,'PdI-crono_inv'!P:P,"&lt;&gt;proprietario")+S1205</f>
        <v>0</v>
      </c>
      <c r="P1205" s="1013" t="s">
        <v>25481</v>
      </c>
      <c r="Q1205" s="1932" t="str">
        <f>+VLOOKUP(F1205,TT_Tabelle_Riferimento!$D$127:$E$164,2,FALSE)</f>
        <v>Depurazione</v>
      </c>
      <c r="R1205" s="1932" t="str">
        <f t="shared" si="107"/>
        <v/>
      </c>
      <c r="S1205" s="2335">
        <f t="shared" si="102"/>
        <v>0</v>
      </c>
    </row>
    <row r="1206" spans="1:19">
      <c r="A1206" s="1932">
        <f t="shared" si="105"/>
        <v>0</v>
      </c>
      <c r="B1206" s="1932">
        <f t="shared" si="106"/>
        <v>0</v>
      </c>
      <c r="C1206" s="1013" t="s">
        <v>245</v>
      </c>
      <c r="D1206" s="1013">
        <v>0</v>
      </c>
      <c r="E1206" s="1013" t="s">
        <v>22698</v>
      </c>
      <c r="F1206" s="1013">
        <v>25</v>
      </c>
      <c r="G1206" s="1932" t="str">
        <f>+VLOOKUP(F1206,TT_Tabelle_Riferimento!$D$127:$G$164,4,FALSE)</f>
        <v>Gruppi di misura - altre attrezzature di depurazione</v>
      </c>
      <c r="H1206" s="1013">
        <v>2</v>
      </c>
      <c r="I1206" s="1932" t="str">
        <f>+VLOOKUP(H1206,TT_Tabelle_Riferimento!$F$3:$G$6,2,FALSE)</f>
        <v>Fognatura bianca e pulizia / manutenzione caditoie stradali</v>
      </c>
      <c r="J1206" s="1013">
        <v>2029</v>
      </c>
      <c r="K1206" s="2335">
        <f>+SUMIFS('PdI-crono_inv'!BL:BL,'PdI-crono_inv'!CF:CF,F1206,'PdI-crono_inv'!CE:CE,H1206,'PdI-crono_inv'!J:J,P1206,'PdI-crono_inv'!P:P,"&lt;&gt;proprietario")</f>
        <v>0</v>
      </c>
      <c r="M1206" s="2335">
        <f>+SUMIFS('PdI-crono_inv'!BM:BM,'PdI-crono_inv'!CF:CF,F1206,'PdI-crono_inv'!CE:CE,H1206,'PdI-crono_inv'!J:J,P1206,'PdI-crono_inv'!P:P,"&lt;&gt;proprietario")+S1206</f>
        <v>0</v>
      </c>
      <c r="P1206" s="1013" t="s">
        <v>25481</v>
      </c>
      <c r="Q1206" s="1932" t="str">
        <f>+VLOOKUP(F1206,TT_Tabelle_Riferimento!$D$127:$E$164,2,FALSE)</f>
        <v>Depurazione</v>
      </c>
      <c r="R1206" s="1932" t="str">
        <f t="shared" si="107"/>
        <v/>
      </c>
      <c r="S1206" s="2335">
        <f t="shared" si="102"/>
        <v>0</v>
      </c>
    </row>
    <row r="1207" spans="1:19">
      <c r="A1207" s="1932">
        <f t="shared" si="105"/>
        <v>0</v>
      </c>
      <c r="B1207" s="1932">
        <f t="shared" si="106"/>
        <v>0</v>
      </c>
      <c r="C1207" s="1013" t="s">
        <v>245</v>
      </c>
      <c r="D1207" s="1013">
        <v>0</v>
      </c>
      <c r="E1207" s="1013" t="s">
        <v>22698</v>
      </c>
      <c r="F1207" s="1013">
        <v>26</v>
      </c>
      <c r="G1207" s="1932" t="str">
        <f>+VLOOKUP(F1207,TT_Tabelle_Riferimento!$D$127:$G$164,4,FALSE)</f>
        <v>Sistemi informativi di depurazione</v>
      </c>
      <c r="H1207" s="1013">
        <v>2</v>
      </c>
      <c r="I1207" s="1932" t="str">
        <f>+VLOOKUP(H1207,TT_Tabelle_Riferimento!$F$3:$G$6,2,FALSE)</f>
        <v>Fognatura bianca e pulizia / manutenzione caditoie stradali</v>
      </c>
      <c r="J1207" s="1013">
        <v>2029</v>
      </c>
      <c r="K1207" s="2335">
        <f>+SUMIFS('PdI-crono_inv'!BL:BL,'PdI-crono_inv'!CF:CF,F1207,'PdI-crono_inv'!CE:CE,H1207,'PdI-crono_inv'!J:J,P1207,'PdI-crono_inv'!P:P,"&lt;&gt;proprietario")</f>
        <v>0</v>
      </c>
      <c r="M1207" s="2335">
        <f>+SUMIFS('PdI-crono_inv'!BM:BM,'PdI-crono_inv'!CF:CF,F1207,'PdI-crono_inv'!CE:CE,H1207,'PdI-crono_inv'!J:J,P1207,'PdI-crono_inv'!P:P,"&lt;&gt;proprietario")+S1207</f>
        <v>0</v>
      </c>
      <c r="P1207" s="1013" t="s">
        <v>25481</v>
      </c>
      <c r="Q1207" s="1932" t="str">
        <f>+VLOOKUP(F1207,TT_Tabelle_Riferimento!$D$127:$E$164,2,FALSE)</f>
        <v>Depurazione</v>
      </c>
      <c r="R1207" s="1932" t="str">
        <f t="shared" si="107"/>
        <v/>
      </c>
      <c r="S1207" s="2335">
        <f t="shared" si="102"/>
        <v>0</v>
      </c>
    </row>
    <row r="1208" spans="1:19">
      <c r="A1208" s="1932">
        <f t="shared" si="105"/>
        <v>0</v>
      </c>
      <c r="B1208" s="1932">
        <f t="shared" si="106"/>
        <v>0</v>
      </c>
      <c r="C1208" s="1013" t="s">
        <v>245</v>
      </c>
      <c r="D1208" s="1013">
        <v>0</v>
      </c>
      <c r="E1208" s="1013" t="s">
        <v>22698</v>
      </c>
      <c r="F1208" s="1013">
        <v>27</v>
      </c>
      <c r="G1208" s="1932" t="str">
        <f>+VLOOKUP(F1208,TT_Tabelle_Riferimento!$D$127:$G$164,4,FALSE)</f>
        <v>Telecontrollo e teletrasmissione di depurazione</v>
      </c>
      <c r="H1208" s="1013">
        <v>2</v>
      </c>
      <c r="I1208" s="1932" t="str">
        <f>+VLOOKUP(H1208,TT_Tabelle_Riferimento!$F$3:$G$6,2,FALSE)</f>
        <v>Fognatura bianca e pulizia / manutenzione caditoie stradali</v>
      </c>
      <c r="J1208" s="1013">
        <v>2029</v>
      </c>
      <c r="K1208" s="2335">
        <f>+SUMIFS('PdI-crono_inv'!BL:BL,'PdI-crono_inv'!CF:CF,F1208,'PdI-crono_inv'!CE:CE,H1208,'PdI-crono_inv'!J:J,P1208,'PdI-crono_inv'!P:P,"&lt;&gt;proprietario")</f>
        <v>0</v>
      </c>
      <c r="M1208" s="2335">
        <f>+SUMIFS('PdI-crono_inv'!BM:BM,'PdI-crono_inv'!CF:CF,F1208,'PdI-crono_inv'!CE:CE,H1208,'PdI-crono_inv'!J:J,P1208,'PdI-crono_inv'!P:P,"&lt;&gt;proprietario")+S1208</f>
        <v>0</v>
      </c>
      <c r="P1208" s="1013" t="s">
        <v>25481</v>
      </c>
      <c r="Q1208" s="1932" t="str">
        <f>+VLOOKUP(F1208,TT_Tabelle_Riferimento!$D$127:$E$164,2,FALSE)</f>
        <v>Depurazione</v>
      </c>
      <c r="R1208" s="1932" t="str">
        <f t="shared" si="107"/>
        <v/>
      </c>
      <c r="S1208" s="2335">
        <f t="shared" si="102"/>
        <v>0</v>
      </c>
    </row>
    <row r="1209" spans="1:19">
      <c r="A1209" s="1932">
        <f t="shared" si="105"/>
        <v>0</v>
      </c>
      <c r="B1209" s="1932">
        <f t="shared" si="106"/>
        <v>0</v>
      </c>
      <c r="C1209" s="1013" t="s">
        <v>245</v>
      </c>
      <c r="D1209" s="1013">
        <v>0</v>
      </c>
      <c r="E1209" s="1013" t="s">
        <v>22698</v>
      </c>
      <c r="F1209" s="1013">
        <v>28</v>
      </c>
      <c r="G1209" s="1932" t="str">
        <f>+VLOOKUP(F1209,TT_Tabelle_Riferimento!$D$127:$G$164,4,FALSE)</f>
        <v>Altri impianti</v>
      </c>
      <c r="H1209" s="1013">
        <v>2</v>
      </c>
      <c r="I1209" s="1932" t="str">
        <f>+VLOOKUP(H1209,TT_Tabelle_Riferimento!$F$3:$G$6,2,FALSE)</f>
        <v>Fognatura bianca e pulizia / manutenzione caditoie stradali</v>
      </c>
      <c r="J1209" s="1013">
        <v>2029</v>
      </c>
      <c r="K1209" s="2335">
        <f>+SUMIFS('PdI-crono_inv'!BL:BL,'PdI-crono_inv'!CF:CF,F1209,'PdI-crono_inv'!CE:CE,H1209,'PdI-crono_inv'!J:J,P1209,'PdI-crono_inv'!P:P,"&lt;&gt;proprietario")</f>
        <v>0</v>
      </c>
      <c r="M1209" s="2335">
        <f>+SUMIFS('PdI-crono_inv'!BM:BM,'PdI-crono_inv'!CF:CF,F1209,'PdI-crono_inv'!CE:CE,H1209,'PdI-crono_inv'!J:J,P1209,'PdI-crono_inv'!P:P,"&lt;&gt;proprietario")+S1209</f>
        <v>0</v>
      </c>
      <c r="P1209" s="1013" t="s">
        <v>25481</v>
      </c>
      <c r="Q1209" s="1932" t="str">
        <f>+VLOOKUP(F1209,TT_Tabelle_Riferimento!$D$127:$E$164,2,FALSE)</f>
        <v>Comune</v>
      </c>
      <c r="R1209" s="1932" t="str">
        <f t="shared" si="107"/>
        <v/>
      </c>
      <c r="S1209" s="2335">
        <f t="shared" si="102"/>
        <v>0</v>
      </c>
    </row>
    <row r="1210" spans="1:19">
      <c r="A1210" s="1932">
        <f t="shared" si="105"/>
        <v>0</v>
      </c>
      <c r="B1210" s="1932">
        <f t="shared" si="106"/>
        <v>0</v>
      </c>
      <c r="C1210" s="1013" t="s">
        <v>245</v>
      </c>
      <c r="D1210" s="1013">
        <v>0</v>
      </c>
      <c r="E1210" s="1013" t="s">
        <v>22698</v>
      </c>
      <c r="F1210" s="1013">
        <v>29</v>
      </c>
      <c r="G1210" s="1932" t="str">
        <f>+VLOOKUP(F1210,TT_Tabelle_Riferimento!$D$127:$G$164,4,FALSE)</f>
        <v>Laboratori e attrezzature</v>
      </c>
      <c r="H1210" s="1013">
        <v>2</v>
      </c>
      <c r="I1210" s="1932" t="str">
        <f>+VLOOKUP(H1210,TT_Tabelle_Riferimento!$F$3:$G$6,2,FALSE)</f>
        <v>Fognatura bianca e pulizia / manutenzione caditoie stradali</v>
      </c>
      <c r="J1210" s="1013">
        <v>2029</v>
      </c>
      <c r="K1210" s="2335">
        <f>+SUMIFS('PdI-crono_inv'!BL:BL,'PdI-crono_inv'!CF:CF,F1210,'PdI-crono_inv'!CE:CE,H1210,'PdI-crono_inv'!J:J,P1210,'PdI-crono_inv'!P:P,"&lt;&gt;proprietario")</f>
        <v>0</v>
      </c>
      <c r="M1210" s="2335">
        <f>+SUMIFS('PdI-crono_inv'!BM:BM,'PdI-crono_inv'!CF:CF,F1210,'PdI-crono_inv'!CE:CE,H1210,'PdI-crono_inv'!J:J,P1210,'PdI-crono_inv'!P:P,"&lt;&gt;proprietario")+S1210</f>
        <v>0</v>
      </c>
      <c r="P1210" s="1013" t="s">
        <v>25481</v>
      </c>
      <c r="Q1210" s="1932" t="str">
        <f>+VLOOKUP(F1210,TT_Tabelle_Riferimento!$D$127:$E$164,2,FALSE)</f>
        <v>Comune</v>
      </c>
      <c r="R1210" s="1932" t="str">
        <f t="shared" si="107"/>
        <v/>
      </c>
      <c r="S1210" s="2335">
        <f t="shared" si="102"/>
        <v>0</v>
      </c>
    </row>
    <row r="1211" spans="1:19">
      <c r="A1211" s="1932">
        <f t="shared" si="105"/>
        <v>0</v>
      </c>
      <c r="B1211" s="1932">
        <f t="shared" si="106"/>
        <v>0</v>
      </c>
      <c r="C1211" s="1013" t="s">
        <v>245</v>
      </c>
      <c r="D1211" s="1013">
        <v>0</v>
      </c>
      <c r="E1211" s="1013" t="s">
        <v>22698</v>
      </c>
      <c r="F1211" s="1013">
        <v>30</v>
      </c>
      <c r="G1211" s="1932" t="str">
        <f>+VLOOKUP(F1211,TT_Tabelle_Riferimento!$D$127:$G$164,4,FALSE)</f>
        <v>Sistemi informativi</v>
      </c>
      <c r="H1211" s="1013">
        <v>2</v>
      </c>
      <c r="I1211" s="1932" t="str">
        <f>+VLOOKUP(H1211,TT_Tabelle_Riferimento!$F$3:$G$6,2,FALSE)</f>
        <v>Fognatura bianca e pulizia / manutenzione caditoie stradali</v>
      </c>
      <c r="J1211" s="1013">
        <v>2029</v>
      </c>
      <c r="K1211" s="2335">
        <f>+SUMIFS('PdI-crono_inv'!BL:BL,'PdI-crono_inv'!CF:CF,F1211,'PdI-crono_inv'!CE:CE,H1211,'PdI-crono_inv'!J:J,P1211,'PdI-crono_inv'!P:P,"&lt;&gt;proprietario")</f>
        <v>0</v>
      </c>
      <c r="M1211" s="2335">
        <f>+SUMIFS('PdI-crono_inv'!BM:BM,'PdI-crono_inv'!CF:CF,F1211,'PdI-crono_inv'!CE:CE,H1211,'PdI-crono_inv'!J:J,P1211,'PdI-crono_inv'!P:P,"&lt;&gt;proprietario")+S1211</f>
        <v>0</v>
      </c>
      <c r="P1211" s="1013" t="s">
        <v>25481</v>
      </c>
      <c r="Q1211" s="1932" t="str">
        <f>+VLOOKUP(F1211,TT_Tabelle_Riferimento!$D$127:$E$164,2,FALSE)</f>
        <v>Comune</v>
      </c>
      <c r="R1211" s="1932" t="str">
        <f t="shared" si="107"/>
        <v/>
      </c>
      <c r="S1211" s="2335">
        <f t="shared" si="102"/>
        <v>0</v>
      </c>
    </row>
    <row r="1212" spans="1:19">
      <c r="A1212" s="1932">
        <f t="shared" si="105"/>
        <v>0</v>
      </c>
      <c r="B1212" s="1932">
        <f t="shared" si="106"/>
        <v>0</v>
      </c>
      <c r="C1212" s="1013" t="s">
        <v>245</v>
      </c>
      <c r="D1212" s="1013">
        <v>0</v>
      </c>
      <c r="E1212" s="1013" t="s">
        <v>22698</v>
      </c>
      <c r="F1212" s="1013">
        <v>31</v>
      </c>
      <c r="G1212" s="1932" t="str">
        <f>+VLOOKUP(F1212,TT_Tabelle_Riferimento!$D$127:$G$164,4,FALSE)</f>
        <v>Telecontrollo e teletrasmissione</v>
      </c>
      <c r="H1212" s="1013">
        <v>2</v>
      </c>
      <c r="I1212" s="1932" t="str">
        <f>+VLOOKUP(H1212,TT_Tabelle_Riferimento!$F$3:$G$6,2,FALSE)</f>
        <v>Fognatura bianca e pulizia / manutenzione caditoie stradali</v>
      </c>
      <c r="J1212" s="1013">
        <v>2029</v>
      </c>
      <c r="K1212" s="2335">
        <f>+SUMIFS('PdI-crono_inv'!BL:BL,'PdI-crono_inv'!CF:CF,F1212,'PdI-crono_inv'!CE:CE,H1212,'PdI-crono_inv'!J:J,P1212,'PdI-crono_inv'!P:P,"&lt;&gt;proprietario")</f>
        <v>0</v>
      </c>
      <c r="M1212" s="2335">
        <f>+SUMIFS('PdI-crono_inv'!BM:BM,'PdI-crono_inv'!CF:CF,F1212,'PdI-crono_inv'!CE:CE,H1212,'PdI-crono_inv'!J:J,P1212,'PdI-crono_inv'!P:P,"&lt;&gt;proprietario")+S1212</f>
        <v>0</v>
      </c>
      <c r="P1212" s="1013" t="s">
        <v>25481</v>
      </c>
      <c r="Q1212" s="1932" t="str">
        <f>+VLOOKUP(F1212,TT_Tabelle_Riferimento!$D$127:$E$164,2,FALSE)</f>
        <v>Comune</v>
      </c>
      <c r="R1212" s="1932" t="str">
        <f t="shared" si="107"/>
        <v/>
      </c>
      <c r="S1212" s="2335">
        <f t="shared" si="102"/>
        <v>0</v>
      </c>
    </row>
    <row r="1213" spans="1:19">
      <c r="A1213" s="1932">
        <f t="shared" si="105"/>
        <v>0</v>
      </c>
      <c r="B1213" s="1932">
        <f t="shared" si="106"/>
        <v>0</v>
      </c>
      <c r="C1213" s="1013" t="s">
        <v>245</v>
      </c>
      <c r="D1213" s="1013">
        <v>0</v>
      </c>
      <c r="E1213" s="1013" t="s">
        <v>22698</v>
      </c>
      <c r="F1213" s="1013">
        <v>32</v>
      </c>
      <c r="G1213" s="1932" t="str">
        <f>+VLOOKUP(F1213,TT_Tabelle_Riferimento!$D$127:$G$164,4,FALSE)</f>
        <v>Autoveicoli - automezzi</v>
      </c>
      <c r="H1213" s="1013">
        <v>2</v>
      </c>
      <c r="I1213" s="1932" t="str">
        <f>+VLOOKUP(H1213,TT_Tabelle_Riferimento!$F$3:$G$6,2,FALSE)</f>
        <v>Fognatura bianca e pulizia / manutenzione caditoie stradali</v>
      </c>
      <c r="J1213" s="1013">
        <v>2029</v>
      </c>
      <c r="K1213" s="2335">
        <f>+SUMIFS('PdI-crono_inv'!BL:BL,'PdI-crono_inv'!CF:CF,F1213,'PdI-crono_inv'!CE:CE,H1213,'PdI-crono_inv'!J:J,P1213,'PdI-crono_inv'!P:P,"&lt;&gt;proprietario")</f>
        <v>0</v>
      </c>
      <c r="M1213" s="2335">
        <f>+SUMIFS('PdI-crono_inv'!BM:BM,'PdI-crono_inv'!CF:CF,F1213,'PdI-crono_inv'!CE:CE,H1213,'PdI-crono_inv'!J:J,P1213,'PdI-crono_inv'!P:P,"&lt;&gt;proprietario")+S1213</f>
        <v>0</v>
      </c>
      <c r="P1213" s="1013" t="s">
        <v>25481</v>
      </c>
      <c r="Q1213" s="1932" t="str">
        <f>+VLOOKUP(F1213,TT_Tabelle_Riferimento!$D$127:$E$164,2,FALSE)</f>
        <v>Comune</v>
      </c>
      <c r="R1213" s="1932" t="str">
        <f t="shared" si="107"/>
        <v/>
      </c>
      <c r="S1213" s="2335">
        <f t="shared" si="102"/>
        <v>0</v>
      </c>
    </row>
    <row r="1214" spans="1:19">
      <c r="A1214" s="1932">
        <f t="shared" si="105"/>
        <v>0</v>
      </c>
      <c r="B1214" s="1932">
        <f t="shared" si="106"/>
        <v>0</v>
      </c>
      <c r="C1214" s="1013" t="s">
        <v>245</v>
      </c>
      <c r="D1214" s="1013">
        <v>0</v>
      </c>
      <c r="E1214" s="1013" t="s">
        <v>22698</v>
      </c>
      <c r="F1214" s="1013">
        <v>1</v>
      </c>
      <c r="G1214" s="1932" t="str">
        <f>+VLOOKUP(F1214,TT_Tabelle_Riferimento!$D$127:$G$164,4,FALSE)</f>
        <v>Terreni</v>
      </c>
      <c r="H1214" s="1013">
        <v>2</v>
      </c>
      <c r="I1214" s="1932" t="str">
        <f>+VLOOKUP(H1214,TT_Tabelle_Riferimento!$F$3:$G$6,2,FALSE)</f>
        <v>Fognatura bianca e pulizia / manutenzione caditoie stradali</v>
      </c>
      <c r="J1214" s="1013">
        <v>2029</v>
      </c>
      <c r="K1214" s="2335">
        <f>+SUMIFS('PdI-crono_inv'!BL:BL,'PdI-crono_inv'!CF:CF,F1214,'PdI-crono_inv'!CE:CE,H1214,'PdI-crono_inv'!J:J,P1214,'PdI-crono_inv'!P:P,"&lt;&gt;proprietario")</f>
        <v>0</v>
      </c>
      <c r="M1214" s="2335">
        <f>+SUMIFS('PdI-crono_inv'!BM:BM,'PdI-crono_inv'!CF:CF,F1214,'PdI-crono_inv'!CE:CE,H1214,'PdI-crono_inv'!J:J,P1214,'PdI-crono_inv'!P:P,"&lt;&gt;proprietario")+S1214</f>
        <v>0</v>
      </c>
      <c r="P1214" s="1013" t="s">
        <v>25481</v>
      </c>
      <c r="Q1214" s="1932" t="str">
        <f>+VLOOKUP(F1214,TT_Tabelle_Riferimento!$D$127:$E$164,2,FALSE)</f>
        <v>Comune</v>
      </c>
      <c r="R1214" s="1932" t="str">
        <f t="shared" si="107"/>
        <v/>
      </c>
      <c r="S1214" s="2335">
        <f t="shared" si="102"/>
        <v>0</v>
      </c>
    </row>
    <row r="1215" spans="1:19">
      <c r="A1215" s="1932">
        <f t="shared" si="105"/>
        <v>0</v>
      </c>
      <c r="B1215" s="1932">
        <f t="shared" si="106"/>
        <v>0</v>
      </c>
      <c r="C1215" s="1013" t="s">
        <v>245</v>
      </c>
      <c r="D1215" s="1013">
        <v>0</v>
      </c>
      <c r="E1215" s="1013" t="s">
        <v>22698</v>
      </c>
      <c r="F1215" s="1013">
        <v>33</v>
      </c>
      <c r="G1215" s="1932" t="str">
        <f>+VLOOKUP(F1215,TT_Tabelle_Riferimento!$D$127:$G$164,4,FALSE)</f>
        <v>Fabbricati non industriali</v>
      </c>
      <c r="H1215" s="1013">
        <v>2</v>
      </c>
      <c r="I1215" s="1932" t="str">
        <f>+VLOOKUP(H1215,TT_Tabelle_Riferimento!$F$3:$G$6,2,FALSE)</f>
        <v>Fognatura bianca e pulizia / manutenzione caditoie stradali</v>
      </c>
      <c r="J1215" s="1013">
        <v>2029</v>
      </c>
      <c r="K1215" s="2335">
        <f>+SUMIFS('PdI-crono_inv'!BL:BL,'PdI-crono_inv'!CF:CF,F1215,'PdI-crono_inv'!CE:CE,H1215,'PdI-crono_inv'!J:J,P1215,'PdI-crono_inv'!P:P,"&lt;&gt;proprietario")</f>
        <v>0</v>
      </c>
      <c r="M1215" s="2335">
        <f>+SUMIFS('PdI-crono_inv'!BM:BM,'PdI-crono_inv'!CF:CF,F1215,'PdI-crono_inv'!CE:CE,H1215,'PdI-crono_inv'!J:J,P1215,'PdI-crono_inv'!P:P,"&lt;&gt;proprietario")+S1215</f>
        <v>0</v>
      </c>
      <c r="P1215" s="1013" t="s">
        <v>25481</v>
      </c>
      <c r="Q1215" s="1932" t="str">
        <f>+VLOOKUP(F1215,TT_Tabelle_Riferimento!$D$127:$E$164,2,FALSE)</f>
        <v>Comune</v>
      </c>
      <c r="R1215" s="1932" t="str">
        <f t="shared" si="107"/>
        <v/>
      </c>
      <c r="S1215" s="2335">
        <f t="shared" si="102"/>
        <v>0</v>
      </c>
    </row>
    <row r="1216" spans="1:19">
      <c r="A1216" s="1932">
        <f t="shared" si="105"/>
        <v>0</v>
      </c>
      <c r="B1216" s="1932">
        <f t="shared" si="106"/>
        <v>0</v>
      </c>
      <c r="C1216" s="1013" t="s">
        <v>245</v>
      </c>
      <c r="D1216" s="1013">
        <v>0</v>
      </c>
      <c r="E1216" s="1013" t="s">
        <v>22698</v>
      </c>
      <c r="F1216" s="1013">
        <v>34</v>
      </c>
      <c r="G1216" s="1932" t="str">
        <f>+VLOOKUP(F1216,TT_Tabelle_Riferimento!$D$127:$G$164,4,FALSE)</f>
        <v>Fabbricati industriali</v>
      </c>
      <c r="H1216" s="1013">
        <v>2</v>
      </c>
      <c r="I1216" s="1932" t="str">
        <f>+VLOOKUP(H1216,TT_Tabelle_Riferimento!$F$3:$G$6,2,FALSE)</f>
        <v>Fognatura bianca e pulizia / manutenzione caditoie stradali</v>
      </c>
      <c r="J1216" s="1013">
        <v>2029</v>
      </c>
      <c r="K1216" s="2335">
        <f>+SUMIFS('PdI-crono_inv'!BL:BL,'PdI-crono_inv'!CF:CF,F1216,'PdI-crono_inv'!CE:CE,H1216,'PdI-crono_inv'!J:J,P1216,'PdI-crono_inv'!P:P,"&lt;&gt;proprietario")</f>
        <v>0</v>
      </c>
      <c r="M1216" s="2335">
        <f>+SUMIFS('PdI-crono_inv'!BM:BM,'PdI-crono_inv'!CF:CF,F1216,'PdI-crono_inv'!CE:CE,H1216,'PdI-crono_inv'!J:J,P1216,'PdI-crono_inv'!P:P,"&lt;&gt;proprietario")+S1216</f>
        <v>0</v>
      </c>
      <c r="P1216" s="1013" t="s">
        <v>25481</v>
      </c>
      <c r="Q1216" s="1932" t="str">
        <f>+VLOOKUP(F1216,TT_Tabelle_Riferimento!$D$127:$E$164,2,FALSE)</f>
        <v>Comune</v>
      </c>
      <c r="R1216" s="1932" t="str">
        <f t="shared" si="107"/>
        <v/>
      </c>
      <c r="S1216" s="2335">
        <f t="shared" si="102"/>
        <v>0</v>
      </c>
    </row>
    <row r="1217" spans="1:19">
      <c r="A1217" s="1932">
        <f t="shared" si="105"/>
        <v>0</v>
      </c>
      <c r="B1217" s="1932">
        <f t="shared" si="106"/>
        <v>0</v>
      </c>
      <c r="C1217" s="1013" t="s">
        <v>245</v>
      </c>
      <c r="D1217" s="1013">
        <v>0</v>
      </c>
      <c r="E1217" s="1013" t="s">
        <v>22698</v>
      </c>
      <c r="F1217" s="1013">
        <v>35</v>
      </c>
      <c r="G1217" s="1932" t="str">
        <f>+VLOOKUP(F1217,TT_Tabelle_Riferimento!$D$127:$G$164,4,FALSE)</f>
        <v>Costruzioni leggere</v>
      </c>
      <c r="H1217" s="1013">
        <v>2</v>
      </c>
      <c r="I1217" s="1932" t="str">
        <f>+VLOOKUP(H1217,TT_Tabelle_Riferimento!$F$3:$G$6,2,FALSE)</f>
        <v>Fognatura bianca e pulizia / manutenzione caditoie stradali</v>
      </c>
      <c r="J1217" s="1013">
        <v>2029</v>
      </c>
      <c r="K1217" s="2335">
        <f>+SUMIFS('PdI-crono_inv'!BL:BL,'PdI-crono_inv'!CF:CF,F1217,'PdI-crono_inv'!CE:CE,H1217,'PdI-crono_inv'!J:J,P1217,'PdI-crono_inv'!P:P,"&lt;&gt;proprietario")</f>
        <v>0</v>
      </c>
      <c r="M1217" s="2335">
        <f>+SUMIFS('PdI-crono_inv'!BM:BM,'PdI-crono_inv'!CF:CF,F1217,'PdI-crono_inv'!CE:CE,H1217,'PdI-crono_inv'!J:J,P1217,'PdI-crono_inv'!P:P,"&lt;&gt;proprietario")+S1217</f>
        <v>0</v>
      </c>
      <c r="P1217" s="1013" t="s">
        <v>25481</v>
      </c>
      <c r="Q1217" s="1932" t="str">
        <f>+VLOOKUP(F1217,TT_Tabelle_Riferimento!$D$127:$E$164,2,FALSE)</f>
        <v>Comune</v>
      </c>
      <c r="R1217" s="1932" t="str">
        <f t="shared" si="107"/>
        <v/>
      </c>
      <c r="S1217" s="2335">
        <f t="shared" si="102"/>
        <v>0</v>
      </c>
    </row>
    <row r="1218" spans="1:19">
      <c r="A1218" s="1932">
        <f t="shared" si="105"/>
        <v>0</v>
      </c>
      <c r="B1218" s="1932">
        <f t="shared" si="106"/>
        <v>0</v>
      </c>
      <c r="C1218" s="1013" t="s">
        <v>245</v>
      </c>
      <c r="D1218" s="1013">
        <v>0</v>
      </c>
      <c r="E1218" s="1013" t="s">
        <v>22698</v>
      </c>
      <c r="F1218" s="1013">
        <v>36</v>
      </c>
      <c r="G1218" s="1932" t="str">
        <f>+VLOOKUP(F1218,TT_Tabelle_Riferimento!$D$127:$G$164,4,FALSE)</f>
        <v>Studi, ricerche, brevetti, diritti di utilizzazione</v>
      </c>
      <c r="H1218" s="1013">
        <v>2</v>
      </c>
      <c r="I1218" s="1932" t="str">
        <f>+VLOOKUP(H1218,TT_Tabelle_Riferimento!$F$3:$G$6,2,FALSE)</f>
        <v>Fognatura bianca e pulizia / manutenzione caditoie stradali</v>
      </c>
      <c r="J1218" s="1013">
        <v>2029</v>
      </c>
      <c r="K1218" s="2335">
        <f>+SUMIFS('PdI-crono_inv'!BL:BL,'PdI-crono_inv'!CF:CF,F1218,'PdI-crono_inv'!CE:CE,H1218,'PdI-crono_inv'!J:J,P1218,'PdI-crono_inv'!P:P,"&lt;&gt;proprietario")</f>
        <v>0</v>
      </c>
      <c r="M1218" s="2335">
        <f>+SUMIFS('PdI-crono_inv'!BM:BM,'PdI-crono_inv'!CF:CF,F1218,'PdI-crono_inv'!CE:CE,H1218,'PdI-crono_inv'!J:J,P1218,'PdI-crono_inv'!P:P,"&lt;&gt;proprietario")+S1218</f>
        <v>0</v>
      </c>
      <c r="P1218" s="1013" t="s">
        <v>25481</v>
      </c>
      <c r="Q1218" s="1932" t="str">
        <f>+VLOOKUP(F1218,TT_Tabelle_Riferimento!$D$127:$E$164,2,FALSE)</f>
        <v>Comune</v>
      </c>
      <c r="R1218" s="1932" t="str">
        <f t="shared" si="107"/>
        <v/>
      </c>
      <c r="S1218" s="2335">
        <f t="shared" si="102"/>
        <v>0</v>
      </c>
    </row>
    <row r="1219" spans="1:19">
      <c r="A1219" s="1932">
        <v>0</v>
      </c>
      <c r="B1219" s="1932">
        <v>0</v>
      </c>
      <c r="C1219" s="1013" t="s">
        <v>245</v>
      </c>
      <c r="D1219" s="1013">
        <v>0</v>
      </c>
      <c r="E1219" s="1013" t="s">
        <v>22698</v>
      </c>
      <c r="F1219" s="1013">
        <v>37</v>
      </c>
      <c r="G1219" s="1932" t="str">
        <f>+VLOOKUP(F1219,TT_Tabelle_Riferimento!$D$127:$G$164,4,FALSE)</f>
        <v>Altre immobilizzazioni materiali e immateriali</v>
      </c>
      <c r="H1219" s="1013">
        <v>2</v>
      </c>
      <c r="I1219" s="1932" t="str">
        <f>+VLOOKUP(H1219,TT_Tabelle_Riferimento!$F$3:$G$6,2,FALSE)</f>
        <v>Fognatura bianca e pulizia / manutenzione caditoie stradali</v>
      </c>
      <c r="J1219" s="1013">
        <v>2029</v>
      </c>
      <c r="K1219" s="2335">
        <f>+SUMIFS('PdI-crono_inv'!BL:BL,'PdI-crono_inv'!CF:CF,F1219,'PdI-crono_inv'!CE:CE,H1219,'PdI-crono_inv'!J:J,P1219,'PdI-crono_inv'!P:P,"&lt;&gt;proprietario")</f>
        <v>0</v>
      </c>
      <c r="M1219" s="2335">
        <f>+SUMIFS('PdI-crono_inv'!BM:BM,'PdI-crono_inv'!CF:CF,F1219,'PdI-crono_inv'!CE:CE,H1219,'PdI-crono_inv'!J:J,P1219,'PdI-crono_inv'!P:P,"&lt;&gt;proprietario")+S1219</f>
        <v>0</v>
      </c>
      <c r="P1219" s="1013" t="s">
        <v>25481</v>
      </c>
      <c r="Q1219" s="1932" t="str">
        <f>+VLOOKUP(F1219,TT_Tabelle_Riferimento!$D$127:$E$164,2,FALSE)</f>
        <v>Comune</v>
      </c>
      <c r="R1219" s="1932" t="str">
        <f t="shared" si="107"/>
        <v/>
      </c>
      <c r="S1219" s="2335">
        <f t="shared" si="102"/>
        <v>0</v>
      </c>
    </row>
    <row r="1220" spans="1:19">
      <c r="A1220" s="1932">
        <v>0</v>
      </c>
      <c r="B1220" s="1932">
        <v>0</v>
      </c>
      <c r="C1220" s="1013" t="s">
        <v>245</v>
      </c>
      <c r="D1220" s="1013">
        <v>0</v>
      </c>
      <c r="E1220" s="1013" t="s">
        <v>22698</v>
      </c>
      <c r="F1220" s="1013">
        <v>38</v>
      </c>
      <c r="G1220" s="1932" t="str">
        <f>+VLOOKUP(F1220,TT_Tabelle_Riferimento!$D$127:$G$164,4,FALSE)</f>
        <v>Grandi dighe (sbarramenti che superano i quindici metri di altezza o che determinano un invaso superiore a 1 milione di metri cubi)</v>
      </c>
      <c r="H1220" s="1013">
        <v>2</v>
      </c>
      <c r="I1220" s="1932" t="str">
        <f>+VLOOKUP(H1220,TT_Tabelle_Riferimento!$F$3:$G$6,2,FALSE)</f>
        <v>Fognatura bianca e pulizia / manutenzione caditoie stradali</v>
      </c>
      <c r="J1220" s="1013">
        <v>2029</v>
      </c>
      <c r="K1220" s="2335">
        <f>+SUMIFS('PdI-crono_inv'!BL:BL,'PdI-crono_inv'!CF:CF,F1220,'PdI-crono_inv'!CE:CE,H1220,'PdI-crono_inv'!J:J,P1220,'PdI-crono_inv'!P:P,"&lt;&gt;proprietario")</f>
        <v>0</v>
      </c>
      <c r="M1220" s="2335">
        <f>+SUMIFS('PdI-crono_inv'!BM:BM,'PdI-crono_inv'!CF:CF,F1220,'PdI-crono_inv'!CE:CE,H1220,'PdI-crono_inv'!J:J,P1220,'PdI-crono_inv'!P:P,"&lt;&gt;proprietario")+S1220</f>
        <v>0</v>
      </c>
      <c r="P1220" s="1013" t="s">
        <v>25481</v>
      </c>
      <c r="Q1220" s="1932" t="str">
        <f>+VLOOKUP(F1220,TT_Tabelle_Riferimento!$D$127:$E$164,2,FALSE)</f>
        <v>Acquedotto</v>
      </c>
      <c r="R1220" s="1932" t="str">
        <f t="shared" si="107"/>
        <v/>
      </c>
      <c r="S1220" s="2335">
        <f t="shared" si="102"/>
        <v>0</v>
      </c>
    </row>
    <row r="1221" spans="1:19">
      <c r="A1221" s="1932">
        <v>0</v>
      </c>
      <c r="B1221" s="1932">
        <v>0</v>
      </c>
      <c r="C1221" s="1013" t="s">
        <v>245</v>
      </c>
      <c r="D1221" s="1013">
        <v>0</v>
      </c>
      <c r="E1221" s="1013" t="s">
        <v>22698</v>
      </c>
      <c r="F1221" s="1013">
        <v>39</v>
      </c>
      <c r="G1221" s="1932" t="str">
        <f>+VLOOKUP(F1221,TT_Tabelle_Riferimento!$D$127:$G$164,4,FALSE)</f>
        <v>Piccole dighe (sbarramenti che non superano i quindici metri di altezza o che determinano un invaso non superiore a 1 milione di metri cubi)</v>
      </c>
      <c r="H1221" s="1013">
        <v>2</v>
      </c>
      <c r="I1221" s="1932" t="str">
        <f>+VLOOKUP(H1221,TT_Tabelle_Riferimento!$F$3:$G$6,2,FALSE)</f>
        <v>Fognatura bianca e pulizia / manutenzione caditoie stradali</v>
      </c>
      <c r="J1221" s="1013">
        <v>2029</v>
      </c>
      <c r="K1221" s="2335">
        <f>+SUMIFS('PdI-crono_inv'!BL:BL,'PdI-crono_inv'!CF:CF,F1221,'PdI-crono_inv'!CE:CE,H1221,'PdI-crono_inv'!J:J,P1221,'PdI-crono_inv'!P:P,"&lt;&gt;proprietario")</f>
        <v>0</v>
      </c>
      <c r="M1221" s="2335">
        <f>+SUMIFS('PdI-crono_inv'!BM:BM,'PdI-crono_inv'!CF:CF,F1221,'PdI-crono_inv'!CE:CE,H1221,'PdI-crono_inv'!J:J,P1221,'PdI-crono_inv'!P:P,"&lt;&gt;proprietario")+S1221</f>
        <v>0</v>
      </c>
      <c r="P1221" s="1013" t="s">
        <v>25481</v>
      </c>
      <c r="Q1221" s="1932" t="str">
        <f>+VLOOKUP(F1221,TT_Tabelle_Riferimento!$D$127:$E$164,2,FALSE)</f>
        <v>Acquedotto</v>
      </c>
      <c r="R1221" s="1932" t="str">
        <f t="shared" si="107"/>
        <v/>
      </c>
      <c r="S1221" s="2335">
        <f t="shared" si="102"/>
        <v>0</v>
      </c>
    </row>
    <row r="1222" spans="1:19">
      <c r="A1222" s="1932">
        <f t="shared" ref="A1222:A1285" si="108">+idato</f>
        <v>0</v>
      </c>
      <c r="B1222" s="1932">
        <f t="shared" ref="B1222:B1285" si="109">+idgestore</f>
        <v>0</v>
      </c>
      <c r="C1222" s="1013" t="s">
        <v>245</v>
      </c>
      <c r="D1222" s="1013">
        <v>0</v>
      </c>
      <c r="E1222" s="1013" t="s">
        <v>22698</v>
      </c>
      <c r="F1222" s="1013">
        <v>2</v>
      </c>
      <c r="G1222" s="1932" t="str">
        <f>+VLOOKUP(F1222,TT_Tabelle_Riferimento!$D$127:$G$164,4,FALSE)</f>
        <v>Condotte di acquedotto</v>
      </c>
      <c r="H1222" s="1013">
        <v>3</v>
      </c>
      <c r="I1222" s="1932" t="str">
        <f>+VLOOKUP(H1222,TT_Tabelle_Riferimento!$F$3:$G$6,2,FALSE)</f>
        <v>Altri servizi idrici</v>
      </c>
      <c r="J1222" s="1013">
        <v>2029</v>
      </c>
      <c r="K1222" s="2335">
        <f>+SUMIFS('PdI-crono_inv'!BL:BL,'PdI-crono_inv'!CF:CF,F1222,'PdI-crono_inv'!CE:CE,H1222,'PdI-crono_inv'!J:J,P1222,'PdI-crono_inv'!P:P,"&lt;&gt;proprietario")</f>
        <v>0</v>
      </c>
      <c r="M1222" s="2335">
        <f>+SUMIFS('PdI-crono_inv'!BM:BM,'PdI-crono_inv'!CF:CF,F1222,'PdI-crono_inv'!CE:CE,H1222,'PdI-crono_inv'!J:J,P1222,'PdI-crono_inv'!P:P,"&lt;&gt;proprietario")+S1222</f>
        <v>0</v>
      </c>
      <c r="P1222" s="1013" t="s">
        <v>25481</v>
      </c>
      <c r="Q1222" s="1932" t="str">
        <f>+VLOOKUP(F1222,TT_Tabelle_Riferimento!$D$127:$E$164,2,FALSE)</f>
        <v>Acquedotto</v>
      </c>
      <c r="R1222" s="1932" t="str">
        <f t="shared" si="107"/>
        <v/>
      </c>
      <c r="S1222" s="2335">
        <f t="shared" si="102"/>
        <v>0</v>
      </c>
    </row>
    <row r="1223" spans="1:19">
      <c r="A1223" s="1932">
        <f t="shared" si="108"/>
        <v>0</v>
      </c>
      <c r="B1223" s="1932">
        <f t="shared" si="109"/>
        <v>0</v>
      </c>
      <c r="C1223" s="1013" t="s">
        <v>245</v>
      </c>
      <c r="D1223" s="1013">
        <v>0</v>
      </c>
      <c r="E1223" s="1013" t="s">
        <v>22698</v>
      </c>
      <c r="F1223" s="1013">
        <v>3</v>
      </c>
      <c r="G1223" s="1932" t="str">
        <f>+VLOOKUP(F1223,TT_Tabelle_Riferimento!$D$127:$G$164,4,FALSE)</f>
        <v>Opere idrauliche fisse di acquedotto</v>
      </c>
      <c r="H1223" s="1013">
        <v>3</v>
      </c>
      <c r="I1223" s="1932" t="str">
        <f>+VLOOKUP(H1223,TT_Tabelle_Riferimento!$F$3:$G$6,2,FALSE)</f>
        <v>Altri servizi idrici</v>
      </c>
      <c r="J1223" s="1013">
        <v>2029</v>
      </c>
      <c r="K1223" s="2335">
        <f>+SUMIFS('PdI-crono_inv'!BL:BL,'PdI-crono_inv'!CF:CF,F1223,'PdI-crono_inv'!CE:CE,H1223,'PdI-crono_inv'!J:J,P1223,'PdI-crono_inv'!P:P,"&lt;&gt;proprietario")</f>
        <v>0</v>
      </c>
      <c r="M1223" s="2335">
        <f>+SUMIFS('PdI-crono_inv'!BM:BM,'PdI-crono_inv'!CF:CF,F1223,'PdI-crono_inv'!CE:CE,H1223,'PdI-crono_inv'!J:J,P1223,'PdI-crono_inv'!P:P,"&lt;&gt;proprietario")+S1223</f>
        <v>0</v>
      </c>
      <c r="P1223" s="1013" t="s">
        <v>25481</v>
      </c>
      <c r="Q1223" s="1932" t="str">
        <f>+VLOOKUP(F1223,TT_Tabelle_Riferimento!$D$127:$E$164,2,FALSE)</f>
        <v>Acquedotto</v>
      </c>
      <c r="R1223" s="1932" t="str">
        <f t="shared" si="107"/>
        <v/>
      </c>
      <c r="S1223" s="2335">
        <f t="shared" ref="S1223:S1286" si="110">+IFERROR(HLOOKUP(J1223,$X$2:$Y$5,4,FALSE)*K1223,0)</f>
        <v>0</v>
      </c>
    </row>
    <row r="1224" spans="1:19">
      <c r="A1224" s="1932">
        <f t="shared" si="108"/>
        <v>0</v>
      </c>
      <c r="B1224" s="1932">
        <f t="shared" si="109"/>
        <v>0</v>
      </c>
      <c r="C1224" s="1013" t="s">
        <v>245</v>
      </c>
      <c r="D1224" s="1013">
        <v>0</v>
      </c>
      <c r="E1224" s="1013" t="s">
        <v>22698</v>
      </c>
      <c r="F1224" s="1013">
        <v>4</v>
      </c>
      <c r="G1224" s="1932" t="str">
        <f>+VLOOKUP(F1224,TT_Tabelle_Riferimento!$D$127:$G$164,4,FALSE)</f>
        <v>Serbatoi</v>
      </c>
      <c r="H1224" s="1013">
        <v>3</v>
      </c>
      <c r="I1224" s="1932" t="str">
        <f>+VLOOKUP(H1224,TT_Tabelle_Riferimento!$F$3:$G$6,2,FALSE)</f>
        <v>Altri servizi idrici</v>
      </c>
      <c r="J1224" s="1013">
        <v>2029</v>
      </c>
      <c r="K1224" s="2335">
        <f>+SUMIFS('PdI-crono_inv'!BL:BL,'PdI-crono_inv'!CF:CF,F1224,'PdI-crono_inv'!CE:CE,H1224,'PdI-crono_inv'!J:J,P1224,'PdI-crono_inv'!P:P,"&lt;&gt;proprietario")</f>
        <v>0</v>
      </c>
      <c r="M1224" s="2335">
        <f>+SUMIFS('PdI-crono_inv'!BM:BM,'PdI-crono_inv'!CF:CF,F1224,'PdI-crono_inv'!CE:CE,H1224,'PdI-crono_inv'!J:J,P1224,'PdI-crono_inv'!P:P,"&lt;&gt;proprietario")+S1224</f>
        <v>0</v>
      </c>
      <c r="P1224" s="1013" t="s">
        <v>25481</v>
      </c>
      <c r="Q1224" s="1932" t="str">
        <f>+VLOOKUP(F1224,TT_Tabelle_Riferimento!$D$127:$E$164,2,FALSE)</f>
        <v>Acquedotto</v>
      </c>
      <c r="R1224" s="1932" t="str">
        <f t="shared" si="107"/>
        <v/>
      </c>
      <c r="S1224" s="2335">
        <f t="shared" si="110"/>
        <v>0</v>
      </c>
    </row>
    <row r="1225" spans="1:19">
      <c r="A1225" s="1932">
        <f t="shared" si="108"/>
        <v>0</v>
      </c>
      <c r="B1225" s="1932">
        <f t="shared" si="109"/>
        <v>0</v>
      </c>
      <c r="C1225" s="1013" t="s">
        <v>245</v>
      </c>
      <c r="D1225" s="1013">
        <v>0</v>
      </c>
      <c r="E1225" s="1013" t="s">
        <v>22698</v>
      </c>
      <c r="F1225" s="1013">
        <v>5</v>
      </c>
      <c r="G1225" s="1932" t="str">
        <f>+VLOOKUP(F1225,TT_Tabelle_Riferimento!$D$127:$G$164,4,FALSE)</f>
        <v>Impianti di sollevamento e pompaggio di acquedotto</v>
      </c>
      <c r="H1225" s="1013">
        <v>3</v>
      </c>
      <c r="I1225" s="1932" t="str">
        <f>+VLOOKUP(H1225,TT_Tabelle_Riferimento!$F$3:$G$6,2,FALSE)</f>
        <v>Altri servizi idrici</v>
      </c>
      <c r="J1225" s="1013">
        <v>2029</v>
      </c>
      <c r="K1225" s="2335">
        <f>+SUMIFS('PdI-crono_inv'!BL:BL,'PdI-crono_inv'!CF:CF,F1225,'PdI-crono_inv'!CE:CE,H1225,'PdI-crono_inv'!J:J,P1225,'PdI-crono_inv'!P:P,"&lt;&gt;proprietario")</f>
        <v>0</v>
      </c>
      <c r="M1225" s="2335">
        <f>+SUMIFS('PdI-crono_inv'!BM:BM,'PdI-crono_inv'!CF:CF,F1225,'PdI-crono_inv'!CE:CE,H1225,'PdI-crono_inv'!J:J,P1225,'PdI-crono_inv'!P:P,"&lt;&gt;proprietario")+S1225</f>
        <v>0</v>
      </c>
      <c r="P1225" s="1013" t="s">
        <v>25481</v>
      </c>
      <c r="Q1225" s="1932" t="str">
        <f>+VLOOKUP(F1225,TT_Tabelle_Riferimento!$D$127:$E$164,2,FALSE)</f>
        <v>Acquedotto</v>
      </c>
      <c r="R1225" s="1932" t="str">
        <f t="shared" si="107"/>
        <v/>
      </c>
      <c r="S1225" s="2335">
        <f t="shared" si="110"/>
        <v>0</v>
      </c>
    </row>
    <row r="1226" spans="1:19">
      <c r="A1226" s="1932">
        <f t="shared" si="108"/>
        <v>0</v>
      </c>
      <c r="B1226" s="1932">
        <f t="shared" si="109"/>
        <v>0</v>
      </c>
      <c r="C1226" s="1013" t="s">
        <v>245</v>
      </c>
      <c r="D1226" s="1013">
        <v>0</v>
      </c>
      <c r="E1226" s="1013" t="s">
        <v>22698</v>
      </c>
      <c r="F1226" s="1013">
        <v>6</v>
      </c>
      <c r="G1226" s="1932" t="str">
        <f>+VLOOKUP(F1226,TT_Tabelle_Riferimento!$D$127:$G$164,4,FALSE)</f>
        <v>Impianti di potabilizzazione</v>
      </c>
      <c r="H1226" s="1013">
        <v>3</v>
      </c>
      <c r="I1226" s="1932" t="str">
        <f>+VLOOKUP(H1226,TT_Tabelle_Riferimento!$F$3:$G$6,2,FALSE)</f>
        <v>Altri servizi idrici</v>
      </c>
      <c r="J1226" s="1013">
        <v>2029</v>
      </c>
      <c r="K1226" s="2335">
        <f>+SUMIFS('PdI-crono_inv'!BL:BL,'PdI-crono_inv'!CF:CF,F1226,'PdI-crono_inv'!CE:CE,H1226,'PdI-crono_inv'!J:J,P1226,'PdI-crono_inv'!P:P,"&lt;&gt;proprietario")</f>
        <v>0</v>
      </c>
      <c r="M1226" s="2335">
        <f>+SUMIFS('PdI-crono_inv'!BM:BM,'PdI-crono_inv'!CF:CF,F1226,'PdI-crono_inv'!CE:CE,H1226,'PdI-crono_inv'!J:J,P1226,'PdI-crono_inv'!P:P,"&lt;&gt;proprietario")+S1226</f>
        <v>0</v>
      </c>
      <c r="P1226" s="1013" t="s">
        <v>25481</v>
      </c>
      <c r="Q1226" s="1932" t="str">
        <f>+VLOOKUP(F1226,TT_Tabelle_Riferimento!$D$127:$E$164,2,FALSE)</f>
        <v>Acquedotto</v>
      </c>
      <c r="R1226" s="1932" t="str">
        <f t="shared" si="107"/>
        <v/>
      </c>
      <c r="S1226" s="2335">
        <f t="shared" si="110"/>
        <v>0</v>
      </c>
    </row>
    <row r="1227" spans="1:19">
      <c r="A1227" s="1932">
        <f t="shared" si="108"/>
        <v>0</v>
      </c>
      <c r="B1227" s="1932">
        <f t="shared" si="109"/>
        <v>0</v>
      </c>
      <c r="C1227" s="1013" t="s">
        <v>245</v>
      </c>
      <c r="D1227" s="1013">
        <v>0</v>
      </c>
      <c r="E1227" s="1013" t="s">
        <v>22698</v>
      </c>
      <c r="F1227" s="1013">
        <v>7</v>
      </c>
      <c r="G1227" s="1932" t="str">
        <f>+VLOOKUP(F1227,TT_Tabelle_Riferimento!$D$127:$G$164,4,FALSE)</f>
        <v>Altri trattamenti di potabilizzazione (tra cui dispositivi di disinfezione, stacciatura, filtrazione, addolcimento)</v>
      </c>
      <c r="H1227" s="1013">
        <v>3</v>
      </c>
      <c r="I1227" s="1932" t="str">
        <f>+VLOOKUP(H1227,TT_Tabelle_Riferimento!$F$3:$G$6,2,FALSE)</f>
        <v>Altri servizi idrici</v>
      </c>
      <c r="J1227" s="1013">
        <v>2029</v>
      </c>
      <c r="K1227" s="2335">
        <f>+SUMIFS('PdI-crono_inv'!BL:BL,'PdI-crono_inv'!CF:CF,F1227,'PdI-crono_inv'!CE:CE,H1227,'PdI-crono_inv'!J:J,P1227,'PdI-crono_inv'!P:P,"&lt;&gt;proprietario")</f>
        <v>0</v>
      </c>
      <c r="M1227" s="2335">
        <f>+SUMIFS('PdI-crono_inv'!BM:BM,'PdI-crono_inv'!CF:CF,F1227,'PdI-crono_inv'!CE:CE,H1227,'PdI-crono_inv'!J:J,P1227,'PdI-crono_inv'!P:P,"&lt;&gt;proprietario")+S1227</f>
        <v>0</v>
      </c>
      <c r="P1227" s="1013" t="s">
        <v>25481</v>
      </c>
      <c r="Q1227" s="1932" t="str">
        <f>+VLOOKUP(F1227,TT_Tabelle_Riferimento!$D$127:$E$164,2,FALSE)</f>
        <v>Acquedotto</v>
      </c>
      <c r="R1227" s="1932" t="str">
        <f t="shared" si="107"/>
        <v/>
      </c>
      <c r="S1227" s="2335">
        <f t="shared" si="110"/>
        <v>0</v>
      </c>
    </row>
    <row r="1228" spans="1:19">
      <c r="A1228" s="1932">
        <f t="shared" si="108"/>
        <v>0</v>
      </c>
      <c r="B1228" s="1932">
        <f t="shared" si="109"/>
        <v>0</v>
      </c>
      <c r="C1228" s="1013" t="s">
        <v>245</v>
      </c>
      <c r="D1228" s="1013">
        <v>0</v>
      </c>
      <c r="E1228" s="1013" t="s">
        <v>22698</v>
      </c>
      <c r="F1228" s="1013">
        <v>8</v>
      </c>
      <c r="G1228" s="1932" t="str">
        <f>+VLOOKUP(F1228,TT_Tabelle_Riferimento!$D$127:$G$164,4,FALSE)</f>
        <v>Gruppi di misura - altre attrezzature di acquedotto</v>
      </c>
      <c r="H1228" s="1013">
        <v>3</v>
      </c>
      <c r="I1228" s="1932" t="str">
        <f>+VLOOKUP(H1228,TT_Tabelle_Riferimento!$F$3:$G$6,2,FALSE)</f>
        <v>Altri servizi idrici</v>
      </c>
      <c r="J1228" s="1013">
        <v>2029</v>
      </c>
      <c r="K1228" s="2335">
        <f>+SUMIFS('PdI-crono_inv'!BL:BL,'PdI-crono_inv'!CF:CF,F1228,'PdI-crono_inv'!CE:CE,H1228,'PdI-crono_inv'!J:J,P1228,'PdI-crono_inv'!P:P,"&lt;&gt;proprietario")</f>
        <v>0</v>
      </c>
      <c r="M1228" s="2335">
        <f>+SUMIFS('PdI-crono_inv'!BM:BM,'PdI-crono_inv'!CF:CF,F1228,'PdI-crono_inv'!CE:CE,H1228,'PdI-crono_inv'!J:J,P1228,'PdI-crono_inv'!P:P,"&lt;&gt;proprietario")+S1228</f>
        <v>0</v>
      </c>
      <c r="P1228" s="1013" t="s">
        <v>25481</v>
      </c>
      <c r="Q1228" s="1932" t="str">
        <f>+VLOOKUP(F1228,TT_Tabelle_Riferimento!$D$127:$E$164,2,FALSE)</f>
        <v>Acquedotto</v>
      </c>
      <c r="R1228" s="1932" t="str">
        <f t="shared" si="107"/>
        <v/>
      </c>
      <c r="S1228" s="2335">
        <f t="shared" si="110"/>
        <v>0</v>
      </c>
    </row>
    <row r="1229" spans="1:19">
      <c r="A1229" s="1932">
        <f t="shared" si="108"/>
        <v>0</v>
      </c>
      <c r="B1229" s="1932">
        <f t="shared" si="109"/>
        <v>0</v>
      </c>
      <c r="C1229" s="1013" t="s">
        <v>245</v>
      </c>
      <c r="D1229" s="1013">
        <v>0</v>
      </c>
      <c r="E1229" s="1013" t="s">
        <v>22698</v>
      </c>
      <c r="F1229" s="1013">
        <v>9</v>
      </c>
      <c r="G1229" s="1932" t="str">
        <f>+VLOOKUP(F1229,TT_Tabelle_Riferimento!$D$127:$G$164,4,FALSE)</f>
        <v>Sistemi informativi di acquedotto</v>
      </c>
      <c r="H1229" s="1013">
        <v>3</v>
      </c>
      <c r="I1229" s="1932" t="str">
        <f>+VLOOKUP(H1229,TT_Tabelle_Riferimento!$F$3:$G$6,2,FALSE)</f>
        <v>Altri servizi idrici</v>
      </c>
      <c r="J1229" s="1013">
        <v>2029</v>
      </c>
      <c r="K1229" s="2335">
        <f>+SUMIFS('PdI-crono_inv'!BL:BL,'PdI-crono_inv'!CF:CF,F1229,'PdI-crono_inv'!CE:CE,H1229,'PdI-crono_inv'!J:J,P1229,'PdI-crono_inv'!P:P,"&lt;&gt;proprietario")</f>
        <v>0</v>
      </c>
      <c r="M1229" s="2335">
        <f>+SUMIFS('PdI-crono_inv'!BM:BM,'PdI-crono_inv'!CF:CF,F1229,'PdI-crono_inv'!CE:CE,H1229,'PdI-crono_inv'!J:J,P1229,'PdI-crono_inv'!P:P,"&lt;&gt;proprietario")+S1229</f>
        <v>0</v>
      </c>
      <c r="P1229" s="1013" t="s">
        <v>25481</v>
      </c>
      <c r="Q1229" s="1932" t="str">
        <f>+VLOOKUP(F1229,TT_Tabelle_Riferimento!$D$127:$E$164,2,FALSE)</f>
        <v>Acquedotto</v>
      </c>
      <c r="R1229" s="1932" t="str">
        <f t="shared" si="107"/>
        <v/>
      </c>
      <c r="S1229" s="2335">
        <f t="shared" si="110"/>
        <v>0</v>
      </c>
    </row>
    <row r="1230" spans="1:19">
      <c r="A1230" s="1932">
        <f t="shared" si="108"/>
        <v>0</v>
      </c>
      <c r="B1230" s="1932">
        <f t="shared" si="109"/>
        <v>0</v>
      </c>
      <c r="C1230" s="1013" t="s">
        <v>245</v>
      </c>
      <c r="D1230" s="1013">
        <v>0</v>
      </c>
      <c r="E1230" s="1013" t="s">
        <v>22698</v>
      </c>
      <c r="F1230" s="1013">
        <v>10</v>
      </c>
      <c r="G1230" s="1932" t="str">
        <f>+VLOOKUP(F1230,TT_Tabelle_Riferimento!$D$127:$G$164,4,FALSE)</f>
        <v>Telecontrollo e teletrasmissione di acquedotto</v>
      </c>
      <c r="H1230" s="1013">
        <v>3</v>
      </c>
      <c r="I1230" s="1932" t="str">
        <f>+VLOOKUP(H1230,TT_Tabelle_Riferimento!$F$3:$G$6,2,FALSE)</f>
        <v>Altri servizi idrici</v>
      </c>
      <c r="J1230" s="1013">
        <v>2029</v>
      </c>
      <c r="K1230" s="2335">
        <f>+SUMIFS('PdI-crono_inv'!BL:BL,'PdI-crono_inv'!CF:CF,F1230,'PdI-crono_inv'!CE:CE,H1230,'PdI-crono_inv'!J:J,P1230,'PdI-crono_inv'!P:P,"&lt;&gt;proprietario")</f>
        <v>0</v>
      </c>
      <c r="M1230" s="2335">
        <f>+SUMIFS('PdI-crono_inv'!BM:BM,'PdI-crono_inv'!CF:CF,F1230,'PdI-crono_inv'!CE:CE,H1230,'PdI-crono_inv'!J:J,P1230,'PdI-crono_inv'!P:P,"&lt;&gt;proprietario")+S1230</f>
        <v>0</v>
      </c>
      <c r="P1230" s="1013" t="s">
        <v>25481</v>
      </c>
      <c r="Q1230" s="1932" t="str">
        <f>+VLOOKUP(F1230,TT_Tabelle_Riferimento!$D$127:$E$164,2,FALSE)</f>
        <v>Acquedotto</v>
      </c>
      <c r="R1230" s="1932" t="str">
        <f t="shared" si="107"/>
        <v/>
      </c>
      <c r="S1230" s="2335">
        <f t="shared" si="110"/>
        <v>0</v>
      </c>
    </row>
    <row r="1231" spans="1:19">
      <c r="A1231" s="1932">
        <f t="shared" si="108"/>
        <v>0</v>
      </c>
      <c r="B1231" s="1932">
        <f t="shared" si="109"/>
        <v>0</v>
      </c>
      <c r="C1231" s="1013" t="s">
        <v>245</v>
      </c>
      <c r="D1231" s="1013">
        <v>0</v>
      </c>
      <c r="E1231" s="1013" t="s">
        <v>22698</v>
      </c>
      <c r="F1231" s="1013">
        <v>11</v>
      </c>
      <c r="G1231" s="1932" t="str">
        <f>+VLOOKUP(F1231,TT_Tabelle_Riferimento!$D$127:$G$164,4,FALSE)</f>
        <v>Condotte fognarie</v>
      </c>
      <c r="H1231" s="1013">
        <v>3</v>
      </c>
      <c r="I1231" s="1932" t="str">
        <f>+VLOOKUP(H1231,TT_Tabelle_Riferimento!$F$3:$G$6,2,FALSE)</f>
        <v>Altri servizi idrici</v>
      </c>
      <c r="J1231" s="1013">
        <v>2029</v>
      </c>
      <c r="K1231" s="2335">
        <f>+SUMIFS('PdI-crono_inv'!BL:BL,'PdI-crono_inv'!CF:CF,F1231,'PdI-crono_inv'!CE:CE,H1231,'PdI-crono_inv'!J:J,P1231,'PdI-crono_inv'!P:P,"&lt;&gt;proprietario")</f>
        <v>0</v>
      </c>
      <c r="M1231" s="2335">
        <f>+SUMIFS('PdI-crono_inv'!BM:BM,'PdI-crono_inv'!CF:CF,F1231,'PdI-crono_inv'!CE:CE,H1231,'PdI-crono_inv'!J:J,P1231,'PdI-crono_inv'!P:P,"&lt;&gt;proprietario")+S1231</f>
        <v>0</v>
      </c>
      <c r="P1231" s="1013" t="s">
        <v>25481</v>
      </c>
      <c r="Q1231" s="1932" t="str">
        <f>+VLOOKUP(F1231,TT_Tabelle_Riferimento!$D$127:$E$164,2,FALSE)</f>
        <v>Fognatura</v>
      </c>
      <c r="R1231" s="1932" t="str">
        <f t="shared" si="107"/>
        <v/>
      </c>
      <c r="S1231" s="2335">
        <f t="shared" si="110"/>
        <v>0</v>
      </c>
    </row>
    <row r="1232" spans="1:19">
      <c r="A1232" s="1932">
        <f t="shared" si="108"/>
        <v>0</v>
      </c>
      <c r="B1232" s="1932">
        <f t="shared" si="109"/>
        <v>0</v>
      </c>
      <c r="C1232" s="1013" t="s">
        <v>245</v>
      </c>
      <c r="D1232" s="1013">
        <v>0</v>
      </c>
      <c r="E1232" s="1013" t="s">
        <v>22698</v>
      </c>
      <c r="F1232" s="1013">
        <v>12</v>
      </c>
      <c r="G1232" s="1932" t="str">
        <f>+VLOOKUP(F1232,TT_Tabelle_Riferimento!$D$127:$G$164,4,FALSE)</f>
        <v>Sifoni e scaricatori di piena e altre opere idrauliche fisse di fognatura</v>
      </c>
      <c r="H1232" s="1013">
        <v>3</v>
      </c>
      <c r="I1232" s="1932" t="str">
        <f>+VLOOKUP(H1232,TT_Tabelle_Riferimento!$F$3:$G$6,2,FALSE)</f>
        <v>Altri servizi idrici</v>
      </c>
      <c r="J1232" s="1013">
        <v>2029</v>
      </c>
      <c r="K1232" s="2335">
        <f>+SUMIFS('PdI-crono_inv'!BL:BL,'PdI-crono_inv'!CF:CF,F1232,'PdI-crono_inv'!CE:CE,H1232,'PdI-crono_inv'!J:J,P1232,'PdI-crono_inv'!P:P,"&lt;&gt;proprietario")</f>
        <v>0</v>
      </c>
      <c r="M1232" s="2335">
        <f>+SUMIFS('PdI-crono_inv'!BM:BM,'PdI-crono_inv'!CF:CF,F1232,'PdI-crono_inv'!CE:CE,H1232,'PdI-crono_inv'!J:J,P1232,'PdI-crono_inv'!P:P,"&lt;&gt;proprietario")+S1232</f>
        <v>0</v>
      </c>
      <c r="P1232" s="1013" t="s">
        <v>25481</v>
      </c>
      <c r="Q1232" s="1932" t="str">
        <f>+VLOOKUP(F1232,TT_Tabelle_Riferimento!$D$127:$E$164,2,FALSE)</f>
        <v>Fognatura</v>
      </c>
      <c r="R1232" s="1932" t="str">
        <f t="shared" si="107"/>
        <v/>
      </c>
      <c r="S1232" s="2335">
        <f t="shared" si="110"/>
        <v>0</v>
      </c>
    </row>
    <row r="1233" spans="1:19">
      <c r="A1233" s="1932">
        <f t="shared" si="108"/>
        <v>0</v>
      </c>
      <c r="B1233" s="1932">
        <f t="shared" si="109"/>
        <v>0</v>
      </c>
      <c r="C1233" s="1013" t="s">
        <v>245</v>
      </c>
      <c r="D1233" s="1013">
        <v>0</v>
      </c>
      <c r="E1233" s="1013" t="s">
        <v>22698</v>
      </c>
      <c r="F1233" s="1013">
        <v>13</v>
      </c>
      <c r="G1233" s="1932" t="str">
        <f>+VLOOKUP(F1233,TT_Tabelle_Riferimento!$D$127:$G$164,4,FALSE)</f>
        <v>Vasche di laminazione e vasche di prima pioggia</v>
      </c>
      <c r="H1233" s="1013">
        <v>3</v>
      </c>
      <c r="I1233" s="1932" t="str">
        <f>+VLOOKUP(H1233,TT_Tabelle_Riferimento!$F$3:$G$6,2,FALSE)</f>
        <v>Altri servizi idrici</v>
      </c>
      <c r="J1233" s="1013">
        <v>2029</v>
      </c>
      <c r="K1233" s="2335">
        <f>+SUMIFS('PdI-crono_inv'!BL:BL,'PdI-crono_inv'!CF:CF,F1233,'PdI-crono_inv'!CE:CE,H1233,'PdI-crono_inv'!J:J,P1233,'PdI-crono_inv'!P:P,"&lt;&gt;proprietario")</f>
        <v>0</v>
      </c>
      <c r="M1233" s="2335">
        <f>+SUMIFS('PdI-crono_inv'!BM:BM,'PdI-crono_inv'!CF:CF,F1233,'PdI-crono_inv'!CE:CE,H1233,'PdI-crono_inv'!J:J,P1233,'PdI-crono_inv'!P:P,"&lt;&gt;proprietario")+S1233</f>
        <v>0</v>
      </c>
      <c r="P1233" s="1013" t="s">
        <v>25481</v>
      </c>
      <c r="Q1233" s="1932" t="str">
        <f>+VLOOKUP(F1233,TT_Tabelle_Riferimento!$D$127:$E$164,2,FALSE)</f>
        <v>Fognatura</v>
      </c>
      <c r="R1233" s="1932" t="str">
        <f t="shared" si="107"/>
        <v/>
      </c>
      <c r="S1233" s="2335">
        <f t="shared" si="110"/>
        <v>0</v>
      </c>
    </row>
    <row r="1234" spans="1:19">
      <c r="A1234" s="1932">
        <f t="shared" si="108"/>
        <v>0</v>
      </c>
      <c r="B1234" s="1932">
        <f t="shared" si="109"/>
        <v>0</v>
      </c>
      <c r="C1234" s="1013" t="s">
        <v>245</v>
      </c>
      <c r="D1234" s="1013">
        <v>0</v>
      </c>
      <c r="E1234" s="1013" t="s">
        <v>22698</v>
      </c>
      <c r="F1234" s="1013">
        <v>14</v>
      </c>
      <c r="G1234" s="1932" t="str">
        <f>+VLOOKUP(F1234,TT_Tabelle_Riferimento!$D$127:$G$164,4,FALSE)</f>
        <v>Impianti di sollevamento e pompaggio di fognatura</v>
      </c>
      <c r="H1234" s="1013">
        <v>3</v>
      </c>
      <c r="I1234" s="1932" t="str">
        <f>+VLOOKUP(H1234,TT_Tabelle_Riferimento!$F$3:$G$6,2,FALSE)</f>
        <v>Altri servizi idrici</v>
      </c>
      <c r="J1234" s="1013">
        <v>2029</v>
      </c>
      <c r="K1234" s="2335">
        <f>+SUMIFS('PdI-crono_inv'!BL:BL,'PdI-crono_inv'!CF:CF,F1234,'PdI-crono_inv'!CE:CE,H1234,'PdI-crono_inv'!J:J,P1234,'PdI-crono_inv'!P:P,"&lt;&gt;proprietario")</f>
        <v>0</v>
      </c>
      <c r="M1234" s="2335">
        <f>+SUMIFS('PdI-crono_inv'!BM:BM,'PdI-crono_inv'!CF:CF,F1234,'PdI-crono_inv'!CE:CE,H1234,'PdI-crono_inv'!J:J,P1234,'PdI-crono_inv'!P:P,"&lt;&gt;proprietario")+S1234</f>
        <v>0</v>
      </c>
      <c r="P1234" s="1013" t="s">
        <v>25481</v>
      </c>
      <c r="Q1234" s="1932" t="str">
        <f>+VLOOKUP(F1234,TT_Tabelle_Riferimento!$D$127:$E$164,2,FALSE)</f>
        <v>Fognatura</v>
      </c>
      <c r="R1234" s="1932" t="str">
        <f t="shared" si="107"/>
        <v/>
      </c>
      <c r="S1234" s="2335">
        <f t="shared" si="110"/>
        <v>0</v>
      </c>
    </row>
    <row r="1235" spans="1:19">
      <c r="A1235" s="1932">
        <f t="shared" si="108"/>
        <v>0</v>
      </c>
      <c r="B1235" s="1932">
        <f t="shared" si="109"/>
        <v>0</v>
      </c>
      <c r="C1235" s="1013" t="s">
        <v>245</v>
      </c>
      <c r="D1235" s="1013">
        <v>0</v>
      </c>
      <c r="E1235" s="1013" t="s">
        <v>22698</v>
      </c>
      <c r="F1235" s="1013">
        <v>15</v>
      </c>
      <c r="G1235" s="1932" t="str">
        <f>+VLOOKUP(F1235,TT_Tabelle_Riferimento!$D$127:$G$164,4,FALSE)</f>
        <v>Gruppi di misura - altre attrezzature di fognatura</v>
      </c>
      <c r="H1235" s="1013">
        <v>3</v>
      </c>
      <c r="I1235" s="1932" t="str">
        <f>+VLOOKUP(H1235,TT_Tabelle_Riferimento!$F$3:$G$6,2,FALSE)</f>
        <v>Altri servizi idrici</v>
      </c>
      <c r="J1235" s="1013">
        <v>2029</v>
      </c>
      <c r="K1235" s="2335">
        <f>+SUMIFS('PdI-crono_inv'!BL:BL,'PdI-crono_inv'!CF:CF,F1235,'PdI-crono_inv'!CE:CE,H1235,'PdI-crono_inv'!J:J,P1235,'PdI-crono_inv'!P:P,"&lt;&gt;proprietario")</f>
        <v>0</v>
      </c>
      <c r="M1235" s="2335">
        <f>+SUMIFS('PdI-crono_inv'!BM:BM,'PdI-crono_inv'!CF:CF,F1235,'PdI-crono_inv'!CE:CE,H1235,'PdI-crono_inv'!J:J,P1235,'PdI-crono_inv'!P:P,"&lt;&gt;proprietario")+S1235</f>
        <v>0</v>
      </c>
      <c r="P1235" s="1013" t="s">
        <v>25481</v>
      </c>
      <c r="Q1235" s="1932" t="str">
        <f>+VLOOKUP(F1235,TT_Tabelle_Riferimento!$D$127:$E$164,2,FALSE)</f>
        <v>Fognatura</v>
      </c>
      <c r="R1235" s="1932" t="str">
        <f t="shared" si="107"/>
        <v/>
      </c>
      <c r="S1235" s="2335">
        <f t="shared" si="110"/>
        <v>0</v>
      </c>
    </row>
    <row r="1236" spans="1:19">
      <c r="A1236" s="1932">
        <f t="shared" si="108"/>
        <v>0</v>
      </c>
      <c r="B1236" s="1932">
        <f t="shared" si="109"/>
        <v>0</v>
      </c>
      <c r="C1236" s="1013" t="s">
        <v>245</v>
      </c>
      <c r="D1236" s="1013">
        <v>0</v>
      </c>
      <c r="E1236" s="1013" t="s">
        <v>22698</v>
      </c>
      <c r="F1236" s="1013">
        <v>16</v>
      </c>
      <c r="G1236" s="1932" t="str">
        <f>+VLOOKUP(F1236,TT_Tabelle_Riferimento!$D$127:$G$164,4,FALSE)</f>
        <v>Sistemi informativi di fognatura</v>
      </c>
      <c r="H1236" s="1013">
        <v>3</v>
      </c>
      <c r="I1236" s="1932" t="str">
        <f>+VLOOKUP(H1236,TT_Tabelle_Riferimento!$F$3:$G$6,2,FALSE)</f>
        <v>Altri servizi idrici</v>
      </c>
      <c r="J1236" s="1013">
        <v>2029</v>
      </c>
      <c r="K1236" s="2335">
        <f>+SUMIFS('PdI-crono_inv'!BL:BL,'PdI-crono_inv'!CF:CF,F1236,'PdI-crono_inv'!CE:CE,H1236,'PdI-crono_inv'!J:J,P1236,'PdI-crono_inv'!P:P,"&lt;&gt;proprietario")</f>
        <v>0</v>
      </c>
      <c r="M1236" s="2335">
        <f>+SUMIFS('PdI-crono_inv'!BM:BM,'PdI-crono_inv'!CF:CF,F1236,'PdI-crono_inv'!CE:CE,H1236,'PdI-crono_inv'!J:J,P1236,'PdI-crono_inv'!P:P,"&lt;&gt;proprietario")+S1236</f>
        <v>0</v>
      </c>
      <c r="P1236" s="1013" t="s">
        <v>25481</v>
      </c>
      <c r="Q1236" s="1932" t="str">
        <f>+VLOOKUP(F1236,TT_Tabelle_Riferimento!$D$127:$E$164,2,FALSE)</f>
        <v>Fognatura</v>
      </c>
      <c r="R1236" s="1932" t="str">
        <f t="shared" si="107"/>
        <v/>
      </c>
      <c r="S1236" s="2335">
        <f t="shared" si="110"/>
        <v>0</v>
      </c>
    </row>
    <row r="1237" spans="1:19">
      <c r="A1237" s="1932">
        <f t="shared" si="108"/>
        <v>0</v>
      </c>
      <c r="B1237" s="1932">
        <f t="shared" si="109"/>
        <v>0</v>
      </c>
      <c r="C1237" s="1013" t="s">
        <v>245</v>
      </c>
      <c r="D1237" s="1013">
        <v>0</v>
      </c>
      <c r="E1237" s="1013" t="s">
        <v>22698</v>
      </c>
      <c r="F1237" s="1013">
        <v>18</v>
      </c>
      <c r="G1237" s="1932" t="str">
        <f>+VLOOKUP(F1237,TT_Tabelle_Riferimento!$D$127:$G$164,4,FALSE)</f>
        <v>Telecontrollo e teletrasmissione di fognatura</v>
      </c>
      <c r="H1237" s="1013">
        <v>3</v>
      </c>
      <c r="I1237" s="1932" t="str">
        <f>+VLOOKUP(H1237,TT_Tabelle_Riferimento!$F$3:$G$6,2,FALSE)</f>
        <v>Altri servizi idrici</v>
      </c>
      <c r="J1237" s="1013">
        <v>2029</v>
      </c>
      <c r="K1237" s="2335">
        <f>+SUMIFS('PdI-crono_inv'!BL:BL,'PdI-crono_inv'!CF:CF,F1237,'PdI-crono_inv'!CE:CE,H1237,'PdI-crono_inv'!J:J,P1237,'PdI-crono_inv'!P:P,"&lt;&gt;proprietario")</f>
        <v>0</v>
      </c>
      <c r="M1237" s="2335">
        <f>+SUMIFS('PdI-crono_inv'!BM:BM,'PdI-crono_inv'!CF:CF,F1237,'PdI-crono_inv'!CE:CE,H1237,'PdI-crono_inv'!J:J,P1237,'PdI-crono_inv'!P:P,"&lt;&gt;proprietario")+S1237</f>
        <v>0</v>
      </c>
      <c r="P1237" s="1013" t="s">
        <v>25481</v>
      </c>
      <c r="Q1237" s="1932" t="str">
        <f>+VLOOKUP(F1237,TT_Tabelle_Riferimento!$D$127:$E$164,2,FALSE)</f>
        <v>Fognatura</v>
      </c>
      <c r="R1237" s="1932" t="str">
        <f t="shared" si="107"/>
        <v/>
      </c>
      <c r="S1237" s="2335">
        <f t="shared" si="110"/>
        <v>0</v>
      </c>
    </row>
    <row r="1238" spans="1:19">
      <c r="A1238" s="1932">
        <f t="shared" si="108"/>
        <v>0</v>
      </c>
      <c r="B1238" s="1932">
        <f t="shared" si="109"/>
        <v>0</v>
      </c>
      <c r="C1238" s="1013" t="s">
        <v>245</v>
      </c>
      <c r="D1238" s="1013">
        <v>0</v>
      </c>
      <c r="E1238" s="1013" t="s">
        <v>22698</v>
      </c>
      <c r="F1238" s="1013">
        <v>19</v>
      </c>
      <c r="G1238" s="1932" t="str">
        <f>+VLOOKUP(F1238,TT_Tabelle_Riferimento!$D$127:$G$164,4,FALSE)</f>
        <v>Impianti di sollevamento e pompaggio di depurazione</v>
      </c>
      <c r="H1238" s="1013">
        <v>3</v>
      </c>
      <c r="I1238" s="1932" t="str">
        <f>+VLOOKUP(H1238,TT_Tabelle_Riferimento!$F$3:$G$6,2,FALSE)</f>
        <v>Altri servizi idrici</v>
      </c>
      <c r="J1238" s="1013">
        <v>2029</v>
      </c>
      <c r="K1238" s="2335">
        <f>+SUMIFS('PdI-crono_inv'!BL:BL,'PdI-crono_inv'!CF:CF,F1238,'PdI-crono_inv'!CE:CE,H1238,'PdI-crono_inv'!J:J,P1238,'PdI-crono_inv'!P:P,"&lt;&gt;proprietario")</f>
        <v>0</v>
      </c>
      <c r="M1238" s="2335">
        <f>+SUMIFS('PdI-crono_inv'!BM:BM,'PdI-crono_inv'!CF:CF,F1238,'PdI-crono_inv'!CE:CE,H1238,'PdI-crono_inv'!J:J,P1238,'PdI-crono_inv'!P:P,"&lt;&gt;proprietario")+S1238</f>
        <v>0</v>
      </c>
      <c r="P1238" s="1013" t="s">
        <v>25481</v>
      </c>
      <c r="Q1238" s="1932" t="str">
        <f>+VLOOKUP(F1238,TT_Tabelle_Riferimento!$D$127:$E$164,2,FALSE)</f>
        <v>Depurazione</v>
      </c>
      <c r="R1238" s="1932" t="str">
        <f t="shared" si="107"/>
        <v/>
      </c>
      <c r="S1238" s="2335">
        <f t="shared" si="110"/>
        <v>0</v>
      </c>
    </row>
    <row r="1239" spans="1:19">
      <c r="A1239" s="1932">
        <f t="shared" si="108"/>
        <v>0</v>
      </c>
      <c r="B1239" s="1932">
        <f t="shared" si="109"/>
        <v>0</v>
      </c>
      <c r="C1239" s="1013" t="s">
        <v>245</v>
      </c>
      <c r="D1239" s="1013">
        <v>0</v>
      </c>
      <c r="E1239" s="1013" t="s">
        <v>22698</v>
      </c>
      <c r="F1239" s="1013">
        <v>20</v>
      </c>
      <c r="G1239" s="1932" t="str">
        <f>+VLOOKUP(F1239,TT_Tabelle_Riferimento!$D$127:$G$164,4,FALSE)</f>
        <v>Tecniche naturali di depurazione (tra cui fitodepurazione e lagunaggio)</v>
      </c>
      <c r="H1239" s="1013">
        <v>3</v>
      </c>
      <c r="I1239" s="1932" t="str">
        <f>+VLOOKUP(H1239,TT_Tabelle_Riferimento!$F$3:$G$6,2,FALSE)</f>
        <v>Altri servizi idrici</v>
      </c>
      <c r="J1239" s="1013">
        <v>2029</v>
      </c>
      <c r="K1239" s="2335">
        <f>+SUMIFS('PdI-crono_inv'!BL:BL,'PdI-crono_inv'!CF:CF,F1239,'PdI-crono_inv'!CE:CE,H1239,'PdI-crono_inv'!J:J,P1239,'PdI-crono_inv'!P:P,"&lt;&gt;proprietario")</f>
        <v>0</v>
      </c>
      <c r="M1239" s="2335">
        <f>+SUMIFS('PdI-crono_inv'!BM:BM,'PdI-crono_inv'!CF:CF,F1239,'PdI-crono_inv'!CE:CE,H1239,'PdI-crono_inv'!J:J,P1239,'PdI-crono_inv'!P:P,"&lt;&gt;proprietario")+S1239</f>
        <v>0</v>
      </c>
      <c r="P1239" s="1013" t="s">
        <v>25481</v>
      </c>
      <c r="Q1239" s="1932" t="str">
        <f>+VLOOKUP(F1239,TT_Tabelle_Riferimento!$D$127:$E$164,2,FALSE)</f>
        <v>Depurazione</v>
      </c>
      <c r="R1239" s="1932" t="str">
        <f t="shared" si="107"/>
        <v/>
      </c>
      <c r="S1239" s="2335">
        <f t="shared" si="110"/>
        <v>0</v>
      </c>
    </row>
    <row r="1240" spans="1:19">
      <c r="A1240" s="1932">
        <f t="shared" si="108"/>
        <v>0</v>
      </c>
      <c r="B1240" s="1932">
        <f t="shared" si="109"/>
        <v>0</v>
      </c>
      <c r="C1240" s="1013" t="s">
        <v>245</v>
      </c>
      <c r="D1240" s="1013">
        <v>0</v>
      </c>
      <c r="E1240" s="1013" t="s">
        <v>22698</v>
      </c>
      <c r="F1240" s="1013">
        <v>21</v>
      </c>
      <c r="G1240" s="1932" t="str">
        <f>+VLOOKUP(F1240,TT_Tabelle_Riferimento!$D$127:$G$164,4,FALSE)</f>
        <v>Impianti di depurazione – trattamenti sino al preliminare, integrativo, primario - fosse settiche e fosse Imhoff</v>
      </c>
      <c r="H1240" s="1013">
        <v>3</v>
      </c>
      <c r="I1240" s="1932" t="str">
        <f>+VLOOKUP(H1240,TT_Tabelle_Riferimento!$F$3:$G$6,2,FALSE)</f>
        <v>Altri servizi idrici</v>
      </c>
      <c r="J1240" s="1013">
        <v>2029</v>
      </c>
      <c r="K1240" s="2335">
        <f>+SUMIFS('PdI-crono_inv'!BL:BL,'PdI-crono_inv'!CF:CF,F1240,'PdI-crono_inv'!CE:CE,H1240,'PdI-crono_inv'!J:J,P1240,'PdI-crono_inv'!P:P,"&lt;&gt;proprietario")</f>
        <v>0</v>
      </c>
      <c r="M1240" s="2335">
        <f>+SUMIFS('PdI-crono_inv'!BM:BM,'PdI-crono_inv'!CF:CF,F1240,'PdI-crono_inv'!CE:CE,H1240,'PdI-crono_inv'!J:J,P1240,'PdI-crono_inv'!P:P,"&lt;&gt;proprietario")+S1240</f>
        <v>0</v>
      </c>
      <c r="P1240" s="1013" t="s">
        <v>25481</v>
      </c>
      <c r="Q1240" s="1932" t="str">
        <f>+VLOOKUP(F1240,TT_Tabelle_Riferimento!$D$127:$E$164,2,FALSE)</f>
        <v>Depurazione</v>
      </c>
      <c r="R1240" s="1932" t="str">
        <f t="shared" si="107"/>
        <v/>
      </c>
      <c r="S1240" s="2335">
        <f t="shared" si="110"/>
        <v>0</v>
      </c>
    </row>
    <row r="1241" spans="1:19">
      <c r="A1241" s="1932">
        <f t="shared" si="108"/>
        <v>0</v>
      </c>
      <c r="B1241" s="1932">
        <f t="shared" si="109"/>
        <v>0</v>
      </c>
      <c r="C1241" s="1013" t="s">
        <v>245</v>
      </c>
      <c r="D1241" s="1013">
        <v>0</v>
      </c>
      <c r="E1241" s="1013" t="s">
        <v>22698</v>
      </c>
      <c r="F1241" s="1013">
        <v>22</v>
      </c>
      <c r="G1241" s="1932" t="str">
        <f>+VLOOKUP(F1241,TT_Tabelle_Riferimento!$D$127:$G$164,4,FALSE)</f>
        <v>Impianti di depurazione – trattamenti sino al secondario</v>
      </c>
      <c r="H1241" s="1013">
        <v>3</v>
      </c>
      <c r="I1241" s="1932" t="str">
        <f>+VLOOKUP(H1241,TT_Tabelle_Riferimento!$F$3:$G$6,2,FALSE)</f>
        <v>Altri servizi idrici</v>
      </c>
      <c r="J1241" s="1013">
        <v>2029</v>
      </c>
      <c r="K1241" s="2335">
        <f>+SUMIFS('PdI-crono_inv'!BL:BL,'PdI-crono_inv'!CF:CF,F1241,'PdI-crono_inv'!CE:CE,H1241,'PdI-crono_inv'!J:J,P1241,'PdI-crono_inv'!P:P,"&lt;&gt;proprietario")</f>
        <v>0</v>
      </c>
      <c r="M1241" s="2335">
        <f>+SUMIFS('PdI-crono_inv'!BM:BM,'PdI-crono_inv'!CF:CF,F1241,'PdI-crono_inv'!CE:CE,H1241,'PdI-crono_inv'!J:J,P1241,'PdI-crono_inv'!P:P,"&lt;&gt;proprietario")+S1241</f>
        <v>0</v>
      </c>
      <c r="P1241" s="1013" t="s">
        <v>25481</v>
      </c>
      <c r="Q1241" s="1932" t="str">
        <f>+VLOOKUP(F1241,TT_Tabelle_Riferimento!$D$127:$E$164,2,FALSE)</f>
        <v>Depurazione</v>
      </c>
      <c r="R1241" s="1932" t="str">
        <f t="shared" si="107"/>
        <v/>
      </c>
      <c r="S1241" s="2335">
        <f t="shared" si="110"/>
        <v>0</v>
      </c>
    </row>
    <row r="1242" spans="1:19">
      <c r="A1242" s="1932">
        <f t="shared" si="108"/>
        <v>0</v>
      </c>
      <c r="B1242" s="1932">
        <f t="shared" si="109"/>
        <v>0</v>
      </c>
      <c r="C1242" s="1013" t="s">
        <v>245</v>
      </c>
      <c r="D1242" s="1013">
        <v>0</v>
      </c>
      <c r="E1242" s="1013" t="s">
        <v>22698</v>
      </c>
      <c r="F1242" s="1013">
        <v>23</v>
      </c>
      <c r="G1242" s="1932" t="str">
        <f>+VLOOKUP(F1242,TT_Tabelle_Riferimento!$D$127:$G$164,4,FALSE)</f>
        <v>Impianti di depurazione – trattamenti sino al terziario e terziario avanzato</v>
      </c>
      <c r="H1242" s="1013">
        <v>3</v>
      </c>
      <c r="I1242" s="1932" t="str">
        <f>+VLOOKUP(H1242,TT_Tabelle_Riferimento!$F$3:$G$6,2,FALSE)</f>
        <v>Altri servizi idrici</v>
      </c>
      <c r="J1242" s="1013">
        <v>2029</v>
      </c>
      <c r="K1242" s="2335">
        <f>+SUMIFS('PdI-crono_inv'!BL:BL,'PdI-crono_inv'!CF:CF,F1242,'PdI-crono_inv'!CE:CE,H1242,'PdI-crono_inv'!J:J,P1242,'PdI-crono_inv'!P:P,"&lt;&gt;proprietario")</f>
        <v>0</v>
      </c>
      <c r="M1242" s="2335">
        <f>+SUMIFS('PdI-crono_inv'!BM:BM,'PdI-crono_inv'!CF:CF,F1242,'PdI-crono_inv'!CE:CE,H1242,'PdI-crono_inv'!J:J,P1242,'PdI-crono_inv'!P:P,"&lt;&gt;proprietario")+S1242</f>
        <v>0</v>
      </c>
      <c r="P1242" s="1013" t="s">
        <v>25481</v>
      </c>
      <c r="Q1242" s="1932" t="str">
        <f>+VLOOKUP(F1242,TT_Tabelle_Riferimento!$D$127:$E$164,2,FALSE)</f>
        <v>Depurazione</v>
      </c>
      <c r="R1242" s="1932" t="str">
        <f t="shared" si="107"/>
        <v/>
      </c>
      <c r="S1242" s="2335">
        <f t="shared" si="110"/>
        <v>0</v>
      </c>
    </row>
    <row r="1243" spans="1:19">
      <c r="A1243" s="1932">
        <f t="shared" si="108"/>
        <v>0</v>
      </c>
      <c r="B1243" s="1932">
        <f t="shared" si="109"/>
        <v>0</v>
      </c>
      <c r="C1243" s="1013" t="s">
        <v>245</v>
      </c>
      <c r="D1243" s="1013">
        <v>0</v>
      </c>
      <c r="E1243" s="1013" t="s">
        <v>22698</v>
      </c>
      <c r="F1243" s="1013">
        <v>24</v>
      </c>
      <c r="G1243" s="1932" t="str">
        <f>+VLOOKUP(F1243,TT_Tabelle_Riferimento!$D$127:$G$164,4,FALSE)</f>
        <v>Impianti di essiccamento fanghi e di valorizzazione dei fanghi (tra cui mono-incenerimento, pirolisi, gassificazione)</v>
      </c>
      <c r="H1243" s="1013">
        <v>3</v>
      </c>
      <c r="I1243" s="1932" t="str">
        <f>+VLOOKUP(H1243,TT_Tabelle_Riferimento!$F$3:$G$6,2,FALSE)</f>
        <v>Altri servizi idrici</v>
      </c>
      <c r="J1243" s="1013">
        <v>2029</v>
      </c>
      <c r="K1243" s="2335">
        <f>+SUMIFS('PdI-crono_inv'!BL:BL,'PdI-crono_inv'!CF:CF,F1243,'PdI-crono_inv'!CE:CE,H1243,'PdI-crono_inv'!J:J,P1243,'PdI-crono_inv'!P:P,"&lt;&gt;proprietario")</f>
        <v>0</v>
      </c>
      <c r="M1243" s="2335">
        <f>+SUMIFS('PdI-crono_inv'!BM:BM,'PdI-crono_inv'!CF:CF,F1243,'PdI-crono_inv'!CE:CE,H1243,'PdI-crono_inv'!J:J,P1243,'PdI-crono_inv'!P:P,"&lt;&gt;proprietario")+S1243</f>
        <v>0</v>
      </c>
      <c r="P1243" s="1013" t="s">
        <v>25481</v>
      </c>
      <c r="Q1243" s="1932" t="str">
        <f>+VLOOKUP(F1243,TT_Tabelle_Riferimento!$D$127:$E$164,2,FALSE)</f>
        <v>Depurazione</v>
      </c>
      <c r="R1243" s="1932" t="str">
        <f t="shared" si="107"/>
        <v/>
      </c>
      <c r="S1243" s="2335">
        <f t="shared" si="110"/>
        <v>0</v>
      </c>
    </row>
    <row r="1244" spans="1:19">
      <c r="A1244" s="1932">
        <f t="shared" si="108"/>
        <v>0</v>
      </c>
      <c r="B1244" s="1932">
        <f t="shared" si="109"/>
        <v>0</v>
      </c>
      <c r="C1244" s="1013" t="s">
        <v>245</v>
      </c>
      <c r="D1244" s="1013">
        <v>0</v>
      </c>
      <c r="E1244" s="1013" t="s">
        <v>22698</v>
      </c>
      <c r="F1244" s="1013">
        <v>25</v>
      </c>
      <c r="G1244" s="1932" t="str">
        <f>+VLOOKUP(F1244,TT_Tabelle_Riferimento!$D$127:$G$164,4,FALSE)</f>
        <v>Gruppi di misura - altre attrezzature di depurazione</v>
      </c>
      <c r="H1244" s="1013">
        <v>3</v>
      </c>
      <c r="I1244" s="1932" t="str">
        <f>+VLOOKUP(H1244,TT_Tabelle_Riferimento!$F$3:$G$6,2,FALSE)</f>
        <v>Altri servizi idrici</v>
      </c>
      <c r="J1244" s="1013">
        <v>2029</v>
      </c>
      <c r="K1244" s="2335">
        <f>+SUMIFS('PdI-crono_inv'!BL:BL,'PdI-crono_inv'!CF:CF,F1244,'PdI-crono_inv'!CE:CE,H1244,'PdI-crono_inv'!J:J,P1244,'PdI-crono_inv'!P:P,"&lt;&gt;proprietario")</f>
        <v>0</v>
      </c>
      <c r="M1244" s="2335">
        <f>+SUMIFS('PdI-crono_inv'!BM:BM,'PdI-crono_inv'!CF:CF,F1244,'PdI-crono_inv'!CE:CE,H1244,'PdI-crono_inv'!J:J,P1244,'PdI-crono_inv'!P:P,"&lt;&gt;proprietario")+S1244</f>
        <v>0</v>
      </c>
      <c r="P1244" s="1013" t="s">
        <v>25481</v>
      </c>
      <c r="Q1244" s="1932" t="str">
        <f>+VLOOKUP(F1244,TT_Tabelle_Riferimento!$D$127:$E$164,2,FALSE)</f>
        <v>Depurazione</v>
      </c>
      <c r="R1244" s="1932" t="str">
        <f t="shared" si="107"/>
        <v/>
      </c>
      <c r="S1244" s="2335">
        <f t="shared" si="110"/>
        <v>0</v>
      </c>
    </row>
    <row r="1245" spans="1:19">
      <c r="A1245" s="1932">
        <f t="shared" si="108"/>
        <v>0</v>
      </c>
      <c r="B1245" s="1932">
        <f t="shared" si="109"/>
        <v>0</v>
      </c>
      <c r="C1245" s="1013" t="s">
        <v>245</v>
      </c>
      <c r="D1245" s="1013">
        <v>0</v>
      </c>
      <c r="E1245" s="1013" t="s">
        <v>22698</v>
      </c>
      <c r="F1245" s="1013">
        <v>26</v>
      </c>
      <c r="G1245" s="1932" t="str">
        <f>+VLOOKUP(F1245,TT_Tabelle_Riferimento!$D$127:$G$164,4,FALSE)</f>
        <v>Sistemi informativi di depurazione</v>
      </c>
      <c r="H1245" s="1013">
        <v>3</v>
      </c>
      <c r="I1245" s="1932" t="str">
        <f>+VLOOKUP(H1245,TT_Tabelle_Riferimento!$F$3:$G$6,2,FALSE)</f>
        <v>Altri servizi idrici</v>
      </c>
      <c r="J1245" s="1013">
        <v>2029</v>
      </c>
      <c r="K1245" s="2335">
        <f>+SUMIFS('PdI-crono_inv'!BL:BL,'PdI-crono_inv'!CF:CF,F1245,'PdI-crono_inv'!CE:CE,H1245,'PdI-crono_inv'!J:J,P1245,'PdI-crono_inv'!P:P,"&lt;&gt;proprietario")</f>
        <v>0</v>
      </c>
      <c r="M1245" s="2335">
        <f>+SUMIFS('PdI-crono_inv'!BM:BM,'PdI-crono_inv'!CF:CF,F1245,'PdI-crono_inv'!CE:CE,H1245,'PdI-crono_inv'!J:J,P1245,'PdI-crono_inv'!P:P,"&lt;&gt;proprietario")+S1245</f>
        <v>0</v>
      </c>
      <c r="P1245" s="1013" t="s">
        <v>25481</v>
      </c>
      <c r="Q1245" s="1932" t="str">
        <f>+VLOOKUP(F1245,TT_Tabelle_Riferimento!$D$127:$E$164,2,FALSE)</f>
        <v>Depurazione</v>
      </c>
      <c r="R1245" s="1932" t="str">
        <f t="shared" si="107"/>
        <v/>
      </c>
      <c r="S1245" s="2335">
        <f t="shared" si="110"/>
        <v>0</v>
      </c>
    </row>
    <row r="1246" spans="1:19">
      <c r="A1246" s="1932">
        <f t="shared" si="108"/>
        <v>0</v>
      </c>
      <c r="B1246" s="1932">
        <f t="shared" si="109"/>
        <v>0</v>
      </c>
      <c r="C1246" s="1013" t="s">
        <v>245</v>
      </c>
      <c r="D1246" s="1013">
        <v>0</v>
      </c>
      <c r="E1246" s="1013" t="s">
        <v>22698</v>
      </c>
      <c r="F1246" s="1013">
        <v>27</v>
      </c>
      <c r="G1246" s="1932" t="str">
        <f>+VLOOKUP(F1246,TT_Tabelle_Riferimento!$D$127:$G$164,4,FALSE)</f>
        <v>Telecontrollo e teletrasmissione di depurazione</v>
      </c>
      <c r="H1246" s="1013">
        <v>3</v>
      </c>
      <c r="I1246" s="1932" t="str">
        <f>+VLOOKUP(H1246,TT_Tabelle_Riferimento!$F$3:$G$6,2,FALSE)</f>
        <v>Altri servizi idrici</v>
      </c>
      <c r="J1246" s="1013">
        <v>2029</v>
      </c>
      <c r="K1246" s="2335">
        <f>+SUMIFS('PdI-crono_inv'!BL:BL,'PdI-crono_inv'!CF:CF,F1246,'PdI-crono_inv'!CE:CE,H1246,'PdI-crono_inv'!J:J,P1246,'PdI-crono_inv'!P:P,"&lt;&gt;proprietario")</f>
        <v>0</v>
      </c>
      <c r="M1246" s="2335">
        <f>+SUMIFS('PdI-crono_inv'!BM:BM,'PdI-crono_inv'!CF:CF,F1246,'PdI-crono_inv'!CE:CE,H1246,'PdI-crono_inv'!J:J,P1246,'PdI-crono_inv'!P:P,"&lt;&gt;proprietario")+S1246</f>
        <v>0</v>
      </c>
      <c r="P1246" s="1013" t="s">
        <v>25481</v>
      </c>
      <c r="Q1246" s="1932" t="str">
        <f>+VLOOKUP(F1246,TT_Tabelle_Riferimento!$D$127:$E$164,2,FALSE)</f>
        <v>Depurazione</v>
      </c>
      <c r="R1246" s="1932" t="str">
        <f t="shared" si="107"/>
        <v/>
      </c>
      <c r="S1246" s="2335">
        <f t="shared" si="110"/>
        <v>0</v>
      </c>
    </row>
    <row r="1247" spans="1:19">
      <c r="A1247" s="1932">
        <f t="shared" si="108"/>
        <v>0</v>
      </c>
      <c r="B1247" s="1932">
        <f t="shared" si="109"/>
        <v>0</v>
      </c>
      <c r="C1247" s="1013" t="s">
        <v>245</v>
      </c>
      <c r="D1247" s="1013">
        <v>0</v>
      </c>
      <c r="E1247" s="1013" t="s">
        <v>22698</v>
      </c>
      <c r="F1247" s="1013">
        <v>28</v>
      </c>
      <c r="G1247" s="1932" t="str">
        <f>+VLOOKUP(F1247,TT_Tabelle_Riferimento!$D$127:$G$164,4,FALSE)</f>
        <v>Altri impianti</v>
      </c>
      <c r="H1247" s="1013">
        <v>3</v>
      </c>
      <c r="I1247" s="1932" t="str">
        <f>+VLOOKUP(H1247,TT_Tabelle_Riferimento!$F$3:$G$6,2,FALSE)</f>
        <v>Altri servizi idrici</v>
      </c>
      <c r="J1247" s="1013">
        <v>2029</v>
      </c>
      <c r="K1247" s="2335">
        <f>+SUMIFS('PdI-crono_inv'!BL:BL,'PdI-crono_inv'!CF:CF,F1247,'PdI-crono_inv'!CE:CE,H1247,'PdI-crono_inv'!J:J,P1247,'PdI-crono_inv'!P:P,"&lt;&gt;proprietario")</f>
        <v>0</v>
      </c>
      <c r="M1247" s="2335">
        <f>+SUMIFS('PdI-crono_inv'!BM:BM,'PdI-crono_inv'!CF:CF,F1247,'PdI-crono_inv'!CE:CE,H1247,'PdI-crono_inv'!J:J,P1247,'PdI-crono_inv'!P:P,"&lt;&gt;proprietario")+S1247</f>
        <v>0</v>
      </c>
      <c r="P1247" s="1013" t="s">
        <v>25481</v>
      </c>
      <c r="Q1247" s="1932" t="str">
        <f>+VLOOKUP(F1247,TT_Tabelle_Riferimento!$D$127:$E$164,2,FALSE)</f>
        <v>Comune</v>
      </c>
      <c r="R1247" s="1932" t="str">
        <f t="shared" si="107"/>
        <v/>
      </c>
      <c r="S1247" s="2335">
        <f t="shared" si="110"/>
        <v>0</v>
      </c>
    </row>
    <row r="1248" spans="1:19">
      <c r="A1248" s="1932">
        <f t="shared" si="108"/>
        <v>0</v>
      </c>
      <c r="B1248" s="1932">
        <f t="shared" si="109"/>
        <v>0</v>
      </c>
      <c r="C1248" s="1013" t="s">
        <v>245</v>
      </c>
      <c r="D1248" s="1013">
        <v>0</v>
      </c>
      <c r="E1248" s="1013" t="s">
        <v>22698</v>
      </c>
      <c r="F1248" s="1013">
        <v>29</v>
      </c>
      <c r="G1248" s="1932" t="str">
        <f>+VLOOKUP(F1248,TT_Tabelle_Riferimento!$D$127:$G$164,4,FALSE)</f>
        <v>Laboratori e attrezzature</v>
      </c>
      <c r="H1248" s="1013">
        <v>3</v>
      </c>
      <c r="I1248" s="1932" t="str">
        <f>+VLOOKUP(H1248,TT_Tabelle_Riferimento!$F$3:$G$6,2,FALSE)</f>
        <v>Altri servizi idrici</v>
      </c>
      <c r="J1248" s="1013">
        <v>2029</v>
      </c>
      <c r="K1248" s="2335">
        <f>+SUMIFS('PdI-crono_inv'!BL:BL,'PdI-crono_inv'!CF:CF,F1248,'PdI-crono_inv'!CE:CE,H1248,'PdI-crono_inv'!J:J,P1248,'PdI-crono_inv'!P:P,"&lt;&gt;proprietario")</f>
        <v>0</v>
      </c>
      <c r="M1248" s="2335">
        <f>+SUMIFS('PdI-crono_inv'!BM:BM,'PdI-crono_inv'!CF:CF,F1248,'PdI-crono_inv'!CE:CE,H1248,'PdI-crono_inv'!J:J,P1248,'PdI-crono_inv'!P:P,"&lt;&gt;proprietario")+S1248</f>
        <v>0</v>
      </c>
      <c r="P1248" s="1013" t="s">
        <v>25481</v>
      </c>
      <c r="Q1248" s="1932" t="str">
        <f>+VLOOKUP(F1248,TT_Tabelle_Riferimento!$D$127:$E$164,2,FALSE)</f>
        <v>Comune</v>
      </c>
      <c r="R1248" s="1932" t="str">
        <f t="shared" si="107"/>
        <v/>
      </c>
      <c r="S1248" s="2335">
        <f t="shared" si="110"/>
        <v>0</v>
      </c>
    </row>
    <row r="1249" spans="1:19">
      <c r="A1249" s="1932">
        <f t="shared" si="108"/>
        <v>0</v>
      </c>
      <c r="B1249" s="1932">
        <f t="shared" si="109"/>
        <v>0</v>
      </c>
      <c r="C1249" s="1013" t="s">
        <v>245</v>
      </c>
      <c r="D1249" s="1013">
        <v>0</v>
      </c>
      <c r="E1249" s="1013" t="s">
        <v>22698</v>
      </c>
      <c r="F1249" s="1013">
        <v>30</v>
      </c>
      <c r="G1249" s="1932" t="str">
        <f>+VLOOKUP(F1249,TT_Tabelle_Riferimento!$D$127:$G$164,4,FALSE)</f>
        <v>Sistemi informativi</v>
      </c>
      <c r="H1249" s="1013">
        <v>3</v>
      </c>
      <c r="I1249" s="1932" t="str">
        <f>+VLOOKUP(H1249,TT_Tabelle_Riferimento!$F$3:$G$6,2,FALSE)</f>
        <v>Altri servizi idrici</v>
      </c>
      <c r="J1249" s="1013">
        <v>2029</v>
      </c>
      <c r="K1249" s="2335">
        <f>+SUMIFS('PdI-crono_inv'!BL:BL,'PdI-crono_inv'!CF:CF,F1249,'PdI-crono_inv'!CE:CE,H1249,'PdI-crono_inv'!J:J,P1249,'PdI-crono_inv'!P:P,"&lt;&gt;proprietario")</f>
        <v>0</v>
      </c>
      <c r="M1249" s="2335">
        <f>+SUMIFS('PdI-crono_inv'!BM:BM,'PdI-crono_inv'!CF:CF,F1249,'PdI-crono_inv'!CE:CE,H1249,'PdI-crono_inv'!J:J,P1249,'PdI-crono_inv'!P:P,"&lt;&gt;proprietario")+S1249</f>
        <v>0</v>
      </c>
      <c r="P1249" s="1013" t="s">
        <v>25481</v>
      </c>
      <c r="Q1249" s="1932" t="str">
        <f>+VLOOKUP(F1249,TT_Tabelle_Riferimento!$D$127:$E$164,2,FALSE)</f>
        <v>Comune</v>
      </c>
      <c r="R1249" s="1932" t="str">
        <f t="shared" si="107"/>
        <v/>
      </c>
      <c r="S1249" s="2335">
        <f t="shared" si="110"/>
        <v>0</v>
      </c>
    </row>
    <row r="1250" spans="1:19">
      <c r="A1250" s="1932">
        <f t="shared" si="108"/>
        <v>0</v>
      </c>
      <c r="B1250" s="1932">
        <f t="shared" si="109"/>
        <v>0</v>
      </c>
      <c r="C1250" s="1013" t="s">
        <v>245</v>
      </c>
      <c r="D1250" s="1013">
        <v>0</v>
      </c>
      <c r="E1250" s="1013" t="s">
        <v>22698</v>
      </c>
      <c r="F1250" s="1013">
        <v>31</v>
      </c>
      <c r="G1250" s="1932" t="str">
        <f>+VLOOKUP(F1250,TT_Tabelle_Riferimento!$D$127:$G$164,4,FALSE)</f>
        <v>Telecontrollo e teletrasmissione</v>
      </c>
      <c r="H1250" s="1013">
        <v>3</v>
      </c>
      <c r="I1250" s="1932" t="str">
        <f>+VLOOKUP(H1250,TT_Tabelle_Riferimento!$F$3:$G$6,2,FALSE)</f>
        <v>Altri servizi idrici</v>
      </c>
      <c r="J1250" s="1013">
        <v>2029</v>
      </c>
      <c r="K1250" s="2335">
        <f>+SUMIFS('PdI-crono_inv'!BL:BL,'PdI-crono_inv'!CF:CF,F1250,'PdI-crono_inv'!CE:CE,H1250,'PdI-crono_inv'!J:J,P1250,'PdI-crono_inv'!P:P,"&lt;&gt;proprietario")</f>
        <v>0</v>
      </c>
      <c r="M1250" s="2335">
        <f>+SUMIFS('PdI-crono_inv'!BM:BM,'PdI-crono_inv'!CF:CF,F1250,'PdI-crono_inv'!CE:CE,H1250,'PdI-crono_inv'!J:J,P1250,'PdI-crono_inv'!P:P,"&lt;&gt;proprietario")+S1250</f>
        <v>0</v>
      </c>
      <c r="P1250" s="1013" t="s">
        <v>25481</v>
      </c>
      <c r="Q1250" s="1932" t="str">
        <f>+VLOOKUP(F1250,TT_Tabelle_Riferimento!$D$127:$E$164,2,FALSE)</f>
        <v>Comune</v>
      </c>
      <c r="R1250" s="1932" t="str">
        <f t="shared" si="107"/>
        <v/>
      </c>
      <c r="S1250" s="2335">
        <f t="shared" si="110"/>
        <v>0</v>
      </c>
    </row>
    <row r="1251" spans="1:19">
      <c r="A1251" s="1932">
        <f t="shared" si="108"/>
        <v>0</v>
      </c>
      <c r="B1251" s="1932">
        <f t="shared" si="109"/>
        <v>0</v>
      </c>
      <c r="C1251" s="1013" t="s">
        <v>245</v>
      </c>
      <c r="D1251" s="1013">
        <v>0</v>
      </c>
      <c r="E1251" s="1013" t="s">
        <v>22698</v>
      </c>
      <c r="F1251" s="1013">
        <v>32</v>
      </c>
      <c r="G1251" s="1932" t="str">
        <f>+VLOOKUP(F1251,TT_Tabelle_Riferimento!$D$127:$G$164,4,FALSE)</f>
        <v>Autoveicoli - automezzi</v>
      </c>
      <c r="H1251" s="1013">
        <v>3</v>
      </c>
      <c r="I1251" s="1932" t="str">
        <f>+VLOOKUP(H1251,TT_Tabelle_Riferimento!$F$3:$G$6,2,FALSE)</f>
        <v>Altri servizi idrici</v>
      </c>
      <c r="J1251" s="1013">
        <v>2029</v>
      </c>
      <c r="K1251" s="2335">
        <f>+SUMIFS('PdI-crono_inv'!BL:BL,'PdI-crono_inv'!CF:CF,F1251,'PdI-crono_inv'!CE:CE,H1251,'PdI-crono_inv'!J:J,P1251,'PdI-crono_inv'!P:P,"&lt;&gt;proprietario")</f>
        <v>0</v>
      </c>
      <c r="M1251" s="2335">
        <f>+SUMIFS('PdI-crono_inv'!BM:BM,'PdI-crono_inv'!CF:CF,F1251,'PdI-crono_inv'!CE:CE,H1251,'PdI-crono_inv'!J:J,P1251,'PdI-crono_inv'!P:P,"&lt;&gt;proprietario")+S1251</f>
        <v>0</v>
      </c>
      <c r="P1251" s="1013" t="s">
        <v>25481</v>
      </c>
      <c r="Q1251" s="1932" t="str">
        <f>+VLOOKUP(F1251,TT_Tabelle_Riferimento!$D$127:$E$164,2,FALSE)</f>
        <v>Comune</v>
      </c>
      <c r="R1251" s="1932" t="str">
        <f t="shared" si="107"/>
        <v/>
      </c>
      <c r="S1251" s="2335">
        <f t="shared" si="110"/>
        <v>0</v>
      </c>
    </row>
    <row r="1252" spans="1:19">
      <c r="A1252" s="1932">
        <f t="shared" si="108"/>
        <v>0</v>
      </c>
      <c r="B1252" s="1932">
        <f t="shared" si="109"/>
        <v>0</v>
      </c>
      <c r="C1252" s="1013" t="s">
        <v>245</v>
      </c>
      <c r="D1252" s="1013">
        <v>0</v>
      </c>
      <c r="E1252" s="1013" t="s">
        <v>22698</v>
      </c>
      <c r="F1252" s="1013">
        <v>1</v>
      </c>
      <c r="G1252" s="1932" t="str">
        <f>+VLOOKUP(F1252,TT_Tabelle_Riferimento!$D$127:$G$164,4,FALSE)</f>
        <v>Terreni</v>
      </c>
      <c r="H1252" s="1013">
        <v>3</v>
      </c>
      <c r="I1252" s="1932" t="str">
        <f>+VLOOKUP(H1252,TT_Tabelle_Riferimento!$F$3:$G$6,2,FALSE)</f>
        <v>Altri servizi idrici</v>
      </c>
      <c r="J1252" s="1013">
        <v>2029</v>
      </c>
      <c r="K1252" s="2335">
        <f>+SUMIFS('PdI-crono_inv'!BL:BL,'PdI-crono_inv'!CF:CF,F1252,'PdI-crono_inv'!CE:CE,H1252,'PdI-crono_inv'!J:J,P1252,'PdI-crono_inv'!P:P,"&lt;&gt;proprietario")</f>
        <v>0</v>
      </c>
      <c r="M1252" s="2335">
        <f>+SUMIFS('PdI-crono_inv'!BM:BM,'PdI-crono_inv'!CF:CF,F1252,'PdI-crono_inv'!CE:CE,H1252,'PdI-crono_inv'!J:J,P1252,'PdI-crono_inv'!P:P,"&lt;&gt;proprietario")+S1252</f>
        <v>0</v>
      </c>
      <c r="P1252" s="1013" t="s">
        <v>25481</v>
      </c>
      <c r="Q1252" s="1932" t="str">
        <f>+VLOOKUP(F1252,TT_Tabelle_Riferimento!$D$127:$E$164,2,FALSE)</f>
        <v>Comune</v>
      </c>
      <c r="R1252" s="1932" t="str">
        <f t="shared" si="107"/>
        <v/>
      </c>
      <c r="S1252" s="2335">
        <f t="shared" si="110"/>
        <v>0</v>
      </c>
    </row>
    <row r="1253" spans="1:19">
      <c r="A1253" s="1932">
        <f t="shared" si="108"/>
        <v>0</v>
      </c>
      <c r="B1253" s="1932">
        <f t="shared" si="109"/>
        <v>0</v>
      </c>
      <c r="C1253" s="1013" t="s">
        <v>245</v>
      </c>
      <c r="D1253" s="1013">
        <v>0</v>
      </c>
      <c r="E1253" s="1013" t="s">
        <v>22698</v>
      </c>
      <c r="F1253" s="1013">
        <v>33</v>
      </c>
      <c r="G1253" s="1932" t="str">
        <f>+VLOOKUP(F1253,TT_Tabelle_Riferimento!$D$127:$G$164,4,FALSE)</f>
        <v>Fabbricati non industriali</v>
      </c>
      <c r="H1253" s="1013">
        <v>3</v>
      </c>
      <c r="I1253" s="1932" t="str">
        <f>+VLOOKUP(H1253,TT_Tabelle_Riferimento!$F$3:$G$6,2,FALSE)</f>
        <v>Altri servizi idrici</v>
      </c>
      <c r="J1253" s="1013">
        <v>2029</v>
      </c>
      <c r="K1253" s="2335">
        <f>+SUMIFS('PdI-crono_inv'!BL:BL,'PdI-crono_inv'!CF:CF,F1253,'PdI-crono_inv'!CE:CE,H1253,'PdI-crono_inv'!J:J,P1253,'PdI-crono_inv'!P:P,"&lt;&gt;proprietario")</f>
        <v>0</v>
      </c>
      <c r="M1253" s="2335">
        <f>+SUMIFS('PdI-crono_inv'!BM:BM,'PdI-crono_inv'!CF:CF,F1253,'PdI-crono_inv'!CE:CE,H1253,'PdI-crono_inv'!J:J,P1253,'PdI-crono_inv'!P:P,"&lt;&gt;proprietario")+S1253</f>
        <v>0</v>
      </c>
      <c r="P1253" s="1013" t="s">
        <v>25481</v>
      </c>
      <c r="Q1253" s="1932" t="str">
        <f>+VLOOKUP(F1253,TT_Tabelle_Riferimento!$D$127:$E$164,2,FALSE)</f>
        <v>Comune</v>
      </c>
      <c r="R1253" s="1932" t="str">
        <f t="shared" si="107"/>
        <v/>
      </c>
      <c r="S1253" s="2335">
        <f t="shared" si="110"/>
        <v>0</v>
      </c>
    </row>
    <row r="1254" spans="1:19">
      <c r="A1254" s="1932">
        <f t="shared" si="108"/>
        <v>0</v>
      </c>
      <c r="B1254" s="1932">
        <f t="shared" si="109"/>
        <v>0</v>
      </c>
      <c r="C1254" s="1013" t="s">
        <v>245</v>
      </c>
      <c r="D1254" s="1013">
        <v>0</v>
      </c>
      <c r="E1254" s="1013" t="s">
        <v>22698</v>
      </c>
      <c r="F1254" s="1013">
        <v>34</v>
      </c>
      <c r="G1254" s="1932" t="str">
        <f>+VLOOKUP(F1254,TT_Tabelle_Riferimento!$D$127:$G$164,4,FALSE)</f>
        <v>Fabbricati industriali</v>
      </c>
      <c r="H1254" s="1013">
        <v>3</v>
      </c>
      <c r="I1254" s="1932" t="str">
        <f>+VLOOKUP(H1254,TT_Tabelle_Riferimento!$F$3:$G$6,2,FALSE)</f>
        <v>Altri servizi idrici</v>
      </c>
      <c r="J1254" s="1013">
        <v>2029</v>
      </c>
      <c r="K1254" s="2335">
        <f>+SUMIFS('PdI-crono_inv'!BL:BL,'PdI-crono_inv'!CF:CF,F1254,'PdI-crono_inv'!CE:CE,H1254,'PdI-crono_inv'!J:J,P1254,'PdI-crono_inv'!P:P,"&lt;&gt;proprietario")</f>
        <v>0</v>
      </c>
      <c r="M1254" s="2335">
        <f>+SUMIFS('PdI-crono_inv'!BM:BM,'PdI-crono_inv'!CF:CF,F1254,'PdI-crono_inv'!CE:CE,H1254,'PdI-crono_inv'!J:J,P1254,'PdI-crono_inv'!P:P,"&lt;&gt;proprietario")+S1254</f>
        <v>0</v>
      </c>
      <c r="P1254" s="1013" t="s">
        <v>25481</v>
      </c>
      <c r="Q1254" s="1932" t="str">
        <f>+VLOOKUP(F1254,TT_Tabelle_Riferimento!$D$127:$E$164,2,FALSE)</f>
        <v>Comune</v>
      </c>
      <c r="R1254" s="1932" t="str">
        <f t="shared" si="107"/>
        <v/>
      </c>
      <c r="S1254" s="2335">
        <f t="shared" si="110"/>
        <v>0</v>
      </c>
    </row>
    <row r="1255" spans="1:19">
      <c r="A1255" s="1932">
        <f t="shared" si="108"/>
        <v>0</v>
      </c>
      <c r="B1255" s="1932">
        <f t="shared" si="109"/>
        <v>0</v>
      </c>
      <c r="C1255" s="1013" t="s">
        <v>245</v>
      </c>
      <c r="D1255" s="1013">
        <v>0</v>
      </c>
      <c r="E1255" s="1013" t="s">
        <v>22698</v>
      </c>
      <c r="F1255" s="1013">
        <v>35</v>
      </c>
      <c r="G1255" s="1932" t="str">
        <f>+VLOOKUP(F1255,TT_Tabelle_Riferimento!$D$127:$G$164,4,FALSE)</f>
        <v>Costruzioni leggere</v>
      </c>
      <c r="H1255" s="1013">
        <v>3</v>
      </c>
      <c r="I1255" s="1932" t="str">
        <f>+VLOOKUP(H1255,TT_Tabelle_Riferimento!$F$3:$G$6,2,FALSE)</f>
        <v>Altri servizi idrici</v>
      </c>
      <c r="J1255" s="1013">
        <v>2029</v>
      </c>
      <c r="K1255" s="2335">
        <f>+SUMIFS('PdI-crono_inv'!BL:BL,'PdI-crono_inv'!CF:CF,F1255,'PdI-crono_inv'!CE:CE,H1255,'PdI-crono_inv'!J:J,P1255,'PdI-crono_inv'!P:P,"&lt;&gt;proprietario")</f>
        <v>0</v>
      </c>
      <c r="M1255" s="2335">
        <f>+SUMIFS('PdI-crono_inv'!BM:BM,'PdI-crono_inv'!CF:CF,F1255,'PdI-crono_inv'!CE:CE,H1255,'PdI-crono_inv'!J:J,P1255,'PdI-crono_inv'!P:P,"&lt;&gt;proprietario")+S1255</f>
        <v>0</v>
      </c>
      <c r="P1255" s="1013" t="s">
        <v>25481</v>
      </c>
      <c r="Q1255" s="1932" t="str">
        <f>+VLOOKUP(F1255,TT_Tabelle_Riferimento!$D$127:$E$164,2,FALSE)</f>
        <v>Comune</v>
      </c>
      <c r="R1255" s="1932" t="str">
        <f t="shared" si="107"/>
        <v/>
      </c>
      <c r="S1255" s="2335">
        <f t="shared" si="110"/>
        <v>0</v>
      </c>
    </row>
    <row r="1256" spans="1:19">
      <c r="A1256" s="1932">
        <f t="shared" si="108"/>
        <v>0</v>
      </c>
      <c r="B1256" s="1932">
        <f t="shared" si="109"/>
        <v>0</v>
      </c>
      <c r="C1256" s="1013" t="s">
        <v>245</v>
      </c>
      <c r="D1256" s="1013">
        <v>0</v>
      </c>
      <c r="E1256" s="1013" t="s">
        <v>22698</v>
      </c>
      <c r="F1256" s="1013">
        <v>36</v>
      </c>
      <c r="G1256" s="1932" t="str">
        <f>+VLOOKUP(F1256,TT_Tabelle_Riferimento!$D$127:$G$164,4,FALSE)</f>
        <v>Studi, ricerche, brevetti, diritti di utilizzazione</v>
      </c>
      <c r="H1256" s="1013">
        <v>3</v>
      </c>
      <c r="I1256" s="1932" t="str">
        <f>+VLOOKUP(H1256,TT_Tabelle_Riferimento!$F$3:$G$6,2,FALSE)</f>
        <v>Altri servizi idrici</v>
      </c>
      <c r="J1256" s="1013">
        <v>2029</v>
      </c>
      <c r="K1256" s="2335">
        <f>+SUMIFS('PdI-crono_inv'!BL:BL,'PdI-crono_inv'!CF:CF,F1256,'PdI-crono_inv'!CE:CE,H1256,'PdI-crono_inv'!J:J,P1256,'PdI-crono_inv'!P:P,"&lt;&gt;proprietario")</f>
        <v>0</v>
      </c>
      <c r="M1256" s="2335">
        <f>+SUMIFS('PdI-crono_inv'!BM:BM,'PdI-crono_inv'!CF:CF,F1256,'PdI-crono_inv'!CE:CE,H1256,'PdI-crono_inv'!J:J,P1256,'PdI-crono_inv'!P:P,"&lt;&gt;proprietario")+S1256</f>
        <v>0</v>
      </c>
      <c r="P1256" s="1013" t="s">
        <v>25481</v>
      </c>
      <c r="Q1256" s="1932" t="str">
        <f>+VLOOKUP(F1256,TT_Tabelle_Riferimento!$D$127:$E$164,2,FALSE)</f>
        <v>Comune</v>
      </c>
      <c r="R1256" s="1932" t="str">
        <f t="shared" si="107"/>
        <v/>
      </c>
      <c r="S1256" s="2335">
        <f t="shared" si="110"/>
        <v>0</v>
      </c>
    </row>
    <row r="1257" spans="1:19">
      <c r="A1257" s="1932">
        <f t="shared" si="108"/>
        <v>0</v>
      </c>
      <c r="B1257" s="1932">
        <f t="shared" si="109"/>
        <v>0</v>
      </c>
      <c r="C1257" s="1013" t="s">
        <v>245</v>
      </c>
      <c r="D1257" s="1013">
        <v>0</v>
      </c>
      <c r="E1257" s="1013" t="s">
        <v>22698</v>
      </c>
      <c r="F1257" s="1013">
        <v>37</v>
      </c>
      <c r="G1257" s="1932" t="str">
        <f>+VLOOKUP(F1257,TT_Tabelle_Riferimento!$D$127:$G$164,4,FALSE)</f>
        <v>Altre immobilizzazioni materiali e immateriali</v>
      </c>
      <c r="H1257" s="1013">
        <v>3</v>
      </c>
      <c r="I1257" s="1932" t="str">
        <f>+VLOOKUP(H1257,TT_Tabelle_Riferimento!$F$3:$G$6,2,FALSE)</f>
        <v>Altri servizi idrici</v>
      </c>
      <c r="J1257" s="1013">
        <v>2029</v>
      </c>
      <c r="K1257" s="2335">
        <f>+SUMIFS('PdI-crono_inv'!BL:BL,'PdI-crono_inv'!CF:CF,F1257,'PdI-crono_inv'!CE:CE,H1257,'PdI-crono_inv'!J:J,P1257,'PdI-crono_inv'!P:P,"&lt;&gt;proprietario")</f>
        <v>0</v>
      </c>
      <c r="M1257" s="2335">
        <f>+SUMIFS('PdI-crono_inv'!BM:BM,'PdI-crono_inv'!CF:CF,F1257,'PdI-crono_inv'!CE:CE,H1257,'PdI-crono_inv'!J:J,P1257,'PdI-crono_inv'!P:P,"&lt;&gt;proprietario")+S1257</f>
        <v>0</v>
      </c>
      <c r="P1257" s="1013" t="s">
        <v>25481</v>
      </c>
      <c r="Q1257" s="1932" t="str">
        <f>+VLOOKUP(F1257,TT_Tabelle_Riferimento!$D$127:$E$164,2,FALSE)</f>
        <v>Comune</v>
      </c>
      <c r="R1257" s="1932" t="str">
        <f t="shared" si="107"/>
        <v/>
      </c>
      <c r="S1257" s="2335">
        <f t="shared" si="110"/>
        <v>0</v>
      </c>
    </row>
    <row r="1258" spans="1:19">
      <c r="A1258" s="1932">
        <f t="shared" si="108"/>
        <v>0</v>
      </c>
      <c r="B1258" s="1932">
        <f t="shared" si="109"/>
        <v>0</v>
      </c>
      <c r="C1258" s="1013" t="s">
        <v>245</v>
      </c>
      <c r="D1258" s="1013">
        <v>0</v>
      </c>
      <c r="E1258" s="1013" t="s">
        <v>22698</v>
      </c>
      <c r="F1258" s="1013">
        <v>38</v>
      </c>
      <c r="G1258" s="1932" t="str">
        <f>+VLOOKUP(F1258,TT_Tabelle_Riferimento!$D$127:$G$164,4,FALSE)</f>
        <v>Grandi dighe (sbarramenti che superano i quindici metri di altezza o che determinano un invaso superiore a 1 milione di metri cubi)</v>
      </c>
      <c r="H1258" s="1013">
        <v>3</v>
      </c>
      <c r="I1258" s="1932" t="str">
        <f>+VLOOKUP(H1258,TT_Tabelle_Riferimento!$F$3:$G$6,2,FALSE)</f>
        <v>Altri servizi idrici</v>
      </c>
      <c r="J1258" s="1013">
        <v>2029</v>
      </c>
      <c r="K1258" s="2335">
        <f>+SUMIFS('PdI-crono_inv'!BL:BL,'PdI-crono_inv'!CF:CF,F1258,'PdI-crono_inv'!CE:CE,H1258,'PdI-crono_inv'!J:J,P1258,'PdI-crono_inv'!P:P,"&lt;&gt;proprietario")</f>
        <v>0</v>
      </c>
      <c r="M1258" s="2335">
        <f>+SUMIFS('PdI-crono_inv'!BM:BM,'PdI-crono_inv'!CF:CF,F1258,'PdI-crono_inv'!CE:CE,H1258,'PdI-crono_inv'!J:J,P1258,'PdI-crono_inv'!P:P,"&lt;&gt;proprietario")+S1258</f>
        <v>0</v>
      </c>
      <c r="P1258" s="1013" t="s">
        <v>25481</v>
      </c>
      <c r="Q1258" s="1932" t="str">
        <f>+VLOOKUP(F1258,TT_Tabelle_Riferimento!$D$127:$E$164,2,FALSE)</f>
        <v>Acquedotto</v>
      </c>
      <c r="R1258" s="1932" t="str">
        <f t="shared" si="107"/>
        <v/>
      </c>
      <c r="S1258" s="2335">
        <f t="shared" si="110"/>
        <v>0</v>
      </c>
    </row>
    <row r="1259" spans="1:19">
      <c r="A1259" s="1932">
        <f t="shared" si="108"/>
        <v>0</v>
      </c>
      <c r="B1259" s="1932">
        <f t="shared" si="109"/>
        <v>0</v>
      </c>
      <c r="C1259" s="1013" t="s">
        <v>245</v>
      </c>
      <c r="D1259" s="1013">
        <v>0</v>
      </c>
      <c r="E1259" s="1013" t="s">
        <v>22698</v>
      </c>
      <c r="F1259" s="1013">
        <v>39</v>
      </c>
      <c r="G1259" s="1932" t="str">
        <f>+VLOOKUP(F1259,TT_Tabelle_Riferimento!$D$127:$G$164,4,FALSE)</f>
        <v>Piccole dighe (sbarramenti che non superano i quindici metri di altezza o che determinano un invaso non superiore a 1 milione di metri cubi)</v>
      </c>
      <c r="H1259" s="1013">
        <v>3</v>
      </c>
      <c r="I1259" s="1932" t="str">
        <f>+VLOOKUP(H1259,TT_Tabelle_Riferimento!$F$3:$G$6,2,FALSE)</f>
        <v>Altri servizi idrici</v>
      </c>
      <c r="J1259" s="1013">
        <v>2029</v>
      </c>
      <c r="K1259" s="2335">
        <f>+SUMIFS('PdI-crono_inv'!BL:BL,'PdI-crono_inv'!CF:CF,F1259,'PdI-crono_inv'!CE:CE,H1259,'PdI-crono_inv'!J:J,P1259,'PdI-crono_inv'!P:P,"&lt;&gt;proprietario")</f>
        <v>0</v>
      </c>
      <c r="M1259" s="2335">
        <f>+SUMIFS('PdI-crono_inv'!BM:BM,'PdI-crono_inv'!CF:CF,F1259,'PdI-crono_inv'!CE:CE,H1259,'PdI-crono_inv'!J:J,P1259,'PdI-crono_inv'!P:P,"&lt;&gt;proprietario")+S1259</f>
        <v>0</v>
      </c>
      <c r="P1259" s="1013" t="s">
        <v>25481</v>
      </c>
      <c r="Q1259" s="1932" t="str">
        <f>+VLOOKUP(F1259,TT_Tabelle_Riferimento!$D$127:$E$164,2,FALSE)</f>
        <v>Acquedotto</v>
      </c>
      <c r="R1259" s="1932" t="str">
        <f t="shared" si="107"/>
        <v/>
      </c>
      <c r="S1259" s="2335">
        <f t="shared" si="110"/>
        <v>0</v>
      </c>
    </row>
    <row r="1260" spans="1:19">
      <c r="A1260" s="1932">
        <f t="shared" si="108"/>
        <v>0</v>
      </c>
      <c r="B1260" s="1932">
        <f t="shared" si="109"/>
        <v>0</v>
      </c>
      <c r="C1260" s="1013" t="s">
        <v>245</v>
      </c>
      <c r="D1260" s="1013">
        <v>0</v>
      </c>
      <c r="E1260" s="1013" t="s">
        <v>22698</v>
      </c>
      <c r="F1260" s="1013">
        <v>2</v>
      </c>
      <c r="G1260" s="1932" t="str">
        <f>+VLOOKUP(F1260,TT_Tabelle_Riferimento!$D$127:$G$164,4,FALSE)</f>
        <v>Condotte di acquedotto</v>
      </c>
      <c r="H1260" s="1013">
        <v>1</v>
      </c>
      <c r="I1260" s="1932" t="str">
        <f>+VLOOKUP(H1260,TT_Tabelle_Riferimento!$F$3:$G$6,2,FALSE)</f>
        <v>Servizio idrico integrato</v>
      </c>
      <c r="J1260" s="1013">
        <v>2029</v>
      </c>
      <c r="K1260" s="2335">
        <f>+SUMIFS('PdI-crono_inv'!BL:BL,'PdI-crono_inv'!CF:CF,F1260,'PdI-crono_inv'!CE:CE,H1260,'PdI-crono_inv'!J:J,P1260,'PdI-crono_inv'!P:P,"&lt;&gt;proprietario")</f>
        <v>0</v>
      </c>
      <c r="M1260" s="2335">
        <f>+SUMIFS('PdI-crono_inv'!BM:BM,'PdI-crono_inv'!CF:CF,F1260,'PdI-crono_inv'!CE:CE,H1260,'PdI-crono_inv'!J:J,P1260,'PdI-crono_inv'!P:P,"&lt;&gt;proprietario")+S1260</f>
        <v>0</v>
      </c>
      <c r="P1260" s="1013" t="s">
        <v>27068</v>
      </c>
      <c r="Q1260" s="1932" t="str">
        <f>+VLOOKUP(F1260,TT_Tabelle_Riferimento!$D$127:$E$164,2,FALSE)</f>
        <v>Acquedotto</v>
      </c>
      <c r="R1260" s="1932" t="str">
        <f t="shared" si="107"/>
        <v/>
      </c>
      <c r="S1260" s="2335">
        <f t="shared" si="110"/>
        <v>0</v>
      </c>
    </row>
    <row r="1261" spans="1:19">
      <c r="A1261" s="1932">
        <f t="shared" si="108"/>
        <v>0</v>
      </c>
      <c r="B1261" s="1932">
        <f t="shared" si="109"/>
        <v>0</v>
      </c>
      <c r="C1261" s="1013" t="s">
        <v>245</v>
      </c>
      <c r="D1261" s="1013">
        <v>0</v>
      </c>
      <c r="E1261" s="1013" t="s">
        <v>22698</v>
      </c>
      <c r="F1261" s="1013">
        <v>3</v>
      </c>
      <c r="G1261" s="1932" t="str">
        <f>+VLOOKUP(F1261,TT_Tabelle_Riferimento!$D$127:$G$164,4,FALSE)</f>
        <v>Opere idrauliche fisse di acquedotto</v>
      </c>
      <c r="H1261" s="1013">
        <v>1</v>
      </c>
      <c r="I1261" s="1932" t="str">
        <f>+VLOOKUP(H1261,TT_Tabelle_Riferimento!$F$3:$G$6,2,FALSE)</f>
        <v>Servizio idrico integrato</v>
      </c>
      <c r="J1261" s="1013">
        <v>2029</v>
      </c>
      <c r="K1261" s="2335">
        <f>+SUMIFS('PdI-crono_inv'!BL:BL,'PdI-crono_inv'!CF:CF,F1261,'PdI-crono_inv'!CE:CE,H1261,'PdI-crono_inv'!J:J,P1261,'PdI-crono_inv'!P:P,"&lt;&gt;proprietario")</f>
        <v>0</v>
      </c>
      <c r="M1261" s="2335">
        <f>+SUMIFS('PdI-crono_inv'!BM:BM,'PdI-crono_inv'!CF:CF,F1261,'PdI-crono_inv'!CE:CE,H1261,'PdI-crono_inv'!J:J,P1261,'PdI-crono_inv'!P:P,"&lt;&gt;proprietario")+S1261</f>
        <v>0</v>
      </c>
      <c r="P1261" s="1013" t="s">
        <v>27068</v>
      </c>
      <c r="Q1261" s="1932" t="str">
        <f>+VLOOKUP(F1261,TT_Tabelle_Riferimento!$D$127:$E$164,2,FALSE)</f>
        <v>Acquedotto</v>
      </c>
      <c r="R1261" s="1932" t="str">
        <f t="shared" si="107"/>
        <v/>
      </c>
      <c r="S1261" s="2335">
        <f t="shared" si="110"/>
        <v>0</v>
      </c>
    </row>
    <row r="1262" spans="1:19">
      <c r="A1262" s="1932">
        <f t="shared" si="108"/>
        <v>0</v>
      </c>
      <c r="B1262" s="1932">
        <f t="shared" si="109"/>
        <v>0</v>
      </c>
      <c r="C1262" s="1013" t="s">
        <v>245</v>
      </c>
      <c r="D1262" s="1013">
        <v>0</v>
      </c>
      <c r="E1262" s="1013" t="s">
        <v>22698</v>
      </c>
      <c r="F1262" s="1013">
        <v>4</v>
      </c>
      <c r="G1262" s="1932" t="str">
        <f>+VLOOKUP(F1262,TT_Tabelle_Riferimento!$D$127:$G$164,4,FALSE)</f>
        <v>Serbatoi</v>
      </c>
      <c r="H1262" s="1013">
        <v>1</v>
      </c>
      <c r="I1262" s="1932" t="str">
        <f>+VLOOKUP(H1262,TT_Tabelle_Riferimento!$F$3:$G$6,2,FALSE)</f>
        <v>Servizio idrico integrato</v>
      </c>
      <c r="J1262" s="1013">
        <v>2029</v>
      </c>
      <c r="K1262" s="2335">
        <f>+SUMIFS('PdI-crono_inv'!BL:BL,'PdI-crono_inv'!CF:CF,F1262,'PdI-crono_inv'!CE:CE,H1262,'PdI-crono_inv'!J:J,P1262,'PdI-crono_inv'!P:P,"&lt;&gt;proprietario")</f>
        <v>0</v>
      </c>
      <c r="M1262" s="2335">
        <f>+SUMIFS('PdI-crono_inv'!BM:BM,'PdI-crono_inv'!CF:CF,F1262,'PdI-crono_inv'!CE:CE,H1262,'PdI-crono_inv'!J:J,P1262,'PdI-crono_inv'!P:P,"&lt;&gt;proprietario")+S1262</f>
        <v>0</v>
      </c>
      <c r="P1262" s="1013" t="s">
        <v>27068</v>
      </c>
      <c r="Q1262" s="1932" t="str">
        <f>+VLOOKUP(F1262,TT_Tabelle_Riferimento!$D$127:$E$164,2,FALSE)</f>
        <v>Acquedotto</v>
      </c>
      <c r="R1262" s="1932" t="str">
        <f t="shared" ref="R1262:R1325" si="111">+IF(SUM(K1262:N1262)=0,"","PdI_consolidamento")</f>
        <v/>
      </c>
      <c r="S1262" s="2335">
        <f t="shared" si="110"/>
        <v>0</v>
      </c>
    </row>
    <row r="1263" spans="1:19">
      <c r="A1263" s="1932">
        <f t="shared" si="108"/>
        <v>0</v>
      </c>
      <c r="B1263" s="1932">
        <f t="shared" si="109"/>
        <v>0</v>
      </c>
      <c r="C1263" s="1013" t="s">
        <v>245</v>
      </c>
      <c r="D1263" s="1013">
        <v>0</v>
      </c>
      <c r="E1263" s="1013" t="s">
        <v>22698</v>
      </c>
      <c r="F1263" s="1013">
        <v>5</v>
      </c>
      <c r="G1263" s="1932" t="str">
        <f>+VLOOKUP(F1263,TT_Tabelle_Riferimento!$D$127:$G$164,4,FALSE)</f>
        <v>Impianti di sollevamento e pompaggio di acquedotto</v>
      </c>
      <c r="H1263" s="1013">
        <v>1</v>
      </c>
      <c r="I1263" s="1932" t="str">
        <f>+VLOOKUP(H1263,TT_Tabelle_Riferimento!$F$3:$G$6,2,FALSE)</f>
        <v>Servizio idrico integrato</v>
      </c>
      <c r="J1263" s="1013">
        <v>2029</v>
      </c>
      <c r="K1263" s="2335">
        <f>+SUMIFS('PdI-crono_inv'!BL:BL,'PdI-crono_inv'!CF:CF,F1263,'PdI-crono_inv'!CE:CE,H1263,'PdI-crono_inv'!J:J,P1263,'PdI-crono_inv'!P:P,"&lt;&gt;proprietario")</f>
        <v>0</v>
      </c>
      <c r="M1263" s="2335">
        <f>+SUMIFS('PdI-crono_inv'!BM:BM,'PdI-crono_inv'!CF:CF,F1263,'PdI-crono_inv'!CE:CE,H1263,'PdI-crono_inv'!J:J,P1263,'PdI-crono_inv'!P:P,"&lt;&gt;proprietario")+S1263</f>
        <v>0</v>
      </c>
      <c r="P1263" s="1013" t="s">
        <v>27068</v>
      </c>
      <c r="Q1263" s="1932" t="str">
        <f>+VLOOKUP(F1263,TT_Tabelle_Riferimento!$D$127:$E$164,2,FALSE)</f>
        <v>Acquedotto</v>
      </c>
      <c r="R1263" s="1932" t="str">
        <f t="shared" si="111"/>
        <v/>
      </c>
      <c r="S1263" s="2335">
        <f t="shared" si="110"/>
        <v>0</v>
      </c>
    </row>
    <row r="1264" spans="1:19">
      <c r="A1264" s="1932">
        <f t="shared" si="108"/>
        <v>0</v>
      </c>
      <c r="B1264" s="1932">
        <f t="shared" si="109"/>
        <v>0</v>
      </c>
      <c r="C1264" s="1013" t="s">
        <v>245</v>
      </c>
      <c r="D1264" s="1013">
        <v>0</v>
      </c>
      <c r="E1264" s="1013" t="s">
        <v>22698</v>
      </c>
      <c r="F1264" s="1013">
        <v>6</v>
      </c>
      <c r="G1264" s="1932" t="str">
        <f>+VLOOKUP(F1264,TT_Tabelle_Riferimento!$D$127:$G$164,4,FALSE)</f>
        <v>Impianti di potabilizzazione</v>
      </c>
      <c r="H1264" s="1013">
        <v>1</v>
      </c>
      <c r="I1264" s="1932" t="str">
        <f>+VLOOKUP(H1264,TT_Tabelle_Riferimento!$F$3:$G$6,2,FALSE)</f>
        <v>Servizio idrico integrato</v>
      </c>
      <c r="J1264" s="1013">
        <v>2029</v>
      </c>
      <c r="K1264" s="2335">
        <f>+SUMIFS('PdI-crono_inv'!BL:BL,'PdI-crono_inv'!CF:CF,F1264,'PdI-crono_inv'!CE:CE,H1264,'PdI-crono_inv'!J:J,P1264,'PdI-crono_inv'!P:P,"&lt;&gt;proprietario")</f>
        <v>0</v>
      </c>
      <c r="M1264" s="2335">
        <f>+SUMIFS('PdI-crono_inv'!BM:BM,'PdI-crono_inv'!CF:CF,F1264,'PdI-crono_inv'!CE:CE,H1264,'PdI-crono_inv'!J:J,P1264,'PdI-crono_inv'!P:P,"&lt;&gt;proprietario")+S1264</f>
        <v>0</v>
      </c>
      <c r="P1264" s="1013" t="s">
        <v>27068</v>
      </c>
      <c r="Q1264" s="1932" t="str">
        <f>+VLOOKUP(F1264,TT_Tabelle_Riferimento!$D$127:$E$164,2,FALSE)</f>
        <v>Acquedotto</v>
      </c>
      <c r="R1264" s="1932" t="str">
        <f t="shared" si="111"/>
        <v/>
      </c>
      <c r="S1264" s="2335">
        <f t="shared" si="110"/>
        <v>0</v>
      </c>
    </row>
    <row r="1265" spans="1:19">
      <c r="A1265" s="1932">
        <f t="shared" si="108"/>
        <v>0</v>
      </c>
      <c r="B1265" s="1932">
        <f t="shared" si="109"/>
        <v>0</v>
      </c>
      <c r="C1265" s="1013" t="s">
        <v>245</v>
      </c>
      <c r="D1265" s="1013">
        <v>0</v>
      </c>
      <c r="E1265" s="1013" t="s">
        <v>22698</v>
      </c>
      <c r="F1265" s="1013">
        <v>7</v>
      </c>
      <c r="G1265" s="1932" t="str">
        <f>+VLOOKUP(F1265,TT_Tabelle_Riferimento!$D$127:$G$164,4,FALSE)</f>
        <v>Altri trattamenti di potabilizzazione (tra cui dispositivi di disinfezione, stacciatura, filtrazione, addolcimento)</v>
      </c>
      <c r="H1265" s="1013">
        <v>1</v>
      </c>
      <c r="I1265" s="1932" t="str">
        <f>+VLOOKUP(H1265,TT_Tabelle_Riferimento!$F$3:$G$6,2,FALSE)</f>
        <v>Servizio idrico integrato</v>
      </c>
      <c r="J1265" s="1013">
        <v>2029</v>
      </c>
      <c r="K1265" s="2335">
        <f>+SUMIFS('PdI-crono_inv'!BL:BL,'PdI-crono_inv'!CF:CF,F1265,'PdI-crono_inv'!CE:CE,H1265,'PdI-crono_inv'!J:J,P1265,'PdI-crono_inv'!P:P,"&lt;&gt;proprietario")</f>
        <v>0</v>
      </c>
      <c r="M1265" s="2335">
        <f>+SUMIFS('PdI-crono_inv'!BM:BM,'PdI-crono_inv'!CF:CF,F1265,'PdI-crono_inv'!CE:CE,H1265,'PdI-crono_inv'!J:J,P1265,'PdI-crono_inv'!P:P,"&lt;&gt;proprietario")+S1265</f>
        <v>0</v>
      </c>
      <c r="P1265" s="1013" t="s">
        <v>27068</v>
      </c>
      <c r="Q1265" s="1932" t="str">
        <f>+VLOOKUP(F1265,TT_Tabelle_Riferimento!$D$127:$E$164,2,FALSE)</f>
        <v>Acquedotto</v>
      </c>
      <c r="R1265" s="1932" t="str">
        <f t="shared" si="111"/>
        <v/>
      </c>
      <c r="S1265" s="2335">
        <f t="shared" si="110"/>
        <v>0</v>
      </c>
    </row>
    <row r="1266" spans="1:19">
      <c r="A1266" s="1932">
        <f t="shared" si="108"/>
        <v>0</v>
      </c>
      <c r="B1266" s="1932">
        <f t="shared" si="109"/>
        <v>0</v>
      </c>
      <c r="C1266" s="1013" t="s">
        <v>245</v>
      </c>
      <c r="D1266" s="1013">
        <v>0</v>
      </c>
      <c r="E1266" s="1013" t="s">
        <v>22698</v>
      </c>
      <c r="F1266" s="1013">
        <v>8</v>
      </c>
      <c r="G1266" s="1932" t="str">
        <f>+VLOOKUP(F1266,TT_Tabelle_Riferimento!$D$127:$G$164,4,FALSE)</f>
        <v>Gruppi di misura - altre attrezzature di acquedotto</v>
      </c>
      <c r="H1266" s="1013">
        <v>1</v>
      </c>
      <c r="I1266" s="1932" t="str">
        <f>+VLOOKUP(H1266,TT_Tabelle_Riferimento!$F$3:$G$6,2,FALSE)</f>
        <v>Servizio idrico integrato</v>
      </c>
      <c r="J1266" s="1013">
        <v>2029</v>
      </c>
      <c r="K1266" s="2335">
        <f>+SUMIFS('PdI-crono_inv'!BL:BL,'PdI-crono_inv'!CF:CF,F1266,'PdI-crono_inv'!CE:CE,H1266,'PdI-crono_inv'!J:J,P1266,'PdI-crono_inv'!P:P,"&lt;&gt;proprietario")</f>
        <v>0</v>
      </c>
      <c r="M1266" s="2335">
        <f>+SUMIFS('PdI-crono_inv'!BM:BM,'PdI-crono_inv'!CF:CF,F1266,'PdI-crono_inv'!CE:CE,H1266,'PdI-crono_inv'!J:J,P1266,'PdI-crono_inv'!P:P,"&lt;&gt;proprietario")+S1266</f>
        <v>0</v>
      </c>
      <c r="P1266" s="1013" t="s">
        <v>27068</v>
      </c>
      <c r="Q1266" s="1932" t="str">
        <f>+VLOOKUP(F1266,TT_Tabelle_Riferimento!$D$127:$E$164,2,FALSE)</f>
        <v>Acquedotto</v>
      </c>
      <c r="R1266" s="1932" t="str">
        <f t="shared" si="111"/>
        <v/>
      </c>
      <c r="S1266" s="2335">
        <f t="shared" si="110"/>
        <v>0</v>
      </c>
    </row>
    <row r="1267" spans="1:19">
      <c r="A1267" s="1932">
        <f t="shared" si="108"/>
        <v>0</v>
      </c>
      <c r="B1267" s="1932">
        <f t="shared" si="109"/>
        <v>0</v>
      </c>
      <c r="C1267" s="1013" t="s">
        <v>245</v>
      </c>
      <c r="D1267" s="1013">
        <v>0</v>
      </c>
      <c r="E1267" s="1013" t="s">
        <v>22698</v>
      </c>
      <c r="F1267" s="1013">
        <v>9</v>
      </c>
      <c r="G1267" s="1932" t="str">
        <f>+VLOOKUP(F1267,TT_Tabelle_Riferimento!$D$127:$G$164,4,FALSE)</f>
        <v>Sistemi informativi di acquedotto</v>
      </c>
      <c r="H1267" s="1013">
        <v>1</v>
      </c>
      <c r="I1267" s="1932" t="str">
        <f>+VLOOKUP(H1267,TT_Tabelle_Riferimento!$F$3:$G$6,2,FALSE)</f>
        <v>Servizio idrico integrato</v>
      </c>
      <c r="J1267" s="1013">
        <v>2029</v>
      </c>
      <c r="K1267" s="2335">
        <f>+SUMIFS('PdI-crono_inv'!BL:BL,'PdI-crono_inv'!CF:CF,F1267,'PdI-crono_inv'!CE:CE,H1267,'PdI-crono_inv'!J:J,P1267,'PdI-crono_inv'!P:P,"&lt;&gt;proprietario")</f>
        <v>0</v>
      </c>
      <c r="M1267" s="2335">
        <f>+SUMIFS('PdI-crono_inv'!BM:BM,'PdI-crono_inv'!CF:CF,F1267,'PdI-crono_inv'!CE:CE,H1267,'PdI-crono_inv'!J:J,P1267,'PdI-crono_inv'!P:P,"&lt;&gt;proprietario")+S1267</f>
        <v>0</v>
      </c>
      <c r="P1267" s="1013" t="s">
        <v>27068</v>
      </c>
      <c r="Q1267" s="1932" t="str">
        <f>+VLOOKUP(F1267,TT_Tabelle_Riferimento!$D$127:$E$164,2,FALSE)</f>
        <v>Acquedotto</v>
      </c>
      <c r="R1267" s="1932" t="str">
        <f t="shared" si="111"/>
        <v/>
      </c>
      <c r="S1267" s="2335">
        <f t="shared" si="110"/>
        <v>0</v>
      </c>
    </row>
    <row r="1268" spans="1:19">
      <c r="A1268" s="1932">
        <f t="shared" si="108"/>
        <v>0</v>
      </c>
      <c r="B1268" s="1932">
        <f t="shared" si="109"/>
        <v>0</v>
      </c>
      <c r="C1268" s="1013" t="s">
        <v>245</v>
      </c>
      <c r="D1268" s="1013">
        <v>0</v>
      </c>
      <c r="E1268" s="1013" t="s">
        <v>22698</v>
      </c>
      <c r="F1268" s="1013">
        <v>10</v>
      </c>
      <c r="G1268" s="1932" t="str">
        <f>+VLOOKUP(F1268,TT_Tabelle_Riferimento!$D$127:$G$164,4,FALSE)</f>
        <v>Telecontrollo e teletrasmissione di acquedotto</v>
      </c>
      <c r="H1268" s="1013">
        <v>1</v>
      </c>
      <c r="I1268" s="1932" t="str">
        <f>+VLOOKUP(H1268,TT_Tabelle_Riferimento!$F$3:$G$6,2,FALSE)</f>
        <v>Servizio idrico integrato</v>
      </c>
      <c r="J1268" s="1013">
        <v>2029</v>
      </c>
      <c r="K1268" s="2335">
        <f>+SUMIFS('PdI-crono_inv'!BL:BL,'PdI-crono_inv'!CF:CF,F1268,'PdI-crono_inv'!CE:CE,H1268,'PdI-crono_inv'!J:J,P1268,'PdI-crono_inv'!P:P,"&lt;&gt;proprietario")</f>
        <v>0</v>
      </c>
      <c r="M1268" s="2335">
        <f>+SUMIFS('PdI-crono_inv'!BM:BM,'PdI-crono_inv'!CF:CF,F1268,'PdI-crono_inv'!CE:CE,H1268,'PdI-crono_inv'!J:J,P1268,'PdI-crono_inv'!P:P,"&lt;&gt;proprietario")+S1268</f>
        <v>0</v>
      </c>
      <c r="P1268" s="1013" t="s">
        <v>27068</v>
      </c>
      <c r="Q1268" s="1932" t="str">
        <f>+VLOOKUP(F1268,TT_Tabelle_Riferimento!$D$127:$E$164,2,FALSE)</f>
        <v>Acquedotto</v>
      </c>
      <c r="R1268" s="1932" t="str">
        <f t="shared" si="111"/>
        <v/>
      </c>
      <c r="S1268" s="2335">
        <f t="shared" si="110"/>
        <v>0</v>
      </c>
    </row>
    <row r="1269" spans="1:19">
      <c r="A1269" s="1932">
        <f t="shared" si="108"/>
        <v>0</v>
      </c>
      <c r="B1269" s="1932">
        <f t="shared" si="109"/>
        <v>0</v>
      </c>
      <c r="C1269" s="1013" t="s">
        <v>245</v>
      </c>
      <c r="D1269" s="1013">
        <v>0</v>
      </c>
      <c r="E1269" s="1013" t="s">
        <v>22698</v>
      </c>
      <c r="F1269" s="1013">
        <v>11</v>
      </c>
      <c r="G1269" s="1932" t="str">
        <f>+VLOOKUP(F1269,TT_Tabelle_Riferimento!$D$127:$G$164,4,FALSE)</f>
        <v>Condotte fognarie</v>
      </c>
      <c r="H1269" s="1013">
        <v>1</v>
      </c>
      <c r="I1269" s="1932" t="str">
        <f>+VLOOKUP(H1269,TT_Tabelle_Riferimento!$F$3:$G$6,2,FALSE)</f>
        <v>Servizio idrico integrato</v>
      </c>
      <c r="J1269" s="1013">
        <v>2029</v>
      </c>
      <c r="K1269" s="2335">
        <f>+SUMIFS('PdI-crono_inv'!BL:BL,'PdI-crono_inv'!CF:CF,F1269,'PdI-crono_inv'!CE:CE,H1269,'PdI-crono_inv'!J:J,P1269,'PdI-crono_inv'!P:P,"&lt;&gt;proprietario")</f>
        <v>0</v>
      </c>
      <c r="M1269" s="2335">
        <f>+SUMIFS('PdI-crono_inv'!BM:BM,'PdI-crono_inv'!CF:CF,F1269,'PdI-crono_inv'!CE:CE,H1269,'PdI-crono_inv'!J:J,P1269,'PdI-crono_inv'!P:P,"&lt;&gt;proprietario")+S1269</f>
        <v>0</v>
      </c>
      <c r="P1269" s="1013" t="s">
        <v>27068</v>
      </c>
      <c r="Q1269" s="1932" t="str">
        <f>+VLOOKUP(F1269,TT_Tabelle_Riferimento!$D$127:$E$164,2,FALSE)</f>
        <v>Fognatura</v>
      </c>
      <c r="R1269" s="1932" t="str">
        <f t="shared" si="111"/>
        <v/>
      </c>
      <c r="S1269" s="2335">
        <f t="shared" si="110"/>
        <v>0</v>
      </c>
    </row>
    <row r="1270" spans="1:19">
      <c r="A1270" s="1932">
        <f t="shared" si="108"/>
        <v>0</v>
      </c>
      <c r="B1270" s="1932">
        <f t="shared" si="109"/>
        <v>0</v>
      </c>
      <c r="C1270" s="1013" t="s">
        <v>245</v>
      </c>
      <c r="D1270" s="1013">
        <v>0</v>
      </c>
      <c r="E1270" s="1013" t="s">
        <v>22698</v>
      </c>
      <c r="F1270" s="1013">
        <v>12</v>
      </c>
      <c r="G1270" s="1932" t="str">
        <f>+VLOOKUP(F1270,TT_Tabelle_Riferimento!$D$127:$G$164,4,FALSE)</f>
        <v>Sifoni e scaricatori di piena e altre opere idrauliche fisse di fognatura</v>
      </c>
      <c r="H1270" s="1013">
        <v>1</v>
      </c>
      <c r="I1270" s="1932" t="str">
        <f>+VLOOKUP(H1270,TT_Tabelle_Riferimento!$F$3:$G$6,2,FALSE)</f>
        <v>Servizio idrico integrato</v>
      </c>
      <c r="J1270" s="1013">
        <v>2029</v>
      </c>
      <c r="K1270" s="2335">
        <f>+SUMIFS('PdI-crono_inv'!BL:BL,'PdI-crono_inv'!CF:CF,F1270,'PdI-crono_inv'!CE:CE,H1270,'PdI-crono_inv'!J:J,P1270,'PdI-crono_inv'!P:P,"&lt;&gt;proprietario")</f>
        <v>0</v>
      </c>
      <c r="M1270" s="2335">
        <f>+SUMIFS('PdI-crono_inv'!BM:BM,'PdI-crono_inv'!CF:CF,F1270,'PdI-crono_inv'!CE:CE,H1270,'PdI-crono_inv'!J:J,P1270,'PdI-crono_inv'!P:P,"&lt;&gt;proprietario")+S1270</f>
        <v>0</v>
      </c>
      <c r="P1270" s="1013" t="s">
        <v>27068</v>
      </c>
      <c r="Q1270" s="1932" t="str">
        <f>+VLOOKUP(F1270,TT_Tabelle_Riferimento!$D$127:$E$164,2,FALSE)</f>
        <v>Fognatura</v>
      </c>
      <c r="R1270" s="1932" t="str">
        <f t="shared" si="111"/>
        <v/>
      </c>
      <c r="S1270" s="2335">
        <f t="shared" si="110"/>
        <v>0</v>
      </c>
    </row>
    <row r="1271" spans="1:19">
      <c r="A1271" s="1932">
        <f t="shared" si="108"/>
        <v>0</v>
      </c>
      <c r="B1271" s="1932">
        <f t="shared" si="109"/>
        <v>0</v>
      </c>
      <c r="C1271" s="1013" t="s">
        <v>245</v>
      </c>
      <c r="D1271" s="1013">
        <v>0</v>
      </c>
      <c r="E1271" s="1013" t="s">
        <v>22698</v>
      </c>
      <c r="F1271" s="1013">
        <v>13</v>
      </c>
      <c r="G1271" s="1932" t="str">
        <f>+VLOOKUP(F1271,TT_Tabelle_Riferimento!$D$127:$G$164,4,FALSE)</f>
        <v>Vasche di laminazione e vasche di prima pioggia</v>
      </c>
      <c r="H1271" s="1013">
        <v>1</v>
      </c>
      <c r="I1271" s="1932" t="str">
        <f>+VLOOKUP(H1271,TT_Tabelle_Riferimento!$F$3:$G$6,2,FALSE)</f>
        <v>Servizio idrico integrato</v>
      </c>
      <c r="J1271" s="1013">
        <v>2029</v>
      </c>
      <c r="K1271" s="2335">
        <f>+SUMIFS('PdI-crono_inv'!BL:BL,'PdI-crono_inv'!CF:CF,F1271,'PdI-crono_inv'!CE:CE,H1271,'PdI-crono_inv'!J:J,P1271,'PdI-crono_inv'!P:P,"&lt;&gt;proprietario")</f>
        <v>0</v>
      </c>
      <c r="M1271" s="2335">
        <f>+SUMIFS('PdI-crono_inv'!BM:BM,'PdI-crono_inv'!CF:CF,F1271,'PdI-crono_inv'!CE:CE,H1271,'PdI-crono_inv'!J:J,P1271,'PdI-crono_inv'!P:P,"&lt;&gt;proprietario")+S1271</f>
        <v>0</v>
      </c>
      <c r="P1271" s="1013" t="s">
        <v>27068</v>
      </c>
      <c r="Q1271" s="1932" t="str">
        <f>+VLOOKUP(F1271,TT_Tabelle_Riferimento!$D$127:$E$164,2,FALSE)</f>
        <v>Fognatura</v>
      </c>
      <c r="R1271" s="1932" t="str">
        <f t="shared" si="111"/>
        <v/>
      </c>
      <c r="S1271" s="2335">
        <f t="shared" si="110"/>
        <v>0</v>
      </c>
    </row>
    <row r="1272" spans="1:19">
      <c r="A1272" s="1932">
        <f t="shared" si="108"/>
        <v>0</v>
      </c>
      <c r="B1272" s="1932">
        <f t="shared" si="109"/>
        <v>0</v>
      </c>
      <c r="C1272" s="1013" t="s">
        <v>245</v>
      </c>
      <c r="D1272" s="1013">
        <v>0</v>
      </c>
      <c r="E1272" s="1013" t="s">
        <v>22698</v>
      </c>
      <c r="F1272" s="1013">
        <v>14</v>
      </c>
      <c r="G1272" s="1932" t="str">
        <f>+VLOOKUP(F1272,TT_Tabelle_Riferimento!$D$127:$G$164,4,FALSE)</f>
        <v>Impianti di sollevamento e pompaggio di fognatura</v>
      </c>
      <c r="H1272" s="1013">
        <v>1</v>
      </c>
      <c r="I1272" s="1932" t="str">
        <f>+VLOOKUP(H1272,TT_Tabelle_Riferimento!$F$3:$G$6,2,FALSE)</f>
        <v>Servizio idrico integrato</v>
      </c>
      <c r="J1272" s="1013">
        <v>2029</v>
      </c>
      <c r="K1272" s="2335">
        <f>+SUMIFS('PdI-crono_inv'!BL:BL,'PdI-crono_inv'!CF:CF,F1272,'PdI-crono_inv'!CE:CE,H1272,'PdI-crono_inv'!J:J,P1272,'PdI-crono_inv'!P:P,"&lt;&gt;proprietario")</f>
        <v>0</v>
      </c>
      <c r="M1272" s="2335">
        <f>+SUMIFS('PdI-crono_inv'!BM:BM,'PdI-crono_inv'!CF:CF,F1272,'PdI-crono_inv'!CE:CE,H1272,'PdI-crono_inv'!J:J,P1272,'PdI-crono_inv'!P:P,"&lt;&gt;proprietario")+S1272</f>
        <v>0</v>
      </c>
      <c r="P1272" s="1013" t="s">
        <v>27068</v>
      </c>
      <c r="Q1272" s="1932" t="str">
        <f>+VLOOKUP(F1272,TT_Tabelle_Riferimento!$D$127:$E$164,2,FALSE)</f>
        <v>Fognatura</v>
      </c>
      <c r="R1272" s="1932" t="str">
        <f t="shared" si="111"/>
        <v/>
      </c>
      <c r="S1272" s="2335">
        <f t="shared" si="110"/>
        <v>0</v>
      </c>
    </row>
    <row r="1273" spans="1:19">
      <c r="A1273" s="1932">
        <f t="shared" si="108"/>
        <v>0</v>
      </c>
      <c r="B1273" s="1932">
        <f t="shared" si="109"/>
        <v>0</v>
      </c>
      <c r="C1273" s="1013" t="s">
        <v>245</v>
      </c>
      <c r="D1273" s="1013">
        <v>0</v>
      </c>
      <c r="E1273" s="1013" t="s">
        <v>22698</v>
      </c>
      <c r="F1273" s="1013">
        <v>15</v>
      </c>
      <c r="G1273" s="1932" t="str">
        <f>+VLOOKUP(F1273,TT_Tabelle_Riferimento!$D$127:$G$164,4,FALSE)</f>
        <v>Gruppi di misura - altre attrezzature di fognatura</v>
      </c>
      <c r="H1273" s="1013">
        <v>1</v>
      </c>
      <c r="I1273" s="1932" t="str">
        <f>+VLOOKUP(H1273,TT_Tabelle_Riferimento!$F$3:$G$6,2,FALSE)</f>
        <v>Servizio idrico integrato</v>
      </c>
      <c r="J1273" s="1013">
        <v>2029</v>
      </c>
      <c r="K1273" s="2335">
        <f>+SUMIFS('PdI-crono_inv'!BL:BL,'PdI-crono_inv'!CF:CF,F1273,'PdI-crono_inv'!CE:CE,H1273,'PdI-crono_inv'!J:J,P1273,'PdI-crono_inv'!P:P,"&lt;&gt;proprietario")</f>
        <v>0</v>
      </c>
      <c r="M1273" s="2335">
        <f>+SUMIFS('PdI-crono_inv'!BM:BM,'PdI-crono_inv'!CF:CF,F1273,'PdI-crono_inv'!CE:CE,H1273,'PdI-crono_inv'!J:J,P1273,'PdI-crono_inv'!P:P,"&lt;&gt;proprietario")+S1273</f>
        <v>0</v>
      </c>
      <c r="P1273" s="1013" t="s">
        <v>27068</v>
      </c>
      <c r="Q1273" s="1932" t="str">
        <f>+VLOOKUP(F1273,TT_Tabelle_Riferimento!$D$127:$E$164,2,FALSE)</f>
        <v>Fognatura</v>
      </c>
      <c r="R1273" s="1932" t="str">
        <f t="shared" si="111"/>
        <v/>
      </c>
      <c r="S1273" s="2335">
        <f t="shared" si="110"/>
        <v>0</v>
      </c>
    </row>
    <row r="1274" spans="1:19">
      <c r="A1274" s="1932">
        <f t="shared" si="108"/>
        <v>0</v>
      </c>
      <c r="B1274" s="1932">
        <f t="shared" si="109"/>
        <v>0</v>
      </c>
      <c r="C1274" s="1013" t="s">
        <v>245</v>
      </c>
      <c r="D1274" s="1013">
        <v>0</v>
      </c>
      <c r="E1274" s="1013" t="s">
        <v>22698</v>
      </c>
      <c r="F1274" s="1013">
        <v>16</v>
      </c>
      <c r="G1274" s="1932" t="str">
        <f>+VLOOKUP(F1274,TT_Tabelle_Riferimento!$D$127:$G$164,4,FALSE)</f>
        <v>Sistemi informativi di fognatura</v>
      </c>
      <c r="H1274" s="1013">
        <v>1</v>
      </c>
      <c r="I1274" s="1932" t="str">
        <f>+VLOOKUP(H1274,TT_Tabelle_Riferimento!$F$3:$G$6,2,FALSE)</f>
        <v>Servizio idrico integrato</v>
      </c>
      <c r="J1274" s="1013">
        <v>2029</v>
      </c>
      <c r="K1274" s="2335">
        <f>+SUMIFS('PdI-crono_inv'!BL:BL,'PdI-crono_inv'!CF:CF,F1274,'PdI-crono_inv'!CE:CE,H1274,'PdI-crono_inv'!J:J,P1274,'PdI-crono_inv'!P:P,"&lt;&gt;proprietario")</f>
        <v>0</v>
      </c>
      <c r="M1274" s="2335">
        <f>+SUMIFS('PdI-crono_inv'!BM:BM,'PdI-crono_inv'!CF:CF,F1274,'PdI-crono_inv'!CE:CE,H1274,'PdI-crono_inv'!J:J,P1274,'PdI-crono_inv'!P:P,"&lt;&gt;proprietario")+S1274</f>
        <v>0</v>
      </c>
      <c r="P1274" s="1013" t="s">
        <v>27068</v>
      </c>
      <c r="Q1274" s="1932" t="str">
        <f>+VLOOKUP(F1274,TT_Tabelle_Riferimento!$D$127:$E$164,2,FALSE)</f>
        <v>Fognatura</v>
      </c>
      <c r="R1274" s="1932" t="str">
        <f t="shared" si="111"/>
        <v/>
      </c>
      <c r="S1274" s="2335">
        <f t="shared" si="110"/>
        <v>0</v>
      </c>
    </row>
    <row r="1275" spans="1:19">
      <c r="A1275" s="1932">
        <f t="shared" si="108"/>
        <v>0</v>
      </c>
      <c r="B1275" s="1932">
        <f t="shared" si="109"/>
        <v>0</v>
      </c>
      <c r="C1275" s="1013" t="s">
        <v>245</v>
      </c>
      <c r="D1275" s="1013">
        <v>0</v>
      </c>
      <c r="E1275" s="1013" t="s">
        <v>22698</v>
      </c>
      <c r="F1275" s="1013">
        <v>18</v>
      </c>
      <c r="G1275" s="1932" t="str">
        <f>+VLOOKUP(F1275,TT_Tabelle_Riferimento!$D$127:$G$164,4,FALSE)</f>
        <v>Telecontrollo e teletrasmissione di fognatura</v>
      </c>
      <c r="H1275" s="1013">
        <v>1</v>
      </c>
      <c r="I1275" s="1932" t="str">
        <f>+VLOOKUP(H1275,TT_Tabelle_Riferimento!$F$3:$G$6,2,FALSE)</f>
        <v>Servizio idrico integrato</v>
      </c>
      <c r="J1275" s="1013">
        <v>2029</v>
      </c>
      <c r="K1275" s="2335">
        <f>+SUMIFS('PdI-crono_inv'!BL:BL,'PdI-crono_inv'!CF:CF,F1275,'PdI-crono_inv'!CE:CE,H1275,'PdI-crono_inv'!J:J,P1275,'PdI-crono_inv'!P:P,"&lt;&gt;proprietario")</f>
        <v>0</v>
      </c>
      <c r="M1275" s="2335">
        <f>+SUMIFS('PdI-crono_inv'!BM:BM,'PdI-crono_inv'!CF:CF,F1275,'PdI-crono_inv'!CE:CE,H1275,'PdI-crono_inv'!J:J,P1275,'PdI-crono_inv'!P:P,"&lt;&gt;proprietario")+S1275</f>
        <v>0</v>
      </c>
      <c r="P1275" s="1013" t="s">
        <v>27068</v>
      </c>
      <c r="Q1275" s="1932" t="str">
        <f>+VLOOKUP(F1275,TT_Tabelle_Riferimento!$D$127:$E$164,2,FALSE)</f>
        <v>Fognatura</v>
      </c>
      <c r="R1275" s="1932" t="str">
        <f t="shared" si="111"/>
        <v/>
      </c>
      <c r="S1275" s="2335">
        <f t="shared" si="110"/>
        <v>0</v>
      </c>
    </row>
    <row r="1276" spans="1:19">
      <c r="A1276" s="1932">
        <f t="shared" si="108"/>
        <v>0</v>
      </c>
      <c r="B1276" s="1932">
        <f t="shared" si="109"/>
        <v>0</v>
      </c>
      <c r="C1276" s="1013" t="s">
        <v>245</v>
      </c>
      <c r="D1276" s="1013">
        <v>0</v>
      </c>
      <c r="E1276" s="1013" t="s">
        <v>22698</v>
      </c>
      <c r="F1276" s="1013">
        <v>19</v>
      </c>
      <c r="G1276" s="1932" t="str">
        <f>+VLOOKUP(F1276,TT_Tabelle_Riferimento!$D$127:$G$164,4,FALSE)</f>
        <v>Impianti di sollevamento e pompaggio di depurazione</v>
      </c>
      <c r="H1276" s="1013">
        <v>1</v>
      </c>
      <c r="I1276" s="1932" t="str">
        <f>+VLOOKUP(H1276,TT_Tabelle_Riferimento!$F$3:$G$6,2,FALSE)</f>
        <v>Servizio idrico integrato</v>
      </c>
      <c r="J1276" s="1013">
        <v>2029</v>
      </c>
      <c r="K1276" s="2335">
        <f>+SUMIFS('PdI-crono_inv'!BL:BL,'PdI-crono_inv'!CF:CF,F1276,'PdI-crono_inv'!CE:CE,H1276,'PdI-crono_inv'!J:J,P1276,'PdI-crono_inv'!P:P,"&lt;&gt;proprietario")</f>
        <v>0</v>
      </c>
      <c r="M1276" s="2335">
        <f>+SUMIFS('PdI-crono_inv'!BM:BM,'PdI-crono_inv'!CF:CF,F1276,'PdI-crono_inv'!CE:CE,H1276,'PdI-crono_inv'!J:J,P1276,'PdI-crono_inv'!P:P,"&lt;&gt;proprietario")+S1276</f>
        <v>0</v>
      </c>
      <c r="P1276" s="1013" t="s">
        <v>27068</v>
      </c>
      <c r="Q1276" s="1932" t="str">
        <f>+VLOOKUP(F1276,TT_Tabelle_Riferimento!$D$127:$E$164,2,FALSE)</f>
        <v>Depurazione</v>
      </c>
      <c r="R1276" s="1932" t="str">
        <f t="shared" si="111"/>
        <v/>
      </c>
      <c r="S1276" s="2335">
        <f t="shared" si="110"/>
        <v>0</v>
      </c>
    </row>
    <row r="1277" spans="1:19">
      <c r="A1277" s="1932">
        <f t="shared" si="108"/>
        <v>0</v>
      </c>
      <c r="B1277" s="1932">
        <f t="shared" si="109"/>
        <v>0</v>
      </c>
      <c r="C1277" s="1013" t="s">
        <v>245</v>
      </c>
      <c r="D1277" s="1013">
        <v>0</v>
      </c>
      <c r="E1277" s="1013" t="s">
        <v>22698</v>
      </c>
      <c r="F1277" s="1013">
        <v>20</v>
      </c>
      <c r="G1277" s="1932" t="str">
        <f>+VLOOKUP(F1277,TT_Tabelle_Riferimento!$D$127:$G$164,4,FALSE)</f>
        <v>Tecniche naturali di depurazione (tra cui fitodepurazione e lagunaggio)</v>
      </c>
      <c r="H1277" s="1013">
        <v>1</v>
      </c>
      <c r="I1277" s="1932" t="str">
        <f>+VLOOKUP(H1277,TT_Tabelle_Riferimento!$F$3:$G$6,2,FALSE)</f>
        <v>Servizio idrico integrato</v>
      </c>
      <c r="J1277" s="1013">
        <v>2029</v>
      </c>
      <c r="K1277" s="2335">
        <f>+SUMIFS('PdI-crono_inv'!BL:BL,'PdI-crono_inv'!CF:CF,F1277,'PdI-crono_inv'!CE:CE,H1277,'PdI-crono_inv'!J:J,P1277,'PdI-crono_inv'!P:P,"&lt;&gt;proprietario")</f>
        <v>0</v>
      </c>
      <c r="M1277" s="2335">
        <f>+SUMIFS('PdI-crono_inv'!BM:BM,'PdI-crono_inv'!CF:CF,F1277,'PdI-crono_inv'!CE:CE,H1277,'PdI-crono_inv'!J:J,P1277,'PdI-crono_inv'!P:P,"&lt;&gt;proprietario")+S1277</f>
        <v>0</v>
      </c>
      <c r="P1277" s="1013" t="s">
        <v>27068</v>
      </c>
      <c r="Q1277" s="1932" t="str">
        <f>+VLOOKUP(F1277,TT_Tabelle_Riferimento!$D$127:$E$164,2,FALSE)</f>
        <v>Depurazione</v>
      </c>
      <c r="R1277" s="1932" t="str">
        <f t="shared" si="111"/>
        <v/>
      </c>
      <c r="S1277" s="2335">
        <f t="shared" si="110"/>
        <v>0</v>
      </c>
    </row>
    <row r="1278" spans="1:19">
      <c r="A1278" s="1932">
        <f t="shared" si="108"/>
        <v>0</v>
      </c>
      <c r="B1278" s="1932">
        <f t="shared" si="109"/>
        <v>0</v>
      </c>
      <c r="C1278" s="1013" t="s">
        <v>245</v>
      </c>
      <c r="D1278" s="1013">
        <v>0</v>
      </c>
      <c r="E1278" s="1013" t="s">
        <v>22698</v>
      </c>
      <c r="F1278" s="1013">
        <v>21</v>
      </c>
      <c r="G1278" s="1932" t="str">
        <f>+VLOOKUP(F1278,TT_Tabelle_Riferimento!$D$127:$G$164,4,FALSE)</f>
        <v>Impianti di depurazione – trattamenti sino al preliminare, integrativo, primario - fosse settiche e fosse Imhoff</v>
      </c>
      <c r="H1278" s="1013">
        <v>1</v>
      </c>
      <c r="I1278" s="1932" t="str">
        <f>+VLOOKUP(H1278,TT_Tabelle_Riferimento!$F$3:$G$6,2,FALSE)</f>
        <v>Servizio idrico integrato</v>
      </c>
      <c r="J1278" s="1013">
        <v>2029</v>
      </c>
      <c r="K1278" s="2335">
        <f>+SUMIFS('PdI-crono_inv'!BL:BL,'PdI-crono_inv'!CF:CF,F1278,'PdI-crono_inv'!CE:CE,H1278,'PdI-crono_inv'!J:J,P1278,'PdI-crono_inv'!P:P,"&lt;&gt;proprietario")</f>
        <v>0</v>
      </c>
      <c r="M1278" s="2335">
        <f>+SUMIFS('PdI-crono_inv'!BM:BM,'PdI-crono_inv'!CF:CF,F1278,'PdI-crono_inv'!CE:CE,H1278,'PdI-crono_inv'!J:J,P1278,'PdI-crono_inv'!P:P,"&lt;&gt;proprietario")+S1278</f>
        <v>0</v>
      </c>
      <c r="P1278" s="1013" t="s">
        <v>27068</v>
      </c>
      <c r="Q1278" s="1932" t="str">
        <f>+VLOOKUP(F1278,TT_Tabelle_Riferimento!$D$127:$E$164,2,FALSE)</f>
        <v>Depurazione</v>
      </c>
      <c r="R1278" s="1932" t="str">
        <f t="shared" si="111"/>
        <v/>
      </c>
      <c r="S1278" s="2335">
        <f t="shared" si="110"/>
        <v>0</v>
      </c>
    </row>
    <row r="1279" spans="1:19">
      <c r="A1279" s="1932">
        <f t="shared" si="108"/>
        <v>0</v>
      </c>
      <c r="B1279" s="1932">
        <f t="shared" si="109"/>
        <v>0</v>
      </c>
      <c r="C1279" s="1013" t="s">
        <v>245</v>
      </c>
      <c r="D1279" s="1013">
        <v>0</v>
      </c>
      <c r="E1279" s="1013" t="s">
        <v>22698</v>
      </c>
      <c r="F1279" s="1013">
        <v>22</v>
      </c>
      <c r="G1279" s="1932" t="str">
        <f>+VLOOKUP(F1279,TT_Tabelle_Riferimento!$D$127:$G$164,4,FALSE)</f>
        <v>Impianti di depurazione – trattamenti sino al secondario</v>
      </c>
      <c r="H1279" s="1013">
        <v>1</v>
      </c>
      <c r="I1279" s="1932" t="str">
        <f>+VLOOKUP(H1279,TT_Tabelle_Riferimento!$F$3:$G$6,2,FALSE)</f>
        <v>Servizio idrico integrato</v>
      </c>
      <c r="J1279" s="1013">
        <v>2029</v>
      </c>
      <c r="K1279" s="2335">
        <f>+SUMIFS('PdI-crono_inv'!BL:BL,'PdI-crono_inv'!CF:CF,F1279,'PdI-crono_inv'!CE:CE,H1279,'PdI-crono_inv'!J:J,P1279,'PdI-crono_inv'!P:P,"&lt;&gt;proprietario")</f>
        <v>0</v>
      </c>
      <c r="M1279" s="2335">
        <f>+SUMIFS('PdI-crono_inv'!BM:BM,'PdI-crono_inv'!CF:CF,F1279,'PdI-crono_inv'!CE:CE,H1279,'PdI-crono_inv'!J:J,P1279,'PdI-crono_inv'!P:P,"&lt;&gt;proprietario")+S1279</f>
        <v>0</v>
      </c>
      <c r="P1279" s="1013" t="s">
        <v>27068</v>
      </c>
      <c r="Q1279" s="1932" t="str">
        <f>+VLOOKUP(F1279,TT_Tabelle_Riferimento!$D$127:$E$164,2,FALSE)</f>
        <v>Depurazione</v>
      </c>
      <c r="R1279" s="1932" t="str">
        <f t="shared" si="111"/>
        <v/>
      </c>
      <c r="S1279" s="2335">
        <f t="shared" si="110"/>
        <v>0</v>
      </c>
    </row>
    <row r="1280" spans="1:19">
      <c r="A1280" s="1932">
        <f t="shared" si="108"/>
        <v>0</v>
      </c>
      <c r="B1280" s="1932">
        <f t="shared" si="109"/>
        <v>0</v>
      </c>
      <c r="C1280" s="1013" t="s">
        <v>245</v>
      </c>
      <c r="D1280" s="1013">
        <v>0</v>
      </c>
      <c r="E1280" s="1013" t="s">
        <v>22698</v>
      </c>
      <c r="F1280" s="1013">
        <v>23</v>
      </c>
      <c r="G1280" s="1932" t="str">
        <f>+VLOOKUP(F1280,TT_Tabelle_Riferimento!$D$127:$G$164,4,FALSE)</f>
        <v>Impianti di depurazione – trattamenti sino al terziario e terziario avanzato</v>
      </c>
      <c r="H1280" s="1013">
        <v>1</v>
      </c>
      <c r="I1280" s="1932" t="str">
        <f>+VLOOKUP(H1280,TT_Tabelle_Riferimento!$F$3:$G$6,2,FALSE)</f>
        <v>Servizio idrico integrato</v>
      </c>
      <c r="J1280" s="1013">
        <v>2029</v>
      </c>
      <c r="K1280" s="2335">
        <f>+SUMIFS('PdI-crono_inv'!BL:BL,'PdI-crono_inv'!CF:CF,F1280,'PdI-crono_inv'!CE:CE,H1280,'PdI-crono_inv'!J:J,P1280,'PdI-crono_inv'!P:P,"&lt;&gt;proprietario")</f>
        <v>0</v>
      </c>
      <c r="M1280" s="2335">
        <f>+SUMIFS('PdI-crono_inv'!BM:BM,'PdI-crono_inv'!CF:CF,F1280,'PdI-crono_inv'!CE:CE,H1280,'PdI-crono_inv'!J:J,P1280,'PdI-crono_inv'!P:P,"&lt;&gt;proprietario")+S1280</f>
        <v>0</v>
      </c>
      <c r="P1280" s="1013" t="s">
        <v>27068</v>
      </c>
      <c r="Q1280" s="1932" t="str">
        <f>+VLOOKUP(F1280,TT_Tabelle_Riferimento!$D$127:$E$164,2,FALSE)</f>
        <v>Depurazione</v>
      </c>
      <c r="R1280" s="1932" t="str">
        <f t="shared" si="111"/>
        <v/>
      </c>
      <c r="S1280" s="2335">
        <f t="shared" si="110"/>
        <v>0</v>
      </c>
    </row>
    <row r="1281" spans="1:19">
      <c r="A1281" s="1932">
        <f t="shared" si="108"/>
        <v>0</v>
      </c>
      <c r="B1281" s="1932">
        <f t="shared" si="109"/>
        <v>0</v>
      </c>
      <c r="C1281" s="1013" t="s">
        <v>245</v>
      </c>
      <c r="D1281" s="1013">
        <v>0</v>
      </c>
      <c r="E1281" s="1013" t="s">
        <v>22698</v>
      </c>
      <c r="F1281" s="1013">
        <v>24</v>
      </c>
      <c r="G1281" s="1932" t="str">
        <f>+VLOOKUP(F1281,TT_Tabelle_Riferimento!$D$127:$G$164,4,FALSE)</f>
        <v>Impianti di essiccamento fanghi e di valorizzazione dei fanghi (tra cui mono-incenerimento, pirolisi, gassificazione)</v>
      </c>
      <c r="H1281" s="1013">
        <v>1</v>
      </c>
      <c r="I1281" s="1932" t="str">
        <f>+VLOOKUP(H1281,TT_Tabelle_Riferimento!$F$3:$G$6,2,FALSE)</f>
        <v>Servizio idrico integrato</v>
      </c>
      <c r="J1281" s="1013">
        <v>2029</v>
      </c>
      <c r="K1281" s="2335">
        <f>+SUMIFS('PdI-crono_inv'!BL:BL,'PdI-crono_inv'!CF:CF,F1281,'PdI-crono_inv'!CE:CE,H1281,'PdI-crono_inv'!J:J,P1281,'PdI-crono_inv'!P:P,"&lt;&gt;proprietario")</f>
        <v>0</v>
      </c>
      <c r="M1281" s="2335">
        <f>+SUMIFS('PdI-crono_inv'!BM:BM,'PdI-crono_inv'!CF:CF,F1281,'PdI-crono_inv'!CE:CE,H1281,'PdI-crono_inv'!J:J,P1281,'PdI-crono_inv'!P:P,"&lt;&gt;proprietario")+S1281</f>
        <v>0</v>
      </c>
      <c r="P1281" s="1013" t="s">
        <v>27068</v>
      </c>
      <c r="Q1281" s="1932" t="str">
        <f>+VLOOKUP(F1281,TT_Tabelle_Riferimento!$D$127:$E$164,2,FALSE)</f>
        <v>Depurazione</v>
      </c>
      <c r="R1281" s="1932" t="str">
        <f t="shared" si="111"/>
        <v/>
      </c>
      <c r="S1281" s="2335">
        <f t="shared" si="110"/>
        <v>0</v>
      </c>
    </row>
    <row r="1282" spans="1:19">
      <c r="A1282" s="1932">
        <f t="shared" si="108"/>
        <v>0</v>
      </c>
      <c r="B1282" s="1932">
        <f t="shared" si="109"/>
        <v>0</v>
      </c>
      <c r="C1282" s="1013" t="s">
        <v>245</v>
      </c>
      <c r="D1282" s="1013">
        <v>0</v>
      </c>
      <c r="E1282" s="1013" t="s">
        <v>22698</v>
      </c>
      <c r="F1282" s="1013">
        <v>25</v>
      </c>
      <c r="G1282" s="1932" t="str">
        <f>+VLOOKUP(F1282,TT_Tabelle_Riferimento!$D$127:$G$164,4,FALSE)</f>
        <v>Gruppi di misura - altre attrezzature di depurazione</v>
      </c>
      <c r="H1282" s="1013">
        <v>1</v>
      </c>
      <c r="I1282" s="1932" t="str">
        <f>+VLOOKUP(H1282,TT_Tabelle_Riferimento!$F$3:$G$6,2,FALSE)</f>
        <v>Servizio idrico integrato</v>
      </c>
      <c r="J1282" s="1013">
        <v>2029</v>
      </c>
      <c r="K1282" s="2335">
        <f>+SUMIFS('PdI-crono_inv'!BL:BL,'PdI-crono_inv'!CF:CF,F1282,'PdI-crono_inv'!CE:CE,H1282,'PdI-crono_inv'!J:J,P1282,'PdI-crono_inv'!P:P,"&lt;&gt;proprietario")</f>
        <v>0</v>
      </c>
      <c r="M1282" s="2335">
        <f>+SUMIFS('PdI-crono_inv'!BM:BM,'PdI-crono_inv'!CF:CF,F1282,'PdI-crono_inv'!CE:CE,H1282,'PdI-crono_inv'!J:J,P1282,'PdI-crono_inv'!P:P,"&lt;&gt;proprietario")+S1282</f>
        <v>0</v>
      </c>
      <c r="P1282" s="1013" t="s">
        <v>27068</v>
      </c>
      <c r="Q1282" s="1932" t="str">
        <f>+VLOOKUP(F1282,TT_Tabelle_Riferimento!$D$127:$E$164,2,FALSE)</f>
        <v>Depurazione</v>
      </c>
      <c r="R1282" s="1932" t="str">
        <f t="shared" si="111"/>
        <v/>
      </c>
      <c r="S1282" s="2335">
        <f t="shared" si="110"/>
        <v>0</v>
      </c>
    </row>
    <row r="1283" spans="1:19">
      <c r="A1283" s="1932">
        <f t="shared" si="108"/>
        <v>0</v>
      </c>
      <c r="B1283" s="1932">
        <f t="shared" si="109"/>
        <v>0</v>
      </c>
      <c r="C1283" s="1013" t="s">
        <v>245</v>
      </c>
      <c r="D1283" s="1013">
        <v>0</v>
      </c>
      <c r="E1283" s="1013" t="s">
        <v>22698</v>
      </c>
      <c r="F1283" s="1013">
        <v>26</v>
      </c>
      <c r="G1283" s="1932" t="str">
        <f>+VLOOKUP(F1283,TT_Tabelle_Riferimento!$D$127:$G$164,4,FALSE)</f>
        <v>Sistemi informativi di depurazione</v>
      </c>
      <c r="H1283" s="1013">
        <v>1</v>
      </c>
      <c r="I1283" s="1932" t="str">
        <f>+VLOOKUP(H1283,TT_Tabelle_Riferimento!$F$3:$G$6,2,FALSE)</f>
        <v>Servizio idrico integrato</v>
      </c>
      <c r="J1283" s="1013">
        <v>2029</v>
      </c>
      <c r="K1283" s="2335">
        <f>+SUMIFS('PdI-crono_inv'!BL:BL,'PdI-crono_inv'!CF:CF,F1283,'PdI-crono_inv'!CE:CE,H1283,'PdI-crono_inv'!J:J,P1283,'PdI-crono_inv'!P:P,"&lt;&gt;proprietario")</f>
        <v>0</v>
      </c>
      <c r="M1283" s="2335">
        <f>+SUMIFS('PdI-crono_inv'!BM:BM,'PdI-crono_inv'!CF:CF,F1283,'PdI-crono_inv'!CE:CE,H1283,'PdI-crono_inv'!J:J,P1283,'PdI-crono_inv'!P:P,"&lt;&gt;proprietario")+S1283</f>
        <v>0</v>
      </c>
      <c r="P1283" s="1013" t="s">
        <v>27068</v>
      </c>
      <c r="Q1283" s="1932" t="str">
        <f>+VLOOKUP(F1283,TT_Tabelle_Riferimento!$D$127:$E$164,2,FALSE)</f>
        <v>Depurazione</v>
      </c>
      <c r="R1283" s="1932" t="str">
        <f t="shared" si="111"/>
        <v/>
      </c>
      <c r="S1283" s="2335">
        <f t="shared" si="110"/>
        <v>0</v>
      </c>
    </row>
    <row r="1284" spans="1:19">
      <c r="A1284" s="1932">
        <f t="shared" si="108"/>
        <v>0</v>
      </c>
      <c r="B1284" s="1932">
        <f t="shared" si="109"/>
        <v>0</v>
      </c>
      <c r="C1284" s="1013" t="s">
        <v>245</v>
      </c>
      <c r="D1284" s="1013">
        <v>0</v>
      </c>
      <c r="E1284" s="1013" t="s">
        <v>22698</v>
      </c>
      <c r="F1284" s="1013">
        <v>27</v>
      </c>
      <c r="G1284" s="1932" t="str">
        <f>+VLOOKUP(F1284,TT_Tabelle_Riferimento!$D$127:$G$164,4,FALSE)</f>
        <v>Telecontrollo e teletrasmissione di depurazione</v>
      </c>
      <c r="H1284" s="1013">
        <v>1</v>
      </c>
      <c r="I1284" s="1932" t="str">
        <f>+VLOOKUP(H1284,TT_Tabelle_Riferimento!$F$3:$G$6,2,FALSE)</f>
        <v>Servizio idrico integrato</v>
      </c>
      <c r="J1284" s="1013">
        <v>2029</v>
      </c>
      <c r="K1284" s="2335">
        <f>+SUMIFS('PdI-crono_inv'!BL:BL,'PdI-crono_inv'!CF:CF,F1284,'PdI-crono_inv'!CE:CE,H1284,'PdI-crono_inv'!J:J,P1284,'PdI-crono_inv'!P:P,"&lt;&gt;proprietario")</f>
        <v>0</v>
      </c>
      <c r="M1284" s="2335">
        <f>+SUMIFS('PdI-crono_inv'!BM:BM,'PdI-crono_inv'!CF:CF,F1284,'PdI-crono_inv'!CE:CE,H1284,'PdI-crono_inv'!J:J,P1284,'PdI-crono_inv'!P:P,"&lt;&gt;proprietario")+S1284</f>
        <v>0</v>
      </c>
      <c r="P1284" s="1013" t="s">
        <v>27068</v>
      </c>
      <c r="Q1284" s="1932" t="str">
        <f>+VLOOKUP(F1284,TT_Tabelle_Riferimento!$D$127:$E$164,2,FALSE)</f>
        <v>Depurazione</v>
      </c>
      <c r="R1284" s="1932" t="str">
        <f t="shared" si="111"/>
        <v/>
      </c>
      <c r="S1284" s="2335">
        <f t="shared" si="110"/>
        <v>0</v>
      </c>
    </row>
    <row r="1285" spans="1:19">
      <c r="A1285" s="1932">
        <f t="shared" si="108"/>
        <v>0</v>
      </c>
      <c r="B1285" s="1932">
        <f t="shared" si="109"/>
        <v>0</v>
      </c>
      <c r="C1285" s="1013" t="s">
        <v>245</v>
      </c>
      <c r="D1285" s="1013">
        <v>0</v>
      </c>
      <c r="E1285" s="1013" t="s">
        <v>22698</v>
      </c>
      <c r="F1285" s="1013">
        <v>28</v>
      </c>
      <c r="G1285" s="1932" t="str">
        <f>+VLOOKUP(F1285,TT_Tabelle_Riferimento!$D$127:$G$164,4,FALSE)</f>
        <v>Altri impianti</v>
      </c>
      <c r="H1285" s="1013">
        <v>1</v>
      </c>
      <c r="I1285" s="1932" t="str">
        <f>+VLOOKUP(H1285,TT_Tabelle_Riferimento!$F$3:$G$6,2,FALSE)</f>
        <v>Servizio idrico integrato</v>
      </c>
      <c r="J1285" s="1013">
        <v>2029</v>
      </c>
      <c r="K1285" s="2335">
        <f>+SUMIFS('PdI-crono_inv'!BL:BL,'PdI-crono_inv'!CF:CF,F1285,'PdI-crono_inv'!CE:CE,H1285,'PdI-crono_inv'!J:J,P1285,'PdI-crono_inv'!P:P,"&lt;&gt;proprietario")</f>
        <v>0</v>
      </c>
      <c r="M1285" s="2335">
        <f>+SUMIFS('PdI-crono_inv'!BM:BM,'PdI-crono_inv'!CF:CF,F1285,'PdI-crono_inv'!CE:CE,H1285,'PdI-crono_inv'!J:J,P1285,'PdI-crono_inv'!P:P,"&lt;&gt;proprietario")+S1285</f>
        <v>0</v>
      </c>
      <c r="P1285" s="1013" t="s">
        <v>27068</v>
      </c>
      <c r="Q1285" s="1932" t="str">
        <f>+VLOOKUP(F1285,TT_Tabelle_Riferimento!$D$127:$E$164,2,FALSE)</f>
        <v>Comune</v>
      </c>
      <c r="R1285" s="1932" t="str">
        <f t="shared" si="111"/>
        <v/>
      </c>
      <c r="S1285" s="2335">
        <f t="shared" si="110"/>
        <v>0</v>
      </c>
    </row>
    <row r="1286" spans="1:19">
      <c r="A1286" s="1932">
        <f t="shared" ref="A1286:A1294" si="112">+idato</f>
        <v>0</v>
      </c>
      <c r="B1286" s="1932">
        <f t="shared" ref="B1286:B1294" si="113">+idgestore</f>
        <v>0</v>
      </c>
      <c r="C1286" s="1013" t="s">
        <v>245</v>
      </c>
      <c r="D1286" s="1013">
        <v>0</v>
      </c>
      <c r="E1286" s="1013" t="s">
        <v>22698</v>
      </c>
      <c r="F1286" s="1013">
        <v>29</v>
      </c>
      <c r="G1286" s="1932" t="str">
        <f>+VLOOKUP(F1286,TT_Tabelle_Riferimento!$D$127:$G$164,4,FALSE)</f>
        <v>Laboratori e attrezzature</v>
      </c>
      <c r="H1286" s="1013">
        <v>1</v>
      </c>
      <c r="I1286" s="1932" t="str">
        <f>+VLOOKUP(H1286,TT_Tabelle_Riferimento!$F$3:$G$6,2,FALSE)</f>
        <v>Servizio idrico integrato</v>
      </c>
      <c r="J1286" s="1013">
        <v>2029</v>
      </c>
      <c r="K1286" s="2335">
        <f>+SUMIFS('PdI-crono_inv'!BL:BL,'PdI-crono_inv'!CF:CF,F1286,'PdI-crono_inv'!CE:CE,H1286,'PdI-crono_inv'!J:J,P1286,'PdI-crono_inv'!P:P,"&lt;&gt;proprietario")</f>
        <v>0</v>
      </c>
      <c r="M1286" s="2335">
        <f>+SUMIFS('PdI-crono_inv'!BM:BM,'PdI-crono_inv'!CF:CF,F1286,'PdI-crono_inv'!CE:CE,H1286,'PdI-crono_inv'!J:J,P1286,'PdI-crono_inv'!P:P,"&lt;&gt;proprietario")+S1286</f>
        <v>0</v>
      </c>
      <c r="P1286" s="1013" t="s">
        <v>27068</v>
      </c>
      <c r="Q1286" s="1932" t="str">
        <f>+VLOOKUP(F1286,TT_Tabelle_Riferimento!$D$127:$E$164,2,FALSE)</f>
        <v>Comune</v>
      </c>
      <c r="R1286" s="1932" t="str">
        <f t="shared" si="111"/>
        <v/>
      </c>
      <c r="S1286" s="2335">
        <f t="shared" si="110"/>
        <v>0</v>
      </c>
    </row>
    <row r="1287" spans="1:19">
      <c r="A1287" s="1932">
        <f t="shared" si="112"/>
        <v>0</v>
      </c>
      <c r="B1287" s="1932">
        <f t="shared" si="113"/>
        <v>0</v>
      </c>
      <c r="C1287" s="1013" t="s">
        <v>245</v>
      </c>
      <c r="D1287" s="1013">
        <v>0</v>
      </c>
      <c r="E1287" s="1013" t="s">
        <v>22698</v>
      </c>
      <c r="F1287" s="1013">
        <v>30</v>
      </c>
      <c r="G1287" s="1932" t="str">
        <f>+VLOOKUP(F1287,TT_Tabelle_Riferimento!$D$127:$G$164,4,FALSE)</f>
        <v>Sistemi informativi</v>
      </c>
      <c r="H1287" s="1013">
        <v>1</v>
      </c>
      <c r="I1287" s="1932" t="str">
        <f>+VLOOKUP(H1287,TT_Tabelle_Riferimento!$F$3:$G$6,2,FALSE)</f>
        <v>Servizio idrico integrato</v>
      </c>
      <c r="J1287" s="1013">
        <v>2029</v>
      </c>
      <c r="K1287" s="2335">
        <f>+SUMIFS('PdI-crono_inv'!BL:BL,'PdI-crono_inv'!CF:CF,F1287,'PdI-crono_inv'!CE:CE,H1287,'PdI-crono_inv'!J:J,P1287,'PdI-crono_inv'!P:P,"&lt;&gt;proprietario")</f>
        <v>0</v>
      </c>
      <c r="M1287" s="2335">
        <f>+SUMIFS('PdI-crono_inv'!BM:BM,'PdI-crono_inv'!CF:CF,F1287,'PdI-crono_inv'!CE:CE,H1287,'PdI-crono_inv'!J:J,P1287,'PdI-crono_inv'!P:P,"&lt;&gt;proprietario")+S1287</f>
        <v>0</v>
      </c>
      <c r="P1287" s="1013" t="s">
        <v>27068</v>
      </c>
      <c r="Q1287" s="1932" t="str">
        <f>+VLOOKUP(F1287,TT_Tabelle_Riferimento!$D$127:$E$164,2,FALSE)</f>
        <v>Comune</v>
      </c>
      <c r="R1287" s="1932" t="str">
        <f t="shared" si="111"/>
        <v/>
      </c>
      <c r="S1287" s="2335">
        <f t="shared" ref="S1287:S1350" si="114">+IFERROR(HLOOKUP(J1287,$X$2:$Y$5,4,FALSE)*K1287,0)</f>
        <v>0</v>
      </c>
    </row>
    <row r="1288" spans="1:19">
      <c r="A1288" s="1932">
        <f t="shared" si="112"/>
        <v>0</v>
      </c>
      <c r="B1288" s="1932">
        <f t="shared" si="113"/>
        <v>0</v>
      </c>
      <c r="C1288" s="1013" t="s">
        <v>245</v>
      </c>
      <c r="D1288" s="1013">
        <v>0</v>
      </c>
      <c r="E1288" s="1013" t="s">
        <v>22698</v>
      </c>
      <c r="F1288" s="1013">
        <v>31</v>
      </c>
      <c r="G1288" s="1932" t="str">
        <f>+VLOOKUP(F1288,TT_Tabelle_Riferimento!$D$127:$G$164,4,FALSE)</f>
        <v>Telecontrollo e teletrasmissione</v>
      </c>
      <c r="H1288" s="1013">
        <v>1</v>
      </c>
      <c r="I1288" s="1932" t="str">
        <f>+VLOOKUP(H1288,TT_Tabelle_Riferimento!$F$3:$G$6,2,FALSE)</f>
        <v>Servizio idrico integrato</v>
      </c>
      <c r="J1288" s="1013">
        <v>2029</v>
      </c>
      <c r="K1288" s="2335">
        <f>+SUMIFS('PdI-crono_inv'!BL:BL,'PdI-crono_inv'!CF:CF,F1288,'PdI-crono_inv'!CE:CE,H1288,'PdI-crono_inv'!J:J,P1288,'PdI-crono_inv'!P:P,"&lt;&gt;proprietario")</f>
        <v>0</v>
      </c>
      <c r="M1288" s="2335">
        <f>+SUMIFS('PdI-crono_inv'!BM:BM,'PdI-crono_inv'!CF:CF,F1288,'PdI-crono_inv'!CE:CE,H1288,'PdI-crono_inv'!J:J,P1288,'PdI-crono_inv'!P:P,"&lt;&gt;proprietario")+S1288</f>
        <v>0</v>
      </c>
      <c r="P1288" s="1013" t="s">
        <v>27068</v>
      </c>
      <c r="Q1288" s="1932" t="str">
        <f>+VLOOKUP(F1288,TT_Tabelle_Riferimento!$D$127:$E$164,2,FALSE)</f>
        <v>Comune</v>
      </c>
      <c r="R1288" s="1932" t="str">
        <f t="shared" si="111"/>
        <v/>
      </c>
      <c r="S1288" s="2335">
        <f t="shared" si="114"/>
        <v>0</v>
      </c>
    </row>
    <row r="1289" spans="1:19">
      <c r="A1289" s="1932">
        <f t="shared" si="112"/>
        <v>0</v>
      </c>
      <c r="B1289" s="1932">
        <f t="shared" si="113"/>
        <v>0</v>
      </c>
      <c r="C1289" s="1013" t="s">
        <v>245</v>
      </c>
      <c r="D1289" s="1013">
        <v>0</v>
      </c>
      <c r="E1289" s="1013" t="s">
        <v>22698</v>
      </c>
      <c r="F1289" s="1013">
        <v>32</v>
      </c>
      <c r="G1289" s="1932" t="str">
        <f>+VLOOKUP(F1289,TT_Tabelle_Riferimento!$D$127:$G$164,4,FALSE)</f>
        <v>Autoveicoli - automezzi</v>
      </c>
      <c r="H1289" s="1013">
        <v>1</v>
      </c>
      <c r="I1289" s="1932" t="str">
        <f>+VLOOKUP(H1289,TT_Tabelle_Riferimento!$F$3:$G$6,2,FALSE)</f>
        <v>Servizio idrico integrato</v>
      </c>
      <c r="J1289" s="1013">
        <v>2029</v>
      </c>
      <c r="K1289" s="2335">
        <f>+SUMIFS('PdI-crono_inv'!BL:BL,'PdI-crono_inv'!CF:CF,F1289,'PdI-crono_inv'!CE:CE,H1289,'PdI-crono_inv'!J:J,P1289,'PdI-crono_inv'!P:P,"&lt;&gt;proprietario")</f>
        <v>0</v>
      </c>
      <c r="M1289" s="2335">
        <f>+SUMIFS('PdI-crono_inv'!BM:BM,'PdI-crono_inv'!CF:CF,F1289,'PdI-crono_inv'!CE:CE,H1289,'PdI-crono_inv'!J:J,P1289,'PdI-crono_inv'!P:P,"&lt;&gt;proprietario")+S1289</f>
        <v>0</v>
      </c>
      <c r="P1289" s="1013" t="s">
        <v>27068</v>
      </c>
      <c r="Q1289" s="1932" t="str">
        <f>+VLOOKUP(F1289,TT_Tabelle_Riferimento!$D$127:$E$164,2,FALSE)</f>
        <v>Comune</v>
      </c>
      <c r="R1289" s="1932" t="str">
        <f t="shared" si="111"/>
        <v/>
      </c>
      <c r="S1289" s="2335">
        <f t="shared" si="114"/>
        <v>0</v>
      </c>
    </row>
    <row r="1290" spans="1:19">
      <c r="A1290" s="1932">
        <f t="shared" si="112"/>
        <v>0</v>
      </c>
      <c r="B1290" s="1932">
        <f t="shared" si="113"/>
        <v>0</v>
      </c>
      <c r="C1290" s="1013" t="s">
        <v>245</v>
      </c>
      <c r="D1290" s="1013">
        <v>0</v>
      </c>
      <c r="E1290" s="1013" t="s">
        <v>22698</v>
      </c>
      <c r="F1290" s="1013">
        <v>1</v>
      </c>
      <c r="G1290" s="1932" t="str">
        <f>+VLOOKUP(F1290,TT_Tabelle_Riferimento!$D$127:$G$164,4,FALSE)</f>
        <v>Terreni</v>
      </c>
      <c r="H1290" s="1013">
        <v>1</v>
      </c>
      <c r="I1290" s="1932" t="str">
        <f>+VLOOKUP(H1290,TT_Tabelle_Riferimento!$F$3:$G$6,2,FALSE)</f>
        <v>Servizio idrico integrato</v>
      </c>
      <c r="J1290" s="1013">
        <v>2029</v>
      </c>
      <c r="K1290" s="2335">
        <f>+SUMIFS('PdI-crono_inv'!BL:BL,'PdI-crono_inv'!CF:CF,F1290,'PdI-crono_inv'!CE:CE,H1290,'PdI-crono_inv'!J:J,P1290,'PdI-crono_inv'!P:P,"&lt;&gt;proprietario")</f>
        <v>0</v>
      </c>
      <c r="M1290" s="2335">
        <f>+SUMIFS('PdI-crono_inv'!BM:BM,'PdI-crono_inv'!CF:CF,F1290,'PdI-crono_inv'!CE:CE,H1290,'PdI-crono_inv'!J:J,P1290,'PdI-crono_inv'!P:P,"&lt;&gt;proprietario")+S1290</f>
        <v>0</v>
      </c>
      <c r="P1290" s="1013" t="s">
        <v>27068</v>
      </c>
      <c r="Q1290" s="1932" t="str">
        <f>+VLOOKUP(F1290,TT_Tabelle_Riferimento!$D$127:$E$164,2,FALSE)</f>
        <v>Comune</v>
      </c>
      <c r="R1290" s="1932" t="str">
        <f t="shared" si="111"/>
        <v/>
      </c>
      <c r="S1290" s="2335">
        <f t="shared" si="114"/>
        <v>0</v>
      </c>
    </row>
    <row r="1291" spans="1:19">
      <c r="A1291" s="1932">
        <f t="shared" si="112"/>
        <v>0</v>
      </c>
      <c r="B1291" s="1932">
        <f t="shared" si="113"/>
        <v>0</v>
      </c>
      <c r="C1291" s="1013" t="s">
        <v>245</v>
      </c>
      <c r="D1291" s="1013">
        <v>0</v>
      </c>
      <c r="E1291" s="1013" t="s">
        <v>22698</v>
      </c>
      <c r="F1291" s="1013">
        <v>33</v>
      </c>
      <c r="G1291" s="1932" t="str">
        <f>+VLOOKUP(F1291,TT_Tabelle_Riferimento!$D$127:$G$164,4,FALSE)</f>
        <v>Fabbricati non industriali</v>
      </c>
      <c r="H1291" s="1013">
        <v>1</v>
      </c>
      <c r="I1291" s="1932" t="str">
        <f>+VLOOKUP(H1291,TT_Tabelle_Riferimento!$F$3:$G$6,2,FALSE)</f>
        <v>Servizio idrico integrato</v>
      </c>
      <c r="J1291" s="1013">
        <v>2029</v>
      </c>
      <c r="K1291" s="2335">
        <f>+SUMIFS('PdI-crono_inv'!BL:BL,'PdI-crono_inv'!CF:CF,F1291,'PdI-crono_inv'!CE:CE,H1291,'PdI-crono_inv'!J:J,P1291,'PdI-crono_inv'!P:P,"&lt;&gt;proprietario")</f>
        <v>0</v>
      </c>
      <c r="M1291" s="2335">
        <f>+SUMIFS('PdI-crono_inv'!BM:BM,'PdI-crono_inv'!CF:CF,F1291,'PdI-crono_inv'!CE:CE,H1291,'PdI-crono_inv'!J:J,P1291,'PdI-crono_inv'!P:P,"&lt;&gt;proprietario")+S1291</f>
        <v>0</v>
      </c>
      <c r="P1291" s="1013" t="s">
        <v>27068</v>
      </c>
      <c r="Q1291" s="1932" t="str">
        <f>+VLOOKUP(F1291,TT_Tabelle_Riferimento!$D$127:$E$164,2,FALSE)</f>
        <v>Comune</v>
      </c>
      <c r="R1291" s="1932" t="str">
        <f t="shared" si="111"/>
        <v/>
      </c>
      <c r="S1291" s="2335">
        <f t="shared" si="114"/>
        <v>0</v>
      </c>
    </row>
    <row r="1292" spans="1:19">
      <c r="A1292" s="1932">
        <f t="shared" si="112"/>
        <v>0</v>
      </c>
      <c r="B1292" s="1932">
        <f t="shared" si="113"/>
        <v>0</v>
      </c>
      <c r="C1292" s="1013" t="s">
        <v>245</v>
      </c>
      <c r="D1292" s="1013">
        <v>0</v>
      </c>
      <c r="E1292" s="1013" t="s">
        <v>22698</v>
      </c>
      <c r="F1292" s="1013">
        <v>34</v>
      </c>
      <c r="G1292" s="1932" t="str">
        <f>+VLOOKUP(F1292,TT_Tabelle_Riferimento!$D$127:$G$164,4,FALSE)</f>
        <v>Fabbricati industriali</v>
      </c>
      <c r="H1292" s="1013">
        <v>1</v>
      </c>
      <c r="I1292" s="1932" t="str">
        <f>+VLOOKUP(H1292,TT_Tabelle_Riferimento!$F$3:$G$6,2,FALSE)</f>
        <v>Servizio idrico integrato</v>
      </c>
      <c r="J1292" s="1013">
        <v>2029</v>
      </c>
      <c r="K1292" s="2335">
        <f>+SUMIFS('PdI-crono_inv'!BL:BL,'PdI-crono_inv'!CF:CF,F1292,'PdI-crono_inv'!CE:CE,H1292,'PdI-crono_inv'!J:J,P1292,'PdI-crono_inv'!P:P,"&lt;&gt;proprietario")</f>
        <v>0</v>
      </c>
      <c r="M1292" s="2335">
        <f>+SUMIFS('PdI-crono_inv'!BM:BM,'PdI-crono_inv'!CF:CF,F1292,'PdI-crono_inv'!CE:CE,H1292,'PdI-crono_inv'!J:J,P1292,'PdI-crono_inv'!P:P,"&lt;&gt;proprietario")+S1292</f>
        <v>0</v>
      </c>
      <c r="P1292" s="1013" t="s">
        <v>27068</v>
      </c>
      <c r="Q1292" s="1932" t="str">
        <f>+VLOOKUP(F1292,TT_Tabelle_Riferimento!$D$127:$E$164,2,FALSE)</f>
        <v>Comune</v>
      </c>
      <c r="R1292" s="1932" t="str">
        <f t="shared" si="111"/>
        <v/>
      </c>
      <c r="S1292" s="2335">
        <f t="shared" si="114"/>
        <v>0</v>
      </c>
    </row>
    <row r="1293" spans="1:19">
      <c r="A1293" s="1932">
        <f t="shared" si="112"/>
        <v>0</v>
      </c>
      <c r="B1293" s="1932">
        <f t="shared" si="113"/>
        <v>0</v>
      </c>
      <c r="C1293" s="1013" t="s">
        <v>245</v>
      </c>
      <c r="D1293" s="1013">
        <v>0</v>
      </c>
      <c r="E1293" s="1013" t="s">
        <v>22698</v>
      </c>
      <c r="F1293" s="1013">
        <v>35</v>
      </c>
      <c r="G1293" s="1932" t="str">
        <f>+VLOOKUP(F1293,TT_Tabelle_Riferimento!$D$127:$G$164,4,FALSE)</f>
        <v>Costruzioni leggere</v>
      </c>
      <c r="H1293" s="1013">
        <v>1</v>
      </c>
      <c r="I1293" s="1932" t="str">
        <f>+VLOOKUP(H1293,TT_Tabelle_Riferimento!$F$3:$G$6,2,FALSE)</f>
        <v>Servizio idrico integrato</v>
      </c>
      <c r="J1293" s="1013">
        <v>2029</v>
      </c>
      <c r="K1293" s="2335">
        <f>+SUMIFS('PdI-crono_inv'!BL:BL,'PdI-crono_inv'!CF:CF,F1293,'PdI-crono_inv'!CE:CE,H1293,'PdI-crono_inv'!J:J,P1293,'PdI-crono_inv'!P:P,"&lt;&gt;proprietario")</f>
        <v>0</v>
      </c>
      <c r="M1293" s="2335">
        <f>+SUMIFS('PdI-crono_inv'!BM:BM,'PdI-crono_inv'!CF:CF,F1293,'PdI-crono_inv'!CE:CE,H1293,'PdI-crono_inv'!J:J,P1293,'PdI-crono_inv'!P:P,"&lt;&gt;proprietario")+S1293</f>
        <v>0</v>
      </c>
      <c r="P1293" s="1013" t="s">
        <v>27068</v>
      </c>
      <c r="Q1293" s="1932" t="str">
        <f>+VLOOKUP(F1293,TT_Tabelle_Riferimento!$D$127:$E$164,2,FALSE)</f>
        <v>Comune</v>
      </c>
      <c r="R1293" s="1932" t="str">
        <f t="shared" si="111"/>
        <v/>
      </c>
      <c r="S1293" s="2335">
        <f t="shared" si="114"/>
        <v>0</v>
      </c>
    </row>
    <row r="1294" spans="1:19">
      <c r="A1294" s="1932">
        <f t="shared" si="112"/>
        <v>0</v>
      </c>
      <c r="B1294" s="1932">
        <f t="shared" si="113"/>
        <v>0</v>
      </c>
      <c r="C1294" s="1013" t="s">
        <v>245</v>
      </c>
      <c r="D1294" s="1013">
        <v>0</v>
      </c>
      <c r="E1294" s="1013" t="s">
        <v>22698</v>
      </c>
      <c r="F1294" s="1013">
        <v>36</v>
      </c>
      <c r="G1294" s="1932" t="str">
        <f>+VLOOKUP(F1294,TT_Tabelle_Riferimento!$D$127:$G$164,4,FALSE)</f>
        <v>Studi, ricerche, brevetti, diritti di utilizzazione</v>
      </c>
      <c r="H1294" s="1013">
        <v>1</v>
      </c>
      <c r="I1294" s="1932" t="str">
        <f>+VLOOKUP(H1294,TT_Tabelle_Riferimento!$F$3:$G$6,2,FALSE)</f>
        <v>Servizio idrico integrato</v>
      </c>
      <c r="J1294" s="1013">
        <v>2029</v>
      </c>
      <c r="K1294" s="2335">
        <f>+SUMIFS('PdI-crono_inv'!BL:BL,'PdI-crono_inv'!CF:CF,F1294,'PdI-crono_inv'!CE:CE,H1294,'PdI-crono_inv'!J:J,P1294,'PdI-crono_inv'!P:P,"&lt;&gt;proprietario")</f>
        <v>0</v>
      </c>
      <c r="M1294" s="2335">
        <f>+SUMIFS('PdI-crono_inv'!BM:BM,'PdI-crono_inv'!CF:CF,F1294,'PdI-crono_inv'!CE:CE,H1294,'PdI-crono_inv'!J:J,P1294,'PdI-crono_inv'!P:P,"&lt;&gt;proprietario")+S1294</f>
        <v>0</v>
      </c>
      <c r="P1294" s="1013" t="s">
        <v>27068</v>
      </c>
      <c r="Q1294" s="1932" t="str">
        <f>+VLOOKUP(F1294,TT_Tabelle_Riferimento!$D$127:$E$164,2,FALSE)</f>
        <v>Comune</v>
      </c>
      <c r="R1294" s="1932" t="str">
        <f t="shared" si="111"/>
        <v/>
      </c>
      <c r="S1294" s="2335">
        <f t="shared" si="114"/>
        <v>0</v>
      </c>
    </row>
    <row r="1295" spans="1:19">
      <c r="A1295" s="1932">
        <v>0</v>
      </c>
      <c r="B1295" s="1932">
        <v>0</v>
      </c>
      <c r="C1295" s="1013" t="s">
        <v>245</v>
      </c>
      <c r="D1295" s="1013">
        <v>0</v>
      </c>
      <c r="E1295" s="1013" t="s">
        <v>22698</v>
      </c>
      <c r="F1295" s="1013">
        <v>37</v>
      </c>
      <c r="G1295" s="1932" t="str">
        <f>+VLOOKUP(F1295,TT_Tabelle_Riferimento!$D$127:$G$164,4,FALSE)</f>
        <v>Altre immobilizzazioni materiali e immateriali</v>
      </c>
      <c r="H1295" s="1013">
        <v>1</v>
      </c>
      <c r="I1295" s="1932" t="str">
        <f>+VLOOKUP(H1295,TT_Tabelle_Riferimento!$F$3:$G$6,2,FALSE)</f>
        <v>Servizio idrico integrato</v>
      </c>
      <c r="J1295" s="1013">
        <v>2029</v>
      </c>
      <c r="K1295" s="2335">
        <f>+SUMIFS('PdI-crono_inv'!BL:BL,'PdI-crono_inv'!CF:CF,F1295,'PdI-crono_inv'!CE:CE,H1295,'PdI-crono_inv'!J:J,P1295,'PdI-crono_inv'!P:P,"&lt;&gt;proprietario")</f>
        <v>0</v>
      </c>
      <c r="M1295" s="2335">
        <f>+SUMIFS('PdI-crono_inv'!BM:BM,'PdI-crono_inv'!CF:CF,F1295,'PdI-crono_inv'!CE:CE,H1295,'PdI-crono_inv'!J:J,P1295,'PdI-crono_inv'!P:P,"&lt;&gt;proprietario")+S1295</f>
        <v>0</v>
      </c>
      <c r="P1295" s="1013" t="s">
        <v>27068</v>
      </c>
      <c r="Q1295" s="1932" t="str">
        <f>+VLOOKUP(F1295,TT_Tabelle_Riferimento!$D$127:$E$164,2,FALSE)</f>
        <v>Comune</v>
      </c>
      <c r="R1295" s="1932" t="str">
        <f t="shared" si="111"/>
        <v/>
      </c>
      <c r="S1295" s="2335">
        <f t="shared" si="114"/>
        <v>0</v>
      </c>
    </row>
    <row r="1296" spans="1:19">
      <c r="A1296" s="1932">
        <v>0</v>
      </c>
      <c r="B1296" s="1932">
        <v>0</v>
      </c>
      <c r="C1296" s="1013" t="s">
        <v>245</v>
      </c>
      <c r="D1296" s="1013">
        <v>0</v>
      </c>
      <c r="E1296" s="1013" t="s">
        <v>22698</v>
      </c>
      <c r="F1296" s="1013">
        <v>38</v>
      </c>
      <c r="G1296" s="1932" t="str">
        <f>+VLOOKUP(F1296,TT_Tabelle_Riferimento!$D$127:$G$164,4,FALSE)</f>
        <v>Grandi dighe (sbarramenti che superano i quindici metri di altezza o che determinano un invaso superiore a 1 milione di metri cubi)</v>
      </c>
      <c r="H1296" s="1013">
        <v>1</v>
      </c>
      <c r="I1296" s="1932" t="str">
        <f>+VLOOKUP(H1296,TT_Tabelle_Riferimento!$F$3:$G$6,2,FALSE)</f>
        <v>Servizio idrico integrato</v>
      </c>
      <c r="J1296" s="1013">
        <v>2029</v>
      </c>
      <c r="K1296" s="2335">
        <f>+SUMIFS('PdI-crono_inv'!BL:BL,'PdI-crono_inv'!CF:CF,F1296,'PdI-crono_inv'!CE:CE,H1296,'PdI-crono_inv'!J:J,P1296,'PdI-crono_inv'!P:P,"&lt;&gt;proprietario")</f>
        <v>0</v>
      </c>
      <c r="M1296" s="2335">
        <f>+SUMIFS('PdI-crono_inv'!BM:BM,'PdI-crono_inv'!CF:CF,F1296,'PdI-crono_inv'!CE:CE,H1296,'PdI-crono_inv'!J:J,P1296,'PdI-crono_inv'!P:P,"&lt;&gt;proprietario")+S1296</f>
        <v>0</v>
      </c>
      <c r="P1296" s="1013" t="s">
        <v>27068</v>
      </c>
      <c r="Q1296" s="1932" t="str">
        <f>+VLOOKUP(F1296,TT_Tabelle_Riferimento!$D$127:$E$164,2,FALSE)</f>
        <v>Acquedotto</v>
      </c>
      <c r="R1296" s="1932" t="str">
        <f t="shared" si="111"/>
        <v/>
      </c>
      <c r="S1296" s="2335">
        <f t="shared" si="114"/>
        <v>0</v>
      </c>
    </row>
    <row r="1297" spans="1:19">
      <c r="A1297" s="1932">
        <v>0</v>
      </c>
      <c r="B1297" s="1932">
        <v>0</v>
      </c>
      <c r="C1297" s="1013" t="s">
        <v>245</v>
      </c>
      <c r="D1297" s="1013">
        <v>0</v>
      </c>
      <c r="E1297" s="1013" t="s">
        <v>22698</v>
      </c>
      <c r="F1297" s="1013">
        <v>39</v>
      </c>
      <c r="G1297" s="1932" t="str">
        <f>+VLOOKUP(F1297,TT_Tabelle_Riferimento!$D$127:$G$164,4,FALSE)</f>
        <v>Piccole dighe (sbarramenti che non superano i quindici metri di altezza o che determinano un invaso non superiore a 1 milione di metri cubi)</v>
      </c>
      <c r="H1297" s="1013">
        <v>1</v>
      </c>
      <c r="I1297" s="1932" t="str">
        <f>+VLOOKUP(H1297,TT_Tabelle_Riferimento!$F$3:$G$6,2,FALSE)</f>
        <v>Servizio idrico integrato</v>
      </c>
      <c r="J1297" s="1013">
        <v>2029</v>
      </c>
      <c r="K1297" s="2335">
        <f>+SUMIFS('PdI-crono_inv'!BL:BL,'PdI-crono_inv'!CF:CF,F1297,'PdI-crono_inv'!CE:CE,H1297,'PdI-crono_inv'!J:J,P1297,'PdI-crono_inv'!P:P,"&lt;&gt;proprietario")</f>
        <v>0</v>
      </c>
      <c r="M1297" s="2335">
        <f>+SUMIFS('PdI-crono_inv'!BM:BM,'PdI-crono_inv'!CF:CF,F1297,'PdI-crono_inv'!CE:CE,H1297,'PdI-crono_inv'!J:J,P1297,'PdI-crono_inv'!P:P,"&lt;&gt;proprietario")+S1297</f>
        <v>0</v>
      </c>
      <c r="P1297" s="1013" t="s">
        <v>27068</v>
      </c>
      <c r="Q1297" s="1932" t="str">
        <f>+VLOOKUP(F1297,TT_Tabelle_Riferimento!$D$127:$E$164,2,FALSE)</f>
        <v>Acquedotto</v>
      </c>
      <c r="R1297" s="1932" t="str">
        <f t="shared" si="111"/>
        <v/>
      </c>
      <c r="S1297" s="2335">
        <f t="shared" si="114"/>
        <v>0</v>
      </c>
    </row>
    <row r="1298" spans="1:19">
      <c r="A1298" s="1932">
        <f t="shared" ref="A1298:A1332" si="115">+idato</f>
        <v>0</v>
      </c>
      <c r="B1298" s="1932">
        <f t="shared" ref="B1298:B1332" si="116">+idgestore</f>
        <v>0</v>
      </c>
      <c r="C1298" s="1013" t="s">
        <v>245</v>
      </c>
      <c r="D1298" s="1013">
        <v>0</v>
      </c>
      <c r="E1298" s="1013" t="s">
        <v>22698</v>
      </c>
      <c r="F1298" s="1013">
        <v>2</v>
      </c>
      <c r="G1298" s="1932" t="str">
        <f>+VLOOKUP(F1298,TT_Tabelle_Riferimento!$D$127:$G$164,4,FALSE)</f>
        <v>Condotte di acquedotto</v>
      </c>
      <c r="H1298" s="1013">
        <v>2</v>
      </c>
      <c r="I1298" s="1932" t="str">
        <f>+VLOOKUP(H1298,TT_Tabelle_Riferimento!$F$3:$G$6,2,FALSE)</f>
        <v>Fognatura bianca e pulizia / manutenzione caditoie stradali</v>
      </c>
      <c r="J1298" s="1013">
        <v>2029</v>
      </c>
      <c r="K1298" s="2335">
        <f>+SUMIFS('PdI-crono_inv'!BL:BL,'PdI-crono_inv'!CF:CF,F1298,'PdI-crono_inv'!CE:CE,H1298,'PdI-crono_inv'!J:J,P1298,'PdI-crono_inv'!P:P,"&lt;&gt;proprietario")</f>
        <v>0</v>
      </c>
      <c r="M1298" s="2335">
        <f>+SUMIFS('PdI-crono_inv'!BM:BM,'PdI-crono_inv'!CF:CF,F1298,'PdI-crono_inv'!CE:CE,H1298,'PdI-crono_inv'!J:J,P1298,'PdI-crono_inv'!P:P,"&lt;&gt;proprietario")+S1298</f>
        <v>0</v>
      </c>
      <c r="P1298" s="1013" t="s">
        <v>27068</v>
      </c>
      <c r="Q1298" s="1932" t="str">
        <f>+VLOOKUP(F1298,TT_Tabelle_Riferimento!$D$127:$E$164,2,FALSE)</f>
        <v>Acquedotto</v>
      </c>
      <c r="R1298" s="1932" t="str">
        <f t="shared" si="111"/>
        <v/>
      </c>
      <c r="S1298" s="2335">
        <f t="shared" si="114"/>
        <v>0</v>
      </c>
    </row>
    <row r="1299" spans="1:19">
      <c r="A1299" s="1932">
        <f t="shared" si="115"/>
        <v>0</v>
      </c>
      <c r="B1299" s="1932">
        <f t="shared" si="116"/>
        <v>0</v>
      </c>
      <c r="C1299" s="1013" t="s">
        <v>245</v>
      </c>
      <c r="D1299" s="1013">
        <v>0</v>
      </c>
      <c r="E1299" s="1013" t="s">
        <v>22698</v>
      </c>
      <c r="F1299" s="1013">
        <v>3</v>
      </c>
      <c r="G1299" s="1932" t="str">
        <f>+VLOOKUP(F1299,TT_Tabelle_Riferimento!$D$127:$G$164,4,FALSE)</f>
        <v>Opere idrauliche fisse di acquedotto</v>
      </c>
      <c r="H1299" s="1013">
        <v>2</v>
      </c>
      <c r="I1299" s="1932" t="str">
        <f>+VLOOKUP(H1299,TT_Tabelle_Riferimento!$F$3:$G$6,2,FALSE)</f>
        <v>Fognatura bianca e pulizia / manutenzione caditoie stradali</v>
      </c>
      <c r="J1299" s="1013">
        <v>2029</v>
      </c>
      <c r="K1299" s="2335">
        <f>+SUMIFS('PdI-crono_inv'!BL:BL,'PdI-crono_inv'!CF:CF,F1299,'PdI-crono_inv'!CE:CE,H1299,'PdI-crono_inv'!J:J,P1299,'PdI-crono_inv'!P:P,"&lt;&gt;proprietario")</f>
        <v>0</v>
      </c>
      <c r="M1299" s="2335">
        <f>+SUMIFS('PdI-crono_inv'!BM:BM,'PdI-crono_inv'!CF:CF,F1299,'PdI-crono_inv'!CE:CE,H1299,'PdI-crono_inv'!J:J,P1299,'PdI-crono_inv'!P:P,"&lt;&gt;proprietario")+S1299</f>
        <v>0</v>
      </c>
      <c r="P1299" s="1013" t="s">
        <v>27068</v>
      </c>
      <c r="Q1299" s="1932" t="str">
        <f>+VLOOKUP(F1299,TT_Tabelle_Riferimento!$D$127:$E$164,2,FALSE)</f>
        <v>Acquedotto</v>
      </c>
      <c r="R1299" s="1932" t="str">
        <f t="shared" si="111"/>
        <v/>
      </c>
      <c r="S1299" s="2335">
        <f t="shared" si="114"/>
        <v>0</v>
      </c>
    </row>
    <row r="1300" spans="1:19">
      <c r="A1300" s="1932">
        <f t="shared" si="115"/>
        <v>0</v>
      </c>
      <c r="B1300" s="1932">
        <f t="shared" si="116"/>
        <v>0</v>
      </c>
      <c r="C1300" s="1013" t="s">
        <v>245</v>
      </c>
      <c r="D1300" s="1013">
        <v>0</v>
      </c>
      <c r="E1300" s="1013" t="s">
        <v>22698</v>
      </c>
      <c r="F1300" s="1013">
        <v>4</v>
      </c>
      <c r="G1300" s="1932" t="str">
        <f>+VLOOKUP(F1300,TT_Tabelle_Riferimento!$D$127:$G$164,4,FALSE)</f>
        <v>Serbatoi</v>
      </c>
      <c r="H1300" s="1013">
        <v>2</v>
      </c>
      <c r="I1300" s="1932" t="str">
        <f>+VLOOKUP(H1300,TT_Tabelle_Riferimento!$F$3:$G$6,2,FALSE)</f>
        <v>Fognatura bianca e pulizia / manutenzione caditoie stradali</v>
      </c>
      <c r="J1300" s="1013">
        <v>2029</v>
      </c>
      <c r="K1300" s="2335">
        <f>+SUMIFS('PdI-crono_inv'!BL:BL,'PdI-crono_inv'!CF:CF,F1300,'PdI-crono_inv'!CE:CE,H1300,'PdI-crono_inv'!J:J,P1300,'PdI-crono_inv'!P:P,"&lt;&gt;proprietario")</f>
        <v>0</v>
      </c>
      <c r="M1300" s="2335">
        <f>+SUMIFS('PdI-crono_inv'!BM:BM,'PdI-crono_inv'!CF:CF,F1300,'PdI-crono_inv'!CE:CE,H1300,'PdI-crono_inv'!J:J,P1300,'PdI-crono_inv'!P:P,"&lt;&gt;proprietario")+S1300</f>
        <v>0</v>
      </c>
      <c r="P1300" s="1013" t="s">
        <v>27068</v>
      </c>
      <c r="Q1300" s="1932" t="str">
        <f>+VLOOKUP(F1300,TT_Tabelle_Riferimento!$D$127:$E$164,2,FALSE)</f>
        <v>Acquedotto</v>
      </c>
      <c r="R1300" s="1932" t="str">
        <f t="shared" si="111"/>
        <v/>
      </c>
      <c r="S1300" s="2335">
        <f t="shared" si="114"/>
        <v>0</v>
      </c>
    </row>
    <row r="1301" spans="1:19">
      <c r="A1301" s="1932">
        <f t="shared" si="115"/>
        <v>0</v>
      </c>
      <c r="B1301" s="1932">
        <f t="shared" si="116"/>
        <v>0</v>
      </c>
      <c r="C1301" s="1013" t="s">
        <v>245</v>
      </c>
      <c r="D1301" s="1013">
        <v>0</v>
      </c>
      <c r="E1301" s="1013" t="s">
        <v>22698</v>
      </c>
      <c r="F1301" s="1013">
        <v>5</v>
      </c>
      <c r="G1301" s="1932" t="str">
        <f>+VLOOKUP(F1301,TT_Tabelle_Riferimento!$D$127:$G$164,4,FALSE)</f>
        <v>Impianti di sollevamento e pompaggio di acquedotto</v>
      </c>
      <c r="H1301" s="1013">
        <v>2</v>
      </c>
      <c r="I1301" s="1932" t="str">
        <f>+VLOOKUP(H1301,TT_Tabelle_Riferimento!$F$3:$G$6,2,FALSE)</f>
        <v>Fognatura bianca e pulizia / manutenzione caditoie stradali</v>
      </c>
      <c r="J1301" s="1013">
        <v>2029</v>
      </c>
      <c r="K1301" s="2335">
        <f>+SUMIFS('PdI-crono_inv'!BL:BL,'PdI-crono_inv'!CF:CF,F1301,'PdI-crono_inv'!CE:CE,H1301,'PdI-crono_inv'!J:J,P1301,'PdI-crono_inv'!P:P,"&lt;&gt;proprietario")</f>
        <v>0</v>
      </c>
      <c r="M1301" s="2335">
        <f>+SUMIFS('PdI-crono_inv'!BM:BM,'PdI-crono_inv'!CF:CF,F1301,'PdI-crono_inv'!CE:CE,H1301,'PdI-crono_inv'!J:J,P1301,'PdI-crono_inv'!P:P,"&lt;&gt;proprietario")+S1301</f>
        <v>0</v>
      </c>
      <c r="P1301" s="1013" t="s">
        <v>27068</v>
      </c>
      <c r="Q1301" s="1932" t="str">
        <f>+VLOOKUP(F1301,TT_Tabelle_Riferimento!$D$127:$E$164,2,FALSE)</f>
        <v>Acquedotto</v>
      </c>
      <c r="R1301" s="1932" t="str">
        <f t="shared" si="111"/>
        <v/>
      </c>
      <c r="S1301" s="2335">
        <f t="shared" si="114"/>
        <v>0</v>
      </c>
    </row>
    <row r="1302" spans="1:19">
      <c r="A1302" s="1932">
        <f t="shared" si="115"/>
        <v>0</v>
      </c>
      <c r="B1302" s="1932">
        <f t="shared" si="116"/>
        <v>0</v>
      </c>
      <c r="C1302" s="1013" t="s">
        <v>245</v>
      </c>
      <c r="D1302" s="1013">
        <v>0</v>
      </c>
      <c r="E1302" s="1013" t="s">
        <v>22698</v>
      </c>
      <c r="F1302" s="1013">
        <v>6</v>
      </c>
      <c r="G1302" s="1932" t="str">
        <f>+VLOOKUP(F1302,TT_Tabelle_Riferimento!$D$127:$G$164,4,FALSE)</f>
        <v>Impianti di potabilizzazione</v>
      </c>
      <c r="H1302" s="1013">
        <v>2</v>
      </c>
      <c r="I1302" s="1932" t="str">
        <f>+VLOOKUP(H1302,TT_Tabelle_Riferimento!$F$3:$G$6,2,FALSE)</f>
        <v>Fognatura bianca e pulizia / manutenzione caditoie stradali</v>
      </c>
      <c r="J1302" s="1013">
        <v>2029</v>
      </c>
      <c r="K1302" s="2335">
        <f>+SUMIFS('PdI-crono_inv'!BL:BL,'PdI-crono_inv'!CF:CF,F1302,'PdI-crono_inv'!CE:CE,H1302,'PdI-crono_inv'!J:J,P1302,'PdI-crono_inv'!P:P,"&lt;&gt;proprietario")</f>
        <v>0</v>
      </c>
      <c r="M1302" s="2335">
        <f>+SUMIFS('PdI-crono_inv'!BM:BM,'PdI-crono_inv'!CF:CF,F1302,'PdI-crono_inv'!CE:CE,H1302,'PdI-crono_inv'!J:J,P1302,'PdI-crono_inv'!P:P,"&lt;&gt;proprietario")+S1302</f>
        <v>0</v>
      </c>
      <c r="P1302" s="1013" t="s">
        <v>27068</v>
      </c>
      <c r="Q1302" s="1932" t="str">
        <f>+VLOOKUP(F1302,TT_Tabelle_Riferimento!$D$127:$E$164,2,FALSE)</f>
        <v>Acquedotto</v>
      </c>
      <c r="R1302" s="1932" t="str">
        <f t="shared" si="111"/>
        <v/>
      </c>
      <c r="S1302" s="2335">
        <f t="shared" si="114"/>
        <v>0</v>
      </c>
    </row>
    <row r="1303" spans="1:19">
      <c r="A1303" s="1932">
        <f t="shared" si="115"/>
        <v>0</v>
      </c>
      <c r="B1303" s="1932">
        <f t="shared" si="116"/>
        <v>0</v>
      </c>
      <c r="C1303" s="1013" t="s">
        <v>245</v>
      </c>
      <c r="D1303" s="1013">
        <v>0</v>
      </c>
      <c r="E1303" s="1013" t="s">
        <v>22698</v>
      </c>
      <c r="F1303" s="1013">
        <v>7</v>
      </c>
      <c r="G1303" s="1932" t="str">
        <f>+VLOOKUP(F1303,TT_Tabelle_Riferimento!$D$127:$G$164,4,FALSE)</f>
        <v>Altri trattamenti di potabilizzazione (tra cui dispositivi di disinfezione, stacciatura, filtrazione, addolcimento)</v>
      </c>
      <c r="H1303" s="1013">
        <v>2</v>
      </c>
      <c r="I1303" s="1932" t="str">
        <f>+VLOOKUP(H1303,TT_Tabelle_Riferimento!$F$3:$G$6,2,FALSE)</f>
        <v>Fognatura bianca e pulizia / manutenzione caditoie stradali</v>
      </c>
      <c r="J1303" s="1013">
        <v>2029</v>
      </c>
      <c r="K1303" s="2335">
        <f>+SUMIFS('PdI-crono_inv'!BL:BL,'PdI-crono_inv'!CF:CF,F1303,'PdI-crono_inv'!CE:CE,H1303,'PdI-crono_inv'!J:J,P1303,'PdI-crono_inv'!P:P,"&lt;&gt;proprietario")</f>
        <v>0</v>
      </c>
      <c r="M1303" s="2335">
        <f>+SUMIFS('PdI-crono_inv'!BM:BM,'PdI-crono_inv'!CF:CF,F1303,'PdI-crono_inv'!CE:CE,H1303,'PdI-crono_inv'!J:J,P1303,'PdI-crono_inv'!P:P,"&lt;&gt;proprietario")+S1303</f>
        <v>0</v>
      </c>
      <c r="P1303" s="1013" t="s">
        <v>27068</v>
      </c>
      <c r="Q1303" s="1932" t="str">
        <f>+VLOOKUP(F1303,TT_Tabelle_Riferimento!$D$127:$E$164,2,FALSE)</f>
        <v>Acquedotto</v>
      </c>
      <c r="R1303" s="1932" t="str">
        <f t="shared" si="111"/>
        <v/>
      </c>
      <c r="S1303" s="2335">
        <f t="shared" si="114"/>
        <v>0</v>
      </c>
    </row>
    <row r="1304" spans="1:19">
      <c r="A1304" s="1932">
        <f t="shared" si="115"/>
        <v>0</v>
      </c>
      <c r="B1304" s="1932">
        <f t="shared" si="116"/>
        <v>0</v>
      </c>
      <c r="C1304" s="1013" t="s">
        <v>245</v>
      </c>
      <c r="D1304" s="1013">
        <v>0</v>
      </c>
      <c r="E1304" s="1013" t="s">
        <v>22698</v>
      </c>
      <c r="F1304" s="1013">
        <v>8</v>
      </c>
      <c r="G1304" s="1932" t="str">
        <f>+VLOOKUP(F1304,TT_Tabelle_Riferimento!$D$127:$G$164,4,FALSE)</f>
        <v>Gruppi di misura - altre attrezzature di acquedotto</v>
      </c>
      <c r="H1304" s="1013">
        <v>2</v>
      </c>
      <c r="I1304" s="1932" t="str">
        <f>+VLOOKUP(H1304,TT_Tabelle_Riferimento!$F$3:$G$6,2,FALSE)</f>
        <v>Fognatura bianca e pulizia / manutenzione caditoie stradali</v>
      </c>
      <c r="J1304" s="1013">
        <v>2029</v>
      </c>
      <c r="K1304" s="2335">
        <f>+SUMIFS('PdI-crono_inv'!BL:BL,'PdI-crono_inv'!CF:CF,F1304,'PdI-crono_inv'!CE:CE,H1304,'PdI-crono_inv'!J:J,P1304,'PdI-crono_inv'!P:P,"&lt;&gt;proprietario")</f>
        <v>0</v>
      </c>
      <c r="M1304" s="2335">
        <f>+SUMIFS('PdI-crono_inv'!BM:BM,'PdI-crono_inv'!CF:CF,F1304,'PdI-crono_inv'!CE:CE,H1304,'PdI-crono_inv'!J:J,P1304,'PdI-crono_inv'!P:P,"&lt;&gt;proprietario")+S1304</f>
        <v>0</v>
      </c>
      <c r="P1304" s="1013" t="s">
        <v>27068</v>
      </c>
      <c r="Q1304" s="1932" t="str">
        <f>+VLOOKUP(F1304,TT_Tabelle_Riferimento!$D$127:$E$164,2,FALSE)</f>
        <v>Acquedotto</v>
      </c>
      <c r="R1304" s="1932" t="str">
        <f t="shared" si="111"/>
        <v/>
      </c>
      <c r="S1304" s="2335">
        <f t="shared" si="114"/>
        <v>0</v>
      </c>
    </row>
    <row r="1305" spans="1:19">
      <c r="A1305" s="1932">
        <f t="shared" si="115"/>
        <v>0</v>
      </c>
      <c r="B1305" s="1932">
        <f t="shared" si="116"/>
        <v>0</v>
      </c>
      <c r="C1305" s="1013" t="s">
        <v>245</v>
      </c>
      <c r="D1305" s="1013">
        <v>0</v>
      </c>
      <c r="E1305" s="1013" t="s">
        <v>22698</v>
      </c>
      <c r="F1305" s="1013">
        <v>9</v>
      </c>
      <c r="G1305" s="1932" t="str">
        <f>+VLOOKUP(F1305,TT_Tabelle_Riferimento!$D$127:$G$164,4,FALSE)</f>
        <v>Sistemi informativi di acquedotto</v>
      </c>
      <c r="H1305" s="1013">
        <v>2</v>
      </c>
      <c r="I1305" s="1932" t="str">
        <f>+VLOOKUP(H1305,TT_Tabelle_Riferimento!$F$3:$G$6,2,FALSE)</f>
        <v>Fognatura bianca e pulizia / manutenzione caditoie stradali</v>
      </c>
      <c r="J1305" s="1013">
        <v>2029</v>
      </c>
      <c r="K1305" s="2335">
        <f>+SUMIFS('PdI-crono_inv'!BL:BL,'PdI-crono_inv'!CF:CF,F1305,'PdI-crono_inv'!CE:CE,H1305,'PdI-crono_inv'!J:J,P1305,'PdI-crono_inv'!P:P,"&lt;&gt;proprietario")</f>
        <v>0</v>
      </c>
      <c r="M1305" s="2335">
        <f>+SUMIFS('PdI-crono_inv'!BM:BM,'PdI-crono_inv'!CF:CF,F1305,'PdI-crono_inv'!CE:CE,H1305,'PdI-crono_inv'!J:J,P1305,'PdI-crono_inv'!P:P,"&lt;&gt;proprietario")+S1305</f>
        <v>0</v>
      </c>
      <c r="P1305" s="1013" t="s">
        <v>27068</v>
      </c>
      <c r="Q1305" s="1932" t="str">
        <f>+VLOOKUP(F1305,TT_Tabelle_Riferimento!$D$127:$E$164,2,FALSE)</f>
        <v>Acquedotto</v>
      </c>
      <c r="R1305" s="1932" t="str">
        <f t="shared" si="111"/>
        <v/>
      </c>
      <c r="S1305" s="2335">
        <f t="shared" si="114"/>
        <v>0</v>
      </c>
    </row>
    <row r="1306" spans="1:19">
      <c r="A1306" s="1932">
        <f t="shared" si="115"/>
        <v>0</v>
      </c>
      <c r="B1306" s="1932">
        <f t="shared" si="116"/>
        <v>0</v>
      </c>
      <c r="C1306" s="1013" t="s">
        <v>245</v>
      </c>
      <c r="D1306" s="1013">
        <v>0</v>
      </c>
      <c r="E1306" s="1013" t="s">
        <v>22698</v>
      </c>
      <c r="F1306" s="1013">
        <v>10</v>
      </c>
      <c r="G1306" s="1932" t="str">
        <f>+VLOOKUP(F1306,TT_Tabelle_Riferimento!$D$127:$G$164,4,FALSE)</f>
        <v>Telecontrollo e teletrasmissione di acquedotto</v>
      </c>
      <c r="H1306" s="1013">
        <v>2</v>
      </c>
      <c r="I1306" s="1932" t="str">
        <f>+VLOOKUP(H1306,TT_Tabelle_Riferimento!$F$3:$G$6,2,FALSE)</f>
        <v>Fognatura bianca e pulizia / manutenzione caditoie stradali</v>
      </c>
      <c r="J1306" s="1013">
        <v>2029</v>
      </c>
      <c r="K1306" s="2335">
        <f>+SUMIFS('PdI-crono_inv'!BL:BL,'PdI-crono_inv'!CF:CF,F1306,'PdI-crono_inv'!CE:CE,H1306,'PdI-crono_inv'!J:J,P1306,'PdI-crono_inv'!P:P,"&lt;&gt;proprietario")</f>
        <v>0</v>
      </c>
      <c r="M1306" s="2335">
        <f>+SUMIFS('PdI-crono_inv'!BM:BM,'PdI-crono_inv'!CF:CF,F1306,'PdI-crono_inv'!CE:CE,H1306,'PdI-crono_inv'!J:J,P1306,'PdI-crono_inv'!P:P,"&lt;&gt;proprietario")+S1306</f>
        <v>0</v>
      </c>
      <c r="P1306" s="1013" t="s">
        <v>27068</v>
      </c>
      <c r="Q1306" s="1932" t="str">
        <f>+VLOOKUP(F1306,TT_Tabelle_Riferimento!$D$127:$E$164,2,FALSE)</f>
        <v>Acquedotto</v>
      </c>
      <c r="R1306" s="1932" t="str">
        <f t="shared" si="111"/>
        <v/>
      </c>
      <c r="S1306" s="2335">
        <f t="shared" si="114"/>
        <v>0</v>
      </c>
    </row>
    <row r="1307" spans="1:19">
      <c r="A1307" s="1932">
        <f t="shared" si="115"/>
        <v>0</v>
      </c>
      <c r="B1307" s="1932">
        <f t="shared" si="116"/>
        <v>0</v>
      </c>
      <c r="C1307" s="1013" t="s">
        <v>245</v>
      </c>
      <c r="D1307" s="1013">
        <v>0</v>
      </c>
      <c r="E1307" s="1013" t="s">
        <v>22698</v>
      </c>
      <c r="F1307" s="1013">
        <v>11</v>
      </c>
      <c r="G1307" s="1932" t="str">
        <f>+VLOOKUP(F1307,TT_Tabelle_Riferimento!$D$127:$G$164,4,FALSE)</f>
        <v>Condotte fognarie</v>
      </c>
      <c r="H1307" s="1013">
        <v>2</v>
      </c>
      <c r="I1307" s="1932" t="str">
        <f>+VLOOKUP(H1307,TT_Tabelle_Riferimento!$F$3:$G$6,2,FALSE)</f>
        <v>Fognatura bianca e pulizia / manutenzione caditoie stradali</v>
      </c>
      <c r="J1307" s="1013">
        <v>2029</v>
      </c>
      <c r="K1307" s="2335">
        <f>+SUMIFS('PdI-crono_inv'!BL:BL,'PdI-crono_inv'!CF:CF,F1307,'PdI-crono_inv'!CE:CE,H1307,'PdI-crono_inv'!J:J,P1307,'PdI-crono_inv'!P:P,"&lt;&gt;proprietario")</f>
        <v>0</v>
      </c>
      <c r="M1307" s="2335">
        <f>+SUMIFS('PdI-crono_inv'!BM:BM,'PdI-crono_inv'!CF:CF,F1307,'PdI-crono_inv'!CE:CE,H1307,'PdI-crono_inv'!J:J,P1307,'PdI-crono_inv'!P:P,"&lt;&gt;proprietario")+S1307</f>
        <v>0</v>
      </c>
      <c r="P1307" s="1013" t="s">
        <v>27068</v>
      </c>
      <c r="Q1307" s="1932" t="str">
        <f>+VLOOKUP(F1307,TT_Tabelle_Riferimento!$D$127:$E$164,2,FALSE)</f>
        <v>Fognatura</v>
      </c>
      <c r="R1307" s="1932" t="str">
        <f t="shared" si="111"/>
        <v/>
      </c>
      <c r="S1307" s="2335">
        <f t="shared" si="114"/>
        <v>0</v>
      </c>
    </row>
    <row r="1308" spans="1:19">
      <c r="A1308" s="1932">
        <f t="shared" si="115"/>
        <v>0</v>
      </c>
      <c r="B1308" s="1932">
        <f t="shared" si="116"/>
        <v>0</v>
      </c>
      <c r="C1308" s="1013" t="s">
        <v>245</v>
      </c>
      <c r="D1308" s="1013">
        <v>0</v>
      </c>
      <c r="E1308" s="1013" t="s">
        <v>22698</v>
      </c>
      <c r="F1308" s="1013">
        <v>12</v>
      </c>
      <c r="G1308" s="1932" t="str">
        <f>+VLOOKUP(F1308,TT_Tabelle_Riferimento!$D$127:$G$164,4,FALSE)</f>
        <v>Sifoni e scaricatori di piena e altre opere idrauliche fisse di fognatura</v>
      </c>
      <c r="H1308" s="1013">
        <v>2</v>
      </c>
      <c r="I1308" s="1932" t="str">
        <f>+VLOOKUP(H1308,TT_Tabelle_Riferimento!$F$3:$G$6,2,FALSE)</f>
        <v>Fognatura bianca e pulizia / manutenzione caditoie stradali</v>
      </c>
      <c r="J1308" s="1013">
        <v>2029</v>
      </c>
      <c r="K1308" s="2335">
        <f>+SUMIFS('PdI-crono_inv'!BL:BL,'PdI-crono_inv'!CF:CF,F1308,'PdI-crono_inv'!CE:CE,H1308,'PdI-crono_inv'!J:J,P1308,'PdI-crono_inv'!P:P,"&lt;&gt;proprietario")</f>
        <v>0</v>
      </c>
      <c r="M1308" s="2335">
        <f>+SUMIFS('PdI-crono_inv'!BM:BM,'PdI-crono_inv'!CF:CF,F1308,'PdI-crono_inv'!CE:CE,H1308,'PdI-crono_inv'!J:J,P1308,'PdI-crono_inv'!P:P,"&lt;&gt;proprietario")+S1308</f>
        <v>0</v>
      </c>
      <c r="P1308" s="1013" t="s">
        <v>27068</v>
      </c>
      <c r="Q1308" s="1932" t="str">
        <f>+VLOOKUP(F1308,TT_Tabelle_Riferimento!$D$127:$E$164,2,FALSE)</f>
        <v>Fognatura</v>
      </c>
      <c r="R1308" s="1932" t="str">
        <f t="shared" si="111"/>
        <v/>
      </c>
      <c r="S1308" s="2335">
        <f t="shared" si="114"/>
        <v>0</v>
      </c>
    </row>
    <row r="1309" spans="1:19">
      <c r="A1309" s="1932">
        <f t="shared" si="115"/>
        <v>0</v>
      </c>
      <c r="B1309" s="1932">
        <f t="shared" si="116"/>
        <v>0</v>
      </c>
      <c r="C1309" s="1013" t="s">
        <v>245</v>
      </c>
      <c r="D1309" s="1013">
        <v>0</v>
      </c>
      <c r="E1309" s="1013" t="s">
        <v>22698</v>
      </c>
      <c r="F1309" s="1013">
        <v>13</v>
      </c>
      <c r="G1309" s="1932" t="str">
        <f>+VLOOKUP(F1309,TT_Tabelle_Riferimento!$D$127:$G$164,4,FALSE)</f>
        <v>Vasche di laminazione e vasche di prima pioggia</v>
      </c>
      <c r="H1309" s="1013">
        <v>2</v>
      </c>
      <c r="I1309" s="1932" t="str">
        <f>+VLOOKUP(H1309,TT_Tabelle_Riferimento!$F$3:$G$6,2,FALSE)</f>
        <v>Fognatura bianca e pulizia / manutenzione caditoie stradali</v>
      </c>
      <c r="J1309" s="1013">
        <v>2029</v>
      </c>
      <c r="K1309" s="2335">
        <f>+SUMIFS('PdI-crono_inv'!BL:BL,'PdI-crono_inv'!CF:CF,F1309,'PdI-crono_inv'!CE:CE,H1309,'PdI-crono_inv'!J:J,P1309,'PdI-crono_inv'!P:P,"&lt;&gt;proprietario")</f>
        <v>0</v>
      </c>
      <c r="M1309" s="2335">
        <f>+SUMIFS('PdI-crono_inv'!BM:BM,'PdI-crono_inv'!CF:CF,F1309,'PdI-crono_inv'!CE:CE,H1309,'PdI-crono_inv'!J:J,P1309,'PdI-crono_inv'!P:P,"&lt;&gt;proprietario")+S1309</f>
        <v>0</v>
      </c>
      <c r="P1309" s="1013" t="s">
        <v>27068</v>
      </c>
      <c r="Q1309" s="1932" t="str">
        <f>+VLOOKUP(F1309,TT_Tabelle_Riferimento!$D$127:$E$164,2,FALSE)</f>
        <v>Fognatura</v>
      </c>
      <c r="R1309" s="1932" t="str">
        <f t="shared" si="111"/>
        <v/>
      </c>
      <c r="S1309" s="2335">
        <f t="shared" si="114"/>
        <v>0</v>
      </c>
    </row>
    <row r="1310" spans="1:19">
      <c r="A1310" s="1932">
        <f t="shared" si="115"/>
        <v>0</v>
      </c>
      <c r="B1310" s="1932">
        <f t="shared" si="116"/>
        <v>0</v>
      </c>
      <c r="C1310" s="1013" t="s">
        <v>245</v>
      </c>
      <c r="D1310" s="1013">
        <v>0</v>
      </c>
      <c r="E1310" s="1013" t="s">
        <v>22698</v>
      </c>
      <c r="F1310" s="1013">
        <v>14</v>
      </c>
      <c r="G1310" s="1932" t="str">
        <f>+VLOOKUP(F1310,TT_Tabelle_Riferimento!$D$127:$G$164,4,FALSE)</f>
        <v>Impianti di sollevamento e pompaggio di fognatura</v>
      </c>
      <c r="H1310" s="1013">
        <v>2</v>
      </c>
      <c r="I1310" s="1932" t="str">
        <f>+VLOOKUP(H1310,TT_Tabelle_Riferimento!$F$3:$G$6,2,FALSE)</f>
        <v>Fognatura bianca e pulizia / manutenzione caditoie stradali</v>
      </c>
      <c r="J1310" s="1013">
        <v>2029</v>
      </c>
      <c r="K1310" s="2335">
        <f>+SUMIFS('PdI-crono_inv'!BL:BL,'PdI-crono_inv'!CF:CF,F1310,'PdI-crono_inv'!CE:CE,H1310,'PdI-crono_inv'!J:J,P1310,'PdI-crono_inv'!P:P,"&lt;&gt;proprietario")</f>
        <v>0</v>
      </c>
      <c r="M1310" s="2335">
        <f>+SUMIFS('PdI-crono_inv'!BM:BM,'PdI-crono_inv'!CF:CF,F1310,'PdI-crono_inv'!CE:CE,H1310,'PdI-crono_inv'!J:J,P1310,'PdI-crono_inv'!P:P,"&lt;&gt;proprietario")+S1310</f>
        <v>0</v>
      </c>
      <c r="P1310" s="1013" t="s">
        <v>27068</v>
      </c>
      <c r="Q1310" s="1932" t="str">
        <f>+VLOOKUP(F1310,TT_Tabelle_Riferimento!$D$127:$E$164,2,FALSE)</f>
        <v>Fognatura</v>
      </c>
      <c r="R1310" s="1932" t="str">
        <f t="shared" si="111"/>
        <v/>
      </c>
      <c r="S1310" s="2335">
        <f t="shared" si="114"/>
        <v>0</v>
      </c>
    </row>
    <row r="1311" spans="1:19">
      <c r="A1311" s="1932">
        <f t="shared" si="115"/>
        <v>0</v>
      </c>
      <c r="B1311" s="1932">
        <f t="shared" si="116"/>
        <v>0</v>
      </c>
      <c r="C1311" s="1013" t="s">
        <v>245</v>
      </c>
      <c r="D1311" s="1013">
        <v>0</v>
      </c>
      <c r="E1311" s="1013" t="s">
        <v>22698</v>
      </c>
      <c r="F1311" s="1013">
        <v>15</v>
      </c>
      <c r="G1311" s="1932" t="str">
        <f>+VLOOKUP(F1311,TT_Tabelle_Riferimento!$D$127:$G$164,4,FALSE)</f>
        <v>Gruppi di misura - altre attrezzature di fognatura</v>
      </c>
      <c r="H1311" s="1013">
        <v>2</v>
      </c>
      <c r="I1311" s="1932" t="str">
        <f>+VLOOKUP(H1311,TT_Tabelle_Riferimento!$F$3:$G$6,2,FALSE)</f>
        <v>Fognatura bianca e pulizia / manutenzione caditoie stradali</v>
      </c>
      <c r="J1311" s="1013">
        <v>2029</v>
      </c>
      <c r="K1311" s="2335">
        <f>+SUMIFS('PdI-crono_inv'!BL:BL,'PdI-crono_inv'!CF:CF,F1311,'PdI-crono_inv'!CE:CE,H1311,'PdI-crono_inv'!J:J,P1311,'PdI-crono_inv'!P:P,"&lt;&gt;proprietario")</f>
        <v>0</v>
      </c>
      <c r="M1311" s="2335">
        <f>+SUMIFS('PdI-crono_inv'!BM:BM,'PdI-crono_inv'!CF:CF,F1311,'PdI-crono_inv'!CE:CE,H1311,'PdI-crono_inv'!J:J,P1311,'PdI-crono_inv'!P:P,"&lt;&gt;proprietario")+S1311</f>
        <v>0</v>
      </c>
      <c r="P1311" s="1013" t="s">
        <v>27068</v>
      </c>
      <c r="Q1311" s="1932" t="str">
        <f>+VLOOKUP(F1311,TT_Tabelle_Riferimento!$D$127:$E$164,2,FALSE)</f>
        <v>Fognatura</v>
      </c>
      <c r="R1311" s="1932" t="str">
        <f t="shared" si="111"/>
        <v/>
      </c>
      <c r="S1311" s="2335">
        <f t="shared" si="114"/>
        <v>0</v>
      </c>
    </row>
    <row r="1312" spans="1:19">
      <c r="A1312" s="1932">
        <f t="shared" si="115"/>
        <v>0</v>
      </c>
      <c r="B1312" s="1932">
        <f t="shared" si="116"/>
        <v>0</v>
      </c>
      <c r="C1312" s="1013" t="s">
        <v>245</v>
      </c>
      <c r="D1312" s="1013">
        <v>0</v>
      </c>
      <c r="E1312" s="1013" t="s">
        <v>22698</v>
      </c>
      <c r="F1312" s="1013">
        <v>16</v>
      </c>
      <c r="G1312" s="1932" t="str">
        <f>+VLOOKUP(F1312,TT_Tabelle_Riferimento!$D$127:$G$164,4,FALSE)</f>
        <v>Sistemi informativi di fognatura</v>
      </c>
      <c r="H1312" s="1013">
        <v>2</v>
      </c>
      <c r="I1312" s="1932" t="str">
        <f>+VLOOKUP(H1312,TT_Tabelle_Riferimento!$F$3:$G$6,2,FALSE)</f>
        <v>Fognatura bianca e pulizia / manutenzione caditoie stradali</v>
      </c>
      <c r="J1312" s="1013">
        <v>2029</v>
      </c>
      <c r="K1312" s="2335">
        <f>+SUMIFS('PdI-crono_inv'!BL:BL,'PdI-crono_inv'!CF:CF,F1312,'PdI-crono_inv'!CE:CE,H1312,'PdI-crono_inv'!J:J,P1312,'PdI-crono_inv'!P:P,"&lt;&gt;proprietario")</f>
        <v>0</v>
      </c>
      <c r="M1312" s="2335">
        <f>+SUMIFS('PdI-crono_inv'!BM:BM,'PdI-crono_inv'!CF:CF,F1312,'PdI-crono_inv'!CE:CE,H1312,'PdI-crono_inv'!J:J,P1312,'PdI-crono_inv'!P:P,"&lt;&gt;proprietario")+S1312</f>
        <v>0</v>
      </c>
      <c r="P1312" s="1013" t="s">
        <v>27068</v>
      </c>
      <c r="Q1312" s="1932" t="str">
        <f>+VLOOKUP(F1312,TT_Tabelle_Riferimento!$D$127:$E$164,2,FALSE)</f>
        <v>Fognatura</v>
      </c>
      <c r="R1312" s="1932" t="str">
        <f t="shared" si="111"/>
        <v/>
      </c>
      <c r="S1312" s="2335">
        <f t="shared" si="114"/>
        <v>0</v>
      </c>
    </row>
    <row r="1313" spans="1:19">
      <c r="A1313" s="1932">
        <f t="shared" si="115"/>
        <v>0</v>
      </c>
      <c r="B1313" s="1932">
        <f t="shared" si="116"/>
        <v>0</v>
      </c>
      <c r="C1313" s="1013" t="s">
        <v>245</v>
      </c>
      <c r="D1313" s="1013">
        <v>0</v>
      </c>
      <c r="E1313" s="1013" t="s">
        <v>22698</v>
      </c>
      <c r="F1313" s="1013">
        <v>18</v>
      </c>
      <c r="G1313" s="1932" t="str">
        <f>+VLOOKUP(F1313,TT_Tabelle_Riferimento!$D$127:$G$164,4,FALSE)</f>
        <v>Telecontrollo e teletrasmissione di fognatura</v>
      </c>
      <c r="H1313" s="1013">
        <v>2</v>
      </c>
      <c r="I1313" s="1932" t="str">
        <f>+VLOOKUP(H1313,TT_Tabelle_Riferimento!$F$3:$G$6,2,FALSE)</f>
        <v>Fognatura bianca e pulizia / manutenzione caditoie stradali</v>
      </c>
      <c r="J1313" s="1013">
        <v>2029</v>
      </c>
      <c r="K1313" s="2335">
        <f>+SUMIFS('PdI-crono_inv'!BL:BL,'PdI-crono_inv'!CF:CF,F1313,'PdI-crono_inv'!CE:CE,H1313,'PdI-crono_inv'!J:J,P1313,'PdI-crono_inv'!P:P,"&lt;&gt;proprietario")</f>
        <v>0</v>
      </c>
      <c r="M1313" s="2335">
        <f>+SUMIFS('PdI-crono_inv'!BM:BM,'PdI-crono_inv'!CF:CF,F1313,'PdI-crono_inv'!CE:CE,H1313,'PdI-crono_inv'!J:J,P1313,'PdI-crono_inv'!P:P,"&lt;&gt;proprietario")+S1313</f>
        <v>0</v>
      </c>
      <c r="P1313" s="1013" t="s">
        <v>27068</v>
      </c>
      <c r="Q1313" s="1932" t="str">
        <f>+VLOOKUP(F1313,TT_Tabelle_Riferimento!$D$127:$E$164,2,FALSE)</f>
        <v>Fognatura</v>
      </c>
      <c r="R1313" s="1932" t="str">
        <f t="shared" si="111"/>
        <v/>
      </c>
      <c r="S1313" s="2335">
        <f t="shared" si="114"/>
        <v>0</v>
      </c>
    </row>
    <row r="1314" spans="1:19">
      <c r="A1314" s="1932">
        <f t="shared" si="115"/>
        <v>0</v>
      </c>
      <c r="B1314" s="1932">
        <f t="shared" si="116"/>
        <v>0</v>
      </c>
      <c r="C1314" s="1013" t="s">
        <v>245</v>
      </c>
      <c r="D1314" s="1013">
        <v>0</v>
      </c>
      <c r="E1314" s="1013" t="s">
        <v>22698</v>
      </c>
      <c r="F1314" s="1013">
        <v>19</v>
      </c>
      <c r="G1314" s="1932" t="str">
        <f>+VLOOKUP(F1314,TT_Tabelle_Riferimento!$D$127:$G$164,4,FALSE)</f>
        <v>Impianti di sollevamento e pompaggio di depurazione</v>
      </c>
      <c r="H1314" s="1013">
        <v>2</v>
      </c>
      <c r="I1314" s="1932" t="str">
        <f>+VLOOKUP(H1314,TT_Tabelle_Riferimento!$F$3:$G$6,2,FALSE)</f>
        <v>Fognatura bianca e pulizia / manutenzione caditoie stradali</v>
      </c>
      <c r="J1314" s="1013">
        <v>2029</v>
      </c>
      <c r="K1314" s="2335">
        <f>+SUMIFS('PdI-crono_inv'!BL:BL,'PdI-crono_inv'!CF:CF,F1314,'PdI-crono_inv'!CE:CE,H1314,'PdI-crono_inv'!J:J,P1314,'PdI-crono_inv'!P:P,"&lt;&gt;proprietario")</f>
        <v>0</v>
      </c>
      <c r="M1314" s="2335">
        <f>+SUMIFS('PdI-crono_inv'!BM:BM,'PdI-crono_inv'!CF:CF,F1314,'PdI-crono_inv'!CE:CE,H1314,'PdI-crono_inv'!J:J,P1314,'PdI-crono_inv'!P:P,"&lt;&gt;proprietario")+S1314</f>
        <v>0</v>
      </c>
      <c r="P1314" s="1013" t="s">
        <v>27068</v>
      </c>
      <c r="Q1314" s="1932" t="str">
        <f>+VLOOKUP(F1314,TT_Tabelle_Riferimento!$D$127:$E$164,2,FALSE)</f>
        <v>Depurazione</v>
      </c>
      <c r="R1314" s="1932" t="str">
        <f t="shared" si="111"/>
        <v/>
      </c>
      <c r="S1314" s="2335">
        <f t="shared" si="114"/>
        <v>0</v>
      </c>
    </row>
    <row r="1315" spans="1:19">
      <c r="A1315" s="1932">
        <f t="shared" si="115"/>
        <v>0</v>
      </c>
      <c r="B1315" s="1932">
        <f t="shared" si="116"/>
        <v>0</v>
      </c>
      <c r="C1315" s="1013" t="s">
        <v>245</v>
      </c>
      <c r="D1315" s="1013">
        <v>0</v>
      </c>
      <c r="E1315" s="1013" t="s">
        <v>22698</v>
      </c>
      <c r="F1315" s="1013">
        <v>20</v>
      </c>
      <c r="G1315" s="1932" t="str">
        <f>+VLOOKUP(F1315,TT_Tabelle_Riferimento!$D$127:$G$164,4,FALSE)</f>
        <v>Tecniche naturali di depurazione (tra cui fitodepurazione e lagunaggio)</v>
      </c>
      <c r="H1315" s="1013">
        <v>2</v>
      </c>
      <c r="I1315" s="1932" t="str">
        <f>+VLOOKUP(H1315,TT_Tabelle_Riferimento!$F$3:$G$6,2,FALSE)</f>
        <v>Fognatura bianca e pulizia / manutenzione caditoie stradali</v>
      </c>
      <c r="J1315" s="1013">
        <v>2029</v>
      </c>
      <c r="K1315" s="2335">
        <f>+SUMIFS('PdI-crono_inv'!BL:BL,'PdI-crono_inv'!CF:CF,F1315,'PdI-crono_inv'!CE:CE,H1315,'PdI-crono_inv'!J:J,P1315,'PdI-crono_inv'!P:P,"&lt;&gt;proprietario")</f>
        <v>0</v>
      </c>
      <c r="M1315" s="2335">
        <f>+SUMIFS('PdI-crono_inv'!BM:BM,'PdI-crono_inv'!CF:CF,F1315,'PdI-crono_inv'!CE:CE,H1315,'PdI-crono_inv'!J:J,P1315,'PdI-crono_inv'!P:P,"&lt;&gt;proprietario")+S1315</f>
        <v>0</v>
      </c>
      <c r="P1315" s="1013" t="s">
        <v>27068</v>
      </c>
      <c r="Q1315" s="1932" t="str">
        <f>+VLOOKUP(F1315,TT_Tabelle_Riferimento!$D$127:$E$164,2,FALSE)</f>
        <v>Depurazione</v>
      </c>
      <c r="R1315" s="1932" t="str">
        <f t="shared" si="111"/>
        <v/>
      </c>
      <c r="S1315" s="2335">
        <f t="shared" si="114"/>
        <v>0</v>
      </c>
    </row>
    <row r="1316" spans="1:19">
      <c r="A1316" s="1932">
        <f t="shared" si="115"/>
        <v>0</v>
      </c>
      <c r="B1316" s="1932">
        <f t="shared" si="116"/>
        <v>0</v>
      </c>
      <c r="C1316" s="1013" t="s">
        <v>245</v>
      </c>
      <c r="D1316" s="1013">
        <v>0</v>
      </c>
      <c r="E1316" s="1013" t="s">
        <v>22698</v>
      </c>
      <c r="F1316" s="1013">
        <v>21</v>
      </c>
      <c r="G1316" s="1932" t="str">
        <f>+VLOOKUP(F1316,TT_Tabelle_Riferimento!$D$127:$G$164,4,FALSE)</f>
        <v>Impianti di depurazione – trattamenti sino al preliminare, integrativo, primario - fosse settiche e fosse Imhoff</v>
      </c>
      <c r="H1316" s="1013">
        <v>2</v>
      </c>
      <c r="I1316" s="1932" t="str">
        <f>+VLOOKUP(H1316,TT_Tabelle_Riferimento!$F$3:$G$6,2,FALSE)</f>
        <v>Fognatura bianca e pulizia / manutenzione caditoie stradali</v>
      </c>
      <c r="J1316" s="1013">
        <v>2029</v>
      </c>
      <c r="K1316" s="2335">
        <f>+SUMIFS('PdI-crono_inv'!BL:BL,'PdI-crono_inv'!CF:CF,F1316,'PdI-crono_inv'!CE:CE,H1316,'PdI-crono_inv'!J:J,P1316,'PdI-crono_inv'!P:P,"&lt;&gt;proprietario")</f>
        <v>0</v>
      </c>
      <c r="M1316" s="2335">
        <f>+SUMIFS('PdI-crono_inv'!BM:BM,'PdI-crono_inv'!CF:CF,F1316,'PdI-crono_inv'!CE:CE,H1316,'PdI-crono_inv'!J:J,P1316,'PdI-crono_inv'!P:P,"&lt;&gt;proprietario")+S1316</f>
        <v>0</v>
      </c>
      <c r="P1316" s="1013" t="s">
        <v>27068</v>
      </c>
      <c r="Q1316" s="1932" t="str">
        <f>+VLOOKUP(F1316,TT_Tabelle_Riferimento!$D$127:$E$164,2,FALSE)</f>
        <v>Depurazione</v>
      </c>
      <c r="R1316" s="1932" t="str">
        <f t="shared" si="111"/>
        <v/>
      </c>
      <c r="S1316" s="2335">
        <f t="shared" si="114"/>
        <v>0</v>
      </c>
    </row>
    <row r="1317" spans="1:19">
      <c r="A1317" s="1932">
        <f t="shared" si="115"/>
        <v>0</v>
      </c>
      <c r="B1317" s="1932">
        <f t="shared" si="116"/>
        <v>0</v>
      </c>
      <c r="C1317" s="1013" t="s">
        <v>245</v>
      </c>
      <c r="D1317" s="1013">
        <v>0</v>
      </c>
      <c r="E1317" s="1013" t="s">
        <v>22698</v>
      </c>
      <c r="F1317" s="1013">
        <v>22</v>
      </c>
      <c r="G1317" s="1932" t="str">
        <f>+VLOOKUP(F1317,TT_Tabelle_Riferimento!$D$127:$G$164,4,FALSE)</f>
        <v>Impianti di depurazione – trattamenti sino al secondario</v>
      </c>
      <c r="H1317" s="1013">
        <v>2</v>
      </c>
      <c r="I1317" s="1932" t="str">
        <f>+VLOOKUP(H1317,TT_Tabelle_Riferimento!$F$3:$G$6,2,FALSE)</f>
        <v>Fognatura bianca e pulizia / manutenzione caditoie stradali</v>
      </c>
      <c r="J1317" s="1013">
        <v>2029</v>
      </c>
      <c r="K1317" s="2335">
        <f>+SUMIFS('PdI-crono_inv'!BL:BL,'PdI-crono_inv'!CF:CF,F1317,'PdI-crono_inv'!CE:CE,H1317,'PdI-crono_inv'!J:J,P1317,'PdI-crono_inv'!P:P,"&lt;&gt;proprietario")</f>
        <v>0</v>
      </c>
      <c r="M1317" s="2335">
        <f>+SUMIFS('PdI-crono_inv'!BM:BM,'PdI-crono_inv'!CF:CF,F1317,'PdI-crono_inv'!CE:CE,H1317,'PdI-crono_inv'!J:J,P1317,'PdI-crono_inv'!P:P,"&lt;&gt;proprietario")+S1317</f>
        <v>0</v>
      </c>
      <c r="P1317" s="1013" t="s">
        <v>27068</v>
      </c>
      <c r="Q1317" s="1932" t="str">
        <f>+VLOOKUP(F1317,TT_Tabelle_Riferimento!$D$127:$E$164,2,FALSE)</f>
        <v>Depurazione</v>
      </c>
      <c r="R1317" s="1932" t="str">
        <f t="shared" si="111"/>
        <v/>
      </c>
      <c r="S1317" s="2335">
        <f t="shared" si="114"/>
        <v>0</v>
      </c>
    </row>
    <row r="1318" spans="1:19">
      <c r="A1318" s="1932">
        <f t="shared" si="115"/>
        <v>0</v>
      </c>
      <c r="B1318" s="1932">
        <f t="shared" si="116"/>
        <v>0</v>
      </c>
      <c r="C1318" s="1013" t="s">
        <v>245</v>
      </c>
      <c r="D1318" s="1013">
        <v>0</v>
      </c>
      <c r="E1318" s="1013" t="s">
        <v>22698</v>
      </c>
      <c r="F1318" s="1013">
        <v>23</v>
      </c>
      <c r="G1318" s="1932" t="str">
        <f>+VLOOKUP(F1318,TT_Tabelle_Riferimento!$D$127:$G$164,4,FALSE)</f>
        <v>Impianti di depurazione – trattamenti sino al terziario e terziario avanzato</v>
      </c>
      <c r="H1318" s="1013">
        <v>2</v>
      </c>
      <c r="I1318" s="1932" t="str">
        <f>+VLOOKUP(H1318,TT_Tabelle_Riferimento!$F$3:$G$6,2,FALSE)</f>
        <v>Fognatura bianca e pulizia / manutenzione caditoie stradali</v>
      </c>
      <c r="J1318" s="1013">
        <v>2029</v>
      </c>
      <c r="K1318" s="2335">
        <f>+SUMIFS('PdI-crono_inv'!BL:BL,'PdI-crono_inv'!CF:CF,F1318,'PdI-crono_inv'!CE:CE,H1318,'PdI-crono_inv'!J:J,P1318,'PdI-crono_inv'!P:P,"&lt;&gt;proprietario")</f>
        <v>0</v>
      </c>
      <c r="M1318" s="2335">
        <f>+SUMIFS('PdI-crono_inv'!BM:BM,'PdI-crono_inv'!CF:CF,F1318,'PdI-crono_inv'!CE:CE,H1318,'PdI-crono_inv'!J:J,P1318,'PdI-crono_inv'!P:P,"&lt;&gt;proprietario")+S1318</f>
        <v>0</v>
      </c>
      <c r="P1318" s="1013" t="s">
        <v>27068</v>
      </c>
      <c r="Q1318" s="1932" t="str">
        <f>+VLOOKUP(F1318,TT_Tabelle_Riferimento!$D$127:$E$164,2,FALSE)</f>
        <v>Depurazione</v>
      </c>
      <c r="R1318" s="1932" t="str">
        <f t="shared" si="111"/>
        <v/>
      </c>
      <c r="S1318" s="2335">
        <f t="shared" si="114"/>
        <v>0</v>
      </c>
    </row>
    <row r="1319" spans="1:19">
      <c r="A1319" s="1932">
        <f t="shared" si="115"/>
        <v>0</v>
      </c>
      <c r="B1319" s="1932">
        <f t="shared" si="116"/>
        <v>0</v>
      </c>
      <c r="C1319" s="1013" t="s">
        <v>245</v>
      </c>
      <c r="D1319" s="1013">
        <v>0</v>
      </c>
      <c r="E1319" s="1013" t="s">
        <v>22698</v>
      </c>
      <c r="F1319" s="1013">
        <v>24</v>
      </c>
      <c r="G1319" s="1932" t="str">
        <f>+VLOOKUP(F1319,TT_Tabelle_Riferimento!$D$127:$G$164,4,FALSE)</f>
        <v>Impianti di essiccamento fanghi e di valorizzazione dei fanghi (tra cui mono-incenerimento, pirolisi, gassificazione)</v>
      </c>
      <c r="H1319" s="1013">
        <v>2</v>
      </c>
      <c r="I1319" s="1932" t="str">
        <f>+VLOOKUP(H1319,TT_Tabelle_Riferimento!$F$3:$G$6,2,FALSE)</f>
        <v>Fognatura bianca e pulizia / manutenzione caditoie stradali</v>
      </c>
      <c r="J1319" s="1013">
        <v>2029</v>
      </c>
      <c r="K1319" s="2335">
        <f>+SUMIFS('PdI-crono_inv'!BL:BL,'PdI-crono_inv'!CF:CF,F1319,'PdI-crono_inv'!CE:CE,H1319,'PdI-crono_inv'!J:J,P1319,'PdI-crono_inv'!P:P,"&lt;&gt;proprietario")</f>
        <v>0</v>
      </c>
      <c r="M1319" s="2335">
        <f>+SUMIFS('PdI-crono_inv'!BM:BM,'PdI-crono_inv'!CF:CF,F1319,'PdI-crono_inv'!CE:CE,H1319,'PdI-crono_inv'!J:J,P1319,'PdI-crono_inv'!P:P,"&lt;&gt;proprietario")+S1319</f>
        <v>0</v>
      </c>
      <c r="P1319" s="1013" t="s">
        <v>27068</v>
      </c>
      <c r="Q1319" s="1932" t="str">
        <f>+VLOOKUP(F1319,TT_Tabelle_Riferimento!$D$127:$E$164,2,FALSE)</f>
        <v>Depurazione</v>
      </c>
      <c r="R1319" s="1932" t="str">
        <f t="shared" si="111"/>
        <v/>
      </c>
      <c r="S1319" s="2335">
        <f t="shared" si="114"/>
        <v>0</v>
      </c>
    </row>
    <row r="1320" spans="1:19">
      <c r="A1320" s="1932">
        <f t="shared" si="115"/>
        <v>0</v>
      </c>
      <c r="B1320" s="1932">
        <f t="shared" si="116"/>
        <v>0</v>
      </c>
      <c r="C1320" s="1013" t="s">
        <v>245</v>
      </c>
      <c r="D1320" s="1013">
        <v>0</v>
      </c>
      <c r="E1320" s="1013" t="s">
        <v>22698</v>
      </c>
      <c r="F1320" s="1013">
        <v>25</v>
      </c>
      <c r="G1320" s="1932" t="str">
        <f>+VLOOKUP(F1320,TT_Tabelle_Riferimento!$D$127:$G$164,4,FALSE)</f>
        <v>Gruppi di misura - altre attrezzature di depurazione</v>
      </c>
      <c r="H1320" s="1013">
        <v>2</v>
      </c>
      <c r="I1320" s="1932" t="str">
        <f>+VLOOKUP(H1320,TT_Tabelle_Riferimento!$F$3:$G$6,2,FALSE)</f>
        <v>Fognatura bianca e pulizia / manutenzione caditoie stradali</v>
      </c>
      <c r="J1320" s="1013">
        <v>2029</v>
      </c>
      <c r="K1320" s="2335">
        <f>+SUMIFS('PdI-crono_inv'!BL:BL,'PdI-crono_inv'!CF:CF,F1320,'PdI-crono_inv'!CE:CE,H1320,'PdI-crono_inv'!J:J,P1320,'PdI-crono_inv'!P:P,"&lt;&gt;proprietario")</f>
        <v>0</v>
      </c>
      <c r="M1320" s="2335">
        <f>+SUMIFS('PdI-crono_inv'!BM:BM,'PdI-crono_inv'!CF:CF,F1320,'PdI-crono_inv'!CE:CE,H1320,'PdI-crono_inv'!J:J,P1320,'PdI-crono_inv'!P:P,"&lt;&gt;proprietario")+S1320</f>
        <v>0</v>
      </c>
      <c r="P1320" s="1013" t="s">
        <v>27068</v>
      </c>
      <c r="Q1320" s="1932" t="str">
        <f>+VLOOKUP(F1320,TT_Tabelle_Riferimento!$D$127:$E$164,2,FALSE)</f>
        <v>Depurazione</v>
      </c>
      <c r="R1320" s="1932" t="str">
        <f t="shared" si="111"/>
        <v/>
      </c>
      <c r="S1320" s="2335">
        <f t="shared" si="114"/>
        <v>0</v>
      </c>
    </row>
    <row r="1321" spans="1:19">
      <c r="A1321" s="1932">
        <f t="shared" si="115"/>
        <v>0</v>
      </c>
      <c r="B1321" s="1932">
        <f t="shared" si="116"/>
        <v>0</v>
      </c>
      <c r="C1321" s="1013" t="s">
        <v>245</v>
      </c>
      <c r="D1321" s="1013">
        <v>0</v>
      </c>
      <c r="E1321" s="1013" t="s">
        <v>22698</v>
      </c>
      <c r="F1321" s="1013">
        <v>26</v>
      </c>
      <c r="G1321" s="1932" t="str">
        <f>+VLOOKUP(F1321,TT_Tabelle_Riferimento!$D$127:$G$164,4,FALSE)</f>
        <v>Sistemi informativi di depurazione</v>
      </c>
      <c r="H1321" s="1013">
        <v>2</v>
      </c>
      <c r="I1321" s="1932" t="str">
        <f>+VLOOKUP(H1321,TT_Tabelle_Riferimento!$F$3:$G$6,2,FALSE)</f>
        <v>Fognatura bianca e pulizia / manutenzione caditoie stradali</v>
      </c>
      <c r="J1321" s="1013">
        <v>2029</v>
      </c>
      <c r="K1321" s="2335">
        <f>+SUMIFS('PdI-crono_inv'!BL:BL,'PdI-crono_inv'!CF:CF,F1321,'PdI-crono_inv'!CE:CE,H1321,'PdI-crono_inv'!J:J,P1321,'PdI-crono_inv'!P:P,"&lt;&gt;proprietario")</f>
        <v>0</v>
      </c>
      <c r="M1321" s="2335">
        <f>+SUMIFS('PdI-crono_inv'!BM:BM,'PdI-crono_inv'!CF:CF,F1321,'PdI-crono_inv'!CE:CE,H1321,'PdI-crono_inv'!J:J,P1321,'PdI-crono_inv'!P:P,"&lt;&gt;proprietario")+S1321</f>
        <v>0</v>
      </c>
      <c r="P1321" s="1013" t="s">
        <v>27068</v>
      </c>
      <c r="Q1321" s="1932" t="str">
        <f>+VLOOKUP(F1321,TT_Tabelle_Riferimento!$D$127:$E$164,2,FALSE)</f>
        <v>Depurazione</v>
      </c>
      <c r="R1321" s="1932" t="str">
        <f t="shared" si="111"/>
        <v/>
      </c>
      <c r="S1321" s="2335">
        <f t="shared" si="114"/>
        <v>0</v>
      </c>
    </row>
    <row r="1322" spans="1:19">
      <c r="A1322" s="1932">
        <f t="shared" si="115"/>
        <v>0</v>
      </c>
      <c r="B1322" s="1932">
        <f t="shared" si="116"/>
        <v>0</v>
      </c>
      <c r="C1322" s="1013" t="s">
        <v>245</v>
      </c>
      <c r="D1322" s="1013">
        <v>0</v>
      </c>
      <c r="E1322" s="1013" t="s">
        <v>22698</v>
      </c>
      <c r="F1322" s="1013">
        <v>27</v>
      </c>
      <c r="G1322" s="1932" t="str">
        <f>+VLOOKUP(F1322,TT_Tabelle_Riferimento!$D$127:$G$164,4,FALSE)</f>
        <v>Telecontrollo e teletrasmissione di depurazione</v>
      </c>
      <c r="H1322" s="1013">
        <v>2</v>
      </c>
      <c r="I1322" s="1932" t="str">
        <f>+VLOOKUP(H1322,TT_Tabelle_Riferimento!$F$3:$G$6,2,FALSE)</f>
        <v>Fognatura bianca e pulizia / manutenzione caditoie stradali</v>
      </c>
      <c r="J1322" s="1013">
        <v>2029</v>
      </c>
      <c r="K1322" s="2335">
        <f>+SUMIFS('PdI-crono_inv'!BL:BL,'PdI-crono_inv'!CF:CF,F1322,'PdI-crono_inv'!CE:CE,H1322,'PdI-crono_inv'!J:J,P1322,'PdI-crono_inv'!P:P,"&lt;&gt;proprietario")</f>
        <v>0</v>
      </c>
      <c r="M1322" s="2335">
        <f>+SUMIFS('PdI-crono_inv'!BM:BM,'PdI-crono_inv'!CF:CF,F1322,'PdI-crono_inv'!CE:CE,H1322,'PdI-crono_inv'!J:J,P1322,'PdI-crono_inv'!P:P,"&lt;&gt;proprietario")+S1322</f>
        <v>0</v>
      </c>
      <c r="P1322" s="1013" t="s">
        <v>27068</v>
      </c>
      <c r="Q1322" s="1932" t="str">
        <f>+VLOOKUP(F1322,TT_Tabelle_Riferimento!$D$127:$E$164,2,FALSE)</f>
        <v>Depurazione</v>
      </c>
      <c r="R1322" s="1932" t="str">
        <f t="shared" si="111"/>
        <v/>
      </c>
      <c r="S1322" s="2335">
        <f t="shared" si="114"/>
        <v>0</v>
      </c>
    </row>
    <row r="1323" spans="1:19">
      <c r="A1323" s="1932">
        <f t="shared" si="115"/>
        <v>0</v>
      </c>
      <c r="B1323" s="1932">
        <f t="shared" si="116"/>
        <v>0</v>
      </c>
      <c r="C1323" s="1013" t="s">
        <v>245</v>
      </c>
      <c r="D1323" s="1013">
        <v>0</v>
      </c>
      <c r="E1323" s="1013" t="s">
        <v>22698</v>
      </c>
      <c r="F1323" s="1013">
        <v>28</v>
      </c>
      <c r="G1323" s="1932" t="str">
        <f>+VLOOKUP(F1323,TT_Tabelle_Riferimento!$D$127:$G$164,4,FALSE)</f>
        <v>Altri impianti</v>
      </c>
      <c r="H1323" s="1013">
        <v>2</v>
      </c>
      <c r="I1323" s="1932" t="str">
        <f>+VLOOKUP(H1323,TT_Tabelle_Riferimento!$F$3:$G$6,2,FALSE)</f>
        <v>Fognatura bianca e pulizia / manutenzione caditoie stradali</v>
      </c>
      <c r="J1323" s="1013">
        <v>2029</v>
      </c>
      <c r="K1323" s="2335">
        <f>+SUMIFS('PdI-crono_inv'!BL:BL,'PdI-crono_inv'!CF:CF,F1323,'PdI-crono_inv'!CE:CE,H1323,'PdI-crono_inv'!J:J,P1323,'PdI-crono_inv'!P:P,"&lt;&gt;proprietario")</f>
        <v>0</v>
      </c>
      <c r="M1323" s="2335">
        <f>+SUMIFS('PdI-crono_inv'!BM:BM,'PdI-crono_inv'!CF:CF,F1323,'PdI-crono_inv'!CE:CE,H1323,'PdI-crono_inv'!J:J,P1323,'PdI-crono_inv'!P:P,"&lt;&gt;proprietario")+S1323</f>
        <v>0</v>
      </c>
      <c r="P1323" s="1013" t="s">
        <v>27068</v>
      </c>
      <c r="Q1323" s="1932" t="str">
        <f>+VLOOKUP(F1323,TT_Tabelle_Riferimento!$D$127:$E$164,2,FALSE)</f>
        <v>Comune</v>
      </c>
      <c r="R1323" s="1932" t="str">
        <f t="shared" si="111"/>
        <v/>
      </c>
      <c r="S1323" s="2335">
        <f t="shared" si="114"/>
        <v>0</v>
      </c>
    </row>
    <row r="1324" spans="1:19">
      <c r="A1324" s="1932">
        <f t="shared" si="115"/>
        <v>0</v>
      </c>
      <c r="B1324" s="1932">
        <f t="shared" si="116"/>
        <v>0</v>
      </c>
      <c r="C1324" s="1013" t="s">
        <v>245</v>
      </c>
      <c r="D1324" s="1013">
        <v>0</v>
      </c>
      <c r="E1324" s="1013" t="s">
        <v>22698</v>
      </c>
      <c r="F1324" s="1013">
        <v>29</v>
      </c>
      <c r="G1324" s="1932" t="str">
        <f>+VLOOKUP(F1324,TT_Tabelle_Riferimento!$D$127:$G$164,4,FALSE)</f>
        <v>Laboratori e attrezzature</v>
      </c>
      <c r="H1324" s="1013">
        <v>2</v>
      </c>
      <c r="I1324" s="1932" t="str">
        <f>+VLOOKUP(H1324,TT_Tabelle_Riferimento!$F$3:$G$6,2,FALSE)</f>
        <v>Fognatura bianca e pulizia / manutenzione caditoie stradali</v>
      </c>
      <c r="J1324" s="1013">
        <v>2029</v>
      </c>
      <c r="K1324" s="2335">
        <f>+SUMIFS('PdI-crono_inv'!BL:BL,'PdI-crono_inv'!CF:CF,F1324,'PdI-crono_inv'!CE:CE,H1324,'PdI-crono_inv'!J:J,P1324,'PdI-crono_inv'!P:P,"&lt;&gt;proprietario")</f>
        <v>0</v>
      </c>
      <c r="M1324" s="2335">
        <f>+SUMIFS('PdI-crono_inv'!BM:BM,'PdI-crono_inv'!CF:CF,F1324,'PdI-crono_inv'!CE:CE,H1324,'PdI-crono_inv'!J:J,P1324,'PdI-crono_inv'!P:P,"&lt;&gt;proprietario")+S1324</f>
        <v>0</v>
      </c>
      <c r="P1324" s="1013" t="s">
        <v>27068</v>
      </c>
      <c r="Q1324" s="1932" t="str">
        <f>+VLOOKUP(F1324,TT_Tabelle_Riferimento!$D$127:$E$164,2,FALSE)</f>
        <v>Comune</v>
      </c>
      <c r="R1324" s="1932" t="str">
        <f t="shared" si="111"/>
        <v/>
      </c>
      <c r="S1324" s="2335">
        <f t="shared" si="114"/>
        <v>0</v>
      </c>
    </row>
    <row r="1325" spans="1:19">
      <c r="A1325" s="1932">
        <f t="shared" si="115"/>
        <v>0</v>
      </c>
      <c r="B1325" s="1932">
        <f t="shared" si="116"/>
        <v>0</v>
      </c>
      <c r="C1325" s="1013" t="s">
        <v>245</v>
      </c>
      <c r="D1325" s="1013">
        <v>0</v>
      </c>
      <c r="E1325" s="1013" t="s">
        <v>22698</v>
      </c>
      <c r="F1325" s="1013">
        <v>30</v>
      </c>
      <c r="G1325" s="1932" t="str">
        <f>+VLOOKUP(F1325,TT_Tabelle_Riferimento!$D$127:$G$164,4,FALSE)</f>
        <v>Sistemi informativi</v>
      </c>
      <c r="H1325" s="1013">
        <v>2</v>
      </c>
      <c r="I1325" s="1932" t="str">
        <f>+VLOOKUP(H1325,TT_Tabelle_Riferimento!$F$3:$G$6,2,FALSE)</f>
        <v>Fognatura bianca e pulizia / manutenzione caditoie stradali</v>
      </c>
      <c r="J1325" s="1013">
        <v>2029</v>
      </c>
      <c r="K1325" s="2335">
        <f>+SUMIFS('PdI-crono_inv'!BL:BL,'PdI-crono_inv'!CF:CF,F1325,'PdI-crono_inv'!CE:CE,H1325,'PdI-crono_inv'!J:J,P1325,'PdI-crono_inv'!P:P,"&lt;&gt;proprietario")</f>
        <v>0</v>
      </c>
      <c r="M1325" s="2335">
        <f>+SUMIFS('PdI-crono_inv'!BM:BM,'PdI-crono_inv'!CF:CF,F1325,'PdI-crono_inv'!CE:CE,H1325,'PdI-crono_inv'!J:J,P1325,'PdI-crono_inv'!P:P,"&lt;&gt;proprietario")+S1325</f>
        <v>0</v>
      </c>
      <c r="P1325" s="1013" t="s">
        <v>27068</v>
      </c>
      <c r="Q1325" s="1932" t="str">
        <f>+VLOOKUP(F1325,TT_Tabelle_Riferimento!$D$127:$E$164,2,FALSE)</f>
        <v>Comune</v>
      </c>
      <c r="R1325" s="1932" t="str">
        <f t="shared" si="111"/>
        <v/>
      </c>
      <c r="S1325" s="2335">
        <f t="shared" si="114"/>
        <v>0</v>
      </c>
    </row>
    <row r="1326" spans="1:19">
      <c r="A1326" s="1932">
        <f t="shared" si="115"/>
        <v>0</v>
      </c>
      <c r="B1326" s="1932">
        <f t="shared" si="116"/>
        <v>0</v>
      </c>
      <c r="C1326" s="1013" t="s">
        <v>245</v>
      </c>
      <c r="D1326" s="1013">
        <v>0</v>
      </c>
      <c r="E1326" s="1013" t="s">
        <v>22698</v>
      </c>
      <c r="F1326" s="1013">
        <v>31</v>
      </c>
      <c r="G1326" s="1932" t="str">
        <f>+VLOOKUP(F1326,TT_Tabelle_Riferimento!$D$127:$G$164,4,FALSE)</f>
        <v>Telecontrollo e teletrasmissione</v>
      </c>
      <c r="H1326" s="1013">
        <v>2</v>
      </c>
      <c r="I1326" s="1932" t="str">
        <f>+VLOOKUP(H1326,TT_Tabelle_Riferimento!$F$3:$G$6,2,FALSE)</f>
        <v>Fognatura bianca e pulizia / manutenzione caditoie stradali</v>
      </c>
      <c r="J1326" s="1013">
        <v>2029</v>
      </c>
      <c r="K1326" s="2335">
        <f>+SUMIFS('PdI-crono_inv'!BL:BL,'PdI-crono_inv'!CF:CF,F1326,'PdI-crono_inv'!CE:CE,H1326,'PdI-crono_inv'!J:J,P1326,'PdI-crono_inv'!P:P,"&lt;&gt;proprietario")</f>
        <v>0</v>
      </c>
      <c r="M1326" s="2335">
        <f>+SUMIFS('PdI-crono_inv'!BM:BM,'PdI-crono_inv'!CF:CF,F1326,'PdI-crono_inv'!CE:CE,H1326,'PdI-crono_inv'!J:J,P1326,'PdI-crono_inv'!P:P,"&lt;&gt;proprietario")+S1326</f>
        <v>0</v>
      </c>
      <c r="P1326" s="1013" t="s">
        <v>27068</v>
      </c>
      <c r="Q1326" s="1932" t="str">
        <f>+VLOOKUP(F1326,TT_Tabelle_Riferimento!$D$127:$E$164,2,FALSE)</f>
        <v>Comune</v>
      </c>
      <c r="R1326" s="1932" t="str">
        <f t="shared" ref="R1326:R1373" si="117">+IF(SUM(K1326:N1326)=0,"","PdI_consolidamento")</f>
        <v/>
      </c>
      <c r="S1326" s="2335">
        <f t="shared" si="114"/>
        <v>0</v>
      </c>
    </row>
    <row r="1327" spans="1:19">
      <c r="A1327" s="1932">
        <f t="shared" si="115"/>
        <v>0</v>
      </c>
      <c r="B1327" s="1932">
        <f t="shared" si="116"/>
        <v>0</v>
      </c>
      <c r="C1327" s="1013" t="s">
        <v>245</v>
      </c>
      <c r="D1327" s="1013">
        <v>0</v>
      </c>
      <c r="E1327" s="1013" t="s">
        <v>22698</v>
      </c>
      <c r="F1327" s="1013">
        <v>32</v>
      </c>
      <c r="G1327" s="1932" t="str">
        <f>+VLOOKUP(F1327,TT_Tabelle_Riferimento!$D$127:$G$164,4,FALSE)</f>
        <v>Autoveicoli - automezzi</v>
      </c>
      <c r="H1327" s="1013">
        <v>2</v>
      </c>
      <c r="I1327" s="1932" t="str">
        <f>+VLOOKUP(H1327,TT_Tabelle_Riferimento!$F$3:$G$6,2,FALSE)</f>
        <v>Fognatura bianca e pulizia / manutenzione caditoie stradali</v>
      </c>
      <c r="J1327" s="1013">
        <v>2029</v>
      </c>
      <c r="K1327" s="2335">
        <f>+SUMIFS('PdI-crono_inv'!BL:BL,'PdI-crono_inv'!CF:CF,F1327,'PdI-crono_inv'!CE:CE,H1327,'PdI-crono_inv'!J:J,P1327,'PdI-crono_inv'!P:P,"&lt;&gt;proprietario")</f>
        <v>0</v>
      </c>
      <c r="M1327" s="2335">
        <f>+SUMIFS('PdI-crono_inv'!BM:BM,'PdI-crono_inv'!CF:CF,F1327,'PdI-crono_inv'!CE:CE,H1327,'PdI-crono_inv'!J:J,P1327,'PdI-crono_inv'!P:P,"&lt;&gt;proprietario")+S1327</f>
        <v>0</v>
      </c>
      <c r="P1327" s="1013" t="s">
        <v>27068</v>
      </c>
      <c r="Q1327" s="1932" t="str">
        <f>+VLOOKUP(F1327,TT_Tabelle_Riferimento!$D$127:$E$164,2,FALSE)</f>
        <v>Comune</v>
      </c>
      <c r="R1327" s="1932" t="str">
        <f t="shared" si="117"/>
        <v/>
      </c>
      <c r="S1327" s="2335">
        <f t="shared" si="114"/>
        <v>0</v>
      </c>
    </row>
    <row r="1328" spans="1:19">
      <c r="A1328" s="1932">
        <f t="shared" si="115"/>
        <v>0</v>
      </c>
      <c r="B1328" s="1932">
        <f t="shared" si="116"/>
        <v>0</v>
      </c>
      <c r="C1328" s="1013" t="s">
        <v>245</v>
      </c>
      <c r="D1328" s="1013">
        <v>0</v>
      </c>
      <c r="E1328" s="1013" t="s">
        <v>22698</v>
      </c>
      <c r="F1328" s="1013">
        <v>1</v>
      </c>
      <c r="G1328" s="1932" t="str">
        <f>+VLOOKUP(F1328,TT_Tabelle_Riferimento!$D$127:$G$164,4,FALSE)</f>
        <v>Terreni</v>
      </c>
      <c r="H1328" s="1013">
        <v>2</v>
      </c>
      <c r="I1328" s="1932" t="str">
        <f>+VLOOKUP(H1328,TT_Tabelle_Riferimento!$F$3:$G$6,2,FALSE)</f>
        <v>Fognatura bianca e pulizia / manutenzione caditoie stradali</v>
      </c>
      <c r="J1328" s="1013">
        <v>2029</v>
      </c>
      <c r="K1328" s="2335">
        <f>+SUMIFS('PdI-crono_inv'!BL:BL,'PdI-crono_inv'!CF:CF,F1328,'PdI-crono_inv'!CE:CE,H1328,'PdI-crono_inv'!J:J,P1328,'PdI-crono_inv'!P:P,"&lt;&gt;proprietario")</f>
        <v>0</v>
      </c>
      <c r="M1328" s="2335">
        <f>+SUMIFS('PdI-crono_inv'!BM:BM,'PdI-crono_inv'!CF:CF,F1328,'PdI-crono_inv'!CE:CE,H1328,'PdI-crono_inv'!J:J,P1328,'PdI-crono_inv'!P:P,"&lt;&gt;proprietario")+S1328</f>
        <v>0</v>
      </c>
      <c r="P1328" s="1013" t="s">
        <v>27068</v>
      </c>
      <c r="Q1328" s="1932" t="str">
        <f>+VLOOKUP(F1328,TT_Tabelle_Riferimento!$D$127:$E$164,2,FALSE)</f>
        <v>Comune</v>
      </c>
      <c r="R1328" s="1932" t="str">
        <f t="shared" si="117"/>
        <v/>
      </c>
      <c r="S1328" s="2335">
        <f t="shared" si="114"/>
        <v>0</v>
      </c>
    </row>
    <row r="1329" spans="1:19">
      <c r="A1329" s="1932">
        <f t="shared" si="115"/>
        <v>0</v>
      </c>
      <c r="B1329" s="1932">
        <f t="shared" si="116"/>
        <v>0</v>
      </c>
      <c r="C1329" s="1013" t="s">
        <v>245</v>
      </c>
      <c r="D1329" s="1013">
        <v>0</v>
      </c>
      <c r="E1329" s="1013" t="s">
        <v>22698</v>
      </c>
      <c r="F1329" s="1013">
        <v>33</v>
      </c>
      <c r="G1329" s="1932" t="str">
        <f>+VLOOKUP(F1329,TT_Tabelle_Riferimento!$D$127:$G$164,4,FALSE)</f>
        <v>Fabbricati non industriali</v>
      </c>
      <c r="H1329" s="1013">
        <v>2</v>
      </c>
      <c r="I1329" s="1932" t="str">
        <f>+VLOOKUP(H1329,TT_Tabelle_Riferimento!$F$3:$G$6,2,FALSE)</f>
        <v>Fognatura bianca e pulizia / manutenzione caditoie stradali</v>
      </c>
      <c r="J1329" s="1013">
        <v>2029</v>
      </c>
      <c r="K1329" s="2335">
        <f>+SUMIFS('PdI-crono_inv'!BL:BL,'PdI-crono_inv'!CF:CF,F1329,'PdI-crono_inv'!CE:CE,H1329,'PdI-crono_inv'!J:J,P1329,'PdI-crono_inv'!P:P,"&lt;&gt;proprietario")</f>
        <v>0</v>
      </c>
      <c r="M1329" s="2335">
        <f>+SUMIFS('PdI-crono_inv'!BM:BM,'PdI-crono_inv'!CF:CF,F1329,'PdI-crono_inv'!CE:CE,H1329,'PdI-crono_inv'!J:J,P1329,'PdI-crono_inv'!P:P,"&lt;&gt;proprietario")+S1329</f>
        <v>0</v>
      </c>
      <c r="P1329" s="1013" t="s">
        <v>27068</v>
      </c>
      <c r="Q1329" s="1932" t="str">
        <f>+VLOOKUP(F1329,TT_Tabelle_Riferimento!$D$127:$E$164,2,FALSE)</f>
        <v>Comune</v>
      </c>
      <c r="R1329" s="1932" t="str">
        <f t="shared" si="117"/>
        <v/>
      </c>
      <c r="S1329" s="2335">
        <f t="shared" si="114"/>
        <v>0</v>
      </c>
    </row>
    <row r="1330" spans="1:19">
      <c r="A1330" s="1932">
        <f t="shared" si="115"/>
        <v>0</v>
      </c>
      <c r="B1330" s="1932">
        <f t="shared" si="116"/>
        <v>0</v>
      </c>
      <c r="C1330" s="1013" t="s">
        <v>245</v>
      </c>
      <c r="D1330" s="1013">
        <v>0</v>
      </c>
      <c r="E1330" s="1013" t="s">
        <v>22698</v>
      </c>
      <c r="F1330" s="1013">
        <v>34</v>
      </c>
      <c r="G1330" s="1932" t="str">
        <f>+VLOOKUP(F1330,TT_Tabelle_Riferimento!$D$127:$G$164,4,FALSE)</f>
        <v>Fabbricati industriali</v>
      </c>
      <c r="H1330" s="1013">
        <v>2</v>
      </c>
      <c r="I1330" s="1932" t="str">
        <f>+VLOOKUP(H1330,TT_Tabelle_Riferimento!$F$3:$G$6,2,FALSE)</f>
        <v>Fognatura bianca e pulizia / manutenzione caditoie stradali</v>
      </c>
      <c r="J1330" s="1013">
        <v>2029</v>
      </c>
      <c r="K1330" s="2335">
        <f>+SUMIFS('PdI-crono_inv'!BL:BL,'PdI-crono_inv'!CF:CF,F1330,'PdI-crono_inv'!CE:CE,H1330,'PdI-crono_inv'!J:J,P1330,'PdI-crono_inv'!P:P,"&lt;&gt;proprietario")</f>
        <v>0</v>
      </c>
      <c r="M1330" s="2335">
        <f>+SUMIFS('PdI-crono_inv'!BM:BM,'PdI-crono_inv'!CF:CF,F1330,'PdI-crono_inv'!CE:CE,H1330,'PdI-crono_inv'!J:J,P1330,'PdI-crono_inv'!P:P,"&lt;&gt;proprietario")+S1330</f>
        <v>0</v>
      </c>
      <c r="P1330" s="1013" t="s">
        <v>27068</v>
      </c>
      <c r="Q1330" s="1932" t="str">
        <f>+VLOOKUP(F1330,TT_Tabelle_Riferimento!$D$127:$E$164,2,FALSE)</f>
        <v>Comune</v>
      </c>
      <c r="R1330" s="1932" t="str">
        <f t="shared" si="117"/>
        <v/>
      </c>
      <c r="S1330" s="2335">
        <f t="shared" si="114"/>
        <v>0</v>
      </c>
    </row>
    <row r="1331" spans="1:19">
      <c r="A1331" s="1932">
        <f t="shared" si="115"/>
        <v>0</v>
      </c>
      <c r="B1331" s="1932">
        <f t="shared" si="116"/>
        <v>0</v>
      </c>
      <c r="C1331" s="1013" t="s">
        <v>245</v>
      </c>
      <c r="D1331" s="1013">
        <v>0</v>
      </c>
      <c r="E1331" s="1013" t="s">
        <v>22698</v>
      </c>
      <c r="F1331" s="1013">
        <v>35</v>
      </c>
      <c r="G1331" s="1932" t="str">
        <f>+VLOOKUP(F1331,TT_Tabelle_Riferimento!$D$127:$G$164,4,FALSE)</f>
        <v>Costruzioni leggere</v>
      </c>
      <c r="H1331" s="1013">
        <v>2</v>
      </c>
      <c r="I1331" s="1932" t="str">
        <f>+VLOOKUP(H1331,TT_Tabelle_Riferimento!$F$3:$G$6,2,FALSE)</f>
        <v>Fognatura bianca e pulizia / manutenzione caditoie stradali</v>
      </c>
      <c r="J1331" s="1013">
        <v>2029</v>
      </c>
      <c r="K1331" s="2335">
        <f>+SUMIFS('PdI-crono_inv'!BL:BL,'PdI-crono_inv'!CF:CF,F1331,'PdI-crono_inv'!CE:CE,H1331,'PdI-crono_inv'!J:J,P1331,'PdI-crono_inv'!P:P,"&lt;&gt;proprietario")</f>
        <v>0</v>
      </c>
      <c r="M1331" s="2335">
        <f>+SUMIFS('PdI-crono_inv'!BM:BM,'PdI-crono_inv'!CF:CF,F1331,'PdI-crono_inv'!CE:CE,H1331,'PdI-crono_inv'!J:J,P1331,'PdI-crono_inv'!P:P,"&lt;&gt;proprietario")+S1331</f>
        <v>0</v>
      </c>
      <c r="P1331" s="1013" t="s">
        <v>27068</v>
      </c>
      <c r="Q1331" s="1932" t="str">
        <f>+VLOOKUP(F1331,TT_Tabelle_Riferimento!$D$127:$E$164,2,FALSE)</f>
        <v>Comune</v>
      </c>
      <c r="R1331" s="1932" t="str">
        <f t="shared" si="117"/>
        <v/>
      </c>
      <c r="S1331" s="2335">
        <f t="shared" si="114"/>
        <v>0</v>
      </c>
    </row>
    <row r="1332" spans="1:19">
      <c r="A1332" s="1932">
        <f t="shared" si="115"/>
        <v>0</v>
      </c>
      <c r="B1332" s="1932">
        <f t="shared" si="116"/>
        <v>0</v>
      </c>
      <c r="C1332" s="1013" t="s">
        <v>245</v>
      </c>
      <c r="D1332" s="1013">
        <v>0</v>
      </c>
      <c r="E1332" s="1013" t="s">
        <v>22698</v>
      </c>
      <c r="F1332" s="1013">
        <v>36</v>
      </c>
      <c r="G1332" s="1932" t="str">
        <f>+VLOOKUP(F1332,TT_Tabelle_Riferimento!$D$127:$G$164,4,FALSE)</f>
        <v>Studi, ricerche, brevetti, diritti di utilizzazione</v>
      </c>
      <c r="H1332" s="1013">
        <v>2</v>
      </c>
      <c r="I1332" s="1932" t="str">
        <f>+VLOOKUP(H1332,TT_Tabelle_Riferimento!$F$3:$G$6,2,FALSE)</f>
        <v>Fognatura bianca e pulizia / manutenzione caditoie stradali</v>
      </c>
      <c r="J1332" s="1013">
        <v>2029</v>
      </c>
      <c r="K1332" s="2335">
        <f>+SUMIFS('PdI-crono_inv'!BL:BL,'PdI-crono_inv'!CF:CF,F1332,'PdI-crono_inv'!CE:CE,H1332,'PdI-crono_inv'!J:J,P1332,'PdI-crono_inv'!P:P,"&lt;&gt;proprietario")</f>
        <v>0</v>
      </c>
      <c r="M1332" s="2335">
        <f>+SUMIFS('PdI-crono_inv'!BM:BM,'PdI-crono_inv'!CF:CF,F1332,'PdI-crono_inv'!CE:CE,H1332,'PdI-crono_inv'!J:J,P1332,'PdI-crono_inv'!P:P,"&lt;&gt;proprietario")+S1332</f>
        <v>0</v>
      </c>
      <c r="P1332" s="1013" t="s">
        <v>27068</v>
      </c>
      <c r="Q1332" s="1932" t="str">
        <f>+VLOOKUP(F1332,TT_Tabelle_Riferimento!$D$127:$E$164,2,FALSE)</f>
        <v>Comune</v>
      </c>
      <c r="R1332" s="1932" t="str">
        <f t="shared" si="117"/>
        <v/>
      </c>
      <c r="S1332" s="2335">
        <f t="shared" si="114"/>
        <v>0</v>
      </c>
    </row>
    <row r="1333" spans="1:19">
      <c r="A1333" s="1932">
        <v>0</v>
      </c>
      <c r="B1333" s="1932">
        <v>0</v>
      </c>
      <c r="C1333" s="1013" t="s">
        <v>245</v>
      </c>
      <c r="D1333" s="1013">
        <v>0</v>
      </c>
      <c r="E1333" s="1013" t="s">
        <v>22698</v>
      </c>
      <c r="F1333" s="1013">
        <v>37</v>
      </c>
      <c r="G1333" s="1932" t="str">
        <f>+VLOOKUP(F1333,TT_Tabelle_Riferimento!$D$127:$G$164,4,FALSE)</f>
        <v>Altre immobilizzazioni materiali e immateriali</v>
      </c>
      <c r="H1333" s="1013">
        <v>2</v>
      </c>
      <c r="I1333" s="1932" t="str">
        <f>+VLOOKUP(H1333,TT_Tabelle_Riferimento!$F$3:$G$6,2,FALSE)</f>
        <v>Fognatura bianca e pulizia / manutenzione caditoie stradali</v>
      </c>
      <c r="J1333" s="1013">
        <v>2029</v>
      </c>
      <c r="K1333" s="2335">
        <f>+SUMIFS('PdI-crono_inv'!BL:BL,'PdI-crono_inv'!CF:CF,F1333,'PdI-crono_inv'!CE:CE,H1333,'PdI-crono_inv'!J:J,P1333,'PdI-crono_inv'!P:P,"&lt;&gt;proprietario")</f>
        <v>0</v>
      </c>
      <c r="M1333" s="2335">
        <f>+SUMIFS('PdI-crono_inv'!BM:BM,'PdI-crono_inv'!CF:CF,F1333,'PdI-crono_inv'!CE:CE,H1333,'PdI-crono_inv'!J:J,P1333,'PdI-crono_inv'!P:P,"&lt;&gt;proprietario")+S1333</f>
        <v>0</v>
      </c>
      <c r="P1333" s="1013" t="s">
        <v>27068</v>
      </c>
      <c r="Q1333" s="1932" t="str">
        <f>+VLOOKUP(F1333,TT_Tabelle_Riferimento!$D$127:$E$164,2,FALSE)</f>
        <v>Comune</v>
      </c>
      <c r="R1333" s="1932" t="str">
        <f t="shared" si="117"/>
        <v/>
      </c>
      <c r="S1333" s="2335">
        <f t="shared" si="114"/>
        <v>0</v>
      </c>
    </row>
    <row r="1334" spans="1:19">
      <c r="A1334" s="1932">
        <v>0</v>
      </c>
      <c r="B1334" s="1932">
        <v>0</v>
      </c>
      <c r="C1334" s="1013" t="s">
        <v>245</v>
      </c>
      <c r="D1334" s="1013">
        <v>0</v>
      </c>
      <c r="E1334" s="1013" t="s">
        <v>22698</v>
      </c>
      <c r="F1334" s="1013">
        <v>38</v>
      </c>
      <c r="G1334" s="1932" t="str">
        <f>+VLOOKUP(F1334,TT_Tabelle_Riferimento!$D$127:$G$164,4,FALSE)</f>
        <v>Grandi dighe (sbarramenti che superano i quindici metri di altezza o che determinano un invaso superiore a 1 milione di metri cubi)</v>
      </c>
      <c r="H1334" s="1013">
        <v>2</v>
      </c>
      <c r="I1334" s="1932" t="str">
        <f>+VLOOKUP(H1334,TT_Tabelle_Riferimento!$F$3:$G$6,2,FALSE)</f>
        <v>Fognatura bianca e pulizia / manutenzione caditoie stradali</v>
      </c>
      <c r="J1334" s="1013">
        <v>2029</v>
      </c>
      <c r="K1334" s="2335">
        <f>+SUMIFS('PdI-crono_inv'!BL:BL,'PdI-crono_inv'!CF:CF,F1334,'PdI-crono_inv'!CE:CE,H1334,'PdI-crono_inv'!J:J,P1334,'PdI-crono_inv'!P:P,"&lt;&gt;proprietario")</f>
        <v>0</v>
      </c>
      <c r="M1334" s="2335">
        <f>+SUMIFS('PdI-crono_inv'!BM:BM,'PdI-crono_inv'!CF:CF,F1334,'PdI-crono_inv'!CE:CE,H1334,'PdI-crono_inv'!J:J,P1334,'PdI-crono_inv'!P:P,"&lt;&gt;proprietario")+S1334</f>
        <v>0</v>
      </c>
      <c r="P1334" s="1013" t="s">
        <v>27068</v>
      </c>
      <c r="Q1334" s="1932" t="str">
        <f>+VLOOKUP(F1334,TT_Tabelle_Riferimento!$D$127:$E$164,2,FALSE)</f>
        <v>Acquedotto</v>
      </c>
      <c r="R1334" s="1932" t="str">
        <f t="shared" si="117"/>
        <v/>
      </c>
      <c r="S1334" s="2335">
        <f t="shared" si="114"/>
        <v>0</v>
      </c>
    </row>
    <row r="1335" spans="1:19">
      <c r="A1335" s="1932">
        <v>0</v>
      </c>
      <c r="B1335" s="1932">
        <v>0</v>
      </c>
      <c r="C1335" s="1013" t="s">
        <v>245</v>
      </c>
      <c r="D1335" s="1013">
        <v>0</v>
      </c>
      <c r="E1335" s="1013" t="s">
        <v>22698</v>
      </c>
      <c r="F1335" s="1013">
        <v>39</v>
      </c>
      <c r="G1335" s="1932" t="str">
        <f>+VLOOKUP(F1335,TT_Tabelle_Riferimento!$D$127:$G$164,4,FALSE)</f>
        <v>Piccole dighe (sbarramenti che non superano i quindici metri di altezza o che determinano un invaso non superiore a 1 milione di metri cubi)</v>
      </c>
      <c r="H1335" s="1013">
        <v>2</v>
      </c>
      <c r="I1335" s="1932" t="str">
        <f>+VLOOKUP(H1335,TT_Tabelle_Riferimento!$F$3:$G$6,2,FALSE)</f>
        <v>Fognatura bianca e pulizia / manutenzione caditoie stradali</v>
      </c>
      <c r="J1335" s="1013">
        <v>2029</v>
      </c>
      <c r="K1335" s="2335">
        <f>+SUMIFS('PdI-crono_inv'!BL:BL,'PdI-crono_inv'!CF:CF,F1335,'PdI-crono_inv'!CE:CE,H1335,'PdI-crono_inv'!J:J,P1335,'PdI-crono_inv'!P:P,"&lt;&gt;proprietario")</f>
        <v>0</v>
      </c>
      <c r="M1335" s="2335">
        <f>+SUMIFS('PdI-crono_inv'!BM:BM,'PdI-crono_inv'!CF:CF,F1335,'PdI-crono_inv'!CE:CE,H1335,'PdI-crono_inv'!J:J,P1335,'PdI-crono_inv'!P:P,"&lt;&gt;proprietario")+S1335</f>
        <v>0</v>
      </c>
      <c r="P1335" s="1013" t="s">
        <v>27068</v>
      </c>
      <c r="Q1335" s="1932" t="str">
        <f>+VLOOKUP(F1335,TT_Tabelle_Riferimento!$D$127:$E$164,2,FALSE)</f>
        <v>Acquedotto</v>
      </c>
      <c r="R1335" s="1932" t="str">
        <f t="shared" si="117"/>
        <v/>
      </c>
      <c r="S1335" s="2335">
        <f t="shared" si="114"/>
        <v>0</v>
      </c>
    </row>
    <row r="1336" spans="1:19">
      <c r="A1336" s="1932">
        <f t="shared" ref="A1336:A1373" si="118">+idato</f>
        <v>0</v>
      </c>
      <c r="B1336" s="1932">
        <f t="shared" ref="B1336:B1373" si="119">+idgestore</f>
        <v>0</v>
      </c>
      <c r="C1336" s="1013" t="s">
        <v>245</v>
      </c>
      <c r="D1336" s="1013">
        <v>0</v>
      </c>
      <c r="E1336" s="1013" t="s">
        <v>22698</v>
      </c>
      <c r="F1336" s="1013">
        <v>2</v>
      </c>
      <c r="G1336" s="1932" t="str">
        <f>+VLOOKUP(F1336,TT_Tabelle_Riferimento!$D$127:$G$164,4,FALSE)</f>
        <v>Condotte di acquedotto</v>
      </c>
      <c r="H1336" s="1013">
        <v>3</v>
      </c>
      <c r="I1336" s="1932" t="str">
        <f>+VLOOKUP(H1336,TT_Tabelle_Riferimento!$F$3:$G$6,2,FALSE)</f>
        <v>Altri servizi idrici</v>
      </c>
      <c r="J1336" s="1013">
        <v>2029</v>
      </c>
      <c r="K1336" s="2335">
        <f>+SUMIFS('PdI-crono_inv'!BL:BL,'PdI-crono_inv'!CF:CF,F1336,'PdI-crono_inv'!CE:CE,H1336,'PdI-crono_inv'!J:J,P1336,'PdI-crono_inv'!P:P,"&lt;&gt;proprietario")</f>
        <v>0</v>
      </c>
      <c r="M1336" s="2335">
        <f>+SUMIFS('PdI-crono_inv'!BM:BM,'PdI-crono_inv'!CF:CF,F1336,'PdI-crono_inv'!CE:CE,H1336,'PdI-crono_inv'!J:J,P1336,'PdI-crono_inv'!P:P,"&lt;&gt;proprietario")+S1336</f>
        <v>0</v>
      </c>
      <c r="P1336" s="1013" t="s">
        <v>27068</v>
      </c>
      <c r="Q1336" s="1932" t="str">
        <f>+VLOOKUP(F1336,TT_Tabelle_Riferimento!$D$127:$E$164,2,FALSE)</f>
        <v>Acquedotto</v>
      </c>
      <c r="R1336" s="1932" t="str">
        <f t="shared" si="117"/>
        <v/>
      </c>
      <c r="S1336" s="2335">
        <f t="shared" si="114"/>
        <v>0</v>
      </c>
    </row>
    <row r="1337" spans="1:19">
      <c r="A1337" s="1932">
        <f t="shared" si="118"/>
        <v>0</v>
      </c>
      <c r="B1337" s="1932">
        <f t="shared" si="119"/>
        <v>0</v>
      </c>
      <c r="C1337" s="1013" t="s">
        <v>245</v>
      </c>
      <c r="D1337" s="1013">
        <v>0</v>
      </c>
      <c r="E1337" s="1013" t="s">
        <v>22698</v>
      </c>
      <c r="F1337" s="1013">
        <v>3</v>
      </c>
      <c r="G1337" s="1932" t="str">
        <f>+VLOOKUP(F1337,TT_Tabelle_Riferimento!$D$127:$G$164,4,FALSE)</f>
        <v>Opere idrauliche fisse di acquedotto</v>
      </c>
      <c r="H1337" s="1013">
        <v>3</v>
      </c>
      <c r="I1337" s="1932" t="str">
        <f>+VLOOKUP(H1337,TT_Tabelle_Riferimento!$F$3:$G$6,2,FALSE)</f>
        <v>Altri servizi idrici</v>
      </c>
      <c r="J1337" s="1013">
        <v>2029</v>
      </c>
      <c r="K1337" s="2335">
        <f>+SUMIFS('PdI-crono_inv'!BL:BL,'PdI-crono_inv'!CF:CF,F1337,'PdI-crono_inv'!CE:CE,H1337,'PdI-crono_inv'!J:J,P1337,'PdI-crono_inv'!P:P,"&lt;&gt;proprietario")</f>
        <v>0</v>
      </c>
      <c r="M1337" s="2335">
        <f>+SUMIFS('PdI-crono_inv'!BM:BM,'PdI-crono_inv'!CF:CF,F1337,'PdI-crono_inv'!CE:CE,H1337,'PdI-crono_inv'!J:J,P1337,'PdI-crono_inv'!P:P,"&lt;&gt;proprietario")+S1337</f>
        <v>0</v>
      </c>
      <c r="P1337" s="1013" t="s">
        <v>27068</v>
      </c>
      <c r="Q1337" s="1932" t="str">
        <f>+VLOOKUP(F1337,TT_Tabelle_Riferimento!$D$127:$E$164,2,FALSE)</f>
        <v>Acquedotto</v>
      </c>
      <c r="R1337" s="1932" t="str">
        <f t="shared" si="117"/>
        <v/>
      </c>
      <c r="S1337" s="2335">
        <f t="shared" si="114"/>
        <v>0</v>
      </c>
    </row>
    <row r="1338" spans="1:19">
      <c r="A1338" s="1932">
        <f t="shared" si="118"/>
        <v>0</v>
      </c>
      <c r="B1338" s="1932">
        <f t="shared" si="119"/>
        <v>0</v>
      </c>
      <c r="C1338" s="1013" t="s">
        <v>245</v>
      </c>
      <c r="D1338" s="1013">
        <v>0</v>
      </c>
      <c r="E1338" s="1013" t="s">
        <v>22698</v>
      </c>
      <c r="F1338" s="1013">
        <v>4</v>
      </c>
      <c r="G1338" s="1932" t="str">
        <f>+VLOOKUP(F1338,TT_Tabelle_Riferimento!$D$127:$G$164,4,FALSE)</f>
        <v>Serbatoi</v>
      </c>
      <c r="H1338" s="1013">
        <v>3</v>
      </c>
      <c r="I1338" s="1932" t="str">
        <f>+VLOOKUP(H1338,TT_Tabelle_Riferimento!$F$3:$G$6,2,FALSE)</f>
        <v>Altri servizi idrici</v>
      </c>
      <c r="J1338" s="1013">
        <v>2029</v>
      </c>
      <c r="K1338" s="2335">
        <f>+SUMIFS('PdI-crono_inv'!BL:BL,'PdI-crono_inv'!CF:CF,F1338,'PdI-crono_inv'!CE:CE,H1338,'PdI-crono_inv'!J:J,P1338,'PdI-crono_inv'!P:P,"&lt;&gt;proprietario")</f>
        <v>0</v>
      </c>
      <c r="M1338" s="2335">
        <f>+SUMIFS('PdI-crono_inv'!BM:BM,'PdI-crono_inv'!CF:CF,F1338,'PdI-crono_inv'!CE:CE,H1338,'PdI-crono_inv'!J:J,P1338,'PdI-crono_inv'!P:P,"&lt;&gt;proprietario")+S1338</f>
        <v>0</v>
      </c>
      <c r="P1338" s="1013" t="s">
        <v>27068</v>
      </c>
      <c r="Q1338" s="1932" t="str">
        <f>+VLOOKUP(F1338,TT_Tabelle_Riferimento!$D$127:$E$164,2,FALSE)</f>
        <v>Acquedotto</v>
      </c>
      <c r="R1338" s="1932" t="str">
        <f t="shared" si="117"/>
        <v/>
      </c>
      <c r="S1338" s="2335">
        <f t="shared" si="114"/>
        <v>0</v>
      </c>
    </row>
    <row r="1339" spans="1:19">
      <c r="A1339" s="1932">
        <f t="shared" si="118"/>
        <v>0</v>
      </c>
      <c r="B1339" s="1932">
        <f t="shared" si="119"/>
        <v>0</v>
      </c>
      <c r="C1339" s="1013" t="s">
        <v>245</v>
      </c>
      <c r="D1339" s="1013">
        <v>0</v>
      </c>
      <c r="E1339" s="1013" t="s">
        <v>22698</v>
      </c>
      <c r="F1339" s="1013">
        <v>5</v>
      </c>
      <c r="G1339" s="1932" t="str">
        <f>+VLOOKUP(F1339,TT_Tabelle_Riferimento!$D$127:$G$164,4,FALSE)</f>
        <v>Impianti di sollevamento e pompaggio di acquedotto</v>
      </c>
      <c r="H1339" s="1013">
        <v>3</v>
      </c>
      <c r="I1339" s="1932" t="str">
        <f>+VLOOKUP(H1339,TT_Tabelle_Riferimento!$F$3:$G$6,2,FALSE)</f>
        <v>Altri servizi idrici</v>
      </c>
      <c r="J1339" s="1013">
        <v>2029</v>
      </c>
      <c r="K1339" s="2335">
        <f>+SUMIFS('PdI-crono_inv'!BL:BL,'PdI-crono_inv'!CF:CF,F1339,'PdI-crono_inv'!CE:CE,H1339,'PdI-crono_inv'!J:J,P1339,'PdI-crono_inv'!P:P,"&lt;&gt;proprietario")</f>
        <v>0</v>
      </c>
      <c r="M1339" s="2335">
        <f>+SUMIFS('PdI-crono_inv'!BM:BM,'PdI-crono_inv'!CF:CF,F1339,'PdI-crono_inv'!CE:CE,H1339,'PdI-crono_inv'!J:J,P1339,'PdI-crono_inv'!P:P,"&lt;&gt;proprietario")+S1339</f>
        <v>0</v>
      </c>
      <c r="P1339" s="1013" t="s">
        <v>27068</v>
      </c>
      <c r="Q1339" s="1932" t="str">
        <f>+VLOOKUP(F1339,TT_Tabelle_Riferimento!$D$127:$E$164,2,FALSE)</f>
        <v>Acquedotto</v>
      </c>
      <c r="R1339" s="1932" t="str">
        <f t="shared" si="117"/>
        <v/>
      </c>
      <c r="S1339" s="2335">
        <f t="shared" si="114"/>
        <v>0</v>
      </c>
    </row>
    <row r="1340" spans="1:19">
      <c r="A1340" s="1932">
        <f t="shared" si="118"/>
        <v>0</v>
      </c>
      <c r="B1340" s="1932">
        <f t="shared" si="119"/>
        <v>0</v>
      </c>
      <c r="C1340" s="1013" t="s">
        <v>245</v>
      </c>
      <c r="D1340" s="1013">
        <v>0</v>
      </c>
      <c r="E1340" s="1013" t="s">
        <v>22698</v>
      </c>
      <c r="F1340" s="1013">
        <v>6</v>
      </c>
      <c r="G1340" s="1932" t="str">
        <f>+VLOOKUP(F1340,TT_Tabelle_Riferimento!$D$127:$G$164,4,FALSE)</f>
        <v>Impianti di potabilizzazione</v>
      </c>
      <c r="H1340" s="1013">
        <v>3</v>
      </c>
      <c r="I1340" s="1932" t="str">
        <f>+VLOOKUP(H1340,TT_Tabelle_Riferimento!$F$3:$G$6,2,FALSE)</f>
        <v>Altri servizi idrici</v>
      </c>
      <c r="J1340" s="1013">
        <v>2029</v>
      </c>
      <c r="K1340" s="2335">
        <f>+SUMIFS('PdI-crono_inv'!BL:BL,'PdI-crono_inv'!CF:CF,F1340,'PdI-crono_inv'!CE:CE,H1340,'PdI-crono_inv'!J:J,P1340,'PdI-crono_inv'!P:P,"&lt;&gt;proprietario")</f>
        <v>0</v>
      </c>
      <c r="M1340" s="2335">
        <f>+SUMIFS('PdI-crono_inv'!BM:BM,'PdI-crono_inv'!CF:CF,F1340,'PdI-crono_inv'!CE:CE,H1340,'PdI-crono_inv'!J:J,P1340,'PdI-crono_inv'!P:P,"&lt;&gt;proprietario")+S1340</f>
        <v>0</v>
      </c>
      <c r="P1340" s="1013" t="s">
        <v>27068</v>
      </c>
      <c r="Q1340" s="1932" t="str">
        <f>+VLOOKUP(F1340,TT_Tabelle_Riferimento!$D$127:$E$164,2,FALSE)</f>
        <v>Acquedotto</v>
      </c>
      <c r="R1340" s="1932" t="str">
        <f t="shared" si="117"/>
        <v/>
      </c>
      <c r="S1340" s="2335">
        <f t="shared" si="114"/>
        <v>0</v>
      </c>
    </row>
    <row r="1341" spans="1:19">
      <c r="A1341" s="1932">
        <f t="shared" si="118"/>
        <v>0</v>
      </c>
      <c r="B1341" s="1932">
        <f t="shared" si="119"/>
        <v>0</v>
      </c>
      <c r="C1341" s="1013" t="s">
        <v>245</v>
      </c>
      <c r="D1341" s="1013">
        <v>0</v>
      </c>
      <c r="E1341" s="1013" t="s">
        <v>22698</v>
      </c>
      <c r="F1341" s="1013">
        <v>7</v>
      </c>
      <c r="G1341" s="1932" t="str">
        <f>+VLOOKUP(F1341,TT_Tabelle_Riferimento!$D$127:$G$164,4,FALSE)</f>
        <v>Altri trattamenti di potabilizzazione (tra cui dispositivi di disinfezione, stacciatura, filtrazione, addolcimento)</v>
      </c>
      <c r="H1341" s="1013">
        <v>3</v>
      </c>
      <c r="I1341" s="1932" t="str">
        <f>+VLOOKUP(H1341,TT_Tabelle_Riferimento!$F$3:$G$6,2,FALSE)</f>
        <v>Altri servizi idrici</v>
      </c>
      <c r="J1341" s="1013">
        <v>2029</v>
      </c>
      <c r="K1341" s="2335">
        <f>+SUMIFS('PdI-crono_inv'!BL:BL,'PdI-crono_inv'!CF:CF,F1341,'PdI-crono_inv'!CE:CE,H1341,'PdI-crono_inv'!J:J,P1341,'PdI-crono_inv'!P:P,"&lt;&gt;proprietario")</f>
        <v>0</v>
      </c>
      <c r="M1341" s="2335">
        <f>+SUMIFS('PdI-crono_inv'!BM:BM,'PdI-crono_inv'!CF:CF,F1341,'PdI-crono_inv'!CE:CE,H1341,'PdI-crono_inv'!J:J,P1341,'PdI-crono_inv'!P:P,"&lt;&gt;proprietario")+S1341</f>
        <v>0</v>
      </c>
      <c r="P1341" s="1013" t="s">
        <v>27068</v>
      </c>
      <c r="Q1341" s="1932" t="str">
        <f>+VLOOKUP(F1341,TT_Tabelle_Riferimento!$D$127:$E$164,2,FALSE)</f>
        <v>Acquedotto</v>
      </c>
      <c r="R1341" s="1932" t="str">
        <f t="shared" si="117"/>
        <v/>
      </c>
      <c r="S1341" s="2335">
        <f t="shared" si="114"/>
        <v>0</v>
      </c>
    </row>
    <row r="1342" spans="1:19">
      <c r="A1342" s="1932">
        <f t="shared" si="118"/>
        <v>0</v>
      </c>
      <c r="B1342" s="1932">
        <f t="shared" si="119"/>
        <v>0</v>
      </c>
      <c r="C1342" s="1013" t="s">
        <v>245</v>
      </c>
      <c r="D1342" s="1013">
        <v>0</v>
      </c>
      <c r="E1342" s="1013" t="s">
        <v>22698</v>
      </c>
      <c r="F1342" s="1013">
        <v>8</v>
      </c>
      <c r="G1342" s="1932" t="str">
        <f>+VLOOKUP(F1342,TT_Tabelle_Riferimento!$D$127:$G$164,4,FALSE)</f>
        <v>Gruppi di misura - altre attrezzature di acquedotto</v>
      </c>
      <c r="H1342" s="1013">
        <v>3</v>
      </c>
      <c r="I1342" s="1932" t="str">
        <f>+VLOOKUP(H1342,TT_Tabelle_Riferimento!$F$3:$G$6,2,FALSE)</f>
        <v>Altri servizi idrici</v>
      </c>
      <c r="J1342" s="1013">
        <v>2029</v>
      </c>
      <c r="K1342" s="2335">
        <f>+SUMIFS('PdI-crono_inv'!BL:BL,'PdI-crono_inv'!CF:CF,F1342,'PdI-crono_inv'!CE:CE,H1342,'PdI-crono_inv'!J:J,P1342,'PdI-crono_inv'!P:P,"&lt;&gt;proprietario")</f>
        <v>0</v>
      </c>
      <c r="M1342" s="2335">
        <f>+SUMIFS('PdI-crono_inv'!BM:BM,'PdI-crono_inv'!CF:CF,F1342,'PdI-crono_inv'!CE:CE,H1342,'PdI-crono_inv'!J:J,P1342,'PdI-crono_inv'!P:P,"&lt;&gt;proprietario")+S1342</f>
        <v>0</v>
      </c>
      <c r="P1342" s="1013" t="s">
        <v>27068</v>
      </c>
      <c r="Q1342" s="1932" t="str">
        <f>+VLOOKUP(F1342,TT_Tabelle_Riferimento!$D$127:$E$164,2,FALSE)</f>
        <v>Acquedotto</v>
      </c>
      <c r="R1342" s="1932" t="str">
        <f t="shared" si="117"/>
        <v/>
      </c>
      <c r="S1342" s="2335">
        <f t="shared" si="114"/>
        <v>0</v>
      </c>
    </row>
    <row r="1343" spans="1:19">
      <c r="A1343" s="1932">
        <f t="shared" si="118"/>
        <v>0</v>
      </c>
      <c r="B1343" s="1932">
        <f t="shared" si="119"/>
        <v>0</v>
      </c>
      <c r="C1343" s="1013" t="s">
        <v>245</v>
      </c>
      <c r="D1343" s="1013">
        <v>0</v>
      </c>
      <c r="E1343" s="1013" t="s">
        <v>22698</v>
      </c>
      <c r="F1343" s="1013">
        <v>9</v>
      </c>
      <c r="G1343" s="1932" t="str">
        <f>+VLOOKUP(F1343,TT_Tabelle_Riferimento!$D$127:$G$164,4,FALSE)</f>
        <v>Sistemi informativi di acquedotto</v>
      </c>
      <c r="H1343" s="1013">
        <v>3</v>
      </c>
      <c r="I1343" s="1932" t="str">
        <f>+VLOOKUP(H1343,TT_Tabelle_Riferimento!$F$3:$G$6,2,FALSE)</f>
        <v>Altri servizi idrici</v>
      </c>
      <c r="J1343" s="1013">
        <v>2029</v>
      </c>
      <c r="K1343" s="2335">
        <f>+SUMIFS('PdI-crono_inv'!BL:BL,'PdI-crono_inv'!CF:CF,F1343,'PdI-crono_inv'!CE:CE,H1343,'PdI-crono_inv'!J:J,P1343,'PdI-crono_inv'!P:P,"&lt;&gt;proprietario")</f>
        <v>0</v>
      </c>
      <c r="M1343" s="2335">
        <f>+SUMIFS('PdI-crono_inv'!BM:BM,'PdI-crono_inv'!CF:CF,F1343,'PdI-crono_inv'!CE:CE,H1343,'PdI-crono_inv'!J:J,P1343,'PdI-crono_inv'!P:P,"&lt;&gt;proprietario")+S1343</f>
        <v>0</v>
      </c>
      <c r="P1343" s="1013" t="s">
        <v>27068</v>
      </c>
      <c r="Q1343" s="1932" t="str">
        <f>+VLOOKUP(F1343,TT_Tabelle_Riferimento!$D$127:$E$164,2,FALSE)</f>
        <v>Acquedotto</v>
      </c>
      <c r="R1343" s="1932" t="str">
        <f t="shared" si="117"/>
        <v/>
      </c>
      <c r="S1343" s="2335">
        <f t="shared" si="114"/>
        <v>0</v>
      </c>
    </row>
    <row r="1344" spans="1:19">
      <c r="A1344" s="1932">
        <f t="shared" si="118"/>
        <v>0</v>
      </c>
      <c r="B1344" s="1932">
        <f t="shared" si="119"/>
        <v>0</v>
      </c>
      <c r="C1344" s="1013" t="s">
        <v>245</v>
      </c>
      <c r="D1344" s="1013">
        <v>0</v>
      </c>
      <c r="E1344" s="1013" t="s">
        <v>22698</v>
      </c>
      <c r="F1344" s="1013">
        <v>10</v>
      </c>
      <c r="G1344" s="1932" t="str">
        <f>+VLOOKUP(F1344,TT_Tabelle_Riferimento!$D$127:$G$164,4,FALSE)</f>
        <v>Telecontrollo e teletrasmissione di acquedotto</v>
      </c>
      <c r="H1344" s="1013">
        <v>3</v>
      </c>
      <c r="I1344" s="1932" t="str">
        <f>+VLOOKUP(H1344,TT_Tabelle_Riferimento!$F$3:$G$6,2,FALSE)</f>
        <v>Altri servizi idrici</v>
      </c>
      <c r="J1344" s="1013">
        <v>2029</v>
      </c>
      <c r="K1344" s="2335">
        <f>+SUMIFS('PdI-crono_inv'!BL:BL,'PdI-crono_inv'!CF:CF,F1344,'PdI-crono_inv'!CE:CE,H1344,'PdI-crono_inv'!J:J,P1344,'PdI-crono_inv'!P:P,"&lt;&gt;proprietario")</f>
        <v>0</v>
      </c>
      <c r="M1344" s="2335">
        <f>+SUMIFS('PdI-crono_inv'!BM:BM,'PdI-crono_inv'!CF:CF,F1344,'PdI-crono_inv'!CE:CE,H1344,'PdI-crono_inv'!J:J,P1344,'PdI-crono_inv'!P:P,"&lt;&gt;proprietario")+S1344</f>
        <v>0</v>
      </c>
      <c r="P1344" s="1013" t="s">
        <v>27068</v>
      </c>
      <c r="Q1344" s="1932" t="str">
        <f>+VLOOKUP(F1344,TT_Tabelle_Riferimento!$D$127:$E$164,2,FALSE)</f>
        <v>Acquedotto</v>
      </c>
      <c r="R1344" s="1932" t="str">
        <f t="shared" si="117"/>
        <v/>
      </c>
      <c r="S1344" s="2335">
        <f t="shared" si="114"/>
        <v>0</v>
      </c>
    </row>
    <row r="1345" spans="1:19">
      <c r="A1345" s="1932">
        <f t="shared" si="118"/>
        <v>0</v>
      </c>
      <c r="B1345" s="1932">
        <f t="shared" si="119"/>
        <v>0</v>
      </c>
      <c r="C1345" s="1013" t="s">
        <v>245</v>
      </c>
      <c r="D1345" s="1013">
        <v>0</v>
      </c>
      <c r="E1345" s="1013" t="s">
        <v>22698</v>
      </c>
      <c r="F1345" s="1013">
        <v>11</v>
      </c>
      <c r="G1345" s="1932" t="str">
        <f>+VLOOKUP(F1345,TT_Tabelle_Riferimento!$D$127:$G$164,4,FALSE)</f>
        <v>Condotte fognarie</v>
      </c>
      <c r="H1345" s="1013">
        <v>3</v>
      </c>
      <c r="I1345" s="1932" t="str">
        <f>+VLOOKUP(H1345,TT_Tabelle_Riferimento!$F$3:$G$6,2,FALSE)</f>
        <v>Altri servizi idrici</v>
      </c>
      <c r="J1345" s="1013">
        <v>2029</v>
      </c>
      <c r="K1345" s="2335">
        <f>+SUMIFS('PdI-crono_inv'!BL:BL,'PdI-crono_inv'!CF:CF,F1345,'PdI-crono_inv'!CE:CE,H1345,'PdI-crono_inv'!J:J,P1345,'PdI-crono_inv'!P:P,"&lt;&gt;proprietario")</f>
        <v>0</v>
      </c>
      <c r="M1345" s="2335">
        <f>+SUMIFS('PdI-crono_inv'!BM:BM,'PdI-crono_inv'!CF:CF,F1345,'PdI-crono_inv'!CE:CE,H1345,'PdI-crono_inv'!J:J,P1345,'PdI-crono_inv'!P:P,"&lt;&gt;proprietario")+S1345</f>
        <v>0</v>
      </c>
      <c r="P1345" s="1013" t="s">
        <v>27068</v>
      </c>
      <c r="Q1345" s="1932" t="str">
        <f>+VLOOKUP(F1345,TT_Tabelle_Riferimento!$D$127:$E$164,2,FALSE)</f>
        <v>Fognatura</v>
      </c>
      <c r="R1345" s="1932" t="str">
        <f t="shared" si="117"/>
        <v/>
      </c>
      <c r="S1345" s="2335">
        <f t="shared" si="114"/>
        <v>0</v>
      </c>
    </row>
    <row r="1346" spans="1:19">
      <c r="A1346" s="1932">
        <f t="shared" si="118"/>
        <v>0</v>
      </c>
      <c r="B1346" s="1932">
        <f t="shared" si="119"/>
        <v>0</v>
      </c>
      <c r="C1346" s="1013" t="s">
        <v>245</v>
      </c>
      <c r="D1346" s="1013">
        <v>0</v>
      </c>
      <c r="E1346" s="1013" t="s">
        <v>22698</v>
      </c>
      <c r="F1346" s="1013">
        <v>12</v>
      </c>
      <c r="G1346" s="1932" t="str">
        <f>+VLOOKUP(F1346,TT_Tabelle_Riferimento!$D$127:$G$164,4,FALSE)</f>
        <v>Sifoni e scaricatori di piena e altre opere idrauliche fisse di fognatura</v>
      </c>
      <c r="H1346" s="1013">
        <v>3</v>
      </c>
      <c r="I1346" s="1932" t="str">
        <f>+VLOOKUP(H1346,TT_Tabelle_Riferimento!$F$3:$G$6,2,FALSE)</f>
        <v>Altri servizi idrici</v>
      </c>
      <c r="J1346" s="1013">
        <v>2029</v>
      </c>
      <c r="K1346" s="2335">
        <f>+SUMIFS('PdI-crono_inv'!BL:BL,'PdI-crono_inv'!CF:CF,F1346,'PdI-crono_inv'!CE:CE,H1346,'PdI-crono_inv'!J:J,P1346,'PdI-crono_inv'!P:P,"&lt;&gt;proprietario")</f>
        <v>0</v>
      </c>
      <c r="M1346" s="2335">
        <f>+SUMIFS('PdI-crono_inv'!BM:BM,'PdI-crono_inv'!CF:CF,F1346,'PdI-crono_inv'!CE:CE,H1346,'PdI-crono_inv'!J:J,P1346,'PdI-crono_inv'!P:P,"&lt;&gt;proprietario")+S1346</f>
        <v>0</v>
      </c>
      <c r="P1346" s="1013" t="s">
        <v>27068</v>
      </c>
      <c r="Q1346" s="1932" t="str">
        <f>+VLOOKUP(F1346,TT_Tabelle_Riferimento!$D$127:$E$164,2,FALSE)</f>
        <v>Fognatura</v>
      </c>
      <c r="R1346" s="1932" t="str">
        <f t="shared" si="117"/>
        <v/>
      </c>
      <c r="S1346" s="2335">
        <f t="shared" si="114"/>
        <v>0</v>
      </c>
    </row>
    <row r="1347" spans="1:19">
      <c r="A1347" s="1932">
        <f t="shared" si="118"/>
        <v>0</v>
      </c>
      <c r="B1347" s="1932">
        <f t="shared" si="119"/>
        <v>0</v>
      </c>
      <c r="C1347" s="1013" t="s">
        <v>245</v>
      </c>
      <c r="D1347" s="1013">
        <v>0</v>
      </c>
      <c r="E1347" s="1013" t="s">
        <v>22698</v>
      </c>
      <c r="F1347" s="1013">
        <v>13</v>
      </c>
      <c r="G1347" s="1932" t="str">
        <f>+VLOOKUP(F1347,TT_Tabelle_Riferimento!$D$127:$G$164,4,FALSE)</f>
        <v>Vasche di laminazione e vasche di prima pioggia</v>
      </c>
      <c r="H1347" s="1013">
        <v>3</v>
      </c>
      <c r="I1347" s="1932" t="str">
        <f>+VLOOKUP(H1347,TT_Tabelle_Riferimento!$F$3:$G$6,2,FALSE)</f>
        <v>Altri servizi idrici</v>
      </c>
      <c r="J1347" s="1013">
        <v>2029</v>
      </c>
      <c r="K1347" s="2335">
        <f>+SUMIFS('PdI-crono_inv'!BL:BL,'PdI-crono_inv'!CF:CF,F1347,'PdI-crono_inv'!CE:CE,H1347,'PdI-crono_inv'!J:J,P1347,'PdI-crono_inv'!P:P,"&lt;&gt;proprietario")</f>
        <v>0</v>
      </c>
      <c r="M1347" s="2335">
        <f>+SUMIFS('PdI-crono_inv'!BM:BM,'PdI-crono_inv'!CF:CF,F1347,'PdI-crono_inv'!CE:CE,H1347,'PdI-crono_inv'!J:J,P1347,'PdI-crono_inv'!P:P,"&lt;&gt;proprietario")+S1347</f>
        <v>0</v>
      </c>
      <c r="P1347" s="1013" t="s">
        <v>27068</v>
      </c>
      <c r="Q1347" s="1932" t="str">
        <f>+VLOOKUP(F1347,TT_Tabelle_Riferimento!$D$127:$E$164,2,FALSE)</f>
        <v>Fognatura</v>
      </c>
      <c r="R1347" s="1932" t="str">
        <f t="shared" si="117"/>
        <v/>
      </c>
      <c r="S1347" s="2335">
        <f t="shared" si="114"/>
        <v>0</v>
      </c>
    </row>
    <row r="1348" spans="1:19">
      <c r="A1348" s="1932">
        <f t="shared" si="118"/>
        <v>0</v>
      </c>
      <c r="B1348" s="1932">
        <f t="shared" si="119"/>
        <v>0</v>
      </c>
      <c r="C1348" s="1013" t="s">
        <v>245</v>
      </c>
      <c r="D1348" s="1013">
        <v>0</v>
      </c>
      <c r="E1348" s="1013" t="s">
        <v>22698</v>
      </c>
      <c r="F1348" s="1013">
        <v>14</v>
      </c>
      <c r="G1348" s="1932" t="str">
        <f>+VLOOKUP(F1348,TT_Tabelle_Riferimento!$D$127:$G$164,4,FALSE)</f>
        <v>Impianti di sollevamento e pompaggio di fognatura</v>
      </c>
      <c r="H1348" s="1013">
        <v>3</v>
      </c>
      <c r="I1348" s="1932" t="str">
        <f>+VLOOKUP(H1348,TT_Tabelle_Riferimento!$F$3:$G$6,2,FALSE)</f>
        <v>Altri servizi idrici</v>
      </c>
      <c r="J1348" s="1013">
        <v>2029</v>
      </c>
      <c r="K1348" s="2335">
        <f>+SUMIFS('PdI-crono_inv'!BL:BL,'PdI-crono_inv'!CF:CF,F1348,'PdI-crono_inv'!CE:CE,H1348,'PdI-crono_inv'!J:J,P1348,'PdI-crono_inv'!P:P,"&lt;&gt;proprietario")</f>
        <v>0</v>
      </c>
      <c r="M1348" s="2335">
        <f>+SUMIFS('PdI-crono_inv'!BM:BM,'PdI-crono_inv'!CF:CF,F1348,'PdI-crono_inv'!CE:CE,H1348,'PdI-crono_inv'!J:J,P1348,'PdI-crono_inv'!P:P,"&lt;&gt;proprietario")+S1348</f>
        <v>0</v>
      </c>
      <c r="P1348" s="1013" t="s">
        <v>27068</v>
      </c>
      <c r="Q1348" s="1932" t="str">
        <f>+VLOOKUP(F1348,TT_Tabelle_Riferimento!$D$127:$E$164,2,FALSE)</f>
        <v>Fognatura</v>
      </c>
      <c r="R1348" s="1932" t="str">
        <f t="shared" si="117"/>
        <v/>
      </c>
      <c r="S1348" s="2335">
        <f t="shared" si="114"/>
        <v>0</v>
      </c>
    </row>
    <row r="1349" spans="1:19">
      <c r="A1349" s="1932">
        <f t="shared" si="118"/>
        <v>0</v>
      </c>
      <c r="B1349" s="1932">
        <f t="shared" si="119"/>
        <v>0</v>
      </c>
      <c r="C1349" s="1013" t="s">
        <v>245</v>
      </c>
      <c r="D1349" s="1013">
        <v>0</v>
      </c>
      <c r="E1349" s="1013" t="s">
        <v>22698</v>
      </c>
      <c r="F1349" s="1013">
        <v>15</v>
      </c>
      <c r="G1349" s="1932" t="str">
        <f>+VLOOKUP(F1349,TT_Tabelle_Riferimento!$D$127:$G$164,4,FALSE)</f>
        <v>Gruppi di misura - altre attrezzature di fognatura</v>
      </c>
      <c r="H1349" s="1013">
        <v>3</v>
      </c>
      <c r="I1349" s="1932" t="str">
        <f>+VLOOKUP(H1349,TT_Tabelle_Riferimento!$F$3:$G$6,2,FALSE)</f>
        <v>Altri servizi idrici</v>
      </c>
      <c r="J1349" s="1013">
        <v>2029</v>
      </c>
      <c r="K1349" s="2335">
        <f>+SUMIFS('PdI-crono_inv'!BL:BL,'PdI-crono_inv'!CF:CF,F1349,'PdI-crono_inv'!CE:CE,H1349,'PdI-crono_inv'!J:J,P1349,'PdI-crono_inv'!P:P,"&lt;&gt;proprietario")</f>
        <v>0</v>
      </c>
      <c r="M1349" s="2335">
        <f>+SUMIFS('PdI-crono_inv'!BM:BM,'PdI-crono_inv'!CF:CF,F1349,'PdI-crono_inv'!CE:CE,H1349,'PdI-crono_inv'!J:J,P1349,'PdI-crono_inv'!P:P,"&lt;&gt;proprietario")+S1349</f>
        <v>0</v>
      </c>
      <c r="P1349" s="1013" t="s">
        <v>27068</v>
      </c>
      <c r="Q1349" s="1932" t="str">
        <f>+VLOOKUP(F1349,TT_Tabelle_Riferimento!$D$127:$E$164,2,FALSE)</f>
        <v>Fognatura</v>
      </c>
      <c r="R1349" s="1932" t="str">
        <f t="shared" si="117"/>
        <v/>
      </c>
      <c r="S1349" s="2335">
        <f t="shared" si="114"/>
        <v>0</v>
      </c>
    </row>
    <row r="1350" spans="1:19">
      <c r="A1350" s="1932">
        <f t="shared" si="118"/>
        <v>0</v>
      </c>
      <c r="B1350" s="1932">
        <f t="shared" si="119"/>
        <v>0</v>
      </c>
      <c r="C1350" s="1013" t="s">
        <v>245</v>
      </c>
      <c r="D1350" s="1013">
        <v>0</v>
      </c>
      <c r="E1350" s="1013" t="s">
        <v>22698</v>
      </c>
      <c r="F1350" s="1013">
        <v>16</v>
      </c>
      <c r="G1350" s="1932" t="str">
        <f>+VLOOKUP(F1350,TT_Tabelle_Riferimento!$D$127:$G$164,4,FALSE)</f>
        <v>Sistemi informativi di fognatura</v>
      </c>
      <c r="H1350" s="1013">
        <v>3</v>
      </c>
      <c r="I1350" s="1932" t="str">
        <f>+VLOOKUP(H1350,TT_Tabelle_Riferimento!$F$3:$G$6,2,FALSE)</f>
        <v>Altri servizi idrici</v>
      </c>
      <c r="J1350" s="1013">
        <v>2029</v>
      </c>
      <c r="K1350" s="2335">
        <f>+SUMIFS('PdI-crono_inv'!BL:BL,'PdI-crono_inv'!CF:CF,F1350,'PdI-crono_inv'!CE:CE,H1350,'PdI-crono_inv'!J:J,P1350,'PdI-crono_inv'!P:P,"&lt;&gt;proprietario")</f>
        <v>0</v>
      </c>
      <c r="M1350" s="2335">
        <f>+SUMIFS('PdI-crono_inv'!BM:BM,'PdI-crono_inv'!CF:CF,F1350,'PdI-crono_inv'!CE:CE,H1350,'PdI-crono_inv'!J:J,P1350,'PdI-crono_inv'!P:P,"&lt;&gt;proprietario")+S1350</f>
        <v>0</v>
      </c>
      <c r="P1350" s="1013" t="s">
        <v>27068</v>
      </c>
      <c r="Q1350" s="1932" t="str">
        <f>+VLOOKUP(F1350,TT_Tabelle_Riferimento!$D$127:$E$164,2,FALSE)</f>
        <v>Fognatura</v>
      </c>
      <c r="R1350" s="1932" t="str">
        <f t="shared" si="117"/>
        <v/>
      </c>
      <c r="S1350" s="2335">
        <f t="shared" si="114"/>
        <v>0</v>
      </c>
    </row>
    <row r="1351" spans="1:19">
      <c r="A1351" s="1932">
        <f t="shared" si="118"/>
        <v>0</v>
      </c>
      <c r="B1351" s="1932">
        <f t="shared" si="119"/>
        <v>0</v>
      </c>
      <c r="C1351" s="1013" t="s">
        <v>245</v>
      </c>
      <c r="D1351" s="1013">
        <v>0</v>
      </c>
      <c r="E1351" s="1013" t="s">
        <v>22698</v>
      </c>
      <c r="F1351" s="1013">
        <v>18</v>
      </c>
      <c r="G1351" s="1932" t="str">
        <f>+VLOOKUP(F1351,TT_Tabelle_Riferimento!$D$127:$G$164,4,FALSE)</f>
        <v>Telecontrollo e teletrasmissione di fognatura</v>
      </c>
      <c r="H1351" s="1013">
        <v>3</v>
      </c>
      <c r="I1351" s="1932" t="str">
        <f>+VLOOKUP(H1351,TT_Tabelle_Riferimento!$F$3:$G$6,2,FALSE)</f>
        <v>Altri servizi idrici</v>
      </c>
      <c r="J1351" s="1013">
        <v>2029</v>
      </c>
      <c r="K1351" s="2335">
        <f>+SUMIFS('PdI-crono_inv'!BL:BL,'PdI-crono_inv'!CF:CF,F1351,'PdI-crono_inv'!CE:CE,H1351,'PdI-crono_inv'!J:J,P1351,'PdI-crono_inv'!P:P,"&lt;&gt;proprietario")</f>
        <v>0</v>
      </c>
      <c r="M1351" s="2335">
        <f>+SUMIFS('PdI-crono_inv'!BM:BM,'PdI-crono_inv'!CF:CF,F1351,'PdI-crono_inv'!CE:CE,H1351,'PdI-crono_inv'!J:J,P1351,'PdI-crono_inv'!P:P,"&lt;&gt;proprietario")+S1351</f>
        <v>0</v>
      </c>
      <c r="P1351" s="1013" t="s">
        <v>27068</v>
      </c>
      <c r="Q1351" s="1932" t="str">
        <f>+VLOOKUP(F1351,TT_Tabelle_Riferimento!$D$127:$E$164,2,FALSE)</f>
        <v>Fognatura</v>
      </c>
      <c r="R1351" s="1932" t="str">
        <f t="shared" si="117"/>
        <v/>
      </c>
      <c r="S1351" s="2335">
        <f t="shared" ref="S1351:S1373" si="120">+IFERROR(HLOOKUP(J1351,$X$2:$Y$5,4,FALSE)*K1351,0)</f>
        <v>0</v>
      </c>
    </row>
    <row r="1352" spans="1:19">
      <c r="A1352" s="1932">
        <f t="shared" si="118"/>
        <v>0</v>
      </c>
      <c r="B1352" s="1932">
        <f t="shared" si="119"/>
        <v>0</v>
      </c>
      <c r="C1352" s="1013" t="s">
        <v>245</v>
      </c>
      <c r="D1352" s="1013">
        <v>0</v>
      </c>
      <c r="E1352" s="1013" t="s">
        <v>22698</v>
      </c>
      <c r="F1352" s="1013">
        <v>19</v>
      </c>
      <c r="G1352" s="1932" t="str">
        <f>+VLOOKUP(F1352,TT_Tabelle_Riferimento!$D$127:$G$164,4,FALSE)</f>
        <v>Impianti di sollevamento e pompaggio di depurazione</v>
      </c>
      <c r="H1352" s="1013">
        <v>3</v>
      </c>
      <c r="I1352" s="1932" t="str">
        <f>+VLOOKUP(H1352,TT_Tabelle_Riferimento!$F$3:$G$6,2,FALSE)</f>
        <v>Altri servizi idrici</v>
      </c>
      <c r="J1352" s="1013">
        <v>2029</v>
      </c>
      <c r="K1352" s="2335">
        <f>+SUMIFS('PdI-crono_inv'!BL:BL,'PdI-crono_inv'!CF:CF,F1352,'PdI-crono_inv'!CE:CE,H1352,'PdI-crono_inv'!J:J,P1352,'PdI-crono_inv'!P:P,"&lt;&gt;proprietario")</f>
        <v>0</v>
      </c>
      <c r="M1352" s="2335">
        <f>+SUMIFS('PdI-crono_inv'!BM:BM,'PdI-crono_inv'!CF:CF,F1352,'PdI-crono_inv'!CE:CE,H1352,'PdI-crono_inv'!J:J,P1352,'PdI-crono_inv'!P:P,"&lt;&gt;proprietario")+S1352</f>
        <v>0</v>
      </c>
      <c r="P1352" s="1013" t="s">
        <v>27068</v>
      </c>
      <c r="Q1352" s="1932" t="str">
        <f>+VLOOKUP(F1352,TT_Tabelle_Riferimento!$D$127:$E$164,2,FALSE)</f>
        <v>Depurazione</v>
      </c>
      <c r="R1352" s="1932" t="str">
        <f t="shared" si="117"/>
        <v/>
      </c>
      <c r="S1352" s="2335">
        <f t="shared" si="120"/>
        <v>0</v>
      </c>
    </row>
    <row r="1353" spans="1:19">
      <c r="A1353" s="1932">
        <f t="shared" si="118"/>
        <v>0</v>
      </c>
      <c r="B1353" s="1932">
        <f t="shared" si="119"/>
        <v>0</v>
      </c>
      <c r="C1353" s="1013" t="s">
        <v>245</v>
      </c>
      <c r="D1353" s="1013">
        <v>0</v>
      </c>
      <c r="E1353" s="1013" t="s">
        <v>22698</v>
      </c>
      <c r="F1353" s="1013">
        <v>20</v>
      </c>
      <c r="G1353" s="1932" t="str">
        <f>+VLOOKUP(F1353,TT_Tabelle_Riferimento!$D$127:$G$164,4,FALSE)</f>
        <v>Tecniche naturali di depurazione (tra cui fitodepurazione e lagunaggio)</v>
      </c>
      <c r="H1353" s="1013">
        <v>3</v>
      </c>
      <c r="I1353" s="1932" t="str">
        <f>+VLOOKUP(H1353,TT_Tabelle_Riferimento!$F$3:$G$6,2,FALSE)</f>
        <v>Altri servizi idrici</v>
      </c>
      <c r="J1353" s="1013">
        <v>2029</v>
      </c>
      <c r="K1353" s="2335">
        <f>+SUMIFS('PdI-crono_inv'!BL:BL,'PdI-crono_inv'!CF:CF,F1353,'PdI-crono_inv'!CE:CE,H1353,'PdI-crono_inv'!J:J,P1353,'PdI-crono_inv'!P:P,"&lt;&gt;proprietario")</f>
        <v>0</v>
      </c>
      <c r="M1353" s="2335">
        <f>+SUMIFS('PdI-crono_inv'!BM:BM,'PdI-crono_inv'!CF:CF,F1353,'PdI-crono_inv'!CE:CE,H1353,'PdI-crono_inv'!J:J,P1353,'PdI-crono_inv'!P:P,"&lt;&gt;proprietario")+S1353</f>
        <v>0</v>
      </c>
      <c r="P1353" s="1013" t="s">
        <v>27068</v>
      </c>
      <c r="Q1353" s="1932" t="str">
        <f>+VLOOKUP(F1353,TT_Tabelle_Riferimento!$D$127:$E$164,2,FALSE)</f>
        <v>Depurazione</v>
      </c>
      <c r="R1353" s="1932" t="str">
        <f t="shared" si="117"/>
        <v/>
      </c>
      <c r="S1353" s="2335">
        <f t="shared" si="120"/>
        <v>0</v>
      </c>
    </row>
    <row r="1354" spans="1:19">
      <c r="A1354" s="1932">
        <f t="shared" si="118"/>
        <v>0</v>
      </c>
      <c r="B1354" s="1932">
        <f t="shared" si="119"/>
        <v>0</v>
      </c>
      <c r="C1354" s="1013" t="s">
        <v>245</v>
      </c>
      <c r="D1354" s="1013">
        <v>0</v>
      </c>
      <c r="E1354" s="1013" t="s">
        <v>22698</v>
      </c>
      <c r="F1354" s="1013">
        <v>21</v>
      </c>
      <c r="G1354" s="1932" t="str">
        <f>+VLOOKUP(F1354,TT_Tabelle_Riferimento!$D$127:$G$164,4,FALSE)</f>
        <v>Impianti di depurazione – trattamenti sino al preliminare, integrativo, primario - fosse settiche e fosse Imhoff</v>
      </c>
      <c r="H1354" s="1013">
        <v>3</v>
      </c>
      <c r="I1354" s="1932" t="str">
        <f>+VLOOKUP(H1354,TT_Tabelle_Riferimento!$F$3:$G$6,2,FALSE)</f>
        <v>Altri servizi idrici</v>
      </c>
      <c r="J1354" s="1013">
        <v>2029</v>
      </c>
      <c r="K1354" s="2335">
        <f>+SUMIFS('PdI-crono_inv'!BL:BL,'PdI-crono_inv'!CF:CF,F1354,'PdI-crono_inv'!CE:CE,H1354,'PdI-crono_inv'!J:J,P1354,'PdI-crono_inv'!P:P,"&lt;&gt;proprietario")</f>
        <v>0</v>
      </c>
      <c r="M1354" s="2335">
        <f>+SUMIFS('PdI-crono_inv'!BM:BM,'PdI-crono_inv'!CF:CF,F1354,'PdI-crono_inv'!CE:CE,H1354,'PdI-crono_inv'!J:J,P1354,'PdI-crono_inv'!P:P,"&lt;&gt;proprietario")+S1354</f>
        <v>0</v>
      </c>
      <c r="P1354" s="1013" t="s">
        <v>27068</v>
      </c>
      <c r="Q1354" s="1932" t="str">
        <f>+VLOOKUP(F1354,TT_Tabelle_Riferimento!$D$127:$E$164,2,FALSE)</f>
        <v>Depurazione</v>
      </c>
      <c r="R1354" s="1932" t="str">
        <f t="shared" si="117"/>
        <v/>
      </c>
      <c r="S1354" s="2335">
        <f t="shared" si="120"/>
        <v>0</v>
      </c>
    </row>
    <row r="1355" spans="1:19">
      <c r="A1355" s="1932">
        <f t="shared" si="118"/>
        <v>0</v>
      </c>
      <c r="B1355" s="1932">
        <f t="shared" si="119"/>
        <v>0</v>
      </c>
      <c r="C1355" s="1013" t="s">
        <v>245</v>
      </c>
      <c r="D1355" s="1013">
        <v>0</v>
      </c>
      <c r="E1355" s="1013" t="s">
        <v>22698</v>
      </c>
      <c r="F1355" s="1013">
        <v>22</v>
      </c>
      <c r="G1355" s="1932" t="str">
        <f>+VLOOKUP(F1355,TT_Tabelle_Riferimento!$D$127:$G$164,4,FALSE)</f>
        <v>Impianti di depurazione – trattamenti sino al secondario</v>
      </c>
      <c r="H1355" s="1013">
        <v>3</v>
      </c>
      <c r="I1355" s="1932" t="str">
        <f>+VLOOKUP(H1355,TT_Tabelle_Riferimento!$F$3:$G$6,2,FALSE)</f>
        <v>Altri servizi idrici</v>
      </c>
      <c r="J1355" s="1013">
        <v>2029</v>
      </c>
      <c r="K1355" s="2335">
        <f>+SUMIFS('PdI-crono_inv'!BL:BL,'PdI-crono_inv'!CF:CF,F1355,'PdI-crono_inv'!CE:CE,H1355,'PdI-crono_inv'!J:J,P1355,'PdI-crono_inv'!P:P,"&lt;&gt;proprietario")</f>
        <v>0</v>
      </c>
      <c r="M1355" s="2335">
        <f>+SUMIFS('PdI-crono_inv'!BM:BM,'PdI-crono_inv'!CF:CF,F1355,'PdI-crono_inv'!CE:CE,H1355,'PdI-crono_inv'!J:J,P1355,'PdI-crono_inv'!P:P,"&lt;&gt;proprietario")+S1355</f>
        <v>0</v>
      </c>
      <c r="P1355" s="1013" t="s">
        <v>27068</v>
      </c>
      <c r="Q1355" s="1932" t="str">
        <f>+VLOOKUP(F1355,TT_Tabelle_Riferimento!$D$127:$E$164,2,FALSE)</f>
        <v>Depurazione</v>
      </c>
      <c r="R1355" s="1932" t="str">
        <f t="shared" si="117"/>
        <v/>
      </c>
      <c r="S1355" s="2335">
        <f t="shared" si="120"/>
        <v>0</v>
      </c>
    </row>
    <row r="1356" spans="1:19">
      <c r="A1356" s="1932">
        <f t="shared" si="118"/>
        <v>0</v>
      </c>
      <c r="B1356" s="1932">
        <f t="shared" si="119"/>
        <v>0</v>
      </c>
      <c r="C1356" s="1013" t="s">
        <v>245</v>
      </c>
      <c r="D1356" s="1013">
        <v>0</v>
      </c>
      <c r="E1356" s="1013" t="s">
        <v>22698</v>
      </c>
      <c r="F1356" s="1013">
        <v>23</v>
      </c>
      <c r="G1356" s="1932" t="str">
        <f>+VLOOKUP(F1356,TT_Tabelle_Riferimento!$D$127:$G$164,4,FALSE)</f>
        <v>Impianti di depurazione – trattamenti sino al terziario e terziario avanzato</v>
      </c>
      <c r="H1356" s="1013">
        <v>3</v>
      </c>
      <c r="I1356" s="1932" t="str">
        <f>+VLOOKUP(H1356,TT_Tabelle_Riferimento!$F$3:$G$6,2,FALSE)</f>
        <v>Altri servizi idrici</v>
      </c>
      <c r="J1356" s="1013">
        <v>2029</v>
      </c>
      <c r="K1356" s="2335">
        <f>+SUMIFS('PdI-crono_inv'!BL:BL,'PdI-crono_inv'!CF:CF,F1356,'PdI-crono_inv'!CE:CE,H1356,'PdI-crono_inv'!J:J,P1356,'PdI-crono_inv'!P:P,"&lt;&gt;proprietario")</f>
        <v>0</v>
      </c>
      <c r="M1356" s="2335">
        <f>+SUMIFS('PdI-crono_inv'!BM:BM,'PdI-crono_inv'!CF:CF,F1356,'PdI-crono_inv'!CE:CE,H1356,'PdI-crono_inv'!J:J,P1356,'PdI-crono_inv'!P:P,"&lt;&gt;proprietario")+S1356</f>
        <v>0</v>
      </c>
      <c r="P1356" s="1013" t="s">
        <v>27068</v>
      </c>
      <c r="Q1356" s="1932" t="str">
        <f>+VLOOKUP(F1356,TT_Tabelle_Riferimento!$D$127:$E$164,2,FALSE)</f>
        <v>Depurazione</v>
      </c>
      <c r="R1356" s="1932" t="str">
        <f t="shared" si="117"/>
        <v/>
      </c>
      <c r="S1356" s="2335">
        <f t="shared" si="120"/>
        <v>0</v>
      </c>
    </row>
    <row r="1357" spans="1:19">
      <c r="A1357" s="1932">
        <f t="shared" si="118"/>
        <v>0</v>
      </c>
      <c r="B1357" s="1932">
        <f t="shared" si="119"/>
        <v>0</v>
      </c>
      <c r="C1357" s="1013" t="s">
        <v>245</v>
      </c>
      <c r="D1357" s="1013">
        <v>0</v>
      </c>
      <c r="E1357" s="1013" t="s">
        <v>22698</v>
      </c>
      <c r="F1357" s="1013">
        <v>24</v>
      </c>
      <c r="G1357" s="1932" t="str">
        <f>+VLOOKUP(F1357,TT_Tabelle_Riferimento!$D$127:$G$164,4,FALSE)</f>
        <v>Impianti di essiccamento fanghi e di valorizzazione dei fanghi (tra cui mono-incenerimento, pirolisi, gassificazione)</v>
      </c>
      <c r="H1357" s="1013">
        <v>3</v>
      </c>
      <c r="I1357" s="1932" t="str">
        <f>+VLOOKUP(H1357,TT_Tabelle_Riferimento!$F$3:$G$6,2,FALSE)</f>
        <v>Altri servizi idrici</v>
      </c>
      <c r="J1357" s="1013">
        <v>2029</v>
      </c>
      <c r="K1357" s="2335">
        <f>+SUMIFS('PdI-crono_inv'!BL:BL,'PdI-crono_inv'!CF:CF,F1357,'PdI-crono_inv'!CE:CE,H1357,'PdI-crono_inv'!J:J,P1357,'PdI-crono_inv'!P:P,"&lt;&gt;proprietario")</f>
        <v>0</v>
      </c>
      <c r="M1357" s="2335">
        <f>+SUMIFS('PdI-crono_inv'!BM:BM,'PdI-crono_inv'!CF:CF,F1357,'PdI-crono_inv'!CE:CE,H1357,'PdI-crono_inv'!J:J,P1357,'PdI-crono_inv'!P:P,"&lt;&gt;proprietario")+S1357</f>
        <v>0</v>
      </c>
      <c r="P1357" s="1013" t="s">
        <v>27068</v>
      </c>
      <c r="Q1357" s="1932" t="str">
        <f>+VLOOKUP(F1357,TT_Tabelle_Riferimento!$D$127:$E$164,2,FALSE)</f>
        <v>Depurazione</v>
      </c>
      <c r="R1357" s="1932" t="str">
        <f t="shared" si="117"/>
        <v/>
      </c>
      <c r="S1357" s="2335">
        <f t="shared" si="120"/>
        <v>0</v>
      </c>
    </row>
    <row r="1358" spans="1:19">
      <c r="A1358" s="1932">
        <f t="shared" si="118"/>
        <v>0</v>
      </c>
      <c r="B1358" s="1932">
        <f t="shared" si="119"/>
        <v>0</v>
      </c>
      <c r="C1358" s="1013" t="s">
        <v>245</v>
      </c>
      <c r="D1358" s="1013">
        <v>0</v>
      </c>
      <c r="E1358" s="1013" t="s">
        <v>22698</v>
      </c>
      <c r="F1358" s="1013">
        <v>25</v>
      </c>
      <c r="G1358" s="1932" t="str">
        <f>+VLOOKUP(F1358,TT_Tabelle_Riferimento!$D$127:$G$164,4,FALSE)</f>
        <v>Gruppi di misura - altre attrezzature di depurazione</v>
      </c>
      <c r="H1358" s="1013">
        <v>3</v>
      </c>
      <c r="I1358" s="1932" t="str">
        <f>+VLOOKUP(H1358,TT_Tabelle_Riferimento!$F$3:$G$6,2,FALSE)</f>
        <v>Altri servizi idrici</v>
      </c>
      <c r="J1358" s="1013">
        <v>2029</v>
      </c>
      <c r="K1358" s="2335">
        <f>+SUMIFS('PdI-crono_inv'!BL:BL,'PdI-crono_inv'!CF:CF,F1358,'PdI-crono_inv'!CE:CE,H1358,'PdI-crono_inv'!J:J,P1358,'PdI-crono_inv'!P:P,"&lt;&gt;proprietario")</f>
        <v>0</v>
      </c>
      <c r="M1358" s="2335">
        <f>+SUMIFS('PdI-crono_inv'!BM:BM,'PdI-crono_inv'!CF:CF,F1358,'PdI-crono_inv'!CE:CE,H1358,'PdI-crono_inv'!J:J,P1358,'PdI-crono_inv'!P:P,"&lt;&gt;proprietario")+S1358</f>
        <v>0</v>
      </c>
      <c r="P1358" s="1013" t="s">
        <v>27068</v>
      </c>
      <c r="Q1358" s="1932" t="str">
        <f>+VLOOKUP(F1358,TT_Tabelle_Riferimento!$D$127:$E$164,2,FALSE)</f>
        <v>Depurazione</v>
      </c>
      <c r="R1358" s="1932" t="str">
        <f t="shared" si="117"/>
        <v/>
      </c>
      <c r="S1358" s="2335">
        <f t="shared" si="120"/>
        <v>0</v>
      </c>
    </row>
    <row r="1359" spans="1:19">
      <c r="A1359" s="1932">
        <f t="shared" si="118"/>
        <v>0</v>
      </c>
      <c r="B1359" s="1932">
        <f t="shared" si="119"/>
        <v>0</v>
      </c>
      <c r="C1359" s="1013" t="s">
        <v>245</v>
      </c>
      <c r="D1359" s="1013">
        <v>0</v>
      </c>
      <c r="E1359" s="1013" t="s">
        <v>22698</v>
      </c>
      <c r="F1359" s="1013">
        <v>26</v>
      </c>
      <c r="G1359" s="1932" t="str">
        <f>+VLOOKUP(F1359,TT_Tabelle_Riferimento!$D$127:$G$164,4,FALSE)</f>
        <v>Sistemi informativi di depurazione</v>
      </c>
      <c r="H1359" s="1013">
        <v>3</v>
      </c>
      <c r="I1359" s="1932" t="str">
        <f>+VLOOKUP(H1359,TT_Tabelle_Riferimento!$F$3:$G$6,2,FALSE)</f>
        <v>Altri servizi idrici</v>
      </c>
      <c r="J1359" s="1013">
        <v>2029</v>
      </c>
      <c r="K1359" s="2335">
        <f>+SUMIFS('PdI-crono_inv'!BL:BL,'PdI-crono_inv'!CF:CF,F1359,'PdI-crono_inv'!CE:CE,H1359,'PdI-crono_inv'!J:J,P1359,'PdI-crono_inv'!P:P,"&lt;&gt;proprietario")</f>
        <v>0</v>
      </c>
      <c r="M1359" s="2335">
        <f>+SUMIFS('PdI-crono_inv'!BM:BM,'PdI-crono_inv'!CF:CF,F1359,'PdI-crono_inv'!CE:CE,H1359,'PdI-crono_inv'!J:J,P1359,'PdI-crono_inv'!P:P,"&lt;&gt;proprietario")+S1359</f>
        <v>0</v>
      </c>
      <c r="P1359" s="1013" t="s">
        <v>27068</v>
      </c>
      <c r="Q1359" s="1932" t="str">
        <f>+VLOOKUP(F1359,TT_Tabelle_Riferimento!$D$127:$E$164,2,FALSE)</f>
        <v>Depurazione</v>
      </c>
      <c r="R1359" s="1932" t="str">
        <f t="shared" si="117"/>
        <v/>
      </c>
      <c r="S1359" s="2335">
        <f t="shared" si="120"/>
        <v>0</v>
      </c>
    </row>
    <row r="1360" spans="1:19">
      <c r="A1360" s="1932">
        <f t="shared" si="118"/>
        <v>0</v>
      </c>
      <c r="B1360" s="1932">
        <f t="shared" si="119"/>
        <v>0</v>
      </c>
      <c r="C1360" s="1013" t="s">
        <v>245</v>
      </c>
      <c r="D1360" s="1013">
        <v>0</v>
      </c>
      <c r="E1360" s="1013" t="s">
        <v>22698</v>
      </c>
      <c r="F1360" s="1013">
        <v>27</v>
      </c>
      <c r="G1360" s="1932" t="str">
        <f>+VLOOKUP(F1360,TT_Tabelle_Riferimento!$D$127:$G$164,4,FALSE)</f>
        <v>Telecontrollo e teletrasmissione di depurazione</v>
      </c>
      <c r="H1360" s="1013">
        <v>3</v>
      </c>
      <c r="I1360" s="1932" t="str">
        <f>+VLOOKUP(H1360,TT_Tabelle_Riferimento!$F$3:$G$6,2,FALSE)</f>
        <v>Altri servizi idrici</v>
      </c>
      <c r="J1360" s="1013">
        <v>2029</v>
      </c>
      <c r="K1360" s="2335">
        <f>+SUMIFS('PdI-crono_inv'!BL:BL,'PdI-crono_inv'!CF:CF,F1360,'PdI-crono_inv'!CE:CE,H1360,'PdI-crono_inv'!J:J,P1360,'PdI-crono_inv'!P:P,"&lt;&gt;proprietario")</f>
        <v>0</v>
      </c>
      <c r="M1360" s="2335">
        <f>+SUMIFS('PdI-crono_inv'!BM:BM,'PdI-crono_inv'!CF:CF,F1360,'PdI-crono_inv'!CE:CE,H1360,'PdI-crono_inv'!J:J,P1360,'PdI-crono_inv'!P:P,"&lt;&gt;proprietario")+S1360</f>
        <v>0</v>
      </c>
      <c r="P1360" s="1013" t="s">
        <v>27068</v>
      </c>
      <c r="Q1360" s="1932" t="str">
        <f>+VLOOKUP(F1360,TT_Tabelle_Riferimento!$D$127:$E$164,2,FALSE)</f>
        <v>Depurazione</v>
      </c>
      <c r="R1360" s="1932" t="str">
        <f t="shared" si="117"/>
        <v/>
      </c>
      <c r="S1360" s="2335">
        <f t="shared" si="120"/>
        <v>0</v>
      </c>
    </row>
    <row r="1361" spans="1:19">
      <c r="A1361" s="1932">
        <f t="shared" si="118"/>
        <v>0</v>
      </c>
      <c r="B1361" s="1932">
        <f t="shared" si="119"/>
        <v>0</v>
      </c>
      <c r="C1361" s="1013" t="s">
        <v>245</v>
      </c>
      <c r="D1361" s="1013">
        <v>0</v>
      </c>
      <c r="E1361" s="1013" t="s">
        <v>22698</v>
      </c>
      <c r="F1361" s="1013">
        <v>28</v>
      </c>
      <c r="G1361" s="1932" t="str">
        <f>+VLOOKUP(F1361,TT_Tabelle_Riferimento!$D$127:$G$164,4,FALSE)</f>
        <v>Altri impianti</v>
      </c>
      <c r="H1361" s="1013">
        <v>3</v>
      </c>
      <c r="I1361" s="1932" t="str">
        <f>+VLOOKUP(H1361,TT_Tabelle_Riferimento!$F$3:$G$6,2,FALSE)</f>
        <v>Altri servizi idrici</v>
      </c>
      <c r="J1361" s="1013">
        <v>2029</v>
      </c>
      <c r="K1361" s="2335">
        <f>+SUMIFS('PdI-crono_inv'!BL:BL,'PdI-crono_inv'!CF:CF,F1361,'PdI-crono_inv'!CE:CE,H1361,'PdI-crono_inv'!J:J,P1361,'PdI-crono_inv'!P:P,"&lt;&gt;proprietario")</f>
        <v>0</v>
      </c>
      <c r="M1361" s="2335">
        <f>+SUMIFS('PdI-crono_inv'!BM:BM,'PdI-crono_inv'!CF:CF,F1361,'PdI-crono_inv'!CE:CE,H1361,'PdI-crono_inv'!J:J,P1361,'PdI-crono_inv'!P:P,"&lt;&gt;proprietario")+S1361</f>
        <v>0</v>
      </c>
      <c r="P1361" s="1013" t="s">
        <v>27068</v>
      </c>
      <c r="Q1361" s="1932" t="str">
        <f>+VLOOKUP(F1361,TT_Tabelle_Riferimento!$D$127:$E$164,2,FALSE)</f>
        <v>Comune</v>
      </c>
      <c r="R1361" s="1932" t="str">
        <f t="shared" si="117"/>
        <v/>
      </c>
      <c r="S1361" s="2335">
        <f t="shared" si="120"/>
        <v>0</v>
      </c>
    </row>
    <row r="1362" spans="1:19">
      <c r="A1362" s="1932">
        <f t="shared" si="118"/>
        <v>0</v>
      </c>
      <c r="B1362" s="1932">
        <f t="shared" si="119"/>
        <v>0</v>
      </c>
      <c r="C1362" s="1013" t="s">
        <v>245</v>
      </c>
      <c r="D1362" s="1013">
        <v>0</v>
      </c>
      <c r="E1362" s="1013" t="s">
        <v>22698</v>
      </c>
      <c r="F1362" s="1013">
        <v>29</v>
      </c>
      <c r="G1362" s="1932" t="str">
        <f>+VLOOKUP(F1362,TT_Tabelle_Riferimento!$D$127:$G$164,4,FALSE)</f>
        <v>Laboratori e attrezzature</v>
      </c>
      <c r="H1362" s="1013">
        <v>3</v>
      </c>
      <c r="I1362" s="1932" t="str">
        <f>+VLOOKUP(H1362,TT_Tabelle_Riferimento!$F$3:$G$6,2,FALSE)</f>
        <v>Altri servizi idrici</v>
      </c>
      <c r="J1362" s="1013">
        <v>2029</v>
      </c>
      <c r="K1362" s="2335">
        <f>+SUMIFS('PdI-crono_inv'!BL:BL,'PdI-crono_inv'!CF:CF,F1362,'PdI-crono_inv'!CE:CE,H1362,'PdI-crono_inv'!J:J,P1362,'PdI-crono_inv'!P:P,"&lt;&gt;proprietario")</f>
        <v>0</v>
      </c>
      <c r="M1362" s="2335">
        <f>+SUMIFS('PdI-crono_inv'!BM:BM,'PdI-crono_inv'!CF:CF,F1362,'PdI-crono_inv'!CE:CE,H1362,'PdI-crono_inv'!J:J,P1362,'PdI-crono_inv'!P:P,"&lt;&gt;proprietario")+S1362</f>
        <v>0</v>
      </c>
      <c r="P1362" s="1013" t="s">
        <v>27068</v>
      </c>
      <c r="Q1362" s="1932" t="str">
        <f>+VLOOKUP(F1362,TT_Tabelle_Riferimento!$D$127:$E$164,2,FALSE)</f>
        <v>Comune</v>
      </c>
      <c r="R1362" s="1932" t="str">
        <f t="shared" si="117"/>
        <v/>
      </c>
      <c r="S1362" s="2335">
        <f t="shared" si="120"/>
        <v>0</v>
      </c>
    </row>
    <row r="1363" spans="1:19">
      <c r="A1363" s="1932">
        <f t="shared" si="118"/>
        <v>0</v>
      </c>
      <c r="B1363" s="1932">
        <f t="shared" si="119"/>
        <v>0</v>
      </c>
      <c r="C1363" s="1013" t="s">
        <v>245</v>
      </c>
      <c r="D1363" s="1013">
        <v>0</v>
      </c>
      <c r="E1363" s="1013" t="s">
        <v>22698</v>
      </c>
      <c r="F1363" s="1013">
        <v>30</v>
      </c>
      <c r="G1363" s="1932" t="str">
        <f>+VLOOKUP(F1363,TT_Tabelle_Riferimento!$D$127:$G$164,4,FALSE)</f>
        <v>Sistemi informativi</v>
      </c>
      <c r="H1363" s="1013">
        <v>3</v>
      </c>
      <c r="I1363" s="1932" t="str">
        <f>+VLOOKUP(H1363,TT_Tabelle_Riferimento!$F$3:$G$6,2,FALSE)</f>
        <v>Altri servizi idrici</v>
      </c>
      <c r="J1363" s="1013">
        <v>2029</v>
      </c>
      <c r="K1363" s="2335">
        <f>+SUMIFS('PdI-crono_inv'!BL:BL,'PdI-crono_inv'!CF:CF,F1363,'PdI-crono_inv'!CE:CE,H1363,'PdI-crono_inv'!J:J,P1363,'PdI-crono_inv'!P:P,"&lt;&gt;proprietario")</f>
        <v>0</v>
      </c>
      <c r="M1363" s="2335">
        <f>+SUMIFS('PdI-crono_inv'!BM:BM,'PdI-crono_inv'!CF:CF,F1363,'PdI-crono_inv'!CE:CE,H1363,'PdI-crono_inv'!J:J,P1363,'PdI-crono_inv'!P:P,"&lt;&gt;proprietario")+S1363</f>
        <v>0</v>
      </c>
      <c r="P1363" s="1013" t="s">
        <v>27068</v>
      </c>
      <c r="Q1363" s="1932" t="str">
        <f>+VLOOKUP(F1363,TT_Tabelle_Riferimento!$D$127:$E$164,2,FALSE)</f>
        <v>Comune</v>
      </c>
      <c r="R1363" s="1932" t="str">
        <f t="shared" si="117"/>
        <v/>
      </c>
      <c r="S1363" s="2335">
        <f t="shared" si="120"/>
        <v>0</v>
      </c>
    </row>
    <row r="1364" spans="1:19">
      <c r="A1364" s="1932">
        <f t="shared" si="118"/>
        <v>0</v>
      </c>
      <c r="B1364" s="1932">
        <f t="shared" si="119"/>
        <v>0</v>
      </c>
      <c r="C1364" s="1013" t="s">
        <v>245</v>
      </c>
      <c r="D1364" s="1013">
        <v>0</v>
      </c>
      <c r="E1364" s="1013" t="s">
        <v>22698</v>
      </c>
      <c r="F1364" s="1013">
        <v>31</v>
      </c>
      <c r="G1364" s="1932" t="str">
        <f>+VLOOKUP(F1364,TT_Tabelle_Riferimento!$D$127:$G$164,4,FALSE)</f>
        <v>Telecontrollo e teletrasmissione</v>
      </c>
      <c r="H1364" s="1013">
        <v>3</v>
      </c>
      <c r="I1364" s="1932" t="str">
        <f>+VLOOKUP(H1364,TT_Tabelle_Riferimento!$F$3:$G$6,2,FALSE)</f>
        <v>Altri servizi idrici</v>
      </c>
      <c r="J1364" s="1013">
        <v>2029</v>
      </c>
      <c r="K1364" s="2335">
        <f>+SUMIFS('PdI-crono_inv'!BL:BL,'PdI-crono_inv'!CF:CF,F1364,'PdI-crono_inv'!CE:CE,H1364,'PdI-crono_inv'!J:J,P1364,'PdI-crono_inv'!P:P,"&lt;&gt;proprietario")</f>
        <v>0</v>
      </c>
      <c r="M1364" s="2335">
        <f>+SUMIFS('PdI-crono_inv'!BM:BM,'PdI-crono_inv'!CF:CF,F1364,'PdI-crono_inv'!CE:CE,H1364,'PdI-crono_inv'!J:J,P1364,'PdI-crono_inv'!P:P,"&lt;&gt;proprietario")+S1364</f>
        <v>0</v>
      </c>
      <c r="P1364" s="1013" t="s">
        <v>27068</v>
      </c>
      <c r="Q1364" s="1932" t="str">
        <f>+VLOOKUP(F1364,TT_Tabelle_Riferimento!$D$127:$E$164,2,FALSE)</f>
        <v>Comune</v>
      </c>
      <c r="R1364" s="1932" t="str">
        <f t="shared" si="117"/>
        <v/>
      </c>
      <c r="S1364" s="2335">
        <f t="shared" si="120"/>
        <v>0</v>
      </c>
    </row>
    <row r="1365" spans="1:19">
      <c r="A1365" s="1932">
        <f t="shared" si="118"/>
        <v>0</v>
      </c>
      <c r="B1365" s="1932">
        <f t="shared" si="119"/>
        <v>0</v>
      </c>
      <c r="C1365" s="1013" t="s">
        <v>245</v>
      </c>
      <c r="D1365" s="1013">
        <v>0</v>
      </c>
      <c r="E1365" s="1013" t="s">
        <v>22698</v>
      </c>
      <c r="F1365" s="1013">
        <v>32</v>
      </c>
      <c r="G1365" s="1932" t="str">
        <f>+VLOOKUP(F1365,TT_Tabelle_Riferimento!$D$127:$G$164,4,FALSE)</f>
        <v>Autoveicoli - automezzi</v>
      </c>
      <c r="H1365" s="1013">
        <v>3</v>
      </c>
      <c r="I1365" s="1932" t="str">
        <f>+VLOOKUP(H1365,TT_Tabelle_Riferimento!$F$3:$G$6,2,FALSE)</f>
        <v>Altri servizi idrici</v>
      </c>
      <c r="J1365" s="1013">
        <v>2029</v>
      </c>
      <c r="K1365" s="2335">
        <f>+SUMIFS('PdI-crono_inv'!BL:BL,'PdI-crono_inv'!CF:CF,F1365,'PdI-crono_inv'!CE:CE,H1365,'PdI-crono_inv'!J:J,P1365,'PdI-crono_inv'!P:P,"&lt;&gt;proprietario")</f>
        <v>0</v>
      </c>
      <c r="M1365" s="2335">
        <f>+SUMIFS('PdI-crono_inv'!BM:BM,'PdI-crono_inv'!CF:CF,F1365,'PdI-crono_inv'!CE:CE,H1365,'PdI-crono_inv'!J:J,P1365,'PdI-crono_inv'!P:P,"&lt;&gt;proprietario")+S1365</f>
        <v>0</v>
      </c>
      <c r="P1365" s="1013" t="s">
        <v>27068</v>
      </c>
      <c r="Q1365" s="1932" t="str">
        <f>+VLOOKUP(F1365,TT_Tabelle_Riferimento!$D$127:$E$164,2,FALSE)</f>
        <v>Comune</v>
      </c>
      <c r="R1365" s="1932" t="str">
        <f t="shared" si="117"/>
        <v/>
      </c>
      <c r="S1365" s="2335">
        <f t="shared" si="120"/>
        <v>0</v>
      </c>
    </row>
    <row r="1366" spans="1:19">
      <c r="A1366" s="1932">
        <f t="shared" si="118"/>
        <v>0</v>
      </c>
      <c r="B1366" s="1932">
        <f t="shared" si="119"/>
        <v>0</v>
      </c>
      <c r="C1366" s="1013" t="s">
        <v>245</v>
      </c>
      <c r="D1366" s="1013">
        <v>0</v>
      </c>
      <c r="E1366" s="1013" t="s">
        <v>22698</v>
      </c>
      <c r="F1366" s="1013">
        <v>1</v>
      </c>
      <c r="G1366" s="1932" t="str">
        <f>+VLOOKUP(F1366,TT_Tabelle_Riferimento!$D$127:$G$164,4,FALSE)</f>
        <v>Terreni</v>
      </c>
      <c r="H1366" s="1013">
        <v>3</v>
      </c>
      <c r="I1366" s="1932" t="str">
        <f>+VLOOKUP(H1366,TT_Tabelle_Riferimento!$F$3:$G$6,2,FALSE)</f>
        <v>Altri servizi idrici</v>
      </c>
      <c r="J1366" s="1013">
        <v>2029</v>
      </c>
      <c r="K1366" s="2335">
        <f>+SUMIFS('PdI-crono_inv'!BL:BL,'PdI-crono_inv'!CF:CF,F1366,'PdI-crono_inv'!CE:CE,H1366,'PdI-crono_inv'!J:J,P1366,'PdI-crono_inv'!P:P,"&lt;&gt;proprietario")</f>
        <v>0</v>
      </c>
      <c r="M1366" s="2335">
        <f>+SUMIFS('PdI-crono_inv'!BM:BM,'PdI-crono_inv'!CF:CF,F1366,'PdI-crono_inv'!CE:CE,H1366,'PdI-crono_inv'!J:J,P1366,'PdI-crono_inv'!P:P,"&lt;&gt;proprietario")+S1366</f>
        <v>0</v>
      </c>
      <c r="P1366" s="1013" t="s">
        <v>27068</v>
      </c>
      <c r="Q1366" s="1932" t="str">
        <f>+VLOOKUP(F1366,TT_Tabelle_Riferimento!$D$127:$E$164,2,FALSE)</f>
        <v>Comune</v>
      </c>
      <c r="R1366" s="1932" t="str">
        <f t="shared" si="117"/>
        <v/>
      </c>
      <c r="S1366" s="2335">
        <f t="shared" si="120"/>
        <v>0</v>
      </c>
    </row>
    <row r="1367" spans="1:19">
      <c r="A1367" s="1932">
        <f t="shared" si="118"/>
        <v>0</v>
      </c>
      <c r="B1367" s="1932">
        <f t="shared" si="119"/>
        <v>0</v>
      </c>
      <c r="C1367" s="1013" t="s">
        <v>245</v>
      </c>
      <c r="D1367" s="1013">
        <v>0</v>
      </c>
      <c r="E1367" s="1013" t="s">
        <v>22698</v>
      </c>
      <c r="F1367" s="1013">
        <v>33</v>
      </c>
      <c r="G1367" s="1932" t="str">
        <f>+VLOOKUP(F1367,TT_Tabelle_Riferimento!$D$127:$G$164,4,FALSE)</f>
        <v>Fabbricati non industriali</v>
      </c>
      <c r="H1367" s="1013">
        <v>3</v>
      </c>
      <c r="I1367" s="1932" t="str">
        <f>+VLOOKUP(H1367,TT_Tabelle_Riferimento!$F$3:$G$6,2,FALSE)</f>
        <v>Altri servizi idrici</v>
      </c>
      <c r="J1367" s="1013">
        <v>2029</v>
      </c>
      <c r="K1367" s="2335">
        <f>+SUMIFS('PdI-crono_inv'!BL:BL,'PdI-crono_inv'!CF:CF,F1367,'PdI-crono_inv'!CE:CE,H1367,'PdI-crono_inv'!J:J,P1367,'PdI-crono_inv'!P:P,"&lt;&gt;proprietario")</f>
        <v>0</v>
      </c>
      <c r="M1367" s="2335">
        <f>+SUMIFS('PdI-crono_inv'!BM:BM,'PdI-crono_inv'!CF:CF,F1367,'PdI-crono_inv'!CE:CE,H1367,'PdI-crono_inv'!J:J,P1367,'PdI-crono_inv'!P:P,"&lt;&gt;proprietario")+S1367</f>
        <v>0</v>
      </c>
      <c r="P1367" s="1013" t="s">
        <v>27068</v>
      </c>
      <c r="Q1367" s="1932" t="str">
        <f>+VLOOKUP(F1367,TT_Tabelle_Riferimento!$D$127:$E$164,2,FALSE)</f>
        <v>Comune</v>
      </c>
      <c r="R1367" s="1932" t="str">
        <f t="shared" si="117"/>
        <v/>
      </c>
      <c r="S1367" s="2335">
        <f t="shared" si="120"/>
        <v>0</v>
      </c>
    </row>
    <row r="1368" spans="1:19">
      <c r="A1368" s="1932">
        <f t="shared" si="118"/>
        <v>0</v>
      </c>
      <c r="B1368" s="1932">
        <f t="shared" si="119"/>
        <v>0</v>
      </c>
      <c r="C1368" s="1013" t="s">
        <v>245</v>
      </c>
      <c r="D1368" s="1013">
        <v>0</v>
      </c>
      <c r="E1368" s="1013" t="s">
        <v>22698</v>
      </c>
      <c r="F1368" s="1013">
        <v>34</v>
      </c>
      <c r="G1368" s="1932" t="str">
        <f>+VLOOKUP(F1368,TT_Tabelle_Riferimento!$D$127:$G$164,4,FALSE)</f>
        <v>Fabbricati industriali</v>
      </c>
      <c r="H1368" s="1013">
        <v>3</v>
      </c>
      <c r="I1368" s="1932" t="str">
        <f>+VLOOKUP(H1368,TT_Tabelle_Riferimento!$F$3:$G$6,2,FALSE)</f>
        <v>Altri servizi idrici</v>
      </c>
      <c r="J1368" s="1013">
        <v>2029</v>
      </c>
      <c r="K1368" s="2335">
        <f>+SUMIFS('PdI-crono_inv'!BL:BL,'PdI-crono_inv'!CF:CF,F1368,'PdI-crono_inv'!CE:CE,H1368,'PdI-crono_inv'!J:J,P1368,'PdI-crono_inv'!P:P,"&lt;&gt;proprietario")</f>
        <v>0</v>
      </c>
      <c r="M1368" s="2335">
        <f>+SUMIFS('PdI-crono_inv'!BM:BM,'PdI-crono_inv'!CF:CF,F1368,'PdI-crono_inv'!CE:CE,H1368,'PdI-crono_inv'!J:J,P1368,'PdI-crono_inv'!P:P,"&lt;&gt;proprietario")+S1368</f>
        <v>0</v>
      </c>
      <c r="P1368" s="1013" t="s">
        <v>27068</v>
      </c>
      <c r="Q1368" s="1932" t="str">
        <f>+VLOOKUP(F1368,TT_Tabelle_Riferimento!$D$127:$E$164,2,FALSE)</f>
        <v>Comune</v>
      </c>
      <c r="R1368" s="1932" t="str">
        <f t="shared" si="117"/>
        <v/>
      </c>
      <c r="S1368" s="2335">
        <f t="shared" si="120"/>
        <v>0</v>
      </c>
    </row>
    <row r="1369" spans="1:19">
      <c r="A1369" s="1932">
        <f t="shared" si="118"/>
        <v>0</v>
      </c>
      <c r="B1369" s="1932">
        <f t="shared" si="119"/>
        <v>0</v>
      </c>
      <c r="C1369" s="1013" t="s">
        <v>245</v>
      </c>
      <c r="D1369" s="1013">
        <v>0</v>
      </c>
      <c r="E1369" s="1013" t="s">
        <v>22698</v>
      </c>
      <c r="F1369" s="1013">
        <v>35</v>
      </c>
      <c r="G1369" s="1932" t="str">
        <f>+VLOOKUP(F1369,TT_Tabelle_Riferimento!$D$127:$G$164,4,FALSE)</f>
        <v>Costruzioni leggere</v>
      </c>
      <c r="H1369" s="1013">
        <v>3</v>
      </c>
      <c r="I1369" s="1932" t="str">
        <f>+VLOOKUP(H1369,TT_Tabelle_Riferimento!$F$3:$G$6,2,FALSE)</f>
        <v>Altri servizi idrici</v>
      </c>
      <c r="J1369" s="1013">
        <v>2029</v>
      </c>
      <c r="K1369" s="2335">
        <f>+SUMIFS('PdI-crono_inv'!BL:BL,'PdI-crono_inv'!CF:CF,F1369,'PdI-crono_inv'!CE:CE,H1369,'PdI-crono_inv'!J:J,P1369,'PdI-crono_inv'!P:P,"&lt;&gt;proprietario")</f>
        <v>0</v>
      </c>
      <c r="M1369" s="2335">
        <f>+SUMIFS('PdI-crono_inv'!BM:BM,'PdI-crono_inv'!CF:CF,F1369,'PdI-crono_inv'!CE:CE,H1369,'PdI-crono_inv'!J:J,P1369,'PdI-crono_inv'!P:P,"&lt;&gt;proprietario")+S1369</f>
        <v>0</v>
      </c>
      <c r="P1369" s="1013" t="s">
        <v>27068</v>
      </c>
      <c r="Q1369" s="1932" t="str">
        <f>+VLOOKUP(F1369,TT_Tabelle_Riferimento!$D$127:$E$164,2,FALSE)</f>
        <v>Comune</v>
      </c>
      <c r="R1369" s="1932" t="str">
        <f t="shared" si="117"/>
        <v/>
      </c>
      <c r="S1369" s="2335">
        <f t="shared" si="120"/>
        <v>0</v>
      </c>
    </row>
    <row r="1370" spans="1:19">
      <c r="A1370" s="1932">
        <f t="shared" si="118"/>
        <v>0</v>
      </c>
      <c r="B1370" s="1932">
        <f t="shared" si="119"/>
        <v>0</v>
      </c>
      <c r="C1370" s="1013" t="s">
        <v>245</v>
      </c>
      <c r="D1370" s="1013">
        <v>0</v>
      </c>
      <c r="E1370" s="1013" t="s">
        <v>22698</v>
      </c>
      <c r="F1370" s="1013">
        <v>36</v>
      </c>
      <c r="G1370" s="1932" t="str">
        <f>+VLOOKUP(F1370,TT_Tabelle_Riferimento!$D$127:$G$164,4,FALSE)</f>
        <v>Studi, ricerche, brevetti, diritti di utilizzazione</v>
      </c>
      <c r="H1370" s="1013">
        <v>3</v>
      </c>
      <c r="I1370" s="1932" t="str">
        <f>+VLOOKUP(H1370,TT_Tabelle_Riferimento!$F$3:$G$6,2,FALSE)</f>
        <v>Altri servizi idrici</v>
      </c>
      <c r="J1370" s="1013">
        <v>2029</v>
      </c>
      <c r="K1370" s="2335">
        <f>+SUMIFS('PdI-crono_inv'!BL:BL,'PdI-crono_inv'!CF:CF,F1370,'PdI-crono_inv'!CE:CE,H1370,'PdI-crono_inv'!J:J,P1370,'PdI-crono_inv'!P:P,"&lt;&gt;proprietario")</f>
        <v>0</v>
      </c>
      <c r="M1370" s="2335">
        <f>+SUMIFS('PdI-crono_inv'!BM:BM,'PdI-crono_inv'!CF:CF,F1370,'PdI-crono_inv'!CE:CE,H1370,'PdI-crono_inv'!J:J,P1370,'PdI-crono_inv'!P:P,"&lt;&gt;proprietario")+S1370</f>
        <v>0</v>
      </c>
      <c r="P1370" s="1013" t="s">
        <v>27068</v>
      </c>
      <c r="Q1370" s="1932" t="str">
        <f>+VLOOKUP(F1370,TT_Tabelle_Riferimento!$D$127:$E$164,2,FALSE)</f>
        <v>Comune</v>
      </c>
      <c r="R1370" s="1932" t="str">
        <f t="shared" si="117"/>
        <v/>
      </c>
      <c r="S1370" s="2335">
        <f t="shared" si="120"/>
        <v>0</v>
      </c>
    </row>
    <row r="1371" spans="1:19">
      <c r="A1371" s="1932">
        <f t="shared" si="118"/>
        <v>0</v>
      </c>
      <c r="B1371" s="1932">
        <f t="shared" si="119"/>
        <v>0</v>
      </c>
      <c r="C1371" s="1013" t="s">
        <v>245</v>
      </c>
      <c r="D1371" s="1013">
        <v>0</v>
      </c>
      <c r="E1371" s="1013" t="s">
        <v>22698</v>
      </c>
      <c r="F1371" s="1013">
        <v>37</v>
      </c>
      <c r="G1371" s="1932" t="str">
        <f>+VLOOKUP(F1371,TT_Tabelle_Riferimento!$D$127:$G$164,4,FALSE)</f>
        <v>Altre immobilizzazioni materiali e immateriali</v>
      </c>
      <c r="H1371" s="1013">
        <v>3</v>
      </c>
      <c r="I1371" s="1932" t="str">
        <f>+VLOOKUP(H1371,TT_Tabelle_Riferimento!$F$3:$G$6,2,FALSE)</f>
        <v>Altri servizi idrici</v>
      </c>
      <c r="J1371" s="1013">
        <v>2029</v>
      </c>
      <c r="K1371" s="2335">
        <f>+SUMIFS('PdI-crono_inv'!BL:BL,'PdI-crono_inv'!CF:CF,F1371,'PdI-crono_inv'!CE:CE,H1371,'PdI-crono_inv'!J:J,P1371,'PdI-crono_inv'!P:P,"&lt;&gt;proprietario")</f>
        <v>0</v>
      </c>
      <c r="M1371" s="2335">
        <f>+SUMIFS('PdI-crono_inv'!BM:BM,'PdI-crono_inv'!CF:CF,F1371,'PdI-crono_inv'!CE:CE,H1371,'PdI-crono_inv'!J:J,P1371,'PdI-crono_inv'!P:P,"&lt;&gt;proprietario")+S1371</f>
        <v>0</v>
      </c>
      <c r="P1371" s="1013" t="s">
        <v>27068</v>
      </c>
      <c r="Q1371" s="1932" t="str">
        <f>+VLOOKUP(F1371,TT_Tabelle_Riferimento!$D$127:$E$164,2,FALSE)</f>
        <v>Comune</v>
      </c>
      <c r="R1371" s="1932" t="str">
        <f t="shared" si="117"/>
        <v/>
      </c>
      <c r="S1371" s="2335">
        <f t="shared" si="120"/>
        <v>0</v>
      </c>
    </row>
    <row r="1372" spans="1:19">
      <c r="A1372" s="1932">
        <f t="shared" si="118"/>
        <v>0</v>
      </c>
      <c r="B1372" s="1932">
        <f t="shared" si="119"/>
        <v>0</v>
      </c>
      <c r="C1372" s="1013" t="s">
        <v>245</v>
      </c>
      <c r="D1372" s="1013">
        <v>0</v>
      </c>
      <c r="E1372" s="1013" t="s">
        <v>22698</v>
      </c>
      <c r="F1372" s="1013">
        <v>38</v>
      </c>
      <c r="G1372" s="1932" t="str">
        <f>+VLOOKUP(F1372,TT_Tabelle_Riferimento!$D$127:$G$164,4,FALSE)</f>
        <v>Grandi dighe (sbarramenti che superano i quindici metri di altezza o che determinano un invaso superiore a 1 milione di metri cubi)</v>
      </c>
      <c r="H1372" s="1013">
        <v>3</v>
      </c>
      <c r="I1372" s="1932" t="str">
        <f>+VLOOKUP(H1372,TT_Tabelle_Riferimento!$F$3:$G$6,2,FALSE)</f>
        <v>Altri servizi idrici</v>
      </c>
      <c r="J1372" s="1013">
        <v>2029</v>
      </c>
      <c r="K1372" s="2335">
        <f>+SUMIFS('PdI-crono_inv'!BL:BL,'PdI-crono_inv'!CF:CF,F1372,'PdI-crono_inv'!CE:CE,H1372,'PdI-crono_inv'!J:J,P1372,'PdI-crono_inv'!P:P,"&lt;&gt;proprietario")</f>
        <v>0</v>
      </c>
      <c r="M1372" s="2335">
        <f>+SUMIFS('PdI-crono_inv'!BM:BM,'PdI-crono_inv'!CF:CF,F1372,'PdI-crono_inv'!CE:CE,H1372,'PdI-crono_inv'!J:J,P1372,'PdI-crono_inv'!P:P,"&lt;&gt;proprietario")+S1372</f>
        <v>0</v>
      </c>
      <c r="P1372" s="1013" t="s">
        <v>27068</v>
      </c>
      <c r="Q1372" s="1932" t="str">
        <f>+VLOOKUP(F1372,TT_Tabelle_Riferimento!$D$127:$E$164,2,FALSE)</f>
        <v>Acquedotto</v>
      </c>
      <c r="R1372" s="1932" t="str">
        <f t="shared" si="117"/>
        <v/>
      </c>
      <c r="S1372" s="2335">
        <f t="shared" si="120"/>
        <v>0</v>
      </c>
    </row>
    <row r="1373" spans="1:19">
      <c r="A1373" s="1932">
        <f t="shared" si="118"/>
        <v>0</v>
      </c>
      <c r="B1373" s="1932">
        <f t="shared" si="119"/>
        <v>0</v>
      </c>
      <c r="C1373" s="1013" t="s">
        <v>245</v>
      </c>
      <c r="D1373" s="1013">
        <v>0</v>
      </c>
      <c r="E1373" s="1013" t="s">
        <v>22698</v>
      </c>
      <c r="F1373" s="1013">
        <v>39</v>
      </c>
      <c r="G1373" s="1932" t="str">
        <f>+VLOOKUP(F1373,TT_Tabelle_Riferimento!$D$127:$G$164,4,FALSE)</f>
        <v>Piccole dighe (sbarramenti che non superano i quindici metri di altezza o che determinano un invaso non superiore a 1 milione di metri cubi)</v>
      </c>
      <c r="H1373" s="1013">
        <v>3</v>
      </c>
      <c r="I1373" s="1932" t="str">
        <f>+VLOOKUP(H1373,TT_Tabelle_Riferimento!$F$3:$G$6,2,FALSE)</f>
        <v>Altri servizi idrici</v>
      </c>
      <c r="J1373" s="1013">
        <v>2029</v>
      </c>
      <c r="K1373" s="2335">
        <f>+SUMIFS('PdI-crono_inv'!BL:BL,'PdI-crono_inv'!CF:CF,F1373,'PdI-crono_inv'!CE:CE,H1373,'PdI-crono_inv'!J:J,P1373,'PdI-crono_inv'!P:P,"&lt;&gt;proprietario")</f>
        <v>0</v>
      </c>
      <c r="M1373" s="2335">
        <f>+SUMIFS('PdI-crono_inv'!BM:BM,'PdI-crono_inv'!CF:CF,F1373,'PdI-crono_inv'!CE:CE,H1373,'PdI-crono_inv'!J:J,P1373,'PdI-crono_inv'!P:P,"&lt;&gt;proprietario")+S1373</f>
        <v>0</v>
      </c>
      <c r="P1373" s="1013" t="s">
        <v>27068</v>
      </c>
      <c r="Q1373" s="1932" t="str">
        <f>+VLOOKUP(F1373,TT_Tabelle_Riferimento!$D$127:$E$164,2,FALSE)</f>
        <v>Acquedotto</v>
      </c>
      <c r="R1373" s="1932" t="str">
        <f t="shared" si="117"/>
        <v/>
      </c>
      <c r="S1373" s="2335">
        <f t="shared" si="120"/>
        <v>0</v>
      </c>
    </row>
  </sheetData>
  <sheetProtection algorithmName="SHA-512" hashValue="vtDqAz339zY0ulp2PAOMyf7UKRiygGAsRE+3fjwx/F8/z4Mo3DaUxASejwWR8JiOxGfdgLIQ39zhd5Jq4FX0hw==" saltValue="H3IQzpAFoXyM/3Z3U2WV4A==" spinCount="100000" sheet="1" objects="1" scenarios="1"/>
  <autoFilter ref="A5:S2057" xr:uid="{2D5F53CF-5D92-4127-A00E-5B8BC3F74AFD}"/>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5F97D-37CA-4D17-A523-739DE715F8F5}">
  <sheetPr codeName="Sheet4">
    <tabColor rgb="FFDCE6F1"/>
    <pageSetUpPr fitToPage="1"/>
  </sheetPr>
  <dimension ref="A1:O159"/>
  <sheetViews>
    <sheetView showGridLines="0" zoomScale="80" zoomScaleNormal="80" workbookViewId="0">
      <pane xSplit="3" ySplit="2" topLeftCell="E3" activePane="bottomRight" state="frozen"/>
      <selection activeCell="B4" sqref="B4"/>
      <selection pane="topRight" activeCell="B4" sqref="B4"/>
      <selection pane="bottomLeft" activeCell="B4" sqref="B4"/>
      <selection pane="bottomRight"/>
    </sheetView>
  </sheetViews>
  <sheetFormatPr defaultColWidth="8.85546875" defaultRowHeight="15"/>
  <cols>
    <col min="1" max="1" width="12.85546875" customWidth="1"/>
    <col min="2" max="2" width="50.85546875" style="77" customWidth="1"/>
    <col min="3" max="3" width="9.85546875" customWidth="1"/>
    <col min="4" max="4" width="14.85546875" hidden="1" customWidth="1"/>
    <col min="5" max="5" width="14.85546875" customWidth="1"/>
    <col min="6" max="6" width="50.85546875" style="810" customWidth="1"/>
    <col min="7" max="7" width="2.85546875" style="810" customWidth="1"/>
    <col min="8" max="8" width="25.85546875" style="810" hidden="1" customWidth="1"/>
    <col min="9" max="9" width="25.85546875" style="810" customWidth="1"/>
    <col min="10" max="10" width="2.85546875" style="810" customWidth="1"/>
    <col min="11" max="11" width="20.85546875" style="1670" hidden="1" customWidth="1"/>
    <col min="12" max="12" width="20.85546875" style="1670" customWidth="1"/>
  </cols>
  <sheetData>
    <row r="1" spans="1:12" ht="69.95" customHeight="1" thickBot="1">
      <c r="B1" s="1656" t="s">
        <v>29990</v>
      </c>
      <c r="C1" s="1655"/>
      <c r="D1" s="1657"/>
      <c r="E1" s="1657"/>
      <c r="K1" s="2791"/>
      <c r="L1" s="1658" t="s">
        <v>31524</v>
      </c>
    </row>
    <row r="2" spans="1:12" ht="70.349999999999994" customHeight="1" thickBot="1">
      <c r="A2" s="1990" t="s">
        <v>25449</v>
      </c>
      <c r="B2" s="1991" t="s">
        <v>25450</v>
      </c>
      <c r="C2" s="1992" t="s">
        <v>22740</v>
      </c>
      <c r="D2" s="2792"/>
      <c r="E2" s="2793" t="s">
        <v>31525</v>
      </c>
      <c r="F2" s="1993" t="s">
        <v>25448</v>
      </c>
      <c r="H2" s="2794"/>
      <c r="I2" s="2013" t="s">
        <v>31526</v>
      </c>
      <c r="K2" s="2795"/>
      <c r="L2" s="2072">
        <f>SUM(L3:L150)</f>
        <v>0</v>
      </c>
    </row>
    <row r="3" spans="1:12" ht="32.1" customHeight="1">
      <c r="A3" s="1951" t="s">
        <v>28876</v>
      </c>
      <c r="B3" s="1952" t="s">
        <v>28877</v>
      </c>
      <c r="C3" s="1953" t="s">
        <v>21</v>
      </c>
      <c r="D3" s="2796"/>
      <c r="E3" s="2797"/>
      <c r="F3" s="1954" t="s">
        <v>28878</v>
      </c>
      <c r="H3" s="2798"/>
      <c r="I3" s="1659"/>
      <c r="K3" s="1660"/>
      <c r="L3" s="1660">
        <f t="shared" ref="L3:L54" si="0">IF(I3="",0,1)</f>
        <v>0</v>
      </c>
    </row>
    <row r="4" spans="1:12" ht="25.35" customHeight="1">
      <c r="A4" s="2053" t="s">
        <v>28879</v>
      </c>
      <c r="B4" s="2161" t="s">
        <v>28880</v>
      </c>
      <c r="C4" s="2162" t="s">
        <v>21</v>
      </c>
      <c r="D4" s="2799"/>
      <c r="E4" s="2800"/>
      <c r="F4" s="2163"/>
      <c r="H4" s="2801"/>
      <c r="I4" s="2036"/>
      <c r="K4" s="1660"/>
      <c r="L4" s="1660">
        <f t="shared" si="0"/>
        <v>0</v>
      </c>
    </row>
    <row r="5" spans="1:12" ht="25.35" customHeight="1">
      <c r="A5" s="2053" t="s">
        <v>28881</v>
      </c>
      <c r="B5" s="2161" t="s">
        <v>28882</v>
      </c>
      <c r="C5" s="2162" t="s">
        <v>21</v>
      </c>
      <c r="D5" s="2796"/>
      <c r="E5" s="2800"/>
      <c r="F5" s="2163"/>
      <c r="H5" s="2801"/>
      <c r="I5" s="2036"/>
      <c r="K5" s="1660"/>
      <c r="L5" s="1660">
        <f t="shared" si="0"/>
        <v>0</v>
      </c>
    </row>
    <row r="6" spans="1:12" ht="25.35" customHeight="1">
      <c r="A6" s="2053" t="s">
        <v>28883</v>
      </c>
      <c r="B6" s="2161" t="s">
        <v>28884</v>
      </c>
      <c r="C6" s="2162" t="s">
        <v>21</v>
      </c>
      <c r="D6" s="2799"/>
      <c r="E6" s="2800"/>
      <c r="F6" s="2163"/>
      <c r="H6" s="2801"/>
      <c r="I6" s="2036"/>
      <c r="K6" s="1660"/>
      <c r="L6" s="1660">
        <f t="shared" si="0"/>
        <v>0</v>
      </c>
    </row>
    <row r="7" spans="1:12" ht="25.35" customHeight="1">
      <c r="A7" s="2053" t="s">
        <v>28885</v>
      </c>
      <c r="B7" s="2161" t="s">
        <v>28886</v>
      </c>
      <c r="C7" s="2162" t="s">
        <v>21</v>
      </c>
      <c r="D7" s="2796"/>
      <c r="E7" s="2800"/>
      <c r="F7" s="2163" t="s">
        <v>28878</v>
      </c>
      <c r="H7" s="2801"/>
      <c r="I7" s="2036"/>
      <c r="K7" s="1660"/>
      <c r="L7" s="1660">
        <f t="shared" si="0"/>
        <v>0</v>
      </c>
    </row>
    <row r="8" spans="1:12" ht="30" customHeight="1">
      <c r="A8" s="2053" t="s">
        <v>28887</v>
      </c>
      <c r="B8" s="2164" t="s">
        <v>28888</v>
      </c>
      <c r="C8" s="2165" t="s">
        <v>28889</v>
      </c>
      <c r="D8" s="2802"/>
      <c r="E8" s="2803"/>
      <c r="F8" s="2076"/>
      <c r="H8" s="2801"/>
      <c r="I8" s="1980" t="str">
        <f>IF(E$7="X",IF(E8&lt;=0,"Il valore deve essere maggiore di zero",""),IF(E8&lt;&gt;0,"Non risulta gestita la distribuzione",""))</f>
        <v/>
      </c>
      <c r="K8" s="1660"/>
      <c r="L8" s="1660">
        <f t="shared" si="0"/>
        <v>0</v>
      </c>
    </row>
    <row r="9" spans="1:12" ht="30" customHeight="1">
      <c r="A9" s="2053" t="s">
        <v>28890</v>
      </c>
      <c r="B9" s="2164" t="s">
        <v>28891</v>
      </c>
      <c r="C9" s="2165" t="s">
        <v>28889</v>
      </c>
      <c r="D9" s="2804"/>
      <c r="E9" s="2803"/>
      <c r="F9" s="2076"/>
      <c r="H9" s="2801"/>
      <c r="I9" s="1980" t="str">
        <f>IF(E9&lt;0,"Il valore deve essere maggiore o uguale a zero","")</f>
        <v/>
      </c>
      <c r="K9" s="1660"/>
      <c r="L9" s="1660">
        <f t="shared" si="0"/>
        <v>0</v>
      </c>
    </row>
    <row r="10" spans="1:12" ht="30" customHeight="1">
      <c r="A10" s="2062" t="s">
        <v>28892</v>
      </c>
      <c r="B10" s="2166" t="s">
        <v>28893</v>
      </c>
      <c r="C10" s="2167" t="s">
        <v>28894</v>
      </c>
      <c r="D10" s="2802"/>
      <c r="E10" s="2803"/>
      <c r="F10" s="2076"/>
      <c r="H10" s="2801"/>
      <c r="I10" s="1980" t="str">
        <f>IF(E$7="X",IF(E10&lt;=0,"Il valore deve essere maggiore di zero",""),IF(E10&lt;&gt;0,"Non risulta gestita la distribuzione",""))</f>
        <v/>
      </c>
      <c r="K10" s="1660"/>
      <c r="L10" s="1660">
        <f t="shared" si="0"/>
        <v>0</v>
      </c>
    </row>
    <row r="11" spans="1:12" ht="30" customHeight="1">
      <c r="A11" s="2062" t="s">
        <v>28895</v>
      </c>
      <c r="B11" s="2166" t="s">
        <v>28896</v>
      </c>
      <c r="C11" s="2167" t="s">
        <v>28897</v>
      </c>
      <c r="D11" s="2804"/>
      <c r="E11" s="2803"/>
      <c r="F11" s="2076"/>
      <c r="H11" s="2801"/>
      <c r="I11" s="1980" t="str">
        <f>IF(E$7="X",IF(E11&lt;=0,"Il valore deve essere maggiore di zero",""),IF(E11&lt;&gt;0,"Non risulta gestita la distribuzione",""))</f>
        <v/>
      </c>
      <c r="K11" s="1660"/>
      <c r="L11" s="1660">
        <f t="shared" si="0"/>
        <v>0</v>
      </c>
    </row>
    <row r="12" spans="1:12" s="580" customFormat="1" ht="35.25" customHeight="1">
      <c r="A12" s="1979" t="s">
        <v>28898</v>
      </c>
      <c r="B12" s="2168" t="s">
        <v>28899</v>
      </c>
      <c r="C12" s="2169" t="s">
        <v>25454</v>
      </c>
      <c r="D12" s="2802"/>
      <c r="E12" s="2803"/>
      <c r="F12" s="2163" t="s">
        <v>28900</v>
      </c>
      <c r="G12" s="810"/>
      <c r="H12" s="2801"/>
      <c r="I12" s="1980" t="str">
        <f>IF(E12&lt;0,"Il valore deve essere maggiore o uguale a zero","")</f>
        <v/>
      </c>
      <c r="J12" s="810"/>
      <c r="K12" s="1660"/>
      <c r="L12" s="1660">
        <f t="shared" si="0"/>
        <v>0</v>
      </c>
    </row>
    <row r="13" spans="1:12" s="580" customFormat="1" ht="55.5" customHeight="1" thickBot="1">
      <c r="A13" s="2039" t="s">
        <v>28901</v>
      </c>
      <c r="B13" s="2170" t="s">
        <v>28902</v>
      </c>
      <c r="C13" s="2171" t="s">
        <v>25454</v>
      </c>
      <c r="D13" s="2805"/>
      <c r="E13" s="2172"/>
      <c r="F13" s="1955" t="s">
        <v>31527</v>
      </c>
      <c r="G13" s="810"/>
      <c r="H13" s="2806"/>
      <c r="I13" s="2046" t="str">
        <f>IF(E13&lt;0,"Il valore deve essere maggiore o uguale a zero","")</f>
        <v/>
      </c>
      <c r="J13" s="810"/>
      <c r="K13" s="1660"/>
      <c r="L13" s="1660">
        <f t="shared" si="0"/>
        <v>0</v>
      </c>
    </row>
    <row r="14" spans="1:12" s="580" customFormat="1" ht="10.5" customHeight="1">
      <c r="A14" s="1661"/>
      <c r="B14" s="1662"/>
      <c r="C14" s="1661"/>
      <c r="D14" s="1661"/>
      <c r="E14" s="1661"/>
      <c r="F14" s="1663"/>
      <c r="G14" s="810"/>
      <c r="H14" s="1664"/>
      <c r="I14" s="1664"/>
      <c r="J14" s="810"/>
      <c r="K14" s="1660"/>
      <c r="L14" s="1660">
        <f t="shared" si="0"/>
        <v>0</v>
      </c>
    </row>
    <row r="15" spans="1:12" s="580" customFormat="1" ht="18" thickBot="1">
      <c r="A15" s="2807" t="s">
        <v>31528</v>
      </c>
      <c r="B15" s="1662"/>
      <c r="C15" s="1661"/>
      <c r="D15" s="1661"/>
      <c r="E15" s="1661"/>
      <c r="F15" s="1663"/>
      <c r="G15" s="810"/>
      <c r="H15" s="1664"/>
      <c r="I15" s="1664"/>
      <c r="J15" s="810"/>
      <c r="K15" s="1660"/>
      <c r="L15" s="1660">
        <f t="shared" si="0"/>
        <v>0</v>
      </c>
    </row>
    <row r="16" spans="1:12" s="580" customFormat="1" ht="35.25" customHeight="1">
      <c r="A16" s="1666" t="s">
        <v>29991</v>
      </c>
      <c r="B16" s="1667" t="s">
        <v>28903</v>
      </c>
      <c r="C16" s="1687" t="s">
        <v>28904</v>
      </c>
      <c r="D16" s="2808"/>
      <c r="E16" s="2173"/>
      <c r="F16" s="1668" t="s">
        <v>28905</v>
      </c>
      <c r="G16" s="810"/>
      <c r="H16" s="2798"/>
      <c r="I16" s="1669" t="str">
        <f>IF(E$3="SI",IF(E16&lt;=0,"Il valore deve essere maggiore di zero",""),IF(E16&lt;&gt;0,"Non risulta gestito il servizio di acquedotto",""))</f>
        <v/>
      </c>
      <c r="J16" s="810"/>
      <c r="K16" s="1660"/>
      <c r="L16" s="1660">
        <f t="shared" si="0"/>
        <v>0</v>
      </c>
    </row>
    <row r="17" spans="1:14" s="580" customFormat="1" ht="30" customHeight="1">
      <c r="A17" s="1981" t="s">
        <v>29992</v>
      </c>
      <c r="B17" s="2174" t="s">
        <v>28906</v>
      </c>
      <c r="C17" s="1956" t="s">
        <v>28904</v>
      </c>
      <c r="D17" s="2809"/>
      <c r="E17" s="2175"/>
      <c r="F17" s="1957"/>
      <c r="G17" s="810"/>
      <c r="H17" s="2801"/>
      <c r="I17" s="1980" t="str">
        <f>IF(OR(E17&lt;0,E17&gt;E16),"Il valore deve essere maggiore o uguale a zero e minore o uguale a WPtot","")</f>
        <v/>
      </c>
      <c r="J17" s="810"/>
      <c r="K17" s="1660"/>
      <c r="L17" s="1660">
        <f t="shared" si="0"/>
        <v>0</v>
      </c>
    </row>
    <row r="18" spans="1:14" s="580" customFormat="1" ht="30" customHeight="1">
      <c r="A18" s="2176" t="s">
        <v>28907</v>
      </c>
      <c r="B18" s="2177" t="s">
        <v>28908</v>
      </c>
      <c r="C18" s="1958" t="s">
        <v>30</v>
      </c>
      <c r="D18" s="2810"/>
      <c r="E18" s="2178" t="str">
        <f t="shared" ref="E18" si="1">IF(AND(E16&gt;0,E17&gt;=0,E17&lt;=E16),E17/E16,"")</f>
        <v/>
      </c>
      <c r="F18" s="1957" t="s">
        <v>28909</v>
      </c>
      <c r="G18" s="810"/>
      <c r="H18" s="2801"/>
      <c r="I18" s="1980" t="str">
        <f>IF(AND(E$3="SI",E18=""),"Indicatore non calcolabile","")</f>
        <v/>
      </c>
      <c r="J18" s="810"/>
      <c r="K18" s="1660"/>
      <c r="L18" s="1660">
        <f t="shared" si="0"/>
        <v>0</v>
      </c>
    </row>
    <row r="19" spans="1:14" s="580" customFormat="1" ht="51">
      <c r="A19" s="1981" t="s">
        <v>29993</v>
      </c>
      <c r="B19" s="2174" t="s">
        <v>28910</v>
      </c>
      <c r="C19" s="1956" t="s">
        <v>28904</v>
      </c>
      <c r="D19" s="2809"/>
      <c r="E19" s="2175"/>
      <c r="F19" s="1957" t="s">
        <v>28911</v>
      </c>
      <c r="G19" s="810"/>
      <c r="H19" s="2801"/>
      <c r="I19" s="1980" t="str">
        <f>IF(AND(E$3="SI",E19&lt;0),"Il valore deve essere maggiore o uguale a zero","")</f>
        <v/>
      </c>
      <c r="J19" s="810"/>
      <c r="K19" s="1660"/>
      <c r="L19" s="1660">
        <f t="shared" si="0"/>
        <v>0</v>
      </c>
    </row>
    <row r="20" spans="1:14" s="580" customFormat="1" ht="30" customHeight="1">
      <c r="A20" s="1981" t="s">
        <v>29994</v>
      </c>
      <c r="B20" s="2174" t="s">
        <v>28912</v>
      </c>
      <c r="C20" s="1956" t="s">
        <v>28904</v>
      </c>
      <c r="D20" s="2811"/>
      <c r="E20" s="2179"/>
      <c r="F20" s="1957"/>
      <c r="G20" s="810"/>
      <c r="H20" s="2801"/>
      <c r="I20" s="1980" t="str">
        <f>IF(OR(E20&lt;0,E20&gt;E19),"Il valore deve essere maggiore o uguale a zero e minore o uguale a WUtot","")</f>
        <v/>
      </c>
      <c r="J20" s="810"/>
      <c r="K20" s="1660"/>
      <c r="L20" s="1660">
        <f t="shared" si="0"/>
        <v>0</v>
      </c>
    </row>
    <row r="21" spans="1:14" s="580" customFormat="1" ht="30" customHeight="1">
      <c r="A21" s="2176" t="s">
        <v>28913</v>
      </c>
      <c r="B21" s="2177" t="s">
        <v>28914</v>
      </c>
      <c r="C21" s="1958" t="s">
        <v>30</v>
      </c>
      <c r="D21" s="2810"/>
      <c r="E21" s="2178" t="str">
        <f t="shared" ref="E21" si="2">IF(AND(E19&gt;0,E20&gt;=0,E20&lt;=E19),E20/E19,"")</f>
        <v/>
      </c>
      <c r="F21" s="1957" t="s">
        <v>28909</v>
      </c>
      <c r="G21" s="810"/>
      <c r="H21" s="2801"/>
      <c r="I21" s="1980" t="str">
        <f>IF(AND(E$3="SI",E21=""),"Indicatore non calcolabile","")</f>
        <v/>
      </c>
      <c r="J21" s="810"/>
      <c r="K21" s="1660"/>
      <c r="L21" s="1660">
        <f t="shared" si="0"/>
        <v>0</v>
      </c>
    </row>
    <row r="22" spans="1:14" s="580" customFormat="1" ht="45">
      <c r="A22" s="2180" t="s">
        <v>26493</v>
      </c>
      <c r="B22" s="2181" t="s">
        <v>28915</v>
      </c>
      <c r="C22" s="2812" t="s">
        <v>21</v>
      </c>
      <c r="D22" s="2810"/>
      <c r="E22" s="2178" t="str">
        <f>IF(AND(E3="SI",E18="",E21=""),"",IF(AND(E3="SI",E18&gt;=0.7,E21=""),"SI",IF(E3="SI",IF(OR(E18&lt;0.7,E21&lt;0.9),"NO","SI"),"")))</f>
        <v/>
      </c>
      <c r="F22" s="2813" t="s">
        <v>28916</v>
      </c>
      <c r="G22" s="810"/>
      <c r="H22" s="2801"/>
      <c r="I22" s="1980" t="str">
        <f>IF(AND(E$3="SI",OR(E22="NO",E22="")),"Attenzione, prerequisito mancante","")</f>
        <v/>
      </c>
      <c r="J22" s="810"/>
      <c r="K22" s="1660"/>
      <c r="L22" s="1660">
        <f t="shared" si="0"/>
        <v>0</v>
      </c>
    </row>
    <row r="23" spans="1:14" s="580" customFormat="1" ht="45">
      <c r="A23" s="2180" t="s">
        <v>28917</v>
      </c>
      <c r="B23" s="1959" t="s">
        <v>28918</v>
      </c>
      <c r="C23" s="1958" t="s">
        <v>21</v>
      </c>
      <c r="D23" s="2814"/>
      <c r="E23" s="2182"/>
      <c r="F23" s="2813" t="s">
        <v>31529</v>
      </c>
      <c r="G23" s="810"/>
      <c r="H23" s="2801"/>
      <c r="I23" s="1980" t="str">
        <f>IF(AND(E$3="SI",OR(E23="Non adeguato",E23="")),"Attenzione, prerequisito mancante","")</f>
        <v/>
      </c>
      <c r="J23" s="810"/>
      <c r="K23" s="1660"/>
      <c r="L23" s="1660">
        <f t="shared" si="0"/>
        <v>0</v>
      </c>
    </row>
    <row r="24" spans="1:14" s="580" customFormat="1" ht="37.5" customHeight="1">
      <c r="A24" s="2815" t="s">
        <v>31530</v>
      </c>
      <c r="B24" s="2816" t="s">
        <v>31531</v>
      </c>
      <c r="C24" s="2817" t="s">
        <v>21</v>
      </c>
      <c r="D24" s="2818"/>
      <c r="E24" s="2819"/>
      <c r="F24" s="2293" t="s">
        <v>31532</v>
      </c>
      <c r="G24" s="810"/>
      <c r="H24" s="2820"/>
      <c r="I24" s="2292" t="str">
        <f>IF(E24="SI","Prestare attenzione alla confrontabilità con il macro-indicatore dell'anno base","")</f>
        <v/>
      </c>
      <c r="J24" s="810"/>
      <c r="K24" s="1660"/>
      <c r="L24" s="1660">
        <f t="shared" si="0"/>
        <v>0</v>
      </c>
      <c r="M24"/>
      <c r="N24"/>
    </row>
    <row r="25" spans="1:14" s="580" customFormat="1" ht="45" customHeight="1" thickBot="1">
      <c r="A25" s="2183" t="s">
        <v>28919</v>
      </c>
      <c r="B25" s="1986" t="s">
        <v>28920</v>
      </c>
      <c r="C25" s="1983" t="s">
        <v>21</v>
      </c>
      <c r="D25" s="2821"/>
      <c r="E25" s="1982"/>
      <c r="F25" s="1977" t="s">
        <v>31533</v>
      </c>
      <c r="G25" s="810"/>
      <c r="H25" s="2822"/>
      <c r="I25" s="1976"/>
      <c r="J25" s="810"/>
      <c r="K25" s="1660"/>
      <c r="L25" s="1660">
        <f t="shared" si="0"/>
        <v>0</v>
      </c>
    </row>
    <row r="26" spans="1:14" ht="10.5" customHeight="1">
      <c r="A26" s="1670"/>
      <c r="B26" s="1670"/>
      <c r="C26" s="1670"/>
      <c r="D26" s="1670"/>
      <c r="E26" s="1670"/>
      <c r="F26" s="1670"/>
      <c r="G26" s="1670"/>
      <c r="H26" s="1670"/>
      <c r="I26" s="1670"/>
      <c r="J26" s="1670"/>
      <c r="K26" s="1660"/>
      <c r="L26" s="1660">
        <f t="shared" si="0"/>
        <v>0</v>
      </c>
    </row>
    <row r="27" spans="1:14" s="580" customFormat="1" ht="18" thickBot="1">
      <c r="A27" s="1665" t="s">
        <v>28921</v>
      </c>
      <c r="B27" s="1662"/>
      <c r="C27" s="1661"/>
      <c r="D27" s="1661"/>
      <c r="E27" s="1661"/>
      <c r="F27" s="1663"/>
      <c r="G27" s="1663"/>
      <c r="H27" s="1663"/>
      <c r="I27" s="1663"/>
      <c r="J27" s="810"/>
      <c r="K27" s="1660"/>
      <c r="L27" s="1660">
        <f t="shared" si="0"/>
        <v>0</v>
      </c>
    </row>
    <row r="28" spans="1:14" s="565" customFormat="1" ht="45.6" customHeight="1">
      <c r="A28" s="1671" t="s">
        <v>28922</v>
      </c>
      <c r="B28" s="1672" t="s">
        <v>28923</v>
      </c>
      <c r="C28" s="1673" t="s">
        <v>28904</v>
      </c>
      <c r="D28" s="2823"/>
      <c r="E28" s="1509"/>
      <c r="F28" s="1668" t="s">
        <v>28924</v>
      </c>
      <c r="G28" s="1619"/>
      <c r="H28" s="2798"/>
      <c r="I28" s="1669" t="str">
        <f>IF(E3="SI",IF(OR(E28&lt;=0,E28=""),"Il valore deve essere maggiore di zero",""),IF(E28&lt;&gt;0,"Non risulta gestito il servizio di acquedotto",""))</f>
        <v/>
      </c>
      <c r="J28" s="1619"/>
      <c r="K28" s="1660"/>
      <c r="L28" s="1660">
        <f t="shared" si="0"/>
        <v>0</v>
      </c>
    </row>
    <row r="29" spans="1:14" s="565" customFormat="1" ht="43.35" customHeight="1">
      <c r="A29" s="1978" t="s">
        <v>28925</v>
      </c>
      <c r="B29" s="2184" t="s">
        <v>28926</v>
      </c>
      <c r="C29" s="2824" t="s">
        <v>28904</v>
      </c>
      <c r="D29" s="2825"/>
      <c r="E29" s="1984"/>
      <c r="F29" s="1957" t="s">
        <v>28927</v>
      </c>
      <c r="G29" s="1619"/>
      <c r="H29" s="3714"/>
      <c r="I29" s="3715" t="str">
        <f>IF(AND(E3="SI",OR(E29&lt;0,E30&lt;0,E29+E30&lt;&gt;E28)),"Ogni di cui deve essere maggiore o uguale a zero e la somma deve essere pari a ∑WIN","")</f>
        <v/>
      </c>
      <c r="J29" s="1619"/>
      <c r="K29" s="1660"/>
      <c r="L29" s="1660">
        <f t="shared" si="0"/>
        <v>0</v>
      </c>
    </row>
    <row r="30" spans="1:14" s="565" customFormat="1" ht="30.75" customHeight="1">
      <c r="A30" s="1978" t="s">
        <v>28928</v>
      </c>
      <c r="B30" s="2184" t="s">
        <v>28929</v>
      </c>
      <c r="C30" s="2824" t="s">
        <v>28904</v>
      </c>
      <c r="D30" s="2825"/>
      <c r="E30" s="1984"/>
      <c r="F30" s="1957" t="s">
        <v>28930</v>
      </c>
      <c r="G30" s="1619"/>
      <c r="H30" s="3714"/>
      <c r="I30" s="3715"/>
      <c r="J30" s="1619"/>
      <c r="K30" s="1660"/>
      <c r="L30" s="1660">
        <f t="shared" si="0"/>
        <v>0</v>
      </c>
    </row>
    <row r="31" spans="1:14" s="565" customFormat="1" ht="63.75">
      <c r="A31" s="2185" t="s">
        <v>28931</v>
      </c>
      <c r="B31" s="2164" t="s">
        <v>28932</v>
      </c>
      <c r="C31" s="2824" t="s">
        <v>28904</v>
      </c>
      <c r="D31" s="2825"/>
      <c r="E31" s="1984"/>
      <c r="F31" s="2826" t="s">
        <v>28933</v>
      </c>
      <c r="G31" s="1619"/>
      <c r="H31" s="2801"/>
      <c r="I31" s="1980" t="str">
        <f>IF(E3="SI",IF(OR(E31&lt;=0,E31&gt;=E28),"Il valore deve essere maggiore di zero e inferiore a ∑W_IN",""),IF(E31&lt;&gt;0,"Non risulta gestito il servizio di acquedotto",""))</f>
        <v/>
      </c>
      <c r="J31" s="1619"/>
      <c r="K31" s="1660"/>
      <c r="L31" s="1660">
        <f t="shared" si="0"/>
        <v>0</v>
      </c>
    </row>
    <row r="32" spans="1:14" ht="45" customHeight="1">
      <c r="A32" s="1979" t="s">
        <v>28934</v>
      </c>
      <c r="B32" s="2186" t="s">
        <v>28935</v>
      </c>
      <c r="C32" s="2824" t="s">
        <v>28904</v>
      </c>
      <c r="D32" s="2825"/>
      <c r="E32" s="1984"/>
      <c r="F32" s="2813" t="s">
        <v>28936</v>
      </c>
      <c r="H32" s="2801"/>
      <c r="I32" s="1980" t="str">
        <f>IF(OR(E32&lt;0,E32&gt;E31),"Il valore deve essere maggiore o uguale a zero e inferiore o uguale a ∑W_OUT","")</f>
        <v/>
      </c>
      <c r="K32" s="1660"/>
      <c r="L32" s="1660">
        <f t="shared" si="0"/>
        <v>0</v>
      </c>
    </row>
    <row r="33" spans="1:15" ht="43.5" customHeight="1">
      <c r="A33" s="2053" t="s">
        <v>28937</v>
      </c>
      <c r="B33" s="2184" t="s">
        <v>28938</v>
      </c>
      <c r="C33" s="2824" t="s">
        <v>28904</v>
      </c>
      <c r="D33" s="2825"/>
      <c r="E33" s="1984"/>
      <c r="F33" s="1957" t="s">
        <v>28939</v>
      </c>
      <c r="H33" s="2801"/>
      <c r="I33" s="1980" t="str">
        <f>IF(OR(E33&lt;0,E33&gt;E31),"Il valore deve essere maggiore o uguale a zero e inferiore o uguale a ∑W_OUT","")</f>
        <v/>
      </c>
      <c r="K33" s="1660"/>
      <c r="L33" s="1660">
        <f t="shared" si="0"/>
        <v>0</v>
      </c>
    </row>
    <row r="34" spans="1:15" s="580" customFormat="1" ht="32.1" customHeight="1">
      <c r="A34" s="2053" t="s">
        <v>28940</v>
      </c>
      <c r="B34" s="1674" t="s">
        <v>28941</v>
      </c>
      <c r="C34" s="2824" t="s">
        <v>28904</v>
      </c>
      <c r="D34" s="2827"/>
      <c r="E34" s="2080">
        <f>IF((E28-E31)&gt;=0,E28-E31,"")</f>
        <v>0</v>
      </c>
      <c r="F34" s="1957"/>
      <c r="G34" s="810"/>
      <c r="H34" s="2828"/>
      <c r="I34" s="2075"/>
      <c r="J34" s="810"/>
      <c r="K34" s="1660"/>
      <c r="L34" s="1660">
        <f t="shared" si="0"/>
        <v>0</v>
      </c>
    </row>
    <row r="35" spans="1:15" s="580" customFormat="1" ht="25.35" customHeight="1">
      <c r="A35" s="1981" t="s">
        <v>28942</v>
      </c>
      <c r="B35" s="2187" t="s">
        <v>28943</v>
      </c>
      <c r="C35" s="2824" t="s">
        <v>28904</v>
      </c>
      <c r="D35" s="2825"/>
      <c r="E35" s="1984"/>
      <c r="F35" s="1957"/>
      <c r="G35" s="810"/>
      <c r="H35" s="3710"/>
      <c r="I35" s="3711" t="str">
        <f>IF(OR(E35&lt;0,E36&lt;0,E37&lt;0,E38&lt;0,E35+E36+E37+E38&lt;&gt;E34),"Ogni di cui deve essere maggiore o uguale a zero e la somma deve essere pari a WL_TOT","")</f>
        <v/>
      </c>
      <c r="J35" s="810"/>
      <c r="K35" s="1660"/>
      <c r="L35" s="1660">
        <f t="shared" si="0"/>
        <v>0</v>
      </c>
    </row>
    <row r="36" spans="1:15" ht="25.35" customHeight="1">
      <c r="A36" s="1979" t="s">
        <v>28944</v>
      </c>
      <c r="B36" s="2187" t="s">
        <v>28945</v>
      </c>
      <c r="C36" s="2824" t="s">
        <v>28904</v>
      </c>
      <c r="D36" s="2825"/>
      <c r="E36" s="1984"/>
      <c r="F36" s="2813" t="s">
        <v>28946</v>
      </c>
      <c r="H36" s="3710"/>
      <c r="I36" s="3711"/>
      <c r="K36" s="1660"/>
      <c r="L36" s="1660">
        <f t="shared" si="0"/>
        <v>0</v>
      </c>
    </row>
    <row r="37" spans="1:15" ht="25.35" customHeight="1">
      <c r="A37" s="1981" t="s">
        <v>28947</v>
      </c>
      <c r="B37" s="2187" t="s">
        <v>28948</v>
      </c>
      <c r="C37" s="2824" t="s">
        <v>28904</v>
      </c>
      <c r="D37" s="2825"/>
      <c r="E37" s="1984"/>
      <c r="F37" s="2813" t="s">
        <v>28949</v>
      </c>
      <c r="H37" s="3710"/>
      <c r="I37" s="3711"/>
      <c r="K37" s="1660"/>
      <c r="L37" s="1660">
        <f t="shared" si="0"/>
        <v>0</v>
      </c>
    </row>
    <row r="38" spans="1:15" ht="25.35" customHeight="1">
      <c r="A38" s="1979" t="s">
        <v>28950</v>
      </c>
      <c r="B38" s="2188" t="s">
        <v>28951</v>
      </c>
      <c r="C38" s="2824" t="s">
        <v>28904</v>
      </c>
      <c r="D38" s="2825"/>
      <c r="E38" s="1984"/>
      <c r="F38" s="2813"/>
      <c r="H38" s="3710"/>
      <c r="I38" s="3711"/>
      <c r="K38" s="1660"/>
      <c r="L38" s="1660">
        <f t="shared" si="0"/>
        <v>0</v>
      </c>
    </row>
    <row r="39" spans="1:15" ht="32.1" customHeight="1">
      <c r="A39" s="1979" t="s">
        <v>28952</v>
      </c>
      <c r="B39" s="2189" t="s">
        <v>28953</v>
      </c>
      <c r="C39" s="2824" t="s">
        <v>28904</v>
      </c>
      <c r="D39" s="2825"/>
      <c r="E39" s="1984"/>
      <c r="F39" s="2813" t="s">
        <v>28954</v>
      </c>
      <c r="H39" s="2801"/>
      <c r="I39" s="1980" t="str">
        <f>IF(E7="X",IF(OR(E39&lt;=0,E39&gt;E28),"Il valore deve essere maggiore di zero e minore o uguale a ∑W_IN",""),IF(E39&lt;&gt;0,"Non risulta gestita la distribuzione",""))</f>
        <v/>
      </c>
      <c r="K39" s="1660"/>
      <c r="L39" s="1660">
        <f t="shared" si="0"/>
        <v>0</v>
      </c>
    </row>
    <row r="40" spans="1:15" ht="30" customHeight="1">
      <c r="A40" s="1979" t="s">
        <v>28955</v>
      </c>
      <c r="B40" s="2184" t="s">
        <v>28956</v>
      </c>
      <c r="C40" s="2824" t="s">
        <v>28904</v>
      </c>
      <c r="D40" s="2825"/>
      <c r="E40" s="1984"/>
      <c r="F40" s="2813" t="s">
        <v>28957</v>
      </c>
      <c r="H40" s="2801"/>
      <c r="I40" s="1980" t="str">
        <f>IF(E7="X",IF(OR(E40&lt;=0,E40&gt;=E39),"Il valore deve essere maggiore di zero e minore di WD5",""),IF(E40&lt;&gt;0,"Non risulta gestita la distribuzione",""))</f>
        <v/>
      </c>
      <c r="K40" s="1660"/>
      <c r="L40" s="1660">
        <f t="shared" si="0"/>
        <v>0</v>
      </c>
    </row>
    <row r="41" spans="1:15" s="580" customFormat="1" ht="30" customHeight="1">
      <c r="A41" s="1979" t="s">
        <v>28958</v>
      </c>
      <c r="B41" s="2184" t="s">
        <v>28959</v>
      </c>
      <c r="C41" s="2824" t="s">
        <v>28904</v>
      </c>
      <c r="D41" s="2830"/>
      <c r="E41" s="2037">
        <f t="shared" ref="E41" si="3">E39-E40</f>
        <v>0</v>
      </c>
      <c r="F41" s="2813" t="s">
        <v>28960</v>
      </c>
      <c r="G41" s="810"/>
      <c r="H41" s="2801"/>
      <c r="I41" s="1980" t="str">
        <f>IF(E41&lt;E38,"Il valore deve essere maggiore o uguale a WLD","")</f>
        <v/>
      </c>
      <c r="J41" s="810"/>
      <c r="K41" s="1660"/>
      <c r="L41" s="1660">
        <f t="shared" si="0"/>
        <v>0</v>
      </c>
    </row>
    <row r="42" spans="1:15" ht="32.1" customHeight="1">
      <c r="A42" s="1979" t="s">
        <v>28961</v>
      </c>
      <c r="B42" s="2164" t="s">
        <v>28962</v>
      </c>
      <c r="C42" s="2824" t="s">
        <v>24</v>
      </c>
      <c r="D42" s="2825"/>
      <c r="E42" s="1984"/>
      <c r="F42" s="2813"/>
      <c r="H42" s="2801"/>
      <c r="I42" s="1980" t="str">
        <f>IF(E3="SI",IF(OR(E42&lt;=0,E42=""),"Il valore deve essere maggiore di zero",""),IF(E42&lt;&gt;0,"Non risulta gestito il servizio di acquedotto",""))</f>
        <v/>
      </c>
      <c r="K42" s="1660"/>
      <c r="L42" s="1660">
        <f t="shared" si="0"/>
        <v>0</v>
      </c>
    </row>
    <row r="43" spans="1:15" ht="21.95" customHeight="1">
      <c r="A43" s="1979" t="s">
        <v>28963</v>
      </c>
      <c r="B43" s="2188" t="s">
        <v>28964</v>
      </c>
      <c r="C43" s="2824" t="s">
        <v>24</v>
      </c>
      <c r="D43" s="2825"/>
      <c r="E43" s="1984"/>
      <c r="F43" s="2813"/>
      <c r="H43" s="3710"/>
      <c r="I43" s="3711" t="str">
        <f>IF(AND(E3="SI",OR(E43&lt;0,E44&lt;0,E44+E43&lt;&gt;E42)),"Ogni di cui deve essere maggiore o uguale a zero e la somma deve essere pari a Lp","")</f>
        <v/>
      </c>
      <c r="K43" s="1660"/>
      <c r="L43" s="1660">
        <f t="shared" si="0"/>
        <v>0</v>
      </c>
    </row>
    <row r="44" spans="1:15" ht="26.25" customHeight="1">
      <c r="A44" s="1981" t="s">
        <v>28965</v>
      </c>
      <c r="B44" s="2187" t="s">
        <v>28966</v>
      </c>
      <c r="C44" s="2824" t="s">
        <v>24</v>
      </c>
      <c r="D44" s="2825"/>
      <c r="E44" s="1984"/>
      <c r="F44" s="2813"/>
      <c r="H44" s="3710"/>
      <c r="I44" s="3711"/>
      <c r="K44" s="1660"/>
      <c r="L44" s="1660">
        <f t="shared" si="0"/>
        <v>0</v>
      </c>
    </row>
    <row r="45" spans="1:15" s="580" customFormat="1" ht="30" customHeight="1">
      <c r="A45" s="2831" t="s">
        <v>25451</v>
      </c>
      <c r="B45" s="2832" t="s">
        <v>28967</v>
      </c>
      <c r="C45" s="2833" t="s">
        <v>28968</v>
      </c>
      <c r="D45" s="2834"/>
      <c r="E45" s="2835" t="str">
        <f>IF(AND(E42&gt;0,E34&gt;0,E24&lt;&gt;"SI"),E34/(365*(E42+0.22*E44)),IF(AND(E42&gt;0,E34&gt;0,E24="SI",'QT-Altri dati'!E67&gt;0),E34/(365*(E42+'QT-Altri dati'!E67)),""))</f>
        <v/>
      </c>
      <c r="F45" s="2836" t="s">
        <v>31534</v>
      </c>
      <c r="G45" s="810"/>
      <c r="H45" s="2801"/>
      <c r="I45" s="1980" t="str">
        <f>IF(AND(E$3="SI",E45=""),"Indicatore non calcolabile","")</f>
        <v/>
      </c>
      <c r="J45" s="810"/>
      <c r="K45" s="1660"/>
      <c r="L45" s="1660">
        <f t="shared" si="0"/>
        <v>0</v>
      </c>
      <c r="M45"/>
      <c r="N45"/>
      <c r="O45"/>
    </row>
    <row r="46" spans="1:15" s="580" customFormat="1" ht="30" customHeight="1">
      <c r="A46" s="2176" t="s">
        <v>28970</v>
      </c>
      <c r="B46" s="2177" t="s">
        <v>28971</v>
      </c>
      <c r="C46" s="2837" t="s">
        <v>30</v>
      </c>
      <c r="D46" s="2838"/>
      <c r="E46" s="2190" t="str">
        <f>IF(AND(E28&gt;0,E34&gt;0,E34&lt;=E28),E34/E28,"")</f>
        <v/>
      </c>
      <c r="F46" s="2813" t="s">
        <v>28969</v>
      </c>
      <c r="G46" s="810"/>
      <c r="H46" s="2801"/>
      <c r="I46" s="1980" t="str">
        <f>IF(AND(E$3="SI",E46=""),"Indicatore non calcolabile","")</f>
        <v/>
      </c>
      <c r="J46" s="810"/>
      <c r="K46" s="1660"/>
      <c r="L46" s="1660">
        <f t="shared" si="0"/>
        <v>0</v>
      </c>
    </row>
    <row r="47" spans="1:15" s="580" customFormat="1" ht="42.75" customHeight="1">
      <c r="A47" s="2176" t="s">
        <v>28972</v>
      </c>
      <c r="B47" s="2177" t="s">
        <v>28973</v>
      </c>
      <c r="C47" s="2837" t="s">
        <v>21</v>
      </c>
      <c r="D47" s="2839"/>
      <c r="E47" s="2081" t="str">
        <f>IF(OR(E45="",E46=""),"",IF(AND(E45&lt;12,E46&lt;0.2),"A",IF(AND(E45&lt;20,E46&lt;0.35),"B",IF(AND(E45&lt;35,E46&lt;0.45),"C",IF(AND(E45&lt;55,E46&lt;0.55),"D","E")))))</f>
        <v/>
      </c>
      <c r="F47" s="2813" t="s">
        <v>30704</v>
      </c>
      <c r="G47" s="810"/>
      <c r="H47" s="2840"/>
      <c r="I47" s="2052"/>
      <c r="J47" s="810"/>
      <c r="K47" s="1660"/>
      <c r="L47" s="1660">
        <f t="shared" si="0"/>
        <v>0</v>
      </c>
    </row>
    <row r="48" spans="1:15" s="580" customFormat="1" ht="30" customHeight="1">
      <c r="A48" s="2176" t="s">
        <v>28974</v>
      </c>
      <c r="B48" s="2177" t="s">
        <v>28975</v>
      </c>
      <c r="C48" s="2837" t="s">
        <v>21</v>
      </c>
      <c r="D48" s="2839"/>
      <c r="E48" s="2081" t="str">
        <f>IF(E47="A","Mantenimento",IF(E47="B","-2% di M1a",IF(E47="C","-4% di M1a",IF(E47="D","-5% di M1a",IF(E47="E","-6% di M1a","")))))</f>
        <v/>
      </c>
      <c r="F48" s="2826"/>
      <c r="G48" s="810"/>
      <c r="H48" s="2840"/>
      <c r="I48" s="2052"/>
      <c r="J48" s="810"/>
      <c r="K48" s="1660"/>
      <c r="L48" s="1660">
        <f t="shared" si="0"/>
        <v>0</v>
      </c>
    </row>
    <row r="49" spans="1:12" ht="82.9" customHeight="1">
      <c r="A49" s="1981" t="s">
        <v>28976</v>
      </c>
      <c r="B49" s="2192" t="s">
        <v>28977</v>
      </c>
      <c r="C49" s="2824" t="s">
        <v>28904</v>
      </c>
      <c r="D49" s="2825"/>
      <c r="E49" s="1984"/>
      <c r="F49" s="2813" t="s">
        <v>31535</v>
      </c>
      <c r="H49" s="2801"/>
      <c r="I49" s="1980" t="str">
        <f>IF(E3="SI",IF(OR(E49&lt;0,E49&gt;E16),"Il valore deve essere maggiore o uguale a zero e minore o uguale a WPtot",""),IF(E49&lt;&gt;0,"Non risulta gestito il servizio di acquedotto",""))</f>
        <v/>
      </c>
      <c r="K49" s="1660"/>
      <c r="L49" s="1660">
        <f t="shared" si="0"/>
        <v>0</v>
      </c>
    </row>
    <row r="50" spans="1:12" ht="25.35" customHeight="1">
      <c r="A50" s="1981" t="s">
        <v>29995</v>
      </c>
      <c r="B50" s="2187" t="s">
        <v>28978</v>
      </c>
      <c r="C50" s="2824" t="s">
        <v>28904</v>
      </c>
      <c r="D50" s="2825"/>
      <c r="E50" s="1984"/>
      <c r="F50" s="2813" t="s">
        <v>28979</v>
      </c>
      <c r="H50" s="2801"/>
      <c r="I50" s="1980" t="str">
        <f>IF(OR(E50&lt;0,E50&gt;E49),"Il valore deve essere maggiore o uguale a zero e inferiore o uguale a WPem","")</f>
        <v/>
      </c>
      <c r="K50" s="1660"/>
      <c r="L50" s="1660">
        <f t="shared" si="0"/>
        <v>0</v>
      </c>
    </row>
    <row r="51" spans="1:12" ht="82.9" customHeight="1">
      <c r="A51" s="1981" t="s">
        <v>28980</v>
      </c>
      <c r="B51" s="2192" t="s">
        <v>28981</v>
      </c>
      <c r="C51" s="2824" t="s">
        <v>28904</v>
      </c>
      <c r="D51" s="2825"/>
      <c r="E51" s="1984"/>
      <c r="F51" s="2813" t="s">
        <v>31536</v>
      </c>
      <c r="H51" s="2801"/>
      <c r="I51" s="1980" t="str">
        <f>IF(E3="SI",IF(OR(E51&lt;0,E51&gt;E19),"Il valore deve essere maggiore o uguale a zero e minore o uguale a WUtot",""),IF(E51&lt;&gt;0,"Non risulta gestito il servizio di acquedotto",""))</f>
        <v/>
      </c>
      <c r="K51" s="1660"/>
      <c r="L51" s="1660">
        <f t="shared" si="0"/>
        <v>0</v>
      </c>
    </row>
    <row r="52" spans="1:12" ht="25.35" customHeight="1">
      <c r="A52" s="1981" t="s">
        <v>29996</v>
      </c>
      <c r="B52" s="2187" t="s">
        <v>28978</v>
      </c>
      <c r="C52" s="2824" t="s">
        <v>28904</v>
      </c>
      <c r="D52" s="2825"/>
      <c r="E52" s="1984"/>
      <c r="F52" s="2813" t="s">
        <v>28979</v>
      </c>
      <c r="H52" s="2801"/>
      <c r="I52" s="1980" t="str">
        <f>IF(OR(E52&lt;0,E52&gt;E51),"Il valore deve essere maggiore o uguale a zero e inferiore o uguale a WUem","")</f>
        <v/>
      </c>
      <c r="K52" s="1660"/>
      <c r="L52" s="1660">
        <f t="shared" si="0"/>
        <v>0</v>
      </c>
    </row>
    <row r="53" spans="1:12" ht="25.35" customHeight="1" thickBot="1">
      <c r="A53" s="2193" t="s">
        <v>28982</v>
      </c>
      <c r="B53" s="2194" t="s">
        <v>28983</v>
      </c>
      <c r="C53" s="2195" t="s">
        <v>30</v>
      </c>
      <c r="D53" s="2841"/>
      <c r="E53" s="2196"/>
      <c r="F53" s="1977" t="s">
        <v>29997</v>
      </c>
      <c r="H53" s="2842"/>
      <c r="I53" s="2197"/>
      <c r="K53" s="1660"/>
      <c r="L53" s="1660">
        <f t="shared" si="0"/>
        <v>0</v>
      </c>
    </row>
    <row r="54" spans="1:12" s="580" customFormat="1" ht="10.35" customHeight="1">
      <c r="A54" s="1661"/>
      <c r="B54" s="1662"/>
      <c r="C54" s="1661"/>
      <c r="D54" s="1661"/>
      <c r="E54" s="1661"/>
      <c r="F54" s="1663"/>
      <c r="G54" s="1663"/>
      <c r="H54" s="1663"/>
      <c r="I54" s="1663"/>
      <c r="J54" s="810"/>
      <c r="K54" s="1660"/>
      <c r="L54" s="1660">
        <f t="shared" si="0"/>
        <v>0</v>
      </c>
    </row>
    <row r="55" spans="1:12" ht="18" thickBot="1">
      <c r="A55" s="1691" t="s">
        <v>30130</v>
      </c>
    </row>
    <row r="56" spans="1:12" s="580" customFormat="1" ht="44.25" customHeight="1">
      <c r="A56" s="1666" t="s">
        <v>30705</v>
      </c>
      <c r="B56" s="1667" t="s">
        <v>30001</v>
      </c>
      <c r="C56" s="1687" t="s">
        <v>28904</v>
      </c>
      <c r="D56" s="2808"/>
      <c r="E56" s="2173"/>
      <c r="F56" s="1668" t="s">
        <v>30002</v>
      </c>
      <c r="G56" s="810"/>
      <c r="H56" s="2798"/>
      <c r="I56" s="1669" t="str">
        <f>IF(OR(E56&lt;0,E56&gt;E19),"Il valore deve essere maggiore o uguale a zero e minore o uguale a WUtot","")</f>
        <v/>
      </c>
      <c r="J56" s="810"/>
      <c r="K56" s="1660"/>
      <c r="L56" s="1660">
        <f t="shared" ref="L56:L73" si="4">IF(I56="",0,1)</f>
        <v>0</v>
      </c>
    </row>
    <row r="57" spans="1:12" s="580" customFormat="1" ht="51.75" customHeight="1">
      <c r="A57" s="1981" t="s">
        <v>30706</v>
      </c>
      <c r="B57" s="2198" t="s">
        <v>30003</v>
      </c>
      <c r="C57" s="2843" t="s">
        <v>28904</v>
      </c>
      <c r="D57" s="2809"/>
      <c r="E57" s="2175"/>
      <c r="F57" s="2813"/>
      <c r="G57" s="810"/>
      <c r="H57" s="3710"/>
      <c r="I57" s="3711" t="str">
        <f>IF(AND(E3="SI",OR(E57&lt;0,E58&lt;0,E58+E57&lt;&gt;E56)),"Ogni di cui deve essere maggiore o uguale a zero e la somma deve essere pari a WUval","")</f>
        <v/>
      </c>
      <c r="J57" s="810"/>
      <c r="K57" s="1660"/>
      <c r="L57" s="1660">
        <f t="shared" si="4"/>
        <v>0</v>
      </c>
    </row>
    <row r="58" spans="1:12" s="580" customFormat="1" ht="48.75" customHeight="1">
      <c r="A58" s="1981" t="s">
        <v>30707</v>
      </c>
      <c r="B58" s="2198" t="s">
        <v>30004</v>
      </c>
      <c r="C58" s="2843" t="s">
        <v>28904</v>
      </c>
      <c r="D58" s="2809"/>
      <c r="E58" s="2175"/>
      <c r="F58" s="2813"/>
      <c r="G58" s="810"/>
      <c r="H58" s="3710"/>
      <c r="I58" s="3711"/>
      <c r="J58" s="810"/>
      <c r="K58" s="1660"/>
      <c r="L58" s="1660">
        <f t="shared" si="4"/>
        <v>0</v>
      </c>
    </row>
    <row r="59" spans="1:12" s="580" customFormat="1" ht="30" customHeight="1">
      <c r="A59" s="2176" t="s">
        <v>30708</v>
      </c>
      <c r="B59" s="2177" t="s">
        <v>30005</v>
      </c>
      <c r="C59" s="2837" t="s">
        <v>30</v>
      </c>
      <c r="D59" s="2838"/>
      <c r="E59" s="2190" t="str">
        <f>IF(AND(E56&gt;0,E19&gt;0),E56/E19,"")</f>
        <v/>
      </c>
      <c r="F59" s="2813" t="s">
        <v>30006</v>
      </c>
      <c r="G59" s="810"/>
      <c r="H59" s="2801"/>
      <c r="I59" s="2036"/>
      <c r="J59" s="810"/>
      <c r="K59" s="1660"/>
      <c r="L59" s="1660">
        <f t="shared" si="4"/>
        <v>0</v>
      </c>
    </row>
    <row r="60" spans="1:12" s="580" customFormat="1" ht="69" customHeight="1">
      <c r="A60" s="1981" t="s">
        <v>30709</v>
      </c>
      <c r="B60" s="2174" t="s">
        <v>30007</v>
      </c>
      <c r="C60" s="2843" t="s">
        <v>28904</v>
      </c>
      <c r="D60" s="2809"/>
      <c r="E60" s="2175"/>
      <c r="F60" s="2813" t="s">
        <v>30008</v>
      </c>
      <c r="G60" s="810"/>
      <c r="H60" s="2801"/>
      <c r="I60" s="1980" t="str">
        <f>IF(OR(E60&lt;0,E60&gt;E16),"Il valore deve essere maggiore o uguale a zero e minore o uguale a WPtot","")</f>
        <v/>
      </c>
      <c r="J60" s="810"/>
      <c r="K60" s="1660"/>
      <c r="L60" s="1660">
        <f t="shared" si="4"/>
        <v>0</v>
      </c>
    </row>
    <row r="61" spans="1:12" s="580" customFormat="1" ht="30" customHeight="1">
      <c r="A61" s="2176" t="s">
        <v>30710</v>
      </c>
      <c r="B61" s="2177" t="s">
        <v>30009</v>
      </c>
      <c r="C61" s="2837" t="s">
        <v>30</v>
      </c>
      <c r="D61" s="2838"/>
      <c r="E61" s="2190" t="str">
        <f>IF(AND(E60&gt;0,E16&gt;0),E60/E16,"")</f>
        <v/>
      </c>
      <c r="F61" s="2813" t="s">
        <v>30010</v>
      </c>
      <c r="G61" s="810"/>
      <c r="H61" s="2801"/>
      <c r="I61" s="2036"/>
      <c r="J61" s="810"/>
      <c r="K61" s="1660"/>
      <c r="L61" s="1660">
        <f t="shared" si="4"/>
        <v>0</v>
      </c>
    </row>
    <row r="62" spans="1:12" s="580" customFormat="1" ht="44.25" customHeight="1">
      <c r="A62" s="1981" t="s">
        <v>30711</v>
      </c>
      <c r="B62" s="2192" t="s">
        <v>30011</v>
      </c>
      <c r="C62" s="2843" t="s">
        <v>28904</v>
      </c>
      <c r="D62" s="2825"/>
      <c r="E62" s="1984"/>
      <c r="F62" s="2813" t="s">
        <v>30012</v>
      </c>
      <c r="G62" s="810"/>
      <c r="H62" s="2801"/>
      <c r="I62" s="1980" t="str">
        <f>IF(OR(E62&lt;0,E62&gt;E19),"Il valore deve essere maggiore o uguale a zero e minore o uguale a WUtot","")</f>
        <v/>
      </c>
      <c r="J62" s="810"/>
      <c r="K62" s="1660"/>
      <c r="L62" s="1660">
        <f t="shared" si="4"/>
        <v>0</v>
      </c>
    </row>
    <row r="63" spans="1:12" s="580" customFormat="1" ht="30" customHeight="1">
      <c r="A63" s="1981" t="s">
        <v>30712</v>
      </c>
      <c r="B63" s="2198" t="s">
        <v>30013</v>
      </c>
      <c r="C63" s="2843" t="s">
        <v>28904</v>
      </c>
      <c r="D63" s="2825"/>
      <c r="E63" s="1984"/>
      <c r="F63" s="2813" t="s">
        <v>30014</v>
      </c>
      <c r="G63" s="810"/>
      <c r="H63" s="2801"/>
      <c r="I63" s="1980" t="str">
        <f>IF(OR(E63&lt;0,E63&gt;E62),"Il valore deve essere maggiore o uguale a zero e minore o uguale a WUsm","")</f>
        <v/>
      </c>
      <c r="J63" s="810"/>
      <c r="K63" s="1660"/>
      <c r="L63" s="1660">
        <f t="shared" si="4"/>
        <v>0</v>
      </c>
    </row>
    <row r="64" spans="1:12" s="580" customFormat="1" ht="30" customHeight="1">
      <c r="A64" s="2176" t="s">
        <v>30713</v>
      </c>
      <c r="B64" s="2177" t="s">
        <v>30015</v>
      </c>
      <c r="C64" s="2837" t="s">
        <v>30</v>
      </c>
      <c r="D64" s="2838"/>
      <c r="E64" s="2190" t="str">
        <f>IF(AND(E63&gt;0,E19&gt;0),E63/E19,"")</f>
        <v/>
      </c>
      <c r="F64" s="2813" t="s">
        <v>30016</v>
      </c>
      <c r="G64" s="810"/>
      <c r="H64" s="2801"/>
      <c r="I64" s="2036"/>
      <c r="J64" s="810"/>
      <c r="K64" s="1660"/>
      <c r="L64" s="1660">
        <f t="shared" si="4"/>
        <v>0</v>
      </c>
    </row>
    <row r="65" spans="1:12" s="580" customFormat="1" ht="44.25" customHeight="1">
      <c r="A65" s="1981" t="s">
        <v>30714</v>
      </c>
      <c r="B65" s="2192" t="s">
        <v>30017</v>
      </c>
      <c r="C65" s="2843" t="s">
        <v>28904</v>
      </c>
      <c r="D65" s="2825"/>
      <c r="E65" s="1984"/>
      <c r="F65" s="2813" t="s">
        <v>30012</v>
      </c>
      <c r="G65" s="810"/>
      <c r="H65" s="2801"/>
      <c r="I65" s="1980" t="str">
        <f>IF(OR(E65&lt;0,E65&gt;E16),"Il valore deve essere maggiore o uguale a zero e minore o uguale a WPtot","")</f>
        <v/>
      </c>
      <c r="J65" s="810"/>
      <c r="K65" s="1660"/>
      <c r="L65" s="1660">
        <f t="shared" si="4"/>
        <v>0</v>
      </c>
    </row>
    <row r="66" spans="1:12" s="580" customFormat="1" ht="30" customHeight="1">
      <c r="A66" s="1981" t="s">
        <v>30715</v>
      </c>
      <c r="B66" s="2198" t="s">
        <v>30018</v>
      </c>
      <c r="C66" s="2843" t="s">
        <v>28904</v>
      </c>
      <c r="D66" s="2825"/>
      <c r="E66" s="1984"/>
      <c r="F66" s="2813" t="s">
        <v>30014</v>
      </c>
      <c r="G66" s="810"/>
      <c r="H66" s="2801"/>
      <c r="I66" s="1980" t="str">
        <f>IF(OR(E66&lt;0,E66&gt;E65),"Il valore deve essere maggiore o uguale a zero e minore o uguale a WPsm_tel","")</f>
        <v/>
      </c>
      <c r="J66" s="810"/>
      <c r="K66" s="1660"/>
      <c r="L66" s="1660">
        <f t="shared" si="4"/>
        <v>0</v>
      </c>
    </row>
    <row r="67" spans="1:12" s="580" customFormat="1" ht="30" customHeight="1">
      <c r="A67" s="2176" t="s">
        <v>30716</v>
      </c>
      <c r="B67" s="2177" t="s">
        <v>30019</v>
      </c>
      <c r="C67" s="2837" t="s">
        <v>30</v>
      </c>
      <c r="D67" s="2838"/>
      <c r="E67" s="2190" t="str">
        <f>IF(AND(E66&gt;0,E16&gt;0),E66/E16,"")</f>
        <v/>
      </c>
      <c r="F67" s="2813" t="s">
        <v>30020</v>
      </c>
      <c r="G67" s="810"/>
      <c r="H67" s="2801"/>
      <c r="I67" s="2036"/>
      <c r="J67" s="810"/>
      <c r="K67" s="1660"/>
      <c r="L67" s="1660">
        <f t="shared" si="4"/>
        <v>0</v>
      </c>
    </row>
    <row r="68" spans="1:12" ht="32.1" customHeight="1">
      <c r="A68" s="1981" t="s">
        <v>30021</v>
      </c>
      <c r="B68" s="2192" t="s">
        <v>30022</v>
      </c>
      <c r="C68" s="2824" t="s">
        <v>28904</v>
      </c>
      <c r="D68" s="2825"/>
      <c r="E68" s="1984"/>
      <c r="F68" s="2813" t="s">
        <v>30023</v>
      </c>
      <c r="H68" s="3710"/>
      <c r="I68" s="3711" t="str">
        <f>IF(AND(E3="SI",OR(E68&lt;0,E69&lt;0,ROUND((E69+E68)&lt;&gt;(E40+E33),0))),"La somma di Wm,F e Wnm,F non coincide con il valore di (RW+Wesp): motivare in relazione, anche con riferimento al bilancio idrico della rete di adduzione","")</f>
        <v/>
      </c>
      <c r="K68" s="1660"/>
      <c r="L68" s="1660">
        <f t="shared" si="4"/>
        <v>0</v>
      </c>
    </row>
    <row r="69" spans="1:12" ht="32.1" customHeight="1">
      <c r="A69" s="1981" t="s">
        <v>30024</v>
      </c>
      <c r="B69" s="2192" t="s">
        <v>30025</v>
      </c>
      <c r="C69" s="2824" t="s">
        <v>28904</v>
      </c>
      <c r="D69" s="2825"/>
      <c r="E69" s="1984"/>
      <c r="F69" s="2813"/>
      <c r="H69" s="3710"/>
      <c r="I69" s="3711"/>
      <c r="K69" s="1660"/>
      <c r="L69" s="1660">
        <f t="shared" si="4"/>
        <v>0</v>
      </c>
    </row>
    <row r="70" spans="1:12" ht="32.1" customHeight="1">
      <c r="A70" s="1981" t="s">
        <v>30026</v>
      </c>
      <c r="B70" s="2192" t="s">
        <v>30027</v>
      </c>
      <c r="C70" s="2824" t="s">
        <v>28904</v>
      </c>
      <c r="D70" s="2825"/>
      <c r="E70" s="1984"/>
      <c r="F70" s="2813" t="s">
        <v>30028</v>
      </c>
      <c r="H70" s="3710"/>
      <c r="I70" s="3711" t="str">
        <f>IF(AND(E3="SI",OR(E70&lt;0,E71&lt;0,ROUND((E71+E70)&lt;&gt;(E41-E38),0))),"La somma di Wm,NF e Wnm,NF non coincide con il valore di (NRW-WLD): motivare in relazione, anche con riferimento al bilancio idrico della rete di adduzione","")</f>
        <v/>
      </c>
      <c r="K70" s="1660"/>
      <c r="L70" s="1660">
        <f t="shared" si="4"/>
        <v>0</v>
      </c>
    </row>
    <row r="71" spans="1:12" ht="32.1" customHeight="1">
      <c r="A71" s="1981" t="s">
        <v>30029</v>
      </c>
      <c r="B71" s="2192" t="s">
        <v>30030</v>
      </c>
      <c r="C71" s="2824" t="s">
        <v>28904</v>
      </c>
      <c r="D71" s="2825"/>
      <c r="E71" s="1984"/>
      <c r="F71" s="2813" t="s">
        <v>30028</v>
      </c>
      <c r="H71" s="3712"/>
      <c r="I71" s="3713"/>
      <c r="K71" s="1660"/>
      <c r="L71" s="1660">
        <f t="shared" si="4"/>
        <v>0</v>
      </c>
    </row>
    <row r="72" spans="1:12" ht="32.1" customHeight="1">
      <c r="A72" s="1981" t="s">
        <v>30717</v>
      </c>
      <c r="B72" s="2192" t="s">
        <v>30718</v>
      </c>
      <c r="C72" s="2824" t="s">
        <v>28904</v>
      </c>
      <c r="D72" s="2844"/>
      <c r="E72" s="2080">
        <f>E68-E33</f>
        <v>0</v>
      </c>
      <c r="F72" s="2813"/>
      <c r="H72" s="2829"/>
      <c r="I72" s="2038"/>
      <c r="K72" s="1660"/>
      <c r="L72" s="1660">
        <f t="shared" si="4"/>
        <v>0</v>
      </c>
    </row>
    <row r="73" spans="1:12" ht="32.1" customHeight="1" thickBot="1">
      <c r="A73" s="2845" t="s">
        <v>30719</v>
      </c>
      <c r="B73" s="2846" t="s">
        <v>30720</v>
      </c>
      <c r="C73" s="2847" t="s">
        <v>30</v>
      </c>
      <c r="D73" s="2848"/>
      <c r="E73" s="2199" t="str">
        <f>IF(E72=0,"",E71/E72)</f>
        <v/>
      </c>
      <c r="F73" s="1977" t="s">
        <v>30721</v>
      </c>
      <c r="H73" s="2849"/>
      <c r="I73" s="2152" t="str">
        <f>IF(AND(E3="SI",E73&gt;(0.5/100)),"Il volume autorizzato, non misurato e non fatturato eccede lo 0,5% del volume autorizzato, misurato e fatturato (esclusa acqua esportata): motivare in relazione","")</f>
        <v/>
      </c>
      <c r="K73" s="1660"/>
      <c r="L73" s="1660">
        <f t="shared" si="4"/>
        <v>0</v>
      </c>
    </row>
    <row r="74" spans="1:12" s="580" customFormat="1" ht="10.35" customHeight="1">
      <c r="A74" s="1661"/>
      <c r="B74" s="1662"/>
      <c r="C74" s="1661"/>
      <c r="D74" s="1661"/>
      <c r="E74" s="1661"/>
      <c r="F74" s="1663"/>
      <c r="G74" s="1663"/>
      <c r="H74" s="1663"/>
      <c r="I74" s="1663"/>
      <c r="J74" s="810"/>
      <c r="K74" s="1660"/>
      <c r="L74" s="1660"/>
    </row>
    <row r="75" spans="1:12" s="580" customFormat="1" ht="18" thickBot="1">
      <c r="A75" s="1665" t="s">
        <v>28984</v>
      </c>
      <c r="B75" s="1662"/>
      <c r="C75" s="1661"/>
      <c r="D75" s="1661"/>
      <c r="E75" s="1661"/>
      <c r="F75" s="1663"/>
      <c r="G75" s="1663"/>
      <c r="H75" s="1663"/>
      <c r="I75" s="1663"/>
      <c r="J75" s="810"/>
      <c r="K75" s="1660"/>
      <c r="L75" s="1660">
        <f t="shared" ref="L75:L138" si="5">IF(I75="",0,1)</f>
        <v>0</v>
      </c>
    </row>
    <row r="76" spans="1:12" s="580" customFormat="1" ht="45" customHeight="1">
      <c r="A76" s="1675" t="s">
        <v>28985</v>
      </c>
      <c r="B76" s="1676" t="s">
        <v>28986</v>
      </c>
      <c r="C76" s="1960" t="s">
        <v>21</v>
      </c>
      <c r="D76" s="2850"/>
      <c r="E76" s="1677"/>
      <c r="F76" s="1668" t="s">
        <v>30703</v>
      </c>
      <c r="G76" s="810"/>
      <c r="H76" s="2798"/>
      <c r="I76" s="1669" t="str">
        <f>IF(AND(E$3="SI",OR(E76="Non adeguato",E76="")),"Attenzione, prerequisito mancante","")</f>
        <v/>
      </c>
      <c r="J76" s="810"/>
      <c r="K76" s="1660"/>
      <c r="L76" s="1660">
        <f t="shared" si="5"/>
        <v>0</v>
      </c>
    </row>
    <row r="77" spans="1:12" s="580" customFormat="1" ht="45" customHeight="1" thickBot="1">
      <c r="A77" s="2183" t="s">
        <v>28987</v>
      </c>
      <c r="B77" s="1986" t="s">
        <v>28988</v>
      </c>
      <c r="C77" s="1983" t="s">
        <v>21</v>
      </c>
      <c r="D77" s="2821"/>
      <c r="E77" s="1982"/>
      <c r="F77" s="1977" t="s">
        <v>31533</v>
      </c>
      <c r="G77" s="810"/>
      <c r="H77" s="2842"/>
      <c r="I77" s="2197"/>
      <c r="J77" s="810"/>
      <c r="K77" s="1660"/>
      <c r="L77" s="1660">
        <f t="shared" si="5"/>
        <v>0</v>
      </c>
    </row>
    <row r="78" spans="1:12" s="580" customFormat="1" ht="10.35" customHeight="1">
      <c r="A78" s="1661"/>
      <c r="B78" s="1662"/>
      <c r="C78" s="1661"/>
      <c r="D78" s="1661"/>
      <c r="E78" s="1661"/>
      <c r="F78" s="1663"/>
      <c r="G78" s="810"/>
      <c r="H78" s="1678"/>
      <c r="I78" s="1678"/>
      <c r="J78" s="810"/>
      <c r="K78" s="1660"/>
      <c r="L78" s="1660">
        <f t="shared" si="5"/>
        <v>0</v>
      </c>
    </row>
    <row r="79" spans="1:12" s="580" customFormat="1" ht="18" thickBot="1">
      <c r="A79" s="1665" t="s">
        <v>28989</v>
      </c>
      <c r="B79" s="1662"/>
      <c r="C79" s="1661"/>
      <c r="D79" s="1661"/>
      <c r="E79" s="1661"/>
      <c r="F79" s="1663"/>
      <c r="G79" s="810"/>
      <c r="H79" s="1678"/>
      <c r="I79" s="1678"/>
      <c r="J79" s="810"/>
      <c r="K79" s="1660"/>
      <c r="L79" s="1660">
        <f t="shared" si="5"/>
        <v>0</v>
      </c>
    </row>
    <row r="80" spans="1:12" s="580" customFormat="1" ht="39.75" customHeight="1">
      <c r="A80" s="1679" t="s">
        <v>28990</v>
      </c>
      <c r="B80" s="1672" t="s">
        <v>28991</v>
      </c>
      <c r="C80" s="1673" t="s">
        <v>22744</v>
      </c>
      <c r="D80" s="2823"/>
      <c r="E80" s="1509"/>
      <c r="F80" s="1668" t="s">
        <v>31537</v>
      </c>
      <c r="G80" s="810"/>
      <c r="H80" s="2798"/>
      <c r="I80" s="1669" t="str">
        <f>IF(E80&lt;0,"Il valore deve essere maggiore o uguale a zero","")</f>
        <v/>
      </c>
      <c r="J80" s="810"/>
      <c r="K80" s="1660"/>
      <c r="L80" s="1660">
        <f t="shared" si="5"/>
        <v>0</v>
      </c>
    </row>
    <row r="81" spans="1:12" s="580" customFormat="1" ht="21.95" customHeight="1">
      <c r="A81" s="1979" t="s">
        <v>28992</v>
      </c>
      <c r="B81" s="2188" t="s">
        <v>28993</v>
      </c>
      <c r="C81" s="2824" t="s">
        <v>22744</v>
      </c>
      <c r="D81" s="2825"/>
      <c r="E81" s="1984"/>
      <c r="F81" s="1957" t="s">
        <v>28994</v>
      </c>
      <c r="G81" s="810"/>
      <c r="H81" s="3710"/>
      <c r="I81" s="3711" t="str">
        <f>IF(OR(E81&lt;&gt;"",E82&lt;&gt;""),IF(OR(E81&lt;0,E82&lt;0,E82+E81&lt;&gt;E80),"Ogni di cui deve essere maggiore o uguale a zero e la somma deve essere pari a UtT",""),"")</f>
        <v/>
      </c>
      <c r="J81" s="810"/>
      <c r="K81" s="1660"/>
      <c r="L81" s="1660">
        <f t="shared" si="5"/>
        <v>0</v>
      </c>
    </row>
    <row r="82" spans="1:12" s="580" customFormat="1" ht="21.95" customHeight="1">
      <c r="A82" s="1979" t="s">
        <v>28995</v>
      </c>
      <c r="B82" s="2188" t="s">
        <v>28996</v>
      </c>
      <c r="C82" s="2824" t="s">
        <v>22744</v>
      </c>
      <c r="D82" s="2825"/>
      <c r="E82" s="1984"/>
      <c r="F82" s="1957" t="s">
        <v>28994</v>
      </c>
      <c r="G82" s="810"/>
      <c r="H82" s="3710"/>
      <c r="I82" s="3711"/>
      <c r="J82" s="810"/>
      <c r="K82" s="1660"/>
      <c r="L82" s="1660">
        <f t="shared" si="5"/>
        <v>0</v>
      </c>
    </row>
    <row r="83" spans="1:12" s="580" customFormat="1" ht="30">
      <c r="A83" s="1979" t="s">
        <v>28997</v>
      </c>
      <c r="B83" s="1952" t="s">
        <v>28998</v>
      </c>
      <c r="C83" s="2824" t="s">
        <v>22744</v>
      </c>
      <c r="D83" s="2825"/>
      <c r="E83" s="1984"/>
      <c r="F83" s="2851" t="s">
        <v>28999</v>
      </c>
      <c r="G83" s="810"/>
      <c r="H83" s="2801"/>
      <c r="I83" s="1980" t="str">
        <f>IF(AND(E3="SI",OR(E83&lt;0,E83&gt;E80)),"Il valore deve essere maggiore o uguale a zero e minore o uguale a UtT","")</f>
        <v/>
      </c>
      <c r="J83" s="810"/>
      <c r="K83" s="1660"/>
      <c r="L83" s="1660">
        <f t="shared" si="5"/>
        <v>0</v>
      </c>
    </row>
    <row r="84" spans="1:12" s="580" customFormat="1" ht="45">
      <c r="A84" s="1979" t="s">
        <v>29000</v>
      </c>
      <c r="B84" s="2164" t="s">
        <v>29001</v>
      </c>
      <c r="C84" s="2824" t="s">
        <v>22744</v>
      </c>
      <c r="D84" s="2825"/>
      <c r="E84" s="1984"/>
      <c r="F84" s="2851" t="s">
        <v>28999</v>
      </c>
      <c r="G84" s="810"/>
      <c r="H84" s="2801"/>
      <c r="I84" s="1980" t="str">
        <f>IF(AND(E3="SI",OR(E84&lt;E83,E84&lt;0)),"Il valore deve essere maggiore o uguale di UtT_cond","")</f>
        <v/>
      </c>
      <c r="J84" s="810"/>
      <c r="K84" s="1660"/>
      <c r="L84" s="1660">
        <f t="shared" si="5"/>
        <v>0</v>
      </c>
    </row>
    <row r="85" spans="1:12" s="580" customFormat="1" ht="21.95" customHeight="1">
      <c r="A85" s="1979" t="s">
        <v>29002</v>
      </c>
      <c r="B85" s="2188" t="s">
        <v>29003</v>
      </c>
      <c r="C85" s="2824" t="s">
        <v>22744</v>
      </c>
      <c r="D85" s="2825"/>
      <c r="E85" s="1984"/>
      <c r="F85" s="1957"/>
      <c r="G85" s="810"/>
      <c r="H85" s="3710"/>
      <c r="I85" s="3711" t="str">
        <f>IF(OR(E85&lt;&gt;"",E86&lt;&gt;""),IF(OR(E85&lt;0,E86&lt;0,E86+E85&lt;&gt;E84),"Ogni di cui deve essere maggiore o uguale a zero e la somma deve essere pari a UtT_indr",""),"")</f>
        <v/>
      </c>
      <c r="J85" s="810"/>
      <c r="K85" s="1660"/>
      <c r="L85" s="1660">
        <f t="shared" si="5"/>
        <v>0</v>
      </c>
    </row>
    <row r="86" spans="1:12" s="580" customFormat="1" ht="21.95" customHeight="1">
      <c r="A86" s="1979" t="s">
        <v>29004</v>
      </c>
      <c r="B86" s="2188" t="s">
        <v>29005</v>
      </c>
      <c r="C86" s="2824" t="s">
        <v>22744</v>
      </c>
      <c r="D86" s="2825"/>
      <c r="E86" s="1984"/>
      <c r="F86" s="1957"/>
      <c r="G86" s="1680"/>
      <c r="H86" s="3710"/>
      <c r="I86" s="3711"/>
      <c r="J86" s="1680"/>
      <c r="K86" s="1660"/>
      <c r="L86" s="1660">
        <f t="shared" si="5"/>
        <v>0</v>
      </c>
    </row>
    <row r="87" spans="1:12" s="580" customFormat="1" ht="46.35" customHeight="1">
      <c r="A87" s="1979" t="s">
        <v>29006</v>
      </c>
      <c r="B87" s="2168" t="s">
        <v>29007</v>
      </c>
      <c r="C87" s="2824" t="s">
        <v>22744</v>
      </c>
      <c r="D87" s="2852"/>
      <c r="E87" s="2200">
        <f t="shared" ref="E87" si="6">IF((E80-E83+E84)&gt;=0,E80-E83+E84,"")</f>
        <v>0</v>
      </c>
      <c r="F87" s="1957" t="s">
        <v>29008</v>
      </c>
      <c r="G87" s="810"/>
      <c r="H87" s="2829"/>
      <c r="I87" s="2038"/>
      <c r="J87" s="810"/>
      <c r="K87" s="1660"/>
      <c r="L87" s="1660">
        <f t="shared" si="5"/>
        <v>0</v>
      </c>
    </row>
    <row r="88" spans="1:12" s="580" customFormat="1" ht="45" customHeight="1">
      <c r="A88" s="2053" t="s">
        <v>31538</v>
      </c>
      <c r="B88" s="2168" t="s">
        <v>29009</v>
      </c>
      <c r="C88" s="2824" t="s">
        <v>22744</v>
      </c>
      <c r="D88" s="2825"/>
      <c r="E88" s="1984"/>
      <c r="F88" s="1957" t="s">
        <v>29010</v>
      </c>
      <c r="G88" s="810"/>
      <c r="H88" s="2801"/>
      <c r="I88" s="1980" t="str">
        <f t="shared" ref="I88:I90" si="7">IF(E88&lt;0,"Il valore deve essere maggiore o uguale a zero","")</f>
        <v/>
      </c>
      <c r="J88" s="810"/>
      <c r="K88" s="1660"/>
      <c r="L88" s="1660">
        <f t="shared" si="5"/>
        <v>0</v>
      </c>
    </row>
    <row r="89" spans="1:12" s="580" customFormat="1" ht="32.1" customHeight="1">
      <c r="A89" s="2053" t="s">
        <v>29011</v>
      </c>
      <c r="B89" s="2168" t="s">
        <v>29012</v>
      </c>
      <c r="C89" s="1962" t="s">
        <v>29013</v>
      </c>
      <c r="D89" s="2825"/>
      <c r="E89" s="1984"/>
      <c r="F89" s="1957"/>
      <c r="G89" s="810"/>
      <c r="H89" s="2801"/>
      <c r="I89" s="1980" t="str">
        <f t="shared" si="7"/>
        <v/>
      </c>
      <c r="J89" s="810"/>
      <c r="K89" s="1660"/>
      <c r="L89" s="1660">
        <f t="shared" si="5"/>
        <v>0</v>
      </c>
    </row>
    <row r="90" spans="1:12" s="580" customFormat="1" ht="54" customHeight="1">
      <c r="A90" s="2053" t="s">
        <v>29014</v>
      </c>
      <c r="B90" s="2201" t="s">
        <v>29015</v>
      </c>
      <c r="C90" s="1962" t="s">
        <v>29013</v>
      </c>
      <c r="D90" s="2825"/>
      <c r="E90" s="1984"/>
      <c r="F90" s="1957" t="s">
        <v>29016</v>
      </c>
      <c r="G90" s="810"/>
      <c r="H90" s="2801"/>
      <c r="I90" s="1980" t="str">
        <f t="shared" si="7"/>
        <v/>
      </c>
      <c r="J90" s="810"/>
      <c r="K90" s="1660"/>
      <c r="L90" s="1660">
        <f t="shared" si="5"/>
        <v>0</v>
      </c>
    </row>
    <row r="91" spans="1:12" s="580" customFormat="1" ht="30" customHeight="1">
      <c r="A91" s="2202" t="s">
        <v>25452</v>
      </c>
      <c r="B91" s="2203" t="s">
        <v>25453</v>
      </c>
      <c r="C91" s="1963" t="s">
        <v>29013</v>
      </c>
      <c r="D91" s="2834"/>
      <c r="E91" s="2078" t="str">
        <f t="shared" ref="E91" si="8">IF(AND(E87&gt;0,E90&lt;&gt;"",E90&gt;=0),E90/E87,"")</f>
        <v/>
      </c>
      <c r="F91" s="2813" t="s">
        <v>29017</v>
      </c>
      <c r="G91" s="810"/>
      <c r="H91" s="2801"/>
      <c r="I91" s="1980" t="str">
        <f>IF(AND(E7="X",E91=""),"Indicatore non calcolabile","")</f>
        <v/>
      </c>
      <c r="J91" s="810"/>
      <c r="K91" s="1660"/>
      <c r="L91" s="1660">
        <f t="shared" si="5"/>
        <v>0</v>
      </c>
    </row>
    <row r="92" spans="1:12" s="580" customFormat="1" ht="30" customHeight="1">
      <c r="A92" s="2853" t="s">
        <v>29018</v>
      </c>
      <c r="B92" s="2177" t="s">
        <v>29019</v>
      </c>
      <c r="C92" s="2837" t="s">
        <v>21</v>
      </c>
      <c r="D92" s="2854"/>
      <c r="E92" s="2092" t="str">
        <f>IF(E91="","",IF(E91&lt;0.75,"A",IF(E91&lt;3,"B",IF(E91&lt;10,"C",IF(E91&lt;30,"D","E")))))</f>
        <v/>
      </c>
      <c r="F92" s="2813" t="s">
        <v>30722</v>
      </c>
      <c r="G92" s="810"/>
      <c r="H92" s="2828"/>
      <c r="I92" s="2075"/>
      <c r="J92" s="810"/>
      <c r="K92" s="1660"/>
      <c r="L92" s="1660">
        <f t="shared" si="5"/>
        <v>0</v>
      </c>
    </row>
    <row r="93" spans="1:12" s="580" customFormat="1" ht="30" customHeight="1">
      <c r="A93" s="2853" t="s">
        <v>29020</v>
      </c>
      <c r="B93" s="2177" t="s">
        <v>29021</v>
      </c>
      <c r="C93" s="2837" t="s">
        <v>21</v>
      </c>
      <c r="D93" s="2854"/>
      <c r="E93" s="2092" t="str">
        <f>IF(E92="A","Mantenimento",IF(E92="B","-2% di M2",IF(E92="C","-4% di M2",IF(E92="D","-6% di M2",IF(E92="E","-8% di M2","")))))</f>
        <v/>
      </c>
      <c r="F93" s="2813" t="s">
        <v>30722</v>
      </c>
      <c r="G93" s="810"/>
      <c r="H93" s="2828"/>
      <c r="I93" s="2075"/>
      <c r="J93" s="810"/>
      <c r="K93" s="1660"/>
      <c r="L93" s="1660">
        <f t="shared" si="5"/>
        <v>0</v>
      </c>
    </row>
    <row r="94" spans="1:12" s="580" customFormat="1" ht="42" customHeight="1">
      <c r="A94" s="1979" t="s">
        <v>29022</v>
      </c>
      <c r="B94" s="2201" t="s">
        <v>29023</v>
      </c>
      <c r="C94" s="1962" t="s">
        <v>29024</v>
      </c>
      <c r="D94" s="2825"/>
      <c r="E94" s="2204"/>
      <c r="F94" s="1957"/>
      <c r="G94" s="810"/>
      <c r="H94" s="2801"/>
      <c r="I94" s="2075"/>
      <c r="J94" s="810"/>
      <c r="K94" s="1660"/>
      <c r="L94" s="1660">
        <f t="shared" si="5"/>
        <v>0</v>
      </c>
    </row>
    <row r="95" spans="1:12" s="580" customFormat="1" ht="32.1" customHeight="1">
      <c r="A95" s="2205" t="s">
        <v>29025</v>
      </c>
      <c r="B95" s="2206" t="s">
        <v>29026</v>
      </c>
      <c r="C95" s="1964" t="s">
        <v>29024</v>
      </c>
      <c r="D95" s="2825"/>
      <c r="E95" s="2204"/>
      <c r="F95" s="1965"/>
      <c r="G95" s="810"/>
      <c r="H95" s="2801"/>
      <c r="I95" s="2075"/>
      <c r="J95" s="810"/>
      <c r="K95" s="1660"/>
      <c r="L95" s="1660">
        <f t="shared" si="5"/>
        <v>0</v>
      </c>
    </row>
    <row r="96" spans="1:12" s="580" customFormat="1" ht="30" customHeight="1">
      <c r="A96" s="2176" t="s">
        <v>29027</v>
      </c>
      <c r="B96" s="2177" t="s">
        <v>29028</v>
      </c>
      <c r="C96" s="2837" t="s">
        <v>30</v>
      </c>
      <c r="D96" s="2855"/>
      <c r="E96" s="2207"/>
      <c r="F96" s="2813" t="s">
        <v>30723</v>
      </c>
      <c r="G96" s="810"/>
      <c r="H96" s="2828"/>
      <c r="I96" s="2075"/>
      <c r="J96" s="810"/>
      <c r="K96" s="1660"/>
      <c r="L96" s="1660">
        <f>IF(I96="",0,1)</f>
        <v>0</v>
      </c>
    </row>
    <row r="97" spans="1:12" ht="30.75" thickBot="1">
      <c r="A97" s="2856" t="s">
        <v>30724</v>
      </c>
      <c r="B97" s="2233" t="s">
        <v>30725</v>
      </c>
      <c r="C97" s="2234" t="s">
        <v>30</v>
      </c>
      <c r="D97" s="2857"/>
      <c r="E97" s="2858" t="str">
        <f>IF(AND(E105=0,E106=0),"",E105/(E105+E106))</f>
        <v/>
      </c>
      <c r="F97" s="1977" t="s">
        <v>30726</v>
      </c>
      <c r="H97" s="2806"/>
      <c r="I97" s="2208"/>
      <c r="K97" s="1660"/>
      <c r="L97" s="1660">
        <f>IF(I97="",0,1)</f>
        <v>0</v>
      </c>
    </row>
    <row r="98" spans="1:12" s="580" customFormat="1" ht="10.35" customHeight="1">
      <c r="A98" s="1661"/>
      <c r="B98" s="1662"/>
      <c r="C98" s="1661"/>
      <c r="D98" s="1661"/>
      <c r="E98" s="1661"/>
      <c r="F98" s="1663"/>
      <c r="G98" s="1663"/>
      <c r="H98" s="1663"/>
      <c r="I98" s="1663"/>
      <c r="J98" s="810"/>
      <c r="K98" s="1660"/>
      <c r="L98" s="1660">
        <f t="shared" si="5"/>
        <v>0</v>
      </c>
    </row>
    <row r="99" spans="1:12" s="580" customFormat="1" ht="18" thickBot="1">
      <c r="A99" s="1665" t="s">
        <v>29029</v>
      </c>
      <c r="B99" s="1662"/>
      <c r="C99" s="1661"/>
      <c r="D99" s="1661"/>
      <c r="E99" s="1661"/>
      <c r="F99" s="1663"/>
      <c r="G99" s="1663"/>
      <c r="H99" s="1663"/>
      <c r="I99" s="1663"/>
      <c r="J99" s="810"/>
      <c r="K99" s="1660"/>
      <c r="L99" s="1660">
        <f t="shared" si="5"/>
        <v>0</v>
      </c>
    </row>
    <row r="100" spans="1:12" s="580" customFormat="1" ht="45" customHeight="1">
      <c r="A100" s="1681" t="s">
        <v>29030</v>
      </c>
      <c r="B100" s="1682" t="s">
        <v>29031</v>
      </c>
      <c r="C100" s="1683" t="s">
        <v>21</v>
      </c>
      <c r="D100" s="2859"/>
      <c r="E100" s="1677"/>
      <c r="F100" s="1668" t="s">
        <v>31539</v>
      </c>
      <c r="G100" s="810"/>
      <c r="H100" s="2860"/>
      <c r="I100" s="1684"/>
      <c r="J100" s="810"/>
      <c r="K100" s="1660"/>
      <c r="L100" s="1660">
        <f t="shared" si="5"/>
        <v>0</v>
      </c>
    </row>
    <row r="101" spans="1:12" s="580" customFormat="1" ht="45" customHeight="1" thickBot="1">
      <c r="A101" s="2183" t="s">
        <v>29032</v>
      </c>
      <c r="B101" s="1986" t="s">
        <v>29033</v>
      </c>
      <c r="C101" s="1983" t="s">
        <v>21</v>
      </c>
      <c r="D101" s="2821"/>
      <c r="E101" s="1982"/>
      <c r="F101" s="1685" t="s">
        <v>29034</v>
      </c>
      <c r="G101" s="810"/>
      <c r="H101" s="2822"/>
      <c r="I101" s="1976"/>
      <c r="J101" s="810"/>
      <c r="K101" s="1660"/>
      <c r="L101" s="1660">
        <f t="shared" si="5"/>
        <v>0</v>
      </c>
    </row>
    <row r="102" spans="1:12" s="580" customFormat="1" ht="10.35" customHeight="1">
      <c r="A102" s="1661"/>
      <c r="B102" s="1662"/>
      <c r="C102" s="1661"/>
      <c r="D102" s="1661"/>
      <c r="E102" s="1661"/>
      <c r="F102" s="1663"/>
      <c r="G102" s="1663"/>
      <c r="H102" s="1663"/>
      <c r="I102" s="1663"/>
      <c r="J102" s="810"/>
      <c r="K102" s="1660"/>
      <c r="L102" s="1660">
        <f t="shared" si="5"/>
        <v>0</v>
      </c>
    </row>
    <row r="103" spans="1:12" s="580" customFormat="1" ht="18" thickBot="1">
      <c r="A103" s="1665" t="s">
        <v>29035</v>
      </c>
      <c r="B103" s="1662"/>
      <c r="C103" s="1661"/>
      <c r="D103" s="1661"/>
      <c r="E103" s="1661"/>
      <c r="F103" s="1663"/>
      <c r="G103" s="1663"/>
      <c r="H103" s="1663"/>
      <c r="I103" s="1663"/>
      <c r="J103" s="810"/>
      <c r="K103" s="1660"/>
      <c r="L103" s="1660">
        <f t="shared" si="5"/>
        <v>0</v>
      </c>
    </row>
    <row r="104" spans="1:12" s="580" customFormat="1" ht="32.1" customHeight="1">
      <c r="A104" s="1679" t="s">
        <v>29036</v>
      </c>
      <c r="B104" s="1686" t="s">
        <v>29037</v>
      </c>
      <c r="C104" s="1673" t="s">
        <v>22744</v>
      </c>
      <c r="D104" s="2823"/>
      <c r="E104" s="1509"/>
      <c r="F104" s="1668"/>
      <c r="G104" s="810"/>
      <c r="H104" s="2798"/>
      <c r="I104" s="1669" t="str">
        <f>IF(E104&lt;0,"Il valore deve essere maggiore o uguale a zero","")</f>
        <v/>
      </c>
      <c r="J104" s="810"/>
      <c r="K104" s="1660"/>
      <c r="L104" s="1660">
        <f t="shared" si="5"/>
        <v>0</v>
      </c>
    </row>
    <row r="105" spans="1:12" s="580" customFormat="1" ht="21.95" customHeight="1">
      <c r="A105" s="1979" t="s">
        <v>29038</v>
      </c>
      <c r="B105" s="2209" t="s">
        <v>29039</v>
      </c>
      <c r="C105" s="2824" t="s">
        <v>22744</v>
      </c>
      <c r="D105" s="2825"/>
      <c r="E105" s="1984"/>
      <c r="F105" s="2826"/>
      <c r="G105" s="810"/>
      <c r="H105" s="3710"/>
      <c r="I105" s="3711" t="str">
        <f>IF(OR(E105&lt;&gt;"",E106&lt;&gt;""),IF(OR(E105&lt;0,E106&lt;0,E106+E105&lt;&gt;E104),"Ogni di cui deve essere maggiore o uguale a zero e la somma deve essere pari a Int_tot,1h",""),"")</f>
        <v/>
      </c>
      <c r="J105" s="810"/>
      <c r="K105" s="1660"/>
      <c r="L105" s="1660">
        <f t="shared" si="5"/>
        <v>0</v>
      </c>
    </row>
    <row r="106" spans="1:12" s="580" customFormat="1" ht="21.95" customHeight="1">
      <c r="A106" s="1979" t="s">
        <v>29040</v>
      </c>
      <c r="B106" s="2209" t="s">
        <v>29041</v>
      </c>
      <c r="C106" s="2824" t="s">
        <v>22744</v>
      </c>
      <c r="D106" s="2825"/>
      <c r="E106" s="1984"/>
      <c r="F106" s="2826"/>
      <c r="G106" s="810"/>
      <c r="H106" s="3710"/>
      <c r="I106" s="3711"/>
      <c r="J106" s="810"/>
      <c r="K106" s="1660"/>
      <c r="L106" s="1660">
        <f t="shared" si="5"/>
        <v>0</v>
      </c>
    </row>
    <row r="107" spans="1:12" s="580" customFormat="1" ht="32.1" customHeight="1">
      <c r="A107" s="1979" t="s">
        <v>29042</v>
      </c>
      <c r="B107" s="2210" t="s">
        <v>29043</v>
      </c>
      <c r="C107" s="2824" t="s">
        <v>22744</v>
      </c>
      <c r="D107" s="2825"/>
      <c r="E107" s="1984"/>
      <c r="F107" s="2813" t="s">
        <v>29044</v>
      </c>
      <c r="G107" s="810"/>
      <c r="H107" s="2801"/>
      <c r="I107" s="1980" t="str">
        <f>IF(OR(E107&lt;0,E107&gt;E106),"Il valore deve essere maggiore o uguale a zero e minore o uguale a Int_p","")</f>
        <v/>
      </c>
      <c r="J107" s="810"/>
      <c r="K107" s="1660"/>
      <c r="L107" s="1660">
        <f t="shared" si="5"/>
        <v>0</v>
      </c>
    </row>
    <row r="108" spans="1:12" s="580" customFormat="1" ht="32.1" customHeight="1">
      <c r="A108" s="1979" t="s">
        <v>29045</v>
      </c>
      <c r="B108" s="2166" t="s">
        <v>29046</v>
      </c>
      <c r="C108" s="2824" t="s">
        <v>22744</v>
      </c>
      <c r="D108" s="2825"/>
      <c r="E108" s="1984"/>
      <c r="F108" s="2813" t="s">
        <v>29047</v>
      </c>
      <c r="G108" s="810"/>
      <c r="H108" s="2801"/>
      <c r="I108" s="1980" t="str">
        <f t="shared" ref="I108:I110" si="9">IF(E108&lt;0,"Il valore deve essere maggiore o uguale a zero","")</f>
        <v/>
      </c>
      <c r="J108" s="810"/>
      <c r="K108" s="1660"/>
      <c r="L108" s="1660">
        <f t="shared" si="5"/>
        <v>0</v>
      </c>
    </row>
    <row r="109" spans="1:12" s="580" customFormat="1" ht="32.1" customHeight="1">
      <c r="A109" s="1979" t="s">
        <v>29048</v>
      </c>
      <c r="B109" s="2201" t="s">
        <v>29049</v>
      </c>
      <c r="C109" s="2824" t="s">
        <v>22744</v>
      </c>
      <c r="D109" s="2825"/>
      <c r="E109" s="1984"/>
      <c r="F109" s="2813"/>
      <c r="G109" s="810"/>
      <c r="H109" s="2801"/>
      <c r="I109" s="1980" t="str">
        <f t="shared" si="9"/>
        <v/>
      </c>
      <c r="J109" s="810"/>
      <c r="K109" s="1660"/>
      <c r="L109" s="1660">
        <f t="shared" si="5"/>
        <v>0</v>
      </c>
    </row>
    <row r="110" spans="1:12" s="580" customFormat="1" ht="60" customHeight="1">
      <c r="A110" s="1979" t="s">
        <v>29050</v>
      </c>
      <c r="B110" s="2198" t="s">
        <v>29051</v>
      </c>
      <c r="C110" s="2824" t="s">
        <v>22744</v>
      </c>
      <c r="D110" s="2825"/>
      <c r="E110" s="1984"/>
      <c r="F110" s="2813" t="s">
        <v>29731</v>
      </c>
      <c r="G110" s="810"/>
      <c r="H110" s="2801"/>
      <c r="I110" s="1980" t="str">
        <f t="shared" si="9"/>
        <v/>
      </c>
      <c r="J110" s="810"/>
      <c r="K110" s="1660"/>
      <c r="L110" s="1660">
        <f t="shared" si="5"/>
        <v>0</v>
      </c>
    </row>
    <row r="111" spans="1:12" s="580" customFormat="1" ht="53.25" customHeight="1">
      <c r="A111" s="2053" t="s">
        <v>29052</v>
      </c>
      <c r="B111" s="2201" t="s">
        <v>29053</v>
      </c>
      <c r="C111" s="2824" t="s">
        <v>22744</v>
      </c>
      <c r="D111" s="2825"/>
      <c r="E111" s="1984"/>
      <c r="F111" s="2813" t="s">
        <v>29054</v>
      </c>
      <c r="G111" s="810"/>
      <c r="H111" s="2801"/>
      <c r="I111" s="2211" t="str">
        <f>IF(OR(E111&lt;0,E111&lt;E107),"Il valore deve essere maggiore o uguale a Int_p,S1","")</f>
        <v/>
      </c>
      <c r="J111" s="810"/>
      <c r="K111" s="1660"/>
      <c r="L111" s="1660">
        <f t="shared" si="5"/>
        <v>0</v>
      </c>
    </row>
    <row r="112" spans="1:12" s="580" customFormat="1" ht="55.5" customHeight="1">
      <c r="A112" s="2053" t="s">
        <v>29055</v>
      </c>
      <c r="B112" s="2201" t="s">
        <v>29056</v>
      </c>
      <c r="C112" s="2824" t="s">
        <v>22744</v>
      </c>
      <c r="D112" s="2825"/>
      <c r="E112" s="1984"/>
      <c r="F112" s="2813" t="s">
        <v>29054</v>
      </c>
      <c r="G112" s="810"/>
      <c r="H112" s="2801"/>
      <c r="I112" s="2211" t="str">
        <f>IF(OR(E112&lt;0,E112&lt;E110),"Il valore deve essere maggiore o uguale a Int_em,S2","")</f>
        <v/>
      </c>
      <c r="J112" s="810"/>
      <c r="K112" s="1660"/>
      <c r="L112" s="1660">
        <f t="shared" si="5"/>
        <v>0</v>
      </c>
    </row>
    <row r="113" spans="1:12" s="580" customFormat="1" ht="55.5" customHeight="1" thickBot="1">
      <c r="A113" s="2056" t="s">
        <v>29057</v>
      </c>
      <c r="B113" s="2212" t="s">
        <v>29058</v>
      </c>
      <c r="C113" s="2041" t="s">
        <v>22744</v>
      </c>
      <c r="D113" s="2805"/>
      <c r="E113" s="2042"/>
      <c r="F113" s="1977" t="s">
        <v>29054</v>
      </c>
      <c r="G113" s="810"/>
      <c r="H113" s="2806"/>
      <c r="I113" s="2213" t="str">
        <f>IF(OR(E113&lt;0,E113&lt;E108),"Il valore deve essere maggiore o uguale a Int_p,S3","")</f>
        <v/>
      </c>
      <c r="J113" s="810"/>
      <c r="K113" s="1660"/>
      <c r="L113" s="1660">
        <f t="shared" si="5"/>
        <v>0</v>
      </c>
    </row>
    <row r="114" spans="1:12" s="580" customFormat="1" ht="10.35" customHeight="1">
      <c r="A114" s="1661"/>
      <c r="B114" s="1662"/>
      <c r="C114" s="1661"/>
      <c r="D114" s="1661"/>
      <c r="E114" s="1661"/>
      <c r="F114" s="1663"/>
      <c r="G114" s="810"/>
      <c r="H114" s="1664"/>
      <c r="I114" s="1664"/>
      <c r="J114" s="810"/>
      <c r="K114" s="1660"/>
      <c r="L114" s="1660">
        <f t="shared" si="5"/>
        <v>0</v>
      </c>
    </row>
    <row r="115" spans="1:12" s="580" customFormat="1" ht="18" thickBot="1">
      <c r="A115" s="1665" t="s">
        <v>31540</v>
      </c>
      <c r="B115" s="1662"/>
      <c r="C115" s="1661"/>
      <c r="D115" s="1661"/>
      <c r="E115" s="1661"/>
      <c r="F115" s="1663"/>
      <c r="G115" s="810"/>
      <c r="H115" s="1664"/>
      <c r="I115" s="1664"/>
      <c r="J115" s="810"/>
      <c r="K115" s="1660"/>
      <c r="L115" s="1660">
        <f t="shared" si="5"/>
        <v>0</v>
      </c>
    </row>
    <row r="116" spans="1:12" s="580" customFormat="1" ht="62.1" customHeight="1">
      <c r="A116" s="1966" t="s">
        <v>29059</v>
      </c>
      <c r="B116" s="2861" t="s">
        <v>30727</v>
      </c>
      <c r="C116" s="1687" t="s">
        <v>21</v>
      </c>
      <c r="D116" s="2859"/>
      <c r="E116" s="1510"/>
      <c r="F116" s="1688" t="s">
        <v>31541</v>
      </c>
      <c r="G116" s="810"/>
      <c r="H116" s="2798"/>
      <c r="I116" s="1659"/>
      <c r="J116" s="810"/>
      <c r="K116" s="1660"/>
      <c r="L116" s="1660">
        <f t="shared" si="5"/>
        <v>0</v>
      </c>
    </row>
    <row r="117" spans="1:12" s="580" customFormat="1" ht="32.1" customHeight="1">
      <c r="A117" s="2214" t="s">
        <v>29061</v>
      </c>
      <c r="B117" s="2215" t="s">
        <v>29062</v>
      </c>
      <c r="C117" s="2843" t="s">
        <v>21</v>
      </c>
      <c r="D117" s="2862"/>
      <c r="E117" s="2074"/>
      <c r="F117" s="2863" t="s">
        <v>29060</v>
      </c>
      <c r="G117" s="810"/>
      <c r="H117" s="2801"/>
      <c r="I117" s="2036"/>
      <c r="J117" s="810"/>
      <c r="K117" s="1660"/>
      <c r="L117" s="1660">
        <f t="shared" si="5"/>
        <v>0</v>
      </c>
    </row>
    <row r="118" spans="1:12" s="580" customFormat="1" ht="42.75" customHeight="1">
      <c r="A118" s="2216" t="s">
        <v>29063</v>
      </c>
      <c r="B118" s="2215" t="s">
        <v>29064</v>
      </c>
      <c r="C118" s="2843" t="s">
        <v>21</v>
      </c>
      <c r="D118" s="2862"/>
      <c r="E118" s="2074"/>
      <c r="F118" s="2863" t="s">
        <v>29060</v>
      </c>
      <c r="G118" s="810"/>
      <c r="H118" s="2801"/>
      <c r="I118" s="2036"/>
      <c r="J118" s="810"/>
      <c r="K118" s="1660"/>
      <c r="L118" s="1660">
        <f t="shared" si="5"/>
        <v>0</v>
      </c>
    </row>
    <row r="119" spans="1:12" s="580" customFormat="1" ht="80.25" customHeight="1">
      <c r="A119" s="2216" t="s">
        <v>29065</v>
      </c>
      <c r="B119" s="2217" t="s">
        <v>29066</v>
      </c>
      <c r="C119" s="2843" t="s">
        <v>22744</v>
      </c>
      <c r="D119" s="2862"/>
      <c r="E119" s="2218"/>
      <c r="F119" s="2863" t="s">
        <v>31542</v>
      </c>
      <c r="G119" s="810"/>
      <c r="H119" s="2801"/>
      <c r="I119" s="1980" t="str">
        <f>IF(AND(E3&lt;&gt;"SI",E119&lt;&gt;""),"Non risulta gestito il servizio di acquedotto",IF(E119&lt;0,"Il valore deve essere maggiore o uguale a zero",""))</f>
        <v/>
      </c>
      <c r="J119" s="810"/>
      <c r="K119" s="1660"/>
      <c r="L119" s="1660">
        <f t="shared" si="5"/>
        <v>0</v>
      </c>
    </row>
    <row r="120" spans="1:12" s="580" customFormat="1" ht="45" customHeight="1">
      <c r="A120" s="2054" t="s">
        <v>29998</v>
      </c>
      <c r="B120" s="2245" t="s">
        <v>30728</v>
      </c>
      <c r="C120" s="2843" t="s">
        <v>29024</v>
      </c>
      <c r="D120" s="2864"/>
      <c r="E120" s="2865"/>
      <c r="F120" s="2863" t="s">
        <v>30729</v>
      </c>
      <c r="G120" s="810"/>
      <c r="H120" s="2801"/>
      <c r="I120" s="1980" t="str">
        <f>IF(AND(E3&lt;&gt;"SI",E120&lt;&gt;""),"Non risulta gestito il servizio di acquedotto", IF(E120&lt;0,"Il valore deve essere maggiore o uguale a zero",""))</f>
        <v/>
      </c>
      <c r="J120" s="810"/>
      <c r="K120" s="1660"/>
      <c r="L120" s="1660">
        <f t="shared" si="5"/>
        <v>0</v>
      </c>
    </row>
    <row r="121" spans="1:12" s="580" customFormat="1" ht="32.1" customHeight="1">
      <c r="A121" s="2216" t="s">
        <v>29067</v>
      </c>
      <c r="B121" s="2217" t="s">
        <v>29068</v>
      </c>
      <c r="C121" s="2843" t="s">
        <v>22744</v>
      </c>
      <c r="D121" s="2862"/>
      <c r="E121" s="2218"/>
      <c r="F121" s="2863" t="s">
        <v>29069</v>
      </c>
      <c r="G121" s="810"/>
      <c r="H121" s="2801"/>
      <c r="I121" s="1980" t="str">
        <f>IF(AND(E3&lt;&gt;"SI",E121&lt;&gt;0),"Non risulta gestito il servizio di acquedotto", IF(E121&lt;0,"Il valore deve essere maggiore o uguale a zero",""))</f>
        <v/>
      </c>
      <c r="J121" s="810"/>
      <c r="K121" s="1660"/>
      <c r="L121" s="1660">
        <f t="shared" si="5"/>
        <v>0</v>
      </c>
    </row>
    <row r="122" spans="1:12" s="580" customFormat="1" ht="32.1" customHeight="1">
      <c r="A122" s="2216" t="s">
        <v>29070</v>
      </c>
      <c r="B122" s="2215" t="s">
        <v>29071</v>
      </c>
      <c r="C122" s="2843" t="s">
        <v>21</v>
      </c>
      <c r="D122" s="2866"/>
      <c r="E122" s="2219" t="str">
        <f>IF(AND(E119="",E121=0),"",IF(AND(E121&gt;=E119,E119&gt;=0,E121&gt;=0,E119&lt;&gt;"",E121&lt;&gt;""),"SI","NO"))</f>
        <v/>
      </c>
      <c r="F122" s="2867"/>
      <c r="G122" s="810"/>
      <c r="H122" s="2801"/>
      <c r="I122" s="2036"/>
      <c r="J122" s="810"/>
      <c r="K122" s="1660"/>
      <c r="L122" s="1660">
        <f t="shared" si="5"/>
        <v>0</v>
      </c>
    </row>
    <row r="123" spans="1:12" s="580" customFormat="1" ht="45">
      <c r="A123" s="2220" t="s">
        <v>26494</v>
      </c>
      <c r="B123" s="2221" t="s">
        <v>29072</v>
      </c>
      <c r="C123" s="2812" t="s">
        <v>21</v>
      </c>
      <c r="D123" s="2868"/>
      <c r="E123" s="2222" t="str">
        <f>IF(E3&lt;&gt;"SI","",IF(AND(E116="",E117="",E118="",E122=""),"",IF(AND(E116="X",E117="X",E118="X",E122="SI"),"SI","NO")))</f>
        <v/>
      </c>
      <c r="F123" s="2813" t="s">
        <v>29073</v>
      </c>
      <c r="G123" s="810"/>
      <c r="H123" s="2801"/>
      <c r="I123" s="1980" t="str">
        <f>IF(AND(E$3="SI",OR(E123="NO",E123="")),"Attenzione, prerequisito mancante","")</f>
        <v/>
      </c>
      <c r="J123" s="810"/>
      <c r="K123" s="1660"/>
      <c r="L123" s="1660">
        <f t="shared" si="5"/>
        <v>0</v>
      </c>
    </row>
    <row r="124" spans="1:12" s="580" customFormat="1" ht="42" customHeight="1">
      <c r="A124" s="2220" t="s">
        <v>29074</v>
      </c>
      <c r="B124" s="1967" t="s">
        <v>29075</v>
      </c>
      <c r="C124" s="1958" t="s">
        <v>21</v>
      </c>
      <c r="D124" s="2814"/>
      <c r="E124" s="2182"/>
      <c r="F124" s="2813" t="s">
        <v>30703</v>
      </c>
      <c r="G124" s="810"/>
      <c r="H124" s="2801"/>
      <c r="I124" s="1980" t="str">
        <f>IF(AND(E$3="SI",OR(E124="Non adeguato",E124="")),"Attenzione, prerequisito mancante","")</f>
        <v/>
      </c>
      <c r="J124" s="810"/>
      <c r="K124" s="1660"/>
      <c r="L124" s="1660">
        <f t="shared" si="5"/>
        <v>0</v>
      </c>
    </row>
    <row r="125" spans="1:12" s="580" customFormat="1" ht="45" customHeight="1" thickBot="1">
      <c r="A125" s="2183" t="s">
        <v>29076</v>
      </c>
      <c r="B125" s="1986" t="s">
        <v>29077</v>
      </c>
      <c r="C125" s="1983" t="s">
        <v>21</v>
      </c>
      <c r="D125" s="2821"/>
      <c r="E125" s="1982"/>
      <c r="F125" s="1977" t="s">
        <v>31543</v>
      </c>
      <c r="G125" s="810"/>
      <c r="H125" s="2822"/>
      <c r="I125" s="1976"/>
      <c r="J125" s="810"/>
      <c r="K125" s="1660"/>
      <c r="L125" s="1660">
        <f t="shared" si="5"/>
        <v>0</v>
      </c>
    </row>
    <row r="126" spans="1:12" s="580" customFormat="1" ht="10.35" customHeight="1">
      <c r="A126" s="1661"/>
      <c r="B126" s="1662"/>
      <c r="C126" s="1661"/>
      <c r="D126" s="1661"/>
      <c r="E126" s="1661"/>
      <c r="F126" s="1663"/>
      <c r="G126" s="810"/>
      <c r="H126" s="1664"/>
      <c r="I126" s="1664"/>
      <c r="J126" s="810"/>
      <c r="K126" s="1660"/>
      <c r="L126" s="1660">
        <f t="shared" si="5"/>
        <v>0</v>
      </c>
    </row>
    <row r="127" spans="1:12" s="580" customFormat="1" ht="18" thickBot="1">
      <c r="A127" s="1665" t="s">
        <v>29078</v>
      </c>
      <c r="B127" s="1662"/>
      <c r="C127" s="1661"/>
      <c r="D127" s="1661"/>
      <c r="E127" s="1661"/>
      <c r="F127" s="1663"/>
      <c r="G127" s="810"/>
      <c r="H127" s="1664"/>
      <c r="I127" s="1664"/>
      <c r="J127" s="810"/>
      <c r="K127" s="1660"/>
      <c r="L127" s="1660">
        <f t="shared" si="5"/>
        <v>0</v>
      </c>
    </row>
    <row r="128" spans="1:12" ht="30" customHeight="1">
      <c r="A128" s="1689" t="s">
        <v>29079</v>
      </c>
      <c r="B128" s="1672" t="s">
        <v>29080</v>
      </c>
      <c r="C128" s="1673" t="s">
        <v>22744</v>
      </c>
      <c r="D128" s="2823"/>
      <c r="E128" s="1509"/>
      <c r="F128" s="1690"/>
      <c r="H128" s="2798"/>
      <c r="I128" s="1669" t="str">
        <f t="shared" ref="I128:I130" si="10">IF(E128&lt;0,"Il valore deve essere maggiore o uguale a zero","")</f>
        <v/>
      </c>
      <c r="K128" s="1660"/>
      <c r="L128" s="1660">
        <f t="shared" si="5"/>
        <v>0</v>
      </c>
    </row>
    <row r="129" spans="1:12" ht="47.85" customHeight="1">
      <c r="A129" s="2223" t="s">
        <v>29081</v>
      </c>
      <c r="B129" s="2164" t="s">
        <v>29082</v>
      </c>
      <c r="C129" s="2824" t="s">
        <v>22744</v>
      </c>
      <c r="D129" s="2825"/>
      <c r="E129" s="1984"/>
      <c r="F129" s="1957" t="s">
        <v>29083</v>
      </c>
      <c r="H129" s="2801"/>
      <c r="I129" s="1980" t="str">
        <f t="shared" si="10"/>
        <v/>
      </c>
      <c r="K129" s="1660"/>
      <c r="L129" s="1660">
        <f t="shared" si="5"/>
        <v>0</v>
      </c>
    </row>
    <row r="130" spans="1:12" ht="32.1" customHeight="1">
      <c r="A130" s="2223" t="s">
        <v>29084</v>
      </c>
      <c r="B130" s="2164" t="s">
        <v>29085</v>
      </c>
      <c r="C130" s="2824" t="s">
        <v>29086</v>
      </c>
      <c r="D130" s="2825"/>
      <c r="E130" s="1984"/>
      <c r="F130" s="2813"/>
      <c r="H130" s="2801"/>
      <c r="I130" s="1980" t="str">
        <f t="shared" si="10"/>
        <v/>
      </c>
      <c r="K130" s="1660"/>
      <c r="L130" s="1660">
        <f t="shared" si="5"/>
        <v>0</v>
      </c>
    </row>
    <row r="131" spans="1:12" ht="56.25" customHeight="1">
      <c r="A131" s="2223" t="s">
        <v>29087</v>
      </c>
      <c r="B131" s="2164" t="s">
        <v>29088</v>
      </c>
      <c r="C131" s="2824" t="s">
        <v>29086</v>
      </c>
      <c r="D131" s="2825"/>
      <c r="E131" s="1984"/>
      <c r="F131" s="2813" t="s">
        <v>29089</v>
      </c>
      <c r="H131" s="2801"/>
      <c r="I131" s="1980" t="str">
        <f>IF(E7="X",IF(OR(E131&lt;0,E131=""),"Il valore deve essere maggiore o uguale a zero ",""),IF(E131&lt;&gt;0,"Non risulta gestita la distribuzione",""))</f>
        <v/>
      </c>
      <c r="K131" s="1660"/>
      <c r="L131" s="1660">
        <f t="shared" si="5"/>
        <v>0</v>
      </c>
    </row>
    <row r="132" spans="1:12" ht="30" customHeight="1">
      <c r="A132" s="2224" t="s">
        <v>29090</v>
      </c>
      <c r="B132" s="2177" t="s">
        <v>29091</v>
      </c>
      <c r="C132" s="2837" t="s">
        <v>30</v>
      </c>
      <c r="D132" s="2869"/>
      <c r="E132" s="2225" t="str">
        <f>IF(AND(E87&gt;0,E131&gt;=0,E131&lt;&gt;""),E131/(E87*365),"")</f>
        <v/>
      </c>
      <c r="F132" s="2813" t="s">
        <v>29092</v>
      </c>
      <c r="H132" s="2801"/>
      <c r="I132" s="1980" t="str">
        <f>IF(AND(E7="X",E132=""),"Indicatore non calcolabile","")</f>
        <v/>
      </c>
      <c r="K132" s="1660"/>
      <c r="L132" s="1660">
        <f t="shared" si="5"/>
        <v>0</v>
      </c>
    </row>
    <row r="133" spans="1:12" ht="79.5" customHeight="1">
      <c r="A133" s="2223" t="s">
        <v>29093</v>
      </c>
      <c r="B133" s="2174" t="s">
        <v>29094</v>
      </c>
      <c r="C133" s="2824" t="s">
        <v>22744</v>
      </c>
      <c r="D133" s="2825"/>
      <c r="E133" s="1984"/>
      <c r="F133" s="2813" t="s">
        <v>30730</v>
      </c>
      <c r="H133" s="2801"/>
      <c r="I133" s="1980" t="str">
        <f>IF(AND(E7="X",OR(E133&lt;=0,E133&gt;E121)),"Il valore deve essere maggiore di zero e minore o uguale a C_ACQ-real","")</f>
        <v/>
      </c>
      <c r="K133" s="1660"/>
      <c r="L133" s="1660">
        <f t="shared" si="5"/>
        <v>0</v>
      </c>
    </row>
    <row r="134" spans="1:12" ht="60">
      <c r="A134" s="2227" t="s">
        <v>31544</v>
      </c>
      <c r="B134" s="2174" t="s">
        <v>30731</v>
      </c>
      <c r="C134" s="2824" t="s">
        <v>22744</v>
      </c>
      <c r="D134" s="2825"/>
      <c r="E134" s="1984"/>
      <c r="F134" s="2826"/>
      <c r="H134" s="2801"/>
      <c r="I134" s="1980" t="str">
        <f>IF(AND(E7="X",OR(E134&lt;0,E134&gt;E133,E134="")),"Il valore deve essere maggiore o uguale a zero e minore o uguale a C_ACQ-tot","")</f>
        <v/>
      </c>
      <c r="K134" s="1660"/>
      <c r="L134" s="1660">
        <f t="shared" si="5"/>
        <v>0</v>
      </c>
    </row>
    <row r="135" spans="1:12" ht="30" customHeight="1">
      <c r="A135" s="2227" t="s">
        <v>29095</v>
      </c>
      <c r="B135" s="2184" t="s">
        <v>30732</v>
      </c>
      <c r="C135" s="2824" t="s">
        <v>22744</v>
      </c>
      <c r="D135" s="2825"/>
      <c r="E135" s="1984"/>
      <c r="F135" s="2813" t="s">
        <v>30733</v>
      </c>
      <c r="H135" s="3710"/>
      <c r="I135" s="3711" t="str">
        <f>IF(OR(E135&lt;&gt;"",E136&lt;&gt;""),IF(OR(E135&lt;0,E136&lt;0,E136+E135&lt;&gt;E134),"Ogni di cui deve essere maggiore o uguale a zero e la somma deve essere pari a  C_ACQ-cnc",""),"")</f>
        <v/>
      </c>
      <c r="K135" s="1660"/>
      <c r="L135" s="1660">
        <f t="shared" si="5"/>
        <v>0</v>
      </c>
    </row>
    <row r="136" spans="1:12" ht="30" customHeight="1">
      <c r="A136" s="2227" t="s">
        <v>29096</v>
      </c>
      <c r="B136" s="2184" t="s">
        <v>30734</v>
      </c>
      <c r="C136" s="2824" t="s">
        <v>22744</v>
      </c>
      <c r="D136" s="2825"/>
      <c r="E136" s="1984"/>
      <c r="F136" s="2813" t="s">
        <v>30735</v>
      </c>
      <c r="H136" s="3710"/>
      <c r="I136" s="3711"/>
      <c r="K136" s="1660"/>
      <c r="L136" s="1660">
        <f t="shared" si="5"/>
        <v>0</v>
      </c>
    </row>
    <row r="137" spans="1:12" ht="30" customHeight="1">
      <c r="A137" s="2224" t="s">
        <v>29097</v>
      </c>
      <c r="B137" s="2177" t="s">
        <v>29098</v>
      </c>
      <c r="C137" s="2837" t="s">
        <v>30</v>
      </c>
      <c r="D137" s="2870"/>
      <c r="E137" s="2228" t="str">
        <f>IF(AND(E133&gt;0,E134&gt;=0,E134&lt;&gt;"",E134&lt;=E133),E134/E133,"")</f>
        <v/>
      </c>
      <c r="F137" s="2813" t="s">
        <v>29099</v>
      </c>
      <c r="H137" s="2801"/>
      <c r="I137" s="1980" t="str">
        <f>IF(AND(E7="X",E137=""),"Indicatore non calcolabile","")</f>
        <v/>
      </c>
      <c r="K137" s="1660"/>
      <c r="L137" s="1660">
        <f t="shared" si="5"/>
        <v>0</v>
      </c>
    </row>
    <row r="138" spans="1:12" ht="45" customHeight="1">
      <c r="A138" s="2223" t="s">
        <v>29100</v>
      </c>
      <c r="B138" s="2174" t="s">
        <v>29101</v>
      </c>
      <c r="C138" s="2824" t="s">
        <v>22744</v>
      </c>
      <c r="D138" s="2825"/>
      <c r="E138" s="1984"/>
      <c r="F138" s="2871"/>
      <c r="H138" s="2801"/>
      <c r="I138" s="1980" t="str">
        <f>IF(E7="X",IF(OR(E138&lt;=0,E138&lt;E133),"Il valore deve essere maggiore di zero e maggiore o uguale a C_ACQ-tot",""),IF(E138&lt;&gt;"","Non risulta gestita la distribuzione",""))</f>
        <v/>
      </c>
      <c r="K138" s="1660"/>
      <c r="L138" s="1660">
        <f t="shared" si="5"/>
        <v>0</v>
      </c>
    </row>
    <row r="139" spans="1:12" ht="59.25" customHeight="1">
      <c r="A139" s="2227" t="s">
        <v>29102</v>
      </c>
      <c r="B139" s="2174" t="s">
        <v>30736</v>
      </c>
      <c r="C139" s="2824" t="s">
        <v>22744</v>
      </c>
      <c r="D139" s="2825"/>
      <c r="E139" s="1984"/>
      <c r="F139" s="2826"/>
      <c r="H139" s="2801"/>
      <c r="I139" s="1980" t="str">
        <f>IF(AND(E7="X",OR(E139&lt;0,E139&gt;E138,E139="",E139&lt;E134)),"Il valore deve essere maggiore o uguale a zero, maggiore o uguale a C_ACQ-cnc e minore o uguale a P_ACQ-tot","")</f>
        <v/>
      </c>
      <c r="K139" s="1660"/>
      <c r="L139" s="1660">
        <f t="shared" ref="L139:L150" si="11">IF(I139="",0,1)</f>
        <v>0</v>
      </c>
    </row>
    <row r="140" spans="1:12" ht="30" customHeight="1">
      <c r="A140" s="2227" t="s">
        <v>29999</v>
      </c>
      <c r="B140" s="2184" t="s">
        <v>30737</v>
      </c>
      <c r="C140" s="2824" t="s">
        <v>22744</v>
      </c>
      <c r="D140" s="2825"/>
      <c r="E140" s="1984"/>
      <c r="F140" s="2813"/>
      <c r="H140" s="3710"/>
      <c r="I140" s="3711" t="str">
        <f>IF(OR(E140&lt;&gt;"",E141&lt;&gt;"",E142&lt;&gt;"",E143&lt;&gt;""),IF(OR(E140&lt;0,E141&lt;0,E142&lt;0,E143&lt;0,E140+E141+E142+E143&lt;&gt;E139),"Ogni di cui deve essere maggiore o uguale a zero e la somma deve essere pari a  P_ACQ-pnc",""),"")</f>
        <v/>
      </c>
      <c r="K140" s="1660"/>
      <c r="L140" s="1660">
        <f t="shared" si="11"/>
        <v>0</v>
      </c>
    </row>
    <row r="141" spans="1:12" ht="30" customHeight="1">
      <c r="A141" s="2227" t="s">
        <v>30000</v>
      </c>
      <c r="B141" s="2184" t="s">
        <v>30738</v>
      </c>
      <c r="C141" s="2824" t="s">
        <v>22744</v>
      </c>
      <c r="D141" s="2825"/>
      <c r="E141" s="1984"/>
      <c r="F141" s="2813"/>
      <c r="H141" s="3710"/>
      <c r="I141" s="3711"/>
      <c r="K141" s="1660"/>
      <c r="L141" s="1660">
        <f t="shared" si="11"/>
        <v>0</v>
      </c>
    </row>
    <row r="142" spans="1:12" ht="30" customHeight="1">
      <c r="A142" s="2227" t="s">
        <v>29103</v>
      </c>
      <c r="B142" s="2184" t="s">
        <v>30739</v>
      </c>
      <c r="C142" s="2824" t="s">
        <v>22744</v>
      </c>
      <c r="D142" s="2825"/>
      <c r="E142" s="1984"/>
      <c r="F142" s="2872"/>
      <c r="H142" s="3710"/>
      <c r="I142" s="3711"/>
      <c r="K142" s="1660"/>
      <c r="L142" s="1660">
        <f t="shared" si="11"/>
        <v>0</v>
      </c>
    </row>
    <row r="143" spans="1:12" ht="30" customHeight="1">
      <c r="A143" s="2227" t="s">
        <v>31545</v>
      </c>
      <c r="B143" s="2184" t="s">
        <v>30740</v>
      </c>
      <c r="C143" s="2824" t="s">
        <v>22744</v>
      </c>
      <c r="D143" s="2825"/>
      <c r="E143" s="1984"/>
      <c r="F143" s="2872"/>
      <c r="H143" s="3712"/>
      <c r="I143" s="3713"/>
      <c r="K143" s="1660"/>
      <c r="L143" s="1660">
        <f t="shared" si="11"/>
        <v>0</v>
      </c>
    </row>
    <row r="144" spans="1:12" ht="30" customHeight="1">
      <c r="A144" s="2230" t="s">
        <v>29104</v>
      </c>
      <c r="B144" s="2177" t="s">
        <v>29105</v>
      </c>
      <c r="C144" s="2837" t="s">
        <v>30</v>
      </c>
      <c r="D144" s="2873"/>
      <c r="E144" s="2229" t="str">
        <f>IF(AND(E138&gt;0,E139&gt;=0,E139&lt;&gt;"",E139&lt;=E138),E139/E138,"")</f>
        <v/>
      </c>
      <c r="F144" s="2813" t="s">
        <v>29106</v>
      </c>
      <c r="H144" s="2801"/>
      <c r="I144" s="1980" t="str">
        <f>IF(AND(E7="X",E144=""),"Indicatore non calcolabile","")</f>
        <v/>
      </c>
      <c r="K144" s="1660"/>
      <c r="L144" s="1660">
        <f t="shared" si="11"/>
        <v>0</v>
      </c>
    </row>
    <row r="145" spans="1:12" ht="30" customHeight="1">
      <c r="A145" s="2230" t="s">
        <v>29107</v>
      </c>
      <c r="B145" s="2177" t="s">
        <v>29108</v>
      </c>
      <c r="C145" s="2874" t="s">
        <v>21</v>
      </c>
      <c r="D145" s="2839"/>
      <c r="E145" s="2081" t="str">
        <f>IF(E132="","",IF(AND(E132="",E137="",E144=""),"",IF(E132&gt;(0.005/100),"E",IF(AND(E132&lt;=(0.005/100),E137&gt;(5/100)),"D",IF(AND(E132&lt;=(0.005/100),E137&gt;(1/100)),"C",IF(AND(E132&lt;=(0.001/100),E137&lt;=(1/100),E144&lt;=(0.04/100)),"A",IF(AND(E132&lt;=(0.005/100),E137&lt;=(1/100)),"B","B")))))))</f>
        <v/>
      </c>
      <c r="F145" s="2813" t="s">
        <v>30741</v>
      </c>
      <c r="H145" s="2840"/>
      <c r="I145" s="2052"/>
      <c r="K145" s="1660"/>
      <c r="L145" s="1660">
        <f t="shared" si="11"/>
        <v>0</v>
      </c>
    </row>
    <row r="146" spans="1:12" ht="30" customHeight="1">
      <c r="A146" s="2230" t="s">
        <v>29109</v>
      </c>
      <c r="B146" s="2177" t="s">
        <v>29110</v>
      </c>
      <c r="C146" s="2874" t="s">
        <v>21</v>
      </c>
      <c r="D146" s="2875"/>
      <c r="E146" s="2093" t="str">
        <f>IF(E145="A","Mantenimento",IF(E145="B","-4% di M3b",IF(E145="C","-6% di M3b",IF(E145="D","-8% di M3b",IF(E145="E","-10% di M3b","")))))</f>
        <v/>
      </c>
      <c r="F146" s="2813" t="s">
        <v>30741</v>
      </c>
      <c r="H146" s="2840"/>
      <c r="I146" s="2052"/>
      <c r="K146" s="1660"/>
      <c r="L146" s="1660">
        <f t="shared" si="11"/>
        <v>0</v>
      </c>
    </row>
    <row r="147" spans="1:12" ht="45" customHeight="1">
      <c r="A147" s="2230" t="s">
        <v>29111</v>
      </c>
      <c r="B147" s="2177" t="s">
        <v>29112</v>
      </c>
      <c r="C147" s="2837" t="s">
        <v>29113</v>
      </c>
      <c r="D147" s="2876"/>
      <c r="E147" s="2231" t="str">
        <f>IF(AND(E40&gt;0,E133&gt;0),E133/E40*1000,"")</f>
        <v/>
      </c>
      <c r="F147" s="2813" t="s">
        <v>30742</v>
      </c>
      <c r="H147" s="2840"/>
      <c r="I147" s="2052"/>
      <c r="K147" s="1660"/>
      <c r="L147" s="1660">
        <f t="shared" si="11"/>
        <v>0</v>
      </c>
    </row>
    <row r="148" spans="1:12" ht="63.75">
      <c r="A148" s="2227" t="s">
        <v>29114</v>
      </c>
      <c r="B148" s="2174" t="s">
        <v>30743</v>
      </c>
      <c r="C148" s="2837" t="s">
        <v>21</v>
      </c>
      <c r="D148" s="2862"/>
      <c r="E148" s="2074"/>
      <c r="F148" s="2813" t="s">
        <v>31546</v>
      </c>
      <c r="H148" s="2840"/>
      <c r="I148" s="2052"/>
      <c r="K148" s="1660"/>
      <c r="L148" s="1660">
        <f t="shared" si="11"/>
        <v>0</v>
      </c>
    </row>
    <row r="149" spans="1:12" ht="45" customHeight="1">
      <c r="A149" s="2227" t="s">
        <v>31547</v>
      </c>
      <c r="B149" s="2174" t="s">
        <v>30744</v>
      </c>
      <c r="C149" s="2824" t="s">
        <v>22744</v>
      </c>
      <c r="D149" s="2825"/>
      <c r="E149" s="1984"/>
      <c r="F149" s="2813" t="s">
        <v>30745</v>
      </c>
      <c r="H149" s="2801"/>
      <c r="I149" s="1980" t="str">
        <f>IF(AND(E149&lt;&gt;"",OR(E149&gt;E87,E149&lt;0)),"Il valore deve essere maggiore o uguale a zero e inferiore o uguale a U_tot,ACQ","")</f>
        <v/>
      </c>
      <c r="K149" s="1660"/>
      <c r="L149" s="1660">
        <f t="shared" si="11"/>
        <v>0</v>
      </c>
    </row>
    <row r="150" spans="1:12" ht="30" customHeight="1" thickBot="1">
      <c r="A150" s="2232" t="s">
        <v>29115</v>
      </c>
      <c r="B150" s="2233" t="s">
        <v>29116</v>
      </c>
      <c r="C150" s="2234" t="s">
        <v>30</v>
      </c>
      <c r="D150" s="2877"/>
      <c r="E150" s="2235" t="str">
        <f>IF(AND(E87&gt;0,E149&lt;=E87,E149&gt;=0),E149/E87,"")</f>
        <v/>
      </c>
      <c r="F150" s="1977" t="s">
        <v>29117</v>
      </c>
      <c r="H150" s="2822"/>
      <c r="I150" s="1976"/>
      <c r="K150" s="1660"/>
      <c r="L150" s="1660">
        <f t="shared" si="11"/>
        <v>0</v>
      </c>
    </row>
    <row r="153" spans="1:12">
      <c r="B153" s="2236" t="s">
        <v>29118</v>
      </c>
    </row>
    <row r="154" spans="1:12">
      <c r="B154" s="1973" t="s">
        <v>29119</v>
      </c>
    </row>
    <row r="155" spans="1:12">
      <c r="B155" s="2237" t="s">
        <v>133</v>
      </c>
    </row>
    <row r="156" spans="1:12">
      <c r="B156" s="1974" t="s">
        <v>137</v>
      </c>
    </row>
    <row r="157" spans="1:12">
      <c r="B157" s="1692"/>
    </row>
    <row r="158" spans="1:12">
      <c r="B158" s="2238"/>
    </row>
    <row r="159" spans="1:12">
      <c r="A159" s="1693"/>
      <c r="B159" s="1996" t="s">
        <v>3</v>
      </c>
    </row>
  </sheetData>
  <sheetProtection algorithmName="SHA-512" hashValue="sSeJPGRUSonBT57zuuV4I632cGQxU7t7sogeF7U5rWIHmcfqRUTCSngGBxsc4qI7yOVUMVJwA+a3JzH4jPgJVA==" saltValue="L1RHRYQ1UVbSy6ghk57wlg==" spinCount="100000" sheet="1" objects="1" scenarios="1"/>
  <mergeCells count="22">
    <mergeCell ref="H29:H30"/>
    <mergeCell ref="I29:I30"/>
    <mergeCell ref="H35:H38"/>
    <mergeCell ref="I35:I38"/>
    <mergeCell ref="H43:H44"/>
    <mergeCell ref="I43:I44"/>
    <mergeCell ref="H57:H58"/>
    <mergeCell ref="I57:I58"/>
    <mergeCell ref="H68:H69"/>
    <mergeCell ref="I68:I69"/>
    <mergeCell ref="H70:H71"/>
    <mergeCell ref="I70:I71"/>
    <mergeCell ref="H135:H136"/>
    <mergeCell ref="I135:I136"/>
    <mergeCell ref="H140:H143"/>
    <mergeCell ref="I140:I143"/>
    <mergeCell ref="H81:H82"/>
    <mergeCell ref="I81:I82"/>
    <mergeCell ref="H85:H86"/>
    <mergeCell ref="I85:I86"/>
    <mergeCell ref="H105:H106"/>
    <mergeCell ref="I105:I106"/>
  </mergeCells>
  <conditionalFormatting sqref="L2">
    <cfRule type="cellIs" dxfId="37" priority="1" operator="lessThanOrEqual">
      <formula>0</formula>
    </cfRule>
    <cfRule type="cellIs" dxfId="36" priority="2" operator="greaterThan">
      <formula>0</formula>
    </cfRule>
  </conditionalFormatting>
  <dataValidations count="5">
    <dataValidation type="list" allowBlank="1" showInputMessage="1" showErrorMessage="1" sqref="E76 E23" xr:uid="{8C284FEF-E02D-405A-907E-AB2E3C86A116}">
      <formula1>$B$153:$B$154</formula1>
    </dataValidation>
    <dataValidation type="list" showInputMessage="1" showErrorMessage="1" sqref="E4:E7" xr:uid="{3D04BAA4-F8BA-4A47-B1EB-97D272293953}">
      <formula1>$B$158:$B$159</formula1>
    </dataValidation>
    <dataValidation type="list" allowBlank="1" showInputMessage="1" showErrorMessage="1" sqref="E3 E24" xr:uid="{9CC01A5B-1E47-48ED-B46E-2371EE1949D1}">
      <formula1>$B$155:$B$156</formula1>
    </dataValidation>
    <dataValidation type="list" showInputMessage="1" showErrorMessage="1" sqref="E124" xr:uid="{BA9F1DA0-DB12-4529-8FFF-5E2ED93E1716}">
      <formula1>$B$153:$B$154</formula1>
    </dataValidation>
    <dataValidation type="list" allowBlank="1" showInputMessage="1" showErrorMessage="1" sqref="E116:E118 E125 E100:E101 E77 E148 E25" xr:uid="{B548360F-2EDA-4850-AC68-714B12FB7990}">
      <formula1>$B$158:$B$159</formula1>
    </dataValidation>
  </dataValidations>
  <pageMargins left="0.59055118110236227" right="0.23622047244094491" top="0.31496062992125984" bottom="0.35433070866141736" header="0.15748031496062992" footer="0.19685039370078741"/>
  <pageSetup paperSize="8" scale="99" fitToHeight="0" orientation="landscape" r:id="rId1"/>
  <drawing r:id="rId2"/>
  <legacyDrawing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EBC04-C58A-48E4-8302-F253D8F2F560}">
  <sheetPr codeName="Sheet5">
    <tabColor rgb="FFDCE6F1"/>
    <pageSetUpPr fitToPage="1"/>
  </sheetPr>
  <dimension ref="A1:L195"/>
  <sheetViews>
    <sheetView showGridLines="0" zoomScale="80" zoomScaleNormal="80" workbookViewId="0">
      <pane xSplit="3" ySplit="2" topLeftCell="E26" activePane="bottomRight" state="frozen"/>
      <selection activeCell="B4" sqref="B4"/>
      <selection pane="topRight" activeCell="B4" sqref="B4"/>
      <selection pane="bottomLeft" activeCell="B4" sqref="B4"/>
      <selection pane="bottomRight"/>
    </sheetView>
  </sheetViews>
  <sheetFormatPr defaultColWidth="8.85546875" defaultRowHeight="15"/>
  <cols>
    <col min="1" max="1" width="12.85546875" customWidth="1"/>
    <col min="2" max="2" width="50.85546875" customWidth="1"/>
    <col min="3" max="3" width="9.85546875" customWidth="1"/>
    <col min="4" max="4" width="13.85546875" hidden="1" customWidth="1"/>
    <col min="5" max="5" width="14.85546875" customWidth="1"/>
    <col min="6" max="6" width="50.85546875" customWidth="1"/>
    <col min="7" max="7" width="2.85546875" customWidth="1"/>
    <col min="8" max="8" width="25.85546875" hidden="1" customWidth="1"/>
    <col min="9" max="9" width="25.85546875" customWidth="1"/>
    <col min="10" max="10" width="2.85546875" customWidth="1"/>
    <col min="11" max="11" width="20.85546875" style="1670" hidden="1" customWidth="1"/>
    <col min="12" max="12" width="20.85546875" style="1670" customWidth="1"/>
  </cols>
  <sheetData>
    <row r="1" spans="1:12" ht="69.95" customHeight="1" thickBot="1">
      <c r="B1" s="1656" t="s">
        <v>29990</v>
      </c>
      <c r="C1" s="1655"/>
      <c r="D1" s="1657"/>
      <c r="E1" s="1657"/>
      <c r="F1" s="810"/>
      <c r="K1" s="2791"/>
      <c r="L1" s="1658" t="s">
        <v>31524</v>
      </c>
    </row>
    <row r="2" spans="1:12" ht="70.349999999999994" customHeight="1" thickBot="1">
      <c r="A2" s="1990" t="s">
        <v>25449</v>
      </c>
      <c r="B2" s="1991" t="s">
        <v>25450</v>
      </c>
      <c r="C2" s="2007" t="s">
        <v>22740</v>
      </c>
      <c r="D2" s="2878"/>
      <c r="E2" s="2879" t="s">
        <v>31525</v>
      </c>
      <c r="F2" s="2008" t="s">
        <v>25448</v>
      </c>
      <c r="H2" s="2794"/>
      <c r="I2" s="2013" t="s">
        <v>31526</v>
      </c>
      <c r="K2" s="2795"/>
      <c r="L2" s="2072">
        <f>SUM(L3:L48)</f>
        <v>0</v>
      </c>
    </row>
    <row r="3" spans="1:12" ht="32.1" customHeight="1">
      <c r="A3" s="1694" t="s">
        <v>29120</v>
      </c>
      <c r="B3" s="1672" t="s">
        <v>29121</v>
      </c>
      <c r="C3" s="1673" t="s">
        <v>21</v>
      </c>
      <c r="D3" s="2859"/>
      <c r="E3" s="1510"/>
      <c r="F3" s="1968" t="s">
        <v>28878</v>
      </c>
      <c r="H3" s="2880"/>
      <c r="I3" s="1703"/>
      <c r="K3" s="1660"/>
      <c r="L3" s="1660">
        <f t="shared" ref="L3:L48" si="0">IF(I3="",0,1)</f>
        <v>0</v>
      </c>
    </row>
    <row r="4" spans="1:12" ht="25.35" customHeight="1">
      <c r="A4" s="2053" t="s">
        <v>29122</v>
      </c>
      <c r="B4" s="2161" t="s">
        <v>29123</v>
      </c>
      <c r="C4" s="2837" t="s">
        <v>21</v>
      </c>
      <c r="D4" s="2799"/>
      <c r="E4" s="2239"/>
      <c r="F4" s="2881"/>
      <c r="H4" s="2828"/>
      <c r="I4" s="2075"/>
      <c r="K4" s="1660"/>
      <c r="L4" s="1660">
        <f t="shared" si="0"/>
        <v>0</v>
      </c>
    </row>
    <row r="5" spans="1:12" ht="25.35" customHeight="1">
      <c r="A5" s="2053" t="s">
        <v>29124</v>
      </c>
      <c r="B5" s="2161" t="s">
        <v>29125</v>
      </c>
      <c r="C5" s="2837" t="s">
        <v>21</v>
      </c>
      <c r="D5" s="2799"/>
      <c r="E5" s="2239"/>
      <c r="F5" s="2881"/>
      <c r="H5" s="2828"/>
      <c r="I5" s="2075"/>
      <c r="K5" s="1660"/>
      <c r="L5" s="1660">
        <f t="shared" si="0"/>
        <v>0</v>
      </c>
    </row>
    <row r="6" spans="1:12" ht="25.35" customHeight="1">
      <c r="A6" s="2053" t="s">
        <v>29126</v>
      </c>
      <c r="B6" s="2161" t="s">
        <v>29127</v>
      </c>
      <c r="C6" s="2837" t="s">
        <v>21</v>
      </c>
      <c r="D6" s="2799"/>
      <c r="E6" s="2239"/>
      <c r="F6" s="2882" t="s">
        <v>29128</v>
      </c>
      <c r="H6" s="2828"/>
      <c r="I6" s="2075"/>
      <c r="K6" s="1660"/>
      <c r="L6" s="1660">
        <f t="shared" si="0"/>
        <v>0</v>
      </c>
    </row>
    <row r="7" spans="1:12" ht="30" customHeight="1">
      <c r="A7" s="2216" t="s">
        <v>29129</v>
      </c>
      <c r="B7" s="2189" t="s">
        <v>29130</v>
      </c>
      <c r="C7" s="2883" t="s">
        <v>28889</v>
      </c>
      <c r="D7" s="2802"/>
      <c r="E7" s="2048"/>
      <c r="F7" s="2813"/>
      <c r="H7" s="2801"/>
      <c r="I7" s="1980" t="str">
        <f>IF(E$3="SI",IF(E7&lt;=0,"Il valore deve essere maggiore di zero",""),IF(E7&lt;&gt;0,"Non risulta gestito il servizio di fognatura",""))</f>
        <v/>
      </c>
      <c r="K7" s="1660"/>
      <c r="L7" s="1660">
        <f t="shared" si="0"/>
        <v>0</v>
      </c>
    </row>
    <row r="8" spans="1:12" ht="30" customHeight="1">
      <c r="A8" s="2240" t="s">
        <v>29131</v>
      </c>
      <c r="B8" s="2164" t="s">
        <v>29132</v>
      </c>
      <c r="C8" s="2824" t="s">
        <v>28889</v>
      </c>
      <c r="D8" s="2802"/>
      <c r="E8" s="2048"/>
      <c r="F8" s="2813"/>
      <c r="H8" s="2801"/>
      <c r="I8" s="1980" t="str">
        <f>IF(E8&lt;0,"Il valore deve essere maggiore o uguale a zero","")</f>
        <v/>
      </c>
      <c r="K8" s="1660"/>
      <c r="L8" s="1660">
        <f t="shared" si="0"/>
        <v>0</v>
      </c>
    </row>
    <row r="9" spans="1:12" ht="30" customHeight="1">
      <c r="A9" s="2062" t="s">
        <v>29133</v>
      </c>
      <c r="B9" s="2166" t="s">
        <v>29134</v>
      </c>
      <c r="C9" s="2884" t="s">
        <v>28894</v>
      </c>
      <c r="D9" s="2802"/>
      <c r="E9" s="2048"/>
      <c r="F9" s="2813"/>
      <c r="H9" s="2801"/>
      <c r="I9" s="1980" t="str">
        <f>IF(E$3="SI",IF(E9&lt;=0,"Il valore deve essere maggiore di zero",""),IF(E9&lt;&gt;0,"Non risulta gestito il servizio di fognatura",""))</f>
        <v/>
      </c>
      <c r="K9" s="1660"/>
      <c r="L9" s="1660">
        <f t="shared" si="0"/>
        <v>0</v>
      </c>
    </row>
    <row r="10" spans="1:12" ht="30" customHeight="1">
      <c r="A10" s="2062" t="s">
        <v>29135</v>
      </c>
      <c r="B10" s="2166" t="s">
        <v>29136</v>
      </c>
      <c r="C10" s="2884" t="s">
        <v>28897</v>
      </c>
      <c r="D10" s="2802"/>
      <c r="E10" s="2048"/>
      <c r="F10" s="2813"/>
      <c r="H10" s="2801"/>
      <c r="I10" s="1980" t="str">
        <f>IF(E$3="SI",IF(E10&lt;=0,"Il valore deve essere maggiore di zero",""),IF(E10&lt;&gt;0,"Non risulta gestito il servizio di fognatura",""))</f>
        <v/>
      </c>
      <c r="K10" s="1660"/>
      <c r="L10" s="1660">
        <f t="shared" si="0"/>
        <v>0</v>
      </c>
    </row>
    <row r="11" spans="1:12" ht="32.1" customHeight="1" thickBot="1">
      <c r="A11" s="2039" t="s">
        <v>29137</v>
      </c>
      <c r="B11" s="2170" t="s">
        <v>29138</v>
      </c>
      <c r="C11" s="2241" t="s">
        <v>25454</v>
      </c>
      <c r="D11" s="2885"/>
      <c r="E11" s="2242"/>
      <c r="F11" s="2068" t="s">
        <v>28900</v>
      </c>
      <c r="G11" s="1695"/>
      <c r="H11" s="2806"/>
      <c r="I11" s="2046" t="str">
        <f>IF(E11&lt;0,"Il valore deve essere maggiore o uguale a zero","")</f>
        <v/>
      </c>
      <c r="J11" s="1695"/>
      <c r="K11" s="1660"/>
      <c r="L11" s="1660">
        <f t="shared" si="0"/>
        <v>0</v>
      </c>
    </row>
    <row r="12" spans="1:12" ht="10.5" customHeight="1">
      <c r="A12" s="1696"/>
      <c r="B12" s="1697"/>
      <c r="C12" s="1698"/>
      <c r="D12" s="1698"/>
      <c r="E12" s="1698"/>
      <c r="F12" s="1698"/>
      <c r="G12" s="1698"/>
      <c r="H12" s="1698"/>
      <c r="I12" s="1700"/>
      <c r="K12" s="1660"/>
      <c r="L12" s="1660">
        <f t="shared" si="0"/>
        <v>0</v>
      </c>
    </row>
    <row r="13" spans="1:12" ht="18" thickBot="1">
      <c r="A13" s="2807" t="s">
        <v>31548</v>
      </c>
      <c r="B13" s="1697"/>
      <c r="C13" s="1698"/>
      <c r="D13" s="1698"/>
      <c r="E13" s="1698"/>
      <c r="F13" s="1698"/>
      <c r="G13" s="1698"/>
      <c r="H13" s="1698"/>
      <c r="I13" s="1700"/>
      <c r="K13" s="1660"/>
      <c r="L13" s="1660">
        <f t="shared" si="0"/>
        <v>0</v>
      </c>
    </row>
    <row r="14" spans="1:12" ht="37.5" customHeight="1">
      <c r="A14" s="1701" t="s">
        <v>29139</v>
      </c>
      <c r="B14" s="1969" t="s">
        <v>30031</v>
      </c>
      <c r="C14" s="1687" t="s">
        <v>22744</v>
      </c>
      <c r="D14" s="2886"/>
      <c r="E14" s="2244"/>
      <c r="F14" s="1688"/>
      <c r="H14" s="2798"/>
      <c r="I14" s="1669" t="str">
        <f>IF(E3="SI",IF(OR(E14&lt;0,E14=""),"Il valore deve essere maggiore o uguale a zero",""),IF(E14&lt;&gt;0,"Non risulta gestito il servizio di fognatura",""))</f>
        <v/>
      </c>
      <c r="K14" s="1660"/>
      <c r="L14" s="1660">
        <f t="shared" si="0"/>
        <v>0</v>
      </c>
    </row>
    <row r="15" spans="1:12" ht="45" customHeight="1">
      <c r="A15" s="2054" t="s">
        <v>29140</v>
      </c>
      <c r="B15" s="2245" t="s">
        <v>30032</v>
      </c>
      <c r="C15" s="2843" t="s">
        <v>28</v>
      </c>
      <c r="D15" s="2811"/>
      <c r="E15" s="2218"/>
      <c r="F15" s="2863"/>
      <c r="H15" s="2801"/>
      <c r="I15" s="1980" t="str">
        <f>IF(E3="SI",IF(OR(E15&lt;0,E15=""),"Il valore deve essere maggiore o uguale a zero",""),IF(E15&lt;&gt;0,"Non risulta gestito il servizio di fognatura",""))</f>
        <v/>
      </c>
      <c r="K15" s="1660"/>
      <c r="L15" s="1660">
        <f t="shared" si="0"/>
        <v>0</v>
      </c>
    </row>
    <row r="16" spans="1:12" ht="45" customHeight="1">
      <c r="A16" s="2220" t="s">
        <v>29141</v>
      </c>
      <c r="B16" s="2221" t="s">
        <v>29142</v>
      </c>
      <c r="C16" s="2812" t="s">
        <v>21</v>
      </c>
      <c r="D16" s="2887"/>
      <c r="E16" s="2246" t="str">
        <f t="shared" ref="E16" si="1">IF(E3="SI",IF(OR(E14&gt;0,E15&gt;0,AND(E14="",E15="")),"NO","SI"),"")</f>
        <v/>
      </c>
      <c r="F16" s="2813" t="s">
        <v>31549</v>
      </c>
      <c r="H16" s="2801"/>
      <c r="I16" s="1980" t="str">
        <f>IF(AND(E$3="SI",E16="NO"),"Attenzione, prerequisito mancante","")</f>
        <v/>
      </c>
      <c r="K16" s="1660"/>
      <c r="L16" s="1660">
        <f t="shared" si="0"/>
        <v>0</v>
      </c>
    </row>
    <row r="17" spans="1:12" ht="43.5" customHeight="1">
      <c r="A17" s="2220" t="s">
        <v>29143</v>
      </c>
      <c r="B17" s="1967" t="s">
        <v>29144</v>
      </c>
      <c r="C17" s="1958" t="s">
        <v>21</v>
      </c>
      <c r="D17" s="2814"/>
      <c r="E17" s="2182"/>
      <c r="F17" s="2076" t="s">
        <v>31550</v>
      </c>
      <c r="H17" s="2801"/>
      <c r="I17" s="1980" t="str">
        <f>IF(AND(E$3="SI",OR(E17="Non adeguato",E17="")),"Attenzione, prerequisito mancante","")</f>
        <v/>
      </c>
      <c r="K17" s="1660"/>
      <c r="L17" s="1660">
        <f t="shared" si="0"/>
        <v>0</v>
      </c>
    </row>
    <row r="18" spans="1:12" ht="45" customHeight="1" thickBot="1">
      <c r="A18" s="2183" t="s">
        <v>29145</v>
      </c>
      <c r="B18" s="1986" t="s">
        <v>29146</v>
      </c>
      <c r="C18" s="1983" t="s">
        <v>21</v>
      </c>
      <c r="D18" s="2821"/>
      <c r="E18" s="1982"/>
      <c r="F18" s="1977" t="s">
        <v>31543</v>
      </c>
      <c r="H18" s="2822"/>
      <c r="I18" s="1976"/>
      <c r="K18" s="1660"/>
      <c r="L18" s="1660">
        <f t="shared" si="0"/>
        <v>0</v>
      </c>
    </row>
    <row r="19" spans="1:12" ht="10.5" customHeight="1">
      <c r="K19" s="1660"/>
      <c r="L19" s="1660">
        <f t="shared" si="0"/>
        <v>0</v>
      </c>
    </row>
    <row r="20" spans="1:12" ht="18" thickBot="1">
      <c r="A20" s="1665" t="s">
        <v>29147</v>
      </c>
      <c r="B20" s="1697"/>
      <c r="C20" s="1698"/>
      <c r="D20" s="1698"/>
      <c r="E20" s="1698"/>
      <c r="F20" s="1698"/>
      <c r="G20" s="1698"/>
      <c r="H20" s="1698"/>
      <c r="I20" s="1698"/>
      <c r="K20" s="1660"/>
      <c r="L20" s="1660">
        <f t="shared" si="0"/>
        <v>0</v>
      </c>
    </row>
    <row r="21" spans="1:12" ht="30" customHeight="1">
      <c r="A21" s="1694" t="s">
        <v>29148</v>
      </c>
      <c r="B21" s="1672" t="s">
        <v>29149</v>
      </c>
      <c r="C21" s="1673" t="s">
        <v>24</v>
      </c>
      <c r="D21" s="2808"/>
      <c r="E21" s="2173"/>
      <c r="F21" s="1668"/>
      <c r="H21" s="2798"/>
      <c r="I21" s="1669" t="str">
        <f t="shared" ref="I21:I23" si="2">IF(E21&lt;0,"Il valore deve essere maggiore o uguale a zero","")</f>
        <v/>
      </c>
      <c r="K21" s="1660"/>
      <c r="L21" s="1660">
        <f t="shared" si="0"/>
        <v>0</v>
      </c>
    </row>
    <row r="22" spans="1:12" ht="30" customHeight="1">
      <c r="A22" s="2053" t="s">
        <v>29150</v>
      </c>
      <c r="B22" s="2164" t="s">
        <v>29151</v>
      </c>
      <c r="C22" s="2824" t="s">
        <v>24</v>
      </c>
      <c r="D22" s="2809"/>
      <c r="E22" s="2175"/>
      <c r="F22" s="2813" t="s">
        <v>29152</v>
      </c>
      <c r="H22" s="2801"/>
      <c r="I22" s="1980" t="str">
        <f t="shared" si="2"/>
        <v/>
      </c>
      <c r="K22" s="1660"/>
      <c r="L22" s="1660">
        <f t="shared" si="0"/>
        <v>0</v>
      </c>
    </row>
    <row r="23" spans="1:12" ht="30" customHeight="1">
      <c r="A23" s="2053" t="s">
        <v>29153</v>
      </c>
      <c r="B23" s="2164" t="s">
        <v>29154</v>
      </c>
      <c r="C23" s="2824" t="s">
        <v>24</v>
      </c>
      <c r="D23" s="2809"/>
      <c r="E23" s="2175"/>
      <c r="F23" s="2813"/>
      <c r="H23" s="2801"/>
      <c r="I23" s="1980" t="str">
        <f t="shared" si="2"/>
        <v/>
      </c>
      <c r="K23" s="1660"/>
      <c r="L23" s="1660">
        <f t="shared" si="0"/>
        <v>0</v>
      </c>
    </row>
    <row r="24" spans="1:12" ht="30" customHeight="1">
      <c r="A24" s="2053" t="s">
        <v>29155</v>
      </c>
      <c r="B24" s="2164" t="s">
        <v>29156</v>
      </c>
      <c r="C24" s="2824" t="s">
        <v>24</v>
      </c>
      <c r="D24" s="2888"/>
      <c r="E24" s="2247">
        <f t="shared" ref="E24" si="3">E21+E22+E23</f>
        <v>0</v>
      </c>
      <c r="F24" s="2813"/>
      <c r="H24" s="2801"/>
      <c r="I24" s="1980" t="str">
        <f>IF(AND(E3="SI",E24&lt;=0),"La lunghezza della rete fognaria principale deve essere maggiore di zero","")</f>
        <v/>
      </c>
      <c r="K24" s="1660"/>
      <c r="L24" s="1660">
        <f t="shared" si="0"/>
        <v>0</v>
      </c>
    </row>
    <row r="25" spans="1:12" ht="39.75" customHeight="1">
      <c r="A25" s="2240" t="s">
        <v>29157</v>
      </c>
      <c r="B25" s="2164" t="s">
        <v>29158</v>
      </c>
      <c r="C25" s="2824" t="s">
        <v>22744</v>
      </c>
      <c r="D25" s="2809"/>
      <c r="E25" s="2175"/>
      <c r="F25" s="2813"/>
      <c r="H25" s="2801"/>
      <c r="I25" s="1980" t="str">
        <f t="shared" ref="I25:I27" si="4">IF(E25&lt;0,"Il valore deve essere maggiore o uguale a zero","")</f>
        <v/>
      </c>
      <c r="K25" s="1660"/>
      <c r="L25" s="1660">
        <f t="shared" si="0"/>
        <v>0</v>
      </c>
    </row>
    <row r="26" spans="1:12" ht="39.75" customHeight="1">
      <c r="A26" s="2240" t="s">
        <v>29159</v>
      </c>
      <c r="B26" s="2164" t="s">
        <v>29160</v>
      </c>
      <c r="C26" s="2824" t="s">
        <v>22744</v>
      </c>
      <c r="D26" s="2809"/>
      <c r="E26" s="2175"/>
      <c r="F26" s="2813"/>
      <c r="H26" s="2801"/>
      <c r="I26" s="1980" t="str">
        <f t="shared" si="4"/>
        <v/>
      </c>
      <c r="K26" s="1660"/>
      <c r="L26" s="1660">
        <f t="shared" si="0"/>
        <v>0</v>
      </c>
    </row>
    <row r="27" spans="1:12" ht="30" customHeight="1">
      <c r="A27" s="2240" t="s">
        <v>29161</v>
      </c>
      <c r="B27" s="2164" t="s">
        <v>29162</v>
      </c>
      <c r="C27" s="2824" t="s">
        <v>22744</v>
      </c>
      <c r="D27" s="2809"/>
      <c r="E27" s="2175"/>
      <c r="F27" s="2813"/>
      <c r="H27" s="2801"/>
      <c r="I27" s="1980" t="str">
        <f t="shared" si="4"/>
        <v/>
      </c>
      <c r="K27" s="1660"/>
      <c r="L27" s="1660">
        <f t="shared" si="0"/>
        <v>0</v>
      </c>
    </row>
    <row r="28" spans="1:12" ht="30" customHeight="1">
      <c r="A28" s="2180" t="s">
        <v>25455</v>
      </c>
      <c r="B28" s="2203" t="s">
        <v>25456</v>
      </c>
      <c r="C28" s="2837" t="s">
        <v>29163</v>
      </c>
      <c r="D28" s="2889"/>
      <c r="E28" s="2248" t="str">
        <f t="shared" ref="E28" si="5">IF(AND(E24&gt;0,OR(E25&lt;&gt;"",E26&lt;&gt;"",E27&lt;&gt;""),E25&gt;=0,E26&gt;=0,E27&gt;=0,E21&gt;=0,E22&gt;=0,E23&gt;=0),(E25+E26+E27)/(E21+E22+E23)*100,"")</f>
        <v/>
      </c>
      <c r="F28" s="2813" t="s">
        <v>29164</v>
      </c>
      <c r="H28" s="2801"/>
      <c r="I28" s="1980" t="str">
        <f>IF(AND(E3="SI",E28=""),"Indicatore non calcolabile","")</f>
        <v/>
      </c>
      <c r="K28" s="1660"/>
      <c r="L28" s="1660">
        <f t="shared" si="0"/>
        <v>0</v>
      </c>
    </row>
    <row r="29" spans="1:12" ht="30" customHeight="1">
      <c r="A29" s="2053" t="s">
        <v>29165</v>
      </c>
      <c r="B29" s="2164" t="s">
        <v>29166</v>
      </c>
      <c r="C29" s="2824" t="s">
        <v>22744</v>
      </c>
      <c r="D29" s="2809"/>
      <c r="E29" s="2175"/>
      <c r="F29" s="2813"/>
      <c r="H29" s="2801"/>
      <c r="I29" s="1980" t="str">
        <f>IF(AND(E21&gt;0,E29=""),"Attenzione, il valore dovrebbe essere maggiore di zero",IF(E29&lt;0,"Il valore deve essere maggiore o uguale a zero",""))</f>
        <v/>
      </c>
      <c r="K29" s="1660"/>
      <c r="L29" s="1660">
        <f t="shared" si="0"/>
        <v>0</v>
      </c>
    </row>
    <row r="30" spans="1:12" ht="57" customHeight="1">
      <c r="A30" s="2240" t="s">
        <v>29167</v>
      </c>
      <c r="B30" s="2174" t="s">
        <v>30746</v>
      </c>
      <c r="C30" s="2824" t="s">
        <v>22744</v>
      </c>
      <c r="D30" s="2809"/>
      <c r="E30" s="2175"/>
      <c r="F30" s="2813" t="s">
        <v>30747</v>
      </c>
      <c r="H30" s="2801"/>
      <c r="I30" s="1980" t="str">
        <f>IF(OR(E30&lt;0,E30&gt;E29),"Il valore deve essere maggiore o uguale a zero e minore o uguale a Nscar_tot","")</f>
        <v/>
      </c>
      <c r="K30" s="1660"/>
      <c r="L30" s="1660">
        <f t="shared" si="0"/>
        <v>0</v>
      </c>
    </row>
    <row r="31" spans="1:12" ht="32.1" customHeight="1">
      <c r="A31" s="2053" t="s">
        <v>29168</v>
      </c>
      <c r="B31" s="2164" t="s">
        <v>29169</v>
      </c>
      <c r="C31" s="2824" t="s">
        <v>22744</v>
      </c>
      <c r="D31" s="2809"/>
      <c r="E31" s="2175"/>
      <c r="F31" s="2813"/>
      <c r="H31" s="2801"/>
      <c r="I31" s="1980" t="str">
        <f>IF(E31&lt;0,"Il valore deve essere maggiore o uguale a zero","")</f>
        <v/>
      </c>
      <c r="K31" s="1660"/>
      <c r="L31" s="1660">
        <f t="shared" si="0"/>
        <v>0</v>
      </c>
    </row>
    <row r="32" spans="1:12" ht="30" customHeight="1">
      <c r="A32" s="2202" t="s">
        <v>25457</v>
      </c>
      <c r="B32" s="2249" t="s">
        <v>29170</v>
      </c>
      <c r="C32" s="2837" t="s">
        <v>30</v>
      </c>
      <c r="D32" s="2855"/>
      <c r="E32" s="2082" t="str">
        <f t="shared" ref="E32" si="6">IF(E29="","",IF(E29&lt;=0,"",IF(AND(E29&gt;0,E29&gt;=E30,E30&gt;=0),(E29-E30)/E29,"")))</f>
        <v/>
      </c>
      <c r="F32" s="2813" t="s">
        <v>29171</v>
      </c>
      <c r="H32" s="2801"/>
      <c r="I32" s="1980" t="str">
        <f>IF(AND(E3="SI",E32=""),"Indicatore non calcolabile","")</f>
        <v/>
      </c>
      <c r="K32" s="1660"/>
      <c r="L32" s="1660">
        <f t="shared" si="0"/>
        <v>0</v>
      </c>
    </row>
    <row r="33" spans="1:12" ht="41.25" customHeight="1">
      <c r="A33" s="2240" t="s">
        <v>29172</v>
      </c>
      <c r="B33" s="2164" t="s">
        <v>29173</v>
      </c>
      <c r="C33" s="2824" t="s">
        <v>22744</v>
      </c>
      <c r="D33" s="2809"/>
      <c r="E33" s="2175"/>
      <c r="F33" s="2813" t="s">
        <v>29174</v>
      </c>
      <c r="H33" s="2801"/>
      <c r="I33" s="1980" t="str">
        <f>IF(OR(E33&lt;0,E33&gt;E29),"Il valore deve essere maggiore o uguale a zero e minore o uguale a Nscar_tot","")</f>
        <v/>
      </c>
      <c r="K33" s="1660"/>
      <c r="L33" s="1660">
        <f t="shared" si="0"/>
        <v>0</v>
      </c>
    </row>
    <row r="34" spans="1:12" ht="30" customHeight="1">
      <c r="A34" s="2053" t="s">
        <v>29175</v>
      </c>
      <c r="B34" s="2164" t="s">
        <v>29176</v>
      </c>
      <c r="C34" s="2824" t="s">
        <v>22744</v>
      </c>
      <c r="D34" s="2809"/>
      <c r="E34" s="2175"/>
      <c r="F34" s="2813" t="s">
        <v>29177</v>
      </c>
      <c r="H34" s="2801"/>
      <c r="I34" s="1980" t="str">
        <f>IF(OR(E34&lt;0,E34&gt;E33),"Il valore deve essere maggiore o uguale a zero e minore o uguale a Nscar_ctrl","")</f>
        <v/>
      </c>
      <c r="K34" s="1660"/>
      <c r="L34" s="1660">
        <f t="shared" si="0"/>
        <v>0</v>
      </c>
    </row>
    <row r="35" spans="1:12" ht="32.1" customHeight="1">
      <c r="A35" s="2053" t="s">
        <v>29178</v>
      </c>
      <c r="B35" s="2250" t="s">
        <v>29179</v>
      </c>
      <c r="C35" s="2824" t="s">
        <v>22744</v>
      </c>
      <c r="D35" s="2809"/>
      <c r="E35" s="2175"/>
      <c r="F35" s="2813"/>
      <c r="H35" s="2801"/>
      <c r="I35" s="1980" t="str">
        <f>IF(OR(E35&lt;0,E35&gt;E33),"Il valore deve essere maggiore o uguale a zero e minore o uguale a Nscar_ctrl","")</f>
        <v/>
      </c>
      <c r="K35" s="1660"/>
      <c r="L35" s="1660">
        <f t="shared" si="0"/>
        <v>0</v>
      </c>
    </row>
    <row r="36" spans="1:12" ht="30" customHeight="1">
      <c r="A36" s="2202" t="s">
        <v>25459</v>
      </c>
      <c r="B36" s="2249" t="s">
        <v>29180</v>
      </c>
      <c r="C36" s="2837" t="s">
        <v>30</v>
      </c>
      <c r="D36" s="2855"/>
      <c r="E36" s="2082" t="str">
        <f t="shared" ref="E36" si="7">IF(OR(E29&lt;=0,E29=""),"",IF(AND(E29&gt;0,E29&gt;=E33,E33&gt;=0),(E29-E33)/E29,1))</f>
        <v/>
      </c>
      <c r="F36" s="2813" t="s">
        <v>29181</v>
      </c>
      <c r="H36" s="2801"/>
      <c r="I36" s="1980" t="str">
        <f>IF(AND(E3="SI",E36=""),"Indicatore non calcolabile","")</f>
        <v/>
      </c>
      <c r="K36" s="1660"/>
      <c r="L36" s="1660">
        <f t="shared" si="0"/>
        <v>0</v>
      </c>
    </row>
    <row r="37" spans="1:12" ht="30" customHeight="1">
      <c r="A37" s="2176" t="s">
        <v>29182</v>
      </c>
      <c r="B37" s="2177" t="s">
        <v>29183</v>
      </c>
      <c r="C37" s="2874" t="s">
        <v>21</v>
      </c>
      <c r="D37" s="2839"/>
      <c r="E37" s="2081" t="str">
        <f>IF(E28="","",IF(AND(E28="",E32="",E36=""),"",IF(E28&gt;=5,"E",IF(AND(E28&lt;1,E32=0,E36&lt;=0.1),"A",IF(AND(E28&lt;5,E32=0),"B",IF(AND(E28&lt;5,E32&lt;=0.2),"C",IF(AND(E28&lt;5,E32&gt;0.2,E32&lt;&gt;""),"D",IF(AND(E28&lt;1,E32=""),"A",IF(AND(E28&lt;5,E32=""),"B","")))))))))</f>
        <v/>
      </c>
      <c r="F37" s="2813" t="s">
        <v>30748</v>
      </c>
      <c r="H37" s="2840"/>
      <c r="I37" s="2052"/>
      <c r="K37" s="1660"/>
      <c r="L37" s="1660">
        <f t="shared" si="0"/>
        <v>0</v>
      </c>
    </row>
    <row r="38" spans="1:12" ht="30" customHeight="1">
      <c r="A38" s="2202" t="s">
        <v>29184</v>
      </c>
      <c r="B38" s="2203" t="s">
        <v>29185</v>
      </c>
      <c r="C38" s="2837" t="s">
        <v>21</v>
      </c>
      <c r="D38" s="2854"/>
      <c r="E38" s="2092" t="str">
        <f>IF(E37="E","-10% di M4a",IF(E37="D","-10% di M4b",IF(E37="C","-7% di M4b",IF(E37="B","-5% di M4c",IF(E37="A","Mantenimento","")))))</f>
        <v/>
      </c>
      <c r="F38" s="2890"/>
      <c r="H38" s="2840"/>
      <c r="I38" s="2052"/>
      <c r="K38" s="1660"/>
      <c r="L38" s="1660">
        <f t="shared" si="0"/>
        <v>0</v>
      </c>
    </row>
    <row r="39" spans="1:12" ht="30" customHeight="1">
      <c r="A39" s="2053" t="s">
        <v>29186</v>
      </c>
      <c r="B39" s="2164" t="s">
        <v>29187</v>
      </c>
      <c r="C39" s="2824" t="s">
        <v>22744</v>
      </c>
      <c r="D39" s="2809"/>
      <c r="E39" s="2175"/>
      <c r="F39" s="2813" t="s">
        <v>29188</v>
      </c>
      <c r="H39" s="2801"/>
      <c r="I39" s="1980" t="str">
        <f>IF(AND(E3="SI",OR(E39&lt;0,E39="")),"Il valore deve essere maggiore o uguale a zero","")</f>
        <v/>
      </c>
      <c r="K39" s="1660"/>
      <c r="L39" s="1660">
        <f t="shared" si="0"/>
        <v>0</v>
      </c>
    </row>
    <row r="40" spans="1:12" ht="32.1" customHeight="1">
      <c r="A40" s="2053" t="s">
        <v>29189</v>
      </c>
      <c r="B40" s="2164" t="s">
        <v>29190</v>
      </c>
      <c r="C40" s="2824" t="s">
        <v>24</v>
      </c>
      <c r="D40" s="2891"/>
      <c r="E40" s="2251"/>
      <c r="F40" s="2813"/>
      <c r="H40" s="2801"/>
      <c r="I40" s="1980" t="str">
        <f>IF(OR(E40&lt;0,E40&gt;E21),"Il valore deve essere maggiore o uguale a zero e minore o uguale a Lm","")</f>
        <v/>
      </c>
      <c r="K40" s="1660"/>
      <c r="L40" s="1660">
        <f t="shared" si="0"/>
        <v>0</v>
      </c>
    </row>
    <row r="41" spans="1:12" ht="25.35" customHeight="1">
      <c r="A41" s="2053" t="s">
        <v>29191</v>
      </c>
      <c r="B41" s="2252" t="s">
        <v>29192</v>
      </c>
      <c r="C41" s="2824" t="s">
        <v>24</v>
      </c>
      <c r="D41" s="2891"/>
      <c r="E41" s="2251"/>
      <c r="F41" s="2813"/>
      <c r="H41" s="2801"/>
      <c r="I41" s="1980" t="str">
        <f>IF(OR(E41&lt;0,E41&gt;E40),"Il valore deve essere maggiore o uguale a zero e minore o uguale a L_m-isp","")</f>
        <v/>
      </c>
      <c r="K41" s="1660"/>
      <c r="L41" s="1660">
        <f t="shared" si="0"/>
        <v>0</v>
      </c>
    </row>
    <row r="42" spans="1:12" s="580" customFormat="1" ht="32.1" customHeight="1">
      <c r="A42" s="2053" t="s">
        <v>29193</v>
      </c>
      <c r="B42" s="2164" t="s">
        <v>29194</v>
      </c>
      <c r="C42" s="2824" t="s">
        <v>24</v>
      </c>
      <c r="D42" s="2891"/>
      <c r="E42" s="2251"/>
      <c r="F42" s="2813"/>
      <c r="G42"/>
      <c r="H42" s="2801"/>
      <c r="I42" s="1980" t="str">
        <f>IF(OR(E42&lt;0,E42&gt;E22),"Il valore deve essere maggiore o uguale a zero e minore o uguale a Lb","")</f>
        <v/>
      </c>
      <c r="J42"/>
      <c r="K42" s="1660"/>
      <c r="L42" s="1660">
        <f t="shared" si="0"/>
        <v>0</v>
      </c>
    </row>
    <row r="43" spans="1:12" ht="25.35" customHeight="1">
      <c r="A43" s="2053" t="s">
        <v>29195</v>
      </c>
      <c r="B43" s="2252" t="s">
        <v>29192</v>
      </c>
      <c r="C43" s="2824" t="s">
        <v>24</v>
      </c>
      <c r="D43" s="2891"/>
      <c r="E43" s="2251"/>
      <c r="F43" s="2813"/>
      <c r="H43" s="2801"/>
      <c r="I43" s="1980" t="str">
        <f>IF(OR(E43&lt;0,E43&gt;E42),"Il valore deve essere maggiore o uguale a zero e minore o uguale a L_b-isp","")</f>
        <v/>
      </c>
      <c r="K43" s="1660"/>
      <c r="L43" s="1660">
        <f t="shared" si="0"/>
        <v>0</v>
      </c>
    </row>
    <row r="44" spans="1:12" s="580" customFormat="1" ht="32.1" customHeight="1">
      <c r="A44" s="2053" t="s">
        <v>29196</v>
      </c>
      <c r="B44" s="2164" t="s">
        <v>29197</v>
      </c>
      <c r="C44" s="2824" t="s">
        <v>24</v>
      </c>
      <c r="D44" s="2891"/>
      <c r="E44" s="2251"/>
      <c r="F44" s="2813"/>
      <c r="G44"/>
      <c r="H44" s="2801"/>
      <c r="I44" s="1980" t="str">
        <f>IF(OR(E44&lt;0,E44&gt;E23),"Il valore deve essere maggiore o uguale a zero e minore o uguale a Ln","")</f>
        <v/>
      </c>
      <c r="J44"/>
      <c r="K44" s="1660"/>
      <c r="L44" s="1660">
        <f t="shared" si="0"/>
        <v>0</v>
      </c>
    </row>
    <row r="45" spans="1:12" ht="25.35" customHeight="1">
      <c r="A45" s="2053" t="s">
        <v>29198</v>
      </c>
      <c r="B45" s="2252" t="s">
        <v>29192</v>
      </c>
      <c r="C45" s="2824" t="s">
        <v>24</v>
      </c>
      <c r="D45" s="2891"/>
      <c r="E45" s="2251"/>
      <c r="F45" s="2813"/>
      <c r="H45" s="2801"/>
      <c r="I45" s="1980" t="str">
        <f>IF(OR(E45&lt;0,E45&gt;E44),"Il valore deve essere maggiore o uguale a zero e minore o uguale a L_n-isp","")</f>
        <v/>
      </c>
      <c r="K45" s="1660"/>
      <c r="L45" s="1660">
        <f t="shared" si="0"/>
        <v>0</v>
      </c>
    </row>
    <row r="46" spans="1:12" s="580" customFormat="1" ht="32.1" customHeight="1">
      <c r="A46" s="2253" t="s">
        <v>29199</v>
      </c>
      <c r="B46" s="2254" t="s">
        <v>29200</v>
      </c>
      <c r="C46" s="1963" t="s">
        <v>24</v>
      </c>
      <c r="D46" s="2892"/>
      <c r="E46" s="2255">
        <f t="shared" ref="E46" si="8">E40+E42+E44</f>
        <v>0</v>
      </c>
      <c r="F46" s="2826"/>
      <c r="G46"/>
      <c r="H46" s="2840"/>
      <c r="I46" s="2052"/>
      <c r="J46"/>
      <c r="K46" s="1660"/>
      <c r="L46" s="1660">
        <f t="shared" si="0"/>
        <v>0</v>
      </c>
    </row>
    <row r="47" spans="1:12" s="580" customFormat="1" ht="30" customHeight="1">
      <c r="A47" s="2202" t="s">
        <v>29201</v>
      </c>
      <c r="B47" s="2203" t="s">
        <v>29202</v>
      </c>
      <c r="C47" s="2837" t="s">
        <v>29163</v>
      </c>
      <c r="D47" s="2834"/>
      <c r="E47" s="2078" t="str">
        <f>IF(AND(E46&gt;0,E39&gt;=0,E39&lt;&gt;""),(E39/E46)*100,"")</f>
        <v/>
      </c>
      <c r="F47" s="2813" t="s">
        <v>29203</v>
      </c>
      <c r="G47"/>
      <c r="H47" s="2840"/>
      <c r="I47" s="2052"/>
      <c r="J47"/>
      <c r="K47" s="1660"/>
      <c r="L47" s="1660">
        <f t="shared" si="0"/>
        <v>0</v>
      </c>
    </row>
    <row r="48" spans="1:12" s="580" customFormat="1" ht="30" customHeight="1" thickBot="1">
      <c r="A48" s="2256" t="s">
        <v>30749</v>
      </c>
      <c r="B48" s="2257" t="s">
        <v>30750</v>
      </c>
      <c r="C48" s="2234" t="s">
        <v>30751</v>
      </c>
      <c r="D48" s="2893"/>
      <c r="E48" s="2258">
        <f>IF(E29=0,0,E29/E10)</f>
        <v>0</v>
      </c>
      <c r="F48" s="1977" t="s">
        <v>30752</v>
      </c>
      <c r="G48"/>
      <c r="H48" s="2822"/>
      <c r="I48" s="1976"/>
      <c r="J48"/>
      <c r="K48" s="1660"/>
      <c r="L48" s="1660">
        <f t="shared" si="0"/>
        <v>0</v>
      </c>
    </row>
    <row r="51" spans="2:2">
      <c r="B51" s="2236" t="s">
        <v>29118</v>
      </c>
    </row>
    <row r="52" spans="2:2">
      <c r="B52" s="1973" t="s">
        <v>29119</v>
      </c>
    </row>
    <row r="53" spans="2:2">
      <c r="B53" s="2236"/>
    </row>
    <row r="54" spans="2:2">
      <c r="B54" s="1973" t="s">
        <v>3</v>
      </c>
    </row>
    <row r="55" spans="2:2">
      <c r="B55" s="2237" t="s">
        <v>133</v>
      </c>
    </row>
    <row r="56" spans="2:2">
      <c r="B56" s="1974" t="s">
        <v>137</v>
      </c>
    </row>
    <row r="195" spans="2:2">
      <c r="B195" s="343"/>
    </row>
  </sheetData>
  <sheetProtection algorithmName="SHA-512" hashValue="orJdUofm0x1O/Mcgz+na3o9hy5pExhNH8EeDiFleyg3NFj1/boi9IBv7mPKU5KX8y6oXwdUJW5mLafLHd6D2Fg==" saltValue="pq1CyuGqH1qR+sr3G9T1pg==" spinCount="100000" sheet="1" objects="1" scenarios="1"/>
  <conditionalFormatting sqref="L2">
    <cfRule type="cellIs" dxfId="35" priority="1" operator="lessThanOrEqual">
      <formula>0</formula>
    </cfRule>
    <cfRule type="cellIs" dxfId="34" priority="2" operator="greaterThan">
      <formula>0</formula>
    </cfRule>
  </conditionalFormatting>
  <dataValidations count="3">
    <dataValidation type="list" allowBlank="1" showInputMessage="1" showErrorMessage="1" sqref="E17" xr:uid="{3E8AA3AD-A35B-42E3-B974-E97D6F11C95B}">
      <formula1>$B$51:$B$52</formula1>
    </dataValidation>
    <dataValidation type="list" allowBlank="1" showInputMessage="1" showErrorMessage="1" sqref="E4:E6 E18" xr:uid="{744AF09F-4E80-410B-94CD-0FFF564FF2EF}">
      <formula1>$B$53:$B$54</formula1>
    </dataValidation>
    <dataValidation type="list" allowBlank="1" showInputMessage="1" showErrorMessage="1" sqref="E3" xr:uid="{FF841422-EE8B-4EAA-BD0A-19D9672E6F7D}">
      <formula1>$B$55:$B$56</formula1>
    </dataValidation>
  </dataValidations>
  <pageMargins left="0.23622047244094491" right="0.23622047244094491" top="0.43307086614173229" bottom="0.47244094488188981" header="0.31496062992125984" footer="0.31496062992125984"/>
  <pageSetup paperSize="8" fitToHeight="0" orientation="landscape"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648AD-07DD-4787-B623-D6A6D84E37B9}">
  <sheetPr codeName="Sheet9">
    <tabColor rgb="FFDCE6F1"/>
    <pageSetUpPr fitToPage="1"/>
  </sheetPr>
  <dimension ref="A1:L233"/>
  <sheetViews>
    <sheetView showGridLines="0" zoomScale="80" zoomScaleNormal="80" workbookViewId="0">
      <pane xSplit="3" ySplit="2" topLeftCell="E120" activePane="bottomRight" state="frozen"/>
      <selection activeCell="B4" sqref="B4"/>
      <selection pane="topRight" activeCell="B4" sqref="B4"/>
      <selection pane="bottomLeft" activeCell="B4" sqref="B4"/>
      <selection pane="bottomRight"/>
    </sheetView>
  </sheetViews>
  <sheetFormatPr defaultColWidth="8.85546875" defaultRowHeight="15"/>
  <cols>
    <col min="1" max="1" width="16.42578125" customWidth="1"/>
    <col min="2" max="2" width="50.85546875" customWidth="1"/>
    <col min="3" max="3" width="9.85546875" customWidth="1"/>
    <col min="4" max="4" width="14.85546875" hidden="1" customWidth="1"/>
    <col min="5" max="5" width="14.85546875" customWidth="1"/>
    <col min="6" max="6" width="50.85546875" customWidth="1"/>
    <col min="7" max="7" width="2.85546875" customWidth="1"/>
    <col min="8" max="8" width="25.85546875" hidden="1" customWidth="1"/>
    <col min="9" max="9" width="25.85546875" customWidth="1"/>
    <col min="10" max="10" width="2.85546875" customWidth="1"/>
    <col min="11" max="11" width="20.85546875" style="1670" hidden="1" customWidth="1"/>
    <col min="12" max="12" width="20.85546875" style="1670" customWidth="1"/>
    <col min="13" max="13" width="35.85546875" customWidth="1"/>
  </cols>
  <sheetData>
    <row r="1" spans="1:12" ht="69.95" customHeight="1" thickBot="1">
      <c r="B1" s="1656" t="s">
        <v>29990</v>
      </c>
      <c r="C1" s="1655"/>
      <c r="D1" s="1657"/>
      <c r="E1" s="1657"/>
      <c r="F1" s="810"/>
      <c r="G1" s="1655"/>
      <c r="J1" s="1655"/>
      <c r="K1" s="2791"/>
      <c r="L1" s="1658" t="s">
        <v>31524</v>
      </c>
    </row>
    <row r="2" spans="1:12" ht="70.349999999999994" customHeight="1" thickBot="1">
      <c r="A2" s="1990" t="s">
        <v>25449</v>
      </c>
      <c r="B2" s="1991" t="s">
        <v>25450</v>
      </c>
      <c r="C2" s="2007" t="s">
        <v>22740</v>
      </c>
      <c r="D2" s="2894"/>
      <c r="E2" s="2879" t="s">
        <v>31525</v>
      </c>
      <c r="F2" s="2008" t="s">
        <v>25448</v>
      </c>
      <c r="G2" s="1655"/>
      <c r="H2" s="2895"/>
      <c r="I2" s="2026" t="s">
        <v>31526</v>
      </c>
      <c r="J2" s="1655"/>
      <c r="K2" s="2795"/>
      <c r="L2" s="2072">
        <f>SUM(L3:L144)</f>
        <v>0</v>
      </c>
    </row>
    <row r="3" spans="1:12" ht="30" customHeight="1">
      <c r="A3" s="1694" t="s">
        <v>29204</v>
      </c>
      <c r="B3" s="1672" t="s">
        <v>29205</v>
      </c>
      <c r="C3" s="1970" t="s">
        <v>21</v>
      </c>
      <c r="D3" s="2896"/>
      <c r="E3" s="1510"/>
      <c r="F3" s="1968" t="s">
        <v>28878</v>
      </c>
      <c r="G3" s="1702"/>
      <c r="H3" s="2897"/>
      <c r="I3" s="1703"/>
      <c r="J3" s="1702"/>
      <c r="K3" s="1660"/>
      <c r="L3" s="1660">
        <f t="shared" ref="L3:L66" si="0">IF(I3="",0,1)</f>
        <v>0</v>
      </c>
    </row>
    <row r="4" spans="1:12" ht="30" customHeight="1">
      <c r="A4" s="2051" t="s">
        <v>29206</v>
      </c>
      <c r="B4" s="2259" t="s">
        <v>29207</v>
      </c>
      <c r="C4" s="2884" t="s">
        <v>28889</v>
      </c>
      <c r="D4" s="2898"/>
      <c r="E4" s="1984"/>
      <c r="F4" s="2813"/>
      <c r="G4" s="1702"/>
      <c r="H4" s="2899"/>
      <c r="I4" s="1980" t="str">
        <f>IF(E$3="SI",IF(E4&lt;=0,"Il valore deve essere maggiore di zero",""),IF(E4&lt;&gt;0,"Non risulta gestito il servizio di depurazione",""))</f>
        <v/>
      </c>
      <c r="J4" s="1702"/>
      <c r="K4" s="1660"/>
      <c r="L4" s="1660">
        <f t="shared" si="0"/>
        <v>0</v>
      </c>
    </row>
    <row r="5" spans="1:12" ht="30" customHeight="1">
      <c r="A5" s="2051" t="s">
        <v>29208</v>
      </c>
      <c r="B5" s="2259" t="s">
        <v>25461</v>
      </c>
      <c r="C5" s="2884" t="s">
        <v>28889</v>
      </c>
      <c r="D5" s="2898"/>
      <c r="E5" s="1984"/>
      <c r="F5" s="2813"/>
      <c r="G5" s="1702"/>
      <c r="H5" s="2899"/>
      <c r="I5" s="1980" t="str">
        <f>IF(E5&lt;0,"Il valore deve essere maggiore o uguale a zero","")</f>
        <v/>
      </c>
      <c r="J5" s="1702"/>
      <c r="K5" s="1660"/>
      <c r="L5" s="1660">
        <f t="shared" si="0"/>
        <v>0</v>
      </c>
    </row>
    <row r="6" spans="1:12" ht="30" customHeight="1">
      <c r="A6" s="2062" t="s">
        <v>29209</v>
      </c>
      <c r="B6" s="2166" t="s">
        <v>29210</v>
      </c>
      <c r="C6" s="2884" t="s">
        <v>28894</v>
      </c>
      <c r="D6" s="2898"/>
      <c r="E6" s="1984"/>
      <c r="F6" s="2813"/>
      <c r="G6" s="1702"/>
      <c r="H6" s="2899"/>
      <c r="I6" s="1980" t="str">
        <f>IF(E3="SI",IF(E6&lt;=0,"Il valore deve essere maggiore di zero",""),IF(E6&lt;&gt;0,"Non risulta gestito il servizio di depurazione",""))</f>
        <v/>
      </c>
      <c r="J6" s="1702"/>
      <c r="K6" s="1660"/>
      <c r="L6" s="1660">
        <f t="shared" si="0"/>
        <v>0</v>
      </c>
    </row>
    <row r="7" spans="1:12" ht="30" customHeight="1">
      <c r="A7" s="2062" t="s">
        <v>29211</v>
      </c>
      <c r="B7" s="2166" t="s">
        <v>29212</v>
      </c>
      <c r="C7" s="2884" t="s">
        <v>28897</v>
      </c>
      <c r="D7" s="2898"/>
      <c r="E7" s="1984"/>
      <c r="F7" s="2813"/>
      <c r="G7" s="1702"/>
      <c r="H7" s="2899"/>
      <c r="I7" s="1980" t="str">
        <f>IF(E3="SI",IF(E7&lt;=0,"Il valore deve essere maggiore di zero",""),IF(E7&lt;&gt;0,"Non risulta gestito il servizio di depurazione",""))</f>
        <v/>
      </c>
      <c r="J7" s="1702"/>
      <c r="K7" s="1660"/>
      <c r="L7" s="1660">
        <f t="shared" si="0"/>
        <v>0</v>
      </c>
    </row>
    <row r="8" spans="1:12" ht="45" customHeight="1">
      <c r="A8" s="2060" t="s">
        <v>29213</v>
      </c>
      <c r="B8" s="2168" t="s">
        <v>29214</v>
      </c>
      <c r="C8" s="2884" t="s">
        <v>28</v>
      </c>
      <c r="D8" s="2898"/>
      <c r="E8" s="1984"/>
      <c r="F8" s="2813"/>
      <c r="G8" s="1655"/>
      <c r="H8" s="2899"/>
      <c r="I8" s="1980" t="str">
        <f>IF(AND('QT-Depurazione'!E3="SI",E8&lt;=0),"Il valore deve essere maggiore di zero","")</f>
        <v/>
      </c>
      <c r="J8" s="1655"/>
      <c r="K8" s="1660"/>
      <c r="L8" s="1660">
        <f t="shared" si="0"/>
        <v>0</v>
      </c>
    </row>
    <row r="9" spans="1:12" ht="25.35" customHeight="1">
      <c r="A9" s="2060" t="s">
        <v>29215</v>
      </c>
      <c r="B9" s="2252" t="s">
        <v>29216</v>
      </c>
      <c r="C9" s="2884" t="s">
        <v>28</v>
      </c>
      <c r="D9" s="2898"/>
      <c r="E9" s="1984"/>
      <c r="F9" s="2813" t="s">
        <v>28994</v>
      </c>
      <c r="G9" s="1655"/>
      <c r="H9" s="3724"/>
      <c r="I9" s="3711" t="str">
        <f>IF(OR(E9&lt;&gt;"",E10&lt;&gt;""),IF(OR(E9&lt;0,E10&lt;0,E10+E9&lt;&gt;E8),"Ogni di cui deve essere maggiore o uguale a zero e la somma deve essere pari a Car_dep",""),"")</f>
        <v/>
      </c>
      <c r="J9" s="1655"/>
      <c r="K9" s="1660"/>
      <c r="L9" s="1660">
        <f t="shared" si="0"/>
        <v>0</v>
      </c>
    </row>
    <row r="10" spans="1:12" ht="25.35" customHeight="1">
      <c r="A10" s="2060" t="s">
        <v>29217</v>
      </c>
      <c r="B10" s="2252" t="s">
        <v>29218</v>
      </c>
      <c r="C10" s="2884" t="s">
        <v>28</v>
      </c>
      <c r="D10" s="2898"/>
      <c r="E10" s="1984"/>
      <c r="F10" s="2813" t="s">
        <v>28994</v>
      </c>
      <c r="G10" s="1655"/>
      <c r="H10" s="3724"/>
      <c r="I10" s="3711"/>
      <c r="J10" s="1655"/>
      <c r="K10" s="1660"/>
      <c r="L10" s="1660">
        <f t="shared" si="0"/>
        <v>0</v>
      </c>
    </row>
    <row r="11" spans="1:12" ht="32.1" customHeight="1">
      <c r="A11" s="1979" t="s">
        <v>29219</v>
      </c>
      <c r="B11" s="2168" t="s">
        <v>29220</v>
      </c>
      <c r="C11" s="2884" t="s">
        <v>25454</v>
      </c>
      <c r="D11" s="2898"/>
      <c r="E11" s="1984"/>
      <c r="F11" s="2826" t="s">
        <v>28900</v>
      </c>
      <c r="G11" s="1655"/>
      <c r="H11" s="2899"/>
      <c r="I11" s="1980" t="str">
        <f>IF(E11&lt;0,"Il valore deve essere maggiore o uguale a zero","")</f>
        <v/>
      </c>
      <c r="J11" s="1655"/>
      <c r="K11" s="1660"/>
      <c r="L11" s="1660">
        <f t="shared" si="0"/>
        <v>0</v>
      </c>
    </row>
    <row r="12" spans="1:12" ht="25.35" customHeight="1" thickBot="1">
      <c r="A12" s="2260" t="s">
        <v>29221</v>
      </c>
      <c r="B12" s="2261" t="s">
        <v>29222</v>
      </c>
      <c r="C12" s="2066" t="s">
        <v>25454</v>
      </c>
      <c r="D12" s="2901"/>
      <c r="E12" s="2067"/>
      <c r="F12" s="1977" t="s">
        <v>29223</v>
      </c>
      <c r="G12" s="1655"/>
      <c r="H12" s="2902"/>
      <c r="I12" s="2046" t="str">
        <f>IF(OR(E12&lt;0,E12&gt;E11),"Il valore deve essere maggiore o uguale a zero e minore di EE_DEP","")</f>
        <v/>
      </c>
      <c r="J12" s="1655"/>
      <c r="K12" s="1660"/>
      <c r="L12" s="1660">
        <f t="shared" si="0"/>
        <v>0</v>
      </c>
    </row>
    <row r="13" spans="1:12" ht="10.5" customHeight="1">
      <c r="A13" s="1696"/>
      <c r="B13" s="1697"/>
      <c r="C13" s="1698"/>
      <c r="D13" s="2243"/>
      <c r="E13" s="2243"/>
      <c r="F13" s="1699"/>
      <c r="G13" s="1699"/>
      <c r="H13" s="2243"/>
      <c r="I13" s="2243"/>
      <c r="J13" s="1699"/>
      <c r="K13" s="1660"/>
      <c r="L13" s="1660">
        <f t="shared" si="0"/>
        <v>0</v>
      </c>
    </row>
    <row r="14" spans="1:12" ht="18" thickBot="1">
      <c r="A14" s="2807" t="s">
        <v>31551</v>
      </c>
      <c r="B14" s="1697"/>
      <c r="C14" s="1698"/>
      <c r="D14" s="2243"/>
      <c r="E14" s="2243"/>
      <c r="F14" s="1699"/>
      <c r="G14" s="1699"/>
      <c r="H14" s="2243"/>
      <c r="I14" s="2243"/>
      <c r="J14" s="1699"/>
      <c r="K14" s="1660"/>
      <c r="L14" s="1660">
        <f t="shared" si="0"/>
        <v>0</v>
      </c>
    </row>
    <row r="15" spans="1:12" ht="45">
      <c r="A15" s="1701" t="s">
        <v>29224</v>
      </c>
      <c r="B15" s="1969" t="s">
        <v>30084</v>
      </c>
      <c r="C15" s="1687" t="s">
        <v>22744</v>
      </c>
      <c r="D15" s="2903"/>
      <c r="E15" s="2244"/>
      <c r="F15" s="1688" t="s">
        <v>30753</v>
      </c>
      <c r="G15" s="1705"/>
      <c r="H15" s="2904"/>
      <c r="I15" s="1669" t="str">
        <f>IF(E3="SI",IF(OR(E15&lt;0,E15="",E15&gt;E36),"Il valore deve essere maggiore o uguale a zero e minore o oguale ad Agg_tot",""),IF(E15&lt;&gt;0,"Non risulta gestito il servizio di depurazione",""))</f>
        <v/>
      </c>
      <c r="J15" s="1705"/>
      <c r="K15" s="1660"/>
      <c r="L15" s="1660">
        <f t="shared" si="0"/>
        <v>0</v>
      </c>
    </row>
    <row r="16" spans="1:12" ht="45" customHeight="1">
      <c r="A16" s="2054" t="s">
        <v>29225</v>
      </c>
      <c r="B16" s="2245" t="s">
        <v>30085</v>
      </c>
      <c r="C16" s="2843" t="s">
        <v>28</v>
      </c>
      <c r="D16" s="2905"/>
      <c r="E16" s="2218"/>
      <c r="F16" s="2863" t="s">
        <v>30753</v>
      </c>
      <c r="G16" s="1705"/>
      <c r="H16" s="2899"/>
      <c r="I16" s="1980" t="str">
        <f>IF(E3="SI",IF(OR(E16&lt;0,E16=""),"Il valore deve essere maggiore o uguale a zero",""),IF(E16&lt;&gt;0,"Non risulta gestito il servizio di depurazione",""))</f>
        <v/>
      </c>
      <c r="J16" s="1705"/>
      <c r="K16" s="1660"/>
      <c r="L16" s="1660">
        <f t="shared" si="0"/>
        <v>0</v>
      </c>
    </row>
    <row r="17" spans="1:12" ht="45" customHeight="1">
      <c r="A17" s="2220" t="s">
        <v>29226</v>
      </c>
      <c r="B17" s="2221" t="s">
        <v>29227</v>
      </c>
      <c r="C17" s="2812" t="s">
        <v>21</v>
      </c>
      <c r="D17" s="2906"/>
      <c r="E17" s="2246" t="str">
        <f>IF(E3="SI",IF(OR(E15&gt;0,E16&gt;0,AND(E15="",E16="")),"NO","SI"),"")</f>
        <v/>
      </c>
      <c r="F17" s="2813" t="s">
        <v>31552</v>
      </c>
      <c r="G17" s="1705"/>
      <c r="H17" s="2899"/>
      <c r="I17" s="1980" t="str">
        <f>IF(AND(E3="SI",E17="NO"),"Attenzione, prerequisito mancante","")</f>
        <v/>
      </c>
      <c r="J17" s="1705"/>
      <c r="K17" s="1660"/>
      <c r="L17" s="1660">
        <f t="shared" si="0"/>
        <v>0</v>
      </c>
    </row>
    <row r="18" spans="1:12" ht="43.5" customHeight="1">
      <c r="A18" s="2220" t="s">
        <v>29228</v>
      </c>
      <c r="B18" s="1967" t="s">
        <v>29229</v>
      </c>
      <c r="C18" s="1958" t="s">
        <v>21</v>
      </c>
      <c r="D18" s="2907"/>
      <c r="E18" s="2262"/>
      <c r="F18" s="2813" t="s">
        <v>30703</v>
      </c>
      <c r="G18" s="1705"/>
      <c r="H18" s="2899"/>
      <c r="I18" s="1980" t="str">
        <f>IF(AND(E3="SI",OR(E18="Non adeguato",E18="")),"Attenzione, prerequisito mancante","")</f>
        <v/>
      </c>
      <c r="J18" s="1705"/>
      <c r="K18" s="1660"/>
      <c r="L18" s="1660">
        <f t="shared" si="0"/>
        <v>0</v>
      </c>
    </row>
    <row r="19" spans="1:12" ht="45" customHeight="1" thickBot="1">
      <c r="A19" s="2183" t="s">
        <v>29230</v>
      </c>
      <c r="B19" s="1986" t="s">
        <v>29231</v>
      </c>
      <c r="C19" s="1983" t="s">
        <v>21</v>
      </c>
      <c r="D19" s="2908"/>
      <c r="E19" s="1982"/>
      <c r="F19" s="1977" t="s">
        <v>31543</v>
      </c>
      <c r="G19" s="1655"/>
      <c r="H19" s="2909"/>
      <c r="I19" s="2263"/>
      <c r="J19" s="1655"/>
      <c r="K19" s="1660"/>
      <c r="L19" s="1660">
        <f t="shared" si="0"/>
        <v>0</v>
      </c>
    </row>
    <row r="20" spans="1:12" ht="10.5" customHeight="1">
      <c r="A20" s="1665"/>
      <c r="B20" s="1697"/>
      <c r="C20" s="1698"/>
      <c r="D20" s="2243"/>
      <c r="E20" s="2243"/>
      <c r="F20" s="1699"/>
      <c r="G20" s="1699"/>
      <c r="H20" s="1704"/>
      <c r="I20" s="1704"/>
      <c r="J20" s="1699"/>
      <c r="K20" s="1660"/>
      <c r="L20" s="1660">
        <f t="shared" si="0"/>
        <v>0</v>
      </c>
    </row>
    <row r="21" spans="1:12" ht="18" thickBot="1">
      <c r="A21" s="1665" t="s">
        <v>29232</v>
      </c>
      <c r="B21" s="1697"/>
      <c r="C21" s="1698"/>
      <c r="D21" s="2243"/>
      <c r="E21" s="2243"/>
      <c r="F21" s="1699"/>
      <c r="G21" s="1699"/>
      <c r="H21" s="1704"/>
      <c r="I21" s="1704"/>
      <c r="J21" s="1699"/>
      <c r="K21" s="1660"/>
      <c r="L21" s="1660">
        <f t="shared" si="0"/>
        <v>0</v>
      </c>
    </row>
    <row r="22" spans="1:12" s="580" customFormat="1" ht="70.5" customHeight="1">
      <c r="A22" s="1706" t="s">
        <v>29233</v>
      </c>
      <c r="B22" s="1971" t="s">
        <v>30754</v>
      </c>
      <c r="C22" s="1972" t="s">
        <v>29234</v>
      </c>
      <c r="D22" s="2910"/>
      <c r="E22" s="1511"/>
      <c r="F22" s="1668" t="s">
        <v>30033</v>
      </c>
      <c r="G22" s="1655"/>
      <c r="H22" s="2904"/>
      <c r="I22" s="1669" t="str">
        <f>IF(E3="SI",IF(OR(E22&lt;=0,E22=""),"Il valore deve essere maggiore di zero",""),IF(E22&lt;&gt;0,"Non risulta gestito il servizio di depurazione",""))</f>
        <v/>
      </c>
      <c r="J22" s="1655"/>
      <c r="K22" s="1660"/>
      <c r="L22" s="1660">
        <f t="shared" si="0"/>
        <v>0</v>
      </c>
    </row>
    <row r="23" spans="1:12" ht="45" customHeight="1">
      <c r="A23" s="2051" t="s">
        <v>29235</v>
      </c>
      <c r="B23" s="2209" t="s">
        <v>29236</v>
      </c>
      <c r="C23" s="2884" t="s">
        <v>29234</v>
      </c>
      <c r="D23" s="2911"/>
      <c r="E23" s="2912"/>
      <c r="F23" s="2813" t="s">
        <v>29237</v>
      </c>
      <c r="G23" s="1655"/>
      <c r="H23" s="3724"/>
      <c r="I23" s="3711" t="str">
        <f>IF(OR(E23&lt;&gt;"",E24&lt;&gt;""),IF(OR(E23&lt;0,E24&lt;0,E24+E23&lt;&gt;E22),"Ogni di cui deve essere maggiore o uguale a zero e la somma deve essere pari a ∑SS_out,imp",""),"")</f>
        <v/>
      </c>
      <c r="J23" s="1655"/>
      <c r="K23" s="1660"/>
      <c r="L23" s="1660">
        <f t="shared" si="0"/>
        <v>0</v>
      </c>
    </row>
    <row r="24" spans="1:12" s="580" customFormat="1" ht="32.1" customHeight="1">
      <c r="A24" s="2051" t="s">
        <v>29238</v>
      </c>
      <c r="B24" s="2209" t="s">
        <v>29239</v>
      </c>
      <c r="C24" s="2884" t="s">
        <v>29234</v>
      </c>
      <c r="D24" s="2911"/>
      <c r="E24" s="2912"/>
      <c r="F24" s="2813"/>
      <c r="G24" s="1655"/>
      <c r="H24" s="3724"/>
      <c r="I24" s="3711"/>
      <c r="J24" s="1655"/>
      <c r="K24" s="1660"/>
      <c r="L24" s="1660">
        <f t="shared" si="0"/>
        <v>0</v>
      </c>
    </row>
    <row r="25" spans="1:12" s="580" customFormat="1" ht="25.35" customHeight="1">
      <c r="A25" s="2051" t="s">
        <v>29240</v>
      </c>
      <c r="B25" s="2264" t="s">
        <v>29241</v>
      </c>
      <c r="C25" s="2884" t="s">
        <v>29234</v>
      </c>
      <c r="D25" s="2911"/>
      <c r="E25" s="2912"/>
      <c r="F25" s="2836"/>
      <c r="G25" s="1655"/>
      <c r="H25" s="3724"/>
      <c r="I25" s="3711" t="str">
        <f>IF(OR(E25&lt;&gt;"",E26&lt;&gt;"",E27&lt;&gt;"",E28&lt;&gt;"",E29&lt;&gt;""),IF(OR(E25&lt;0,E26&lt;0,E27&lt;0,E28&lt;0,E29&lt;0,E29+E27+E28+E26+E25&lt;&gt;E24),"Ogni di cui deve essere maggiore o uguale a zero e la somma deve essere pari a ∑SSrec,imp",""),"")</f>
        <v/>
      </c>
      <c r="J25" s="1655"/>
      <c r="K25" s="1660"/>
      <c r="L25" s="1660">
        <f t="shared" si="0"/>
        <v>0</v>
      </c>
    </row>
    <row r="26" spans="1:12" s="580" customFormat="1" ht="25.35" customHeight="1">
      <c r="A26" s="2051" t="s">
        <v>29242</v>
      </c>
      <c r="B26" s="2264" t="s">
        <v>29243</v>
      </c>
      <c r="C26" s="2884" t="s">
        <v>29234</v>
      </c>
      <c r="D26" s="2911"/>
      <c r="E26" s="2912"/>
      <c r="F26" s="2836"/>
      <c r="G26" s="1655"/>
      <c r="H26" s="3724"/>
      <c r="I26" s="3711"/>
      <c r="J26" s="1655"/>
      <c r="K26" s="1660"/>
      <c r="L26" s="1660">
        <f t="shared" si="0"/>
        <v>0</v>
      </c>
    </row>
    <row r="27" spans="1:12" s="580" customFormat="1" ht="25.35" customHeight="1">
      <c r="A27" s="2051" t="s">
        <v>29244</v>
      </c>
      <c r="B27" s="2264" t="s">
        <v>29245</v>
      </c>
      <c r="C27" s="2884" t="s">
        <v>29234</v>
      </c>
      <c r="D27" s="2911"/>
      <c r="E27" s="2912"/>
      <c r="F27" s="2836"/>
      <c r="G27" s="1655"/>
      <c r="H27" s="3724"/>
      <c r="I27" s="3711"/>
      <c r="J27" s="1655"/>
      <c r="K27" s="1660"/>
      <c r="L27" s="1660">
        <f t="shared" si="0"/>
        <v>0</v>
      </c>
    </row>
    <row r="28" spans="1:12" s="580" customFormat="1" ht="28.5" customHeight="1">
      <c r="A28" s="1978" t="s">
        <v>30034</v>
      </c>
      <c r="B28" s="2264" t="s">
        <v>31553</v>
      </c>
      <c r="C28" s="2884" t="s">
        <v>29234</v>
      </c>
      <c r="D28" s="2911"/>
      <c r="E28" s="2912"/>
      <c r="F28" s="2890" t="s">
        <v>29246</v>
      </c>
      <c r="G28" s="1655"/>
      <c r="H28" s="3724"/>
      <c r="I28" s="3711"/>
      <c r="J28" s="1655"/>
      <c r="K28" s="1660"/>
      <c r="L28" s="1660">
        <f t="shared" si="0"/>
        <v>0</v>
      </c>
    </row>
    <row r="29" spans="1:12" s="580" customFormat="1" ht="30" customHeight="1">
      <c r="A29" s="2051" t="s">
        <v>29247</v>
      </c>
      <c r="B29" s="2264" t="s">
        <v>29248</v>
      </c>
      <c r="C29" s="2884" t="s">
        <v>29234</v>
      </c>
      <c r="D29" s="2911"/>
      <c r="E29" s="2912"/>
      <c r="F29" s="2890" t="s">
        <v>29249</v>
      </c>
      <c r="G29" s="1655"/>
      <c r="H29" s="3724"/>
      <c r="I29" s="3711"/>
      <c r="J29" s="1655"/>
      <c r="K29" s="1660"/>
      <c r="L29" s="1660">
        <f t="shared" si="0"/>
        <v>0</v>
      </c>
    </row>
    <row r="30" spans="1:12" s="580" customFormat="1" ht="32.1" customHeight="1">
      <c r="A30" s="2051" t="s">
        <v>29250</v>
      </c>
      <c r="B30" s="2168" t="s">
        <v>29251</v>
      </c>
      <c r="C30" s="2884" t="s">
        <v>29252</v>
      </c>
      <c r="D30" s="2911"/>
      <c r="E30" s="2048"/>
      <c r="F30" s="2813"/>
      <c r="G30" s="1655"/>
      <c r="H30" s="2899"/>
      <c r="I30" s="1980" t="str">
        <f>IF(E3="SI",IF(OR(E30="",E30&lt;=0,E30&lt;E22),"Il valore deve essere maggiore di ∑SS_out,imp",""),IF(E30&lt;&gt;0,"Non risulta gestito il servizio di depurazione",""))</f>
        <v/>
      </c>
      <c r="J30" s="1655"/>
      <c r="K30" s="1660"/>
      <c r="L30" s="1660">
        <f t="shared" si="0"/>
        <v>0</v>
      </c>
    </row>
    <row r="31" spans="1:12" ht="45" customHeight="1">
      <c r="A31" s="2051" t="s">
        <v>29253</v>
      </c>
      <c r="B31" s="2168" t="s">
        <v>29254</v>
      </c>
      <c r="C31" s="2884" t="s">
        <v>29252</v>
      </c>
      <c r="D31" s="2911"/>
      <c r="E31" s="2912"/>
      <c r="F31" s="2813" t="s">
        <v>29237</v>
      </c>
      <c r="G31" s="1655"/>
      <c r="H31" s="2899"/>
      <c r="I31" s="1980" t="str">
        <f>IF(AND(E23&gt;0,E31=0),"∑MFtq,disc,imp non può essere zero",IF(OR(E31&lt;0,E31&gt;E30),"Il valore deve essere maggiore o uguale a zero e minore o uguale di ∑MFtq,out,imp",""))</f>
        <v/>
      </c>
      <c r="J31" s="1655"/>
      <c r="K31" s="1660"/>
      <c r="L31" s="1660">
        <f t="shared" si="0"/>
        <v>0</v>
      </c>
    </row>
    <row r="32" spans="1:12" s="580" customFormat="1" ht="35.25" customHeight="1">
      <c r="A32" s="2265" t="s">
        <v>29255</v>
      </c>
      <c r="B32" s="2266" t="s">
        <v>29256</v>
      </c>
      <c r="C32" s="2913" t="s">
        <v>30</v>
      </c>
      <c r="D32" s="2914"/>
      <c r="E32" s="2082" t="str">
        <f>IF(AND(E22&gt;0,E30&gt;0,E22&lt;=E30),E22/E30,"")</f>
        <v/>
      </c>
      <c r="F32" s="2826"/>
      <c r="G32" s="1655"/>
      <c r="H32" s="2899"/>
      <c r="I32" s="1980" t="str">
        <f>IF(AND(E3="SI",E32=""),"Indicatore non calcolabile","")</f>
        <v/>
      </c>
      <c r="J32" s="1655"/>
      <c r="K32" s="1660"/>
      <c r="L32" s="1660">
        <f t="shared" si="0"/>
        <v>0</v>
      </c>
    </row>
    <row r="33" spans="1:12" ht="30" customHeight="1">
      <c r="A33" s="2202" t="s">
        <v>25462</v>
      </c>
      <c r="B33" s="2267" t="s">
        <v>25463</v>
      </c>
      <c r="C33" s="2915" t="s">
        <v>30</v>
      </c>
      <c r="D33" s="2916"/>
      <c r="E33" s="2268" t="str">
        <f>IF(AND(E22&gt;0,E23&gt;=0,E23&lt;&gt;"",E23&lt;=E22),E23/E22,"")</f>
        <v/>
      </c>
      <c r="F33" s="2813" t="s">
        <v>29257</v>
      </c>
      <c r="G33" s="1655"/>
      <c r="H33" s="2899"/>
      <c r="I33" s="1980" t="str">
        <f>IF(AND(E3="SI",E33=""),"Macro-indicatore non calcolabile","")</f>
        <v/>
      </c>
      <c r="J33" s="1655"/>
      <c r="K33" s="1660"/>
      <c r="L33" s="1660">
        <f t="shared" si="0"/>
        <v>0</v>
      </c>
    </row>
    <row r="34" spans="1:12" ht="30" customHeight="1">
      <c r="A34" s="2917" t="s">
        <v>29258</v>
      </c>
      <c r="B34" s="2272" t="s">
        <v>29259</v>
      </c>
      <c r="C34" s="2913" t="s">
        <v>21</v>
      </c>
      <c r="D34" s="2918"/>
      <c r="E34" s="2092" t="str">
        <f>IF(E33="","",IF(E33&gt;0.3,"E",IF(AND(E33&gt;0.2,E33&lt;=0.3),"D",IF(AND(E33&gt;0.1,E33&lt;=0.2),"C",IF(AND(E33&gt;0.03,E33&lt;=0.1),"B","A")))))</f>
        <v/>
      </c>
      <c r="F34" s="2813" t="s">
        <v>30755</v>
      </c>
      <c r="G34" s="1655"/>
      <c r="H34" s="2900"/>
      <c r="I34" s="2038"/>
      <c r="J34" s="1655"/>
      <c r="K34" s="1660"/>
      <c r="L34" s="1660">
        <f t="shared" si="0"/>
        <v>0</v>
      </c>
    </row>
    <row r="35" spans="1:12" ht="30" customHeight="1">
      <c r="A35" s="2917" t="s">
        <v>29260</v>
      </c>
      <c r="B35" s="2272" t="s">
        <v>29261</v>
      </c>
      <c r="C35" s="2913" t="s">
        <v>21</v>
      </c>
      <c r="D35" s="2918"/>
      <c r="E35" s="2092" t="str">
        <f>IF(E34="A","Mantenimento",IF(E34="B","-1% di MF tq,disc",IF(E34="C","-2% di MF tq,disc",IF(E34="D","-3% di MF tq,disc",IF(E34="E","-5% di MF tq,disc","")))))</f>
        <v/>
      </c>
      <c r="F35" s="2813" t="s">
        <v>30755</v>
      </c>
      <c r="G35" s="1655"/>
      <c r="H35" s="2900"/>
      <c r="I35" s="2038"/>
      <c r="J35" s="1655"/>
      <c r="K35" s="1660"/>
      <c r="L35" s="1660">
        <f t="shared" si="0"/>
        <v>0</v>
      </c>
    </row>
    <row r="36" spans="1:12" ht="30" customHeight="1">
      <c r="A36" s="2054" t="s">
        <v>29262</v>
      </c>
      <c r="B36" s="2245" t="s">
        <v>29263</v>
      </c>
      <c r="C36" s="2843" t="s">
        <v>22744</v>
      </c>
      <c r="D36" s="2911"/>
      <c r="E36" s="2048"/>
      <c r="F36" s="2813"/>
      <c r="G36" s="1655"/>
      <c r="H36" s="2899"/>
      <c r="I36" s="1980" t="str">
        <f>IF(E36&lt;0,"Il valore deve essere maggiore o uguale a zero","")</f>
        <v/>
      </c>
      <c r="J36" s="1655"/>
      <c r="K36" s="1660"/>
      <c r="L36" s="1660">
        <f t="shared" si="0"/>
        <v>0</v>
      </c>
    </row>
    <row r="37" spans="1:12" ht="30" customHeight="1">
      <c r="A37" s="2054" t="s">
        <v>30035</v>
      </c>
      <c r="B37" s="2270" t="s">
        <v>29264</v>
      </c>
      <c r="C37" s="2843" t="s">
        <v>22744</v>
      </c>
      <c r="D37" s="2911"/>
      <c r="E37" s="2048"/>
      <c r="F37" s="2867"/>
      <c r="G37" s="1705"/>
      <c r="H37" s="2899"/>
      <c r="I37" s="1980" t="str">
        <f>IF(OR(E37&lt;0,E37&gt;E36),"Il valore deve essere maggiore o uguale a zero e minore di Agg_tot","")</f>
        <v/>
      </c>
      <c r="J37" s="1705"/>
      <c r="K37" s="1660"/>
      <c r="L37" s="1660">
        <f t="shared" si="0"/>
        <v>0</v>
      </c>
    </row>
    <row r="38" spans="1:12" ht="53.25" customHeight="1">
      <c r="A38" s="1978" t="s">
        <v>30756</v>
      </c>
      <c r="B38" s="2271" t="s">
        <v>30757</v>
      </c>
      <c r="C38" s="2884" t="s">
        <v>22744</v>
      </c>
      <c r="D38" s="2911"/>
      <c r="E38" s="2048"/>
      <c r="F38" s="2813" t="s">
        <v>30758</v>
      </c>
      <c r="G38" s="1655"/>
      <c r="H38" s="2899"/>
      <c r="I38" s="1980" t="str">
        <f>IF(E3="SI",IF(OR(E38&lt;0,E38&gt;E36,E38=""),"Il valore deve essere maggiore o uguale a zero e minore o uguale a Agg_tot",""),IF(E38&lt;&gt;0,"Non risulta gestito il servizio di depurazione",""))</f>
        <v/>
      </c>
      <c r="J38" s="1655"/>
      <c r="K38" s="1660"/>
      <c r="L38" s="1660">
        <f t="shared" si="0"/>
        <v>0</v>
      </c>
    </row>
    <row r="39" spans="1:12" ht="53.25" customHeight="1">
      <c r="A39" s="1978" t="s">
        <v>30759</v>
      </c>
      <c r="B39" s="2271" t="s">
        <v>30760</v>
      </c>
      <c r="C39" s="2884" t="s">
        <v>28</v>
      </c>
      <c r="D39" s="2911"/>
      <c r="E39" s="2048"/>
      <c r="F39" s="2813" t="s">
        <v>30758</v>
      </c>
      <c r="G39" s="1655"/>
      <c r="H39" s="2899"/>
      <c r="I39" s="1980" t="str">
        <f>IF(AND(E38&gt;0,OR(E39="",E39&lt;=0)),"Il valore deve essere maggiore di zero",IF(AND(E39&lt;&gt;0,OR(E38=0,E38="")),"Valore non congruente con Agg_infr",""))</f>
        <v/>
      </c>
      <c r="J39" s="1655"/>
      <c r="K39" s="1660"/>
      <c r="L39" s="1660">
        <f t="shared" si="0"/>
        <v>0</v>
      </c>
    </row>
    <row r="40" spans="1:12" ht="45">
      <c r="A40" s="2176" t="s">
        <v>29265</v>
      </c>
      <c r="B40" s="2272" t="s">
        <v>30761</v>
      </c>
      <c r="C40" s="2913" t="s">
        <v>28</v>
      </c>
      <c r="D40" s="2919"/>
      <c r="E40" s="2200" t="str">
        <f>IF(OR(AND(E38&gt;0,E39&gt;0),AND(E39&gt;0,E38=0)),E39,IF(AND(E38=0,E38&lt;&gt;"",E39=0),E39,IF(AND(E39=0,E39&lt;&gt;"",E38=0),E39,"")))</f>
        <v/>
      </c>
      <c r="F40" s="2813" t="s">
        <v>30762</v>
      </c>
      <c r="G40" s="1655"/>
      <c r="H40" s="2900"/>
      <c r="I40" s="2038"/>
      <c r="J40" s="1655"/>
      <c r="K40" s="1660"/>
      <c r="L40" s="1660">
        <f t="shared" si="0"/>
        <v>0</v>
      </c>
    </row>
    <row r="41" spans="1:12" ht="35.25" customHeight="1">
      <c r="A41" s="1979" t="s">
        <v>29267</v>
      </c>
      <c r="B41" s="2168" t="s">
        <v>29268</v>
      </c>
      <c r="C41" s="2884" t="s">
        <v>22744</v>
      </c>
      <c r="D41" s="2911"/>
      <c r="E41" s="2048"/>
      <c r="F41" s="2813"/>
      <c r="G41" s="1655"/>
      <c r="H41" s="2899"/>
      <c r="I41" s="1980" t="str">
        <f>IF(E3="SI",IF(OR(E41&lt;=0,E41=""),"Il valore deve essere maggiore di zero",""),IF(E41&lt;&gt;0,"Non risulta gestito il servizio di depurazione",""))</f>
        <v/>
      </c>
      <c r="J41" s="1655"/>
      <c r="K41" s="1660"/>
      <c r="L41" s="1660">
        <f t="shared" si="0"/>
        <v>0</v>
      </c>
    </row>
    <row r="42" spans="1:12" ht="25.35" customHeight="1">
      <c r="A42" s="1979" t="s">
        <v>29269</v>
      </c>
      <c r="B42" s="2252" t="s">
        <v>29216</v>
      </c>
      <c r="C42" s="2920" t="s">
        <v>22744</v>
      </c>
      <c r="D42" s="2911"/>
      <c r="E42" s="2048"/>
      <c r="F42" s="2813" t="s">
        <v>28994</v>
      </c>
      <c r="G42" s="1655"/>
      <c r="H42" s="3724"/>
      <c r="I42" s="3711" t="str">
        <f>IF(OR(E42&lt;&gt;"",E43&lt;&gt;""),IF(OR(E42&lt;0,E43&lt;0,E43+E42&lt;&gt;E41),"Ogni di cui deve essere maggiore o uguale a zero e la somma deve essere pari a UtT_DEP",""),"")</f>
        <v/>
      </c>
      <c r="J42" s="1655"/>
      <c r="K42" s="1660"/>
      <c r="L42" s="1660">
        <f t="shared" si="0"/>
        <v>0</v>
      </c>
    </row>
    <row r="43" spans="1:12" ht="25.35" customHeight="1">
      <c r="A43" s="1979" t="s">
        <v>29270</v>
      </c>
      <c r="B43" s="2252" t="s">
        <v>29271</v>
      </c>
      <c r="C43" s="2920" t="s">
        <v>22744</v>
      </c>
      <c r="D43" s="2911"/>
      <c r="E43" s="2048"/>
      <c r="F43" s="2813" t="s">
        <v>28994</v>
      </c>
      <c r="G43" s="1655"/>
      <c r="H43" s="3724"/>
      <c r="I43" s="3711"/>
      <c r="J43" s="1655"/>
      <c r="K43" s="1660"/>
      <c r="L43" s="1660">
        <f t="shared" si="0"/>
        <v>0</v>
      </c>
    </row>
    <row r="44" spans="1:12" ht="35.25" customHeight="1">
      <c r="A44" s="1979" t="s">
        <v>29272</v>
      </c>
      <c r="B44" s="1952" t="s">
        <v>29273</v>
      </c>
      <c r="C44" s="2920" t="s">
        <v>22744</v>
      </c>
      <c r="D44" s="2911"/>
      <c r="E44" s="2048"/>
      <c r="F44" s="2813"/>
      <c r="G44" s="1655"/>
      <c r="H44" s="2899"/>
      <c r="I44" s="1980" t="str">
        <f>IF(AND(E3="SI",OR(E44&lt;0,E44&gt;E41,E44="")),"Il valore deve essere maggiore o uguale a zero e minore o uguale a UtT_DEP","")</f>
        <v/>
      </c>
      <c r="J44" s="1655"/>
      <c r="K44" s="1660"/>
      <c r="L44" s="1660">
        <f t="shared" si="0"/>
        <v>0</v>
      </c>
    </row>
    <row r="45" spans="1:12" ht="45">
      <c r="A45" s="1979" t="s">
        <v>29274</v>
      </c>
      <c r="B45" s="2164" t="s">
        <v>29275</v>
      </c>
      <c r="C45" s="2920" t="s">
        <v>22744</v>
      </c>
      <c r="D45" s="2911"/>
      <c r="E45" s="2048"/>
      <c r="F45" s="2813"/>
      <c r="G45" s="1655"/>
      <c r="H45" s="2899"/>
      <c r="I45" s="1980" t="str">
        <f>IF(E45&lt;E44,"Il valore deve essere maggiore o uguale di UtT_cond,DEP","")</f>
        <v/>
      </c>
      <c r="J45" s="1655"/>
      <c r="K45" s="1660"/>
      <c r="L45" s="1660">
        <f t="shared" si="0"/>
        <v>0</v>
      </c>
    </row>
    <row r="46" spans="1:12" s="580" customFormat="1" ht="35.25" customHeight="1">
      <c r="A46" s="2265" t="s">
        <v>29276</v>
      </c>
      <c r="B46" s="2266" t="s">
        <v>29277</v>
      </c>
      <c r="C46" s="2913" t="s">
        <v>22744</v>
      </c>
      <c r="D46" s="2919"/>
      <c r="E46" s="2200">
        <f>IF((E41-E44+E45)&lt;0,"",E41-E44+E45)</f>
        <v>0</v>
      </c>
      <c r="F46" s="2826"/>
      <c r="G46" s="1655"/>
      <c r="H46" s="2900"/>
      <c r="I46" s="2038"/>
      <c r="J46" s="1655"/>
      <c r="K46" s="1660"/>
      <c r="L46" s="1660">
        <f t="shared" si="0"/>
        <v>0</v>
      </c>
    </row>
    <row r="47" spans="1:12" ht="45" customHeight="1">
      <c r="A47" s="2051" t="s">
        <v>29278</v>
      </c>
      <c r="B47" s="2273" t="s">
        <v>29279</v>
      </c>
      <c r="C47" s="2812" t="s">
        <v>21</v>
      </c>
      <c r="D47" s="2921"/>
      <c r="E47" s="2239"/>
      <c r="F47" s="2813" t="s">
        <v>29280</v>
      </c>
      <c r="G47" s="1655"/>
      <c r="H47" s="2900"/>
      <c r="I47" s="2038"/>
      <c r="J47" s="1655"/>
      <c r="K47" s="1660"/>
      <c r="L47" s="1660">
        <f t="shared" si="0"/>
        <v>0</v>
      </c>
    </row>
    <row r="48" spans="1:12" ht="30" customHeight="1">
      <c r="A48" s="2051" t="s">
        <v>29281</v>
      </c>
      <c r="B48" s="2273" t="s">
        <v>29282</v>
      </c>
      <c r="C48" s="2922" t="s">
        <v>22744</v>
      </c>
      <c r="D48" s="2911"/>
      <c r="E48" s="2048"/>
      <c r="F48" s="2813"/>
      <c r="G48" s="1655"/>
      <c r="H48" s="2899"/>
      <c r="I48" s="1980" t="str">
        <f>IF(AND(E47&lt;&gt;"Prevalentemente",OR(E48&gt;0,E48&lt;0)),"Il numero di Comuni va fornito se la risposta a Gest_SII è 'Prevalentemente'",IF(AND(E47="Prevalentemente",E48&lt;=0),"Il valore fornito deve essere maggiore di zero",""))</f>
        <v/>
      </c>
      <c r="J48" s="1655"/>
      <c r="K48" s="1660"/>
      <c r="L48" s="1660">
        <f t="shared" si="0"/>
        <v>0</v>
      </c>
    </row>
    <row r="49" spans="1:12" ht="61.5" customHeight="1">
      <c r="A49" s="2274"/>
      <c r="B49" s="2273" t="s">
        <v>29283</v>
      </c>
      <c r="C49" s="2812" t="s">
        <v>21</v>
      </c>
      <c r="D49" s="2923"/>
      <c r="E49" s="2275"/>
      <c r="F49" s="2813"/>
      <c r="G49" s="1655"/>
      <c r="H49" s="2900"/>
      <c r="I49" s="2038"/>
      <c r="J49" s="1655"/>
      <c r="K49" s="1660"/>
      <c r="L49" s="1660">
        <f t="shared" si="0"/>
        <v>0</v>
      </c>
    </row>
    <row r="50" spans="1:12" ht="25.35" customHeight="1">
      <c r="A50" s="2051" t="s">
        <v>29284</v>
      </c>
      <c r="B50" s="2276" t="s">
        <v>29285</v>
      </c>
      <c r="C50" s="2922" t="s">
        <v>22744</v>
      </c>
      <c r="D50" s="2911"/>
      <c r="E50" s="2048"/>
      <c r="F50" s="2813"/>
      <c r="G50" s="1655"/>
      <c r="H50" s="2899"/>
      <c r="I50" s="1980" t="str">
        <f>IF(AND(E47&lt;&gt;"Prevalentemente",OR(E50&gt;0,E50&lt;0)),"Il numero di utenti va fornito se la risposta a Gest_SII è 'Prevalentemente'",IF(AND(E47="Prevalentemente",E50&lt;=0),"Il valore fornito deve essere maggiore di zero",""))</f>
        <v/>
      </c>
      <c r="J50" s="1655"/>
      <c r="K50" s="1660"/>
      <c r="L50" s="1660">
        <f t="shared" si="0"/>
        <v>0</v>
      </c>
    </row>
    <row r="51" spans="1:12" ht="25.35" customHeight="1">
      <c r="A51" s="2051" t="s">
        <v>29286</v>
      </c>
      <c r="B51" s="2276" t="s">
        <v>29287</v>
      </c>
      <c r="C51" s="2922" t="s">
        <v>22744</v>
      </c>
      <c r="D51" s="2911"/>
      <c r="E51" s="2048"/>
      <c r="F51" s="2813"/>
      <c r="G51" s="1655"/>
      <c r="H51" s="2899"/>
      <c r="I51" s="1980" t="str">
        <f>IF(AND(E47&lt;&gt;"Prevalentemente",OR(E51&gt;0,E51&lt;0)),"Il numero di utenti va fornito se la risposta a Gest_SII è 'Prevalentemente'",IF(AND(E47="Prevalentemente",E51&lt;=0),"Il valore fornito deve essere maggiore di zero",""))</f>
        <v/>
      </c>
      <c r="J51" s="1655"/>
      <c r="K51" s="1660"/>
      <c r="L51" s="1660">
        <f t="shared" si="0"/>
        <v>0</v>
      </c>
    </row>
    <row r="52" spans="1:12" ht="32.1" customHeight="1">
      <c r="A52" s="2265" t="s">
        <v>29288</v>
      </c>
      <c r="B52" s="2266" t="s">
        <v>29289</v>
      </c>
      <c r="C52" s="2913" t="s">
        <v>30</v>
      </c>
      <c r="D52" s="2924"/>
      <c r="E52" s="2094">
        <f>IF(E47="NO",0,IF(AND(E47="SI",'QT-Acquedotto'!E87&gt;0,E46&gt;0),E46/'QT-Acquedotto'!E87,IF(AND(E47="Prevalentemente",E50&gt;0,E51&gt;0),E51/E50,0)))</f>
        <v>0</v>
      </c>
      <c r="F52" s="2813" t="s">
        <v>29266</v>
      </c>
      <c r="G52" s="1655"/>
      <c r="H52" s="2900"/>
      <c r="I52" s="2038"/>
      <c r="J52" s="1655"/>
      <c r="K52" s="1660"/>
      <c r="L52" s="1660">
        <f t="shared" si="0"/>
        <v>0</v>
      </c>
    </row>
    <row r="53" spans="1:12" ht="32.1" customHeight="1">
      <c r="A53" s="2051" t="s">
        <v>29290</v>
      </c>
      <c r="B53" s="2273" t="s">
        <v>29291</v>
      </c>
      <c r="C53" s="2922" t="s">
        <v>29292</v>
      </c>
      <c r="D53" s="2911"/>
      <c r="E53" s="2048"/>
      <c r="F53" s="2813" t="s">
        <v>29293</v>
      </c>
      <c r="G53" s="1655"/>
      <c r="H53" s="2899"/>
      <c r="I53" s="1980" t="str">
        <f>IF(E53&lt;0,"Il valore deve essere maggiore o uguale a zero","")</f>
        <v/>
      </c>
      <c r="J53" s="1655"/>
      <c r="K53" s="1660"/>
      <c r="L53" s="1660">
        <f t="shared" si="0"/>
        <v>0</v>
      </c>
    </row>
    <row r="54" spans="1:12" ht="25.35" customHeight="1">
      <c r="A54" s="2051" t="s">
        <v>29294</v>
      </c>
      <c r="B54" s="2277" t="s">
        <v>29222</v>
      </c>
      <c r="C54" s="2922" t="s">
        <v>29292</v>
      </c>
      <c r="D54" s="2911"/>
      <c r="E54" s="2048"/>
      <c r="F54" s="2813"/>
      <c r="G54" s="1655"/>
      <c r="H54" s="2899"/>
      <c r="I54" s="1980" t="str">
        <f>IF(OR(E54&lt;0,E54&gt;E53),"Il valore deve essere maggiore o uguale a zero e minore di EN_dep","")</f>
        <v/>
      </c>
      <c r="J54" s="1655"/>
      <c r="K54" s="1660"/>
      <c r="L54" s="1660">
        <f t="shared" si="0"/>
        <v>0</v>
      </c>
    </row>
    <row r="55" spans="1:12" ht="32.1" customHeight="1">
      <c r="A55" s="2278" t="s">
        <v>29295</v>
      </c>
      <c r="B55" s="2279" t="s">
        <v>29296</v>
      </c>
      <c r="C55" s="2925" t="s">
        <v>29292</v>
      </c>
      <c r="D55" s="2911"/>
      <c r="E55" s="2048"/>
      <c r="F55" s="2280" t="s">
        <v>29293</v>
      </c>
      <c r="G55" s="1655"/>
      <c r="H55" s="2899"/>
      <c r="I55" s="1980" t="str">
        <f t="shared" ref="I55:I59" si="1">IF(E55&lt;0,"Il valore deve essere maggiore o uguale a zero","")</f>
        <v/>
      </c>
      <c r="J55" s="1655"/>
      <c r="K55" s="1660"/>
      <c r="L55" s="1660">
        <f t="shared" si="0"/>
        <v>0</v>
      </c>
    </row>
    <row r="56" spans="1:12" ht="32.1" customHeight="1">
      <c r="A56" s="2265" t="s">
        <v>29297</v>
      </c>
      <c r="B56" s="2266" t="s">
        <v>29298</v>
      </c>
      <c r="C56" s="2913" t="s">
        <v>29299</v>
      </c>
      <c r="D56" s="2926"/>
      <c r="E56" s="2281"/>
      <c r="F56" s="2813" t="s">
        <v>29300</v>
      </c>
      <c r="G56" s="1655"/>
      <c r="H56" s="2899"/>
      <c r="I56" s="1980" t="str">
        <f t="shared" si="1"/>
        <v/>
      </c>
      <c r="J56" s="1655"/>
      <c r="K56" s="1660"/>
      <c r="L56" s="1660">
        <f t="shared" si="0"/>
        <v>0</v>
      </c>
    </row>
    <row r="57" spans="1:12" ht="30">
      <c r="A57" s="1981" t="s">
        <v>31554</v>
      </c>
      <c r="B57" s="2271" t="s">
        <v>30763</v>
      </c>
      <c r="C57" s="2884" t="s">
        <v>30764</v>
      </c>
      <c r="D57" s="2898"/>
      <c r="E57" s="2927"/>
      <c r="F57" s="2826"/>
      <c r="G57" s="1655"/>
      <c r="H57" s="2899"/>
      <c r="I57" s="1980" t="str">
        <f t="shared" si="1"/>
        <v/>
      </c>
      <c r="K57" s="1660"/>
      <c r="L57" s="1660">
        <f t="shared" si="0"/>
        <v>0</v>
      </c>
    </row>
    <row r="58" spans="1:12" ht="30">
      <c r="A58" s="2928" t="s">
        <v>31555</v>
      </c>
      <c r="B58" s="2929" t="s">
        <v>30765</v>
      </c>
      <c r="C58" s="2930" t="s">
        <v>30766</v>
      </c>
      <c r="D58" s="2898"/>
      <c r="E58" s="2927"/>
      <c r="F58" s="1968"/>
      <c r="G58" s="1655"/>
      <c r="H58" s="2899"/>
      <c r="I58" s="1980" t="str">
        <f t="shared" si="1"/>
        <v/>
      </c>
      <c r="K58" s="1660"/>
      <c r="L58" s="1660">
        <f t="shared" si="0"/>
        <v>0</v>
      </c>
    </row>
    <row r="59" spans="1:12" ht="30">
      <c r="A59" s="1981" t="s">
        <v>31556</v>
      </c>
      <c r="B59" s="2271" t="s">
        <v>30767</v>
      </c>
      <c r="C59" s="2884" t="s">
        <v>30764</v>
      </c>
      <c r="D59" s="2898"/>
      <c r="E59" s="2927"/>
      <c r="F59" s="2836"/>
      <c r="G59" s="1655"/>
      <c r="H59" s="2899"/>
      <c r="I59" s="1980" t="str">
        <f t="shared" si="1"/>
        <v/>
      </c>
      <c r="K59" s="1660"/>
      <c r="L59" s="1660">
        <f t="shared" si="0"/>
        <v>0</v>
      </c>
    </row>
    <row r="60" spans="1:12" ht="34.5" customHeight="1">
      <c r="A60" s="1981" t="s">
        <v>31557</v>
      </c>
      <c r="B60" s="2252" t="s">
        <v>30768</v>
      </c>
      <c r="C60" s="2884" t="s">
        <v>30764</v>
      </c>
      <c r="D60" s="2898"/>
      <c r="E60" s="2927"/>
      <c r="F60" s="2826"/>
      <c r="G60" s="1655"/>
      <c r="H60" s="3716"/>
      <c r="I60" s="3715" t="str">
        <f>IF(OR(E60&lt;&gt;"",E61&lt;&gt;"",E62&lt;&gt;"",E63&lt;&gt;"",E64&lt;&gt;""),IF(OR(E60&lt;0,E61&lt;0,E62&lt;0,E63&lt;0,E64&lt;0,E60+E61+E62+E63+E64&lt;&gt;E59),"Ogni di cui deve essere maggiore o uguale a zero e la somma deve essere pari a EEprod",""),"")</f>
        <v/>
      </c>
      <c r="K60" s="1660"/>
      <c r="L60" s="1660">
        <f t="shared" si="0"/>
        <v>0</v>
      </c>
    </row>
    <row r="61" spans="1:12" ht="33.75" customHeight="1">
      <c r="A61" s="1981" t="s">
        <v>31558</v>
      </c>
      <c r="B61" s="2252" t="s">
        <v>30769</v>
      </c>
      <c r="C61" s="2884" t="s">
        <v>30764</v>
      </c>
      <c r="D61" s="2898"/>
      <c r="E61" s="2927"/>
      <c r="F61" s="2826"/>
      <c r="G61" s="1655"/>
      <c r="H61" s="3717"/>
      <c r="I61" s="3713"/>
      <c r="K61" s="1660"/>
      <c r="L61" s="1660">
        <f t="shared" si="0"/>
        <v>0</v>
      </c>
    </row>
    <row r="62" spans="1:12" ht="33" customHeight="1">
      <c r="A62" s="1981" t="s">
        <v>31559</v>
      </c>
      <c r="B62" s="2252" t="s">
        <v>30770</v>
      </c>
      <c r="C62" s="2884" t="s">
        <v>30764</v>
      </c>
      <c r="D62" s="2898"/>
      <c r="E62" s="2927"/>
      <c r="F62" s="2826"/>
      <c r="G62" s="1655"/>
      <c r="H62" s="3717"/>
      <c r="I62" s="3713"/>
      <c r="K62" s="1660"/>
      <c r="L62" s="1660">
        <f t="shared" si="0"/>
        <v>0</v>
      </c>
    </row>
    <row r="63" spans="1:12" ht="32.25" customHeight="1">
      <c r="A63" s="1981" t="s">
        <v>31560</v>
      </c>
      <c r="B63" s="2252" t="s">
        <v>30771</v>
      </c>
      <c r="C63" s="2884" t="s">
        <v>30764</v>
      </c>
      <c r="D63" s="2898"/>
      <c r="E63" s="2927"/>
      <c r="F63" s="2826"/>
      <c r="G63" s="1655"/>
      <c r="H63" s="3717"/>
      <c r="I63" s="3713"/>
      <c r="K63" s="1660"/>
      <c r="L63" s="1660">
        <f t="shared" si="0"/>
        <v>0</v>
      </c>
    </row>
    <row r="64" spans="1:12" ht="32.25" customHeight="1">
      <c r="A64" s="1981" t="s">
        <v>31561</v>
      </c>
      <c r="B64" s="2252" t="s">
        <v>29248</v>
      </c>
      <c r="C64" s="2884" t="s">
        <v>30764</v>
      </c>
      <c r="D64" s="2898"/>
      <c r="E64" s="2927"/>
      <c r="F64" s="2826"/>
      <c r="G64" s="1655"/>
      <c r="H64" s="3717"/>
      <c r="I64" s="3713"/>
      <c r="K64" s="1660"/>
      <c r="L64" s="1660">
        <f t="shared" si="0"/>
        <v>0</v>
      </c>
    </row>
    <row r="65" spans="1:12" ht="30">
      <c r="A65" s="1981" t="s">
        <v>31562</v>
      </c>
      <c r="B65" s="2271" t="s">
        <v>30772</v>
      </c>
      <c r="C65" s="2884" t="s">
        <v>30773</v>
      </c>
      <c r="D65" s="2898"/>
      <c r="E65" s="2927"/>
      <c r="F65" s="2813" t="s">
        <v>31563</v>
      </c>
      <c r="G65" s="1655"/>
      <c r="H65" s="2899"/>
      <c r="I65" s="1980" t="str">
        <f>IF(E65&lt;0,"Il valore deve essere maggiore o uguale a zero","")</f>
        <v/>
      </c>
      <c r="K65" s="1660"/>
      <c r="L65" s="1660">
        <f t="shared" si="0"/>
        <v>0</v>
      </c>
    </row>
    <row r="66" spans="1:12" ht="26.25" customHeight="1">
      <c r="A66" s="1981" t="s">
        <v>31564</v>
      </c>
      <c r="B66" s="2252" t="s">
        <v>30769</v>
      </c>
      <c r="C66" s="2884" t="s">
        <v>30773</v>
      </c>
      <c r="D66" s="2898"/>
      <c r="E66" s="2927"/>
      <c r="F66" s="2826"/>
      <c r="G66" s="1655"/>
      <c r="H66" s="3716"/>
      <c r="I66" s="3715" t="str">
        <f>IF(OR(E66&lt;&gt;"",E67&lt;&gt;"",E68&lt;&gt;"",E69&lt;&gt;""),IF(OR(E66&lt;0,E67&lt;0,E68&lt;0,E69&lt;0,E66+E67+E68+E69&lt;&gt;E65),"Ogni di cui deve essere maggiore o uguale a zero e la somma deve essere pari a ETprod",""),"")</f>
        <v/>
      </c>
      <c r="K66" s="1660"/>
      <c r="L66" s="1660">
        <f t="shared" si="0"/>
        <v>0</v>
      </c>
    </row>
    <row r="67" spans="1:12" ht="30">
      <c r="A67" s="1981" t="s">
        <v>31565</v>
      </c>
      <c r="B67" s="2252" t="s">
        <v>30770</v>
      </c>
      <c r="C67" s="2884" t="s">
        <v>30773</v>
      </c>
      <c r="D67" s="2898"/>
      <c r="E67" s="2927"/>
      <c r="F67" s="2826"/>
      <c r="G67" s="1655"/>
      <c r="H67" s="3717"/>
      <c r="I67" s="3713"/>
      <c r="K67" s="1660"/>
      <c r="L67" s="1660">
        <f t="shared" ref="L67:L79" si="2">IF(I67="",0,1)</f>
        <v>0</v>
      </c>
    </row>
    <row r="68" spans="1:12" ht="30">
      <c r="A68" s="1981" t="s">
        <v>31566</v>
      </c>
      <c r="B68" s="2252" t="s">
        <v>30771</v>
      </c>
      <c r="C68" s="2884" t="s">
        <v>30773</v>
      </c>
      <c r="D68" s="2898"/>
      <c r="E68" s="2927"/>
      <c r="F68" s="2826"/>
      <c r="G68" s="1655"/>
      <c r="H68" s="3717"/>
      <c r="I68" s="3713"/>
      <c r="K68" s="1660"/>
      <c r="L68" s="1660">
        <f t="shared" si="2"/>
        <v>0</v>
      </c>
    </row>
    <row r="69" spans="1:12" ht="30">
      <c r="A69" s="1981" t="s">
        <v>31567</v>
      </c>
      <c r="B69" s="2252" t="s">
        <v>29248</v>
      </c>
      <c r="C69" s="2884" t="s">
        <v>30773</v>
      </c>
      <c r="D69" s="2898"/>
      <c r="E69" s="2927"/>
      <c r="F69" s="2826"/>
      <c r="G69" s="1655"/>
      <c r="H69" s="3717"/>
      <c r="I69" s="3713"/>
      <c r="K69" s="1660"/>
      <c r="L69" s="1660">
        <f t="shared" si="2"/>
        <v>0</v>
      </c>
    </row>
    <row r="70" spans="1:12" ht="39" customHeight="1">
      <c r="A70" s="1981" t="s">
        <v>31568</v>
      </c>
      <c r="B70" s="2271" t="s">
        <v>30774</v>
      </c>
      <c r="C70" s="2884" t="s">
        <v>30766</v>
      </c>
      <c r="D70" s="2898"/>
      <c r="E70" s="2927"/>
      <c r="F70" s="2813" t="s">
        <v>30775</v>
      </c>
      <c r="G70" s="1655"/>
      <c r="H70" s="2899"/>
      <c r="I70" s="1980" t="str">
        <f>IF(E70&lt;0,"Il valore deve essere maggiore o uguale a zero","")</f>
        <v/>
      </c>
      <c r="K70" s="1660"/>
      <c r="L70" s="1660">
        <f t="shared" si="2"/>
        <v>0</v>
      </c>
    </row>
    <row r="71" spans="1:12" ht="30">
      <c r="A71" s="1981" t="s">
        <v>31569</v>
      </c>
      <c r="B71" s="2252" t="s">
        <v>30776</v>
      </c>
      <c r="C71" s="2884" t="s">
        <v>30766</v>
      </c>
      <c r="D71" s="2898"/>
      <c r="E71" s="2927"/>
      <c r="F71" s="2826"/>
      <c r="G71" s="1655"/>
      <c r="H71" s="2899"/>
      <c r="I71" s="1980" t="str">
        <f>IF(OR(E71&lt;0,E71&gt;E70),"Il valore deve essere maggiore o uguale a zero e minore di Gas_prod","")</f>
        <v/>
      </c>
      <c r="K71" s="1660"/>
      <c r="L71" s="1660">
        <f t="shared" si="2"/>
        <v>0</v>
      </c>
    </row>
    <row r="72" spans="1:12" ht="30">
      <c r="A72" s="2917" t="s">
        <v>30777</v>
      </c>
      <c r="B72" s="2272" t="s">
        <v>30778</v>
      </c>
      <c r="C72" s="2931" t="s">
        <v>21</v>
      </c>
      <c r="D72" s="2932"/>
      <c r="E72" s="2933" t="str">
        <f>IF(E3="SI",IF(AND(E59=0,E65=0,E70=0),100,MIN(100,((2.42*E57+0.292*E58)/(2.42*E59+1.5*E65+0.292*E70)))),"")</f>
        <v/>
      </c>
      <c r="F72" s="2813" t="s">
        <v>30779</v>
      </c>
      <c r="G72" s="1655"/>
      <c r="H72" s="2899"/>
      <c r="I72" s="2036"/>
      <c r="K72" s="1660"/>
      <c r="L72" s="1660">
        <f t="shared" si="2"/>
        <v>0</v>
      </c>
    </row>
    <row r="73" spans="1:12" ht="30">
      <c r="A73" s="1981" t="s">
        <v>31570</v>
      </c>
      <c r="B73" s="2271" t="s">
        <v>30780</v>
      </c>
      <c r="C73" s="2884" t="s">
        <v>30781</v>
      </c>
      <c r="D73" s="2898"/>
      <c r="E73" s="2927"/>
      <c r="F73" s="2826"/>
      <c r="G73" s="1655"/>
      <c r="H73" s="2899"/>
      <c r="I73" s="1980" t="str">
        <f>IF(E73&lt;0,"Il valore deve essere maggiore o uguale a zero","")</f>
        <v/>
      </c>
      <c r="K73" s="1660"/>
      <c r="L73" s="1660">
        <f t="shared" si="2"/>
        <v>0</v>
      </c>
    </row>
    <row r="74" spans="1:12" ht="26.25" customHeight="1">
      <c r="A74" s="1981" t="s">
        <v>31571</v>
      </c>
      <c r="B74" s="2252" t="s">
        <v>30782</v>
      </c>
      <c r="C74" s="2884" t="s">
        <v>30781</v>
      </c>
      <c r="D74" s="2898"/>
      <c r="E74" s="2927"/>
      <c r="F74" s="2826"/>
      <c r="G74" s="1655"/>
      <c r="H74" s="3716"/>
      <c r="I74" s="3715" t="str">
        <f>IF(OR(E74&lt;&gt;"",E75&lt;&gt;"",E76&lt;&gt;""),IF(OR(E74&lt;0,E75&lt;0,E76&lt;0,E74+E75+E76&lt;&gt;E73),"Ogni di cui deve essere maggiore o uguale a zero e la somma deve essere pari a Mrec",""),"")</f>
        <v/>
      </c>
      <c r="K74" s="1660"/>
      <c r="L74" s="1660">
        <f t="shared" si="2"/>
        <v>0</v>
      </c>
    </row>
    <row r="75" spans="1:12" ht="29.25" customHeight="1">
      <c r="A75" s="1981" t="s">
        <v>31572</v>
      </c>
      <c r="B75" s="2252" t="s">
        <v>30783</v>
      </c>
      <c r="C75" s="2884" t="s">
        <v>30781</v>
      </c>
      <c r="D75" s="2898"/>
      <c r="E75" s="2927"/>
      <c r="F75" s="2826"/>
      <c r="G75" s="1655"/>
      <c r="H75" s="3717"/>
      <c r="I75" s="3713"/>
      <c r="K75" s="1660"/>
      <c r="L75" s="1660">
        <f t="shared" si="2"/>
        <v>0</v>
      </c>
    </row>
    <row r="76" spans="1:12" ht="25.5" customHeight="1">
      <c r="A76" s="1981" t="s">
        <v>31573</v>
      </c>
      <c r="B76" s="2252" t="s">
        <v>30784</v>
      </c>
      <c r="C76" s="2884" t="s">
        <v>30781</v>
      </c>
      <c r="D76" s="2898"/>
      <c r="E76" s="2927"/>
      <c r="F76" s="2813" t="s">
        <v>30785</v>
      </c>
      <c r="G76" s="1655"/>
      <c r="H76" s="3717"/>
      <c r="I76" s="3713"/>
      <c r="K76" s="1660"/>
      <c r="L76" s="1660">
        <f t="shared" si="2"/>
        <v>0</v>
      </c>
    </row>
    <row r="77" spans="1:12" ht="46.5" customHeight="1">
      <c r="A77" s="2062" t="s">
        <v>30963</v>
      </c>
      <c r="B77" s="2271" t="s">
        <v>29505</v>
      </c>
      <c r="C77" s="2884" t="s">
        <v>28904</v>
      </c>
      <c r="D77" s="2926"/>
      <c r="E77" s="2912"/>
      <c r="F77" s="2813"/>
      <c r="G77" s="1655"/>
      <c r="H77" s="2899"/>
      <c r="I77" s="1980" t="str">
        <f>IF(E3="SI",IF(OR(E77&lt;=0,E77=""),"Il valore deve essere maggiore di zero",""),IF(E77&lt;&gt;0,"Non risulta gestito il servizio di depurazione",""))</f>
        <v/>
      </c>
      <c r="K77" s="1660"/>
      <c r="L77" s="1660">
        <f t="shared" si="2"/>
        <v>0</v>
      </c>
    </row>
    <row r="78" spans="1:12" ht="46.5" customHeight="1">
      <c r="A78" s="2062" t="s">
        <v>31574</v>
      </c>
      <c r="B78" s="2252" t="s">
        <v>30786</v>
      </c>
      <c r="C78" s="2884" t="s">
        <v>28904</v>
      </c>
      <c r="D78" s="2911"/>
      <c r="E78" s="2912"/>
      <c r="F78" s="2813"/>
      <c r="G78" s="1655"/>
      <c r="H78" s="2899"/>
      <c r="I78" s="1980" t="str">
        <f>IF(E78&lt;0,"Il valore deve essere maggiore o uguale a zero","")</f>
        <v/>
      </c>
      <c r="K78" s="1660"/>
      <c r="L78" s="1660">
        <f t="shared" si="2"/>
        <v>0</v>
      </c>
    </row>
    <row r="79" spans="1:12" ht="32.25" customHeight="1" thickBot="1">
      <c r="A79" s="2934" t="s">
        <v>30787</v>
      </c>
      <c r="B79" s="2935" t="s">
        <v>30788</v>
      </c>
      <c r="C79" s="2936" t="s">
        <v>30789</v>
      </c>
      <c r="D79" s="2937"/>
      <c r="E79" s="2938" t="str">
        <f>IF(E3="SI",IF(OR(AND(E73="",E78=""),OR(E73=0,E78=0)),"",E73/E78),"")</f>
        <v/>
      </c>
      <c r="F79" s="1977" t="s">
        <v>30790</v>
      </c>
      <c r="G79" s="1655"/>
      <c r="H79" s="2902"/>
      <c r="I79" s="2208"/>
      <c r="K79" s="1660"/>
      <c r="L79" s="1660">
        <f t="shared" si="2"/>
        <v>0</v>
      </c>
    </row>
    <row r="80" spans="1:12" ht="10.5" customHeight="1">
      <c r="A80" s="1696"/>
      <c r="B80" s="1697"/>
      <c r="C80" s="1698"/>
      <c r="D80" s="2243"/>
      <c r="E80" s="2243"/>
      <c r="F80" s="1699"/>
      <c r="G80" s="1699"/>
      <c r="H80" s="1707"/>
      <c r="I80" s="1707"/>
      <c r="J80" s="1699"/>
      <c r="K80" s="1660"/>
      <c r="L80" s="1660"/>
    </row>
    <row r="81" spans="1:12" ht="18" thickBot="1">
      <c r="A81" s="2807" t="s">
        <v>31575</v>
      </c>
      <c r="B81" s="1697"/>
      <c r="C81" s="1698"/>
      <c r="D81" s="2243"/>
      <c r="E81" s="2243"/>
      <c r="F81" s="1699"/>
      <c r="G81" s="1699"/>
      <c r="H81" s="1704"/>
      <c r="I81" s="1704"/>
      <c r="J81" s="1699"/>
      <c r="K81" s="1660"/>
      <c r="L81" s="1660">
        <f t="shared" ref="L81:L133" si="3">IF(I81="",0,1)</f>
        <v>0</v>
      </c>
    </row>
    <row r="82" spans="1:12" ht="45">
      <c r="A82" s="1701" t="s">
        <v>29224</v>
      </c>
      <c r="B82" s="1969" t="s">
        <v>30084</v>
      </c>
      <c r="C82" s="2283" t="s">
        <v>22744</v>
      </c>
      <c r="D82" s="2939"/>
      <c r="E82" s="2940">
        <f>E15</f>
        <v>0</v>
      </c>
      <c r="F82" s="2284" t="s">
        <v>30753</v>
      </c>
      <c r="G82" s="1705"/>
      <c r="H82" s="2941"/>
      <c r="I82" s="1659"/>
      <c r="J82" s="1705"/>
      <c r="K82" s="1660"/>
      <c r="L82" s="1660">
        <f t="shared" si="3"/>
        <v>0</v>
      </c>
    </row>
    <row r="83" spans="1:12" ht="45" customHeight="1">
      <c r="A83" s="2054" t="s">
        <v>29225</v>
      </c>
      <c r="B83" s="2245" t="s">
        <v>30085</v>
      </c>
      <c r="C83" s="2285" t="s">
        <v>28</v>
      </c>
      <c r="D83" s="2942"/>
      <c r="E83" s="2943">
        <f>E16</f>
        <v>0</v>
      </c>
      <c r="F83" s="2286" t="s">
        <v>30753</v>
      </c>
      <c r="G83" s="1705"/>
      <c r="H83" s="2944"/>
      <c r="I83" s="2036"/>
      <c r="J83" s="1705"/>
      <c r="K83" s="1660"/>
      <c r="L83" s="1660">
        <f t="shared" si="3"/>
        <v>0</v>
      </c>
    </row>
    <row r="84" spans="1:12" ht="45" customHeight="1">
      <c r="A84" s="2220" t="s">
        <v>29301</v>
      </c>
      <c r="B84" s="2221" t="s">
        <v>29227</v>
      </c>
      <c r="C84" s="2287" t="s">
        <v>21</v>
      </c>
      <c r="D84" s="2945"/>
      <c r="E84" s="2946" t="str">
        <f>IF(E3="SI",IF(OR(E82&gt;0,E83&gt;0,AND(E82="",E83="")),"NO","SI"),"")</f>
        <v/>
      </c>
      <c r="F84" s="2076" t="s">
        <v>31552</v>
      </c>
      <c r="G84" s="1705"/>
      <c r="H84" s="2944"/>
      <c r="I84" s="1980" t="str">
        <f>IF(AND(E$3="SI",E84="NO"),"Attenzione, prerequisito mancante","")</f>
        <v/>
      </c>
      <c r="J84" s="1705"/>
      <c r="K84" s="1660"/>
      <c r="L84" s="1660">
        <f t="shared" si="3"/>
        <v>0</v>
      </c>
    </row>
    <row r="85" spans="1:12" ht="45">
      <c r="A85" s="2288" t="s">
        <v>29302</v>
      </c>
      <c r="B85" s="2289" t="s">
        <v>29303</v>
      </c>
      <c r="C85" s="2290" t="s">
        <v>21</v>
      </c>
      <c r="D85" s="2947"/>
      <c r="E85" s="2948"/>
      <c r="F85" s="2291" t="s">
        <v>30703</v>
      </c>
      <c r="G85" s="1705"/>
      <c r="H85" s="2949"/>
      <c r="I85" s="2292" t="str">
        <f>IF(AND(E3="SI",OR(E85="Non adeguato",E85="")),"Attenzione, prerequisito mancante","")</f>
        <v/>
      </c>
      <c r="J85" s="1705"/>
      <c r="K85" s="1660"/>
      <c r="L85" s="1660">
        <f t="shared" si="3"/>
        <v>0</v>
      </c>
    </row>
    <row r="86" spans="1:12" ht="45" customHeight="1">
      <c r="A86" s="2950" t="s">
        <v>29304</v>
      </c>
      <c r="B86" s="2951" t="s">
        <v>29305</v>
      </c>
      <c r="C86" s="2952" t="s">
        <v>21</v>
      </c>
      <c r="D86" s="2953"/>
      <c r="E86" s="2954"/>
      <c r="F86" s="2291" t="s">
        <v>31543</v>
      </c>
      <c r="G86" s="1705"/>
      <c r="H86" s="2955"/>
      <c r="I86" s="2956"/>
      <c r="J86" s="1709"/>
      <c r="K86" s="1660"/>
      <c r="L86" s="1660">
        <f t="shared" si="3"/>
        <v>0</v>
      </c>
    </row>
    <row r="87" spans="1:12" ht="60.75" customHeight="1">
      <c r="A87" s="2957" t="s">
        <v>30964</v>
      </c>
      <c r="B87" s="2174" t="s">
        <v>30965</v>
      </c>
      <c r="C87" s="2958" t="s">
        <v>21</v>
      </c>
      <c r="D87" s="2959"/>
      <c r="E87" s="2960"/>
      <c r="F87" s="2076" t="s">
        <v>31576</v>
      </c>
      <c r="G87" s="1705"/>
      <c r="H87" s="2961"/>
      <c r="I87" s="2038"/>
      <c r="J87" s="1705"/>
      <c r="K87" s="1660"/>
      <c r="L87" s="1660">
        <f t="shared" si="3"/>
        <v>0</v>
      </c>
    </row>
    <row r="88" spans="1:12" ht="58.5" customHeight="1">
      <c r="A88" s="2054" t="s">
        <v>30966</v>
      </c>
      <c r="B88" s="2174" t="s">
        <v>30967</v>
      </c>
      <c r="C88" s="2285" t="s">
        <v>21</v>
      </c>
      <c r="D88" s="2962"/>
      <c r="E88" s="2963"/>
      <c r="F88" s="2076" t="s">
        <v>30968</v>
      </c>
      <c r="G88" s="1705"/>
      <c r="H88" s="2961"/>
      <c r="I88" s="2038"/>
      <c r="J88" s="1709"/>
      <c r="K88" s="1660"/>
      <c r="L88" s="1660">
        <f t="shared" si="3"/>
        <v>0</v>
      </c>
    </row>
    <row r="89" spans="1:12" ht="45.75" thickBot="1">
      <c r="A89" s="2294" t="s">
        <v>31577</v>
      </c>
      <c r="B89" s="2295" t="s">
        <v>31578</v>
      </c>
      <c r="C89" s="2296" t="s">
        <v>21</v>
      </c>
      <c r="D89" s="2964"/>
      <c r="E89" s="2965"/>
      <c r="F89" s="2297" t="s">
        <v>31579</v>
      </c>
      <c r="G89" s="1709"/>
      <c r="H89" s="2966"/>
      <c r="I89" s="2046" t="str">
        <f>IF(AND(E3="SI",E89="SI"),"Attenzione, verificare l'adeguatezza della frequenza dei campionamenti","")</f>
        <v/>
      </c>
      <c r="J89" s="1709"/>
      <c r="K89" s="1660"/>
      <c r="L89" s="1660">
        <f t="shared" si="3"/>
        <v>0</v>
      </c>
    </row>
    <row r="90" spans="1:12" ht="10.5" customHeight="1">
      <c r="A90" s="1665"/>
      <c r="B90" s="1697"/>
      <c r="C90" s="1698"/>
      <c r="D90" s="2243"/>
      <c r="E90" s="2243"/>
      <c r="F90" s="1699"/>
      <c r="G90" s="1699"/>
      <c r="H90" s="1707"/>
      <c r="I90" s="1707"/>
      <c r="J90" s="1699"/>
      <c r="K90" s="1660"/>
      <c r="L90" s="1660">
        <f t="shared" si="3"/>
        <v>0</v>
      </c>
    </row>
    <row r="91" spans="1:12" ht="18" thickBot="1">
      <c r="A91" s="1665" t="s">
        <v>29306</v>
      </c>
      <c r="B91" s="1697"/>
      <c r="C91" s="1698"/>
      <c r="D91" s="2243"/>
      <c r="E91" s="2243"/>
      <c r="F91" s="1699"/>
      <c r="G91" s="1699"/>
      <c r="H91" s="1707"/>
      <c r="I91" s="1707"/>
      <c r="J91" s="1699"/>
      <c r="K91" s="1660"/>
      <c r="L91" s="1660">
        <f t="shared" si="3"/>
        <v>0</v>
      </c>
    </row>
    <row r="92" spans="1:12" ht="32.1" customHeight="1">
      <c r="A92" s="1710" t="s">
        <v>29307</v>
      </c>
      <c r="B92" s="1686" t="s">
        <v>29308</v>
      </c>
      <c r="C92" s="1972" t="s">
        <v>22744</v>
      </c>
      <c r="D92" s="2910"/>
      <c r="E92" s="1511"/>
      <c r="F92" s="1989" t="s">
        <v>30791</v>
      </c>
      <c r="G92" s="1655"/>
      <c r="H92" s="2941"/>
      <c r="I92" s="1669" t="str">
        <f>IF(E3="SI",IF(OR(E92&lt;=0,E92=""),"Il valore deve essere maggiore di zero",""),IF(E92&lt;&gt;0,"Non risulta gestito il servizio di depurazione",""))</f>
        <v/>
      </c>
      <c r="J92" s="1655"/>
      <c r="K92" s="1660"/>
      <c r="L92" s="1660">
        <f t="shared" si="3"/>
        <v>0</v>
      </c>
    </row>
    <row r="93" spans="1:12" ht="25.35" customHeight="1">
      <c r="A93" s="2060" t="s">
        <v>29309</v>
      </c>
      <c r="B93" s="2252" t="s">
        <v>29310</v>
      </c>
      <c r="C93" s="2884" t="s">
        <v>22744</v>
      </c>
      <c r="D93" s="2911"/>
      <c r="E93" s="2048"/>
      <c r="F93" s="2076"/>
      <c r="G93" s="1655"/>
      <c r="H93" s="2944"/>
      <c r="I93" s="1980" t="str">
        <f>IF(OR(E93&lt;0,E93&gt;E92),"Il valore deve essere maggiore o uguale a zero e minore o uguale a Ndep","")</f>
        <v/>
      </c>
      <c r="J93" s="1655"/>
      <c r="K93" s="1660"/>
      <c r="L93" s="1660">
        <f t="shared" si="3"/>
        <v>0</v>
      </c>
    </row>
    <row r="94" spans="1:12" ht="30.75" customHeight="1">
      <c r="A94" s="2060" t="s">
        <v>29311</v>
      </c>
      <c r="B94" s="2264" t="s">
        <v>29312</v>
      </c>
      <c r="C94" s="2884" t="s">
        <v>22744</v>
      </c>
      <c r="D94" s="2911"/>
      <c r="E94" s="2048"/>
      <c r="F94" s="2967"/>
      <c r="G94" s="1655"/>
      <c r="H94" s="2944"/>
      <c r="I94" s="1980" t="str">
        <f>IF(OR(E94&lt;0,E94&gt;E93),"Il valore deve essere maggiore o uguale a zero e minore o uguale a Ndep_2000","")</f>
        <v/>
      </c>
      <c r="J94" s="1655"/>
      <c r="K94" s="1660"/>
      <c r="L94" s="1660">
        <f t="shared" si="3"/>
        <v>0</v>
      </c>
    </row>
    <row r="95" spans="1:12" ht="32.1" customHeight="1">
      <c r="A95" s="2062" t="s">
        <v>29313</v>
      </c>
      <c r="B95" s="2271" t="s">
        <v>29314</v>
      </c>
      <c r="C95" s="2884" t="s">
        <v>22744</v>
      </c>
      <c r="D95" s="2919"/>
      <c r="E95" s="2200">
        <f>IF(E93-E94&lt;0,"",E93-E94)</f>
        <v>0</v>
      </c>
      <c r="F95" s="2076" t="s">
        <v>29315</v>
      </c>
      <c r="G95" s="1655"/>
      <c r="H95" s="2968"/>
      <c r="I95" s="2298"/>
      <c r="J95" s="1655"/>
      <c r="K95" s="1660"/>
      <c r="L95" s="1660">
        <f t="shared" si="3"/>
        <v>0</v>
      </c>
    </row>
    <row r="96" spans="1:12" ht="32.1" customHeight="1">
      <c r="A96" s="2062" t="s">
        <v>31580</v>
      </c>
      <c r="B96" s="2300" t="s">
        <v>30969</v>
      </c>
      <c r="C96" s="2884" t="s">
        <v>22744</v>
      </c>
      <c r="D96" s="2911"/>
      <c r="E96" s="2912"/>
      <c r="F96" s="2076"/>
      <c r="G96" s="1655"/>
      <c r="H96" s="2944"/>
      <c r="I96" s="1980" t="str">
        <f>IF(OR(E96&lt;0,E96&gt;E95),"Il valore deve essere maggiore o uguale a zero e minore o uguale a N*","")</f>
        <v/>
      </c>
      <c r="J96" s="1655"/>
      <c r="K96" s="1660"/>
      <c r="L96" s="1660">
        <f t="shared" si="3"/>
        <v>0</v>
      </c>
    </row>
    <row r="97" spans="1:12" ht="32.1" customHeight="1">
      <c r="A97" s="2062" t="s">
        <v>31581</v>
      </c>
      <c r="B97" s="2300" t="s">
        <v>30970</v>
      </c>
      <c r="C97" s="2884" t="s">
        <v>22744</v>
      </c>
      <c r="D97" s="2911"/>
      <c r="E97" s="2912"/>
      <c r="F97" s="2076"/>
      <c r="G97" s="1655"/>
      <c r="H97" s="2944"/>
      <c r="I97" s="1980" t="str">
        <f>IF(OR(E97&lt;0,E97&gt;E95),"Il valore deve essere maggiore o uguale a zero e minore o uguale a N*","")</f>
        <v/>
      </c>
      <c r="J97" s="1655"/>
      <c r="K97" s="1660"/>
      <c r="L97" s="1660">
        <f t="shared" si="3"/>
        <v>0</v>
      </c>
    </row>
    <row r="98" spans="1:12" ht="32.1" customHeight="1">
      <c r="A98" s="2062" t="s">
        <v>29313</v>
      </c>
      <c r="B98" s="2271" t="s">
        <v>29314</v>
      </c>
      <c r="C98" s="2884" t="s">
        <v>22744</v>
      </c>
      <c r="D98" s="2919"/>
      <c r="E98" s="2200">
        <f>E95</f>
        <v>0</v>
      </c>
      <c r="F98" s="2076"/>
      <c r="G98" s="1655"/>
      <c r="H98" s="2968"/>
      <c r="I98" s="2298"/>
      <c r="J98" s="1655"/>
      <c r="K98" s="1660"/>
      <c r="L98" s="1660"/>
    </row>
    <row r="99" spans="1:12" ht="37.5" customHeight="1">
      <c r="A99" s="2062" t="s">
        <v>31582</v>
      </c>
      <c r="B99" s="2300" t="s">
        <v>30792</v>
      </c>
      <c r="C99" s="2884" t="s">
        <v>22744</v>
      </c>
      <c r="D99" s="2911"/>
      <c r="E99" s="2912"/>
      <c r="F99" s="2293" t="s">
        <v>31583</v>
      </c>
      <c r="G99" s="1655"/>
      <c r="H99" s="2944"/>
      <c r="I99" s="1980" t="str">
        <f>IF(OR(E99&lt;0,E99&gt;E95),"Il valore deve essere maggiore o uguale a zero e minore o uguale a N*","")</f>
        <v/>
      </c>
      <c r="J99" s="1655"/>
      <c r="K99" s="1660"/>
      <c r="L99" s="1660">
        <f t="shared" ref="L99" si="4">IF(I99="",0,1)</f>
        <v>0</v>
      </c>
    </row>
    <row r="100" spans="1:12" ht="51" customHeight="1">
      <c r="A100" s="2062" t="s">
        <v>29316</v>
      </c>
      <c r="B100" s="2300" t="s">
        <v>29317</v>
      </c>
      <c r="C100" s="2884" t="s">
        <v>22744</v>
      </c>
      <c r="D100" s="2911"/>
      <c r="E100" s="2048"/>
      <c r="F100" s="2076" t="s">
        <v>31584</v>
      </c>
      <c r="G100" s="1655"/>
      <c r="H100" s="2944"/>
      <c r="I100" s="1980" t="str">
        <f>IF(OR(E100&lt;0,E100&gt;E95),"Il valore deve essere maggiore o uguale a zero e minore o uguale a N*","")</f>
        <v/>
      </c>
      <c r="J100" s="1655"/>
      <c r="K100" s="1660"/>
      <c r="L100" s="1660">
        <f t="shared" si="3"/>
        <v>0</v>
      </c>
    </row>
    <row r="101" spans="1:12" ht="48.75" customHeight="1">
      <c r="A101" s="2062" t="s">
        <v>29318</v>
      </c>
      <c r="B101" s="2300" t="s">
        <v>31585</v>
      </c>
      <c r="C101" s="2884" t="s">
        <v>22744</v>
      </c>
      <c r="D101" s="2911"/>
      <c r="E101" s="2048"/>
      <c r="F101" s="2076" t="s">
        <v>31586</v>
      </c>
      <c r="G101" s="1655"/>
      <c r="H101" s="2944"/>
      <c r="I101" s="1980" t="str">
        <f>IF(OR(E101&lt;0,E101&gt;E95),"Il valore deve essere maggiore o uguale a zero e minore o uguale a N*","")</f>
        <v/>
      </c>
      <c r="J101" s="1655"/>
      <c r="K101" s="1660"/>
      <c r="L101" s="1660">
        <f t="shared" si="3"/>
        <v>0</v>
      </c>
    </row>
    <row r="102" spans="1:12" ht="43.5" customHeight="1">
      <c r="A102" s="2062" t="s">
        <v>29319</v>
      </c>
      <c r="B102" s="2300" t="s">
        <v>31587</v>
      </c>
      <c r="C102" s="2884" t="s">
        <v>22744</v>
      </c>
      <c r="D102" s="2911"/>
      <c r="E102" s="2048"/>
      <c r="F102" s="2293" t="s">
        <v>31583</v>
      </c>
      <c r="G102" s="1655"/>
      <c r="H102" s="2944"/>
      <c r="I102" s="1980" t="str">
        <f>IF(OR(E102&lt;0,E102&gt;E95),"Il valore deve essere maggiore o uguale a zero e minore o uguale a N*","")</f>
        <v/>
      </c>
      <c r="J102" s="1655"/>
      <c r="K102" s="1660"/>
      <c r="L102" s="1660">
        <f t="shared" si="3"/>
        <v>0</v>
      </c>
    </row>
    <row r="103" spans="1:12" ht="78.75" customHeight="1">
      <c r="A103" s="2062" t="s">
        <v>31588</v>
      </c>
      <c r="B103" s="2300" t="s">
        <v>30971</v>
      </c>
      <c r="C103" s="2884" t="s">
        <v>22744</v>
      </c>
      <c r="D103" s="2911"/>
      <c r="E103" s="2912"/>
      <c r="F103" s="2076" t="s">
        <v>31589</v>
      </c>
      <c r="G103" s="1655"/>
      <c r="H103" s="2944"/>
      <c r="I103" s="2036"/>
      <c r="J103" s="1655"/>
      <c r="K103" s="1660"/>
      <c r="L103" s="1660">
        <f>IF(I103="",0,1)</f>
        <v>0</v>
      </c>
    </row>
    <row r="104" spans="1:12" ht="42.75" customHeight="1">
      <c r="A104" s="2062" t="s">
        <v>31590</v>
      </c>
      <c r="B104" s="2969" t="s">
        <v>31591</v>
      </c>
      <c r="C104" s="2884" t="s">
        <v>22744</v>
      </c>
      <c r="D104" s="2911"/>
      <c r="E104" s="2912"/>
      <c r="F104" s="2293" t="s">
        <v>31583</v>
      </c>
      <c r="G104" s="1655"/>
      <c r="H104" s="2944"/>
      <c r="I104" s="1980" t="str">
        <f>IF(OR(E104&lt;0,E104&gt;E102,E104&gt;E103),"Il valore deve essere maggiore o uguale a zero e minore o uguale a N*Tab3 e a N*Tab3_N-P_RQTI","")</f>
        <v/>
      </c>
      <c r="J104" s="1655"/>
      <c r="K104" s="1660"/>
      <c r="L104" s="1660">
        <f t="shared" ref="L104" si="5">IF(I104="",0,1)</f>
        <v>0</v>
      </c>
    </row>
    <row r="105" spans="1:12" ht="52.5" customHeight="1">
      <c r="A105" s="2062" t="s">
        <v>31592</v>
      </c>
      <c r="B105" s="2300" t="s">
        <v>30972</v>
      </c>
      <c r="C105" s="2884" t="s">
        <v>22744</v>
      </c>
      <c r="D105" s="2911"/>
      <c r="E105" s="2912"/>
      <c r="F105" s="2076" t="s">
        <v>31593</v>
      </c>
      <c r="G105" s="1655"/>
      <c r="H105" s="2944"/>
      <c r="I105" s="2036"/>
      <c r="J105" s="1655"/>
      <c r="K105" s="1660"/>
      <c r="L105" s="1660"/>
    </row>
    <row r="106" spans="1:12" ht="156" customHeight="1">
      <c r="A106" s="2051" t="s">
        <v>29320</v>
      </c>
      <c r="B106" s="2282" t="s">
        <v>31594</v>
      </c>
      <c r="C106" s="2884" t="s">
        <v>22744</v>
      </c>
      <c r="D106" s="2911"/>
      <c r="E106" s="2912"/>
      <c r="F106" s="2076" t="s">
        <v>31595</v>
      </c>
      <c r="G106" s="1709"/>
      <c r="H106" s="2944"/>
      <c r="I106" s="1980" t="str">
        <f>IF(E106&lt;0,"Il valore deve essere maggiore o uguale a zero","")</f>
        <v/>
      </c>
      <c r="J106" s="1709"/>
      <c r="K106" s="1660"/>
      <c r="L106" s="1660">
        <f t="shared" si="3"/>
        <v>0</v>
      </c>
    </row>
    <row r="107" spans="1:12" ht="45">
      <c r="A107" s="1978" t="s">
        <v>31596</v>
      </c>
      <c r="B107" s="2300" t="s">
        <v>30973</v>
      </c>
      <c r="C107" s="2884" t="s">
        <v>22744</v>
      </c>
      <c r="D107" s="2911"/>
      <c r="E107" s="2912"/>
      <c r="F107" s="2076" t="s">
        <v>30794</v>
      </c>
      <c r="G107" s="1709"/>
      <c r="H107" s="2944"/>
      <c r="I107" s="1980" t="str">
        <f>IF(OR(E107&lt;0,E107&gt;E106),"Il valore deve essere maggiore o uguale a zero e minore o uguale a ∑Cimp,DEP-tot","")</f>
        <v/>
      </c>
      <c r="J107" s="1709"/>
      <c r="K107" s="1660"/>
      <c r="L107" s="1660">
        <f t="shared" si="3"/>
        <v>0</v>
      </c>
    </row>
    <row r="108" spans="1:12" ht="45">
      <c r="A108" s="1978" t="s">
        <v>31597</v>
      </c>
      <c r="B108" s="2300" t="s">
        <v>30793</v>
      </c>
      <c r="C108" s="2884" t="s">
        <v>22744</v>
      </c>
      <c r="D108" s="2911"/>
      <c r="E108" s="2912"/>
      <c r="F108" s="2076" t="s">
        <v>30794</v>
      </c>
      <c r="G108" s="1709"/>
      <c r="H108" s="2944"/>
      <c r="I108" s="1980" t="str">
        <f>IF(OR(E108&lt;0,E108&gt;E106),"Il valore deve essere maggiore o uguale a zero e minore o uguale a ∑Cimp,DEP-tot","")</f>
        <v/>
      </c>
      <c r="J108" s="1709"/>
      <c r="K108" s="1660"/>
      <c r="L108" s="1660">
        <f t="shared" si="3"/>
        <v>0</v>
      </c>
    </row>
    <row r="109" spans="1:12" ht="71.25" customHeight="1">
      <c r="A109" s="2073" t="s">
        <v>31598</v>
      </c>
      <c r="B109" s="2299" t="s">
        <v>31599</v>
      </c>
      <c r="C109" s="2970" t="s">
        <v>22744</v>
      </c>
      <c r="D109" s="2911"/>
      <c r="E109" s="2912"/>
      <c r="F109" s="2293" t="s">
        <v>31600</v>
      </c>
      <c r="G109" s="1709"/>
      <c r="H109" s="2944"/>
      <c r="I109" s="1980" t="str">
        <f>IF(OR(E109&lt;0,E109&gt;E106),"Il valore deve essere maggiore o uguale a zero e minore o uguale a ∑Cimp,DEP-tot","")</f>
        <v/>
      </c>
      <c r="J109" s="1709"/>
      <c r="K109" s="1660"/>
      <c r="L109" s="1660">
        <f t="shared" si="3"/>
        <v>0</v>
      </c>
    </row>
    <row r="110" spans="1:12" ht="45.75" customHeight="1">
      <c r="A110" s="2073" t="s">
        <v>31601</v>
      </c>
      <c r="B110" s="2299" t="s">
        <v>31602</v>
      </c>
      <c r="C110" s="2970" t="s">
        <v>22744</v>
      </c>
      <c r="D110" s="2911"/>
      <c r="E110" s="2912"/>
      <c r="F110" s="2293" t="s">
        <v>31603</v>
      </c>
      <c r="G110" s="1709"/>
      <c r="H110" s="2944"/>
      <c r="I110" s="1980" t="str">
        <f>IF(OR(E110&lt;0,E110&gt;E106),"Il valore deve essere maggiore o uguale a zero e minore o uguale a ∑Cimp,DEP-tot",IF(AND(E89&lt;&gt;"SI",E110&gt;0),"Attenzione: DerM6 è vuota",""))</f>
        <v/>
      </c>
      <c r="J110" s="1709"/>
      <c r="K110" s="1660"/>
      <c r="L110" s="1660">
        <f t="shared" si="3"/>
        <v>0</v>
      </c>
    </row>
    <row r="111" spans="1:12" ht="171.75" customHeight="1">
      <c r="A111" s="2051" t="s">
        <v>29321</v>
      </c>
      <c r="B111" s="2282" t="s">
        <v>31604</v>
      </c>
      <c r="C111" s="2884" t="s">
        <v>22744</v>
      </c>
      <c r="D111" s="2911"/>
      <c r="E111" s="2912"/>
      <c r="F111" s="2076" t="s">
        <v>31605</v>
      </c>
      <c r="G111" s="1709"/>
      <c r="H111" s="2944"/>
      <c r="I111" s="1980" t="str">
        <f>IF(OR(E111&lt;0,AND(E95&gt;0,E111="")),"Il valore deve essere maggiore o uguale a zero",IF(E111&gt;E106,"Il valore deve essere maggiore o uguale a zero e minore o uguale a ∑Cimp,DEP-tot",""))</f>
        <v/>
      </c>
      <c r="J111" s="1709"/>
      <c r="K111" s="1660"/>
      <c r="L111" s="1660">
        <f t="shared" si="3"/>
        <v>0</v>
      </c>
    </row>
    <row r="112" spans="1:12" ht="51">
      <c r="A112" s="2051" t="s">
        <v>29322</v>
      </c>
      <c r="B112" s="2252" t="s">
        <v>31606</v>
      </c>
      <c r="C112" s="2884" t="s">
        <v>22744</v>
      </c>
      <c r="D112" s="2911"/>
      <c r="E112" s="2912"/>
      <c r="F112" s="2076" t="s">
        <v>31607</v>
      </c>
      <c r="G112" s="1709"/>
      <c r="H112" s="3718" t="str">
        <f>IF(OR(D112&lt;&gt;"",D113&lt;&gt;"",D114&lt;&gt;"",D115&lt;&gt;"",D116&lt;&gt;"",D117&lt;&gt;"",D118&lt;&gt;""),IF(OR(D112&lt;0,D113&lt;0,D114&lt;0,D115&lt;0,D116&lt;0,D117&lt;0,D118&lt;0,D118+D117+D116+D115+D114+D113+D112&lt;&gt;D111),"Ogni di cui deve essere maggiore o uguale a zero e la somma deve essere pari a ∑Cimp,DEP-cnc",""),"")</f>
        <v/>
      </c>
      <c r="I112" s="3720" t="str">
        <f>IF(OR(E112&lt;&gt;"",E113&lt;&gt;"",E114&lt;&gt;"",E115&lt;&gt;"",E116&lt;&gt;"",E117&lt;&gt;"",E118&lt;&gt;"",E119&lt;&gt;"",E120&lt;&gt;""),IF(OR(E112&lt;0,E113&lt;0,E114&lt;0,E115&lt;0,E116&lt;0,E117&lt;0,E118&lt;0,E119&lt;0,E120&lt;0,E120+E119+E118+E117+E116+E115+E114+E113+E112&lt;&gt;E111),"Ogni di cui deve essere maggiore o uguale a zero e la somma deve essere pari a ∑Cimp,DEP-cnc",""),"")</f>
        <v/>
      </c>
      <c r="J112" s="1709"/>
      <c r="K112" s="1660"/>
      <c r="L112" s="1660">
        <f t="shared" si="3"/>
        <v>0</v>
      </c>
    </row>
    <row r="113" spans="1:12" ht="72" customHeight="1">
      <c r="A113" s="2051" t="s">
        <v>29323</v>
      </c>
      <c r="B113" s="2252" t="s">
        <v>30795</v>
      </c>
      <c r="C113" s="2884" t="s">
        <v>22744</v>
      </c>
      <c r="D113" s="2911"/>
      <c r="E113" s="2912"/>
      <c r="F113" s="2076" t="s">
        <v>31608</v>
      </c>
      <c r="G113" s="1709"/>
      <c r="H113" s="3718"/>
      <c r="I113" s="3721"/>
      <c r="J113" s="1709"/>
      <c r="K113" s="1660"/>
      <c r="L113" s="1660">
        <f t="shared" si="3"/>
        <v>0</v>
      </c>
    </row>
    <row r="114" spans="1:12" ht="106.5" customHeight="1">
      <c r="A114" s="2051" t="s">
        <v>29324</v>
      </c>
      <c r="B114" s="2252" t="s">
        <v>30796</v>
      </c>
      <c r="C114" s="2884" t="s">
        <v>22744</v>
      </c>
      <c r="D114" s="2911"/>
      <c r="E114" s="2912"/>
      <c r="F114" s="2076" t="s">
        <v>31609</v>
      </c>
      <c r="G114" s="1709"/>
      <c r="H114" s="3718"/>
      <c r="I114" s="3721"/>
      <c r="J114" s="1709"/>
      <c r="K114" s="1660"/>
      <c r="L114" s="1660">
        <f t="shared" si="3"/>
        <v>0</v>
      </c>
    </row>
    <row r="115" spans="1:12" ht="34.5" customHeight="1">
      <c r="A115" s="2051" t="s">
        <v>29325</v>
      </c>
      <c r="B115" s="2252" t="s">
        <v>31610</v>
      </c>
      <c r="C115" s="2884" t="s">
        <v>22744</v>
      </c>
      <c r="D115" s="2911"/>
      <c r="E115" s="2912"/>
      <c r="F115" s="2293" t="s">
        <v>31611</v>
      </c>
      <c r="G115" s="1709"/>
      <c r="H115" s="3718"/>
      <c r="I115" s="3721"/>
      <c r="J115" s="1709"/>
      <c r="K115" s="1660"/>
      <c r="L115" s="1660">
        <f t="shared" si="3"/>
        <v>0</v>
      </c>
    </row>
    <row r="116" spans="1:12" ht="68.25" customHeight="1">
      <c r="A116" s="1978" t="s">
        <v>31612</v>
      </c>
      <c r="B116" s="2252" t="s">
        <v>31613</v>
      </c>
      <c r="C116" s="2884" t="s">
        <v>22744</v>
      </c>
      <c r="D116" s="2911"/>
      <c r="E116" s="2912"/>
      <c r="F116" s="2076" t="s">
        <v>31614</v>
      </c>
      <c r="G116" s="1709"/>
      <c r="H116" s="3718"/>
      <c r="I116" s="3721"/>
      <c r="J116" s="1709"/>
      <c r="K116" s="1660"/>
      <c r="L116" s="1660">
        <f t="shared" si="3"/>
        <v>0</v>
      </c>
    </row>
    <row r="117" spans="1:12" ht="80.25" customHeight="1">
      <c r="A117" s="1978" t="s">
        <v>31615</v>
      </c>
      <c r="B117" s="2252" t="s">
        <v>30974</v>
      </c>
      <c r="C117" s="2884" t="s">
        <v>22744</v>
      </c>
      <c r="D117" s="2911"/>
      <c r="E117" s="2912"/>
      <c r="F117" s="2076" t="s">
        <v>31616</v>
      </c>
      <c r="G117" s="1709"/>
      <c r="H117" s="3718"/>
      <c r="I117" s="3721"/>
      <c r="J117" s="1709"/>
      <c r="K117" s="1660"/>
      <c r="L117" s="1660">
        <f t="shared" si="3"/>
        <v>0</v>
      </c>
    </row>
    <row r="118" spans="1:12" ht="55.5" customHeight="1">
      <c r="A118" s="1978" t="s">
        <v>31617</v>
      </c>
      <c r="B118" s="2252" t="s">
        <v>31618</v>
      </c>
      <c r="C118" s="2884" t="s">
        <v>22744</v>
      </c>
      <c r="D118" s="2911"/>
      <c r="E118" s="2912"/>
      <c r="F118" s="2076" t="s">
        <v>31619</v>
      </c>
      <c r="G118" s="1709"/>
      <c r="H118" s="3719"/>
      <c r="I118" s="3722"/>
      <c r="J118" s="1709"/>
      <c r="K118" s="1660"/>
      <c r="L118" s="1660">
        <f t="shared" si="3"/>
        <v>0</v>
      </c>
    </row>
    <row r="119" spans="1:12" ht="45.75" customHeight="1">
      <c r="A119" s="2073" t="s">
        <v>31598</v>
      </c>
      <c r="B119" s="2299" t="s">
        <v>31599</v>
      </c>
      <c r="C119" s="2970" t="s">
        <v>22744</v>
      </c>
      <c r="D119" s="2911"/>
      <c r="E119" s="2049">
        <f>E109</f>
        <v>0</v>
      </c>
      <c r="F119" s="2293" t="s">
        <v>31620</v>
      </c>
      <c r="G119" s="1709"/>
      <c r="H119" s="2944"/>
      <c r="I119" s="3722"/>
      <c r="J119" s="1709"/>
      <c r="K119" s="1660"/>
      <c r="L119" s="1660">
        <f t="shared" si="3"/>
        <v>0</v>
      </c>
    </row>
    <row r="120" spans="1:12" ht="55.5" customHeight="1">
      <c r="A120" s="2073" t="s">
        <v>31601</v>
      </c>
      <c r="B120" s="2299" t="s">
        <v>31621</v>
      </c>
      <c r="C120" s="2970" t="s">
        <v>22744</v>
      </c>
      <c r="D120" s="2911"/>
      <c r="E120" s="2049">
        <f>E110</f>
        <v>0</v>
      </c>
      <c r="F120" s="2293" t="s">
        <v>31622</v>
      </c>
      <c r="G120" s="1709"/>
      <c r="H120" s="2944"/>
      <c r="I120" s="3723"/>
      <c r="J120" s="1709"/>
      <c r="K120" s="1660"/>
      <c r="L120" s="1660">
        <f t="shared" si="3"/>
        <v>0</v>
      </c>
    </row>
    <row r="121" spans="1:12" ht="92.25" customHeight="1">
      <c r="A121" s="2062" t="s">
        <v>31623</v>
      </c>
      <c r="B121" s="2271" t="s">
        <v>30797</v>
      </c>
      <c r="C121" s="2884" t="s">
        <v>22744</v>
      </c>
      <c r="D121" s="2911"/>
      <c r="E121" s="2912"/>
      <c r="F121" s="2293" t="s">
        <v>31624</v>
      </c>
      <c r="G121" s="1709"/>
      <c r="H121" s="2944"/>
      <c r="I121" s="1980" t="str">
        <f>IF(E121&lt;0,"Il valore deve essere maggiore o uguale a zero","")</f>
        <v/>
      </c>
      <c r="J121" s="1709"/>
      <c r="K121" s="1660"/>
      <c r="L121" s="1660">
        <f t="shared" si="3"/>
        <v>0</v>
      </c>
    </row>
    <row r="122" spans="1:12" ht="30" customHeight="1">
      <c r="A122" s="2202" t="s">
        <v>25464</v>
      </c>
      <c r="B122" s="2267" t="s">
        <v>29326</v>
      </c>
      <c r="C122" s="2915" t="s">
        <v>30</v>
      </c>
      <c r="D122" s="2916"/>
      <c r="E122" s="2268" t="str">
        <f>IF(AND(E106&gt;0,E111&lt;=E106,E111&lt;&gt;"",E111&gt;=0),E111/E106,"")</f>
        <v/>
      </c>
      <c r="F122" s="2076" t="s">
        <v>29327</v>
      </c>
      <c r="G122" s="1709"/>
      <c r="H122" s="2944"/>
      <c r="I122" s="1980" t="str">
        <f>IF(AND(E3="SI",E122=""),"Macro-indicatore non calcolabile","")</f>
        <v/>
      </c>
      <c r="J122" s="1709"/>
      <c r="K122" s="1660"/>
      <c r="L122" s="1660">
        <f t="shared" si="3"/>
        <v>0</v>
      </c>
    </row>
    <row r="123" spans="1:12" ht="30" customHeight="1">
      <c r="A123" s="2917" t="s">
        <v>29328</v>
      </c>
      <c r="B123" s="2272" t="s">
        <v>29329</v>
      </c>
      <c r="C123" s="2913" t="s">
        <v>21</v>
      </c>
      <c r="D123" s="2971"/>
      <c r="E123" s="2081" t="str">
        <f>IF(E122="","",IF(E122&gt;=(15/100),"E",IF(E122&gt;=(10/100),"D",IF(E122&gt;=(5/100),"C",IF(E122&gt;=(1/100),"B","A")))))</f>
        <v/>
      </c>
      <c r="F123" s="2076" t="s">
        <v>30798</v>
      </c>
      <c r="G123" s="1709"/>
      <c r="H123" s="2968"/>
      <c r="I123" s="2038"/>
      <c r="J123" s="1709"/>
      <c r="K123" s="1660"/>
      <c r="L123" s="1660">
        <f t="shared" si="3"/>
        <v>0</v>
      </c>
    </row>
    <row r="124" spans="1:12" ht="30" customHeight="1">
      <c r="A124" s="2917" t="s">
        <v>29330</v>
      </c>
      <c r="B124" s="2272" t="s">
        <v>29331</v>
      </c>
      <c r="C124" s="2913" t="s">
        <v>21</v>
      </c>
      <c r="D124" s="2971"/>
      <c r="E124" s="2081" t="str">
        <f>IF(E123="A","Mantenimento",IF(E123="B","-6% di M6",IF(E123="C","-10% di M6",IF(E123="D","-15% di M6",IF(E123="E","-20% di M6","")))))</f>
        <v/>
      </c>
      <c r="F124" s="2076" t="s">
        <v>30798</v>
      </c>
      <c r="G124" s="1709"/>
      <c r="H124" s="2968"/>
      <c r="I124" s="2038"/>
      <c r="J124" s="1709"/>
      <c r="K124" s="1660"/>
      <c r="L124" s="1660">
        <f t="shared" si="3"/>
        <v>0</v>
      </c>
    </row>
    <row r="125" spans="1:12" ht="78" customHeight="1">
      <c r="A125" s="1978" t="s">
        <v>31625</v>
      </c>
      <c r="B125" s="2282" t="s">
        <v>31626</v>
      </c>
      <c r="C125" s="2884" t="s">
        <v>22744</v>
      </c>
      <c r="D125" s="2911"/>
      <c r="E125" s="2912"/>
      <c r="F125" s="2076" t="s">
        <v>30799</v>
      </c>
      <c r="G125" s="1709"/>
      <c r="H125" s="2944"/>
      <c r="I125" s="1980" t="str">
        <f>IF(E125&lt;E106,"Il valore deve essere maggiore o uguale a ∑Cimp,DEP-tot","")</f>
        <v/>
      </c>
      <c r="J125" s="1709"/>
      <c r="K125" s="1660"/>
      <c r="L125" s="1660">
        <f t="shared" si="3"/>
        <v>0</v>
      </c>
    </row>
    <row r="126" spans="1:12" ht="78" customHeight="1">
      <c r="A126" s="1978" t="s">
        <v>31627</v>
      </c>
      <c r="B126" s="2282" t="s">
        <v>31628</v>
      </c>
      <c r="C126" s="2884" t="s">
        <v>22744</v>
      </c>
      <c r="D126" s="2911"/>
      <c r="E126" s="2912"/>
      <c r="F126" s="2076" t="s">
        <v>30800</v>
      </c>
      <c r="G126" s="1709"/>
      <c r="H126" s="2944"/>
      <c r="I126" s="1980" t="str">
        <f>IF(OR(E126&lt;0,AND(E95&gt;0,E126="")),"Il valore deve essere maggiore o uguale a zero",IF(E126&lt;E111,"Il valore deve essere maggiore o uguale a ∑Cimp,DEP-cnc",""))</f>
        <v/>
      </c>
      <c r="J126" s="1709"/>
      <c r="K126" s="1660"/>
      <c r="L126" s="1660">
        <f t="shared" si="3"/>
        <v>0</v>
      </c>
    </row>
    <row r="127" spans="1:12" ht="30" customHeight="1">
      <c r="A127" s="2202" t="s">
        <v>29332</v>
      </c>
      <c r="B127" s="2266" t="s">
        <v>29333</v>
      </c>
      <c r="C127" s="2913" t="s">
        <v>30</v>
      </c>
      <c r="D127" s="2972"/>
      <c r="E127" s="2301" t="str">
        <f>IF(AND(E125&gt;0,E126&lt;=E125,E126&gt;=0,E126&lt;&gt;"",E125&gt;=E106,E126&gt;=E111),E126/E125,"")</f>
        <v/>
      </c>
      <c r="F127" s="2076" t="s">
        <v>29334</v>
      </c>
      <c r="G127" s="1709"/>
      <c r="H127" s="2968"/>
      <c r="I127" s="2038"/>
      <c r="J127" s="1709"/>
      <c r="K127" s="1660"/>
      <c r="L127" s="1660">
        <f t="shared" si="3"/>
        <v>0</v>
      </c>
    </row>
    <row r="128" spans="1:12" ht="45" customHeight="1">
      <c r="A128" s="2077" t="s">
        <v>29335</v>
      </c>
      <c r="B128" s="2269" t="s">
        <v>29336</v>
      </c>
      <c r="C128" s="2973" t="s">
        <v>22744</v>
      </c>
      <c r="D128" s="2919"/>
      <c r="E128" s="2200" t="str">
        <f>IF(AND(E125&gt;0,E125&gt;=E106),E125-SUM(E109:E110),"")</f>
        <v/>
      </c>
      <c r="F128" s="2076" t="s">
        <v>31629</v>
      </c>
      <c r="G128" s="1709"/>
      <c r="H128" s="2968"/>
      <c r="I128" s="2038"/>
      <c r="J128" s="1709"/>
      <c r="K128" s="1660"/>
      <c r="L128" s="1660">
        <f t="shared" si="3"/>
        <v>0</v>
      </c>
    </row>
    <row r="129" spans="1:12" ht="81" customHeight="1">
      <c r="A129" s="2051" t="s">
        <v>29337</v>
      </c>
      <c r="B129" s="2282" t="s">
        <v>31630</v>
      </c>
      <c r="C129" s="2884" t="s">
        <v>22744</v>
      </c>
      <c r="D129" s="2911"/>
      <c r="E129" s="2912"/>
      <c r="F129" s="2974" t="s">
        <v>31631</v>
      </c>
      <c r="G129" s="1709"/>
      <c r="H129" s="2944"/>
      <c r="I129" s="1980" t="str">
        <f>IF(E129&lt;0,"Il valore deve essere maggiore o uguale a zero",IF(E129&lt;E125,"Il valore deve essere maggiore o uguale a zero e maggiore o uguale a ∑Cimp,DEP-tot3",""))</f>
        <v/>
      </c>
      <c r="J129" s="1709"/>
      <c r="K129" s="1660"/>
      <c r="L129" s="1660">
        <f t="shared" si="3"/>
        <v>0</v>
      </c>
    </row>
    <row r="130" spans="1:12" ht="81" customHeight="1">
      <c r="A130" s="2278" t="s">
        <v>29338</v>
      </c>
      <c r="B130" s="2975" t="s">
        <v>31632</v>
      </c>
      <c r="C130" s="2976" t="s">
        <v>22744</v>
      </c>
      <c r="D130" s="2911"/>
      <c r="E130" s="2912"/>
      <c r="F130" s="2977" t="s">
        <v>31633</v>
      </c>
      <c r="G130" s="1619"/>
      <c r="H130" s="2944"/>
      <c r="I130" s="1980" t="str">
        <f>IF(OR(E130&lt;0,AND(E95&gt;0,E130="")),"Il valore deve essere maggiore o uguale a zero",IF(E130&lt;E126,"Il valore deve essere maggiore o uguale a zero e maggiore o uguale a ∑Cimp,DEP-cnc3",""))</f>
        <v/>
      </c>
      <c r="J130" s="1619"/>
      <c r="K130" s="1660"/>
      <c r="L130" s="1660">
        <f t="shared" si="3"/>
        <v>0</v>
      </c>
    </row>
    <row r="131" spans="1:12" ht="30" customHeight="1">
      <c r="A131" s="2202" t="s">
        <v>29339</v>
      </c>
      <c r="B131" s="2266" t="s">
        <v>29340</v>
      </c>
      <c r="C131" s="2913" t="s">
        <v>30</v>
      </c>
      <c r="D131" s="2972"/>
      <c r="E131" s="2301" t="str">
        <f>IF(AND(E129&gt;0,E130&lt;=E129,E130&gt;=0,E130&lt;&gt;""),E130/E129,"")</f>
        <v/>
      </c>
      <c r="F131" s="2076" t="s">
        <v>29341</v>
      </c>
      <c r="G131" s="1619"/>
      <c r="H131" s="2968"/>
      <c r="I131" s="2100"/>
      <c r="J131" s="1619"/>
      <c r="K131" s="1660"/>
      <c r="L131" s="1660">
        <f t="shared" si="3"/>
        <v>0</v>
      </c>
    </row>
    <row r="132" spans="1:12" ht="34.5" customHeight="1">
      <c r="A132" s="2062" t="s">
        <v>30963</v>
      </c>
      <c r="B132" s="2271" t="s">
        <v>29505</v>
      </c>
      <c r="C132" s="2884" t="s">
        <v>28904</v>
      </c>
      <c r="D132" s="2911"/>
      <c r="E132" s="2049">
        <f>E77</f>
        <v>0</v>
      </c>
      <c r="F132" s="2076"/>
      <c r="G132" s="1619"/>
      <c r="H132" s="2944"/>
      <c r="I132" s="2100"/>
      <c r="K132" s="1660"/>
      <c r="L132" s="1660">
        <f t="shared" si="3"/>
        <v>0</v>
      </c>
    </row>
    <row r="133" spans="1:12" ht="51">
      <c r="A133" s="2062" t="s">
        <v>31634</v>
      </c>
      <c r="B133" s="2252" t="s">
        <v>29507</v>
      </c>
      <c r="C133" s="2884" t="s">
        <v>28904</v>
      </c>
      <c r="D133" s="2911"/>
      <c r="E133" s="2048"/>
      <c r="F133" s="2977" t="s">
        <v>31635</v>
      </c>
      <c r="G133" s="1619"/>
      <c r="H133" s="2944"/>
      <c r="I133" s="2211" t="str">
        <f>IF(OR(E133&lt;0,E133&gt;E132),"Il valore deve essere maggiore o uguale a zero e minore o uguale a W_DEP","")</f>
        <v/>
      </c>
      <c r="K133" s="1660"/>
      <c r="L133" s="1660">
        <f t="shared" si="3"/>
        <v>0</v>
      </c>
    </row>
    <row r="134" spans="1:12" ht="34.5" customHeight="1">
      <c r="A134" s="2062" t="s">
        <v>31636</v>
      </c>
      <c r="B134" s="2252" t="s">
        <v>29509</v>
      </c>
      <c r="C134" s="2884" t="s">
        <v>28904</v>
      </c>
      <c r="D134" s="2911"/>
      <c r="E134" s="2048"/>
      <c r="F134" s="2977" t="s">
        <v>31637</v>
      </c>
      <c r="G134" s="1619"/>
      <c r="H134" s="2944"/>
      <c r="I134" s="1980" t="str">
        <f>IF(OR(E134&lt;0,E134&gt;E133),"Il valore deve essere maggiore o uguale a zero e minore o uguale a W_DEP,r1","")</f>
        <v/>
      </c>
      <c r="K134" s="1660"/>
      <c r="L134" s="1660"/>
    </row>
    <row r="135" spans="1:12" ht="32.25" customHeight="1">
      <c r="A135" s="2917" t="s">
        <v>30801</v>
      </c>
      <c r="B135" s="2272" t="s">
        <v>30802</v>
      </c>
      <c r="C135" s="2931" t="s">
        <v>30</v>
      </c>
      <c r="D135" s="2978"/>
      <c r="E135" s="2979" t="str">
        <f>IF(E3="SI",IF(OR(AND(E134="",E132=""),AND(E134=0,E132=0)),"",E134/E132),"")</f>
        <v/>
      </c>
      <c r="F135" s="2076" t="s">
        <v>30803</v>
      </c>
      <c r="G135" s="1619"/>
      <c r="H135" s="2944"/>
      <c r="I135" s="2100"/>
      <c r="K135" s="1660"/>
      <c r="L135" s="1660"/>
    </row>
    <row r="136" spans="1:12" ht="32.25" customHeight="1">
      <c r="A136" s="2917" t="s">
        <v>30928</v>
      </c>
      <c r="B136" s="2272" t="s">
        <v>30929</v>
      </c>
      <c r="C136" s="2931" t="s">
        <v>30</v>
      </c>
      <c r="D136" s="2978"/>
      <c r="E136" s="2979" t="str">
        <f>IFERROR((E133-E134)/E133,"")</f>
        <v/>
      </c>
      <c r="F136" s="2076" t="s">
        <v>30975</v>
      </c>
      <c r="G136" s="1619"/>
      <c r="H136" s="2944"/>
      <c r="I136" s="2100"/>
      <c r="K136" s="1660"/>
      <c r="L136" s="1660">
        <f t="shared" ref="L136:L144" si="6">IF(I136="",0,1)</f>
        <v>0</v>
      </c>
    </row>
    <row r="137" spans="1:12" s="580" customFormat="1" ht="36" customHeight="1">
      <c r="A137" s="2054" t="s">
        <v>31638</v>
      </c>
      <c r="B137" s="2245" t="s">
        <v>30804</v>
      </c>
      <c r="C137" s="2843" t="s">
        <v>22744</v>
      </c>
      <c r="D137" s="2980"/>
      <c r="E137" s="2865"/>
      <c r="F137" s="2286" t="s">
        <v>30805</v>
      </c>
      <c r="G137" s="1619"/>
      <c r="H137" s="2944"/>
      <c r="I137" s="1980" t="str">
        <f>IF(AND(E3&lt;&gt;"SI",E137&lt;&gt;""),"Non risulta gestito il servizio di depurazione",IF(E137&lt;0,"Il valore deve essere maggiore o uguale a zero",""))</f>
        <v/>
      </c>
      <c r="J137" s="810"/>
      <c r="K137" s="1660"/>
      <c r="L137" s="1660">
        <f t="shared" si="6"/>
        <v>0</v>
      </c>
    </row>
    <row r="138" spans="1:12" ht="45">
      <c r="A138" s="2054" t="s">
        <v>31639</v>
      </c>
      <c r="B138" s="2245" t="s">
        <v>31640</v>
      </c>
      <c r="C138" s="2843" t="s">
        <v>22744</v>
      </c>
      <c r="D138" s="2980"/>
      <c r="E138" s="2865"/>
      <c r="F138" s="2286" t="s">
        <v>30806</v>
      </c>
      <c r="G138" s="1619"/>
      <c r="H138" s="2944"/>
      <c r="I138" s="1980" t="str">
        <f>IF(E3="SI",IF(OR(E138&lt;0,E138="",E138&gt;E36),"Il valore deve essere maggiore o uguale a zero e minore o uguale ad Agg_tot",""),IF(E138&lt;&gt;0,"Non risulta gestito il servizio di depurazione",""))</f>
        <v/>
      </c>
      <c r="K138" s="1660"/>
      <c r="L138" s="1660">
        <f t="shared" si="6"/>
        <v>0</v>
      </c>
    </row>
    <row r="139" spans="1:12" ht="60.75" thickBot="1">
      <c r="A139" s="2054" t="s">
        <v>31641</v>
      </c>
      <c r="B139" s="2245" t="s">
        <v>31642</v>
      </c>
      <c r="C139" s="2981" t="s">
        <v>28</v>
      </c>
      <c r="D139" s="2982"/>
      <c r="E139" s="2865"/>
      <c r="F139" s="2286" t="s">
        <v>30806</v>
      </c>
      <c r="G139" s="1619"/>
      <c r="H139" s="2983"/>
      <c r="I139" s="1980" t="str">
        <f>IF(E3="SI",IF(OR(E139&lt;0,E139=""),"Il valore deve essere maggiore o uguale a zero",""),IF(E139&lt;&gt;0,"Non risulta gestito il servizio di depurazione",""))</f>
        <v/>
      </c>
      <c r="K139" s="1660"/>
      <c r="L139" s="1660">
        <f t="shared" si="6"/>
        <v>0</v>
      </c>
    </row>
    <row r="140" spans="1:12" ht="77.25" thickBot="1">
      <c r="A140" s="2055" t="s">
        <v>31643</v>
      </c>
      <c r="B140" s="2282" t="s">
        <v>31644</v>
      </c>
      <c r="C140" s="2984" t="s">
        <v>22744</v>
      </c>
      <c r="D140" s="2982"/>
      <c r="E140" s="2865"/>
      <c r="F140" s="2985" t="s">
        <v>31645</v>
      </c>
      <c r="G140" s="1619"/>
      <c r="H140" s="2983"/>
      <c r="I140" s="1980" t="str">
        <f>IF(AND(E3="SI",E89="SI",OR(E140&lt;0,E140="",E140&gt;E95)),"Il valore deve essere maggiore o uguale a zero e minore o uguale a N*","")</f>
        <v/>
      </c>
      <c r="K140" s="1660"/>
      <c r="L140" s="1660">
        <f t="shared" si="6"/>
        <v>0</v>
      </c>
    </row>
    <row r="141" spans="1:12" ht="48" customHeight="1" thickBot="1">
      <c r="A141" s="2055" t="s">
        <v>31646</v>
      </c>
      <c r="B141" s="2282" t="s">
        <v>31647</v>
      </c>
      <c r="C141" s="2986" t="s">
        <v>28</v>
      </c>
      <c r="D141" s="2982"/>
      <c r="E141" s="2865"/>
      <c r="F141" s="2985" t="s">
        <v>31648</v>
      </c>
      <c r="G141" s="1619"/>
      <c r="H141" s="2983"/>
      <c r="I141" s="1980" t="str">
        <f>IF(AND(E3="SI",E89="SI",OR(E141&lt;0,E141="",E141&gt;E8)),"Il valore deve essere maggiore o uguale a zero e minore o uguale a Car_dep","")</f>
        <v/>
      </c>
      <c r="K141" s="1660"/>
      <c r="L141" s="1660">
        <f t="shared" si="6"/>
        <v>0</v>
      </c>
    </row>
    <row r="142" spans="1:12" ht="48" customHeight="1" thickBot="1">
      <c r="A142" s="2055" t="s">
        <v>31649</v>
      </c>
      <c r="B142" s="2282" t="s">
        <v>31650</v>
      </c>
      <c r="C142" s="2986" t="s">
        <v>29086</v>
      </c>
      <c r="D142" s="2982"/>
      <c r="E142" s="2865"/>
      <c r="F142" s="2985" t="s">
        <v>31651</v>
      </c>
      <c r="G142" s="1619"/>
      <c r="H142" s="2983"/>
      <c r="I142" s="1980" t="str">
        <f>IF(AND(E3="SI",E89="SI",OR(E142&lt;0,E142="")),"Il valore deve essere maggiore o uguale a zero","")</f>
        <v/>
      </c>
      <c r="K142" s="1660"/>
      <c r="L142" s="1660">
        <f t="shared" si="6"/>
        <v>0</v>
      </c>
    </row>
    <row r="143" spans="1:12" ht="60" customHeight="1" thickBot="1">
      <c r="A143" s="2055" t="s">
        <v>31652</v>
      </c>
      <c r="B143" s="2282" t="s">
        <v>31653</v>
      </c>
      <c r="C143" s="2986" t="s">
        <v>28</v>
      </c>
      <c r="D143" s="2982"/>
      <c r="E143" s="2865"/>
      <c r="F143" s="2985" t="s">
        <v>31654</v>
      </c>
      <c r="G143" s="1619"/>
      <c r="H143" s="2983"/>
      <c r="I143" s="1980" t="str">
        <f>IF(AND(E3="SI",E89="SI",OR(E143&lt;0,E143="")),"Il valore deve essere maggiore o uguale a zero","")</f>
        <v/>
      </c>
      <c r="K143" s="1660"/>
      <c r="L143" s="1660">
        <f t="shared" si="6"/>
        <v>0</v>
      </c>
    </row>
    <row r="144" spans="1:12" ht="36.75" customHeight="1" thickBot="1">
      <c r="A144" s="2815" t="s">
        <v>31655</v>
      </c>
      <c r="B144" s="2975" t="s">
        <v>31656</v>
      </c>
      <c r="C144" s="2987" t="s">
        <v>30</v>
      </c>
      <c r="D144" s="2988"/>
      <c r="E144" s="2989" t="str">
        <f>IFERROR(E143/E8,"")</f>
        <v/>
      </c>
      <c r="F144" s="2990" t="s">
        <v>31657</v>
      </c>
      <c r="G144" s="1619"/>
      <c r="H144" s="2983"/>
      <c r="I144" s="2292" t="str">
        <f>IF(AND(E3="SI",E89="SI",OR(E144&lt;0,E144="")),"Il valore deve essere maggiore o uguale a zero","")</f>
        <v/>
      </c>
      <c r="K144" s="1660"/>
      <c r="L144" s="1660">
        <f t="shared" si="6"/>
        <v>0</v>
      </c>
    </row>
    <row r="145" spans="1:9" ht="51" customHeight="1">
      <c r="A145" s="2055" t="s">
        <v>31658</v>
      </c>
      <c r="B145" s="2282" t="s">
        <v>31659</v>
      </c>
      <c r="C145" s="2981" t="s">
        <v>21</v>
      </c>
      <c r="D145" s="2962"/>
      <c r="E145" s="2963"/>
      <c r="F145" s="2985"/>
      <c r="I145" s="2100"/>
    </row>
    <row r="150" spans="1:9">
      <c r="B150" s="2236" t="s">
        <v>29118</v>
      </c>
    </row>
    <row r="151" spans="1:9">
      <c r="B151" s="1973" t="s">
        <v>29119</v>
      </c>
    </row>
    <row r="152" spans="1:9">
      <c r="B152" s="2236"/>
    </row>
    <row r="153" spans="1:9">
      <c r="B153" s="1973" t="s">
        <v>3</v>
      </c>
    </row>
    <row r="154" spans="1:9">
      <c r="B154" s="2236" t="s">
        <v>133</v>
      </c>
    </row>
    <row r="155" spans="1:9">
      <c r="B155" s="1711" t="s">
        <v>137</v>
      </c>
    </row>
    <row r="156" spans="1:9">
      <c r="B156" s="1973" t="s">
        <v>29342</v>
      </c>
    </row>
    <row r="157" spans="1:9">
      <c r="B157" s="2237" t="s">
        <v>133</v>
      </c>
    </row>
    <row r="158" spans="1:9">
      <c r="B158" s="1974" t="s">
        <v>137</v>
      </c>
    </row>
    <row r="233" spans="2:2">
      <c r="B233" s="343"/>
    </row>
  </sheetData>
  <sheetProtection algorithmName="SHA-512" hashValue="/0TxRMeV7licnJrIVEhg66qBGrUmCJ4kTXTwfOHpBVVWoVLwlZDpnszWFzeS0oWPBz6E5gvXamLuEeSC+E8UbQ==" saltValue="fPicXKaqzYY2xU/YzK2aRA==" spinCount="100000" sheet="1" objects="1" scenarios="1"/>
  <mergeCells count="16">
    <mergeCell ref="H9:H10"/>
    <mergeCell ref="I9:I10"/>
    <mergeCell ref="H23:H24"/>
    <mergeCell ref="I23:I24"/>
    <mergeCell ref="H25:H29"/>
    <mergeCell ref="I25:I29"/>
    <mergeCell ref="H74:H76"/>
    <mergeCell ref="I74:I76"/>
    <mergeCell ref="H112:H118"/>
    <mergeCell ref="I112:I120"/>
    <mergeCell ref="H42:H43"/>
    <mergeCell ref="I42:I43"/>
    <mergeCell ref="H60:H64"/>
    <mergeCell ref="I60:I64"/>
    <mergeCell ref="H66:H69"/>
    <mergeCell ref="I66:I69"/>
  </mergeCells>
  <conditionalFormatting sqref="L2">
    <cfRule type="cellIs" dxfId="33" priority="1" operator="lessThanOrEqual">
      <formula>0</formula>
    </cfRule>
    <cfRule type="cellIs" dxfId="32" priority="2" operator="greaterThan">
      <formula>0</formula>
    </cfRule>
  </conditionalFormatting>
  <dataValidations count="4">
    <dataValidation type="list" allowBlank="1" showInputMessage="1" showErrorMessage="1" sqref="E47" xr:uid="{775A1F21-26DD-4C5B-A845-E5ABB540A50C}">
      <formula1>$B$154:$B$156</formula1>
    </dataValidation>
    <dataValidation type="list" allowBlank="1" showInputMessage="1" showErrorMessage="1" sqref="E19 E86" xr:uid="{7A49BA52-F228-47D5-97FC-86C2112A4365}">
      <formula1>$B$152:$B$153</formula1>
    </dataValidation>
    <dataValidation type="list" allowBlank="1" showInputMessage="1" showErrorMessage="1" sqref="E3 D87:E89 D145:E145" xr:uid="{1917FB94-2F30-464C-9E34-E9E422AE27BE}">
      <formula1>$B$157:$B$158</formula1>
    </dataValidation>
    <dataValidation type="list" allowBlank="1" showInputMessage="1" showErrorMessage="1" sqref="D18:E18 D85:E85" xr:uid="{C6190A36-8285-4ADB-A472-CE4E404D2FB7}">
      <formula1>$B$150:$B$151</formula1>
    </dataValidation>
  </dataValidations>
  <pageMargins left="0.23622047244094491" right="0.23622047244094491" top="0.47244094488188981" bottom="0.47244094488188981" header="0.31496062992125984" footer="0.31496062992125984"/>
  <pageSetup paperSize="8" fitToHeight="0" orientation="landscape"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C2366-DE23-4707-8EA7-F31903F666CC}">
  <sheetPr codeName="Sheet10">
    <tabColor rgb="FFDCE6F1"/>
    <pageSetUpPr fitToPage="1"/>
  </sheetPr>
  <dimension ref="A1:T191"/>
  <sheetViews>
    <sheetView showGridLines="0" zoomScale="80" zoomScaleNormal="80" workbookViewId="0">
      <pane xSplit="3" ySplit="2" topLeftCell="D3" activePane="bottomRight" state="frozen"/>
      <selection activeCell="B4" sqref="B4"/>
      <selection pane="topRight" activeCell="B4" sqref="B4"/>
      <selection pane="bottomLeft" activeCell="B4" sqref="B4"/>
      <selection pane="bottomRight"/>
    </sheetView>
  </sheetViews>
  <sheetFormatPr defaultColWidth="8.85546875" defaultRowHeight="15"/>
  <cols>
    <col min="1" max="1" width="12.85546875" customWidth="1"/>
    <col min="2" max="2" width="50.85546875" style="77" customWidth="1"/>
    <col min="3" max="3" width="9.85546875" customWidth="1"/>
    <col min="4" max="5" width="14.85546875" customWidth="1"/>
    <col min="6" max="6" width="50.85546875" style="810" customWidth="1"/>
    <col min="7" max="7" width="14.7109375" style="810" customWidth="1"/>
    <col min="8" max="8" width="15.28515625" style="810" customWidth="1"/>
    <col min="9" max="9" width="25.85546875" style="810" customWidth="1"/>
    <col min="10" max="10" width="20.42578125" style="810" customWidth="1"/>
    <col min="11" max="11" width="20.85546875" style="1670" hidden="1" customWidth="1"/>
    <col min="12" max="12" width="20.85546875" style="1670" customWidth="1"/>
  </cols>
  <sheetData>
    <row r="1" spans="1:12" ht="69.95" customHeight="1" thickBot="1">
      <c r="B1" s="1656" t="s">
        <v>29343</v>
      </c>
      <c r="C1" s="1655"/>
      <c r="D1" s="1657"/>
      <c r="E1" s="1657"/>
      <c r="K1" s="2791"/>
      <c r="L1" s="1658" t="s">
        <v>31524</v>
      </c>
    </row>
    <row r="2" spans="1:12" ht="70.349999999999994" customHeight="1" thickBot="1">
      <c r="A2" s="1990" t="s">
        <v>25449</v>
      </c>
      <c r="B2" s="1991" t="s">
        <v>25450</v>
      </c>
      <c r="C2" s="2007" t="s">
        <v>22740</v>
      </c>
      <c r="D2" s="2792"/>
      <c r="E2" s="2009" t="s">
        <v>31525</v>
      </c>
      <c r="F2" s="2008" t="s">
        <v>25448</v>
      </c>
      <c r="H2" s="2991"/>
      <c r="I2" s="2992" t="s">
        <v>31526</v>
      </c>
      <c r="K2" s="2795"/>
      <c r="L2" s="2072">
        <f>SUM(L3:L177)+SUM(K161:K176)</f>
        <v>0</v>
      </c>
    </row>
    <row r="3" spans="1:12" s="580" customFormat="1" ht="10.35" customHeight="1">
      <c r="A3" s="1661"/>
      <c r="B3" s="1662"/>
      <c r="C3" s="1661"/>
      <c r="D3" s="1661"/>
      <c r="E3" s="1661"/>
      <c r="F3" s="1663"/>
      <c r="G3" s="810"/>
      <c r="H3" s="2993"/>
      <c r="I3" s="1664"/>
      <c r="J3" s="810"/>
      <c r="K3" s="1660"/>
      <c r="L3" s="1660">
        <f t="shared" ref="L3:L66" si="0">IF(I3="",0,1)</f>
        <v>0</v>
      </c>
    </row>
    <row r="4" spans="1:12" s="580" customFormat="1" ht="17.25" customHeight="1" thickBot="1">
      <c r="A4" s="1665" t="s">
        <v>30807</v>
      </c>
      <c r="B4" s="1662"/>
      <c r="C4" s="1661"/>
      <c r="F4" s="1985"/>
      <c r="G4" s="810"/>
      <c r="H4" s="2993"/>
      <c r="I4" s="1664"/>
      <c r="J4" s="810"/>
      <c r="K4" s="1660"/>
      <c r="L4" s="1660">
        <f t="shared" si="0"/>
        <v>0</v>
      </c>
    </row>
    <row r="5" spans="1:12" s="580" customFormat="1" ht="46.5" customHeight="1">
      <c r="A5" s="2017" t="s">
        <v>30036</v>
      </c>
      <c r="B5" s="2018" t="s">
        <v>29344</v>
      </c>
      <c r="C5" s="1961" t="s">
        <v>22744</v>
      </c>
      <c r="D5" s="2823"/>
      <c r="E5" s="1509"/>
      <c r="F5" s="1668" t="s">
        <v>29345</v>
      </c>
      <c r="G5" s="810"/>
      <c r="H5" s="2994"/>
      <c r="I5" s="2995" t="str">
        <f>IF(OR(E5&lt;0,E5&gt;'QT-Acquedotto'!E111),"Il valore deve essere maggiore o uguale a zero e minore o uguale a ∑US1","")</f>
        <v/>
      </c>
      <c r="J5" s="810"/>
      <c r="K5" s="1660"/>
      <c r="L5" s="1660">
        <f t="shared" si="0"/>
        <v>0</v>
      </c>
    </row>
    <row r="6" spans="1:12" s="580" customFormat="1" ht="43.5" customHeight="1">
      <c r="A6" s="1978" t="s">
        <v>30037</v>
      </c>
      <c r="B6" s="2166" t="s">
        <v>29346</v>
      </c>
      <c r="C6" s="2996" t="s">
        <v>22744</v>
      </c>
      <c r="D6" s="2825"/>
      <c r="E6" s="1984"/>
      <c r="F6" s="2813" t="s">
        <v>29345</v>
      </c>
      <c r="G6" s="810"/>
      <c r="H6" s="2994"/>
      <c r="I6" s="2997" t="str">
        <f>IF(OR(E6&lt;0,E6&gt;'QT-Acquedotto'!E112),"Il valore deve essere maggiore o uguale a zero e minore o uguale a ∑US2","")</f>
        <v/>
      </c>
      <c r="J6" s="810"/>
      <c r="K6" s="1660"/>
      <c r="L6" s="1660">
        <f t="shared" si="0"/>
        <v>0</v>
      </c>
    </row>
    <row r="7" spans="1:12" s="580" customFormat="1" ht="43.5" customHeight="1">
      <c r="A7" s="1978" t="s">
        <v>30038</v>
      </c>
      <c r="B7" s="2166" t="s">
        <v>29347</v>
      </c>
      <c r="C7" s="2996" t="s">
        <v>22744</v>
      </c>
      <c r="D7" s="2825"/>
      <c r="E7" s="1984"/>
      <c r="F7" s="2813" t="s">
        <v>29345</v>
      </c>
      <c r="G7" s="810"/>
      <c r="H7" s="2994"/>
      <c r="I7" s="2997" t="str">
        <f>IF(OR(E7&lt;0,E7&gt;'QT-Acquedotto'!E113),"Il valore deve essere maggiore o uguale a zero e minore o uguale a ∑US3","")</f>
        <v/>
      </c>
      <c r="J7" s="810"/>
      <c r="K7" s="1660"/>
      <c r="L7" s="1660">
        <f t="shared" si="0"/>
        <v>0</v>
      </c>
    </row>
    <row r="8" spans="1:12" s="580" customFormat="1" ht="63" customHeight="1">
      <c r="A8" s="1978" t="s">
        <v>30039</v>
      </c>
      <c r="B8" s="2166" t="s">
        <v>29348</v>
      </c>
      <c r="C8" s="2996" t="s">
        <v>29349</v>
      </c>
      <c r="D8" s="2825"/>
      <c r="E8" s="1984"/>
      <c r="F8" s="2813" t="s">
        <v>29350</v>
      </c>
      <c r="G8" s="810"/>
      <c r="H8" s="2994"/>
      <c r="I8" s="2997" t="str">
        <f>IF(E8&lt;0,"Il valore deve essere maggiore o uguale a zero","")</f>
        <v/>
      </c>
      <c r="J8" s="810"/>
      <c r="K8" s="1660"/>
      <c r="L8" s="1660">
        <f t="shared" si="0"/>
        <v>0</v>
      </c>
    </row>
    <row r="9" spans="1:12" s="580" customFormat="1" ht="65.25" customHeight="1">
      <c r="A9" s="1978" t="s">
        <v>30040</v>
      </c>
      <c r="B9" s="2166" t="s">
        <v>29351</v>
      </c>
      <c r="C9" s="2996" t="s">
        <v>29349</v>
      </c>
      <c r="D9" s="2825"/>
      <c r="E9" s="1984"/>
      <c r="F9" s="2813" t="s">
        <v>29350</v>
      </c>
      <c r="G9" s="810"/>
      <c r="H9" s="2994"/>
      <c r="I9" s="2997" t="str">
        <f>IF(E9&lt;0,"Il valore deve essere maggiore o uguale a zero","")</f>
        <v/>
      </c>
      <c r="J9" s="810"/>
      <c r="K9" s="1660"/>
      <c r="L9" s="1660">
        <f t="shared" si="0"/>
        <v>0</v>
      </c>
    </row>
    <row r="10" spans="1:12" s="580" customFormat="1" ht="46.35" customHeight="1" thickBot="1">
      <c r="A10" s="1987" t="s">
        <v>29352</v>
      </c>
      <c r="B10" s="1986" t="s">
        <v>29353</v>
      </c>
      <c r="C10" s="1983" t="s">
        <v>21</v>
      </c>
      <c r="D10" s="2821"/>
      <c r="E10" s="1982"/>
      <c r="F10" s="1977" t="s">
        <v>29354</v>
      </c>
      <c r="G10" s="810"/>
      <c r="H10" s="2998"/>
      <c r="I10" s="2999"/>
      <c r="J10" s="810"/>
      <c r="K10" s="1660"/>
      <c r="L10" s="1660">
        <f t="shared" si="0"/>
        <v>0</v>
      </c>
    </row>
    <row r="11" spans="1:12" s="580" customFormat="1" ht="10.35" customHeight="1">
      <c r="A11" s="1661"/>
      <c r="B11" s="1662"/>
      <c r="C11" s="1661"/>
      <c r="D11" s="1661"/>
      <c r="E11" s="1661"/>
      <c r="F11" s="1663"/>
      <c r="G11" s="810"/>
      <c r="H11" s="2993"/>
      <c r="I11" s="1664"/>
      <c r="J11" s="810"/>
      <c r="K11" s="1660"/>
      <c r="L11" s="1660">
        <f t="shared" si="0"/>
        <v>0</v>
      </c>
    </row>
    <row r="12" spans="1:12" s="580" customFormat="1" ht="17.25" customHeight="1" thickBot="1">
      <c r="A12" s="1665" t="s">
        <v>29355</v>
      </c>
      <c r="B12" s="1662"/>
      <c r="C12" s="1661"/>
      <c r="D12" s="1661"/>
      <c r="E12" s="1661"/>
      <c r="F12" s="1663"/>
      <c r="G12" s="810"/>
      <c r="H12" s="2993"/>
      <c r="I12" s="1664"/>
      <c r="J12" s="810"/>
      <c r="K12" s="1660"/>
      <c r="L12" s="1660">
        <f t="shared" si="0"/>
        <v>0</v>
      </c>
    </row>
    <row r="13" spans="1:12" s="580" customFormat="1" ht="32.1" customHeight="1">
      <c r="A13" s="1679" t="s">
        <v>28990</v>
      </c>
      <c r="B13" s="1672" t="s">
        <v>28991</v>
      </c>
      <c r="C13" s="1673" t="s">
        <v>22744</v>
      </c>
      <c r="D13" s="3000"/>
      <c r="E13" s="2011">
        <f>'QT-Acquedotto'!E80</f>
        <v>0</v>
      </c>
      <c r="F13" s="1668"/>
      <c r="G13" s="810"/>
      <c r="H13" s="2993"/>
      <c r="I13" s="3001"/>
      <c r="J13" s="810"/>
      <c r="K13" s="1660"/>
      <c r="L13" s="1660">
        <f t="shared" si="0"/>
        <v>0</v>
      </c>
    </row>
    <row r="14" spans="1:12" ht="31.7" customHeight="1">
      <c r="A14" s="1979" t="s">
        <v>29356</v>
      </c>
      <c r="B14" s="2189" t="s">
        <v>29357</v>
      </c>
      <c r="C14" s="2824" t="s">
        <v>22744</v>
      </c>
      <c r="D14" s="2825"/>
      <c r="E14" s="1984"/>
      <c r="F14" s="2813" t="s">
        <v>29358</v>
      </c>
      <c r="H14" s="2994"/>
      <c r="I14" s="2997" t="str">
        <f>IF(OR(E14&lt;0,E14&gt;E13),"Il valore deve essere maggiore o uguale a zero e minore o uguale a UtT","")</f>
        <v/>
      </c>
      <c r="K14" s="1660"/>
      <c r="L14" s="1660">
        <f t="shared" si="0"/>
        <v>0</v>
      </c>
    </row>
    <row r="15" spans="1:12" ht="25.35" customHeight="1">
      <c r="A15" s="1979" t="s">
        <v>29359</v>
      </c>
      <c r="B15" s="2186" t="s">
        <v>29360</v>
      </c>
      <c r="C15" s="2824" t="s">
        <v>22744</v>
      </c>
      <c r="D15" s="2825"/>
      <c r="E15" s="1984"/>
      <c r="F15" s="2813" t="s">
        <v>29358</v>
      </c>
      <c r="H15" s="3737"/>
      <c r="I15" s="3736" t="str">
        <f>IF(OR(E15&lt;&gt;"",E16&lt;&gt;"",E17&lt;&gt;""),IF(OR(E15&lt;0,E16&lt;0,E17&lt;0,E15+E16+E17&lt;&gt;E14),"Ogni di cui deve essere maggiore o uguale a zero e la somma deve essere pari a UtTmis",""),"")</f>
        <v/>
      </c>
      <c r="K15" s="1660"/>
      <c r="L15" s="1660">
        <f t="shared" si="0"/>
        <v>0</v>
      </c>
    </row>
    <row r="16" spans="1:12" ht="25.35" customHeight="1">
      <c r="A16" s="1979" t="s">
        <v>29361</v>
      </c>
      <c r="B16" s="2186" t="s">
        <v>29362</v>
      </c>
      <c r="C16" s="2824" t="s">
        <v>22744</v>
      </c>
      <c r="D16" s="2825"/>
      <c r="E16" s="1984"/>
      <c r="F16" s="2813" t="s">
        <v>29358</v>
      </c>
      <c r="H16" s="3737"/>
      <c r="I16" s="3736"/>
      <c r="K16" s="1660"/>
      <c r="L16" s="1660">
        <f t="shared" si="0"/>
        <v>0</v>
      </c>
    </row>
    <row r="17" spans="1:12" ht="25.35" customHeight="1">
      <c r="A17" s="1981" t="s">
        <v>29363</v>
      </c>
      <c r="B17" s="2184" t="s">
        <v>29364</v>
      </c>
      <c r="C17" s="2824" t="s">
        <v>22744</v>
      </c>
      <c r="D17" s="2825"/>
      <c r="E17" s="1984"/>
      <c r="F17" s="2813" t="s">
        <v>29358</v>
      </c>
      <c r="H17" s="3737"/>
      <c r="I17" s="3736"/>
      <c r="K17" s="1660"/>
      <c r="L17" s="1660">
        <f t="shared" si="0"/>
        <v>0</v>
      </c>
    </row>
    <row r="18" spans="1:12" ht="44.85" customHeight="1">
      <c r="A18" s="1978" t="s">
        <v>29365</v>
      </c>
      <c r="B18" s="2192" t="s">
        <v>30041</v>
      </c>
      <c r="C18" s="2824" t="s">
        <v>22744</v>
      </c>
      <c r="D18" s="2825"/>
      <c r="E18" s="1984"/>
      <c r="F18" s="2813" t="s">
        <v>30042</v>
      </c>
      <c r="H18" s="2994"/>
      <c r="I18" s="2997" t="str">
        <f>IF(OR(E18&lt;0,E18&gt;E14),"Il valore deve essere maggiore o uguale a zero e minore o uguale a UtT_mis","")</f>
        <v/>
      </c>
      <c r="K18" s="1660"/>
      <c r="L18" s="1660">
        <f t="shared" si="0"/>
        <v>0</v>
      </c>
    </row>
    <row r="19" spans="1:12" ht="25.5">
      <c r="A19" s="1978" t="s">
        <v>30043</v>
      </c>
      <c r="B19" s="2187" t="s">
        <v>29366</v>
      </c>
      <c r="C19" s="2824" t="s">
        <v>22744</v>
      </c>
      <c r="D19" s="2825"/>
      <c r="E19" s="1984"/>
      <c r="F19" s="2813" t="s">
        <v>28979</v>
      </c>
      <c r="H19" s="2994"/>
      <c r="I19" s="2997" t="str">
        <f>IF(OR(E19&lt;0,E19&gt;E18),"Il valore deve essere maggiore o uguale a zero e minore o uguale a UtT_mis_sm","")</f>
        <v/>
      </c>
      <c r="K19" s="1660"/>
      <c r="L19" s="1660">
        <f t="shared" si="0"/>
        <v>0</v>
      </c>
    </row>
    <row r="20" spans="1:12" s="580" customFormat="1" ht="32.1" customHeight="1">
      <c r="A20" s="1979" t="s">
        <v>29367</v>
      </c>
      <c r="B20" s="2189" t="s">
        <v>29368</v>
      </c>
      <c r="C20" s="2824" t="s">
        <v>22744</v>
      </c>
      <c r="D20" s="2825"/>
      <c r="E20" s="1984"/>
      <c r="F20" s="2813" t="s">
        <v>29358</v>
      </c>
      <c r="G20" s="810"/>
      <c r="H20" s="2994"/>
      <c r="I20" s="2997" t="str">
        <f>IF(OR(E20&lt;0,E20&gt;(E13-E14)),"Il valore deve essere maggiore o uguale a zero e minore o uguale a UtT-UtT_mis","")</f>
        <v/>
      </c>
      <c r="J20" s="810"/>
      <c r="K20" s="1660"/>
      <c r="L20" s="1660">
        <f t="shared" si="0"/>
        <v>0</v>
      </c>
    </row>
    <row r="21" spans="1:12" s="580" customFormat="1" ht="32.1" customHeight="1">
      <c r="A21" s="1975" t="s">
        <v>29356</v>
      </c>
      <c r="B21" s="2303" t="s">
        <v>29357</v>
      </c>
      <c r="C21" s="2824" t="s">
        <v>22744</v>
      </c>
      <c r="D21" s="3002"/>
      <c r="E21" s="2035">
        <f>E14</f>
        <v>0</v>
      </c>
      <c r="F21" s="2813" t="s">
        <v>29358</v>
      </c>
      <c r="G21" s="810"/>
      <c r="H21" s="2993"/>
      <c r="I21" s="3003"/>
      <c r="J21" s="810"/>
      <c r="K21" s="1660"/>
      <c r="L21" s="1660">
        <f t="shared" si="0"/>
        <v>0</v>
      </c>
    </row>
    <row r="22" spans="1:12" s="580" customFormat="1" ht="30" customHeight="1">
      <c r="A22" s="1975" t="s">
        <v>29369</v>
      </c>
      <c r="B22" s="2304" t="s">
        <v>29370</v>
      </c>
      <c r="C22" s="2824" t="s">
        <v>22744</v>
      </c>
      <c r="D22" s="2825"/>
      <c r="E22" s="1984"/>
      <c r="F22" s="2813" t="s">
        <v>29358</v>
      </c>
      <c r="G22" s="810"/>
      <c r="H22" s="3737"/>
      <c r="I22" s="3736" t="str">
        <f>IF(OR(E22&lt;&gt;"",E23&lt;&gt;""),IF(OR(E22&lt;0,E23&lt;0,E23+E22&lt;&gt;E21),"Ogni di cui deve essere maggiore o uguale a zero e la somma deve essere pari a UtTmis",""),"")</f>
        <v/>
      </c>
      <c r="J22" s="810"/>
      <c r="K22" s="1660"/>
      <c r="L22" s="1660">
        <f t="shared" si="0"/>
        <v>0</v>
      </c>
    </row>
    <row r="23" spans="1:12" s="580" customFormat="1" ht="30" customHeight="1">
      <c r="A23" s="1975" t="s">
        <v>29371</v>
      </c>
      <c r="B23" s="2304" t="s">
        <v>29372</v>
      </c>
      <c r="C23" s="2824" t="s">
        <v>22744</v>
      </c>
      <c r="D23" s="2825"/>
      <c r="E23" s="1984"/>
      <c r="F23" s="2813" t="s">
        <v>29358</v>
      </c>
      <c r="G23" s="810"/>
      <c r="H23" s="3737"/>
      <c r="I23" s="3736"/>
      <c r="J23" s="810"/>
      <c r="K23" s="1660"/>
      <c r="L23" s="1660">
        <f t="shared" si="0"/>
        <v>0</v>
      </c>
    </row>
    <row r="24" spans="1:12" s="580" customFormat="1" ht="42" customHeight="1">
      <c r="A24" s="1979" t="s">
        <v>29373</v>
      </c>
      <c r="B24" s="2189" t="s">
        <v>29374</v>
      </c>
      <c r="C24" s="2824" t="s">
        <v>22744</v>
      </c>
      <c r="D24" s="2825"/>
      <c r="E24" s="1984"/>
      <c r="F24" s="2813" t="s">
        <v>30808</v>
      </c>
      <c r="G24" s="810"/>
      <c r="H24" s="2994"/>
      <c r="I24" s="2997" t="str">
        <f>IF(E24&lt;0,"Il valore deve essere maggiore o uguale a zero","")</f>
        <v/>
      </c>
      <c r="J24" s="810"/>
      <c r="K24" s="1660"/>
      <c r="L24" s="1660">
        <f t="shared" si="0"/>
        <v>0</v>
      </c>
    </row>
    <row r="25" spans="1:12" s="580" customFormat="1" ht="25.35" customHeight="1">
      <c r="A25" s="1979" t="s">
        <v>29375</v>
      </c>
      <c r="B25" s="2186" t="s">
        <v>29376</v>
      </c>
      <c r="C25" s="2824" t="s">
        <v>22744</v>
      </c>
      <c r="D25" s="2825"/>
      <c r="E25" s="1984"/>
      <c r="F25" s="2813" t="s">
        <v>29358</v>
      </c>
      <c r="G25" s="810"/>
      <c r="H25" s="2994"/>
      <c r="I25" s="2997" t="str">
        <f>IF(OR(E25&lt;0,E25&gt;E24),"Il valore deve essere maggiore o uguale a zero e minore o uguale di Racc_3000","")</f>
        <v/>
      </c>
      <c r="J25" s="810"/>
      <c r="K25" s="1660"/>
      <c r="L25" s="1660">
        <f t="shared" si="0"/>
        <v>0</v>
      </c>
    </row>
    <row r="26" spans="1:12" s="580" customFormat="1" ht="25.35" customHeight="1">
      <c r="A26" s="1979" t="s">
        <v>29377</v>
      </c>
      <c r="B26" s="2186" t="s">
        <v>29378</v>
      </c>
      <c r="C26" s="2824" t="s">
        <v>22744</v>
      </c>
      <c r="D26" s="2825"/>
      <c r="E26" s="1984"/>
      <c r="F26" s="2813" t="s">
        <v>29358</v>
      </c>
      <c r="G26" s="810"/>
      <c r="H26" s="2994"/>
      <c r="I26" s="2997" t="str">
        <f>IF(OR(E26&lt;0,E26&gt;E24),"Il valore deve essere maggiore o uguale a zero e minore o uguale di Racc_3000","")</f>
        <v/>
      </c>
      <c r="J26" s="810"/>
      <c r="K26" s="1660"/>
      <c r="L26" s="1660">
        <f t="shared" si="0"/>
        <v>0</v>
      </c>
    </row>
    <row r="27" spans="1:12" s="580" customFormat="1" ht="45" customHeight="1">
      <c r="A27" s="1979" t="s">
        <v>29379</v>
      </c>
      <c r="B27" s="2189" t="s">
        <v>29380</v>
      </c>
      <c r="C27" s="2824" t="s">
        <v>22744</v>
      </c>
      <c r="D27" s="2825"/>
      <c r="E27" s="1984"/>
      <c r="F27" s="2813" t="s">
        <v>30809</v>
      </c>
      <c r="G27" s="810"/>
      <c r="H27" s="2994"/>
      <c r="I27" s="2997" t="str">
        <f>IF(E27&lt;0,"Il valore deve essere maggiore o uguale a zero","")</f>
        <v/>
      </c>
      <c r="J27" s="810"/>
      <c r="K27" s="1660"/>
      <c r="L27" s="1660">
        <f t="shared" si="0"/>
        <v>0</v>
      </c>
    </row>
    <row r="28" spans="1:12" s="580" customFormat="1" ht="25.35" customHeight="1">
      <c r="A28" s="1979" t="s">
        <v>29381</v>
      </c>
      <c r="B28" s="2186" t="s">
        <v>29378</v>
      </c>
      <c r="C28" s="2824" t="s">
        <v>22744</v>
      </c>
      <c r="D28" s="2825"/>
      <c r="E28" s="1984"/>
      <c r="F28" s="2813" t="s">
        <v>29358</v>
      </c>
      <c r="G28" s="810"/>
      <c r="H28" s="2994"/>
      <c r="I28" s="2997" t="str">
        <f>IF(OR(E28&lt;0,E28&gt;E27),"Il valore deve essere maggiore o uguale a zero e minore o uguale di Al_3000","")</f>
        <v/>
      </c>
      <c r="J28" s="810"/>
      <c r="K28" s="1660"/>
      <c r="L28" s="1660">
        <f t="shared" si="0"/>
        <v>0</v>
      </c>
    </row>
    <row r="29" spans="1:12" s="580" customFormat="1" ht="39" customHeight="1">
      <c r="A29" s="1979" t="s">
        <v>29382</v>
      </c>
      <c r="B29" s="2189" t="s">
        <v>29383</v>
      </c>
      <c r="C29" s="2824" t="s">
        <v>22744</v>
      </c>
      <c r="D29" s="2825"/>
      <c r="E29" s="1984"/>
      <c r="F29" s="2813" t="s">
        <v>30808</v>
      </c>
      <c r="G29" s="810"/>
      <c r="H29" s="2994"/>
      <c r="I29" s="2997" t="str">
        <f>IF(E29&lt;0,"Il valore deve essere maggiore o uguale a zero","")</f>
        <v/>
      </c>
      <c r="J29" s="810"/>
      <c r="K29" s="1660"/>
      <c r="L29" s="1660">
        <f t="shared" si="0"/>
        <v>0</v>
      </c>
    </row>
    <row r="30" spans="1:12" s="580" customFormat="1" ht="25.35" customHeight="1">
      <c r="A30" s="1979" t="s">
        <v>29384</v>
      </c>
      <c r="B30" s="2186" t="s">
        <v>29376</v>
      </c>
      <c r="C30" s="2824" t="s">
        <v>22744</v>
      </c>
      <c r="D30" s="2825"/>
      <c r="E30" s="1984"/>
      <c r="F30" s="2813" t="s">
        <v>29358</v>
      </c>
      <c r="G30" s="810"/>
      <c r="H30" s="2994"/>
      <c r="I30" s="2997" t="str">
        <f>IF(OR(E30&lt;0,E30&gt;E29),"Il valore deve essere maggiore o uguale a zero e minore o uguale di Racc_3000+","")</f>
        <v/>
      </c>
      <c r="J30" s="810"/>
      <c r="K30" s="1660"/>
      <c r="L30" s="1660">
        <f t="shared" si="0"/>
        <v>0</v>
      </c>
    </row>
    <row r="31" spans="1:12" s="580" customFormat="1" ht="25.35" customHeight="1">
      <c r="A31" s="1979" t="s">
        <v>29385</v>
      </c>
      <c r="B31" s="2186" t="s">
        <v>29378</v>
      </c>
      <c r="C31" s="2824" t="s">
        <v>22744</v>
      </c>
      <c r="D31" s="2825"/>
      <c r="E31" s="1984"/>
      <c r="F31" s="2813" t="s">
        <v>29358</v>
      </c>
      <c r="G31" s="810"/>
      <c r="H31" s="2994"/>
      <c r="I31" s="2997" t="str">
        <f>IF(OR(E31&lt;0,E31&gt;E29),"Il valore deve essere maggiore o uguale a zero e minore o uguale di Racc_3000+","")</f>
        <v/>
      </c>
      <c r="J31" s="810"/>
      <c r="K31" s="1660"/>
      <c r="L31" s="1660">
        <f t="shared" si="0"/>
        <v>0</v>
      </c>
    </row>
    <row r="32" spans="1:12" s="580" customFormat="1" ht="42.6" customHeight="1">
      <c r="A32" s="1979" t="s">
        <v>29386</v>
      </c>
      <c r="B32" s="2189" t="s">
        <v>29387</v>
      </c>
      <c r="C32" s="2824" t="s">
        <v>22744</v>
      </c>
      <c r="D32" s="2825"/>
      <c r="E32" s="1984"/>
      <c r="F32" s="2813" t="s">
        <v>30810</v>
      </c>
      <c r="G32" s="810"/>
      <c r="H32" s="2994"/>
      <c r="I32" s="2997" t="str">
        <f>IF(E32&lt;0,"Il valore deve essere maggiore o uguale a zero","")</f>
        <v/>
      </c>
      <c r="J32" s="810"/>
      <c r="K32" s="1660"/>
      <c r="L32" s="1660">
        <f t="shared" si="0"/>
        <v>0</v>
      </c>
    </row>
    <row r="33" spans="1:12" s="580" customFormat="1" ht="25.35" customHeight="1">
      <c r="A33" s="1979" t="s">
        <v>29388</v>
      </c>
      <c r="B33" s="2186" t="s">
        <v>29378</v>
      </c>
      <c r="C33" s="2824" t="s">
        <v>22744</v>
      </c>
      <c r="D33" s="2825"/>
      <c r="E33" s="1984"/>
      <c r="F33" s="2813" t="s">
        <v>29358</v>
      </c>
      <c r="G33" s="810"/>
      <c r="H33" s="2994"/>
      <c r="I33" s="2997" t="str">
        <f>IF(OR(E33&lt;0,E33&gt;E32),"Il valore deve essere maggiore o uguale a zero e minore o uguale di Al_3000+","")</f>
        <v/>
      </c>
      <c r="J33" s="810"/>
      <c r="K33" s="1660"/>
      <c r="L33" s="1660">
        <f t="shared" si="0"/>
        <v>0</v>
      </c>
    </row>
    <row r="34" spans="1:12" s="580" customFormat="1" ht="30" customHeight="1">
      <c r="A34" s="1975" t="s">
        <v>29389</v>
      </c>
      <c r="B34" s="2303" t="s">
        <v>29390</v>
      </c>
      <c r="C34" s="3004" t="s">
        <v>22744</v>
      </c>
      <c r="D34" s="2825"/>
      <c r="E34" s="1984"/>
      <c r="F34" s="2813" t="s">
        <v>29391</v>
      </c>
      <c r="G34" s="810"/>
      <c r="H34" s="2994"/>
      <c r="I34" s="2997" t="str">
        <f>IF(E34&lt;0,"Il valore deve essere maggiore o uguale a zero","")</f>
        <v/>
      </c>
      <c r="J34" s="810"/>
      <c r="K34" s="1660"/>
      <c r="L34" s="1660">
        <f t="shared" si="0"/>
        <v>0</v>
      </c>
    </row>
    <row r="35" spans="1:12" s="580" customFormat="1" ht="25.35" customHeight="1">
      <c r="A35" s="1975" t="s">
        <v>29392</v>
      </c>
      <c r="B35" s="2305" t="s">
        <v>29393</v>
      </c>
      <c r="C35" s="3004" t="s">
        <v>22744</v>
      </c>
      <c r="D35" s="2825"/>
      <c r="E35" s="1984"/>
      <c r="F35" s="2813"/>
      <c r="G35" s="810"/>
      <c r="H35" s="3005"/>
      <c r="I35" s="3725" t="str">
        <f>IF(OR(E35&lt;&gt;"",E36&lt;&gt;"",E37&lt;&gt;"",E38&lt;&gt;""),IF(OR(E35&lt;0,E36&lt;0,E37&lt;0,E38&lt;0,E35+E36+E37+E38&lt;&gt;E34),"Ogni di cui deve essere maggiore o uguale a zero e la somma deve essere pari a Mis_ut",""),"")</f>
        <v/>
      </c>
      <c r="J35" s="810"/>
      <c r="K35" s="1660"/>
      <c r="L35" s="1660">
        <f t="shared" si="0"/>
        <v>0</v>
      </c>
    </row>
    <row r="36" spans="1:12" s="580" customFormat="1" ht="25.35" customHeight="1">
      <c r="A36" s="1975" t="s">
        <v>29394</v>
      </c>
      <c r="B36" s="2305" t="s">
        <v>29395</v>
      </c>
      <c r="C36" s="3004" t="s">
        <v>22744</v>
      </c>
      <c r="D36" s="2825"/>
      <c r="E36" s="1984"/>
      <c r="F36" s="2813"/>
      <c r="G36" s="810"/>
      <c r="H36" s="3005"/>
      <c r="I36" s="3725"/>
      <c r="J36" s="810"/>
      <c r="K36" s="1660"/>
      <c r="L36" s="1660">
        <f t="shared" si="0"/>
        <v>0</v>
      </c>
    </row>
    <row r="37" spans="1:12" s="580" customFormat="1" ht="25.35" customHeight="1">
      <c r="A37" s="1975" t="s">
        <v>29396</v>
      </c>
      <c r="B37" s="2305" t="s">
        <v>29397</v>
      </c>
      <c r="C37" s="3004" t="s">
        <v>22744</v>
      </c>
      <c r="D37" s="2825"/>
      <c r="E37" s="1984"/>
      <c r="F37" s="2813"/>
      <c r="G37" s="810"/>
      <c r="H37" s="3005"/>
      <c r="I37" s="3725"/>
      <c r="J37" s="810"/>
      <c r="K37" s="1660"/>
      <c r="L37" s="1660">
        <f t="shared" si="0"/>
        <v>0</v>
      </c>
    </row>
    <row r="38" spans="1:12" s="580" customFormat="1" ht="25.35" customHeight="1">
      <c r="A38" s="1975" t="s">
        <v>29398</v>
      </c>
      <c r="B38" s="2305" t="s">
        <v>29399</v>
      </c>
      <c r="C38" s="3004" t="s">
        <v>22744</v>
      </c>
      <c r="D38" s="2825"/>
      <c r="E38" s="1984"/>
      <c r="F38" s="2813"/>
      <c r="G38" s="810"/>
      <c r="H38" s="3005"/>
      <c r="I38" s="3725"/>
      <c r="J38" s="810"/>
      <c r="K38" s="1660"/>
      <c r="L38" s="1660">
        <f t="shared" si="0"/>
        <v>0</v>
      </c>
    </row>
    <row r="39" spans="1:12" s="580" customFormat="1" ht="30" customHeight="1">
      <c r="A39" s="1979" t="s">
        <v>29389</v>
      </c>
      <c r="B39" s="2164" t="s">
        <v>29390</v>
      </c>
      <c r="C39" s="2824" t="s">
        <v>22744</v>
      </c>
      <c r="D39" s="2830"/>
      <c r="E39" s="2037">
        <f>E34</f>
        <v>0</v>
      </c>
      <c r="F39" s="2813"/>
      <c r="G39" s="810"/>
      <c r="H39" s="3005"/>
      <c r="I39" s="3007"/>
      <c r="J39" s="810"/>
      <c r="K39" s="1660"/>
      <c r="L39" s="1660">
        <f t="shared" si="0"/>
        <v>0</v>
      </c>
    </row>
    <row r="40" spans="1:12" s="580" customFormat="1" ht="25.35" customHeight="1">
      <c r="A40" s="1979" t="s">
        <v>29400</v>
      </c>
      <c r="B40" s="2306" t="s">
        <v>29401</v>
      </c>
      <c r="C40" s="2824" t="s">
        <v>22744</v>
      </c>
      <c r="D40" s="2825"/>
      <c r="E40" s="1984"/>
      <c r="F40" s="1968"/>
      <c r="G40" s="810"/>
      <c r="H40" s="3732"/>
      <c r="I40" s="3725" t="str">
        <f>IF(OR(E40&lt;0,E41&lt;0,(E40+E41)&gt;E39),"Ogni di cui deve essere maggiore o uguale a zero e la somma deve essere minore o uguale a Mis_ut","")</f>
        <v/>
      </c>
      <c r="J40" s="810"/>
      <c r="K40" s="1660"/>
      <c r="L40" s="1660">
        <f t="shared" si="0"/>
        <v>0</v>
      </c>
    </row>
    <row r="41" spans="1:12" s="580" customFormat="1" ht="25.35" customHeight="1" thickBot="1">
      <c r="A41" s="2039" t="s">
        <v>29402</v>
      </c>
      <c r="B41" s="2040" t="s">
        <v>29403</v>
      </c>
      <c r="C41" s="2041" t="s">
        <v>22744</v>
      </c>
      <c r="D41" s="2805"/>
      <c r="E41" s="2042"/>
      <c r="F41" s="2010"/>
      <c r="G41" s="810"/>
      <c r="H41" s="3732"/>
      <c r="I41" s="3733"/>
      <c r="J41" s="810"/>
      <c r="K41" s="1660"/>
      <c r="L41" s="1660">
        <f t="shared" si="0"/>
        <v>0</v>
      </c>
    </row>
    <row r="42" spans="1:12" s="580" customFormat="1" ht="10.35" customHeight="1">
      <c r="A42" s="1661"/>
      <c r="B42" s="1662"/>
      <c r="C42" s="1661"/>
      <c r="D42" s="1661"/>
      <c r="E42" s="1661"/>
      <c r="F42" s="1663"/>
      <c r="G42" s="810"/>
      <c r="H42" s="2993"/>
      <c r="I42" s="1664"/>
      <c r="J42" s="810"/>
      <c r="K42" s="1660"/>
      <c r="L42" s="1660">
        <f t="shared" si="0"/>
        <v>0</v>
      </c>
    </row>
    <row r="43" spans="1:12" ht="18" thickBot="1">
      <c r="A43" s="1665" t="s">
        <v>30811</v>
      </c>
      <c r="K43" s="1660"/>
      <c r="L43" s="1660">
        <f t="shared" si="0"/>
        <v>0</v>
      </c>
    </row>
    <row r="44" spans="1:12" ht="45" customHeight="1">
      <c r="A44" s="2017" t="s">
        <v>30812</v>
      </c>
      <c r="B44" s="2018" t="s">
        <v>30079</v>
      </c>
      <c r="C44" s="1961" t="s">
        <v>22744</v>
      </c>
      <c r="D44" s="3008"/>
      <c r="E44" s="1511"/>
      <c r="F44" s="1668"/>
      <c r="H44" s="2994"/>
      <c r="I44" s="2995" t="str">
        <f t="shared" ref="I44:I48" si="1">IF(E44&lt;0,"Il valore deve essere maggiore o uguale a zero","")</f>
        <v/>
      </c>
      <c r="K44" s="1660"/>
      <c r="L44" s="1660">
        <f t="shared" si="0"/>
        <v>0</v>
      </c>
    </row>
    <row r="45" spans="1:12" ht="46.5" customHeight="1">
      <c r="A45" s="1978" t="s">
        <v>30813</v>
      </c>
      <c r="B45" s="2166" t="s">
        <v>30080</v>
      </c>
      <c r="C45" s="2996" t="s">
        <v>22744</v>
      </c>
      <c r="D45" s="3009"/>
      <c r="E45" s="2048"/>
      <c r="F45" s="2813"/>
      <c r="H45" s="2994"/>
      <c r="I45" s="2997" t="str">
        <f t="shared" si="1"/>
        <v/>
      </c>
      <c r="K45" s="1660"/>
      <c r="L45" s="1660">
        <f t="shared" si="0"/>
        <v>0</v>
      </c>
    </row>
    <row r="46" spans="1:12" ht="44.25" customHeight="1">
      <c r="A46" s="1978" t="s">
        <v>30814</v>
      </c>
      <c r="B46" s="2166" t="s">
        <v>30815</v>
      </c>
      <c r="C46" s="2996" t="s">
        <v>22744</v>
      </c>
      <c r="D46" s="3009"/>
      <c r="E46" s="2048"/>
      <c r="F46" s="2813"/>
      <c r="H46" s="2994"/>
      <c r="I46" s="2997" t="str">
        <f t="shared" si="1"/>
        <v/>
      </c>
      <c r="K46" s="1660"/>
      <c r="L46" s="1660">
        <f t="shared" si="0"/>
        <v>0</v>
      </c>
    </row>
    <row r="47" spans="1:12" ht="60">
      <c r="A47" s="1978" t="s">
        <v>30816</v>
      </c>
      <c r="B47" s="2166" t="s">
        <v>30081</v>
      </c>
      <c r="C47" s="2996" t="s">
        <v>29349</v>
      </c>
      <c r="D47" s="3009"/>
      <c r="E47" s="2048"/>
      <c r="F47" s="2813"/>
      <c r="H47" s="2994"/>
      <c r="I47" s="2997" t="str">
        <f t="shared" si="1"/>
        <v/>
      </c>
      <c r="K47" s="1660"/>
      <c r="L47" s="1660">
        <f t="shared" si="0"/>
        <v>0</v>
      </c>
    </row>
    <row r="48" spans="1:12" ht="60.75" thickBot="1">
      <c r="A48" s="2043" t="s">
        <v>30817</v>
      </c>
      <c r="B48" s="2044" t="s">
        <v>30082</v>
      </c>
      <c r="C48" s="2045" t="s">
        <v>29349</v>
      </c>
      <c r="D48" s="3010"/>
      <c r="E48" s="2067"/>
      <c r="F48" s="1977"/>
      <c r="H48" s="2994"/>
      <c r="I48" s="3011" t="str">
        <f t="shared" si="1"/>
        <v/>
      </c>
      <c r="K48" s="1660"/>
      <c r="L48" s="1660">
        <f t="shared" si="0"/>
        <v>0</v>
      </c>
    </row>
    <row r="49" spans="1:12" s="580" customFormat="1" ht="10.5" customHeight="1">
      <c r="A49" s="1997"/>
      <c r="B49" s="1998"/>
      <c r="C49" s="1999"/>
      <c r="D49" s="2000"/>
      <c r="E49" s="2000"/>
      <c r="F49" s="2001"/>
      <c r="G49" s="1698"/>
      <c r="H49" s="2998"/>
      <c r="I49" s="2002"/>
      <c r="J49" s="1698"/>
      <c r="K49" s="1660"/>
      <c r="L49" s="1660">
        <f t="shared" si="0"/>
        <v>0</v>
      </c>
    </row>
    <row r="50" spans="1:12" s="580" customFormat="1" ht="18" thickBot="1">
      <c r="A50" s="1665" t="s">
        <v>29404</v>
      </c>
      <c r="B50" s="1662"/>
      <c r="C50" s="1661"/>
      <c r="D50" s="1661"/>
      <c r="E50" s="1661"/>
      <c r="F50" s="1663"/>
      <c r="G50" s="810"/>
      <c r="H50" s="2993"/>
      <c r="I50" s="1664"/>
      <c r="J50" s="810"/>
      <c r="K50" s="1660"/>
      <c r="L50" s="1660">
        <f t="shared" si="0"/>
        <v>0</v>
      </c>
    </row>
    <row r="51" spans="1:12" ht="32.1" customHeight="1">
      <c r="A51" s="2017" t="s">
        <v>29405</v>
      </c>
      <c r="B51" s="1667" t="s">
        <v>29406</v>
      </c>
      <c r="C51" s="1673" t="s">
        <v>22744</v>
      </c>
      <c r="D51" s="2823"/>
      <c r="E51" s="1509"/>
      <c r="F51" s="2012" t="s">
        <v>29407</v>
      </c>
      <c r="H51" s="2994"/>
      <c r="I51" s="2995" t="str">
        <f>IF(E51&lt;0,"Il valore deve essere maggiore o uguale a zero","")</f>
        <v/>
      </c>
      <c r="K51" s="1660"/>
      <c r="L51" s="1660">
        <f t="shared" si="0"/>
        <v>0</v>
      </c>
    </row>
    <row r="52" spans="1:12" ht="32.1" customHeight="1">
      <c r="A52" s="1978" t="s">
        <v>29408</v>
      </c>
      <c r="B52" s="2174" t="s">
        <v>29409</v>
      </c>
      <c r="C52" s="2824" t="s">
        <v>22744</v>
      </c>
      <c r="D52" s="2802"/>
      <c r="E52" s="2048"/>
      <c r="F52" s="2851" t="s">
        <v>29410</v>
      </c>
      <c r="H52" s="2994"/>
      <c r="I52" s="2997" t="str">
        <f>IF(E52&lt;0,"Il valore deve essere maggiore o uguale a zero","")</f>
        <v/>
      </c>
      <c r="K52" s="1660"/>
      <c r="L52" s="1660">
        <f t="shared" si="0"/>
        <v>0</v>
      </c>
    </row>
    <row r="53" spans="1:12" s="565" customFormat="1" ht="30.75" customHeight="1">
      <c r="A53" s="1978" t="s">
        <v>28928</v>
      </c>
      <c r="B53" s="2192" t="s">
        <v>29411</v>
      </c>
      <c r="C53" s="2824" t="s">
        <v>28904</v>
      </c>
      <c r="D53" s="2830"/>
      <c r="E53" s="2037">
        <f>'QT-Acquedotto'!E30</f>
        <v>0</v>
      </c>
      <c r="F53" s="1957"/>
      <c r="G53" s="1619"/>
      <c r="H53" s="2994"/>
      <c r="I53" s="2997"/>
      <c r="J53" s="1619"/>
      <c r="K53" s="1660"/>
      <c r="L53" s="1660">
        <f t="shared" si="0"/>
        <v>0</v>
      </c>
    </row>
    <row r="54" spans="1:12" s="565" customFormat="1" ht="21.95" customHeight="1">
      <c r="A54" s="1978" t="s">
        <v>30044</v>
      </c>
      <c r="B54" s="2307" t="s">
        <v>29412</v>
      </c>
      <c r="C54" s="2824" t="s">
        <v>28904</v>
      </c>
      <c r="D54" s="2825"/>
      <c r="E54" s="1984"/>
      <c r="F54" s="1957"/>
      <c r="G54" s="1619"/>
      <c r="H54" s="2994"/>
      <c r="I54" s="3736" t="str">
        <f>IF(OR(E54&lt;0,E55&lt;0,E56&lt;0,E57&lt;0,E54+E55+E56+E57&lt;&gt;E53),"Ogni di cui deve essere maggiore o uguale a zero e la somma deve essere pari a WAM","")</f>
        <v/>
      </c>
      <c r="J54" s="1619"/>
      <c r="K54" s="1660"/>
      <c r="L54" s="1660">
        <f t="shared" si="0"/>
        <v>0</v>
      </c>
    </row>
    <row r="55" spans="1:12" s="565" customFormat="1" ht="21.95" customHeight="1">
      <c r="A55" s="1978" t="s">
        <v>30045</v>
      </c>
      <c r="B55" s="2307" t="s">
        <v>29413</v>
      </c>
      <c r="C55" s="2824" t="s">
        <v>28904</v>
      </c>
      <c r="D55" s="2825"/>
      <c r="E55" s="1984"/>
      <c r="F55" s="1957"/>
      <c r="G55" s="1619"/>
      <c r="H55" s="2994"/>
      <c r="I55" s="3736"/>
      <c r="J55" s="1619"/>
      <c r="K55" s="1660"/>
      <c r="L55" s="1660">
        <f t="shared" si="0"/>
        <v>0</v>
      </c>
    </row>
    <row r="56" spans="1:12" s="565" customFormat="1" ht="21.95" customHeight="1">
      <c r="A56" s="1978" t="s">
        <v>30046</v>
      </c>
      <c r="B56" s="2307" t="s">
        <v>29414</v>
      </c>
      <c r="C56" s="2824" t="s">
        <v>28904</v>
      </c>
      <c r="D56" s="2825"/>
      <c r="E56" s="1984"/>
      <c r="F56" s="1957"/>
      <c r="G56" s="1619"/>
      <c r="H56" s="2994"/>
      <c r="I56" s="3736"/>
      <c r="J56" s="1619"/>
      <c r="K56" s="1660"/>
      <c r="L56" s="1660">
        <f t="shared" si="0"/>
        <v>0</v>
      </c>
    </row>
    <row r="57" spans="1:12" s="565" customFormat="1" ht="21.95" customHeight="1">
      <c r="A57" s="1978" t="s">
        <v>30047</v>
      </c>
      <c r="B57" s="2307" t="s">
        <v>29415</v>
      </c>
      <c r="C57" s="2824" t="s">
        <v>28904</v>
      </c>
      <c r="D57" s="2825"/>
      <c r="E57" s="1984"/>
      <c r="F57" s="1957"/>
      <c r="G57" s="1619"/>
      <c r="H57" s="2994"/>
      <c r="I57" s="3736"/>
      <c r="J57" s="1619"/>
      <c r="K57" s="1660"/>
      <c r="L57" s="1660">
        <f t="shared" si="0"/>
        <v>0</v>
      </c>
    </row>
    <row r="58" spans="1:12" ht="45" customHeight="1">
      <c r="A58" s="1978" t="s">
        <v>29416</v>
      </c>
      <c r="B58" s="2174" t="s">
        <v>29417</v>
      </c>
      <c r="C58" s="2824" t="s">
        <v>28904</v>
      </c>
      <c r="D58" s="2825"/>
      <c r="E58" s="1984"/>
      <c r="F58" s="2851" t="s">
        <v>29418</v>
      </c>
      <c r="H58" s="2994"/>
      <c r="I58" s="2997" t="str">
        <f>IF(OR(E58&lt;0,E58&gt;'QT-Acquedotto'!E28),"Il valore deve essere maggiore o uguale a zero e minore di ∑WIN","")</f>
        <v/>
      </c>
      <c r="K58" s="1660"/>
      <c r="L58" s="1660">
        <f t="shared" si="0"/>
        <v>0</v>
      </c>
    </row>
    <row r="59" spans="1:12" ht="25.35" customHeight="1">
      <c r="A59" s="1978" t="s">
        <v>30048</v>
      </c>
      <c r="B59" s="2184" t="s">
        <v>29419</v>
      </c>
      <c r="C59" s="2824" t="s">
        <v>28904</v>
      </c>
      <c r="D59" s="2825"/>
      <c r="E59" s="1984"/>
      <c r="F59" s="2851" t="s">
        <v>29420</v>
      </c>
      <c r="H59" s="2994"/>
      <c r="I59" s="3736" t="str">
        <f>IF(OR(E59&lt;&gt;"",E60&lt;&gt;"",E61&lt;&gt;""),IF(OR(E59&lt;0,E60&lt;0,E61&lt;0,E59+E60+E61&lt;&gt;E58),"Ogni di cui deve essere maggiore o uguale a zero e la somma deve essere pari a WA6",""),"")</f>
        <v/>
      </c>
      <c r="K59" s="1660"/>
      <c r="L59" s="1660">
        <f t="shared" si="0"/>
        <v>0</v>
      </c>
    </row>
    <row r="60" spans="1:12" ht="30" customHeight="1">
      <c r="A60" s="1978" t="s">
        <v>30049</v>
      </c>
      <c r="B60" s="2184" t="s">
        <v>29421</v>
      </c>
      <c r="C60" s="2824" t="s">
        <v>28904</v>
      </c>
      <c r="D60" s="2825"/>
      <c r="E60" s="1984"/>
      <c r="F60" s="2851" t="s">
        <v>29422</v>
      </c>
      <c r="H60" s="2994"/>
      <c r="I60" s="3736"/>
      <c r="K60" s="1660"/>
      <c r="L60" s="1660">
        <f t="shared" si="0"/>
        <v>0</v>
      </c>
    </row>
    <row r="61" spans="1:12" ht="38.25">
      <c r="A61" s="2308" t="s">
        <v>30050</v>
      </c>
      <c r="B61" s="2309" t="s">
        <v>29423</v>
      </c>
      <c r="C61" s="3012" t="s">
        <v>28904</v>
      </c>
      <c r="D61" s="2825"/>
      <c r="E61" s="1984"/>
      <c r="F61" s="2302" t="s">
        <v>29424</v>
      </c>
      <c r="H61" s="2994"/>
      <c r="I61" s="3736"/>
      <c r="K61" s="1660"/>
      <c r="L61" s="1660">
        <f t="shared" si="0"/>
        <v>0</v>
      </c>
    </row>
    <row r="62" spans="1:12" s="580" customFormat="1" ht="32.1" customHeight="1">
      <c r="A62" s="1981" t="s">
        <v>28990</v>
      </c>
      <c r="B62" s="2174" t="s">
        <v>28991</v>
      </c>
      <c r="C62" s="2996" t="s">
        <v>22744</v>
      </c>
      <c r="D62" s="2830"/>
      <c r="E62" s="2037">
        <f>'QT-Acquedotto'!E80</f>
        <v>0</v>
      </c>
      <c r="F62" s="2813"/>
      <c r="G62" s="810"/>
      <c r="H62" s="2994"/>
      <c r="I62" s="2997"/>
      <c r="J62" s="810"/>
      <c r="K62" s="1660"/>
      <c r="L62" s="1660">
        <f t="shared" si="0"/>
        <v>0</v>
      </c>
    </row>
    <row r="63" spans="1:12" s="580" customFormat="1" ht="70.349999999999994" customHeight="1">
      <c r="A63" s="1981" t="s">
        <v>30051</v>
      </c>
      <c r="B63" s="2166" t="s">
        <v>29425</v>
      </c>
      <c r="C63" s="1962" t="s">
        <v>22744</v>
      </c>
      <c r="D63" s="2802"/>
      <c r="E63" s="2048"/>
      <c r="F63" s="2851" t="s">
        <v>29426</v>
      </c>
      <c r="G63" s="810"/>
      <c r="H63" s="2994"/>
      <c r="I63" s="2997" t="str">
        <f>IF(OR(E63&lt;0,E63&gt;E62),"Il valore deve essere maggiore o uguale a zero e minore di UtT","")</f>
        <v/>
      </c>
      <c r="J63" s="810"/>
      <c r="K63" s="1660"/>
      <c r="L63" s="1660">
        <f t="shared" si="0"/>
        <v>0</v>
      </c>
    </row>
    <row r="64" spans="1:12" ht="30" customHeight="1">
      <c r="A64" s="1981" t="s">
        <v>30052</v>
      </c>
      <c r="B64" s="2174" t="s">
        <v>29427</v>
      </c>
      <c r="C64" s="2824" t="s">
        <v>22744</v>
      </c>
      <c r="D64" s="2802"/>
      <c r="E64" s="2048"/>
      <c r="F64" s="2813"/>
      <c r="H64" s="2994"/>
      <c r="I64" s="2997" t="str">
        <f>IF(E64&lt;0,"Il valore deve essere maggiore o uguale a zero","")</f>
        <v/>
      </c>
      <c r="K64" s="1660"/>
      <c r="L64" s="1660">
        <f t="shared" si="0"/>
        <v>0</v>
      </c>
    </row>
    <row r="65" spans="1:12" ht="52.5" customHeight="1">
      <c r="A65" s="2019" t="s">
        <v>29428</v>
      </c>
      <c r="B65" s="2020" t="s">
        <v>29429</v>
      </c>
      <c r="C65" s="1962" t="s">
        <v>24</v>
      </c>
      <c r="D65" s="3013"/>
      <c r="E65" s="2310"/>
      <c r="F65" s="3014" t="s">
        <v>29430</v>
      </c>
      <c r="G65" s="1994"/>
      <c r="H65" s="2994"/>
      <c r="I65" s="2997" t="str">
        <f>IF(E65&lt;0,"Il valore deve essere maggiore o uguale a zero",IF(E65&gt;'QT-Acquedotto'!E44,"Attenzione: il valore è superiore a Ld - verificare",""))</f>
        <v/>
      </c>
      <c r="K65" s="1660"/>
      <c r="L65" s="1660">
        <f t="shared" si="0"/>
        <v>0</v>
      </c>
    </row>
    <row r="66" spans="1:12" ht="68.25" customHeight="1">
      <c r="A66" s="2030" t="s">
        <v>30053</v>
      </c>
      <c r="B66" s="2309" t="s">
        <v>30054</v>
      </c>
      <c r="C66" s="3012" t="s">
        <v>24</v>
      </c>
      <c r="D66" s="3013"/>
      <c r="E66" s="2310"/>
      <c r="F66" s="2302" t="s">
        <v>30818</v>
      </c>
      <c r="G66" s="1994"/>
      <c r="H66" s="2994"/>
      <c r="I66" s="2997" t="str">
        <f>IF(OR(E66&lt;0,E66&gt;E65),"Il valore deve essere maggiore o uguale a zero e minore o uguale a Lall","")</f>
        <v/>
      </c>
      <c r="K66" s="1660"/>
      <c r="L66" s="1660">
        <f t="shared" si="0"/>
        <v>0</v>
      </c>
    </row>
    <row r="67" spans="1:12" ht="68.25" customHeight="1">
      <c r="A67" s="1978" t="s">
        <v>30819</v>
      </c>
      <c r="B67" s="2184" t="s">
        <v>30083</v>
      </c>
      <c r="C67" s="2824" t="s">
        <v>24</v>
      </c>
      <c r="D67" s="3015"/>
      <c r="E67" s="2047"/>
      <c r="F67" s="3014" t="s">
        <v>31660</v>
      </c>
      <c r="G67" s="1994"/>
      <c r="H67" s="2994"/>
      <c r="I67" s="2997" t="str">
        <f>IF(OR(E67&lt;0,E67&gt;E65),"Il valore deve essere maggiore o uguale a zero e minore o uguale a Lall","")</f>
        <v/>
      </c>
      <c r="K67" s="1660"/>
      <c r="L67" s="1660">
        <f t="shared" ref="L67:L125" si="2">IF(I67="",0,1)</f>
        <v>0</v>
      </c>
    </row>
    <row r="68" spans="1:12" ht="35.25" customHeight="1">
      <c r="A68" s="1978" t="s">
        <v>28961</v>
      </c>
      <c r="B68" s="2174" t="s">
        <v>28962</v>
      </c>
      <c r="C68" s="2824" t="s">
        <v>24</v>
      </c>
      <c r="D68" s="3016"/>
      <c r="E68" s="2049">
        <f>'QT-Acquedotto'!E42</f>
        <v>0</v>
      </c>
      <c r="F68" s="2813"/>
      <c r="G68" s="1994"/>
      <c r="H68" s="2994"/>
      <c r="I68" s="2997"/>
      <c r="K68" s="1660"/>
      <c r="L68" s="1660">
        <f t="shared" si="2"/>
        <v>0</v>
      </c>
    </row>
    <row r="69" spans="1:12" ht="25.35" customHeight="1">
      <c r="A69" s="2019" t="s">
        <v>30055</v>
      </c>
      <c r="B69" s="2021" t="s">
        <v>29431</v>
      </c>
      <c r="C69" s="1962" t="s">
        <v>24</v>
      </c>
      <c r="D69" s="2802"/>
      <c r="E69" s="2048"/>
      <c r="F69" s="1957"/>
      <c r="G69" s="1994"/>
      <c r="H69" s="2994"/>
      <c r="I69" s="3736" t="str">
        <f>IF(OR(E69&lt;0,E70&lt;0,E71&lt;0,E72&lt;0,E73&lt;0,E74&lt;0,E69+E70+E71+E72+E73+E74&lt;&gt;E68),"Ogni di cui deve essere maggiore o uguale a zero e la somma deve essere pari a Lp","")</f>
        <v/>
      </c>
      <c r="K69" s="1660"/>
      <c r="L69" s="1660">
        <f t="shared" si="2"/>
        <v>0</v>
      </c>
    </row>
    <row r="70" spans="1:12" ht="25.35" customHeight="1">
      <c r="A70" s="1978" t="s">
        <v>30056</v>
      </c>
      <c r="B70" s="2021" t="s">
        <v>29432</v>
      </c>
      <c r="C70" s="1962" t="s">
        <v>24</v>
      </c>
      <c r="D70" s="2802"/>
      <c r="E70" s="2048"/>
      <c r="F70" s="2813"/>
      <c r="H70" s="2994"/>
      <c r="I70" s="3736"/>
      <c r="K70" s="1660"/>
      <c r="L70" s="1660">
        <f t="shared" si="2"/>
        <v>0</v>
      </c>
    </row>
    <row r="71" spans="1:12" ht="25.35" customHeight="1">
      <c r="A71" s="1978" t="s">
        <v>30057</v>
      </c>
      <c r="B71" s="2021" t="s">
        <v>29433</v>
      </c>
      <c r="C71" s="1962" t="s">
        <v>24</v>
      </c>
      <c r="D71" s="2802"/>
      <c r="E71" s="2048"/>
      <c r="F71" s="2813"/>
      <c r="H71" s="2994"/>
      <c r="I71" s="3736"/>
      <c r="K71" s="1660"/>
      <c r="L71" s="1660">
        <f t="shared" si="2"/>
        <v>0</v>
      </c>
    </row>
    <row r="72" spans="1:12" ht="25.35" customHeight="1">
      <c r="A72" s="1978" t="s">
        <v>30058</v>
      </c>
      <c r="B72" s="2021" t="s">
        <v>29434</v>
      </c>
      <c r="C72" s="1962" t="s">
        <v>24</v>
      </c>
      <c r="D72" s="2802"/>
      <c r="E72" s="2048"/>
      <c r="F72" s="2813"/>
      <c r="H72" s="2994"/>
      <c r="I72" s="3736"/>
      <c r="K72" s="1660"/>
      <c r="L72" s="1660">
        <f t="shared" si="2"/>
        <v>0</v>
      </c>
    </row>
    <row r="73" spans="1:12" ht="25.35" customHeight="1">
      <c r="A73" s="1978" t="s">
        <v>30059</v>
      </c>
      <c r="B73" s="2021" t="s">
        <v>29435</v>
      </c>
      <c r="C73" s="1962" t="s">
        <v>24</v>
      </c>
      <c r="D73" s="2802"/>
      <c r="E73" s="2048"/>
      <c r="F73" s="2813"/>
      <c r="H73" s="2994"/>
      <c r="I73" s="3736"/>
      <c r="K73" s="1660"/>
      <c r="L73" s="1660">
        <f t="shared" si="2"/>
        <v>0</v>
      </c>
    </row>
    <row r="74" spans="1:12" ht="25.35" customHeight="1">
      <c r="A74" s="1978" t="s">
        <v>30060</v>
      </c>
      <c r="B74" s="2021" t="s">
        <v>29436</v>
      </c>
      <c r="C74" s="1962" t="s">
        <v>24</v>
      </c>
      <c r="D74" s="3016"/>
      <c r="E74" s="2049">
        <f>E68-E69-E70-E71-E72-E73</f>
        <v>0</v>
      </c>
      <c r="F74" s="2813" t="s">
        <v>29437</v>
      </c>
      <c r="H74" s="2994"/>
      <c r="I74" s="3736"/>
      <c r="K74" s="1660"/>
      <c r="L74" s="1660">
        <f t="shared" si="2"/>
        <v>0</v>
      </c>
    </row>
    <row r="75" spans="1:12" ht="35.25" customHeight="1">
      <c r="A75" s="1981" t="s">
        <v>30061</v>
      </c>
      <c r="B75" s="2174" t="s">
        <v>29438</v>
      </c>
      <c r="C75" s="2824" t="s">
        <v>24</v>
      </c>
      <c r="D75" s="3015"/>
      <c r="E75" s="2047"/>
      <c r="F75" s="2813" t="s">
        <v>29439</v>
      </c>
      <c r="H75" s="2994"/>
      <c r="I75" s="2997" t="str">
        <f>IF(OR(E75&lt;0,E75&gt;E68),"Il valore deve essere maggiore o uguale a zero e minore o uguale a Lp","")</f>
        <v/>
      </c>
      <c r="K75" s="1660"/>
      <c r="L75" s="1660">
        <f t="shared" si="2"/>
        <v>0</v>
      </c>
    </row>
    <row r="76" spans="1:12" ht="45" customHeight="1">
      <c r="A76" s="1981" t="s">
        <v>30062</v>
      </c>
      <c r="B76" s="2174" t="s">
        <v>29440</v>
      </c>
      <c r="C76" s="2824" t="s">
        <v>24</v>
      </c>
      <c r="D76" s="3015"/>
      <c r="E76" s="2047"/>
      <c r="F76" s="2813" t="s">
        <v>30063</v>
      </c>
      <c r="H76" s="2994"/>
      <c r="I76" s="2997" t="str">
        <f>IF(OR(E76&lt;0,E76&gt;E68),"Il valore deve essere maggiore o uguale a zero e minore o uguale a Lp","")</f>
        <v/>
      </c>
      <c r="K76" s="1660"/>
      <c r="L76" s="1660">
        <f t="shared" si="2"/>
        <v>0</v>
      </c>
    </row>
    <row r="77" spans="1:12" ht="36" customHeight="1">
      <c r="A77" s="1981" t="s">
        <v>30064</v>
      </c>
      <c r="B77" s="2174" t="s">
        <v>29441</v>
      </c>
      <c r="C77" s="2824" t="s">
        <v>24</v>
      </c>
      <c r="D77" s="3015"/>
      <c r="E77" s="2047"/>
      <c r="F77" s="2813" t="s">
        <v>29442</v>
      </c>
      <c r="H77" s="2994"/>
      <c r="I77" s="2997" t="str">
        <f>IF(OR(E77&lt;0,E77&gt;'QT-Acquedotto'!E44),"Il valore deve essere maggiore o uguale a zero e minore o uguale a Ld","")</f>
        <v/>
      </c>
      <c r="K77" s="1660"/>
      <c r="L77" s="1660">
        <f t="shared" si="2"/>
        <v>0</v>
      </c>
    </row>
    <row r="78" spans="1:12" ht="36" customHeight="1">
      <c r="A78" s="1981" t="s">
        <v>31661</v>
      </c>
      <c r="B78" s="2174" t="s">
        <v>30820</v>
      </c>
      <c r="C78" s="2824" t="s">
        <v>24</v>
      </c>
      <c r="D78" s="3015"/>
      <c r="E78" s="2047"/>
      <c r="F78" s="2813" t="s">
        <v>30821</v>
      </c>
      <c r="H78" s="2994"/>
      <c r="I78" s="2997" t="str">
        <f>IF(OR(E78&lt;0,E78&gt;'QT-Acquedotto'!E42),"Il valore deve essere maggiore o uguale a zero e minore o uguale a Lp","")</f>
        <v/>
      </c>
      <c r="K78" s="1660"/>
      <c r="L78" s="1660">
        <f t="shared" si="2"/>
        <v>0</v>
      </c>
    </row>
    <row r="79" spans="1:12" ht="36" customHeight="1">
      <c r="A79" s="1981" t="s">
        <v>31662</v>
      </c>
      <c r="B79" s="2174" t="s">
        <v>30822</v>
      </c>
      <c r="C79" s="2824" t="s">
        <v>24</v>
      </c>
      <c r="D79" s="3015"/>
      <c r="E79" s="2047"/>
      <c r="F79" s="2813" t="s">
        <v>31663</v>
      </c>
      <c r="H79" s="2994"/>
      <c r="I79" s="2997" t="str">
        <f>IF(OR(E79&lt;0,E79&gt;'QT-Acquedotto'!E43),"Il valore deve essere maggiore o uguale a zero e minore o uguale a La","")</f>
        <v/>
      </c>
      <c r="K79" s="1660"/>
      <c r="L79" s="1660">
        <f t="shared" si="2"/>
        <v>0</v>
      </c>
    </row>
    <row r="80" spans="1:12" ht="36" customHeight="1">
      <c r="A80" s="1981" t="s">
        <v>31664</v>
      </c>
      <c r="B80" s="2174" t="s">
        <v>30823</v>
      </c>
      <c r="C80" s="2824" t="s">
        <v>24</v>
      </c>
      <c r="D80" s="3015"/>
      <c r="E80" s="2047"/>
      <c r="F80" s="2813" t="s">
        <v>31665</v>
      </c>
      <c r="H80" s="2994"/>
      <c r="I80" s="2997" t="str">
        <f>IF(OR(E80&lt;0,E80&gt;'QT-Acquedotto'!E44),"Il valore deve essere maggiore o uguale a zero e minore o uguale a Ld","")</f>
        <v/>
      </c>
      <c r="K80" s="1660"/>
      <c r="L80" s="1660">
        <f t="shared" si="2"/>
        <v>0</v>
      </c>
    </row>
    <row r="81" spans="1:20" ht="45">
      <c r="A81" s="1981" t="s">
        <v>30065</v>
      </c>
      <c r="B81" s="2174" t="s">
        <v>29443</v>
      </c>
      <c r="C81" s="2824" t="s">
        <v>24</v>
      </c>
      <c r="D81" s="3015"/>
      <c r="E81" s="2047"/>
      <c r="F81" s="2813" t="s">
        <v>29444</v>
      </c>
      <c r="H81" s="2994"/>
      <c r="I81" s="2997" t="str">
        <f>IF(OR(E81&lt;0,E81&gt;E68),"Il valore deve essere maggiore o uguale a zero e minore o uguale a Lp","")</f>
        <v/>
      </c>
      <c r="K81" s="1660"/>
      <c r="L81" s="1660">
        <f t="shared" si="2"/>
        <v>0</v>
      </c>
    </row>
    <row r="82" spans="1:20" ht="30" customHeight="1" thickBot="1">
      <c r="A82" s="2043" t="s">
        <v>30066</v>
      </c>
      <c r="B82" s="1986" t="s">
        <v>29445</v>
      </c>
      <c r="C82" s="2041" t="s">
        <v>22744</v>
      </c>
      <c r="D82" s="2805"/>
      <c r="E82" s="2042"/>
      <c r="F82" s="1977" t="s">
        <v>29439</v>
      </c>
      <c r="H82" s="2994"/>
      <c r="I82" s="3011" t="str">
        <f>IF(E82&lt;0,"Il valore deve essere maggiore o uguale a zero","")</f>
        <v/>
      </c>
      <c r="K82" s="1660"/>
      <c r="L82" s="1660">
        <f t="shared" si="2"/>
        <v>0</v>
      </c>
      <c r="T82" s="1995"/>
    </row>
    <row r="83" spans="1:20" s="580" customFormat="1" ht="10.5" customHeight="1">
      <c r="A83" s="1997"/>
      <c r="B83" s="1998"/>
      <c r="C83" s="1999"/>
      <c r="D83" s="2000"/>
      <c r="E83" s="2000"/>
      <c r="F83" s="2001"/>
      <c r="G83" s="1698"/>
      <c r="H83" s="2998"/>
      <c r="I83" s="2002"/>
      <c r="J83" s="1698"/>
      <c r="K83" s="1660"/>
      <c r="L83" s="1660">
        <f t="shared" si="2"/>
        <v>0</v>
      </c>
    </row>
    <row r="84" spans="1:20" s="580" customFormat="1" ht="18" thickBot="1">
      <c r="A84" s="1665" t="s">
        <v>29446</v>
      </c>
      <c r="B84" s="1998"/>
      <c r="C84" s="1998"/>
      <c r="D84" s="1998"/>
      <c r="E84" s="1998"/>
      <c r="F84" s="2003"/>
      <c r="G84" s="1709"/>
      <c r="H84" s="3017"/>
      <c r="I84" s="2004"/>
      <c r="J84" s="1709"/>
      <c r="K84" s="1660"/>
      <c r="L84" s="1660">
        <f t="shared" si="2"/>
        <v>0</v>
      </c>
    </row>
    <row r="85" spans="1:20" ht="30" customHeight="1">
      <c r="A85" s="2017" t="s">
        <v>29155</v>
      </c>
      <c r="B85" s="1667" t="s">
        <v>29156</v>
      </c>
      <c r="C85" s="1673" t="s">
        <v>24</v>
      </c>
      <c r="D85" s="3018"/>
      <c r="E85" s="2015">
        <f>'QT-Fognatura'!E24</f>
        <v>0</v>
      </c>
      <c r="F85" s="1668"/>
      <c r="G85" s="1695"/>
      <c r="H85" s="2994"/>
      <c r="I85" s="3001"/>
      <c r="J85" s="1695"/>
      <c r="K85" s="1660"/>
      <c r="L85" s="1660">
        <f t="shared" si="2"/>
        <v>0</v>
      </c>
    </row>
    <row r="86" spans="1:20" ht="25.35" customHeight="1">
      <c r="A86" s="1978" t="s">
        <v>30067</v>
      </c>
      <c r="B86" s="2184" t="s">
        <v>29431</v>
      </c>
      <c r="C86" s="2824" t="s">
        <v>24</v>
      </c>
      <c r="D86" s="2802"/>
      <c r="E86" s="2048"/>
      <c r="F86" s="2813"/>
      <c r="G86" s="1695"/>
      <c r="H86" s="2994"/>
      <c r="I86" s="3736" t="str">
        <f>IF(OR(E86&lt;0,E87&lt;0,E88&lt;0,E89&lt;0,E90&lt;0,E91&lt;0,E86+E87+E88+E89+E90+E91&lt;&gt;E85),"Ogni di cui deve essere maggiore o uguale a zero e la somma deve essere pari a Lf","")</f>
        <v/>
      </c>
      <c r="J86" s="1695"/>
      <c r="K86" s="1660"/>
      <c r="L86" s="1660">
        <f t="shared" si="2"/>
        <v>0</v>
      </c>
    </row>
    <row r="87" spans="1:20" ht="25.35" customHeight="1">
      <c r="A87" s="1978" t="s">
        <v>30068</v>
      </c>
      <c r="B87" s="2184" t="s">
        <v>29432</v>
      </c>
      <c r="C87" s="2824" t="s">
        <v>24</v>
      </c>
      <c r="D87" s="2802"/>
      <c r="E87" s="2048"/>
      <c r="F87" s="2813"/>
      <c r="G87" s="1695"/>
      <c r="H87" s="2994"/>
      <c r="I87" s="3736"/>
      <c r="J87" s="1695"/>
      <c r="K87" s="1660"/>
      <c r="L87" s="1660">
        <f t="shared" si="2"/>
        <v>0</v>
      </c>
    </row>
    <row r="88" spans="1:20" ht="25.35" customHeight="1">
      <c r="A88" s="1978" t="s">
        <v>30069</v>
      </c>
      <c r="B88" s="2184" t="s">
        <v>29433</v>
      </c>
      <c r="C88" s="2824" t="s">
        <v>24</v>
      </c>
      <c r="D88" s="2802"/>
      <c r="E88" s="2048"/>
      <c r="F88" s="2813"/>
      <c r="G88" s="1695"/>
      <c r="H88" s="2994"/>
      <c r="I88" s="3736"/>
      <c r="J88" s="1695"/>
      <c r="K88" s="1660"/>
      <c r="L88" s="1660">
        <f t="shared" si="2"/>
        <v>0</v>
      </c>
    </row>
    <row r="89" spans="1:20" ht="25.35" customHeight="1">
      <c r="A89" s="1978" t="s">
        <v>30070</v>
      </c>
      <c r="B89" s="2184" t="s">
        <v>29434</v>
      </c>
      <c r="C89" s="2824" t="s">
        <v>24</v>
      </c>
      <c r="D89" s="2802"/>
      <c r="E89" s="2048"/>
      <c r="F89" s="2813"/>
      <c r="G89" s="1695"/>
      <c r="H89" s="2994"/>
      <c r="I89" s="3736"/>
      <c r="J89" s="1695"/>
      <c r="K89" s="1660"/>
      <c r="L89" s="1660">
        <f t="shared" si="2"/>
        <v>0</v>
      </c>
    </row>
    <row r="90" spans="1:20" ht="25.35" customHeight="1">
      <c r="A90" s="1978" t="s">
        <v>30071</v>
      </c>
      <c r="B90" s="2184" t="s">
        <v>29435</v>
      </c>
      <c r="C90" s="2824" t="s">
        <v>24</v>
      </c>
      <c r="D90" s="2802"/>
      <c r="E90" s="2048"/>
      <c r="F90" s="2813"/>
      <c r="G90" s="1695"/>
      <c r="H90" s="2994"/>
      <c r="I90" s="3736"/>
      <c r="J90" s="1695"/>
      <c r="K90" s="1660"/>
      <c r="L90" s="1660">
        <f t="shared" si="2"/>
        <v>0</v>
      </c>
    </row>
    <row r="91" spans="1:20" ht="25.35" customHeight="1">
      <c r="A91" s="1978" t="s">
        <v>30072</v>
      </c>
      <c r="B91" s="2184" t="s">
        <v>29436</v>
      </c>
      <c r="C91" s="2824" t="s">
        <v>24</v>
      </c>
      <c r="D91" s="3016"/>
      <c r="E91" s="2049">
        <f>E85-E86-E87-E88-E89-E90</f>
        <v>0</v>
      </c>
      <c r="F91" s="2813" t="s">
        <v>29437</v>
      </c>
      <c r="G91" s="1695"/>
      <c r="H91" s="2994"/>
      <c r="I91" s="3736"/>
      <c r="J91" s="1695"/>
      <c r="K91" s="1660"/>
      <c r="L91" s="1660">
        <f t="shared" si="2"/>
        <v>0</v>
      </c>
    </row>
    <row r="92" spans="1:20" ht="30" customHeight="1">
      <c r="A92" s="2053" t="s">
        <v>29447</v>
      </c>
      <c r="B92" s="2164" t="s">
        <v>29448</v>
      </c>
      <c r="C92" s="2824" t="s">
        <v>22744</v>
      </c>
      <c r="D92" s="2809"/>
      <c r="E92" s="2175"/>
      <c r="F92" s="2813"/>
      <c r="G92"/>
      <c r="H92" s="2994"/>
      <c r="I92" s="2997" t="str">
        <f>IF(E92&lt;0,"Il valore deve essere maggiore di zero","")</f>
        <v/>
      </c>
      <c r="J92" s="1695"/>
      <c r="K92" s="1660"/>
      <c r="L92" s="1660">
        <f t="shared" si="2"/>
        <v>0</v>
      </c>
    </row>
    <row r="93" spans="1:20" ht="42" customHeight="1">
      <c r="A93" s="2053" t="s">
        <v>29449</v>
      </c>
      <c r="B93" s="2164" t="s">
        <v>29443</v>
      </c>
      <c r="C93" s="2824" t="s">
        <v>24</v>
      </c>
      <c r="D93" s="2809"/>
      <c r="E93" s="2175"/>
      <c r="F93" s="2813" t="s">
        <v>29188</v>
      </c>
      <c r="G93"/>
      <c r="H93" s="2994"/>
      <c r="I93" s="2997" t="str">
        <f>IF(OR(E93&lt;0,E93&gt;E85),"Il valore deve essere maggiore o uguale a zero e minore o uguale a Lf","")</f>
        <v/>
      </c>
      <c r="J93" s="1695"/>
      <c r="K93" s="1660"/>
      <c r="L93" s="1660">
        <f t="shared" si="2"/>
        <v>0</v>
      </c>
    </row>
    <row r="94" spans="1:20" ht="30" customHeight="1">
      <c r="A94" s="2053" t="s">
        <v>29450</v>
      </c>
      <c r="B94" s="2164" t="s">
        <v>29451</v>
      </c>
      <c r="C94" s="2824" t="s">
        <v>24</v>
      </c>
      <c r="D94" s="2809"/>
      <c r="E94" s="2175"/>
      <c r="F94" s="2813" t="s">
        <v>29188</v>
      </c>
      <c r="G94"/>
      <c r="H94" s="2994"/>
      <c r="I94" s="2997" t="str">
        <f>IF(OR(E94&lt;0,E94&gt;E85),"Il valore deve essere maggiore o uguale a zero e minore o uguale a Lf","")</f>
        <v/>
      </c>
      <c r="J94" s="1695"/>
      <c r="K94" s="1660"/>
      <c r="L94" s="1660">
        <f t="shared" si="2"/>
        <v>0</v>
      </c>
    </row>
    <row r="95" spans="1:20" ht="32.1" customHeight="1">
      <c r="A95" s="1979" t="s">
        <v>29452</v>
      </c>
      <c r="B95" s="2311" t="s">
        <v>29453</v>
      </c>
      <c r="C95" s="2824" t="s">
        <v>22744</v>
      </c>
      <c r="D95" s="2809"/>
      <c r="E95" s="2175"/>
      <c r="F95" s="2851" t="s">
        <v>28999</v>
      </c>
      <c r="G95" s="1695"/>
      <c r="H95" s="2994"/>
      <c r="I95" s="2997" t="str">
        <f>IF(E95&lt;0,"Il valore deve essere maggiore di zero","")</f>
        <v/>
      </c>
      <c r="J95" s="1695"/>
      <c r="K95" s="1660"/>
      <c r="L95" s="1660">
        <f t="shared" si="2"/>
        <v>0</v>
      </c>
    </row>
    <row r="96" spans="1:20" ht="30">
      <c r="A96" s="1979" t="s">
        <v>29454</v>
      </c>
      <c r="B96" s="2312" t="s">
        <v>29455</v>
      </c>
      <c r="C96" s="2824" t="s">
        <v>22744</v>
      </c>
      <c r="D96" s="2809"/>
      <c r="E96" s="2175"/>
      <c r="F96" s="2813" t="s">
        <v>28994</v>
      </c>
      <c r="G96" s="1695"/>
      <c r="H96" s="3732"/>
      <c r="I96" s="3725" t="str">
        <f>IF(OR(E96&lt;&gt;"",E97&lt;&gt;""),IF(OR(E96&lt;0,E97&lt;0,E97+E96&lt;&gt;E95),"Ogni di cui deve essere maggiore o uguale a zero e la somma deve essere pari a UtT_FOG",""),"")</f>
        <v/>
      </c>
      <c r="J96" s="1695"/>
      <c r="K96" s="1660"/>
      <c r="L96" s="1660">
        <f t="shared" si="2"/>
        <v>0</v>
      </c>
    </row>
    <row r="97" spans="1:12" ht="25.35" customHeight="1">
      <c r="A97" s="1979" t="s">
        <v>29456</v>
      </c>
      <c r="B97" s="2187" t="s">
        <v>29457</v>
      </c>
      <c r="C97" s="2824" t="s">
        <v>22744</v>
      </c>
      <c r="D97" s="2809"/>
      <c r="E97" s="2175"/>
      <c r="F97" s="2813" t="s">
        <v>29458</v>
      </c>
      <c r="G97" s="1695"/>
      <c r="H97" s="3732"/>
      <c r="I97" s="3725"/>
      <c r="J97" s="1695"/>
      <c r="K97" s="1660"/>
      <c r="L97" s="1660">
        <f t="shared" si="2"/>
        <v>0</v>
      </c>
    </row>
    <row r="98" spans="1:12" ht="25.35" customHeight="1">
      <c r="A98" s="1979" t="s">
        <v>29459</v>
      </c>
      <c r="B98" s="2264" t="s">
        <v>29460</v>
      </c>
      <c r="C98" s="2824" t="s">
        <v>22744</v>
      </c>
      <c r="D98" s="2809"/>
      <c r="E98" s="2175"/>
      <c r="F98" s="2813"/>
      <c r="G98" s="1695"/>
      <c r="H98" s="2994"/>
      <c r="I98" s="2997" t="str">
        <f>IF(OR(E98&lt;0,E98&gt;E97),"Il valore deve essere maggiore o uguale a zero e minore o uguale a UtT_FOG,ind","")</f>
        <v/>
      </c>
      <c r="J98" s="1695"/>
      <c r="K98" s="1660"/>
      <c r="L98" s="1660">
        <f t="shared" si="2"/>
        <v>0</v>
      </c>
    </row>
    <row r="99" spans="1:12" ht="25.35" customHeight="1">
      <c r="A99" s="1979" t="s">
        <v>29461</v>
      </c>
      <c r="B99" s="2264" t="s">
        <v>29462</v>
      </c>
      <c r="C99" s="2824" t="s">
        <v>22744</v>
      </c>
      <c r="D99" s="2809"/>
      <c r="E99" s="2175"/>
      <c r="F99" s="2813"/>
      <c r="G99" s="1695"/>
      <c r="H99" s="2994"/>
      <c r="I99" s="2997" t="str">
        <f>IF(OR(E99&lt;0,E99&gt;E97),"Il valore deve essere maggiore o uguale a zero e minore o uguale a UtT_FOG,ind","")</f>
        <v/>
      </c>
      <c r="J99" s="1695"/>
      <c r="K99" s="1660"/>
      <c r="L99" s="1660">
        <f t="shared" si="2"/>
        <v>0</v>
      </c>
    </row>
    <row r="100" spans="1:12" ht="30" customHeight="1">
      <c r="A100" s="1979" t="s">
        <v>29463</v>
      </c>
      <c r="B100" s="2264" t="s">
        <v>29464</v>
      </c>
      <c r="C100" s="2824" t="s">
        <v>22744</v>
      </c>
      <c r="D100" s="2809"/>
      <c r="E100" s="2175"/>
      <c r="F100" s="2813"/>
      <c r="G100" s="1695"/>
      <c r="H100" s="2994"/>
      <c r="I100" s="2997" t="str">
        <f>IF(OR(E100&lt;0,E100&gt;E97),"Il valore deve essere maggiore o uguale a zero e minore o uguale a UtT_FOG,ind","")</f>
        <v/>
      </c>
      <c r="J100" s="1695"/>
      <c r="K100" s="1660"/>
      <c r="L100" s="1660">
        <f t="shared" si="2"/>
        <v>0</v>
      </c>
    </row>
    <row r="101" spans="1:12" ht="32.1" customHeight="1">
      <c r="A101" s="1979" t="s">
        <v>29465</v>
      </c>
      <c r="B101" s="2164" t="s">
        <v>29466</v>
      </c>
      <c r="C101" s="2920" t="s">
        <v>22744</v>
      </c>
      <c r="D101" s="2809"/>
      <c r="E101" s="2175"/>
      <c r="F101" s="2851" t="s">
        <v>28999</v>
      </c>
      <c r="G101" s="1695"/>
      <c r="H101" s="2994"/>
      <c r="I101" s="2997" t="str">
        <f>IF(OR(E101&lt;0,E101&gt;E95),"Il valore deve essere maggiore o uguale a zero e minore o uguale a UtT_FOG","")</f>
        <v/>
      </c>
      <c r="J101" s="1695"/>
      <c r="K101" s="1660"/>
      <c r="L101" s="1660">
        <f t="shared" si="2"/>
        <v>0</v>
      </c>
    </row>
    <row r="102" spans="1:12" ht="43.5" customHeight="1">
      <c r="A102" s="1979" t="s">
        <v>29467</v>
      </c>
      <c r="B102" s="2164" t="s">
        <v>29468</v>
      </c>
      <c r="C102" s="2920" t="s">
        <v>22744</v>
      </c>
      <c r="D102" s="2809"/>
      <c r="E102" s="2175"/>
      <c r="F102" s="2813" t="s">
        <v>28999</v>
      </c>
      <c r="G102" s="1695"/>
      <c r="H102" s="2994"/>
      <c r="I102" s="2997" t="str">
        <f>IF(E102&lt;E101,"Il valore deve essere maggiore di UtT_cond,FOG","")</f>
        <v/>
      </c>
      <c r="J102" s="1695"/>
      <c r="K102" s="1660"/>
      <c r="L102" s="1660">
        <f t="shared" si="2"/>
        <v>0</v>
      </c>
    </row>
    <row r="103" spans="1:12" ht="32.1" customHeight="1">
      <c r="A103" s="2051" t="s">
        <v>29469</v>
      </c>
      <c r="B103" s="2168" t="s">
        <v>29470</v>
      </c>
      <c r="C103" s="2884" t="s">
        <v>22744</v>
      </c>
      <c r="D103" s="2888"/>
      <c r="E103" s="2247">
        <f>IF((E95-E101+E102)&lt;0,"",E95-E101+E102)</f>
        <v>0</v>
      </c>
      <c r="F103" s="2813"/>
      <c r="G103" s="1695"/>
      <c r="H103" s="2998"/>
      <c r="I103" s="3019"/>
      <c r="J103" s="1695"/>
      <c r="K103" s="1660"/>
      <c r="L103" s="1660">
        <f t="shared" si="2"/>
        <v>0</v>
      </c>
    </row>
    <row r="104" spans="1:12" ht="32.1" customHeight="1">
      <c r="A104" s="2054" t="s">
        <v>29262</v>
      </c>
      <c r="B104" s="2245" t="s">
        <v>29263</v>
      </c>
      <c r="C104" s="2843" t="s">
        <v>22744</v>
      </c>
      <c r="D104" s="2802"/>
      <c r="E104" s="2049">
        <f>'QT-Depurazione'!E36</f>
        <v>0</v>
      </c>
      <c r="F104" s="2813"/>
      <c r="G104" s="1655"/>
      <c r="H104" s="2994"/>
      <c r="I104" s="2997" t="str">
        <f>IF(E104&lt;0,"Il valore deve essere maggiore o uguale a zero","")</f>
        <v/>
      </c>
      <c r="J104" s="1695"/>
      <c r="K104" s="1660"/>
      <c r="L104" s="1660">
        <f t="shared" si="2"/>
        <v>0</v>
      </c>
    </row>
    <row r="105" spans="1:12" ht="32.1" customHeight="1">
      <c r="A105" s="2054" t="s">
        <v>31666</v>
      </c>
      <c r="B105" s="2270" t="s">
        <v>30824</v>
      </c>
      <c r="C105" s="2843" t="s">
        <v>22744</v>
      </c>
      <c r="D105" s="2802"/>
      <c r="E105" s="2048"/>
      <c r="F105" s="2813" t="s">
        <v>30825</v>
      </c>
      <c r="G105" s="1695"/>
      <c r="H105" s="3020"/>
      <c r="I105" s="3729" t="str">
        <f>IF(OR(E105&lt;&gt;"",E106&lt;&gt;"",E107&lt;&gt;"",E108&lt;&gt;"",E109&lt;&gt;"",E110&lt;&gt;"",E111&lt;&gt;""),IF(OR(E105&lt;0,E106&lt;0,E107&lt;0,E108&lt;0,E109&lt;0,E110&lt;0,E111&lt;0,E111+E110+E109+E108+E107+E106+E105&lt;&gt;E104),"Ogni di cui deve essere maggiore o uguale a zero e la somma deve essere pari a Agg_tot",""),"")</f>
        <v/>
      </c>
      <c r="J105" s="1695"/>
      <c r="K105" s="1660"/>
      <c r="L105" s="1660">
        <f t="shared" si="2"/>
        <v>0</v>
      </c>
    </row>
    <row r="106" spans="1:12" ht="32.1" customHeight="1">
      <c r="A106" s="2054" t="s">
        <v>31667</v>
      </c>
      <c r="B106" s="2270" t="s">
        <v>30826</v>
      </c>
      <c r="C106" s="2843" t="s">
        <v>22744</v>
      </c>
      <c r="D106" s="2802"/>
      <c r="E106" s="2048"/>
      <c r="F106" s="2813" t="s">
        <v>30825</v>
      </c>
      <c r="G106" s="1695"/>
      <c r="H106" s="3021"/>
      <c r="I106" s="3730"/>
      <c r="J106" s="1695"/>
      <c r="K106" s="1660"/>
      <c r="L106" s="1660">
        <f t="shared" si="2"/>
        <v>0</v>
      </c>
    </row>
    <row r="107" spans="1:12" ht="32.1" customHeight="1">
      <c r="A107" s="2054" t="s">
        <v>31668</v>
      </c>
      <c r="B107" s="2270" t="s">
        <v>30827</v>
      </c>
      <c r="C107" s="2843" t="s">
        <v>22744</v>
      </c>
      <c r="D107" s="2802"/>
      <c r="E107" s="2048"/>
      <c r="F107" s="2813" t="s">
        <v>30825</v>
      </c>
      <c r="G107" s="1695"/>
      <c r="H107" s="3021"/>
      <c r="I107" s="3730"/>
      <c r="J107" s="1695"/>
      <c r="K107" s="1660"/>
      <c r="L107" s="1660">
        <f t="shared" si="2"/>
        <v>0</v>
      </c>
    </row>
    <row r="108" spans="1:12" ht="32.1" customHeight="1">
      <c r="A108" s="2055" t="s">
        <v>31669</v>
      </c>
      <c r="B108" s="2313" t="s">
        <v>31670</v>
      </c>
      <c r="C108" s="2843" t="s">
        <v>22744</v>
      </c>
      <c r="D108" s="2802"/>
      <c r="E108" s="2048"/>
      <c r="F108" s="2813" t="s">
        <v>30825</v>
      </c>
      <c r="G108" s="1695"/>
      <c r="H108" s="3021"/>
      <c r="I108" s="3730"/>
      <c r="J108" s="1695"/>
      <c r="K108" s="1660"/>
      <c r="L108" s="1660">
        <f t="shared" si="2"/>
        <v>0</v>
      </c>
    </row>
    <row r="109" spans="1:12" ht="32.1" customHeight="1">
      <c r="A109" s="2055" t="s">
        <v>31671</v>
      </c>
      <c r="B109" s="2313" t="s">
        <v>31672</v>
      </c>
      <c r="C109" s="2843" t="s">
        <v>22744</v>
      </c>
      <c r="D109" s="2802"/>
      <c r="E109" s="2048"/>
      <c r="F109" s="2813" t="s">
        <v>30825</v>
      </c>
      <c r="G109" s="1695"/>
      <c r="H109" s="3021"/>
      <c r="I109" s="3730"/>
      <c r="J109" s="1695"/>
      <c r="K109" s="1660"/>
      <c r="L109" s="1660">
        <f t="shared" si="2"/>
        <v>0</v>
      </c>
    </row>
    <row r="110" spans="1:12" ht="32.1" customHeight="1">
      <c r="A110" s="2055" t="s">
        <v>30828</v>
      </c>
      <c r="B110" s="2313" t="s">
        <v>31673</v>
      </c>
      <c r="C110" s="2843" t="s">
        <v>22744</v>
      </c>
      <c r="D110" s="2802"/>
      <c r="E110" s="2048"/>
      <c r="F110" s="2813" t="s">
        <v>30825</v>
      </c>
      <c r="G110" s="1695"/>
      <c r="H110" s="3021"/>
      <c r="I110" s="3730"/>
      <c r="J110" s="1695"/>
      <c r="K110" s="1660"/>
      <c r="L110" s="1660">
        <f t="shared" si="2"/>
        <v>0</v>
      </c>
    </row>
    <row r="111" spans="1:12" ht="32.1" customHeight="1">
      <c r="A111" s="2054" t="s">
        <v>31674</v>
      </c>
      <c r="B111" s="2270" t="s">
        <v>31675</v>
      </c>
      <c r="C111" s="2843" t="s">
        <v>22744</v>
      </c>
      <c r="D111" s="2802"/>
      <c r="E111" s="2048"/>
      <c r="F111" s="2813" t="s">
        <v>30825</v>
      </c>
      <c r="G111" s="1695"/>
      <c r="H111" s="2994"/>
      <c r="I111" s="3731"/>
      <c r="J111" s="1695"/>
      <c r="K111" s="1660"/>
      <c r="L111" s="1660">
        <f t="shared" si="2"/>
        <v>0</v>
      </c>
    </row>
    <row r="112" spans="1:12" ht="32.1" customHeight="1">
      <c r="A112" s="2053" t="s">
        <v>29471</v>
      </c>
      <c r="B112" s="2311" t="s">
        <v>29472</v>
      </c>
      <c r="C112" s="3022" t="s">
        <v>28</v>
      </c>
      <c r="D112" s="2809"/>
      <c r="E112" s="2175"/>
      <c r="F112" s="2851" t="s">
        <v>29473</v>
      </c>
      <c r="G112" s="1695"/>
      <c r="H112" s="2994"/>
      <c r="I112" s="2997" t="str">
        <f>IF(E112&lt;0,"Il valore deve essere maggiore di zero","")</f>
        <v/>
      </c>
      <c r="J112" s="1695"/>
      <c r="K112" s="1660"/>
      <c r="L112" s="1660">
        <f t="shared" si="2"/>
        <v>0</v>
      </c>
    </row>
    <row r="113" spans="1:14" ht="30">
      <c r="A113" s="2053" t="s">
        <v>29474</v>
      </c>
      <c r="B113" s="2252" t="s">
        <v>29475</v>
      </c>
      <c r="C113" s="3022" t="s">
        <v>28</v>
      </c>
      <c r="D113" s="2809"/>
      <c r="E113" s="2175"/>
      <c r="F113" s="3023"/>
      <c r="G113" s="1695"/>
      <c r="H113" s="3005"/>
      <c r="I113" s="3725" t="str">
        <f>IF(OR(E113&lt;&gt;"",E114&lt;&gt;""),IF(OR(E113&lt;0,E114&lt;0,E114+E113&lt;&gt;E112),"Ogni di cui deve essere maggiore o uguale a zero e la somma deve essere pari a Car_gen",""),"")</f>
        <v/>
      </c>
      <c r="J113" s="1695"/>
      <c r="K113" s="1660"/>
      <c r="L113" s="1660">
        <f t="shared" si="2"/>
        <v>0</v>
      </c>
    </row>
    <row r="114" spans="1:14" ht="25.35" customHeight="1">
      <c r="A114" s="2053" t="s">
        <v>29476</v>
      </c>
      <c r="B114" s="2252" t="s">
        <v>29271</v>
      </c>
      <c r="C114" s="3022" t="s">
        <v>28</v>
      </c>
      <c r="D114" s="2809"/>
      <c r="E114" s="2175"/>
      <c r="F114" s="3023"/>
      <c r="G114" s="1695"/>
      <c r="H114" s="3005"/>
      <c r="I114" s="3725"/>
      <c r="J114" s="1695"/>
      <c r="K114" s="1660"/>
      <c r="L114" s="1660">
        <f t="shared" si="2"/>
        <v>0</v>
      </c>
    </row>
    <row r="115" spans="1:14" ht="45" customHeight="1">
      <c r="A115" s="2053" t="s">
        <v>29477</v>
      </c>
      <c r="B115" s="2311" t="s">
        <v>29478</v>
      </c>
      <c r="C115" s="3022" t="s">
        <v>28</v>
      </c>
      <c r="D115" s="2809"/>
      <c r="E115" s="2175"/>
      <c r="F115" s="2851" t="s">
        <v>29479</v>
      </c>
      <c r="G115" s="1695"/>
      <c r="H115" s="2994"/>
      <c r="I115" s="2997" t="str">
        <f>IF(OR(E115&lt;0,E115&gt;E112),"Il valore deve essere maggiore di zero e minore o uguale a Car_gen","")</f>
        <v/>
      </c>
      <c r="J115" s="1695"/>
      <c r="K115" s="1660"/>
      <c r="L115" s="1660">
        <f t="shared" si="2"/>
        <v>0</v>
      </c>
    </row>
    <row r="116" spans="1:14" ht="30">
      <c r="A116" s="2053" t="s">
        <v>29480</v>
      </c>
      <c r="B116" s="2252" t="s">
        <v>29475</v>
      </c>
      <c r="C116" s="3022" t="s">
        <v>28</v>
      </c>
      <c r="D116" s="2809"/>
      <c r="E116" s="2175"/>
      <c r="F116" s="3023"/>
      <c r="G116" s="1695"/>
      <c r="H116" s="3732"/>
      <c r="I116" s="3725" t="str">
        <f>IF(OR(E116&lt;&gt;"",E117&lt;&gt;""),IF(OR(E116&lt;0,E117&lt;0,E117+E116&lt;&gt;E115),"Ogni di cui deve essere maggiore o uguale a zero e la somma deve essere pari a Car_col",""),"")</f>
        <v/>
      </c>
      <c r="J116" s="1695"/>
      <c r="K116" s="1660"/>
      <c r="L116" s="1660">
        <f t="shared" si="2"/>
        <v>0</v>
      </c>
    </row>
    <row r="117" spans="1:14" ht="25.35" customHeight="1" thickBot="1">
      <c r="A117" s="2056" t="s">
        <v>29481</v>
      </c>
      <c r="B117" s="2057" t="s">
        <v>29271</v>
      </c>
      <c r="C117" s="2058" t="s">
        <v>28</v>
      </c>
      <c r="D117" s="2885"/>
      <c r="E117" s="2242"/>
      <c r="F117" s="2059"/>
      <c r="G117" s="1695"/>
      <c r="H117" s="3732"/>
      <c r="I117" s="3733"/>
      <c r="J117" s="1695"/>
      <c r="K117" s="1660"/>
      <c r="L117" s="1660">
        <f t="shared" si="2"/>
        <v>0</v>
      </c>
    </row>
    <row r="118" spans="1:14" s="580" customFormat="1" ht="10.5" customHeight="1">
      <c r="A118" s="1997"/>
      <c r="B118" s="1998"/>
      <c r="C118" s="1999"/>
      <c r="D118" s="2000"/>
      <c r="E118" s="2000"/>
      <c r="F118" s="2001"/>
      <c r="G118" s="1698"/>
      <c r="H118" s="3024"/>
      <c r="I118" s="2000"/>
      <c r="J118" s="1698"/>
      <c r="K118" s="1660"/>
      <c r="L118" s="1660">
        <f t="shared" si="2"/>
        <v>0</v>
      </c>
    </row>
    <row r="119" spans="1:14" s="580" customFormat="1" ht="18" thickBot="1">
      <c r="A119" s="1665" t="s">
        <v>29482</v>
      </c>
      <c r="B119" s="1998"/>
      <c r="C119" s="1998"/>
      <c r="D119" s="1998"/>
      <c r="E119" s="1998"/>
      <c r="F119" s="2003"/>
      <c r="G119" s="1709"/>
      <c r="H119" s="3025"/>
      <c r="I119" s="1998"/>
      <c r="J119" s="1709"/>
      <c r="K119" s="1660"/>
      <c r="L119" s="1660">
        <f t="shared" si="2"/>
        <v>0</v>
      </c>
    </row>
    <row r="120" spans="1:14" s="580" customFormat="1" ht="30" customHeight="1">
      <c r="A120" s="1710" t="s">
        <v>29307</v>
      </c>
      <c r="B120" s="1686" t="s">
        <v>29483</v>
      </c>
      <c r="C120" s="1972" t="s">
        <v>22744</v>
      </c>
      <c r="D120" s="3026"/>
      <c r="E120" s="1708">
        <f>'QT-Depurazione'!E92</f>
        <v>0</v>
      </c>
      <c r="F120" s="2014"/>
      <c r="G120" s="1655"/>
      <c r="H120" s="3020"/>
      <c r="I120" s="3027"/>
      <c r="J120" s="1655"/>
      <c r="K120" s="1660"/>
      <c r="L120" s="1660">
        <f t="shared" si="2"/>
        <v>0</v>
      </c>
    </row>
    <row r="121" spans="1:14" ht="25.35" customHeight="1">
      <c r="A121" s="2060" t="s">
        <v>29484</v>
      </c>
      <c r="B121" s="2252" t="s">
        <v>29485</v>
      </c>
      <c r="C121" s="2884" t="s">
        <v>22744</v>
      </c>
      <c r="D121" s="2802"/>
      <c r="E121" s="2049">
        <f>J161</f>
        <v>0</v>
      </c>
      <c r="F121" s="2813" t="s">
        <v>30829</v>
      </c>
      <c r="G121" s="1655"/>
      <c r="H121" s="3005"/>
      <c r="I121" s="3725" t="str">
        <f>IF(OR(E121&lt;&gt;"",E122&lt;&gt;"",E123&lt;&gt;"",E124&lt;&gt;"",E125&lt;&gt;""),IF(OR(E121&lt;0,E122&lt;0,E123&lt;0,E124&lt;0,E125&lt;0,E121+E122+E123+E124+E125&lt;&gt;E120),"Ogni di cui deve essere maggiore o uguale a zero e la somma deve essere pari a Ndep",""),"")</f>
        <v/>
      </c>
      <c r="J121" s="1655"/>
      <c r="K121" s="1660"/>
      <c r="L121" s="1660">
        <f t="shared" si="2"/>
        <v>0</v>
      </c>
    </row>
    <row r="122" spans="1:14" ht="25.35" customHeight="1">
      <c r="A122" s="2060" t="s">
        <v>29486</v>
      </c>
      <c r="B122" s="2252" t="s">
        <v>29487</v>
      </c>
      <c r="C122" s="2884" t="s">
        <v>22744</v>
      </c>
      <c r="D122" s="2802"/>
      <c r="E122" s="2049">
        <f>J162</f>
        <v>0</v>
      </c>
      <c r="F122" s="2813" t="s">
        <v>30829</v>
      </c>
      <c r="G122" s="1655"/>
      <c r="H122" s="3005"/>
      <c r="I122" s="3725"/>
      <c r="J122" s="1655"/>
      <c r="K122" s="1660"/>
      <c r="L122" s="1660">
        <f t="shared" si="2"/>
        <v>0</v>
      </c>
    </row>
    <row r="123" spans="1:14" ht="25.35" customHeight="1">
      <c r="A123" s="2060" t="s">
        <v>29488</v>
      </c>
      <c r="B123" s="2252" t="s">
        <v>29489</v>
      </c>
      <c r="C123" s="2884" t="s">
        <v>22744</v>
      </c>
      <c r="D123" s="2802"/>
      <c r="E123" s="2049">
        <f>J163</f>
        <v>0</v>
      </c>
      <c r="F123" s="2813" t="s">
        <v>30829</v>
      </c>
      <c r="G123" s="1655"/>
      <c r="H123" s="3005"/>
      <c r="I123" s="3725"/>
      <c r="J123" s="1655"/>
      <c r="K123" s="1660"/>
      <c r="L123" s="1660">
        <f t="shared" si="2"/>
        <v>0</v>
      </c>
    </row>
    <row r="124" spans="1:14" ht="25.35" customHeight="1">
      <c r="A124" s="2060" t="s">
        <v>29490</v>
      </c>
      <c r="B124" s="2252" t="s">
        <v>29491</v>
      </c>
      <c r="C124" s="2884" t="s">
        <v>22744</v>
      </c>
      <c r="D124" s="2802"/>
      <c r="E124" s="2049">
        <f>J164</f>
        <v>0</v>
      </c>
      <c r="F124" s="2813" t="s">
        <v>30829</v>
      </c>
      <c r="G124" s="1655"/>
      <c r="H124" s="3005"/>
      <c r="I124" s="3725"/>
      <c r="J124" s="1655"/>
      <c r="K124" s="1660"/>
      <c r="L124" s="1660">
        <f t="shared" si="2"/>
        <v>0</v>
      </c>
    </row>
    <row r="125" spans="1:14" ht="25.35" customHeight="1">
      <c r="A125" s="2060" t="s">
        <v>29492</v>
      </c>
      <c r="B125" s="2252" t="s">
        <v>30830</v>
      </c>
      <c r="C125" s="2884" t="s">
        <v>22744</v>
      </c>
      <c r="D125" s="2802"/>
      <c r="E125" s="2049">
        <f>J165</f>
        <v>0</v>
      </c>
      <c r="F125" s="2813" t="s">
        <v>30829</v>
      </c>
      <c r="G125" s="1655"/>
      <c r="H125" s="3005"/>
      <c r="I125" s="3725"/>
      <c r="J125" s="1655"/>
      <c r="K125" s="1660"/>
      <c r="L125" s="1660">
        <f t="shared" si="2"/>
        <v>0</v>
      </c>
    </row>
    <row r="126" spans="1:14" s="580" customFormat="1" ht="30" customHeight="1">
      <c r="A126" s="2060" t="s">
        <v>29307</v>
      </c>
      <c r="B126" s="2168" t="s">
        <v>29308</v>
      </c>
      <c r="C126" s="2884" t="s">
        <v>22744</v>
      </c>
      <c r="D126" s="3016"/>
      <c r="E126" s="2049">
        <f>E120</f>
        <v>0</v>
      </c>
      <c r="F126" s="2826"/>
      <c r="G126" s="1655"/>
      <c r="H126" s="3020"/>
      <c r="I126" s="3028"/>
      <c r="J126" s="1655"/>
      <c r="K126" s="1660"/>
      <c r="L126" s="1660">
        <f>IF(I126="",0,1)</f>
        <v>0</v>
      </c>
    </row>
    <row r="127" spans="1:14" ht="28.5" customHeight="1">
      <c r="A127" s="2062" t="s">
        <v>31676</v>
      </c>
      <c r="B127" s="2198" t="s">
        <v>30831</v>
      </c>
      <c r="C127" s="2884" t="s">
        <v>22744</v>
      </c>
      <c r="D127" s="2802"/>
      <c r="E127" s="2049">
        <f>C166</f>
        <v>0</v>
      </c>
      <c r="F127" s="2813" t="s">
        <v>30829</v>
      </c>
      <c r="G127" s="1655"/>
      <c r="H127" s="3020"/>
      <c r="I127" s="3729" t="str">
        <f>IF(OR(E127&lt;&gt;"",E128&lt;&gt;"",E129&lt;&gt;"",E130&lt;&gt;"",E131&lt;&gt;"",E132&lt;&gt;"",E133&lt;&gt;""),IF(OR(E127&lt;0,E128&lt;0,E129&lt;0,E130&lt;0,E131&lt;0,E132&lt;0,E133&lt;0,E133+E132+E131+E130+E129+E128+E127&lt;&gt;E126),"Ogni di cui deve essere maggiore o uguale a zero e la somma deve essere pari a Ndep",""),"")</f>
        <v/>
      </c>
      <c r="K127" s="1660"/>
      <c r="L127" s="1660">
        <f>IF(I127="",0,1)</f>
        <v>0</v>
      </c>
      <c r="N127" s="1506"/>
    </row>
    <row r="128" spans="1:14" ht="31.5" customHeight="1">
      <c r="A128" s="2062" t="s">
        <v>31677</v>
      </c>
      <c r="B128" s="2198" t="s">
        <v>30832</v>
      </c>
      <c r="C128" s="2884" t="s">
        <v>22744</v>
      </c>
      <c r="D128" s="2802"/>
      <c r="E128" s="2049">
        <f>D166</f>
        <v>0</v>
      </c>
      <c r="F128" s="2813" t="s">
        <v>30829</v>
      </c>
      <c r="G128" s="1655"/>
      <c r="H128" s="3021"/>
      <c r="I128" s="3734"/>
      <c r="J128" s="1655"/>
      <c r="K128" s="1660"/>
      <c r="L128" s="1660">
        <f t="shared" ref="L128:L157" si="3">IF(I128="",0,1)</f>
        <v>0</v>
      </c>
      <c r="N128" s="1506"/>
    </row>
    <row r="129" spans="1:12" ht="31.5" customHeight="1">
      <c r="A129" s="2062" t="s">
        <v>30833</v>
      </c>
      <c r="B129" s="2198" t="s">
        <v>30834</v>
      </c>
      <c r="C129" s="2884" t="s">
        <v>22744</v>
      </c>
      <c r="D129" s="2802"/>
      <c r="E129" s="2049">
        <f>E166</f>
        <v>0</v>
      </c>
      <c r="F129" s="2813" t="s">
        <v>30829</v>
      </c>
      <c r="G129" s="1655"/>
      <c r="H129" s="3021"/>
      <c r="I129" s="3734"/>
      <c r="J129" s="1655"/>
      <c r="K129" s="1660"/>
      <c r="L129" s="1660">
        <f t="shared" si="3"/>
        <v>0</v>
      </c>
    </row>
    <row r="130" spans="1:12" ht="25.35" customHeight="1">
      <c r="A130" s="2061" t="s">
        <v>31678</v>
      </c>
      <c r="B130" s="2314" t="s">
        <v>31679</v>
      </c>
      <c r="C130" s="2884" t="s">
        <v>22744</v>
      </c>
      <c r="D130" s="2802"/>
      <c r="E130" s="2049">
        <f>F166</f>
        <v>0</v>
      </c>
      <c r="F130" s="2813" t="s">
        <v>30829</v>
      </c>
      <c r="G130" s="1655"/>
      <c r="H130" s="3021"/>
      <c r="I130" s="3734"/>
      <c r="J130" s="1655"/>
      <c r="K130" s="1660"/>
      <c r="L130" s="1660">
        <f t="shared" si="3"/>
        <v>0</v>
      </c>
    </row>
    <row r="131" spans="1:12" ht="25.35" customHeight="1">
      <c r="A131" s="2061" t="s">
        <v>31680</v>
      </c>
      <c r="B131" s="2314" t="s">
        <v>31681</v>
      </c>
      <c r="C131" s="2884" t="s">
        <v>22744</v>
      </c>
      <c r="D131" s="2802"/>
      <c r="E131" s="2049">
        <f>G166</f>
        <v>0</v>
      </c>
      <c r="F131" s="2813" t="s">
        <v>30829</v>
      </c>
      <c r="G131" s="1655"/>
      <c r="H131" s="3021"/>
      <c r="I131" s="3734"/>
      <c r="J131" s="1655"/>
      <c r="K131" s="1660"/>
      <c r="L131" s="1660">
        <f t="shared" si="3"/>
        <v>0</v>
      </c>
    </row>
    <row r="132" spans="1:12" ht="25.5">
      <c r="A132" s="2061" t="s">
        <v>31682</v>
      </c>
      <c r="B132" s="2314" t="s">
        <v>31683</v>
      </c>
      <c r="C132" s="2884" t="s">
        <v>22744</v>
      </c>
      <c r="D132" s="2802"/>
      <c r="E132" s="2049">
        <f>H166</f>
        <v>0</v>
      </c>
      <c r="F132" s="2813" t="s">
        <v>30829</v>
      </c>
      <c r="G132" s="1655"/>
      <c r="H132" s="3021"/>
      <c r="I132" s="3734"/>
      <c r="J132" s="1655"/>
      <c r="K132" s="1660"/>
      <c r="L132" s="1660">
        <f t="shared" si="3"/>
        <v>0</v>
      </c>
    </row>
    <row r="133" spans="1:12" ht="25.35" customHeight="1">
      <c r="A133" s="2062" t="s">
        <v>31684</v>
      </c>
      <c r="B133" s="2198" t="s">
        <v>31685</v>
      </c>
      <c r="C133" s="2884" t="s">
        <v>22744</v>
      </c>
      <c r="D133" s="2802"/>
      <c r="E133" s="2049">
        <f>I166</f>
        <v>0</v>
      </c>
      <c r="F133" s="2813" t="s">
        <v>30829</v>
      </c>
      <c r="G133" s="1655"/>
      <c r="H133" s="2994"/>
      <c r="I133" s="3735"/>
      <c r="J133" s="1655"/>
      <c r="K133" s="1660"/>
      <c r="L133" s="1660">
        <f t="shared" si="3"/>
        <v>0</v>
      </c>
    </row>
    <row r="134" spans="1:12" ht="42" customHeight="1">
      <c r="A134" s="2053" t="s">
        <v>29493</v>
      </c>
      <c r="B134" s="2168" t="s">
        <v>29494</v>
      </c>
      <c r="C134" s="2884" t="s">
        <v>28</v>
      </c>
      <c r="D134" s="2802"/>
      <c r="E134" s="2048"/>
      <c r="F134" s="2836" t="s">
        <v>31686</v>
      </c>
      <c r="G134" s="1655"/>
      <c r="H134" s="2994"/>
      <c r="I134" s="2997" t="str">
        <f>IF(E134&lt;0,"Il valore deve essere maggiore o uguale a zero","")</f>
        <v/>
      </c>
      <c r="J134" s="1655"/>
      <c r="K134" s="1660"/>
      <c r="L134" s="1660">
        <f t="shared" si="3"/>
        <v>0</v>
      </c>
    </row>
    <row r="135" spans="1:12" s="580" customFormat="1" ht="45">
      <c r="A135" s="2060" t="s">
        <v>29213</v>
      </c>
      <c r="B135" s="2168" t="s">
        <v>29214</v>
      </c>
      <c r="C135" s="2884" t="s">
        <v>28</v>
      </c>
      <c r="D135" s="3016"/>
      <c r="E135" s="2049">
        <f>'QT-Depurazione'!E8</f>
        <v>0</v>
      </c>
      <c r="F135" s="2826"/>
      <c r="G135" s="1655"/>
      <c r="H135" s="3005"/>
      <c r="I135" s="3007"/>
      <c r="J135" s="1655"/>
      <c r="K135" s="1660"/>
      <c r="L135" s="1660">
        <f t="shared" si="3"/>
        <v>0</v>
      </c>
    </row>
    <row r="136" spans="1:12" ht="39" customHeight="1">
      <c r="A136" s="2060" t="s">
        <v>29495</v>
      </c>
      <c r="B136" s="2252" t="s">
        <v>29496</v>
      </c>
      <c r="C136" s="2884" t="s">
        <v>28</v>
      </c>
      <c r="D136" s="2802"/>
      <c r="E136" s="2049">
        <f>J171</f>
        <v>0</v>
      </c>
      <c r="F136" s="2813" t="s">
        <v>30835</v>
      </c>
      <c r="G136" s="1655"/>
      <c r="H136" s="3005"/>
      <c r="I136" s="3725" t="str">
        <f>IF(OR(E136&lt;&gt;"",E137&lt;&gt;"",E138&lt;&gt;"",E139&lt;&gt;"",E140&lt;&gt;""),IF(OR(E136&lt;0,E137&lt;0,E138&lt;0,E139&lt;0,E140&lt;0,E136+E137+E138+E139+E140&lt;&gt;E135),"Ogni di cui deve essere maggiore o uguale a zero e la somma deve essere pari a Car_dep",""),"")</f>
        <v/>
      </c>
      <c r="J136" s="1655"/>
      <c r="K136" s="1660"/>
      <c r="L136" s="1660">
        <f t="shared" si="3"/>
        <v>0</v>
      </c>
    </row>
    <row r="137" spans="1:12" ht="39" customHeight="1">
      <c r="A137" s="2060" t="s">
        <v>29497</v>
      </c>
      <c r="B137" s="2252" t="s">
        <v>29498</v>
      </c>
      <c r="C137" s="2884" t="s">
        <v>28</v>
      </c>
      <c r="D137" s="2802"/>
      <c r="E137" s="2049">
        <f>J172</f>
        <v>0</v>
      </c>
      <c r="F137" s="2813" t="s">
        <v>30835</v>
      </c>
      <c r="G137" s="1655"/>
      <c r="H137" s="3005"/>
      <c r="I137" s="3725"/>
      <c r="J137" s="1655"/>
      <c r="K137" s="1660"/>
      <c r="L137" s="1660">
        <f t="shared" si="3"/>
        <v>0</v>
      </c>
    </row>
    <row r="138" spans="1:12" ht="36.75" customHeight="1">
      <c r="A138" s="2060" t="s">
        <v>29499</v>
      </c>
      <c r="B138" s="2252" t="s">
        <v>29500</v>
      </c>
      <c r="C138" s="2884" t="s">
        <v>28</v>
      </c>
      <c r="D138" s="2802"/>
      <c r="E138" s="2049">
        <f>J173</f>
        <v>0</v>
      </c>
      <c r="F138" s="2813" t="s">
        <v>30835</v>
      </c>
      <c r="G138" s="1655"/>
      <c r="H138" s="3005"/>
      <c r="I138" s="3725"/>
      <c r="J138" s="1655"/>
      <c r="K138" s="1660"/>
      <c r="L138" s="1660">
        <f t="shared" si="3"/>
        <v>0</v>
      </c>
    </row>
    <row r="139" spans="1:12" ht="36.75" customHeight="1">
      <c r="A139" s="2060" t="s">
        <v>29501</v>
      </c>
      <c r="B139" s="2252" t="s">
        <v>29502</v>
      </c>
      <c r="C139" s="2884" t="s">
        <v>28</v>
      </c>
      <c r="D139" s="2802"/>
      <c r="E139" s="2049">
        <f>J174</f>
        <v>0</v>
      </c>
      <c r="F139" s="2813" t="s">
        <v>30835</v>
      </c>
      <c r="G139" s="1655"/>
      <c r="H139" s="3005"/>
      <c r="I139" s="3725"/>
      <c r="J139" s="1655"/>
      <c r="K139" s="1660"/>
      <c r="L139" s="1660">
        <f t="shared" si="3"/>
        <v>0</v>
      </c>
    </row>
    <row r="140" spans="1:12" ht="42.75" customHeight="1">
      <c r="A140" s="2062" t="s">
        <v>31687</v>
      </c>
      <c r="B140" s="2252" t="s">
        <v>30836</v>
      </c>
      <c r="C140" s="2884" t="s">
        <v>28</v>
      </c>
      <c r="D140" s="2802"/>
      <c r="E140" s="2049">
        <f>J175</f>
        <v>0</v>
      </c>
      <c r="F140" s="2813" t="s">
        <v>30835</v>
      </c>
      <c r="G140" s="1655"/>
      <c r="H140" s="3005"/>
      <c r="I140" s="3725"/>
      <c r="J140" s="1655"/>
      <c r="K140" s="1660"/>
      <c r="L140" s="1660">
        <f t="shared" si="3"/>
        <v>0</v>
      </c>
    </row>
    <row r="141" spans="1:12" s="580" customFormat="1" ht="45">
      <c r="A141" s="2062" t="s">
        <v>31688</v>
      </c>
      <c r="B141" s="2271" t="s">
        <v>29214</v>
      </c>
      <c r="C141" s="2884" t="s">
        <v>28</v>
      </c>
      <c r="D141" s="3016"/>
      <c r="E141" s="2049">
        <f>E135</f>
        <v>0</v>
      </c>
      <c r="F141" s="2826"/>
      <c r="G141" s="1655"/>
      <c r="H141" s="3005"/>
      <c r="I141" s="3007"/>
      <c r="J141" s="1655"/>
      <c r="K141" s="1660"/>
      <c r="L141" s="1660">
        <f t="shared" si="3"/>
        <v>0</v>
      </c>
    </row>
    <row r="142" spans="1:12" ht="35.25" customHeight="1">
      <c r="A142" s="2062" t="s">
        <v>31689</v>
      </c>
      <c r="B142" s="2198" t="s">
        <v>30831</v>
      </c>
      <c r="C142" s="2884" t="s">
        <v>28</v>
      </c>
      <c r="D142" s="2802"/>
      <c r="E142" s="2049">
        <f>C176</f>
        <v>0</v>
      </c>
      <c r="F142" s="2813" t="s">
        <v>30835</v>
      </c>
      <c r="G142" s="1655"/>
      <c r="H142" s="3005"/>
      <c r="I142" s="3726" t="str">
        <f>IF(OR(E142&lt;&gt;"",E143&lt;&gt;"",E144&lt;&gt;"",E145&lt;&gt;"",E146&lt;&gt;"",E147&lt;&gt;"",E148&lt;&gt;""),IF(OR(E142&lt;0,E143&lt;0,E144&lt;0,E145&lt;0,E146&lt;0,E147&lt;0,E148&lt;0,E142+E143+E144+E145+E146+E147+E148&lt;&gt;E141),"Ogni di cui deve essere maggiore o uguale a zero e la somma deve essere pari a Cardep",""),"")</f>
        <v/>
      </c>
      <c r="J142" s="1655"/>
      <c r="K142" s="1660"/>
      <c r="L142" s="1660">
        <f t="shared" si="3"/>
        <v>0</v>
      </c>
    </row>
    <row r="143" spans="1:12" ht="37.5" customHeight="1">
      <c r="A143" s="2062" t="s">
        <v>31690</v>
      </c>
      <c r="B143" s="2198" t="s">
        <v>30832</v>
      </c>
      <c r="C143" s="2884" t="s">
        <v>28</v>
      </c>
      <c r="D143" s="2802"/>
      <c r="E143" s="2049">
        <f>D176</f>
        <v>0</v>
      </c>
      <c r="F143" s="2813" t="s">
        <v>30835</v>
      </c>
      <c r="G143" s="1655"/>
      <c r="H143" s="1619"/>
      <c r="I143" s="3727"/>
      <c r="J143" s="1655"/>
      <c r="K143" s="1660"/>
      <c r="L143" s="1660">
        <f t="shared" si="3"/>
        <v>0</v>
      </c>
    </row>
    <row r="144" spans="1:12" ht="36.75" customHeight="1">
      <c r="A144" s="2062" t="s">
        <v>31691</v>
      </c>
      <c r="B144" s="2198" t="s">
        <v>30834</v>
      </c>
      <c r="C144" s="2884" t="s">
        <v>28</v>
      </c>
      <c r="D144" s="2802"/>
      <c r="E144" s="2049">
        <f>E176</f>
        <v>0</v>
      </c>
      <c r="F144" s="2813" t="s">
        <v>30835</v>
      </c>
      <c r="G144" s="1655"/>
      <c r="H144" s="1619"/>
      <c r="I144" s="3727"/>
      <c r="J144" s="1655"/>
      <c r="K144" s="1660"/>
      <c r="L144" s="1660">
        <f t="shared" si="3"/>
        <v>0</v>
      </c>
    </row>
    <row r="145" spans="1:12" ht="40.5" customHeight="1">
      <c r="A145" s="2061" t="s">
        <v>31692</v>
      </c>
      <c r="B145" s="2314" t="s">
        <v>31679</v>
      </c>
      <c r="C145" s="2884" t="s">
        <v>28</v>
      </c>
      <c r="D145" s="2802"/>
      <c r="E145" s="2049">
        <f>F176</f>
        <v>0</v>
      </c>
      <c r="F145" s="2813" t="s">
        <v>30835</v>
      </c>
      <c r="G145" s="1655"/>
      <c r="H145" s="1619"/>
      <c r="I145" s="3727"/>
      <c r="J145" s="1655"/>
      <c r="K145" s="1660"/>
      <c r="L145" s="1660">
        <f t="shared" si="3"/>
        <v>0</v>
      </c>
    </row>
    <row r="146" spans="1:12" ht="40.5" customHeight="1">
      <c r="A146" s="2061" t="s">
        <v>31693</v>
      </c>
      <c r="B146" s="2314" t="s">
        <v>31681</v>
      </c>
      <c r="C146" s="2884" t="s">
        <v>28</v>
      </c>
      <c r="D146" s="2802"/>
      <c r="E146" s="2049">
        <f>G176</f>
        <v>0</v>
      </c>
      <c r="F146" s="2813" t="s">
        <v>30835</v>
      </c>
      <c r="G146" s="1655"/>
      <c r="H146" s="1619"/>
      <c r="I146" s="3727"/>
      <c r="J146" s="1655"/>
      <c r="K146" s="1660"/>
      <c r="L146" s="1660">
        <f t="shared" si="3"/>
        <v>0</v>
      </c>
    </row>
    <row r="147" spans="1:12" ht="35.25" customHeight="1">
      <c r="A147" s="2062" t="s">
        <v>31694</v>
      </c>
      <c r="B147" s="3029" t="s">
        <v>31683</v>
      </c>
      <c r="C147" s="2884" t="s">
        <v>28</v>
      </c>
      <c r="D147" s="2802"/>
      <c r="E147" s="2049">
        <f>H176</f>
        <v>0</v>
      </c>
      <c r="F147" s="2813" t="s">
        <v>30835</v>
      </c>
      <c r="G147" s="1655"/>
      <c r="H147" s="1619"/>
      <c r="I147" s="3727"/>
      <c r="J147" s="1655"/>
      <c r="K147" s="1660"/>
      <c r="L147" s="1660">
        <f t="shared" si="3"/>
        <v>0</v>
      </c>
    </row>
    <row r="148" spans="1:12" ht="39" customHeight="1">
      <c r="A148" s="2062" t="s">
        <v>31695</v>
      </c>
      <c r="B148" s="2198" t="s">
        <v>31685</v>
      </c>
      <c r="C148" s="2884" t="s">
        <v>28</v>
      </c>
      <c r="D148" s="2802"/>
      <c r="E148" s="2049">
        <f>I176</f>
        <v>0</v>
      </c>
      <c r="F148" s="2813" t="s">
        <v>30835</v>
      </c>
      <c r="G148" s="1655"/>
      <c r="H148" s="2994"/>
      <c r="I148" s="3728"/>
      <c r="J148" s="1655"/>
      <c r="K148" s="1660"/>
      <c r="L148" s="1660">
        <f t="shared" si="3"/>
        <v>0</v>
      </c>
    </row>
    <row r="149" spans="1:12" ht="30" customHeight="1">
      <c r="A149" s="2062" t="s">
        <v>30073</v>
      </c>
      <c r="B149" s="2174" t="s">
        <v>29503</v>
      </c>
      <c r="C149" s="2884" t="s">
        <v>28904</v>
      </c>
      <c r="D149" s="2802"/>
      <c r="E149" s="2048"/>
      <c r="F149" s="2813"/>
      <c r="G149" s="1655"/>
      <c r="H149" s="3005"/>
      <c r="I149" s="3006" t="str">
        <f>IF(E149&lt;0,"Il valore deve essere maggiore di zero","")</f>
        <v/>
      </c>
      <c r="J149" s="1655"/>
      <c r="K149" s="1660"/>
      <c r="L149" s="1660">
        <f t="shared" si="3"/>
        <v>0</v>
      </c>
    </row>
    <row r="150" spans="1:12" ht="30" customHeight="1">
      <c r="A150" s="2062" t="s">
        <v>30074</v>
      </c>
      <c r="B150" s="2174" t="s">
        <v>29504</v>
      </c>
      <c r="C150" s="2884" t="s">
        <v>28904</v>
      </c>
      <c r="D150" s="2802"/>
      <c r="E150" s="2048"/>
      <c r="F150" s="2813"/>
      <c r="G150" s="1655"/>
      <c r="H150" s="3005"/>
      <c r="I150" s="3006" t="str">
        <f>IF(E150&lt;0,"Il valore deve essere maggiore o uguale a zero","")</f>
        <v/>
      </c>
      <c r="J150" s="1655"/>
      <c r="K150" s="1660"/>
      <c r="L150" s="1660">
        <f t="shared" si="3"/>
        <v>0</v>
      </c>
    </row>
    <row r="151" spans="1:12" s="580" customFormat="1" ht="30" customHeight="1">
      <c r="A151" s="2062" t="s">
        <v>30963</v>
      </c>
      <c r="B151" s="2259" t="s">
        <v>29505</v>
      </c>
      <c r="C151" s="2884" t="s">
        <v>28904</v>
      </c>
      <c r="D151" s="2802"/>
      <c r="E151" s="2063"/>
      <c r="F151" s="2813" t="s">
        <v>30837</v>
      </c>
      <c r="G151" s="1655"/>
      <c r="H151" s="2994"/>
      <c r="I151" s="3003"/>
      <c r="J151" s="1655"/>
      <c r="K151" s="1660"/>
      <c r="L151" s="1660">
        <f t="shared" si="3"/>
        <v>0</v>
      </c>
    </row>
    <row r="152" spans="1:12" s="580" customFormat="1" ht="25.35" customHeight="1">
      <c r="A152" s="2060" t="s">
        <v>29506</v>
      </c>
      <c r="B152" s="2252" t="s">
        <v>29507</v>
      </c>
      <c r="C152" s="2884" t="s">
        <v>28904</v>
      </c>
      <c r="D152" s="2802"/>
      <c r="E152" s="2063"/>
      <c r="F152" s="2813" t="s">
        <v>30837</v>
      </c>
      <c r="G152" s="1655"/>
      <c r="H152" s="2994"/>
      <c r="I152" s="3003"/>
      <c r="J152" s="1655"/>
      <c r="K152" s="1660"/>
      <c r="L152" s="1660">
        <f t="shared" si="3"/>
        <v>0</v>
      </c>
    </row>
    <row r="153" spans="1:12" s="580" customFormat="1" ht="25.35" customHeight="1">
      <c r="A153" s="2060" t="s">
        <v>29508</v>
      </c>
      <c r="B153" s="2252" t="s">
        <v>29509</v>
      </c>
      <c r="C153" s="2884" t="s">
        <v>28904</v>
      </c>
      <c r="D153" s="2802"/>
      <c r="E153" s="2063"/>
      <c r="F153" s="2813" t="s">
        <v>30837</v>
      </c>
      <c r="G153" s="1655"/>
      <c r="H153" s="2994"/>
      <c r="I153" s="3003"/>
      <c r="J153" s="1655"/>
      <c r="K153" s="1660"/>
      <c r="L153" s="1660">
        <f t="shared" si="3"/>
        <v>0</v>
      </c>
    </row>
    <row r="154" spans="1:12" s="580" customFormat="1" ht="30">
      <c r="A154" s="2062" t="s">
        <v>30075</v>
      </c>
      <c r="B154" s="2192" t="s">
        <v>29510</v>
      </c>
      <c r="C154" s="2884" t="s">
        <v>22744</v>
      </c>
      <c r="D154" s="2802"/>
      <c r="E154" s="2048"/>
      <c r="F154" s="2826"/>
      <c r="G154" s="1655"/>
      <c r="H154" s="2994"/>
      <c r="I154" s="2997" t="str">
        <f>IF(OR(E154&lt;0,E154&gt;E120),"Il valore deve essere maggiore o uguale a zero e minore o uguale a Ndep","")</f>
        <v/>
      </c>
      <c r="J154" s="1655"/>
      <c r="K154" s="1660"/>
      <c r="L154" s="1660">
        <f t="shared" si="3"/>
        <v>0</v>
      </c>
    </row>
    <row r="155" spans="1:12" s="580" customFormat="1" ht="45">
      <c r="A155" s="2062" t="s">
        <v>30076</v>
      </c>
      <c r="B155" s="2192" t="s">
        <v>29511</v>
      </c>
      <c r="C155" s="2884" t="s">
        <v>22744</v>
      </c>
      <c r="D155" s="2802"/>
      <c r="E155" s="2048"/>
      <c r="F155" s="2813" t="s">
        <v>29512</v>
      </c>
      <c r="G155" s="1655"/>
      <c r="H155" s="2994"/>
      <c r="I155" s="2997" t="str">
        <f>IF(OR(E155&lt;0,E155&gt;E120),"Il valore deve essere maggiore o uguale a zero e minore o uguale a Ndep","")</f>
        <v/>
      </c>
      <c r="J155" s="1655"/>
      <c r="K155" s="1660"/>
      <c r="L155" s="1660">
        <f t="shared" si="3"/>
        <v>0</v>
      </c>
    </row>
    <row r="156" spans="1:12" s="580" customFormat="1" ht="30">
      <c r="A156" s="2062" t="s">
        <v>30077</v>
      </c>
      <c r="B156" s="2315" t="s">
        <v>29513</v>
      </c>
      <c r="C156" s="2884" t="s">
        <v>22744</v>
      </c>
      <c r="D156" s="2802"/>
      <c r="E156" s="2048"/>
      <c r="F156" s="2826"/>
      <c r="G156" s="1655"/>
      <c r="H156" s="2994"/>
      <c r="I156" s="2997" t="str">
        <f>IF(OR(E156&lt;0,E156&gt;E155),"Il valore deve essere maggiore o uguale a zero e minore o uguale a Ndepdig_an","")</f>
        <v/>
      </c>
      <c r="J156" s="1655"/>
      <c r="K156" s="1660"/>
      <c r="L156" s="1660">
        <f t="shared" si="3"/>
        <v>0</v>
      </c>
    </row>
    <row r="157" spans="1:12" s="580" customFormat="1" ht="32.85" customHeight="1" thickBot="1">
      <c r="A157" s="2064" t="s">
        <v>30078</v>
      </c>
      <c r="B157" s="2065" t="s">
        <v>29514</v>
      </c>
      <c r="C157" s="2066" t="s">
        <v>22744</v>
      </c>
      <c r="D157" s="3030"/>
      <c r="E157" s="2067"/>
      <c r="F157" s="2068"/>
      <c r="G157" s="1655"/>
      <c r="H157" s="2994"/>
      <c r="I157" s="3011" t="str">
        <f>IF(OR(E157&lt;0,E157&gt;E155),"Il valore deve essere maggiore o uguale a zero e minore o uguale a Ndepdig_an","")</f>
        <v/>
      </c>
      <c r="J157" s="1655"/>
      <c r="K157" s="1660"/>
      <c r="L157" s="1660">
        <f t="shared" si="3"/>
        <v>0</v>
      </c>
    </row>
    <row r="158" spans="1:12">
      <c r="B158" s="1210"/>
    </row>
    <row r="159" spans="1:12" s="580" customFormat="1" ht="18" thickBot="1">
      <c r="B159" s="1665" t="s">
        <v>31696</v>
      </c>
      <c r="C159" s="1998"/>
      <c r="D159" s="1998"/>
      <c r="E159" s="1998"/>
      <c r="F159" s="2003"/>
      <c r="G159" s="1709"/>
      <c r="H159" s="2005"/>
      <c r="I159" s="2005"/>
      <c r="J159" s="1709"/>
      <c r="K159" s="1660"/>
      <c r="L159" s="1660"/>
    </row>
    <row r="160" spans="1:12" ht="30">
      <c r="B160" s="2031" t="s">
        <v>30838</v>
      </c>
      <c r="C160" s="2024" t="s">
        <v>30839</v>
      </c>
      <c r="D160" s="2024" t="s">
        <v>30840</v>
      </c>
      <c r="E160" s="2024" t="s">
        <v>30841</v>
      </c>
      <c r="F160" s="3031" t="s">
        <v>31697</v>
      </c>
      <c r="G160" s="3031" t="s">
        <v>31698</v>
      </c>
      <c r="H160" s="2024" t="s">
        <v>30842</v>
      </c>
      <c r="I160" s="2024" t="s">
        <v>30843</v>
      </c>
      <c r="J160" s="2025" t="s">
        <v>30844</v>
      </c>
    </row>
    <row r="161" spans="2:12" ht="21" customHeight="1">
      <c r="B161" s="3032" t="s">
        <v>30845</v>
      </c>
      <c r="C161" s="3033"/>
      <c r="D161" s="3034"/>
      <c r="E161" s="3034"/>
      <c r="F161" s="3034"/>
      <c r="G161" s="3034"/>
      <c r="H161" s="3034"/>
      <c r="I161" s="3034"/>
      <c r="J161" s="2069">
        <f>SUM(C161:I161)</f>
        <v>0</v>
      </c>
      <c r="K161" s="2032" t="str">
        <f t="shared" ref="K161:K166" si="4">IF(SUM(C161:I161)&lt;&gt;J161,"La somma delle celle non restituisce il totale imputato","")</f>
        <v/>
      </c>
      <c r="L161" s="2029">
        <f t="shared" ref="L161:L166" si="5">IF(SUM(C161:I161)&lt;&gt;J161,1,0)</f>
        <v>0</v>
      </c>
    </row>
    <row r="162" spans="2:12" ht="21" customHeight="1">
      <c r="B162" s="3032" t="s">
        <v>30846</v>
      </c>
      <c r="C162" s="3033"/>
      <c r="D162" s="3034"/>
      <c r="E162" s="3034"/>
      <c r="F162" s="3034"/>
      <c r="G162" s="3034"/>
      <c r="H162" s="3034"/>
      <c r="I162" s="3034"/>
      <c r="J162" s="2069">
        <f>SUM(C162:I162)</f>
        <v>0</v>
      </c>
      <c r="K162" s="2032" t="str">
        <f t="shared" si="4"/>
        <v/>
      </c>
      <c r="L162" s="2029">
        <f t="shared" si="5"/>
        <v>0</v>
      </c>
    </row>
    <row r="163" spans="2:12" ht="18.75" customHeight="1">
      <c r="B163" s="3032" t="s">
        <v>30847</v>
      </c>
      <c r="C163" s="3033"/>
      <c r="D163" s="3034"/>
      <c r="E163" s="3034"/>
      <c r="F163" s="3034"/>
      <c r="G163" s="3034"/>
      <c r="H163" s="3034"/>
      <c r="I163" s="3034"/>
      <c r="J163" s="2069">
        <f>SUM(C163:I163)</f>
        <v>0</v>
      </c>
      <c r="K163" s="2032" t="str">
        <f t="shared" si="4"/>
        <v/>
      </c>
      <c r="L163" s="2029">
        <f t="shared" si="5"/>
        <v>0</v>
      </c>
    </row>
    <row r="164" spans="2:12" ht="19.5" customHeight="1">
      <c r="B164" s="3032" t="s">
        <v>30848</v>
      </c>
      <c r="C164" s="3033"/>
      <c r="D164" s="3034"/>
      <c r="E164" s="3034"/>
      <c r="F164" s="3034"/>
      <c r="G164" s="3034"/>
      <c r="H164" s="3034"/>
      <c r="I164" s="3034"/>
      <c r="J164" s="2069">
        <f>SUM(C164:I164)</f>
        <v>0</v>
      </c>
      <c r="K164" s="2032" t="str">
        <f t="shared" si="4"/>
        <v/>
      </c>
      <c r="L164" s="2029">
        <f t="shared" si="5"/>
        <v>0</v>
      </c>
    </row>
    <row r="165" spans="2:12" ht="21" customHeight="1">
      <c r="B165" s="3032" t="s">
        <v>30849</v>
      </c>
      <c r="C165" s="3033"/>
      <c r="D165" s="3034"/>
      <c r="E165" s="3034"/>
      <c r="F165" s="3034"/>
      <c r="G165" s="3034"/>
      <c r="H165" s="3034"/>
      <c r="I165" s="3034"/>
      <c r="J165" s="2069">
        <f>SUM(C165:I165)</f>
        <v>0</v>
      </c>
      <c r="K165" s="2032" t="str">
        <f t="shared" si="4"/>
        <v/>
      </c>
      <c r="L165" s="2029">
        <f t="shared" si="5"/>
        <v>0</v>
      </c>
    </row>
    <row r="166" spans="2:12" ht="22.5" customHeight="1" thickBot="1">
      <c r="B166" s="3035" t="s">
        <v>30844</v>
      </c>
      <c r="C166" s="2070">
        <f>SUM(C161:C165)</f>
        <v>0</v>
      </c>
      <c r="D166" s="2070">
        <f t="shared" ref="D166:F166" si="6">SUM(D161:D165)</f>
        <v>0</v>
      </c>
      <c r="E166" s="2070">
        <f t="shared" si="6"/>
        <v>0</v>
      </c>
      <c r="F166" s="2070">
        <f t="shared" si="6"/>
        <v>0</v>
      </c>
      <c r="G166" s="2070">
        <f>SUM(G161:G165)</f>
        <v>0</v>
      </c>
      <c r="H166" s="2070">
        <f>SUM(H161:H165)</f>
        <v>0</v>
      </c>
      <c r="I166" s="2070">
        <f>SUM(I161:I165)</f>
        <v>0</v>
      </c>
      <c r="J166" s="2071">
        <f>E120</f>
        <v>0</v>
      </c>
      <c r="K166" s="2032" t="str">
        <f t="shared" si="4"/>
        <v/>
      </c>
      <c r="L166" s="2029">
        <f t="shared" si="5"/>
        <v>0</v>
      </c>
    </row>
    <row r="167" spans="2:12" ht="26.25" customHeight="1">
      <c r="B167" s="1210"/>
      <c r="C167" s="2033" t="str">
        <f t="shared" ref="C167:F167" si="7">IF(SUM(C161:C165)&lt;&gt;C166,"La somma delle celle non restituisce il totale imputato","")</f>
        <v/>
      </c>
      <c r="D167" s="2033" t="str">
        <f t="shared" si="7"/>
        <v/>
      </c>
      <c r="E167" s="2033" t="str">
        <f t="shared" si="7"/>
        <v/>
      </c>
      <c r="F167" s="2033" t="str">
        <f t="shared" si="7"/>
        <v/>
      </c>
      <c r="G167" s="2033" t="str">
        <f>IF(SUM(G161:G165)&lt;&gt;G166,"La somma delle celle non restituisce il totale imputato","")</f>
        <v/>
      </c>
      <c r="H167" s="2033" t="str">
        <f>IF(SUM(H161:H165)&lt;&gt;H166,"La somma delle celle non restituisce il totale imputato","")</f>
        <v/>
      </c>
      <c r="I167" s="2034" t="str">
        <f>IF(SUM(I161:I165)&lt;&gt;I166,"La somma delle celle non restituisce il totale imputato","")</f>
        <v/>
      </c>
      <c r="J167" s="2032"/>
      <c r="L167" s="2029">
        <f>COUNTIF(C167:I167,"La somma delle celle non restituisce il totale imputato")</f>
        <v>0</v>
      </c>
    </row>
    <row r="168" spans="2:12">
      <c r="B168" s="1210"/>
    </row>
    <row r="169" spans="2:12" s="580" customFormat="1" ht="18" thickBot="1">
      <c r="B169" s="1665" t="s">
        <v>31699</v>
      </c>
      <c r="C169" s="1998"/>
      <c r="D169" s="1998"/>
      <c r="E169" s="1998"/>
      <c r="F169" s="2003"/>
      <c r="G169" s="1709"/>
      <c r="H169" s="1709"/>
      <c r="I169" s="2005"/>
      <c r="J169" s="2005"/>
      <c r="K169" s="1660"/>
      <c r="L169" s="1660"/>
    </row>
    <row r="170" spans="2:12" ht="30">
      <c r="B170" s="2031" t="s">
        <v>30838</v>
      </c>
      <c r="C170" s="2024" t="s">
        <v>30839</v>
      </c>
      <c r="D170" s="2024" t="s">
        <v>30840</v>
      </c>
      <c r="E170" s="2024" t="s">
        <v>30841</v>
      </c>
      <c r="F170" s="3031" t="s">
        <v>31697</v>
      </c>
      <c r="G170" s="3031" t="s">
        <v>31698</v>
      </c>
      <c r="H170" s="2024" t="s">
        <v>30842</v>
      </c>
      <c r="I170" s="2024" t="s">
        <v>30843</v>
      </c>
      <c r="J170" s="2025" t="s">
        <v>30844</v>
      </c>
    </row>
    <row r="171" spans="2:12" ht="21.75" customHeight="1">
      <c r="B171" s="3032" t="s">
        <v>30845</v>
      </c>
      <c r="C171" s="3033"/>
      <c r="D171" s="3033"/>
      <c r="E171" s="3033"/>
      <c r="F171" s="3033"/>
      <c r="G171" s="3033"/>
      <c r="H171" s="3033"/>
      <c r="I171" s="3033"/>
      <c r="J171" s="2069">
        <f>SUM(C171:I171)</f>
        <v>0</v>
      </c>
      <c r="K171" s="2032" t="str">
        <f t="shared" ref="K171:K176" si="8">IF(SUM(C171:I171)&lt;&gt;J171,"La somma delle celle non restituisce il totale imputato","")</f>
        <v/>
      </c>
      <c r="L171" s="2029">
        <f t="shared" ref="L171:L176" si="9">IF(SUM(C171:I171)&lt;&gt;J171,1,0)</f>
        <v>0</v>
      </c>
    </row>
    <row r="172" spans="2:12" ht="21.75" customHeight="1">
      <c r="B172" s="3032" t="s">
        <v>30846</v>
      </c>
      <c r="C172" s="3033"/>
      <c r="D172" s="3033"/>
      <c r="E172" s="3033"/>
      <c r="F172" s="3033"/>
      <c r="G172" s="3033"/>
      <c r="H172" s="3033"/>
      <c r="I172" s="3033"/>
      <c r="J172" s="2069">
        <f>SUM(C172:I172)</f>
        <v>0</v>
      </c>
      <c r="K172" s="2032" t="str">
        <f t="shared" si="8"/>
        <v/>
      </c>
      <c r="L172" s="2029">
        <f t="shared" si="9"/>
        <v>0</v>
      </c>
    </row>
    <row r="173" spans="2:12" ht="21.75" customHeight="1">
      <c r="B173" s="3032" t="s">
        <v>30847</v>
      </c>
      <c r="C173" s="3033"/>
      <c r="D173" s="3033"/>
      <c r="E173" s="3033"/>
      <c r="F173" s="3033"/>
      <c r="G173" s="3033"/>
      <c r="H173" s="3033"/>
      <c r="I173" s="3033"/>
      <c r="J173" s="2069">
        <f>SUM(C173:I173)</f>
        <v>0</v>
      </c>
      <c r="K173" s="2032" t="str">
        <f t="shared" si="8"/>
        <v/>
      </c>
      <c r="L173" s="2029">
        <f t="shared" si="9"/>
        <v>0</v>
      </c>
    </row>
    <row r="174" spans="2:12" ht="22.5" customHeight="1">
      <c r="B174" s="3032" t="s">
        <v>30848</v>
      </c>
      <c r="C174" s="3033"/>
      <c r="D174" s="3033"/>
      <c r="E174" s="3033"/>
      <c r="F174" s="3033"/>
      <c r="G174" s="3033"/>
      <c r="H174" s="3033"/>
      <c r="I174" s="3033"/>
      <c r="J174" s="2069">
        <f>SUM(C174:I174)</f>
        <v>0</v>
      </c>
      <c r="K174" s="2032" t="str">
        <f t="shared" si="8"/>
        <v/>
      </c>
      <c r="L174" s="2029">
        <f t="shared" si="9"/>
        <v>0</v>
      </c>
    </row>
    <row r="175" spans="2:12" ht="23.25" customHeight="1">
      <c r="B175" s="3032" t="s">
        <v>30849</v>
      </c>
      <c r="C175" s="3033"/>
      <c r="D175" s="3033"/>
      <c r="E175" s="3033"/>
      <c r="F175" s="3033"/>
      <c r="G175" s="3033"/>
      <c r="H175" s="3033"/>
      <c r="I175" s="3033"/>
      <c r="J175" s="2069">
        <f>SUM(C175:I175)</f>
        <v>0</v>
      </c>
      <c r="K175" s="2032" t="str">
        <f t="shared" si="8"/>
        <v/>
      </c>
      <c r="L175" s="2029">
        <f t="shared" si="9"/>
        <v>0</v>
      </c>
    </row>
    <row r="176" spans="2:12" ht="24" customHeight="1" thickBot="1">
      <c r="B176" s="3035" t="s">
        <v>30844</v>
      </c>
      <c r="C176" s="2070">
        <f>SUM(C171:C175)</f>
        <v>0</v>
      </c>
      <c r="D176" s="2070">
        <f t="shared" ref="D176:F176" si="10">SUM(D171:D175)</f>
        <v>0</v>
      </c>
      <c r="E176" s="2070">
        <f t="shared" si="10"/>
        <v>0</v>
      </c>
      <c r="F176" s="2070">
        <f t="shared" si="10"/>
        <v>0</v>
      </c>
      <c r="G176" s="2070">
        <f>SUM(G171:G175)</f>
        <v>0</v>
      </c>
      <c r="H176" s="2070">
        <f>SUM(H171:H175)</f>
        <v>0</v>
      </c>
      <c r="I176" s="2070">
        <f>SUM(I171:I175)</f>
        <v>0</v>
      </c>
      <c r="J176" s="2071">
        <f>E135</f>
        <v>0</v>
      </c>
      <c r="K176" s="2032" t="str">
        <f t="shared" si="8"/>
        <v/>
      </c>
      <c r="L176" s="2029">
        <f t="shared" si="9"/>
        <v>0</v>
      </c>
    </row>
    <row r="177" spans="1:12" ht="26.25" customHeight="1">
      <c r="B177" s="1210"/>
      <c r="C177" s="2033" t="str">
        <f t="shared" ref="C177" si="11">IF(SUM(C171:C175)&lt;&gt;C176,"La somma delle celle non restituisce il totale imputato","")</f>
        <v/>
      </c>
      <c r="D177" s="2033" t="str">
        <f t="shared" ref="D177:H177" si="12">IF(SUM(D171:D175)&lt;&gt;D176,"La somma delle celle non restituisce il totale imputato","")</f>
        <v/>
      </c>
      <c r="E177" s="2033" t="str">
        <f t="shared" si="12"/>
        <v/>
      </c>
      <c r="F177" s="2033" t="str">
        <f t="shared" si="12"/>
        <v/>
      </c>
      <c r="G177" s="2033" t="str">
        <f t="shared" si="12"/>
        <v/>
      </c>
      <c r="H177" s="2033" t="str">
        <f t="shared" si="12"/>
        <v/>
      </c>
      <c r="I177" s="2033" t="str">
        <f>IF(SUM(I171:I175)&lt;&gt;I176,"La somma delle celle non restituisce il totale imputato","")</f>
        <v/>
      </c>
      <c r="J177" s="2032"/>
      <c r="L177" s="2029">
        <f>COUNTIF(C177:I177,"La somma delle celle non restituisce il totale imputato")</f>
        <v>0</v>
      </c>
    </row>
    <row r="178" spans="1:12">
      <c r="B178" s="1210"/>
    </row>
    <row r="179" spans="1:12">
      <c r="B179" s="1210"/>
    </row>
    <row r="183" spans="1:12">
      <c r="B183" s="2238"/>
    </row>
    <row r="184" spans="1:12">
      <c r="B184" s="1996" t="s">
        <v>3</v>
      </c>
    </row>
    <row r="188" spans="1:12" ht="48" customHeight="1"/>
    <row r="189" spans="1:12" ht="48" customHeight="1"/>
    <row r="191" spans="1:12">
      <c r="A191" s="77"/>
    </row>
  </sheetData>
  <sheetProtection algorithmName="SHA-512" hashValue="tzMez37KkQIos3n77RZZCmU/qSHhQI4cofa7heYLV68wCInMk3ZoEI9eXSr7tDaVpqPthOqOBOKLwsx3HM+Sgw==" saltValue="qmN0QCgYVg4FTBQNC2/ghQ==" spinCount="100000" sheet="1" objects="1" scenarios="1"/>
  <mergeCells count="21">
    <mergeCell ref="H40:H41"/>
    <mergeCell ref="I40:I41"/>
    <mergeCell ref="H15:H17"/>
    <mergeCell ref="I15:I17"/>
    <mergeCell ref="H22:H23"/>
    <mergeCell ref="I22:I23"/>
    <mergeCell ref="I35:I38"/>
    <mergeCell ref="I54:I57"/>
    <mergeCell ref="I59:I61"/>
    <mergeCell ref="I69:I74"/>
    <mergeCell ref="I86:I91"/>
    <mergeCell ref="H96:H97"/>
    <mergeCell ref="I96:I97"/>
    <mergeCell ref="I136:I140"/>
    <mergeCell ref="I142:I148"/>
    <mergeCell ref="I105:I111"/>
    <mergeCell ref="I113:I114"/>
    <mergeCell ref="H116:H117"/>
    <mergeCell ref="I116:I117"/>
    <mergeCell ref="I121:I125"/>
    <mergeCell ref="I127:I133"/>
  </mergeCells>
  <conditionalFormatting sqref="L2">
    <cfRule type="cellIs" dxfId="31" priority="1" operator="lessThanOrEqual">
      <formula>0</formula>
    </cfRule>
    <cfRule type="cellIs" dxfId="30" priority="2" operator="greaterThan">
      <formula>0</formula>
    </cfRule>
  </conditionalFormatting>
  <dataValidations count="1">
    <dataValidation type="list" allowBlank="1" showInputMessage="1" showErrorMessage="1" sqref="E10" xr:uid="{60D5EBA0-8BD7-4064-A0CD-FE62740E73DD}">
      <formula1>$B$183:$B$184</formula1>
    </dataValidation>
  </dataValidations>
  <pageMargins left="0.59055118110236227" right="0.23622047244094491" top="0.31496062992125984" bottom="0.35433070866141736" header="0.15748031496062992" footer="0.19685039370078741"/>
  <pageSetup paperSize="8" scale="79" fitToHeight="0" orientation="landscape"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D3150-D1E0-4189-A5A2-57F70D3B17A5}">
  <sheetPr codeName="Sheet11">
    <tabColor rgb="FFDCE6F1"/>
    <pageSetUpPr fitToPage="1"/>
  </sheetPr>
  <dimension ref="A1:M121"/>
  <sheetViews>
    <sheetView showGridLines="0" zoomScale="80" zoomScaleNormal="80" workbookViewId="0">
      <pane xSplit="3" ySplit="2" topLeftCell="E5" activePane="bottomRight" state="frozen"/>
      <selection activeCell="B4" sqref="B4"/>
      <selection pane="topRight" activeCell="B4" sqref="B4"/>
      <selection pane="bottomLeft" activeCell="B4" sqref="B4"/>
      <selection pane="bottomRight"/>
    </sheetView>
  </sheetViews>
  <sheetFormatPr defaultColWidth="8.85546875" defaultRowHeight="15"/>
  <cols>
    <col min="1" max="1" width="16" customWidth="1"/>
    <col min="2" max="2" width="50.85546875" style="77" customWidth="1"/>
    <col min="3" max="3" width="9.85546875" customWidth="1"/>
    <col min="4" max="4" width="14.85546875" hidden="1" customWidth="1"/>
    <col min="5" max="5" width="14.85546875" customWidth="1"/>
    <col min="6" max="6" width="50.85546875" style="810" customWidth="1"/>
    <col min="7" max="7" width="2.85546875" style="810" customWidth="1"/>
    <col min="8" max="8" width="25.85546875" style="810" hidden="1" customWidth="1"/>
    <col min="9" max="9" width="25.85546875" style="810" customWidth="1"/>
    <col min="10" max="10" width="2.85546875" style="810" customWidth="1"/>
    <col min="11" max="11" width="20.85546875" style="1670" hidden="1" customWidth="1"/>
    <col min="12" max="12" width="20.85546875" style="1670" customWidth="1"/>
  </cols>
  <sheetData>
    <row r="1" spans="1:12" ht="69.95" customHeight="1" thickBot="1">
      <c r="B1" s="1656" t="s">
        <v>29990</v>
      </c>
      <c r="C1" s="1655"/>
      <c r="D1" s="1657"/>
      <c r="E1" s="1657"/>
      <c r="K1" s="2791"/>
      <c r="L1" s="1658" t="s">
        <v>31524</v>
      </c>
    </row>
    <row r="2" spans="1:12" ht="70.349999999999994" customHeight="1" thickBot="1">
      <c r="A2" s="2023" t="s">
        <v>25449</v>
      </c>
      <c r="B2" s="2024" t="s">
        <v>25450</v>
      </c>
      <c r="C2" s="2025" t="s">
        <v>22740</v>
      </c>
      <c r="D2" s="3036"/>
      <c r="E2" s="3037" t="s">
        <v>31525</v>
      </c>
      <c r="F2" s="1993" t="s">
        <v>25448</v>
      </c>
      <c r="H2" s="3038"/>
      <c r="I2" s="2026" t="s">
        <v>31526</v>
      </c>
      <c r="K2" s="2795"/>
      <c r="L2" s="2072">
        <f>SUM(L3:L90)</f>
        <v>0</v>
      </c>
    </row>
    <row r="3" spans="1:12" ht="32.1" customHeight="1">
      <c r="A3" s="1978" t="s">
        <v>28876</v>
      </c>
      <c r="B3" s="2174" t="s">
        <v>31700</v>
      </c>
      <c r="C3" s="2165" t="s">
        <v>21</v>
      </c>
      <c r="D3" s="3039"/>
      <c r="E3" s="3040">
        <f>'QT-Acquedotto'!E3</f>
        <v>0</v>
      </c>
      <c r="F3" s="1988"/>
      <c r="H3" s="2798"/>
      <c r="I3" s="1659"/>
      <c r="K3" s="1660"/>
      <c r="L3" s="1660">
        <f t="shared" ref="L3:L7" si="0">IF(I3="",0,1)</f>
        <v>0</v>
      </c>
    </row>
    <row r="4" spans="1:12" ht="32.1" customHeight="1">
      <c r="A4" s="1978" t="s">
        <v>29120</v>
      </c>
      <c r="B4" s="2174" t="s">
        <v>31701</v>
      </c>
      <c r="C4" s="2165" t="s">
        <v>21</v>
      </c>
      <c r="D4" s="3039"/>
      <c r="E4" s="3040">
        <f>'QT-Fognatura'!E3</f>
        <v>0</v>
      </c>
      <c r="F4" s="1988"/>
      <c r="G4"/>
      <c r="H4" s="2828"/>
      <c r="I4" s="2075"/>
      <c r="J4"/>
      <c r="K4" s="1660"/>
      <c r="L4" s="1660">
        <f t="shared" si="0"/>
        <v>0</v>
      </c>
    </row>
    <row r="5" spans="1:12" ht="30" customHeight="1">
      <c r="A5" s="1978" t="s">
        <v>29204</v>
      </c>
      <c r="B5" s="2174" t="s">
        <v>29205</v>
      </c>
      <c r="C5" s="2162" t="s">
        <v>21</v>
      </c>
      <c r="D5" s="3039"/>
      <c r="E5" s="3040">
        <f>'QT-Depurazione'!E3</f>
        <v>0</v>
      </c>
      <c r="F5" s="1988"/>
      <c r="G5" s="1702"/>
      <c r="H5" s="2828"/>
      <c r="I5" s="2075"/>
      <c r="J5" s="1702"/>
      <c r="K5" s="1660"/>
      <c r="L5" s="1660">
        <f t="shared" si="0"/>
        <v>0</v>
      </c>
    </row>
    <row r="6" spans="1:12" ht="42.6" customHeight="1">
      <c r="A6" s="1981" t="s">
        <v>30850</v>
      </c>
      <c r="B6" s="2192" t="s">
        <v>30851</v>
      </c>
      <c r="C6" s="3041" t="s">
        <v>21</v>
      </c>
      <c r="D6" s="3039"/>
      <c r="E6" s="2074"/>
      <c r="F6" s="2076" t="s">
        <v>30852</v>
      </c>
      <c r="H6" s="2801"/>
      <c r="I6" s="2036"/>
      <c r="K6" s="1660"/>
      <c r="L6" s="1660">
        <f t="shared" si="0"/>
        <v>0</v>
      </c>
    </row>
    <row r="7" spans="1:12" ht="42.6" customHeight="1" thickBot="1">
      <c r="A7" s="2845" t="s">
        <v>30853</v>
      </c>
      <c r="B7" s="2846" t="s">
        <v>30854</v>
      </c>
      <c r="C7" s="3042" t="s">
        <v>21</v>
      </c>
      <c r="D7" s="3043"/>
      <c r="E7" s="1982"/>
      <c r="F7" s="1955" t="s">
        <v>30976</v>
      </c>
      <c r="H7" s="2806"/>
      <c r="I7" s="2316" t="str">
        <f>IF(AND(E6="SI",E7=""),"Indicare codici ID_ARERA dei grossisti considerati","")</f>
        <v/>
      </c>
      <c r="K7" s="1660"/>
      <c r="L7" s="1660">
        <f t="shared" si="0"/>
        <v>0</v>
      </c>
    </row>
    <row r="8" spans="1:12">
      <c r="K8" s="1660"/>
      <c r="L8" s="1660"/>
    </row>
    <row r="9" spans="1:12" ht="18" thickBot="1">
      <c r="A9" s="1665" t="s">
        <v>31702</v>
      </c>
      <c r="B9" s="1662"/>
      <c r="C9" s="1661"/>
      <c r="D9" s="1661"/>
      <c r="E9" s="1661"/>
      <c r="F9" s="1663"/>
      <c r="H9" s="1664"/>
      <c r="I9" s="1664"/>
      <c r="K9" s="1660"/>
      <c r="L9" s="1660"/>
    </row>
    <row r="10" spans="1:12" ht="45">
      <c r="A10" s="3044" t="s">
        <v>31703</v>
      </c>
      <c r="B10" s="3045" t="s">
        <v>30855</v>
      </c>
      <c r="C10" s="3046" t="s">
        <v>21</v>
      </c>
      <c r="D10" s="3047"/>
      <c r="E10" s="1677"/>
      <c r="F10" s="1668" t="s">
        <v>31529</v>
      </c>
      <c r="H10" s="2798"/>
      <c r="I10" s="1669" t="str">
        <f>IF(AND(E$3="SI",OR(E10="Non adeguato",E10="")),"Attenzione, prerequisito mancante","")</f>
        <v/>
      </c>
      <c r="K10" s="1660"/>
      <c r="L10" s="1660">
        <f t="shared" ref="L10:L90" si="1">IF(I10="",0,1)</f>
        <v>0</v>
      </c>
    </row>
    <row r="11" spans="1:12" ht="45.75" thickBot="1">
      <c r="A11" s="2845" t="s">
        <v>31704</v>
      </c>
      <c r="B11" s="2846" t="s">
        <v>30856</v>
      </c>
      <c r="C11" s="3048" t="s">
        <v>21</v>
      </c>
      <c r="D11" s="3049"/>
      <c r="E11" s="1982"/>
      <c r="F11" s="1977" t="s">
        <v>31705</v>
      </c>
      <c r="H11" s="2822"/>
      <c r="I11" s="1976"/>
      <c r="K11" s="1660"/>
      <c r="L11" s="1660">
        <f t="shared" si="1"/>
        <v>0</v>
      </c>
    </row>
    <row r="12" spans="1:12">
      <c r="K12" s="1660"/>
      <c r="L12" s="1660"/>
    </row>
    <row r="13" spans="1:12" ht="18" thickBot="1">
      <c r="A13" s="1691" t="s">
        <v>31706</v>
      </c>
      <c r="B13" s="3050"/>
      <c r="C13" s="1661"/>
      <c r="D13" s="1661"/>
      <c r="E13" s="1661"/>
      <c r="F13" s="1663"/>
      <c r="H13" s="1664"/>
      <c r="I13" s="1664"/>
      <c r="K13" s="1660"/>
      <c r="L13" s="1660"/>
    </row>
    <row r="14" spans="1:12" ht="32.1" customHeight="1">
      <c r="A14" s="1666" t="s">
        <v>30857</v>
      </c>
      <c r="B14" s="3051" t="s">
        <v>30858</v>
      </c>
      <c r="C14" s="3052" t="s">
        <v>28904</v>
      </c>
      <c r="D14" s="3053"/>
      <c r="E14" s="3054">
        <f>E15+E16+E17+E18+E19</f>
        <v>0</v>
      </c>
      <c r="F14" s="1989"/>
      <c r="H14" s="2798"/>
      <c r="I14" s="1659"/>
      <c r="K14" s="1660"/>
      <c r="L14" s="1660">
        <f t="shared" si="1"/>
        <v>0</v>
      </c>
    </row>
    <row r="15" spans="1:12" ht="32.1" customHeight="1">
      <c r="A15" s="1981" t="s">
        <v>30859</v>
      </c>
      <c r="B15" s="2198" t="s">
        <v>30860</v>
      </c>
      <c r="C15" s="2165" t="s">
        <v>28904</v>
      </c>
      <c r="D15" s="3055"/>
      <c r="E15" s="1984"/>
      <c r="F15" s="2076" t="s">
        <v>30861</v>
      </c>
      <c r="H15" s="2801"/>
      <c r="I15" s="1980" t="str">
        <f t="shared" ref="I15:I18" si="2">IF(E15&lt;0,"Il valore deve essere maggiore o uguale a zero","")</f>
        <v/>
      </c>
      <c r="K15" s="1660"/>
      <c r="L15" s="1660">
        <f t="shared" si="1"/>
        <v>0</v>
      </c>
    </row>
    <row r="16" spans="1:12" ht="32.1" customHeight="1">
      <c r="A16" s="1981" t="s">
        <v>30862</v>
      </c>
      <c r="B16" s="2198" t="s">
        <v>30863</v>
      </c>
      <c r="C16" s="2165" t="s">
        <v>28904</v>
      </c>
      <c r="D16" s="3055"/>
      <c r="E16" s="1984"/>
      <c r="F16" s="2076" t="s">
        <v>30861</v>
      </c>
      <c r="H16" s="2801"/>
      <c r="I16" s="1980" t="str">
        <f t="shared" si="2"/>
        <v/>
      </c>
      <c r="K16" s="1660"/>
      <c r="L16" s="1660">
        <f t="shared" si="1"/>
        <v>0</v>
      </c>
    </row>
    <row r="17" spans="1:13" ht="32.1" customHeight="1">
      <c r="A17" s="1981" t="s">
        <v>30864</v>
      </c>
      <c r="B17" s="2198" t="s">
        <v>30865</v>
      </c>
      <c r="C17" s="2165" t="s">
        <v>28904</v>
      </c>
      <c r="D17" s="3055"/>
      <c r="E17" s="1984"/>
      <c r="F17" s="2076" t="s">
        <v>30861</v>
      </c>
      <c r="H17" s="2801"/>
      <c r="I17" s="1980" t="str">
        <f t="shared" si="2"/>
        <v/>
      </c>
      <c r="K17" s="1660"/>
      <c r="L17" s="1660">
        <f t="shared" si="1"/>
        <v>0</v>
      </c>
    </row>
    <row r="18" spans="1:13" ht="32.1" customHeight="1">
      <c r="A18" s="1981" t="s">
        <v>30866</v>
      </c>
      <c r="B18" s="2198" t="s">
        <v>30867</v>
      </c>
      <c r="C18" s="2165" t="s">
        <v>28904</v>
      </c>
      <c r="D18" s="3055"/>
      <c r="E18" s="1984"/>
      <c r="F18" s="2076" t="s">
        <v>30868</v>
      </c>
      <c r="H18" s="2801"/>
      <c r="I18" s="1980" t="str">
        <f t="shared" si="2"/>
        <v/>
      </c>
      <c r="K18" s="1660"/>
      <c r="L18" s="1660">
        <f t="shared" si="1"/>
        <v>0</v>
      </c>
    </row>
    <row r="19" spans="1:13" ht="32.1" customHeight="1">
      <c r="A19" s="1981" t="s">
        <v>30869</v>
      </c>
      <c r="B19" s="2198" t="s">
        <v>30870</v>
      </c>
      <c r="C19" s="2165" t="s">
        <v>28904</v>
      </c>
      <c r="D19" s="3055"/>
      <c r="E19" s="3056">
        <f>'QT-Depurazione'!E134</f>
        <v>0</v>
      </c>
      <c r="F19" s="2076" t="s">
        <v>30871</v>
      </c>
      <c r="H19" s="2801"/>
      <c r="I19" s="1980" t="str">
        <f>IF(E19&lt;&gt;'QT-Depurazione'!E134,"Il valore risulta diverso da WDEP,r2 riportato nel foglio QT-Depurazione: motivare in relazione","")</f>
        <v/>
      </c>
      <c r="K19" s="2029"/>
      <c r="L19" s="1660">
        <f t="shared" si="1"/>
        <v>0</v>
      </c>
    </row>
    <row r="20" spans="1:13" ht="32.1" customHeight="1">
      <c r="A20" s="1981" t="s">
        <v>31707</v>
      </c>
      <c r="B20" s="2174" t="s">
        <v>30904</v>
      </c>
      <c r="C20" s="1953" t="s">
        <v>28904</v>
      </c>
      <c r="D20" s="3055"/>
      <c r="E20" s="3057"/>
      <c r="F20" s="1988"/>
      <c r="H20" s="2801"/>
      <c r="I20" s="1980" t="str">
        <f t="shared" ref="I20" si="3">IF(E20&lt;0,"Il valore deve essere maggiore o uguale a zero","")</f>
        <v/>
      </c>
      <c r="K20" s="2029"/>
      <c r="L20" s="1660">
        <f t="shared" si="1"/>
        <v>0</v>
      </c>
      <c r="M20" s="2027"/>
    </row>
    <row r="21" spans="1:13" ht="44.25" customHeight="1">
      <c r="A21" s="1981" t="s">
        <v>30872</v>
      </c>
      <c r="B21" s="2192" t="s">
        <v>30873</v>
      </c>
      <c r="C21" s="2165" t="s">
        <v>28904</v>
      </c>
      <c r="D21" s="3055"/>
      <c r="E21" s="1984"/>
      <c r="F21" s="1988" t="s">
        <v>31708</v>
      </c>
      <c r="H21" s="2801"/>
      <c r="I21" s="1980" t="str">
        <f>IF(E21&lt;&gt;'QT-Acquedotto'!E29,"Il valore risulta diverso da Wimp riportato nel foglio QT-Acquedotto: motivare in relazione","")</f>
        <v/>
      </c>
      <c r="K21" s="2029"/>
      <c r="L21" s="2029">
        <f t="shared" si="1"/>
        <v>0</v>
      </c>
      <c r="M21" s="2027"/>
    </row>
    <row r="22" spans="1:13" ht="41.25" customHeight="1">
      <c r="A22" s="1981" t="s">
        <v>30874</v>
      </c>
      <c r="B22" s="2192" t="s">
        <v>30875</v>
      </c>
      <c r="C22" s="2165" t="s">
        <v>28904</v>
      </c>
      <c r="D22" s="3055"/>
      <c r="E22" s="1984"/>
      <c r="F22" s="1988" t="s">
        <v>31709</v>
      </c>
      <c r="H22" s="2801"/>
      <c r="I22" s="1980" t="str">
        <f>IF(E22&lt;&gt;'QT-Acquedotto'!E33,"Il valore risulta diverso da Wesp riportato nel foglio QT-Acquedotto: motivare in relazione","")</f>
        <v/>
      </c>
      <c r="K22" s="2029"/>
      <c r="L22" s="2029">
        <f t="shared" si="1"/>
        <v>0</v>
      </c>
      <c r="M22" s="2027"/>
    </row>
    <row r="23" spans="1:13" s="580" customFormat="1" ht="45">
      <c r="A23" s="1981" t="s">
        <v>30876</v>
      </c>
      <c r="B23" s="2192" t="s">
        <v>30877</v>
      </c>
      <c r="C23" s="2165" t="s">
        <v>28904</v>
      </c>
      <c r="D23" s="3058"/>
      <c r="E23" s="3059">
        <f>E21+E22</f>
        <v>0</v>
      </c>
      <c r="F23" s="1988"/>
      <c r="G23" s="810"/>
      <c r="H23" s="2828"/>
      <c r="I23" s="2075"/>
      <c r="J23" s="810"/>
      <c r="K23" s="2029"/>
      <c r="L23" s="2029">
        <f t="shared" si="1"/>
        <v>0</v>
      </c>
      <c r="M23" s="2028"/>
    </row>
    <row r="24" spans="1:13" s="580" customFormat="1" ht="41.25" customHeight="1">
      <c r="A24" s="1981" t="s">
        <v>31710</v>
      </c>
      <c r="B24" s="2192" t="s">
        <v>31711</v>
      </c>
      <c r="C24" s="2165" t="s">
        <v>28904</v>
      </c>
      <c r="D24" s="3060"/>
      <c r="E24" s="2079">
        <f>'QT-Acquedotto'!E28</f>
        <v>0</v>
      </c>
      <c r="F24" s="2076" t="s">
        <v>31712</v>
      </c>
      <c r="G24" s="810"/>
      <c r="H24" s="2801"/>
      <c r="I24" s="1980" t="str">
        <f>IF(E24&lt;&gt;'QT-Acquedotto'!E28,"Motivare in relazione","")</f>
        <v/>
      </c>
      <c r="J24" s="810"/>
      <c r="K24" s="2029"/>
      <c r="L24" s="2029">
        <f t="shared" si="1"/>
        <v>0</v>
      </c>
      <c r="M24" s="2028"/>
    </row>
    <row r="25" spans="1:13" s="580" customFormat="1" ht="30" customHeight="1" thickBot="1">
      <c r="A25" s="2856" t="s">
        <v>30878</v>
      </c>
      <c r="B25" s="2233" t="s">
        <v>30879</v>
      </c>
      <c r="C25" s="2317" t="s">
        <v>21</v>
      </c>
      <c r="D25" s="3061"/>
      <c r="E25" s="3062" t="str">
        <f>IF(AND(E15="",E16="",E17="",E18="",E19=0,E21=0),"",(E24-E22)/(E14+E20+E21))</f>
        <v/>
      </c>
      <c r="F25" s="1955" t="s">
        <v>30880</v>
      </c>
      <c r="G25" s="810"/>
      <c r="H25" s="2806"/>
      <c r="I25" s="2046" t="str">
        <f>IF(AND(E$3="SI",E25=""),"Indicatore non calcolabile","")</f>
        <v/>
      </c>
      <c r="J25" s="810"/>
      <c r="K25" s="2029"/>
      <c r="L25" s="2029">
        <f t="shared" si="1"/>
        <v>0</v>
      </c>
      <c r="M25" s="2028"/>
    </row>
    <row r="26" spans="1:13">
      <c r="K26" s="1660"/>
      <c r="L26" s="1660"/>
    </row>
    <row r="27" spans="1:13" ht="18" thickBot="1">
      <c r="A27" s="1691" t="s">
        <v>31713</v>
      </c>
      <c r="B27" s="3050"/>
      <c r="C27" s="1661"/>
      <c r="D27" s="1661"/>
      <c r="E27" s="1661"/>
      <c r="F27" s="1663"/>
      <c r="H27" s="1664"/>
      <c r="I27" s="1664"/>
      <c r="K27" s="1660"/>
      <c r="L27" s="1660"/>
    </row>
    <row r="28" spans="1:13" s="580" customFormat="1" ht="60.75" customHeight="1">
      <c r="A28" s="1666" t="s">
        <v>31714</v>
      </c>
      <c r="B28" s="3051" t="s">
        <v>31715</v>
      </c>
      <c r="C28" s="3063" t="s">
        <v>21</v>
      </c>
      <c r="D28" s="3064"/>
      <c r="E28" s="1510"/>
      <c r="F28" s="1989" t="s">
        <v>31716</v>
      </c>
      <c r="G28" s="810"/>
      <c r="H28" s="2798"/>
      <c r="I28" s="2036"/>
      <c r="J28" s="810"/>
      <c r="K28" s="2029"/>
      <c r="L28" s="2029">
        <f t="shared" si="1"/>
        <v>0</v>
      </c>
      <c r="M28" s="2028"/>
    </row>
    <row r="29" spans="1:13" s="580" customFormat="1" ht="36" customHeight="1">
      <c r="A29" s="1981" t="s">
        <v>31717</v>
      </c>
      <c r="B29" s="2192" t="s">
        <v>31718</v>
      </c>
      <c r="C29" s="3041" t="s">
        <v>21</v>
      </c>
      <c r="D29" s="3039"/>
      <c r="E29" s="2074"/>
      <c r="F29" s="2076" t="s">
        <v>31719</v>
      </c>
      <c r="G29" s="810"/>
      <c r="H29" s="2801"/>
      <c r="I29" s="1980" t="str">
        <f>IF(E29="SI","Motivare sulla base di un apposito studio/analisi dei criteri idrogeologici","")</f>
        <v/>
      </c>
      <c r="J29" s="810"/>
      <c r="K29" s="2029"/>
      <c r="L29" s="2029">
        <f t="shared" si="1"/>
        <v>0</v>
      </c>
      <c r="M29" s="2028"/>
    </row>
    <row r="30" spans="1:13" s="580" customFormat="1" ht="45.75" customHeight="1">
      <c r="A30" s="1981" t="s">
        <v>31720</v>
      </c>
      <c r="B30" s="2192" t="s">
        <v>31721</v>
      </c>
      <c r="C30" s="3041" t="s">
        <v>21</v>
      </c>
      <c r="D30" s="3039"/>
      <c r="E30" s="2074"/>
      <c r="F30" s="2076"/>
      <c r="G30" s="810"/>
      <c r="H30" s="2801"/>
      <c r="I30" s="2036"/>
      <c r="J30" s="810"/>
      <c r="K30" s="2029"/>
      <c r="L30" s="2029">
        <f t="shared" si="1"/>
        <v>0</v>
      </c>
      <c r="M30" s="2028"/>
    </row>
    <row r="31" spans="1:13" s="580" customFormat="1" ht="45.75" customHeight="1">
      <c r="A31" s="1981" t="s">
        <v>31722</v>
      </c>
      <c r="B31" s="2192" t="s">
        <v>31723</v>
      </c>
      <c r="C31" s="3041"/>
      <c r="D31" s="3039"/>
      <c r="E31" s="3065"/>
      <c r="F31" s="2076"/>
      <c r="G31" s="810"/>
      <c r="H31" s="2801"/>
      <c r="I31" s="2036"/>
      <c r="J31" s="810"/>
      <c r="K31" s="2029"/>
      <c r="L31" s="2029">
        <f t="shared" si="1"/>
        <v>0</v>
      </c>
      <c r="M31" s="2028"/>
    </row>
    <row r="32" spans="1:13" s="580" customFormat="1" ht="45.75" customHeight="1">
      <c r="A32" s="1981" t="s">
        <v>31724</v>
      </c>
      <c r="B32" s="2192" t="s">
        <v>31725</v>
      </c>
      <c r="C32" s="3041" t="s">
        <v>21</v>
      </c>
      <c r="D32" s="3055"/>
      <c r="E32" s="2074"/>
      <c r="F32" s="2076" t="s">
        <v>31726</v>
      </c>
      <c r="G32" s="810"/>
      <c r="H32" s="2801"/>
      <c r="I32" s="1980" t="str">
        <f>IF(E3=0,"",IF(E32="","Selezionare la condizione di criticità",""))</f>
        <v/>
      </c>
      <c r="J32" s="810"/>
      <c r="K32" s="2029"/>
      <c r="L32" s="2029">
        <f t="shared" si="1"/>
        <v>0</v>
      </c>
      <c r="M32" s="2028"/>
    </row>
    <row r="33" spans="1:12" s="580" customFormat="1" ht="30" customHeight="1">
      <c r="A33" s="1981" t="s">
        <v>30881</v>
      </c>
      <c r="B33" s="2192" t="s">
        <v>30882</v>
      </c>
      <c r="C33" s="2165" t="s">
        <v>28904</v>
      </c>
      <c r="D33" s="3060"/>
      <c r="E33" s="2080">
        <f>E34+E36+E38+E40</f>
        <v>0</v>
      </c>
      <c r="F33" s="2076" t="s">
        <v>30883</v>
      </c>
      <c r="G33" s="810"/>
      <c r="H33" s="2801"/>
      <c r="I33" s="2036"/>
      <c r="J33" s="810"/>
      <c r="K33" s="1660"/>
      <c r="L33" s="2029">
        <f t="shared" si="1"/>
        <v>0</v>
      </c>
    </row>
    <row r="34" spans="1:12" s="580" customFormat="1" ht="30" customHeight="1">
      <c r="A34" s="1981" t="s">
        <v>30884</v>
      </c>
      <c r="B34" s="2198" t="s">
        <v>30885</v>
      </c>
      <c r="C34" s="2165" t="s">
        <v>28904</v>
      </c>
      <c r="D34" s="3060"/>
      <c r="E34" s="1984"/>
      <c r="F34" s="2076" t="s">
        <v>31727</v>
      </c>
      <c r="G34" s="810"/>
      <c r="H34" s="2801"/>
      <c r="I34" s="1980" t="str">
        <f>IF(E34&lt;E24,"Il valore deve essere maggiore o uguale a Cons_SII","")</f>
        <v/>
      </c>
      <c r="J34" s="810"/>
      <c r="K34" s="1660"/>
      <c r="L34" s="2029">
        <f t="shared" si="1"/>
        <v>0</v>
      </c>
    </row>
    <row r="35" spans="1:12" s="580" customFormat="1" ht="33" customHeight="1">
      <c r="A35" s="1981" t="s">
        <v>31728</v>
      </c>
      <c r="B35" s="2307" t="s">
        <v>31729</v>
      </c>
      <c r="C35" s="2165" t="s">
        <v>28904</v>
      </c>
      <c r="D35" s="3060"/>
      <c r="E35" s="1984"/>
      <c r="F35" s="3066"/>
      <c r="G35" s="810"/>
      <c r="H35" s="2801"/>
      <c r="I35" s="1980" t="str">
        <f>IF(E35&gt;E34,"Il valore deve essere minore o uguale a Cons_ap","")</f>
        <v/>
      </c>
      <c r="J35" s="810"/>
      <c r="K35" s="1660"/>
      <c r="L35" s="2029">
        <f t="shared" si="1"/>
        <v>0</v>
      </c>
    </row>
    <row r="36" spans="1:12" s="580" customFormat="1" ht="30" customHeight="1">
      <c r="A36" s="1981" t="s">
        <v>30886</v>
      </c>
      <c r="B36" s="2198" t="s">
        <v>30887</v>
      </c>
      <c r="C36" s="2165" t="s">
        <v>28904</v>
      </c>
      <c r="D36" s="3055"/>
      <c r="E36" s="1984"/>
      <c r="F36" s="2076"/>
      <c r="G36" s="810"/>
      <c r="H36" s="2801"/>
      <c r="I36" s="1980" t="str">
        <f t="shared" ref="I36:I40" si="4">IF(E36&lt;0,"Il valore deve essere maggiore o uguale a zero","")</f>
        <v/>
      </c>
      <c r="J36" s="810"/>
      <c r="K36" s="1660"/>
      <c r="L36" s="2029">
        <f t="shared" si="1"/>
        <v>0</v>
      </c>
    </row>
    <row r="37" spans="1:12" s="580" customFormat="1" ht="30" customHeight="1">
      <c r="A37" s="1981" t="s">
        <v>31730</v>
      </c>
      <c r="B37" s="2307" t="s">
        <v>31731</v>
      </c>
      <c r="C37" s="2165" t="s">
        <v>28904</v>
      </c>
      <c r="D37" s="3055"/>
      <c r="E37" s="1984"/>
      <c r="F37" s="2076"/>
      <c r="G37" s="810"/>
      <c r="H37" s="2801"/>
      <c r="I37" s="1980" t="str">
        <f>IF(E37&gt;E36,"Il valore deve essere minore o uguale a Cons_irr","")</f>
        <v/>
      </c>
      <c r="J37" s="810"/>
      <c r="K37" s="1660"/>
      <c r="L37" s="2029">
        <f t="shared" si="1"/>
        <v>0</v>
      </c>
    </row>
    <row r="38" spans="1:12" s="580" customFormat="1" ht="30" customHeight="1">
      <c r="A38" s="1981" t="s">
        <v>30888</v>
      </c>
      <c r="B38" s="2198" t="s">
        <v>30889</v>
      </c>
      <c r="C38" s="2165" t="s">
        <v>28904</v>
      </c>
      <c r="D38" s="3055"/>
      <c r="E38" s="1984"/>
      <c r="F38" s="2076"/>
      <c r="G38" s="810"/>
      <c r="H38" s="2801"/>
      <c r="I38" s="1980" t="str">
        <f t="shared" si="4"/>
        <v/>
      </c>
      <c r="J38" s="810"/>
      <c r="K38" s="1660"/>
      <c r="L38" s="2029">
        <f t="shared" si="1"/>
        <v>0</v>
      </c>
    </row>
    <row r="39" spans="1:12" s="580" customFormat="1" ht="30" customHeight="1">
      <c r="A39" s="1981" t="s">
        <v>31732</v>
      </c>
      <c r="B39" s="2307" t="s">
        <v>31733</v>
      </c>
      <c r="C39" s="2165" t="s">
        <v>28904</v>
      </c>
      <c r="D39" s="3055"/>
      <c r="E39" s="1984"/>
      <c r="F39" s="2076"/>
      <c r="G39" s="810"/>
      <c r="H39" s="2801"/>
      <c r="I39" s="1980" t="str">
        <f>IF(E39&gt;E38,"Il valore deve essere minore o uguale a Cons_ind","")</f>
        <v/>
      </c>
      <c r="J39" s="810"/>
      <c r="K39" s="1660"/>
      <c r="L39" s="2029">
        <f t="shared" si="1"/>
        <v>0</v>
      </c>
    </row>
    <row r="40" spans="1:12" s="580" customFormat="1" ht="30" customHeight="1">
      <c r="A40" s="1981" t="s">
        <v>30890</v>
      </c>
      <c r="B40" s="2198" t="s">
        <v>30891</v>
      </c>
      <c r="C40" s="2165" t="s">
        <v>28904</v>
      </c>
      <c r="D40" s="3055"/>
      <c r="E40" s="1984"/>
      <c r="F40" s="2076"/>
      <c r="G40" s="810"/>
      <c r="H40" s="2801"/>
      <c r="I40" s="1980" t="str">
        <f t="shared" si="4"/>
        <v/>
      </c>
      <c r="J40" s="810"/>
      <c r="K40" s="1660"/>
      <c r="L40" s="2029">
        <f t="shared" si="1"/>
        <v>0</v>
      </c>
    </row>
    <row r="41" spans="1:12" s="580" customFormat="1" ht="30" customHeight="1">
      <c r="A41" s="1981" t="s">
        <v>31734</v>
      </c>
      <c r="B41" s="2307" t="s">
        <v>31735</v>
      </c>
      <c r="C41" s="2165" t="s">
        <v>28904</v>
      </c>
      <c r="D41" s="3055"/>
      <c r="E41" s="1984"/>
      <c r="F41" s="2076" t="s">
        <v>31736</v>
      </c>
      <c r="G41" s="810"/>
      <c r="H41" s="2801"/>
      <c r="I41" s="3720" t="str">
        <f>IF(OR(E41&lt;&gt;"",E42&lt;&gt;"",E43&lt;&gt;"",E44&lt;&gt;"",E45&lt;&gt;"",E46&lt;&gt;"",E47&lt;&gt;""),IF(OR(E41&lt;0,E42&lt;0,E43&lt;0,E44&lt;0,E45&lt;0,E46&lt;0,E47&lt;0,E41+E42+E43+E44+E45+E46+E47&lt;&gt;E40),"Ogni di cui deve essere maggiore o uguale a zero e la somma deve essere pari a Cons_al",""),"")</f>
        <v/>
      </c>
      <c r="J41" s="810"/>
      <c r="K41" s="1660"/>
      <c r="L41" s="2029">
        <f t="shared" si="1"/>
        <v>0</v>
      </c>
    </row>
    <row r="42" spans="1:12" s="580" customFormat="1" ht="30" customHeight="1">
      <c r="A42" s="1981" t="s">
        <v>31737</v>
      </c>
      <c r="B42" s="2307" t="s">
        <v>31738</v>
      </c>
      <c r="C42" s="2165" t="s">
        <v>28904</v>
      </c>
      <c r="D42" s="3055"/>
      <c r="E42" s="1984"/>
      <c r="F42" s="2076" t="s">
        <v>31736</v>
      </c>
      <c r="G42" s="810"/>
      <c r="H42" s="2801"/>
      <c r="I42" s="3721"/>
      <c r="J42" s="810"/>
      <c r="K42" s="1660"/>
      <c r="L42" s="2029">
        <f t="shared" si="1"/>
        <v>0</v>
      </c>
    </row>
    <row r="43" spans="1:12" s="580" customFormat="1" ht="30" customHeight="1">
      <c r="A43" s="1981" t="s">
        <v>31739</v>
      </c>
      <c r="B43" s="2307" t="s">
        <v>31740</v>
      </c>
      <c r="C43" s="2165" t="s">
        <v>28904</v>
      </c>
      <c r="D43" s="3055"/>
      <c r="E43" s="1984"/>
      <c r="F43" s="2076" t="s">
        <v>31736</v>
      </c>
      <c r="G43" s="810"/>
      <c r="H43" s="2801"/>
      <c r="I43" s="3721"/>
      <c r="J43" s="810"/>
      <c r="K43" s="1660"/>
      <c r="L43" s="2029">
        <f t="shared" si="1"/>
        <v>0</v>
      </c>
    </row>
    <row r="44" spans="1:12" s="580" customFormat="1" ht="30" customHeight="1">
      <c r="A44" s="1981" t="s">
        <v>31741</v>
      </c>
      <c r="B44" s="2307" t="s">
        <v>31742</v>
      </c>
      <c r="C44" s="2165" t="s">
        <v>28904</v>
      </c>
      <c r="D44" s="3055"/>
      <c r="E44" s="1984"/>
      <c r="F44" s="2076" t="s">
        <v>31736</v>
      </c>
      <c r="G44" s="810"/>
      <c r="H44" s="2801"/>
      <c r="I44" s="3721"/>
      <c r="J44" s="810"/>
      <c r="K44" s="1660"/>
      <c r="L44" s="2029">
        <f t="shared" si="1"/>
        <v>0</v>
      </c>
    </row>
    <row r="45" spans="1:12" s="580" customFormat="1" ht="30" customHeight="1">
      <c r="A45" s="1981" t="s">
        <v>31743</v>
      </c>
      <c r="B45" s="2307" t="s">
        <v>31744</v>
      </c>
      <c r="C45" s="2165" t="s">
        <v>28904</v>
      </c>
      <c r="D45" s="3055"/>
      <c r="E45" s="1984"/>
      <c r="F45" s="2076" t="s">
        <v>31736</v>
      </c>
      <c r="G45" s="810"/>
      <c r="H45" s="2801"/>
      <c r="I45" s="3722"/>
      <c r="J45" s="810"/>
      <c r="K45" s="1660"/>
      <c r="L45" s="2029">
        <f t="shared" si="1"/>
        <v>0</v>
      </c>
    </row>
    <row r="46" spans="1:12" s="580" customFormat="1" ht="30" customHeight="1">
      <c r="A46" s="1981" t="s">
        <v>31745</v>
      </c>
      <c r="B46" s="2307" t="s">
        <v>31746</v>
      </c>
      <c r="C46" s="2165" t="s">
        <v>28904</v>
      </c>
      <c r="D46" s="3055"/>
      <c r="E46" s="1984"/>
      <c r="F46" s="2076" t="s">
        <v>31736</v>
      </c>
      <c r="G46" s="810"/>
      <c r="H46" s="2801"/>
      <c r="I46" s="3722"/>
      <c r="J46" s="810"/>
      <c r="K46" s="1660"/>
      <c r="L46" s="2029">
        <f t="shared" si="1"/>
        <v>0</v>
      </c>
    </row>
    <row r="47" spans="1:12" s="580" customFormat="1" ht="40.5" customHeight="1">
      <c r="A47" s="1981" t="s">
        <v>31747</v>
      </c>
      <c r="B47" s="2307" t="s">
        <v>31748</v>
      </c>
      <c r="C47" s="2165" t="s">
        <v>28904</v>
      </c>
      <c r="D47" s="3055"/>
      <c r="E47" s="1984"/>
      <c r="F47" s="2076" t="s">
        <v>31749</v>
      </c>
      <c r="G47" s="810"/>
      <c r="H47" s="2801"/>
      <c r="I47" s="3723"/>
      <c r="J47" s="810"/>
      <c r="K47" s="1660"/>
      <c r="L47" s="2029">
        <f t="shared" si="1"/>
        <v>0</v>
      </c>
    </row>
    <row r="48" spans="1:12" s="580" customFormat="1" ht="30" customHeight="1">
      <c r="A48" s="1981" t="s">
        <v>30890</v>
      </c>
      <c r="B48" s="2198" t="s">
        <v>30891</v>
      </c>
      <c r="C48" s="2165" t="s">
        <v>28904</v>
      </c>
      <c r="D48" s="3055"/>
      <c r="E48" s="2080">
        <f>E40</f>
        <v>0</v>
      </c>
      <c r="F48" s="2076"/>
      <c r="G48" s="810"/>
      <c r="H48" s="2801"/>
      <c r="I48" s="1980" t="str">
        <f t="shared" ref="I48" si="5">IF(E48&lt;0,"Il valore deve essere maggiore o uguale a zero","")</f>
        <v/>
      </c>
      <c r="J48" s="810"/>
      <c r="K48" s="1660"/>
      <c r="L48" s="2029">
        <f t="shared" si="1"/>
        <v>0</v>
      </c>
    </row>
    <row r="49" spans="1:12" s="580" customFormat="1" ht="30" customHeight="1">
      <c r="A49" s="1981" t="s">
        <v>31750</v>
      </c>
      <c r="B49" s="2307" t="s">
        <v>31751</v>
      </c>
      <c r="C49" s="2165" t="s">
        <v>28904</v>
      </c>
      <c r="D49" s="3055"/>
      <c r="E49" s="1984"/>
      <c r="F49" s="2076"/>
      <c r="G49" s="810"/>
      <c r="H49" s="2801"/>
      <c r="I49" s="1980" t="str">
        <f>IF(E49&gt;E48,"Il valore deve essere minore o uguale a Cons_al","")</f>
        <v/>
      </c>
      <c r="J49" s="810"/>
      <c r="K49" s="1660"/>
      <c r="L49" s="2029">
        <f t="shared" si="1"/>
        <v>0</v>
      </c>
    </row>
    <row r="50" spans="1:12" s="580" customFormat="1" ht="49.5" customHeight="1">
      <c r="A50" s="1981" t="s">
        <v>31752</v>
      </c>
      <c r="B50" s="2192" t="s">
        <v>31753</v>
      </c>
      <c r="C50" s="3041" t="s">
        <v>21</v>
      </c>
      <c r="D50" s="3055"/>
      <c r="E50" s="2074"/>
      <c r="F50" s="2076" t="s">
        <v>31754</v>
      </c>
      <c r="G50" s="810"/>
      <c r="H50" s="2801"/>
      <c r="I50" s="1980" t="str">
        <f>IF(AND(E50="SI",E30="NO"),"Attenzione: è stato indicato NO al quesito QR5","")</f>
        <v/>
      </c>
      <c r="J50" s="810"/>
      <c r="K50" s="1660"/>
      <c r="L50" s="2029">
        <f>IF(I50="",0,1)</f>
        <v>0</v>
      </c>
    </row>
    <row r="51" spans="1:12" s="580" customFormat="1" ht="44.25" customHeight="1">
      <c r="A51" s="1981" t="s">
        <v>31755</v>
      </c>
      <c r="B51" s="2192" t="s">
        <v>31756</v>
      </c>
      <c r="C51" s="3041" t="s">
        <v>21</v>
      </c>
      <c r="D51" s="3055"/>
      <c r="E51" s="2074"/>
      <c r="F51" s="2076" t="s">
        <v>31757</v>
      </c>
      <c r="G51" s="810"/>
      <c r="H51" s="2801"/>
      <c r="I51" s="1980" t="str">
        <f>IF(AND(E51="SI",E30="NO"),"Attenzione: è stato indicato NO al quesito QR5","")</f>
        <v/>
      </c>
      <c r="J51" s="810"/>
      <c r="K51" s="1660"/>
      <c r="L51" s="2029">
        <f>IF(I51="",0,1)</f>
        <v>0</v>
      </c>
    </row>
    <row r="52" spans="1:12" ht="31.5" customHeight="1">
      <c r="A52" s="1981" t="s">
        <v>30892</v>
      </c>
      <c r="B52" s="2192" t="s">
        <v>30893</v>
      </c>
      <c r="C52" s="2165" t="s">
        <v>28904</v>
      </c>
      <c r="D52" s="3060"/>
      <c r="E52" s="2080" t="str">
        <f>IF(E56="","",E56+E57+E59+E61+E62)</f>
        <v/>
      </c>
      <c r="F52" s="2076" t="s">
        <v>30894</v>
      </c>
      <c r="H52" s="2801"/>
      <c r="I52" s="2036"/>
      <c r="K52" s="1660"/>
      <c r="L52" s="2029">
        <f t="shared" si="1"/>
        <v>0</v>
      </c>
    </row>
    <row r="53" spans="1:12" ht="61.5" customHeight="1">
      <c r="A53" s="1981" t="s">
        <v>31758</v>
      </c>
      <c r="B53" s="2192" t="s">
        <v>31759</v>
      </c>
      <c r="C53" s="3041" t="s">
        <v>21</v>
      </c>
      <c r="D53" s="3055"/>
      <c r="E53" s="2074"/>
      <c r="F53" s="2076" t="s">
        <v>31760</v>
      </c>
      <c r="H53" s="2801"/>
      <c r="I53" s="2036"/>
      <c r="K53" s="1660"/>
      <c r="L53" s="2029">
        <f>IF(I53="",0,1)</f>
        <v>0</v>
      </c>
    </row>
    <row r="54" spans="1:12" ht="44.25" customHeight="1">
      <c r="A54" s="1981" t="s">
        <v>31761</v>
      </c>
      <c r="B54" s="2192" t="s">
        <v>31762</v>
      </c>
      <c r="C54" s="3041" t="s">
        <v>28904</v>
      </c>
      <c r="D54" s="3055"/>
      <c r="E54" s="2037" t="str">
        <f>IF(OR(E32="",E53="NO"),"",IF(E32="Bassa",MAX(0,3*E33-(E57+E59+E61+E62)-E64),IF(E32="Media",MAX(0,1.3*E33-(E57+E59+E61+E62)-E64),IF(E32="Alta",MAX(0,0.9*E33-(E57+E59+E61+E62)-E64)))))</f>
        <v/>
      </c>
      <c r="F54" s="2076" t="s">
        <v>31763</v>
      </c>
      <c r="H54" s="2801"/>
      <c r="I54" s="2036"/>
      <c r="K54" s="1660"/>
      <c r="L54" s="2029">
        <f t="shared" si="1"/>
        <v>0</v>
      </c>
    </row>
    <row r="55" spans="1:12" ht="65.25" customHeight="1">
      <c r="A55" s="1981" t="s">
        <v>31764</v>
      </c>
      <c r="B55" s="2192" t="s">
        <v>31765</v>
      </c>
      <c r="C55" s="2165" t="s">
        <v>28904</v>
      </c>
      <c r="D55" s="3055"/>
      <c r="E55" s="1984"/>
      <c r="F55" s="2076" t="s">
        <v>31766</v>
      </c>
      <c r="H55" s="2801"/>
      <c r="I55" s="1980" t="str">
        <f>IF(E53&lt;&gt;"NO","",IF(AND(E15&lt;&gt;"",E54="",E55=""),"Il valore deve essere maggiore o uguale a zero e maggiore o uguale a ∑falda_SII",""))</f>
        <v/>
      </c>
      <c r="K55" s="1660"/>
      <c r="L55" s="2029">
        <f>IF(I55="",0,1)</f>
        <v>0</v>
      </c>
    </row>
    <row r="56" spans="1:12" ht="32.1" customHeight="1">
      <c r="A56" s="1981" t="s">
        <v>30895</v>
      </c>
      <c r="B56" s="2192" t="s">
        <v>31767</v>
      </c>
      <c r="C56" s="2165" t="s">
        <v>28904</v>
      </c>
      <c r="D56" s="3055"/>
      <c r="E56" s="2037" t="str">
        <f>IF(E53&lt;&gt;"NO",E54,E55)</f>
        <v/>
      </c>
      <c r="F56" s="2076" t="s">
        <v>31768</v>
      </c>
      <c r="H56" s="2801"/>
      <c r="I56" s="1980" t="str">
        <f>IF(E56&lt;0,"Il valore deve essere maggiore o uguale a zero",IF(E56&lt;E15,"Il valore è inferiore a ∑falda_SII",""))</f>
        <v/>
      </c>
      <c r="K56" s="1660"/>
      <c r="L56" s="2029">
        <f>IF(I56="",0,1)</f>
        <v>0</v>
      </c>
    </row>
    <row r="57" spans="1:12" ht="32.1" customHeight="1">
      <c r="A57" s="1981" t="s">
        <v>30896</v>
      </c>
      <c r="B57" s="2192" t="s">
        <v>31769</v>
      </c>
      <c r="C57" s="2165" t="s">
        <v>28904</v>
      </c>
      <c r="D57" s="3055"/>
      <c r="E57" s="1984"/>
      <c r="F57" s="2076"/>
      <c r="H57" s="2801"/>
      <c r="I57" s="1980" t="str">
        <f>IF(OR(E57&lt;0,E57&lt;E16),"Il valore deve essere maggiore o uguale a zero e maggiore o uguale a ∑invasi_SII","")</f>
        <v/>
      </c>
      <c r="K57" s="1660"/>
      <c r="L57" s="2029">
        <f t="shared" si="1"/>
        <v>0</v>
      </c>
    </row>
    <row r="58" spans="1:12" ht="32.1" customHeight="1">
      <c r="A58" s="1981" t="s">
        <v>31770</v>
      </c>
      <c r="B58" s="2198" t="s">
        <v>31771</v>
      </c>
      <c r="C58" s="2165" t="s">
        <v>28904</v>
      </c>
      <c r="D58" s="3067"/>
      <c r="E58" s="1984"/>
      <c r="F58" s="2076"/>
      <c r="G58" s="3068"/>
      <c r="H58" s="3069"/>
      <c r="I58" s="1980" t="str">
        <f>IF(E58&gt;E57,"Il valore deve essere minore o uguale a ∑invasi_tot","")</f>
        <v/>
      </c>
      <c r="K58" s="1660"/>
      <c r="L58" s="2029">
        <f t="shared" si="1"/>
        <v>0</v>
      </c>
    </row>
    <row r="59" spans="1:12" ht="32.1" customHeight="1">
      <c r="A59" s="1981" t="s">
        <v>30897</v>
      </c>
      <c r="B59" s="2192" t="s">
        <v>31772</v>
      </c>
      <c r="C59" s="2165" t="s">
        <v>28904</v>
      </c>
      <c r="D59" s="3055"/>
      <c r="E59" s="1984"/>
      <c r="F59" s="2076"/>
      <c r="H59" s="2801"/>
      <c r="I59" s="1980" t="str">
        <f>IF(OR(E59&lt;0,E59&lt;E17),"Il valore deve essere maggiore o uguale a zero e maggiore o uguale a ∑CIS_SII","")</f>
        <v/>
      </c>
      <c r="K59" s="1660"/>
      <c r="L59" s="2029">
        <f t="shared" si="1"/>
        <v>0</v>
      </c>
    </row>
    <row r="60" spans="1:12" ht="32.1" customHeight="1">
      <c r="A60" s="1981" t="s">
        <v>31773</v>
      </c>
      <c r="B60" s="2198" t="s">
        <v>31774</v>
      </c>
      <c r="C60" s="2165" t="s">
        <v>28904</v>
      </c>
      <c r="D60" s="3067"/>
      <c r="E60" s="1984"/>
      <c r="F60" s="2076"/>
      <c r="G60" s="1680"/>
      <c r="H60" s="2801"/>
      <c r="I60" s="1980" t="str">
        <f>IF(E60&gt;E59,"Il valore deve essere minore o uguale a ∑CIS_tot","")</f>
        <v/>
      </c>
      <c r="K60" s="1660"/>
      <c r="L60" s="2029">
        <f t="shared" si="1"/>
        <v>0</v>
      </c>
    </row>
    <row r="61" spans="1:12" ht="39.75" customHeight="1">
      <c r="A61" s="1981" t="s">
        <v>30898</v>
      </c>
      <c r="B61" s="2192" t="s">
        <v>31775</v>
      </c>
      <c r="C61" s="2165" t="s">
        <v>28904</v>
      </c>
      <c r="D61" s="3055"/>
      <c r="E61" s="1984"/>
      <c r="F61" s="2076" t="s">
        <v>31776</v>
      </c>
      <c r="H61" s="2801"/>
      <c r="I61" s="1980" t="str">
        <f>IF(OR(E61&lt;0,E61&lt;E18),"Il valore deve essere maggiore o uguale a zero e maggiore o uguale a ∑dissalazione_SII","")</f>
        <v/>
      </c>
      <c r="K61" s="1660"/>
      <c r="L61" s="2029">
        <f t="shared" si="1"/>
        <v>0</v>
      </c>
    </row>
    <row r="62" spans="1:12" ht="32.1" customHeight="1">
      <c r="A62" s="1981" t="s">
        <v>30899</v>
      </c>
      <c r="B62" s="2192" t="s">
        <v>31777</v>
      </c>
      <c r="C62" s="2165" t="s">
        <v>28904</v>
      </c>
      <c r="D62" s="3055"/>
      <c r="E62" s="1984"/>
      <c r="F62" s="2076"/>
      <c r="H62" s="2801"/>
      <c r="I62" s="1980" t="str">
        <f>IF(OR(E62&lt;0,E62&lt;E19),"Il valore deve essere maggiore o uguale a zero e maggiore o uguale a ∑riuso_SII","")</f>
        <v/>
      </c>
      <c r="K62" s="1660"/>
      <c r="L62" s="2029">
        <f t="shared" si="1"/>
        <v>0</v>
      </c>
    </row>
    <row r="63" spans="1:12" ht="32.1" customHeight="1">
      <c r="A63" s="1981" t="s">
        <v>31778</v>
      </c>
      <c r="B63" s="2198" t="s">
        <v>31779</v>
      </c>
      <c r="C63" s="2165" t="s">
        <v>28904</v>
      </c>
      <c r="D63" s="3067"/>
      <c r="E63" s="1984"/>
      <c r="F63" s="2076"/>
      <c r="G63" s="1680"/>
      <c r="H63" s="2801"/>
      <c r="I63" s="1980" t="str">
        <f>IF(E63&gt;E62,"Il valore deve essere minore o uguale a ∑riuso_tot","")</f>
        <v/>
      </c>
      <c r="K63" s="1660"/>
      <c r="L63" s="2029">
        <f t="shared" si="1"/>
        <v>0</v>
      </c>
    </row>
    <row r="64" spans="1:12" ht="30">
      <c r="A64" s="1981" t="s">
        <v>30900</v>
      </c>
      <c r="B64" s="2192" t="s">
        <v>30901</v>
      </c>
      <c r="C64" s="2165" t="s">
        <v>28904</v>
      </c>
      <c r="D64" s="3055"/>
      <c r="E64" s="3057"/>
      <c r="F64" s="2076" t="s">
        <v>30883</v>
      </c>
      <c r="H64" s="2801"/>
      <c r="I64" s="1980" t="str">
        <f>IF(E64&lt;0,"Il valore deve essere maggiore o uguale a zero","")</f>
        <v/>
      </c>
      <c r="K64" s="1660"/>
      <c r="L64" s="2029">
        <f t="shared" si="1"/>
        <v>0</v>
      </c>
    </row>
    <row r="65" spans="1:12" ht="30">
      <c r="A65" s="1981" t="s">
        <v>30902</v>
      </c>
      <c r="B65" s="2192" t="s">
        <v>30903</v>
      </c>
      <c r="C65" s="2165" t="s">
        <v>28904</v>
      </c>
      <c r="D65" s="3055"/>
      <c r="E65" s="3057"/>
      <c r="F65" s="2076" t="s">
        <v>30883</v>
      </c>
      <c r="H65" s="2801"/>
      <c r="I65" s="1980" t="str">
        <f>IF(E65&lt;0,"Il valore deve essere maggiore o uguale a zero","")</f>
        <v/>
      </c>
      <c r="K65" s="1660"/>
      <c r="L65" s="2029">
        <f t="shared" si="1"/>
        <v>0</v>
      </c>
    </row>
    <row r="66" spans="1:12" s="580" customFormat="1" ht="30" customHeight="1" thickBot="1">
      <c r="A66" s="2856" t="s">
        <v>30907</v>
      </c>
      <c r="B66" s="2233" t="s">
        <v>30908</v>
      </c>
      <c r="C66" s="3070" t="s">
        <v>21</v>
      </c>
      <c r="D66" s="3061"/>
      <c r="E66" s="3062" t="str">
        <f>IF(AND(E56="",E57="",E59="",E61="",E62="",E64=""),"",(E33-E65)/(E52+E64))</f>
        <v/>
      </c>
      <c r="F66" s="1955" t="s">
        <v>30909</v>
      </c>
      <c r="G66" s="810"/>
      <c r="H66" s="2806"/>
      <c r="I66" s="2046" t="str">
        <f>IF(AND(E$3="SI",E66=""),"Indicatore non calcolabile","")</f>
        <v/>
      </c>
      <c r="J66" s="810"/>
      <c r="K66" s="1660"/>
      <c r="L66" s="2029">
        <f>IF(I66="",0,1)</f>
        <v>0</v>
      </c>
    </row>
    <row r="68" spans="1:12" ht="18" thickBot="1">
      <c r="A68" s="1691" t="s">
        <v>31780</v>
      </c>
    </row>
    <row r="69" spans="1:12" ht="28.5" customHeight="1">
      <c r="A69" s="3044" t="s">
        <v>30910</v>
      </c>
      <c r="B69" s="3045" t="s">
        <v>30911</v>
      </c>
      <c r="C69" s="3071" t="s">
        <v>21</v>
      </c>
      <c r="D69" s="3072"/>
      <c r="E69" s="3073" t="str">
        <f>IF(OR(E25="",E66=""),"",IF(AND(E25&lt;0.4,E66&lt;=1),"A",IF(AND(E25&lt;0.5,E66&lt;=1),"B",IF(AND(E25&lt;0.7,E66&lt;=1),"C",IF(AND(E25&lt;0.95,E66&lt;=1),"D","E")))))</f>
        <v/>
      </c>
      <c r="F69" s="1989" t="s">
        <v>30912</v>
      </c>
      <c r="H69" s="2860"/>
      <c r="I69" s="1684"/>
      <c r="K69" s="1660"/>
      <c r="L69" s="2029">
        <f t="shared" si="1"/>
        <v>0</v>
      </c>
    </row>
    <row r="70" spans="1:12" ht="30" customHeight="1">
      <c r="A70" s="2176" t="s">
        <v>30913</v>
      </c>
      <c r="B70" s="2177" t="s">
        <v>30914</v>
      </c>
      <c r="C70" s="2162" t="s">
        <v>21</v>
      </c>
      <c r="D70" s="3074"/>
      <c r="E70" s="2081" t="str">
        <f>IF(E69="A","Mantenimento",IF(E69="B","+0,2% di DISP",IF(E69="C","+0,5% di DISP",IF(E69="D","+0,7% di DISP",IF(E69="E","+1% di DISP","")))))</f>
        <v/>
      </c>
      <c r="F70" s="2076" t="s">
        <v>30912</v>
      </c>
      <c r="H70" s="2840"/>
      <c r="I70" s="2052"/>
      <c r="K70" s="1660"/>
      <c r="L70" s="2029">
        <f>IF(I70="",0,1)</f>
        <v>0</v>
      </c>
    </row>
    <row r="71" spans="1:12" ht="30" customHeight="1">
      <c r="A71" s="2176" t="s">
        <v>30905</v>
      </c>
      <c r="B71" s="2177" t="s">
        <v>30906</v>
      </c>
      <c r="C71" s="3075" t="s">
        <v>28904</v>
      </c>
      <c r="D71" s="3076"/>
      <c r="E71" s="3077">
        <f>E14+E20+E23</f>
        <v>0</v>
      </c>
      <c r="F71" s="1988" t="s">
        <v>30894</v>
      </c>
      <c r="H71" s="2840"/>
      <c r="I71" s="2052"/>
      <c r="K71" s="1660"/>
      <c r="L71" s="2029">
        <f>IF(I71="",0,1)</f>
        <v>0</v>
      </c>
    </row>
    <row r="72" spans="1:12" ht="30" customHeight="1">
      <c r="A72" s="2050" t="s">
        <v>31781</v>
      </c>
      <c r="B72" s="2226" t="s">
        <v>31782</v>
      </c>
      <c r="C72" s="2165" t="s">
        <v>30</v>
      </c>
      <c r="D72" s="3076"/>
      <c r="E72" s="3078"/>
      <c r="F72" s="2293" t="s">
        <v>31783</v>
      </c>
      <c r="H72" s="2840"/>
      <c r="I72" s="2052"/>
      <c r="K72" s="1660"/>
      <c r="L72" s="2029">
        <f t="shared" ref="L72:L88" si="6">IF(I72="",0,1)</f>
        <v>0</v>
      </c>
    </row>
    <row r="73" spans="1:12" ht="30" customHeight="1">
      <c r="A73" s="2050" t="s">
        <v>31784</v>
      </c>
      <c r="B73" s="2226" t="s">
        <v>31785</v>
      </c>
      <c r="C73" s="2165" t="s">
        <v>30</v>
      </c>
      <c r="D73" s="3076"/>
      <c r="E73" s="3078"/>
      <c r="F73" s="2293" t="s">
        <v>31783</v>
      </c>
      <c r="H73" s="2840"/>
      <c r="I73" s="2052"/>
      <c r="K73" s="1660"/>
      <c r="L73" s="2029">
        <f t="shared" si="6"/>
        <v>0</v>
      </c>
    </row>
    <row r="74" spans="1:12" ht="30" customHeight="1">
      <c r="A74" s="2050" t="s">
        <v>31786</v>
      </c>
      <c r="B74" s="2226" t="s">
        <v>31787</v>
      </c>
      <c r="C74" s="2165" t="s">
        <v>30</v>
      </c>
      <c r="D74" s="3076"/>
      <c r="E74" s="3078"/>
      <c r="F74" s="2293" t="s">
        <v>31783</v>
      </c>
      <c r="H74" s="2840"/>
      <c r="I74" s="2052"/>
      <c r="K74" s="1660"/>
      <c r="L74" s="2029">
        <f t="shared" si="6"/>
        <v>0</v>
      </c>
    </row>
    <row r="75" spans="1:12" ht="30" customHeight="1">
      <c r="A75" s="2050" t="s">
        <v>31788</v>
      </c>
      <c r="B75" s="2226" t="s">
        <v>31789</v>
      </c>
      <c r="C75" s="2165" t="s">
        <v>30</v>
      </c>
      <c r="D75" s="3076"/>
      <c r="E75" s="3078"/>
      <c r="F75" s="2293" t="s">
        <v>31783</v>
      </c>
      <c r="H75" s="2840"/>
      <c r="I75" s="2052"/>
      <c r="K75" s="1660"/>
      <c r="L75" s="2029">
        <f t="shared" si="6"/>
        <v>0</v>
      </c>
    </row>
    <row r="76" spans="1:12" ht="30" customHeight="1">
      <c r="A76" s="2077" t="s">
        <v>31790</v>
      </c>
      <c r="B76" s="2191" t="s">
        <v>31791</v>
      </c>
      <c r="C76" s="3079" t="s">
        <v>30</v>
      </c>
      <c r="D76" s="3076"/>
      <c r="E76" s="3080" t="str">
        <f>IFERROR(IF(E25="","",AVERAGE(E72:E75)),"")</f>
        <v/>
      </c>
      <c r="F76" s="2293" t="s">
        <v>31792</v>
      </c>
      <c r="H76" s="2840"/>
      <c r="I76" s="2052"/>
      <c r="K76" s="1660"/>
      <c r="L76" s="2029">
        <f t="shared" si="6"/>
        <v>0</v>
      </c>
    </row>
    <row r="77" spans="1:12" ht="30" customHeight="1">
      <c r="A77" s="2050" t="s">
        <v>31793</v>
      </c>
      <c r="B77" s="2226" t="s">
        <v>31794</v>
      </c>
      <c r="C77" s="3081" t="s">
        <v>31795</v>
      </c>
      <c r="D77" s="3076"/>
      <c r="E77" s="3078"/>
      <c r="F77" s="2293" t="s">
        <v>31783</v>
      </c>
      <c r="H77" s="2840"/>
      <c r="I77" s="2052"/>
      <c r="K77" s="1660"/>
      <c r="L77" s="2029">
        <f t="shared" si="6"/>
        <v>0</v>
      </c>
    </row>
    <row r="78" spans="1:12" ht="30" customHeight="1">
      <c r="A78" s="2050" t="s">
        <v>31796</v>
      </c>
      <c r="B78" s="2226" t="s">
        <v>31797</v>
      </c>
      <c r="C78" s="3081" t="s">
        <v>31798</v>
      </c>
      <c r="D78" s="3076"/>
      <c r="E78" s="3078"/>
      <c r="F78" s="2293" t="s">
        <v>31783</v>
      </c>
      <c r="H78" s="2840"/>
      <c r="I78" s="2052"/>
      <c r="K78" s="1660"/>
      <c r="L78" s="2029">
        <f t="shared" si="6"/>
        <v>0</v>
      </c>
    </row>
    <row r="79" spans="1:12" ht="30" customHeight="1">
      <c r="A79" s="2050" t="s">
        <v>31799</v>
      </c>
      <c r="B79" s="2226" t="s">
        <v>31800</v>
      </c>
      <c r="C79" s="3081" t="s">
        <v>31798</v>
      </c>
      <c r="D79" s="3076"/>
      <c r="E79" s="3078"/>
      <c r="F79" s="2293" t="s">
        <v>31783</v>
      </c>
      <c r="H79" s="2840"/>
      <c r="I79" s="2052"/>
      <c r="K79" s="1660"/>
      <c r="L79" s="2029">
        <f t="shared" si="6"/>
        <v>0</v>
      </c>
    </row>
    <row r="80" spans="1:12" ht="30" customHeight="1">
      <c r="A80" s="2050" t="s">
        <v>31801</v>
      </c>
      <c r="B80" s="2226" t="s">
        <v>31802</v>
      </c>
      <c r="C80" s="3081" t="s">
        <v>31798</v>
      </c>
      <c r="D80" s="3076"/>
      <c r="E80" s="3078"/>
      <c r="F80" s="2293" t="s">
        <v>31783</v>
      </c>
      <c r="H80" s="2840"/>
      <c r="I80" s="2052"/>
      <c r="K80" s="1660"/>
      <c r="L80" s="2029">
        <f t="shared" si="6"/>
        <v>0</v>
      </c>
    </row>
    <row r="81" spans="1:12" ht="30" customHeight="1">
      <c r="A81" s="2050" t="s">
        <v>31803</v>
      </c>
      <c r="B81" s="2226" t="s">
        <v>31804</v>
      </c>
      <c r="C81" s="3081" t="s">
        <v>31798</v>
      </c>
      <c r="D81" s="3076"/>
      <c r="E81" s="3078"/>
      <c r="F81" s="2293" t="s">
        <v>31783</v>
      </c>
      <c r="H81" s="2840"/>
      <c r="I81" s="2052"/>
      <c r="K81" s="1660"/>
      <c r="L81" s="2029">
        <f t="shared" si="6"/>
        <v>0</v>
      </c>
    </row>
    <row r="82" spans="1:12" ht="30" customHeight="1">
      <c r="A82" s="2050" t="s">
        <v>31805</v>
      </c>
      <c r="B82" s="2226" t="s">
        <v>31806</v>
      </c>
      <c r="C82" s="3081" t="s">
        <v>31798</v>
      </c>
      <c r="D82" s="3076"/>
      <c r="E82" s="3078"/>
      <c r="F82" s="2293" t="s">
        <v>31783</v>
      </c>
      <c r="H82" s="2840"/>
      <c r="I82" s="2052"/>
      <c r="K82" s="1660"/>
      <c r="L82" s="2029">
        <f t="shared" si="6"/>
        <v>0</v>
      </c>
    </row>
    <row r="83" spans="1:12" ht="30" customHeight="1">
      <c r="A83" s="2050" t="s">
        <v>31807</v>
      </c>
      <c r="B83" s="2226" t="s">
        <v>31808</v>
      </c>
      <c r="C83" s="3081" t="s">
        <v>31798</v>
      </c>
      <c r="D83" s="3076"/>
      <c r="E83" s="3078"/>
      <c r="F83" s="2293" t="s">
        <v>31783</v>
      </c>
      <c r="H83" s="2840"/>
      <c r="I83" s="2052"/>
      <c r="K83" s="1660"/>
      <c r="L83" s="2029">
        <f t="shared" si="6"/>
        <v>0</v>
      </c>
    </row>
    <row r="84" spans="1:12" ht="30" customHeight="1">
      <c r="A84" s="2050" t="s">
        <v>31809</v>
      </c>
      <c r="B84" s="2226" t="s">
        <v>31810</v>
      </c>
      <c r="C84" s="3081" t="s">
        <v>31798</v>
      </c>
      <c r="D84" s="3076"/>
      <c r="E84" s="3078"/>
      <c r="F84" s="2293" t="s">
        <v>31783</v>
      </c>
      <c r="H84" s="2840"/>
      <c r="I84" s="2052"/>
      <c r="K84" s="1660"/>
      <c r="L84" s="2029">
        <f t="shared" si="6"/>
        <v>0</v>
      </c>
    </row>
    <row r="85" spans="1:12" ht="30" customHeight="1">
      <c r="A85" s="2077" t="s">
        <v>31811</v>
      </c>
      <c r="B85" s="2191" t="s">
        <v>31812</v>
      </c>
      <c r="C85" s="3079" t="s">
        <v>21</v>
      </c>
      <c r="D85" s="3076"/>
      <c r="E85" s="3082" t="str">
        <f>IFERROR(IF(E25="","",SUM(E81:E84)/SUM(E77:E80)),"")</f>
        <v/>
      </c>
      <c r="F85" s="2293" t="s">
        <v>31813</v>
      </c>
      <c r="H85" s="2840"/>
      <c r="I85" s="2052"/>
      <c r="K85" s="1660"/>
      <c r="L85" s="2029">
        <f t="shared" si="6"/>
        <v>0</v>
      </c>
    </row>
    <row r="86" spans="1:12" ht="45">
      <c r="A86" s="1981" t="s">
        <v>31814</v>
      </c>
      <c r="B86" s="2166" t="s">
        <v>29023</v>
      </c>
      <c r="C86" s="1953" t="s">
        <v>29024</v>
      </c>
      <c r="D86" s="3055"/>
      <c r="E86" s="1984"/>
      <c r="F86" s="2076" t="s">
        <v>31815</v>
      </c>
      <c r="H86" s="2801"/>
      <c r="I86" s="1980" t="str">
        <f>IF(E86&lt;0,"Il valore deve essere maggiore o uguale a zero","")</f>
        <v/>
      </c>
      <c r="K86" s="1660"/>
      <c r="L86" s="2029">
        <f t="shared" si="6"/>
        <v>0</v>
      </c>
    </row>
    <row r="87" spans="1:12" ht="30">
      <c r="A87" s="1981" t="s">
        <v>31816</v>
      </c>
      <c r="B87" s="2166" t="s">
        <v>29026</v>
      </c>
      <c r="C87" s="2165" t="s">
        <v>29024</v>
      </c>
      <c r="D87" s="3055"/>
      <c r="E87" s="1984"/>
      <c r="F87" s="2076" t="s">
        <v>31815</v>
      </c>
      <c r="H87" s="2801"/>
      <c r="I87" s="1980" t="str">
        <f>IF(E87&lt;0,"Il valore deve essere maggiore o uguale a zero","")</f>
        <v/>
      </c>
      <c r="K87" s="1660"/>
      <c r="L87" s="2029">
        <f t="shared" si="6"/>
        <v>0</v>
      </c>
    </row>
    <row r="88" spans="1:12" ht="31.5" customHeight="1">
      <c r="A88" s="2176" t="s">
        <v>30915</v>
      </c>
      <c r="B88" s="2177" t="s">
        <v>30916</v>
      </c>
      <c r="C88" s="2162" t="s">
        <v>30</v>
      </c>
      <c r="D88" s="3083"/>
      <c r="E88" s="2082" t="str">
        <f>IF('QT-Acquedotto'!E67&lt;0.7,1,IF(AND(E87&gt;0,E86&gt;0),E86/E87,""))</f>
        <v/>
      </c>
      <c r="F88" s="2293" t="s">
        <v>31817</v>
      </c>
      <c r="H88" s="2828"/>
      <c r="I88" s="2075"/>
      <c r="K88" s="1660"/>
      <c r="L88" s="2029">
        <f t="shared" si="6"/>
        <v>0</v>
      </c>
    </row>
    <row r="89" spans="1:12" ht="30">
      <c r="A89" s="1981" t="s">
        <v>30917</v>
      </c>
      <c r="B89" s="2166" t="s">
        <v>30918</v>
      </c>
      <c r="C89" s="2165" t="s">
        <v>28904</v>
      </c>
      <c r="D89" s="3055"/>
      <c r="E89" s="1984"/>
      <c r="F89" s="2076" t="s">
        <v>31815</v>
      </c>
      <c r="H89" s="2801"/>
      <c r="I89" s="1980" t="str">
        <f>IF(E89&lt;0,"Il valore deve essere maggiore o uguale a zero","")</f>
        <v/>
      </c>
      <c r="K89" s="1660"/>
      <c r="L89" s="2029">
        <f t="shared" si="1"/>
        <v>0</v>
      </c>
    </row>
    <row r="90" spans="1:12" ht="30.75" customHeight="1" thickBot="1">
      <c r="A90" s="2856" t="s">
        <v>30919</v>
      </c>
      <c r="B90" s="2233" t="s">
        <v>30920</v>
      </c>
      <c r="C90" s="3070" t="s">
        <v>30</v>
      </c>
      <c r="D90" s="3084"/>
      <c r="E90" s="2318" t="str">
        <f>IF(AND(E34&gt;0,E89&gt;0),E89/E34,"")</f>
        <v/>
      </c>
      <c r="F90" s="3085" t="s">
        <v>31818</v>
      </c>
      <c r="H90" s="3086"/>
      <c r="I90" s="2319"/>
      <c r="K90" s="1660"/>
      <c r="L90" s="2029">
        <f t="shared" si="1"/>
        <v>0</v>
      </c>
    </row>
    <row r="91" spans="1:12">
      <c r="K91" s="1660"/>
      <c r="L91" s="1660"/>
    </row>
    <row r="108" spans="2:2">
      <c r="B108" s="2236" t="s">
        <v>29118</v>
      </c>
    </row>
    <row r="109" spans="2:2">
      <c r="B109" s="1973" t="s">
        <v>29119</v>
      </c>
    </row>
    <row r="110" spans="2:2">
      <c r="B110" s="2237"/>
    </row>
    <row r="111" spans="2:2">
      <c r="B111" s="1974" t="s">
        <v>137</v>
      </c>
    </row>
    <row r="112" spans="2:2">
      <c r="B112" s="1692"/>
    </row>
    <row r="113" spans="1:2">
      <c r="B113" s="2238"/>
    </row>
    <row r="114" spans="1:2">
      <c r="A114" s="1693"/>
      <c r="B114" s="1996" t="s">
        <v>3</v>
      </c>
    </row>
    <row r="116" spans="1:2">
      <c r="B116" s="3087" t="s">
        <v>31819</v>
      </c>
    </row>
    <row r="117" spans="1:2">
      <c r="B117" s="3088" t="s">
        <v>31820</v>
      </c>
    </row>
    <row r="118" spans="1:2">
      <c r="B118" s="3089" t="s">
        <v>31821</v>
      </c>
    </row>
    <row r="120" spans="1:2">
      <c r="B120" s="2237" t="s">
        <v>133</v>
      </c>
    </row>
    <row r="121" spans="1:2">
      <c r="B121" s="1974" t="s">
        <v>137</v>
      </c>
    </row>
  </sheetData>
  <sheetProtection algorithmName="SHA-512" hashValue="hImVs7n6B/fEP7JOXxR/tViXQlaluug6IqgPWsdlsi4vdyLFrKkasSPDpXgRVta/PT0HHQnyCJjvEyI0fdIFdw==" saltValue="7Vk0toUm8y8DhIIokoA7ig==" spinCount="100000" sheet="1" objects="1" scenarios="1"/>
  <mergeCells count="1">
    <mergeCell ref="I41:I47"/>
  </mergeCells>
  <conditionalFormatting sqref="L2">
    <cfRule type="cellIs" dxfId="29" priority="1" operator="lessThanOrEqual">
      <formula>0</formula>
    </cfRule>
    <cfRule type="cellIs" dxfId="28" priority="2" operator="greaterThan">
      <formula>0</formula>
    </cfRule>
  </conditionalFormatting>
  <dataValidations count="5">
    <dataValidation type="list" allowBlank="1" showInputMessage="1" showErrorMessage="1" sqref="E6 E50:E51 E28:E30" xr:uid="{1559C071-3DEC-4EB0-B2CA-3295AE1C2FA9}">
      <formula1>$B$120:$B$121</formula1>
    </dataValidation>
    <dataValidation type="list" allowBlank="1" showInputMessage="1" showErrorMessage="1" sqref="E32" xr:uid="{E3ADEFDE-3B32-423F-AA5B-835F743015A6}">
      <formula1>$B$116:$B$118</formula1>
    </dataValidation>
    <dataValidation type="list" showInputMessage="1" showErrorMessage="1" sqref="D10:E10" xr:uid="{54E00A0C-ECBC-4E5C-A214-B9994EF2C73B}">
      <formula1>$B$108:$B$109</formula1>
    </dataValidation>
    <dataValidation type="list" allowBlank="1" showInputMessage="1" showErrorMessage="1" sqref="D6 E53" xr:uid="{B84BE064-0CFA-44B6-9B69-DA7EFBE107BB}">
      <formula1>$B$110:$B$111</formula1>
    </dataValidation>
    <dataValidation type="list" allowBlank="1" showInputMessage="1" showErrorMessage="1" sqref="E11" xr:uid="{D89B4042-F8EF-45F5-80CE-E9D15F27D6DE}">
      <formula1>$B$113:$B$114</formula1>
    </dataValidation>
  </dataValidations>
  <pageMargins left="0.59055118110236227" right="0.23622047244094491" top="0.31496062992125984" bottom="0.35433070866141736" header="0.15748031496062992" footer="0.19685039370078741"/>
  <pageSetup paperSize="8" fitToHeight="0" orientation="landscape" r:id="rId1"/>
  <drawing r:id="rId2"/>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01BA2-C55C-4290-B0FA-4D8E7E996AD5}">
  <sheetPr codeName="Foglio49">
    <tabColor rgb="FFC5D9F1"/>
  </sheetPr>
  <dimension ref="A1:Z139"/>
  <sheetViews>
    <sheetView showGridLines="0" zoomScale="85" zoomScaleNormal="85" workbookViewId="0">
      <pane ySplit="2" topLeftCell="A3" activePane="bottomLeft" state="frozen"/>
      <selection pane="bottomLeft"/>
    </sheetView>
  </sheetViews>
  <sheetFormatPr defaultColWidth="8.5703125" defaultRowHeight="15"/>
  <cols>
    <col min="1" max="1" width="7.5703125" customWidth="1"/>
    <col min="2" max="2" width="40.5703125" customWidth="1"/>
    <col min="3" max="5" width="18.42578125" customWidth="1"/>
    <col min="6" max="7" width="12.42578125" customWidth="1"/>
    <col min="8" max="9" width="2.42578125" customWidth="1"/>
    <col min="10" max="10" width="63.5703125" customWidth="1"/>
    <col min="11" max="11" width="13.42578125" customWidth="1"/>
    <col min="12" max="18" width="11.42578125" customWidth="1"/>
    <col min="19" max="19" width="10.42578125" hidden="1" customWidth="1"/>
    <col min="20" max="20" width="25.42578125" hidden="1" customWidth="1"/>
    <col min="21" max="21" width="29.42578125" hidden="1" customWidth="1"/>
    <col min="22" max="22" width="26.42578125" hidden="1" customWidth="1"/>
    <col min="23" max="23" width="8.5703125" hidden="1" customWidth="1"/>
    <col min="24" max="24" width="8.5703125" customWidth="1"/>
    <col min="25" max="25" width="20.5703125" customWidth="1"/>
    <col min="26" max="26" width="19.42578125" customWidth="1"/>
  </cols>
  <sheetData>
    <row r="1" spans="1:26" s="565" customFormat="1" ht="94.35" customHeight="1" thickBot="1">
      <c r="A1"/>
      <c r="B1" s="1512" t="s">
        <v>31822</v>
      </c>
      <c r="F1" s="1712"/>
      <c r="G1"/>
      <c r="S1" s="3757"/>
      <c r="T1" s="3757"/>
      <c r="U1" s="3757"/>
      <c r="V1" s="3757"/>
      <c r="W1" s="3757"/>
      <c r="Y1" s="1713" t="s">
        <v>29730</v>
      </c>
      <c r="Z1" s="1714" t="s">
        <v>28873</v>
      </c>
    </row>
    <row r="2" spans="1:26" ht="48.75" customHeight="1" thickBot="1">
      <c r="A2" s="3755" t="s">
        <v>29515</v>
      </c>
      <c r="B2" s="3756"/>
      <c r="C2" s="1715" t="s">
        <v>31823</v>
      </c>
      <c r="D2" s="2022" t="s">
        <v>31824</v>
      </c>
      <c r="E2" s="2022" t="s">
        <v>31825</v>
      </c>
      <c r="F2" s="2006" t="s">
        <v>31826</v>
      </c>
      <c r="G2" s="2016" t="s">
        <v>31827</v>
      </c>
      <c r="T2" t="s">
        <v>29515</v>
      </c>
      <c r="V2" t="s">
        <v>31824</v>
      </c>
      <c r="Y2" s="2095">
        <f>31-(COUNTIF(C3:C6,"")+COUNTIF(C12:C15,"")+COUNTIF(C21:C22,"")+COUNTIF(C28:C32,"")+COUNTIF(C40:C44,"")+COUNTIF(C52:C56,"")+COUNTIF(C62:C64,"")+COUNTIF(C70:C72,""))</f>
        <v>0</v>
      </c>
      <c r="Z2" s="1716" t="b">
        <f>+Y2&lt;5</f>
        <v>1</v>
      </c>
    </row>
    <row r="3" spans="1:26" ht="20.100000000000001" customHeight="1">
      <c r="A3" s="3758" t="s">
        <v>30132</v>
      </c>
      <c r="B3" s="3090" t="s">
        <v>30921</v>
      </c>
      <c r="C3" s="3237"/>
      <c r="D3" s="3091"/>
      <c r="E3" s="3092"/>
      <c r="F3" s="3093"/>
      <c r="G3" s="2084"/>
      <c r="J3" s="3760" t="s">
        <v>31828</v>
      </c>
      <c r="K3" s="3761"/>
      <c r="L3" s="3762"/>
      <c r="T3" t="s">
        <v>30132</v>
      </c>
      <c r="U3" t="s">
        <v>30935</v>
      </c>
      <c r="V3" s="1723" t="str">
        <f>IF('QT-Resilienza'!$E$10="","",'QT-Resilienza'!$E$10)</f>
        <v/>
      </c>
      <c r="Y3" s="362"/>
      <c r="Z3" s="2083"/>
    </row>
    <row r="4" spans="1:26" ht="20.100000000000001" customHeight="1">
      <c r="A4" s="3758"/>
      <c r="B4" s="3090" t="s">
        <v>30878</v>
      </c>
      <c r="C4" s="3238"/>
      <c r="D4" s="3094"/>
      <c r="E4" s="3095"/>
      <c r="F4" s="3096"/>
      <c r="G4" s="2085"/>
      <c r="J4" s="3763"/>
      <c r="K4" s="3764"/>
      <c r="L4" s="3765"/>
      <c r="U4" t="s">
        <v>30878</v>
      </c>
      <c r="V4" s="3097" t="str">
        <f>IF('QT-Resilienza'!$E$25="","",'QT-Resilienza'!$E$25)</f>
        <v/>
      </c>
      <c r="Y4" s="362"/>
      <c r="Z4" s="2083"/>
    </row>
    <row r="5" spans="1:26" ht="20.100000000000001" customHeight="1" thickBot="1">
      <c r="A5" s="3758"/>
      <c r="B5" s="3090" t="s">
        <v>30907</v>
      </c>
      <c r="C5" s="3238"/>
      <c r="D5" s="3094"/>
      <c r="E5" s="3095"/>
      <c r="F5" s="3098"/>
      <c r="G5" s="2086"/>
      <c r="J5" s="3766"/>
      <c r="K5" s="3767"/>
      <c r="L5" s="3768"/>
      <c r="U5" t="s">
        <v>30907</v>
      </c>
      <c r="V5" s="3097" t="str">
        <f>IF('QT-Resilienza'!$E$66="","",'QT-Resilienza'!$E$66)</f>
        <v/>
      </c>
      <c r="Y5" s="362"/>
      <c r="Z5" s="2083"/>
    </row>
    <row r="6" spans="1:26" ht="20.100000000000001" customHeight="1">
      <c r="A6" s="3758"/>
      <c r="B6" s="3090" t="s">
        <v>30905</v>
      </c>
      <c r="C6" s="3239"/>
      <c r="D6" s="3185" t="str">
        <f>IF(C7="A",C6,C9)</f>
        <v/>
      </c>
      <c r="E6" s="3186" t="str">
        <f>IF(D7="A",D6,D9)</f>
        <v/>
      </c>
      <c r="F6" s="3098"/>
      <c r="G6" s="2086"/>
      <c r="J6" s="1721" t="s">
        <v>29575</v>
      </c>
      <c r="U6" t="s">
        <v>30905</v>
      </c>
      <c r="V6" s="3099">
        <f>IF('QT-Resilienza'!$E$71="","",'QT-Resilienza'!$E$71)</f>
        <v>0</v>
      </c>
      <c r="Y6" s="362"/>
      <c r="Z6" s="2083"/>
    </row>
    <row r="7" spans="1:26" ht="20.100000000000001" customHeight="1">
      <c r="A7" s="3758"/>
      <c r="B7" s="3090" t="s">
        <v>29519</v>
      </c>
      <c r="C7" s="3100" t="str">
        <f>IF(OR(C4="",C5=""),"",IF(AND(C4&lt;0.4,C5&lt;=1),"A",IF(AND(C4&lt;0.5,C5&lt;=1),"B",IF(AND(C4&lt;0.7,C5&lt;=1),"C",IF(AND(C4&lt;0.95,C5&lt;=1),"D","E")))))</f>
        <v/>
      </c>
      <c r="D7" s="3187" t="str">
        <f>C7</f>
        <v/>
      </c>
      <c r="E7" s="3188" t="str">
        <f>D7</f>
        <v/>
      </c>
      <c r="F7" s="3101"/>
      <c r="G7" s="2087"/>
      <c r="U7" t="s">
        <v>29519</v>
      </c>
      <c r="V7" s="3102"/>
      <c r="Y7" s="362"/>
      <c r="Z7" s="2083"/>
    </row>
    <row r="8" spans="1:26" ht="20.100000000000001" customHeight="1">
      <c r="A8" s="3758"/>
      <c r="B8" s="3090" t="s">
        <v>29520</v>
      </c>
      <c r="C8" s="3100" t="str">
        <f>IF(C7="A","Mantenimento",IF(C7="B","+0,2% di DISP",IF(C7="C","+0,5% di DISP",IF(C7="D","+0,7% di DISP",IF(C7="E","+1% di DISP","")))))</f>
        <v/>
      </c>
      <c r="D8" s="3189" t="str">
        <f>IF(D7="A","Mantenimento",IF(D7="B","+0,2% di DISP",IF(D7="C","+0,5% di DISP",IF(D7="D","+0,7% di DISP",IF(D7="E","+1% di DISP","")))))</f>
        <v/>
      </c>
      <c r="E8" s="3190"/>
      <c r="F8" s="3103"/>
      <c r="G8" s="2088"/>
      <c r="U8" t="s">
        <v>29520</v>
      </c>
      <c r="V8" s="3102"/>
      <c r="Y8" s="362"/>
      <c r="Z8" s="2083"/>
    </row>
    <row r="9" spans="1:26" ht="20.100000000000001" customHeight="1">
      <c r="A9" s="3758"/>
      <c r="B9" s="3090" t="s">
        <v>30922</v>
      </c>
      <c r="C9" s="3104" t="str">
        <f>IF(C7="A","",IF(C7="B",C6+(0.002*C6),IF(C7="C",C6+(0.005*C6),IF(C7="D",C6+(0.007*C6),IF(C7="E",C6+(0.01*C6),"")))))</f>
        <v/>
      </c>
      <c r="D9" s="3191" t="str">
        <f>IF(D7="A","",IF(D7="B",D6+(0.002*D6),IF(D7="C",D6+(0.005*D6),IF(D7="D",D6+(0.007*D6),IF(D7="E",D6+(0.01*D6),"")))))</f>
        <v/>
      </c>
      <c r="E9" s="3190"/>
      <c r="F9" s="3103"/>
      <c r="G9" s="2088"/>
      <c r="U9" t="s">
        <v>30922</v>
      </c>
      <c r="V9" s="3105"/>
      <c r="Y9" s="362"/>
      <c r="Z9" s="2083"/>
    </row>
    <row r="10" spans="1:26" ht="20.100000000000001" customHeight="1">
      <c r="A10" s="3758"/>
      <c r="B10" s="3090" t="s">
        <v>29522</v>
      </c>
      <c r="C10" s="3106" t="s">
        <v>30598</v>
      </c>
      <c r="D10" s="3106"/>
      <c r="E10" s="2096"/>
      <c r="F10" s="3103"/>
      <c r="G10" s="2089"/>
      <c r="U10" t="s">
        <v>29528</v>
      </c>
      <c r="V10" s="3107"/>
      <c r="Y10" s="362"/>
      <c r="Z10" s="2083"/>
    </row>
    <row r="11" spans="1:26" ht="30.75" customHeight="1" thickBot="1">
      <c r="A11" s="3759"/>
      <c r="B11" s="2090" t="s">
        <v>30923</v>
      </c>
      <c r="C11" s="3108">
        <v>2025</v>
      </c>
      <c r="D11" s="3133"/>
      <c r="E11" s="2097"/>
      <c r="F11" s="2091"/>
      <c r="G11" s="2383"/>
      <c r="U11" t="s">
        <v>30923</v>
      </c>
      <c r="Y11" s="362"/>
      <c r="Z11" s="2083"/>
    </row>
    <row r="12" spans="1:26" ht="20.100000000000001" customHeight="1">
      <c r="A12" s="3738" t="s">
        <v>25471</v>
      </c>
      <c r="B12" s="1717" t="s">
        <v>29516</v>
      </c>
      <c r="C12" s="3240"/>
      <c r="D12" s="3109"/>
      <c r="E12" s="3110"/>
      <c r="F12" s="1718"/>
      <c r="G12" s="1719"/>
      <c r="T12" t="s">
        <v>25471</v>
      </c>
      <c r="U12" t="s">
        <v>29516</v>
      </c>
      <c r="V12" s="1720" t="str">
        <f>'QT-Acquedotto'!$E$22</f>
        <v/>
      </c>
    </row>
    <row r="13" spans="1:26" ht="20.100000000000001" customHeight="1">
      <c r="A13" s="3739"/>
      <c r="B13" s="3090" t="s">
        <v>29517</v>
      </c>
      <c r="C13" s="3241"/>
      <c r="D13" s="3192"/>
      <c r="E13" s="3193"/>
      <c r="F13" s="3111"/>
      <c r="G13" s="2445"/>
      <c r="U13" t="s">
        <v>29518</v>
      </c>
      <c r="V13" s="3112" t="str">
        <f>IF('QT-Acquedotto'!$E$23="","",'QT-Acquedotto'!$E$23)</f>
        <v/>
      </c>
    </row>
    <row r="14" spans="1:26" ht="20.100000000000001" customHeight="1">
      <c r="A14" s="3739"/>
      <c r="B14" s="3090" t="s">
        <v>25451</v>
      </c>
      <c r="C14" s="3238"/>
      <c r="D14" s="3194" t="str">
        <f>IF(C16="A",$C14,C18)</f>
        <v/>
      </c>
      <c r="E14" s="3195" t="str">
        <f>IF(D16="A",$D14,D18)</f>
        <v/>
      </c>
      <c r="F14" s="3096"/>
      <c r="G14" s="2085"/>
      <c r="U14" t="s">
        <v>25451</v>
      </c>
      <c r="V14" s="3097" t="str">
        <f>IF('QT-Acquedotto'!$E$45="","",'QT-Acquedotto'!$E$45)</f>
        <v/>
      </c>
    </row>
    <row r="15" spans="1:26" ht="20.100000000000001" customHeight="1">
      <c r="A15" s="3739"/>
      <c r="B15" s="3090" t="s">
        <v>28970</v>
      </c>
      <c r="C15" s="3242"/>
      <c r="D15" s="3196" t="str">
        <f>IF(C16="A",C15,IF(C16="B",C15-(0.02*C15),IF(C16="C",C15-(0.04*C15),IF(C16="D",C15-(0.05*C15),IF(C16="E",C15-(0.06*C15),"")))))</f>
        <v/>
      </c>
      <c r="E15" s="3197" t="str">
        <f>IF(D16="A",D15,IF(D16="B",D15-(0.02*D15),IF(D16="C",D15-(0.04*D15),IF(D16="D",D15-(0.05*D15),IF(D16="E",D15-(0.06*D15),"")))))</f>
        <v/>
      </c>
      <c r="F15" s="3098"/>
      <c r="G15" s="2086"/>
      <c r="U15" t="s">
        <v>28970</v>
      </c>
      <c r="V15" s="3113" t="str">
        <f>IF('QT-Acquedotto'!$E$46="","",'QT-Acquedotto'!$E$46)</f>
        <v/>
      </c>
    </row>
    <row r="16" spans="1:26" ht="20.100000000000001" customHeight="1">
      <c r="A16" s="3739"/>
      <c r="B16" s="3090" t="s">
        <v>29519</v>
      </c>
      <c r="C16" s="3198" t="str">
        <f>IF(OR(C14="",C15=""),"",IF(AND(C14&lt;12,C15&lt;0.2),"A",IF(AND(C14&lt;20,C15&lt;0.35),"B",IF(AND(C14&lt;35,C15&lt;0.45),"C",IF(AND(C14&lt;55,C15&lt;0.55),"D","E")))))</f>
        <v/>
      </c>
      <c r="D16" s="3199" t="str">
        <f>IF(OR(D14="",D15=""),"",IF(AND(D14&lt;12,D15&lt;0.2),"A",IF(AND(D14&lt;20,D15&lt;0.35),"B",IF(AND(D14&lt;35,D15&lt;0.45),"C",IF(AND(D14&lt;55,D15&lt;0.55),"D","E")))))</f>
        <v/>
      </c>
      <c r="E16" s="3200" t="str">
        <f>IF(OR(E14="",E15=""),"",IF(AND(E14&lt;12,E15&lt;0.2),"A",IF(AND(E14&lt;20,E15&lt;0.35),"B",IF(AND(E14&lt;35,E15&lt;0.45),"C",IF(AND(E14&lt;55,E15&lt;0.55),"D","E")))))</f>
        <v/>
      </c>
      <c r="F16" s="3101"/>
      <c r="G16" s="2087"/>
      <c r="J16" s="3769" t="s">
        <v>31829</v>
      </c>
      <c r="U16" t="s">
        <v>29519</v>
      </c>
      <c r="V16" s="3102"/>
    </row>
    <row r="17" spans="1:22" ht="20.100000000000001" customHeight="1">
      <c r="A17" s="3739"/>
      <c r="B17" s="3090" t="s">
        <v>29520</v>
      </c>
      <c r="C17" s="3198" t="str">
        <f>IF(C16="A","Mantenimento",IF(C16="B","-2% di M1a",IF(C16="C","-4% di M1a",IF(C16="D","-5% di M1a",IF(C16="E","-6% di M1a","")))))</f>
        <v/>
      </c>
      <c r="D17" s="3199" t="str">
        <f>IF(D16="A","Mantenimento",IF(D16="B","-2% di M1a",IF(D16="C","-4% di M1a",IF(D16="D","-5% di M1a",IF(D16="E","-6% di M1a","")))))</f>
        <v/>
      </c>
      <c r="E17" s="3190"/>
      <c r="F17" s="3103"/>
      <c r="G17" s="2088"/>
      <c r="J17" s="3770"/>
      <c r="U17" t="s">
        <v>29520</v>
      </c>
      <c r="V17" s="3102"/>
    </row>
    <row r="18" spans="1:22" ht="20.100000000000001" customHeight="1">
      <c r="A18" s="3739"/>
      <c r="B18" s="3090" t="s">
        <v>29521</v>
      </c>
      <c r="C18" s="3201" t="str">
        <f>IF(C16="A","",IF(C16="B",C14-(0.02*C14),IF(C16="C",C14-(0.04*C14),IF(C16="D",C14-(0.05*C14),IF(C16="E",C14-(0.06*C14),"")))))</f>
        <v/>
      </c>
      <c r="D18" s="3202" t="str">
        <f>IF(D16="A","",IF(D16="B",D14-(0.02*D14),IF(D16="C",D14-(0.04*D14),IF(D16="D",D14-(0.05*D14),IF(D16="E",D14-(0.06*D14),"")))))</f>
        <v/>
      </c>
      <c r="E18" s="3190"/>
      <c r="F18" s="3103"/>
      <c r="G18" s="2088"/>
      <c r="J18" s="3771" t="s">
        <v>29530</v>
      </c>
      <c r="K18" s="3773" t="s">
        <v>29531</v>
      </c>
      <c r="L18" s="3774" t="s">
        <v>29532</v>
      </c>
      <c r="M18" s="3775"/>
      <c r="N18" s="3775"/>
      <c r="O18" s="3775"/>
      <c r="P18" s="3775"/>
      <c r="Q18" s="3775"/>
      <c r="R18" s="3776"/>
      <c r="U18" t="s">
        <v>29521</v>
      </c>
      <c r="V18" s="3105"/>
    </row>
    <row r="19" spans="1:22" ht="20.100000000000001" customHeight="1">
      <c r="A19" s="3739"/>
      <c r="B19" s="3090" t="s">
        <v>29522</v>
      </c>
      <c r="C19" s="3114"/>
      <c r="D19" s="3115"/>
      <c r="E19" s="3116"/>
      <c r="F19" s="3117"/>
      <c r="G19" s="2089"/>
      <c r="J19" s="3772"/>
      <c r="K19" s="3752"/>
      <c r="L19" s="3118" t="s">
        <v>30132</v>
      </c>
      <c r="M19" s="3118" t="s">
        <v>25471</v>
      </c>
      <c r="N19" s="3118" t="s">
        <v>25452</v>
      </c>
      <c r="O19" s="3118" t="s">
        <v>25472</v>
      </c>
      <c r="P19" s="3118" t="s">
        <v>25654</v>
      </c>
      <c r="Q19" s="3118" t="s">
        <v>25462</v>
      </c>
      <c r="R19" s="3118" t="s">
        <v>25464</v>
      </c>
      <c r="U19" t="s">
        <v>29522</v>
      </c>
      <c r="V19" s="3107"/>
    </row>
    <row r="20" spans="1:22" ht="30" customHeight="1" thickBot="1">
      <c r="A20" s="3740"/>
      <c r="B20" s="2090" t="s">
        <v>29523</v>
      </c>
      <c r="C20" s="3119">
        <f>$C$11</f>
        <v>2025</v>
      </c>
      <c r="D20" s="3120"/>
      <c r="E20" s="3121"/>
      <c r="F20" s="2091"/>
      <c r="G20" s="2383"/>
      <c r="J20" s="3747" t="s">
        <v>29535</v>
      </c>
      <c r="K20" s="3754"/>
      <c r="L20" s="3744"/>
      <c r="M20" s="3744"/>
      <c r="N20" s="3744"/>
      <c r="O20" s="3744"/>
      <c r="P20" s="3744"/>
      <c r="Q20" s="3744"/>
      <c r="R20" s="3744"/>
      <c r="T20" t="s">
        <v>25452</v>
      </c>
      <c r="U20" t="s">
        <v>29523</v>
      </c>
      <c r="V20" s="2416"/>
    </row>
    <row r="21" spans="1:22" ht="20.100000000000001" customHeight="1">
      <c r="A21" s="3738" t="s">
        <v>25452</v>
      </c>
      <c r="B21" s="1717" t="s">
        <v>29524</v>
      </c>
      <c r="C21" s="3237"/>
      <c r="D21" s="3091"/>
      <c r="E21" s="3110"/>
      <c r="F21" s="1722"/>
      <c r="G21" s="1719"/>
      <c r="J21" s="3751"/>
      <c r="K21" s="3751"/>
      <c r="L21" s="3751"/>
      <c r="M21" s="3751"/>
      <c r="N21" s="3751"/>
      <c r="O21" s="3751"/>
      <c r="P21" s="3751"/>
      <c r="Q21" s="3751"/>
      <c r="R21" s="3751"/>
      <c r="U21" t="s">
        <v>29525</v>
      </c>
      <c r="V21" s="1723" t="str">
        <f>IF('QT-Acquedotto'!$E$76="","",'QT-Acquedotto'!$E$76)</f>
        <v/>
      </c>
    </row>
    <row r="22" spans="1:22" ht="20.100000000000001" customHeight="1">
      <c r="A22" s="3739"/>
      <c r="B22" s="3090" t="s">
        <v>25452</v>
      </c>
      <c r="C22" s="3238"/>
      <c r="D22" s="3123" t="str">
        <f>IF(C23="A",C22,C25)</f>
        <v/>
      </c>
      <c r="E22" s="3203" t="str">
        <f>IF(D23="A",D22,D25)</f>
        <v/>
      </c>
      <c r="F22" s="3124"/>
      <c r="G22" s="3125"/>
      <c r="J22" s="3752"/>
      <c r="K22" s="3752"/>
      <c r="L22" s="3752"/>
      <c r="M22" s="3752"/>
      <c r="N22" s="3752"/>
      <c r="O22" s="3752"/>
      <c r="P22" s="3752"/>
      <c r="Q22" s="3752"/>
      <c r="R22" s="3752"/>
      <c r="U22" t="s">
        <v>25452</v>
      </c>
      <c r="V22" s="3097" t="str">
        <f>IF('QT-Acquedotto'!$E$91="","",'QT-Acquedotto'!$E$91)</f>
        <v/>
      </c>
    </row>
    <row r="23" spans="1:22" ht="20.100000000000001" customHeight="1">
      <c r="A23" s="3739"/>
      <c r="B23" s="3090" t="s">
        <v>29519</v>
      </c>
      <c r="C23" s="3198" t="str">
        <f>IF(C22="","",IF(C22&lt;0.75,"A",IF(C22&lt;3,"B",IF(C22&lt;10,"C",IF(C22&lt;30,"D","E")))))</f>
        <v/>
      </c>
      <c r="D23" s="3126" t="str">
        <f>IF(D22="","",IF(D22&lt;0.75,"A",IF(D22&lt;3,"B",IF(D22&lt;10,"C",IF(D22&lt;30,"D","E")))))</f>
        <v/>
      </c>
      <c r="E23" s="3204" t="str">
        <f>IF(E22="","",IF(E22&lt;0.75,"A",IF(E22&lt;3,"B",IF(E22&lt;10,"C",IF(E22&lt;30,"D","E")))))</f>
        <v/>
      </c>
      <c r="F23" s="3103"/>
      <c r="G23" s="2088"/>
      <c r="J23" s="3747" t="s">
        <v>29537</v>
      </c>
      <c r="K23" s="3744"/>
      <c r="L23" s="3750"/>
      <c r="M23" s="3750"/>
      <c r="N23" s="3750"/>
      <c r="O23" s="3750"/>
      <c r="P23" s="3750"/>
      <c r="Q23" s="3750"/>
      <c r="R23" s="3750"/>
      <c r="U23" t="s">
        <v>29519</v>
      </c>
      <c r="V23" s="3127"/>
    </row>
    <row r="24" spans="1:22" ht="20.100000000000001" customHeight="1">
      <c r="A24" s="3739"/>
      <c r="B24" s="3090" t="s">
        <v>29520</v>
      </c>
      <c r="C24" s="3198" t="str">
        <f>IF(C23="A","Mantenimento",IF(C23="B","-2% di M2",IF(C23="C","-4% di M2",IF(C23="D","-6% di M2",IF(C23="E","-8% di M2","")))))</f>
        <v/>
      </c>
      <c r="D24" s="3205" t="str">
        <f>IF(D23="A","Mantenimento",IF(D23="B","-2% di M2",IF(D23="C","-4% di M2",IF(D23="D","-6% di M2",IF(D23="E","-8% di M2","")))))</f>
        <v/>
      </c>
      <c r="E24" s="3190"/>
      <c r="F24" s="3101"/>
      <c r="G24" s="2087"/>
      <c r="J24" s="3751"/>
      <c r="K24" s="3751"/>
      <c r="L24" s="3751"/>
      <c r="M24" s="3751"/>
      <c r="N24" s="3751"/>
      <c r="O24" s="3751"/>
      <c r="P24" s="3751"/>
      <c r="Q24" s="3751"/>
      <c r="R24" s="3751"/>
      <c r="U24" t="s">
        <v>29520</v>
      </c>
      <c r="V24" s="3128"/>
    </row>
    <row r="25" spans="1:22" ht="20.100000000000001" customHeight="1">
      <c r="A25" s="3739"/>
      <c r="B25" s="3090" t="s">
        <v>29526</v>
      </c>
      <c r="C25" s="3201" t="str">
        <f>IF(C23="A","",IF(C23="B",C22-(0.02*C22),IF(C23="C",C22-(0.04*C22),IF(C23="D",C22-(0.06*C22),IF(C23="E",C22-(0.08*C22),"")))))</f>
        <v/>
      </c>
      <c r="D25" s="3206" t="str">
        <f>IF(D23="A","",IF(D23="B",D22-(0.02*D22),IF(D23="C",D22-(0.04*D22),IF(D23="D",D22-(0.06*D22),IF(D23="E",D22-(0.08*D22),"")))))</f>
        <v/>
      </c>
      <c r="E25" s="3190"/>
      <c r="F25" s="3129"/>
      <c r="G25" s="2456"/>
      <c r="J25" s="3752"/>
      <c r="K25" s="3752"/>
      <c r="L25" s="3752"/>
      <c r="M25" s="3752"/>
      <c r="N25" s="3752"/>
      <c r="O25" s="3752"/>
      <c r="P25" s="3752"/>
      <c r="Q25" s="3752"/>
      <c r="R25" s="3752"/>
      <c r="U25" t="s">
        <v>29527</v>
      </c>
      <c r="V25" s="3130"/>
    </row>
    <row r="26" spans="1:22" ht="20.100000000000001" customHeight="1">
      <c r="A26" s="3739"/>
      <c r="B26" s="3090" t="s">
        <v>29528</v>
      </c>
      <c r="C26" s="3131"/>
      <c r="D26" s="3094"/>
      <c r="E26" s="3132"/>
      <c r="F26" s="3117"/>
      <c r="G26" s="2089"/>
      <c r="J26" s="3747" t="s">
        <v>29539</v>
      </c>
      <c r="K26" s="3744"/>
      <c r="L26" s="3753"/>
      <c r="M26" s="3753"/>
      <c r="N26" s="3753"/>
      <c r="O26" s="3750"/>
      <c r="P26" s="3753"/>
      <c r="Q26" s="3753"/>
      <c r="R26" s="3753"/>
      <c r="U26" t="s">
        <v>29528</v>
      </c>
      <c r="V26" s="3107"/>
    </row>
    <row r="27" spans="1:22" ht="30" customHeight="1" thickBot="1">
      <c r="A27" s="3740"/>
      <c r="B27" s="2090" t="s">
        <v>29529</v>
      </c>
      <c r="C27" s="3119">
        <f>$C$11</f>
        <v>2025</v>
      </c>
      <c r="D27" s="3133"/>
      <c r="E27" s="2417"/>
      <c r="F27" s="3134"/>
      <c r="G27" s="3135"/>
      <c r="J27" s="3749"/>
      <c r="K27" s="3746"/>
      <c r="L27" s="3753"/>
      <c r="M27" s="3753"/>
      <c r="N27" s="3753"/>
      <c r="O27" s="3752"/>
      <c r="P27" s="3753"/>
      <c r="Q27" s="3753"/>
      <c r="R27" s="3753"/>
      <c r="T27" t="s">
        <v>25472</v>
      </c>
      <c r="U27" t="s">
        <v>29529</v>
      </c>
      <c r="V27" s="2416"/>
    </row>
    <row r="28" spans="1:22" ht="20.100000000000001" customHeight="1">
      <c r="A28" s="3738" t="s">
        <v>25472</v>
      </c>
      <c r="B28" s="1717" t="s">
        <v>29533</v>
      </c>
      <c r="C28" s="3240"/>
      <c r="D28" s="3091"/>
      <c r="E28" s="3110"/>
      <c r="F28" s="1514"/>
      <c r="G28" s="1515"/>
      <c r="J28" s="3747" t="s">
        <v>29542</v>
      </c>
      <c r="K28" s="3744"/>
      <c r="L28" s="3744"/>
      <c r="M28" s="3744"/>
      <c r="N28" s="3744"/>
      <c r="O28" s="3122"/>
      <c r="P28" s="3744"/>
      <c r="Q28" s="3744"/>
      <c r="R28" s="3744"/>
      <c r="U28" t="s">
        <v>29533</v>
      </c>
      <c r="V28" s="1720" t="str">
        <f>'QT-Acquedotto'!$E$123</f>
        <v/>
      </c>
    </row>
    <row r="29" spans="1:22" ht="20.100000000000001" customHeight="1">
      <c r="A29" s="3739"/>
      <c r="B29" s="3090" t="s">
        <v>29534</v>
      </c>
      <c r="C29" s="3241"/>
      <c r="D29" s="3207"/>
      <c r="E29" s="3193"/>
      <c r="F29" s="3136"/>
      <c r="G29" s="2454"/>
      <c r="J29" s="3748"/>
      <c r="K29" s="3745"/>
      <c r="L29" s="3745"/>
      <c r="M29" s="3745"/>
      <c r="N29" s="3745"/>
      <c r="O29" s="2103"/>
      <c r="P29" s="3745"/>
      <c r="Q29" s="3745"/>
      <c r="R29" s="3745"/>
      <c r="U29" t="s">
        <v>29536</v>
      </c>
      <c r="V29" s="3112" t="str">
        <f>IF('QT-Acquedotto'!$E$124="","",'QT-Acquedotto'!$E$124)</f>
        <v/>
      </c>
    </row>
    <row r="30" spans="1:22" ht="20.100000000000001" customHeight="1">
      <c r="A30" s="3739"/>
      <c r="B30" s="3090" t="s">
        <v>29090</v>
      </c>
      <c r="C30" s="3243"/>
      <c r="D30" s="3208" t="str">
        <f>IF(C30="","",C30)</f>
        <v/>
      </c>
      <c r="E30" s="3137" t="str">
        <f>IF(D30="","",D30)</f>
        <v/>
      </c>
      <c r="F30" s="3138"/>
      <c r="G30" s="3139"/>
      <c r="J30" s="3749"/>
      <c r="K30" s="3746"/>
      <c r="L30" s="3746"/>
      <c r="M30" s="3746"/>
      <c r="N30" s="3746"/>
      <c r="O30" s="2112"/>
      <c r="P30" s="3746"/>
      <c r="Q30" s="3746"/>
      <c r="R30" s="3746"/>
      <c r="U30" t="s">
        <v>29090</v>
      </c>
      <c r="V30" s="3140" t="str">
        <f>IF('QT-Acquedotto'!$E$132="","",'QT-Acquedotto'!$E$132)</f>
        <v/>
      </c>
    </row>
    <row r="31" spans="1:22" ht="20.100000000000001" customHeight="1">
      <c r="A31" s="3739"/>
      <c r="B31" s="3090" t="s">
        <v>29097</v>
      </c>
      <c r="C31" s="3244"/>
      <c r="D31" s="3209" t="str">
        <f>IF(C33="A",C31,C36)</f>
        <v/>
      </c>
      <c r="E31" s="3141" t="str">
        <f>IF(D33="A",D31,D36)</f>
        <v/>
      </c>
      <c r="F31" s="3142"/>
      <c r="G31" s="2455"/>
      <c r="U31" t="s">
        <v>29097</v>
      </c>
      <c r="V31" s="3143" t="str">
        <f>IF('QT-Acquedotto'!$E$137="","",'QT-Acquedotto'!$E$137)</f>
        <v/>
      </c>
    </row>
    <row r="32" spans="1:22" ht="20.100000000000001" customHeight="1">
      <c r="A32" s="3739"/>
      <c r="B32" s="3090" t="s">
        <v>29104</v>
      </c>
      <c r="C32" s="3244"/>
      <c r="D32" s="3210"/>
      <c r="E32" s="3211"/>
      <c r="F32" s="3145"/>
      <c r="G32" s="2455"/>
      <c r="U32" t="s">
        <v>29104</v>
      </c>
      <c r="V32" s="3143" t="str">
        <f>IF('QT-Acquedotto'!$E$144="","",'QT-Acquedotto'!$E$144)</f>
        <v/>
      </c>
    </row>
    <row r="33" spans="1:22" ht="20.100000000000001" customHeight="1">
      <c r="A33" s="3739"/>
      <c r="B33" s="3090" t="s">
        <v>29519</v>
      </c>
      <c r="C33" s="3100" t="str">
        <f>IF(AND(C30="",C31="",C32=""),"",IF(C30&gt;(0.005/100),"E",IF(AND(C30&lt;=(0.005/100),C31&gt;(5/100)),"D",IF(AND(C30&lt;=(0.005/100),C31&gt;(1/100)),"C",IF(AND(C30&lt;=(0.001/100),C31&lt;=(1/100),C32&lt;=(0.04/100)),"A",IF(AND(C30&lt;=(0.005/100),C31&lt;=(1/100)),"B","B"))))))</f>
        <v/>
      </c>
      <c r="D33" s="3205" t="str">
        <f>IF(AND(D30="",D31="",D32=""),"",IF(C33="A","A",IF(D30&gt;(0.005/100),"E",IF(AND(D30&lt;=(0.005/100),D31&gt;(5/100)),"D",IF(AND(D30&lt;=(0.005/100),D31&gt;(1/100)),"C",IF(AND(D30&lt;=(0.005/100),D31&lt;=(1/100)),"B",""))))))</f>
        <v/>
      </c>
      <c r="E33" s="3200" t="str">
        <f>IF(AND(E30="",E31="",E32=""),"",IF(D33="A","A",IF(E30&gt;(0.005/100),"E",IF(AND(E30&lt;=(0.005/100),E31&gt;(5/100)),"D",IF(AND(E30&lt;=(0.005/100),E31&gt;(1/100)),"C",IF(AND(E30&lt;=(0.005/100),E31&lt;=(1/100)),"B",""))))))</f>
        <v/>
      </c>
      <c r="F33" s="3101"/>
      <c r="G33" s="2087"/>
      <c r="U33" t="s">
        <v>29519</v>
      </c>
      <c r="V33" s="3128"/>
    </row>
    <row r="34" spans="1:22" ht="20.100000000000001" customHeight="1">
      <c r="A34" s="3739"/>
      <c r="B34" s="3090" t="s">
        <v>29520</v>
      </c>
      <c r="C34" s="3100" t="str">
        <f>IF(C33="A","Mantenimento",IF(C33="B","-4% di M3b",IF(C33="C","-6% di M3b",IF(C33="D","-8% di M3b",IF(C33="E","-10% di M3b","")))))</f>
        <v/>
      </c>
      <c r="D34" s="3212" t="str">
        <f>IF(C33="A","Mantenimento",IF(C33="B","-4% di M3b",IF(C33="C","-6% di M3b",IF(C33="D","-8% di M3b",IF(C33="E","-10% di M3b","")))))</f>
        <v/>
      </c>
      <c r="E34" s="3190"/>
      <c r="F34" s="3146"/>
      <c r="G34" s="3147"/>
      <c r="K34" s="565"/>
      <c r="L34" s="565"/>
      <c r="M34" s="565"/>
      <c r="N34" s="565"/>
      <c r="O34" s="565"/>
      <c r="P34" s="565"/>
      <c r="Q34" s="565"/>
      <c r="R34" s="565"/>
      <c r="U34" t="s">
        <v>29520</v>
      </c>
      <c r="V34" s="3148"/>
    </row>
    <row r="35" spans="1:22" ht="20.100000000000001" customHeight="1">
      <c r="A35" s="3739"/>
      <c r="B35" s="3090" t="s">
        <v>29538</v>
      </c>
      <c r="C35" s="3149"/>
      <c r="D35" s="3207"/>
      <c r="E35" s="3190"/>
      <c r="F35" s="3146"/>
      <c r="G35" s="3147"/>
      <c r="U35" t="s">
        <v>29538</v>
      </c>
      <c r="V35" s="3150"/>
    </row>
    <row r="36" spans="1:22" ht="20.100000000000001" customHeight="1">
      <c r="A36" s="3739"/>
      <c r="B36" s="3090" t="s">
        <v>29540</v>
      </c>
      <c r="C36" s="3151" t="str">
        <f>IF(C33="A","",IF(C33="B",C31-(0.04*C31),IF(C33="C",C31-(0.06*C31),IF(C33="D",C31-(0.08*C31),IF(C33="E",C31-(0.1*C31),"")))))</f>
        <v/>
      </c>
      <c r="D36" s="3213" t="str">
        <f>IF(D33="A","",IF(D33="B",D31-(0.04*D31),IF(D33="C",D31-(0.06*D31),IF(D33="D",D31-(0.08*D31),IF(D33="E",D31-(0.1*D31),"")))))</f>
        <v/>
      </c>
      <c r="E36" s="3190"/>
      <c r="F36" s="3146"/>
      <c r="G36" s="3147"/>
      <c r="U36" t="s">
        <v>29540</v>
      </c>
      <c r="V36" s="3152"/>
    </row>
    <row r="37" spans="1:22" ht="20.100000000000001" customHeight="1">
      <c r="A37" s="3739"/>
      <c r="B37" s="3090" t="s">
        <v>29541</v>
      </c>
      <c r="C37" s="3149"/>
      <c r="D37" s="3094"/>
      <c r="E37" s="3144"/>
      <c r="F37" s="3146"/>
      <c r="G37" s="3147"/>
      <c r="U37" t="s">
        <v>29541</v>
      </c>
      <c r="V37" s="3152"/>
    </row>
    <row r="38" spans="1:22" ht="20.100000000000001" customHeight="1">
      <c r="A38" s="3739"/>
      <c r="B38" s="3090" t="s">
        <v>29522</v>
      </c>
      <c r="C38" s="3149"/>
      <c r="D38" s="3094"/>
      <c r="E38" s="3132"/>
      <c r="F38" s="3117"/>
      <c r="G38" s="2089"/>
      <c r="U38" t="s">
        <v>29522</v>
      </c>
      <c r="V38" s="3107"/>
    </row>
    <row r="39" spans="1:22" ht="30" customHeight="1" thickBot="1">
      <c r="A39" s="3740"/>
      <c r="B39" s="2090" t="s">
        <v>29543</v>
      </c>
      <c r="C39" s="3119">
        <f>$C$11</f>
        <v>2025</v>
      </c>
      <c r="D39" s="3133"/>
      <c r="E39" s="2417"/>
      <c r="F39" s="2091"/>
      <c r="G39" s="2383"/>
      <c r="T39" t="s">
        <v>25654</v>
      </c>
      <c r="U39" t="s">
        <v>29543</v>
      </c>
      <c r="V39" s="2416"/>
    </row>
    <row r="40" spans="1:22" ht="20.100000000000001" customHeight="1">
      <c r="A40" s="3738" t="s">
        <v>25654</v>
      </c>
      <c r="B40" s="1724" t="s">
        <v>29544</v>
      </c>
      <c r="C40" s="3240"/>
      <c r="D40" s="3091"/>
      <c r="E40" s="3092"/>
      <c r="F40" s="1514"/>
      <c r="G40" s="1515"/>
      <c r="U40" t="s">
        <v>29545</v>
      </c>
      <c r="V40" s="1720" t="str">
        <f>'QT-Fognatura'!$E$16</f>
        <v/>
      </c>
    </row>
    <row r="41" spans="1:22" ht="20.100000000000001" customHeight="1">
      <c r="A41" s="3739"/>
      <c r="B41" s="3153" t="s">
        <v>29546</v>
      </c>
      <c r="C41" s="3241"/>
      <c r="D41" s="3207"/>
      <c r="E41" s="3190"/>
      <c r="F41" s="3136"/>
      <c r="G41" s="2454"/>
      <c r="U41" t="s">
        <v>29547</v>
      </c>
      <c r="V41" s="3112" t="str">
        <f>IF('QT-Fognatura'!$E$17="","",'QT-Fognatura'!$E$17)</f>
        <v/>
      </c>
    </row>
    <row r="42" spans="1:22" ht="20.100000000000001" customHeight="1">
      <c r="A42" s="3739"/>
      <c r="B42" s="3090" t="s">
        <v>25455</v>
      </c>
      <c r="C42" s="3245"/>
      <c r="D42" s="3214" t="str">
        <f>IF(C45="","",IF(C45="E",C47,C42))</f>
        <v/>
      </c>
      <c r="E42" s="3215" t="str">
        <f>IF(D45="","",IF(D45="E",D47,D42))</f>
        <v/>
      </c>
      <c r="F42" s="3154"/>
      <c r="G42" s="3155"/>
      <c r="U42" t="s">
        <v>25455</v>
      </c>
      <c r="V42" s="3156" t="str">
        <f>IF('QT-Fognatura'!$E$28="","",'QT-Fognatura'!$E$28)</f>
        <v/>
      </c>
    </row>
    <row r="43" spans="1:22" ht="20.100000000000001" customHeight="1">
      <c r="A43" s="3739"/>
      <c r="B43" s="3090" t="s">
        <v>25457</v>
      </c>
      <c r="C43" s="3246"/>
      <c r="D43" s="3216" t="str">
        <f>IF(C45="","",IF(OR(C45="C",C45="D"),C48,C43))</f>
        <v/>
      </c>
      <c r="E43" s="3217" t="str">
        <f>IF(D45="","",IF(OR(D45="C",D45="D"),D48,D43))</f>
        <v/>
      </c>
      <c r="F43" s="3157"/>
      <c r="G43" s="3158"/>
      <c r="U43" t="s">
        <v>25457</v>
      </c>
      <c r="V43" s="3159" t="str">
        <f>IF('QT-Fognatura'!$E$32="","",'QT-Fognatura'!$E$32)</f>
        <v/>
      </c>
    </row>
    <row r="44" spans="1:22" ht="20.100000000000001" customHeight="1">
      <c r="A44" s="3739"/>
      <c r="B44" s="3090" t="s">
        <v>25459</v>
      </c>
      <c r="C44" s="3246"/>
      <c r="D44" s="3216" t="str">
        <f>IF(C45="","",IF(C45="B",C49,C44))</f>
        <v/>
      </c>
      <c r="E44" s="3217" t="str">
        <f>IF(D45="","",IF(D45="B",D49,D44))</f>
        <v/>
      </c>
      <c r="F44" s="3157"/>
      <c r="G44" s="3158"/>
      <c r="J44" s="1725"/>
      <c r="K44" s="1726"/>
      <c r="L44" s="565"/>
      <c r="M44" s="565"/>
      <c r="N44" s="565"/>
      <c r="O44" s="565"/>
      <c r="P44" s="565"/>
      <c r="Q44" s="565"/>
      <c r="R44" s="565"/>
      <c r="U44" t="s">
        <v>25459</v>
      </c>
      <c r="V44" s="3159" t="str">
        <f>IF('QT-Fognatura'!$E$36="","",'QT-Fognatura'!$E$36)</f>
        <v/>
      </c>
    </row>
    <row r="45" spans="1:22" ht="20.100000000000001" customHeight="1">
      <c r="A45" s="3739"/>
      <c r="B45" s="3090" t="s">
        <v>29519</v>
      </c>
      <c r="C45" s="3198" t="str">
        <f>IF(C42="","",IF(AND(C42="",C43="",C44=""),"",IF(C42&gt;=5,"E",IF(AND(C42&lt;1,C43=0,C44&lt;=0.1),"A",IF(AND(C42&lt;5,C43=0),"B",IF(AND(C42&lt;5,C43&lt;=0.2),"C",IF(AND(C42&lt;5,C43&gt;0.2),"D","")))))))</f>
        <v/>
      </c>
      <c r="D45" s="3205" t="str">
        <f>IF(D42="","",IF(AND(D42="",D43="",D44=""),"",IF(D42&gt;=5,"E",IF(AND(D42&lt;1,D43=0,D44&lt;=0.1),"A",IF(AND(D42&lt;5,D43=0),"B",IF(AND(D42&lt;5,D43&lt;=0.2),"C",IF(AND(D42&lt;5,D43&gt;0.2),"D","")))))))</f>
        <v/>
      </c>
      <c r="E45" s="3200" t="str">
        <f>IF(E42="","",IF(AND(E42="",E43="",E44=""),"",IF(E42&gt;=5,"E",IF(AND(E42&lt;1,E43=0,E44&lt;=0.1),"A",IF(AND(E42&lt;5,E43=0),"B",IF(AND(E42&lt;5,E43&lt;=0.2),"C",IF(AND(E42&lt;5,E43&gt;0.2),"D","")))))))</f>
        <v/>
      </c>
      <c r="F45" s="3101"/>
      <c r="G45" s="2087"/>
      <c r="J45" s="1727"/>
      <c r="K45" s="1726"/>
      <c r="L45" s="565"/>
      <c r="M45" s="565"/>
      <c r="N45" s="565"/>
      <c r="O45" s="565"/>
      <c r="P45" s="565"/>
      <c r="Q45" s="565"/>
      <c r="R45" s="565"/>
      <c r="S45" s="565"/>
      <c r="U45" t="s">
        <v>29519</v>
      </c>
      <c r="V45" s="3128"/>
    </row>
    <row r="46" spans="1:22" ht="20.100000000000001" customHeight="1">
      <c r="A46" s="3739"/>
      <c r="B46" s="3090" t="s">
        <v>29520</v>
      </c>
      <c r="C46" s="3218" t="str">
        <f>IF(C45="E","-10% di M4a",IF(C45="D","-10% di M4b",IF(C45="C","-7% di M4b",IF(C45="B","-5% di M4c",IF(C45="A","Mantenimento","")))))</f>
        <v/>
      </c>
      <c r="D46" s="3219" t="str">
        <f>IF(D45="E","-10% di M4a",IF(D45="D","-10% di M4b",IF(D45="C","-7% di M4b",IF(D45="B","-5% di M4c",IF(D45="A","Mantenimento","")))))</f>
        <v/>
      </c>
      <c r="E46" s="3190"/>
      <c r="F46" s="3146"/>
      <c r="G46" s="3147"/>
      <c r="L46" s="565"/>
      <c r="M46" s="565"/>
      <c r="N46" s="565"/>
      <c r="O46" s="565"/>
      <c r="P46" s="565"/>
      <c r="Q46" s="565"/>
      <c r="R46" s="565"/>
      <c r="S46" s="565"/>
      <c r="U46" t="s">
        <v>29520</v>
      </c>
      <c r="V46" s="3160"/>
    </row>
    <row r="47" spans="1:22" ht="20.100000000000001" customHeight="1">
      <c r="A47" s="3739"/>
      <c r="B47" s="3090" t="s">
        <v>29548</v>
      </c>
      <c r="C47" s="3220" t="str">
        <f>IF(C45="E",C42-(0.1*C42),"")</f>
        <v/>
      </c>
      <c r="D47" s="3221" t="str">
        <f>IF(D45="E",D42-(0.1*D42),"")</f>
        <v/>
      </c>
      <c r="E47" s="3190"/>
      <c r="F47" s="3146"/>
      <c r="G47" s="3147"/>
      <c r="L47" s="565"/>
      <c r="M47" s="565"/>
      <c r="N47" s="565"/>
      <c r="O47" s="565"/>
      <c r="P47" s="565"/>
      <c r="Q47" s="565"/>
      <c r="R47" s="565"/>
      <c r="S47" s="565"/>
      <c r="U47" t="s">
        <v>29548</v>
      </c>
      <c r="V47" s="3161"/>
    </row>
    <row r="48" spans="1:22" ht="20.100000000000001" customHeight="1">
      <c r="A48" s="3739"/>
      <c r="B48" s="3090" t="s">
        <v>29549</v>
      </c>
      <c r="C48" s="3222" t="str">
        <f>IF(C45="D",(1-0.1)*C43,IF(C45="C",(1-0.07)*C43,""))</f>
        <v/>
      </c>
      <c r="D48" s="3223" t="str">
        <f>IF(D45="D",(1-0.1)*D43,IF(D45="C",(1-0.07)*D43,""))</f>
        <v/>
      </c>
      <c r="E48" s="3190"/>
      <c r="F48" s="3146"/>
      <c r="G48" s="3147"/>
      <c r="L48" s="565"/>
      <c r="M48" s="565"/>
      <c r="N48" s="565"/>
      <c r="O48" s="565"/>
      <c r="P48" s="565"/>
      <c r="Q48" s="565"/>
      <c r="R48" s="565"/>
      <c r="S48" s="565"/>
      <c r="U48" t="s">
        <v>29549</v>
      </c>
      <c r="V48" s="3162"/>
    </row>
    <row r="49" spans="1:22" ht="20.100000000000001" customHeight="1">
      <c r="A49" s="3739"/>
      <c r="B49" s="3090" t="s">
        <v>29550</v>
      </c>
      <c r="C49" s="3222" t="str">
        <f>IF(C45="B",(1-0.05)*C44,"")</f>
        <v/>
      </c>
      <c r="D49" s="3223" t="str">
        <f>IF(D45="B",(1-0.05)*D44,"")</f>
        <v/>
      </c>
      <c r="E49" s="3190"/>
      <c r="F49" s="3146"/>
      <c r="G49" s="3147"/>
      <c r="S49" s="565"/>
      <c r="U49" t="s">
        <v>29550</v>
      </c>
      <c r="V49" s="3162"/>
    </row>
    <row r="50" spans="1:22" ht="20.100000000000001" customHeight="1">
      <c r="A50" s="3739"/>
      <c r="B50" s="3090" t="s">
        <v>29522</v>
      </c>
      <c r="C50" s="3131"/>
      <c r="D50" s="3094"/>
      <c r="E50" s="3095"/>
      <c r="F50" s="3117"/>
      <c r="G50" s="2089"/>
      <c r="S50" s="565"/>
      <c r="U50" t="s">
        <v>29522</v>
      </c>
      <c r="V50" s="3107"/>
    </row>
    <row r="51" spans="1:22" ht="30" customHeight="1" thickBot="1">
      <c r="A51" s="3740"/>
      <c r="B51" s="2090" t="s">
        <v>29551</v>
      </c>
      <c r="C51" s="3119">
        <f>$C$11</f>
        <v>2025</v>
      </c>
      <c r="D51" s="3133"/>
      <c r="E51" s="2417"/>
      <c r="F51" s="2091"/>
      <c r="G51" s="2383"/>
      <c r="T51" t="s">
        <v>25462</v>
      </c>
      <c r="U51" t="s">
        <v>29551</v>
      </c>
      <c r="V51" s="2416"/>
    </row>
    <row r="52" spans="1:22" ht="20.100000000000001" customHeight="1">
      <c r="A52" s="3738" t="s">
        <v>25462</v>
      </c>
      <c r="B52" s="1724" t="s">
        <v>29552</v>
      </c>
      <c r="C52" s="3240"/>
      <c r="D52" s="3091"/>
      <c r="E52" s="3092"/>
      <c r="F52" s="1514"/>
      <c r="G52" s="1515"/>
      <c r="U52" t="s">
        <v>29553</v>
      </c>
      <c r="V52" s="1720" t="str">
        <f>'QT-Depurazione'!$E$17</f>
        <v/>
      </c>
    </row>
    <row r="53" spans="1:22" ht="20.100000000000001" customHeight="1">
      <c r="A53" s="3739"/>
      <c r="B53" s="3153" t="s">
        <v>29554</v>
      </c>
      <c r="C53" s="3241"/>
      <c r="D53" s="3207"/>
      <c r="E53" s="3190"/>
      <c r="F53" s="3136"/>
      <c r="G53" s="2454"/>
      <c r="U53" t="s">
        <v>29555</v>
      </c>
      <c r="V53" s="3112" t="str">
        <f>IF('QT-Depurazione'!$E$18="","",'QT-Depurazione'!$E$18)</f>
        <v/>
      </c>
    </row>
    <row r="54" spans="1:22" ht="20.100000000000001" customHeight="1">
      <c r="A54" s="3739"/>
      <c r="B54" s="3163" t="s">
        <v>29556</v>
      </c>
      <c r="C54" s="3238"/>
      <c r="D54" s="3224" t="str">
        <f>IF(C57="A",C54,C59)</f>
        <v/>
      </c>
      <c r="E54" s="3225" t="str">
        <f>IF(D57="A",D54,D59)</f>
        <v/>
      </c>
      <c r="F54" s="3096"/>
      <c r="G54" s="2085"/>
      <c r="U54" t="s">
        <v>29557</v>
      </c>
      <c r="V54" s="3097" t="str">
        <f>IF('QT-Depurazione'!$E$31="","",'QT-Depurazione'!$E$31)</f>
        <v/>
      </c>
    </row>
    <row r="55" spans="1:22" ht="20.100000000000001" customHeight="1">
      <c r="A55" s="3739"/>
      <c r="B55" s="3163" t="s">
        <v>29255</v>
      </c>
      <c r="C55" s="3247"/>
      <c r="D55" s="3226"/>
      <c r="E55" s="3190"/>
      <c r="F55" s="3098"/>
      <c r="G55" s="2086"/>
      <c r="U55" t="s">
        <v>29558</v>
      </c>
      <c r="V55" s="3164" t="str">
        <f>IF('QT-Depurazione'!$E$32="","",'QT-Depurazione'!$E$32)</f>
        <v/>
      </c>
    </row>
    <row r="56" spans="1:22" ht="20.100000000000001" customHeight="1">
      <c r="A56" s="3739"/>
      <c r="B56" s="3090" t="s">
        <v>25462</v>
      </c>
      <c r="C56" s="3244"/>
      <c r="D56" s="3226"/>
      <c r="E56" s="3190"/>
      <c r="F56" s="3145"/>
      <c r="G56" s="2455"/>
      <c r="U56" t="s">
        <v>25462</v>
      </c>
      <c r="V56" s="3143" t="str">
        <f>IF('QT-Depurazione'!$E$33="","",'QT-Depurazione'!$E$33)</f>
        <v/>
      </c>
    </row>
    <row r="57" spans="1:22" ht="20.100000000000001" customHeight="1">
      <c r="A57" s="3739"/>
      <c r="B57" s="3090" t="s">
        <v>29519</v>
      </c>
      <c r="C57" s="3218" t="str">
        <f>IF(C56="","",IF(C56&gt;0.3,"E",IF(AND(C56&gt;0.2,C56&lt;=0.3),"D",IF(AND(C56&gt;0.1,C56&lt;=0.2),"C",IF(AND(C56&gt;0.03,C56&lt;=0.1),"B","A")))))</f>
        <v/>
      </c>
      <c r="D57" s="3219" t="str">
        <f>C57</f>
        <v/>
      </c>
      <c r="E57" s="3188" t="str">
        <f>D57</f>
        <v/>
      </c>
      <c r="F57" s="3165"/>
      <c r="G57" s="3166"/>
      <c r="U57" t="s">
        <v>29519</v>
      </c>
      <c r="V57" s="3160"/>
    </row>
    <row r="58" spans="1:22" ht="20.100000000000001" customHeight="1">
      <c r="A58" s="3739"/>
      <c r="B58" s="3090" t="s">
        <v>29520</v>
      </c>
      <c r="C58" s="3218" t="str">
        <f>IF(C57="A","Mantenimento",IF(C57="B","-1% di MF tq,disc",IF(C57="C","-2% di MF tq,disc",IF(C57="D","-3% di MF tq,disc",IF(C57="E","-5% di MF tq,disc","")))))</f>
        <v/>
      </c>
      <c r="D58" s="3219" t="str">
        <f>IF(D57="A","Mantenimento",IF(D57="B","-1% di MF tq,disc",IF(D57="C","-2% di MF tq,disc",IF(D57="D","-3% di MF tq,disc",IF(D57="E","-5% di MF tq,disc","")))))</f>
        <v/>
      </c>
      <c r="E58" s="3190"/>
      <c r="F58" s="3129"/>
      <c r="G58" s="2456"/>
      <c r="U58" t="s">
        <v>29520</v>
      </c>
      <c r="V58" s="3160"/>
    </row>
    <row r="59" spans="1:22" ht="20.100000000000001" customHeight="1">
      <c r="A59" s="3739"/>
      <c r="B59" s="3090" t="s">
        <v>29559</v>
      </c>
      <c r="C59" s="3227" t="str">
        <f>IF(C57="A","",IF(C57="B",C54-(0.01*C54),IF(C57="C",C54-(0.02*C54),IF(C57="D",C54-(0.03*C54),IF(C57="E",C54-(0.05*C54),"")))))</f>
        <v/>
      </c>
      <c r="D59" s="3206" t="str">
        <f>IF(D57="A","",IF(D57="B",D54-(0.01*D54),IF(D57="C",D54-(0.02*D54),IF(D57="D",D54-(0.03*D54),IF(D57="E",D54-(0.05*D54),"")))))</f>
        <v/>
      </c>
      <c r="E59" s="3190"/>
      <c r="F59" s="3129"/>
      <c r="G59" s="2456"/>
      <c r="U59" t="s">
        <v>29559</v>
      </c>
      <c r="V59" s="3105"/>
    </row>
    <row r="60" spans="1:22" ht="20.100000000000001" customHeight="1">
      <c r="A60" s="3739"/>
      <c r="B60" s="3090" t="s">
        <v>29522</v>
      </c>
      <c r="C60" s="3131"/>
      <c r="D60" s="3094"/>
      <c r="E60" s="3167"/>
      <c r="F60" s="3117"/>
      <c r="G60" s="2089"/>
      <c r="U60" t="s">
        <v>29522</v>
      </c>
      <c r="V60" s="3107"/>
    </row>
    <row r="61" spans="1:22" ht="30" customHeight="1" thickBot="1">
      <c r="A61" s="3740"/>
      <c r="B61" s="2090" t="s">
        <v>29560</v>
      </c>
      <c r="C61" s="3119">
        <f>$C$11</f>
        <v>2025</v>
      </c>
      <c r="D61" s="3133"/>
      <c r="E61" s="3168"/>
      <c r="F61" s="2091"/>
      <c r="G61" s="2383"/>
      <c r="T61" t="s">
        <v>25464</v>
      </c>
      <c r="U61" t="s">
        <v>29560</v>
      </c>
      <c r="V61" s="2416"/>
    </row>
    <row r="62" spans="1:22" ht="20.100000000000001" customHeight="1">
      <c r="A62" s="3738" t="s">
        <v>25464</v>
      </c>
      <c r="B62" s="1724" t="s">
        <v>29561</v>
      </c>
      <c r="C62" s="3240"/>
      <c r="D62" s="3091"/>
      <c r="E62" s="3092"/>
      <c r="F62" s="1728"/>
      <c r="G62" s="2453"/>
      <c r="U62" t="s">
        <v>29562</v>
      </c>
      <c r="V62" s="1720" t="str">
        <f>'QT-Depurazione'!$E$84</f>
        <v/>
      </c>
    </row>
    <row r="63" spans="1:22" ht="20.100000000000001" customHeight="1">
      <c r="A63" s="3739"/>
      <c r="B63" s="3153" t="s">
        <v>29563</v>
      </c>
      <c r="C63" s="3241"/>
      <c r="D63" s="3207"/>
      <c r="E63" s="3190"/>
      <c r="F63" s="3136"/>
      <c r="G63" s="2454"/>
      <c r="U63" t="s">
        <v>29564</v>
      </c>
      <c r="V63" s="3112" t="str">
        <f>IF('QT-Depurazione'!$E$85="","",'QT-Depurazione'!$E$85)</f>
        <v/>
      </c>
    </row>
    <row r="64" spans="1:22" ht="20.100000000000001" customHeight="1">
      <c r="A64" s="3739"/>
      <c r="B64" s="3090" t="s">
        <v>25464</v>
      </c>
      <c r="C64" s="3244"/>
      <c r="D64" s="3228" t="str">
        <f>IF(C65="A",C64,C67)</f>
        <v/>
      </c>
      <c r="E64" s="3229" t="str">
        <f>IF(D65="A",D64,D67)</f>
        <v/>
      </c>
      <c r="F64" s="3145"/>
      <c r="G64" s="2455"/>
      <c r="U64" t="s">
        <v>25464</v>
      </c>
      <c r="V64" s="3143" t="str">
        <f>IF('QT-Depurazione'!$E$122="","",'QT-Depurazione'!$E$122)</f>
        <v/>
      </c>
    </row>
    <row r="65" spans="1:22" ht="20.100000000000001" customHeight="1">
      <c r="A65" s="3739"/>
      <c r="B65" s="3090" t="s">
        <v>29519</v>
      </c>
      <c r="C65" s="3198" t="str">
        <f>IF(C64="","",IF(C64&gt;=(15/100),"E",IF(C64&gt;=(10/100),"D",IF(C64&gt;=(5/100),"C",IF(C64&gt;=(1/100),"B","A")))))</f>
        <v/>
      </c>
      <c r="D65" s="3205" t="str">
        <f>IF(D64="","",IF(D64&gt;=(15/100),"E",IF(D64&gt;=(10/100),"D",IF(D64&gt;=(5/100),"C",IF(D64&gt;=(1/100),"B","A")))))</f>
        <v/>
      </c>
      <c r="E65" s="3200" t="str">
        <f>IF(E64="","",IF(E64&gt;=(15/100),"E",IF(E64&gt;=(10/100),"D",IF(E64&gt;=(5/100),"C",IF(E64&gt;=(1/100),"B","A")))))</f>
        <v/>
      </c>
      <c r="F65" s="3101"/>
      <c r="G65" s="2087"/>
      <c r="U65" t="s">
        <v>29519</v>
      </c>
      <c r="V65" s="3128"/>
    </row>
    <row r="66" spans="1:22" ht="20.100000000000001" customHeight="1">
      <c r="A66" s="3739"/>
      <c r="B66" s="3090" t="s">
        <v>29520</v>
      </c>
      <c r="C66" s="3198" t="str">
        <f>IF(C65="A","Mantenimento",IF(C65="B","-6% di M6",IF(C65="C","-10% di M6",IF(C65="D","-15% di M6",IF(C65="E","-20% di M6","")))))</f>
        <v/>
      </c>
      <c r="D66" s="3205" t="str">
        <f>IF(D65="A","Mantenimento",IF(D65="B","-6% di M6",IF(D65="C","-10% di M6",IF(D65="D","-15% di M6",IF(D65="E","-20% di M6","")))))</f>
        <v/>
      </c>
      <c r="E66" s="3190"/>
      <c r="F66" s="3129"/>
      <c r="G66" s="2456"/>
      <c r="U66" t="s">
        <v>29520</v>
      </c>
      <c r="V66" s="3128"/>
    </row>
    <row r="67" spans="1:22" ht="20.100000000000001" customHeight="1">
      <c r="A67" s="3739"/>
      <c r="B67" s="3090" t="s">
        <v>29565</v>
      </c>
      <c r="C67" s="3230" t="str">
        <f>IF(C65="A","",IF(C65="B",C64-(0.06*C64),IF(C65="C",C64-(0.1*C64),IF(C65="D",C64-(0.15*C64),IF(C65="E",C64-(0.2*C64),"")))))</f>
        <v/>
      </c>
      <c r="D67" s="3231" t="str">
        <f>IF(D65="A","",IF(D65="B",D64-(0.06*D64),IF(D65="C",D64-(0.1*D64),IF(D65="D",D64-(0.15*D64),IF(D65="E",D64-(0.2*D64),"")))))</f>
        <v/>
      </c>
      <c r="E67" s="3190"/>
      <c r="F67" s="3129"/>
      <c r="G67" s="2456"/>
      <c r="U67" t="s">
        <v>29565</v>
      </c>
      <c r="V67" s="3169"/>
    </row>
    <row r="68" spans="1:22" ht="20.100000000000001" customHeight="1">
      <c r="A68" s="3739"/>
      <c r="B68" s="3090" t="s">
        <v>29528</v>
      </c>
      <c r="C68" s="3131"/>
      <c r="D68" s="2104"/>
      <c r="E68" s="3095"/>
      <c r="F68" s="3117"/>
      <c r="G68" s="2089"/>
      <c r="U68" t="s">
        <v>29528</v>
      </c>
      <c r="V68" s="2415"/>
    </row>
    <row r="69" spans="1:22" ht="30" customHeight="1" thickBot="1">
      <c r="A69" s="3740"/>
      <c r="B69" s="2090" t="s">
        <v>29566</v>
      </c>
      <c r="C69" s="3119">
        <f>$C$11</f>
        <v>2025</v>
      </c>
      <c r="D69" s="3133"/>
      <c r="E69" s="3168"/>
      <c r="F69" s="2091"/>
      <c r="G69" s="2383"/>
      <c r="T69" t="s">
        <v>30928</v>
      </c>
      <c r="U69" t="s">
        <v>29566</v>
      </c>
      <c r="V69" s="2416"/>
    </row>
    <row r="70" spans="1:22" ht="20.100000000000001" customHeight="1">
      <c r="A70" s="3738" t="s">
        <v>30928</v>
      </c>
      <c r="B70" s="1724" t="s">
        <v>29561</v>
      </c>
      <c r="C70" s="3248"/>
      <c r="D70" s="3091"/>
      <c r="E70" s="3092"/>
      <c r="F70" s="1728"/>
      <c r="G70" s="2453"/>
      <c r="U70" t="s">
        <v>29562</v>
      </c>
      <c r="V70" s="2105" t="str">
        <f>'QT-Depurazione'!$E$84</f>
        <v/>
      </c>
    </row>
    <row r="71" spans="1:22" ht="20.100000000000001" customHeight="1">
      <c r="A71" s="3739"/>
      <c r="B71" s="3153" t="s">
        <v>29563</v>
      </c>
      <c r="C71" s="3249"/>
      <c r="D71" s="3207"/>
      <c r="E71" s="3190"/>
      <c r="F71" s="3136"/>
      <c r="G71" s="2454"/>
      <c r="U71" t="s">
        <v>29564</v>
      </c>
      <c r="V71" s="2106" t="str">
        <f>IF('QT-Depurazione'!$E$85="","",'QT-Depurazione'!$E$85)</f>
        <v/>
      </c>
    </row>
    <row r="72" spans="1:22" ht="20.100000000000001" customHeight="1">
      <c r="A72" s="3739"/>
      <c r="B72" s="3090" t="s">
        <v>30928</v>
      </c>
      <c r="C72" s="3250"/>
      <c r="D72" s="3207"/>
      <c r="E72" s="3232" t="str">
        <f>C75</f>
        <v/>
      </c>
      <c r="F72" s="3145"/>
      <c r="G72" s="2455"/>
      <c r="U72" t="s">
        <v>30928</v>
      </c>
      <c r="V72" s="2107" t="str">
        <f>IF('QT-Depurazione'!$E$136="","",'QT-Depurazione'!$E$136)</f>
        <v/>
      </c>
    </row>
    <row r="73" spans="1:22" ht="20.100000000000001" customHeight="1">
      <c r="A73" s="3739"/>
      <c r="B73" s="3090" t="s">
        <v>29519</v>
      </c>
      <c r="C73" s="3198" t="str">
        <f>IF(C72="","",IF(C72&lt;0.05,"A",IF(C72&lt;=0.45,"B",IF(C72&lt;=0.7,"C","D"))))</f>
        <v/>
      </c>
      <c r="D73" s="3207"/>
      <c r="E73" s="3200" t="str">
        <f>IF(E72="","",IF(E72&lt;0.05,"A",IF(E72&lt;=0.45,"B",IF(E72&lt;=0.7,"C","D"))))</f>
        <v/>
      </c>
      <c r="F73" s="3101"/>
      <c r="G73" s="2087"/>
      <c r="U73" t="s">
        <v>29519</v>
      </c>
      <c r="V73" s="2108"/>
    </row>
    <row r="74" spans="1:22" ht="20.100000000000001" customHeight="1">
      <c r="A74" s="3739"/>
      <c r="B74" s="3090" t="s">
        <v>30932</v>
      </c>
      <c r="C74" s="3198" t="str">
        <f>IF(C73="","",IF(C73="A","RIU_2023",IF(C73="B","RIU_2023-0,02",IF(C73="C","RIU_2023-0,05","RIU_2023-0,1"))))</f>
        <v/>
      </c>
      <c r="D74" s="3233"/>
      <c r="E74" s="3234"/>
      <c r="F74" s="3129"/>
      <c r="G74" s="2456"/>
      <c r="U74" t="s">
        <v>30932</v>
      </c>
      <c r="V74" s="2108"/>
    </row>
    <row r="75" spans="1:22" ht="20.100000000000001" customHeight="1">
      <c r="A75" s="3739"/>
      <c r="B75" s="3090" t="s">
        <v>30931</v>
      </c>
      <c r="C75" s="3230" t="str">
        <f>IF(C73="","",IF(C73="A",C72,IF(C73="B",C72-0.02,IF(C73="C",C72-0.05,C72-0.1))))</f>
        <v/>
      </c>
      <c r="D75" s="3235"/>
      <c r="E75" s="3234"/>
      <c r="F75" s="3129"/>
      <c r="G75" s="2456"/>
      <c r="U75" t="s">
        <v>30931</v>
      </c>
      <c r="V75" s="2109"/>
    </row>
    <row r="76" spans="1:22" ht="20.100000000000001" customHeight="1">
      <c r="A76" s="3739"/>
      <c r="B76" s="3090" t="s">
        <v>29528</v>
      </c>
      <c r="C76" s="3131"/>
      <c r="D76" s="2104"/>
      <c r="E76" s="3095"/>
      <c r="F76" s="3117"/>
      <c r="G76" s="2089"/>
      <c r="U76" t="s">
        <v>29528</v>
      </c>
      <c r="V76" s="2110"/>
    </row>
    <row r="77" spans="1:22" ht="30" customHeight="1" thickBot="1">
      <c r="A77" s="3740"/>
      <c r="B77" s="2090" t="s">
        <v>30930</v>
      </c>
      <c r="C77" s="3119">
        <f>$C$11</f>
        <v>2025</v>
      </c>
      <c r="D77" s="3133"/>
      <c r="E77" s="3168"/>
      <c r="F77" s="2091"/>
      <c r="G77" s="2383"/>
      <c r="U77" t="s">
        <v>30930</v>
      </c>
      <c r="V77" s="2111"/>
    </row>
    <row r="78" spans="1:22" ht="27.6" customHeight="1">
      <c r="A78" s="3741" t="s">
        <v>31288</v>
      </c>
      <c r="B78" s="3090" t="s">
        <v>31868</v>
      </c>
      <c r="C78" s="3251" t="str">
        <f>+IF(AND(Dati_Anni_precedenti!E102&gt;0,Dati_tecnici!G5&gt;0,Dati_tecnici!E5&gt;0,Dati_tecnici!F5&gt;0),SUM(Dati_Anni_precedenti!E102,Dati_tecnici!G5,Dati_tecnici!E5,Dati_tecnici!F5)/4,"Verificare dati di partenza")</f>
        <v>Verificare dati di partenza</v>
      </c>
      <c r="D78" s="3091"/>
      <c r="E78" s="1719"/>
      <c r="F78" s="3117"/>
      <c r="G78" s="2089"/>
      <c r="M78" s="7"/>
    </row>
    <row r="79" spans="1:22" ht="27.6" hidden="1" customHeight="1">
      <c r="A79" s="3742"/>
      <c r="B79" s="3170"/>
      <c r="C79" s="2380"/>
      <c r="D79" s="2380"/>
      <c r="E79" s="2445"/>
      <c r="F79" s="3171"/>
      <c r="G79" s="2089"/>
    </row>
    <row r="80" spans="1:22" ht="27.6" hidden="1" customHeight="1">
      <c r="A80" s="3742"/>
      <c r="B80" s="3170"/>
      <c r="C80" s="2380"/>
      <c r="D80" s="2380"/>
      <c r="E80" s="2445"/>
      <c r="F80" s="3171"/>
      <c r="G80" s="2089"/>
    </row>
    <row r="81" spans="1:7" ht="43.5" customHeight="1">
      <c r="A81" s="3742"/>
      <c r="B81" s="2379" t="s">
        <v>30932</v>
      </c>
      <c r="C81" s="2380"/>
      <c r="D81" s="2380"/>
      <c r="E81" s="3252" t="str">
        <f>IF(C78="Verificare dati di partenza","","(kWh_2027/(ΣkWh (2022-2025) / 4 )-1)&lt;=-0,05")</f>
        <v/>
      </c>
      <c r="F81" s="3171"/>
      <c r="G81" s="2414"/>
    </row>
    <row r="82" spans="1:7" ht="27.6" customHeight="1">
      <c r="A82" s="3742"/>
      <c r="B82" s="3090" t="s">
        <v>31300</v>
      </c>
      <c r="C82" s="2380"/>
      <c r="D82" s="2380"/>
      <c r="E82" s="2200" t="str">
        <f>IF(C78="Verificare dati di partenza","",0.95*C78)</f>
        <v/>
      </c>
      <c r="F82" s="2381"/>
      <c r="G82" s="2382"/>
    </row>
    <row r="83" spans="1:7" ht="27.6" customHeight="1">
      <c r="A83" s="3742"/>
      <c r="B83" s="3090" t="s">
        <v>29528</v>
      </c>
      <c r="C83" s="3172"/>
      <c r="D83" s="2415"/>
      <c r="E83" s="3173"/>
      <c r="F83" s="3117"/>
      <c r="G83" s="2089"/>
    </row>
    <row r="84" spans="1:7" ht="27.6" customHeight="1" thickBot="1">
      <c r="A84" s="3743"/>
      <c r="B84" s="2090" t="s">
        <v>31297</v>
      </c>
      <c r="C84" s="3174">
        <f>$C$11</f>
        <v>2025</v>
      </c>
      <c r="D84" s="3133"/>
      <c r="E84" s="2417"/>
      <c r="F84" s="2091"/>
      <c r="G84" s="2383"/>
    </row>
    <row r="85" spans="1:7" ht="27.6" customHeight="1"/>
    <row r="86" spans="1:7" ht="27.6" customHeight="1"/>
    <row r="87" spans="1:7" ht="27.6" customHeight="1"/>
    <row r="88" spans="1:7" ht="32.25" customHeight="1" thickBot="1">
      <c r="B88" s="3504" t="s">
        <v>32812</v>
      </c>
    </row>
    <row r="89" spans="1:7" ht="45.75" customHeight="1" thickBot="1">
      <c r="A89" s="3755" t="s">
        <v>29515</v>
      </c>
      <c r="B89" s="3756"/>
      <c r="C89" s="1715" t="s">
        <v>32813</v>
      </c>
      <c r="D89" s="2022" t="s">
        <v>32804</v>
      </c>
      <c r="E89" s="2022" t="s">
        <v>32805</v>
      </c>
      <c r="F89" s="2006" t="s">
        <v>32806</v>
      </c>
      <c r="G89" s="2016" t="s">
        <v>32807</v>
      </c>
    </row>
    <row r="90" spans="1:7" ht="27.6" customHeight="1">
      <c r="A90" s="3741" t="s">
        <v>31288</v>
      </c>
      <c r="B90" s="3090" t="s">
        <v>32808</v>
      </c>
      <c r="C90" s="3505"/>
      <c r="D90" s="3091"/>
      <c r="E90" s="3506"/>
      <c r="F90" s="3507"/>
      <c r="G90" s="3508"/>
    </row>
    <row r="91" spans="1:7" ht="27.6" customHeight="1">
      <c r="A91" s="3742"/>
      <c r="B91" s="3090" t="s">
        <v>31902</v>
      </c>
      <c r="C91" s="2380"/>
      <c r="D91" s="2380"/>
      <c r="E91" s="3509"/>
      <c r="F91" s="3510"/>
      <c r="G91" s="3511">
        <f>+Dati_tecnici!F5</f>
        <v>0</v>
      </c>
    </row>
    <row r="92" spans="1:7" ht="43.5" customHeight="1">
      <c r="A92" s="3742"/>
      <c r="B92" s="2379" t="s">
        <v>30932</v>
      </c>
      <c r="C92" s="2380"/>
      <c r="D92" s="2380"/>
      <c r="E92" s="3512" t="str">
        <f>IF(C90="","","(kWh_2025/(ΣkWh (2020-2023) / 4 )-1)&lt;=-0,05")</f>
        <v/>
      </c>
      <c r="F92" s="3510"/>
      <c r="G92" s="3513"/>
    </row>
    <row r="93" spans="1:7" ht="27.6" customHeight="1">
      <c r="A93" s="3742"/>
      <c r="B93" s="3090" t="s">
        <v>31300</v>
      </c>
      <c r="C93" s="2380"/>
      <c r="D93" s="2380"/>
      <c r="E93" s="3514" t="str">
        <f>IF(C90="","",0.95*C90)</f>
        <v/>
      </c>
      <c r="F93" s="3515"/>
      <c r="G93" s="2382"/>
    </row>
    <row r="94" spans="1:7" ht="27.6" customHeight="1">
      <c r="A94" s="3742"/>
      <c r="B94" s="3090" t="s">
        <v>29528</v>
      </c>
      <c r="C94" s="3172"/>
      <c r="D94" s="3516"/>
      <c r="E94" s="3517"/>
      <c r="F94" s="3518"/>
      <c r="G94" s="3521" t="str">
        <f>IF(C90="","",IF(G91&gt;0,IF(G91&lt;=E93,"SI","NO"),"Compilare correttamente i dati"))</f>
        <v/>
      </c>
    </row>
    <row r="95" spans="1:7" ht="27.6" customHeight="1" thickBot="1">
      <c r="A95" s="3743"/>
      <c r="B95" s="2090" t="s">
        <v>31297</v>
      </c>
      <c r="C95" s="3174">
        <v>2023</v>
      </c>
      <c r="D95" s="3133"/>
      <c r="E95" s="3519"/>
      <c r="F95" s="3520"/>
      <c r="G95" s="2383"/>
    </row>
    <row r="100" spans="2:2" ht="15.75" thickBot="1"/>
    <row r="101" spans="2:2">
      <c r="B101" s="1715" t="s">
        <v>29567</v>
      </c>
    </row>
    <row r="102" spans="2:2">
      <c r="B102" s="3175" t="s">
        <v>30448</v>
      </c>
    </row>
    <row r="103" spans="2:2">
      <c r="B103" s="3175" t="s">
        <v>30449</v>
      </c>
    </row>
    <row r="105" spans="2:2" ht="15.75" thickBot="1"/>
    <row r="106" spans="2:2">
      <c r="B106" s="1715" t="s">
        <v>29568</v>
      </c>
    </row>
    <row r="107" spans="2:2">
      <c r="B107" s="3175" t="s">
        <v>133</v>
      </c>
    </row>
    <row r="108" spans="2:2">
      <c r="B108" s="3175" t="s">
        <v>137</v>
      </c>
    </row>
    <row r="110" spans="2:2" ht="15.75" thickBot="1"/>
    <row r="111" spans="2:2">
      <c r="B111" s="1715" t="s">
        <v>26499</v>
      </c>
    </row>
    <row r="112" spans="2:2">
      <c r="B112" s="3175" t="s">
        <v>29569</v>
      </c>
    </row>
    <row r="113" spans="2:2">
      <c r="B113" s="3175" t="s">
        <v>29119</v>
      </c>
    </row>
    <row r="115" spans="2:2" ht="15.75" thickBot="1"/>
    <row r="116" spans="2:2">
      <c r="B116" s="1715" t="s">
        <v>29570</v>
      </c>
    </row>
    <row r="117" spans="2:2">
      <c r="B117" s="3175" t="s">
        <v>25528</v>
      </c>
    </row>
    <row r="125" spans="2:2" ht="20.100000000000001" customHeight="1"/>
    <row r="126" spans="2:2" ht="20.100000000000001" customHeight="1"/>
    <row r="127" spans="2:2" ht="20.100000000000001" customHeight="1"/>
    <row r="128" spans="2:2"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sheetData>
  <sheetProtection algorithmName="SHA-512" hashValue="Mrn6JtCurcMY+XC4kV8mf5MRiyu9Ucza1ySFVGuAvf4cQeyTkdOVpRoic/YrbkYL0S8xbHyk1qQdIQxj8C/LJA==" saltValue="yW76ZSUQUEpX/OQXMXGTgA==" spinCount="100000" sheet="1" objects="1" scenarios="1"/>
  <mergeCells count="53">
    <mergeCell ref="A89:B89"/>
    <mergeCell ref="A90:A95"/>
    <mergeCell ref="P20:P22"/>
    <mergeCell ref="S1:W1"/>
    <mergeCell ref="A2:B2"/>
    <mergeCell ref="A3:A11"/>
    <mergeCell ref="J3:L5"/>
    <mergeCell ref="A12:A20"/>
    <mergeCell ref="J16:J17"/>
    <mergeCell ref="J18:J19"/>
    <mergeCell ref="K18:K19"/>
    <mergeCell ref="L18:R18"/>
    <mergeCell ref="J20:J22"/>
    <mergeCell ref="Q20:Q22"/>
    <mergeCell ref="R20:R22"/>
    <mergeCell ref="A21:A27"/>
    <mergeCell ref="J23:J25"/>
    <mergeCell ref="K23:K25"/>
    <mergeCell ref="K20:K22"/>
    <mergeCell ref="L20:L22"/>
    <mergeCell ref="M20:M22"/>
    <mergeCell ref="N20:N22"/>
    <mergeCell ref="O20:O22"/>
    <mergeCell ref="Q23:Q25"/>
    <mergeCell ref="R23:R25"/>
    <mergeCell ref="J26:J27"/>
    <mergeCell ref="K26:K27"/>
    <mergeCell ref="L26:L27"/>
    <mergeCell ref="M26:M27"/>
    <mergeCell ref="N26:N27"/>
    <mergeCell ref="O26:O27"/>
    <mergeCell ref="P26:P27"/>
    <mergeCell ref="Q26:Q27"/>
    <mergeCell ref="R26:R27"/>
    <mergeCell ref="M23:M25"/>
    <mergeCell ref="N23:N25"/>
    <mergeCell ref="O23:O25"/>
    <mergeCell ref="P23:P25"/>
    <mergeCell ref="L23:L25"/>
    <mergeCell ref="P28:P30"/>
    <mergeCell ref="Q28:Q30"/>
    <mergeCell ref="R28:R30"/>
    <mergeCell ref="M28:M30"/>
    <mergeCell ref="A52:A61"/>
    <mergeCell ref="A62:A69"/>
    <mergeCell ref="A70:A77"/>
    <mergeCell ref="A78:A84"/>
    <mergeCell ref="N28:N30"/>
    <mergeCell ref="A40:A51"/>
    <mergeCell ref="A28:A39"/>
    <mergeCell ref="J28:J30"/>
    <mergeCell ref="K28:K30"/>
    <mergeCell ref="L28:L30"/>
  </mergeCells>
  <conditionalFormatting sqref="F50:G50">
    <cfRule type="containsText" dxfId="27" priority="27" operator="containsText" text="NO">
      <formula>NOT(ISERROR(SEARCH("NO",F50)))</formula>
    </cfRule>
    <cfRule type="containsText" dxfId="26" priority="28" operator="containsText" text="SI">
      <formula>NOT(ISERROR(SEARCH("SI",F50)))</formula>
    </cfRule>
  </conditionalFormatting>
  <conditionalFormatting sqref="F19:G19">
    <cfRule type="containsText" dxfId="25" priority="25" operator="containsText" text="NO">
      <formula>NOT(ISERROR(SEARCH("NO",F19)))</formula>
    </cfRule>
    <cfRule type="containsText" dxfId="24" priority="26" operator="containsText" text="SI">
      <formula>NOT(ISERROR(SEARCH("SI",F19)))</formula>
    </cfRule>
  </conditionalFormatting>
  <conditionalFormatting sqref="F38">
    <cfRule type="containsText" dxfId="23" priority="23" operator="containsText" text="NO">
      <formula>NOT(ISERROR(SEARCH("NO",F38)))</formula>
    </cfRule>
    <cfRule type="containsText" dxfId="22" priority="24" operator="containsText" text="SI">
      <formula>NOT(ISERROR(SEARCH("SI",F38)))</formula>
    </cfRule>
  </conditionalFormatting>
  <conditionalFormatting sqref="G38">
    <cfRule type="containsText" dxfId="21" priority="21" operator="containsText" text="NO">
      <formula>NOT(ISERROR(SEARCH("NO",G38)))</formula>
    </cfRule>
    <cfRule type="containsText" dxfId="20" priority="22" operator="containsText" text="SI">
      <formula>NOT(ISERROR(SEARCH("SI",G38)))</formula>
    </cfRule>
  </conditionalFormatting>
  <conditionalFormatting sqref="F60:G60">
    <cfRule type="containsText" dxfId="19" priority="19" operator="containsText" text="NO">
      <formula>NOT(ISERROR(SEARCH("NO",F60)))</formula>
    </cfRule>
    <cfRule type="containsText" dxfId="18" priority="20" operator="containsText" text="SI">
      <formula>NOT(ISERROR(SEARCH("SI",F60)))</formula>
    </cfRule>
  </conditionalFormatting>
  <conditionalFormatting sqref="F68:G68">
    <cfRule type="containsText" dxfId="17" priority="17" operator="containsText" text="NO">
      <formula>NOT(ISERROR(SEARCH("NO",F68)))</formula>
    </cfRule>
    <cfRule type="containsText" dxfId="16" priority="18" operator="containsText" text="SI">
      <formula>NOT(ISERROR(SEARCH("SI",F68)))</formula>
    </cfRule>
  </conditionalFormatting>
  <conditionalFormatting sqref="G10">
    <cfRule type="containsText" dxfId="15" priority="15" operator="containsText" text="NO">
      <formula>NOT(ISERROR(SEARCH("NO",G10)))</formula>
    </cfRule>
    <cfRule type="containsText" dxfId="14" priority="16" operator="containsText" text="SI">
      <formula>NOT(ISERROR(SEARCH("SI",G10)))</formula>
    </cfRule>
  </conditionalFormatting>
  <conditionalFormatting sqref="F76:G76">
    <cfRule type="containsText" dxfId="13" priority="13" operator="containsText" text="NO">
      <formula>NOT(ISERROR(SEARCH("NO",F76)))</formula>
    </cfRule>
    <cfRule type="containsText" dxfId="12" priority="14" operator="containsText" text="SI">
      <formula>NOT(ISERROR(SEARCH("SI",F76)))</formula>
    </cfRule>
  </conditionalFormatting>
  <conditionalFormatting sqref="F78:G78">
    <cfRule type="containsText" dxfId="11" priority="11" operator="containsText" text="NO">
      <formula>NOT(ISERROR(SEARCH("NO",F78)))</formula>
    </cfRule>
    <cfRule type="containsText" dxfId="10" priority="12" operator="containsText" text="SI">
      <formula>NOT(ISERROR(SEARCH("SI",F78)))</formula>
    </cfRule>
  </conditionalFormatting>
  <conditionalFormatting sqref="G79:G80">
    <cfRule type="containsText" dxfId="9" priority="9" operator="containsText" text="NO">
      <formula>NOT(ISERROR(SEARCH("NO",G79)))</formula>
    </cfRule>
    <cfRule type="containsText" dxfId="8" priority="10" operator="containsText" text="SI">
      <formula>NOT(ISERROR(SEARCH("SI",G79)))</formula>
    </cfRule>
  </conditionalFormatting>
  <conditionalFormatting sqref="F83:G83">
    <cfRule type="containsText" dxfId="7" priority="7" operator="containsText" text="NO">
      <formula>NOT(ISERROR(SEARCH("NO",F83)))</formula>
    </cfRule>
    <cfRule type="containsText" dxfId="6" priority="8" operator="containsText" text="SI">
      <formula>NOT(ISERROR(SEARCH("SI",F83)))</formula>
    </cfRule>
  </conditionalFormatting>
  <conditionalFormatting sqref="F90:G90">
    <cfRule type="containsText" dxfId="5" priority="5" operator="containsText" text="NO">
      <formula>NOT(ISERROR(SEARCH("NO",F90)))</formula>
    </cfRule>
    <cfRule type="containsText" dxfId="4" priority="6" operator="containsText" text="SI">
      <formula>NOT(ISERROR(SEARCH("SI",F90)))</formula>
    </cfRule>
  </conditionalFormatting>
  <conditionalFormatting sqref="F94">
    <cfRule type="containsText" dxfId="3" priority="3" operator="containsText" text="NO">
      <formula>NOT(ISERROR(SEARCH("NO",F94)))</formula>
    </cfRule>
    <cfRule type="containsText" dxfId="2" priority="4" operator="containsText" text="SI">
      <formula>NOT(ISERROR(SEARCH("SI",F94)))</formula>
    </cfRule>
  </conditionalFormatting>
  <conditionalFormatting sqref="G94">
    <cfRule type="containsText" dxfId="1" priority="1" operator="containsText" text="NO">
      <formula>NOT(ISERROR(SEARCH("NO",G94)))</formula>
    </cfRule>
    <cfRule type="containsText" dxfId="0" priority="2" operator="containsText" text="SI">
      <formula>NOT(ISERROR(SEARCH("SI",G94)))</formula>
    </cfRule>
  </conditionalFormatting>
  <dataValidations count="4">
    <dataValidation type="list" allowBlank="1" showInputMessage="1" showErrorMessage="1" sqref="V28 C70 C28 C12 C62 V70 C40 V62 V12 C52 V40 V52" xr:uid="{5F8420E2-440F-4626-AE10-3048883389BE}">
      <formula1>$B$107:$B$108</formula1>
    </dataValidation>
    <dataValidation type="list" allowBlank="1" showInputMessage="1" showErrorMessage="1" sqref="V53 C71 C29 C21 C13 C3 C63 V71 C41 V63 V21 V13 C53 V29 V3 V41" xr:uid="{A1F92EAE-D1C9-4270-8CE3-7368389A8562}">
      <formula1>$B$112:$B$113</formula1>
    </dataValidation>
    <dataValidation type="list" allowBlank="1" showInputMessage="1" showErrorMessage="1" sqref="K20 O26 O23 P23:R27 M23:N27 L23 L26:L27" xr:uid="{41D75642-1604-4A05-A7E7-206D470C950C}">
      <formula1>$B$117</formula1>
    </dataValidation>
    <dataValidation type="decimal" operator="greaterThan" allowBlank="1" showInputMessage="1" showErrorMessage="1" sqref="C90 G91" xr:uid="{20BDF280-6C73-40D5-B5EC-BC865D3DF156}">
      <formula1>0</formula1>
    </dataValidation>
  </dataValidations>
  <pageMargins left="0.7" right="0.7" top="0.75" bottom="0.75" header="0.3" footer="0.3"/>
  <pageSetup paperSize="9" orientation="portrait" r:id="rId1"/>
  <drawing r:id="rId2"/>
  <legacyDrawing r:id="rId3"/>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8BB15-B716-4629-B4D2-F366CB08B019}">
  <sheetPr codeName="Foglio25">
    <tabColor rgb="FFC5D9F1"/>
  </sheetPr>
  <dimension ref="A1:D13"/>
  <sheetViews>
    <sheetView showGridLines="0" zoomScale="85" zoomScaleNormal="85" workbookViewId="0"/>
  </sheetViews>
  <sheetFormatPr defaultColWidth="9.42578125" defaultRowHeight="15"/>
  <cols>
    <col min="1" max="1" width="7.5703125" customWidth="1"/>
    <col min="2" max="2" width="40.5703125" customWidth="1"/>
    <col min="3" max="4" width="18.42578125" customWidth="1"/>
    <col min="5" max="5" width="5.5703125" customWidth="1"/>
    <col min="7" max="7" width="13.85546875" customWidth="1"/>
    <col min="8" max="8" width="14.42578125" customWidth="1"/>
    <col min="9" max="9" width="14.85546875" customWidth="1"/>
    <col min="10" max="10" width="13.85546875" customWidth="1"/>
    <col min="11" max="11" width="14.85546875" customWidth="1"/>
  </cols>
  <sheetData>
    <row r="1" spans="1:4" ht="65.099999999999994" customHeight="1" thickBot="1">
      <c r="B1" s="1512" t="s">
        <v>31875</v>
      </c>
    </row>
    <row r="2" spans="1:4" ht="30.75" thickBot="1">
      <c r="A2" s="3755" t="s">
        <v>29515</v>
      </c>
      <c r="B2" s="3756"/>
      <c r="C2" s="1653" t="s">
        <v>31824</v>
      </c>
      <c r="D2" s="1654" t="s">
        <v>31825</v>
      </c>
    </row>
    <row r="3" spans="1:4">
      <c r="A3" s="3777" t="s">
        <v>26953</v>
      </c>
      <c r="B3" s="1584" t="s">
        <v>29747</v>
      </c>
      <c r="C3" s="3260"/>
      <c r="D3" s="3254" t="str">
        <f>+IF(C3="","",IF(C6=TT_parametri!BC106,C3,C6))</f>
        <v/>
      </c>
    </row>
    <row r="4" spans="1:4">
      <c r="A4" s="3777"/>
      <c r="B4" s="1584" t="s">
        <v>29519</v>
      </c>
      <c r="C4" s="3259" t="str">
        <f>+IF(C3="","",IF(C3&gt;98%,"A",IF(AND(C3&lt;=98%,C3&gt;94%),"B",IF(AND(C3&lt;=94%,C3&gt;90%),"C","D"))))</f>
        <v/>
      </c>
      <c r="D4" s="3255" t="str">
        <f>+IF(D3="","",IF(D3&gt;98%,"A",IF(AND(D3&lt;=98%,D3&gt;94%),"B",IF(AND(D3&lt;=94%,D3&gt;90%),"C","D"))))</f>
        <v/>
      </c>
    </row>
    <row r="5" spans="1:4">
      <c r="A5" s="3777"/>
      <c r="B5" s="1584" t="s">
        <v>29748</v>
      </c>
      <c r="C5" s="3261" t="str">
        <f>+IF(C3="","",_xlfn.XLOOKUP(C4,TT_parametri!$BB$106:$BB$109,TT_parametri!$BE$106:$BE$109))</f>
        <v/>
      </c>
      <c r="D5" s="3256" t="str">
        <f>+IF(D3="","",_xlfn.XLOOKUP(D4,TT_parametri!$BB$106:$BB$109,TT_parametri!$BE$106:$BE$109))</f>
        <v/>
      </c>
    </row>
    <row r="6" spans="1:4">
      <c r="A6" s="3777"/>
      <c r="B6" s="1584" t="s">
        <v>29749</v>
      </c>
      <c r="C6" s="3261" t="str">
        <f>IF(C3="","",IF(C4="A",C5,MIN(C3+_xlfn.XLOOKUP(C4,TT_parametri!$BB$106:$BB$109,TT_parametri!$BC$106:$BC$109),_xlfn.XLOOKUP(C4,TT_parametri!$BB$106:$BB$109,TT_parametri!$BD$106:$BD$109))))</f>
        <v/>
      </c>
      <c r="D6" s="3256" t="str">
        <f>IF(D3="","",IF(D4="A",D5,MIN(D3+_xlfn.XLOOKUP(D4,TT_parametri!$BB$106:$BB$109,TT_parametri!$BC$106:$BC$109),_xlfn.XLOOKUP(D4,TT_parametri!$BB$106:$BB$109,TT_parametri!$BD$106:$BD$109))))</f>
        <v/>
      </c>
    </row>
    <row r="7" spans="1:4" ht="30.75" thickBot="1">
      <c r="A7" s="3778"/>
      <c r="B7" s="1513" t="s">
        <v>29750</v>
      </c>
      <c r="C7" s="3262">
        <v>2025</v>
      </c>
      <c r="D7" s="3257" t="s">
        <v>31874</v>
      </c>
    </row>
    <row r="8" spans="1:4">
      <c r="A8" s="3779" t="s">
        <v>26955</v>
      </c>
      <c r="B8" s="1585" t="s">
        <v>29747</v>
      </c>
      <c r="C8" s="1652"/>
      <c r="D8" s="3258" t="str">
        <f>+IF(C8="","",IF(C11=TT_parametri!BC106,C8,C11))</f>
        <v/>
      </c>
    </row>
    <row r="9" spans="1:4">
      <c r="A9" s="3777"/>
      <c r="B9" s="1584" t="s">
        <v>29519</v>
      </c>
      <c r="C9" s="3259" t="str">
        <f>+IF(C8="","",IF(C8&gt;96%,"A",IF(AND(C8&lt;=96%,C8&gt;93%),"B",IF(AND(C8&lt;=93%,C8&gt;90%),"C","D"))))</f>
        <v/>
      </c>
      <c r="D9" s="3255" t="str">
        <f>+IF(D8="","",IF(D8&gt;96%,"A",IF(AND(D8&lt;=96%,D8&gt;93%),"B",IF(AND(D8&lt;=93%,D8&gt;90%),"C","D"))))</f>
        <v/>
      </c>
    </row>
    <row r="10" spans="1:4">
      <c r="A10" s="3777"/>
      <c r="B10" s="1584" t="s">
        <v>29748</v>
      </c>
      <c r="C10" s="3261" t="str">
        <f>+IF(C8="","",_xlfn.XLOOKUP(C9,TT_parametri!$BB$106:$BB$109,TT_parametri!$BG$106:$BG$109))</f>
        <v/>
      </c>
      <c r="D10" s="3256" t="str">
        <f>+IF(D8="","",_xlfn.XLOOKUP(D9,TT_parametri!$BB$106:$BB$109,TT_parametri!$BG$106:$BG$109))</f>
        <v/>
      </c>
    </row>
    <row r="11" spans="1:4">
      <c r="A11" s="3777"/>
      <c r="B11" s="1584" t="s">
        <v>29751</v>
      </c>
      <c r="C11" s="3261" t="str">
        <f>IF(C8="","",IF(C9="A",C10,MIN(C8+_xlfn.XLOOKUP(C9,TT_parametri!$BB$106:$BB$109,TT_parametri!$BC$106:$BC$109),_xlfn.XLOOKUP(C9,TT_parametri!$BB$106:$BB$109,TT_parametri!$BF$106:$BF$109))))</f>
        <v/>
      </c>
      <c r="D11" s="3256" t="str">
        <f>IF(D8="","",IF(D9="A",D10,MIN(D8+_xlfn.XLOOKUP(D9,TT_parametri!$BB$106:$BB$109,TT_parametri!$BC$106:$BC$109),_xlfn.XLOOKUP(D9,TT_parametri!$BB$106:$BB$109,TT_parametri!$BF$106:$BF$109))))</f>
        <v/>
      </c>
    </row>
    <row r="12" spans="1:4" ht="30.75" thickBot="1">
      <c r="A12" s="3778"/>
      <c r="B12" s="1513" t="s">
        <v>29752</v>
      </c>
      <c r="C12" s="3262">
        <v>2025</v>
      </c>
      <c r="D12" s="3257" t="s">
        <v>31874</v>
      </c>
    </row>
    <row r="13" spans="1:4" ht="20.100000000000001" customHeight="1">
      <c r="A13" t="s">
        <v>31880</v>
      </c>
    </row>
  </sheetData>
  <sheetProtection algorithmName="SHA-512" hashValue="3B/W6wH3q8fS2rZfvyXCUjrZTOqCLWpuVQ9IPiti82FWLzDL61P32p2UCk9XvPkl7bMtgkESII5U/NnKlEPXeg==" saltValue="1yIinO/et4trxt411MgcHA==" spinCount="100000" sheet="1" objects="1" scenarios="1"/>
  <mergeCells count="3">
    <mergeCell ref="A2:B2"/>
    <mergeCell ref="A3:A7"/>
    <mergeCell ref="A8:A12"/>
  </mergeCells>
  <dataValidations count="1">
    <dataValidation type="decimal" allowBlank="1" showInputMessage="1" showErrorMessage="1" errorTitle="Formato non valido" sqref="C3 C8" xr:uid="{9C62D4A5-DBDE-43ED-BF32-BE3A65ED054C}">
      <formula1>0</formula1>
      <formula2>1</formula2>
    </dataValidation>
  </dataValidations>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9006fdf-e617-4dc8-9237-7f24c96f69d6">
      <Terms xmlns="http://schemas.microsoft.com/office/infopath/2007/PartnerControls"/>
    </lcf76f155ced4ddcb4097134ff3c332f>
    <_Flow_SignoffStatus xmlns="b9006fdf-e617-4dc8-9237-7f24c96f69d6" xsi:nil="true"/>
    <ORA xmlns="b9006fdf-e617-4dc8-9237-7f24c96f69d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D5F6E2B1AFD324F9FF0864B9EC8680C" ma:contentTypeVersion="14" ma:contentTypeDescription="Creare un nuovo documento." ma:contentTypeScope="" ma:versionID="8a3507dbd7c79ba621636ec22ff503f1">
  <xsd:schema xmlns:xsd="http://www.w3.org/2001/XMLSchema" xmlns:xs="http://www.w3.org/2001/XMLSchema" xmlns:p="http://schemas.microsoft.com/office/2006/metadata/properties" xmlns:ns2="b9006fdf-e617-4dc8-9237-7f24c96f69d6" xmlns:ns3="aee051c8-a468-4d25-929a-33095c924ecb" targetNamespace="http://schemas.microsoft.com/office/2006/metadata/properties" ma:root="true" ma:fieldsID="83ffc8f987e0cebb3115f8c81659771b" ns2:_="" ns3:_="">
    <xsd:import namespace="b9006fdf-e617-4dc8-9237-7f24c96f69d6"/>
    <xsd:import namespace="aee051c8-a468-4d25-929a-33095c924ec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SearchProperties" minOccurs="0"/>
                <xsd:element ref="ns2:ORA"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006fdf-e617-4dc8-9237-7f24c96f69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Tag immagine" ma:readOnly="false" ma:fieldId="{5cf76f15-5ced-4ddc-b409-7134ff3c332f}" ma:taxonomyMulti="true" ma:sspId="a80affac-8c33-4d97-bb50-84f6a7cdd8b7"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ORA" ma:index="20" nillable="true" ma:displayName="ORA" ma:format="DateTime" ma:internalName="ORA">
      <xsd:simpleType>
        <xsd:restriction base="dms:DateTime"/>
      </xsd:simpleType>
    </xsd:element>
    <xsd:element name="_Flow_SignoffStatus" ma:index="21" nillable="true" ma:displayName="Stato consenso" ma:internalName="Stato_x0020_consenso">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e051c8-a468-4d25-929a-33095c924ecb"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A8A9B-9CAC-4BEF-8F95-92589760F4F4}">
  <ds:schemaRefs>
    <ds:schemaRef ds:uri="http://schemas.openxmlformats.org/package/2006/metadata/core-properties"/>
    <ds:schemaRef ds:uri="aee051c8-a468-4d25-929a-33095c924ecb"/>
    <ds:schemaRef ds:uri="http://schemas.microsoft.com/office/2006/documentManagement/types"/>
    <ds:schemaRef ds:uri="http://schemas.microsoft.com/office/2006/metadata/properties"/>
    <ds:schemaRef ds:uri="http://purl.org/dc/elements/1.1/"/>
    <ds:schemaRef ds:uri="http://www.w3.org/XML/1998/namespace"/>
    <ds:schemaRef ds:uri="http://purl.org/dc/terms/"/>
    <ds:schemaRef ds:uri="http://schemas.microsoft.com/office/infopath/2007/PartnerControls"/>
    <ds:schemaRef ds:uri="b9006fdf-e617-4dc8-9237-7f24c96f69d6"/>
    <ds:schemaRef ds:uri="http://purl.org/dc/dcmitype/"/>
  </ds:schemaRefs>
</ds:datastoreItem>
</file>

<file path=customXml/itemProps2.xml><?xml version="1.0" encoding="utf-8"?>
<ds:datastoreItem xmlns:ds="http://schemas.openxmlformats.org/officeDocument/2006/customXml" ds:itemID="{DDB0B2E0-195F-43B4-BC85-4670BC7484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006fdf-e617-4dc8-9237-7f24c96f69d6"/>
    <ds:schemaRef ds:uri="aee051c8-a468-4d25-929a-33095c924e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D05AB79-1B77-41FC-9167-575B76DE881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135</vt:i4>
      </vt:variant>
    </vt:vector>
  </HeadingPairs>
  <TitlesOfParts>
    <vt:vector size="197" baseType="lpstr">
      <vt:lpstr>Controllo_UPLOAD</vt:lpstr>
      <vt:lpstr>Menu</vt:lpstr>
      <vt:lpstr>Dati_tecnici</vt:lpstr>
      <vt:lpstr>Affidamento</vt:lpstr>
      <vt:lpstr>Dati_conto_economico</vt:lpstr>
      <vt:lpstr>Altri_dati_eco_fin</vt:lpstr>
      <vt:lpstr>Finanziamenti</vt:lpstr>
      <vt:lpstr>Soggetti_proprietari</vt:lpstr>
      <vt:lpstr>Corrispettivi_proprietari</vt:lpstr>
      <vt:lpstr>Soggetti_Scambio</vt:lpstr>
      <vt:lpstr>Vendita_Servizi_ingrosso</vt:lpstr>
      <vt:lpstr>Acquisto_Servizi_ingrosso</vt:lpstr>
      <vt:lpstr>Nuovi_Investimenti</vt:lpstr>
      <vt:lpstr>Dismissioni</vt:lpstr>
      <vt:lpstr>Ammortamento_Finanziario</vt:lpstr>
      <vt:lpstr>Info_eventuali_aggregazioni</vt:lpstr>
      <vt:lpstr>Elenco_Bacini_Tariffari</vt:lpstr>
      <vt:lpstr>Bacini_Tariffari_Comuni</vt:lpstr>
      <vt:lpstr>Struttura_corrispettivi</vt:lpstr>
      <vt:lpstr>Titolo 6 TIMSII ut_raggruppate</vt:lpstr>
      <vt:lpstr>Ricavi_Coll_Dep</vt:lpstr>
      <vt:lpstr>Ricavi_bacini_tariffari</vt:lpstr>
      <vt:lpstr>Dati_Anni_precedenti</vt:lpstr>
      <vt:lpstr>IMN_cespiti_anni_precedenti</vt:lpstr>
      <vt:lpstr>Conferma_investimenti</vt:lpstr>
      <vt:lpstr>IMN_Proprietari</vt:lpstr>
      <vt:lpstr>Storico_Piano_Tariffario</vt:lpstr>
      <vt:lpstr>DCUIT</vt:lpstr>
      <vt:lpstr>IMN_consolidamento</vt:lpstr>
      <vt:lpstr>IMN_gestore</vt:lpstr>
      <vt:lpstr>Framework_schemi</vt:lpstr>
      <vt:lpstr>VRG_Teta</vt:lpstr>
      <vt:lpstr>Capex</vt:lpstr>
      <vt:lpstr>ERC</vt:lpstr>
      <vt:lpstr>FoNI</vt:lpstr>
      <vt:lpstr>Opex</vt:lpstr>
      <vt:lpstr>Rc</vt:lpstr>
      <vt:lpstr>Schema di convergenza</vt:lpstr>
      <vt:lpstr>Input_per_calcoli_finali</vt:lpstr>
      <vt:lpstr>VRG_riepilogo</vt:lpstr>
      <vt:lpstr>Piano_Tariffario</vt:lpstr>
      <vt:lpstr>Conto_Economico</vt:lpstr>
      <vt:lpstr>Rendiconto_Finanziario</vt:lpstr>
      <vt:lpstr>Stato_Patrimoniale</vt:lpstr>
      <vt:lpstr>TT_Gestori</vt:lpstr>
      <vt:lpstr>TT_Comuni_ATO</vt:lpstr>
      <vt:lpstr>TT_Tabelle_Riferimento</vt:lpstr>
      <vt:lpstr>TT_parametri</vt:lpstr>
      <vt:lpstr>TT_riepilogo_IMN</vt:lpstr>
      <vt:lpstr>PdI-legenda</vt:lpstr>
      <vt:lpstr>PdI-crono_inv</vt:lpstr>
      <vt:lpstr>POS-Piano_Opere_Strategiche</vt:lpstr>
      <vt:lpstr>PdI-crono_ges</vt:lpstr>
      <vt:lpstr>PdI-riepilogo</vt:lpstr>
      <vt:lpstr>PdI_consolidamento</vt:lpstr>
      <vt:lpstr>QT-Acquedotto</vt:lpstr>
      <vt:lpstr>QT-Fognatura</vt:lpstr>
      <vt:lpstr>QT-Depurazione</vt:lpstr>
      <vt:lpstr>QT-Altri dati</vt:lpstr>
      <vt:lpstr>QT-Resilienza</vt:lpstr>
      <vt:lpstr>Riepilogo_RQTI</vt:lpstr>
      <vt:lpstr>Riepilogo_RQSII</vt:lpstr>
      <vt:lpstr>_dap</vt:lpstr>
      <vt:lpstr>_input</vt:lpstr>
      <vt:lpstr>VRG_riepilogo!_storici</vt:lpstr>
      <vt:lpstr>AMMFIN</vt:lpstr>
      <vt:lpstr>anni_new</vt:lpstr>
      <vt:lpstr>anni_old</vt:lpstr>
      <vt:lpstr>Anno_Cespite</vt:lpstr>
      <vt:lpstr>Anno_Cespite_adj</vt:lpstr>
      <vt:lpstr>ato</vt:lpstr>
      <vt:lpstr>Riepilogo_RQTI!ATO_tutte</vt:lpstr>
      <vt:lpstr>ATO_tutte</vt:lpstr>
      <vt:lpstr>Riepilogo_RQTI!attività</vt:lpstr>
      <vt:lpstr>attività</vt:lpstr>
      <vt:lpstr>Riepilogo_RQTI!canc_pt</vt:lpstr>
      <vt:lpstr>canc_pt</vt:lpstr>
      <vt:lpstr>cap</vt:lpstr>
      <vt:lpstr>cap_ds</vt:lpstr>
      <vt:lpstr>capex</vt:lpstr>
      <vt:lpstr>Riepilogo_RQTI!cat_imm_new</vt:lpstr>
      <vt:lpstr>cat_imm_new</vt:lpstr>
      <vt:lpstr>Riepilogo_RQTI!cat_imm_nuovi_inv</vt:lpstr>
      <vt:lpstr>cat_imm_nuovi_inv</vt:lpstr>
      <vt:lpstr>Riepilogo_RQTI!Cat_Immobilizzazione</vt:lpstr>
      <vt:lpstr>Cat_Immobilizzazione</vt:lpstr>
      <vt:lpstr>categ_new</vt:lpstr>
      <vt:lpstr>categ_old</vt:lpstr>
      <vt:lpstr>Riepilogo_RQTI!CategorieCespiti</vt:lpstr>
      <vt:lpstr>CategorieCespiti</vt:lpstr>
      <vt:lpstr>check</vt:lpstr>
      <vt:lpstr>Riepilogo_RQTI!Codice_ARERA</vt:lpstr>
      <vt:lpstr>Codice_ARERA</vt:lpstr>
      <vt:lpstr>Conto_Economico</vt:lpstr>
      <vt:lpstr>Riepilogo_RQTI!costo_sotteso</vt:lpstr>
      <vt:lpstr>costo_sotteso</vt:lpstr>
      <vt:lpstr>TT_Comuni_ATO!Criteria</vt:lpstr>
      <vt:lpstr>dichiarazione_corrispettivi</vt:lpstr>
      <vt:lpstr>Riepilogo_RQTI!elenco</vt:lpstr>
      <vt:lpstr>elenco</vt:lpstr>
      <vt:lpstr>VRG_riepilogo!excipe</vt:lpstr>
      <vt:lpstr>TT_Comuni_ATO!Extract</vt:lpstr>
      <vt:lpstr>foni</vt:lpstr>
      <vt:lpstr>GESTORE</vt:lpstr>
      <vt:lpstr>Riepilogo_RQTI!gestore_proprietario</vt:lpstr>
      <vt:lpstr>gestore_proprietario</vt:lpstr>
      <vt:lpstr>Riepilogo_RQTI!iAF</vt:lpstr>
      <vt:lpstr>iAF</vt:lpstr>
      <vt:lpstr>ID_ATO</vt:lpstr>
      <vt:lpstr>Riepilogo_RQTI!id_cat_ces</vt:lpstr>
      <vt:lpstr>id_cat_ces</vt:lpstr>
      <vt:lpstr>id_cat_ces_n</vt:lpstr>
      <vt:lpstr>Riepilogo_RQTI!id_cat_imm</vt:lpstr>
      <vt:lpstr>id_cat_imm</vt:lpstr>
      <vt:lpstr>Riepilogo_RQTI!idato</vt:lpstr>
      <vt:lpstr>idato</vt:lpstr>
      <vt:lpstr>Riepilogo_RQTI!idgestore</vt:lpstr>
      <vt:lpstr>idgestore</vt:lpstr>
      <vt:lpstr>Riepilogo_RQTI!ifl</vt:lpstr>
      <vt:lpstr>ifl</vt:lpstr>
      <vt:lpstr>Riepilogo_RQTI!imm_nuovi_inv</vt:lpstr>
      <vt:lpstr>imm_nuovi_inv</vt:lpstr>
      <vt:lpstr>Immobilizzazioni</vt:lpstr>
      <vt:lpstr>VRG_riepilogo!imnvirt2011</vt:lpstr>
      <vt:lpstr>Riepilogo_RQTI!incid</vt:lpstr>
      <vt:lpstr>incid</vt:lpstr>
      <vt:lpstr>Indicatori_Redditivita_Liquidita</vt:lpstr>
      <vt:lpstr>Riepilogo_RQTI!infrastrutture_new</vt:lpstr>
      <vt:lpstr>infrastrutture_new</vt:lpstr>
      <vt:lpstr>Riepilogo_RQTI!integr</vt:lpstr>
      <vt:lpstr>integr</vt:lpstr>
      <vt:lpstr>Riepilogo_RQTI!kschema</vt:lpstr>
      <vt:lpstr>kschema</vt:lpstr>
      <vt:lpstr>kteta</vt:lpstr>
      <vt:lpstr>menu_QT</vt:lpstr>
      <vt:lpstr>ModuloBaseQV</vt:lpstr>
      <vt:lpstr>Riepilogo_RQTI!mti_4</vt:lpstr>
      <vt:lpstr>mti_4</vt:lpstr>
      <vt:lpstr>Natura_Giuridica</vt:lpstr>
      <vt:lpstr>Nome_ATO</vt:lpstr>
      <vt:lpstr>Riepilogo_RQTI!omega</vt:lpstr>
      <vt:lpstr>omega</vt:lpstr>
      <vt:lpstr>Riepilogo_RQTI!OPMi</vt:lpstr>
      <vt:lpstr>OPMi</vt:lpstr>
      <vt:lpstr>Riepilogo_RQTI!PINF</vt:lpstr>
      <vt:lpstr>PINF</vt:lpstr>
      <vt:lpstr>Riepilogo_RQTI!popolazione_ato</vt:lpstr>
      <vt:lpstr>popolazione_ato</vt:lpstr>
      <vt:lpstr>Capex!Print_Area</vt:lpstr>
      <vt:lpstr>Menu!Print_Area</vt:lpstr>
      <vt:lpstr>Piano_Tariffario!Print_Area</vt:lpstr>
      <vt:lpstr>VRG_Teta!Print_Area</vt:lpstr>
      <vt:lpstr>Riepilogo_RQTI!Quad</vt:lpstr>
      <vt:lpstr>Quad</vt:lpstr>
      <vt:lpstr>Ragione_Sociale</vt:lpstr>
      <vt:lpstr>Rendiconto_Finanziario</vt:lpstr>
      <vt:lpstr>Ricavi_Quota_Variabile</vt:lpstr>
      <vt:lpstr>Riepilogo_RQTI!rif_metodo</vt:lpstr>
      <vt:lpstr>rif_metodo</vt:lpstr>
      <vt:lpstr>Riepilogo_RQTI!rpi</vt:lpstr>
      <vt:lpstr>rpi</vt:lpstr>
      <vt:lpstr>schede</vt:lpstr>
      <vt:lpstr>schedeQ</vt:lpstr>
      <vt:lpstr>schema_regolatorio</vt:lpstr>
      <vt:lpstr>servizi_idrici</vt:lpstr>
      <vt:lpstr>Riepilogo_RQTI!Servizio_Dettaglio</vt:lpstr>
      <vt:lpstr>Servizio_Dettaglio</vt:lpstr>
      <vt:lpstr>Riepilogo_RQTI!si_no</vt:lpstr>
      <vt:lpstr>si_no</vt:lpstr>
      <vt:lpstr>tabella_X</vt:lpstr>
      <vt:lpstr>Territorio_Gestito_Affidamento</vt:lpstr>
      <vt:lpstr>Riepilogo_RQTI!ticsi_t_s</vt:lpstr>
      <vt:lpstr>ticsi_t_s</vt:lpstr>
      <vt:lpstr>Riepilogo_RQTI!ticsi_tipol</vt:lpstr>
      <vt:lpstr>ticsi_tipol</vt:lpstr>
      <vt:lpstr>Riepilogo_RQTI!tipo_affidamento</vt:lpstr>
      <vt:lpstr>tipo_affidamento</vt:lpstr>
      <vt:lpstr>tipo_integrazione</vt:lpstr>
      <vt:lpstr>Riepilogo_RQTI!Tipologia_Proprietario</vt:lpstr>
      <vt:lpstr>Tipologia_Proprietario</vt:lpstr>
      <vt:lpstr>Tipologia_uso</vt:lpstr>
      <vt:lpstr>UltimoModuloQV</vt:lpstr>
      <vt:lpstr>Riepilogo_RQTI!var</vt:lpstr>
      <vt:lpstr>var</vt:lpstr>
      <vt:lpstr>Riepilogo_RQTI!vite_regolatorie</vt:lpstr>
      <vt:lpstr>vite_regolatorie</vt:lpstr>
      <vt:lpstr>Riepilogo_RQTI!vite_regolatorie_new</vt:lpstr>
      <vt:lpstr>vite_regolatorie_new</vt:lpstr>
      <vt:lpstr>Riepilogo_RQTI!ViteRegolatorieProp_new</vt:lpstr>
      <vt:lpstr>ViteRegolatorieProp_new</vt:lpstr>
      <vt:lpstr>Riepilogo_RQTI!ViteRegolatorieProp_old</vt:lpstr>
      <vt:lpstr>ViteRegolatorieProp_old</vt:lpstr>
      <vt:lpstr>VRG_PM</vt:lpstr>
      <vt:lpstr>Riepilogo_RQTI!vu_new</vt:lpstr>
      <vt:lpstr>vu_new</vt:lpstr>
      <vt:lpstr>Riepilogo_RQTI!xschema</vt:lpstr>
      <vt:lpstr>xschema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RDT2026</dc:title>
  <dc:subject>file raccolta dati tariffari MTI-4 agg.</dc:subject>
  <dc:creator>D'Antonio Ivano</dc:creator>
  <cp:keywords>ARERA; DTAC</cp:keywords>
  <cp:lastModifiedBy>D'Antonio Ivano</cp:lastModifiedBy>
  <cp:lastPrinted>2024-02-05T10:41:15Z</cp:lastPrinted>
  <dcterms:created xsi:type="dcterms:W3CDTF">2006-09-16T00:00:00Z</dcterms:created>
  <dcterms:modified xsi:type="dcterms:W3CDTF">2026-04-13T09:48:09Z</dcterms:modified>
  <cp:category>Regolazione Tariffaria Servizi Idrici</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0x0101008D5F6E2B1AFD324F9FF0864B9EC8680C</vt:lpwstr>
  </property>
  <property fmtid="{D5CDD505-2E9C-101B-9397-08002B2CF9AE}" pid="3" name="MediaServiceImageTags">
    <vt:lpwstr/>
  </property>
</Properties>
</file>